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namedSheetViews/namedSheetView1.xml" ContentType="application/vnd.ms-excel.namedsheetviews+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https://nhosp-my.sharepoint.com/personal/en_eba_no/Documents/Tunnellbyggetid/"/>
    </mc:Choice>
  </mc:AlternateContent>
  <xr:revisionPtr revIDLastSave="0" documentId="8_{2383336D-73E3-4F8F-B98B-656E4596E863}" xr6:coauthVersionLast="47" xr6:coauthVersionMax="47" xr10:uidLastSave="{00000000-0000-0000-0000-000000000000}"/>
  <workbookProtection workbookAlgorithmName="SHA-512" workbookHashValue="Q36CzJrkiJd09UaT7khP8gNOb6DMB30s+Akl1NCMlwpaXtI/tnBfdzFzQ5x/+9Bra0eby9VcVGSb0pa/+McMDg==" workbookSaltValue="b5uYCP8Hbt0IxkGLGjU3rg==" workbookSpinCount="100000" lockStructure="1"/>
  <bookViews>
    <workbookView xWindow="-120" yWindow="-120" windowWidth="29040" windowHeight="15840" tabRatio="777" xr2:uid="{1546614C-85E2-42B0-9303-8C5B4175AA4F}"/>
  </bookViews>
  <sheets>
    <sheet name="Forside" sheetId="25" r:id="rId1"/>
    <sheet name="Prosjektinfo" sheetId="5" r:id="rId2"/>
    <sheet name="Tunneldrift" sheetId="36" r:id="rId3"/>
    <sheet name="Inn forbered" sheetId="26" r:id="rId4"/>
    <sheet name="Inn foran" sheetId="20" r:id="rId5"/>
    <sheet name="Inn sprengning" sheetId="15" r:id="rId6"/>
    <sheet name="Inn stabilitet" sheetId="28" r:id="rId7"/>
    <sheet name="Inn justeringer" sheetId="22" r:id="rId8"/>
    <sheet name="Oppsummering" sheetId="41" r:id="rId9"/>
    <sheet name="Ut foran" sheetId="42" r:id="rId10"/>
    <sheet name="Ut sprengning" sheetId="27" r:id="rId11"/>
    <sheet name="Ut stabilitet" sheetId="43" r:id="rId12"/>
    <sheet name="Utskrift justeringer" sheetId="67" r:id="rId13"/>
    <sheet name="!Egen_SK" sheetId="55" state="hidden" r:id="rId14"/>
    <sheet name="!Egen_Kap" sheetId="45" state="hidden" r:id="rId15"/>
    <sheet name="!INN_SK" sheetId="52" state="hidden" r:id="rId16"/>
    <sheet name="!SK_Stabil_QTY" sheetId="54" state="hidden" r:id="rId17"/>
    <sheet name="_Changelog" sheetId="68" state="hidden" r:id="rId18"/>
    <sheet name="_Calcs" sheetId="39" state="hidden" r:id="rId19"/>
    <sheet name="_Calcs_Klasse" sheetId="50" state="hidden" r:id="rId20"/>
    <sheet name="_Kapasitet" sheetId="8" state="hidden" r:id="rId21"/>
    <sheet name="_SK_Rates" sheetId="66" state="hidden" r:id="rId22"/>
    <sheet name="_List" sheetId="1" state="hidden" r:id="rId23"/>
  </sheets>
  <definedNames>
    <definedName name="_xlnm.Print_Area" localSheetId="13">'!Egen_SK'!$A$1:$CO$324</definedName>
    <definedName name="_xlnm.Print_Area" localSheetId="15">'!INN_SK'!$A$1:$CT$112</definedName>
    <definedName name="_xlnm.Print_Area" localSheetId="16">'!SK_Stabil_QTY'!$A:$AK</definedName>
    <definedName name="_xlnm.Print_Area" localSheetId="1">Prosjektinfo!$A:$Z</definedName>
    <definedName name="_xlnm.Print_Area" localSheetId="12">'Utskrift justeringer'!$A$1:$OO$301</definedName>
    <definedName name="tverr_conn">OFFSET(_List!$C$1,0,0,COUNT(_List!$B$1:$B$8),1)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42" l="1"/>
  <c r="O133" i="36"/>
  <c r="X133" i="36"/>
  <c r="F84" i="22"/>
  <c r="Y133" i="36"/>
  <c r="AJ25" i="36"/>
  <c r="T19" i="39"/>
  <c r="T17" i="39"/>
  <c r="T16" i="39"/>
  <c r="T14" i="39"/>
  <c r="T13" i="39"/>
  <c r="T11" i="39"/>
  <c r="T10" i="39"/>
  <c r="II94" i="39" s="1"/>
  <c r="NA271" i="67" s="1"/>
  <c r="NA40" i="67" l="1"/>
  <c r="AX271" i="67"/>
  <c r="NA73" i="67"/>
  <c r="CQ271" i="67"/>
  <c r="E106" i="67"/>
  <c r="HV205" i="67"/>
  <c r="GC238" i="67"/>
  <c r="EJ271" i="67"/>
  <c r="AX7" i="67"/>
  <c r="JO106" i="67"/>
  <c r="CQ238" i="67"/>
  <c r="E73" i="67"/>
  <c r="GC205" i="67"/>
  <c r="AX73" i="67"/>
  <c r="JO172" i="67"/>
  <c r="GC7" i="67"/>
  <c r="EJ40" i="67"/>
  <c r="CQ73" i="67"/>
  <c r="AX106" i="67"/>
  <c r="E139" i="67"/>
  <c r="NA139" i="67"/>
  <c r="LH172" i="67"/>
  <c r="JO205" i="67"/>
  <c r="HV238" i="67"/>
  <c r="GC271" i="67"/>
  <c r="LH73" i="67"/>
  <c r="GC172" i="67"/>
  <c r="AX40" i="67"/>
  <c r="JO139" i="67"/>
  <c r="EJ238" i="67"/>
  <c r="CQ40" i="67"/>
  <c r="NA106" i="67"/>
  <c r="HV7" i="67"/>
  <c r="GC40" i="67"/>
  <c r="EJ73" i="67"/>
  <c r="CQ106" i="67"/>
  <c r="AX139" i="67"/>
  <c r="E172" i="67"/>
  <c r="NA172" i="67"/>
  <c r="LH205" i="67"/>
  <c r="JO238" i="67"/>
  <c r="HV271" i="67"/>
  <c r="E40" i="67"/>
  <c r="HV139" i="67"/>
  <c r="EJ205" i="67"/>
  <c r="CQ7" i="67"/>
  <c r="LH106" i="67"/>
  <c r="HV172" i="67"/>
  <c r="EJ7" i="67"/>
  <c r="LH139" i="67"/>
  <c r="JO7" i="67"/>
  <c r="HV40" i="67"/>
  <c r="GC73" i="67"/>
  <c r="EJ106" i="67"/>
  <c r="CQ139" i="67"/>
  <c r="AX172" i="67"/>
  <c r="E205" i="67"/>
  <c r="NA205" i="67"/>
  <c r="LH238" i="67"/>
  <c r="JO271" i="67"/>
  <c r="LH7" i="67"/>
  <c r="JO40" i="67"/>
  <c r="HV73" i="67"/>
  <c r="GC106" i="67"/>
  <c r="EJ139" i="67"/>
  <c r="CQ172" i="67"/>
  <c r="AX205" i="67"/>
  <c r="E238" i="67"/>
  <c r="NA238" i="67"/>
  <c r="LH271" i="67"/>
  <c r="E7" i="67"/>
  <c r="NA7" i="67"/>
  <c r="LH40" i="67"/>
  <c r="JO73" i="67"/>
  <c r="HV106" i="67"/>
  <c r="GC139" i="67"/>
  <c r="EJ172" i="67"/>
  <c r="CQ205" i="67"/>
  <c r="AX238" i="67"/>
  <c r="E271" i="67"/>
  <c r="M139" i="41" l="1"/>
  <c r="GN13" i="39"/>
  <c r="F57" i="42" l="1"/>
  <c r="F55" i="42"/>
  <c r="F53" i="42"/>
  <c r="F50" i="42"/>
  <c r="F46" i="42"/>
  <c r="F44" i="42"/>
  <c r="F42" i="42"/>
  <c r="F35" i="42"/>
  <c r="F50" i="20"/>
  <c r="F57" i="20"/>
  <c r="F55" i="20"/>
  <c r="F53" i="20"/>
  <c r="F46" i="20"/>
  <c r="F44" i="20"/>
  <c r="F42" i="20"/>
  <c r="F39" i="20"/>
  <c r="F35" i="20"/>
  <c r="F15" i="42"/>
  <c r="F15" i="27"/>
  <c r="W27" i="43"/>
  <c r="Y25" i="42"/>
  <c r="AE25" i="27"/>
  <c r="IK115" i="39" l="1"/>
  <c r="IK116" i="39"/>
  <c r="M167" i="41" l="1"/>
  <c r="M163" i="41"/>
  <c r="IK135" i="39" l="1"/>
  <c r="F15" i="20"/>
  <c r="F15" i="15"/>
  <c r="FE96" i="39" l="1"/>
  <c r="FE74" i="39"/>
  <c r="PE184" i="39"/>
  <c r="PF184" i="39" s="1"/>
  <c r="PE183" i="39"/>
  <c r="PF183" i="39" s="1"/>
  <c r="PE182" i="39"/>
  <c r="PF182" i="39" s="1"/>
  <c r="PE181" i="39"/>
  <c r="PF181" i="39" s="1"/>
  <c r="PE180" i="39"/>
  <c r="PF180" i="39" s="1"/>
  <c r="PE179" i="39"/>
  <c r="PF179" i="39" s="1"/>
  <c r="PE178" i="39"/>
  <c r="PF178" i="39" s="1"/>
  <c r="PE177" i="39"/>
  <c r="PF177" i="39" s="1"/>
  <c r="PE176" i="39"/>
  <c r="PF176" i="39" s="1"/>
  <c r="FD74" i="39"/>
  <c r="E41" i="22"/>
  <c r="S25" i="26"/>
  <c r="B11" i="39" l="1"/>
  <c r="NY184" i="39" l="1"/>
  <c r="NY183" i="39"/>
  <c r="NY182" i="39"/>
  <c r="NY181" i="39"/>
  <c r="NY180" i="39"/>
  <c r="NY179" i="39"/>
  <c r="NY178" i="39"/>
  <c r="NY177" i="39"/>
  <c r="NY176" i="39"/>
  <c r="NX184" i="39"/>
  <c r="NX183" i="39"/>
  <c r="NX182" i="39"/>
  <c r="NX181" i="39"/>
  <c r="NX180" i="39"/>
  <c r="NX179" i="39"/>
  <c r="NX178" i="39"/>
  <c r="NX177" i="39"/>
  <c r="NX176" i="39"/>
  <c r="CD79" i="28"/>
  <c r="BV79" i="28"/>
  <c r="BN79" i="28"/>
  <c r="BF79" i="28"/>
  <c r="AX79" i="28"/>
  <c r="AP79" i="28"/>
  <c r="CL79" i="28"/>
  <c r="Z79" i="28"/>
  <c r="OW176" i="39"/>
  <c r="PD176" i="39"/>
  <c r="PC176" i="39"/>
  <c r="PB176" i="39"/>
  <c r="PA176" i="39"/>
  <c r="OZ176" i="39"/>
  <c r="OY176" i="39"/>
  <c r="OX176" i="39"/>
  <c r="OV176" i="39"/>
  <c r="OR176" i="39"/>
  <c r="DZ168" i="39" s="1"/>
  <c r="OQ176" i="39"/>
  <c r="DY168" i="39" s="1"/>
  <c r="OP176" i="39"/>
  <c r="DX168" i="39" s="1"/>
  <c r="ON176" i="39"/>
  <c r="DU168" i="39" s="1"/>
  <c r="OM176" i="39"/>
  <c r="DT168" i="39" s="1"/>
  <c r="OL176" i="39"/>
  <c r="OK176" i="39"/>
  <c r="OJ176" i="39"/>
  <c r="OI176" i="39"/>
  <c r="OF176" i="39"/>
  <c r="OE176" i="39"/>
  <c r="OD176" i="39"/>
  <c r="OC176" i="39"/>
  <c r="OB176" i="39"/>
  <c r="OA176" i="39"/>
  <c r="NZ176" i="39"/>
  <c r="NW176" i="39"/>
  <c r="NV176" i="39"/>
  <c r="NU176" i="39"/>
  <c r="BV99" i="39"/>
  <c r="BU99" i="39"/>
  <c r="BT99" i="39"/>
  <c r="BO99" i="39"/>
  <c r="BM99" i="39"/>
  <c r="BL99" i="39"/>
  <c r="BK99" i="39"/>
  <c r="BJ99" i="39"/>
  <c r="BI99" i="39"/>
  <c r="BH99" i="39"/>
  <c r="BG99" i="39"/>
  <c r="BF99" i="39"/>
  <c r="BE99" i="39"/>
  <c r="BD99" i="39"/>
  <c r="BC99" i="39"/>
  <c r="FC58" i="39"/>
  <c r="FB58" i="39"/>
  <c r="EZ58" i="39"/>
  <c r="EY58" i="39"/>
  <c r="EX58" i="39"/>
  <c r="EW58" i="39"/>
  <c r="EV58" i="39"/>
  <c r="EU58" i="39"/>
  <c r="ET58" i="39"/>
  <c r="ES58" i="39"/>
  <c r="EB32" i="39"/>
  <c r="EA32" i="39"/>
  <c r="DZ32" i="39"/>
  <c r="DX32" i="39"/>
  <c r="DW32" i="39"/>
  <c r="DV32" i="39"/>
  <c r="DU32" i="39"/>
  <c r="DT32" i="39"/>
  <c r="DS32" i="39"/>
  <c r="DS168" i="39" l="1"/>
  <c r="Z42" i="20" s="1"/>
  <c r="OT176" i="39"/>
  <c r="FD58" i="39"/>
  <c r="FE58" i="39"/>
  <c r="OH176" i="39"/>
  <c r="PG176" i="39"/>
  <c r="ES203" i="39"/>
  <c r="ET203" i="39" s="1"/>
  <c r="AH79" i="28"/>
  <c r="CM20" i="26" l="1"/>
  <c r="CE20" i="26"/>
  <c r="BW20" i="26"/>
  <c r="BO20" i="26"/>
  <c r="BG20" i="26"/>
  <c r="AY20" i="26"/>
  <c r="AQ20" i="26"/>
  <c r="AI20" i="26"/>
  <c r="AA20" i="26"/>
  <c r="M171" i="36"/>
  <c r="M169" i="36"/>
  <c r="M182" i="36"/>
  <c r="E127" i="36"/>
  <c r="C11" i="39" s="1"/>
  <c r="E130" i="36"/>
  <c r="MZ291" i="67" l="1"/>
  <c r="MZ287" i="67"/>
  <c r="OI283" i="67"/>
  <c r="MZ283" i="67"/>
  <c r="MZ275" i="67"/>
  <c r="MZ258" i="67"/>
  <c r="MZ254" i="67"/>
  <c r="OI250" i="67"/>
  <c r="MZ250" i="67"/>
  <c r="MZ242" i="67"/>
  <c r="MZ225" i="67"/>
  <c r="MZ221" i="67"/>
  <c r="OI217" i="67"/>
  <c r="MZ217" i="67"/>
  <c r="MZ209" i="67"/>
  <c r="MZ192" i="67"/>
  <c r="MZ188" i="67"/>
  <c r="OI184" i="67"/>
  <c r="MZ184" i="67"/>
  <c r="MZ176" i="67"/>
  <c r="MZ159" i="67"/>
  <c r="MZ155" i="67"/>
  <c r="OI151" i="67"/>
  <c r="MZ151" i="67"/>
  <c r="MZ143" i="67"/>
  <c r="MZ126" i="67"/>
  <c r="MZ122" i="67"/>
  <c r="OI118" i="67"/>
  <c r="MZ118" i="67"/>
  <c r="MZ110" i="67"/>
  <c r="MZ93" i="67"/>
  <c r="MZ89" i="67"/>
  <c r="OI85" i="67"/>
  <c r="MZ85" i="67"/>
  <c r="MZ77" i="67"/>
  <c r="MZ60" i="67"/>
  <c r="MZ56" i="67"/>
  <c r="OI52" i="67"/>
  <c r="MZ52" i="67"/>
  <c r="MZ44" i="67"/>
  <c r="MZ27" i="67"/>
  <c r="NJ23" i="67"/>
  <c r="MZ23" i="67"/>
  <c r="MZ11" i="67"/>
  <c r="LG291" i="67"/>
  <c r="LG287" i="67"/>
  <c r="MP283" i="67"/>
  <c r="LG283" i="67"/>
  <c r="LG275" i="67"/>
  <c r="LG258" i="67"/>
  <c r="LG254" i="67"/>
  <c r="MP250" i="67"/>
  <c r="LG250" i="67"/>
  <c r="LG242" i="67"/>
  <c r="LG225" i="67"/>
  <c r="LG221" i="67"/>
  <c r="MP217" i="67"/>
  <c r="LG217" i="67"/>
  <c r="LG209" i="67"/>
  <c r="LG192" i="67"/>
  <c r="LG188" i="67"/>
  <c r="MP184" i="67"/>
  <c r="LG184" i="67"/>
  <c r="LG176" i="67"/>
  <c r="LG159" i="67"/>
  <c r="LG155" i="67"/>
  <c r="MP151" i="67"/>
  <c r="LG151" i="67"/>
  <c r="LG143" i="67"/>
  <c r="LG126" i="67"/>
  <c r="LG122" i="67"/>
  <c r="MP118" i="67"/>
  <c r="LG118" i="67"/>
  <c r="LG110" i="67"/>
  <c r="LG93" i="67"/>
  <c r="LG89" i="67"/>
  <c r="MP85" i="67"/>
  <c r="LG85" i="67"/>
  <c r="LG77" i="67"/>
  <c r="LG60" i="67"/>
  <c r="LG56" i="67"/>
  <c r="MP52" i="67"/>
  <c r="LG52" i="67"/>
  <c r="LG44" i="67"/>
  <c r="LG27" i="67"/>
  <c r="LQ23" i="67"/>
  <c r="LG23" i="67"/>
  <c r="LG11" i="67"/>
  <c r="JN291" i="67"/>
  <c r="JN287" i="67"/>
  <c r="KW283" i="67"/>
  <c r="JN283" i="67"/>
  <c r="JN275" i="67"/>
  <c r="JN258" i="67"/>
  <c r="JN254" i="67"/>
  <c r="KW250" i="67"/>
  <c r="JN250" i="67"/>
  <c r="JN242" i="67"/>
  <c r="JN225" i="67"/>
  <c r="JN221" i="67"/>
  <c r="KW217" i="67"/>
  <c r="JN217" i="67"/>
  <c r="JN209" i="67"/>
  <c r="JN192" i="67"/>
  <c r="JN188" i="67"/>
  <c r="KW184" i="67"/>
  <c r="JN184" i="67"/>
  <c r="JN176" i="67"/>
  <c r="JN159" i="67"/>
  <c r="JN155" i="67"/>
  <c r="KW151" i="67"/>
  <c r="JN151" i="67"/>
  <c r="JN143" i="67"/>
  <c r="JN126" i="67"/>
  <c r="JN122" i="67"/>
  <c r="KW118" i="67"/>
  <c r="JN118" i="67"/>
  <c r="JN110" i="67"/>
  <c r="JN93" i="67"/>
  <c r="JN89" i="67"/>
  <c r="KW85" i="67"/>
  <c r="JN85" i="67"/>
  <c r="JN77" i="67"/>
  <c r="JN60" i="67"/>
  <c r="JN56" i="67"/>
  <c r="KW52" i="67"/>
  <c r="JN52" i="67"/>
  <c r="JN44" i="67"/>
  <c r="JN27" i="67"/>
  <c r="JX23" i="67"/>
  <c r="JN23" i="67"/>
  <c r="JN11" i="67"/>
  <c r="HU291" i="67"/>
  <c r="GB291" i="67"/>
  <c r="HU287" i="67"/>
  <c r="GB287" i="67"/>
  <c r="JD283" i="67"/>
  <c r="HU283" i="67"/>
  <c r="HK283" i="67"/>
  <c r="GB283" i="67"/>
  <c r="HU275" i="67"/>
  <c r="GB275" i="67"/>
  <c r="HU258" i="67"/>
  <c r="GB258" i="67"/>
  <c r="HU254" i="67"/>
  <c r="GB254" i="67"/>
  <c r="JD250" i="67"/>
  <c r="HU250" i="67"/>
  <c r="HK250" i="67"/>
  <c r="GB250" i="67"/>
  <c r="HU242" i="67"/>
  <c r="GB242" i="67"/>
  <c r="HU225" i="67"/>
  <c r="GB225" i="67"/>
  <c r="HU221" i="67"/>
  <c r="GB221" i="67"/>
  <c r="JD217" i="67"/>
  <c r="HU217" i="67"/>
  <c r="HK217" i="67"/>
  <c r="GB217" i="67"/>
  <c r="HU209" i="67"/>
  <c r="GB209" i="67"/>
  <c r="HU192" i="67"/>
  <c r="GB192" i="67"/>
  <c r="HU188" i="67"/>
  <c r="GB188" i="67"/>
  <c r="JD184" i="67"/>
  <c r="HU184" i="67"/>
  <c r="HK184" i="67"/>
  <c r="GB184" i="67"/>
  <c r="HU176" i="67"/>
  <c r="GB176" i="67"/>
  <c r="HU159" i="67"/>
  <c r="GB159" i="67"/>
  <c r="HU155" i="67"/>
  <c r="GB155" i="67"/>
  <c r="JD151" i="67"/>
  <c r="HU151" i="67"/>
  <c r="HK151" i="67"/>
  <c r="GB151" i="67"/>
  <c r="HU143" i="67"/>
  <c r="GB143" i="67"/>
  <c r="HU126" i="67"/>
  <c r="GB126" i="67"/>
  <c r="HU122" i="67"/>
  <c r="GB122" i="67"/>
  <c r="JD118" i="67"/>
  <c r="HU118" i="67"/>
  <c r="HK118" i="67"/>
  <c r="GB118" i="67"/>
  <c r="HU110" i="67"/>
  <c r="GB110" i="67"/>
  <c r="HU93" i="67"/>
  <c r="GB93" i="67"/>
  <c r="HU89" i="67"/>
  <c r="GB89" i="67"/>
  <c r="JD85" i="67"/>
  <c r="HU85" i="67"/>
  <c r="HK85" i="67"/>
  <c r="GB85" i="67"/>
  <c r="HU77" i="67"/>
  <c r="GB77" i="67"/>
  <c r="HU60" i="67"/>
  <c r="GB60" i="67"/>
  <c r="HU56" i="67"/>
  <c r="GB56" i="67"/>
  <c r="JD52" i="67"/>
  <c r="HU52" i="67"/>
  <c r="HK52" i="67"/>
  <c r="GB52" i="67"/>
  <c r="HU44" i="67"/>
  <c r="GB44" i="67"/>
  <c r="HU27" i="67"/>
  <c r="GB27" i="67"/>
  <c r="IE23" i="67"/>
  <c r="HU23" i="67"/>
  <c r="GL23" i="67"/>
  <c r="GB23" i="67"/>
  <c r="HU11" i="67"/>
  <c r="GB11" i="67"/>
  <c r="EI291" i="67"/>
  <c r="EI287" i="67"/>
  <c r="FR283" i="67"/>
  <c r="EI283" i="67"/>
  <c r="EI275" i="67"/>
  <c r="EI258" i="67"/>
  <c r="EI254" i="67"/>
  <c r="FR250" i="67"/>
  <c r="EI250" i="67"/>
  <c r="EI242" i="67"/>
  <c r="EI225" i="67"/>
  <c r="EI221" i="67"/>
  <c r="FR217" i="67"/>
  <c r="EI217" i="67"/>
  <c r="EI209" i="67"/>
  <c r="EI192" i="67"/>
  <c r="EI188" i="67"/>
  <c r="FR184" i="67"/>
  <c r="EI184" i="67"/>
  <c r="EI176" i="67"/>
  <c r="EI159" i="67"/>
  <c r="EI155" i="67"/>
  <c r="FR151" i="67"/>
  <c r="EI151" i="67"/>
  <c r="EI143" i="67"/>
  <c r="EI126" i="67"/>
  <c r="EI122" i="67"/>
  <c r="FR118" i="67"/>
  <c r="EI118" i="67"/>
  <c r="EI110" i="67"/>
  <c r="EI93" i="67"/>
  <c r="EI89" i="67"/>
  <c r="FR85" i="67"/>
  <c r="EI85" i="67"/>
  <c r="EI77" i="67"/>
  <c r="EI60" i="67"/>
  <c r="EI56" i="67"/>
  <c r="FR52" i="67"/>
  <c r="EI52" i="67"/>
  <c r="EI44" i="67"/>
  <c r="EI27" i="67"/>
  <c r="ES23" i="67"/>
  <c r="EI23" i="67"/>
  <c r="EI11" i="67"/>
  <c r="CP291" i="67"/>
  <c r="CP287" i="67"/>
  <c r="DY283" i="67"/>
  <c r="CP283" i="67"/>
  <c r="CP275" i="67"/>
  <c r="CP258" i="67"/>
  <c r="CP254" i="67"/>
  <c r="DY250" i="67"/>
  <c r="CP250" i="67"/>
  <c r="CP242" i="67"/>
  <c r="CP225" i="67"/>
  <c r="CP221" i="67"/>
  <c r="DY217" i="67"/>
  <c r="CP217" i="67"/>
  <c r="CP209" i="67"/>
  <c r="CP192" i="67"/>
  <c r="CP188" i="67"/>
  <c r="DY184" i="67"/>
  <c r="CP184" i="67"/>
  <c r="CP176" i="67"/>
  <c r="CP159" i="67"/>
  <c r="CP155" i="67"/>
  <c r="DY151" i="67"/>
  <c r="CP151" i="67"/>
  <c r="CP143" i="67"/>
  <c r="CP126" i="67"/>
  <c r="CP122" i="67"/>
  <c r="DY118" i="67"/>
  <c r="CP118" i="67"/>
  <c r="CP110" i="67"/>
  <c r="CP93" i="67"/>
  <c r="CP89" i="67"/>
  <c r="DY85" i="67"/>
  <c r="CP85" i="67"/>
  <c r="CP77" i="67"/>
  <c r="CP60" i="67"/>
  <c r="CP56" i="67"/>
  <c r="DY52" i="67"/>
  <c r="CP52" i="67"/>
  <c r="CP44" i="67"/>
  <c r="CP27" i="67"/>
  <c r="CZ23" i="67"/>
  <c r="CP23" i="67"/>
  <c r="CP11" i="67"/>
  <c r="AW291" i="67"/>
  <c r="AW287" i="67"/>
  <c r="CF283" i="67"/>
  <c r="AW283" i="67"/>
  <c r="AW275" i="67"/>
  <c r="AW258" i="67"/>
  <c r="AW254" i="67"/>
  <c r="CF250" i="67"/>
  <c r="AW250" i="67"/>
  <c r="AW242" i="67"/>
  <c r="AW225" i="67"/>
  <c r="AW221" i="67"/>
  <c r="CF217" i="67"/>
  <c r="AW217" i="67"/>
  <c r="AW209" i="67"/>
  <c r="AW192" i="67"/>
  <c r="AW188" i="67"/>
  <c r="CF184" i="67"/>
  <c r="AW184" i="67"/>
  <c r="AW176" i="67"/>
  <c r="AW159" i="67"/>
  <c r="AW155" i="67"/>
  <c r="CF151" i="67"/>
  <c r="AW151" i="67"/>
  <c r="AW143" i="67"/>
  <c r="AW126" i="67"/>
  <c r="AW122" i="67"/>
  <c r="CF118" i="67"/>
  <c r="AW118" i="67"/>
  <c r="AW110" i="67"/>
  <c r="AW93" i="67"/>
  <c r="AW89" i="67"/>
  <c r="CF85" i="67"/>
  <c r="AW85" i="67"/>
  <c r="AW77" i="67"/>
  <c r="AW60" i="67"/>
  <c r="AW56" i="67"/>
  <c r="CF52" i="67"/>
  <c r="AW52" i="67"/>
  <c r="AW44" i="67"/>
  <c r="AW27" i="67"/>
  <c r="BG23" i="67"/>
  <c r="AW23" i="67"/>
  <c r="AW11" i="67"/>
  <c r="D291" i="67"/>
  <c r="D287" i="67"/>
  <c r="AM283" i="67"/>
  <c r="D283" i="67"/>
  <c r="D275" i="67"/>
  <c r="D258" i="67"/>
  <c r="D254" i="67"/>
  <c r="AM250" i="67"/>
  <c r="D250" i="67"/>
  <c r="D242" i="67"/>
  <c r="D225" i="67"/>
  <c r="D221" i="67"/>
  <c r="AM217" i="67"/>
  <c r="D217" i="67"/>
  <c r="D209" i="67"/>
  <c r="D192" i="67"/>
  <c r="D188" i="67"/>
  <c r="AM184" i="67"/>
  <c r="D184" i="67"/>
  <c r="D176" i="67"/>
  <c r="D159" i="67"/>
  <c r="D155" i="67"/>
  <c r="AM151" i="67"/>
  <c r="D151" i="67"/>
  <c r="D143" i="67"/>
  <c r="D126" i="67" l="1"/>
  <c r="D122" i="67"/>
  <c r="AM118" i="67"/>
  <c r="D118" i="67"/>
  <c r="D110" i="67"/>
  <c r="D93" i="67"/>
  <c r="D89" i="67"/>
  <c r="AM85" i="67"/>
  <c r="D85" i="67"/>
  <c r="D77" i="67"/>
  <c r="D44" i="67"/>
  <c r="D11" i="67"/>
  <c r="CC30" i="22" l="1"/>
  <c r="CC36" i="22"/>
  <c r="BM36" i="22"/>
  <c r="BM30" i="22"/>
  <c r="AW36" i="22"/>
  <c r="AG36" i="22"/>
  <c r="AW30" i="22"/>
  <c r="AG30" i="22"/>
  <c r="D17" i="67"/>
  <c r="II100" i="39"/>
  <c r="IK150" i="39" s="1"/>
  <c r="AM139" i="67" s="1"/>
  <c r="IK189" i="39"/>
  <c r="IK188" i="39"/>
  <c r="IQ188" i="39" s="1"/>
  <c r="JN281" i="67" s="1"/>
  <c r="II188" i="39"/>
  <c r="II186" i="39"/>
  <c r="II185" i="39"/>
  <c r="IK180" i="39"/>
  <c r="IM180" i="39" s="1"/>
  <c r="CQ252" i="67" s="1"/>
  <c r="IK179" i="39"/>
  <c r="IQ179" i="39" s="1"/>
  <c r="JN248" i="67" s="1"/>
  <c r="II179" i="39"/>
  <c r="II177" i="39"/>
  <c r="II176" i="39"/>
  <c r="IK171" i="39"/>
  <c r="E219" i="67" s="1"/>
  <c r="IK170" i="39"/>
  <c r="IR170" i="39" s="1"/>
  <c r="LG215" i="67" s="1"/>
  <c r="II170" i="39"/>
  <c r="II168" i="39"/>
  <c r="II167" i="39"/>
  <c r="IK162" i="39"/>
  <c r="IK161" i="39"/>
  <c r="IQ161" i="39" s="1"/>
  <c r="JN182" i="67" s="1"/>
  <c r="II161" i="39"/>
  <c r="II159" i="39"/>
  <c r="II158" i="39"/>
  <c r="IK153" i="39"/>
  <c r="IK152" i="39"/>
  <c r="IO152" i="39" s="1"/>
  <c r="GB149" i="67" s="1"/>
  <c r="II152" i="39"/>
  <c r="II150" i="39"/>
  <c r="II149" i="39"/>
  <c r="IK144" i="39"/>
  <c r="IM144" i="39" s="1"/>
  <c r="CQ120" i="67" s="1"/>
  <c r="IK143" i="39"/>
  <c r="IQ143" i="39" s="1"/>
  <c r="JN116" i="67" s="1"/>
  <c r="II143" i="39"/>
  <c r="II141" i="39"/>
  <c r="II140" i="39"/>
  <c r="IK134" i="39"/>
  <c r="IP134" i="39" s="1"/>
  <c r="HU83" i="67" s="1"/>
  <c r="II134" i="39"/>
  <c r="II132" i="39"/>
  <c r="II131" i="39"/>
  <c r="IK126" i="39"/>
  <c r="IO126" i="39" s="1"/>
  <c r="GC54" i="67" s="1"/>
  <c r="IK125" i="39"/>
  <c r="IO125" i="39" s="1"/>
  <c r="GB50" i="67" s="1"/>
  <c r="IO116" i="39"/>
  <c r="II125" i="39"/>
  <c r="II123" i="39"/>
  <c r="II122" i="39"/>
  <c r="IL108" i="39"/>
  <c r="IM108" i="39"/>
  <c r="IN108" i="39"/>
  <c r="IO108" i="39"/>
  <c r="IP108" i="39"/>
  <c r="IQ108" i="39"/>
  <c r="IR108" i="39"/>
  <c r="IS108" i="39"/>
  <c r="IK108" i="39"/>
  <c r="N23" i="67"/>
  <c r="D60" i="67"/>
  <c r="AM52" i="67"/>
  <c r="D56" i="67"/>
  <c r="D52" i="67"/>
  <c r="D27" i="67"/>
  <c r="D23" i="67"/>
  <c r="P60" i="22"/>
  <c r="P96" i="22" s="1"/>
  <c r="P48" i="22"/>
  <c r="P63" i="22"/>
  <c r="P75" i="22"/>
  <c r="P87" i="22"/>
  <c r="P99" i="22"/>
  <c r="P111" i="22"/>
  <c r="P123" i="22"/>
  <c r="P135" i="22"/>
  <c r="P138" i="22"/>
  <c r="P126" i="22"/>
  <c r="P114" i="22"/>
  <c r="P102" i="22"/>
  <c r="P90" i="22"/>
  <c r="P78" i="22"/>
  <c r="P66" i="22"/>
  <c r="P51" i="22"/>
  <c r="F60" i="22"/>
  <c r="F72" i="22"/>
  <c r="F96" i="22"/>
  <c r="F108" i="22"/>
  <c r="F120" i="22"/>
  <c r="F132" i="22"/>
  <c r="F15" i="43"/>
  <c r="M33" i="41"/>
  <c r="M121" i="36"/>
  <c r="M57" i="41"/>
  <c r="M49" i="41"/>
  <c r="F52" i="28"/>
  <c r="F54" i="28"/>
  <c r="IM116" i="39" l="1"/>
  <c r="IL115" i="39"/>
  <c r="AW17" i="67" s="1"/>
  <c r="IN126" i="39"/>
  <c r="EJ54" i="67" s="1"/>
  <c r="IQ116" i="39"/>
  <c r="IN116" i="39"/>
  <c r="E54" i="67"/>
  <c r="IM161" i="39"/>
  <c r="CP182" i="67" s="1"/>
  <c r="IL170" i="39"/>
  <c r="AW215" i="67" s="1"/>
  <c r="IL126" i="39"/>
  <c r="AX54" i="67" s="1"/>
  <c r="IO180" i="39"/>
  <c r="GC252" i="67" s="1"/>
  <c r="IM115" i="39"/>
  <c r="CP17" i="67" s="1"/>
  <c r="IN152" i="39"/>
  <c r="EI149" i="67" s="1"/>
  <c r="IN161" i="39"/>
  <c r="EI182" i="67" s="1"/>
  <c r="IN170" i="39"/>
  <c r="EI215" i="67" s="1"/>
  <c r="IL179" i="39"/>
  <c r="AW248" i="67" s="1"/>
  <c r="IO115" i="39"/>
  <c r="GB17" i="67" s="1"/>
  <c r="IL116" i="39"/>
  <c r="IP152" i="39"/>
  <c r="HU149" i="67" s="1"/>
  <c r="IP170" i="39"/>
  <c r="HU215" i="67" s="1"/>
  <c r="IP115" i="39"/>
  <c r="HU17" i="67" s="1"/>
  <c r="IN115" i="39"/>
  <c r="EI17" i="67" s="1"/>
  <c r="IS116" i="39"/>
  <c r="IN180" i="39"/>
  <c r="EJ252" i="67" s="1"/>
  <c r="IQ115" i="39"/>
  <c r="JN17" i="67" s="1"/>
  <c r="IR115" i="39"/>
  <c r="LG17" i="67" s="1"/>
  <c r="IM125" i="39"/>
  <c r="CP50" i="67" s="1"/>
  <c r="IM126" i="39"/>
  <c r="CQ54" i="67" s="1"/>
  <c r="IR144" i="39"/>
  <c r="LH120" i="67" s="1"/>
  <c r="E120" i="67"/>
  <c r="IL188" i="39"/>
  <c r="AW281" i="67" s="1"/>
  <c r="IN125" i="39"/>
  <c r="EI50" i="67" s="1"/>
  <c r="IN188" i="39"/>
  <c r="EI281" i="67" s="1"/>
  <c r="IS125" i="39"/>
  <c r="MZ50" i="67" s="1"/>
  <c r="IO143" i="39"/>
  <c r="GB116" i="67" s="1"/>
  <c r="D116" i="67"/>
  <c r="IN153" i="39"/>
  <c r="EJ153" i="67" s="1"/>
  <c r="E153" i="67"/>
  <c r="IP162" i="39"/>
  <c r="HV186" i="67" s="1"/>
  <c r="E186" i="67"/>
  <c r="IS126" i="39"/>
  <c r="NA54" i="67" s="1"/>
  <c r="IR116" i="39"/>
  <c r="IR125" i="39"/>
  <c r="LG50" i="67" s="1"/>
  <c r="IR126" i="39"/>
  <c r="LH54" i="67" s="1"/>
  <c r="IP143" i="39"/>
  <c r="HU116" i="67" s="1"/>
  <c r="IN171" i="39"/>
  <c r="EJ219" i="67" s="1"/>
  <c r="IO179" i="39"/>
  <c r="GB248" i="67" s="1"/>
  <c r="D248" i="67"/>
  <c r="IP180" i="39"/>
  <c r="HV252" i="67" s="1"/>
  <c r="E252" i="67"/>
  <c r="IP189" i="39"/>
  <c r="HV285" i="67" s="1"/>
  <c r="E285" i="67"/>
  <c r="IL125" i="39"/>
  <c r="AW50" i="67" s="1"/>
  <c r="IO188" i="39"/>
  <c r="GB281" i="67" s="1"/>
  <c r="D281" i="67"/>
  <c r="IQ125" i="39"/>
  <c r="JN50" i="67" s="1"/>
  <c r="IQ126" i="39"/>
  <c r="JO54" i="67" s="1"/>
  <c r="IS152" i="39"/>
  <c r="MZ149" i="67" s="1"/>
  <c r="D149" i="67"/>
  <c r="IM171" i="39"/>
  <c r="CQ219" i="67" s="1"/>
  <c r="IP116" i="39"/>
  <c r="IP125" i="39"/>
  <c r="HU50" i="67" s="1"/>
  <c r="IP126" i="39"/>
  <c r="HV54" i="67" s="1"/>
  <c r="IN144" i="39"/>
  <c r="EJ120" i="67" s="1"/>
  <c r="IL152" i="39"/>
  <c r="AW149" i="67" s="1"/>
  <c r="IO171" i="39"/>
  <c r="GC219" i="67" s="1"/>
  <c r="IN179" i="39"/>
  <c r="EI248" i="67" s="1"/>
  <c r="D50" i="67"/>
  <c r="IO134" i="39"/>
  <c r="GB83" i="67" s="1"/>
  <c r="D83" i="67"/>
  <c r="IN135" i="39"/>
  <c r="EJ87" i="67" s="1"/>
  <c r="E87" i="67"/>
  <c r="IL144" i="39"/>
  <c r="AX120" i="67" s="1"/>
  <c r="IM152" i="39"/>
  <c r="CP149" i="67" s="1"/>
  <c r="IO161" i="39"/>
  <c r="GB182" i="67" s="1"/>
  <c r="D182" i="67"/>
  <c r="IO170" i="39"/>
  <c r="GB215" i="67" s="1"/>
  <c r="D215" i="67"/>
  <c r="IQ171" i="39"/>
  <c r="JO219" i="67" s="1"/>
  <c r="IP179" i="39"/>
  <c r="HU248" i="67" s="1"/>
  <c r="IS115" i="39"/>
  <c r="MZ17" i="67" s="1"/>
  <c r="NA42" i="67"/>
  <c r="LH108" i="67"/>
  <c r="JO141" i="67"/>
  <c r="HV273" i="67"/>
  <c r="HV141" i="67"/>
  <c r="HV9" i="67"/>
  <c r="EJ240" i="67"/>
  <c r="CQ273" i="67"/>
  <c r="CQ9" i="67"/>
  <c r="AX240" i="67"/>
  <c r="EJ174" i="67"/>
  <c r="NA75" i="67"/>
  <c r="LH141" i="67"/>
  <c r="JO174" i="67"/>
  <c r="GC273" i="67"/>
  <c r="GC141" i="67"/>
  <c r="GC9" i="67"/>
  <c r="EJ273" i="67"/>
  <c r="EJ9" i="67"/>
  <c r="CQ42" i="67"/>
  <c r="AX273" i="67"/>
  <c r="AX9" i="67"/>
  <c r="E174" i="67"/>
  <c r="LH42" i="67"/>
  <c r="NA108" i="67"/>
  <c r="LH174" i="67"/>
  <c r="JO207" i="67"/>
  <c r="HV174" i="67"/>
  <c r="HV42" i="67"/>
  <c r="EJ42" i="67"/>
  <c r="CQ75" i="67"/>
  <c r="AX42" i="67"/>
  <c r="JO75" i="67"/>
  <c r="CQ207" i="67"/>
  <c r="NA141" i="67"/>
  <c r="LH207" i="67"/>
  <c r="JO240" i="67"/>
  <c r="GC174" i="67"/>
  <c r="GC42" i="67"/>
  <c r="EJ75" i="67"/>
  <c r="CQ108" i="67"/>
  <c r="AX75" i="67"/>
  <c r="E273" i="67"/>
  <c r="E141" i="67"/>
  <c r="NA174" i="67"/>
  <c r="LH240" i="67"/>
  <c r="JO273" i="67"/>
  <c r="JO9" i="67"/>
  <c r="HV207" i="67"/>
  <c r="HV75" i="67"/>
  <c r="EJ108" i="67"/>
  <c r="CQ141" i="67"/>
  <c r="AX108" i="67"/>
  <c r="NA240" i="67"/>
  <c r="HV108" i="67"/>
  <c r="NA207" i="67"/>
  <c r="LH273" i="67"/>
  <c r="LH9" i="67"/>
  <c r="JO42" i="67"/>
  <c r="GC207" i="67"/>
  <c r="GC75" i="67"/>
  <c r="EJ141" i="67"/>
  <c r="CQ174" i="67"/>
  <c r="AX141" i="67"/>
  <c r="E240" i="67"/>
  <c r="HV240" i="67"/>
  <c r="AX174" i="67"/>
  <c r="NA273" i="67"/>
  <c r="NA9" i="67"/>
  <c r="LH75" i="67"/>
  <c r="JO108" i="67"/>
  <c r="GC240" i="67"/>
  <c r="GC108" i="67"/>
  <c r="EJ207" i="67"/>
  <c r="CQ240" i="67"/>
  <c r="AX207" i="67"/>
  <c r="E207" i="67"/>
  <c r="E9" i="67"/>
  <c r="E42" i="67"/>
  <c r="E108" i="67"/>
  <c r="E75" i="67"/>
  <c r="IL150" i="39"/>
  <c r="CF139" i="67" s="1"/>
  <c r="IP150" i="39"/>
  <c r="JD139" i="67" s="1"/>
  <c r="IO150" i="39"/>
  <c r="HK139" i="67" s="1"/>
  <c r="IN150" i="39"/>
  <c r="FR139" i="67" s="1"/>
  <c r="IK141" i="39"/>
  <c r="IK168" i="39"/>
  <c r="AM205" i="67" s="1"/>
  <c r="IK113" i="39"/>
  <c r="AM7" i="67" s="1"/>
  <c r="IK123" i="39"/>
  <c r="AM40" i="67" s="1"/>
  <c r="IK132" i="39"/>
  <c r="AM73" i="67" s="1"/>
  <c r="IK159" i="39"/>
  <c r="AM172" i="67" s="1"/>
  <c r="IK177" i="39"/>
  <c r="AM238" i="67" s="1"/>
  <c r="IK186" i="39"/>
  <c r="AM271" i="67" s="1"/>
  <c r="IM189" i="39"/>
  <c r="CQ285" i="67" s="1"/>
  <c r="IN189" i="39"/>
  <c r="EJ285" i="67" s="1"/>
  <c r="IP188" i="39"/>
  <c r="HU281" i="67" s="1"/>
  <c r="IO189" i="39"/>
  <c r="GC285" i="67" s="1"/>
  <c r="IR188" i="39"/>
  <c r="LG281" i="67" s="1"/>
  <c r="IQ189" i="39"/>
  <c r="JO285" i="67" s="1"/>
  <c r="IS188" i="39"/>
  <c r="MZ281" i="67" s="1"/>
  <c r="IR189" i="39"/>
  <c r="LH285" i="67" s="1"/>
  <c r="IS189" i="39"/>
  <c r="NA285" i="67" s="1"/>
  <c r="IM188" i="39"/>
  <c r="CP281" i="67" s="1"/>
  <c r="IL189" i="39"/>
  <c r="AX285" i="67" s="1"/>
  <c r="IR179" i="39"/>
  <c r="LG248" i="67" s="1"/>
  <c r="IQ180" i="39"/>
  <c r="JO252" i="67" s="1"/>
  <c r="IS179" i="39"/>
  <c r="MZ248" i="67" s="1"/>
  <c r="IR180" i="39"/>
  <c r="LH252" i="67" s="1"/>
  <c r="IS180" i="39"/>
  <c r="NA252" i="67" s="1"/>
  <c r="IM179" i="39"/>
  <c r="CP248" i="67" s="1"/>
  <c r="IL180" i="39"/>
  <c r="AX252" i="67" s="1"/>
  <c r="IS177" i="39"/>
  <c r="OI238" i="67" s="1"/>
  <c r="IQ170" i="39"/>
  <c r="JN215" i="67" s="1"/>
  <c r="IP171" i="39"/>
  <c r="HV219" i="67" s="1"/>
  <c r="IS170" i="39"/>
  <c r="MZ215" i="67" s="1"/>
  <c r="IR171" i="39"/>
  <c r="LH219" i="67" s="1"/>
  <c r="IS171" i="39"/>
  <c r="NA219" i="67" s="1"/>
  <c r="IM170" i="39"/>
  <c r="CP215" i="67" s="1"/>
  <c r="IL171" i="39"/>
  <c r="AX219" i="67" s="1"/>
  <c r="IN162" i="39"/>
  <c r="EJ186" i="67" s="1"/>
  <c r="IL162" i="39"/>
  <c r="AX186" i="67" s="1"/>
  <c r="IM162" i="39"/>
  <c r="CQ186" i="67" s="1"/>
  <c r="IP161" i="39"/>
  <c r="HU182" i="67" s="1"/>
  <c r="IO162" i="39"/>
  <c r="GC186" i="67" s="1"/>
  <c r="IR161" i="39"/>
  <c r="LG182" i="67" s="1"/>
  <c r="IQ162" i="39"/>
  <c r="JO186" i="67" s="1"/>
  <c r="IS161" i="39"/>
  <c r="MZ182" i="67" s="1"/>
  <c r="IR162" i="39"/>
  <c r="LH186" i="67" s="1"/>
  <c r="IL161" i="39"/>
  <c r="AW182" i="67" s="1"/>
  <c r="IS162" i="39"/>
  <c r="NA186" i="67" s="1"/>
  <c r="IQ150" i="39"/>
  <c r="KW139" i="67" s="1"/>
  <c r="IR150" i="39"/>
  <c r="MP139" i="67" s="1"/>
  <c r="IM150" i="39"/>
  <c r="DY139" i="67" s="1"/>
  <c r="IO153" i="39"/>
  <c r="GC153" i="67" s="1"/>
  <c r="IS150" i="39"/>
  <c r="OI139" i="67" s="1"/>
  <c r="IQ152" i="39"/>
  <c r="JN149" i="67" s="1"/>
  <c r="IP153" i="39"/>
  <c r="HV153" i="67" s="1"/>
  <c r="IR152" i="39"/>
  <c r="LG149" i="67" s="1"/>
  <c r="IQ153" i="39"/>
  <c r="JO153" i="67" s="1"/>
  <c r="IR153" i="39"/>
  <c r="LH153" i="67" s="1"/>
  <c r="IS153" i="39"/>
  <c r="NA153" i="67" s="1"/>
  <c r="IL153" i="39"/>
  <c r="AX153" i="67" s="1"/>
  <c r="IM153" i="39"/>
  <c r="CQ153" i="67" s="1"/>
  <c r="IO144" i="39"/>
  <c r="GC120" i="67" s="1"/>
  <c r="IP144" i="39"/>
  <c r="HV120" i="67" s="1"/>
  <c r="IR143" i="39"/>
  <c r="LG116" i="67" s="1"/>
  <c r="IQ144" i="39"/>
  <c r="JO120" i="67" s="1"/>
  <c r="IS143" i="39"/>
  <c r="MZ116" i="67" s="1"/>
  <c r="IL143" i="39"/>
  <c r="AW116" i="67" s="1"/>
  <c r="IS144" i="39"/>
  <c r="NA120" i="67" s="1"/>
  <c r="IM143" i="39"/>
  <c r="CP116" i="67" s="1"/>
  <c r="IN143" i="39"/>
  <c r="EI116" i="67" s="1"/>
  <c r="IL135" i="39"/>
  <c r="AX87" i="67" s="1"/>
  <c r="IM135" i="39"/>
  <c r="CQ87" i="67" s="1"/>
  <c r="IO135" i="39"/>
  <c r="GC87" i="67" s="1"/>
  <c r="IR135" i="39"/>
  <c r="LH87" i="67" s="1"/>
  <c r="IQ134" i="39"/>
  <c r="JN83" i="67" s="1"/>
  <c r="IP135" i="39"/>
  <c r="HV87" i="67" s="1"/>
  <c r="IR134" i="39"/>
  <c r="LG83" i="67" s="1"/>
  <c r="IQ135" i="39"/>
  <c r="JO87" i="67" s="1"/>
  <c r="IS134" i="39"/>
  <c r="MZ83" i="67" s="1"/>
  <c r="IL134" i="39"/>
  <c r="AW83" i="67" s="1"/>
  <c r="IS135" i="39"/>
  <c r="NA87" i="67" s="1"/>
  <c r="IM134" i="39"/>
  <c r="CP83" i="67" s="1"/>
  <c r="IN134" i="39"/>
  <c r="EI83" i="67" s="1"/>
  <c r="P84" i="22"/>
  <c r="P108" i="22"/>
  <c r="P120" i="22"/>
  <c r="P132" i="22"/>
  <c r="P72" i="22"/>
  <c r="E16" i="22"/>
  <c r="IO159" i="39" l="1"/>
  <c r="HK172" i="67" s="1"/>
  <c r="IO177" i="39"/>
  <c r="HK238" i="67" s="1"/>
  <c r="IS123" i="39"/>
  <c r="OI40" i="67" s="1"/>
  <c r="IQ113" i="39"/>
  <c r="KW7" i="67" s="1"/>
  <c r="IS141" i="39"/>
  <c r="OI106" i="67" s="1"/>
  <c r="AM106" i="67"/>
  <c r="IP177" i="39"/>
  <c r="JD238" i="67" s="1"/>
  <c r="IM177" i="39"/>
  <c r="DY238" i="67" s="1"/>
  <c r="IP168" i="39"/>
  <c r="JD205" i="67" s="1"/>
  <c r="IQ186" i="39"/>
  <c r="KW271" i="67" s="1"/>
  <c r="IQ177" i="39"/>
  <c r="KW238" i="67" s="1"/>
  <c r="IQ159" i="39"/>
  <c r="KW172" i="67" s="1"/>
  <c r="IN141" i="39"/>
  <c r="FR106" i="67" s="1"/>
  <c r="IL159" i="39"/>
  <c r="CF172" i="67" s="1"/>
  <c r="IM141" i="39"/>
  <c r="DY106" i="67" s="1"/>
  <c r="IN159" i="39"/>
  <c r="FR172" i="67" s="1"/>
  <c r="IR141" i="39"/>
  <c r="MP106" i="67" s="1"/>
  <c r="IP159" i="39"/>
  <c r="JD172" i="67" s="1"/>
  <c r="IN132" i="39"/>
  <c r="FR73" i="67" s="1"/>
  <c r="IP141" i="39"/>
  <c r="JD106" i="67" s="1"/>
  <c r="IR159" i="39"/>
  <c r="MP172" i="67" s="1"/>
  <c r="IQ141" i="39"/>
  <c r="KW106" i="67" s="1"/>
  <c r="IO141" i="39"/>
  <c r="HK106" i="67" s="1"/>
  <c r="IM159" i="39"/>
  <c r="DY172" i="67" s="1"/>
  <c r="IL141" i="39"/>
  <c r="CF106" i="67" s="1"/>
  <c r="IN113" i="39"/>
  <c r="FR7" i="67" s="1"/>
  <c r="IP113" i="39"/>
  <c r="JD7" i="67" s="1"/>
  <c r="IL123" i="39"/>
  <c r="CF40" i="67" s="1"/>
  <c r="IS168" i="39"/>
  <c r="OI205" i="67" s="1"/>
  <c r="IM113" i="39"/>
  <c r="DY7" i="67" s="1"/>
  <c r="IL113" i="39"/>
  <c r="CF7" i="67" s="1"/>
  <c r="IR113" i="39"/>
  <c r="MP7" i="67" s="1"/>
  <c r="IL177" i="39"/>
  <c r="CF238" i="67" s="1"/>
  <c r="IO113" i="39"/>
  <c r="HK7" i="67" s="1"/>
  <c r="IR177" i="39"/>
  <c r="MP238" i="67" s="1"/>
  <c r="IR186" i="39"/>
  <c r="MP271" i="67" s="1"/>
  <c r="IO132" i="39"/>
  <c r="HK73" i="67" s="1"/>
  <c r="IS132" i="39"/>
  <c r="OI73" i="67" s="1"/>
  <c r="IL186" i="39"/>
  <c r="CF271" i="67" s="1"/>
  <c r="IQ168" i="39"/>
  <c r="KW205" i="67" s="1"/>
  <c r="IN168" i="39"/>
  <c r="FR205" i="67" s="1"/>
  <c r="IM168" i="39"/>
  <c r="DY205" i="67" s="1"/>
  <c r="IO123" i="39"/>
  <c r="HK40" i="67" s="1"/>
  <c r="IO186" i="39"/>
  <c r="HK271" i="67" s="1"/>
  <c r="IS113" i="39"/>
  <c r="OI7" i="67" s="1"/>
  <c r="IN186" i="39"/>
  <c r="FR271" i="67" s="1"/>
  <c r="IQ132" i="39"/>
  <c r="KW73" i="67" s="1"/>
  <c r="IR132" i="39"/>
  <c r="MP73" i="67" s="1"/>
  <c r="IR123" i="39"/>
  <c r="MP40" i="67" s="1"/>
  <c r="IP123" i="39"/>
  <c r="JD40" i="67" s="1"/>
  <c r="IQ123" i="39"/>
  <c r="KW40" i="67" s="1"/>
  <c r="IN123" i="39"/>
  <c r="FR40" i="67" s="1"/>
  <c r="IM132" i="39"/>
  <c r="DY73" i="67" s="1"/>
  <c r="IL168" i="39"/>
  <c r="CF205" i="67" s="1"/>
  <c r="IS186" i="39"/>
  <c r="OI271" i="67" s="1"/>
  <c r="IL132" i="39"/>
  <c r="CF73" i="67" s="1"/>
  <c r="IP132" i="39"/>
  <c r="JD73" i="67" s="1"/>
  <c r="IM123" i="39"/>
  <c r="DY40" i="67" s="1"/>
  <c r="IS159" i="39"/>
  <c r="OI172" i="67" s="1"/>
  <c r="IO168" i="39"/>
  <c r="HK205" i="67" s="1"/>
  <c r="IR168" i="39"/>
  <c r="MP205" i="67" s="1"/>
  <c r="IN177" i="39"/>
  <c r="FR238" i="67" s="1"/>
  <c r="IP186" i="39"/>
  <c r="JD271" i="67" s="1"/>
  <c r="IM186" i="39"/>
  <c r="DY271" i="67" s="1"/>
  <c r="CM30" i="22"/>
  <c r="CE30" i="22"/>
  <c r="BW30" i="22"/>
  <c r="BO30" i="22"/>
  <c r="BG30" i="22"/>
  <c r="AY30" i="22"/>
  <c r="AQ30" i="22"/>
  <c r="KZ58" i="39"/>
  <c r="IL26" i="39"/>
  <c r="IM26" i="39" s="1"/>
  <c r="IL24" i="39"/>
  <c r="IL22" i="39"/>
  <c r="IL20" i="39"/>
  <c r="IL18" i="39"/>
  <c r="IJ26" i="39"/>
  <c r="IJ24" i="39"/>
  <c r="IJ25" i="39" s="1"/>
  <c r="IJ22" i="39"/>
  <c r="IJ23" i="39" s="1"/>
  <c r="IJ20" i="39"/>
  <c r="IJ21" i="39" s="1"/>
  <c r="IJ18" i="39"/>
  <c r="IJ19" i="39" s="1"/>
  <c r="CM36" i="22"/>
  <c r="CE36" i="22"/>
  <c r="BW36" i="22"/>
  <c r="BO36" i="22"/>
  <c r="BG36" i="22"/>
  <c r="AY36" i="22"/>
  <c r="AQ36" i="22"/>
  <c r="AA36" i="22"/>
  <c r="AI36" i="22" s="1"/>
  <c r="AA30" i="22"/>
  <c r="AI30" i="22" s="1"/>
  <c r="IK26" i="39"/>
  <c r="IK24" i="39"/>
  <c r="IK25" i="39" s="1"/>
  <c r="IK22" i="39"/>
  <c r="IK23" i="39" s="1"/>
  <c r="IK20" i="39"/>
  <c r="IK21" i="39" s="1"/>
  <c r="IK18" i="39"/>
  <c r="IK19" i="39" s="1"/>
  <c r="BE24" i="22"/>
  <c r="BM24" i="22"/>
  <c r="CK24" i="22"/>
  <c r="CC24" i="22"/>
  <c r="BU24" i="22"/>
  <c r="AW24" i="22"/>
  <c r="AO24" i="22"/>
  <c r="AG24" i="22"/>
  <c r="Y24" i="22"/>
  <c r="LL112" i="39"/>
  <c r="LK112" i="39"/>
  <c r="LL110" i="39"/>
  <c r="LL111" i="39" s="1"/>
  <c r="LK110" i="39"/>
  <c r="LK111" i="39" s="1"/>
  <c r="LL108" i="39"/>
  <c r="LL109" i="39" s="1"/>
  <c r="LK108" i="39"/>
  <c r="LK109" i="39" s="1"/>
  <c r="LL106" i="39"/>
  <c r="LL107" i="39" s="1"/>
  <c r="LK106" i="39"/>
  <c r="LK107" i="39" s="1"/>
  <c r="LL104" i="39"/>
  <c r="LL105" i="39" s="1"/>
  <c r="LK104" i="39"/>
  <c r="LK105" i="39" s="1"/>
  <c r="IL21" i="39" l="1"/>
  <c r="IM20" i="39"/>
  <c r="IM21" i="39" s="1"/>
  <c r="IL19" i="39"/>
  <c r="IM18" i="39"/>
  <c r="IM19" i="39" s="1"/>
  <c r="IL25" i="39"/>
  <c r="IM24" i="39"/>
  <c r="IM25" i="39" s="1"/>
  <c r="IL23" i="39"/>
  <c r="IM22" i="39"/>
  <c r="IM23" i="39" s="1"/>
  <c r="IJ65" i="39"/>
  <c r="IJ85" i="39"/>
  <c r="IJ59" i="39"/>
  <c r="IJ79" i="39"/>
  <c r="IJ61" i="39"/>
  <c r="IJ81" i="39"/>
  <c r="IJ63" i="39"/>
  <c r="IJ83" i="39"/>
  <c r="IJ64" i="39"/>
  <c r="IJ84" i="39"/>
  <c r="IJ62" i="39"/>
  <c r="IJ82" i="39"/>
  <c r="IJ60" i="39"/>
  <c r="IJ80" i="39"/>
  <c r="IJ58" i="39"/>
  <c r="IJ78" i="39"/>
  <c r="IJ57" i="39"/>
  <c r="IJ77" i="39"/>
  <c r="U41" i="5"/>
  <c r="U39" i="5"/>
  <c r="M85" i="36" l="1"/>
  <c r="M89" i="36"/>
  <c r="AI62" i="50"/>
  <c r="ASD77" i="50"/>
  <c r="ASM77" i="50"/>
  <c r="ARV77" i="50"/>
  <c r="AQY77" i="50"/>
  <c r="AQQ77" i="50"/>
  <c r="AQH77" i="50"/>
  <c r="APY77" i="50"/>
  <c r="APQ77" i="50"/>
  <c r="API77" i="50"/>
  <c r="APA77" i="50"/>
  <c r="AOR77" i="50"/>
  <c r="AMI77" i="50"/>
  <c r="ALZ77" i="50"/>
  <c r="ALQ77" i="50"/>
  <c r="ALG77" i="50"/>
  <c r="AKO77" i="50"/>
  <c r="AKX77" i="50"/>
  <c r="AKG77" i="50"/>
  <c r="AJU77" i="50"/>
  <c r="AJM77" i="50"/>
  <c r="AJE77" i="50"/>
  <c r="AIW77" i="50"/>
  <c r="AIM77" i="50"/>
  <c r="AIC77" i="50"/>
  <c r="AHS77" i="50"/>
  <c r="AHH77" i="50"/>
  <c r="AGY77" i="50"/>
  <c r="AGQ77" i="50"/>
  <c r="AGD77" i="50"/>
  <c r="AFT77" i="50"/>
  <c r="AFL77" i="50"/>
  <c r="AFD77" i="50"/>
  <c r="AEV77" i="50"/>
  <c r="ADT77" i="50"/>
  <c r="ADJ77" i="50"/>
  <c r="ACZ77" i="50"/>
  <c r="ACQ77" i="50"/>
  <c r="ACH77" i="50"/>
  <c r="ABX77" i="50"/>
  <c r="ABN77" i="50"/>
  <c r="ABD77" i="50"/>
  <c r="ASM76" i="50"/>
  <c r="ASD76" i="50"/>
  <c r="ARV76" i="50"/>
  <c r="ARH76" i="50"/>
  <c r="AQY76" i="50"/>
  <c r="AQQ76" i="50"/>
  <c r="APY76" i="50"/>
  <c r="APQ76" i="50"/>
  <c r="API76" i="50"/>
  <c r="APA76" i="50"/>
  <c r="AOR76" i="50"/>
  <c r="ALZ76" i="50"/>
  <c r="ALQ76" i="50"/>
  <c r="ALG76" i="50"/>
  <c r="AKO76" i="50"/>
  <c r="AKX76" i="50"/>
  <c r="AKG76" i="50"/>
  <c r="AJU76" i="50"/>
  <c r="AJM76" i="50"/>
  <c r="AJE76" i="50"/>
  <c r="AIW76" i="50"/>
  <c r="AIM76" i="50"/>
  <c r="AIC76" i="50"/>
  <c r="AHS76" i="50"/>
  <c r="AHH76" i="50"/>
  <c r="AGY76" i="50"/>
  <c r="AGQ76" i="50"/>
  <c r="AFT76" i="50"/>
  <c r="AFL76" i="50"/>
  <c r="AFD76" i="50"/>
  <c r="AEV76" i="50"/>
  <c r="AEB76" i="50"/>
  <c r="ADT76" i="50"/>
  <c r="ADJ76" i="50"/>
  <c r="ACQ76" i="50"/>
  <c r="ACH76" i="50"/>
  <c r="ABX76" i="50"/>
  <c r="ABN76" i="50"/>
  <c r="ABD76" i="50"/>
  <c r="ASD75" i="50"/>
  <c r="ASM75" i="50"/>
  <c r="ARV75" i="50"/>
  <c r="AQY75" i="50"/>
  <c r="AQQ75" i="50"/>
  <c r="APY75" i="50"/>
  <c r="AQH75" i="50"/>
  <c r="APQ75" i="50"/>
  <c r="API75" i="50"/>
  <c r="APA75" i="50"/>
  <c r="AOR75" i="50"/>
  <c r="AMI75" i="50"/>
  <c r="ALZ75" i="50"/>
  <c r="ALQ75" i="50"/>
  <c r="ALG75" i="50"/>
  <c r="AKO75" i="50"/>
  <c r="AKX75" i="50"/>
  <c r="AKG75" i="50"/>
  <c r="AJU75" i="50"/>
  <c r="AJM75" i="50"/>
  <c r="AJE75" i="50"/>
  <c r="AIW75" i="50"/>
  <c r="AIM75" i="50"/>
  <c r="AIC75" i="50"/>
  <c r="AHS75" i="50"/>
  <c r="AHH75" i="50"/>
  <c r="AGY75" i="50"/>
  <c r="AGQ75" i="50"/>
  <c r="AGD75" i="50"/>
  <c r="AFT75" i="50"/>
  <c r="AFL75" i="50"/>
  <c r="AFD75" i="50"/>
  <c r="AEV75" i="50"/>
  <c r="AEB75" i="50"/>
  <c r="ADT75" i="50"/>
  <c r="ADJ75" i="50"/>
  <c r="ACZ75" i="50"/>
  <c r="ACQ75" i="50"/>
  <c r="ACH75" i="50"/>
  <c r="ABX75" i="50"/>
  <c r="ABN75" i="50"/>
  <c r="ABD75" i="50"/>
  <c r="ASM74" i="50"/>
  <c r="ASD74" i="50"/>
  <c r="ARV74" i="50"/>
  <c r="ARH74" i="50"/>
  <c r="AQY74" i="50"/>
  <c r="AQQ74" i="50"/>
  <c r="AQH74" i="50"/>
  <c r="APY74" i="50"/>
  <c r="APQ74" i="50"/>
  <c r="API74" i="50"/>
  <c r="AOR74" i="50"/>
  <c r="APA74" i="50"/>
  <c r="ALZ74" i="50"/>
  <c r="ALQ74" i="50"/>
  <c r="ALG74" i="50"/>
  <c r="AKO74" i="50"/>
  <c r="AKX74" i="50"/>
  <c r="AKG74" i="50"/>
  <c r="AJU74" i="50"/>
  <c r="AJM74" i="50"/>
  <c r="AJE74" i="50"/>
  <c r="AIW74" i="50"/>
  <c r="AIM74" i="50"/>
  <c r="AIC74" i="50"/>
  <c r="AHS74" i="50"/>
  <c r="AHH74" i="50"/>
  <c r="AGY74" i="50"/>
  <c r="AGQ74" i="50"/>
  <c r="AFT74" i="50"/>
  <c r="AFL74" i="50"/>
  <c r="AFD74" i="50"/>
  <c r="AEV74" i="50"/>
  <c r="ADT74" i="50"/>
  <c r="AEB74" i="50"/>
  <c r="ADJ74" i="50"/>
  <c r="ACQ74" i="50"/>
  <c r="ACH74" i="50"/>
  <c r="ABX74" i="50"/>
  <c r="ABN74" i="50"/>
  <c r="ABD74" i="50"/>
  <c r="ASM73" i="50"/>
  <c r="ASD73" i="50"/>
  <c r="ARV73" i="50"/>
  <c r="AQY73" i="50"/>
  <c r="AQQ73" i="50"/>
  <c r="APY73" i="50"/>
  <c r="AQH73" i="50"/>
  <c r="APQ73" i="50"/>
  <c r="API73" i="50"/>
  <c r="APA73" i="50"/>
  <c r="AOR73" i="50"/>
  <c r="AMI73" i="50"/>
  <c r="ALZ73" i="50"/>
  <c r="ALQ73" i="50"/>
  <c r="ALG73" i="50"/>
  <c r="AKO73" i="50"/>
  <c r="AKX73" i="50"/>
  <c r="AKG73" i="50"/>
  <c r="AJU73" i="50"/>
  <c r="AJM73" i="50"/>
  <c r="AJE73" i="50"/>
  <c r="AIW73" i="50"/>
  <c r="AIM73" i="50"/>
  <c r="AIC73" i="50"/>
  <c r="AHS73" i="50"/>
  <c r="AHH73" i="50"/>
  <c r="AGY73" i="50"/>
  <c r="AGQ73" i="50"/>
  <c r="AGD73" i="50"/>
  <c r="AFT73" i="50"/>
  <c r="AFL73" i="50"/>
  <c r="AFD73" i="50"/>
  <c r="AEV73" i="50"/>
  <c r="AEB73" i="50"/>
  <c r="ADT73" i="50"/>
  <c r="ADJ73" i="50"/>
  <c r="ACZ73" i="50"/>
  <c r="ACQ73" i="50"/>
  <c r="ACH73" i="50"/>
  <c r="ABX73" i="50"/>
  <c r="ABN73" i="50"/>
  <c r="ABD73" i="50"/>
  <c r="ASD72" i="50"/>
  <c r="ASM72" i="50"/>
  <c r="ARV72" i="50"/>
  <c r="ARH72" i="50"/>
  <c r="AQY72" i="50"/>
  <c r="AQQ72" i="50"/>
  <c r="AQH72" i="50"/>
  <c r="APY72" i="50"/>
  <c r="APQ72" i="50"/>
  <c r="API72" i="50"/>
  <c r="AOR72" i="50"/>
  <c r="APA72" i="50"/>
  <c r="ALZ72" i="50"/>
  <c r="ALQ72" i="50"/>
  <c r="ALG72" i="50"/>
  <c r="AKO72" i="50"/>
  <c r="AKX72" i="50"/>
  <c r="AKG72" i="50"/>
  <c r="AJU72" i="50"/>
  <c r="AJM72" i="50"/>
  <c r="AJE72" i="50"/>
  <c r="AIW72" i="50"/>
  <c r="AIM72" i="50"/>
  <c r="AIC72" i="50"/>
  <c r="AHS72" i="50"/>
  <c r="AHH72" i="50"/>
  <c r="AGY72" i="50"/>
  <c r="AGQ72" i="50"/>
  <c r="AFT72" i="50"/>
  <c r="AFL72" i="50"/>
  <c r="AFD72" i="50"/>
  <c r="AEV72" i="50"/>
  <c r="ADT72" i="50"/>
  <c r="AEB72" i="50"/>
  <c r="ADJ72" i="50"/>
  <c r="ACQ72" i="50"/>
  <c r="ACH72" i="50"/>
  <c r="ABX72" i="50"/>
  <c r="ABN72" i="50"/>
  <c r="ABD72" i="50"/>
  <c r="ASM71" i="50"/>
  <c r="ASD71" i="50"/>
  <c r="ARV71" i="50"/>
  <c r="AQY71" i="50"/>
  <c r="AQQ71" i="50"/>
  <c r="APY71" i="50"/>
  <c r="AQH71" i="50"/>
  <c r="APQ71" i="50"/>
  <c r="API71" i="50"/>
  <c r="APA71" i="50"/>
  <c r="AOR71" i="50"/>
  <c r="AMI71" i="50"/>
  <c r="ALZ71" i="50"/>
  <c r="ALQ71" i="50"/>
  <c r="ALG71" i="50"/>
  <c r="AKO71" i="50"/>
  <c r="AKX71" i="50"/>
  <c r="AKG71" i="50"/>
  <c r="AJU71" i="50"/>
  <c r="AJM71" i="50"/>
  <c r="AJE71" i="50"/>
  <c r="AIW71" i="50"/>
  <c r="AIM71" i="50"/>
  <c r="AIC71" i="50"/>
  <c r="AHS71" i="50"/>
  <c r="AHH71" i="50"/>
  <c r="AGY71" i="50"/>
  <c r="AGQ71" i="50"/>
  <c r="AGD71" i="50"/>
  <c r="AFT71" i="50"/>
  <c r="AFL71" i="50"/>
  <c r="AFD71" i="50"/>
  <c r="AEV71" i="50"/>
  <c r="AEB71" i="50"/>
  <c r="ADT71" i="50"/>
  <c r="ADJ71" i="50"/>
  <c r="ACZ71" i="50"/>
  <c r="ACQ71" i="50"/>
  <c r="ACH71" i="50"/>
  <c r="ABX71" i="50"/>
  <c r="ABN71" i="50"/>
  <c r="ABD71" i="50"/>
  <c r="ASD70" i="50"/>
  <c r="ASM70" i="50"/>
  <c r="ARV70" i="50"/>
  <c r="ARH70" i="50"/>
  <c r="AQY70" i="50"/>
  <c r="AQQ70" i="50"/>
  <c r="APY70" i="50"/>
  <c r="APQ70" i="50"/>
  <c r="API70" i="50"/>
  <c r="AOR70" i="50"/>
  <c r="APA70" i="50"/>
  <c r="ALZ70" i="50"/>
  <c r="ALQ70" i="50"/>
  <c r="ALG70" i="50"/>
  <c r="AKO70" i="50"/>
  <c r="AKX70" i="50"/>
  <c r="AKG70" i="50"/>
  <c r="AJU70" i="50"/>
  <c r="AJM70" i="50"/>
  <c r="AJE70" i="50"/>
  <c r="AIW70" i="50"/>
  <c r="AIM70" i="50"/>
  <c r="AIC70" i="50"/>
  <c r="AHS70" i="50"/>
  <c r="AHH70" i="50"/>
  <c r="AGY70" i="50"/>
  <c r="AGQ70" i="50"/>
  <c r="AFT70" i="50"/>
  <c r="AFL70" i="50"/>
  <c r="AFD70" i="50"/>
  <c r="AEV70" i="50"/>
  <c r="AEB70" i="50"/>
  <c r="ADT70" i="50"/>
  <c r="ADJ70" i="50"/>
  <c r="ACQ70" i="50"/>
  <c r="ACH70" i="50"/>
  <c r="ABX70" i="50"/>
  <c r="ABN70" i="50"/>
  <c r="ABD70" i="50"/>
  <c r="ASK67" i="50"/>
  <c r="ASB67" i="50"/>
  <c r="ARF67" i="50"/>
  <c r="AQW67" i="50"/>
  <c r="AQO67" i="50"/>
  <c r="AQF67" i="50"/>
  <c r="APW67" i="50"/>
  <c r="APO67" i="50"/>
  <c r="APG67" i="50"/>
  <c r="AOY67" i="50"/>
  <c r="AOP67" i="50"/>
  <c r="AJS67" i="50"/>
  <c r="AJK67" i="50"/>
  <c r="AJC67" i="50"/>
  <c r="AIU67" i="50"/>
  <c r="AGB67" i="50"/>
  <c r="AFR67" i="50"/>
  <c r="AES67" i="50"/>
  <c r="ADZ67" i="50"/>
  <c r="ADR67" i="50"/>
  <c r="ABU67" i="50"/>
  <c r="ABK67" i="50"/>
  <c r="ABA67" i="50"/>
  <c r="AHF64" i="50"/>
  <c r="AHF67" i="50" s="1"/>
  <c r="AGW64" i="50"/>
  <c r="AGW67" i="50" s="1"/>
  <c r="AGO64" i="50"/>
  <c r="AGO67" i="50" s="1"/>
  <c r="AFJ64" i="50"/>
  <c r="AFJ67" i="50" s="1"/>
  <c r="AFB64" i="50"/>
  <c r="AFB67" i="50" s="1"/>
  <c r="ADG64" i="50"/>
  <c r="AHF63" i="50"/>
  <c r="AGW63" i="50"/>
  <c r="AGO63" i="50"/>
  <c r="AFJ63" i="50"/>
  <c r="AFB63" i="50"/>
  <c r="AES63" i="50"/>
  <c r="ABU63" i="50"/>
  <c r="ABK63" i="50"/>
  <c r="P22" i="43"/>
  <c r="N22" i="43"/>
  <c r="P20" i="42"/>
  <c r="R20" i="42"/>
  <c r="R20" i="27"/>
  <c r="P20" i="27"/>
  <c r="W106" i="8"/>
  <c r="W105" i="8"/>
  <c r="W102" i="8"/>
  <c r="W99" i="8"/>
  <c r="W98" i="8"/>
  <c r="W93" i="8"/>
  <c r="W92" i="8"/>
  <c r="W89" i="8"/>
  <c r="W88" i="8"/>
  <c r="AGD70" i="50" l="1"/>
  <c r="ARH71" i="50"/>
  <c r="AGD72" i="50"/>
  <c r="ARH73" i="50"/>
  <c r="AGD74" i="50"/>
  <c r="ARH75" i="50"/>
  <c r="AGD76" i="50"/>
  <c r="ARH77" i="50"/>
  <c r="AQH70" i="50"/>
  <c r="AQH76" i="50"/>
  <c r="AEB77" i="50"/>
  <c r="ACZ70" i="50"/>
  <c r="ACZ72" i="50"/>
  <c r="AMI72" i="50"/>
  <c r="ACZ74" i="50"/>
  <c r="AMI74" i="50"/>
  <c r="ACZ76" i="50"/>
  <c r="AMI76" i="50"/>
  <c r="AMI70" i="50"/>
  <c r="O53" i="8"/>
  <c r="W53" i="8" s="1"/>
  <c r="Q53" i="8"/>
  <c r="Q51" i="8"/>
  <c r="Q57" i="8"/>
  <c r="O57" i="8"/>
  <c r="W57" i="8" s="1"/>
  <c r="Q55" i="8"/>
  <c r="O55" i="8"/>
  <c r="W55" i="8" s="1"/>
  <c r="Q36" i="8"/>
  <c r="Q47" i="8"/>
  <c r="O51" i="8"/>
  <c r="W51" i="8" s="1"/>
  <c r="O47" i="8"/>
  <c r="W47" i="8" s="1"/>
  <c r="F57" i="8"/>
  <c r="F55" i="8"/>
  <c r="F53" i="8"/>
  <c r="E74" i="45"/>
  <c r="E44" i="45"/>
  <c r="F99" i="45"/>
  <c r="F95" i="45"/>
  <c r="F81" i="45"/>
  <c r="F65" i="45"/>
  <c r="M51" i="41"/>
  <c r="F52" i="15"/>
  <c r="BF107" i="39"/>
  <c r="BF106" i="39"/>
  <c r="BF105" i="39"/>
  <c r="BF104" i="39"/>
  <c r="BF103" i="39"/>
  <c r="BF102" i="39"/>
  <c r="BF101" i="39"/>
  <c r="BF100" i="39"/>
  <c r="CL52" i="15"/>
  <c r="CD52" i="15"/>
  <c r="BV52" i="15"/>
  <c r="BN52" i="15"/>
  <c r="BF52" i="15"/>
  <c r="AX52" i="15"/>
  <c r="AP52" i="15"/>
  <c r="AH52" i="15"/>
  <c r="Z52" i="15"/>
  <c r="F64" i="5"/>
  <c r="F59" i="5"/>
  <c r="F48" i="15"/>
  <c r="F54" i="15"/>
  <c r="ER183" i="39"/>
  <c r="EV183" i="39" s="1"/>
  <c r="EV193" i="39"/>
  <c r="WA25" i="50"/>
  <c r="VK26" i="50"/>
  <c r="YQ52" i="50"/>
  <c r="YP52" i="50"/>
  <c r="XI52" i="50"/>
  <c r="XH52" i="50"/>
  <c r="WA52" i="50"/>
  <c r="VJ52" i="50"/>
  <c r="VI52" i="50"/>
  <c r="VH52" i="50"/>
  <c r="SR52" i="50"/>
  <c r="SQ52" i="50"/>
  <c r="RQ52" i="50"/>
  <c r="QH52" i="50"/>
  <c r="PQ52" i="50"/>
  <c r="OZ52" i="50"/>
  <c r="NN52" i="50"/>
  <c r="MW52" i="50"/>
  <c r="MN52" i="50"/>
  <c r="CV25" i="50"/>
  <c r="TK25" i="50"/>
  <c r="QR25" i="50"/>
  <c r="QH25" i="50"/>
  <c r="QH26" i="50"/>
  <c r="PQ26" i="50"/>
  <c r="OZ26" i="50"/>
  <c r="OI25" i="50"/>
  <c r="NN26" i="50"/>
  <c r="MW26" i="50"/>
  <c r="MN26" i="50"/>
  <c r="LD26" i="50"/>
  <c r="LE26" i="50"/>
  <c r="LE25" i="50"/>
  <c r="JX25" i="50"/>
  <c r="JW26" i="50"/>
  <c r="JV26" i="50"/>
  <c r="HR25" i="50"/>
  <c r="JW25" i="50"/>
  <c r="LW26" i="50"/>
  <c r="LF25" i="50"/>
  <c r="HA26" i="50"/>
  <c r="GZ26" i="50"/>
  <c r="DN26" i="50"/>
  <c r="F124" i="54"/>
  <c r="OY33" i="50"/>
  <c r="OW33" i="50"/>
  <c r="OU33" i="50"/>
  <c r="OS33" i="50"/>
  <c r="OQ33" i="50"/>
  <c r="OO33" i="50"/>
  <c r="OM33" i="50"/>
  <c r="OK33" i="50"/>
  <c r="L258" i="55" l="1"/>
  <c r="L284" i="55"/>
  <c r="L277" i="55"/>
  <c r="L291" i="55"/>
  <c r="F50" i="43"/>
  <c r="F48" i="43"/>
  <c r="F61" i="54" l="1"/>
  <c r="F57" i="54"/>
  <c r="F55" i="54"/>
  <c r="F52" i="54"/>
  <c r="F48" i="54"/>
  <c r="F91" i="54"/>
  <c r="F89" i="54"/>
  <c r="F87" i="54"/>
  <c r="F84" i="54"/>
  <c r="F73" i="54"/>
  <c r="F80" i="54"/>
  <c r="AGY49" i="50"/>
  <c r="AGW49" i="50"/>
  <c r="AGY48" i="50"/>
  <c r="AGW48" i="50"/>
  <c r="AGY47" i="50"/>
  <c r="AGW47" i="50"/>
  <c r="AGY46" i="50"/>
  <c r="AGW46" i="50"/>
  <c r="AGY45" i="50"/>
  <c r="AGW45" i="50"/>
  <c r="AGY44" i="50"/>
  <c r="AGW44" i="50"/>
  <c r="AGY43" i="50"/>
  <c r="AGW43" i="50"/>
  <c r="AGY42" i="50"/>
  <c r="AGW42" i="50"/>
  <c r="AHH49" i="50"/>
  <c r="AHF49" i="50"/>
  <c r="AHH48" i="50"/>
  <c r="AHF48" i="50"/>
  <c r="AHH47" i="50"/>
  <c r="AHF47" i="50"/>
  <c r="AHH46" i="50"/>
  <c r="AHF46" i="50"/>
  <c r="AHH45" i="50"/>
  <c r="AHF45" i="50"/>
  <c r="AHH44" i="50"/>
  <c r="AHF44" i="50"/>
  <c r="AHH43" i="50"/>
  <c r="AHF43" i="50"/>
  <c r="AHH42" i="50"/>
  <c r="AHF42" i="50"/>
  <c r="AGW36" i="50"/>
  <c r="AGW35" i="50"/>
  <c r="L280" i="55" s="1"/>
  <c r="AHF36" i="50"/>
  <c r="AHF35" i="50"/>
  <c r="L287" i="55" s="1"/>
  <c r="AGO36" i="50"/>
  <c r="AGO39" i="50" s="1"/>
  <c r="AGO35" i="50"/>
  <c r="L273" i="55" s="1"/>
  <c r="AOP39" i="50"/>
  <c r="AOY39" i="50"/>
  <c r="APG39" i="50"/>
  <c r="APO39" i="50"/>
  <c r="APW39" i="50"/>
  <c r="AQF39" i="50"/>
  <c r="AOP42" i="50"/>
  <c r="APA42" i="50" s="1"/>
  <c r="AOR42" i="50"/>
  <c r="AOY42" i="50"/>
  <c r="APG42" i="50"/>
  <c r="API42" i="50"/>
  <c r="APO42" i="50"/>
  <c r="APQ42" i="50"/>
  <c r="APW42" i="50"/>
  <c r="APY42" i="50"/>
  <c r="AOP43" i="50"/>
  <c r="AOR43" i="50"/>
  <c r="AOY43" i="50"/>
  <c r="APG43" i="50"/>
  <c r="API43" i="50"/>
  <c r="APO43" i="50"/>
  <c r="APQ43" i="50"/>
  <c r="APW43" i="50"/>
  <c r="APY43" i="50"/>
  <c r="AOP44" i="50"/>
  <c r="APA44" i="50" s="1"/>
  <c r="AOR44" i="50"/>
  <c r="AOY44" i="50"/>
  <c r="APG44" i="50"/>
  <c r="API44" i="50"/>
  <c r="APO44" i="50"/>
  <c r="APQ44" i="50"/>
  <c r="APW44" i="50"/>
  <c r="AQH44" i="50" s="1"/>
  <c r="APY44" i="50"/>
  <c r="AOP45" i="50"/>
  <c r="APA45" i="50" s="1"/>
  <c r="AOR45" i="50"/>
  <c r="AOY45" i="50"/>
  <c r="APG45" i="50"/>
  <c r="API45" i="50"/>
  <c r="APO45" i="50"/>
  <c r="APQ45" i="50"/>
  <c r="APW45" i="50"/>
  <c r="APY45" i="50"/>
  <c r="AOP46" i="50"/>
  <c r="APA46" i="50" s="1"/>
  <c r="AOR46" i="50"/>
  <c r="AOY46" i="50"/>
  <c r="APG46" i="50"/>
  <c r="API46" i="50"/>
  <c r="APO46" i="50"/>
  <c r="APQ46" i="50"/>
  <c r="APW46" i="50"/>
  <c r="AQH46" i="50" s="1"/>
  <c r="APY46" i="50"/>
  <c r="AOP47" i="50"/>
  <c r="APA47" i="50" s="1"/>
  <c r="AOR47" i="50"/>
  <c r="AOY47" i="50"/>
  <c r="APG47" i="50"/>
  <c r="API47" i="50"/>
  <c r="APO47" i="50"/>
  <c r="APQ47" i="50"/>
  <c r="APW47" i="50"/>
  <c r="AQH47" i="50" s="1"/>
  <c r="APY47" i="50"/>
  <c r="AOP48" i="50"/>
  <c r="APA48" i="50" s="1"/>
  <c r="AOR48" i="50"/>
  <c r="AOY48" i="50"/>
  <c r="APG48" i="50"/>
  <c r="API48" i="50"/>
  <c r="APO48" i="50"/>
  <c r="APQ48" i="50"/>
  <c r="APW48" i="50"/>
  <c r="AQH48" i="50" s="1"/>
  <c r="APY48" i="50"/>
  <c r="AOP49" i="50"/>
  <c r="AOR49" i="50"/>
  <c r="AOY49" i="50"/>
  <c r="APG49" i="50"/>
  <c r="API49" i="50"/>
  <c r="APO49" i="50"/>
  <c r="APQ49" i="50"/>
  <c r="APW49" i="50"/>
  <c r="AQH49" i="50" s="1"/>
  <c r="APY49" i="50"/>
  <c r="AQH42" i="50" l="1"/>
  <c r="AGW39" i="50"/>
  <c r="AHF39" i="50"/>
  <c r="AQC45" i="50"/>
  <c r="APU45" i="50"/>
  <c r="AQH45" i="50"/>
  <c r="AQL45" i="50" s="1"/>
  <c r="APE45" i="50"/>
  <c r="AOV45" i="50"/>
  <c r="APA49" i="50"/>
  <c r="APA43" i="50"/>
  <c r="AQH43" i="50"/>
  <c r="F20" i="54"/>
  <c r="CM57" i="41"/>
  <c r="CE57" i="41"/>
  <c r="BW57" i="41"/>
  <c r="BO57" i="41"/>
  <c r="BG57" i="41"/>
  <c r="AY57" i="41"/>
  <c r="AQ57" i="41"/>
  <c r="AI57" i="41"/>
  <c r="AA57" i="41"/>
  <c r="AJ121" i="36"/>
  <c r="F28" i="52" l="1"/>
  <c r="F9" i="52"/>
  <c r="F20" i="28"/>
  <c r="F9" i="28"/>
  <c r="PB184" i="39" l="1"/>
  <c r="PB183" i="39"/>
  <c r="PB182" i="39"/>
  <c r="PB181" i="39"/>
  <c r="PB180" i="39"/>
  <c r="PB179" i="39"/>
  <c r="PB178" i="39"/>
  <c r="PB177" i="39"/>
  <c r="CM13" i="39" l="1"/>
  <c r="KZ63" i="39" l="1"/>
  <c r="KZ64" i="39"/>
  <c r="KZ65" i="39"/>
  <c r="KZ61" i="39"/>
  <c r="KZ60" i="39"/>
  <c r="KZ59" i="39"/>
  <c r="CN27" i="39" l="1"/>
  <c r="CP27" i="39" a="1"/>
  <c r="CP27" i="39" s="1"/>
  <c r="CQ24" i="39"/>
  <c r="CR24" i="39"/>
  <c r="CS24" i="39"/>
  <c r="CT24" i="39"/>
  <c r="CP24" i="39"/>
  <c r="AH80" i="39"/>
  <c r="CM16" i="39" s="1"/>
  <c r="F100" i="5"/>
  <c r="M105" i="41" l="1"/>
  <c r="M101" i="41"/>
  <c r="M127" i="41" l="1"/>
  <c r="KO86" i="39" l="1"/>
  <c r="KO87" i="39"/>
  <c r="KO88" i="39"/>
  <c r="KO89" i="39"/>
  <c r="KO90" i="39"/>
  <c r="KO91" i="39"/>
  <c r="KO92" i="39"/>
  <c r="KO93" i="39"/>
  <c r="KO94" i="39"/>
  <c r="KO95" i="39"/>
  <c r="KO96" i="39"/>
  <c r="KO97" i="39"/>
  <c r="KO98" i="39"/>
  <c r="KO99" i="39"/>
  <c r="KO100" i="39"/>
  <c r="KO101" i="39"/>
  <c r="KO102" i="39"/>
  <c r="KO103" i="39"/>
  <c r="KO104" i="39"/>
  <c r="KO105" i="39"/>
  <c r="KO106" i="39"/>
  <c r="KO107" i="39"/>
  <c r="KO108" i="39"/>
  <c r="KO109" i="39"/>
  <c r="KO110" i="39"/>
  <c r="KO111" i="39"/>
  <c r="KO85" i="39" l="1"/>
  <c r="BX157" i="39" l="1"/>
  <c r="WQ33" i="50" l="1"/>
  <c r="WO33" i="50"/>
  <c r="WM33" i="50"/>
  <c r="WK33" i="50"/>
  <c r="WI33" i="50"/>
  <c r="WG33" i="50"/>
  <c r="WE33" i="50"/>
  <c r="LK32" i="39" l="1"/>
  <c r="LN36" i="39"/>
  <c r="LR36" i="39" s="1"/>
  <c r="LM36" i="39"/>
  <c r="LQ36" i="39" s="1"/>
  <c r="LL36" i="39"/>
  <c r="LK36" i="39"/>
  <c r="LO36" i="39" s="1"/>
  <c r="LP36" i="39" l="1"/>
  <c r="KP66" i="39"/>
  <c r="KS66" i="39"/>
  <c r="KQ66" i="39"/>
  <c r="CK103" i="41"/>
  <c r="CC103" i="41"/>
  <c r="BU103" i="41"/>
  <c r="BM103" i="41"/>
  <c r="BE103" i="41"/>
  <c r="AW103" i="41"/>
  <c r="AO103" i="41"/>
  <c r="AG103" i="41"/>
  <c r="CK99" i="41"/>
  <c r="CC99" i="41"/>
  <c r="BU99" i="41"/>
  <c r="BM99" i="41"/>
  <c r="BE99" i="41"/>
  <c r="AW99" i="41"/>
  <c r="AO99" i="41"/>
  <c r="AG99" i="41"/>
  <c r="Y103" i="41"/>
  <c r="Y99" i="41"/>
  <c r="LO91" i="39"/>
  <c r="LQ91" i="39" s="1"/>
  <c r="LN90" i="39"/>
  <c r="LO90" i="39" s="1"/>
  <c r="LQ90" i="39" s="1"/>
  <c r="LF66" i="39" l="1"/>
  <c r="KV66" i="39"/>
  <c r="KW61" i="39"/>
  <c r="KW60" i="39"/>
  <c r="KW59" i="39"/>
  <c r="KW58" i="39"/>
  <c r="KQ63" i="39"/>
  <c r="KQ64" i="39"/>
  <c r="KQ65" i="39"/>
  <c r="KQ59" i="39"/>
  <c r="KQ60" i="39"/>
  <c r="KQ61" i="39"/>
  <c r="KQ62" i="39"/>
  <c r="KQ58" i="39"/>
  <c r="KS65" i="39"/>
  <c r="KS64" i="39"/>
  <c r="KS63" i="39"/>
  <c r="KS61" i="39"/>
  <c r="KS60" i="39"/>
  <c r="KS59" i="39"/>
  <c r="AG180" i="36"/>
  <c r="AD180" i="36"/>
  <c r="AO153" i="36" l="1"/>
  <c r="AO180" i="36" s="1"/>
  <c r="AZ153" i="36"/>
  <c r="AZ180" i="36" s="1"/>
  <c r="BO153" i="36"/>
  <c r="BO180" i="36" s="1"/>
  <c r="V38" i="55" l="1"/>
  <c r="V32" i="55"/>
  <c r="ABV49" i="50"/>
  <c r="ABV48" i="50"/>
  <c r="ABV47" i="50"/>
  <c r="ABV46" i="50"/>
  <c r="ABV45" i="50"/>
  <c r="ABV44" i="50"/>
  <c r="ABV43" i="50"/>
  <c r="ABV42" i="50"/>
  <c r="AC48" i="5" l="1"/>
  <c r="AD87" i="36"/>
  <c r="Q62" i="5"/>
  <c r="S62" i="5"/>
  <c r="BY153" i="36" l="1"/>
  <c r="BY180" i="36" s="1"/>
  <c r="BH153" i="36"/>
  <c r="BH180" i="36" s="1"/>
  <c r="AS153" i="36"/>
  <c r="AS180" i="36" s="1"/>
  <c r="EK150" i="36"/>
  <c r="EJ150" i="36"/>
  <c r="EI150" i="36"/>
  <c r="EH150" i="36"/>
  <c r="EK151" i="36"/>
  <c r="EJ151" i="36"/>
  <c r="EI151" i="36"/>
  <c r="EH151" i="36"/>
  <c r="VD33" i="50"/>
  <c r="UX33" i="50"/>
  <c r="UR33" i="50"/>
  <c r="UL33" i="50"/>
  <c r="UF33" i="50"/>
  <c r="TZ33" i="50"/>
  <c r="TT33" i="50"/>
  <c r="TN33" i="50"/>
  <c r="AJC49" i="50"/>
  <c r="AJC48" i="50"/>
  <c r="AJC47" i="50"/>
  <c r="AJC46" i="50"/>
  <c r="AJC45" i="50"/>
  <c r="AJC44" i="50"/>
  <c r="AJC43" i="50"/>
  <c r="AJC42" i="50"/>
  <c r="AJE49" i="50"/>
  <c r="AJE48" i="50"/>
  <c r="AJE47" i="50"/>
  <c r="AJE46" i="50"/>
  <c r="AJE45" i="50"/>
  <c r="AJE44" i="50"/>
  <c r="AJE43" i="50"/>
  <c r="AJE42" i="50"/>
  <c r="L198" i="55"/>
  <c r="AJC39" i="50"/>
  <c r="L161" i="55"/>
  <c r="AWD137" i="50" l="1"/>
  <c r="AWE137" i="50"/>
  <c r="AWF137" i="50"/>
  <c r="AWG137" i="50"/>
  <c r="AWH137" i="50"/>
  <c r="AWI137" i="50"/>
  <c r="AWJ137" i="50"/>
  <c r="AWD138" i="50"/>
  <c r="AWE138" i="50"/>
  <c r="AWF138" i="50"/>
  <c r="AWG138" i="50"/>
  <c r="AWH138" i="50"/>
  <c r="AWI138" i="50"/>
  <c r="AWJ138" i="50"/>
  <c r="AWD139" i="50"/>
  <c r="AWE139" i="50"/>
  <c r="AWF139" i="50"/>
  <c r="AWG139" i="50"/>
  <c r="AWH139" i="50"/>
  <c r="AWI139" i="50"/>
  <c r="AWJ139" i="50"/>
  <c r="AWD140" i="50"/>
  <c r="AWE140" i="50"/>
  <c r="AWF140" i="50"/>
  <c r="AWG140" i="50"/>
  <c r="AWH140" i="50"/>
  <c r="AWI140" i="50"/>
  <c r="AWJ140" i="50"/>
  <c r="AWC138" i="50"/>
  <c r="AWC139" i="50"/>
  <c r="AWC140" i="50"/>
  <c r="AWC137" i="50"/>
  <c r="AFT49" i="50"/>
  <c r="AFR49" i="50"/>
  <c r="AFT48" i="50"/>
  <c r="AFR48" i="50"/>
  <c r="AGD48" i="50" s="1"/>
  <c r="BZ268" i="55" s="1"/>
  <c r="AFT47" i="50"/>
  <c r="AFR47" i="50"/>
  <c r="AGD47" i="50" s="1"/>
  <c r="BR268" i="55" s="1"/>
  <c r="AFT46" i="50"/>
  <c r="AFR46" i="50"/>
  <c r="AGD46" i="50" s="1"/>
  <c r="BJ268" i="55" s="1"/>
  <c r="AFT45" i="50"/>
  <c r="AFR45" i="50"/>
  <c r="AGD45" i="50" s="1"/>
  <c r="BB268" i="55" s="1"/>
  <c r="AFT44" i="50"/>
  <c r="AFR44" i="50"/>
  <c r="AFT43" i="50"/>
  <c r="AFR43" i="50"/>
  <c r="AFT42" i="50"/>
  <c r="AFR42" i="50"/>
  <c r="AGD42" i="50" s="1"/>
  <c r="X268" i="55" s="1"/>
  <c r="AFL49" i="50"/>
  <c r="AFJ49" i="50"/>
  <c r="AFL48" i="50"/>
  <c r="AFJ48" i="50"/>
  <c r="AFL47" i="50"/>
  <c r="AFJ47" i="50"/>
  <c r="AFL46" i="50"/>
  <c r="AFJ46" i="50"/>
  <c r="AFL45" i="50"/>
  <c r="AFJ45" i="50"/>
  <c r="AFL44" i="50"/>
  <c r="AFJ44" i="50"/>
  <c r="AFL43" i="50"/>
  <c r="AFJ43" i="50"/>
  <c r="AFL42" i="50"/>
  <c r="AFJ42" i="50"/>
  <c r="AFD49" i="50"/>
  <c r="AFB49" i="50"/>
  <c r="AFD48" i="50"/>
  <c r="AFB48" i="50"/>
  <c r="AFD47" i="50"/>
  <c r="AFB47" i="50"/>
  <c r="AFD46" i="50"/>
  <c r="AFB46" i="50"/>
  <c r="AFD45" i="50"/>
  <c r="AFB45" i="50"/>
  <c r="AFD44" i="50"/>
  <c r="AFB44" i="50"/>
  <c r="AFD43" i="50"/>
  <c r="AFB43" i="50"/>
  <c r="AFD42" i="50"/>
  <c r="AFB42" i="50"/>
  <c r="L268" i="55"/>
  <c r="L266" i="55"/>
  <c r="AGB39" i="50"/>
  <c r="AFR39" i="50"/>
  <c r="AFJ36" i="50"/>
  <c r="AFJ39" i="50" s="1"/>
  <c r="AFJ35" i="50"/>
  <c r="L262" i="55"/>
  <c r="I245" i="55"/>
  <c r="L226" i="55"/>
  <c r="AFB36" i="50"/>
  <c r="L255" i="55" s="1"/>
  <c r="AES35" i="50"/>
  <c r="AFB35" i="50"/>
  <c r="L248" i="55"/>
  <c r="AGO42" i="50"/>
  <c r="AGO43" i="50"/>
  <c r="AGO44" i="50"/>
  <c r="AGO45" i="50"/>
  <c r="AGO46" i="50"/>
  <c r="AGO47" i="50"/>
  <c r="AGO48" i="50"/>
  <c r="AGO49" i="50"/>
  <c r="L251" i="55" l="1"/>
  <c r="F78" i="54"/>
  <c r="AGD44" i="50"/>
  <c r="AT268" i="55" s="1"/>
  <c r="AGD43" i="50"/>
  <c r="AL268" i="55" s="1"/>
  <c r="AGD49" i="50"/>
  <c r="CH268" i="55" s="1"/>
  <c r="AFB39" i="50"/>
  <c r="AI76" i="50"/>
  <c r="L326" i="55" l="1"/>
  <c r="L63" i="55" l="1"/>
  <c r="CG329" i="55"/>
  <c r="BY329" i="55"/>
  <c r="BQ329" i="55"/>
  <c r="BI329" i="55"/>
  <c r="BA329" i="55"/>
  <c r="AS329" i="55"/>
  <c r="AK329" i="55"/>
  <c r="W329" i="55"/>
  <c r="CG333" i="55"/>
  <c r="BY333" i="55"/>
  <c r="BI333" i="55"/>
  <c r="BA333" i="55"/>
  <c r="AS333" i="55"/>
  <c r="W333" i="55"/>
  <c r="L209" i="55" l="1"/>
  <c r="L189" i="55"/>
  <c r="ER159" i="39" l="1"/>
  <c r="EV159" i="39" s="1"/>
  <c r="EV161" i="39"/>
  <c r="EV162" i="39"/>
  <c r="EV163" i="39"/>
  <c r="EV164" i="39"/>
  <c r="EV165" i="39"/>
  <c r="EV166" i="39"/>
  <c r="EV167" i="39"/>
  <c r="EV168" i="39"/>
  <c r="EV169" i="39"/>
  <c r="AVN153" i="50" l="1"/>
  <c r="AVO153" i="50"/>
  <c r="AVP153" i="50"/>
  <c r="AVQ153" i="50"/>
  <c r="AVR153" i="50"/>
  <c r="AVS153" i="50"/>
  <c r="AVT153" i="50"/>
  <c r="AVN154" i="50"/>
  <c r="AVO154" i="50"/>
  <c r="AVP154" i="50"/>
  <c r="AVQ154" i="50"/>
  <c r="AVR154" i="50"/>
  <c r="AVS154" i="50"/>
  <c r="AVT154" i="50"/>
  <c r="AVN155" i="50"/>
  <c r="AVO155" i="50"/>
  <c r="AVP155" i="50"/>
  <c r="AVQ155" i="50"/>
  <c r="AVR155" i="50"/>
  <c r="AVS155" i="50"/>
  <c r="AVT155" i="50"/>
  <c r="AVN156" i="50"/>
  <c r="AVO156" i="50"/>
  <c r="AVP156" i="50"/>
  <c r="AVQ156" i="50"/>
  <c r="AVR156" i="50"/>
  <c r="AVS156" i="50"/>
  <c r="AVT156" i="50"/>
  <c r="AVM154" i="50"/>
  <c r="AVM155" i="50"/>
  <c r="AVM156" i="50"/>
  <c r="AVM153" i="50"/>
  <c r="ARV49" i="50"/>
  <c r="ARV48" i="50"/>
  <c r="ARV47" i="50"/>
  <c r="ARV46" i="50"/>
  <c r="ARV45" i="50"/>
  <c r="ARV44" i="50"/>
  <c r="ARV43" i="50"/>
  <c r="ARV42" i="50"/>
  <c r="L312" i="55"/>
  <c r="S106" i="8" l="1"/>
  <c r="U106" i="8" s="1"/>
  <c r="F106" i="8"/>
  <c r="S105" i="8"/>
  <c r="U105" i="8" s="1"/>
  <c r="FR181" i="39" s="1"/>
  <c r="F105" i="8"/>
  <c r="S102" i="8"/>
  <c r="U102" i="8" s="1"/>
  <c r="F102" i="8"/>
  <c r="S99" i="8"/>
  <c r="U99" i="8" s="1"/>
  <c r="FP181" i="39" s="1"/>
  <c r="F99" i="8"/>
  <c r="S98" i="8"/>
  <c r="U98" i="8" s="1"/>
  <c r="F98" i="8"/>
  <c r="S93" i="8"/>
  <c r="F93" i="8"/>
  <c r="S92" i="8"/>
  <c r="U92" i="8" s="1"/>
  <c r="F92" i="8"/>
  <c r="S89" i="8"/>
  <c r="S88" i="8"/>
  <c r="F89" i="8"/>
  <c r="F88" i="8"/>
  <c r="S76" i="8"/>
  <c r="DD98" i="50" l="1"/>
  <c r="FO181" i="39"/>
  <c r="CX98" i="50"/>
  <c r="FJ181" i="39"/>
  <c r="DL98" i="50"/>
  <c r="FS181" i="39"/>
  <c r="DH98" i="50"/>
  <c r="FQ181" i="39"/>
  <c r="DJ98" i="50"/>
  <c r="DF98" i="50"/>
  <c r="U93" i="8"/>
  <c r="FK181" i="39" s="1"/>
  <c r="U88" i="8"/>
  <c r="FH181" i="39" s="1"/>
  <c r="U89" i="8"/>
  <c r="FI181" i="39" s="1"/>
  <c r="CV98" i="50" l="1"/>
  <c r="CZ98" i="50"/>
  <c r="CT98" i="50"/>
  <c r="F116" i="54"/>
  <c r="F114" i="54"/>
  <c r="F111" i="54"/>
  <c r="F129" i="54" l="1"/>
  <c r="F127" i="54"/>
  <c r="F45" i="54"/>
  <c r="F43" i="54"/>
  <c r="F69" i="45" l="1"/>
  <c r="F44" i="27"/>
  <c r="F38" i="66"/>
  <c r="F36" i="66"/>
  <c r="F51" i="45"/>
  <c r="AK219" i="50"/>
  <c r="AK217" i="50"/>
  <c r="AK215" i="50"/>
  <c r="DM6" i="1"/>
  <c r="ADG36" i="50"/>
  <c r="Q66" i="66"/>
  <c r="O66" i="66"/>
  <c r="W66" i="66" s="1"/>
  <c r="F66" i="66"/>
  <c r="Q65" i="66"/>
  <c r="O65" i="66"/>
  <c r="W65" i="66" s="1"/>
  <c r="F65" i="66"/>
  <c r="Q63" i="66"/>
  <c r="O63" i="66"/>
  <c r="W63" i="66" s="1"/>
  <c r="F63" i="66"/>
  <c r="Q61" i="66"/>
  <c r="O61" i="66"/>
  <c r="U61" i="66" s="1"/>
  <c r="F61" i="66"/>
  <c r="Q59" i="66"/>
  <c r="O59" i="66"/>
  <c r="W59" i="66" s="1"/>
  <c r="Q58" i="66"/>
  <c r="O58" i="66"/>
  <c r="W58" i="66" s="1"/>
  <c r="F58" i="66"/>
  <c r="Q57" i="66"/>
  <c r="O57" i="66"/>
  <c r="U57" i="66" s="1"/>
  <c r="F57" i="66"/>
  <c r="Q54" i="66"/>
  <c r="O54" i="66"/>
  <c r="W54" i="66" s="1"/>
  <c r="F54" i="66"/>
  <c r="Q52" i="66"/>
  <c r="O52" i="66"/>
  <c r="U52" i="66" s="1"/>
  <c r="F52" i="66"/>
  <c r="Q49" i="66"/>
  <c r="O49" i="66"/>
  <c r="W49" i="66" s="1"/>
  <c r="Q44" i="66"/>
  <c r="O44" i="66"/>
  <c r="W44" i="66" s="1"/>
  <c r="Q40" i="66"/>
  <c r="O40" i="66"/>
  <c r="W40" i="66" s="1"/>
  <c r="F40" i="66"/>
  <c r="Q38" i="66"/>
  <c r="O38" i="66"/>
  <c r="W38" i="66" s="1"/>
  <c r="Q36" i="66"/>
  <c r="O36" i="66"/>
  <c r="U36" i="66" s="1"/>
  <c r="Q34" i="66"/>
  <c r="O34" i="66"/>
  <c r="W34" i="66" s="1"/>
  <c r="Q30" i="66"/>
  <c r="O30" i="66"/>
  <c r="W30" i="66" s="1"/>
  <c r="Q26" i="66"/>
  <c r="O26" i="66"/>
  <c r="W26" i="66" s="1"/>
  <c r="F26" i="66"/>
  <c r="Q25" i="66"/>
  <c r="O25" i="66"/>
  <c r="W25" i="66" s="1"/>
  <c r="F25" i="66"/>
  <c r="Q24" i="66"/>
  <c r="O24" i="66"/>
  <c r="W24" i="66" s="1"/>
  <c r="F24" i="66"/>
  <c r="Q23" i="66"/>
  <c r="O23" i="66"/>
  <c r="W23" i="66" s="1"/>
  <c r="F23" i="66"/>
  <c r="Q21" i="66"/>
  <c r="O21" i="66"/>
  <c r="W21" i="66" s="1"/>
  <c r="F21" i="66"/>
  <c r="Q20" i="66"/>
  <c r="O20" i="66"/>
  <c r="W20" i="66" s="1"/>
  <c r="F20" i="66"/>
  <c r="Q19" i="66"/>
  <c r="O19" i="66"/>
  <c r="W19" i="66" s="1"/>
  <c r="F19" i="66"/>
  <c r="Q18" i="66"/>
  <c r="O18" i="66"/>
  <c r="U18" i="66" s="1"/>
  <c r="F18" i="66"/>
  <c r="Q16" i="66"/>
  <c r="O16" i="66"/>
  <c r="W16" i="66" s="1"/>
  <c r="Q15" i="66"/>
  <c r="O15" i="66"/>
  <c r="W15" i="66" s="1"/>
  <c r="Q14" i="66"/>
  <c r="O14" i="66"/>
  <c r="W14" i="66" s="1"/>
  <c r="B3" i="66"/>
  <c r="F30" i="66" l="1"/>
  <c r="F47" i="8"/>
  <c r="F34" i="66"/>
  <c r="F36" i="8"/>
  <c r="F51" i="8"/>
  <c r="W18" i="66"/>
  <c r="U26" i="66"/>
  <c r="W57" i="66"/>
  <c r="W36" i="66"/>
  <c r="U14" i="66"/>
  <c r="U40" i="66"/>
  <c r="U21" i="66"/>
  <c r="W52" i="66"/>
  <c r="U65" i="66"/>
  <c r="W61" i="66"/>
  <c r="U16" i="66"/>
  <c r="U25" i="66"/>
  <c r="U34" i="66"/>
  <c r="U49" i="66"/>
  <c r="U59" i="66"/>
  <c r="U20" i="66"/>
  <c r="U24" i="66"/>
  <c r="U38" i="66"/>
  <c r="U54" i="66"/>
  <c r="U63" i="66"/>
  <c r="U15" i="66"/>
  <c r="U19" i="66"/>
  <c r="U30" i="66"/>
  <c r="U23" i="66"/>
  <c r="U44" i="66"/>
  <c r="U58" i="66"/>
  <c r="U66" i="66"/>
  <c r="AK40" i="50"/>
  <c r="AK41" i="50"/>
  <c r="AK42" i="50"/>
  <c r="AK43" i="50"/>
  <c r="AK44" i="50"/>
  <c r="AK45" i="50"/>
  <c r="AK46" i="50"/>
  <c r="AK39" i="50"/>
  <c r="AK221" i="50"/>
  <c r="AK220" i="50"/>
  <c r="AK218" i="50"/>
  <c r="L143" i="55"/>
  <c r="ABK39" i="50"/>
  <c r="ABU39" i="50"/>
  <c r="AK214" i="50"/>
  <c r="AK213" i="50"/>
  <c r="L157" i="55" l="1"/>
  <c r="F120" i="54"/>
  <c r="AK156" i="50"/>
  <c r="AM156" i="50"/>
  <c r="AK157" i="50"/>
  <c r="AM157" i="50"/>
  <c r="AK158" i="50"/>
  <c r="AM158" i="50"/>
  <c r="Q76" i="8" l="1"/>
  <c r="O76" i="8"/>
  <c r="Y178" i="45"/>
  <c r="W76" i="8" l="1"/>
  <c r="P52" i="43" s="1"/>
  <c r="Q66" i="8"/>
  <c r="O66" i="8"/>
  <c r="W66" i="8" s="1"/>
  <c r="U76" i="8"/>
  <c r="F178" i="45"/>
  <c r="F170" i="45"/>
  <c r="F161" i="45"/>
  <c r="F158" i="45"/>
  <c r="F156" i="45"/>
  <c r="F44" i="66" s="1"/>
  <c r="F152" i="45"/>
  <c r="F116" i="45"/>
  <c r="F16" i="66" s="1"/>
  <c r="F112" i="45"/>
  <c r="F15" i="66" s="1"/>
  <c r="F110" i="45"/>
  <c r="F14" i="66" s="1"/>
  <c r="F106" i="45"/>
  <c r="Y158" i="45"/>
  <c r="FF181" i="39" l="1"/>
  <c r="FD181" i="39"/>
  <c r="N52" i="43"/>
  <c r="FO115" i="39"/>
  <c r="AC88" i="5"/>
  <c r="AC81" i="5"/>
  <c r="CB20" i="36"/>
  <c r="CB14" i="36"/>
  <c r="C9" i="39" l="1"/>
  <c r="D9" i="39" s="1"/>
  <c r="F124" i="36" s="1"/>
  <c r="AC44" i="5" l="1"/>
  <c r="AC45" i="5" s="1"/>
  <c r="F32" i="42"/>
  <c r="F28" i="42"/>
  <c r="F26" i="42"/>
  <c r="F22" i="42"/>
  <c r="M41" i="41"/>
  <c r="F40" i="27"/>
  <c r="F26" i="27"/>
  <c r="F22" i="27"/>
  <c r="F41" i="15"/>
  <c r="F39" i="15"/>
  <c r="F32" i="15"/>
  <c r="F43" i="15"/>
  <c r="BK15" i="39" l="1"/>
  <c r="BE11" i="39"/>
  <c r="DR51" i="39"/>
  <c r="ER117" i="39"/>
  <c r="DR103" i="39"/>
  <c r="ER73" i="39"/>
  <c r="BD67" i="39"/>
  <c r="NN434" i="39"/>
  <c r="BB225" i="39"/>
  <c r="BB156" i="39"/>
  <c r="PY84" i="39" l="1"/>
  <c r="PY75" i="39"/>
  <c r="FO141" i="39" l="1"/>
  <c r="OW184" i="39"/>
  <c r="OW183" i="39"/>
  <c r="OW182" i="39"/>
  <c r="OW181" i="39"/>
  <c r="OW180" i="39"/>
  <c r="OW179" i="39"/>
  <c r="OW178" i="39"/>
  <c r="OW177" i="39"/>
  <c r="EW96" i="39"/>
  <c r="EX96" i="39"/>
  <c r="EY96" i="39"/>
  <c r="EZ96" i="39"/>
  <c r="FA96" i="39"/>
  <c r="FB96" i="39"/>
  <c r="FC96" i="39"/>
  <c r="FD96" i="39"/>
  <c r="FF96" i="39"/>
  <c r="FG96" i="39"/>
  <c r="FG74" i="39"/>
  <c r="FC66" i="39"/>
  <c r="FC65" i="39"/>
  <c r="FC64" i="39"/>
  <c r="FC63" i="39"/>
  <c r="FC62" i="39"/>
  <c r="FC61" i="39"/>
  <c r="FC60" i="39"/>
  <c r="FC59" i="39"/>
  <c r="P30" i="43"/>
  <c r="U66" i="8"/>
  <c r="EY181" i="39" s="1"/>
  <c r="F77" i="43"/>
  <c r="F75" i="43"/>
  <c r="F68" i="43"/>
  <c r="F61" i="43"/>
  <c r="F41" i="43"/>
  <c r="F39" i="43"/>
  <c r="F45" i="28"/>
  <c r="F43" i="28"/>
  <c r="F30" i="43"/>
  <c r="F28" i="43"/>
  <c r="F24" i="43"/>
  <c r="F9" i="43"/>
  <c r="CL98" i="50" l="1"/>
  <c r="N30" i="43"/>
  <c r="FN115" i="39"/>
  <c r="FF74" i="39"/>
  <c r="FB66" i="39"/>
  <c r="FB65" i="39"/>
  <c r="FB64" i="39"/>
  <c r="FB63" i="39"/>
  <c r="FB62" i="39"/>
  <c r="FB61" i="39"/>
  <c r="FB60" i="39"/>
  <c r="FB59" i="39"/>
  <c r="M159" i="41" l="1"/>
  <c r="JL26" i="39"/>
  <c r="JL25" i="39"/>
  <c r="JL24" i="39"/>
  <c r="JL23" i="39"/>
  <c r="JL22" i="39"/>
  <c r="JL21" i="39"/>
  <c r="JL20" i="39"/>
  <c r="JL19" i="39"/>
  <c r="JL18" i="39"/>
  <c r="JK26" i="39"/>
  <c r="JK25" i="39"/>
  <c r="JK24" i="39"/>
  <c r="JK23" i="39"/>
  <c r="JK22" i="39"/>
  <c r="JK21" i="39"/>
  <c r="JK20" i="39"/>
  <c r="JK19" i="39"/>
  <c r="JK18" i="39"/>
  <c r="JJ26" i="39"/>
  <c r="JJ25" i="39"/>
  <c r="JJ24" i="39"/>
  <c r="JJ23" i="39"/>
  <c r="JJ22" i="39"/>
  <c r="JJ21" i="39"/>
  <c r="JJ20" i="39"/>
  <c r="JJ19" i="39"/>
  <c r="JJ18" i="39"/>
  <c r="JI26" i="39"/>
  <c r="JJ65" i="39" s="1"/>
  <c r="JI25" i="39"/>
  <c r="JJ64" i="39" s="1"/>
  <c r="JI24" i="39"/>
  <c r="JJ63" i="39" s="1"/>
  <c r="JI23" i="39"/>
  <c r="JJ62" i="39" s="1"/>
  <c r="JI22" i="39"/>
  <c r="JJ61" i="39" s="1"/>
  <c r="JI21" i="39"/>
  <c r="JJ60" i="39" s="1"/>
  <c r="JI20" i="39"/>
  <c r="JJ59" i="39" s="1"/>
  <c r="JI19" i="39"/>
  <c r="JJ58" i="39" s="1"/>
  <c r="JI18" i="39"/>
  <c r="JJ57" i="39" s="1"/>
  <c r="JH26" i="39"/>
  <c r="JI65" i="39" s="1"/>
  <c r="JH25" i="39"/>
  <c r="JI64" i="39" s="1"/>
  <c r="JH24" i="39"/>
  <c r="JI63" i="39" s="1"/>
  <c r="JH23" i="39"/>
  <c r="JI62" i="39" s="1"/>
  <c r="JH22" i="39"/>
  <c r="JI61" i="39" s="1"/>
  <c r="JH21" i="39"/>
  <c r="JI60" i="39" s="1"/>
  <c r="JH20" i="39"/>
  <c r="JI59" i="39" s="1"/>
  <c r="JH19" i="39"/>
  <c r="JI58" i="39" s="1"/>
  <c r="JH18" i="39"/>
  <c r="JI57" i="39" s="1"/>
  <c r="JG26" i="39"/>
  <c r="JG25" i="39"/>
  <c r="JG24" i="39"/>
  <c r="JG23" i="39"/>
  <c r="JG22" i="39"/>
  <c r="JG21" i="39"/>
  <c r="JG20" i="39"/>
  <c r="JG19" i="39"/>
  <c r="JG18" i="39"/>
  <c r="JF26" i="39"/>
  <c r="JG65" i="39" s="1"/>
  <c r="JF25" i="39"/>
  <c r="JG64" i="39" s="1"/>
  <c r="JF24" i="39"/>
  <c r="JG63" i="39" s="1"/>
  <c r="JF23" i="39"/>
  <c r="JG62" i="39" s="1"/>
  <c r="JF22" i="39"/>
  <c r="JG61" i="39" s="1"/>
  <c r="JF21" i="39"/>
  <c r="JG60" i="39" s="1"/>
  <c r="JF20" i="39"/>
  <c r="JG59" i="39" s="1"/>
  <c r="JF19" i="39"/>
  <c r="JG58" i="39" s="1"/>
  <c r="JF18" i="39"/>
  <c r="JG57" i="39" s="1"/>
  <c r="JE26" i="39"/>
  <c r="JF65" i="39" s="1"/>
  <c r="JE25" i="39"/>
  <c r="JF64" i="39" s="1"/>
  <c r="JE24" i="39"/>
  <c r="JF63" i="39" s="1"/>
  <c r="JE23" i="39"/>
  <c r="JF62" i="39" s="1"/>
  <c r="JE22" i="39"/>
  <c r="JF61" i="39" s="1"/>
  <c r="JE21" i="39"/>
  <c r="JF60" i="39" s="1"/>
  <c r="JE20" i="39"/>
  <c r="JF59" i="39" s="1"/>
  <c r="JE19" i="39"/>
  <c r="JF58" i="39" s="1"/>
  <c r="JE18" i="39"/>
  <c r="JF57" i="39" s="1"/>
  <c r="JD26" i="39"/>
  <c r="JD25" i="39"/>
  <c r="JD24" i="39"/>
  <c r="JD23" i="39"/>
  <c r="JD22" i="39"/>
  <c r="JD21" i="39"/>
  <c r="JD20" i="39"/>
  <c r="JD19" i="39"/>
  <c r="JD18" i="39"/>
  <c r="JC26" i="39"/>
  <c r="JD65" i="39" s="1"/>
  <c r="JC25" i="39"/>
  <c r="JD64" i="39" s="1"/>
  <c r="JC24" i="39"/>
  <c r="JD63" i="39" s="1"/>
  <c r="JC23" i="39"/>
  <c r="JD62" i="39" s="1"/>
  <c r="JC22" i="39"/>
  <c r="JD61" i="39" s="1"/>
  <c r="JC21" i="39"/>
  <c r="JD60" i="39" s="1"/>
  <c r="JC20" i="39"/>
  <c r="JD59" i="39" s="1"/>
  <c r="JC19" i="39"/>
  <c r="JD58" i="39" s="1"/>
  <c r="JC18" i="39"/>
  <c r="JD57" i="39" s="1"/>
  <c r="JB26" i="39"/>
  <c r="JC65" i="39" s="1"/>
  <c r="JB25" i="39"/>
  <c r="JC64" i="39" s="1"/>
  <c r="JB24" i="39"/>
  <c r="JC63" i="39" s="1"/>
  <c r="JB23" i="39"/>
  <c r="JC62" i="39" s="1"/>
  <c r="JB22" i="39"/>
  <c r="JC61" i="39" s="1"/>
  <c r="JB21" i="39"/>
  <c r="JC60" i="39" s="1"/>
  <c r="JB20" i="39"/>
  <c r="JC59" i="39" s="1"/>
  <c r="JB19" i="39"/>
  <c r="JC58" i="39" s="1"/>
  <c r="JB18" i="39"/>
  <c r="JC57" i="39" s="1"/>
  <c r="JA26" i="39"/>
  <c r="JA25" i="39"/>
  <c r="JA24" i="39"/>
  <c r="JA23" i="39"/>
  <c r="JA22" i="39"/>
  <c r="JA21" i="39"/>
  <c r="JA20" i="39"/>
  <c r="JA19" i="39"/>
  <c r="JA18" i="39"/>
  <c r="IZ26" i="39"/>
  <c r="JA65" i="39" s="1"/>
  <c r="IZ25" i="39"/>
  <c r="JA64" i="39" s="1"/>
  <c r="IZ24" i="39"/>
  <c r="JA63" i="39" s="1"/>
  <c r="IZ23" i="39"/>
  <c r="JA62" i="39" s="1"/>
  <c r="IZ22" i="39"/>
  <c r="JA61" i="39" s="1"/>
  <c r="IZ21" i="39"/>
  <c r="JA60" i="39" s="1"/>
  <c r="IZ20" i="39"/>
  <c r="JA59" i="39" s="1"/>
  <c r="IZ19" i="39"/>
  <c r="JA58" i="39" s="1"/>
  <c r="IZ18" i="39"/>
  <c r="JA57" i="39" s="1"/>
  <c r="IY26" i="39"/>
  <c r="IZ65" i="39" s="1"/>
  <c r="IY25" i="39"/>
  <c r="IZ64" i="39" s="1"/>
  <c r="IY24" i="39"/>
  <c r="IZ63" i="39" s="1"/>
  <c r="IY23" i="39"/>
  <c r="IZ62" i="39" s="1"/>
  <c r="IY22" i="39"/>
  <c r="IZ61" i="39" s="1"/>
  <c r="IY21" i="39"/>
  <c r="IZ60" i="39" s="1"/>
  <c r="IY20" i="39"/>
  <c r="IZ59" i="39" s="1"/>
  <c r="IY19" i="39"/>
  <c r="IZ58" i="39" s="1"/>
  <c r="IY18" i="39"/>
  <c r="IZ57" i="39" s="1"/>
  <c r="IX26" i="39"/>
  <c r="IX25" i="39"/>
  <c r="IX24" i="39"/>
  <c r="IX23" i="39"/>
  <c r="IX22" i="39"/>
  <c r="IX21" i="39"/>
  <c r="IX20" i="39"/>
  <c r="IX19" i="39"/>
  <c r="IX18" i="39"/>
  <c r="IW26" i="39"/>
  <c r="IX65" i="39" s="1"/>
  <c r="IW25" i="39"/>
  <c r="IX64" i="39" s="1"/>
  <c r="IW24" i="39"/>
  <c r="IX63" i="39" s="1"/>
  <c r="IW23" i="39"/>
  <c r="IX62" i="39" s="1"/>
  <c r="IW22" i="39"/>
  <c r="IX61" i="39" s="1"/>
  <c r="IW21" i="39"/>
  <c r="IX60" i="39" s="1"/>
  <c r="IW20" i="39"/>
  <c r="IX59" i="39" s="1"/>
  <c r="IW19" i="39"/>
  <c r="IX58" i="39" s="1"/>
  <c r="IW18" i="39"/>
  <c r="IX57" i="39" s="1"/>
  <c r="IV26" i="39"/>
  <c r="IW65" i="39" s="1"/>
  <c r="IV25" i="39"/>
  <c r="IW64" i="39" s="1"/>
  <c r="IV24" i="39"/>
  <c r="IW63" i="39" s="1"/>
  <c r="IV23" i="39"/>
  <c r="IW62" i="39" s="1"/>
  <c r="IV22" i="39"/>
  <c r="IW61" i="39" s="1"/>
  <c r="IV21" i="39"/>
  <c r="IW60" i="39" s="1"/>
  <c r="IV20" i="39"/>
  <c r="IW59" i="39" s="1"/>
  <c r="IV19" i="39"/>
  <c r="IW58" i="39" s="1"/>
  <c r="IV18" i="39"/>
  <c r="IW57" i="39" s="1"/>
  <c r="IU26" i="39"/>
  <c r="IU25" i="39"/>
  <c r="IU24" i="39"/>
  <c r="IU23" i="39"/>
  <c r="IU22" i="39"/>
  <c r="IU21" i="39"/>
  <c r="IU20" i="39"/>
  <c r="IU19" i="39"/>
  <c r="IU18" i="39"/>
  <c r="IT26" i="39"/>
  <c r="IT25" i="39"/>
  <c r="IT24" i="39"/>
  <c r="IT23" i="39"/>
  <c r="IT22" i="39"/>
  <c r="IT21" i="39"/>
  <c r="IT20" i="39"/>
  <c r="IT19" i="39"/>
  <c r="IT18" i="39"/>
  <c r="IS26" i="39"/>
  <c r="IS25" i="39"/>
  <c r="IS24" i="39"/>
  <c r="IS23" i="39"/>
  <c r="IS22" i="39"/>
  <c r="IS21" i="39"/>
  <c r="IS20" i="39"/>
  <c r="IS19" i="39"/>
  <c r="IS18" i="39"/>
  <c r="IR26" i="39"/>
  <c r="IR25" i="39"/>
  <c r="IR24" i="39"/>
  <c r="IR23" i="39"/>
  <c r="IR22" i="39"/>
  <c r="IR21" i="39"/>
  <c r="IR20" i="39"/>
  <c r="IR19" i="39"/>
  <c r="IR18" i="39"/>
  <c r="IQ26" i="39"/>
  <c r="IQ25" i="39"/>
  <c r="IQ24" i="39"/>
  <c r="IQ23" i="39"/>
  <c r="IQ22" i="39"/>
  <c r="IQ21" i="39"/>
  <c r="IQ20" i="39"/>
  <c r="IQ19" i="39"/>
  <c r="IQ18" i="39"/>
  <c r="IP26" i="39"/>
  <c r="IQ65" i="39" s="1"/>
  <c r="IP25" i="39"/>
  <c r="IQ64" i="39" s="1"/>
  <c r="IP24" i="39"/>
  <c r="IQ63" i="39" s="1"/>
  <c r="IP23" i="39"/>
  <c r="IQ62" i="39" s="1"/>
  <c r="IP22" i="39"/>
  <c r="IQ61" i="39" s="1"/>
  <c r="IP21" i="39"/>
  <c r="IP20" i="39"/>
  <c r="IQ59" i="39" s="1"/>
  <c r="IP19" i="39"/>
  <c r="IP18" i="39"/>
  <c r="IQ57" i="39" s="1"/>
  <c r="IQ58" i="39" l="1"/>
  <c r="IQ60" i="39"/>
  <c r="OJ184" i="39"/>
  <c r="OJ183" i="39"/>
  <c r="OJ182" i="39"/>
  <c r="OJ181" i="39"/>
  <c r="OJ180" i="39"/>
  <c r="OJ179" i="39"/>
  <c r="OJ178" i="39"/>
  <c r="OJ177" i="39"/>
  <c r="DT40" i="39"/>
  <c r="DT39" i="39"/>
  <c r="DT38" i="39"/>
  <c r="DT37" i="39"/>
  <c r="DT36" i="39"/>
  <c r="DT35" i="39"/>
  <c r="DT34" i="39"/>
  <c r="IN26" i="39"/>
  <c r="IN25" i="39"/>
  <c r="IN24" i="39"/>
  <c r="IN23" i="39"/>
  <c r="IN22" i="39"/>
  <c r="IN21" i="39"/>
  <c r="IN20" i="39"/>
  <c r="IN19" i="39"/>
  <c r="IN18" i="39"/>
  <c r="EG9" i="1"/>
  <c r="EG8" i="1"/>
  <c r="E56" i="22"/>
  <c r="F26" i="20"/>
  <c r="F28" i="20"/>
  <c r="F32" i="20"/>
  <c r="F22" i="20"/>
  <c r="F9" i="20"/>
  <c r="CB13" i="36"/>
  <c r="CB18" i="36"/>
  <c r="F34" i="28"/>
  <c r="IO25" i="39" l="1"/>
  <c r="IO84" i="39" s="1"/>
  <c r="IO64" i="39"/>
  <c r="IO24" i="39"/>
  <c r="IO83" i="39" s="1"/>
  <c r="IO63" i="39"/>
  <c r="IO18" i="39"/>
  <c r="IO77" i="39" s="1"/>
  <c r="IO57" i="39"/>
  <c r="IO20" i="39"/>
  <c r="IO79" i="39" s="1"/>
  <c r="IO59" i="39"/>
  <c r="IO26" i="39"/>
  <c r="IO85" i="39" s="1"/>
  <c r="IO65" i="39"/>
  <c r="IO23" i="39"/>
  <c r="IO82" i="39" s="1"/>
  <c r="IO62" i="39"/>
  <c r="IO22" i="39"/>
  <c r="IO81" i="39" s="1"/>
  <c r="IO61" i="39"/>
  <c r="IO21" i="39"/>
  <c r="IO80" i="39" s="1"/>
  <c r="IO60" i="39"/>
  <c r="IO19" i="39"/>
  <c r="IO78" i="39" s="1"/>
  <c r="IO58" i="39"/>
  <c r="IX81" i="39" l="1"/>
  <c r="IO154" i="39" s="1"/>
  <c r="HL153" i="67" s="1"/>
  <c r="IN81" i="39"/>
  <c r="IO127" i="39" s="1"/>
  <c r="HL54" i="67" s="1"/>
  <c r="IU81" i="39"/>
  <c r="IO145" i="39" s="1"/>
  <c r="HL120" i="67" s="1"/>
  <c r="JA81" i="39"/>
  <c r="IO163" i="39" s="1"/>
  <c r="HL186" i="67" s="1"/>
  <c r="IR81" i="39"/>
  <c r="IO136" i="39" s="1"/>
  <c r="HL87" i="67" s="1"/>
  <c r="JJ81" i="39"/>
  <c r="IO190" i="39" s="1"/>
  <c r="HL285" i="67" s="1"/>
  <c r="JD81" i="39"/>
  <c r="IO172" i="39" s="1"/>
  <c r="HL219" i="67" s="1"/>
  <c r="JG81" i="39"/>
  <c r="IO181" i="39" s="1"/>
  <c r="HL252" i="67" s="1"/>
  <c r="IN82" i="39"/>
  <c r="IP127" i="39" s="1"/>
  <c r="JE54" i="67" s="1"/>
  <c r="JA82" i="39"/>
  <c r="IP163" i="39" s="1"/>
  <c r="JE186" i="67" s="1"/>
  <c r="IX82" i="39"/>
  <c r="IP154" i="39" s="1"/>
  <c r="JE153" i="67" s="1"/>
  <c r="JJ82" i="39"/>
  <c r="IP190" i="39" s="1"/>
  <c r="JE285" i="67" s="1"/>
  <c r="IU82" i="39"/>
  <c r="IP145" i="39" s="1"/>
  <c r="JE120" i="67" s="1"/>
  <c r="JG82" i="39"/>
  <c r="IP181" i="39" s="1"/>
  <c r="JE252" i="67" s="1"/>
  <c r="JD82" i="39"/>
  <c r="IP172" i="39" s="1"/>
  <c r="JE219" i="67" s="1"/>
  <c r="IR82" i="39"/>
  <c r="IP136" i="39" s="1"/>
  <c r="JE87" i="67" s="1"/>
  <c r="IR78" i="39"/>
  <c r="IL136" i="39" s="1"/>
  <c r="JA78" i="39"/>
  <c r="IL163" i="39" s="1"/>
  <c r="IN78" i="39"/>
  <c r="IL127" i="39" s="1"/>
  <c r="JJ78" i="39"/>
  <c r="IL190" i="39" s="1"/>
  <c r="JD78" i="39"/>
  <c r="IL172" i="39" s="1"/>
  <c r="IX78" i="39"/>
  <c r="IL154" i="39" s="1"/>
  <c r="IU78" i="39"/>
  <c r="IL145" i="39" s="1"/>
  <c r="JG78" i="39"/>
  <c r="IL181" i="39" s="1"/>
  <c r="JJ84" i="39"/>
  <c r="IR190" i="39" s="1"/>
  <c r="MQ285" i="67" s="1"/>
  <c r="JD84" i="39"/>
  <c r="IR172" i="39" s="1"/>
  <c r="MQ219" i="67" s="1"/>
  <c r="IX84" i="39"/>
  <c r="IR154" i="39" s="1"/>
  <c r="MQ153" i="67" s="1"/>
  <c r="IR84" i="39"/>
  <c r="IR136" i="39" s="1"/>
  <c r="MQ87" i="67" s="1"/>
  <c r="IN84" i="39"/>
  <c r="IR127" i="39" s="1"/>
  <c r="MQ54" i="67" s="1"/>
  <c r="JG84" i="39"/>
  <c r="IR181" i="39" s="1"/>
  <c r="MQ252" i="67" s="1"/>
  <c r="JA84" i="39"/>
  <c r="IR163" i="39" s="1"/>
  <c r="MQ186" i="67" s="1"/>
  <c r="IU84" i="39"/>
  <c r="IR145" i="39" s="1"/>
  <c r="MQ120" i="67" s="1"/>
  <c r="JA83" i="39"/>
  <c r="IQ163" i="39" s="1"/>
  <c r="KX186" i="67" s="1"/>
  <c r="JJ83" i="39"/>
  <c r="IQ190" i="39" s="1"/>
  <c r="KX285" i="67" s="1"/>
  <c r="IU83" i="39"/>
  <c r="IQ145" i="39" s="1"/>
  <c r="KX120" i="67" s="1"/>
  <c r="IX83" i="39"/>
  <c r="IQ154" i="39" s="1"/>
  <c r="KX153" i="67" s="1"/>
  <c r="JD83" i="39"/>
  <c r="IQ172" i="39" s="1"/>
  <c r="KX219" i="67" s="1"/>
  <c r="IN83" i="39"/>
  <c r="IQ127" i="39" s="1"/>
  <c r="KX54" i="67" s="1"/>
  <c r="IR83" i="39"/>
  <c r="IQ136" i="39" s="1"/>
  <c r="KX87" i="67" s="1"/>
  <c r="JG83" i="39"/>
  <c r="IQ181" i="39" s="1"/>
  <c r="KX252" i="67" s="1"/>
  <c r="JJ80" i="39"/>
  <c r="IN190" i="39" s="1"/>
  <c r="FS285" i="67" s="1"/>
  <c r="IX80" i="39"/>
  <c r="IN154" i="39" s="1"/>
  <c r="FS153" i="67" s="1"/>
  <c r="IN80" i="39"/>
  <c r="IN127" i="39" s="1"/>
  <c r="FS54" i="67" s="1"/>
  <c r="JA80" i="39"/>
  <c r="IN163" i="39" s="1"/>
  <c r="FS186" i="67" s="1"/>
  <c r="JG80" i="39"/>
  <c r="IN181" i="39" s="1"/>
  <c r="FS252" i="67" s="1"/>
  <c r="IU80" i="39"/>
  <c r="IN145" i="39" s="1"/>
  <c r="FS120" i="67" s="1"/>
  <c r="JD80" i="39"/>
  <c r="IN172" i="39" s="1"/>
  <c r="FS219" i="67" s="1"/>
  <c r="IR80" i="39"/>
  <c r="IN136" i="39" s="1"/>
  <c r="FS87" i="67" s="1"/>
  <c r="JG79" i="39"/>
  <c r="IM181" i="39" s="1"/>
  <c r="DZ252" i="67" s="1"/>
  <c r="JJ79" i="39"/>
  <c r="IM190" i="39" s="1"/>
  <c r="DZ285" i="67" s="1"/>
  <c r="IN79" i="39"/>
  <c r="IM127" i="39" s="1"/>
  <c r="DZ54" i="67" s="1"/>
  <c r="IR79" i="39"/>
  <c r="IM136" i="39" s="1"/>
  <c r="DZ87" i="67" s="1"/>
  <c r="JD79" i="39"/>
  <c r="IM172" i="39" s="1"/>
  <c r="DZ219" i="67" s="1"/>
  <c r="IU79" i="39"/>
  <c r="IM145" i="39" s="1"/>
  <c r="DZ120" i="67" s="1"/>
  <c r="IX79" i="39"/>
  <c r="IM154" i="39" s="1"/>
  <c r="DZ153" i="67" s="1"/>
  <c r="JA79" i="39"/>
  <c r="IM163" i="39" s="1"/>
  <c r="DZ186" i="67" s="1"/>
  <c r="JJ77" i="39"/>
  <c r="IK190" i="39" s="1"/>
  <c r="AN285" i="67" s="1"/>
  <c r="JG77" i="39"/>
  <c r="IK181" i="39" s="1"/>
  <c r="AN252" i="67" s="1"/>
  <c r="JD77" i="39"/>
  <c r="IK172" i="39" s="1"/>
  <c r="AN219" i="67" s="1"/>
  <c r="JA77" i="39"/>
  <c r="IK163" i="39" s="1"/>
  <c r="AN186" i="67" s="1"/>
  <c r="IX77" i="39"/>
  <c r="IK154" i="39" s="1"/>
  <c r="AN153" i="67" s="1"/>
  <c r="IU77" i="39"/>
  <c r="IK145" i="39" s="1"/>
  <c r="AN120" i="67" s="1"/>
  <c r="IR77" i="39"/>
  <c r="IK136" i="39" s="1"/>
  <c r="AN87" i="67" s="1"/>
  <c r="IN77" i="39"/>
  <c r="JJ85" i="39"/>
  <c r="IS190" i="39" s="1"/>
  <c r="OJ285" i="67" s="1"/>
  <c r="IN85" i="39"/>
  <c r="IS127" i="39" s="1"/>
  <c r="OJ54" i="67" s="1"/>
  <c r="JG85" i="39"/>
  <c r="IS181" i="39" s="1"/>
  <c r="OJ252" i="67" s="1"/>
  <c r="JD85" i="39"/>
  <c r="IS172" i="39" s="1"/>
  <c r="OJ219" i="67" s="1"/>
  <c r="JA85" i="39"/>
  <c r="IS163" i="39" s="1"/>
  <c r="OJ186" i="67" s="1"/>
  <c r="IR85" i="39"/>
  <c r="IS136" i="39" s="1"/>
  <c r="OJ87" i="67" s="1"/>
  <c r="IX85" i="39"/>
  <c r="IS154" i="39" s="1"/>
  <c r="OJ153" i="67" s="1"/>
  <c r="IU85" i="39"/>
  <c r="IS145" i="39" s="1"/>
  <c r="OJ120" i="67" s="1"/>
  <c r="IP79" i="39"/>
  <c r="IM128" i="39" s="1"/>
  <c r="CQ58" i="67" s="1"/>
  <c r="JL79" i="39"/>
  <c r="IM192" i="39" s="1"/>
  <c r="CQ294" i="67" s="1"/>
  <c r="IQ79" i="39"/>
  <c r="IM129" i="39" s="1"/>
  <c r="CQ63" i="67" s="1"/>
  <c r="IQ81" i="39"/>
  <c r="IO129" i="39" s="1"/>
  <c r="GC63" i="67" s="1"/>
  <c r="IP81" i="39"/>
  <c r="IO128" i="39" s="1"/>
  <c r="GC58" i="67" s="1"/>
  <c r="IQ80" i="39"/>
  <c r="IN129" i="39" s="1"/>
  <c r="EJ63" i="67" s="1"/>
  <c r="IP80" i="39"/>
  <c r="IN128" i="39" s="1"/>
  <c r="EJ58" i="67" s="1"/>
  <c r="IP83" i="39"/>
  <c r="IQ128" i="39" s="1"/>
  <c r="JO58" i="67" s="1"/>
  <c r="IQ83" i="39"/>
  <c r="IQ129" i="39" s="1"/>
  <c r="JO63" i="67" s="1"/>
  <c r="IQ78" i="39"/>
  <c r="IL129" i="39" s="1"/>
  <c r="IP78" i="39"/>
  <c r="IL128" i="39" s="1"/>
  <c r="IQ82" i="39"/>
  <c r="IP129" i="39" s="1"/>
  <c r="HV63" i="67" s="1"/>
  <c r="IP82" i="39"/>
  <c r="IP128" i="39" s="1"/>
  <c r="HV58" i="67" s="1"/>
  <c r="IP85" i="39"/>
  <c r="IS128" i="39" s="1"/>
  <c r="NA58" i="67" s="1"/>
  <c r="IQ85" i="39"/>
  <c r="IS129" i="39" s="1"/>
  <c r="NA63" i="67" s="1"/>
  <c r="IQ84" i="39"/>
  <c r="IR129" i="39" s="1"/>
  <c r="LH63" i="67" s="1"/>
  <c r="IP84" i="39"/>
  <c r="IR128" i="39" s="1"/>
  <c r="LH58" i="67" s="1"/>
  <c r="IP77" i="39"/>
  <c r="IQ77" i="39"/>
  <c r="JH59" i="39"/>
  <c r="IV59" i="39"/>
  <c r="JB59" i="39"/>
  <c r="JE59" i="39"/>
  <c r="JK59" i="39"/>
  <c r="IY59" i="39"/>
  <c r="IS59" i="39"/>
  <c r="IP61" i="39"/>
  <c r="BE159" i="41" s="1"/>
  <c r="JH61" i="39"/>
  <c r="IV61" i="39"/>
  <c r="JK61" i="39"/>
  <c r="IY61" i="39"/>
  <c r="JB61" i="39"/>
  <c r="JE61" i="39"/>
  <c r="IS61" i="39"/>
  <c r="JE63" i="39"/>
  <c r="IS63" i="39"/>
  <c r="JH63" i="39"/>
  <c r="IV63" i="39"/>
  <c r="JB63" i="39"/>
  <c r="JK63" i="39"/>
  <c r="IY63" i="39"/>
  <c r="JE62" i="39"/>
  <c r="IS62" i="39"/>
  <c r="JH62" i="39"/>
  <c r="IV62" i="39"/>
  <c r="JK62" i="39"/>
  <c r="IY62" i="39"/>
  <c r="JB62" i="39"/>
  <c r="JE65" i="39"/>
  <c r="IS65" i="39"/>
  <c r="IY65" i="39"/>
  <c r="JB65" i="39"/>
  <c r="JK65" i="39"/>
  <c r="JH65" i="39"/>
  <c r="IV65" i="39"/>
  <c r="JB64" i="39"/>
  <c r="JH64" i="39"/>
  <c r="IV64" i="39"/>
  <c r="IY64" i="39"/>
  <c r="JE64" i="39"/>
  <c r="IS64" i="39"/>
  <c r="JK64" i="39"/>
  <c r="IP60" i="39"/>
  <c r="AW159" i="41" s="1"/>
  <c r="JB60" i="39"/>
  <c r="JK60" i="39"/>
  <c r="IY60" i="39"/>
  <c r="JE60" i="39"/>
  <c r="IV60" i="39"/>
  <c r="JH60" i="39"/>
  <c r="IS60" i="39"/>
  <c r="JB57" i="39"/>
  <c r="JK57" i="39"/>
  <c r="IY57" i="39"/>
  <c r="IV57" i="39"/>
  <c r="JE57" i="39"/>
  <c r="JH57" i="39"/>
  <c r="JK58" i="39"/>
  <c r="JH58" i="39"/>
  <c r="IS58" i="39"/>
  <c r="JE58" i="39"/>
  <c r="JB58" i="39"/>
  <c r="IY58" i="39"/>
  <c r="IV58" i="39"/>
  <c r="JI40" i="39"/>
  <c r="IP59" i="39"/>
  <c r="AO159" i="41" s="1"/>
  <c r="IY43" i="39"/>
  <c r="IP62" i="39"/>
  <c r="BM159" i="41" s="1"/>
  <c r="IR38" i="39"/>
  <c r="IP57" i="39"/>
  <c r="Y159" i="41" s="1"/>
  <c r="JE39" i="39"/>
  <c r="IP58" i="39"/>
  <c r="AG159" i="41" s="1"/>
  <c r="JI46" i="39"/>
  <c r="IP65" i="39"/>
  <c r="CK159" i="41" s="1"/>
  <c r="IV44" i="39"/>
  <c r="IP63" i="39"/>
  <c r="BU159" i="41" s="1"/>
  <c r="IQ45" i="39"/>
  <c r="CE51" i="22" s="1"/>
  <c r="IP64" i="39"/>
  <c r="CC159" i="41" s="1"/>
  <c r="IW45" i="39"/>
  <c r="IO45" i="39"/>
  <c r="CE45" i="22" s="1"/>
  <c r="IU45" i="39"/>
  <c r="IV45" i="39"/>
  <c r="JA45" i="39"/>
  <c r="IP45" i="39"/>
  <c r="CE48" i="22" s="1"/>
  <c r="JE45" i="39"/>
  <c r="IP38" i="39"/>
  <c r="AA48" i="22" s="1"/>
  <c r="IZ45" i="39"/>
  <c r="IW38" i="39"/>
  <c r="IT45" i="39"/>
  <c r="JD45" i="39"/>
  <c r="IO40" i="39"/>
  <c r="AQ45" i="22" s="1"/>
  <c r="JC46" i="39"/>
  <c r="IR46" i="39"/>
  <c r="JB38" i="39"/>
  <c r="JI45" i="39"/>
  <c r="IU38" i="39"/>
  <c r="JK45" i="39"/>
  <c r="IQ40" i="39"/>
  <c r="AQ51" i="22" s="1"/>
  <c r="JF40" i="39"/>
  <c r="IX46" i="39"/>
  <c r="JD40" i="39"/>
  <c r="JA46" i="39"/>
  <c r="JH44" i="39"/>
  <c r="IP46" i="39"/>
  <c r="CM48" i="22" s="1"/>
  <c r="JA40" i="39"/>
  <c r="IZ46" i="39"/>
  <c r="JE40" i="39"/>
  <c r="JH46" i="39"/>
  <c r="IV40" i="39"/>
  <c r="JJ46" i="39"/>
  <c r="JB46" i="39"/>
  <c r="IY46" i="39"/>
  <c r="IV39" i="39"/>
  <c r="JH39" i="39"/>
  <c r="JF46" i="39"/>
  <c r="JE44" i="39"/>
  <c r="IO46" i="39"/>
  <c r="CM45" i="22" s="1"/>
  <c r="IW40" i="39"/>
  <c r="IS46" i="39"/>
  <c r="IY44" i="39"/>
  <c r="IO44" i="39"/>
  <c r="BW45" i="22" s="1"/>
  <c r="JD43" i="39"/>
  <c r="IT44" i="39"/>
  <c r="JJ44" i="39"/>
  <c r="BW132" i="22" s="1"/>
  <c r="JC44" i="39"/>
  <c r="IU39" i="39"/>
  <c r="IW44" i="39"/>
  <c r="IS39" i="39"/>
  <c r="JD46" i="39"/>
  <c r="IV46" i="39"/>
  <c r="JL46" i="39"/>
  <c r="IS45" i="39"/>
  <c r="IX45" i="39"/>
  <c r="JL45" i="39"/>
  <c r="JI39" i="39"/>
  <c r="JK44" i="39"/>
  <c r="IS44" i="39"/>
  <c r="JJ39" i="39"/>
  <c r="AI132" i="22" s="1"/>
  <c r="IU44" i="39"/>
  <c r="IO39" i="39"/>
  <c r="AI45" i="22" s="1"/>
  <c r="IV43" i="39"/>
  <c r="JE46" i="39"/>
  <c r="IQ46" i="39"/>
  <c r="CM51" i="22" s="1"/>
  <c r="JK46" i="39"/>
  <c r="JF45" i="39"/>
  <c r="JJ45" i="39"/>
  <c r="CE132" i="22" s="1"/>
  <c r="JB45" i="39"/>
  <c r="IY39" i="39"/>
  <c r="JA44" i="39"/>
  <c r="JF44" i="39"/>
  <c r="JL40" i="39"/>
  <c r="JK43" i="39"/>
  <c r="IU46" i="39"/>
  <c r="IW46" i="39"/>
  <c r="IR45" i="39"/>
  <c r="JG45" i="39"/>
  <c r="IY45" i="39"/>
  <c r="JC45" i="39"/>
  <c r="JA39" i="39"/>
  <c r="JL44" i="39"/>
  <c r="JG44" i="39"/>
  <c r="IT46" i="39"/>
  <c r="JG46" i="39"/>
  <c r="JH45" i="39"/>
  <c r="JG39" i="39"/>
  <c r="JC39" i="39"/>
  <c r="JB44" i="39"/>
  <c r="IX39" i="39"/>
  <c r="IR44" i="39"/>
  <c r="IQ44" i="39"/>
  <c r="BW51" i="22" s="1"/>
  <c r="IP44" i="39"/>
  <c r="BW48" i="22" s="1"/>
  <c r="JD44" i="39"/>
  <c r="IX38" i="39"/>
  <c r="IS38" i="39"/>
  <c r="IO38" i="39"/>
  <c r="JE38" i="39"/>
  <c r="JI38" i="39"/>
  <c r="JF38" i="39"/>
  <c r="IZ38" i="39"/>
  <c r="JG38" i="39"/>
  <c r="JA38" i="39"/>
  <c r="IY38" i="39"/>
  <c r="JL38" i="39"/>
  <c r="JW40" i="39"/>
  <c r="JH40" i="39"/>
  <c r="JG40" i="39"/>
  <c r="IS57" i="39"/>
  <c r="JW38" i="39"/>
  <c r="JB40" i="39"/>
  <c r="IR40" i="39"/>
  <c r="IT38" i="39"/>
  <c r="JK38" i="39"/>
  <c r="JJ38" i="39"/>
  <c r="JL39" i="39"/>
  <c r="IZ44" i="39"/>
  <c r="JI44" i="39"/>
  <c r="JC38" i="39"/>
  <c r="IV38" i="39"/>
  <c r="IQ38" i="39"/>
  <c r="AA51" i="22" s="1"/>
  <c r="JW44" i="39"/>
  <c r="IP40" i="39"/>
  <c r="AQ48" i="22" s="1"/>
  <c r="IX40" i="39"/>
  <c r="JJ40" i="39"/>
  <c r="AQ132" i="22" s="1"/>
  <c r="IS40" i="39"/>
  <c r="IY40" i="39"/>
  <c r="JC40" i="39"/>
  <c r="IT40" i="39"/>
  <c r="JD38" i="39"/>
  <c r="JH38" i="39"/>
  <c r="IX44" i="39"/>
  <c r="IZ40" i="39"/>
  <c r="JK40" i="39"/>
  <c r="IU40" i="39"/>
  <c r="JW46" i="39"/>
  <c r="JW45" i="39"/>
  <c r="IQ43" i="39"/>
  <c r="BO51" i="22" s="1"/>
  <c r="IW43" i="39"/>
  <c r="JA43" i="39"/>
  <c r="IR43" i="39"/>
  <c r="JH43" i="39"/>
  <c r="IS43" i="39"/>
  <c r="JE43" i="39"/>
  <c r="IX43" i="39"/>
  <c r="IO43" i="39"/>
  <c r="BO45" i="22" s="1"/>
  <c r="JI43" i="39"/>
  <c r="IP43" i="39"/>
  <c r="BO48" i="22" s="1"/>
  <c r="JF43" i="39"/>
  <c r="JJ43" i="39"/>
  <c r="BO132" i="22" s="1"/>
  <c r="JB43" i="39"/>
  <c r="IZ43" i="39"/>
  <c r="IT43" i="39"/>
  <c r="JL43" i="39"/>
  <c r="IU43" i="39"/>
  <c r="JC43" i="39"/>
  <c r="JG43" i="39"/>
  <c r="JW43" i="39"/>
  <c r="IT42" i="39"/>
  <c r="JW42" i="39"/>
  <c r="JH42" i="39"/>
  <c r="JE42" i="39"/>
  <c r="IP42" i="39"/>
  <c r="BG48" i="22" s="1"/>
  <c r="IY42" i="39"/>
  <c r="JF42" i="39"/>
  <c r="JC42" i="39"/>
  <c r="IU42" i="39"/>
  <c r="JK42" i="39"/>
  <c r="IX42" i="39"/>
  <c r="IQ42" i="39"/>
  <c r="BG51" i="22" s="1"/>
  <c r="JA42" i="39"/>
  <c r="IR42" i="39"/>
  <c r="JD42" i="39"/>
  <c r="JL42" i="39"/>
  <c r="IV42" i="39"/>
  <c r="JJ42" i="39"/>
  <c r="BG132" i="22" s="1"/>
  <c r="JI42" i="39"/>
  <c r="JG42" i="39"/>
  <c r="IO42" i="39"/>
  <c r="IW42" i="39"/>
  <c r="IS42" i="39"/>
  <c r="IZ42" i="39"/>
  <c r="JB42" i="39"/>
  <c r="JW41" i="39"/>
  <c r="JK41" i="39"/>
  <c r="IQ41" i="39"/>
  <c r="AY51" i="22" s="1"/>
  <c r="JB41" i="39"/>
  <c r="IW41" i="39"/>
  <c r="IT41" i="39"/>
  <c r="IY41" i="39"/>
  <c r="JH41" i="39"/>
  <c r="JI41" i="39"/>
  <c r="IU41" i="39"/>
  <c r="IO41" i="39"/>
  <c r="IR41" i="39"/>
  <c r="IZ41" i="39"/>
  <c r="IX41" i="39"/>
  <c r="IP41" i="39"/>
  <c r="AY48" i="22" s="1"/>
  <c r="JL41" i="39"/>
  <c r="JG41" i="39"/>
  <c r="IV41" i="39"/>
  <c r="JJ41" i="39"/>
  <c r="AY132" i="22" s="1"/>
  <c r="IS41" i="39"/>
  <c r="JC41" i="39"/>
  <c r="JA41" i="39"/>
  <c r="JE41" i="39"/>
  <c r="JF41" i="39"/>
  <c r="JD41" i="39"/>
  <c r="IP39" i="39"/>
  <c r="AI48" i="22" s="1"/>
  <c r="IR39" i="39"/>
  <c r="JB39" i="39"/>
  <c r="JK39" i="39"/>
  <c r="JD39" i="39"/>
  <c r="IQ39" i="39"/>
  <c r="AI51" i="22" s="1"/>
  <c r="IT39" i="39"/>
  <c r="JF39" i="39"/>
  <c r="IW39" i="39"/>
  <c r="IZ39" i="39"/>
  <c r="JW39" i="39"/>
  <c r="DS20" i="36"/>
  <c r="AIC49" i="50"/>
  <c r="AIA49" i="50"/>
  <c r="AIC48" i="50"/>
  <c r="AIA48" i="50"/>
  <c r="AIC47" i="50"/>
  <c r="AIA47" i="50"/>
  <c r="AIC46" i="50"/>
  <c r="AIA46" i="50"/>
  <c r="AIC45" i="50"/>
  <c r="AIA45" i="50"/>
  <c r="AIC44" i="50"/>
  <c r="AIA44" i="50"/>
  <c r="AIC43" i="50"/>
  <c r="AIA43" i="50"/>
  <c r="AIC42" i="50"/>
  <c r="AIA42" i="50"/>
  <c r="L136" i="55"/>
  <c r="L132" i="55"/>
  <c r="ADT49" i="50"/>
  <c r="ADR49" i="50"/>
  <c r="ADT48" i="50"/>
  <c r="ADR48" i="50"/>
  <c r="ADT47" i="50"/>
  <c r="ADR47" i="50"/>
  <c r="ADT46" i="50"/>
  <c r="ADR46" i="50"/>
  <c r="ADT45" i="50"/>
  <c r="ADR45" i="50"/>
  <c r="ADT44" i="50"/>
  <c r="ADR44" i="50"/>
  <c r="ADT43" i="50"/>
  <c r="ADR43" i="50"/>
  <c r="ADT42" i="50"/>
  <c r="ADR42" i="50"/>
  <c r="ADJ49" i="50"/>
  <c r="ADH49" i="50"/>
  <c r="ADJ48" i="50"/>
  <c r="ADH48" i="50"/>
  <c r="ADJ47" i="50"/>
  <c r="ADH47" i="50"/>
  <c r="ADJ46" i="50"/>
  <c r="ADH46" i="50"/>
  <c r="ADJ45" i="50"/>
  <c r="ADH45" i="50"/>
  <c r="ADJ44" i="50"/>
  <c r="ADH44" i="50"/>
  <c r="ADJ43" i="50"/>
  <c r="ADH43" i="50"/>
  <c r="ADJ42" i="50"/>
  <c r="ADH42" i="50"/>
  <c r="ADZ39" i="50"/>
  <c r="L120" i="55" s="1"/>
  <c r="ADR39" i="50"/>
  <c r="L118" i="55" s="1"/>
  <c r="L114" i="55"/>
  <c r="L110" i="55"/>
  <c r="F62" i="15"/>
  <c r="F60" i="15"/>
  <c r="F58" i="15"/>
  <c r="F56" i="15"/>
  <c r="F64" i="15"/>
  <c r="F66" i="15"/>
  <c r="F68" i="15"/>
  <c r="F9" i="15"/>
  <c r="L206" i="55"/>
  <c r="AJU49" i="50"/>
  <c r="AJS49" i="50"/>
  <c r="AJU48" i="50"/>
  <c r="AJS48" i="50"/>
  <c r="AJU47" i="50"/>
  <c r="AJS47" i="50"/>
  <c r="AJU46" i="50"/>
  <c r="AJS46" i="50"/>
  <c r="AJU45" i="50"/>
  <c r="AJS45" i="50"/>
  <c r="AJU44" i="50"/>
  <c r="AJS44" i="50"/>
  <c r="AJU43" i="50"/>
  <c r="AJS43" i="50"/>
  <c r="AJU42" i="50"/>
  <c r="AJS42" i="50"/>
  <c r="AJS39" i="50"/>
  <c r="AIU39" i="50"/>
  <c r="AJK39" i="50"/>
  <c r="JL80" i="39" l="1"/>
  <c r="IN192" i="39" s="1"/>
  <c r="EJ294" i="67" s="1"/>
  <c r="JK81" i="39"/>
  <c r="IO191" i="39" s="1"/>
  <c r="GC289" i="67" s="1"/>
  <c r="IS84" i="39"/>
  <c r="IR137" i="39" s="1"/>
  <c r="LH91" i="67" s="1"/>
  <c r="IS78" i="39"/>
  <c r="IL137" i="39" s="1"/>
  <c r="AX91" i="67" s="1"/>
  <c r="JK83" i="39"/>
  <c r="IQ191" i="39" s="1"/>
  <c r="JO289" i="67" s="1"/>
  <c r="IY81" i="39"/>
  <c r="IO155" i="39" s="1"/>
  <c r="GC157" i="67" s="1"/>
  <c r="JF84" i="39"/>
  <c r="IR174" i="39" s="1"/>
  <c r="LH228" i="67" s="1"/>
  <c r="JK82" i="39"/>
  <c r="IP191" i="39" s="1"/>
  <c r="HV289" i="67" s="1"/>
  <c r="JI82" i="39"/>
  <c r="IP183" i="39" s="1"/>
  <c r="HV261" i="67" s="1"/>
  <c r="IY83" i="39"/>
  <c r="IQ155" i="39" s="1"/>
  <c r="JO157" i="67" s="1"/>
  <c r="JE77" i="39"/>
  <c r="IK173" i="39" s="1"/>
  <c r="E223" i="67" s="1"/>
  <c r="JB80" i="39"/>
  <c r="IN164" i="39" s="1"/>
  <c r="EJ190" i="67" s="1"/>
  <c r="JB85" i="39"/>
  <c r="IS164" i="39" s="1"/>
  <c r="NA190" i="67" s="1"/>
  <c r="JF83" i="39"/>
  <c r="IQ174" i="39" s="1"/>
  <c r="JO228" i="67" s="1"/>
  <c r="JK85" i="39"/>
  <c r="IS191" i="39" s="1"/>
  <c r="NA289" i="67" s="1"/>
  <c r="JI85" i="39"/>
  <c r="IS183" i="39" s="1"/>
  <c r="NA261" i="67" s="1"/>
  <c r="JE85" i="39"/>
  <c r="IS173" i="39" s="1"/>
  <c r="NA223" i="67" s="1"/>
  <c r="IZ85" i="39"/>
  <c r="IS156" i="39" s="1"/>
  <c r="NA162" i="67" s="1"/>
  <c r="JK84" i="39"/>
  <c r="IR191" i="39" s="1"/>
  <c r="LH289" i="67" s="1"/>
  <c r="IY84" i="39"/>
  <c r="IR155" i="39" s="1"/>
  <c r="LH157" i="67" s="1"/>
  <c r="JI84" i="39"/>
  <c r="IR183" i="39" s="1"/>
  <c r="LH261" i="67" s="1"/>
  <c r="IV83" i="39"/>
  <c r="IQ146" i="39" s="1"/>
  <c r="JO124" i="67" s="1"/>
  <c r="JB83" i="39"/>
  <c r="IQ164" i="39" s="1"/>
  <c r="JO190" i="67" s="1"/>
  <c r="IS83" i="39"/>
  <c r="IQ137" i="39" s="1"/>
  <c r="JO91" i="67" s="1"/>
  <c r="JB82" i="39"/>
  <c r="IP164" i="39" s="1"/>
  <c r="HV190" i="67" s="1"/>
  <c r="IY82" i="39"/>
  <c r="IP155" i="39" s="1"/>
  <c r="HV157" i="67" s="1"/>
  <c r="JF82" i="39"/>
  <c r="IP174" i="39" s="1"/>
  <c r="HV228" i="67" s="1"/>
  <c r="JF81" i="39"/>
  <c r="IO174" i="39" s="1"/>
  <c r="GC228" i="67" s="1"/>
  <c r="JC81" i="39"/>
  <c r="IO165" i="39" s="1"/>
  <c r="GC195" i="67" s="1"/>
  <c r="IW81" i="39"/>
  <c r="IO147" i="39" s="1"/>
  <c r="GC129" i="67" s="1"/>
  <c r="JE80" i="39"/>
  <c r="IN173" i="39" s="1"/>
  <c r="EJ223" i="67" s="1"/>
  <c r="IY80" i="39"/>
  <c r="IN155" i="39" s="1"/>
  <c r="EJ157" i="67" s="1"/>
  <c r="IW80" i="39"/>
  <c r="IN147" i="39" s="1"/>
  <c r="EJ129" i="67" s="1"/>
  <c r="JH79" i="39"/>
  <c r="IM182" i="39" s="1"/>
  <c r="CQ256" i="67" s="1"/>
  <c r="IS79" i="39"/>
  <c r="IM137" i="39" s="1"/>
  <c r="CQ91" i="67" s="1"/>
  <c r="CG120" i="67"/>
  <c r="AX58" i="67"/>
  <c r="AX63" i="67"/>
  <c r="CG153" i="67"/>
  <c r="CG219" i="67"/>
  <c r="JF79" i="39"/>
  <c r="IM174" i="39" s="1"/>
  <c r="CQ228" i="67" s="1"/>
  <c r="CG285" i="67"/>
  <c r="CG252" i="67"/>
  <c r="IY79" i="39"/>
  <c r="IM155" i="39" s="1"/>
  <c r="CQ157" i="67" s="1"/>
  <c r="CG54" i="67"/>
  <c r="CG186" i="67"/>
  <c r="CG87" i="67"/>
  <c r="JK78" i="39"/>
  <c r="IL191" i="39" s="1"/>
  <c r="JI78" i="39"/>
  <c r="IL183" i="39" s="1"/>
  <c r="JE78" i="39"/>
  <c r="IL173" i="39" s="1"/>
  <c r="JC78" i="39"/>
  <c r="IL165" i="39" s="1"/>
  <c r="IW78" i="39"/>
  <c r="IL147" i="39" s="1"/>
  <c r="JI80" i="39"/>
  <c r="IN183" i="39" s="1"/>
  <c r="EJ261" i="67" s="1"/>
  <c r="IW82" i="39"/>
  <c r="IP147" i="39" s="1"/>
  <c r="HV129" i="67" s="1"/>
  <c r="JH81" i="39"/>
  <c r="IO182" i="39" s="1"/>
  <c r="GC256" i="67" s="1"/>
  <c r="IS82" i="39"/>
  <c r="IP137" i="39" s="1"/>
  <c r="HV91" i="67" s="1"/>
  <c r="JC79" i="39"/>
  <c r="IM165" i="39" s="1"/>
  <c r="CQ195" i="67" s="1"/>
  <c r="IS81" i="39"/>
  <c r="IO137" i="39" s="1"/>
  <c r="GC91" i="67" s="1"/>
  <c r="IS85" i="39"/>
  <c r="IS137" i="39" s="1"/>
  <c r="NA91" i="67" s="1"/>
  <c r="JH83" i="39"/>
  <c r="IQ182" i="39" s="1"/>
  <c r="JO256" i="67" s="1"/>
  <c r="IW79" i="39"/>
  <c r="IM147" i="39" s="1"/>
  <c r="CQ129" i="67" s="1"/>
  <c r="JK77" i="39"/>
  <c r="IK191" i="39" s="1"/>
  <c r="E289" i="67" s="1"/>
  <c r="IY78" i="39"/>
  <c r="IL155" i="39" s="1"/>
  <c r="JI77" i="39"/>
  <c r="IK183" i="39" s="1"/>
  <c r="E261" i="67" s="1"/>
  <c r="JB77" i="39"/>
  <c r="IK164" i="39" s="1"/>
  <c r="E190" i="67" s="1"/>
  <c r="IY77" i="39"/>
  <c r="IK155" i="39" s="1"/>
  <c r="E157" i="67" s="1"/>
  <c r="IV77" i="39"/>
  <c r="IK146" i="39" s="1"/>
  <c r="E124" i="67" s="1"/>
  <c r="JC84" i="39"/>
  <c r="IR165" i="39" s="1"/>
  <c r="LH195" i="67" s="1"/>
  <c r="IV84" i="39"/>
  <c r="IR146" i="39" s="1"/>
  <c r="LH124" i="67" s="1"/>
  <c r="IT80" i="39"/>
  <c r="IN138" i="39" s="1"/>
  <c r="EJ96" i="67" s="1"/>
  <c r="IK129" i="39"/>
  <c r="IK127" i="39"/>
  <c r="IK128" i="39"/>
  <c r="IT77" i="39"/>
  <c r="IK138" i="39" s="1"/>
  <c r="E96" i="67" s="1"/>
  <c r="IW85" i="39"/>
  <c r="IS147" i="39" s="1"/>
  <c r="NA129" i="67" s="1"/>
  <c r="JI83" i="39"/>
  <c r="IQ183" i="39" s="1"/>
  <c r="JO261" i="67" s="1"/>
  <c r="IT82" i="39"/>
  <c r="IP138" i="39" s="1"/>
  <c r="HV96" i="67" s="1"/>
  <c r="IT78" i="39"/>
  <c r="IL138" i="39" s="1"/>
  <c r="IT83" i="39"/>
  <c r="IQ138" i="39" s="1"/>
  <c r="JO96" i="67" s="1"/>
  <c r="JB79" i="39"/>
  <c r="IM164" i="39" s="1"/>
  <c r="CQ190" i="67" s="1"/>
  <c r="JE79" i="39"/>
  <c r="IM173" i="39" s="1"/>
  <c r="CQ223" i="67" s="1"/>
  <c r="JE82" i="39"/>
  <c r="IP173" i="39" s="1"/>
  <c r="HV223" i="67" s="1"/>
  <c r="JH78" i="39"/>
  <c r="IL182" i="39" s="1"/>
  <c r="JI81" i="39"/>
  <c r="IO183" i="39" s="1"/>
  <c r="GC261" i="67" s="1"/>
  <c r="JL78" i="39"/>
  <c r="IL192" i="39" s="1"/>
  <c r="JC83" i="39"/>
  <c r="IQ165" i="39" s="1"/>
  <c r="JO195" i="67" s="1"/>
  <c r="JB81" i="39"/>
  <c r="IO164" i="39" s="1"/>
  <c r="GC190" i="67" s="1"/>
  <c r="IV79" i="39"/>
  <c r="IM146" i="39" s="1"/>
  <c r="CQ124" i="67" s="1"/>
  <c r="JH82" i="39"/>
  <c r="IP182" i="39" s="1"/>
  <c r="HV256" i="67" s="1"/>
  <c r="IZ79" i="39"/>
  <c r="IM156" i="39" s="1"/>
  <c r="CQ162" i="67" s="1"/>
  <c r="IT79" i="39"/>
  <c r="IM138" i="39" s="1"/>
  <c r="CQ96" i="67" s="1"/>
  <c r="JK79" i="39"/>
  <c r="IM191" i="39" s="1"/>
  <c r="CQ289" i="67" s="1"/>
  <c r="JC82" i="39"/>
  <c r="IP165" i="39" s="1"/>
  <c r="HV195" i="67" s="1"/>
  <c r="IV78" i="39"/>
  <c r="IL146" i="39" s="1"/>
  <c r="JE83" i="39"/>
  <c r="IZ83" i="39"/>
  <c r="IQ156" i="39" s="1"/>
  <c r="JO162" i="67" s="1"/>
  <c r="IW84" i="39"/>
  <c r="IR147" i="39" s="1"/>
  <c r="LH129" i="67" s="1"/>
  <c r="JB84" i="39"/>
  <c r="IR164" i="39" s="1"/>
  <c r="LH190" i="67" s="1"/>
  <c r="JL84" i="39"/>
  <c r="IR192" i="39" s="1"/>
  <c r="LH294" i="67" s="1"/>
  <c r="IT84" i="39"/>
  <c r="IR138" i="39" s="1"/>
  <c r="LH96" i="67" s="1"/>
  <c r="JH80" i="39"/>
  <c r="IN182" i="39" s="1"/>
  <c r="EJ256" i="67" s="1"/>
  <c r="IZ80" i="39"/>
  <c r="IN156" i="39" s="1"/>
  <c r="EJ162" i="67" s="1"/>
  <c r="IV85" i="39"/>
  <c r="IS146" i="39" s="1"/>
  <c r="NA124" i="67" s="1"/>
  <c r="IT85" i="39"/>
  <c r="IS138" i="39" s="1"/>
  <c r="NA96" i="67" s="1"/>
  <c r="JH85" i="39"/>
  <c r="IS182" i="39" s="1"/>
  <c r="NA256" i="67" s="1"/>
  <c r="JC85" i="39"/>
  <c r="IS165" i="39" s="1"/>
  <c r="NA195" i="67" s="1"/>
  <c r="IW83" i="39"/>
  <c r="IQ147" i="39" s="1"/>
  <c r="JO129" i="67" s="1"/>
  <c r="IZ84" i="39"/>
  <c r="IR156" i="39" s="1"/>
  <c r="LH162" i="67" s="1"/>
  <c r="IT81" i="39"/>
  <c r="IO138" i="39" s="1"/>
  <c r="GC96" i="67" s="1"/>
  <c r="IZ81" i="39"/>
  <c r="IO156" i="39" s="1"/>
  <c r="GC162" i="67" s="1"/>
  <c r="JC80" i="39"/>
  <c r="IN165" i="39" s="1"/>
  <c r="EJ195" i="67" s="1"/>
  <c r="JK80" i="39"/>
  <c r="IN191" i="39" s="1"/>
  <c r="EJ289" i="67" s="1"/>
  <c r="JF80" i="39"/>
  <c r="IN174" i="39" s="1"/>
  <c r="EJ228" i="67" s="1"/>
  <c r="IV80" i="39"/>
  <c r="IN146" i="39" s="1"/>
  <c r="EJ124" i="67" s="1"/>
  <c r="IZ82" i="39"/>
  <c r="IP156" i="39" s="1"/>
  <c r="HV162" i="67" s="1"/>
  <c r="JL82" i="39"/>
  <c r="IP192" i="39" s="1"/>
  <c r="HV294" i="67" s="1"/>
  <c r="JL81" i="39"/>
  <c r="IO192" i="39" s="1"/>
  <c r="GC294" i="67" s="1"/>
  <c r="JE84" i="39"/>
  <c r="IR173" i="39" s="1"/>
  <c r="LH223" i="67" s="1"/>
  <c r="IY85" i="39"/>
  <c r="IS155" i="39" s="1"/>
  <c r="NA157" i="67" s="1"/>
  <c r="IV82" i="39"/>
  <c r="IP146" i="39" s="1"/>
  <c r="HV124" i="67" s="1"/>
  <c r="JB78" i="39"/>
  <c r="IL164" i="39" s="1"/>
  <c r="IZ78" i="39"/>
  <c r="IL156" i="39" s="1"/>
  <c r="JL83" i="39"/>
  <c r="IQ192" i="39" s="1"/>
  <c r="JO294" i="67" s="1"/>
  <c r="JI79" i="39"/>
  <c r="IM183" i="39" s="1"/>
  <c r="CQ261" i="67" s="1"/>
  <c r="JH84" i="39"/>
  <c r="IR182" i="39" s="1"/>
  <c r="LH256" i="67" s="1"/>
  <c r="JE81" i="39"/>
  <c r="IO173" i="39" s="1"/>
  <c r="GC223" i="67" s="1"/>
  <c r="IV81" i="39"/>
  <c r="JF78" i="39"/>
  <c r="IL174" i="39" s="1"/>
  <c r="JL85" i="39"/>
  <c r="IS192" i="39" s="1"/>
  <c r="NA294" i="67" s="1"/>
  <c r="JF85" i="39"/>
  <c r="IS174" i="39" s="1"/>
  <c r="NA228" i="67" s="1"/>
  <c r="IS80" i="39"/>
  <c r="JL77" i="39"/>
  <c r="IK192" i="39" s="1"/>
  <c r="E294" i="67" s="1"/>
  <c r="IS77" i="39"/>
  <c r="IK137" i="39" s="1"/>
  <c r="E91" i="67" s="1"/>
  <c r="IW77" i="39"/>
  <c r="IK147" i="39" s="1"/>
  <c r="E129" i="67" s="1"/>
  <c r="IZ77" i="39"/>
  <c r="IK156" i="39" s="1"/>
  <c r="E162" i="67" s="1"/>
  <c r="JC77" i="39"/>
  <c r="IK165" i="39" s="1"/>
  <c r="E195" i="67" s="1"/>
  <c r="JF77" i="39"/>
  <c r="IK174" i="39" s="1"/>
  <c r="E228" i="67" s="1"/>
  <c r="JH77" i="39"/>
  <c r="IK182" i="39" s="1"/>
  <c r="E256" i="67" s="1"/>
  <c r="AA45" i="22"/>
  <c r="JN38" i="39"/>
  <c r="JM63" i="39"/>
  <c r="JM59" i="39"/>
  <c r="JM62" i="39"/>
  <c r="JM61" i="39"/>
  <c r="JM65" i="39"/>
  <c r="JM64" i="39"/>
  <c r="JM60" i="39"/>
  <c r="JM58" i="39"/>
  <c r="JM57" i="39"/>
  <c r="JS40" i="39"/>
  <c r="JP45" i="39"/>
  <c r="JN45" i="39"/>
  <c r="JQ45" i="39"/>
  <c r="JT45" i="39"/>
  <c r="JR39" i="39"/>
  <c r="JS45" i="39"/>
  <c r="JT46" i="39"/>
  <c r="JO45" i="39"/>
  <c r="JU39" i="39"/>
  <c r="JP43" i="39"/>
  <c r="JR44" i="39"/>
  <c r="JT39" i="39"/>
  <c r="JQ46" i="39"/>
  <c r="JT40" i="39"/>
  <c r="JP46" i="39"/>
  <c r="JN44" i="39"/>
  <c r="JP39" i="39"/>
  <c r="JU45" i="39"/>
  <c r="JP38" i="39"/>
  <c r="JR38" i="39"/>
  <c r="JO44" i="39"/>
  <c r="JR46" i="39"/>
  <c r="JS44" i="39"/>
  <c r="JN46" i="39"/>
  <c r="JT44" i="39"/>
  <c r="JR45" i="39"/>
  <c r="JP44" i="39"/>
  <c r="JS46" i="39"/>
  <c r="JP40" i="39"/>
  <c r="JR40" i="39"/>
  <c r="JS38" i="39"/>
  <c r="JU46" i="39"/>
  <c r="JU44" i="39"/>
  <c r="JO46" i="39"/>
  <c r="JQ39" i="39"/>
  <c r="JQ43" i="39"/>
  <c r="JT38" i="39"/>
  <c r="JO41" i="39"/>
  <c r="JQ38" i="39"/>
  <c r="JO39" i="39"/>
  <c r="JU41" i="39"/>
  <c r="JU38" i="39"/>
  <c r="JS39" i="39"/>
  <c r="JO38" i="39"/>
  <c r="JP42" i="39"/>
  <c r="JR41" i="39"/>
  <c r="JO43" i="39"/>
  <c r="JN40" i="39"/>
  <c r="JS41" i="39"/>
  <c r="JT41" i="39"/>
  <c r="JT42" i="39"/>
  <c r="JQ41" i="39"/>
  <c r="JR43" i="39"/>
  <c r="JU40" i="39"/>
  <c r="JR42" i="39"/>
  <c r="JT43" i="39"/>
  <c r="JQ44" i="39"/>
  <c r="JQ40" i="39"/>
  <c r="JU43" i="39"/>
  <c r="JO42" i="39"/>
  <c r="JO40" i="39"/>
  <c r="JP41" i="39"/>
  <c r="JS43" i="39"/>
  <c r="JN43" i="39"/>
  <c r="BG45" i="22"/>
  <c r="JN42" i="39"/>
  <c r="JQ42" i="39"/>
  <c r="JU42" i="39"/>
  <c r="JS42" i="39"/>
  <c r="AY45" i="22"/>
  <c r="JN41" i="39"/>
  <c r="JN39" i="39"/>
  <c r="JM82" i="39" l="1"/>
  <c r="AX261" i="67"/>
  <c r="AX223" i="67"/>
  <c r="AX190" i="67"/>
  <c r="AX289" i="67"/>
  <c r="AX256" i="67"/>
  <c r="AX157" i="67"/>
  <c r="AX124" i="67"/>
  <c r="AX96" i="67"/>
  <c r="AX228" i="67"/>
  <c r="AX294" i="67"/>
  <c r="AX195" i="67"/>
  <c r="AX162" i="67"/>
  <c r="AX129" i="67"/>
  <c r="AN54" i="67"/>
  <c r="E63" i="67"/>
  <c r="E58" i="67"/>
  <c r="JM78" i="39"/>
  <c r="JM83" i="39"/>
  <c r="IQ173" i="39"/>
  <c r="JO223" i="67" s="1"/>
  <c r="JM79" i="39"/>
  <c r="JM81" i="39"/>
  <c r="IO146" i="39"/>
  <c r="GC124" i="67" s="1"/>
  <c r="JM80" i="39"/>
  <c r="IN137" i="39"/>
  <c r="EJ91" i="67" s="1"/>
  <c r="JM85" i="39"/>
  <c r="JM84" i="39"/>
  <c r="JM77" i="39"/>
  <c r="CE159" i="41"/>
  <c r="AQ159" i="41"/>
  <c r="CM159" i="41"/>
  <c r="BW159" i="41"/>
  <c r="BO159" i="41"/>
  <c r="AA159" i="41"/>
  <c r="AY159" i="41"/>
  <c r="AI159" i="41"/>
  <c r="BG159" i="41"/>
  <c r="ABD49" i="50" l="1"/>
  <c r="ABD48" i="50"/>
  <c r="ABD47" i="50"/>
  <c r="ABD46" i="50"/>
  <c r="ABD45" i="50"/>
  <c r="ABD44" i="50"/>
  <c r="ABD43" i="50"/>
  <c r="ABD42" i="50"/>
  <c r="I190" i="55"/>
  <c r="ALG49" i="50"/>
  <c r="ALE49" i="50"/>
  <c r="ALG48" i="50"/>
  <c r="ALE48" i="50"/>
  <c r="ALG47" i="50"/>
  <c r="ALE47" i="50"/>
  <c r="ALG46" i="50"/>
  <c r="ALE46" i="50"/>
  <c r="ALG45" i="50"/>
  <c r="ALE45" i="50"/>
  <c r="ALG44" i="50"/>
  <c r="ALE44" i="50"/>
  <c r="ALG43" i="50"/>
  <c r="ALE43" i="50"/>
  <c r="ALG42" i="50"/>
  <c r="ALE42" i="50"/>
  <c r="AQY49" i="50"/>
  <c r="AQW49" i="50"/>
  <c r="AQY48" i="50"/>
  <c r="AQW48" i="50"/>
  <c r="AQY47" i="50"/>
  <c r="AQW47" i="50"/>
  <c r="AQY46" i="50"/>
  <c r="AQW46" i="50"/>
  <c r="AQY45" i="50"/>
  <c r="AQW45" i="50"/>
  <c r="AQY44" i="50"/>
  <c r="AQW44" i="50"/>
  <c r="AQY43" i="50"/>
  <c r="AQW43" i="50"/>
  <c r="AQY42" i="50"/>
  <c r="AQW42" i="50"/>
  <c r="ARH42" i="50" s="1"/>
  <c r="AQQ49" i="50"/>
  <c r="AQO49" i="50"/>
  <c r="AQQ48" i="50"/>
  <c r="AQO48" i="50"/>
  <c r="AQQ47" i="50"/>
  <c r="AQO47" i="50"/>
  <c r="AQQ46" i="50"/>
  <c r="AQO46" i="50"/>
  <c r="AQQ45" i="50"/>
  <c r="AQO45" i="50"/>
  <c r="AQQ44" i="50"/>
  <c r="AQO44" i="50"/>
  <c r="AQQ43" i="50"/>
  <c r="AQO43" i="50"/>
  <c r="AQQ42" i="50"/>
  <c r="AQO42" i="50"/>
  <c r="L184" i="55"/>
  <c r="L182" i="55"/>
  <c r="L178" i="55"/>
  <c r="L174" i="55"/>
  <c r="ARF39" i="50"/>
  <c r="AQW39" i="50"/>
  <c r="AQO39" i="50"/>
  <c r="L171" i="55"/>
  <c r="L169" i="55"/>
  <c r="L165" i="55"/>
  <c r="L152" i="55"/>
  <c r="L148" i="55"/>
  <c r="I149" i="55"/>
  <c r="ALZ49" i="50"/>
  <c r="ALX49" i="50"/>
  <c r="ALZ48" i="50"/>
  <c r="ALX48" i="50"/>
  <c r="ALZ47" i="50"/>
  <c r="ALX47" i="50"/>
  <c r="ALZ46" i="50"/>
  <c r="ALX46" i="50"/>
  <c r="ALZ45" i="50"/>
  <c r="ALX45" i="50"/>
  <c r="ALZ44" i="50"/>
  <c r="ALX44" i="50"/>
  <c r="ALZ43" i="50"/>
  <c r="ALX43" i="50"/>
  <c r="ALZ42" i="50"/>
  <c r="ALX42" i="50"/>
  <c r="ALQ49" i="50"/>
  <c r="ALO49" i="50"/>
  <c r="ALQ48" i="50"/>
  <c r="ALO48" i="50"/>
  <c r="ALQ47" i="50"/>
  <c r="ALO47" i="50"/>
  <c r="ALQ46" i="50"/>
  <c r="ALO46" i="50"/>
  <c r="ALQ45" i="50"/>
  <c r="ALO45" i="50"/>
  <c r="ALQ44" i="50"/>
  <c r="ALO44" i="50"/>
  <c r="ALQ43" i="50"/>
  <c r="ALO43" i="50"/>
  <c r="ALQ42" i="50"/>
  <c r="ALO42" i="50"/>
  <c r="AKG49" i="50"/>
  <c r="AKE49" i="50"/>
  <c r="AKG48" i="50"/>
  <c r="AKE48" i="50"/>
  <c r="AKG47" i="50"/>
  <c r="AKE47" i="50"/>
  <c r="AKG46" i="50"/>
  <c r="AKE46" i="50"/>
  <c r="AKG45" i="50"/>
  <c r="AKE45" i="50"/>
  <c r="AKG44" i="50"/>
  <c r="AKE44" i="50"/>
  <c r="AKG43" i="50"/>
  <c r="AKE43" i="50"/>
  <c r="AKG42" i="50"/>
  <c r="AKE42" i="50"/>
  <c r="Z38" i="55"/>
  <c r="Z32" i="55"/>
  <c r="AG87" i="36"/>
  <c r="ARH47" i="50" l="1"/>
  <c r="BR184" i="55" s="1"/>
  <c r="AEB45" i="50"/>
  <c r="AEB47" i="50"/>
  <c r="AEB44" i="50"/>
  <c r="ARH46" i="50"/>
  <c r="BJ184" i="55" s="1"/>
  <c r="AEB46" i="50"/>
  <c r="BR171" i="55"/>
  <c r="ARH45" i="50"/>
  <c r="BB184" i="55" s="1"/>
  <c r="BZ171" i="55"/>
  <c r="ARH44" i="50"/>
  <c r="ARH48" i="50"/>
  <c r="BZ184" i="55" s="1"/>
  <c r="ARH43" i="50"/>
  <c r="AL184" i="55" s="1"/>
  <c r="X184" i="55"/>
  <c r="ARH49" i="50"/>
  <c r="CH184" i="55" s="1"/>
  <c r="AL171" i="55"/>
  <c r="BB171" i="55"/>
  <c r="AT171" i="55"/>
  <c r="AEB42" i="50"/>
  <c r="X171" i="55"/>
  <c r="BJ171" i="55"/>
  <c r="CH171" i="55"/>
  <c r="AEB43" i="50"/>
  <c r="AEB48" i="50"/>
  <c r="AEB49" i="50"/>
  <c r="L97" i="55"/>
  <c r="L229" i="55"/>
  <c r="L222" i="55"/>
  <c r="L239" i="55"/>
  <c r="L237" i="55"/>
  <c r="AMI48" i="50"/>
  <c r="BZ239" i="55" s="1"/>
  <c r="AMI47" i="50"/>
  <c r="BR239" i="55" s="1"/>
  <c r="L233" i="55"/>
  <c r="L219" i="55"/>
  <c r="L217" i="55"/>
  <c r="L213" i="55"/>
  <c r="L193" i="55"/>
  <c r="L202" i="55"/>
  <c r="L129" i="55"/>
  <c r="AES39" i="50"/>
  <c r="L244" i="55"/>
  <c r="L107" i="55"/>
  <c r="L105" i="55"/>
  <c r="ABX49" i="50"/>
  <c r="ABX48" i="50"/>
  <c r="ABX47" i="50"/>
  <c r="ABX46" i="50"/>
  <c r="ABX45" i="50"/>
  <c r="ABX44" i="50"/>
  <c r="ABX43" i="50"/>
  <c r="ABX42" i="50"/>
  <c r="L81" i="55"/>
  <c r="ABK35" i="50"/>
  <c r="ABU35" i="50"/>
  <c r="L92" i="55"/>
  <c r="L88" i="55"/>
  <c r="L101" i="55"/>
  <c r="L85" i="55"/>
  <c r="L76" i="55"/>
  <c r="I82" i="55"/>
  <c r="F65" i="28"/>
  <c r="F72" i="28"/>
  <c r="F98" i="54"/>
  <c r="F76" i="54"/>
  <c r="F34" i="54"/>
  <c r="F36" i="54"/>
  <c r="F56" i="28"/>
  <c r="F36" i="28"/>
  <c r="ABB49" i="50"/>
  <c r="ABB48" i="50"/>
  <c r="ABB47" i="50"/>
  <c r="ABB46" i="50"/>
  <c r="ABB45" i="50"/>
  <c r="ABB44" i="50"/>
  <c r="ABB43" i="50"/>
  <c r="ABB42" i="50"/>
  <c r="ABA39" i="50"/>
  <c r="U69" i="5"/>
  <c r="CH120" i="55" l="1"/>
  <c r="BZ120" i="55"/>
  <c r="BJ120" i="55"/>
  <c r="BR120" i="55"/>
  <c r="AL120" i="55"/>
  <c r="AT120" i="55"/>
  <c r="BB120" i="55"/>
  <c r="AT184" i="55"/>
  <c r="X120" i="55"/>
  <c r="AMI45" i="50"/>
  <c r="BB239" i="55" s="1"/>
  <c r="AMI44" i="50"/>
  <c r="AT239" i="55" s="1"/>
  <c r="AMI43" i="50"/>
  <c r="AL239" i="55" s="1"/>
  <c r="AMI46" i="50"/>
  <c r="BJ239" i="55" s="1"/>
  <c r="AMI42" i="50"/>
  <c r="X239" i="55" s="1"/>
  <c r="AMI49" i="50"/>
  <c r="CH239" i="55" s="1"/>
  <c r="AI41" i="50"/>
  <c r="ATS33" i="50"/>
  <c r="ATS34" i="50"/>
  <c r="ATS35" i="50"/>
  <c r="ATS36" i="50"/>
  <c r="ATS37" i="50"/>
  <c r="ATS38" i="50"/>
  <c r="ATS39" i="50"/>
  <c r="ATS40" i="50"/>
  <c r="ATS41" i="50"/>
  <c r="ATS42" i="50"/>
  <c r="ATS32" i="50"/>
  <c r="ATN39" i="50"/>
  <c r="ATO39" i="50" s="1"/>
  <c r="ATN40" i="50"/>
  <c r="ATO40" i="50" s="1"/>
  <c r="ATN41" i="50"/>
  <c r="ATO41" i="50" s="1"/>
  <c r="ATN42" i="50"/>
  <c r="ATO42" i="50" s="1"/>
  <c r="ATM31" i="50"/>
  <c r="ATM30" i="50"/>
  <c r="L24" i="55"/>
  <c r="BJ7" i="1"/>
  <c r="ATN31" i="50"/>
  <c r="ATQ31" i="50" s="1"/>
  <c r="ATT31" i="50" s="1"/>
  <c r="L22" i="55"/>
  <c r="AXH125" i="50" l="1"/>
  <c r="AXG125" i="50"/>
  <c r="AXF125" i="50"/>
  <c r="AXH124" i="50"/>
  <c r="AXG124" i="50"/>
  <c r="AXF124" i="50"/>
  <c r="AXH123" i="50"/>
  <c r="AXG123" i="50"/>
  <c r="AXF123" i="50"/>
  <c r="AXH122" i="50"/>
  <c r="AXG122" i="50"/>
  <c r="AXF122" i="50"/>
  <c r="AWJ125" i="50"/>
  <c r="AWI125" i="50"/>
  <c r="AWH125" i="50"/>
  <c r="AWJ124" i="50"/>
  <c r="AWI124" i="50"/>
  <c r="AWH124" i="50"/>
  <c r="AWJ123" i="50"/>
  <c r="AWI123" i="50"/>
  <c r="AWH123" i="50"/>
  <c r="AWJ122" i="50"/>
  <c r="AWI122" i="50"/>
  <c r="AWH122" i="50"/>
  <c r="AXO99" i="50"/>
  <c r="AXP99" i="50"/>
  <c r="AXO100" i="50"/>
  <c r="AXP100" i="50"/>
  <c r="AXO101" i="50"/>
  <c r="AXP101" i="50"/>
  <c r="AXO102" i="50"/>
  <c r="AXP102" i="50"/>
  <c r="AXN100" i="50"/>
  <c r="AXN101" i="50"/>
  <c r="AXN102" i="50"/>
  <c r="AXN99" i="50"/>
  <c r="AWP102" i="50"/>
  <c r="AWQ102" i="50"/>
  <c r="AWR102" i="50"/>
  <c r="AWP100" i="50"/>
  <c r="AWQ100" i="50"/>
  <c r="AWR100" i="50"/>
  <c r="AWQ99" i="50"/>
  <c r="AWR99" i="50"/>
  <c r="AWP99" i="50"/>
  <c r="AI50" i="50"/>
  <c r="V22" i="55" s="1"/>
  <c r="AWR58" i="50"/>
  <c r="AWQ58" i="50"/>
  <c r="AWP58" i="50"/>
  <c r="AWO58" i="50"/>
  <c r="AWN58" i="50"/>
  <c r="AWM58" i="50"/>
  <c r="AWL58" i="50"/>
  <c r="AWK58" i="50"/>
  <c r="AWR56" i="50"/>
  <c r="AWQ56" i="50"/>
  <c r="AWP56" i="50"/>
  <c r="AWO56" i="50"/>
  <c r="AWN56" i="50"/>
  <c r="AWM56" i="50"/>
  <c r="AWL56" i="50"/>
  <c r="AWK56" i="50"/>
  <c r="AWR55" i="50"/>
  <c r="AWQ55" i="50"/>
  <c r="AWP55" i="50"/>
  <c r="AWO55" i="50"/>
  <c r="AWN55" i="50"/>
  <c r="AWM55" i="50"/>
  <c r="AWL55" i="50"/>
  <c r="AWK55" i="50"/>
  <c r="AVN55" i="50"/>
  <c r="AVO55" i="50"/>
  <c r="AVP55" i="50"/>
  <c r="AVQ55" i="50"/>
  <c r="AVR55" i="50"/>
  <c r="AVS55" i="50"/>
  <c r="AVT55" i="50"/>
  <c r="AVN56" i="50"/>
  <c r="AVO56" i="50"/>
  <c r="AVP56" i="50"/>
  <c r="AVQ56" i="50"/>
  <c r="AVR56" i="50"/>
  <c r="AVS56" i="50"/>
  <c r="AVT56" i="50"/>
  <c r="AVN58" i="50"/>
  <c r="AVO58" i="50"/>
  <c r="AVP58" i="50"/>
  <c r="AVQ58" i="50"/>
  <c r="AVR58" i="50"/>
  <c r="AVS58" i="50"/>
  <c r="AVT58" i="50"/>
  <c r="AVM55" i="50"/>
  <c r="AVM56" i="50"/>
  <c r="AVM58" i="50"/>
  <c r="ATP20" i="50" l="1"/>
  <c r="ATP21" i="50"/>
  <c r="ATP22" i="50"/>
  <c r="ATP23" i="50"/>
  <c r="ATP24" i="50"/>
  <c r="ATP25" i="50"/>
  <c r="ATP26" i="50"/>
  <c r="ATP27" i="50"/>
  <c r="ATP28" i="50"/>
  <c r="ATP29" i="50"/>
  <c r="ATP19" i="50"/>
  <c r="ATO20" i="50"/>
  <c r="ATO21" i="50"/>
  <c r="ATO22" i="50"/>
  <c r="ATO23" i="50"/>
  <c r="ATO24" i="50"/>
  <c r="ATO25" i="50"/>
  <c r="ATO26" i="50"/>
  <c r="ATO27" i="50"/>
  <c r="ATO28" i="50"/>
  <c r="ATO29" i="50"/>
  <c r="ATO19" i="50"/>
  <c r="ATQ20" i="50"/>
  <c r="ATQ21" i="50"/>
  <c r="ATQ22" i="50"/>
  <c r="ATQ23" i="50"/>
  <c r="ATQ24" i="50"/>
  <c r="ATQ25" i="50"/>
  <c r="ATQ26" i="50"/>
  <c r="ATQ27" i="50"/>
  <c r="ATQ28" i="50"/>
  <c r="ATQ29" i="50"/>
  <c r="ATQ42" i="50" s="1"/>
  <c r="ATT42" i="50" s="1"/>
  <c r="ATQ19" i="50"/>
  <c r="ATU20" i="50"/>
  <c r="ATN20" i="50" s="1"/>
  <c r="ATU21" i="50"/>
  <c r="ATN21" i="50" s="1"/>
  <c r="ATU22" i="50"/>
  <c r="ATN22" i="50" s="1"/>
  <c r="ATU23" i="50"/>
  <c r="ATN23" i="50" s="1"/>
  <c r="ATU24" i="50"/>
  <c r="ATN24" i="50" s="1"/>
  <c r="ATU25" i="50"/>
  <c r="ATN25" i="50" s="1"/>
  <c r="ATU26" i="50"/>
  <c r="ATN26" i="50" s="1"/>
  <c r="ATU27" i="50"/>
  <c r="ATN27" i="50" s="1"/>
  <c r="ATU28" i="50"/>
  <c r="ATN28" i="50" s="1"/>
  <c r="ATU29" i="50"/>
  <c r="ATN29" i="50" s="1"/>
  <c r="ATU19" i="50"/>
  <c r="ATN19" i="50" s="1"/>
  <c r="ATL20" i="50"/>
  <c r="ATM20" i="50" s="1"/>
  <c r="ATL21" i="50"/>
  <c r="ATM21" i="50" s="1"/>
  <c r="ATL22" i="50"/>
  <c r="ATM22" i="50" s="1"/>
  <c r="ATL23" i="50"/>
  <c r="ATM23" i="50" s="1"/>
  <c r="ATL24" i="50"/>
  <c r="ATM24" i="50" s="1"/>
  <c r="ATL25" i="50"/>
  <c r="ATM25" i="50" s="1"/>
  <c r="ATL26" i="50"/>
  <c r="ATM26" i="50" s="1"/>
  <c r="ATL27" i="50"/>
  <c r="ATM27" i="50" s="1"/>
  <c r="ATL28" i="50"/>
  <c r="ATM28" i="50" s="1"/>
  <c r="ATL29" i="50"/>
  <c r="ATM29" i="50" s="1"/>
  <c r="ATL19" i="50"/>
  <c r="ATM19" i="50" s="1"/>
  <c r="ATN30" i="50"/>
  <c r="BL8" i="1" l="1"/>
  <c r="ATT29" i="50"/>
  <c r="ATT26" i="50"/>
  <c r="ATQ39" i="50"/>
  <c r="ATT39" i="50" s="1"/>
  <c r="ATT27" i="50"/>
  <c r="ATQ40" i="50"/>
  <c r="ATT40" i="50" s="1"/>
  <c r="ATT25" i="50"/>
  <c r="ATQ38" i="50"/>
  <c r="ATT38" i="50" s="1"/>
  <c r="ATT24" i="50"/>
  <c r="ATQ37" i="50"/>
  <c r="ATT37" i="50" s="1"/>
  <c r="ATT23" i="50"/>
  <c r="ATQ36" i="50"/>
  <c r="ATT36" i="50" s="1"/>
  <c r="ATT19" i="50"/>
  <c r="ATQ32" i="50"/>
  <c r="ATT32" i="50" s="1"/>
  <c r="ATT22" i="50"/>
  <c r="ATQ35" i="50"/>
  <c r="ATT35" i="50" s="1"/>
  <c r="ATT21" i="50"/>
  <c r="ATQ34" i="50"/>
  <c r="ATT34" i="50" s="1"/>
  <c r="ATT28" i="50"/>
  <c r="ATQ41" i="50"/>
  <c r="ATT41" i="50" s="1"/>
  <c r="ATT20" i="50"/>
  <c r="ATQ33" i="50"/>
  <c r="ATT33" i="50" s="1"/>
  <c r="ATQ30" i="50"/>
  <c r="ATT30" i="50" s="1"/>
  <c r="ATO31" i="50" l="1"/>
  <c r="BJ8" i="1"/>
  <c r="ATO30" i="50"/>
  <c r="GM67" i="39" l="1"/>
  <c r="R18" i="26"/>
  <c r="GJ35" i="39"/>
  <c r="GP28" i="39"/>
  <c r="GO28" i="39"/>
  <c r="GN28" i="39"/>
  <c r="GP27" i="39"/>
  <c r="GO27" i="39"/>
  <c r="GN27" i="39"/>
  <c r="GP26" i="39"/>
  <c r="GO26" i="39"/>
  <c r="GN26" i="39"/>
  <c r="GP25" i="39"/>
  <c r="GO25" i="39"/>
  <c r="GN25" i="39"/>
  <c r="GP24" i="39"/>
  <c r="GO24" i="39"/>
  <c r="GN24" i="39"/>
  <c r="GP23" i="39"/>
  <c r="GO23" i="39"/>
  <c r="GN23" i="39"/>
  <c r="GP22" i="39"/>
  <c r="GO22" i="39"/>
  <c r="GN22" i="39"/>
  <c r="GP21" i="39"/>
  <c r="GO21" i="39"/>
  <c r="GN21" i="39"/>
  <c r="GP20" i="39"/>
  <c r="GO20" i="39"/>
  <c r="GN20" i="39"/>
  <c r="GP19" i="39"/>
  <c r="GO19" i="39"/>
  <c r="GN35" i="39" s="1"/>
  <c r="GN19" i="39"/>
  <c r="GM35" i="39" s="1"/>
  <c r="M27" i="41" l="1"/>
  <c r="M25" i="41"/>
  <c r="GJ67" i="39"/>
  <c r="GN67" i="39" s="1"/>
  <c r="GL19" i="39"/>
  <c r="GM12" i="39"/>
  <c r="GN12" i="39" s="1"/>
  <c r="F15" i="26"/>
  <c r="U15" i="26"/>
  <c r="GM19" i="39"/>
  <c r="GK19" i="39"/>
  <c r="GL35" i="39" l="1"/>
  <c r="GQ19" i="39"/>
  <c r="S40" i="26" s="1"/>
  <c r="GP35" i="39"/>
  <c r="F10" i="36"/>
  <c r="AD25" i="36" s="1"/>
  <c r="AP20" i="36"/>
  <c r="GK49" i="39" l="1"/>
  <c r="NO219" i="39" s="1"/>
  <c r="NO218" i="39"/>
  <c r="NO215" i="39"/>
  <c r="NO216" i="39"/>
  <c r="NO217" i="39"/>
  <c r="GQ67" i="39"/>
  <c r="GO67" i="39"/>
  <c r="GM49" i="39" l="1"/>
  <c r="GL49" i="39"/>
  <c r="U23" i="26" s="1"/>
  <c r="GR67" i="39"/>
  <c r="AP54" i="36"/>
  <c r="QI75" i="39" l="1"/>
  <c r="QI84" i="39"/>
  <c r="GN49" i="39"/>
  <c r="U40" i="26" s="1"/>
  <c r="DS54" i="36"/>
  <c r="DS61" i="36"/>
  <c r="DS43" i="36" l="1"/>
  <c r="DS41" i="36"/>
  <c r="AP61" i="36"/>
  <c r="AP41" i="36"/>
  <c r="AP43" i="36"/>
  <c r="U81" i="5"/>
  <c r="AC51" i="5"/>
  <c r="AC49" i="5"/>
  <c r="AC50" i="5" s="1"/>
  <c r="Q59" i="5" s="1"/>
  <c r="AE59" i="5" s="1"/>
  <c r="U51" i="5"/>
  <c r="AC73" i="5" l="1"/>
  <c r="F73" i="5" s="1"/>
  <c r="AC52" i="5"/>
  <c r="AI51" i="50"/>
  <c r="AC59" i="5"/>
  <c r="L26" i="55" s="1"/>
  <c r="F71" i="43" l="1"/>
  <c r="F64" i="43"/>
  <c r="F57" i="43"/>
  <c r="F44" i="43"/>
  <c r="F35" i="43"/>
  <c r="F132" i="54"/>
  <c r="F101" i="54"/>
  <c r="F94" i="54"/>
  <c r="F69" i="54"/>
  <c r="F39" i="54"/>
  <c r="F30" i="54"/>
  <c r="F75" i="28"/>
  <c r="F68" i="28"/>
  <c r="F61" i="28"/>
  <c r="F48" i="28"/>
  <c r="F39" i="28"/>
  <c r="F30" i="28"/>
  <c r="M71" i="41"/>
  <c r="M69" i="41"/>
  <c r="M67" i="41"/>
  <c r="M65" i="41"/>
  <c r="M63" i="41"/>
  <c r="M61" i="41"/>
  <c r="M150" i="36" l="1"/>
  <c r="M145" i="36"/>
  <c r="M177" i="36" l="1"/>
  <c r="EI19" i="67"/>
  <c r="JN19" i="67"/>
  <c r="HU19" i="67"/>
  <c r="GB19" i="67"/>
  <c r="AW19" i="67"/>
  <c r="MZ19" i="67"/>
  <c r="LG19" i="67"/>
  <c r="CP19" i="67"/>
  <c r="D19" i="67"/>
  <c r="P20" i="22"/>
  <c r="M92" i="41"/>
  <c r="AH28" i="50" l="1"/>
  <c r="H20" i="54" s="1"/>
  <c r="AW57" i="41" l="1"/>
  <c r="AO57" i="41"/>
  <c r="AG57" i="41"/>
  <c r="CK57" i="41"/>
  <c r="CC57" i="41"/>
  <c r="BU57" i="41"/>
  <c r="BM57" i="41"/>
  <c r="BE57" i="41"/>
  <c r="Y57" i="41"/>
  <c r="AI27" i="50"/>
  <c r="I20" i="28"/>
  <c r="AB80" i="52" l="1"/>
  <c r="R26" i="28"/>
  <c r="R34" i="52"/>
  <c r="R26" i="54"/>
  <c r="CN55" i="52"/>
  <c r="CN94" i="52"/>
  <c r="CF94" i="52"/>
  <c r="BP94" i="52"/>
  <c r="AR87" i="52"/>
  <c r="CN87" i="52"/>
  <c r="CF87" i="52"/>
  <c r="BX87" i="52"/>
  <c r="BP87" i="52"/>
  <c r="BH80" i="52"/>
  <c r="AZ80" i="52"/>
  <c r="AR80" i="52"/>
  <c r="AJ80" i="52"/>
  <c r="CN80" i="52"/>
  <c r="CF80" i="52"/>
  <c r="BX80" i="52"/>
  <c r="BP80" i="52"/>
  <c r="BH78" i="52"/>
  <c r="AZ78" i="52"/>
  <c r="AR78" i="52"/>
  <c r="AJ78" i="52"/>
  <c r="AB78" i="52"/>
  <c r="CN71" i="52"/>
  <c r="BX71" i="52"/>
  <c r="BH64" i="52"/>
  <c r="AR64" i="52"/>
  <c r="AB64" i="52"/>
  <c r="CN78" i="52"/>
  <c r="CF78" i="52"/>
  <c r="BX78" i="52"/>
  <c r="BP78" i="52"/>
  <c r="BH71" i="52"/>
  <c r="AZ71" i="52"/>
  <c r="AR71" i="52"/>
  <c r="AJ71" i="52"/>
  <c r="AB71" i="52"/>
  <c r="CF71" i="52"/>
  <c r="BP71" i="52"/>
  <c r="AZ64" i="52"/>
  <c r="AJ64" i="52"/>
  <c r="AZ57" i="52"/>
  <c r="AJ57" i="52"/>
  <c r="AZ87" i="52"/>
  <c r="AB87" i="52"/>
  <c r="CN64" i="52"/>
  <c r="CF64" i="52"/>
  <c r="BX64" i="52"/>
  <c r="BP64" i="52"/>
  <c r="BH57" i="52"/>
  <c r="AR57" i="52"/>
  <c r="AB57" i="52"/>
  <c r="BH87" i="52"/>
  <c r="CN57" i="52"/>
  <c r="CF57" i="52"/>
  <c r="BX57" i="52"/>
  <c r="BP57" i="52"/>
  <c r="BH55" i="52"/>
  <c r="AZ55" i="52"/>
  <c r="AR55" i="52"/>
  <c r="AJ55" i="52"/>
  <c r="AB55" i="52"/>
  <c r="BP55" i="52"/>
  <c r="CF55" i="52"/>
  <c r="BX55" i="52"/>
  <c r="BH94" i="52"/>
  <c r="AZ94" i="52"/>
  <c r="AR94" i="52"/>
  <c r="AJ94" i="52"/>
  <c r="AB94" i="52"/>
  <c r="BX94" i="52"/>
  <c r="AJ87" i="52"/>
  <c r="D11" i="39"/>
  <c r="CG32" i="50"/>
  <c r="F17" i="43" l="1"/>
  <c r="F23" i="28"/>
  <c r="AH52" i="28"/>
  <c r="CL56" i="28"/>
  <c r="AH43" i="28"/>
  <c r="AP54" i="28"/>
  <c r="Z56" i="28"/>
  <c r="AX45" i="28"/>
  <c r="AX65" i="28"/>
  <c r="AP65" i="28"/>
  <c r="F15" i="28"/>
  <c r="AH54" i="28"/>
  <c r="AX54" i="28"/>
  <c r="AP52" i="28"/>
  <c r="AX43" i="28"/>
  <c r="AX52" i="28"/>
  <c r="AX34" i="28"/>
  <c r="AH56" i="28"/>
  <c r="Z72" i="28"/>
  <c r="Q11" i="28"/>
  <c r="F15" i="54"/>
  <c r="Q11" i="54"/>
  <c r="AP34" i="28"/>
  <c r="F11" i="54"/>
  <c r="I15" i="54"/>
  <c r="AH36" i="28"/>
  <c r="AX36" i="28"/>
  <c r="AH72" i="28"/>
  <c r="Z65" i="28"/>
  <c r="AP43" i="28"/>
  <c r="Q11" i="52"/>
  <c r="F11" i="52"/>
  <c r="F23" i="54"/>
  <c r="H15" i="28"/>
  <c r="AH65" i="28"/>
  <c r="AH45" i="28"/>
  <c r="AX72" i="28"/>
  <c r="AP56" i="28"/>
  <c r="H15" i="52"/>
  <c r="F11" i="28"/>
  <c r="F15" i="52"/>
  <c r="AP36" i="28"/>
  <c r="AP72" i="28"/>
  <c r="AP45" i="28"/>
  <c r="AX56" i="28"/>
  <c r="CD36" i="28"/>
  <c r="BV52" i="28"/>
  <c r="BN65" i="28"/>
  <c r="BF43" i="28"/>
  <c r="Z43" i="28"/>
  <c r="BV65" i="28"/>
  <c r="BN34" i="28"/>
  <c r="CL54" i="28"/>
  <c r="CD72" i="28"/>
  <c r="CD34" i="28"/>
  <c r="BV45" i="28"/>
  <c r="BN56" i="28"/>
  <c r="BF36" i="28"/>
  <c r="Z36" i="28"/>
  <c r="Z54" i="28"/>
  <c r="BV56" i="28"/>
  <c r="CD43" i="28"/>
  <c r="CL52" i="28"/>
  <c r="CD65" i="28"/>
  <c r="BV43" i="28"/>
  <c r="BN54" i="28"/>
  <c r="BF72" i="28"/>
  <c r="BF34" i="28"/>
  <c r="BN43" i="28"/>
  <c r="CL72" i="28"/>
  <c r="Z52" i="28"/>
  <c r="BV54" i="28"/>
  <c r="Z45" i="28"/>
  <c r="CL45" i="28"/>
  <c r="CD56" i="28"/>
  <c r="BV36" i="28"/>
  <c r="BN52" i="28"/>
  <c r="BF65" i="28"/>
  <c r="AH34" i="28"/>
  <c r="CL36" i="28"/>
  <c r="CL34" i="28"/>
  <c r="BF52" i="28"/>
  <c r="BN72" i="28"/>
  <c r="CL43" i="28"/>
  <c r="CD54" i="28"/>
  <c r="BV72" i="28"/>
  <c r="BV34" i="28"/>
  <c r="BN45" i="28"/>
  <c r="BF56" i="28"/>
  <c r="Z34" i="28"/>
  <c r="CD52" i="28"/>
  <c r="BF54" i="28"/>
  <c r="BN36" i="28"/>
  <c r="CL65" i="28"/>
  <c r="BF45" i="28"/>
  <c r="CD45" i="28"/>
  <c r="CG56" i="55"/>
  <c r="BY56" i="55"/>
  <c r="AS56" i="55"/>
  <c r="BA56" i="55"/>
  <c r="AK56" i="55"/>
  <c r="W56" i="55"/>
  <c r="AZY39" i="50" l="1"/>
  <c r="AZX39" i="50" s="1"/>
  <c r="AZZ38" i="50"/>
  <c r="AZY38" i="50" s="1"/>
  <c r="AZZ37" i="50"/>
  <c r="AZY37" i="50" s="1"/>
  <c r="AZZ36" i="50"/>
  <c r="AZX36" i="50" s="1"/>
  <c r="AZZ35" i="50"/>
  <c r="AZY35" i="50" s="1"/>
  <c r="AZW39" i="50" l="1"/>
  <c r="AZX37" i="50"/>
  <c r="AZY36" i="50"/>
  <c r="AZX35" i="50"/>
  <c r="AZX38" i="50"/>
  <c r="S130" i="52" l="1"/>
  <c r="AK155" i="52"/>
  <c r="AK151" i="52"/>
  <c r="ASD49" i="50" l="1"/>
  <c r="ASB49" i="50"/>
  <c r="ASD48" i="50"/>
  <c r="ASB48" i="50"/>
  <c r="ASD47" i="50"/>
  <c r="ASB47" i="50"/>
  <c r="ASD46" i="50"/>
  <c r="ASB46" i="50"/>
  <c r="ASD45" i="50"/>
  <c r="ASB45" i="50"/>
  <c r="ASD44" i="50"/>
  <c r="ASB44" i="50"/>
  <c r="ASD43" i="50"/>
  <c r="ASB43" i="50"/>
  <c r="ASD42" i="50"/>
  <c r="ASB42" i="50"/>
  <c r="ART49" i="50"/>
  <c r="ART48" i="50"/>
  <c r="ART47" i="50"/>
  <c r="ART46" i="50"/>
  <c r="ART45" i="50"/>
  <c r="ART44" i="50"/>
  <c r="ART43" i="50"/>
  <c r="ART42" i="50"/>
  <c r="AKO49" i="50"/>
  <c r="AKM49" i="50"/>
  <c r="AKO48" i="50"/>
  <c r="AKM48" i="50"/>
  <c r="AKO46" i="50"/>
  <c r="AKM46" i="50"/>
  <c r="AKO45" i="50"/>
  <c r="AKM45" i="50"/>
  <c r="AKO44" i="50"/>
  <c r="AKM44" i="50"/>
  <c r="AKO43" i="50"/>
  <c r="AKM43" i="50"/>
  <c r="AKO42" i="50"/>
  <c r="AKM42" i="50"/>
  <c r="AJM49" i="50"/>
  <c r="AJK49" i="50"/>
  <c r="AJM48" i="50"/>
  <c r="AJK48" i="50"/>
  <c r="AJM47" i="50"/>
  <c r="AJK47" i="50"/>
  <c r="AJM46" i="50"/>
  <c r="AJK46" i="50"/>
  <c r="AJM45" i="50"/>
  <c r="AJK45" i="50"/>
  <c r="AJM44" i="50"/>
  <c r="AJK44" i="50"/>
  <c r="AJM43" i="50"/>
  <c r="AJK43" i="50"/>
  <c r="AJM42" i="50"/>
  <c r="AJK42" i="50"/>
  <c r="AIM49" i="50"/>
  <c r="AIK49" i="50"/>
  <c r="AIM48" i="50"/>
  <c r="AIK48" i="50"/>
  <c r="AIM47" i="50"/>
  <c r="AIK47" i="50"/>
  <c r="AIM46" i="50"/>
  <c r="AIK46" i="50"/>
  <c r="AIM45" i="50"/>
  <c r="AIK45" i="50"/>
  <c r="AIM44" i="50"/>
  <c r="AIK44" i="50"/>
  <c r="AIM43" i="50"/>
  <c r="AIK43" i="50"/>
  <c r="AIM42" i="50"/>
  <c r="AIK42" i="50"/>
  <c r="AHS49" i="50"/>
  <c r="AHQ49" i="50"/>
  <c r="AHS48" i="50"/>
  <c r="AHQ48" i="50"/>
  <c r="AHS47" i="50"/>
  <c r="AHQ47" i="50"/>
  <c r="AHS46" i="50"/>
  <c r="AHQ46" i="50"/>
  <c r="AHS45" i="50"/>
  <c r="AHQ45" i="50"/>
  <c r="AHS44" i="50"/>
  <c r="AHQ44" i="50"/>
  <c r="AHS43" i="50"/>
  <c r="AHQ43" i="50"/>
  <c r="AHS42" i="50"/>
  <c r="AHQ42" i="50"/>
  <c r="AGQ49" i="50"/>
  <c r="AGQ48" i="50"/>
  <c r="AGQ47" i="50"/>
  <c r="AGQ46" i="50"/>
  <c r="AGQ45" i="50"/>
  <c r="AGQ44" i="50"/>
  <c r="AGQ43" i="50"/>
  <c r="AGQ42" i="50"/>
  <c r="AEV49" i="50"/>
  <c r="AET49" i="50"/>
  <c r="AEV48" i="50"/>
  <c r="AET48" i="50"/>
  <c r="AEV47" i="50"/>
  <c r="AET47" i="50"/>
  <c r="AEV46" i="50"/>
  <c r="AET46" i="50"/>
  <c r="AEV45" i="50"/>
  <c r="AET45" i="50"/>
  <c r="AEV44" i="50"/>
  <c r="AET44" i="50"/>
  <c r="AEV43" i="50"/>
  <c r="AET43" i="50"/>
  <c r="AEV42" i="50"/>
  <c r="AET42" i="50"/>
  <c r="ACQ49" i="50"/>
  <c r="ACO49" i="50"/>
  <c r="ACQ48" i="50"/>
  <c r="ACO48" i="50"/>
  <c r="ACQ47" i="50"/>
  <c r="ACO47" i="50"/>
  <c r="ACQ46" i="50"/>
  <c r="ACO46" i="50"/>
  <c r="ACQ45" i="50"/>
  <c r="ACO45" i="50"/>
  <c r="ACQ44" i="50"/>
  <c r="ACO44" i="50"/>
  <c r="ACQ43" i="50"/>
  <c r="ACO43" i="50"/>
  <c r="ACQ42" i="50"/>
  <c r="ACO42" i="50"/>
  <c r="ACH49" i="50"/>
  <c r="ACF49" i="50"/>
  <c r="ACH48" i="50"/>
  <c r="ACF48" i="50"/>
  <c r="ACH47" i="50"/>
  <c r="ACF47" i="50"/>
  <c r="ACH46" i="50"/>
  <c r="ACF46" i="50"/>
  <c r="ACH45" i="50"/>
  <c r="ACF45" i="50"/>
  <c r="ACH44" i="50"/>
  <c r="ACF44" i="50"/>
  <c r="ACH43" i="50"/>
  <c r="ACF43" i="50"/>
  <c r="ACH42" i="50"/>
  <c r="ACF42" i="50"/>
  <c r="ABN49" i="50"/>
  <c r="ABN48" i="50"/>
  <c r="ABN47" i="50"/>
  <c r="ABN46" i="50"/>
  <c r="ABN45" i="50"/>
  <c r="ABN44" i="50"/>
  <c r="ABN43" i="50"/>
  <c r="ABN42" i="50"/>
  <c r="ABL49" i="50"/>
  <c r="ABL48" i="50"/>
  <c r="ABL47" i="50"/>
  <c r="ABL46" i="50"/>
  <c r="ABL45" i="50"/>
  <c r="ABL44" i="50"/>
  <c r="ABL43" i="50"/>
  <c r="ABL42" i="50"/>
  <c r="BCP82" i="50" l="1"/>
  <c r="BCQ82" i="50" s="1"/>
  <c r="BCO82" i="50"/>
  <c r="BCR82" i="50" s="1"/>
  <c r="BCP81" i="50"/>
  <c r="BCQ81" i="50" s="1"/>
  <c r="BCP80" i="50"/>
  <c r="BCQ80" i="50" s="1"/>
  <c r="BCO81" i="50"/>
  <c r="BCO80" i="50"/>
  <c r="BCR80" i="50" s="1"/>
  <c r="TM22" i="50"/>
  <c r="BCH81" i="50" s="1"/>
  <c r="TM21" i="50"/>
  <c r="BCH80" i="50" s="1"/>
  <c r="AIW42" i="50"/>
  <c r="AIU42" i="50"/>
  <c r="AIU49" i="50"/>
  <c r="AIU48" i="50"/>
  <c r="AIU47" i="50"/>
  <c r="AIU46" i="50"/>
  <c r="AIU45" i="50"/>
  <c r="AIU44" i="50"/>
  <c r="AIU43" i="50"/>
  <c r="AIW49" i="50"/>
  <c r="AIW48" i="50"/>
  <c r="AIW47" i="50"/>
  <c r="AIW46" i="50"/>
  <c r="AIW45" i="50"/>
  <c r="AIW44" i="50"/>
  <c r="AIW43" i="50"/>
  <c r="BCT81" i="50" l="1"/>
  <c r="BCU81" i="50" s="1"/>
  <c r="BCT82" i="50"/>
  <c r="BCU82" i="50" s="1"/>
  <c r="BCV82" i="50" s="1"/>
  <c r="BCR81" i="50"/>
  <c r="BCT80" i="50"/>
  <c r="BCU80" i="50" s="1"/>
  <c r="BCV80" i="50" s="1"/>
  <c r="BCV81" i="50" l="1"/>
  <c r="AZY42" i="50"/>
  <c r="AZY41" i="50"/>
  <c r="AZY40" i="50"/>
  <c r="AKX49" i="50"/>
  <c r="CH219" i="55" s="1"/>
  <c r="AKX48" i="50"/>
  <c r="BZ219" i="55" s="1"/>
  <c r="AKX46" i="50"/>
  <c r="BJ219" i="55" s="1"/>
  <c r="AKX45" i="50"/>
  <c r="BB219" i="55" s="1"/>
  <c r="AKX44" i="50"/>
  <c r="AT219" i="55" s="1"/>
  <c r="AKX43" i="50"/>
  <c r="AL219" i="55" s="1"/>
  <c r="AZZ41" i="50"/>
  <c r="AZZ40" i="50"/>
  <c r="BAB41" i="50"/>
  <c r="BAB42" i="50"/>
  <c r="BAB40" i="50"/>
  <c r="AKX42" i="50" l="1"/>
  <c r="X219" i="55" s="1"/>
  <c r="U31" i="52"/>
  <c r="U28" i="52"/>
  <c r="AI30" i="50"/>
  <c r="AI31" i="50" l="1"/>
  <c r="NW274" i="39" l="1"/>
  <c r="NO274" i="39"/>
  <c r="NS274" i="39"/>
  <c r="NV274" i="39"/>
  <c r="NP274" i="39"/>
  <c r="NU274" i="39"/>
  <c r="NT274" i="39"/>
  <c r="NR274" i="39"/>
  <c r="NQ274" i="39"/>
  <c r="ES161" i="39"/>
  <c r="ES165" i="39"/>
  <c r="ES169" i="39"/>
  <c r="ES164" i="39"/>
  <c r="ES168" i="39"/>
  <c r="ES163" i="39"/>
  <c r="ES167" i="39"/>
  <c r="ES162" i="39"/>
  <c r="ES166" i="39"/>
  <c r="BD142" i="50"/>
  <c r="AY142" i="50"/>
  <c r="BB142" i="50"/>
  <c r="AV142" i="50"/>
  <c r="AX142" i="50"/>
  <c r="AW107" i="50"/>
  <c r="AX107" i="50" s="1"/>
  <c r="CI32" i="50"/>
  <c r="CJ32" i="50" s="1"/>
  <c r="BC142" i="50"/>
  <c r="BA142" i="50"/>
  <c r="AZ142" i="50"/>
  <c r="AW142" i="50"/>
  <c r="DI7" i="1"/>
  <c r="QT29" i="50" s="1"/>
  <c r="FG169" i="39" l="1"/>
  <c r="FF169" i="39"/>
  <c r="FF193" i="39" s="1"/>
  <c r="OU93" i="39" s="1"/>
  <c r="FC169" i="39"/>
  <c r="FD169" i="39"/>
  <c r="FD193" i="39" s="1"/>
  <c r="OS93" i="39" s="1"/>
  <c r="FN169" i="39"/>
  <c r="FE169" i="39"/>
  <c r="FO169" i="39"/>
  <c r="FO193" i="39" s="1"/>
  <c r="FL169" i="39"/>
  <c r="FP169" i="39"/>
  <c r="FP193" i="39" s="1"/>
  <c r="FQ169" i="39"/>
  <c r="FQ193" i="39" s="1"/>
  <c r="FR169" i="39"/>
  <c r="FR193" i="39" s="1"/>
  <c r="FS169" i="39"/>
  <c r="FS193" i="39" s="1"/>
  <c r="FM169" i="39"/>
  <c r="AI39" i="50"/>
  <c r="AU107" i="50" l="1"/>
  <c r="AW84" i="50"/>
  <c r="AU84" i="50"/>
  <c r="AX84" i="50" l="1"/>
  <c r="HI25" i="39" l="1"/>
  <c r="AI61" i="50" s="1"/>
  <c r="AI64" i="50" s="1"/>
  <c r="AI80" i="50" l="1"/>
  <c r="AI74" i="50"/>
  <c r="V178" i="52"/>
  <c r="V174" i="52"/>
  <c r="V171" i="52"/>
  <c r="V167" i="52"/>
  <c r="V164" i="52"/>
  <c r="V162" i="52"/>
  <c r="V158" i="52"/>
  <c r="V155" i="52"/>
  <c r="V151" i="52"/>
  <c r="V148" i="52"/>
  <c r="V144" i="52"/>
  <c r="V141" i="52"/>
  <c r="V139" i="52"/>
  <c r="V135" i="52"/>
  <c r="G178" i="52"/>
  <c r="G174" i="52"/>
  <c r="G171" i="52"/>
  <c r="G167" i="52"/>
  <c r="G164" i="52"/>
  <c r="G162" i="52"/>
  <c r="G158" i="52"/>
  <c r="G155" i="52"/>
  <c r="G151" i="52"/>
  <c r="G148" i="52"/>
  <c r="G144" i="52"/>
  <c r="G141" i="52"/>
  <c r="G139" i="52"/>
  <c r="G135" i="52"/>
  <c r="BT122" i="52"/>
  <c r="BK122" i="52"/>
  <c r="BB122" i="52"/>
  <c r="AT122" i="52"/>
  <c r="AK122" i="52"/>
  <c r="AB122" i="52"/>
  <c r="P122" i="52"/>
  <c r="F122" i="52"/>
  <c r="BT117" i="52"/>
  <c r="BK117" i="52"/>
  <c r="AT117" i="52"/>
  <c r="AK117" i="52"/>
  <c r="AB117" i="52"/>
  <c r="F117" i="52"/>
  <c r="AI66" i="50" l="1"/>
  <c r="AI70" i="50" s="1"/>
  <c r="CG51" i="55"/>
  <c r="BY51" i="55"/>
  <c r="BQ56" i="55"/>
  <c r="BI56" i="55"/>
  <c r="W51" i="55"/>
  <c r="AS51" i="55"/>
  <c r="BA51" i="55"/>
  <c r="BI51" i="55"/>
  <c r="F94" i="52"/>
  <c r="F87" i="52"/>
  <c r="F80" i="52"/>
  <c r="F78" i="52"/>
  <c r="F71" i="52"/>
  <c r="F64" i="52"/>
  <c r="F57" i="52"/>
  <c r="F55" i="52"/>
  <c r="F90" i="52"/>
  <c r="F83" i="52"/>
  <c r="F74" i="52"/>
  <c r="F67" i="52"/>
  <c r="F60" i="52"/>
  <c r="F51" i="52"/>
  <c r="ACZ43" i="50" l="1"/>
  <c r="ACZ44" i="50"/>
  <c r="ACZ45" i="50"/>
  <c r="ACZ46" i="50"/>
  <c r="ACZ47" i="50"/>
  <c r="ACZ48" i="50"/>
  <c r="ACZ49" i="50"/>
  <c r="ASM43" i="50"/>
  <c r="AL319" i="55" s="1"/>
  <c r="ASM44" i="50"/>
  <c r="AT319" i="55" s="1"/>
  <c r="ASM45" i="50"/>
  <c r="BB319" i="55" s="1"/>
  <c r="ASM46" i="50"/>
  <c r="BJ319" i="55" s="1"/>
  <c r="ASM47" i="50"/>
  <c r="BR319" i="55" s="1"/>
  <c r="ASM48" i="50"/>
  <c r="BZ319" i="55" s="1"/>
  <c r="ASM49" i="50"/>
  <c r="CH319" i="55" s="1"/>
  <c r="ASM42" i="50"/>
  <c r="X319" i="55" s="1"/>
  <c r="ASK39" i="50"/>
  <c r="ASB39" i="50"/>
  <c r="BAN36" i="50"/>
  <c r="BAN37" i="50"/>
  <c r="BAN38" i="50"/>
  <c r="BAM39" i="50"/>
  <c r="BAM40" i="50"/>
  <c r="BAM41" i="50"/>
  <c r="BAM42" i="50"/>
  <c r="BAN35" i="50"/>
  <c r="L308" i="55"/>
  <c r="DY6" i="1"/>
  <c r="TL28" i="50" a="1"/>
  <c r="TL28" i="50" s="1"/>
  <c r="L125" i="55"/>
  <c r="DG6" i="1"/>
  <c r="OJ28" i="50" s="1" a="1"/>
  <c r="OJ28" i="50" s="1"/>
  <c r="DA7" i="1"/>
  <c r="DE6" i="1"/>
  <c r="LG28" i="50" s="1" a="1"/>
  <c r="LG28" i="50" s="1"/>
  <c r="BZ107" i="55" l="1"/>
  <c r="AL107" i="55"/>
  <c r="BJ107" i="55"/>
  <c r="AT107" i="55"/>
  <c r="BR107" i="55"/>
  <c r="BB107" i="55"/>
  <c r="OI40" i="50" a="1"/>
  <c r="OI40" i="50" s="1"/>
  <c r="OI37" i="50" a="1"/>
  <c r="OI37" i="50" s="1"/>
  <c r="OI38" i="50" a="1"/>
  <c r="OI38" i="50" s="1"/>
  <c r="OI41" i="50" a="1"/>
  <c r="OI41" i="50" s="1"/>
  <c r="OI36" i="50" a="1"/>
  <c r="OI36" i="50" s="1"/>
  <c r="OI32" i="50" a="1"/>
  <c r="OI32" i="50" s="1"/>
  <c r="OI34" i="50" a="1"/>
  <c r="OI34" i="50" s="1"/>
  <c r="OI35" i="50" a="1"/>
  <c r="OI35" i="50" s="1"/>
  <c r="OI39" i="50" a="1"/>
  <c r="OI39" i="50" s="1"/>
  <c r="TK38" i="50" a="1"/>
  <c r="TK38" i="50" s="1"/>
  <c r="TK36" i="50" a="1"/>
  <c r="TK36" i="50" s="1"/>
  <c r="TK41" i="50" a="1"/>
  <c r="TK41" i="50" s="1"/>
  <c r="TK37" i="50" a="1"/>
  <c r="TK37" i="50" s="1"/>
  <c r="TK34" i="50" a="1"/>
  <c r="TK34" i="50" s="1"/>
  <c r="TK35" i="50" a="1"/>
  <c r="TK35" i="50" s="1"/>
  <c r="TK39" i="50" a="1"/>
  <c r="TK39" i="50" s="1"/>
  <c r="TK40" i="50" a="1"/>
  <c r="TK40" i="50" s="1"/>
  <c r="TK32" i="50" a="1"/>
  <c r="TK32" i="50" s="1"/>
  <c r="LF37" i="50" a="1"/>
  <c r="LF37" i="50" s="1"/>
  <c r="LF38" i="50" a="1"/>
  <c r="LF38" i="50" s="1"/>
  <c r="LF39" i="50" a="1"/>
  <c r="LF39" i="50" s="1"/>
  <c r="LF36" i="50" a="1"/>
  <c r="LF36" i="50" s="1"/>
  <c r="LF41" i="50" a="1"/>
  <c r="LF41" i="50" s="1"/>
  <c r="LF32" i="50" a="1"/>
  <c r="LF32" i="50" s="1"/>
  <c r="LF34" i="50" a="1"/>
  <c r="LF34" i="50" s="1"/>
  <c r="LF35" i="50" a="1"/>
  <c r="LF35" i="50" s="1"/>
  <c r="LF40" i="50" a="1"/>
  <c r="LF40" i="50" s="1"/>
  <c r="CH107" i="55"/>
  <c r="ARZ49" i="50"/>
  <c r="ARZ48" i="50"/>
  <c r="ARZ47" i="50"/>
  <c r="ARZ46" i="50"/>
  <c r="ARZ45" i="50"/>
  <c r="ARZ44" i="50"/>
  <c r="ARZ43" i="50"/>
  <c r="ARZ42" i="50"/>
  <c r="DI6" i="1"/>
  <c r="QR41" i="50" s="1"/>
  <c r="AYV44" i="50"/>
  <c r="AYV45" i="50"/>
  <c r="AYV46" i="50"/>
  <c r="AYV47" i="50"/>
  <c r="AYV48" i="50"/>
  <c r="AYV43" i="50"/>
  <c r="DA6" i="1"/>
  <c r="CX7" i="1"/>
  <c r="CX6" i="1"/>
  <c r="CW28" i="50" s="1"/>
  <c r="EF34" i="50" l="1"/>
  <c r="EF39" i="50"/>
  <c r="EF36" i="50"/>
  <c r="EF32" i="50"/>
  <c r="QR35" i="50"/>
  <c r="QR34" i="50"/>
  <c r="CV36" i="50"/>
  <c r="CV39" i="50"/>
  <c r="CV40" i="50"/>
  <c r="CV37" i="50"/>
  <c r="CV32" i="50"/>
  <c r="CV34" i="50"/>
  <c r="CV41" i="50"/>
  <c r="CV35" i="50"/>
  <c r="CV38" i="50"/>
  <c r="EF40" i="50"/>
  <c r="QR38" i="50"/>
  <c r="EF37" i="50"/>
  <c r="EF38" i="50"/>
  <c r="QR40" i="50"/>
  <c r="QR37" i="50"/>
  <c r="EF41" i="50"/>
  <c r="EF35" i="50"/>
  <c r="QR36" i="50"/>
  <c r="QR39" i="50"/>
  <c r="QR32" i="50"/>
  <c r="QT28" i="50"/>
  <c r="ACZ42" i="50"/>
  <c r="X107" i="55" l="1"/>
  <c r="BC53" i="50" l="1"/>
  <c r="BC52" i="50"/>
  <c r="BC51" i="50"/>
  <c r="BC50" i="50"/>
  <c r="BC49" i="50"/>
  <c r="BC48" i="50"/>
  <c r="BC47" i="50"/>
  <c r="BC46" i="50"/>
  <c r="BC45" i="50"/>
  <c r="BB53" i="50"/>
  <c r="BB52" i="50"/>
  <c r="BB51" i="50"/>
  <c r="BB50" i="50"/>
  <c r="BB49" i="50"/>
  <c r="BB48" i="50"/>
  <c r="BB47" i="50"/>
  <c r="BB46" i="50"/>
  <c r="BB45" i="50"/>
  <c r="BA53" i="50"/>
  <c r="BA52" i="50"/>
  <c r="BA51" i="50"/>
  <c r="BA50" i="50"/>
  <c r="BA49" i="50"/>
  <c r="BA48" i="50"/>
  <c r="BA47" i="50"/>
  <c r="BA46" i="50"/>
  <c r="BA45" i="50"/>
  <c r="AZ53" i="50"/>
  <c r="AZ52" i="50"/>
  <c r="AZ51" i="50"/>
  <c r="AZ50" i="50"/>
  <c r="AZ49" i="50"/>
  <c r="AZ48" i="50"/>
  <c r="AZ47" i="50"/>
  <c r="AZ46" i="50"/>
  <c r="AZ45" i="50"/>
  <c r="AY53" i="50"/>
  <c r="AY52" i="50"/>
  <c r="AY51" i="50"/>
  <c r="AY50" i="50"/>
  <c r="AY49" i="50"/>
  <c r="AY48" i="50"/>
  <c r="AY47" i="50"/>
  <c r="AY46" i="50"/>
  <c r="AY45" i="50"/>
  <c r="AX53" i="50"/>
  <c r="AX52" i="50"/>
  <c r="AX51" i="50"/>
  <c r="AX50" i="50"/>
  <c r="AX49" i="50"/>
  <c r="AX48" i="50"/>
  <c r="AX47" i="50"/>
  <c r="AX46" i="50"/>
  <c r="AX45" i="50"/>
  <c r="AW53" i="50"/>
  <c r="AW52" i="50"/>
  <c r="AW51" i="50"/>
  <c r="AW50" i="50"/>
  <c r="AW49" i="50"/>
  <c r="AW48" i="50" l="1"/>
  <c r="AW47" i="50"/>
  <c r="AW46" i="50"/>
  <c r="AW45" i="50"/>
  <c r="AV53" i="50"/>
  <c r="BD53" i="50" s="1"/>
  <c r="AV52" i="50"/>
  <c r="BD52" i="50" s="1"/>
  <c r="AV51" i="50"/>
  <c r="BD51" i="50" s="1"/>
  <c r="AV50" i="50"/>
  <c r="BD50" i="50" s="1"/>
  <c r="AV49" i="50"/>
  <c r="BD49" i="50" s="1"/>
  <c r="AV48" i="50"/>
  <c r="AV47" i="50"/>
  <c r="AV46" i="50"/>
  <c r="AV45" i="50"/>
  <c r="BD45" i="50" s="1"/>
  <c r="BJ84" i="50" s="1"/>
  <c r="BD46" i="50" l="1"/>
  <c r="BD48" i="50"/>
  <c r="BD47" i="50"/>
  <c r="AC55" i="5" l="1"/>
  <c r="S73" i="5" l="1"/>
  <c r="AI38" i="50"/>
  <c r="AI55" i="50" s="1"/>
  <c r="BH35" i="39" l="1"/>
  <c r="CN14" i="39" s="1"/>
  <c r="NP425" i="39"/>
  <c r="U59" i="5"/>
  <c r="AE26" i="55" s="1"/>
  <c r="S64" i="5"/>
  <c r="U64" i="5" s="1"/>
  <c r="U73" i="5"/>
  <c r="AE73" i="5"/>
  <c r="AI42" i="50"/>
  <c r="Z34" i="55"/>
  <c r="Z40" i="55"/>
  <c r="AI40" i="50"/>
  <c r="AI49" i="50"/>
  <c r="V24" i="55"/>
  <c r="CN29" i="39" l="1"/>
  <c r="CP29" i="39" s="1"/>
  <c r="AI43" i="50"/>
  <c r="AE40" i="55" s="1"/>
  <c r="AI45" i="50"/>
  <c r="AI46" i="50"/>
  <c r="CT29" i="39" l="1"/>
  <c r="CS29" i="39"/>
  <c r="CQ29" i="39"/>
  <c r="CR29" i="39"/>
  <c r="AI47" i="50"/>
  <c r="AE46" i="55" s="1"/>
  <c r="Z46" i="55"/>
  <c r="BC35" i="50"/>
  <c r="BB35" i="50"/>
  <c r="BA35" i="50"/>
  <c r="AZ35" i="50"/>
  <c r="AY35" i="50"/>
  <c r="AX35" i="50"/>
  <c r="AW35" i="50"/>
  <c r="AV35" i="50"/>
  <c r="BC34" i="50"/>
  <c r="BB34" i="50"/>
  <c r="BA34" i="50"/>
  <c r="AZ34" i="50"/>
  <c r="AY34" i="50"/>
  <c r="AX34" i="50"/>
  <c r="AW34" i="50"/>
  <c r="AV34" i="50"/>
  <c r="BC33" i="50"/>
  <c r="BB33" i="50"/>
  <c r="BA33" i="50"/>
  <c r="AZ33" i="50"/>
  <c r="AY33" i="50"/>
  <c r="AX33" i="50"/>
  <c r="AW33" i="50"/>
  <c r="AV33" i="50"/>
  <c r="BC32" i="50"/>
  <c r="BB32" i="50"/>
  <c r="BA32" i="50"/>
  <c r="AZ32" i="50"/>
  <c r="AY32" i="50"/>
  <c r="AX32" i="50"/>
  <c r="AW32" i="50"/>
  <c r="AV32" i="50"/>
  <c r="BC31" i="50"/>
  <c r="BB31" i="50"/>
  <c r="BA31" i="50"/>
  <c r="AZ31" i="50"/>
  <c r="AY31" i="50"/>
  <c r="AX31" i="50"/>
  <c r="AW31" i="50"/>
  <c r="AV31" i="50"/>
  <c r="BC30" i="50"/>
  <c r="BB30" i="50"/>
  <c r="BA30" i="50"/>
  <c r="AZ30" i="50"/>
  <c r="AY30" i="50"/>
  <c r="AX30" i="50"/>
  <c r="AW30" i="50"/>
  <c r="AV30" i="50"/>
  <c r="BC29" i="50"/>
  <c r="BB29" i="50"/>
  <c r="BA29" i="50"/>
  <c r="AZ29" i="50"/>
  <c r="AY29" i="50"/>
  <c r="AX29" i="50"/>
  <c r="AW29" i="50"/>
  <c r="AV29" i="50"/>
  <c r="BC28" i="50"/>
  <c r="BB28" i="50"/>
  <c r="BA28" i="50"/>
  <c r="AZ28" i="50"/>
  <c r="AY28" i="50"/>
  <c r="AX28" i="50"/>
  <c r="AW28" i="50"/>
  <c r="AV28" i="50"/>
  <c r="BC27" i="50"/>
  <c r="BF84" i="50" s="1"/>
  <c r="BB27" i="50"/>
  <c r="BE84" i="50" s="1"/>
  <c r="BA27" i="50"/>
  <c r="BD84" i="50" s="1"/>
  <c r="AZ27" i="50"/>
  <c r="BC84" i="50" s="1"/>
  <c r="AY27" i="50"/>
  <c r="BB84" i="50" s="1"/>
  <c r="AX27" i="50"/>
  <c r="BA84" i="50" s="1"/>
  <c r="AW27" i="50"/>
  <c r="AZ84" i="50" s="1"/>
  <c r="AV27" i="50"/>
  <c r="AY84" i="50" s="1"/>
  <c r="BA107" i="50" l="1"/>
  <c r="CN32" i="50" s="1"/>
  <c r="BB107" i="50"/>
  <c r="CO32" i="50" s="1"/>
  <c r="BC107" i="50"/>
  <c r="CP32" i="50" s="1"/>
  <c r="BD107" i="50"/>
  <c r="CQ32" i="50" s="1"/>
  <c r="BE107" i="50"/>
  <c r="CR32" i="50" s="1"/>
  <c r="BF107" i="50"/>
  <c r="CS32" i="50" s="1"/>
  <c r="AZ107" i="50"/>
  <c r="CM32" i="50" s="1"/>
  <c r="BH84" i="50"/>
  <c r="AY107" i="50"/>
  <c r="CL32" i="50" s="1"/>
  <c r="CN104" i="52"/>
  <c r="CF104" i="52"/>
  <c r="BX104" i="52"/>
  <c r="BP104" i="52"/>
  <c r="BH104" i="52"/>
  <c r="AZ104" i="52"/>
  <c r="AR104" i="52"/>
  <c r="AJ104" i="52"/>
  <c r="AB104" i="52"/>
  <c r="CN102" i="52"/>
  <c r="CF102" i="52"/>
  <c r="BX102" i="52"/>
  <c r="BP102" i="52"/>
  <c r="BH102" i="52"/>
  <c r="AZ102" i="52"/>
  <c r="AR102" i="52"/>
  <c r="AJ102" i="52"/>
  <c r="AB102" i="52"/>
  <c r="M28" i="52" l="1"/>
  <c r="BBI28" i="50"/>
  <c r="BBI27" i="50"/>
  <c r="BBC28" i="50"/>
  <c r="BBA28" i="50"/>
  <c r="AYV49" i="50" s="1"/>
  <c r="M141" i="36" l="1"/>
  <c r="M173" i="36" s="1"/>
  <c r="F82" i="36" l="1"/>
  <c r="F81" i="36"/>
  <c r="D3" i="8" l="1"/>
  <c r="O40" i="45" l="1"/>
  <c r="O102" i="45" s="1"/>
  <c r="O148" i="45" s="1"/>
  <c r="AI83" i="39"/>
  <c r="AI82" i="39"/>
  <c r="T27" i="45"/>
  <c r="AI80" i="39" l="1"/>
  <c r="Y203" i="45"/>
  <c r="Y201" i="45"/>
  <c r="Y194" i="45"/>
  <c r="Y187" i="45"/>
  <c r="Y176" i="45"/>
  <c r="Y174" i="45"/>
  <c r="Y167" i="45"/>
  <c r="Y165" i="45"/>
  <c r="Y145" i="45"/>
  <c r="Y143" i="45"/>
  <c r="Y141" i="45"/>
  <c r="Y139" i="45"/>
  <c r="Y132" i="45"/>
  <c r="Y130" i="45"/>
  <c r="Y128" i="45"/>
  <c r="Y126" i="45"/>
  <c r="Y116" i="45"/>
  <c r="Y112" i="45"/>
  <c r="Y110" i="45"/>
  <c r="Y156" i="45"/>
  <c r="Q100" i="5" l="1"/>
  <c r="PT67" i="39"/>
  <c r="PT75" i="39" s="1"/>
  <c r="QJ84" i="39"/>
  <c r="QJ75" i="39"/>
  <c r="O36" i="8"/>
  <c r="O83" i="8"/>
  <c r="O82" i="8"/>
  <c r="O80" i="8"/>
  <c r="O78" i="8"/>
  <c r="O75" i="8"/>
  <c r="O74" i="8"/>
  <c r="O71" i="8"/>
  <c r="O69" i="8"/>
  <c r="W69" i="8" s="1"/>
  <c r="O61" i="8"/>
  <c r="O42" i="8"/>
  <c r="O40" i="8"/>
  <c r="O38" i="8"/>
  <c r="O32" i="8"/>
  <c r="W32" i="8" s="1"/>
  <c r="R26" i="27" s="1"/>
  <c r="O27" i="8"/>
  <c r="O26" i="8"/>
  <c r="O25" i="8"/>
  <c r="O24" i="8"/>
  <c r="O22" i="8"/>
  <c r="O21" i="8"/>
  <c r="O20" i="8"/>
  <c r="O19" i="8"/>
  <c r="O17" i="8"/>
  <c r="O16" i="8"/>
  <c r="O15" i="8"/>
  <c r="Q83" i="8"/>
  <c r="Q82" i="8"/>
  <c r="Q80" i="8"/>
  <c r="Q78" i="8"/>
  <c r="Q75" i="8"/>
  <c r="Q74" i="8"/>
  <c r="Q71" i="8"/>
  <c r="Q69" i="8"/>
  <c r="Q61" i="8"/>
  <c r="Q42" i="8"/>
  <c r="Q40" i="8"/>
  <c r="Q38" i="8"/>
  <c r="Q32" i="8"/>
  <c r="Q27" i="8"/>
  <c r="Q26" i="8"/>
  <c r="Q25" i="8"/>
  <c r="Q24" i="8"/>
  <c r="Q22" i="8"/>
  <c r="Q21" i="8"/>
  <c r="Q20" i="8"/>
  <c r="Q19" i="8"/>
  <c r="Q17" i="8"/>
  <c r="Q16" i="8"/>
  <c r="Q15" i="8"/>
  <c r="F83" i="8"/>
  <c r="F82" i="8"/>
  <c r="F80" i="8"/>
  <c r="F78" i="8"/>
  <c r="F75" i="8"/>
  <c r="F74" i="8"/>
  <c r="F71" i="8"/>
  <c r="F69" i="8"/>
  <c r="F61" i="8"/>
  <c r="F42" i="8"/>
  <c r="F40" i="8"/>
  <c r="F38" i="8"/>
  <c r="F32" i="8"/>
  <c r="F27" i="8"/>
  <c r="F26" i="8"/>
  <c r="F25" i="8"/>
  <c r="F24" i="8"/>
  <c r="F22" i="8"/>
  <c r="F21" i="8"/>
  <c r="F20" i="8"/>
  <c r="F19" i="8"/>
  <c r="F17" i="8"/>
  <c r="F16" i="8"/>
  <c r="F15" i="8"/>
  <c r="W36" i="8" l="1"/>
  <c r="R44" i="27" s="1"/>
  <c r="W42" i="8"/>
  <c r="R34" i="27" s="1"/>
  <c r="W83" i="8"/>
  <c r="P77" i="43" s="1"/>
  <c r="W82" i="8"/>
  <c r="P75" i="43" s="1"/>
  <c r="W80" i="8"/>
  <c r="P68" i="43" s="1"/>
  <c r="W78" i="8"/>
  <c r="P61" i="43" s="1"/>
  <c r="W75" i="8"/>
  <c r="P50" i="43" s="1"/>
  <c r="W74" i="8"/>
  <c r="P48" i="43" s="1"/>
  <c r="W61" i="8"/>
  <c r="P28" i="43" s="1"/>
  <c r="W71" i="8"/>
  <c r="P41" i="43" s="1"/>
  <c r="W38" i="8"/>
  <c r="R28" i="27" s="1"/>
  <c r="W27" i="8"/>
  <c r="W26" i="8"/>
  <c r="R57" i="42" s="1"/>
  <c r="W25" i="8"/>
  <c r="R55" i="42" s="1"/>
  <c r="W24" i="8"/>
  <c r="R53" i="42" s="1"/>
  <c r="W22" i="8"/>
  <c r="W21" i="8"/>
  <c r="R46" i="42" s="1"/>
  <c r="W20" i="8"/>
  <c r="R44" i="42" s="1"/>
  <c r="W19" i="8"/>
  <c r="R42" i="42" s="1"/>
  <c r="W17" i="8"/>
  <c r="R32" i="42" s="1"/>
  <c r="W16" i="8"/>
  <c r="R28" i="42" s="1"/>
  <c r="W40" i="8"/>
  <c r="R31" i="27" s="1"/>
  <c r="W15" i="8"/>
  <c r="R26" i="42" s="1"/>
  <c r="S42" i="8"/>
  <c r="S40" i="8"/>
  <c r="S38" i="8"/>
  <c r="S36" i="8"/>
  <c r="S32" i="8"/>
  <c r="PT71" i="39"/>
  <c r="PT83" i="39"/>
  <c r="PT79" i="39"/>
  <c r="PT70" i="39"/>
  <c r="PT73" i="39"/>
  <c r="PT81" i="39"/>
  <c r="PT69" i="39"/>
  <c r="PT80" i="39"/>
  <c r="PT77" i="39"/>
  <c r="PT68" i="39"/>
  <c r="PT76" i="39"/>
  <c r="PT82" i="39"/>
  <c r="PT78" i="39"/>
  <c r="PT72" i="39"/>
  <c r="PT74" i="39"/>
  <c r="PT84" i="39"/>
  <c r="P39" i="43"/>
  <c r="U15" i="8"/>
  <c r="U26" i="8"/>
  <c r="U17" i="8"/>
  <c r="U27" i="8"/>
  <c r="U74" i="8"/>
  <c r="U19" i="8"/>
  <c r="U75" i="8"/>
  <c r="FE181" i="39" s="1"/>
  <c r="FE193" i="39" s="1"/>
  <c r="OT93" i="39" s="1"/>
  <c r="U20" i="8"/>
  <c r="U78" i="8"/>
  <c r="U16" i="8"/>
  <c r="U21" i="8"/>
  <c r="U80" i="8"/>
  <c r="U22" i="8"/>
  <c r="U82" i="8"/>
  <c r="FT181" i="39" s="1"/>
  <c r="U83" i="8"/>
  <c r="FU181" i="39" s="1"/>
  <c r="U25" i="8"/>
  <c r="U24" i="8"/>
  <c r="U69" i="8"/>
  <c r="EZ181" i="39" s="1"/>
  <c r="U61" i="8"/>
  <c r="U71" i="8"/>
  <c r="FA181" i="39" s="1"/>
  <c r="Z26" i="20"/>
  <c r="U36" i="8" l="1"/>
  <c r="BL221" i="39" s="1"/>
  <c r="Y53" i="45"/>
  <c r="Y56" i="45"/>
  <c r="FL181" i="39"/>
  <c r="FL193" i="39" s="1"/>
  <c r="OX93" i="39" s="1"/>
  <c r="PE93" i="39" s="1"/>
  <c r="FG181" i="39"/>
  <c r="FG193" i="39" s="1"/>
  <c r="OV93" i="39" s="1"/>
  <c r="FU189" i="39"/>
  <c r="PA89" i="39" s="1"/>
  <c r="FU193" i="39"/>
  <c r="PA93" i="39" s="1"/>
  <c r="FU191" i="39"/>
  <c r="PA91" i="39" s="1"/>
  <c r="FU188" i="39"/>
  <c r="PA88" i="39" s="1"/>
  <c r="FU187" i="39"/>
  <c r="PA87" i="39" s="1"/>
  <c r="FU186" i="39"/>
  <c r="PA86" i="39" s="1"/>
  <c r="FU190" i="39"/>
  <c r="PA90" i="39" s="1"/>
  <c r="FU185" i="39"/>
  <c r="PA85" i="39" s="1"/>
  <c r="FU192" i="39"/>
  <c r="PA92" i="39" s="1"/>
  <c r="FT185" i="39"/>
  <c r="OZ85" i="39" s="1"/>
  <c r="FT190" i="39"/>
  <c r="OZ90" i="39" s="1"/>
  <c r="FT192" i="39"/>
  <c r="OZ92" i="39" s="1"/>
  <c r="FT191" i="39"/>
  <c r="OZ91" i="39" s="1"/>
  <c r="FT189" i="39"/>
  <c r="OZ89" i="39" s="1"/>
  <c r="FT188" i="39"/>
  <c r="OZ88" i="39" s="1"/>
  <c r="FT193" i="39"/>
  <c r="OZ93" i="39" s="1"/>
  <c r="FT187" i="39"/>
  <c r="OZ87" i="39" s="1"/>
  <c r="FT186" i="39"/>
  <c r="OZ86" i="39" s="1"/>
  <c r="FB181" i="39"/>
  <c r="FC181" i="39"/>
  <c r="FC193" i="39" s="1"/>
  <c r="OR93" i="39" s="1"/>
  <c r="DB98" i="50"/>
  <c r="FM181" i="39"/>
  <c r="FM193" i="39" s="1"/>
  <c r="FN181" i="39"/>
  <c r="FN193" i="39" s="1"/>
  <c r="CJ98" i="50"/>
  <c r="EX181" i="39"/>
  <c r="Y59" i="45"/>
  <c r="U42" i="8"/>
  <c r="BJ221" i="39" s="1"/>
  <c r="U38" i="8"/>
  <c r="BH221" i="39" s="1"/>
  <c r="U40" i="8"/>
  <c r="BI221" i="39" s="1"/>
  <c r="Y51" i="45"/>
  <c r="Y69" i="45"/>
  <c r="CN98" i="50"/>
  <c r="CR98" i="50"/>
  <c r="CP98" i="50"/>
  <c r="N28" i="43"/>
  <c r="FO118" i="39"/>
  <c r="FE115" i="39"/>
  <c r="FD115" i="39"/>
  <c r="FC115" i="39"/>
  <c r="FA115" i="39"/>
  <c r="EZ115" i="39"/>
  <c r="FN118" i="39"/>
  <c r="EW115" i="39"/>
  <c r="EX115" i="39"/>
  <c r="EY115" i="39"/>
  <c r="FB115" i="39"/>
  <c r="U32" i="8"/>
  <c r="BK221" i="39" s="1"/>
  <c r="PG90" i="39" l="1"/>
  <c r="PG92" i="39"/>
  <c r="PG87" i="39"/>
  <c r="PG88" i="39"/>
  <c r="PG91" i="39"/>
  <c r="FL118" i="39"/>
  <c r="PG89" i="39"/>
  <c r="PG86" i="39"/>
  <c r="PG85" i="39"/>
  <c r="PG93" i="39"/>
  <c r="OY93" i="39"/>
  <c r="PF93" i="39" s="1"/>
  <c r="Z54" i="15"/>
  <c r="DS22" i="36" l="1"/>
  <c r="AP22" i="36"/>
  <c r="U49" i="5"/>
  <c r="AE22" i="55" l="1"/>
  <c r="AE34" i="55"/>
  <c r="P31" i="27" l="1"/>
  <c r="N15" i="41" l="1"/>
  <c r="N13" i="41"/>
  <c r="QO134" i="39" l="1"/>
  <c r="D150" i="36"/>
  <c r="D151" i="36" s="1"/>
  <c r="AI14" i="39" l="1"/>
  <c r="GL96" i="39" l="1"/>
  <c r="GL95" i="39"/>
  <c r="GL94" i="39"/>
  <c r="GL93" i="39"/>
  <c r="GL92" i="39"/>
  <c r="GL91" i="39"/>
  <c r="GL90" i="39"/>
  <c r="GL89" i="39"/>
  <c r="GL88" i="39"/>
  <c r="GK88" i="39"/>
  <c r="GK89" i="39"/>
  <c r="GK90" i="39"/>
  <c r="GK91" i="39"/>
  <c r="GK96" i="39"/>
  <c r="GK95" i="39"/>
  <c r="GK94" i="39"/>
  <c r="GK93" i="39"/>
  <c r="GK92" i="39"/>
  <c r="QO84" i="39" l="1"/>
  <c r="QP84" i="39" s="1"/>
  <c r="QO75" i="39"/>
  <c r="QP75" i="39" s="1"/>
  <c r="GJ82" i="39"/>
  <c r="NN308" i="39"/>
  <c r="BC57" i="39"/>
  <c r="HI83" i="39"/>
  <c r="HI84" i="39"/>
  <c r="HI85" i="39"/>
  <c r="HI86" i="39"/>
  <c r="HI87" i="39"/>
  <c r="HI88" i="39"/>
  <c r="HI89" i="39"/>
  <c r="HI90" i="39"/>
  <c r="HI91" i="39"/>
  <c r="HI92" i="39"/>
  <c r="HI93" i="39"/>
  <c r="HI94" i="39"/>
  <c r="HI95" i="39"/>
  <c r="HI96" i="39"/>
  <c r="HI97" i="39"/>
  <c r="HI98" i="39"/>
  <c r="HI99" i="39"/>
  <c r="HI100" i="39"/>
  <c r="HI101" i="39"/>
  <c r="HH83" i="39"/>
  <c r="HH84" i="39"/>
  <c r="HH85" i="39"/>
  <c r="HH86" i="39"/>
  <c r="HH87" i="39"/>
  <c r="HH88" i="39"/>
  <c r="HH89" i="39"/>
  <c r="HH90" i="39"/>
  <c r="HH91" i="39"/>
  <c r="HH92" i="39"/>
  <c r="HH93" i="39"/>
  <c r="HH94" i="39"/>
  <c r="HH95" i="39"/>
  <c r="HH96" i="39"/>
  <c r="HH97" i="39"/>
  <c r="HH98" i="39"/>
  <c r="HH99" i="39"/>
  <c r="HH100" i="39"/>
  <c r="HH101" i="39"/>
  <c r="HH82" i="39"/>
  <c r="M171" i="41"/>
  <c r="M169" i="41"/>
  <c r="M165" i="41"/>
  <c r="M173" i="41"/>
  <c r="M175" i="41"/>
  <c r="KT66" i="39" l="1"/>
  <c r="KW66" i="39" s="1"/>
  <c r="KR66" i="39"/>
  <c r="JL65" i="39"/>
  <c r="CM120" i="22"/>
  <c r="CM108" i="22"/>
  <c r="CM96" i="22"/>
  <c r="CM84" i="22"/>
  <c r="CM72" i="22"/>
  <c r="IU65" i="39"/>
  <c r="IT65" i="39"/>
  <c r="CM60" i="22"/>
  <c r="JL64" i="39"/>
  <c r="CE120" i="22"/>
  <c r="CE108" i="22"/>
  <c r="CE96" i="22"/>
  <c r="CE84" i="22"/>
  <c r="CE72" i="22"/>
  <c r="CE60" i="22"/>
  <c r="JL63" i="39"/>
  <c r="BW123" i="22"/>
  <c r="BW120" i="22"/>
  <c r="BW108" i="22"/>
  <c r="BW102" i="22"/>
  <c r="BW96" i="22"/>
  <c r="BW90" i="22"/>
  <c r="BW84" i="22"/>
  <c r="BW72" i="22"/>
  <c r="BW60" i="22"/>
  <c r="BO126" i="22"/>
  <c r="BO120" i="22"/>
  <c r="BO111" i="22"/>
  <c r="BO108" i="22"/>
  <c r="BO96" i="22"/>
  <c r="BO90" i="22"/>
  <c r="BO84" i="22"/>
  <c r="BO78" i="22"/>
  <c r="BO72" i="22"/>
  <c r="BO63" i="22"/>
  <c r="BO60" i="22"/>
  <c r="BG138" i="22"/>
  <c r="BG120" i="22"/>
  <c r="BG108" i="22"/>
  <c r="BG96" i="22"/>
  <c r="BG84" i="22"/>
  <c r="BG78" i="22"/>
  <c r="BG72" i="22"/>
  <c r="IU61" i="39"/>
  <c r="BG60" i="22"/>
  <c r="JL60" i="39"/>
  <c r="AY120" i="22"/>
  <c r="AY108" i="22"/>
  <c r="AY96" i="22"/>
  <c r="AY84" i="22"/>
  <c r="AY72" i="22"/>
  <c r="AY66" i="22"/>
  <c r="AY60" i="22"/>
  <c r="AQ120" i="22"/>
  <c r="AQ108" i="22"/>
  <c r="AQ96" i="22"/>
  <c r="AQ84" i="22"/>
  <c r="AQ72" i="22"/>
  <c r="AQ60" i="22"/>
  <c r="AI120" i="22"/>
  <c r="AI108" i="22"/>
  <c r="AI96" i="22"/>
  <c r="AI84" i="22"/>
  <c r="AI72" i="22"/>
  <c r="IT58" i="39"/>
  <c r="JL57" i="39"/>
  <c r="IU57" i="39"/>
  <c r="LA66" i="39" l="1"/>
  <c r="LC66" i="39" s="1"/>
  <c r="LE66" i="39"/>
  <c r="LG66" i="39" s="1"/>
  <c r="AI60" i="22"/>
  <c r="AA60" i="22"/>
  <c r="Y163" i="41"/>
  <c r="IT57" i="39"/>
  <c r="AI138" i="22"/>
  <c r="BW138" i="22"/>
  <c r="CM132" i="22"/>
  <c r="AY138" i="22"/>
  <c r="CM138" i="22"/>
  <c r="CE138" i="22"/>
  <c r="BO138" i="22"/>
  <c r="AQ138" i="22"/>
  <c r="AA102" i="22"/>
  <c r="AA75" i="22"/>
  <c r="AA138" i="22"/>
  <c r="AA90" i="22"/>
  <c r="AA132" i="22"/>
  <c r="AA120" i="22"/>
  <c r="AA96" i="22"/>
  <c r="AA84" i="22"/>
  <c r="AA72" i="22"/>
  <c r="BE175" i="41"/>
  <c r="CM63" i="22"/>
  <c r="BW75" i="22"/>
  <c r="BG99" i="22"/>
  <c r="AQ90" i="22"/>
  <c r="BG66" i="22"/>
  <c r="AQ75" i="22"/>
  <c r="CE102" i="22"/>
  <c r="AI126" i="22"/>
  <c r="CE87" i="22"/>
  <c r="AY102" i="22"/>
  <c r="AI111" i="22"/>
  <c r="IT62" i="39"/>
  <c r="AY99" i="22"/>
  <c r="AI78" i="22"/>
  <c r="CC167" i="41"/>
  <c r="CM114" i="22"/>
  <c r="AY87" i="22"/>
  <c r="AI63" i="22"/>
  <c r="CM99" i="22"/>
  <c r="BG114" i="22"/>
  <c r="CM66" i="22"/>
  <c r="BG111" i="22"/>
  <c r="AQ123" i="22"/>
  <c r="Y171" i="41"/>
  <c r="AO165" i="41"/>
  <c r="JL59" i="39"/>
  <c r="CM78" i="22"/>
  <c r="Y169" i="41"/>
  <c r="AI99" i="22"/>
  <c r="AQ78" i="22"/>
  <c r="AQ111" i="22"/>
  <c r="AO171" i="41"/>
  <c r="AY90" i="22"/>
  <c r="AY123" i="22"/>
  <c r="BE165" i="41"/>
  <c r="BG102" i="22"/>
  <c r="JL61" i="39"/>
  <c r="BG135" i="22"/>
  <c r="BM167" i="41"/>
  <c r="IT63" i="39"/>
  <c r="BW63" i="22"/>
  <c r="CE75" i="22"/>
  <c r="CC165" i="41"/>
  <c r="CM87" i="22"/>
  <c r="Y175" i="41"/>
  <c r="AI102" i="22"/>
  <c r="JL58" i="39"/>
  <c r="AO167" i="41"/>
  <c r="AQ114" i="22"/>
  <c r="IT60" i="39"/>
  <c r="AY126" i="22"/>
  <c r="BG75" i="22"/>
  <c r="BE171" i="41"/>
  <c r="IU63" i="39"/>
  <c r="BW66" i="22"/>
  <c r="BU175" i="41"/>
  <c r="AA167" i="41"/>
  <c r="CE99" i="22"/>
  <c r="AI114" i="22"/>
  <c r="IT59" i="39"/>
  <c r="AQ63" i="22"/>
  <c r="AQ126" i="22"/>
  <c r="AY75" i="22"/>
  <c r="AW165" i="41"/>
  <c r="AW171" i="41"/>
  <c r="BG87" i="22"/>
  <c r="IU62" i="39"/>
  <c r="BO99" i="22"/>
  <c r="BM175" i="41"/>
  <c r="BW78" i="22"/>
  <c r="BW111" i="22"/>
  <c r="BU171" i="41"/>
  <c r="CE90" i="22"/>
  <c r="CE123" i="22"/>
  <c r="CK165" i="41"/>
  <c r="Y167" i="41"/>
  <c r="AI87" i="22"/>
  <c r="IU59" i="39"/>
  <c r="AQ66" i="22"/>
  <c r="AQ99" i="22"/>
  <c r="AY78" i="22"/>
  <c r="AY111" i="22"/>
  <c r="BG90" i="22"/>
  <c r="BG123" i="22"/>
  <c r="BM165" i="41"/>
  <c r="BO102" i="22"/>
  <c r="JL62" i="39"/>
  <c r="BU167" i="41"/>
  <c r="BW114" i="22"/>
  <c r="CE63" i="22"/>
  <c r="IT64" i="39"/>
  <c r="CE126" i="22"/>
  <c r="CM75" i="22"/>
  <c r="CK171" i="41"/>
  <c r="CM111" i="22"/>
  <c r="Y173" i="41"/>
  <c r="AI123" i="22"/>
  <c r="AW167" i="41"/>
  <c r="BG126" i="22"/>
  <c r="AQ102" i="22"/>
  <c r="CE66" i="22"/>
  <c r="IU64" i="39"/>
  <c r="AI90" i="22"/>
  <c r="AY114" i="22"/>
  <c r="IT61" i="39"/>
  <c r="BG63" i="22"/>
  <c r="BM171" i="41"/>
  <c r="IU58" i="39"/>
  <c r="AI66" i="22"/>
  <c r="CC171" i="41"/>
  <c r="AQ87" i="22"/>
  <c r="AI75" i="22"/>
  <c r="AO173" i="41"/>
  <c r="CM102" i="22"/>
  <c r="CK167" i="41"/>
  <c r="BE167" i="41"/>
  <c r="AW175" i="41"/>
  <c r="IU60" i="39"/>
  <c r="CM90" i="22"/>
  <c r="CE78" i="22"/>
  <c r="CM126" i="22"/>
  <c r="CE114" i="22"/>
  <c r="CM123" i="22"/>
  <c r="CE111" i="22"/>
  <c r="AA175" i="41" l="1"/>
  <c r="BU165" i="41"/>
  <c r="AG169" i="41"/>
  <c r="CK175" i="41"/>
  <c r="BM163" i="41"/>
  <c r="AG175" i="41"/>
  <c r="BO165" i="41"/>
  <c r="BO75" i="22"/>
  <c r="AO175" i="41"/>
  <c r="AG171" i="41"/>
  <c r="AO169" i="41"/>
  <c r="CK173" i="41"/>
  <c r="BW167" i="41"/>
  <c r="BW87" i="22"/>
  <c r="AA171" i="41"/>
  <c r="CC163" i="41"/>
  <c r="BM169" i="41"/>
  <c r="AO163" i="41"/>
  <c r="BM173" i="41"/>
  <c r="AW169" i="41"/>
  <c r="BU163" i="41"/>
  <c r="AY135" i="22"/>
  <c r="CE135" i="22"/>
  <c r="BG165" i="41"/>
  <c r="BO171" i="41"/>
  <c r="BO114" i="22"/>
  <c r="BU173" i="41"/>
  <c r="BW135" i="22"/>
  <c r="BO173" i="41"/>
  <c r="BO123" i="22"/>
  <c r="BE173" i="41"/>
  <c r="BW169" i="41"/>
  <c r="BW99" i="22"/>
  <c r="BO135" i="22"/>
  <c r="BE163" i="41"/>
  <c r="BO163" i="41"/>
  <c r="BO66" i="22"/>
  <c r="BO167" i="41"/>
  <c r="BO87" i="22"/>
  <c r="AY163" i="41"/>
  <c r="AY63" i="22"/>
  <c r="AG165" i="41"/>
  <c r="BE169" i="41"/>
  <c r="Y165" i="41"/>
  <c r="CC175" i="41"/>
  <c r="BG175" i="41"/>
  <c r="CC173" i="41"/>
  <c r="BU169" i="41"/>
  <c r="CM175" i="41"/>
  <c r="CM135" i="22"/>
  <c r="CK163" i="41"/>
  <c r="AW163" i="41"/>
  <c r="CC169" i="41"/>
  <c r="AG167" i="41"/>
  <c r="BW173" i="41"/>
  <c r="BW126" i="22"/>
  <c r="AW173" i="41"/>
  <c r="AQ175" i="41"/>
  <c r="AQ135" i="22"/>
  <c r="CK169" i="41"/>
  <c r="AG163" i="41"/>
  <c r="AG173" i="41"/>
  <c r="BG171" i="41"/>
  <c r="AA87" i="22"/>
  <c r="AA63" i="22"/>
  <c r="AA114" i="22"/>
  <c r="AA135" i="22"/>
  <c r="AA111" i="22"/>
  <c r="AA123" i="22"/>
  <c r="AA126" i="22"/>
  <c r="AA108" i="22"/>
  <c r="CE167" i="41"/>
  <c r="BG169" i="41"/>
  <c r="AI175" i="41"/>
  <c r="AI135" i="22"/>
  <c r="AA169" i="41"/>
  <c r="AA99" i="22"/>
  <c r="AA165" i="41"/>
  <c r="AA78" i="22"/>
  <c r="CM171" i="41"/>
  <c r="AY173" i="41"/>
  <c r="AA173" i="41"/>
  <c r="CM163" i="41"/>
  <c r="CM169" i="41"/>
  <c r="AQ173" i="41"/>
  <c r="BW165" i="41"/>
  <c r="AY169" i="41"/>
  <c r="AI163" i="41"/>
  <c r="AI165" i="41"/>
  <c r="CE171" i="41"/>
  <c r="BG163" i="41"/>
  <c r="AI173" i="41"/>
  <c r="CM167" i="41"/>
  <c r="BG173" i="41"/>
  <c r="AI171" i="41"/>
  <c r="AY167" i="41"/>
  <c r="AQ163" i="41"/>
  <c r="AQ171" i="41"/>
  <c r="AQ169" i="41"/>
  <c r="CE165" i="41"/>
  <c r="BW171" i="41"/>
  <c r="CE173" i="41"/>
  <c r="BW163" i="41"/>
  <c r="AQ165" i="41"/>
  <c r="CM173" i="41"/>
  <c r="AI167" i="41"/>
  <c r="CM165" i="41"/>
  <c r="BG167" i="41"/>
  <c r="AY171" i="41"/>
  <c r="AI169" i="41"/>
  <c r="BO169" i="41"/>
  <c r="CE169" i="41"/>
  <c r="CE163" i="41"/>
  <c r="BM148" i="22"/>
  <c r="AY165" i="41"/>
  <c r="Y148" i="22"/>
  <c r="AW148" i="22"/>
  <c r="CK148" i="22"/>
  <c r="CC148" i="22"/>
  <c r="BU148" i="22"/>
  <c r="AO148" i="22"/>
  <c r="AA66" i="22"/>
  <c r="BE148" i="22"/>
  <c r="AG148" i="22"/>
  <c r="AA163" i="41"/>
  <c r="NN393" i="39"/>
  <c r="NN392" i="39"/>
  <c r="NN391" i="39"/>
  <c r="BV107" i="39"/>
  <c r="BV106" i="39"/>
  <c r="BV105" i="39"/>
  <c r="BV104" i="39"/>
  <c r="BV103" i="39"/>
  <c r="BV102" i="39"/>
  <c r="BV101" i="39"/>
  <c r="BV100" i="39"/>
  <c r="BU107" i="39"/>
  <c r="BU106" i="39"/>
  <c r="BU105" i="39"/>
  <c r="BU104" i="39"/>
  <c r="BU103" i="39"/>
  <c r="BU102" i="39"/>
  <c r="BU101" i="39"/>
  <c r="BU100" i="39"/>
  <c r="BT107" i="39"/>
  <c r="BT106" i="39"/>
  <c r="BT105" i="39"/>
  <c r="BT104" i="39"/>
  <c r="BT103" i="39"/>
  <c r="BT102" i="39"/>
  <c r="BT101" i="39"/>
  <c r="BT100" i="39"/>
  <c r="AY175" i="41" l="1"/>
  <c r="BO175" i="41"/>
  <c r="AQ167" i="41"/>
  <c r="BW175" i="41"/>
  <c r="CE175" i="41"/>
  <c r="NS425" i="39" a="1"/>
  <c r="NS425" i="39" s="1"/>
  <c r="NN390" i="39"/>
  <c r="NM477" i="39"/>
  <c r="AJ173" i="36" l="1"/>
  <c r="CL66" i="15"/>
  <c r="CD66" i="15"/>
  <c r="BV66" i="15"/>
  <c r="BN66" i="15"/>
  <c r="BF66" i="15"/>
  <c r="AX66" i="15"/>
  <c r="AP66" i="15"/>
  <c r="AH66" i="15"/>
  <c r="Z66" i="15"/>
  <c r="CL64" i="15"/>
  <c r="CD64" i="15"/>
  <c r="BV64" i="15"/>
  <c r="BN64" i="15"/>
  <c r="BF64" i="15"/>
  <c r="AX64" i="15"/>
  <c r="AP64" i="15"/>
  <c r="AH64" i="15"/>
  <c r="Z64" i="15"/>
  <c r="CL62" i="15"/>
  <c r="CD62" i="15"/>
  <c r="BV62" i="15"/>
  <c r="BN62" i="15"/>
  <c r="BF62" i="15"/>
  <c r="AX62" i="15"/>
  <c r="AP62" i="15"/>
  <c r="AH62" i="15"/>
  <c r="Z62" i="15"/>
  <c r="CL60" i="15"/>
  <c r="CD60" i="15"/>
  <c r="BV60" i="15"/>
  <c r="BN60" i="15"/>
  <c r="BF60" i="15"/>
  <c r="AX60" i="15"/>
  <c r="AP60" i="15"/>
  <c r="AH60" i="15"/>
  <c r="Z60" i="15"/>
  <c r="CL58" i="15"/>
  <c r="CD58" i="15"/>
  <c r="BV58" i="15"/>
  <c r="BN58" i="15"/>
  <c r="BF58" i="15"/>
  <c r="AX58" i="15"/>
  <c r="AP58" i="15"/>
  <c r="AH58" i="15"/>
  <c r="Z58" i="15"/>
  <c r="CL56" i="15"/>
  <c r="CD56" i="15"/>
  <c r="BV56" i="15"/>
  <c r="BN56" i="15"/>
  <c r="BF56" i="15"/>
  <c r="AX56" i="15"/>
  <c r="AP56" i="15"/>
  <c r="AH56" i="15"/>
  <c r="Z56" i="15"/>
  <c r="CL54" i="15"/>
  <c r="CD54" i="15"/>
  <c r="BV54" i="15"/>
  <c r="BN54" i="15"/>
  <c r="BF54" i="15"/>
  <c r="AX54" i="15"/>
  <c r="AP54" i="15"/>
  <c r="AH54" i="15"/>
  <c r="U100" i="5"/>
  <c r="NO413" i="39"/>
  <c r="NO414" i="39"/>
  <c r="DV177" i="39" l="1"/>
  <c r="DW177" i="39"/>
  <c r="EA177" i="39"/>
  <c r="AJ150" i="36" l="1"/>
  <c r="AU150" i="36"/>
  <c r="BJ150" i="36"/>
  <c r="F142" i="36"/>
  <c r="E142" i="36"/>
  <c r="D142" i="36"/>
  <c r="B142" i="36"/>
  <c r="CC150" i="36"/>
  <c r="AP26" i="20"/>
  <c r="AX26" i="20"/>
  <c r="BF26" i="20"/>
  <c r="BN26" i="20"/>
  <c r="BV26" i="20"/>
  <c r="CD26" i="20"/>
  <c r="AP28" i="20"/>
  <c r="AX28" i="20"/>
  <c r="BF28" i="20"/>
  <c r="BN28" i="20"/>
  <c r="BV28" i="20"/>
  <c r="CD28" i="20"/>
  <c r="AP32" i="20"/>
  <c r="AX32" i="20"/>
  <c r="BF32" i="20"/>
  <c r="BN32" i="20"/>
  <c r="BV32" i="20"/>
  <c r="CD32" i="20"/>
  <c r="PD184" i="39"/>
  <c r="PK184" i="39" s="1"/>
  <c r="PC184" i="39"/>
  <c r="PJ184" i="39" s="1"/>
  <c r="PA184" i="39"/>
  <c r="OZ184" i="39"/>
  <c r="OY184" i="39"/>
  <c r="OX184" i="39"/>
  <c r="OV184" i="39"/>
  <c r="PG184" i="39" s="1"/>
  <c r="PD183" i="39"/>
  <c r="PK183" i="39" s="1"/>
  <c r="PC183" i="39"/>
  <c r="PJ183" i="39" s="1"/>
  <c r="PA183" i="39"/>
  <c r="OZ183" i="39"/>
  <c r="OY183" i="39"/>
  <c r="OX183" i="39"/>
  <c r="OV183" i="39"/>
  <c r="PG183" i="39" s="1"/>
  <c r="PD182" i="39"/>
  <c r="PK182" i="39" s="1"/>
  <c r="PC182" i="39"/>
  <c r="PJ182" i="39" s="1"/>
  <c r="PA182" i="39"/>
  <c r="OZ182" i="39"/>
  <c r="OY182" i="39"/>
  <c r="OX182" i="39"/>
  <c r="OV182" i="39"/>
  <c r="PG182" i="39" s="1"/>
  <c r="PD181" i="39"/>
  <c r="PK181" i="39" s="1"/>
  <c r="PC181" i="39"/>
  <c r="PJ181" i="39" s="1"/>
  <c r="PA181" i="39"/>
  <c r="OZ181" i="39"/>
  <c r="OY181" i="39"/>
  <c r="OX181" i="39"/>
  <c r="OV181" i="39"/>
  <c r="PG181" i="39" s="1"/>
  <c r="PD180" i="39"/>
  <c r="PK180" i="39" s="1"/>
  <c r="PC180" i="39"/>
  <c r="PJ180" i="39" s="1"/>
  <c r="PA180" i="39"/>
  <c r="OZ180" i="39"/>
  <c r="OY180" i="39"/>
  <c r="OX180" i="39"/>
  <c r="OV180" i="39"/>
  <c r="PG180" i="39" s="1"/>
  <c r="PD179" i="39"/>
  <c r="PK179" i="39" s="1"/>
  <c r="PC179" i="39"/>
  <c r="PJ179" i="39" s="1"/>
  <c r="PA179" i="39"/>
  <c r="OZ179" i="39"/>
  <c r="OY179" i="39"/>
  <c r="OX179" i="39"/>
  <c r="OV179" i="39"/>
  <c r="PG179" i="39" s="1"/>
  <c r="PD178" i="39"/>
  <c r="PK178" i="39" s="1"/>
  <c r="PC178" i="39"/>
  <c r="PJ178" i="39" s="1"/>
  <c r="PA178" i="39"/>
  <c r="OZ178" i="39"/>
  <c r="OY178" i="39"/>
  <c r="OX178" i="39"/>
  <c r="OV178" i="39"/>
  <c r="PG178" i="39" s="1"/>
  <c r="PD177" i="39"/>
  <c r="PK177" i="39" s="1"/>
  <c r="PC177" i="39"/>
  <c r="PJ177" i="39" s="1"/>
  <c r="PA177" i="39"/>
  <c r="OZ177" i="39"/>
  <c r="OY177" i="39"/>
  <c r="OX177" i="39"/>
  <c r="OV177" i="39"/>
  <c r="PG177" i="39" s="1"/>
  <c r="PK176" i="39"/>
  <c r="PJ176" i="39"/>
  <c r="OR184" i="39"/>
  <c r="DZ176" i="39" s="1"/>
  <c r="CL57" i="20" s="1"/>
  <c r="OQ184" i="39"/>
  <c r="DY176" i="39" s="1"/>
  <c r="CL55" i="20" s="1"/>
  <c r="OP184" i="39"/>
  <c r="ON184" i="39"/>
  <c r="DU176" i="39" s="1"/>
  <c r="CL46" i="20" s="1"/>
  <c r="OM184" i="39"/>
  <c r="DT176" i="39" s="1"/>
  <c r="CL44" i="20" s="1"/>
  <c r="OL184" i="39"/>
  <c r="OK184" i="39"/>
  <c r="OI184" i="39"/>
  <c r="OR183" i="39"/>
  <c r="DZ175" i="39" s="1"/>
  <c r="CD57" i="20" s="1"/>
  <c r="OQ183" i="39"/>
  <c r="DY175" i="39" s="1"/>
  <c r="CD55" i="20" s="1"/>
  <c r="OP183" i="39"/>
  <c r="ON183" i="39"/>
  <c r="DU175" i="39" s="1"/>
  <c r="CD46" i="20" s="1"/>
  <c r="OM183" i="39"/>
  <c r="DT175" i="39" s="1"/>
  <c r="CD44" i="20" s="1"/>
  <c r="OL183" i="39"/>
  <c r="OK183" i="39"/>
  <c r="OI183" i="39"/>
  <c r="OR182" i="39"/>
  <c r="DZ174" i="39" s="1"/>
  <c r="BV57" i="20" s="1"/>
  <c r="OQ182" i="39"/>
  <c r="DY174" i="39" s="1"/>
  <c r="BV55" i="20" s="1"/>
  <c r="OP182" i="39"/>
  <c r="ON182" i="39"/>
  <c r="DU174" i="39" s="1"/>
  <c r="BV46" i="20" s="1"/>
  <c r="OM182" i="39"/>
  <c r="DT174" i="39" s="1"/>
  <c r="BV44" i="20" s="1"/>
  <c r="OL182" i="39"/>
  <c r="OK182" i="39"/>
  <c r="OI182" i="39"/>
  <c r="OR181" i="39"/>
  <c r="DZ173" i="39" s="1"/>
  <c r="BN57" i="20" s="1"/>
  <c r="OQ181" i="39"/>
  <c r="DY173" i="39" s="1"/>
  <c r="BN55" i="20" s="1"/>
  <c r="OP181" i="39"/>
  <c r="ON181" i="39"/>
  <c r="DU173" i="39" s="1"/>
  <c r="BN46" i="20" s="1"/>
  <c r="OM181" i="39"/>
  <c r="DT173" i="39" s="1"/>
  <c r="BN44" i="20" s="1"/>
  <c r="OL181" i="39"/>
  <c r="OK181" i="39"/>
  <c r="OI181" i="39"/>
  <c r="OR180" i="39"/>
  <c r="DZ172" i="39" s="1"/>
  <c r="BF57" i="20" s="1"/>
  <c r="OQ180" i="39"/>
  <c r="DY172" i="39" s="1"/>
  <c r="BF55" i="20" s="1"/>
  <c r="OP180" i="39"/>
  <c r="ON180" i="39"/>
  <c r="DU172" i="39" s="1"/>
  <c r="BF46" i="20" s="1"/>
  <c r="OM180" i="39"/>
  <c r="DT172" i="39" s="1"/>
  <c r="BF44" i="20" s="1"/>
  <c r="OL180" i="39"/>
  <c r="OK180" i="39"/>
  <c r="OI180" i="39"/>
  <c r="OR179" i="39"/>
  <c r="DZ171" i="39" s="1"/>
  <c r="AX57" i="20" s="1"/>
  <c r="OQ179" i="39"/>
  <c r="DY171" i="39" s="1"/>
  <c r="AX55" i="20" s="1"/>
  <c r="OP179" i="39"/>
  <c r="ON179" i="39"/>
  <c r="DU171" i="39" s="1"/>
  <c r="AX46" i="20" s="1"/>
  <c r="OM179" i="39"/>
  <c r="DT171" i="39" s="1"/>
  <c r="AX44" i="20" s="1"/>
  <c r="OL179" i="39"/>
  <c r="OK179" i="39"/>
  <c r="OI179" i="39"/>
  <c r="OR178" i="39"/>
  <c r="DZ170" i="39" s="1"/>
  <c r="AP57" i="20" s="1"/>
  <c r="OQ178" i="39"/>
  <c r="DY170" i="39" s="1"/>
  <c r="AP55" i="20" s="1"/>
  <c r="OP178" i="39"/>
  <c r="ON178" i="39"/>
  <c r="DU170" i="39" s="1"/>
  <c r="AP46" i="20" s="1"/>
  <c r="OM178" i="39"/>
  <c r="DT170" i="39" s="1"/>
  <c r="AP44" i="20" s="1"/>
  <c r="OL178" i="39"/>
  <c r="OK178" i="39"/>
  <c r="OI178" i="39"/>
  <c r="OR177" i="39"/>
  <c r="DZ169" i="39" s="1"/>
  <c r="AH57" i="20" s="1"/>
  <c r="OQ177" i="39"/>
  <c r="DY169" i="39" s="1"/>
  <c r="AH55" i="20" s="1"/>
  <c r="OP177" i="39"/>
  <c r="ON177" i="39"/>
  <c r="DU169" i="39" s="1"/>
  <c r="AH46" i="20" s="1"/>
  <c r="OM177" i="39"/>
  <c r="DT169" i="39" s="1"/>
  <c r="AH44" i="20" s="1"/>
  <c r="OL177" i="39"/>
  <c r="OK177" i="39"/>
  <c r="OI177" i="39"/>
  <c r="Z55" i="20"/>
  <c r="Z46" i="20"/>
  <c r="Z44" i="20"/>
  <c r="OF184" i="39"/>
  <c r="OE184" i="39"/>
  <c r="OD184" i="39"/>
  <c r="OC184" i="39"/>
  <c r="OB184" i="39"/>
  <c r="OA184" i="39"/>
  <c r="NZ184" i="39"/>
  <c r="NW184" i="39"/>
  <c r="NV184" i="39"/>
  <c r="NU184" i="39"/>
  <c r="OF183" i="39"/>
  <c r="OE183" i="39"/>
  <c r="OD183" i="39"/>
  <c r="OC183" i="39"/>
  <c r="OB183" i="39"/>
  <c r="OA183" i="39"/>
  <c r="NZ183" i="39"/>
  <c r="NW183" i="39"/>
  <c r="NV183" i="39"/>
  <c r="NU183" i="39"/>
  <c r="OF182" i="39"/>
  <c r="OE182" i="39"/>
  <c r="OD182" i="39"/>
  <c r="OC182" i="39"/>
  <c r="OB182" i="39"/>
  <c r="OA182" i="39"/>
  <c r="NZ182" i="39"/>
  <c r="NW182" i="39"/>
  <c r="NV182" i="39"/>
  <c r="NU182" i="39"/>
  <c r="OF181" i="39"/>
  <c r="OE181" i="39"/>
  <c r="OD181" i="39"/>
  <c r="OC181" i="39"/>
  <c r="OB181" i="39"/>
  <c r="OA181" i="39"/>
  <c r="NZ181" i="39"/>
  <c r="NW181" i="39"/>
  <c r="NV181" i="39"/>
  <c r="NU181" i="39"/>
  <c r="OF180" i="39"/>
  <c r="OE180" i="39"/>
  <c r="OD180" i="39"/>
  <c r="OC180" i="39"/>
  <c r="OB180" i="39"/>
  <c r="OA180" i="39"/>
  <c r="NZ180" i="39"/>
  <c r="NW180" i="39"/>
  <c r="NV180" i="39"/>
  <c r="NU180" i="39"/>
  <c r="OF179" i="39"/>
  <c r="OE179" i="39"/>
  <c r="OD179" i="39"/>
  <c r="OC179" i="39"/>
  <c r="OB179" i="39"/>
  <c r="OA179" i="39"/>
  <c r="NZ179" i="39"/>
  <c r="NW179" i="39"/>
  <c r="NV179" i="39"/>
  <c r="NU179" i="39"/>
  <c r="OF178" i="39"/>
  <c r="OE178" i="39"/>
  <c r="OD178" i="39"/>
  <c r="OC178" i="39"/>
  <c r="OB178" i="39"/>
  <c r="OA178" i="39"/>
  <c r="NZ178" i="39"/>
  <c r="NW178" i="39"/>
  <c r="NV178" i="39"/>
  <c r="NU178" i="39"/>
  <c r="OF177" i="39"/>
  <c r="OE177" i="39"/>
  <c r="OD177" i="39"/>
  <c r="OC177" i="39"/>
  <c r="OB177" i="39"/>
  <c r="OA177" i="39"/>
  <c r="NZ177" i="39"/>
  <c r="NW177" i="39"/>
  <c r="NV177" i="39"/>
  <c r="NU177" i="39"/>
  <c r="NQ184" i="39"/>
  <c r="NQ183" i="39"/>
  <c r="NQ182" i="39"/>
  <c r="NQ181" i="39"/>
  <c r="NQ180" i="39"/>
  <c r="NQ179" i="39"/>
  <c r="NQ178" i="39"/>
  <c r="NQ177" i="39"/>
  <c r="NQ176" i="39"/>
  <c r="FL160" i="39"/>
  <c r="FC74" i="39"/>
  <c r="FB74" i="39"/>
  <c r="FA74" i="39"/>
  <c r="EZ74" i="39"/>
  <c r="EY74" i="39"/>
  <c r="EX74" i="39"/>
  <c r="EW74" i="39"/>
  <c r="DX169" i="39" l="1"/>
  <c r="AH53" i="20" s="1"/>
  <c r="DX170" i="39"/>
  <c r="AP53" i="20" s="1"/>
  <c r="DX171" i="39"/>
  <c r="AX53" i="20" s="1"/>
  <c r="DX172" i="39"/>
  <c r="BF53" i="20" s="1"/>
  <c r="DX173" i="39"/>
  <c r="BN53" i="20" s="1"/>
  <c r="DX174" i="39"/>
  <c r="BV53" i="20" s="1"/>
  <c r="DX175" i="39"/>
  <c r="CD53" i="20" s="1"/>
  <c r="DX176" i="39"/>
  <c r="CL53" i="20" s="1"/>
  <c r="DS169" i="39"/>
  <c r="AH42" i="20" s="1"/>
  <c r="DS170" i="39"/>
  <c r="AP42" i="20" s="1"/>
  <c r="DS171" i="39"/>
  <c r="AX42" i="20" s="1"/>
  <c r="DS172" i="39"/>
  <c r="BF42" i="20" s="1"/>
  <c r="DS173" i="39"/>
  <c r="BN42" i="20" s="1"/>
  <c r="DS174" i="39"/>
  <c r="BV42" i="20" s="1"/>
  <c r="DS175" i="39"/>
  <c r="CD42" i="20" s="1"/>
  <c r="DS176" i="39"/>
  <c r="CL42" i="20" s="1"/>
  <c r="OH180" i="39"/>
  <c r="OH184" i="39"/>
  <c r="OH177" i="39"/>
  <c r="OH181" i="39"/>
  <c r="OH178" i="39"/>
  <c r="OH182" i="39"/>
  <c r="OH179" i="39"/>
  <c r="OH183" i="39"/>
  <c r="PH176" i="39"/>
  <c r="PI179" i="39"/>
  <c r="PI176" i="39"/>
  <c r="PI184" i="39"/>
  <c r="PI177" i="39"/>
  <c r="PI181" i="39"/>
  <c r="PI178" i="39"/>
  <c r="PI180" i="39"/>
  <c r="PI182" i="39"/>
  <c r="PI183" i="39"/>
  <c r="DZ177" i="39"/>
  <c r="DT177" i="39"/>
  <c r="DY177" i="39"/>
  <c r="Z57" i="20"/>
  <c r="Z53" i="20"/>
  <c r="DU177" i="39"/>
  <c r="PL179" i="39"/>
  <c r="PH182" i="39"/>
  <c r="PL184" i="39"/>
  <c r="PL177" i="39"/>
  <c r="PH183" i="39"/>
  <c r="PH179" i="39"/>
  <c r="PH180" i="39"/>
  <c r="PL182" i="39"/>
  <c r="PL178" i="39"/>
  <c r="PH184" i="39"/>
  <c r="PH178" i="39"/>
  <c r="PL180" i="39"/>
  <c r="OT180" i="39"/>
  <c r="OT184" i="39"/>
  <c r="OT177" i="39"/>
  <c r="OT178" i="39"/>
  <c r="OU184" i="39"/>
  <c r="OU179" i="39"/>
  <c r="OU182" i="39"/>
  <c r="OU183" i="39"/>
  <c r="PL181" i="39"/>
  <c r="OU178" i="39"/>
  <c r="OT179" i="39"/>
  <c r="OU180" i="39"/>
  <c r="OT181" i="39"/>
  <c r="OU177" i="39"/>
  <c r="OT183" i="39"/>
  <c r="PH177" i="39"/>
  <c r="OU181" i="39"/>
  <c r="OT182" i="39"/>
  <c r="PH181" i="39"/>
  <c r="PL183" i="39"/>
  <c r="OU176" i="39"/>
  <c r="DX177" i="39" l="1"/>
  <c r="DS177" i="39"/>
  <c r="RE75" i="39"/>
  <c r="RG75" i="39" s="1"/>
  <c r="EV73" i="39"/>
  <c r="CL32" i="20"/>
  <c r="CL28" i="20"/>
  <c r="CL26" i="20"/>
  <c r="AH32" i="20"/>
  <c r="AH28" i="20"/>
  <c r="AH26" i="20"/>
  <c r="Z32" i="20"/>
  <c r="Z28" i="20"/>
  <c r="EG71" i="39"/>
  <c r="EF71" i="39"/>
  <c r="EE71" i="39"/>
  <c r="ED71" i="39"/>
  <c r="EC71" i="39"/>
  <c r="EB71" i="39"/>
  <c r="EA71" i="39"/>
  <c r="DZ71" i="39"/>
  <c r="DY71" i="39"/>
  <c r="DX71" i="39"/>
  <c r="DW71" i="39"/>
  <c r="DX135" i="39"/>
  <c r="DY135" i="39"/>
  <c r="DZ135" i="39"/>
  <c r="EA135" i="39"/>
  <c r="EB135" i="39"/>
  <c r="EC135" i="39"/>
  <c r="ED135" i="39"/>
  <c r="EE135" i="39"/>
  <c r="EF135" i="39"/>
  <c r="EG135" i="39"/>
  <c r="EH135" i="39"/>
  <c r="EI135" i="39"/>
  <c r="EJ135" i="39"/>
  <c r="EK135" i="39"/>
  <c r="DW135" i="39"/>
  <c r="BC207" i="39"/>
  <c r="BC206" i="39"/>
  <c r="BC204" i="39"/>
  <c r="BC203" i="39"/>
  <c r="BC202" i="39"/>
  <c r="BC201" i="39"/>
  <c r="BC200" i="39"/>
  <c r="BC199" i="39"/>
  <c r="BC198" i="39"/>
  <c r="BC196" i="39"/>
  <c r="BC195" i="39"/>
  <c r="RP75" i="39" l="1"/>
  <c r="RQ75" i="39" s="1"/>
  <c r="RN75" i="39"/>
  <c r="RM75" i="39"/>
  <c r="RR75" i="39"/>
  <c r="RF75" i="39"/>
  <c r="RI75" i="39" s="1"/>
  <c r="RH75" i="39"/>
  <c r="RE84" i="39"/>
  <c r="RG84" i="39" s="1"/>
  <c r="RK75" i="39" l="1"/>
  <c r="RP84" i="39"/>
  <c r="RQ84" i="39" s="1"/>
  <c r="RN84" i="39"/>
  <c r="RM84" i="39"/>
  <c r="RR84" i="39"/>
  <c r="RF84" i="39"/>
  <c r="RI84" i="39" s="1"/>
  <c r="RH84" i="39"/>
  <c r="HH19" i="39"/>
  <c r="HH16" i="39"/>
  <c r="HH17" i="39"/>
  <c r="HH18" i="39"/>
  <c r="HH15" i="39"/>
  <c r="AJ125" i="36"/>
  <c r="AJ119" i="36"/>
  <c r="RK84" i="39" l="1"/>
  <c r="HH14" i="39"/>
  <c r="F38" i="36" l="1"/>
  <c r="DS33" i="39" l="1"/>
  <c r="DT33" i="39"/>
  <c r="DU33" i="39"/>
  <c r="DV33" i="39"/>
  <c r="DW33" i="39"/>
  <c r="DX33" i="39"/>
  <c r="DZ33" i="39"/>
  <c r="EA33" i="39"/>
  <c r="EB33" i="39"/>
  <c r="BH32" i="39"/>
  <c r="AG89" i="36"/>
  <c r="AD85" i="36" l="1"/>
  <c r="F66" i="36"/>
  <c r="KR60" i="39"/>
  <c r="KR58" i="39"/>
  <c r="KR61" i="39"/>
  <c r="KR59" i="39"/>
  <c r="LS39" i="39"/>
  <c r="AV78" i="36" l="1"/>
  <c r="F18" i="36"/>
  <c r="EV127" i="39"/>
  <c r="F25" i="36" l="1"/>
  <c r="AJ31" i="36" s="1"/>
  <c r="AV81" i="36"/>
  <c r="F119" i="36" l="1"/>
  <c r="F114" i="36"/>
  <c r="A8" i="1"/>
  <c r="A7" i="1"/>
  <c r="A6" i="1"/>
  <c r="A5" i="1"/>
  <c r="A4" i="1"/>
  <c r="A3" i="1"/>
  <c r="A2" i="1"/>
  <c r="A1" i="1"/>
  <c r="Y8" i="1"/>
  <c r="Y7" i="1"/>
  <c r="AD10" i="1" l="1"/>
  <c r="AD9" i="1"/>
  <c r="AD8" i="1"/>
  <c r="AD7" i="1"/>
  <c r="AC8" i="1"/>
  <c r="AC7" i="1"/>
  <c r="AB8" i="1"/>
  <c r="AB7" i="1"/>
  <c r="AA8" i="1"/>
  <c r="AA7" i="1"/>
  <c r="Z8" i="1"/>
  <c r="Z7" i="1"/>
  <c r="X7" i="1"/>
  <c r="W7" i="1"/>
  <c r="U7" i="1"/>
  <c r="V7" i="1"/>
  <c r="D176" i="36" l="1"/>
  <c r="D177" i="36" s="1"/>
  <c r="F176" i="36"/>
  <c r="F177" i="36" s="1"/>
  <c r="E176" i="36"/>
  <c r="E177" i="36" s="1"/>
  <c r="F150" i="36"/>
  <c r="F151" i="36" s="1"/>
  <c r="E150" i="36"/>
  <c r="E151" i="36" s="1"/>
  <c r="BC54" i="39" l="1"/>
  <c r="KT63" i="39" s="1"/>
  <c r="BC55" i="39"/>
  <c r="KT64" i="39" s="1"/>
  <c r="NO431" i="39"/>
  <c r="NO427" i="39"/>
  <c r="BC51" i="39"/>
  <c r="KT60" i="39" s="1"/>
  <c r="LA60" i="39" s="1"/>
  <c r="BJ139" i="36"/>
  <c r="BC56" i="39"/>
  <c r="KT65" i="39" s="1"/>
  <c r="NO432" i="39"/>
  <c r="NO426" i="39"/>
  <c r="BC50" i="39"/>
  <c r="KT59" i="39" s="1"/>
  <c r="LA59" i="39" s="1"/>
  <c r="AU139" i="36"/>
  <c r="BC52" i="39"/>
  <c r="KT61" i="39" s="1"/>
  <c r="NO428" i="39"/>
  <c r="CC139" i="36"/>
  <c r="NO430" i="39"/>
  <c r="EN106" i="36"/>
  <c r="LA61" i="39" l="1"/>
  <c r="AC90" i="5"/>
  <c r="O165" i="36" s="1"/>
  <c r="U88" i="5"/>
  <c r="U90" i="5"/>
  <c r="LR35" i="39"/>
  <c r="LQ35" i="39"/>
  <c r="LP35" i="39"/>
  <c r="LO35" i="39"/>
  <c r="LN35" i="39"/>
  <c r="LM35" i="39"/>
  <c r="LL35" i="39"/>
  <c r="LK35" i="39"/>
  <c r="Y165" i="36" l="1"/>
  <c r="X165" i="36"/>
  <c r="AI15" i="39"/>
  <c r="BH33" i="39"/>
  <c r="CM203" i="41"/>
  <c r="CE203" i="41"/>
  <c r="BW203" i="41"/>
  <c r="BO203" i="41"/>
  <c r="CM201" i="41"/>
  <c r="CE201" i="41"/>
  <c r="BW201" i="41"/>
  <c r="BO201" i="41"/>
  <c r="CM196" i="41"/>
  <c r="CE196" i="41"/>
  <c r="BW196" i="41"/>
  <c r="BO196" i="41"/>
  <c r="CM194" i="41"/>
  <c r="CE194" i="41"/>
  <c r="BW194" i="41"/>
  <c r="BO194" i="41"/>
  <c r="CM189" i="41"/>
  <c r="CE189" i="41"/>
  <c r="BW189" i="41"/>
  <c r="BO189" i="41"/>
  <c r="CM187" i="41"/>
  <c r="CE187" i="41"/>
  <c r="BW187" i="41"/>
  <c r="BO187" i="41"/>
  <c r="CM182" i="41"/>
  <c r="CE182" i="41"/>
  <c r="BW182" i="41"/>
  <c r="BO182" i="41"/>
  <c r="CM180" i="41"/>
  <c r="CE180" i="41"/>
  <c r="BW180" i="41"/>
  <c r="BO180" i="41"/>
  <c r="GM28" i="39"/>
  <c r="GL28" i="39"/>
  <c r="GK28" i="39"/>
  <c r="GM27" i="39"/>
  <c r="GL27" i="39"/>
  <c r="GK27" i="39"/>
  <c r="GM26" i="39"/>
  <c r="GL26" i="39"/>
  <c r="GK26" i="39"/>
  <c r="GM25" i="39"/>
  <c r="GL25" i="39"/>
  <c r="GK25" i="39"/>
  <c r="GM24" i="39"/>
  <c r="GL24" i="39"/>
  <c r="GK24" i="39"/>
  <c r="GM23" i="39"/>
  <c r="GL23" i="39"/>
  <c r="GK23" i="39"/>
  <c r="GM22" i="39"/>
  <c r="GL22" i="39"/>
  <c r="GK22" i="39"/>
  <c r="GM21" i="39"/>
  <c r="GL21" i="39"/>
  <c r="GK21" i="39"/>
  <c r="GM20" i="39"/>
  <c r="GL20" i="39"/>
  <c r="GK20" i="39"/>
  <c r="KR63" i="39" l="1"/>
  <c r="LA63" i="39" s="1"/>
  <c r="KR65" i="39"/>
  <c r="LA65" i="39" s="1"/>
  <c r="KR62" i="39"/>
  <c r="KR64" i="39"/>
  <c r="LA64" i="39" s="1"/>
  <c r="GQ20" i="39"/>
  <c r="GQ27" i="39"/>
  <c r="GQ24" i="39"/>
  <c r="GQ23" i="39"/>
  <c r="GQ25" i="39"/>
  <c r="GQ22" i="39"/>
  <c r="GQ26" i="39"/>
  <c r="GQ28" i="39"/>
  <c r="GQ21" i="39"/>
  <c r="AU171" i="36"/>
  <c r="CC171" i="36"/>
  <c r="BJ171" i="36"/>
  <c r="BH34" i="39"/>
  <c r="BG84" i="50" s="1"/>
  <c r="BI84" i="50" s="1"/>
  <c r="BO107" i="39" l="1"/>
  <c r="BM107" i="39"/>
  <c r="BL107" i="39"/>
  <c r="BK107" i="39"/>
  <c r="BJ107" i="39"/>
  <c r="BI107" i="39"/>
  <c r="BH107" i="39"/>
  <c r="BG107" i="39"/>
  <c r="BE107" i="39"/>
  <c r="BD107" i="39"/>
  <c r="BC107" i="39"/>
  <c r="BO106" i="39"/>
  <c r="BM106" i="39"/>
  <c r="BL106" i="39"/>
  <c r="BK106" i="39"/>
  <c r="BJ106" i="39"/>
  <c r="BI106" i="39"/>
  <c r="BH106" i="39"/>
  <c r="BG106" i="39"/>
  <c r="BE106" i="39"/>
  <c r="BD106" i="39"/>
  <c r="BC106" i="39"/>
  <c r="BO105" i="39"/>
  <c r="BM105" i="39"/>
  <c r="BL105" i="39"/>
  <c r="BK105" i="39"/>
  <c r="BJ105" i="39"/>
  <c r="BI105" i="39"/>
  <c r="BH105" i="39"/>
  <c r="BG105" i="39"/>
  <c r="BE105" i="39"/>
  <c r="BD105" i="39"/>
  <c r="BC105" i="39"/>
  <c r="BO104" i="39"/>
  <c r="BM104" i="39"/>
  <c r="BL104" i="39"/>
  <c r="BK104" i="39"/>
  <c r="BJ104" i="39"/>
  <c r="BI104" i="39"/>
  <c r="BH104" i="39"/>
  <c r="BG104" i="39"/>
  <c r="BE104" i="39"/>
  <c r="BD104" i="39"/>
  <c r="BC104" i="39"/>
  <c r="CC173" i="36"/>
  <c r="BJ173" i="36"/>
  <c r="AU173" i="36"/>
  <c r="CC141" i="36"/>
  <c r="BJ141" i="36"/>
  <c r="AU141" i="36"/>
  <c r="AJ141" i="36"/>
  <c r="LR17" i="39"/>
  <c r="LQ17" i="39"/>
  <c r="LP17" i="39"/>
  <c r="LO17" i="39"/>
  <c r="LN17" i="39"/>
  <c r="LM17" i="39"/>
  <c r="LL17" i="39"/>
  <c r="LK17" i="39"/>
  <c r="BQ107" i="39" l="1"/>
  <c r="BQ105" i="39"/>
  <c r="BQ104" i="39"/>
  <c r="BQ106" i="39"/>
  <c r="N77" i="43"/>
  <c r="N75" i="43"/>
  <c r="N68" i="43"/>
  <c r="N61" i="43"/>
  <c r="N50" i="43"/>
  <c r="N48" i="43"/>
  <c r="N41" i="43"/>
  <c r="N39" i="43"/>
  <c r="QN250" i="39"/>
  <c r="QN267" i="39"/>
  <c r="BM100" i="39"/>
  <c r="EB40" i="39"/>
  <c r="EA40" i="39"/>
  <c r="DZ40" i="39"/>
  <c r="DX40" i="39"/>
  <c r="DW40" i="39"/>
  <c r="DV40" i="39"/>
  <c r="DU40" i="39"/>
  <c r="DS40" i="39"/>
  <c r="EB39" i="39"/>
  <c r="EA39" i="39"/>
  <c r="DZ39" i="39"/>
  <c r="DX39" i="39"/>
  <c r="DW39" i="39"/>
  <c r="DV39" i="39"/>
  <c r="DU39" i="39"/>
  <c r="DS39" i="39"/>
  <c r="EB38" i="39"/>
  <c r="EA38" i="39"/>
  <c r="DZ38" i="39"/>
  <c r="DX38" i="39"/>
  <c r="DW38" i="39"/>
  <c r="DV38" i="39"/>
  <c r="DU38" i="39"/>
  <c r="DS38" i="39"/>
  <c r="EB37" i="39"/>
  <c r="EA37" i="39"/>
  <c r="DZ37" i="39"/>
  <c r="DX37" i="39"/>
  <c r="DW37" i="39"/>
  <c r="DV37" i="39"/>
  <c r="DU37" i="39"/>
  <c r="DS37" i="39"/>
  <c r="EZ66" i="39" l="1"/>
  <c r="EY66" i="39"/>
  <c r="EX66" i="39"/>
  <c r="EW66" i="39"/>
  <c r="EV66" i="39"/>
  <c r="EU66" i="39"/>
  <c r="ET66" i="39"/>
  <c r="ES66" i="39"/>
  <c r="EZ65" i="39"/>
  <c r="EY65" i="39"/>
  <c r="EX65" i="39"/>
  <c r="EW65" i="39"/>
  <c r="EV65" i="39"/>
  <c r="EU65" i="39"/>
  <c r="ET65" i="39"/>
  <c r="ES65" i="39"/>
  <c r="EZ64" i="39"/>
  <c r="EY64" i="39"/>
  <c r="EX64" i="39"/>
  <c r="EW64" i="39"/>
  <c r="EV64" i="39"/>
  <c r="EU64" i="39"/>
  <c r="ET64" i="39"/>
  <c r="ES64" i="39"/>
  <c r="EZ63" i="39"/>
  <c r="EY63" i="39"/>
  <c r="EX63" i="39"/>
  <c r="EW63" i="39"/>
  <c r="EV63" i="39"/>
  <c r="EU63" i="39"/>
  <c r="ET63" i="39"/>
  <c r="ES63" i="39"/>
  <c r="EZ62" i="39"/>
  <c r="EY62" i="39"/>
  <c r="EX62" i="39"/>
  <c r="EW62" i="39"/>
  <c r="EV62" i="39"/>
  <c r="EU62" i="39"/>
  <c r="ET62" i="39"/>
  <c r="ES62" i="39"/>
  <c r="EZ61" i="39"/>
  <c r="EY61" i="39"/>
  <c r="EX61" i="39"/>
  <c r="EW61" i="39"/>
  <c r="EV61" i="39"/>
  <c r="EU61" i="39"/>
  <c r="ET61" i="39"/>
  <c r="ES61" i="39"/>
  <c r="EZ60" i="39"/>
  <c r="EY60" i="39"/>
  <c r="EX60" i="39"/>
  <c r="EW60" i="39"/>
  <c r="EV60" i="39"/>
  <c r="EU60" i="39"/>
  <c r="ET60" i="39"/>
  <c r="ES60" i="39"/>
  <c r="EZ59" i="39"/>
  <c r="EY59" i="39"/>
  <c r="EX59" i="39"/>
  <c r="EW59" i="39"/>
  <c r="EV59" i="39"/>
  <c r="EU59" i="39"/>
  <c r="ET59" i="39"/>
  <c r="ES59" i="39"/>
  <c r="ES211" i="39" l="1"/>
  <c r="ET211" i="39" s="1"/>
  <c r="FD66" i="39"/>
  <c r="FE66" i="39"/>
  <c r="ES210" i="39"/>
  <c r="ET210" i="39" s="1"/>
  <c r="FD65" i="39"/>
  <c r="FE65" i="39"/>
  <c r="ES209" i="39"/>
  <c r="ET209" i="39" s="1"/>
  <c r="FD64" i="39"/>
  <c r="FE64" i="39"/>
  <c r="ES208" i="39"/>
  <c r="ET208" i="39" s="1"/>
  <c r="FD63" i="39"/>
  <c r="FE63" i="39"/>
  <c r="ES207" i="39"/>
  <c r="ET207" i="39" s="1"/>
  <c r="FD62" i="39"/>
  <c r="FE62" i="39"/>
  <c r="ES206" i="39"/>
  <c r="ET206" i="39" s="1"/>
  <c r="FD61" i="39"/>
  <c r="FE61" i="39"/>
  <c r="ES205" i="39"/>
  <c r="ET205" i="39" s="1"/>
  <c r="FE60" i="39"/>
  <c r="FD60" i="39"/>
  <c r="ES204" i="39"/>
  <c r="ET204" i="39" s="1"/>
  <c r="FD59" i="39"/>
  <c r="FE59" i="39"/>
  <c r="ET37" i="39"/>
  <c r="ES37" i="39"/>
  <c r="EV117" i="39"/>
  <c r="DT11" i="39"/>
  <c r="DS11" i="39"/>
  <c r="DV103" i="39"/>
  <c r="P57" i="42" l="1"/>
  <c r="P55" i="42"/>
  <c r="P53" i="42"/>
  <c r="P46" i="42"/>
  <c r="P44" i="42"/>
  <c r="P42" i="42"/>
  <c r="P32" i="42"/>
  <c r="P28" i="42"/>
  <c r="P26" i="42"/>
  <c r="P34" i="27"/>
  <c r="BG203" i="41"/>
  <c r="BG201" i="41"/>
  <c r="BG196" i="41"/>
  <c r="BG194" i="41"/>
  <c r="BG189" i="41"/>
  <c r="BG187" i="41"/>
  <c r="BG182" i="41"/>
  <c r="BG180" i="41"/>
  <c r="P44" i="27" l="1"/>
  <c r="BO103" i="39"/>
  <c r="BM103" i="39"/>
  <c r="BL103" i="39"/>
  <c r="BK103" i="39"/>
  <c r="BJ103" i="39"/>
  <c r="BI103" i="39"/>
  <c r="BH103" i="39"/>
  <c r="BG103" i="39"/>
  <c r="BE103" i="39"/>
  <c r="BD103" i="39"/>
  <c r="BC103" i="39"/>
  <c r="BO102" i="39"/>
  <c r="BM102" i="39"/>
  <c r="BL102" i="39"/>
  <c r="BK102" i="39"/>
  <c r="BJ102" i="39"/>
  <c r="BI102" i="39"/>
  <c r="BH102" i="39"/>
  <c r="BG102" i="39"/>
  <c r="BE102" i="39"/>
  <c r="BD102" i="39"/>
  <c r="BC102" i="39"/>
  <c r="BO101" i="39"/>
  <c r="BM101" i="39"/>
  <c r="BL101" i="39"/>
  <c r="BK101" i="39"/>
  <c r="BJ101" i="39"/>
  <c r="BI101" i="39"/>
  <c r="BH101" i="39"/>
  <c r="BG101" i="39"/>
  <c r="BE101" i="39"/>
  <c r="BD101" i="39"/>
  <c r="BC101" i="39"/>
  <c r="BO100" i="39"/>
  <c r="BL100" i="39"/>
  <c r="BK100" i="39"/>
  <c r="BJ100" i="39"/>
  <c r="BI100" i="39"/>
  <c r="BH100" i="39"/>
  <c r="BG100" i="39"/>
  <c r="BE100" i="39"/>
  <c r="BD100" i="39"/>
  <c r="BC100" i="39"/>
  <c r="P28" i="27"/>
  <c r="P26" i="27"/>
  <c r="BG225" i="39"/>
  <c r="EG101" i="39"/>
  <c r="EF101" i="39"/>
  <c r="EE101" i="39"/>
  <c r="ED101" i="39"/>
  <c r="EC101" i="39"/>
  <c r="EB101" i="39"/>
  <c r="EA101" i="39"/>
  <c r="DZ101" i="39"/>
  <c r="DY101" i="39"/>
  <c r="DX101" i="39"/>
  <c r="DW101" i="39"/>
  <c r="EB36" i="39"/>
  <c r="EA36" i="39"/>
  <c r="DZ36" i="39"/>
  <c r="DX36" i="39"/>
  <c r="DW36" i="39"/>
  <c r="DV36" i="39"/>
  <c r="DU36" i="39"/>
  <c r="DS36" i="39"/>
  <c r="EB35" i="39"/>
  <c r="EA35" i="39"/>
  <c r="DZ35" i="39"/>
  <c r="DX35" i="39"/>
  <c r="DW35" i="39"/>
  <c r="DV35" i="39"/>
  <c r="DU35" i="39"/>
  <c r="DS35" i="39"/>
  <c r="EB34" i="39"/>
  <c r="EA34" i="39"/>
  <c r="DZ34" i="39"/>
  <c r="DX34" i="39"/>
  <c r="DW34" i="39"/>
  <c r="DV34" i="39"/>
  <c r="DU34" i="39"/>
  <c r="DS34" i="39"/>
  <c r="DV51" i="39"/>
  <c r="BQ100" i="39" l="1"/>
  <c r="BQ103" i="39"/>
  <c r="BQ99" i="39"/>
  <c r="BQ102" i="39"/>
  <c r="BQ101" i="39"/>
  <c r="BF156" i="39"/>
  <c r="U77" i="5"/>
  <c r="AC77" i="5"/>
  <c r="F125" i="36"/>
  <c r="H23" i="54" s="1"/>
  <c r="H23" i="28" l="1"/>
  <c r="J17" i="43"/>
  <c r="BC38" i="39"/>
  <c r="F83" i="5"/>
  <c r="BG32" i="39" s="1"/>
  <c r="F81" i="5"/>
  <c r="Q79" i="5"/>
  <c r="BG33" i="39"/>
  <c r="H15" i="20"/>
  <c r="J15" i="42"/>
  <c r="J15" i="27"/>
  <c r="QO237" i="39"/>
  <c r="H15" i="15"/>
  <c r="LK122" i="39" l="1"/>
  <c r="LK123" i="39"/>
  <c r="LK121" i="39"/>
  <c r="LK124" i="39"/>
  <c r="LK127" i="39"/>
  <c r="LK125" i="39"/>
  <c r="LK128" i="39"/>
  <c r="LK126" i="39"/>
  <c r="ES192" i="39"/>
  <c r="ES186" i="39"/>
  <c r="ES185" i="39"/>
  <c r="ES187" i="39"/>
  <c r="ES188" i="39"/>
  <c r="ES189" i="39"/>
  <c r="ES190" i="39"/>
  <c r="ES191" i="39"/>
  <c r="ES183" i="39"/>
  <c r="ET183" i="39"/>
  <c r="PU232" i="39"/>
  <c r="ES159" i="39"/>
  <c r="ET159" i="39"/>
  <c r="RE93" i="39"/>
  <c r="RG93" i="39" s="1"/>
  <c r="PT88" i="39"/>
  <c r="PT93" i="39"/>
  <c r="PT85" i="39"/>
  <c r="QI93" i="39"/>
  <c r="PT92" i="39"/>
  <c r="QP93" i="39"/>
  <c r="PT90" i="39"/>
  <c r="PT86" i="39"/>
  <c r="PT89" i="39"/>
  <c r="PT87" i="39"/>
  <c r="PT91" i="39"/>
  <c r="QO93" i="39"/>
  <c r="PY93" i="39"/>
  <c r="QJ93" i="39"/>
  <c r="RF93" i="39"/>
  <c r="RI93" i="39" s="1"/>
  <c r="NN389" i="39"/>
  <c r="NO44" i="39"/>
  <c r="CH34" i="50"/>
  <c r="CH39" i="50"/>
  <c r="CH35" i="50"/>
  <c r="CH36" i="50"/>
  <c r="CH37" i="50"/>
  <c r="CH38" i="50"/>
  <c r="CH40" i="50"/>
  <c r="CH41" i="50"/>
  <c r="AV115" i="50"/>
  <c r="AV113" i="50"/>
  <c r="AV111" i="50"/>
  <c r="AV109" i="50"/>
  <c r="ET117" i="39"/>
  <c r="AV112" i="50"/>
  <c r="AV114" i="50"/>
  <c r="AV116" i="50"/>
  <c r="AV110" i="50"/>
  <c r="AV93" i="50"/>
  <c r="AV92" i="50"/>
  <c r="AV91" i="50"/>
  <c r="AV90" i="50"/>
  <c r="AV89" i="50"/>
  <c r="AV88" i="50"/>
  <c r="AV87" i="50"/>
  <c r="AV86" i="50"/>
  <c r="NP385" i="39"/>
  <c r="NQ385" i="39"/>
  <c r="NW385" i="39"/>
  <c r="NO385" i="39"/>
  <c r="NV385" i="39"/>
  <c r="NU385" i="39"/>
  <c r="NT385" i="39"/>
  <c r="NS385" i="39"/>
  <c r="NR385" i="39"/>
  <c r="NO473" i="39"/>
  <c r="NO469" i="39"/>
  <c r="NO476" i="39"/>
  <c r="NO472" i="39"/>
  <c r="NO477" i="39"/>
  <c r="NO475" i="39"/>
  <c r="NO471" i="39"/>
  <c r="NO474" i="39"/>
  <c r="NO470" i="39"/>
  <c r="NW273" i="39"/>
  <c r="NO273" i="39"/>
  <c r="NV273" i="39"/>
  <c r="NU273" i="39"/>
  <c r="NT273" i="39"/>
  <c r="NS273" i="39"/>
  <c r="NR273" i="39"/>
  <c r="NQ273" i="39"/>
  <c r="NP273" i="39"/>
  <c r="NM216" i="39"/>
  <c r="NM217" i="39"/>
  <c r="NM218" i="39"/>
  <c r="NM219" i="39"/>
  <c r="NM220" i="39"/>
  <c r="NM221" i="39"/>
  <c r="NM222" i="39"/>
  <c r="NM215" i="39"/>
  <c r="ES80" i="39"/>
  <c r="ES82" i="39"/>
  <c r="ES75" i="39"/>
  <c r="ES77" i="39"/>
  <c r="ES79" i="39"/>
  <c r="ES81" i="39"/>
  <c r="ET73" i="39"/>
  <c r="ES76" i="39"/>
  <c r="ES73" i="39"/>
  <c r="ES78" i="39"/>
  <c r="DT103" i="39"/>
  <c r="DS110" i="39"/>
  <c r="DS108" i="39"/>
  <c r="DS103" i="39"/>
  <c r="DT51" i="39"/>
  <c r="DS60" i="39"/>
  <c r="DS56" i="39"/>
  <c r="DS51" i="39"/>
  <c r="DS55" i="39"/>
  <c r="DS112" i="39"/>
  <c r="DS106" i="39"/>
  <c r="DS58" i="39"/>
  <c r="DS54" i="39"/>
  <c r="DS59" i="39"/>
  <c r="DS111" i="39"/>
  <c r="DS109" i="39"/>
  <c r="DS107" i="39"/>
  <c r="DS105" i="39"/>
  <c r="DS57" i="39"/>
  <c r="DS53" i="39"/>
  <c r="BD156" i="39"/>
  <c r="NW39" i="39"/>
  <c r="NO39" i="39"/>
  <c r="NV39" i="39"/>
  <c r="NS39" i="39"/>
  <c r="NR39" i="39"/>
  <c r="NQ39" i="39"/>
  <c r="NT39" i="39"/>
  <c r="NP39" i="39"/>
  <c r="NU39" i="39"/>
  <c r="ES123" i="39"/>
  <c r="ES119" i="39"/>
  <c r="ES122" i="39"/>
  <c r="ES126" i="39"/>
  <c r="ES124" i="39"/>
  <c r="ES120" i="39"/>
  <c r="ES125" i="39"/>
  <c r="ES121" i="39"/>
  <c r="ES117" i="39"/>
  <c r="BD225" i="39"/>
  <c r="BC225" i="39"/>
  <c r="BC227" i="39"/>
  <c r="BC230" i="39"/>
  <c r="BC229" i="39"/>
  <c r="BC231" i="39"/>
  <c r="BC233" i="39"/>
  <c r="BC228" i="39"/>
  <c r="BC232" i="39"/>
  <c r="BC234" i="39"/>
  <c r="BC156" i="39"/>
  <c r="BC163" i="39"/>
  <c r="BC160" i="39"/>
  <c r="BC165" i="39"/>
  <c r="BC158" i="39"/>
  <c r="BC159" i="39"/>
  <c r="BC162" i="39"/>
  <c r="BC161" i="39"/>
  <c r="BC164" i="39"/>
  <c r="AY203" i="41"/>
  <c r="AY201" i="41"/>
  <c r="AY196" i="41"/>
  <c r="AY194" i="41"/>
  <c r="AY189" i="41"/>
  <c r="AY187" i="41"/>
  <c r="AY182" i="41"/>
  <c r="AY180" i="41"/>
  <c r="AQ203" i="41"/>
  <c r="AQ201" i="41"/>
  <c r="AQ196" i="41"/>
  <c r="AQ194" i="41"/>
  <c r="AQ189" i="41"/>
  <c r="AQ187" i="41"/>
  <c r="AQ182" i="41"/>
  <c r="AQ180" i="41"/>
  <c r="AI203" i="41"/>
  <c r="AI201" i="41"/>
  <c r="AI196" i="41"/>
  <c r="AI194" i="41"/>
  <c r="AI189" i="41"/>
  <c r="AI187" i="41"/>
  <c r="AI182" i="41"/>
  <c r="AI180" i="41"/>
  <c r="AA203" i="41"/>
  <c r="AA201" i="41"/>
  <c r="AA196" i="41"/>
  <c r="AA194" i="41"/>
  <c r="AA189" i="41"/>
  <c r="AA187" i="41"/>
  <c r="AA182" i="41"/>
  <c r="AA180" i="41"/>
  <c r="AA15" i="41"/>
  <c r="AA13" i="41"/>
  <c r="F2" i="36"/>
  <c r="E2" i="36"/>
  <c r="RP93" i="39" l="1"/>
  <c r="RQ93" i="39" s="1"/>
  <c r="EU183" i="39"/>
  <c r="EU159" i="39"/>
  <c r="RN93" i="39"/>
  <c r="RM93" i="39"/>
  <c r="RR93" i="39"/>
  <c r="RH93" i="39"/>
  <c r="RK93" i="39" s="1"/>
  <c r="NP433" i="39"/>
  <c r="BK35" i="39"/>
  <c r="EU73" i="39"/>
  <c r="DU103" i="39"/>
  <c r="DU51" i="39"/>
  <c r="BO69" i="39"/>
  <c r="BC33" i="39"/>
  <c r="AJ44" i="39" s="1"/>
  <c r="QO234" i="39"/>
  <c r="QQ230" i="39"/>
  <c r="BC34" i="39"/>
  <c r="BE225" i="39"/>
  <c r="EU117" i="39"/>
  <c r="BB28" i="39"/>
  <c r="EH86" i="36"/>
  <c r="B176" i="36" s="1"/>
  <c r="BE156" i="39"/>
  <c r="BL156" i="39" s="1"/>
  <c r="FG73" i="39" l="1"/>
  <c r="FO117" i="39" s="1"/>
  <c r="FD73" i="39"/>
  <c r="FL159" i="39" s="1"/>
  <c r="FE73" i="39"/>
  <c r="FH159" i="39" s="1"/>
  <c r="JP83" i="39"/>
  <c r="JP77" i="39"/>
  <c r="JP78" i="39"/>
  <c r="JP80" i="39"/>
  <c r="JP82" i="39"/>
  <c r="JP79" i="39"/>
  <c r="JP81" i="39"/>
  <c r="JP84" i="39"/>
  <c r="LL127" i="39"/>
  <c r="LL125" i="39"/>
  <c r="LL126" i="39"/>
  <c r="LL128" i="39"/>
  <c r="LL122" i="39"/>
  <c r="LL123" i="39"/>
  <c r="LL121" i="39"/>
  <c r="LL124" i="39"/>
  <c r="ET191" i="39"/>
  <c r="ET189" i="39"/>
  <c r="ET188" i="39"/>
  <c r="ET186" i="39"/>
  <c r="ET192" i="39"/>
  <c r="ET185" i="39"/>
  <c r="ET187" i="39"/>
  <c r="ET190" i="39"/>
  <c r="AI77" i="50"/>
  <c r="AI79" i="50" s="1"/>
  <c r="CN15" i="39"/>
  <c r="ET161" i="39"/>
  <c r="ET165" i="39"/>
  <c r="ET164" i="39"/>
  <c r="ET168" i="39"/>
  <c r="ET162" i="39"/>
  <c r="ET163" i="39"/>
  <c r="ET167" i="39"/>
  <c r="ET166" i="39"/>
  <c r="FF73" i="39"/>
  <c r="FN117" i="39" s="1"/>
  <c r="QQ134" i="39"/>
  <c r="QT134" i="39"/>
  <c r="QP134" i="39"/>
  <c r="QU134" i="39"/>
  <c r="QS134" i="39"/>
  <c r="QV134" i="39"/>
  <c r="QR134" i="39"/>
  <c r="CI36" i="50"/>
  <c r="CI38" i="50"/>
  <c r="CI34" i="50"/>
  <c r="CI39" i="50"/>
  <c r="CI40" i="50"/>
  <c r="CI41" i="50"/>
  <c r="CI35" i="50"/>
  <c r="CI37" i="50"/>
  <c r="AW109" i="50"/>
  <c r="AW112" i="50"/>
  <c r="AW114" i="50"/>
  <c r="AW111" i="50"/>
  <c r="AW116" i="50"/>
  <c r="AW110" i="50"/>
  <c r="AW113" i="50"/>
  <c r="AW115" i="50"/>
  <c r="EW73" i="39"/>
  <c r="EW117" i="39" s="1"/>
  <c r="B177" i="36"/>
  <c r="AD171" i="36"/>
  <c r="AW92" i="50"/>
  <c r="AW90" i="50"/>
  <c r="AW88" i="50"/>
  <c r="AW86" i="50"/>
  <c r="AW93" i="50"/>
  <c r="AW91" i="50"/>
  <c r="AW89" i="50"/>
  <c r="AW87" i="50"/>
  <c r="AJ171" i="36"/>
  <c r="JP64" i="39"/>
  <c r="JP60" i="39"/>
  <c r="JP62" i="39"/>
  <c r="JP63" i="39"/>
  <c r="JP59" i="39"/>
  <c r="JP58" i="39"/>
  <c r="JP61" i="39"/>
  <c r="JP57" i="39"/>
  <c r="BC53" i="39"/>
  <c r="KT62" i="39" s="1"/>
  <c r="NO429" i="39"/>
  <c r="B150" i="36"/>
  <c r="B151" i="36" s="1"/>
  <c r="EY73" i="39"/>
  <c r="EY117" i="39" s="1"/>
  <c r="F9" i="36"/>
  <c r="B157" i="36"/>
  <c r="FC73" i="39"/>
  <c r="FC117" i="39" s="1"/>
  <c r="FB73" i="39"/>
  <c r="FB117" i="39" s="1"/>
  <c r="EZ73" i="39"/>
  <c r="EZ117" i="39" s="1"/>
  <c r="EX73" i="39"/>
  <c r="FA73" i="39"/>
  <c r="FA117" i="39" s="1"/>
  <c r="ET80" i="39"/>
  <c r="ET81" i="39"/>
  <c r="ET75" i="39"/>
  <c r="ET78" i="39"/>
  <c r="ET79" i="39"/>
  <c r="ET82" i="39"/>
  <c r="ET77" i="39"/>
  <c r="ET76" i="39"/>
  <c r="DT112" i="39"/>
  <c r="DT54" i="39"/>
  <c r="DT57" i="39"/>
  <c r="DT53" i="39"/>
  <c r="DT110" i="39"/>
  <c r="DT106" i="39"/>
  <c r="DT109" i="39"/>
  <c r="DT55" i="39"/>
  <c r="DT58" i="39"/>
  <c r="DT107" i="39"/>
  <c r="DT56" i="39"/>
  <c r="DT108" i="39"/>
  <c r="DT60" i="39"/>
  <c r="DT105" i="39"/>
  <c r="DT59" i="39"/>
  <c r="DT111" i="39"/>
  <c r="NP141" i="39"/>
  <c r="NP143" i="39"/>
  <c r="NP146" i="39"/>
  <c r="NP140" i="39"/>
  <c r="NP145" i="39"/>
  <c r="NP142" i="39"/>
  <c r="NP139" i="39"/>
  <c r="NP144" i="39"/>
  <c r="F22" i="36"/>
  <c r="F13" i="36" s="1"/>
  <c r="AD41" i="36" s="1"/>
  <c r="BC35" i="39"/>
  <c r="F21" i="36"/>
  <c r="GL71" i="39"/>
  <c r="GL75" i="39"/>
  <c r="GL70" i="39"/>
  <c r="GL74" i="39"/>
  <c r="GL73" i="39"/>
  <c r="GL69" i="39"/>
  <c r="GL68" i="39"/>
  <c r="GL72" i="39"/>
  <c r="QO235" i="39"/>
  <c r="QO238" i="39"/>
  <c r="ET120" i="39"/>
  <c r="ET125" i="39"/>
  <c r="ET119" i="39"/>
  <c r="ET124" i="39"/>
  <c r="ET121" i="39"/>
  <c r="ET126" i="39"/>
  <c r="ET122" i="39"/>
  <c r="ET123" i="39"/>
  <c r="NP24" i="39"/>
  <c r="NP20" i="39"/>
  <c r="NP25" i="39"/>
  <c r="NP23" i="39"/>
  <c r="NP19" i="39"/>
  <c r="NP26" i="39"/>
  <c r="NP22" i="39"/>
  <c r="NP21" i="39"/>
  <c r="BM156" i="39"/>
  <c r="BN156" i="39"/>
  <c r="BU156" i="39"/>
  <c r="BP156" i="39"/>
  <c r="BR156" i="39"/>
  <c r="BS156" i="39"/>
  <c r="BO156" i="39"/>
  <c r="BQ156" i="39"/>
  <c r="BH156" i="39"/>
  <c r="BJ156" i="39"/>
  <c r="BI156" i="39"/>
  <c r="BD229" i="39"/>
  <c r="BD231" i="39"/>
  <c r="BD233" i="39"/>
  <c r="BD230" i="39"/>
  <c r="BD232" i="39"/>
  <c r="BD228" i="39"/>
  <c r="BD234" i="39"/>
  <c r="BD227" i="39"/>
  <c r="ED51" i="39"/>
  <c r="DZ51" i="39"/>
  <c r="DY51" i="39"/>
  <c r="EF51" i="39"/>
  <c r="DX51" i="39"/>
  <c r="EB51" i="39"/>
  <c r="EE51" i="39"/>
  <c r="EA51" i="39"/>
  <c r="BD162" i="39"/>
  <c r="BD161" i="39"/>
  <c r="BD160" i="39"/>
  <c r="BD159" i="39"/>
  <c r="BD163" i="39"/>
  <c r="BD164" i="39"/>
  <c r="BD158" i="39"/>
  <c r="BD165" i="39"/>
  <c r="BC39" i="39"/>
  <c r="CN30" i="39" l="1"/>
  <c r="CP30" i="39" s="1"/>
  <c r="JQ83" i="39"/>
  <c r="JQ80" i="39"/>
  <c r="JQ77" i="39"/>
  <c r="JQ82" i="39"/>
  <c r="JQ79" i="39"/>
  <c r="JQ81" i="39"/>
  <c r="JQ78" i="39"/>
  <c r="JQ84" i="39"/>
  <c r="LM141" i="39"/>
  <c r="LM122" i="39"/>
  <c r="LM143" i="39"/>
  <c r="LM148" i="39"/>
  <c r="LM121" i="39"/>
  <c r="LP121" i="39" s="1"/>
  <c r="LM145" i="39"/>
  <c r="LM123" i="39"/>
  <c r="LM147" i="39"/>
  <c r="LM128" i="39"/>
  <c r="LM127" i="39"/>
  <c r="LM126" i="39"/>
  <c r="LM142" i="39"/>
  <c r="LM146" i="39"/>
  <c r="LM144" i="39"/>
  <c r="LM125" i="39"/>
  <c r="LM124" i="39"/>
  <c r="ARA77" i="50"/>
  <c r="ARC77" i="50" s="1"/>
  <c r="AMK77" i="50"/>
  <c r="AMM77" i="50" s="1"/>
  <c r="AJO77" i="50"/>
  <c r="AJQ77" i="50" s="1"/>
  <c r="AGS77" i="50"/>
  <c r="AGU77" i="50" s="1"/>
  <c r="ADL77" i="50"/>
  <c r="ADN77" i="50" s="1"/>
  <c r="GE42" i="50" s="1"/>
  <c r="ASF76" i="50"/>
  <c r="ASH76" i="50" s="1"/>
  <c r="APK76" i="50"/>
  <c r="APM76" i="50" s="1"/>
  <c r="IV42" i="50" s="1"/>
  <c r="AKQ76" i="50"/>
  <c r="AKS76" i="50" s="1"/>
  <c r="AHU76" i="50"/>
  <c r="AHW76" i="50" s="1"/>
  <c r="AEX76" i="50"/>
  <c r="AEZ76" i="50" s="1"/>
  <c r="LS42" i="50" s="1"/>
  <c r="ABP76" i="50"/>
  <c r="ABR76" i="50" s="1"/>
  <c r="DI42" i="50" s="1"/>
  <c r="AQJ75" i="50"/>
  <c r="AQL75" i="50" s="1"/>
  <c r="ALS75" i="50"/>
  <c r="ALU75" i="50" s="1"/>
  <c r="AIY75" i="50"/>
  <c r="AJA75" i="50" s="1"/>
  <c r="AFV75" i="50"/>
  <c r="AFX75" i="50" s="1"/>
  <c r="ACS75" i="50"/>
  <c r="ACU75" i="50" s="1"/>
  <c r="ARJ74" i="50"/>
  <c r="ARL74" i="50" s="1"/>
  <c r="AOT74" i="50"/>
  <c r="AOV74" i="50" s="1"/>
  <c r="IM42" i="50" s="1"/>
  <c r="AJW74" i="50"/>
  <c r="AJY74" i="50" s="1"/>
  <c r="AHA74" i="50"/>
  <c r="AHC74" i="50" s="1"/>
  <c r="ADV74" i="50"/>
  <c r="ADX74" i="50" s="1"/>
  <c r="ASO73" i="50"/>
  <c r="ASQ73" i="50" s="1"/>
  <c r="APS73" i="50"/>
  <c r="APU73" i="50" s="1"/>
  <c r="II42" i="50" s="1"/>
  <c r="AKZ73" i="50"/>
  <c r="ALB73" i="50" s="1"/>
  <c r="AIE73" i="50"/>
  <c r="AIG73" i="50" s="1"/>
  <c r="AFF73" i="50"/>
  <c r="AFH73" i="50" s="1"/>
  <c r="ABZ73" i="50"/>
  <c r="ACB73" i="50" s="1"/>
  <c r="DU42" i="50" s="1"/>
  <c r="AQS72" i="50"/>
  <c r="AQU72" i="50" s="1"/>
  <c r="KB42" i="50" s="1"/>
  <c r="AMB72" i="50"/>
  <c r="AMD72" i="50" s="1"/>
  <c r="AJG72" i="50"/>
  <c r="AJI72" i="50" s="1"/>
  <c r="AGF72" i="50"/>
  <c r="AGH72" i="50" s="1"/>
  <c r="ADB72" i="50"/>
  <c r="ADD72" i="50" s="1"/>
  <c r="ARX71" i="50"/>
  <c r="ARZ71" i="50" s="1"/>
  <c r="APC71" i="50"/>
  <c r="APE71" i="50" s="1"/>
  <c r="AKI71" i="50"/>
  <c r="AKK71" i="50" s="1"/>
  <c r="AHJ71" i="50"/>
  <c r="AHL71" i="50" s="1"/>
  <c r="AED71" i="50"/>
  <c r="AEF71" i="50" s="1"/>
  <c r="ABF71" i="50"/>
  <c r="ABH71" i="50" s="1"/>
  <c r="AQA70" i="50"/>
  <c r="AQC70" i="50" s="1"/>
  <c r="ALI70" i="50"/>
  <c r="ALK70" i="50" s="1"/>
  <c r="AIO70" i="50"/>
  <c r="AIQ70" i="50" s="1"/>
  <c r="AFN70" i="50"/>
  <c r="AFP70" i="50" s="1"/>
  <c r="ACJ70" i="50"/>
  <c r="ACL70" i="50" s="1"/>
  <c r="EG42" i="50" s="1"/>
  <c r="AFV77" i="50"/>
  <c r="AFX77" i="50" s="1"/>
  <c r="AOT76" i="50"/>
  <c r="AOV76" i="50" s="1"/>
  <c r="IW42" i="50" s="1"/>
  <c r="ADV76" i="50"/>
  <c r="ADX76" i="50" s="1"/>
  <c r="AKZ75" i="50"/>
  <c r="ALB75" i="50" s="1"/>
  <c r="AQS77" i="50"/>
  <c r="AQU77" i="50" s="1"/>
  <c r="KL42" i="50" s="1"/>
  <c r="AMB77" i="50"/>
  <c r="AMD77" i="50" s="1"/>
  <c r="AJG77" i="50"/>
  <c r="AJI77" i="50" s="1"/>
  <c r="AGF77" i="50"/>
  <c r="AGH77" i="50" s="1"/>
  <c r="ADB77" i="50"/>
  <c r="ADD77" i="50" s="1"/>
  <c r="ARX76" i="50"/>
  <c r="ARZ76" i="50" s="1"/>
  <c r="APC76" i="50"/>
  <c r="APE76" i="50" s="1"/>
  <c r="AKI76" i="50"/>
  <c r="AKK76" i="50" s="1"/>
  <c r="AHJ76" i="50"/>
  <c r="AHL76" i="50" s="1"/>
  <c r="AED76" i="50"/>
  <c r="AEF76" i="50" s="1"/>
  <c r="ABF76" i="50"/>
  <c r="ABH76" i="50" s="1"/>
  <c r="AQA75" i="50"/>
  <c r="AQC75" i="50" s="1"/>
  <c r="ALI75" i="50"/>
  <c r="ALK75" i="50" s="1"/>
  <c r="AIO75" i="50"/>
  <c r="AIQ75" i="50" s="1"/>
  <c r="AFN75" i="50"/>
  <c r="AFP75" i="50" s="1"/>
  <c r="ACJ75" i="50"/>
  <c r="ACL75" i="50" s="1"/>
  <c r="EQ42" i="50" s="1"/>
  <c r="ARA74" i="50"/>
  <c r="ARC74" i="50" s="1"/>
  <c r="AMK74" i="50"/>
  <c r="AMM74" i="50" s="1"/>
  <c r="AJO74" i="50"/>
  <c r="AJQ74" i="50" s="1"/>
  <c r="AGS74" i="50"/>
  <c r="AGU74" i="50" s="1"/>
  <c r="ADL74" i="50"/>
  <c r="ADN74" i="50" s="1"/>
  <c r="FY42" i="50" s="1"/>
  <c r="ASF73" i="50"/>
  <c r="ASH73" i="50" s="1"/>
  <c r="APK73" i="50"/>
  <c r="APM73" i="50" s="1"/>
  <c r="IG42" i="50" s="1"/>
  <c r="IJ42" i="50" s="1"/>
  <c r="AKQ73" i="50"/>
  <c r="AKS73" i="50" s="1"/>
  <c r="AHU73" i="50"/>
  <c r="AHW73" i="50" s="1"/>
  <c r="AEX73" i="50"/>
  <c r="AEZ73" i="50" s="1"/>
  <c r="LM42" i="50" s="1"/>
  <c r="ABP73" i="50"/>
  <c r="ABR73" i="50" s="1"/>
  <c r="DC42" i="50" s="1"/>
  <c r="AQJ72" i="50"/>
  <c r="AQL72" i="50" s="1"/>
  <c r="ALS72" i="50"/>
  <c r="ALU72" i="50" s="1"/>
  <c r="AIY72" i="50"/>
  <c r="AJA72" i="50" s="1"/>
  <c r="AFV72" i="50"/>
  <c r="AFX72" i="50" s="1"/>
  <c r="ACS72" i="50"/>
  <c r="ACU72" i="50" s="1"/>
  <c r="ARJ71" i="50"/>
  <c r="ARL71" i="50" s="1"/>
  <c r="AOT71" i="50"/>
  <c r="AOV71" i="50" s="1"/>
  <c r="HX42" i="50" s="1"/>
  <c r="AJW71" i="50"/>
  <c r="AJY71" i="50" s="1"/>
  <c r="AHA71" i="50"/>
  <c r="AHC71" i="50" s="1"/>
  <c r="ADV71" i="50"/>
  <c r="ADX71" i="50" s="1"/>
  <c r="ASO70" i="50"/>
  <c r="ASQ70" i="50" s="1"/>
  <c r="APS70" i="50"/>
  <c r="APU70" i="50" s="1"/>
  <c r="HT42" i="50" s="1"/>
  <c r="AKZ70" i="50"/>
  <c r="ALB70" i="50" s="1"/>
  <c r="AIE70" i="50"/>
  <c r="AIG70" i="50" s="1"/>
  <c r="AFF70" i="50"/>
  <c r="AFH70" i="50" s="1"/>
  <c r="ABZ70" i="50"/>
  <c r="ACB70" i="50" s="1"/>
  <c r="DO42" i="50" s="1"/>
  <c r="ACS77" i="50"/>
  <c r="ACU77" i="50" s="1"/>
  <c r="AHA76" i="50"/>
  <c r="AHC76" i="50" s="1"/>
  <c r="AFF75" i="50"/>
  <c r="AFH75" i="50" s="1"/>
  <c r="ASO77" i="50"/>
  <c r="ASQ77" i="50" s="1"/>
  <c r="APS77" i="50"/>
  <c r="APU77" i="50" s="1"/>
  <c r="JC42" i="50" s="1"/>
  <c r="AKZ77" i="50"/>
  <c r="ALB77" i="50" s="1"/>
  <c r="AIE77" i="50"/>
  <c r="AIG77" i="50" s="1"/>
  <c r="AFF77" i="50"/>
  <c r="AFH77" i="50" s="1"/>
  <c r="ABZ77" i="50"/>
  <c r="ACB77" i="50" s="1"/>
  <c r="EC42" i="50" s="1"/>
  <c r="AQS76" i="50"/>
  <c r="AQU76" i="50" s="1"/>
  <c r="KJ42" i="50" s="1"/>
  <c r="AMB76" i="50"/>
  <c r="AMD76" i="50" s="1"/>
  <c r="AJG76" i="50"/>
  <c r="AJI76" i="50" s="1"/>
  <c r="AGF76" i="50"/>
  <c r="AGH76" i="50" s="1"/>
  <c r="ADB76" i="50"/>
  <c r="ADD76" i="50" s="1"/>
  <c r="ARX75" i="50"/>
  <c r="ARZ75" i="50" s="1"/>
  <c r="APC75" i="50"/>
  <c r="APE75" i="50" s="1"/>
  <c r="AKI75" i="50"/>
  <c r="AKK75" i="50" s="1"/>
  <c r="AHJ75" i="50"/>
  <c r="AHL75" i="50" s="1"/>
  <c r="AED75" i="50"/>
  <c r="AEF75" i="50" s="1"/>
  <c r="ABF75" i="50"/>
  <c r="ABH75" i="50" s="1"/>
  <c r="AQA74" i="50"/>
  <c r="AQC74" i="50" s="1"/>
  <c r="ALI74" i="50"/>
  <c r="ALK74" i="50" s="1"/>
  <c r="AIO74" i="50"/>
  <c r="AIQ74" i="50" s="1"/>
  <c r="AFN74" i="50"/>
  <c r="AFP74" i="50" s="1"/>
  <c r="ACJ74" i="50"/>
  <c r="ACL74" i="50" s="1"/>
  <c r="EO42" i="50" s="1"/>
  <c r="ARA73" i="50"/>
  <c r="ARC73" i="50" s="1"/>
  <c r="AMK73" i="50"/>
  <c r="AMM73" i="50" s="1"/>
  <c r="AJO73" i="50"/>
  <c r="AJQ73" i="50" s="1"/>
  <c r="AGS73" i="50"/>
  <c r="AGU73" i="50" s="1"/>
  <c r="ADL73" i="50"/>
  <c r="ADN73" i="50" s="1"/>
  <c r="FW42" i="50" s="1"/>
  <c r="ASF72" i="50"/>
  <c r="ASH72" i="50" s="1"/>
  <c r="APK72" i="50"/>
  <c r="APM72" i="50" s="1"/>
  <c r="IB42" i="50" s="1"/>
  <c r="IE42" i="50" s="1"/>
  <c r="AKQ72" i="50"/>
  <c r="AKS72" i="50" s="1"/>
  <c r="AHU72" i="50"/>
  <c r="AHW72" i="50" s="1"/>
  <c r="AEX72" i="50"/>
  <c r="AEZ72" i="50" s="1"/>
  <c r="LK42" i="50" s="1"/>
  <c r="ABP72" i="50"/>
  <c r="ABR72" i="50" s="1"/>
  <c r="DA42" i="50" s="1"/>
  <c r="AQJ71" i="50"/>
  <c r="AQL71" i="50" s="1"/>
  <c r="ALS71" i="50"/>
  <c r="ALU71" i="50" s="1"/>
  <c r="AIY71" i="50"/>
  <c r="AJA71" i="50" s="1"/>
  <c r="AFV71" i="50"/>
  <c r="AFX71" i="50" s="1"/>
  <c r="ACS71" i="50"/>
  <c r="ACU71" i="50" s="1"/>
  <c r="ARJ70" i="50"/>
  <c r="ARL70" i="50" s="1"/>
  <c r="AOT70" i="50"/>
  <c r="AOV70" i="50" s="1"/>
  <c r="HS42" i="50" s="1"/>
  <c r="AJW70" i="50"/>
  <c r="AJY70" i="50" s="1"/>
  <c r="AHA70" i="50"/>
  <c r="AHC70" i="50" s="1"/>
  <c r="ADV70" i="50"/>
  <c r="ADX70" i="50" s="1"/>
  <c r="ALS77" i="50"/>
  <c r="ALU77" i="50" s="1"/>
  <c r="ASF77" i="50"/>
  <c r="ASH77" i="50" s="1"/>
  <c r="APK77" i="50"/>
  <c r="APM77" i="50" s="1"/>
  <c r="JA42" i="50" s="1"/>
  <c r="AKQ77" i="50"/>
  <c r="AKS77" i="50" s="1"/>
  <c r="AHU77" i="50"/>
  <c r="AHW77" i="50" s="1"/>
  <c r="AEX77" i="50"/>
  <c r="AEZ77" i="50" s="1"/>
  <c r="LU42" i="50" s="1"/>
  <c r="ABP77" i="50"/>
  <c r="ABR77" i="50" s="1"/>
  <c r="DK42" i="50" s="1"/>
  <c r="AQJ76" i="50"/>
  <c r="AQL76" i="50" s="1"/>
  <c r="ALS76" i="50"/>
  <c r="ALU76" i="50" s="1"/>
  <c r="AIY76" i="50"/>
  <c r="AJA76" i="50" s="1"/>
  <c r="AFV76" i="50"/>
  <c r="AFX76" i="50" s="1"/>
  <c r="ACS76" i="50"/>
  <c r="ACU76" i="50" s="1"/>
  <c r="ARJ75" i="50"/>
  <c r="ARL75" i="50" s="1"/>
  <c r="AOT75" i="50"/>
  <c r="AOV75" i="50" s="1"/>
  <c r="IR42" i="50" s="1"/>
  <c r="AJW75" i="50"/>
  <c r="AJY75" i="50" s="1"/>
  <c r="AHA75" i="50"/>
  <c r="AHC75" i="50" s="1"/>
  <c r="ADV75" i="50"/>
  <c r="ADX75" i="50" s="1"/>
  <c r="ASO74" i="50"/>
  <c r="ASQ74" i="50" s="1"/>
  <c r="APS74" i="50"/>
  <c r="APU74" i="50" s="1"/>
  <c r="IN42" i="50" s="1"/>
  <c r="AKZ74" i="50"/>
  <c r="ALB74" i="50" s="1"/>
  <c r="AIE74" i="50"/>
  <c r="AIG74" i="50" s="1"/>
  <c r="AFF74" i="50"/>
  <c r="AFH74" i="50" s="1"/>
  <c r="ABZ74" i="50"/>
  <c r="ACB74" i="50" s="1"/>
  <c r="DW42" i="50" s="1"/>
  <c r="AQS73" i="50"/>
  <c r="AQU73" i="50" s="1"/>
  <c r="KD42" i="50" s="1"/>
  <c r="AMB73" i="50"/>
  <c r="AMD73" i="50" s="1"/>
  <c r="AJG73" i="50"/>
  <c r="AJI73" i="50" s="1"/>
  <c r="AGF73" i="50"/>
  <c r="AGH73" i="50" s="1"/>
  <c r="ADB73" i="50"/>
  <c r="ADD73" i="50" s="1"/>
  <c r="ARX72" i="50"/>
  <c r="ARZ72" i="50" s="1"/>
  <c r="APC72" i="50"/>
  <c r="APE72" i="50" s="1"/>
  <c r="AKI72" i="50"/>
  <c r="AKK72" i="50" s="1"/>
  <c r="AHJ72" i="50"/>
  <c r="AHL72" i="50" s="1"/>
  <c r="AED72" i="50"/>
  <c r="AEF72" i="50" s="1"/>
  <c r="ABF72" i="50"/>
  <c r="ABH72" i="50" s="1"/>
  <c r="AQA71" i="50"/>
  <c r="AQC71" i="50" s="1"/>
  <c r="ALI71" i="50"/>
  <c r="ALK71" i="50" s="1"/>
  <c r="AIO71" i="50"/>
  <c r="AIQ71" i="50" s="1"/>
  <c r="AFN71" i="50"/>
  <c r="AFP71" i="50" s="1"/>
  <c r="ACJ71" i="50"/>
  <c r="ACL71" i="50" s="1"/>
  <c r="EI42" i="50" s="1"/>
  <c r="ARA70" i="50"/>
  <c r="ARC70" i="50" s="1"/>
  <c r="AMK70" i="50"/>
  <c r="AMM70" i="50" s="1"/>
  <c r="AJO70" i="50"/>
  <c r="AJQ70" i="50" s="1"/>
  <c r="AGS70" i="50"/>
  <c r="AGU70" i="50" s="1"/>
  <c r="ADL70" i="50"/>
  <c r="ADN70" i="50" s="1"/>
  <c r="FQ42" i="50" s="1"/>
  <c r="ARX77" i="50"/>
  <c r="ARZ77" i="50" s="1"/>
  <c r="APC77" i="50"/>
  <c r="APE77" i="50" s="1"/>
  <c r="AKI77" i="50"/>
  <c r="AKK77" i="50" s="1"/>
  <c r="AHJ77" i="50"/>
  <c r="AHL77" i="50" s="1"/>
  <c r="AED77" i="50"/>
  <c r="AEF77" i="50" s="1"/>
  <c r="ABF77" i="50"/>
  <c r="ABH77" i="50" s="1"/>
  <c r="AQA76" i="50"/>
  <c r="AQC76" i="50" s="1"/>
  <c r="ALI76" i="50"/>
  <c r="ALK76" i="50" s="1"/>
  <c r="AIO76" i="50"/>
  <c r="AIQ76" i="50" s="1"/>
  <c r="AFN76" i="50"/>
  <c r="AFP76" i="50" s="1"/>
  <c r="ACJ76" i="50"/>
  <c r="ACL76" i="50" s="1"/>
  <c r="ES42" i="50" s="1"/>
  <c r="ARA75" i="50"/>
  <c r="ARC75" i="50" s="1"/>
  <c r="AMK75" i="50"/>
  <c r="AMM75" i="50" s="1"/>
  <c r="AJO75" i="50"/>
  <c r="AJQ75" i="50" s="1"/>
  <c r="AGS75" i="50"/>
  <c r="AGU75" i="50" s="1"/>
  <c r="ADL75" i="50"/>
  <c r="ADN75" i="50" s="1"/>
  <c r="GA42" i="50" s="1"/>
  <c r="ASF74" i="50"/>
  <c r="ASH74" i="50" s="1"/>
  <c r="APK74" i="50"/>
  <c r="APM74" i="50" s="1"/>
  <c r="IL42" i="50" s="1"/>
  <c r="IO42" i="50" s="1"/>
  <c r="AKQ74" i="50"/>
  <c r="AKS74" i="50" s="1"/>
  <c r="AHU74" i="50"/>
  <c r="AHW74" i="50" s="1"/>
  <c r="AEX74" i="50"/>
  <c r="AEZ74" i="50" s="1"/>
  <c r="LO42" i="50" s="1"/>
  <c r="ABP74" i="50"/>
  <c r="ABR74" i="50" s="1"/>
  <c r="DE42" i="50" s="1"/>
  <c r="AQJ73" i="50"/>
  <c r="AQL73" i="50" s="1"/>
  <c r="ALS73" i="50"/>
  <c r="ALU73" i="50" s="1"/>
  <c r="AIY73" i="50"/>
  <c r="AJA73" i="50" s="1"/>
  <c r="AFV73" i="50"/>
  <c r="AFX73" i="50" s="1"/>
  <c r="ACS73" i="50"/>
  <c r="ACU73" i="50" s="1"/>
  <c r="ARJ72" i="50"/>
  <c r="ARL72" i="50" s="1"/>
  <c r="AOT72" i="50"/>
  <c r="AOV72" i="50" s="1"/>
  <c r="IC42" i="50" s="1"/>
  <c r="AJW72" i="50"/>
  <c r="AJY72" i="50" s="1"/>
  <c r="AHA72" i="50"/>
  <c r="AHC72" i="50" s="1"/>
  <c r="ADV72" i="50"/>
  <c r="ADX72" i="50" s="1"/>
  <c r="ASO71" i="50"/>
  <c r="ASQ71" i="50" s="1"/>
  <c r="APS71" i="50"/>
  <c r="APU71" i="50" s="1"/>
  <c r="HY42" i="50" s="1"/>
  <c r="AKZ71" i="50"/>
  <c r="ALB71" i="50" s="1"/>
  <c r="AIE71" i="50"/>
  <c r="AIG71" i="50" s="1"/>
  <c r="AFF71" i="50"/>
  <c r="AFH71" i="50" s="1"/>
  <c r="ABZ71" i="50"/>
  <c r="ACB71" i="50" s="1"/>
  <c r="DQ42" i="50" s="1"/>
  <c r="AQS70" i="50"/>
  <c r="AQU70" i="50" s="1"/>
  <c r="JX42" i="50" s="1"/>
  <c r="AMB70" i="50"/>
  <c r="AMD70" i="50" s="1"/>
  <c r="AJG70" i="50"/>
  <c r="AJI70" i="50" s="1"/>
  <c r="AGF70" i="50"/>
  <c r="AGH70" i="50" s="1"/>
  <c r="ADB70" i="50"/>
  <c r="ADD70" i="50" s="1"/>
  <c r="AIY77" i="50"/>
  <c r="AJA77" i="50" s="1"/>
  <c r="ARJ76" i="50"/>
  <c r="ARL76" i="50" s="1"/>
  <c r="AJW76" i="50"/>
  <c r="AJY76" i="50" s="1"/>
  <c r="ASO75" i="50"/>
  <c r="ASQ75" i="50" s="1"/>
  <c r="AIE75" i="50"/>
  <c r="AIG75" i="50" s="1"/>
  <c r="ARJ77" i="50"/>
  <c r="ARL77" i="50" s="1"/>
  <c r="AOT77" i="50"/>
  <c r="AOV77" i="50" s="1"/>
  <c r="JB42" i="50" s="1"/>
  <c r="AJW77" i="50"/>
  <c r="AJY77" i="50" s="1"/>
  <c r="AHA77" i="50"/>
  <c r="AHC77" i="50" s="1"/>
  <c r="ADV77" i="50"/>
  <c r="ADX77" i="50" s="1"/>
  <c r="ASO76" i="50"/>
  <c r="ASQ76" i="50" s="1"/>
  <c r="APS76" i="50"/>
  <c r="APU76" i="50" s="1"/>
  <c r="IX42" i="50" s="1"/>
  <c r="AKZ76" i="50"/>
  <c r="ALB76" i="50" s="1"/>
  <c r="AIE76" i="50"/>
  <c r="AIG76" i="50" s="1"/>
  <c r="AFF76" i="50"/>
  <c r="AFH76" i="50" s="1"/>
  <c r="ABZ76" i="50"/>
  <c r="ACB76" i="50" s="1"/>
  <c r="EA42" i="50" s="1"/>
  <c r="AQS75" i="50"/>
  <c r="AQU75" i="50" s="1"/>
  <c r="KH42" i="50" s="1"/>
  <c r="AMB75" i="50"/>
  <c r="AMD75" i="50" s="1"/>
  <c r="AJG75" i="50"/>
  <c r="AJI75" i="50" s="1"/>
  <c r="AGF75" i="50"/>
  <c r="AGH75" i="50" s="1"/>
  <c r="ADB75" i="50"/>
  <c r="ADD75" i="50" s="1"/>
  <c r="ARX74" i="50"/>
  <c r="ARZ74" i="50" s="1"/>
  <c r="APC74" i="50"/>
  <c r="APE74" i="50" s="1"/>
  <c r="AKI74" i="50"/>
  <c r="AKK74" i="50" s="1"/>
  <c r="AHJ74" i="50"/>
  <c r="AHL74" i="50" s="1"/>
  <c r="AED74" i="50"/>
  <c r="AEF74" i="50" s="1"/>
  <c r="ABF74" i="50"/>
  <c r="ABH74" i="50" s="1"/>
  <c r="AQA73" i="50"/>
  <c r="AQC73" i="50" s="1"/>
  <c r="ALI73" i="50"/>
  <c r="ALK73" i="50" s="1"/>
  <c r="AIO73" i="50"/>
  <c r="AIQ73" i="50" s="1"/>
  <c r="AFN73" i="50"/>
  <c r="AFP73" i="50" s="1"/>
  <c r="ACJ73" i="50"/>
  <c r="ACL73" i="50" s="1"/>
  <c r="EM42" i="50" s="1"/>
  <c r="ARA72" i="50"/>
  <c r="ARC72" i="50" s="1"/>
  <c r="AMK72" i="50"/>
  <c r="AMM72" i="50" s="1"/>
  <c r="AJO72" i="50"/>
  <c r="AJQ72" i="50" s="1"/>
  <c r="AGS72" i="50"/>
  <c r="AGU72" i="50" s="1"/>
  <c r="ADL72" i="50"/>
  <c r="ADN72" i="50" s="1"/>
  <c r="FU42" i="50" s="1"/>
  <c r="ASF71" i="50"/>
  <c r="ASH71" i="50" s="1"/>
  <c r="APK71" i="50"/>
  <c r="APM71" i="50" s="1"/>
  <c r="HW42" i="50" s="1"/>
  <c r="HZ42" i="50" s="1"/>
  <c r="AKQ71" i="50"/>
  <c r="AKS71" i="50" s="1"/>
  <c r="AHU71" i="50"/>
  <c r="AHW71" i="50" s="1"/>
  <c r="AEX71" i="50"/>
  <c r="AEZ71" i="50" s="1"/>
  <c r="LI42" i="50" s="1"/>
  <c r="ABP71" i="50"/>
  <c r="ABR71" i="50" s="1"/>
  <c r="CY42" i="50" s="1"/>
  <c r="AQJ70" i="50"/>
  <c r="AQL70" i="50" s="1"/>
  <c r="ALS70" i="50"/>
  <c r="ALU70" i="50" s="1"/>
  <c r="AIY70" i="50"/>
  <c r="AJA70" i="50" s="1"/>
  <c r="AFV70" i="50"/>
  <c r="AFX70" i="50" s="1"/>
  <c r="ACS70" i="50"/>
  <c r="ACU70" i="50" s="1"/>
  <c r="APS75" i="50"/>
  <c r="APU75" i="50" s="1"/>
  <c r="IS42" i="50" s="1"/>
  <c r="AFN77" i="50"/>
  <c r="AFP77" i="50" s="1"/>
  <c r="APK75" i="50"/>
  <c r="APM75" i="50" s="1"/>
  <c r="IQ42" i="50" s="1"/>
  <c r="AMB74" i="50"/>
  <c r="AMD74" i="50" s="1"/>
  <c r="ARX73" i="50"/>
  <c r="ARZ73" i="50" s="1"/>
  <c r="AED73" i="50"/>
  <c r="AEF73" i="50" s="1"/>
  <c r="AIO72" i="50"/>
  <c r="AIQ72" i="50" s="1"/>
  <c r="AMK71" i="50"/>
  <c r="AMM71" i="50" s="1"/>
  <c r="ASF70" i="50"/>
  <c r="ASH70" i="50" s="1"/>
  <c r="AEX70" i="50"/>
  <c r="AEZ70" i="50" s="1"/>
  <c r="LG42" i="50" s="1"/>
  <c r="ACJ77" i="50"/>
  <c r="ACL77" i="50" s="1"/>
  <c r="EU42" i="50" s="1"/>
  <c r="AKQ75" i="50"/>
  <c r="AKS75" i="50" s="1"/>
  <c r="ALS74" i="50"/>
  <c r="ALU74" i="50" s="1"/>
  <c r="ARJ73" i="50"/>
  <c r="ARL73" i="50" s="1"/>
  <c r="ADV73" i="50"/>
  <c r="ADX73" i="50" s="1"/>
  <c r="AIE72" i="50"/>
  <c r="AIG72" i="50" s="1"/>
  <c r="AMB71" i="50"/>
  <c r="AMD71" i="50" s="1"/>
  <c r="ARX70" i="50"/>
  <c r="ARZ70" i="50" s="1"/>
  <c r="AED70" i="50"/>
  <c r="AEF70" i="50" s="1"/>
  <c r="ARA76" i="50"/>
  <c r="ARC76" i="50" s="1"/>
  <c r="AHU75" i="50"/>
  <c r="AHW75" i="50" s="1"/>
  <c r="AJG74" i="50"/>
  <c r="AJI74" i="50" s="1"/>
  <c r="APC73" i="50"/>
  <c r="APE73" i="50" s="1"/>
  <c r="ABF73" i="50"/>
  <c r="ABH73" i="50" s="1"/>
  <c r="AFN72" i="50"/>
  <c r="AFP72" i="50" s="1"/>
  <c r="AJO71" i="50"/>
  <c r="AJQ71" i="50" s="1"/>
  <c r="APK70" i="50"/>
  <c r="APM70" i="50" s="1"/>
  <c r="HR42" i="50" s="1"/>
  <c r="HU42" i="50" s="1"/>
  <c r="ABP70" i="50"/>
  <c r="ABR70" i="50" s="1"/>
  <c r="CW42" i="50" s="1"/>
  <c r="ADL76" i="50"/>
  <c r="ADN76" i="50" s="1"/>
  <c r="GC42" i="50" s="1"/>
  <c r="AHJ73" i="50"/>
  <c r="AHL73" i="50" s="1"/>
  <c r="ARA71" i="50"/>
  <c r="ARC71" i="50" s="1"/>
  <c r="ACS74" i="50"/>
  <c r="ACU74" i="50" s="1"/>
  <c r="AKZ72" i="50"/>
  <c r="ALB72" i="50" s="1"/>
  <c r="AHJ70" i="50"/>
  <c r="AHL70" i="50" s="1"/>
  <c r="AMK76" i="50"/>
  <c r="AMM76" i="50" s="1"/>
  <c r="AEX75" i="50"/>
  <c r="AEZ75" i="50" s="1"/>
  <c r="LQ42" i="50" s="1"/>
  <c r="AIY74" i="50"/>
  <c r="AJA74" i="50" s="1"/>
  <c r="AOT73" i="50"/>
  <c r="AOV73" i="50" s="1"/>
  <c r="IH42" i="50" s="1"/>
  <c r="ASO72" i="50"/>
  <c r="ASQ72" i="50" s="1"/>
  <c r="AFF72" i="50"/>
  <c r="AFH72" i="50" s="1"/>
  <c r="AJG71" i="50"/>
  <c r="AJI71" i="50" s="1"/>
  <c r="APC70" i="50"/>
  <c r="APE70" i="50" s="1"/>
  <c r="ABF70" i="50"/>
  <c r="ABH70" i="50" s="1"/>
  <c r="AQS74" i="50"/>
  <c r="AQU74" i="50" s="1"/>
  <c r="KF42" i="50" s="1"/>
  <c r="ADL71" i="50"/>
  <c r="ADN71" i="50" s="1"/>
  <c r="FS42" i="50" s="1"/>
  <c r="AQJ74" i="50"/>
  <c r="AQL74" i="50" s="1"/>
  <c r="AQS71" i="50"/>
  <c r="AQU71" i="50" s="1"/>
  <c r="JZ42" i="50" s="1"/>
  <c r="AQJ77" i="50"/>
  <c r="AQL77" i="50" s="1"/>
  <c r="AJO76" i="50"/>
  <c r="AJQ76" i="50" s="1"/>
  <c r="ABZ75" i="50"/>
  <c r="ACB75" i="50" s="1"/>
  <c r="DY42" i="50" s="1"/>
  <c r="AGF74" i="50"/>
  <c r="AGH74" i="50" s="1"/>
  <c r="AKI73" i="50"/>
  <c r="AKK73" i="50" s="1"/>
  <c r="AQA72" i="50"/>
  <c r="AQC72" i="50" s="1"/>
  <c r="ACJ72" i="50"/>
  <c r="ACL72" i="50" s="1"/>
  <c r="EK42" i="50" s="1"/>
  <c r="AGS71" i="50"/>
  <c r="AGU71" i="50" s="1"/>
  <c r="AKQ70" i="50"/>
  <c r="AKS70" i="50" s="1"/>
  <c r="ALI77" i="50"/>
  <c r="ALK77" i="50" s="1"/>
  <c r="ASF75" i="50"/>
  <c r="ASH75" i="50" s="1"/>
  <c r="ADB71" i="50"/>
  <c r="ADD71" i="50" s="1"/>
  <c r="AQA77" i="50"/>
  <c r="AQC77" i="50" s="1"/>
  <c r="AGS76" i="50"/>
  <c r="AGU76" i="50" s="1"/>
  <c r="ABP75" i="50"/>
  <c r="ABR75" i="50" s="1"/>
  <c r="DG42" i="50" s="1"/>
  <c r="AFV74" i="50"/>
  <c r="AFX74" i="50" s="1"/>
  <c r="AJW73" i="50"/>
  <c r="AJY73" i="50" s="1"/>
  <c r="APS72" i="50"/>
  <c r="APU72" i="50" s="1"/>
  <c r="ID42" i="50" s="1"/>
  <c r="ABZ72" i="50"/>
  <c r="ACB72" i="50" s="1"/>
  <c r="DS42" i="50" s="1"/>
  <c r="AGF71" i="50"/>
  <c r="AGH71" i="50" s="1"/>
  <c r="AKI70" i="50"/>
  <c r="AKK70" i="50" s="1"/>
  <c r="ADB74" i="50"/>
  <c r="ADD74" i="50" s="1"/>
  <c r="ALI72" i="50"/>
  <c r="ALK72" i="50" s="1"/>
  <c r="AHU70" i="50"/>
  <c r="AHW70" i="50" s="1"/>
  <c r="AIO77" i="50"/>
  <c r="AIQ77" i="50" s="1"/>
  <c r="AHA73" i="50"/>
  <c r="AHC73" i="50" s="1"/>
  <c r="BW156" i="39"/>
  <c r="EU191" i="39"/>
  <c r="EU186" i="39"/>
  <c r="EU185" i="39"/>
  <c r="EU187" i="39"/>
  <c r="EU188" i="39"/>
  <c r="EU189" i="39"/>
  <c r="EU192" i="39"/>
  <c r="EU190" i="39"/>
  <c r="KU58" i="39"/>
  <c r="KX58" i="39" s="1"/>
  <c r="NN215" i="39"/>
  <c r="KS62" i="39"/>
  <c r="LA62" i="39" s="1"/>
  <c r="KZ62" i="39"/>
  <c r="AD42" i="36"/>
  <c r="KU62" i="39"/>
  <c r="KU65" i="39"/>
  <c r="KU63" i="39"/>
  <c r="KU61" i="39"/>
  <c r="KU60" i="39"/>
  <c r="KU59" i="39"/>
  <c r="KU64" i="39"/>
  <c r="KP25" i="39"/>
  <c r="F24" i="36"/>
  <c r="AJ39" i="36" s="1"/>
  <c r="BC42" i="39"/>
  <c r="LK33" i="39" s="1"/>
  <c r="LL43" i="39" s="1"/>
  <c r="EU162" i="39"/>
  <c r="EU166" i="39"/>
  <c r="EU161" i="39"/>
  <c r="EU165" i="39"/>
  <c r="EU164" i="39"/>
  <c r="EU168" i="39"/>
  <c r="EU163" i="39"/>
  <c r="EU167" i="39"/>
  <c r="FH117" i="39"/>
  <c r="FF117" i="39"/>
  <c r="FE117" i="39"/>
  <c r="FD117" i="39"/>
  <c r="CJ37" i="50"/>
  <c r="CJ47" i="50" s="1"/>
  <c r="CJ40" i="50"/>
  <c r="CJ50" i="50" s="1"/>
  <c r="CJ36" i="50"/>
  <c r="CJ46" i="50" s="1"/>
  <c r="CJ34" i="50"/>
  <c r="CJ44" i="50" s="1"/>
  <c r="CJ38" i="50"/>
  <c r="CJ48" i="50" s="1"/>
  <c r="CJ35" i="50"/>
  <c r="CJ45" i="50" s="1"/>
  <c r="CJ39" i="50"/>
  <c r="CJ49" i="50" s="1"/>
  <c r="CJ41" i="50"/>
  <c r="CJ51" i="50" s="1"/>
  <c r="F6" i="36"/>
  <c r="AV85" i="36" s="1"/>
  <c r="EX117" i="39"/>
  <c r="FG117" i="39" s="1"/>
  <c r="CH50" i="50"/>
  <c r="CH46" i="50"/>
  <c r="CH51" i="50"/>
  <c r="CH44" i="50"/>
  <c r="CH47" i="50"/>
  <c r="CH48" i="50"/>
  <c r="CH45" i="50"/>
  <c r="CH49" i="50"/>
  <c r="AX114" i="50"/>
  <c r="AX91" i="50"/>
  <c r="AX111" i="50"/>
  <c r="AX90" i="50"/>
  <c r="AX86" i="50"/>
  <c r="BJ86" i="50" s="1"/>
  <c r="AX92" i="50"/>
  <c r="AX116" i="50"/>
  <c r="AX89" i="50"/>
  <c r="AX113" i="50"/>
  <c r="AX88" i="50"/>
  <c r="BJ88" i="50" s="1"/>
  <c r="AX110" i="50"/>
  <c r="AX87" i="50"/>
  <c r="AX115" i="50"/>
  <c r="AX112" i="50"/>
  <c r="AX93" i="50"/>
  <c r="AX109" i="50"/>
  <c r="AJ139" i="36"/>
  <c r="JQ63" i="39"/>
  <c r="JQ59" i="39"/>
  <c r="JQ62" i="39"/>
  <c r="JQ58" i="39"/>
  <c r="JQ61" i="39"/>
  <c r="JQ57" i="39"/>
  <c r="JQ64" i="39"/>
  <c r="JQ60" i="39"/>
  <c r="BC49" i="39"/>
  <c r="KT58" i="39" s="1"/>
  <c r="NO464" i="39"/>
  <c r="NP465" i="39"/>
  <c r="NP461" i="39"/>
  <c r="NO466" i="39"/>
  <c r="NP463" i="39"/>
  <c r="NO460" i="39"/>
  <c r="NP467" i="39"/>
  <c r="NO461" i="39"/>
  <c r="NP462" i="39"/>
  <c r="NP464" i="39"/>
  <c r="NO462" i="39"/>
  <c r="NP460" i="39"/>
  <c r="NO463" i="39"/>
  <c r="NO465" i="39"/>
  <c r="NO467" i="39"/>
  <c r="NP466" i="39"/>
  <c r="AD139" i="36"/>
  <c r="KS58" i="39" s="1"/>
  <c r="NO425" i="39"/>
  <c r="NQ425" i="39" s="1"/>
  <c r="NP469" i="39"/>
  <c r="NP474" i="39"/>
  <c r="NP470" i="39"/>
  <c r="NP473" i="39"/>
  <c r="NP476" i="39"/>
  <c r="NP472" i="39"/>
  <c r="NP475" i="39"/>
  <c r="NP471" i="39"/>
  <c r="F5" i="36"/>
  <c r="NM213" i="39"/>
  <c r="NM231" i="39" s="1"/>
  <c r="NM209" i="39"/>
  <c r="NM227" i="39" s="1"/>
  <c r="NM211" i="39"/>
  <c r="NM229" i="39" s="1"/>
  <c r="NM206" i="39"/>
  <c r="NM224" i="39" s="1"/>
  <c r="NM212" i="39"/>
  <c r="NM230" i="39" s="1"/>
  <c r="NM208" i="39"/>
  <c r="NM226" i="39" s="1"/>
  <c r="NM207" i="39"/>
  <c r="NM225" i="39" s="1"/>
  <c r="NM210" i="39"/>
  <c r="NM228" i="39" s="1"/>
  <c r="NN216" i="39"/>
  <c r="NN220" i="39"/>
  <c r="NN217" i="39"/>
  <c r="NN222" i="39"/>
  <c r="NN219" i="39"/>
  <c r="NN218" i="39"/>
  <c r="NN221" i="39"/>
  <c r="EU82" i="39"/>
  <c r="EU81" i="39"/>
  <c r="DU111" i="39"/>
  <c r="DU112" i="39"/>
  <c r="DU107" i="39"/>
  <c r="DU59" i="39"/>
  <c r="EU75" i="39"/>
  <c r="DU106" i="39"/>
  <c r="DU58" i="39"/>
  <c r="DU105" i="39"/>
  <c r="EU76" i="39"/>
  <c r="DU60" i="39"/>
  <c r="DU110" i="39"/>
  <c r="EU77" i="39"/>
  <c r="EU80" i="39"/>
  <c r="EU78" i="39"/>
  <c r="DU56" i="39"/>
  <c r="DU57" i="39"/>
  <c r="EU79" i="39"/>
  <c r="DU54" i="39"/>
  <c r="DU109" i="39"/>
  <c r="DU55" i="39"/>
  <c r="DU108" i="39"/>
  <c r="DU53" i="39"/>
  <c r="EA103" i="39"/>
  <c r="DZ103" i="39"/>
  <c r="EE103" i="39"/>
  <c r="EB103" i="39"/>
  <c r="DY103" i="39"/>
  <c r="ED103" i="39"/>
  <c r="EF103" i="39"/>
  <c r="D140" i="36"/>
  <c r="EI135" i="36" s="1"/>
  <c r="EO102" i="36" s="1"/>
  <c r="EO115" i="36" s="1"/>
  <c r="M43" i="36"/>
  <c r="EU119" i="39"/>
  <c r="EU124" i="39"/>
  <c r="EU121" i="39"/>
  <c r="EU126" i="39"/>
  <c r="EU123" i="39"/>
  <c r="EU120" i="39"/>
  <c r="EU122" i="39"/>
  <c r="EU125" i="39"/>
  <c r="NN211" i="39"/>
  <c r="NY211" i="39" s="1"/>
  <c r="NN209" i="39"/>
  <c r="NY209" i="39" s="1"/>
  <c r="NN213" i="39"/>
  <c r="NY213" i="39" s="1"/>
  <c r="NN212" i="39"/>
  <c r="NY212" i="39" s="1"/>
  <c r="NN206" i="39"/>
  <c r="NN210" i="39"/>
  <c r="NY210" i="39" s="1"/>
  <c r="NN208" i="39"/>
  <c r="NY208" i="39" s="1"/>
  <c r="NN207" i="39"/>
  <c r="NY207" i="39" s="1"/>
  <c r="BE164" i="39"/>
  <c r="BL164" i="39" s="1"/>
  <c r="BE160" i="39"/>
  <c r="BL160" i="39" s="1"/>
  <c r="BE233" i="39"/>
  <c r="BE162" i="39"/>
  <c r="BL162" i="39" s="1"/>
  <c r="BE158" i="39"/>
  <c r="BL158" i="39" s="1"/>
  <c r="BE231" i="39"/>
  <c r="BE227" i="39"/>
  <c r="BE230" i="39"/>
  <c r="BE234" i="39"/>
  <c r="BE228" i="39"/>
  <c r="BE232" i="39"/>
  <c r="BE229" i="39"/>
  <c r="BE163" i="39"/>
  <c r="BE165" i="39"/>
  <c r="BL165" i="39" s="1"/>
  <c r="BE159" i="39"/>
  <c r="BL159" i="39" s="1"/>
  <c r="BE161" i="39"/>
  <c r="BL161" i="39" s="1"/>
  <c r="NQ146" i="39"/>
  <c r="NQ140" i="39"/>
  <c r="NQ143" i="39"/>
  <c r="NQ145" i="39"/>
  <c r="NQ142" i="39"/>
  <c r="NQ139" i="39"/>
  <c r="NQ144" i="39"/>
  <c r="NQ141" i="39"/>
  <c r="F140" i="36"/>
  <c r="EK135" i="36" s="1"/>
  <c r="EQ102" i="36" s="1"/>
  <c r="EQ115" i="36" s="1"/>
  <c r="E140" i="36"/>
  <c r="EJ135" i="36" s="1"/>
  <c r="EP102" i="36" s="1"/>
  <c r="EP115" i="36" s="1"/>
  <c r="B140" i="36"/>
  <c r="LK38" i="39" s="1"/>
  <c r="NQ19" i="39"/>
  <c r="NQ26" i="39"/>
  <c r="GQ43" i="39" s="1"/>
  <c r="NQ25" i="39"/>
  <c r="GQ42" i="39" s="1"/>
  <c r="NQ24" i="39"/>
  <c r="GQ41" i="39" s="1"/>
  <c r="NQ23" i="39"/>
  <c r="GQ40" i="39" s="1"/>
  <c r="NQ22" i="39"/>
  <c r="GQ39" i="39" s="1"/>
  <c r="NQ21" i="39"/>
  <c r="GQ38" i="39" s="1"/>
  <c r="NQ20" i="39"/>
  <c r="GQ37" i="39" s="1"/>
  <c r="QS230" i="39"/>
  <c r="D139" i="36"/>
  <c r="AO145" i="36"/>
  <c r="AU145" i="36" s="1"/>
  <c r="AD145" i="36"/>
  <c r="AJ145" i="36" s="1"/>
  <c r="BD28" i="39"/>
  <c r="E139" i="36"/>
  <c r="EJ86" i="36"/>
  <c r="B139" i="36"/>
  <c r="AZ145" i="36"/>
  <c r="BJ145" i="36" s="1"/>
  <c r="BO145" i="36"/>
  <c r="CC145" i="36" s="1"/>
  <c r="F139" i="36"/>
  <c r="BC41" i="39"/>
  <c r="AI74" i="39" s="1"/>
  <c r="FJ117" i="39"/>
  <c r="FI117" i="39"/>
  <c r="DX103" i="39"/>
  <c r="BI225" i="39"/>
  <c r="BJ225" i="39"/>
  <c r="BH225" i="39"/>
  <c r="BV156" i="39"/>
  <c r="CQ30" i="39" l="1"/>
  <c r="S51" i="8" s="1"/>
  <c r="CT30" i="39"/>
  <c r="S57" i="8" s="1"/>
  <c r="CS30" i="39"/>
  <c r="S55" i="8" s="1"/>
  <c r="CR30" i="39"/>
  <c r="S53" i="8" s="1"/>
  <c r="S47" i="8"/>
  <c r="FD78" i="39"/>
  <c r="FD122" i="39" s="1"/>
  <c r="OZ79" i="39" s="1"/>
  <c r="FE78" i="39"/>
  <c r="FE122" i="39" s="1"/>
  <c r="PA79" i="39" s="1"/>
  <c r="FD77" i="39"/>
  <c r="FD121" i="39" s="1"/>
  <c r="OZ78" i="39" s="1"/>
  <c r="FE77" i="39"/>
  <c r="FE121" i="39" s="1"/>
  <c r="PA78" i="39" s="1"/>
  <c r="FG75" i="39"/>
  <c r="FO119" i="39" s="1"/>
  <c r="OW76" i="39" s="1"/>
  <c r="FE75" i="39"/>
  <c r="FE119" i="39" s="1"/>
  <c r="PA76" i="39" s="1"/>
  <c r="FD75" i="39"/>
  <c r="FD119" i="39" s="1"/>
  <c r="OZ76" i="39" s="1"/>
  <c r="FE79" i="39"/>
  <c r="FE123" i="39" s="1"/>
  <c r="PA80" i="39" s="1"/>
  <c r="FD79" i="39"/>
  <c r="FD76" i="39"/>
  <c r="FD120" i="39" s="1"/>
  <c r="OZ77" i="39" s="1"/>
  <c r="FE76" i="39"/>
  <c r="FE120" i="39" s="1"/>
  <c r="PA77" i="39" s="1"/>
  <c r="FE81" i="39"/>
  <c r="FE125" i="39" s="1"/>
  <c r="PA82" i="39" s="1"/>
  <c r="FD81" i="39"/>
  <c r="FD125" i="39" s="1"/>
  <c r="OZ82" i="39" s="1"/>
  <c r="FE80" i="39"/>
  <c r="FE124" i="39" s="1"/>
  <c r="PA81" i="39" s="1"/>
  <c r="FD80" i="39"/>
  <c r="FD124" i="39" s="1"/>
  <c r="OZ81" i="39" s="1"/>
  <c r="FD82" i="39"/>
  <c r="FD126" i="39" s="1"/>
  <c r="OZ83" i="39" s="1"/>
  <c r="FE82" i="39"/>
  <c r="FE126" i="39" s="1"/>
  <c r="PA83" i="39" s="1"/>
  <c r="OZ206" i="39"/>
  <c r="NY206" i="39"/>
  <c r="PH206" i="39"/>
  <c r="PI206" i="39"/>
  <c r="PH212" i="39"/>
  <c r="PI212" i="39"/>
  <c r="PI213" i="39"/>
  <c r="PH213" i="39"/>
  <c r="PI209" i="39"/>
  <c r="PH209" i="39"/>
  <c r="PI211" i="39"/>
  <c r="PH211" i="39"/>
  <c r="PI207" i="39"/>
  <c r="PH207" i="39"/>
  <c r="PI208" i="39"/>
  <c r="PH208" i="39"/>
  <c r="PH210" i="39"/>
  <c r="PI210" i="39"/>
  <c r="GQ36" i="39"/>
  <c r="GN36" i="39" s="1"/>
  <c r="LO123" i="39"/>
  <c r="LP123" i="39"/>
  <c r="LO126" i="39"/>
  <c r="LP126" i="39"/>
  <c r="LO121" i="39"/>
  <c r="LO122" i="39"/>
  <c r="LP122" i="39"/>
  <c r="LO127" i="39"/>
  <c r="LP127" i="39"/>
  <c r="LO124" i="39"/>
  <c r="LP124" i="39"/>
  <c r="LO125" i="39"/>
  <c r="LP125" i="39"/>
  <c r="LO128" i="39"/>
  <c r="LP128" i="39"/>
  <c r="LH42" i="50"/>
  <c r="LJ42" i="50"/>
  <c r="KA42" i="50"/>
  <c r="KP42" i="50" s="1"/>
  <c r="IA42" i="50"/>
  <c r="JI42" i="50" s="1"/>
  <c r="IP42" i="50"/>
  <c r="JN42" i="50" s="1"/>
  <c r="KG42" i="50"/>
  <c r="KV42" i="50" s="1"/>
  <c r="KE42" i="50"/>
  <c r="KU42" i="50" s="1"/>
  <c r="IK42" i="50"/>
  <c r="JL42" i="50" s="1"/>
  <c r="LL42" i="50"/>
  <c r="JY42" i="50"/>
  <c r="KN42" i="50" s="1"/>
  <c r="HV42" i="50"/>
  <c r="JF42" i="50" s="1"/>
  <c r="KC42" i="50"/>
  <c r="KR42" i="50" s="1"/>
  <c r="IF42" i="50"/>
  <c r="JJ42" i="50" s="1"/>
  <c r="LP42" i="50"/>
  <c r="LN42" i="50"/>
  <c r="Y86" i="45"/>
  <c r="U55" i="8"/>
  <c r="BI222" i="39" s="1"/>
  <c r="Y89" i="45"/>
  <c r="U57" i="8"/>
  <c r="BJ222" i="39" s="1"/>
  <c r="Y99" i="45"/>
  <c r="U51" i="8"/>
  <c r="BL222" i="39" s="1"/>
  <c r="Y83" i="45"/>
  <c r="U53" i="8"/>
  <c r="BH222" i="39" s="1"/>
  <c r="BJ163" i="39"/>
  <c r="BL163" i="39"/>
  <c r="NN230" i="39"/>
  <c r="NN227" i="39"/>
  <c r="NN228" i="39"/>
  <c r="NN231" i="39"/>
  <c r="NN226" i="39"/>
  <c r="NN229" i="39"/>
  <c r="NN225" i="39"/>
  <c r="NN224" i="39"/>
  <c r="BG92" i="50"/>
  <c r="BJ92" i="50"/>
  <c r="BG87" i="50"/>
  <c r="BJ87" i="50"/>
  <c r="BG90" i="50"/>
  <c r="BJ90" i="50"/>
  <c r="BG91" i="50"/>
  <c r="BJ91" i="50"/>
  <c r="BG89" i="50"/>
  <c r="BJ89" i="50"/>
  <c r="BG93" i="50"/>
  <c r="BJ93" i="50"/>
  <c r="PA210" i="39"/>
  <c r="PG210" i="39"/>
  <c r="PD210" i="39"/>
  <c r="OY210" i="39"/>
  <c r="PC210" i="39"/>
  <c r="OZ210" i="39"/>
  <c r="PF210" i="39"/>
  <c r="PB210" i="39"/>
  <c r="PE210" i="39"/>
  <c r="OY206" i="39"/>
  <c r="PF206" i="39"/>
  <c r="PA206" i="39"/>
  <c r="PC206" i="39"/>
  <c r="PB206" i="39"/>
  <c r="PD206" i="39"/>
  <c r="PG206" i="39"/>
  <c r="PE206" i="39"/>
  <c r="PF209" i="39"/>
  <c r="OZ209" i="39"/>
  <c r="OY209" i="39"/>
  <c r="PB209" i="39"/>
  <c r="PE209" i="39"/>
  <c r="PD209" i="39"/>
  <c r="PA209" i="39"/>
  <c r="PG209" i="39"/>
  <c r="PC209" i="39"/>
  <c r="PC212" i="39"/>
  <c r="PF212" i="39"/>
  <c r="PE212" i="39"/>
  <c r="PB212" i="39"/>
  <c r="PA212" i="39"/>
  <c r="PD212" i="39"/>
  <c r="PG212" i="39"/>
  <c r="OZ212" i="39"/>
  <c r="OY212" i="39"/>
  <c r="PC211" i="39"/>
  <c r="PB211" i="39"/>
  <c r="PE211" i="39"/>
  <c r="OY211" i="39"/>
  <c r="PA211" i="39"/>
  <c r="PD211" i="39"/>
  <c r="OZ211" i="39"/>
  <c r="PG211" i="39"/>
  <c r="PF211" i="39"/>
  <c r="OZ213" i="39"/>
  <c r="PF213" i="39"/>
  <c r="PD213" i="39"/>
  <c r="PE213" i="39"/>
  <c r="PB213" i="39"/>
  <c r="PA213" i="39"/>
  <c r="PG213" i="39"/>
  <c r="PC213" i="39"/>
  <c r="OY213" i="39"/>
  <c r="OY207" i="39"/>
  <c r="PF207" i="39"/>
  <c r="PB207" i="39"/>
  <c r="PC207" i="39"/>
  <c r="OZ207" i="39"/>
  <c r="PE207" i="39"/>
  <c r="PD207" i="39"/>
  <c r="PA207" i="39"/>
  <c r="PG207" i="39"/>
  <c r="OY208" i="39"/>
  <c r="PF208" i="39"/>
  <c r="OZ208" i="39"/>
  <c r="PC208" i="39"/>
  <c r="PE208" i="39"/>
  <c r="PG208" i="39"/>
  <c r="PA208" i="39"/>
  <c r="PB208" i="39"/>
  <c r="PD208" i="39"/>
  <c r="LA58" i="39"/>
  <c r="KY58" i="39"/>
  <c r="KY62" i="39" s="1"/>
  <c r="BG88" i="50"/>
  <c r="LM43" i="39"/>
  <c r="LN43" i="39"/>
  <c r="LS43" i="39"/>
  <c r="LK43" i="39"/>
  <c r="LL42" i="39"/>
  <c r="PT207" i="39" s="1"/>
  <c r="LM41" i="39"/>
  <c r="LS42" i="39"/>
  <c r="PT214" i="39" s="1"/>
  <c r="LK42" i="39"/>
  <c r="PT206" i="39" s="1"/>
  <c r="LL41" i="39"/>
  <c r="PS207" i="39" s="1"/>
  <c r="LR42" i="39"/>
  <c r="PT213" i="39" s="1"/>
  <c r="LS41" i="39"/>
  <c r="PS214" i="39" s="1"/>
  <c r="LK41" i="39"/>
  <c r="PS206" i="39" s="1"/>
  <c r="LP42" i="39"/>
  <c r="PT211" i="39" s="1"/>
  <c r="LQ41" i="39"/>
  <c r="PS212" i="39" s="1"/>
  <c r="LO42" i="39"/>
  <c r="PT210" i="39" s="1"/>
  <c r="LP41" i="39"/>
  <c r="PS211" i="39" s="1"/>
  <c r="LN42" i="39"/>
  <c r="PT209" i="39" s="1"/>
  <c r="LM42" i="39"/>
  <c r="PT208" i="39" s="1"/>
  <c r="LN41" i="39"/>
  <c r="PS209" i="39" s="1"/>
  <c r="LQ42" i="39"/>
  <c r="PT212" i="39" s="1"/>
  <c r="LR41" i="39"/>
  <c r="PS213" i="39" s="1"/>
  <c r="LO41" i="39"/>
  <c r="PS210" i="39" s="1"/>
  <c r="KX59" i="39"/>
  <c r="KY59" i="39" s="1"/>
  <c r="KX60" i="39"/>
  <c r="KY60" i="39" s="1"/>
  <c r="KX61" i="39"/>
  <c r="KY61" i="39" s="1"/>
  <c r="B141" i="36"/>
  <c r="FL117" i="39"/>
  <c r="FM117" i="39" s="1"/>
  <c r="FF79" i="39"/>
  <c r="FN123" i="39" s="1"/>
  <c r="FG79" i="39"/>
  <c r="FO123" i="39" s="1"/>
  <c r="OW80" i="39" s="1"/>
  <c r="FF76" i="39"/>
  <c r="FN120" i="39" s="1"/>
  <c r="FG76" i="39"/>
  <c r="FO120" i="39" s="1"/>
  <c r="OW77" i="39" s="1"/>
  <c r="FF80" i="39"/>
  <c r="FN124" i="39" s="1"/>
  <c r="FG80" i="39"/>
  <c r="FO124" i="39" s="1"/>
  <c r="OW81" i="39" s="1"/>
  <c r="FF81" i="39"/>
  <c r="FN125" i="39" s="1"/>
  <c r="FG81" i="39"/>
  <c r="FO125" i="39" s="1"/>
  <c r="OW82" i="39" s="1"/>
  <c r="FF77" i="39"/>
  <c r="FN121" i="39" s="1"/>
  <c r="FG77" i="39"/>
  <c r="FO121" i="39" s="1"/>
  <c r="OW78" i="39" s="1"/>
  <c r="FF82" i="39"/>
  <c r="FN126" i="39" s="1"/>
  <c r="FG82" i="39"/>
  <c r="FO126" i="39" s="1"/>
  <c r="OW83" i="39" s="1"/>
  <c r="FF78" i="39"/>
  <c r="FN122" i="39" s="1"/>
  <c r="FG78" i="39"/>
  <c r="FO122" i="39" s="1"/>
  <c r="OW79" i="39" s="1"/>
  <c r="EW75" i="39"/>
  <c r="FF75" i="39"/>
  <c r="FN119" i="39" s="1"/>
  <c r="GM71" i="39"/>
  <c r="GN39" i="39"/>
  <c r="GM39" i="39"/>
  <c r="GM72" i="39"/>
  <c r="GN40" i="39"/>
  <c r="GM40" i="39"/>
  <c r="GM41" i="39"/>
  <c r="GM73" i="39"/>
  <c r="GN41" i="39"/>
  <c r="GM74" i="39"/>
  <c r="GN42" i="39"/>
  <c r="GM42" i="39"/>
  <c r="GM69" i="39"/>
  <c r="GM37" i="39"/>
  <c r="GN37" i="39"/>
  <c r="GM43" i="39"/>
  <c r="GM75" i="39"/>
  <c r="GN43" i="39"/>
  <c r="GM70" i="39"/>
  <c r="GN38" i="39"/>
  <c r="GM38" i="39"/>
  <c r="FK117" i="39"/>
  <c r="BF28" i="39"/>
  <c r="BC28" i="39"/>
  <c r="QU230" i="39"/>
  <c r="EI86" i="36"/>
  <c r="EH87" i="36"/>
  <c r="QR230" i="39"/>
  <c r="BI29" i="39"/>
  <c r="QX231" i="39"/>
  <c r="EM86" i="36"/>
  <c r="F31" i="36"/>
  <c r="AJ37" i="36" s="1"/>
  <c r="BG86" i="50"/>
  <c r="BF86" i="50"/>
  <c r="BE86" i="50"/>
  <c r="BD86" i="50"/>
  <c r="BB86" i="50"/>
  <c r="BA86" i="50"/>
  <c r="AZ86" i="50"/>
  <c r="AY86" i="50"/>
  <c r="BC86" i="50"/>
  <c r="BF87" i="50"/>
  <c r="BC87" i="50"/>
  <c r="BB87" i="50"/>
  <c r="BE87" i="50"/>
  <c r="BD87" i="50"/>
  <c r="BA87" i="50"/>
  <c r="AZ87" i="50"/>
  <c r="AY87" i="50"/>
  <c r="BC92" i="50"/>
  <c r="AZ92" i="50"/>
  <c r="BB92" i="50"/>
  <c r="AY92" i="50"/>
  <c r="BA92" i="50"/>
  <c r="BF92" i="50"/>
  <c r="BE92" i="50"/>
  <c r="BD92" i="50"/>
  <c r="BD93" i="50"/>
  <c r="BC93" i="50"/>
  <c r="BB93" i="50"/>
  <c r="AZ93" i="50"/>
  <c r="AY93" i="50"/>
  <c r="BF93" i="50"/>
  <c r="BE93" i="50"/>
  <c r="BA93" i="50"/>
  <c r="AZ89" i="50"/>
  <c r="AY89" i="50"/>
  <c r="BE89" i="50"/>
  <c r="BF89" i="50"/>
  <c r="BD89" i="50"/>
  <c r="BC89" i="50"/>
  <c r="BB89" i="50"/>
  <c r="BA89" i="50"/>
  <c r="BB91" i="50"/>
  <c r="BA91" i="50"/>
  <c r="AY91" i="50"/>
  <c r="AZ91" i="50"/>
  <c r="BF91" i="50"/>
  <c r="BE91" i="50"/>
  <c r="BD91" i="50"/>
  <c r="BC91" i="50"/>
  <c r="AY88" i="50"/>
  <c r="BF88" i="50"/>
  <c r="BC88" i="50"/>
  <c r="BE88" i="50"/>
  <c r="BB88" i="50"/>
  <c r="BA88" i="50"/>
  <c r="AZ88" i="50"/>
  <c r="BD88" i="50"/>
  <c r="BA90" i="50"/>
  <c r="AZ90" i="50"/>
  <c r="AY90" i="50"/>
  <c r="BF90" i="50"/>
  <c r="BD90" i="50"/>
  <c r="BC90" i="50"/>
  <c r="BB90" i="50"/>
  <c r="BE90" i="50"/>
  <c r="NR208" i="39"/>
  <c r="NR212" i="39"/>
  <c r="NR210" i="39"/>
  <c r="NR206" i="39"/>
  <c r="NR213" i="39"/>
  <c r="NR209" i="39"/>
  <c r="NR211" i="39"/>
  <c r="NR207" i="39"/>
  <c r="ON208" i="39"/>
  <c r="ON210" i="39"/>
  <c r="ON213" i="39"/>
  <c r="ON209" i="39"/>
  <c r="ON211" i="39"/>
  <c r="ON212" i="39"/>
  <c r="ON207" i="39"/>
  <c r="ON206" i="39"/>
  <c r="OS212" i="39"/>
  <c r="OR212" i="39"/>
  <c r="OP212" i="39"/>
  <c r="OT212" i="39"/>
  <c r="OO212" i="39"/>
  <c r="OT213" i="39"/>
  <c r="OS213" i="39"/>
  <c r="OR213" i="39"/>
  <c r="OP213" i="39"/>
  <c r="OO213" i="39"/>
  <c r="OR209" i="39"/>
  <c r="OP209" i="39"/>
  <c r="OT209" i="39"/>
  <c r="OO209" i="39"/>
  <c r="OS209" i="39"/>
  <c r="OO207" i="39"/>
  <c r="OT207" i="39"/>
  <c r="OS207" i="39"/>
  <c r="OR207" i="39"/>
  <c r="OP207" i="39"/>
  <c r="OP208" i="39"/>
  <c r="OO208" i="39"/>
  <c r="OT208" i="39"/>
  <c r="OS208" i="39"/>
  <c r="OR208" i="39"/>
  <c r="OR210" i="39"/>
  <c r="OP210" i="39"/>
  <c r="OO210" i="39"/>
  <c r="OT210" i="39"/>
  <c r="OS210" i="39"/>
  <c r="OS211" i="39"/>
  <c r="OR211" i="39"/>
  <c r="OP211" i="39"/>
  <c r="OT211" i="39"/>
  <c r="OO211" i="39"/>
  <c r="OO206" i="39"/>
  <c r="OT206" i="39"/>
  <c r="OS206" i="39"/>
  <c r="OR206" i="39"/>
  <c r="OP206" i="39"/>
  <c r="E171" i="36"/>
  <c r="AZ177" i="36" s="1"/>
  <c r="LQ43" i="39" s="1"/>
  <c r="D171" i="36"/>
  <c r="AO177" i="36" s="1"/>
  <c r="LP43" i="39" s="1"/>
  <c r="F171" i="36"/>
  <c r="BO177" i="36" s="1"/>
  <c r="LR43" i="39" s="1"/>
  <c r="B171" i="36"/>
  <c r="AD177" i="36" s="1"/>
  <c r="LO43" i="39" s="1"/>
  <c r="PK212" i="39"/>
  <c r="PN212" i="39"/>
  <c r="PJ212" i="39"/>
  <c r="OM212" i="39"/>
  <c r="OL212" i="39"/>
  <c r="PM212" i="39"/>
  <c r="PL212" i="39"/>
  <c r="OK212" i="39"/>
  <c r="PN213" i="39"/>
  <c r="PJ213" i="39"/>
  <c r="OM213" i="39"/>
  <c r="OK213" i="39"/>
  <c r="PM213" i="39"/>
  <c r="OL213" i="39"/>
  <c r="PL213" i="39"/>
  <c r="PK213" i="39"/>
  <c r="PL209" i="39"/>
  <c r="OK209" i="39"/>
  <c r="PK209" i="39"/>
  <c r="PN209" i="39"/>
  <c r="PJ209" i="39"/>
  <c r="OM209" i="39"/>
  <c r="PM209" i="39"/>
  <c r="OL209" i="39"/>
  <c r="PK211" i="39"/>
  <c r="PN211" i="39"/>
  <c r="PJ211" i="39"/>
  <c r="OM211" i="39"/>
  <c r="OL211" i="39"/>
  <c r="PM211" i="39"/>
  <c r="PL211" i="39"/>
  <c r="OK211" i="39"/>
  <c r="PM207" i="39"/>
  <c r="OL207" i="39"/>
  <c r="PL207" i="39"/>
  <c r="OK207" i="39"/>
  <c r="PK207" i="39"/>
  <c r="PN207" i="39"/>
  <c r="PJ207" i="39"/>
  <c r="OM207" i="39"/>
  <c r="PM208" i="39"/>
  <c r="OL208" i="39"/>
  <c r="PL208" i="39"/>
  <c r="OK208" i="39"/>
  <c r="PK208" i="39"/>
  <c r="PN208" i="39"/>
  <c r="PJ208" i="39"/>
  <c r="OM208" i="39"/>
  <c r="PL210" i="39"/>
  <c r="OK210" i="39"/>
  <c r="PK210" i="39"/>
  <c r="PJ210" i="39"/>
  <c r="PN210" i="39"/>
  <c r="OM210" i="39"/>
  <c r="PM210" i="39"/>
  <c r="OL210" i="39"/>
  <c r="PN206" i="39"/>
  <c r="PJ206" i="39"/>
  <c r="OM206" i="39"/>
  <c r="PM206" i="39"/>
  <c r="OL206" i="39"/>
  <c r="PL206" i="39"/>
  <c r="OK206" i="39"/>
  <c r="PK206" i="39"/>
  <c r="OG206" i="39"/>
  <c r="NZ206" i="39"/>
  <c r="OF206" i="39"/>
  <c r="OE206" i="39"/>
  <c r="OD206" i="39"/>
  <c r="OC206" i="39"/>
  <c r="OB206" i="39"/>
  <c r="OA206" i="39"/>
  <c r="OI206" i="39"/>
  <c r="NR220" i="39"/>
  <c r="OD212" i="39"/>
  <c r="OC212" i="39"/>
  <c r="OB212" i="39"/>
  <c r="OI212" i="39"/>
  <c r="OA212" i="39"/>
  <c r="OE212" i="39"/>
  <c r="OG212" i="39"/>
  <c r="NZ212" i="39"/>
  <c r="OF212" i="39"/>
  <c r="NR219" i="39"/>
  <c r="NR216" i="39"/>
  <c r="OE213" i="39"/>
  <c r="OD213" i="39"/>
  <c r="OC213" i="39"/>
  <c r="OB213" i="39"/>
  <c r="OA213" i="39"/>
  <c r="OI213" i="39"/>
  <c r="OF213" i="39"/>
  <c r="OG213" i="39"/>
  <c r="NZ213" i="39"/>
  <c r="NR221" i="39"/>
  <c r="OA209" i="39"/>
  <c r="OG209" i="39"/>
  <c r="NZ209" i="39"/>
  <c r="OF209" i="39"/>
  <c r="OB209" i="39"/>
  <c r="OE209" i="39"/>
  <c r="OI209" i="39"/>
  <c r="OD209" i="39"/>
  <c r="OC209" i="39"/>
  <c r="NR222" i="39"/>
  <c r="OC211" i="39"/>
  <c r="OI211" i="39"/>
  <c r="OB211" i="39"/>
  <c r="OA211" i="39"/>
  <c r="OG211" i="39"/>
  <c r="NZ211" i="39"/>
  <c r="OD211" i="39"/>
  <c r="OF211" i="39"/>
  <c r="OE211" i="39"/>
  <c r="NR217" i="39"/>
  <c r="OG207" i="39"/>
  <c r="NZ207" i="39"/>
  <c r="OI207" i="39"/>
  <c r="OF207" i="39"/>
  <c r="OE207" i="39"/>
  <c r="OD207" i="39"/>
  <c r="OC207" i="39"/>
  <c r="OB207" i="39"/>
  <c r="OA207" i="39"/>
  <c r="NR218" i="39"/>
  <c r="OG208" i="39"/>
  <c r="NZ208" i="39"/>
  <c r="OF208" i="39"/>
  <c r="OI208" i="39"/>
  <c r="OE208" i="39"/>
  <c r="OD208" i="39"/>
  <c r="OA208" i="39"/>
  <c r="OC208" i="39"/>
  <c r="OB208" i="39"/>
  <c r="NR215" i="39"/>
  <c r="OB210" i="39"/>
  <c r="OA210" i="39"/>
  <c r="OG210" i="39"/>
  <c r="NZ210" i="39"/>
  <c r="OF210" i="39"/>
  <c r="OC210" i="39"/>
  <c r="OE210" i="39"/>
  <c r="OD210" i="39"/>
  <c r="OI210" i="39"/>
  <c r="EX80" i="39"/>
  <c r="EX124" i="39" s="1"/>
  <c r="OO81" i="39" s="1"/>
  <c r="EW80" i="39"/>
  <c r="FB80" i="39"/>
  <c r="FB124" i="39" s="1"/>
  <c r="OX81" i="39" s="1"/>
  <c r="FC80" i="39"/>
  <c r="FC124" i="39" s="1"/>
  <c r="OY81" i="39" s="1"/>
  <c r="EZ80" i="39"/>
  <c r="EZ124" i="39" s="1"/>
  <c r="OQ81" i="39" s="1"/>
  <c r="EY80" i="39"/>
  <c r="EY124" i="39" s="1"/>
  <c r="OP81" i="39" s="1"/>
  <c r="FA80" i="39"/>
  <c r="FA124" i="39" s="1"/>
  <c r="OT81" i="39" s="1"/>
  <c r="EY75" i="39"/>
  <c r="EY119" i="39" s="1"/>
  <c r="OP76" i="39" s="1"/>
  <c r="FA75" i="39"/>
  <c r="FA119" i="39" s="1"/>
  <c r="OT76" i="39" s="1"/>
  <c r="EX75" i="39"/>
  <c r="EX119" i="39" s="1"/>
  <c r="OO76" i="39" s="1"/>
  <c r="FC75" i="39"/>
  <c r="FC119" i="39" s="1"/>
  <c r="OY76" i="39" s="1"/>
  <c r="EZ75" i="39"/>
  <c r="EZ119" i="39" s="1"/>
  <c r="FB75" i="39"/>
  <c r="FB119" i="39" s="1"/>
  <c r="OX76" i="39" s="1"/>
  <c r="EW77" i="39"/>
  <c r="EY77" i="39"/>
  <c r="EY121" i="39" s="1"/>
  <c r="OP78" i="39" s="1"/>
  <c r="EX77" i="39"/>
  <c r="EX121" i="39" s="1"/>
  <c r="OO78" i="39" s="1"/>
  <c r="FC77" i="39"/>
  <c r="FC121" i="39" s="1"/>
  <c r="OY78" i="39" s="1"/>
  <c r="EZ77" i="39"/>
  <c r="EZ121" i="39" s="1"/>
  <c r="OQ78" i="39" s="1"/>
  <c r="FB77" i="39"/>
  <c r="FB121" i="39" s="1"/>
  <c r="OX78" i="39" s="1"/>
  <c r="FA77" i="39"/>
  <c r="FA121" i="39" s="1"/>
  <c r="OT78" i="39" s="1"/>
  <c r="EZ78" i="39"/>
  <c r="EZ122" i="39" s="1"/>
  <c r="OQ79" i="39" s="1"/>
  <c r="FB78" i="39"/>
  <c r="FB122" i="39" s="1"/>
  <c r="OX79" i="39" s="1"/>
  <c r="EY78" i="39"/>
  <c r="EY122" i="39" s="1"/>
  <c r="OP79" i="39" s="1"/>
  <c r="FA78" i="39"/>
  <c r="FA122" i="39" s="1"/>
  <c r="OT79" i="39" s="1"/>
  <c r="EX78" i="39"/>
  <c r="EX122" i="39" s="1"/>
  <c r="OO79" i="39" s="1"/>
  <c r="FC78" i="39"/>
  <c r="FC122" i="39" s="1"/>
  <c r="OY79" i="39" s="1"/>
  <c r="EW78" i="39"/>
  <c r="FC79" i="39"/>
  <c r="FC123" i="39" s="1"/>
  <c r="OY80" i="39" s="1"/>
  <c r="EW79" i="39"/>
  <c r="FB79" i="39"/>
  <c r="FB123" i="39" s="1"/>
  <c r="OX80" i="39" s="1"/>
  <c r="FD123" i="39"/>
  <c r="OZ80" i="39" s="1"/>
  <c r="FA79" i="39"/>
  <c r="FA123" i="39" s="1"/>
  <c r="OT80" i="39" s="1"/>
  <c r="EX79" i="39"/>
  <c r="EX123" i="39" s="1"/>
  <c r="OO80" i="39" s="1"/>
  <c r="EZ79" i="39"/>
  <c r="EZ123" i="39" s="1"/>
  <c r="OQ80" i="39" s="1"/>
  <c r="EY79" i="39"/>
  <c r="EY123" i="39" s="1"/>
  <c r="OP80" i="39" s="1"/>
  <c r="FB76" i="39"/>
  <c r="FB120" i="39" s="1"/>
  <c r="OX77" i="39" s="1"/>
  <c r="EX76" i="39"/>
  <c r="EX120" i="39" s="1"/>
  <c r="OO77" i="39" s="1"/>
  <c r="FC76" i="39"/>
  <c r="FC120" i="39" s="1"/>
  <c r="OY77" i="39" s="1"/>
  <c r="EY76" i="39"/>
  <c r="EY120" i="39" s="1"/>
  <c r="OP77" i="39" s="1"/>
  <c r="FA76" i="39"/>
  <c r="FA120" i="39" s="1"/>
  <c r="OT77" i="39" s="1"/>
  <c r="EZ76" i="39"/>
  <c r="EZ120" i="39" s="1"/>
  <c r="OQ77" i="39" s="1"/>
  <c r="EW76" i="39"/>
  <c r="FA81" i="39"/>
  <c r="FA125" i="39" s="1"/>
  <c r="OT82" i="39" s="1"/>
  <c r="EX81" i="39"/>
  <c r="EX125" i="39" s="1"/>
  <c r="OO82" i="39" s="1"/>
  <c r="FC81" i="39"/>
  <c r="FC125" i="39" s="1"/>
  <c r="OY82" i="39" s="1"/>
  <c r="EZ81" i="39"/>
  <c r="EZ125" i="39" s="1"/>
  <c r="OQ82" i="39" s="1"/>
  <c r="EW81" i="39"/>
  <c r="FB81" i="39"/>
  <c r="FB125" i="39" s="1"/>
  <c r="OX82" i="39" s="1"/>
  <c r="EY81" i="39"/>
  <c r="EY125" i="39" s="1"/>
  <c r="OP82" i="39" s="1"/>
  <c r="EZ82" i="39"/>
  <c r="EZ126" i="39" s="1"/>
  <c r="OQ83" i="39" s="1"/>
  <c r="FA82" i="39"/>
  <c r="FA126" i="39" s="1"/>
  <c r="OT83" i="39" s="1"/>
  <c r="EX82" i="39"/>
  <c r="EX126" i="39" s="1"/>
  <c r="OO83" i="39" s="1"/>
  <c r="FC82" i="39"/>
  <c r="FC126" i="39" s="1"/>
  <c r="OY83" i="39" s="1"/>
  <c r="EW82" i="39"/>
  <c r="FB82" i="39"/>
  <c r="FB126" i="39" s="1"/>
  <c r="OX83" i="39" s="1"/>
  <c r="EY82" i="39"/>
  <c r="EY126" i="39" s="1"/>
  <c r="OP83" i="39" s="1"/>
  <c r="EJ103" i="39"/>
  <c r="BO158" i="39"/>
  <c r="BN162" i="39"/>
  <c r="BM164" i="39"/>
  <c r="BM160" i="39"/>
  <c r="BJ164" i="39"/>
  <c r="BN164" i="39"/>
  <c r="BQ164" i="39"/>
  <c r="BH164" i="39"/>
  <c r="BR164" i="39"/>
  <c r="BO164" i="39"/>
  <c r="BN160" i="39"/>
  <c r="BH160" i="39"/>
  <c r="BP164" i="39"/>
  <c r="BR160" i="39"/>
  <c r="BP160" i="39"/>
  <c r="BI160" i="39"/>
  <c r="BU164" i="39"/>
  <c r="BO160" i="39"/>
  <c r="BI162" i="39"/>
  <c r="BO162" i="39"/>
  <c r="BQ162" i="39"/>
  <c r="DZ57" i="39"/>
  <c r="DZ109" i="39" s="1"/>
  <c r="OA80" i="39" s="1"/>
  <c r="DX57" i="39"/>
  <c r="DX109" i="39" s="1"/>
  <c r="NY80" i="39" s="1"/>
  <c r="DY57" i="39"/>
  <c r="DY109" i="39" s="1"/>
  <c r="NZ80" i="39" s="1"/>
  <c r="EA57" i="39"/>
  <c r="EA109" i="39" s="1"/>
  <c r="OB80" i="39" s="1"/>
  <c r="DW57" i="39"/>
  <c r="DW109" i="39" s="1"/>
  <c r="NX80" i="39" s="1"/>
  <c r="ED57" i="39"/>
  <c r="ED109" i="39" s="1"/>
  <c r="OE80" i="39" s="1"/>
  <c r="EB57" i="39"/>
  <c r="EB109" i="39" s="1"/>
  <c r="OC80" i="39" s="1"/>
  <c r="OD80" i="39"/>
  <c r="EE57" i="39"/>
  <c r="EE109" i="39" s="1"/>
  <c r="OF80" i="39" s="1"/>
  <c r="EF57" i="39"/>
  <c r="EF109" i="39" s="1"/>
  <c r="OG80" i="39" s="1"/>
  <c r="OH80" i="39"/>
  <c r="EF59" i="39"/>
  <c r="EF111" i="39" s="1"/>
  <c r="OG82" i="39" s="1"/>
  <c r="DY59" i="39"/>
  <c r="DY111" i="39" s="1"/>
  <c r="NZ82" i="39" s="1"/>
  <c r="OH82" i="39"/>
  <c r="DZ59" i="39"/>
  <c r="DZ111" i="39" s="1"/>
  <c r="OA82" i="39" s="1"/>
  <c r="DX59" i="39"/>
  <c r="DX111" i="39" s="1"/>
  <c r="NY82" i="39" s="1"/>
  <c r="DW59" i="39"/>
  <c r="DW111" i="39" s="1"/>
  <c r="NX82" i="39" s="1"/>
  <c r="EB59" i="39"/>
  <c r="EB111" i="39" s="1"/>
  <c r="OC82" i="39" s="1"/>
  <c r="EA59" i="39"/>
  <c r="EA111" i="39" s="1"/>
  <c r="OB82" i="39" s="1"/>
  <c r="OD82" i="39"/>
  <c r="EE59" i="39"/>
  <c r="EE111" i="39" s="1"/>
  <c r="OF82" i="39" s="1"/>
  <c r="ED59" i="39"/>
  <c r="ED111" i="39" s="1"/>
  <c r="OE82" i="39" s="1"/>
  <c r="EB55" i="39"/>
  <c r="EB107" i="39" s="1"/>
  <c r="OC78" i="39" s="1"/>
  <c r="DW55" i="39"/>
  <c r="DW107" i="39" s="1"/>
  <c r="NX78" i="39" s="1"/>
  <c r="OD78" i="39"/>
  <c r="ED55" i="39"/>
  <c r="ED107" i="39" s="1"/>
  <c r="OE78" i="39" s="1"/>
  <c r="EE55" i="39"/>
  <c r="EE107" i="39" s="1"/>
  <c r="OF78" i="39" s="1"/>
  <c r="EF55" i="39"/>
  <c r="EF107" i="39" s="1"/>
  <c r="OG78" i="39" s="1"/>
  <c r="DY55" i="39"/>
  <c r="DY107" i="39" s="1"/>
  <c r="NZ78" i="39" s="1"/>
  <c r="OH78" i="39"/>
  <c r="EA55" i="39"/>
  <c r="EA107" i="39" s="1"/>
  <c r="OB78" i="39" s="1"/>
  <c r="DZ55" i="39"/>
  <c r="DZ107" i="39" s="1"/>
  <c r="OA78" i="39" s="1"/>
  <c r="DX55" i="39"/>
  <c r="DX107" i="39" s="1"/>
  <c r="NY78" i="39" s="1"/>
  <c r="OD77" i="39"/>
  <c r="OH77" i="39"/>
  <c r="ED54" i="39"/>
  <c r="ED106" i="39" s="1"/>
  <c r="OE77" i="39" s="1"/>
  <c r="EE54" i="39"/>
  <c r="EE106" i="39" s="1"/>
  <c r="OF77" i="39" s="1"/>
  <c r="DY54" i="39"/>
  <c r="DY106" i="39" s="1"/>
  <c r="NZ77" i="39" s="1"/>
  <c r="EB54" i="39"/>
  <c r="EB106" i="39" s="1"/>
  <c r="OC77" i="39" s="1"/>
  <c r="EF54" i="39"/>
  <c r="EF106" i="39" s="1"/>
  <c r="OG77" i="39" s="1"/>
  <c r="DZ54" i="39"/>
  <c r="DZ106" i="39" s="1"/>
  <c r="OA77" i="39" s="1"/>
  <c r="DX54" i="39"/>
  <c r="DX106" i="39" s="1"/>
  <c r="NY77" i="39" s="1"/>
  <c r="EA54" i="39"/>
  <c r="EA106" i="39" s="1"/>
  <c r="OB77" i="39" s="1"/>
  <c r="DW54" i="39"/>
  <c r="DW106" i="39" s="1"/>
  <c r="NX77" i="39" s="1"/>
  <c r="DY58" i="39"/>
  <c r="DY110" i="39" s="1"/>
  <c r="NZ81" i="39" s="1"/>
  <c r="OH81" i="39"/>
  <c r="OD81" i="39"/>
  <c r="DZ58" i="39"/>
  <c r="DZ110" i="39" s="1"/>
  <c r="OA81" i="39" s="1"/>
  <c r="DX58" i="39"/>
  <c r="DX110" i="39" s="1"/>
  <c r="NY81" i="39" s="1"/>
  <c r="EA58" i="39"/>
  <c r="EA110" i="39" s="1"/>
  <c r="OB81" i="39" s="1"/>
  <c r="DW58" i="39"/>
  <c r="DW110" i="39" s="1"/>
  <c r="NX81" i="39" s="1"/>
  <c r="EB58" i="39"/>
  <c r="EB110" i="39" s="1"/>
  <c r="OC81" i="39" s="1"/>
  <c r="EF58" i="39"/>
  <c r="EF110" i="39" s="1"/>
  <c r="OG81" i="39" s="1"/>
  <c r="ED58" i="39"/>
  <c r="ED110" i="39" s="1"/>
  <c r="OE81" i="39" s="1"/>
  <c r="EE58" i="39"/>
  <c r="EE110" i="39" s="1"/>
  <c r="OF81" i="39" s="1"/>
  <c r="EE60" i="39"/>
  <c r="EE112" i="39" s="1"/>
  <c r="OF83" i="39" s="1"/>
  <c r="DW60" i="39"/>
  <c r="DW112" i="39" s="1"/>
  <c r="NX83" i="39" s="1"/>
  <c r="EF60" i="39"/>
  <c r="EF112" i="39" s="1"/>
  <c r="OG83" i="39" s="1"/>
  <c r="EA60" i="39"/>
  <c r="EA112" i="39" s="1"/>
  <c r="OB83" i="39" s="1"/>
  <c r="DY60" i="39"/>
  <c r="DY112" i="39" s="1"/>
  <c r="NZ83" i="39" s="1"/>
  <c r="OH83" i="39"/>
  <c r="ED60" i="39"/>
  <c r="ED112" i="39" s="1"/>
  <c r="OE83" i="39" s="1"/>
  <c r="DZ60" i="39"/>
  <c r="DZ112" i="39" s="1"/>
  <c r="OA83" i="39" s="1"/>
  <c r="DX60" i="39"/>
  <c r="DX112" i="39" s="1"/>
  <c r="NY83" i="39" s="1"/>
  <c r="EB60" i="39"/>
  <c r="EB112" i="39" s="1"/>
  <c r="OC83" i="39" s="1"/>
  <c r="OD83" i="39"/>
  <c r="ED53" i="39"/>
  <c r="EE53" i="39"/>
  <c r="DZ53" i="39"/>
  <c r="EF53" i="39"/>
  <c r="DX53" i="39"/>
  <c r="DX105" i="39" s="1"/>
  <c r="DY53" i="39"/>
  <c r="EA53" i="39"/>
  <c r="EB53" i="39"/>
  <c r="EA56" i="39"/>
  <c r="EA108" i="39" s="1"/>
  <c r="OB79" i="39" s="1"/>
  <c r="DW56" i="39"/>
  <c r="DW108" i="39" s="1"/>
  <c r="NX79" i="39" s="1"/>
  <c r="EB56" i="39"/>
  <c r="EB108" i="39" s="1"/>
  <c r="OC79" i="39" s="1"/>
  <c r="DZ56" i="39"/>
  <c r="DZ108" i="39" s="1"/>
  <c r="OA79" i="39" s="1"/>
  <c r="DX56" i="39"/>
  <c r="DX108" i="39" s="1"/>
  <c r="NY79" i="39" s="1"/>
  <c r="OD79" i="39"/>
  <c r="EE56" i="39"/>
  <c r="EE108" i="39" s="1"/>
  <c r="OF79" i="39" s="1"/>
  <c r="ED56" i="39"/>
  <c r="ED108" i="39" s="1"/>
  <c r="OE79" i="39" s="1"/>
  <c r="EF56" i="39"/>
  <c r="EF108" i="39" s="1"/>
  <c r="OG79" i="39" s="1"/>
  <c r="DY56" i="39"/>
  <c r="DY108" i="39" s="1"/>
  <c r="NZ79" i="39" s="1"/>
  <c r="OH79" i="39"/>
  <c r="BJ162" i="39"/>
  <c r="BR162" i="39"/>
  <c r="BH162" i="39"/>
  <c r="BM162" i="39"/>
  <c r="BS160" i="39"/>
  <c r="BJ160" i="39"/>
  <c r="BP162" i="39"/>
  <c r="BU160" i="39"/>
  <c r="BS162" i="39"/>
  <c r="BU162" i="39"/>
  <c r="BQ160" i="39"/>
  <c r="BI164" i="39"/>
  <c r="BS164" i="39"/>
  <c r="BS159" i="39"/>
  <c r="BR161" i="39"/>
  <c r="BU165" i="39"/>
  <c r="BM163" i="39"/>
  <c r="BQ158" i="39"/>
  <c r="BN158" i="39"/>
  <c r="BM161" i="39"/>
  <c r="BQ159" i="39"/>
  <c r="BM159" i="39"/>
  <c r="BI159" i="39"/>
  <c r="BR159" i="39"/>
  <c r="BS158" i="39"/>
  <c r="BJ159" i="39"/>
  <c r="BI158" i="39"/>
  <c r="BP159" i="39"/>
  <c r="BR163" i="39"/>
  <c r="BH159" i="39"/>
  <c r="BJ158" i="39"/>
  <c r="BO159" i="39"/>
  <c r="BS163" i="39"/>
  <c r="BU159" i="39"/>
  <c r="BN159" i="39"/>
  <c r="BP163" i="39"/>
  <c r="BH158" i="39"/>
  <c r="BR158" i="39"/>
  <c r="BN163" i="39"/>
  <c r="BH163" i="39"/>
  <c r="BP158" i="39"/>
  <c r="BU163" i="39"/>
  <c r="BI163" i="39"/>
  <c r="BU158" i="39"/>
  <c r="BO163" i="39"/>
  <c r="BM158" i="39"/>
  <c r="BQ163" i="39"/>
  <c r="BM165" i="39"/>
  <c r="BH161" i="39"/>
  <c r="BJ161" i="39"/>
  <c r="BU161" i="39"/>
  <c r="BN165" i="39"/>
  <c r="BI161" i="39"/>
  <c r="BQ165" i="39"/>
  <c r="BS161" i="39"/>
  <c r="BI165" i="39"/>
  <c r="BO165" i="39"/>
  <c r="BQ161" i="39"/>
  <c r="BJ165" i="39"/>
  <c r="BS165" i="39"/>
  <c r="BO161" i="39"/>
  <c r="BH165" i="39"/>
  <c r="BR165" i="39"/>
  <c r="BP161" i="39"/>
  <c r="BP165" i="39"/>
  <c r="BN161" i="39"/>
  <c r="NT141" i="39"/>
  <c r="NT144" i="39"/>
  <c r="NT139" i="39"/>
  <c r="NT142" i="39"/>
  <c r="NT145" i="39"/>
  <c r="NT143" i="39"/>
  <c r="NT140" i="39"/>
  <c r="NT146" i="39"/>
  <c r="B170" i="36"/>
  <c r="EH135" i="36"/>
  <c r="E141" i="36"/>
  <c r="LM38" i="39"/>
  <c r="LN38" i="39"/>
  <c r="D141" i="36"/>
  <c r="LL38" i="39"/>
  <c r="F170" i="36"/>
  <c r="F141" i="36"/>
  <c r="D170" i="36"/>
  <c r="E170" i="36"/>
  <c r="ET38" i="39"/>
  <c r="BL225" i="39"/>
  <c r="U35" i="5"/>
  <c r="U33" i="5"/>
  <c r="Y81" i="45" l="1"/>
  <c r="U47" i="8"/>
  <c r="BK222" i="39" s="1"/>
  <c r="GM36" i="39"/>
  <c r="GM68" i="39"/>
  <c r="OQ76" i="39"/>
  <c r="FH119" i="39"/>
  <c r="PD76" i="39" s="1"/>
  <c r="EM94" i="36"/>
  <c r="EH133" i="36"/>
  <c r="BH40" i="36" s="1"/>
  <c r="EK138" i="36"/>
  <c r="DK63" i="36" s="1"/>
  <c r="PO210" i="39"/>
  <c r="PP210" i="39" s="1"/>
  <c r="PO213" i="39"/>
  <c r="PP213" i="39" s="1"/>
  <c r="PO207" i="39"/>
  <c r="PP207" i="39" s="1"/>
  <c r="PO211" i="39"/>
  <c r="PP211" i="39" s="1"/>
  <c r="PO209" i="39"/>
  <c r="PP209" i="39" s="1"/>
  <c r="PO212" i="39"/>
  <c r="PP212" i="39" s="1"/>
  <c r="PO208" i="39"/>
  <c r="PP208" i="39" s="1"/>
  <c r="KP61" i="39"/>
  <c r="KV61" i="39" s="1"/>
  <c r="KP60" i="39"/>
  <c r="KV60" i="39" s="1"/>
  <c r="KP59" i="39"/>
  <c r="KV59" i="39" s="1"/>
  <c r="JH42" i="50"/>
  <c r="KW42" i="50"/>
  <c r="JM42" i="50"/>
  <c r="JG42" i="50"/>
  <c r="KT42" i="50"/>
  <c r="JO42" i="50"/>
  <c r="KQ42" i="50"/>
  <c r="KO42" i="50"/>
  <c r="KS42" i="50"/>
  <c r="JK42" i="50"/>
  <c r="BW163" i="39"/>
  <c r="BW160" i="39"/>
  <c r="BW164" i="39"/>
  <c r="BW158" i="39"/>
  <c r="BW159" i="39"/>
  <c r="BW165" i="39"/>
  <c r="BW161" i="39"/>
  <c r="BW162" i="39"/>
  <c r="LD58" i="39"/>
  <c r="LD61" i="39"/>
  <c r="KY65" i="39"/>
  <c r="KY64" i="39"/>
  <c r="LD60" i="39"/>
  <c r="KY63" i="39"/>
  <c r="LD59" i="39"/>
  <c r="PS221" i="39"/>
  <c r="PS230" i="39" s="1"/>
  <c r="PT219" i="39"/>
  <c r="PT228" i="39" s="1"/>
  <c r="PT223" i="39"/>
  <c r="PT232" i="39" s="1"/>
  <c r="PS222" i="39"/>
  <c r="PS231" i="39" s="1"/>
  <c r="PT220" i="39"/>
  <c r="PT229" i="39" s="1"/>
  <c r="PT216" i="39"/>
  <c r="PT225" i="39" s="1"/>
  <c r="PT221" i="39"/>
  <c r="PT230" i="39" s="1"/>
  <c r="PS215" i="39"/>
  <c r="PS224" i="39" s="1"/>
  <c r="PS219" i="39"/>
  <c r="PS228" i="39" s="1"/>
  <c r="PS218" i="39"/>
  <c r="PS227" i="39" s="1"/>
  <c r="PS223" i="39"/>
  <c r="PS232" i="39" s="1"/>
  <c r="PT217" i="39"/>
  <c r="PT226" i="39" s="1"/>
  <c r="PT222" i="39"/>
  <c r="PT231" i="39" s="1"/>
  <c r="PT218" i="39"/>
  <c r="PT227" i="39" s="1"/>
  <c r="PS216" i="39"/>
  <c r="PS225" i="39" s="1"/>
  <c r="PS220" i="39"/>
  <c r="PS229" i="39" s="1"/>
  <c r="PT215" i="39"/>
  <c r="PT224" i="39" s="1"/>
  <c r="NR226" i="39"/>
  <c r="NR230" i="39"/>
  <c r="NR225" i="39"/>
  <c r="NR229" i="39"/>
  <c r="NR227" i="39"/>
  <c r="NR231" i="39"/>
  <c r="NR224" i="39"/>
  <c r="NR228" i="39"/>
  <c r="LM44" i="39"/>
  <c r="PS208" i="39"/>
  <c r="LS44" i="39"/>
  <c r="LR44" i="39"/>
  <c r="LK44" i="39"/>
  <c r="LN44" i="39"/>
  <c r="LL44" i="39"/>
  <c r="LP44" i="39"/>
  <c r="LO44" i="39"/>
  <c r="LQ44" i="39"/>
  <c r="KP58" i="39"/>
  <c r="RE67" i="39"/>
  <c r="EH149" i="36"/>
  <c r="LR38" i="39"/>
  <c r="EK149" i="36"/>
  <c r="LP38" i="39"/>
  <c r="EI149" i="36"/>
  <c r="LQ38" i="39"/>
  <c r="EJ149" i="36"/>
  <c r="ON79" i="39"/>
  <c r="ON81" i="39"/>
  <c r="ON83" i="39"/>
  <c r="ON77" i="39"/>
  <c r="ON78" i="39"/>
  <c r="ON80" i="39"/>
  <c r="ON82" i="39"/>
  <c r="FH120" i="39"/>
  <c r="PD77" i="39" s="1"/>
  <c r="FH121" i="39"/>
  <c r="PD78" i="39" s="1"/>
  <c r="FH123" i="39"/>
  <c r="PD80" i="39" s="1"/>
  <c r="FH125" i="39"/>
  <c r="PD82" i="39" s="1"/>
  <c r="FH126" i="39"/>
  <c r="PD83" i="39" s="1"/>
  <c r="FH122" i="39"/>
  <c r="PD79" i="39" s="1"/>
  <c r="FH124" i="39"/>
  <c r="PD81" i="39" s="1"/>
  <c r="ON76" i="39"/>
  <c r="PU217" i="39"/>
  <c r="PU207" i="39"/>
  <c r="PX78" i="39"/>
  <c r="PX72" i="39"/>
  <c r="PJ72" i="39" s="1"/>
  <c r="PK72" i="39" s="1"/>
  <c r="HI21" i="39"/>
  <c r="F98" i="36" s="1"/>
  <c r="AJ100" i="36" s="1"/>
  <c r="PX82" i="39"/>
  <c r="PU209" i="39"/>
  <c r="PU216" i="39"/>
  <c r="PU206" i="39"/>
  <c r="PX77" i="39"/>
  <c r="PU210" i="39"/>
  <c r="PX73" i="39"/>
  <c r="PJ73" i="39" s="1"/>
  <c r="PK73" i="39" s="1"/>
  <c r="PU215" i="39"/>
  <c r="PX84" i="39"/>
  <c r="PX76" i="39"/>
  <c r="PX71" i="39"/>
  <c r="PJ71" i="39" s="1"/>
  <c r="PK71" i="39" s="1"/>
  <c r="PX70" i="39"/>
  <c r="PJ70" i="39" s="1"/>
  <c r="PK70" i="39" s="1"/>
  <c r="PU222" i="39"/>
  <c r="PU231" i="39" s="1"/>
  <c r="PU212" i="39"/>
  <c r="PX83" i="39"/>
  <c r="PX75" i="39"/>
  <c r="PU211" i="39"/>
  <c r="PX69" i="39"/>
  <c r="PJ69" i="39" s="1"/>
  <c r="PK69" i="39" s="1"/>
  <c r="PX80" i="39"/>
  <c r="PU221" i="39"/>
  <c r="PU220" i="39"/>
  <c r="PU219" i="39"/>
  <c r="PU218" i="39"/>
  <c r="PU208" i="39"/>
  <c r="PX79" i="39"/>
  <c r="PX67" i="39"/>
  <c r="PJ67" i="39" s="1"/>
  <c r="PK67" i="39" s="1"/>
  <c r="PX74" i="39"/>
  <c r="PJ74" i="39" s="1"/>
  <c r="PK74" i="39" s="1"/>
  <c r="PX81" i="39"/>
  <c r="PX68" i="39"/>
  <c r="PJ68" i="39" s="1"/>
  <c r="PK68" i="39" s="1"/>
  <c r="BI232" i="39"/>
  <c r="NR81" i="39" s="1"/>
  <c r="GP41" i="39"/>
  <c r="GP40" i="39"/>
  <c r="GP42" i="39"/>
  <c r="GP43" i="39"/>
  <c r="GP36" i="39"/>
  <c r="GP39" i="39"/>
  <c r="GP37" i="39"/>
  <c r="GP38" i="39"/>
  <c r="BL28" i="39"/>
  <c r="RA230" i="39"/>
  <c r="EK137" i="36"/>
  <c r="F115" i="36"/>
  <c r="F37" i="36"/>
  <c r="F83" i="36" s="1"/>
  <c r="QW134" i="39" s="1"/>
  <c r="QQ132" i="39" s="1"/>
  <c r="F116" i="36"/>
  <c r="F107" i="36"/>
  <c r="F77" i="36"/>
  <c r="F95" i="36"/>
  <c r="EH137" i="36"/>
  <c r="BO59" i="36" s="1"/>
  <c r="EI137" i="36"/>
  <c r="BZ59" i="36" s="1"/>
  <c r="F104" i="36"/>
  <c r="F106" i="36"/>
  <c r="EH132" i="36"/>
  <c r="F118" i="36"/>
  <c r="EI138" i="36"/>
  <c r="EH138" i="36"/>
  <c r="BB110" i="50"/>
  <c r="CO35" i="50" s="1"/>
  <c r="AZ113" i="50"/>
  <c r="CM38" i="50" s="1"/>
  <c r="BA114" i="50"/>
  <c r="CN39" i="50" s="1"/>
  <c r="BC116" i="50"/>
  <c r="CP41" i="50" s="1"/>
  <c r="BC110" i="50"/>
  <c r="CP35" i="50" s="1"/>
  <c r="BE109" i="50"/>
  <c r="CR34" i="50" s="1"/>
  <c r="BE113" i="50"/>
  <c r="CR38" i="50" s="1"/>
  <c r="BD111" i="50"/>
  <c r="CQ36" i="50" s="1"/>
  <c r="BC114" i="50"/>
  <c r="CP39" i="50" s="1"/>
  <c r="BA112" i="50"/>
  <c r="CN37" i="50" s="1"/>
  <c r="BA116" i="50"/>
  <c r="CN41" i="50" s="1"/>
  <c r="BD115" i="50"/>
  <c r="CQ40" i="50" s="1"/>
  <c r="AY110" i="50"/>
  <c r="CL35" i="50" s="1"/>
  <c r="BC109" i="50"/>
  <c r="CP34" i="50" s="1"/>
  <c r="BB116" i="50"/>
  <c r="CO41" i="50" s="1"/>
  <c r="BB113" i="50"/>
  <c r="CO38" i="50" s="1"/>
  <c r="BD114" i="50"/>
  <c r="CQ39" i="50" s="1"/>
  <c r="BE116" i="50"/>
  <c r="CR41" i="50" s="1"/>
  <c r="BE115" i="50"/>
  <c r="CR40" i="50" s="1"/>
  <c r="BC113" i="50"/>
  <c r="CP38" i="50" s="1"/>
  <c r="BA111" i="50"/>
  <c r="CN36" i="50" s="1"/>
  <c r="BE114" i="50"/>
  <c r="CR39" i="50" s="1"/>
  <c r="BC112" i="50"/>
  <c r="CP37" i="50" s="1"/>
  <c r="BF116" i="50"/>
  <c r="CS41" i="50" s="1"/>
  <c r="BF115" i="50"/>
  <c r="CS40" i="50" s="1"/>
  <c r="BA110" i="50"/>
  <c r="CN35" i="50" s="1"/>
  <c r="AZ109" i="50"/>
  <c r="CM34" i="50" s="1"/>
  <c r="BE112" i="50"/>
  <c r="CR37" i="50" s="1"/>
  <c r="AZ110" i="50"/>
  <c r="CM35" i="50" s="1"/>
  <c r="BD113" i="50"/>
  <c r="CQ38" i="50" s="1"/>
  <c r="BB111" i="50"/>
  <c r="CO36" i="50" s="1"/>
  <c r="BF114" i="50"/>
  <c r="CS39" i="50" s="1"/>
  <c r="BD112" i="50"/>
  <c r="CQ37" i="50" s="1"/>
  <c r="AY116" i="50"/>
  <c r="CL41" i="50" s="1"/>
  <c r="BA115" i="50"/>
  <c r="CN40" i="50" s="1"/>
  <c r="BD110" i="50"/>
  <c r="CQ35" i="50" s="1"/>
  <c r="BA109" i="50"/>
  <c r="CN34" i="50" s="1"/>
  <c r="BB115" i="50"/>
  <c r="CO40" i="50" s="1"/>
  <c r="AZ111" i="50"/>
  <c r="CM36" i="50" s="1"/>
  <c r="BB112" i="50"/>
  <c r="CO37" i="50" s="1"/>
  <c r="AY109" i="50"/>
  <c r="CL34" i="50" s="1"/>
  <c r="BF113" i="50"/>
  <c r="CS38" i="50" s="1"/>
  <c r="BE111" i="50"/>
  <c r="CR36" i="50" s="1"/>
  <c r="AZ114" i="50"/>
  <c r="CM39" i="50" s="1"/>
  <c r="BF112" i="50"/>
  <c r="CS37" i="50" s="1"/>
  <c r="AZ116" i="50"/>
  <c r="CM41" i="50" s="1"/>
  <c r="AY115" i="50"/>
  <c r="CL40" i="50" s="1"/>
  <c r="BE110" i="50"/>
  <c r="CR35" i="50" s="1"/>
  <c r="BB109" i="50"/>
  <c r="CO34" i="50" s="1"/>
  <c r="BC111" i="50"/>
  <c r="CP36" i="50" s="1"/>
  <c r="AY114" i="50"/>
  <c r="CL39" i="50" s="1"/>
  <c r="AY113" i="50"/>
  <c r="CL38" i="50" s="1"/>
  <c r="BD109" i="50"/>
  <c r="CQ34" i="50" s="1"/>
  <c r="BF111" i="50"/>
  <c r="CS36" i="50" s="1"/>
  <c r="AY112" i="50"/>
  <c r="CL37" i="50" s="1"/>
  <c r="AZ115" i="50"/>
  <c r="CM40" i="50" s="1"/>
  <c r="BA113" i="50"/>
  <c r="CN38" i="50" s="1"/>
  <c r="AY111" i="50"/>
  <c r="CL36" i="50" s="1"/>
  <c r="BB114" i="50"/>
  <c r="CO39" i="50" s="1"/>
  <c r="AZ112" i="50"/>
  <c r="CM37" i="50" s="1"/>
  <c r="BD116" i="50"/>
  <c r="CQ41" i="50" s="1"/>
  <c r="BC115" i="50"/>
  <c r="CP40" i="50" s="1"/>
  <c r="BF110" i="50"/>
  <c r="CS35" i="50" s="1"/>
  <c r="BF109" i="50"/>
  <c r="CS34" i="50" s="1"/>
  <c r="BH87" i="50"/>
  <c r="BI87" i="50" s="1"/>
  <c r="BH93" i="50"/>
  <c r="BI93" i="50" s="1"/>
  <c r="BH92" i="50"/>
  <c r="BI92" i="50" s="1"/>
  <c r="BH90" i="50"/>
  <c r="BI90" i="50" s="1"/>
  <c r="BH91" i="50"/>
  <c r="BI91" i="50" s="1"/>
  <c r="BH89" i="50"/>
  <c r="BI89" i="50" s="1"/>
  <c r="BH88" i="50"/>
  <c r="BI88" i="50" s="1"/>
  <c r="BH86" i="50"/>
  <c r="RE68" i="39"/>
  <c r="RE70" i="39"/>
  <c r="RE69" i="39"/>
  <c r="EW125" i="39"/>
  <c r="FF125" i="39" s="1"/>
  <c r="EW119" i="39"/>
  <c r="EW124" i="39"/>
  <c r="FF124" i="39" s="1"/>
  <c r="EW123" i="39"/>
  <c r="FL123" i="39" s="1"/>
  <c r="EW126" i="39"/>
  <c r="FF126" i="39" s="1"/>
  <c r="EW120" i="39"/>
  <c r="FF120" i="39" s="1"/>
  <c r="EW122" i="39"/>
  <c r="FL122" i="39" s="1"/>
  <c r="EW121" i="39"/>
  <c r="FF121" i="39" s="1"/>
  <c r="OW207" i="39"/>
  <c r="OV206" i="39"/>
  <c r="OW206" i="39"/>
  <c r="OV207" i="39"/>
  <c r="OV211" i="39"/>
  <c r="OW213" i="39"/>
  <c r="OW212" i="39"/>
  <c r="OW208" i="39"/>
  <c r="OV208" i="39"/>
  <c r="OW211" i="39"/>
  <c r="OW209" i="39"/>
  <c r="OW210" i="39"/>
  <c r="OV210" i="39"/>
  <c r="OV209" i="39"/>
  <c r="OV213" i="39"/>
  <c r="OV212" i="39"/>
  <c r="LK39" i="39"/>
  <c r="EF105" i="39"/>
  <c r="OG76" i="39" s="1"/>
  <c r="NY76" i="39"/>
  <c r="DZ105" i="39"/>
  <c r="OA76" i="39" s="1"/>
  <c r="OD76" i="39"/>
  <c r="EE105" i="39"/>
  <c r="OF76" i="39" s="1"/>
  <c r="EB105" i="39"/>
  <c r="OC76" i="39" s="1"/>
  <c r="ED105" i="39"/>
  <c r="OE76" i="39" s="1"/>
  <c r="EA105" i="39"/>
  <c r="OB76" i="39" s="1"/>
  <c r="OH76" i="39"/>
  <c r="DY105" i="39"/>
  <c r="NZ76" i="39" s="1"/>
  <c r="BJ227" i="39"/>
  <c r="NS76" i="39" s="1"/>
  <c r="BJ232" i="39"/>
  <c r="NS81" i="39" s="1"/>
  <c r="FJ119" i="39"/>
  <c r="PF76" i="39" s="1"/>
  <c r="FI120" i="39"/>
  <c r="PE77" i="39" s="1"/>
  <c r="FI122" i="39"/>
  <c r="PE79" i="39" s="1"/>
  <c r="FI119" i="39"/>
  <c r="PE76" i="39" s="1"/>
  <c r="FI125" i="39"/>
  <c r="PE82" i="39" s="1"/>
  <c r="FJ123" i="39"/>
  <c r="PF80" i="39" s="1"/>
  <c r="FI123" i="39"/>
  <c r="PE80" i="39" s="1"/>
  <c r="FJ124" i="39"/>
  <c r="PF81" i="39" s="1"/>
  <c r="FJ121" i="39"/>
  <c r="PF78" i="39" s="1"/>
  <c r="FI126" i="39"/>
  <c r="PE83" i="39" s="1"/>
  <c r="FJ126" i="39"/>
  <c r="PF83" i="39" s="1"/>
  <c r="FI124" i="39"/>
  <c r="PE81" i="39" s="1"/>
  <c r="FJ120" i="39"/>
  <c r="PF77" i="39" s="1"/>
  <c r="FI121" i="39"/>
  <c r="PE78" i="39" s="1"/>
  <c r="FJ125" i="39"/>
  <c r="PF82" i="39" s="1"/>
  <c r="FJ122" i="39"/>
  <c r="PF79" i="39" s="1"/>
  <c r="BH230" i="39"/>
  <c r="NQ79" i="39" s="1"/>
  <c r="BI230" i="39"/>
  <c r="NR79" i="39" s="1"/>
  <c r="BI231" i="39"/>
  <c r="NR80" i="39" s="1"/>
  <c r="BJ231" i="39"/>
  <c r="NS80" i="39" s="1"/>
  <c r="BJ233" i="39"/>
  <c r="NS82" i="39" s="1"/>
  <c r="BJ229" i="39"/>
  <c r="NS78" i="39" s="1"/>
  <c r="BH229" i="39"/>
  <c r="NQ78" i="39" s="1"/>
  <c r="BJ234" i="39"/>
  <c r="NS83" i="39" s="1"/>
  <c r="BJ230" i="39"/>
  <c r="NS79" i="39" s="1"/>
  <c r="BJ228" i="39"/>
  <c r="NS77" i="39" s="1"/>
  <c r="BH231" i="39"/>
  <c r="NQ80" i="39" s="1"/>
  <c r="EI112" i="39"/>
  <c r="OK83" i="39" s="1"/>
  <c r="EH112" i="39"/>
  <c r="OI83" i="39" s="1"/>
  <c r="KU101" i="39" s="1"/>
  <c r="EI109" i="39"/>
  <c r="OK80" i="39" s="1"/>
  <c r="EI111" i="39"/>
  <c r="OK82" i="39" s="1"/>
  <c r="EI107" i="39"/>
  <c r="OK78" i="39" s="1"/>
  <c r="EJ110" i="39"/>
  <c r="OL81" i="39" s="1"/>
  <c r="BV164" i="39"/>
  <c r="EJ106" i="39"/>
  <c r="OL77" i="39" s="1"/>
  <c r="BV162" i="39"/>
  <c r="EH109" i="39"/>
  <c r="OI80" i="39" s="1"/>
  <c r="KU98" i="39" s="1"/>
  <c r="EJ108" i="39"/>
  <c r="OL79" i="39" s="1"/>
  <c r="EI110" i="39"/>
  <c r="OK81" i="39" s="1"/>
  <c r="EH108" i="39"/>
  <c r="OI79" i="39" s="1"/>
  <c r="KU97" i="39" s="1"/>
  <c r="EJ109" i="39"/>
  <c r="OL80" i="39" s="1"/>
  <c r="EJ107" i="39"/>
  <c r="OL78" i="39" s="1"/>
  <c r="EH107" i="39"/>
  <c r="OI78" i="39" s="1"/>
  <c r="KU96" i="39" s="1"/>
  <c r="EH111" i="39"/>
  <c r="OI82" i="39" s="1"/>
  <c r="KU100" i="39" s="1"/>
  <c r="EH110" i="39"/>
  <c r="OI81" i="39" s="1"/>
  <c r="KU99" i="39" s="1"/>
  <c r="EJ112" i="39"/>
  <c r="OL83" i="39" s="1"/>
  <c r="EH106" i="39"/>
  <c r="OI77" i="39" s="1"/>
  <c r="KU95" i="39" s="1"/>
  <c r="EI106" i="39"/>
  <c r="OK77" i="39" s="1"/>
  <c r="EJ111" i="39"/>
  <c r="OL82" i="39" s="1"/>
  <c r="BH234" i="39"/>
  <c r="NQ83" i="39" s="1"/>
  <c r="BV160" i="39"/>
  <c r="EI108" i="39"/>
  <c r="OK79" i="39" s="1"/>
  <c r="BH228" i="39"/>
  <c r="NQ77" i="39" s="1"/>
  <c r="FG126" i="39"/>
  <c r="PC83" i="39" s="1"/>
  <c r="FG120" i="39"/>
  <c r="PC77" i="39" s="1"/>
  <c r="FK119" i="39"/>
  <c r="PG76" i="39" s="1"/>
  <c r="FG124" i="39"/>
  <c r="PC81" i="39" s="1"/>
  <c r="FK124" i="39"/>
  <c r="PG81" i="39" s="1"/>
  <c r="FK122" i="39"/>
  <c r="PG79" i="39" s="1"/>
  <c r="FK126" i="39"/>
  <c r="PG83" i="39" s="1"/>
  <c r="FK123" i="39"/>
  <c r="PG80" i="39" s="1"/>
  <c r="FG121" i="39"/>
  <c r="PC78" i="39" s="1"/>
  <c r="FG119" i="39"/>
  <c r="PC76" i="39" s="1"/>
  <c r="FG122" i="39"/>
  <c r="PC79" i="39" s="1"/>
  <c r="FG125" i="39"/>
  <c r="PC82" i="39" s="1"/>
  <c r="FK120" i="39"/>
  <c r="PG77" i="39" s="1"/>
  <c r="FK121" i="39"/>
  <c r="PG78" i="39" s="1"/>
  <c r="FK125" i="39"/>
  <c r="PG82" i="39" s="1"/>
  <c r="FG123" i="39"/>
  <c r="PC80" i="39" s="1"/>
  <c r="BH233" i="39"/>
  <c r="NQ82" i="39" s="1"/>
  <c r="BH232" i="39"/>
  <c r="NQ81" i="39" s="1"/>
  <c r="BV163" i="39"/>
  <c r="BI229" i="39"/>
  <c r="NR78" i="39" s="1"/>
  <c r="BI228" i="39"/>
  <c r="NR77" i="39" s="1"/>
  <c r="BI234" i="39"/>
  <c r="NR83" i="39" s="1"/>
  <c r="BI227" i="39"/>
  <c r="NR76" i="39" s="1"/>
  <c r="BI233" i="39"/>
  <c r="NR82" i="39" s="1"/>
  <c r="BV159" i="39"/>
  <c r="BV158" i="39"/>
  <c r="BH227" i="39"/>
  <c r="NQ76" i="39" s="1"/>
  <c r="BV161" i="39"/>
  <c r="BV165" i="39"/>
  <c r="LN39" i="39"/>
  <c r="LM39" i="39"/>
  <c r="LL39" i="39"/>
  <c r="D172" i="36"/>
  <c r="B172" i="36"/>
  <c r="E172" i="36"/>
  <c r="F172" i="36"/>
  <c r="EN102" i="36"/>
  <c r="EN115" i="36" s="1"/>
  <c r="EN116" i="36" s="1"/>
  <c r="EO106" i="36" s="1"/>
  <c r="DT12" i="39"/>
  <c r="AL20" i="39"/>
  <c r="AL19" i="39"/>
  <c r="AL18" i="39"/>
  <c r="AL17" i="39"/>
  <c r="AJ20" i="39"/>
  <c r="AJ19" i="39"/>
  <c r="AJ17" i="39"/>
  <c r="AJ18" i="39"/>
  <c r="AL28" i="39"/>
  <c r="AL46" i="50" s="1"/>
  <c r="AL27" i="39"/>
  <c r="AL45" i="50" s="1"/>
  <c r="AL26" i="39"/>
  <c r="AL44" i="50" s="1"/>
  <c r="AJ28" i="39"/>
  <c r="AL42" i="50" s="1"/>
  <c r="AJ27" i="39"/>
  <c r="AL41" i="50" s="1"/>
  <c r="AJ26" i="39"/>
  <c r="AL40" i="50" s="1"/>
  <c r="AJ25" i="39"/>
  <c r="AL39" i="50" s="1"/>
  <c r="RJ68" i="39" l="1"/>
  <c r="RJ67" i="39"/>
  <c r="RJ69" i="39"/>
  <c r="RJ70" i="39"/>
  <c r="FF119" i="39"/>
  <c r="PB76" i="39" s="1"/>
  <c r="FL119" i="39"/>
  <c r="PH76" i="39" s="1"/>
  <c r="LB60" i="39"/>
  <c r="LE60" i="39" s="1"/>
  <c r="LG60" i="39" s="1"/>
  <c r="PX89" i="39"/>
  <c r="PX90" i="39"/>
  <c r="PU224" i="39"/>
  <c r="LB61" i="39"/>
  <c r="LF61" i="39" s="1"/>
  <c r="LB59" i="39"/>
  <c r="PX92" i="39"/>
  <c r="PX85" i="39"/>
  <c r="PU227" i="39"/>
  <c r="PX88" i="39"/>
  <c r="PU229" i="39"/>
  <c r="PX91" i="39"/>
  <c r="PU226" i="39"/>
  <c r="PU230" i="39"/>
  <c r="PU228" i="39"/>
  <c r="PX87" i="39"/>
  <c r="PX86" i="39"/>
  <c r="PU225" i="39"/>
  <c r="PS217" i="39"/>
  <c r="PS226" i="39" s="1"/>
  <c r="RF68" i="39"/>
  <c r="PR207" i="39"/>
  <c r="PR209" i="39"/>
  <c r="PR206" i="39"/>
  <c r="PR213" i="39"/>
  <c r="PR211" i="39"/>
  <c r="PR212" i="39"/>
  <c r="PR210" i="39"/>
  <c r="PR208" i="39"/>
  <c r="KV58" i="39"/>
  <c r="LB58" i="39" s="1"/>
  <c r="LC58" i="39" s="1"/>
  <c r="KP64" i="39"/>
  <c r="KP65" i="39"/>
  <c r="KP63" i="39"/>
  <c r="RF69" i="39"/>
  <c r="RF70" i="39"/>
  <c r="RF67" i="39"/>
  <c r="RE76" i="39"/>
  <c r="LP39" i="39"/>
  <c r="RE72" i="39"/>
  <c r="RE74" i="39"/>
  <c r="PR214" i="39"/>
  <c r="LR39" i="39"/>
  <c r="LQ39" i="39"/>
  <c r="RE73" i="39"/>
  <c r="OJ77" i="39"/>
  <c r="OJ79" i="39"/>
  <c r="PJ84" i="39"/>
  <c r="PX93" i="39"/>
  <c r="OJ81" i="39"/>
  <c r="OJ82" i="39"/>
  <c r="OJ80" i="39"/>
  <c r="OJ78" i="39"/>
  <c r="OJ83" i="39"/>
  <c r="PY80" i="39"/>
  <c r="PJ80" i="39"/>
  <c r="PY76" i="39"/>
  <c r="PJ76" i="39"/>
  <c r="PY81" i="39"/>
  <c r="PJ81" i="39"/>
  <c r="PY79" i="39"/>
  <c r="PJ79" i="39"/>
  <c r="PY82" i="39"/>
  <c r="PJ82" i="39"/>
  <c r="GK44" i="39"/>
  <c r="NO214" i="39" s="1"/>
  <c r="PJ75" i="39"/>
  <c r="PK75" i="39" s="1"/>
  <c r="PY83" i="39"/>
  <c r="PJ83" i="39"/>
  <c r="PY78" i="39"/>
  <c r="PJ78" i="39"/>
  <c r="PY77" i="39"/>
  <c r="PJ77" i="39"/>
  <c r="FL126" i="39"/>
  <c r="PH83" i="39" s="1"/>
  <c r="KT101" i="39" s="1"/>
  <c r="FL124" i="39"/>
  <c r="PH81" i="39" s="1"/>
  <c r="FL121" i="39"/>
  <c r="PH78" i="39" s="1"/>
  <c r="FF123" i="39"/>
  <c r="PB80" i="39" s="1"/>
  <c r="FL125" i="39"/>
  <c r="PH82" i="39" s="1"/>
  <c r="KT100" i="39" s="1"/>
  <c r="FL120" i="39"/>
  <c r="PH77" i="39" s="1"/>
  <c r="FF122" i="39"/>
  <c r="PB79" i="39" s="1"/>
  <c r="OM82" i="39"/>
  <c r="PB82" i="39"/>
  <c r="OM78" i="39"/>
  <c r="PB78" i="39"/>
  <c r="OM79" i="39"/>
  <c r="PH79" i="39"/>
  <c r="OM77" i="39"/>
  <c r="OM83" i="39"/>
  <c r="PB83" i="39"/>
  <c r="OM80" i="39"/>
  <c r="PH80" i="39"/>
  <c r="OM81" i="39"/>
  <c r="PB81" i="39"/>
  <c r="OM76" i="39"/>
  <c r="PY73" i="39"/>
  <c r="GK42" i="39"/>
  <c r="NO212" i="39" s="1"/>
  <c r="PY69" i="39"/>
  <c r="GK38" i="39"/>
  <c r="NO208" i="39" s="1"/>
  <c r="PY68" i="39"/>
  <c r="GK37" i="39"/>
  <c r="NO207" i="39" s="1"/>
  <c r="PY67" i="39"/>
  <c r="GK36" i="39"/>
  <c r="NO206" i="39" s="1"/>
  <c r="PY72" i="39"/>
  <c r="GK41" i="39"/>
  <c r="NO211" i="39" s="1"/>
  <c r="PY74" i="39"/>
  <c r="GK43" i="39"/>
  <c r="NO213" i="39" s="1"/>
  <c r="PY71" i="39"/>
  <c r="GK40" i="39"/>
  <c r="NO210" i="39" s="1"/>
  <c r="PY70" i="39"/>
  <c r="GK39" i="39"/>
  <c r="NO209" i="39" s="1"/>
  <c r="AJ95" i="36"/>
  <c r="AJ110" i="36"/>
  <c r="AJ82" i="36"/>
  <c r="QU132" i="39"/>
  <c r="BJ169" i="36" s="1"/>
  <c r="AD66" i="36"/>
  <c r="AJ66" i="36" s="1"/>
  <c r="QO132" i="39"/>
  <c r="QO135" i="39" s="1"/>
  <c r="QW132" i="39"/>
  <c r="F89" i="36"/>
  <c r="HI14" i="39" s="1"/>
  <c r="HN71" i="39" s="1"/>
  <c r="QT132" i="39"/>
  <c r="QT135" i="39" s="1"/>
  <c r="F87" i="36"/>
  <c r="NO433" i="39" s="1"/>
  <c r="QV132" i="39"/>
  <c r="QV135" i="39" s="1"/>
  <c r="QR132" i="39"/>
  <c r="CC137" i="36" s="1"/>
  <c r="QS132" i="39"/>
  <c r="QS135" i="39" s="1"/>
  <c r="QP132" i="39"/>
  <c r="AU137" i="36" s="1"/>
  <c r="F94" i="36"/>
  <c r="HI19" i="39" s="1"/>
  <c r="HI22" i="39" s="1"/>
  <c r="AJ112" i="36"/>
  <c r="AJ78" i="36"/>
  <c r="BH59" i="36"/>
  <c r="D101" i="36"/>
  <c r="F101" i="36" s="1"/>
  <c r="C101" i="36" s="1"/>
  <c r="D103" i="36"/>
  <c r="F103" i="36" s="1"/>
  <c r="C103" i="36" s="1"/>
  <c r="D100" i="36"/>
  <c r="F100" i="36" s="1"/>
  <c r="C100" i="36" s="1"/>
  <c r="D102" i="36"/>
  <c r="F102" i="36" s="1"/>
  <c r="C102" i="36" s="1"/>
  <c r="BI86" i="50"/>
  <c r="BJ137" i="36"/>
  <c r="QQ135" i="39"/>
  <c r="RE78" i="39"/>
  <c r="RE77" i="39"/>
  <c r="RE79" i="39"/>
  <c r="PB77" i="39"/>
  <c r="OX210" i="39"/>
  <c r="OX208" i="39"/>
  <c r="OX207" i="39"/>
  <c r="OX211" i="39"/>
  <c r="OX213" i="39"/>
  <c r="OX209" i="39"/>
  <c r="OX212" i="39"/>
  <c r="OX206" i="39"/>
  <c r="EJ105" i="39"/>
  <c r="OL76" i="39" s="1"/>
  <c r="BL227" i="39"/>
  <c r="NT76" i="39" s="1"/>
  <c r="BL232" i="39"/>
  <c r="NT81" i="39" s="1"/>
  <c r="EK108" i="39"/>
  <c r="EK112" i="39"/>
  <c r="EK107" i="39"/>
  <c r="BL228" i="39"/>
  <c r="NT77" i="39" s="1"/>
  <c r="EK110" i="39"/>
  <c r="EK106" i="39"/>
  <c r="EK111" i="39"/>
  <c r="BL234" i="39"/>
  <c r="NT83" i="39" s="1"/>
  <c r="BL229" i="39"/>
  <c r="NT78" i="39" s="1"/>
  <c r="BL231" i="39"/>
  <c r="NT80" i="39" s="1"/>
  <c r="DW16" i="39"/>
  <c r="DY16" i="39"/>
  <c r="DZ16" i="39"/>
  <c r="DU16" i="39"/>
  <c r="DV16" i="39"/>
  <c r="EK109" i="39"/>
  <c r="DX16" i="39"/>
  <c r="DT16" i="39"/>
  <c r="BL230" i="39"/>
  <c r="NT79" i="39" s="1"/>
  <c r="BL233" i="39"/>
  <c r="NT82" i="39" s="1"/>
  <c r="EO116" i="36"/>
  <c r="EP106" i="36" s="1"/>
  <c r="LJ121" i="39" l="1"/>
  <c r="LN121" i="39" s="1"/>
  <c r="LJ125" i="39"/>
  <c r="LN125" i="39" s="1"/>
  <c r="LJ128" i="39"/>
  <c r="LN128" i="39" s="1"/>
  <c r="LJ126" i="39"/>
  <c r="LN126" i="39" s="1"/>
  <c r="LJ123" i="39"/>
  <c r="LN123" i="39" s="1"/>
  <c r="RJ73" i="39"/>
  <c r="RJ72" i="39"/>
  <c r="RJ76" i="39"/>
  <c r="RJ78" i="39"/>
  <c r="RJ79" i="39"/>
  <c r="RJ77" i="39"/>
  <c r="RJ74" i="39"/>
  <c r="NQ433" i="39"/>
  <c r="NR433" i="39" s="1"/>
  <c r="LF60" i="39"/>
  <c r="LC60" i="39"/>
  <c r="LF59" i="39"/>
  <c r="LC59" i="39"/>
  <c r="LE61" i="39"/>
  <c r="LG61" i="39" s="1"/>
  <c r="LC61" i="39"/>
  <c r="LE59" i="39"/>
  <c r="LG59" i="39" s="1"/>
  <c r="LF58" i="39"/>
  <c r="LE58" i="39"/>
  <c r="LG58" i="39" s="1"/>
  <c r="PI77" i="39"/>
  <c r="KT95" i="39"/>
  <c r="PI79" i="39"/>
  <c r="KT97" i="39"/>
  <c r="PI78" i="39"/>
  <c r="KT96" i="39"/>
  <c r="PI80" i="39"/>
  <c r="KT98" i="39"/>
  <c r="PI81" i="39"/>
  <c r="KT99" i="39"/>
  <c r="PI76" i="39"/>
  <c r="KT94" i="39"/>
  <c r="PR215" i="39"/>
  <c r="PR224" i="39" s="1"/>
  <c r="PR219" i="39"/>
  <c r="PR228" i="39" s="1"/>
  <c r="PR216" i="39"/>
  <c r="PR225" i="39" s="1"/>
  <c r="PR220" i="39"/>
  <c r="PR229" i="39" s="1"/>
  <c r="PR217" i="39"/>
  <c r="PR226" i="39" s="1"/>
  <c r="PR221" i="39"/>
  <c r="PR230" i="39" s="1"/>
  <c r="PR223" i="39"/>
  <c r="PR232" i="39" s="1"/>
  <c r="PR222" i="39"/>
  <c r="PR231" i="39" s="1"/>
  <c r="PR218" i="39"/>
  <c r="PR227" i="39" s="1"/>
  <c r="PY86" i="39"/>
  <c r="PY89" i="39"/>
  <c r="PY91" i="39"/>
  <c r="QI67" i="39"/>
  <c r="QJ67" i="39" s="1"/>
  <c r="PY87" i="39"/>
  <c r="PY88" i="39"/>
  <c r="QI71" i="39"/>
  <c r="QJ71" i="39" s="1"/>
  <c r="PY92" i="39"/>
  <c r="PY90" i="39"/>
  <c r="PY85" i="39"/>
  <c r="RE83" i="39"/>
  <c r="PI82" i="39"/>
  <c r="RF73" i="39"/>
  <c r="RF72" i="39"/>
  <c r="KP87" i="39"/>
  <c r="KP105" i="39"/>
  <c r="KP103" i="39"/>
  <c r="KP85" i="39"/>
  <c r="KP108" i="39"/>
  <c r="KP90" i="39"/>
  <c r="KP107" i="39"/>
  <c r="KP89" i="39"/>
  <c r="KP92" i="39"/>
  <c r="KP110" i="39"/>
  <c r="PI83" i="39"/>
  <c r="RE85" i="39"/>
  <c r="RE81" i="39"/>
  <c r="RF76" i="39"/>
  <c r="RF74" i="39"/>
  <c r="RE82" i="39"/>
  <c r="NO85" i="39"/>
  <c r="PJ91" i="39"/>
  <c r="PK82" i="39"/>
  <c r="PK91" i="39" s="1"/>
  <c r="PJ85" i="39"/>
  <c r="PK76" i="39"/>
  <c r="PK85" i="39" s="1"/>
  <c r="PJ93" i="39"/>
  <c r="PK84" i="39"/>
  <c r="PK93" i="39" s="1"/>
  <c r="PJ86" i="39"/>
  <c r="PK77" i="39"/>
  <c r="PK86" i="39" s="1"/>
  <c r="PJ87" i="39"/>
  <c r="PK78" i="39"/>
  <c r="PK87" i="39" s="1"/>
  <c r="PJ88" i="39"/>
  <c r="PK79" i="39"/>
  <c r="PK88" i="39" s="1"/>
  <c r="PJ92" i="39"/>
  <c r="PK83" i="39"/>
  <c r="PK92" i="39" s="1"/>
  <c r="PJ90" i="39"/>
  <c r="PK81" i="39"/>
  <c r="PK90" i="39" s="1"/>
  <c r="PJ89" i="39"/>
  <c r="PK80" i="39"/>
  <c r="PK89" i="39" s="1"/>
  <c r="RF79" i="39"/>
  <c r="RE88" i="39"/>
  <c r="RF77" i="39"/>
  <c r="RE86" i="39"/>
  <c r="RF78" i="39"/>
  <c r="RE87" i="39"/>
  <c r="GL39" i="39"/>
  <c r="GQ71" i="39" s="1"/>
  <c r="PN70" i="39" s="1"/>
  <c r="NO227" i="39"/>
  <c r="GL36" i="39"/>
  <c r="GK50" i="39" s="1"/>
  <c r="NO220" i="39" s="1"/>
  <c r="NO224" i="39"/>
  <c r="GL40" i="39"/>
  <c r="GP72" i="39" s="1"/>
  <c r="PM71" i="39" s="1"/>
  <c r="NO228" i="39"/>
  <c r="GL37" i="39"/>
  <c r="GQ69" i="39" s="1"/>
  <c r="PN68" i="39" s="1"/>
  <c r="NO225" i="39"/>
  <c r="GL43" i="39"/>
  <c r="GQ75" i="39" s="1"/>
  <c r="PN74" i="39" s="1"/>
  <c r="GL38" i="39"/>
  <c r="GQ70" i="39" s="1"/>
  <c r="PN69" i="39" s="1"/>
  <c r="NO226" i="39"/>
  <c r="GL44" i="39"/>
  <c r="GL41" i="39"/>
  <c r="GO73" i="39" s="1"/>
  <c r="GL42" i="39"/>
  <c r="GP74" i="39" s="1"/>
  <c r="PM73" i="39" s="1"/>
  <c r="QR70" i="39"/>
  <c r="QI70" i="39"/>
  <c r="QJ70" i="39" s="1"/>
  <c r="QO78" i="39"/>
  <c r="QI78" i="39"/>
  <c r="QR79" i="39"/>
  <c r="QI79" i="39"/>
  <c r="QO68" i="39"/>
  <c r="QP68" i="39" s="1"/>
  <c r="QI68" i="39"/>
  <c r="QJ68" i="39" s="1"/>
  <c r="QR83" i="39"/>
  <c r="QI83" i="39"/>
  <c r="QO81" i="39"/>
  <c r="QI81" i="39"/>
  <c r="QR74" i="39"/>
  <c r="QI74" i="39"/>
  <c r="QJ74" i="39" s="1"/>
  <c r="QO69" i="39"/>
  <c r="QP69" i="39" s="1"/>
  <c r="QI69" i="39"/>
  <c r="QJ69" i="39" s="1"/>
  <c r="QO76" i="39"/>
  <c r="QI76" i="39"/>
  <c r="QO72" i="39"/>
  <c r="QP72" i="39" s="1"/>
  <c r="QI72" i="39"/>
  <c r="QJ72" i="39" s="1"/>
  <c r="QO73" i="39"/>
  <c r="QP73" i="39" s="1"/>
  <c r="QI73" i="39"/>
  <c r="QJ73" i="39" s="1"/>
  <c r="QO77" i="39"/>
  <c r="QI77" i="39"/>
  <c r="QO82" i="39"/>
  <c r="QI82" i="39"/>
  <c r="QO80" i="39"/>
  <c r="QI80" i="39"/>
  <c r="QC83" i="39"/>
  <c r="QK83" i="39"/>
  <c r="QM83" i="39"/>
  <c r="QA83" i="39"/>
  <c r="QB83" i="39"/>
  <c r="QO83" i="39"/>
  <c r="QC79" i="39"/>
  <c r="QK79" i="39"/>
  <c r="QO79" i="39"/>
  <c r="QA79" i="39"/>
  <c r="QM79" i="39"/>
  <c r="QB79" i="39"/>
  <c r="QB70" i="39"/>
  <c r="QO67" i="39"/>
  <c r="QP67" i="39" s="1"/>
  <c r="AJ74" i="36"/>
  <c r="QW135" i="39"/>
  <c r="LJ129" i="39" s="1"/>
  <c r="QO71" i="39"/>
  <c r="QP71" i="39" s="1"/>
  <c r="QO74" i="39"/>
  <c r="QP74" i="39" s="1"/>
  <c r="QC74" i="39"/>
  <c r="QM70" i="39"/>
  <c r="QN70" i="39" s="1"/>
  <c r="QA70" i="39"/>
  <c r="QC70" i="39"/>
  <c r="QM74" i="39"/>
  <c r="QN74" i="39" s="1"/>
  <c r="QK70" i="39"/>
  <c r="QL70" i="39" s="1"/>
  <c r="QK74" i="39"/>
  <c r="QL74" i="39" s="1"/>
  <c r="QB74" i="39"/>
  <c r="QO70" i="39"/>
  <c r="QP70" i="39" s="1"/>
  <c r="QA74" i="39"/>
  <c r="AJ137" i="36"/>
  <c r="QU135" i="39"/>
  <c r="HI82" i="39"/>
  <c r="QR135" i="39"/>
  <c r="AJ169" i="36"/>
  <c r="HJ19" i="39"/>
  <c r="HJ22" i="39" s="1"/>
  <c r="HM72" i="39" s="1"/>
  <c r="HK71" i="39"/>
  <c r="QP135" i="39"/>
  <c r="HK74" i="39"/>
  <c r="HK72" i="39"/>
  <c r="HK73" i="39"/>
  <c r="HJ14" i="39"/>
  <c r="QC80" i="39" s="1"/>
  <c r="HN74" i="39"/>
  <c r="HN73" i="39"/>
  <c r="HN72" i="39"/>
  <c r="CC169" i="36"/>
  <c r="AU169" i="36"/>
  <c r="NO87" i="39"/>
  <c r="NO69" i="39"/>
  <c r="ER187" i="39" s="1"/>
  <c r="EV187" i="39" s="1"/>
  <c r="NO74" i="39"/>
  <c r="ER192" i="39" s="1"/>
  <c r="EV192" i="39" s="1"/>
  <c r="NO92" i="39"/>
  <c r="NO72" i="39"/>
  <c r="ER190" i="39" s="1"/>
  <c r="EV190" i="39" s="1"/>
  <c r="NO90" i="39"/>
  <c r="NO89" i="39"/>
  <c r="NO71" i="39"/>
  <c r="ER189" i="39" s="1"/>
  <c r="EV189" i="39" s="1"/>
  <c r="CG38" i="50"/>
  <c r="CG48" i="50"/>
  <c r="CG39" i="50"/>
  <c r="CG49" i="50"/>
  <c r="CG34" i="50"/>
  <c r="CG44" i="50"/>
  <c r="CG41" i="50"/>
  <c r="CG51" i="50"/>
  <c r="CG46" i="50"/>
  <c r="CG36" i="50"/>
  <c r="AU111" i="50"/>
  <c r="AU116" i="50"/>
  <c r="AU113" i="50"/>
  <c r="AU114" i="50"/>
  <c r="AU109" i="50"/>
  <c r="AU88" i="50"/>
  <c r="AU93" i="50"/>
  <c r="AU91" i="50"/>
  <c r="AU86" i="50"/>
  <c r="AU90" i="50"/>
  <c r="DR53" i="39"/>
  <c r="DV53" i="39" s="1"/>
  <c r="DR105" i="39"/>
  <c r="DV105" i="39" s="1"/>
  <c r="BB158" i="39"/>
  <c r="QQ172" i="39"/>
  <c r="NO113" i="39"/>
  <c r="AD133" i="36"/>
  <c r="ER75" i="39"/>
  <c r="EV75" i="39" s="1"/>
  <c r="NO67" i="39"/>
  <c r="ER185" i="39" s="1"/>
  <c r="EV185" i="39" s="1"/>
  <c r="AZ133" i="36"/>
  <c r="ER77" i="39"/>
  <c r="EV77" i="39" s="1"/>
  <c r="NQ113" i="39"/>
  <c r="DR107" i="39"/>
  <c r="DV107" i="39" s="1"/>
  <c r="DR55" i="39"/>
  <c r="DV55" i="39" s="1"/>
  <c r="BB160" i="39"/>
  <c r="DR60" i="39"/>
  <c r="DV60" i="39" s="1"/>
  <c r="DR112" i="39"/>
  <c r="DV112" i="39" s="1"/>
  <c r="ER82" i="39"/>
  <c r="EV82" i="39" s="1"/>
  <c r="BO165" i="36"/>
  <c r="NV113" i="39"/>
  <c r="BB165" i="39"/>
  <c r="DR109" i="39"/>
  <c r="DV109" i="39" s="1"/>
  <c r="AD165" i="36"/>
  <c r="ER79" i="39"/>
  <c r="EV79" i="39" s="1"/>
  <c r="NS113" i="39"/>
  <c r="BB162" i="39"/>
  <c r="DR57" i="39"/>
  <c r="DV57" i="39" s="1"/>
  <c r="ER80" i="39"/>
  <c r="EV80" i="39" s="1"/>
  <c r="NT113" i="39"/>
  <c r="DR58" i="39"/>
  <c r="DV58" i="39" s="1"/>
  <c r="DR110" i="39"/>
  <c r="DV110" i="39" s="1"/>
  <c r="BB163" i="39"/>
  <c r="AO165" i="36"/>
  <c r="FM124" i="39"/>
  <c r="EX42" i="39"/>
  <c r="FM125" i="39"/>
  <c r="FM119" i="39"/>
  <c r="ES42" i="39"/>
  <c r="EY42" i="39"/>
  <c r="ET42" i="39"/>
  <c r="FM120" i="39"/>
  <c r="FM121" i="39"/>
  <c r="EU42" i="39"/>
  <c r="FM126" i="39"/>
  <c r="EZ42" i="39"/>
  <c r="EV42" i="39"/>
  <c r="FM122" i="39"/>
  <c r="EW42" i="39"/>
  <c r="FM123" i="39"/>
  <c r="B4" i="1"/>
  <c r="B8" i="1"/>
  <c r="B7" i="1"/>
  <c r="B5" i="1"/>
  <c r="B6" i="1"/>
  <c r="B3" i="1"/>
  <c r="HI15" i="39"/>
  <c r="B100" i="36"/>
  <c r="HI18" i="39"/>
  <c r="B116" i="36"/>
  <c r="AJ108" i="36" s="1"/>
  <c r="HI16" i="39"/>
  <c r="B101" i="36"/>
  <c r="AJ104" i="36" s="1"/>
  <c r="HI17" i="39"/>
  <c r="B115" i="36"/>
  <c r="AJ106" i="36" s="1"/>
  <c r="B10" i="1"/>
  <c r="B2" i="1"/>
  <c r="B9" i="1"/>
  <c r="B1" i="1"/>
  <c r="HL74" i="39"/>
  <c r="HL72" i="39"/>
  <c r="HL71" i="39"/>
  <c r="HL73" i="39"/>
  <c r="EP116" i="36"/>
  <c r="EQ106" i="36" s="1"/>
  <c r="LJ127" i="39" l="1"/>
  <c r="LN127" i="39" s="1"/>
  <c r="LJ122" i="39"/>
  <c r="LN122" i="39" s="1"/>
  <c r="LJ124" i="39"/>
  <c r="LN124" i="39" s="1"/>
  <c r="RJ85" i="39"/>
  <c r="RJ88" i="39"/>
  <c r="RJ81" i="39"/>
  <c r="RJ83" i="39"/>
  <c r="RJ87" i="39"/>
  <c r="RJ82" i="39"/>
  <c r="RJ86" i="39"/>
  <c r="NN260" i="39"/>
  <c r="NT223" i="39"/>
  <c r="NT214" i="39"/>
  <c r="KP101" i="39"/>
  <c r="KP98" i="39"/>
  <c r="KP99" i="39"/>
  <c r="KP94" i="39"/>
  <c r="KP96" i="39"/>
  <c r="LN129" i="39"/>
  <c r="LJ149" i="39"/>
  <c r="NK229" i="39"/>
  <c r="NK220" i="39"/>
  <c r="NK224" i="39"/>
  <c r="NK215" i="39"/>
  <c r="NK222" i="39"/>
  <c r="NK231" i="39"/>
  <c r="NK232" i="39"/>
  <c r="NK223" i="39"/>
  <c r="NK214" i="39"/>
  <c r="NK228" i="39"/>
  <c r="NK219" i="39"/>
  <c r="NK217" i="39"/>
  <c r="NK226" i="39"/>
  <c r="QC88" i="39"/>
  <c r="QB92" i="39"/>
  <c r="QB88" i="39"/>
  <c r="NO229" i="39"/>
  <c r="QC92" i="39"/>
  <c r="QI90" i="39"/>
  <c r="QA88" i="39"/>
  <c r="RF88" i="39"/>
  <c r="RF87" i="39"/>
  <c r="RF86" i="39"/>
  <c r="RF85" i="39"/>
  <c r="QA92" i="39"/>
  <c r="RE92" i="39"/>
  <c r="RF83" i="39"/>
  <c r="KP86" i="39"/>
  <c r="KP104" i="39"/>
  <c r="KP106" i="39"/>
  <c r="KP88" i="39"/>
  <c r="KP93" i="39"/>
  <c r="KP111" i="39"/>
  <c r="RE90" i="39"/>
  <c r="RE91" i="39"/>
  <c r="KP109" i="39"/>
  <c r="KP91" i="39"/>
  <c r="RF81" i="39"/>
  <c r="RF82" i="39"/>
  <c r="NO86" i="39"/>
  <c r="NO70" i="39"/>
  <c r="NO75" i="39"/>
  <c r="NO84" i="39" s="1"/>
  <c r="DR59" i="39"/>
  <c r="DV59" i="39" s="1"/>
  <c r="GQ68" i="39"/>
  <c r="PN67" i="39" s="1"/>
  <c r="PN76" i="39" s="1"/>
  <c r="QR92" i="39"/>
  <c r="QR88" i="39"/>
  <c r="QJ77" i="39"/>
  <c r="QJ86" i="39" s="1"/>
  <c r="QI86" i="39"/>
  <c r="QN83" i="39"/>
  <c r="QN92" i="39" s="1"/>
  <c r="QM92" i="39"/>
  <c r="QL83" i="39"/>
  <c r="QL92" i="39" s="1"/>
  <c r="QK92" i="39"/>
  <c r="QJ79" i="39"/>
  <c r="QJ88" i="39" s="1"/>
  <c r="QI88" i="39"/>
  <c r="QP79" i="39"/>
  <c r="QP88" i="39" s="1"/>
  <c r="QO88" i="39"/>
  <c r="QL79" i="39"/>
  <c r="QL88" i="39" s="1"/>
  <c r="QK88" i="39"/>
  <c r="QJ80" i="39"/>
  <c r="QJ89" i="39" s="1"/>
  <c r="QI89" i="39"/>
  <c r="QJ78" i="39"/>
  <c r="QJ87" i="39" s="1"/>
  <c r="QI87" i="39"/>
  <c r="QN79" i="39"/>
  <c r="QN88" i="39" s="1"/>
  <c r="QM88" i="39"/>
  <c r="QP80" i="39"/>
  <c r="QP89" i="39" s="1"/>
  <c r="QO89" i="39"/>
  <c r="QP81" i="39"/>
  <c r="QP90" i="39" s="1"/>
  <c r="QO90" i="39"/>
  <c r="QP78" i="39"/>
  <c r="QP87" i="39" s="1"/>
  <c r="QO87" i="39"/>
  <c r="QP77" i="39"/>
  <c r="QP86" i="39" s="1"/>
  <c r="QO86" i="39"/>
  <c r="QP83" i="39"/>
  <c r="QP92" i="39" s="1"/>
  <c r="QO92" i="39"/>
  <c r="QJ82" i="39"/>
  <c r="QJ91" i="39" s="1"/>
  <c r="QI91" i="39"/>
  <c r="QJ76" i="39"/>
  <c r="QJ85" i="39" s="1"/>
  <c r="QI85" i="39"/>
  <c r="QJ83" i="39"/>
  <c r="QJ92" i="39" s="1"/>
  <c r="QI92" i="39"/>
  <c r="QP82" i="39"/>
  <c r="QP91" i="39" s="1"/>
  <c r="QO91" i="39"/>
  <c r="QP76" i="39"/>
  <c r="QP85" i="39" s="1"/>
  <c r="QO85" i="39"/>
  <c r="GM50" i="39"/>
  <c r="GP68" i="39"/>
  <c r="PM67" i="39" s="1"/>
  <c r="PM76" i="39" s="1"/>
  <c r="GO75" i="39"/>
  <c r="GP75" i="39"/>
  <c r="PM74" i="39" s="1"/>
  <c r="PM83" i="39" s="1"/>
  <c r="GQ72" i="39"/>
  <c r="PN71" i="39" s="1"/>
  <c r="PN80" i="39" s="1"/>
  <c r="GP70" i="39"/>
  <c r="PM69" i="39" s="1"/>
  <c r="PQ69" i="39" s="1"/>
  <c r="GO70" i="39"/>
  <c r="PL69" i="39" s="1"/>
  <c r="PL78" i="39" s="1"/>
  <c r="GO68" i="39"/>
  <c r="PL67" i="39" s="1"/>
  <c r="PL76" i="39" s="1"/>
  <c r="GL50" i="39"/>
  <c r="GP69" i="39"/>
  <c r="PM68" i="39" s="1"/>
  <c r="PM77" i="39" s="1"/>
  <c r="GO69" i="39"/>
  <c r="PL68" i="39" s="1"/>
  <c r="GP73" i="39"/>
  <c r="PM72" i="39" s="1"/>
  <c r="PQ72" i="39" s="1"/>
  <c r="GQ73" i="39"/>
  <c r="PN72" i="39" s="1"/>
  <c r="PN81" i="39" s="1"/>
  <c r="GQ74" i="39"/>
  <c r="PN73" i="39" s="1"/>
  <c r="PN82" i="39" s="1"/>
  <c r="GO71" i="39"/>
  <c r="PL70" i="39" s="1"/>
  <c r="PL79" i="39" s="1"/>
  <c r="GO74" i="39"/>
  <c r="PL73" i="39" s="1"/>
  <c r="PL82" i="39" s="1"/>
  <c r="GP71" i="39"/>
  <c r="PM70" i="39" s="1"/>
  <c r="PM79" i="39" s="1"/>
  <c r="GO72" i="39"/>
  <c r="QJ81" i="39"/>
  <c r="QJ90" i="39" s="1"/>
  <c r="QQ74" i="39"/>
  <c r="QQ70" i="39"/>
  <c r="PM82" i="39"/>
  <c r="PQ73" i="39"/>
  <c r="PN79" i="39"/>
  <c r="PR70" i="39"/>
  <c r="PN78" i="39"/>
  <c r="PR69" i="39"/>
  <c r="PQ71" i="39"/>
  <c r="PM80" i="39"/>
  <c r="PN83" i="39"/>
  <c r="PR74" i="39"/>
  <c r="PL72" i="39"/>
  <c r="PL81" i="39" s="1"/>
  <c r="PN77" i="39"/>
  <c r="PR68" i="39"/>
  <c r="GJ36" i="39"/>
  <c r="GJ40" i="39"/>
  <c r="GJ41" i="39"/>
  <c r="GJ43" i="39"/>
  <c r="GJ38" i="39"/>
  <c r="NN27" i="39"/>
  <c r="NR27" i="39" s="1"/>
  <c r="DR61" i="39"/>
  <c r="DV61" i="39" s="1"/>
  <c r="NW113" i="39"/>
  <c r="AU94" i="50"/>
  <c r="CG52" i="50"/>
  <c r="QC82" i="39"/>
  <c r="DR106" i="39"/>
  <c r="DV106" i="39" s="1"/>
  <c r="QC73" i="39"/>
  <c r="QC78" i="39"/>
  <c r="QC69" i="39"/>
  <c r="QC67" i="39"/>
  <c r="NO88" i="39"/>
  <c r="DR108" i="39"/>
  <c r="DV108" i="39" s="1"/>
  <c r="BO133" i="36"/>
  <c r="NP113" i="39"/>
  <c r="ER78" i="39"/>
  <c r="EV78" i="39" s="1"/>
  <c r="AU89" i="50"/>
  <c r="NR113" i="39"/>
  <c r="BB161" i="39"/>
  <c r="BB230" i="39" s="1"/>
  <c r="BG230" i="39" s="1"/>
  <c r="AU112" i="50"/>
  <c r="CG37" i="50"/>
  <c r="DR56" i="39"/>
  <c r="DV56" i="39" s="1"/>
  <c r="CG47" i="50"/>
  <c r="HM73" i="39"/>
  <c r="HM71" i="39"/>
  <c r="HM74" i="39"/>
  <c r="CG40" i="50"/>
  <c r="NO73" i="39"/>
  <c r="ER191" i="39" s="1"/>
  <c r="EV191" i="39" s="1"/>
  <c r="BB164" i="39"/>
  <c r="BF164" i="39" s="1"/>
  <c r="AU115" i="50"/>
  <c r="CG50" i="50"/>
  <c r="NO91" i="39"/>
  <c r="DR111" i="39"/>
  <c r="DV111" i="39" s="1"/>
  <c r="AU92" i="50"/>
  <c r="ER81" i="39"/>
  <c r="EV81" i="39" s="1"/>
  <c r="AZ165" i="36"/>
  <c r="NU113" i="39"/>
  <c r="QQ173" i="39"/>
  <c r="QQ174" i="39"/>
  <c r="AO133" i="36"/>
  <c r="ER76" i="39"/>
  <c r="EV76" i="39" s="1"/>
  <c r="CG45" i="50"/>
  <c r="QQ171" i="39"/>
  <c r="AU87" i="50"/>
  <c r="CG35" i="50"/>
  <c r="BB159" i="39"/>
  <c r="BB228" i="39" s="1"/>
  <c r="BG228" i="39" s="1"/>
  <c r="DR54" i="39"/>
  <c r="DV54" i="39" s="1"/>
  <c r="AU110" i="50"/>
  <c r="NO68" i="39"/>
  <c r="CO25" i="36"/>
  <c r="BO67" i="39"/>
  <c r="CO77" i="36"/>
  <c r="NN147" i="39"/>
  <c r="BB166" i="39"/>
  <c r="BF166" i="39" s="1"/>
  <c r="ER83" i="39"/>
  <c r="EV83" i="39" s="1"/>
  <c r="DR113" i="39"/>
  <c r="DV113" i="39" s="1"/>
  <c r="AU117" i="50"/>
  <c r="LS17" i="39"/>
  <c r="LS35" i="39" s="1"/>
  <c r="CG42" i="50"/>
  <c r="QC77" i="39"/>
  <c r="QC81" i="39"/>
  <c r="QC84" i="39"/>
  <c r="QC68" i="39"/>
  <c r="QC75" i="39"/>
  <c r="QR75" i="39" s="1"/>
  <c r="HO73" i="39"/>
  <c r="HO74" i="39"/>
  <c r="HO71" i="39"/>
  <c r="QC76" i="39"/>
  <c r="HO72" i="39"/>
  <c r="QC72" i="39"/>
  <c r="QC71" i="39"/>
  <c r="QC89" i="39" s="1"/>
  <c r="NO93" i="39"/>
  <c r="BB54" i="39"/>
  <c r="LJ146" i="39" s="1"/>
  <c r="BF163" i="39"/>
  <c r="BB232" i="39"/>
  <c r="BG232" i="39" s="1"/>
  <c r="NO80" i="39"/>
  <c r="NM464" i="39"/>
  <c r="NM473" i="39" s="1"/>
  <c r="BB229" i="39"/>
  <c r="BG229" i="39" s="1"/>
  <c r="BB51" i="39"/>
  <c r="LJ143" i="39" s="1"/>
  <c r="BF160" i="39"/>
  <c r="NO83" i="39"/>
  <c r="NM467" i="39"/>
  <c r="NM476" i="39" s="1"/>
  <c r="BB234" i="39"/>
  <c r="BG234" i="39" s="1"/>
  <c r="BF165" i="39"/>
  <c r="BB56" i="39"/>
  <c r="LJ148" i="39" s="1"/>
  <c r="NM465" i="39"/>
  <c r="NM474" i="39" s="1"/>
  <c r="NO81" i="39"/>
  <c r="NM462" i="39"/>
  <c r="NM471" i="39" s="1"/>
  <c r="NO78" i="39"/>
  <c r="BB227" i="39"/>
  <c r="BG227" i="39" s="1"/>
  <c r="BB49" i="39"/>
  <c r="LJ141" i="39" s="1"/>
  <c r="BF158" i="39"/>
  <c r="BB53" i="39"/>
  <c r="LJ145" i="39" s="1"/>
  <c r="BF162" i="39"/>
  <c r="BB231" i="39"/>
  <c r="BG231" i="39" s="1"/>
  <c r="NM460" i="39"/>
  <c r="NM469" i="39" s="1"/>
  <c r="NO76" i="39"/>
  <c r="QQ176" i="39"/>
  <c r="QR182" i="39"/>
  <c r="QQ186" i="39"/>
  <c r="QQ181" i="39"/>
  <c r="QQ183" i="39"/>
  <c r="AJ102" i="36"/>
  <c r="B118" i="36"/>
  <c r="QQ182" i="39"/>
  <c r="QQ180" i="39"/>
  <c r="QQ185" i="39"/>
  <c r="QQ175" i="39"/>
  <c r="QQ184" i="39"/>
  <c r="QQ177" i="39"/>
  <c r="QR177" i="39"/>
  <c r="QR186" i="39"/>
  <c r="QR176" i="39"/>
  <c r="QR183" i="39"/>
  <c r="QR180" i="39"/>
  <c r="QR175" i="39"/>
  <c r="QR184" i="39"/>
  <c r="QS184" i="39"/>
  <c r="QS186" i="39"/>
  <c r="QS185" i="39"/>
  <c r="QR181" i="39"/>
  <c r="QT184" i="39"/>
  <c r="QT186" i="39"/>
  <c r="QT185" i="39"/>
  <c r="QR185" i="39"/>
  <c r="C5" i="1" a="1"/>
  <c r="C5" i="1" s="1"/>
  <c r="C3" i="1" a="1"/>
  <c r="C3" i="1" s="1"/>
  <c r="C1" i="1" a="1"/>
  <c r="C1" i="1" s="1"/>
  <c r="C8" i="1" a="1"/>
  <c r="C8" i="1" s="1"/>
  <c r="C7" i="1" a="1"/>
  <c r="C7" i="1" s="1"/>
  <c r="C2" i="1" a="1"/>
  <c r="C2" i="1" s="1"/>
  <c r="C6" i="1" a="1"/>
  <c r="C6" i="1" s="1"/>
  <c r="C4" i="1" a="1"/>
  <c r="C4" i="1" s="1"/>
  <c r="C9" i="1" a="1"/>
  <c r="C9" i="1" s="1"/>
  <c r="EQ116" i="36"/>
  <c r="AJ50" i="39"/>
  <c r="AJ51" i="39"/>
  <c r="AJ52" i="39"/>
  <c r="AJ49" i="39"/>
  <c r="NT232" i="39" l="1"/>
  <c r="RJ91" i="39"/>
  <c r="RJ90" i="39"/>
  <c r="RJ92" i="39"/>
  <c r="AC25" i="26"/>
  <c r="NP176" i="39"/>
  <c r="NQ215" i="39" s="1"/>
  <c r="NO176" i="39"/>
  <c r="NS139" i="39" s="1"/>
  <c r="KP102" i="39"/>
  <c r="ER186" i="39"/>
  <c r="EV186" i="39" s="1"/>
  <c r="ER188" i="39"/>
  <c r="EV188" i="39" s="1"/>
  <c r="KP97" i="39"/>
  <c r="KP100" i="39"/>
  <c r="KP95" i="39"/>
  <c r="NK230" i="39"/>
  <c r="NK221" i="39"/>
  <c r="NK218" i="39"/>
  <c r="NK227" i="39"/>
  <c r="NK225" i="39"/>
  <c r="NK216" i="39"/>
  <c r="QC85" i="39"/>
  <c r="QC86" i="39"/>
  <c r="QC87" i="39"/>
  <c r="QC91" i="39"/>
  <c r="QC90" i="39"/>
  <c r="RF92" i="39"/>
  <c r="RF91" i="39"/>
  <c r="RF90" i="39"/>
  <c r="KO62" i="39"/>
  <c r="KO65" i="39"/>
  <c r="KO60" i="39"/>
  <c r="KO58" i="39"/>
  <c r="KQ94" i="39" s="1"/>
  <c r="KO63" i="39"/>
  <c r="GJ93" i="39"/>
  <c r="GJ90" i="39"/>
  <c r="GJ92" i="39"/>
  <c r="GJ95" i="39"/>
  <c r="GJ88" i="39"/>
  <c r="RC67" i="39" s="1"/>
  <c r="RD67" i="39" s="1"/>
  <c r="NM463" i="39"/>
  <c r="NM472" i="39" s="1"/>
  <c r="NO79" i="39"/>
  <c r="GJ39" i="39"/>
  <c r="PR67" i="39"/>
  <c r="PQ67" i="39"/>
  <c r="QQ79" i="39"/>
  <c r="QQ88" i="39" s="1"/>
  <c r="PR80" i="39"/>
  <c r="PN89" i="39"/>
  <c r="PP81" i="39"/>
  <c r="PL90" i="39"/>
  <c r="PR82" i="39"/>
  <c r="PN91" i="39"/>
  <c r="PR81" i="39"/>
  <c r="PN90" i="39"/>
  <c r="PR83" i="39"/>
  <c r="PR92" i="39" s="1"/>
  <c r="PN92" i="39"/>
  <c r="PR78" i="39"/>
  <c r="PR87" i="39" s="1"/>
  <c r="PN87" i="39"/>
  <c r="QQ83" i="39"/>
  <c r="QQ92" i="39" s="1"/>
  <c r="PQ83" i="39"/>
  <c r="PM92" i="39"/>
  <c r="QR84" i="39"/>
  <c r="QC93" i="39"/>
  <c r="PR76" i="39"/>
  <c r="PN85" i="39"/>
  <c r="PR79" i="39"/>
  <c r="PR88" i="39" s="1"/>
  <c r="PN88" i="39"/>
  <c r="PQ77" i="39"/>
  <c r="PM86" i="39"/>
  <c r="PQ76" i="39"/>
  <c r="PM85" i="39"/>
  <c r="PQ79" i="39"/>
  <c r="PM88" i="39"/>
  <c r="PQ82" i="39"/>
  <c r="PQ91" i="39" s="1"/>
  <c r="PM91" i="39"/>
  <c r="PP82" i="39"/>
  <c r="PL91" i="39"/>
  <c r="PP76" i="39"/>
  <c r="PL85" i="39"/>
  <c r="PR77" i="39"/>
  <c r="PR86" i="39" s="1"/>
  <c r="PN86" i="39"/>
  <c r="PQ80" i="39"/>
  <c r="PQ89" i="39" s="1"/>
  <c r="PM89" i="39"/>
  <c r="PP79" i="39"/>
  <c r="PL88" i="39"/>
  <c r="PP78" i="39"/>
  <c r="PL87" i="39"/>
  <c r="GR75" i="39"/>
  <c r="PO74" i="39" s="1"/>
  <c r="PS74" i="39" s="1"/>
  <c r="PL74" i="39"/>
  <c r="PL83" i="39" s="1"/>
  <c r="GR70" i="39"/>
  <c r="PO69" i="39" s="1"/>
  <c r="PS69" i="39" s="1"/>
  <c r="PM78" i="39"/>
  <c r="GR68" i="39"/>
  <c r="PO67" i="39" s="1"/>
  <c r="PS67" i="39" s="1"/>
  <c r="PR73" i="39"/>
  <c r="PQ74" i="39"/>
  <c r="PR71" i="39"/>
  <c r="GN50" i="39"/>
  <c r="AC40" i="26" s="1"/>
  <c r="GR72" i="39"/>
  <c r="PO71" i="39" s="1"/>
  <c r="PS71" i="39" s="1"/>
  <c r="GR73" i="39"/>
  <c r="PO72" i="39" s="1"/>
  <c r="PS72" i="39" s="1"/>
  <c r="PQ68" i="39"/>
  <c r="GR69" i="39"/>
  <c r="PO68" i="39" s="1"/>
  <c r="PS68" i="39" s="1"/>
  <c r="AC23" i="26"/>
  <c r="PL71" i="39"/>
  <c r="PL80" i="39" s="1"/>
  <c r="PM81" i="39"/>
  <c r="GR71" i="39"/>
  <c r="PO70" i="39" s="1"/>
  <c r="PS70" i="39" s="1"/>
  <c r="PR72" i="39"/>
  <c r="GR74" i="39"/>
  <c r="PO73" i="39" s="1"/>
  <c r="PS73" i="39" s="1"/>
  <c r="PQ70" i="39"/>
  <c r="HI74" i="39"/>
  <c r="HI73" i="39"/>
  <c r="HI72" i="39"/>
  <c r="HI71" i="39"/>
  <c r="PL77" i="39"/>
  <c r="PP68" i="39"/>
  <c r="GJ37" i="39"/>
  <c r="GJ42" i="39"/>
  <c r="NN433" i="39"/>
  <c r="BF161" i="39"/>
  <c r="BB52" i="39"/>
  <c r="LJ144" i="39" s="1"/>
  <c r="NM461" i="39"/>
  <c r="NM470" i="39" s="1"/>
  <c r="BB50" i="39"/>
  <c r="LJ142" i="39" s="1"/>
  <c r="BF159" i="39"/>
  <c r="NO82" i="39"/>
  <c r="BB55" i="39"/>
  <c r="LJ147" i="39" s="1"/>
  <c r="NM466" i="39"/>
  <c r="NM475" i="39" s="1"/>
  <c r="BB233" i="39"/>
  <c r="BG233" i="39" s="1"/>
  <c r="NO77" i="39"/>
  <c r="BB57" i="39"/>
  <c r="BB235" i="39"/>
  <c r="BG235" i="39" s="1"/>
  <c r="F74" i="36"/>
  <c r="HI66" i="39" s="1"/>
  <c r="QO236" i="39"/>
  <c r="QO239" i="39" s="1"/>
  <c r="BC36" i="39"/>
  <c r="F62" i="36"/>
  <c r="F65" i="36" s="1"/>
  <c r="NP215" i="39" l="1"/>
  <c r="NP206" i="39"/>
  <c r="NR176" i="39"/>
  <c r="NS215" i="39" s="1"/>
  <c r="LL129" i="39"/>
  <c r="JP85" i="39"/>
  <c r="KW94" i="39"/>
  <c r="KQ85" i="39"/>
  <c r="KQ103" i="39"/>
  <c r="U41" i="27"/>
  <c r="X20" i="27"/>
  <c r="V20" i="27"/>
  <c r="PQ85" i="39"/>
  <c r="X44" i="27"/>
  <c r="X34" i="27"/>
  <c r="X31" i="27"/>
  <c r="X28" i="27"/>
  <c r="X26" i="27"/>
  <c r="U23" i="27"/>
  <c r="ET193" i="39"/>
  <c r="RC76" i="39"/>
  <c r="RD76" i="39" s="1"/>
  <c r="RD85" i="39" s="1"/>
  <c r="V44" i="27"/>
  <c r="KU66" i="39"/>
  <c r="KX66" i="39" s="1"/>
  <c r="LB66" i="39" s="1"/>
  <c r="V34" i="27"/>
  <c r="V31" i="27"/>
  <c r="V28" i="27"/>
  <c r="V26" i="27"/>
  <c r="PR85" i="39"/>
  <c r="RP85" i="39"/>
  <c r="RQ85" i="39" s="1"/>
  <c r="RP67" i="39"/>
  <c r="RQ67" i="39" s="1"/>
  <c r="RP76" i="39"/>
  <c r="RQ76" i="39" s="1"/>
  <c r="PR89" i="39"/>
  <c r="PR90" i="39"/>
  <c r="PQ86" i="39"/>
  <c r="PQ92" i="39"/>
  <c r="PR91" i="39"/>
  <c r="PQ88" i="39"/>
  <c r="KO61" i="39"/>
  <c r="KO59" i="39"/>
  <c r="RP69" i="39" s="1"/>
  <c r="RQ69" i="39" s="1"/>
  <c r="KO64" i="39"/>
  <c r="KO66" i="39"/>
  <c r="AG155" i="36"/>
  <c r="GJ96" i="39"/>
  <c r="GJ91" i="39"/>
  <c r="GJ89" i="39"/>
  <c r="RC68" i="39" s="1"/>
  <c r="RD68" i="39" s="1"/>
  <c r="GJ94" i="39"/>
  <c r="NQ206" i="39"/>
  <c r="NQ224" i="39" s="1"/>
  <c r="ET169" i="39"/>
  <c r="QR93" i="39"/>
  <c r="PO83" i="39"/>
  <c r="PS83" i="39" s="1"/>
  <c r="PS92" i="39" s="1"/>
  <c r="PP77" i="39"/>
  <c r="PP86" i="39" s="1"/>
  <c r="PL86" i="39"/>
  <c r="PQ78" i="39"/>
  <c r="PQ87" i="39" s="1"/>
  <c r="PM87" i="39"/>
  <c r="PP83" i="39"/>
  <c r="PL92" i="39"/>
  <c r="PQ81" i="39"/>
  <c r="PQ90" i="39" s="1"/>
  <c r="PM90" i="39"/>
  <c r="PP80" i="39"/>
  <c r="PL89" i="39"/>
  <c r="PO78" i="39"/>
  <c r="PO81" i="39"/>
  <c r="PO76" i="39"/>
  <c r="PO80" i="39"/>
  <c r="PO77" i="39"/>
  <c r="PO79" i="39"/>
  <c r="PO82" i="39"/>
  <c r="CI42" i="50"/>
  <c r="AW117" i="50"/>
  <c r="AW94" i="50"/>
  <c r="QB75" i="39"/>
  <c r="QB84" i="39"/>
  <c r="CO24" i="36"/>
  <c r="CO78" i="36"/>
  <c r="JP65" i="39"/>
  <c r="QB71" i="39"/>
  <c r="QB76" i="39"/>
  <c r="QB80" i="39"/>
  <c r="QB67" i="39"/>
  <c r="QB68" i="39"/>
  <c r="QB69" i="39"/>
  <c r="QB77" i="39"/>
  <c r="QB78" i="39"/>
  <c r="QB72" i="39"/>
  <c r="QB82" i="39"/>
  <c r="QB73" i="39"/>
  <c r="QB81" i="39"/>
  <c r="QG84" i="39"/>
  <c r="QD76" i="39"/>
  <c r="PZ71" i="39"/>
  <c r="PZ80" i="39"/>
  <c r="QE75" i="39"/>
  <c r="QE68" i="39"/>
  <c r="PZ83" i="39"/>
  <c r="QG74" i="39"/>
  <c r="QE73" i="39"/>
  <c r="QF73" i="39"/>
  <c r="QD74" i="39"/>
  <c r="NM223" i="39"/>
  <c r="QE84" i="39"/>
  <c r="QF77" i="39"/>
  <c r="QE81" i="39"/>
  <c r="QF81" i="39"/>
  <c r="QD72" i="39"/>
  <c r="QF84" i="39"/>
  <c r="QE67" i="39"/>
  <c r="QF76" i="39"/>
  <c r="QF68" i="39"/>
  <c r="QF82" i="39"/>
  <c r="QD67" i="39"/>
  <c r="QG77" i="39"/>
  <c r="QE77" i="39"/>
  <c r="QF80" i="39"/>
  <c r="QG79" i="39"/>
  <c r="QE70" i="39"/>
  <c r="PZ70" i="39"/>
  <c r="QG81" i="39"/>
  <c r="QD73" i="39"/>
  <c r="QG82" i="39"/>
  <c r="QD75" i="39"/>
  <c r="QG78" i="39"/>
  <c r="QD82" i="39"/>
  <c r="QD71" i="39"/>
  <c r="QF72" i="39"/>
  <c r="QE72" i="39"/>
  <c r="QG71" i="39"/>
  <c r="QF71" i="39"/>
  <c r="QF75" i="39"/>
  <c r="QE71" i="39"/>
  <c r="QE83" i="39"/>
  <c r="QD83" i="39"/>
  <c r="QG67" i="39"/>
  <c r="QG72" i="39"/>
  <c r="QD78" i="39"/>
  <c r="QD68" i="39"/>
  <c r="QG68" i="39"/>
  <c r="QF69" i="39"/>
  <c r="QE69" i="39"/>
  <c r="QE76" i="39"/>
  <c r="QD77" i="39"/>
  <c r="QD79" i="39"/>
  <c r="QG75" i="39"/>
  <c r="QD69" i="39"/>
  <c r="QG80" i="39"/>
  <c r="QF79" i="39"/>
  <c r="QG73" i="39"/>
  <c r="QG69" i="39"/>
  <c r="QF74" i="39"/>
  <c r="QF78" i="39"/>
  <c r="PZ84" i="39"/>
  <c r="QE82" i="39"/>
  <c r="QD84" i="39"/>
  <c r="QD93" i="39" s="1"/>
  <c r="PZ75" i="39"/>
  <c r="QF70" i="39"/>
  <c r="QD80" i="39"/>
  <c r="QD89" i="39" s="1"/>
  <c r="QE78" i="39"/>
  <c r="QE79" i="39"/>
  <c r="QG83" i="39"/>
  <c r="QF67" i="39"/>
  <c r="QF83" i="39"/>
  <c r="PZ74" i="39"/>
  <c r="QG76" i="39"/>
  <c r="QD70" i="39"/>
  <c r="QE80" i="39"/>
  <c r="PZ79" i="39"/>
  <c r="QG70" i="39"/>
  <c r="QE74" i="39"/>
  <c r="QD81" i="39"/>
  <c r="QD90" i="39" s="1"/>
  <c r="ET83" i="39"/>
  <c r="DT61" i="39"/>
  <c r="DT113" i="39"/>
  <c r="NP147" i="39"/>
  <c r="NW118" i="39"/>
  <c r="NW119" i="39"/>
  <c r="NW120" i="39"/>
  <c r="NW121" i="39"/>
  <c r="NW122" i="39"/>
  <c r="NW123" i="39"/>
  <c r="NW116" i="39"/>
  <c r="NW117" i="39"/>
  <c r="BC37" i="39"/>
  <c r="BN28" i="39" s="1"/>
  <c r="BD235" i="39"/>
  <c r="GL76" i="39"/>
  <c r="EK86" i="36"/>
  <c r="CJ65" i="36" s="1"/>
  <c r="RC230" i="39"/>
  <c r="BC40" i="39"/>
  <c r="NP27" i="39"/>
  <c r="BD166" i="39"/>
  <c r="ET127" i="39"/>
  <c r="QW230" i="39"/>
  <c r="QX230" i="39"/>
  <c r="QT230" i="39"/>
  <c r="QV230" i="39"/>
  <c r="BH28" i="39"/>
  <c r="BI28" i="39"/>
  <c r="BG28" i="39"/>
  <c r="BE28" i="39"/>
  <c r="EI94" i="36"/>
  <c r="EH94" i="36"/>
  <c r="EL86" i="36"/>
  <c r="EN86" i="36"/>
  <c r="F41" i="36"/>
  <c r="NP224" i="39" l="1"/>
  <c r="EI133" i="36"/>
  <c r="EK133" i="36"/>
  <c r="EJ133" i="36"/>
  <c r="JQ85" i="39"/>
  <c r="LM149" i="39"/>
  <c r="LM129" i="39"/>
  <c r="KQ97" i="39"/>
  <c r="KX97" i="39" s="1"/>
  <c r="KQ106" i="39"/>
  <c r="KQ102" i="39"/>
  <c r="KQ93" i="39"/>
  <c r="KQ104" i="39"/>
  <c r="KQ88" i="39"/>
  <c r="KQ96" i="39"/>
  <c r="KX96" i="39" s="1"/>
  <c r="KQ95" i="39"/>
  <c r="KX95" i="39" s="1"/>
  <c r="KQ105" i="39"/>
  <c r="KQ111" i="39"/>
  <c r="KQ87" i="39"/>
  <c r="KQ86" i="39"/>
  <c r="EU193" i="39"/>
  <c r="RC85" i="39"/>
  <c r="QE93" i="39"/>
  <c r="QE85" i="39"/>
  <c r="QD92" i="39"/>
  <c r="QB89" i="39"/>
  <c r="QE89" i="39"/>
  <c r="QE88" i="39"/>
  <c r="QF91" i="39"/>
  <c r="QG85" i="39"/>
  <c r="QF92" i="39"/>
  <c r="QB90" i="39"/>
  <c r="QG92" i="39"/>
  <c r="QD91" i="39"/>
  <c r="QG87" i="39"/>
  <c r="RP79" i="39"/>
  <c r="RQ79" i="39" s="1"/>
  <c r="RP86" i="39"/>
  <c r="RQ86" i="39" s="1"/>
  <c r="RP77" i="39"/>
  <c r="RQ77" i="39" s="1"/>
  <c r="RP70" i="39"/>
  <c r="RQ70" i="39" s="1"/>
  <c r="RP78" i="39"/>
  <c r="RQ78" i="39" s="1"/>
  <c r="RP88" i="39"/>
  <c r="RQ88" i="39" s="1"/>
  <c r="RP68" i="39"/>
  <c r="RQ68" i="39" s="1"/>
  <c r="RP87" i="39"/>
  <c r="RQ87" i="39" s="1"/>
  <c r="KY66" i="39"/>
  <c r="LD66" i="39" s="1"/>
  <c r="QB91" i="39"/>
  <c r="QE87" i="39"/>
  <c r="QF88" i="39"/>
  <c r="QD85" i="39"/>
  <c r="QG89" i="39"/>
  <c r="QE86" i="39"/>
  <c r="QG93" i="39"/>
  <c r="QB93" i="39"/>
  <c r="QF89" i="39"/>
  <c r="QF93" i="39"/>
  <c r="QE91" i="39"/>
  <c r="QG91" i="39"/>
  <c r="QG86" i="39"/>
  <c r="QF90" i="39"/>
  <c r="QD87" i="39"/>
  <c r="QE90" i="39"/>
  <c r="QF87" i="39"/>
  <c r="QD88" i="39"/>
  <c r="QG90" i="39"/>
  <c r="QF86" i="39"/>
  <c r="QB85" i="39"/>
  <c r="QD86" i="39"/>
  <c r="QF85" i="39"/>
  <c r="QB87" i="39"/>
  <c r="QE92" i="39"/>
  <c r="QG88" i="39"/>
  <c r="QB86" i="39"/>
  <c r="PZ93" i="39"/>
  <c r="PZ88" i="39"/>
  <c r="PZ92" i="39"/>
  <c r="PZ89" i="39"/>
  <c r="RC81" i="39"/>
  <c r="RC84" i="39"/>
  <c r="RD84" i="39" s="1"/>
  <c r="BH155" i="36"/>
  <c r="RC70" i="39"/>
  <c r="RD70" i="39" s="1"/>
  <c r="RC72" i="39"/>
  <c r="RD72" i="39" s="1"/>
  <c r="NN252" i="39"/>
  <c r="RC71" i="39"/>
  <c r="RD71" i="39" s="1"/>
  <c r="RC82" i="39"/>
  <c r="RD82" i="39" s="1"/>
  <c r="RC78" i="39"/>
  <c r="RC77" i="39"/>
  <c r="RC86" i="39" s="1"/>
  <c r="RC73" i="39"/>
  <c r="RD73" i="39" s="1"/>
  <c r="RC75" i="39"/>
  <c r="RD75" i="39" s="1"/>
  <c r="RC69" i="39"/>
  <c r="RD69" i="39" s="1"/>
  <c r="RC80" i="39"/>
  <c r="RC79" i="39"/>
  <c r="RD79" i="39" s="1"/>
  <c r="BY155" i="36"/>
  <c r="RC74" i="39"/>
  <c r="RD74" i="39" s="1"/>
  <c r="RC83" i="39"/>
  <c r="RD83" i="39" s="1"/>
  <c r="AS155" i="36"/>
  <c r="PO92" i="39"/>
  <c r="NS206" i="39"/>
  <c r="NR139" i="39"/>
  <c r="EU169" i="39"/>
  <c r="PS81" i="39"/>
  <c r="PS90" i="39" s="1"/>
  <c r="PO90" i="39"/>
  <c r="PS78" i="39"/>
  <c r="PS87" i="39" s="1"/>
  <c r="PO87" i="39"/>
  <c r="PS82" i="39"/>
  <c r="PS91" i="39" s="1"/>
  <c r="PO91" i="39"/>
  <c r="PS79" i="39"/>
  <c r="PS88" i="39" s="1"/>
  <c r="PO88" i="39"/>
  <c r="PS77" i="39"/>
  <c r="PS86" i="39" s="1"/>
  <c r="PO86" i="39"/>
  <c r="PS80" i="39"/>
  <c r="PS89" i="39" s="1"/>
  <c r="PO89" i="39"/>
  <c r="PS76" i="39"/>
  <c r="PS85" i="39" s="1"/>
  <c r="PO85" i="39"/>
  <c r="ON223" i="39"/>
  <c r="CH52" i="50"/>
  <c r="CJ42" i="50"/>
  <c r="CJ52" i="50" s="1"/>
  <c r="AX94" i="50"/>
  <c r="BJ94" i="50" s="1"/>
  <c r="AX117" i="50"/>
  <c r="OS223" i="39"/>
  <c r="OR223" i="39"/>
  <c r="OP223" i="39"/>
  <c r="OT223" i="39"/>
  <c r="OO223" i="39"/>
  <c r="OM223" i="39"/>
  <c r="EU83" i="39"/>
  <c r="BE235" i="39"/>
  <c r="EJ138" i="36"/>
  <c r="CU63" i="36" s="1"/>
  <c r="JQ65" i="39"/>
  <c r="NP468" i="39"/>
  <c r="NO468" i="39"/>
  <c r="OF223" i="39"/>
  <c r="NX223" i="39"/>
  <c r="NW223" i="39"/>
  <c r="NV223" i="39"/>
  <c r="NP477" i="39"/>
  <c r="OK223" i="39"/>
  <c r="QH71" i="39"/>
  <c r="OA223" i="39"/>
  <c r="OD223" i="39"/>
  <c r="OE223" i="39"/>
  <c r="OG223" i="39"/>
  <c r="OB223" i="39"/>
  <c r="OC223" i="39"/>
  <c r="OL223" i="39"/>
  <c r="NZ223" i="39"/>
  <c r="QH83" i="39"/>
  <c r="QH79" i="39"/>
  <c r="NN223" i="39"/>
  <c r="QH80" i="39"/>
  <c r="QH70" i="39"/>
  <c r="QH74" i="39"/>
  <c r="NM214" i="39"/>
  <c r="NM232" i="39" s="1"/>
  <c r="DU61" i="39"/>
  <c r="BE166" i="39"/>
  <c r="DU113" i="39"/>
  <c r="EJ132" i="36"/>
  <c r="CW41" i="36" s="1"/>
  <c r="EI132" i="36"/>
  <c r="CR65" i="36"/>
  <c r="CJ37" i="36"/>
  <c r="EK132" i="36"/>
  <c r="DF41" i="36" s="1"/>
  <c r="CR37" i="36"/>
  <c r="EJ137" i="36"/>
  <c r="CW59" i="36" s="1"/>
  <c r="EU127" i="39"/>
  <c r="NN214" i="39"/>
  <c r="NY214" i="39" s="1"/>
  <c r="NQ147" i="39"/>
  <c r="NQ27" i="39"/>
  <c r="DF59" i="36"/>
  <c r="QZ230" i="39"/>
  <c r="RB230" i="39"/>
  <c r="QY230" i="39"/>
  <c r="BK28" i="39"/>
  <c r="BM28" i="39"/>
  <c r="BJ28" i="39"/>
  <c r="EK94" i="36"/>
  <c r="EJ94" i="36"/>
  <c r="EN94" i="36"/>
  <c r="FD83" i="39" l="1"/>
  <c r="FE83" i="39"/>
  <c r="PH214" i="39"/>
  <c r="PI214" i="39"/>
  <c r="GQ44" i="39"/>
  <c r="GK51" i="39" s="1"/>
  <c r="JN85" i="39"/>
  <c r="CM26" i="22"/>
  <c r="KW96" i="39"/>
  <c r="KW97" i="39"/>
  <c r="KW95" i="39"/>
  <c r="LO129" i="39"/>
  <c r="LP129" i="39"/>
  <c r="RJ75" i="39" s="1"/>
  <c r="NO382" i="39"/>
  <c r="BL166" i="39"/>
  <c r="NN232" i="39"/>
  <c r="PF214" i="39"/>
  <c r="PB214" i="39"/>
  <c r="PG214" i="39"/>
  <c r="PD214" i="39"/>
  <c r="OY214" i="39"/>
  <c r="PE214" i="39"/>
  <c r="PA214" i="39"/>
  <c r="OZ214" i="39"/>
  <c r="PC214" i="39"/>
  <c r="RD88" i="39"/>
  <c r="RD92" i="39"/>
  <c r="RC87" i="39"/>
  <c r="AV136" i="50"/>
  <c r="Y34" i="52" s="1"/>
  <c r="AZ136" i="50"/>
  <c r="RD93" i="39"/>
  <c r="RC89" i="39"/>
  <c r="RD91" i="39"/>
  <c r="RC90" i="39"/>
  <c r="QH89" i="39"/>
  <c r="RD81" i="39"/>
  <c r="RD90" i="39" s="1"/>
  <c r="RC93" i="39"/>
  <c r="NS224" i="39"/>
  <c r="QH88" i="39"/>
  <c r="QH92" i="39"/>
  <c r="RD78" i="39"/>
  <c r="RD87" i="39" s="1"/>
  <c r="RD80" i="39"/>
  <c r="RD89" i="39" s="1"/>
  <c r="RC91" i="39"/>
  <c r="RD77" i="39"/>
  <c r="RD86" i="39" s="1"/>
  <c r="RC88" i="39"/>
  <c r="RC92" i="39"/>
  <c r="FF83" i="39"/>
  <c r="FN127" i="39" s="1"/>
  <c r="FG83" i="39"/>
  <c r="FO127" i="39" s="1"/>
  <c r="OW84" i="39" s="1"/>
  <c r="BD137" i="50"/>
  <c r="BG94" i="50"/>
  <c r="BG98" i="50" s="1"/>
  <c r="BA136" i="50"/>
  <c r="BD136" i="50"/>
  <c r="BC136" i="50"/>
  <c r="BB136" i="50"/>
  <c r="AY136" i="50"/>
  <c r="AW136" i="50"/>
  <c r="AX136" i="50"/>
  <c r="BB94" i="50"/>
  <c r="Z42" i="52"/>
  <c r="BA94" i="50"/>
  <c r="BF94" i="50"/>
  <c r="AY94" i="50"/>
  <c r="AZ94" i="50"/>
  <c r="BE94" i="50"/>
  <c r="CD46" i="52"/>
  <c r="BN42" i="52"/>
  <c r="CD42" i="52"/>
  <c r="BC94" i="50"/>
  <c r="BD94" i="50"/>
  <c r="NR214" i="39"/>
  <c r="ON214" i="39"/>
  <c r="ON232" i="39" s="1"/>
  <c r="OI223" i="39"/>
  <c r="JN65" i="39"/>
  <c r="NV214" i="39"/>
  <c r="NV232" i="39" s="1"/>
  <c r="NX214" i="39"/>
  <c r="NX232" i="39" s="1"/>
  <c r="NW214" i="39"/>
  <c r="NW232" i="39" s="1"/>
  <c r="NS382" i="39"/>
  <c r="NR382" i="39"/>
  <c r="NQ382" i="39"/>
  <c r="NP382" i="39"/>
  <c r="NT382" i="39"/>
  <c r="NO54" i="39"/>
  <c r="NV382" i="39"/>
  <c r="NU382" i="39"/>
  <c r="NW382" i="39"/>
  <c r="OV223" i="39"/>
  <c r="OT214" i="39"/>
  <c r="OT232" i="39" s="1"/>
  <c r="OS214" i="39"/>
  <c r="OS232" i="39" s="1"/>
  <c r="OR214" i="39"/>
  <c r="OR232" i="39" s="1"/>
  <c r="OP214" i="39"/>
  <c r="OP232" i="39" s="1"/>
  <c r="OO214" i="39"/>
  <c r="OO232" i="39" s="1"/>
  <c r="NW270" i="39"/>
  <c r="IS109" i="39" s="1"/>
  <c r="PN214" i="39"/>
  <c r="PJ214" i="39"/>
  <c r="OM214" i="39"/>
  <c r="OM232" i="39" s="1"/>
  <c r="PM214" i="39"/>
  <c r="OL214" i="39"/>
  <c r="OL232" i="39" s="1"/>
  <c r="PL214" i="39"/>
  <c r="OK214" i="39"/>
  <c r="OK232" i="39" s="1"/>
  <c r="PK214" i="39"/>
  <c r="NR223" i="39"/>
  <c r="OF214" i="39"/>
  <c r="OF232" i="39" s="1"/>
  <c r="OE214" i="39"/>
  <c r="OE232" i="39" s="1"/>
  <c r="OD214" i="39"/>
  <c r="OD232" i="39" s="1"/>
  <c r="OC214" i="39"/>
  <c r="OC232" i="39" s="1"/>
  <c r="OG214" i="39"/>
  <c r="OG232" i="39" s="1"/>
  <c r="OB214" i="39"/>
  <c r="OB232" i="39" s="1"/>
  <c r="NZ214" i="39"/>
  <c r="NZ232" i="39" s="1"/>
  <c r="OA214" i="39"/>
  <c r="OA232" i="39" s="1"/>
  <c r="OI214" i="39"/>
  <c r="EY83" i="39"/>
  <c r="FA83" i="39"/>
  <c r="FC83" i="39"/>
  <c r="EZ83" i="39"/>
  <c r="FB83" i="39"/>
  <c r="EX83" i="39"/>
  <c r="EW83" i="39"/>
  <c r="BD125" i="39"/>
  <c r="BC125" i="39"/>
  <c r="BF125" i="39"/>
  <c r="BE125" i="39"/>
  <c r="BH125" i="39"/>
  <c r="BK125" i="39"/>
  <c r="BG125" i="39"/>
  <c r="BI125" i="39"/>
  <c r="BJ125" i="39"/>
  <c r="NW36" i="39"/>
  <c r="BK182" i="39"/>
  <c r="BG166" i="39"/>
  <c r="BC144" i="39"/>
  <c r="ED61" i="39"/>
  <c r="DZ61" i="39"/>
  <c r="EE61" i="39"/>
  <c r="DX61" i="39"/>
  <c r="EF61" i="39"/>
  <c r="DY61" i="39"/>
  <c r="EA61" i="39"/>
  <c r="DW61" i="39"/>
  <c r="DW113" i="39" s="1"/>
  <c r="NX84" i="39" s="1"/>
  <c r="EB61" i="39"/>
  <c r="BP166" i="39"/>
  <c r="BR166" i="39"/>
  <c r="BJ129" i="39"/>
  <c r="BU166" i="39"/>
  <c r="BI166" i="39"/>
  <c r="BI168" i="39" s="1"/>
  <c r="BS166" i="39"/>
  <c r="BO166" i="39"/>
  <c r="BN166" i="39"/>
  <c r="BJ166" i="39"/>
  <c r="BJ168" i="39" s="1"/>
  <c r="BH166" i="39"/>
  <c r="BH168" i="39" s="1"/>
  <c r="BJ128" i="39"/>
  <c r="BM166" i="39"/>
  <c r="BQ166" i="39"/>
  <c r="NT147" i="39"/>
  <c r="BJ145" i="39"/>
  <c r="BJ144" i="39"/>
  <c r="BH144" i="39"/>
  <c r="BJ146" i="39"/>
  <c r="BI144" i="39"/>
  <c r="BF144" i="39"/>
  <c r="BK144" i="39"/>
  <c r="BG144" i="39"/>
  <c r="BE144" i="39"/>
  <c r="NS27" i="39"/>
  <c r="BD144" i="39"/>
  <c r="DK40" i="36"/>
  <c r="DI41" i="36"/>
  <c r="CU40" i="36"/>
  <c r="CU41" i="36"/>
  <c r="CI40" i="36"/>
  <c r="D138" i="36"/>
  <c r="CD59" i="36"/>
  <c r="CU59" i="36"/>
  <c r="DI59" i="36"/>
  <c r="QO233" i="39"/>
  <c r="QO240" i="39" s="1"/>
  <c r="NO221" i="39" l="1"/>
  <c r="NO230" i="39" s="1"/>
  <c r="FE86" i="39"/>
  <c r="FE87" i="39"/>
  <c r="OW75" i="39"/>
  <c r="PO214" i="39"/>
  <c r="PP214" i="39" s="1"/>
  <c r="GL51" i="39"/>
  <c r="GK55" i="39"/>
  <c r="GL55" i="39" s="1"/>
  <c r="NO181" i="39" s="1"/>
  <c r="GM44" i="39"/>
  <c r="IS112" i="39"/>
  <c r="OD11" i="67" s="1"/>
  <c r="IS185" i="39"/>
  <c r="OD275" i="67" s="1"/>
  <c r="IS140" i="39"/>
  <c r="OD110" i="67" s="1"/>
  <c r="IS176" i="39"/>
  <c r="OD242" i="67" s="1"/>
  <c r="IS167" i="39"/>
  <c r="OD209" i="67" s="1"/>
  <c r="IS149" i="39"/>
  <c r="OD143" i="67" s="1"/>
  <c r="IS131" i="39"/>
  <c r="OD77" i="67" s="1"/>
  <c r="IS158" i="39"/>
  <c r="OD176" i="67" s="1"/>
  <c r="IS122" i="39"/>
  <c r="OD44" i="67" s="1"/>
  <c r="GK54" i="39"/>
  <c r="GN44" i="39"/>
  <c r="GM76" i="39"/>
  <c r="GO76" i="39" s="1"/>
  <c r="PL75" i="39" s="1"/>
  <c r="PP75" i="39" s="1"/>
  <c r="GK58" i="39"/>
  <c r="GK53" i="39"/>
  <c r="GK56" i="39"/>
  <c r="GK52" i="39"/>
  <c r="GK57" i="39"/>
  <c r="GL57" i="39" s="1"/>
  <c r="NO183" i="39" s="1"/>
  <c r="GM51" i="39"/>
  <c r="RJ84" i="39"/>
  <c r="RJ93" i="39"/>
  <c r="BH117" i="50"/>
  <c r="DR42" i="50" s="1"/>
  <c r="DR52" i="50" s="1"/>
  <c r="EJ42" i="50"/>
  <c r="FT42" i="50"/>
  <c r="BG117" i="50"/>
  <c r="DP42" i="50" s="1"/>
  <c r="DP52" i="50" s="1"/>
  <c r="FR42" i="50"/>
  <c r="EH42" i="50"/>
  <c r="BK117" i="50"/>
  <c r="DX42" i="50" s="1"/>
  <c r="DX52" i="50" s="1"/>
  <c r="FZ42" i="50"/>
  <c r="EP42" i="50"/>
  <c r="BI117" i="50"/>
  <c r="DB42" i="50" s="1"/>
  <c r="DB52" i="50" s="1"/>
  <c r="EL42" i="50"/>
  <c r="FV42" i="50"/>
  <c r="BJ117" i="50"/>
  <c r="DD42" i="50" s="1"/>
  <c r="DD52" i="50" s="1"/>
  <c r="EN42" i="50"/>
  <c r="FX42" i="50"/>
  <c r="BL117" i="50"/>
  <c r="IT42" i="50" s="1"/>
  <c r="GB42" i="50"/>
  <c r="ER42" i="50"/>
  <c r="BM117" i="50"/>
  <c r="IY42" i="50" s="1"/>
  <c r="ET42" i="50"/>
  <c r="GD42" i="50"/>
  <c r="BN117" i="50"/>
  <c r="JD42" i="50" s="1"/>
  <c r="GF42" i="50"/>
  <c r="EV42" i="50"/>
  <c r="BW166" i="39"/>
  <c r="BL235" i="39" s="1"/>
  <c r="BL169" i="39"/>
  <c r="BL168" i="39"/>
  <c r="BJ235" i="39"/>
  <c r="NS84" i="39" s="1"/>
  <c r="BI235" i="39"/>
  <c r="BH235" i="39"/>
  <c r="NR232" i="39"/>
  <c r="OI232" i="39"/>
  <c r="BK166" i="39"/>
  <c r="CK105" i="41"/>
  <c r="CK101" i="41"/>
  <c r="NW315" i="39"/>
  <c r="NX75" i="39"/>
  <c r="NX93" i="39" s="1"/>
  <c r="CI26" i="54"/>
  <c r="AP42" i="52"/>
  <c r="BF42" i="52"/>
  <c r="FN132" i="39"/>
  <c r="FO131" i="39"/>
  <c r="FO132" i="39"/>
  <c r="FN131" i="39"/>
  <c r="ON84" i="39"/>
  <c r="FF87" i="39"/>
  <c r="FF86" i="39"/>
  <c r="FG86" i="39"/>
  <c r="FG87" i="39"/>
  <c r="AX42" i="52"/>
  <c r="BV42" i="52"/>
  <c r="CL42" i="52"/>
  <c r="AV152" i="50"/>
  <c r="AH42" i="52"/>
  <c r="BG97" i="50"/>
  <c r="S42" i="52" s="1"/>
  <c r="BE34" i="52"/>
  <c r="AW34" i="52"/>
  <c r="BU34" i="52"/>
  <c r="AO34" i="52"/>
  <c r="AG34" i="52"/>
  <c r="BM34" i="52"/>
  <c r="CC34" i="52"/>
  <c r="CK34" i="52"/>
  <c r="BC97" i="50"/>
  <c r="BC98" i="50"/>
  <c r="AZ97" i="50"/>
  <c r="AZ98" i="50"/>
  <c r="AY97" i="50"/>
  <c r="AY98" i="50"/>
  <c r="BF97" i="50"/>
  <c r="BF98" i="50"/>
  <c r="BB97" i="50"/>
  <c r="BB98" i="50"/>
  <c r="BE97" i="50"/>
  <c r="BE98" i="50"/>
  <c r="BD97" i="50"/>
  <c r="BD98" i="50"/>
  <c r="BA97" i="50"/>
  <c r="BA98" i="50"/>
  <c r="AZ117" i="50"/>
  <c r="CM42" i="50" s="1"/>
  <c r="AY117" i="50"/>
  <c r="CL42" i="50" s="1"/>
  <c r="BF117" i="50"/>
  <c r="CS42" i="50" s="1"/>
  <c r="BE117" i="50"/>
  <c r="CR42" i="50" s="1"/>
  <c r="BD117" i="50"/>
  <c r="CQ42" i="50" s="1"/>
  <c r="BA117" i="50"/>
  <c r="CN42" i="50" s="1"/>
  <c r="BC117" i="50"/>
  <c r="CP42" i="50" s="1"/>
  <c r="BB117" i="50"/>
  <c r="CO42" i="50" s="1"/>
  <c r="CJ152" i="22"/>
  <c r="BH94" i="50"/>
  <c r="FE127" i="39"/>
  <c r="PA84" i="39" s="1"/>
  <c r="PA75" i="39" s="1"/>
  <c r="FC86" i="39"/>
  <c r="FC127" i="39"/>
  <c r="OY84" i="39" s="1"/>
  <c r="OY75" i="39" s="1"/>
  <c r="FA87" i="39"/>
  <c r="FA127" i="39"/>
  <c r="OT84" i="39" s="1"/>
  <c r="EW87" i="39"/>
  <c r="EW127" i="39"/>
  <c r="FF127" i="39" s="1"/>
  <c r="EY87" i="39"/>
  <c r="EY127" i="39"/>
  <c r="OP84" i="39" s="1"/>
  <c r="OP75" i="39" s="1"/>
  <c r="EX87" i="39"/>
  <c r="EX127" i="39"/>
  <c r="OO84" i="39" s="1"/>
  <c r="OO75" i="39" s="1"/>
  <c r="FD86" i="39"/>
  <c r="FD127" i="39"/>
  <c r="OZ84" i="39" s="1"/>
  <c r="OZ75" i="39" s="1"/>
  <c r="EZ87" i="39"/>
  <c r="EZ127" i="39"/>
  <c r="OQ84" i="39" s="1"/>
  <c r="OQ75" i="39" s="1"/>
  <c r="FB86" i="39"/>
  <c r="FB127" i="39"/>
  <c r="OX84" i="39" s="1"/>
  <c r="OX75" i="39" s="1"/>
  <c r="NW308" i="39"/>
  <c r="CM33" i="41" s="1"/>
  <c r="NW265" i="39"/>
  <c r="CL18" i="26"/>
  <c r="CJ14" i="22"/>
  <c r="BR107" i="39"/>
  <c r="BS107" i="39" s="1"/>
  <c r="W26" i="28"/>
  <c r="OV214" i="39"/>
  <c r="OW214" i="39"/>
  <c r="EW86" i="39"/>
  <c r="FA86" i="39"/>
  <c r="EX86" i="39"/>
  <c r="EZ86" i="39"/>
  <c r="EY86" i="39"/>
  <c r="FB87" i="39"/>
  <c r="FD87" i="39"/>
  <c r="FC87" i="39"/>
  <c r="CZ18" i="27"/>
  <c r="CT18" i="42"/>
  <c r="CR20" i="43"/>
  <c r="QH84" i="39"/>
  <c r="QH75" i="39"/>
  <c r="EF113" i="39"/>
  <c r="EF116" i="39" s="1"/>
  <c r="EF64" i="39"/>
  <c r="EF65" i="39"/>
  <c r="BS26" i="28"/>
  <c r="BT82" i="15"/>
  <c r="BS18" i="15"/>
  <c r="BS18" i="20"/>
  <c r="DX113" i="39"/>
  <c r="NY84" i="39" s="1"/>
  <c r="DX64" i="39"/>
  <c r="DX65" i="39"/>
  <c r="BD82" i="15"/>
  <c r="BC26" i="28"/>
  <c r="EE113" i="39"/>
  <c r="EE64" i="39"/>
  <c r="EE65" i="39"/>
  <c r="CI18" i="15"/>
  <c r="CI26" i="28"/>
  <c r="CI18" i="20"/>
  <c r="CJ82" i="15"/>
  <c r="EB113" i="39"/>
  <c r="OC84" i="39" s="1"/>
  <c r="EB64" i="39"/>
  <c r="EB65" i="39"/>
  <c r="DZ113" i="39"/>
  <c r="OA84" i="39" s="1"/>
  <c r="DZ64" i="39"/>
  <c r="DZ65" i="39"/>
  <c r="BK183" i="39"/>
  <c r="BL82" i="15"/>
  <c r="BK18" i="15"/>
  <c r="BK18" i="20"/>
  <c r="BK26" i="28"/>
  <c r="ED113" i="39"/>
  <c r="ED64" i="39"/>
  <c r="ED65" i="39"/>
  <c r="AM26" i="28"/>
  <c r="AN82" i="15"/>
  <c r="EA113" i="39"/>
  <c r="EA64" i="39"/>
  <c r="EA65" i="39"/>
  <c r="AV82" i="15"/>
  <c r="AU26" i="28"/>
  <c r="X82" i="15"/>
  <c r="DY113" i="39"/>
  <c r="DY64" i="39"/>
  <c r="DY65" i="39"/>
  <c r="CB82" i="15"/>
  <c r="CA26" i="28"/>
  <c r="CA18" i="15"/>
  <c r="CA18" i="20"/>
  <c r="AE26" i="28"/>
  <c r="AF82" i="15"/>
  <c r="BR169" i="39"/>
  <c r="BR168" i="39"/>
  <c r="BP169" i="39"/>
  <c r="BP168" i="39"/>
  <c r="BN169" i="39"/>
  <c r="BN168" i="39"/>
  <c r="BO169" i="39"/>
  <c r="BO168" i="39"/>
  <c r="BQ169" i="39"/>
  <c r="BQ168" i="39"/>
  <c r="BS169" i="39"/>
  <c r="BS168" i="39"/>
  <c r="BM169" i="39"/>
  <c r="BM168" i="39"/>
  <c r="BU169" i="39"/>
  <c r="BU168" i="39"/>
  <c r="BJ169" i="39"/>
  <c r="BD196" i="39" s="1"/>
  <c r="BH145" i="39"/>
  <c r="BH169" i="39"/>
  <c r="BD194" i="39" s="1"/>
  <c r="BH146" i="39"/>
  <c r="BI169" i="39"/>
  <c r="BD195" i="39" s="1"/>
  <c r="AE18" i="15"/>
  <c r="AE18" i="20"/>
  <c r="CK221" i="41"/>
  <c r="BK126" i="39"/>
  <c r="W18" i="20"/>
  <c r="W18" i="15"/>
  <c r="BC18" i="20"/>
  <c r="AU18" i="15"/>
  <c r="AU18" i="20"/>
  <c r="BC18" i="15"/>
  <c r="AM18" i="15"/>
  <c r="BV166" i="39"/>
  <c r="AM18" i="20"/>
  <c r="CD41" i="36"/>
  <c r="BZ41" i="36"/>
  <c r="BH41" i="36"/>
  <c r="BO41" i="36"/>
  <c r="CK18" i="41"/>
  <c r="D169" i="36"/>
  <c r="EI146" i="36" s="1"/>
  <c r="F138" i="36"/>
  <c r="B138" i="36"/>
  <c r="B169" i="36"/>
  <c r="EH146" i="36" s="1"/>
  <c r="E169" i="36"/>
  <c r="EJ146" i="36" s="1"/>
  <c r="F169" i="36"/>
  <c r="EK146" i="36" s="1"/>
  <c r="E138" i="36"/>
  <c r="FE97" i="39" l="1"/>
  <c r="AK25" i="26"/>
  <c r="NP177" i="39"/>
  <c r="NO223" i="39"/>
  <c r="NO232" i="39" s="1"/>
  <c r="AK23" i="26"/>
  <c r="NO177" i="39"/>
  <c r="NO222" i="39"/>
  <c r="NO231" i="39" s="1"/>
  <c r="GL58" i="39"/>
  <c r="NO184" i="39" s="1"/>
  <c r="GM55" i="39"/>
  <c r="GM54" i="39"/>
  <c r="GL54" i="39"/>
  <c r="GM57" i="39"/>
  <c r="GP44" i="39"/>
  <c r="GQ76" i="39"/>
  <c r="PN75" i="39" s="1"/>
  <c r="PR75" i="39" s="1"/>
  <c r="GP76" i="39"/>
  <c r="PM75" i="39" s="1"/>
  <c r="PQ75" i="39" s="1"/>
  <c r="GM56" i="39"/>
  <c r="GN51" i="39"/>
  <c r="AK40" i="26" s="1"/>
  <c r="GL53" i="39"/>
  <c r="GM53" i="39"/>
  <c r="GM58" i="39"/>
  <c r="NP184" i="39" s="1"/>
  <c r="CZ42" i="50"/>
  <c r="CZ52" i="50" s="1"/>
  <c r="GL56" i="39"/>
  <c r="NO182" i="39" s="1"/>
  <c r="GM52" i="39"/>
  <c r="GL52" i="39"/>
  <c r="DJ42" i="50"/>
  <c r="DJ52" i="50" s="1"/>
  <c r="DF42" i="50"/>
  <c r="DF52" i="50" s="1"/>
  <c r="DT42" i="50"/>
  <c r="DT52" i="50" s="1"/>
  <c r="CX42" i="50"/>
  <c r="CX52" i="50" s="1"/>
  <c r="EB42" i="50"/>
  <c r="EB52" i="50" s="1"/>
  <c r="DL42" i="50"/>
  <c r="DL52" i="50" s="1"/>
  <c r="IU42" i="50"/>
  <c r="KI42" i="50"/>
  <c r="LR42" i="50"/>
  <c r="GQ42" i="50"/>
  <c r="GP42" i="50"/>
  <c r="GO42" i="50"/>
  <c r="GN42" i="50"/>
  <c r="JE42" i="50"/>
  <c r="KM42" i="50"/>
  <c r="LV42" i="50"/>
  <c r="FD42" i="50"/>
  <c r="FE42" i="50"/>
  <c r="EY42" i="50"/>
  <c r="EX42" i="50"/>
  <c r="GI42" i="50"/>
  <c r="GH42" i="50"/>
  <c r="DV42" i="50"/>
  <c r="DV52" i="50" s="1"/>
  <c r="ED42" i="50"/>
  <c r="ED52" i="50" s="1"/>
  <c r="GL42" i="50"/>
  <c r="GM42" i="50"/>
  <c r="IZ42" i="50"/>
  <c r="KK42" i="50"/>
  <c r="LT42" i="50"/>
  <c r="FB42" i="50"/>
  <c r="FC42" i="50"/>
  <c r="GK42" i="50"/>
  <c r="GJ42" i="50"/>
  <c r="DZ42" i="50"/>
  <c r="DZ52" i="50" s="1"/>
  <c r="FA42" i="50"/>
  <c r="EZ42" i="50"/>
  <c r="DH42" i="50"/>
  <c r="DH52" i="50" s="1"/>
  <c r="FG42" i="50"/>
  <c r="FF42" i="50"/>
  <c r="FI42" i="50"/>
  <c r="FH42" i="50"/>
  <c r="GR42" i="50"/>
  <c r="GS42" i="50"/>
  <c r="GU42" i="50"/>
  <c r="GT42" i="50"/>
  <c r="FJ42" i="50"/>
  <c r="FK42" i="50"/>
  <c r="FL42" i="50"/>
  <c r="FM42" i="50"/>
  <c r="EW42" i="50"/>
  <c r="EW52" i="50" s="1"/>
  <c r="GW42" i="50"/>
  <c r="GG42" i="50"/>
  <c r="GG52" i="50" s="1"/>
  <c r="GV42" i="50"/>
  <c r="BD197" i="39"/>
  <c r="S52" i="15" s="1"/>
  <c r="BP107" i="39"/>
  <c r="OV232" i="39"/>
  <c r="BE128" i="39"/>
  <c r="BH128" i="39"/>
  <c r="BX166" i="39"/>
  <c r="BH129" i="39"/>
  <c r="QH93" i="39"/>
  <c r="NW316" i="39"/>
  <c r="AW167" i="50"/>
  <c r="S64" i="52" s="1"/>
  <c r="NY75" i="39"/>
  <c r="NY93" i="39" s="1"/>
  <c r="AW171" i="50"/>
  <c r="S87" i="52" s="1"/>
  <c r="AW166" i="50"/>
  <c r="S57" i="52" s="1"/>
  <c r="OC75" i="39"/>
  <c r="OC93" i="39" s="1"/>
  <c r="OA75" i="39"/>
  <c r="OA93" i="39" s="1"/>
  <c r="AW170" i="50"/>
  <c r="S80" i="52" s="1"/>
  <c r="AW172" i="50"/>
  <c r="S94" i="52" s="1"/>
  <c r="NS75" i="39"/>
  <c r="NS93" i="39" s="1"/>
  <c r="AW168" i="50"/>
  <c r="S71" i="52" s="1"/>
  <c r="AW165" i="50"/>
  <c r="S55" i="52" s="1"/>
  <c r="AW169" i="50"/>
  <c r="S78" i="52" s="1"/>
  <c r="FO142" i="39"/>
  <c r="FF97" i="39"/>
  <c r="S36" i="28" s="1"/>
  <c r="FN142" i="39"/>
  <c r="FG97" i="39"/>
  <c r="S56" i="28" s="1"/>
  <c r="FL127" i="39"/>
  <c r="PH84" i="39" s="1"/>
  <c r="KT102" i="39" s="1"/>
  <c r="FH127" i="39"/>
  <c r="PD84" i="39" s="1"/>
  <c r="PD75" i="39" s="1"/>
  <c r="ON75" i="39"/>
  <c r="OT75" i="39"/>
  <c r="OM84" i="39"/>
  <c r="OM75" i="39" s="1"/>
  <c r="PB84" i="39"/>
  <c r="PB75" i="39" s="1"/>
  <c r="BQ23" i="26"/>
  <c r="CG23" i="26"/>
  <c r="NP222" i="39"/>
  <c r="BI94" i="50"/>
  <c r="BH97" i="50"/>
  <c r="BH98" i="50"/>
  <c r="Z46" i="52"/>
  <c r="CJ26" i="15"/>
  <c r="S43" i="15"/>
  <c r="S41" i="15"/>
  <c r="S39" i="15"/>
  <c r="BE146" i="39"/>
  <c r="BC146" i="39"/>
  <c r="BV168" i="39"/>
  <c r="BC128" i="39"/>
  <c r="BI145" i="39"/>
  <c r="BC145" i="39"/>
  <c r="BW168" i="39"/>
  <c r="BC129" i="39"/>
  <c r="FD97" i="39"/>
  <c r="S79" i="28" s="1"/>
  <c r="FB97" i="39"/>
  <c r="S65" i="28" s="1"/>
  <c r="FB131" i="39"/>
  <c r="EY97" i="39"/>
  <c r="S45" i="28" s="1"/>
  <c r="FJ127" i="39"/>
  <c r="PF84" i="39" s="1"/>
  <c r="PF75" i="39" s="1"/>
  <c r="FC97" i="39"/>
  <c r="S72" i="28" s="1"/>
  <c r="FD132" i="39"/>
  <c r="EX132" i="39"/>
  <c r="FC131" i="39"/>
  <c r="FI127" i="39"/>
  <c r="PE84" i="39" s="1"/>
  <c r="PE75" i="39" s="1"/>
  <c r="FB132" i="39"/>
  <c r="EY131" i="39"/>
  <c r="FE132" i="39"/>
  <c r="FG127" i="39"/>
  <c r="PC84" i="39" s="1"/>
  <c r="PC75" i="39" s="1"/>
  <c r="FE131" i="39"/>
  <c r="EY132" i="39"/>
  <c r="FD131" i="39"/>
  <c r="FC132" i="39"/>
  <c r="EX131" i="39"/>
  <c r="FA97" i="39"/>
  <c r="S54" i="28" s="1"/>
  <c r="FA131" i="39"/>
  <c r="FK127" i="39"/>
  <c r="PG84" i="39" s="1"/>
  <c r="PG75" i="39" s="1"/>
  <c r="EW97" i="39"/>
  <c r="S34" i="28" s="1"/>
  <c r="FA132" i="39"/>
  <c r="EZ132" i="39"/>
  <c r="EZ97" i="39"/>
  <c r="S52" i="28" s="1"/>
  <c r="EZ131" i="39"/>
  <c r="EX97" i="39"/>
  <c r="S43" i="28" s="1"/>
  <c r="BF145" i="39"/>
  <c r="BE129" i="39"/>
  <c r="NR84" i="39"/>
  <c r="BF146" i="39"/>
  <c r="BF129" i="39"/>
  <c r="BY107" i="39"/>
  <c r="NW393" i="39" s="1"/>
  <c r="BX107" i="39"/>
  <c r="NW392" i="39" s="1"/>
  <c r="BW107" i="39"/>
  <c r="NW391" i="39" s="1"/>
  <c r="BI146" i="39"/>
  <c r="OX214" i="39"/>
  <c r="NQ84" i="39"/>
  <c r="BE145" i="39"/>
  <c r="EW132" i="39"/>
  <c r="EW131" i="39"/>
  <c r="BG145" i="39"/>
  <c r="BG146" i="39"/>
  <c r="BD198" i="39"/>
  <c r="BI129" i="39"/>
  <c r="NT27" i="39"/>
  <c r="BD202" i="39"/>
  <c r="BD203" i="39"/>
  <c r="DY72" i="39"/>
  <c r="S32" i="20" s="1"/>
  <c r="BK145" i="39"/>
  <c r="EF72" i="39"/>
  <c r="S57" i="20" s="1"/>
  <c r="EA72" i="39"/>
  <c r="S44" i="20" s="1"/>
  <c r="EB72" i="39"/>
  <c r="S46" i="20" s="1"/>
  <c r="EE72" i="39"/>
  <c r="S55" i="20" s="1"/>
  <c r="DX72" i="39"/>
  <c r="S28" i="20" s="1"/>
  <c r="BD206" i="39"/>
  <c r="BD200" i="39"/>
  <c r="ED72" i="39"/>
  <c r="S53" i="20" s="1"/>
  <c r="BD204" i="39"/>
  <c r="BD201" i="39"/>
  <c r="DZ72" i="39"/>
  <c r="S42" i="20" s="1"/>
  <c r="OH84" i="39"/>
  <c r="OD84" i="39"/>
  <c r="ED116" i="39"/>
  <c r="OE84" i="39"/>
  <c r="DY116" i="39"/>
  <c r="NZ84" i="39"/>
  <c r="EA117" i="39"/>
  <c r="OB84" i="39"/>
  <c r="EF117" i="39"/>
  <c r="EF136" i="39" s="1"/>
  <c r="OG84" i="39"/>
  <c r="EE116" i="39"/>
  <c r="OF84" i="39"/>
  <c r="NU27" i="39"/>
  <c r="DX117" i="39"/>
  <c r="DX116" i="39"/>
  <c r="EA116" i="39"/>
  <c r="EB116" i="39"/>
  <c r="EE117" i="39"/>
  <c r="DZ117" i="39"/>
  <c r="DZ116" i="39"/>
  <c r="EB117" i="39"/>
  <c r="EI113" i="39"/>
  <c r="OK84" i="39" s="1"/>
  <c r="EH113" i="39"/>
  <c r="OI84" i="39" s="1"/>
  <c r="KU102" i="39" s="1"/>
  <c r="KX102" i="39" s="1"/>
  <c r="ED117" i="39"/>
  <c r="EJ113" i="39"/>
  <c r="OL84" i="39" s="1"/>
  <c r="DY117" i="39"/>
  <c r="BD146" i="39"/>
  <c r="BD199" i="39"/>
  <c r="BD145" i="39"/>
  <c r="BG128" i="39"/>
  <c r="BV169" i="39"/>
  <c r="BK146" i="39"/>
  <c r="BG129" i="39"/>
  <c r="BW169" i="39"/>
  <c r="BD128" i="39"/>
  <c r="BI128" i="39"/>
  <c r="BD129" i="39"/>
  <c r="BK128" i="39"/>
  <c r="BF128" i="39"/>
  <c r="BK129" i="39"/>
  <c r="BK130" i="39" s="1"/>
  <c r="BK127" i="39"/>
  <c r="NR177" i="39" l="1"/>
  <c r="CG25" i="26"/>
  <c r="NP183" i="39"/>
  <c r="NR183" i="39" s="1"/>
  <c r="BA25" i="26"/>
  <c r="NP179" i="39"/>
  <c r="NQ211" i="39" s="1"/>
  <c r="BI25" i="26"/>
  <c r="NP180" i="39"/>
  <c r="NQ217" i="39" s="1"/>
  <c r="BQ25" i="26"/>
  <c r="NP181" i="39"/>
  <c r="NR181" i="39" s="1"/>
  <c r="BY25" i="26"/>
  <c r="NP182" i="39"/>
  <c r="NR182" i="39" s="1"/>
  <c r="NR184" i="39"/>
  <c r="AS25" i="26"/>
  <c r="NP178" i="39"/>
  <c r="NQ207" i="39" s="1"/>
  <c r="GN55" i="39"/>
  <c r="BQ40" i="26" s="1"/>
  <c r="BI23" i="26"/>
  <c r="NO180" i="39"/>
  <c r="NO178" i="39"/>
  <c r="NS140" i="39" s="1"/>
  <c r="BA23" i="26"/>
  <c r="NO179" i="39"/>
  <c r="CO23" i="26"/>
  <c r="GN54" i="39"/>
  <c r="BI40" i="26" s="1"/>
  <c r="CO25" i="26"/>
  <c r="GN57" i="39"/>
  <c r="CG40" i="26" s="1"/>
  <c r="GR76" i="39"/>
  <c r="PO75" i="39" s="1"/>
  <c r="PS75" i="39" s="1"/>
  <c r="GN53" i="39"/>
  <c r="BA40" i="26" s="1"/>
  <c r="BY23" i="26"/>
  <c r="GN56" i="39"/>
  <c r="BY40" i="26" s="1"/>
  <c r="AS23" i="26"/>
  <c r="GN58" i="39"/>
  <c r="CO40" i="26" s="1"/>
  <c r="GN52" i="39"/>
  <c r="AS40" i="26" s="1"/>
  <c r="KW102" i="39"/>
  <c r="EE42" i="50"/>
  <c r="GY42" i="50"/>
  <c r="GX42" i="50"/>
  <c r="JU42" i="50"/>
  <c r="JT42" i="50"/>
  <c r="KZ42" i="50"/>
  <c r="LA42" i="50"/>
  <c r="JS42" i="50"/>
  <c r="JR42" i="50"/>
  <c r="FO42" i="50"/>
  <c r="LW42" i="50"/>
  <c r="KX42" i="50"/>
  <c r="KY42" i="50"/>
  <c r="DM42" i="50"/>
  <c r="DM52" i="50" s="1"/>
  <c r="LC42" i="50"/>
  <c r="LB42" i="50"/>
  <c r="JP42" i="50"/>
  <c r="JQ42" i="50"/>
  <c r="FN42" i="50"/>
  <c r="BN46" i="52"/>
  <c r="PH75" i="39"/>
  <c r="AX46" i="52"/>
  <c r="OL75" i="39"/>
  <c r="OL93" i="39" s="1"/>
  <c r="OG75" i="39"/>
  <c r="OG93" i="39" s="1"/>
  <c r="OD75" i="39"/>
  <c r="OD93" i="39" s="1"/>
  <c r="OI75" i="39"/>
  <c r="KU93" i="39" s="1"/>
  <c r="KX93" i="39" s="1"/>
  <c r="OK75" i="39"/>
  <c r="OK93" i="39" s="1"/>
  <c r="OB75" i="39"/>
  <c r="OB93" i="39" s="1"/>
  <c r="OH75" i="39"/>
  <c r="OH93" i="39" s="1"/>
  <c r="NZ75" i="39"/>
  <c r="NZ93" i="39" s="1"/>
  <c r="OF75" i="39"/>
  <c r="OF93" i="39" s="1"/>
  <c r="OE75" i="39"/>
  <c r="OE93" i="39" s="1"/>
  <c r="NQ75" i="39"/>
  <c r="NQ93" i="39" s="1"/>
  <c r="NR75" i="39"/>
  <c r="NR93" i="39" s="1"/>
  <c r="NQ223" i="39"/>
  <c r="NQ220" i="39"/>
  <c r="NP221" i="39"/>
  <c r="NP219" i="39"/>
  <c r="NP217" i="39"/>
  <c r="NQ219" i="39"/>
  <c r="NP220" i="39"/>
  <c r="NP218" i="39"/>
  <c r="NQ221" i="39"/>
  <c r="NP223" i="39"/>
  <c r="QK71" i="39"/>
  <c r="QL71" i="39" s="1"/>
  <c r="NS146" i="39"/>
  <c r="NP213" i="39"/>
  <c r="NP231" i="39" s="1"/>
  <c r="NS145" i="39"/>
  <c r="NP212" i="39"/>
  <c r="NS143" i="39"/>
  <c r="NP210" i="39"/>
  <c r="NQ210" i="39"/>
  <c r="NQ209" i="39"/>
  <c r="AP46" i="52"/>
  <c r="BV46" i="52"/>
  <c r="CL46" i="52"/>
  <c r="BF46" i="52"/>
  <c r="AH46" i="52"/>
  <c r="BI97" i="50"/>
  <c r="BI98" i="50"/>
  <c r="CJ78" i="15"/>
  <c r="S54" i="15"/>
  <c r="S58" i="15"/>
  <c r="CL39" i="15"/>
  <c r="S56" i="15"/>
  <c r="S68" i="15"/>
  <c r="CL41" i="15"/>
  <c r="S64" i="15"/>
  <c r="S62" i="15"/>
  <c r="CL43" i="15"/>
  <c r="S60" i="15"/>
  <c r="S66" i="15"/>
  <c r="FB142" i="39"/>
  <c r="FE142" i="39"/>
  <c r="FD142" i="39"/>
  <c r="FJ132" i="39"/>
  <c r="FJ131" i="39"/>
  <c r="FI132" i="39"/>
  <c r="FI131" i="39"/>
  <c r="FC142" i="39"/>
  <c r="FG131" i="39"/>
  <c r="FA142" i="39"/>
  <c r="EY142" i="39"/>
  <c r="EX142" i="39"/>
  <c r="FG132" i="39"/>
  <c r="FK132" i="39"/>
  <c r="EZ142" i="39"/>
  <c r="FH132" i="39"/>
  <c r="FH131" i="39"/>
  <c r="FK131" i="39"/>
  <c r="CJ32" i="15"/>
  <c r="NT184" i="39" s="1"/>
  <c r="EW142" i="39"/>
  <c r="FF132" i="39"/>
  <c r="FF131" i="39"/>
  <c r="FM127" i="39"/>
  <c r="FM131" i="39" s="1"/>
  <c r="PI84" i="39"/>
  <c r="EU38" i="39"/>
  <c r="FA42" i="39"/>
  <c r="FL132" i="39"/>
  <c r="FL131" i="39"/>
  <c r="EA136" i="39"/>
  <c r="DX136" i="39"/>
  <c r="EE136" i="39"/>
  <c r="OJ84" i="39"/>
  <c r="DY136" i="39"/>
  <c r="ED136" i="39"/>
  <c r="DZ136" i="39"/>
  <c r="EB136" i="39"/>
  <c r="DU12" i="39"/>
  <c r="EA16" i="39"/>
  <c r="EK113" i="39"/>
  <c r="EJ117" i="39"/>
  <c r="EJ116" i="39"/>
  <c r="NT84" i="39"/>
  <c r="NQ218" i="39" l="1"/>
  <c r="NQ227" i="39" s="1"/>
  <c r="NQ222" i="39"/>
  <c r="NP208" i="39"/>
  <c r="NP226" i="39" s="1"/>
  <c r="NR179" i="39"/>
  <c r="NS211" i="39" s="1"/>
  <c r="NP216" i="39"/>
  <c r="NR180" i="39"/>
  <c r="NR178" i="39"/>
  <c r="NS207" i="39" s="1"/>
  <c r="NP207" i="39"/>
  <c r="EY169" i="39"/>
  <c r="EY193" i="39" s="1"/>
  <c r="ON93" i="39" s="1"/>
  <c r="EE52" i="50"/>
  <c r="FB169" i="39"/>
  <c r="FB193" i="39" s="1"/>
  <c r="OQ93" i="39" s="1"/>
  <c r="PD93" i="39" s="1"/>
  <c r="LW52" i="50"/>
  <c r="NP211" i="39"/>
  <c r="NP229" i="39" s="1"/>
  <c r="NP209" i="39"/>
  <c r="NP227" i="39" s="1"/>
  <c r="NS142" i="39"/>
  <c r="NQ212" i="39"/>
  <c r="NQ230" i="39" s="1"/>
  <c r="GZ42" i="50"/>
  <c r="QK80" i="39"/>
  <c r="QL80" i="39" s="1"/>
  <c r="QL89" i="39" s="1"/>
  <c r="NQ214" i="39"/>
  <c r="NQ232" i="39" s="1"/>
  <c r="NQ208" i="39"/>
  <c r="NQ226" i="39" s="1"/>
  <c r="NQ216" i="39"/>
  <c r="NQ225" i="39" s="1"/>
  <c r="NQ213" i="39"/>
  <c r="QK73" i="39"/>
  <c r="QL73" i="39" s="1"/>
  <c r="QK69" i="39"/>
  <c r="QL69" i="39" s="1"/>
  <c r="QK78" i="39"/>
  <c r="QK76" i="39"/>
  <c r="QL76" i="39" s="1"/>
  <c r="QK67" i="39"/>
  <c r="QL67" i="39" s="1"/>
  <c r="QK72" i="39"/>
  <c r="QL72" i="39" s="1"/>
  <c r="NS147" i="39"/>
  <c r="NP214" i="39"/>
  <c r="NP232" i="39" s="1"/>
  <c r="QK84" i="39"/>
  <c r="QL84" i="39" s="1"/>
  <c r="QK82" i="39"/>
  <c r="QL82" i="39" s="1"/>
  <c r="QK68" i="39"/>
  <c r="QL68" i="39" s="1"/>
  <c r="QK77" i="39"/>
  <c r="QL77" i="39" s="1"/>
  <c r="QK75" i="39"/>
  <c r="QL75" i="39" s="1"/>
  <c r="QK81" i="39"/>
  <c r="QL81" i="39" s="1"/>
  <c r="QL90" i="39" s="1"/>
  <c r="NS144" i="39"/>
  <c r="NS141" i="39"/>
  <c r="NS222" i="39"/>
  <c r="HA42" i="50"/>
  <c r="JV42" i="50"/>
  <c r="EX169" i="39"/>
  <c r="EX193" i="39" s="1"/>
  <c r="OM93" i="39" s="1"/>
  <c r="JW42" i="50"/>
  <c r="LE42" i="50"/>
  <c r="LD42" i="50"/>
  <c r="NP228" i="39"/>
  <c r="OI93" i="39"/>
  <c r="KU111" i="39" s="1"/>
  <c r="KX111" i="39" s="1"/>
  <c r="PI75" i="39"/>
  <c r="KT93" i="39"/>
  <c r="NQ228" i="39"/>
  <c r="NQ229" i="39"/>
  <c r="NP230" i="39"/>
  <c r="OJ75" i="39"/>
  <c r="OJ93" i="39" s="1"/>
  <c r="NS219" i="39"/>
  <c r="NS218" i="39"/>
  <c r="NS221" i="39"/>
  <c r="NS212" i="39"/>
  <c r="NR145" i="39"/>
  <c r="NS210" i="39"/>
  <c r="NR143" i="39"/>
  <c r="S46" i="52"/>
  <c r="OG184" i="39"/>
  <c r="FJ142" i="39"/>
  <c r="FI142" i="39"/>
  <c r="FG142" i="39"/>
  <c r="FK142" i="39"/>
  <c r="FH142" i="39"/>
  <c r="FF142" i="39"/>
  <c r="NT75" i="39"/>
  <c r="NT93" i="39" s="1"/>
  <c r="FM132" i="39"/>
  <c r="FM142" i="39" s="1"/>
  <c r="FL142" i="39"/>
  <c r="ES38" i="39"/>
  <c r="EJ136" i="39"/>
  <c r="NP225" i="39" l="1"/>
  <c r="NQ231" i="39"/>
  <c r="NS223" i="39"/>
  <c r="NS217" i="39"/>
  <c r="QL91" i="39"/>
  <c r="QK87" i="39"/>
  <c r="QL93" i="39"/>
  <c r="PB93" i="39"/>
  <c r="FJ169" i="39"/>
  <c r="FJ193" i="39" s="1"/>
  <c r="LD52" i="50"/>
  <c r="FI169" i="39"/>
  <c r="FI193" i="39" s="1"/>
  <c r="JW52" i="50"/>
  <c r="FK169" i="39"/>
  <c r="FK193" i="39" s="1"/>
  <c r="LE52" i="50"/>
  <c r="FH169" i="39"/>
  <c r="FH193" i="39" s="1"/>
  <c r="JV52" i="50"/>
  <c r="FA169" i="39"/>
  <c r="FA193" i="39" s="1"/>
  <c r="HA52" i="50"/>
  <c r="EZ169" i="39"/>
  <c r="EZ193" i="39" s="1"/>
  <c r="GZ52" i="50"/>
  <c r="QK89" i="39"/>
  <c r="QL78" i="39"/>
  <c r="QL87" i="39" s="1"/>
  <c r="NS209" i="39"/>
  <c r="NS227" i="39" s="1"/>
  <c r="NR142" i="39"/>
  <c r="NS208" i="39"/>
  <c r="NS214" i="39"/>
  <c r="NR147" i="39"/>
  <c r="QL86" i="39"/>
  <c r="QL85" i="39"/>
  <c r="NS220" i="39"/>
  <c r="NS229" i="39" s="1"/>
  <c r="NS216" i="39"/>
  <c r="NS225" i="39" s="1"/>
  <c r="QK85" i="39"/>
  <c r="NR141" i="39"/>
  <c r="NR144" i="39"/>
  <c r="NR140" i="39"/>
  <c r="QK93" i="39"/>
  <c r="QK91" i="39"/>
  <c r="QK86" i="39"/>
  <c r="QK90" i="39"/>
  <c r="NR146" i="39"/>
  <c r="NS213" i="39"/>
  <c r="NS231" i="39" s="1"/>
  <c r="KW93" i="39"/>
  <c r="NS230" i="39"/>
  <c r="NS228" i="39"/>
  <c r="CD7" i="1"/>
  <c r="CD8" i="1"/>
  <c r="CD6" i="1"/>
  <c r="NS232" i="39" l="1"/>
  <c r="NS226" i="39"/>
  <c r="OP93" i="39"/>
  <c r="OO93" i="39"/>
  <c r="AI52" i="50"/>
  <c r="PC93" i="39" l="1"/>
  <c r="PH93" i="39" s="1"/>
  <c r="KT111" i="39" s="1"/>
  <c r="KW111" i="39" s="1"/>
  <c r="U55" i="5"/>
  <c r="AE24" i="55" s="1"/>
  <c r="V26" i="55"/>
  <c r="NP429" i="39"/>
  <c r="NQ429" i="39" s="1"/>
  <c r="NP431" i="39"/>
  <c r="NQ431" i="39" s="1"/>
  <c r="NP432" i="39"/>
  <c r="NQ432" i="39" s="1"/>
  <c r="NP413" i="39"/>
  <c r="NQ413" i="39" s="1"/>
  <c r="NP426" i="39"/>
  <c r="NQ426" i="39" s="1"/>
  <c r="NP430" i="39"/>
  <c r="NQ430" i="39" s="1"/>
  <c r="NP414" i="39"/>
  <c r="NQ414" i="39" s="1"/>
  <c r="NP427" i="39"/>
  <c r="NQ427" i="39" s="1"/>
  <c r="NP428" i="39"/>
  <c r="NQ428" i="39" s="1"/>
  <c r="U83" i="5"/>
  <c r="U27" i="5"/>
  <c r="U29" i="5"/>
  <c r="PI93" i="39" l="1"/>
  <c r="AI53" i="50"/>
  <c r="BH36" i="39"/>
  <c r="BD68" i="39" s="1"/>
  <c r="BD69" i="39" s="1"/>
  <c r="BG156" i="39" s="1"/>
  <c r="NR426" i="39"/>
  <c r="NT207" i="39" s="1"/>
  <c r="NR428" i="39"/>
  <c r="NT209" i="39" s="1"/>
  <c r="NR429" i="39"/>
  <c r="NT210" i="39" s="1"/>
  <c r="NR430" i="39"/>
  <c r="NT211" i="39" s="1"/>
  <c r="NR413" i="39"/>
  <c r="NR425" i="39"/>
  <c r="NT206" i="39" s="1"/>
  <c r="NR432" i="39"/>
  <c r="NT213" i="39" s="1"/>
  <c r="NR431" i="39"/>
  <c r="NT212" i="39" s="1"/>
  <c r="NR427" i="39"/>
  <c r="NT208" i="39" s="1"/>
  <c r="BK69" i="39"/>
  <c r="BG163" i="39" s="1"/>
  <c r="BG69" i="39"/>
  <c r="BG160" i="39" s="1"/>
  <c r="BF69" i="39"/>
  <c r="BG159" i="39" s="1"/>
  <c r="BH69" i="39"/>
  <c r="BG161" i="39" s="1"/>
  <c r="BM69" i="39"/>
  <c r="BG165" i="39" s="1"/>
  <c r="BL69" i="39"/>
  <c r="BG164" i="39" s="1"/>
  <c r="BJ69" i="39"/>
  <c r="BE69" i="39"/>
  <c r="BG158" i="39" s="1"/>
  <c r="BK165" i="39" l="1"/>
  <c r="BJ127" i="39" s="1"/>
  <c r="BX165" i="39"/>
  <c r="BX163" i="39"/>
  <c r="BK163" i="39"/>
  <c r="BR105" i="39"/>
  <c r="BS105" i="39" s="1"/>
  <c r="BY105" i="39" s="1"/>
  <c r="NU393" i="39" s="1"/>
  <c r="BV43" i="15" s="1"/>
  <c r="BK164" i="39"/>
  <c r="BX164" i="39"/>
  <c r="BK161" i="39"/>
  <c r="BX161" i="39"/>
  <c r="BK160" i="39"/>
  <c r="BX160" i="39"/>
  <c r="BX158" i="39"/>
  <c r="BK158" i="39"/>
  <c r="BX159" i="39"/>
  <c r="BK159" i="39"/>
  <c r="BG168" i="39"/>
  <c r="BK156" i="39"/>
  <c r="BK168" i="39" s="1"/>
  <c r="BX156" i="39"/>
  <c r="BX168" i="39" s="1"/>
  <c r="NW207" i="39"/>
  <c r="AI54" i="50"/>
  <c r="NX211" i="39"/>
  <c r="NW210" i="39"/>
  <c r="NW209" i="39"/>
  <c r="NX207" i="39"/>
  <c r="NV207" i="39"/>
  <c r="NX209" i="39"/>
  <c r="NV209" i="39"/>
  <c r="NV211" i="39"/>
  <c r="NW211" i="39"/>
  <c r="NX210" i="39"/>
  <c r="BH183" i="39"/>
  <c r="BH126" i="39"/>
  <c r="BH130" i="39" s="1"/>
  <c r="NV210" i="39"/>
  <c r="NV213" i="39"/>
  <c r="NW213" i="39"/>
  <c r="NX213" i="39"/>
  <c r="NO448" i="39"/>
  <c r="NQ448" i="39" s="1"/>
  <c r="NO447" i="39"/>
  <c r="NQ447" i="39" s="1"/>
  <c r="NO446" i="39"/>
  <c r="NQ446" i="39" s="1"/>
  <c r="NO445" i="39"/>
  <c r="NQ445" i="39" s="1"/>
  <c r="NO449" i="39"/>
  <c r="NQ449" i="39" s="1"/>
  <c r="NO444" i="39"/>
  <c r="NQ444" i="39" s="1"/>
  <c r="NO442" i="39"/>
  <c r="NQ442" i="39" s="1"/>
  <c r="NO443" i="39"/>
  <c r="NQ443" i="39" s="1"/>
  <c r="AI44" i="39"/>
  <c r="NV212" i="39"/>
  <c r="NW212" i="39"/>
  <c r="NX212" i="39"/>
  <c r="NW208" i="39"/>
  <c r="NV208" i="39"/>
  <c r="NX208" i="39"/>
  <c r="BR104" i="39"/>
  <c r="BS104" i="39" s="1"/>
  <c r="BX104" i="39" s="1"/>
  <c r="NT392" i="39" s="1"/>
  <c r="BC126" i="39"/>
  <c r="BJ126" i="39"/>
  <c r="BJ130" i="39" s="1"/>
  <c r="BJ183" i="39"/>
  <c r="BR106" i="39"/>
  <c r="BS106" i="39" s="1"/>
  <c r="BX106" i="39" s="1"/>
  <c r="NV392" i="39" s="1"/>
  <c r="BI126" i="39"/>
  <c r="BI130" i="39" s="1"/>
  <c r="BI183" i="39"/>
  <c r="BC183" i="39"/>
  <c r="BR99" i="39"/>
  <c r="BS99" i="39" s="1"/>
  <c r="BK235" i="39" l="1"/>
  <c r="AHA43" i="50"/>
  <c r="AHA45" i="50"/>
  <c r="AHA42" i="50"/>
  <c r="AHA44" i="50"/>
  <c r="AHA49" i="50"/>
  <c r="AHA48" i="50"/>
  <c r="AHA47" i="50"/>
  <c r="AHA46" i="50"/>
  <c r="AHJ48" i="50"/>
  <c r="AGS48" i="50"/>
  <c r="AHJ47" i="50"/>
  <c r="AGS47" i="50"/>
  <c r="AHJ46" i="50"/>
  <c r="AGS46" i="50"/>
  <c r="AHJ45" i="50"/>
  <c r="AGS45" i="50"/>
  <c r="AGS42" i="50"/>
  <c r="AHJ44" i="50"/>
  <c r="AGS44" i="50"/>
  <c r="AHJ42" i="50"/>
  <c r="AGS49" i="50"/>
  <c r="AHJ43" i="50"/>
  <c r="AGS43" i="50"/>
  <c r="AHJ49" i="50"/>
  <c r="AOT42" i="50"/>
  <c r="AOV42" i="50" s="1"/>
  <c r="APK42" i="50"/>
  <c r="APM42" i="50" s="1"/>
  <c r="HR41" i="50" s="1"/>
  <c r="AQA42" i="50"/>
  <c r="AQC42" i="50" s="1"/>
  <c r="AQJ45" i="50"/>
  <c r="APC46" i="50"/>
  <c r="APE46" i="50" s="1"/>
  <c r="APS46" i="50"/>
  <c r="APU46" i="50" s="1"/>
  <c r="APC45" i="50"/>
  <c r="BF161" i="55" s="1"/>
  <c r="APS45" i="50"/>
  <c r="AOT49" i="50"/>
  <c r="AOV49" i="50" s="1"/>
  <c r="AQA49" i="50"/>
  <c r="AQC49" i="50" s="1"/>
  <c r="APK46" i="50"/>
  <c r="APM46" i="50" s="1"/>
  <c r="AQJ49" i="50"/>
  <c r="AQL49" i="50" s="1"/>
  <c r="APK45" i="50"/>
  <c r="APM45" i="50" s="1"/>
  <c r="APC48" i="50"/>
  <c r="APE48" i="50" s="1"/>
  <c r="AQJ44" i="50"/>
  <c r="AQL44" i="50" s="1"/>
  <c r="APK49" i="50"/>
  <c r="APM49" i="50" s="1"/>
  <c r="AOT46" i="50"/>
  <c r="AOV46" i="50" s="1"/>
  <c r="AQJ43" i="50"/>
  <c r="AQL43" i="50" s="1"/>
  <c r="APC44" i="50"/>
  <c r="APE44" i="50" s="1"/>
  <c r="APS44" i="50"/>
  <c r="APU44" i="50" s="1"/>
  <c r="AOT48" i="50"/>
  <c r="AOV48" i="50" s="1"/>
  <c r="APK48" i="50"/>
  <c r="APM48" i="50" s="1"/>
  <c r="AQA48" i="50"/>
  <c r="AQC48" i="50" s="1"/>
  <c r="APC43" i="50"/>
  <c r="APE43" i="50" s="1"/>
  <c r="APS43" i="50"/>
  <c r="APU43" i="50" s="1"/>
  <c r="APK47" i="50"/>
  <c r="APM47" i="50" s="1"/>
  <c r="AQA46" i="50"/>
  <c r="AQC46" i="50" s="1"/>
  <c r="AQA45" i="50"/>
  <c r="APC49" i="50"/>
  <c r="APE49" i="50" s="1"/>
  <c r="APK44" i="50"/>
  <c r="APM44" i="50" s="1"/>
  <c r="AQJ47" i="50"/>
  <c r="AQL47" i="50" s="1"/>
  <c r="AQJ42" i="50"/>
  <c r="AQL42" i="50" s="1"/>
  <c r="AOT47" i="50"/>
  <c r="AOV47" i="50" s="1"/>
  <c r="AQA47" i="50"/>
  <c r="AQC47" i="50" s="1"/>
  <c r="APS42" i="50"/>
  <c r="APU42" i="50" s="1"/>
  <c r="AOT45" i="50"/>
  <c r="AQJ48" i="50"/>
  <c r="AQL48" i="50" s="1"/>
  <c r="APS49" i="50"/>
  <c r="APU49" i="50" s="1"/>
  <c r="AQA44" i="50"/>
  <c r="AQC44" i="50" s="1"/>
  <c r="APS48" i="50"/>
  <c r="APU48" i="50" s="1"/>
  <c r="APC42" i="50"/>
  <c r="APE42" i="50" s="1"/>
  <c r="AOT44" i="50"/>
  <c r="AOV44" i="50" s="1"/>
  <c r="AOT43" i="50"/>
  <c r="AOV43" i="50" s="1"/>
  <c r="APK43" i="50"/>
  <c r="APM43" i="50" s="1"/>
  <c r="AQA43" i="50"/>
  <c r="AQC43" i="50" s="1"/>
  <c r="AQJ46" i="50"/>
  <c r="AQL46" i="50" s="1"/>
  <c r="APC47" i="50"/>
  <c r="APE47" i="50" s="1"/>
  <c r="APS47" i="50"/>
  <c r="APU47" i="50" s="1"/>
  <c r="BI127" i="39"/>
  <c r="BT32" i="15" s="1"/>
  <c r="NT182" i="39" s="1"/>
  <c r="BW105" i="39"/>
  <c r="NU391" i="39" s="1"/>
  <c r="BV39" i="15" s="1"/>
  <c r="BX105" i="39"/>
  <c r="NU392" i="39" s="1"/>
  <c r="BV41" i="15" s="1"/>
  <c r="X26" i="15"/>
  <c r="BC130" i="39"/>
  <c r="AJG42" i="50"/>
  <c r="AC198" i="55" s="1"/>
  <c r="AJG49" i="50"/>
  <c r="CL198" i="55" s="1"/>
  <c r="AJG48" i="50"/>
  <c r="CD198" i="55" s="1"/>
  <c r="AJG45" i="50"/>
  <c r="BF198" i="55" s="1"/>
  <c r="AJG47" i="50"/>
  <c r="BV198" i="55" s="1"/>
  <c r="AJG46" i="50"/>
  <c r="BN198" i="55" s="1"/>
  <c r="AJG44" i="50"/>
  <c r="AX198" i="55" s="1"/>
  <c r="AJG43" i="50"/>
  <c r="AP198" i="55" s="1"/>
  <c r="AGF49" i="50"/>
  <c r="CL268" i="55" s="1"/>
  <c r="AFV49" i="50"/>
  <c r="CL266" i="55" s="1"/>
  <c r="AFN49" i="50"/>
  <c r="AFF49" i="50"/>
  <c r="AGF48" i="50"/>
  <c r="CD268" i="55" s="1"/>
  <c r="AFV48" i="50"/>
  <c r="CD266" i="55" s="1"/>
  <c r="AFN48" i="50"/>
  <c r="AFF48" i="50"/>
  <c r="AGF47" i="50"/>
  <c r="BV268" i="55" s="1"/>
  <c r="AFV47" i="50"/>
  <c r="BV266" i="55" s="1"/>
  <c r="AFN47" i="50"/>
  <c r="AFF47" i="50"/>
  <c r="AGF45" i="50"/>
  <c r="BF268" i="55" s="1"/>
  <c r="AFV46" i="50"/>
  <c r="BN266" i="55" s="1"/>
  <c r="AFN46" i="50"/>
  <c r="BN262" i="55" s="1"/>
  <c r="AFF46" i="50"/>
  <c r="AGF43" i="50"/>
  <c r="AP268" i="55" s="1"/>
  <c r="AFV44" i="50"/>
  <c r="AX266" i="55" s="1"/>
  <c r="AFN44" i="50"/>
  <c r="AFF44" i="50"/>
  <c r="AGF44" i="50"/>
  <c r="AX268" i="55" s="1"/>
  <c r="AFV45" i="50"/>
  <c r="BF266" i="55" s="1"/>
  <c r="AFN45" i="50"/>
  <c r="AFF45" i="50"/>
  <c r="AGF42" i="50"/>
  <c r="AC268" i="55" s="1"/>
  <c r="AFV43" i="50"/>
  <c r="AP266" i="55" s="1"/>
  <c r="AFN43" i="50"/>
  <c r="AFF43" i="50"/>
  <c r="AFV42" i="50"/>
  <c r="AC266" i="55" s="1"/>
  <c r="AFN42" i="50"/>
  <c r="AFF42" i="50"/>
  <c r="AC255" i="55" s="1"/>
  <c r="AGF46" i="50"/>
  <c r="BN268" i="55" s="1"/>
  <c r="ARX49" i="50"/>
  <c r="CL312" i="55" s="1"/>
  <c r="ASO48" i="50"/>
  <c r="ASF42" i="50"/>
  <c r="ARX48" i="50"/>
  <c r="CD312" i="55" s="1"/>
  <c r="ASF49" i="50"/>
  <c r="ASO43" i="50"/>
  <c r="ASF46" i="50"/>
  <c r="ARX47" i="50"/>
  <c r="BV312" i="55" s="1"/>
  <c r="ASF48" i="50"/>
  <c r="ASO44" i="50"/>
  <c r="ASO46" i="50"/>
  <c r="ARX46" i="50"/>
  <c r="BN312" i="55" s="1"/>
  <c r="ASF47" i="50"/>
  <c r="ASO45" i="50"/>
  <c r="ARX45" i="50"/>
  <c r="BF312" i="55" s="1"/>
  <c r="ARX44" i="50"/>
  <c r="AX312" i="55" s="1"/>
  <c r="ASF45" i="50"/>
  <c r="ASO47" i="50"/>
  <c r="ARX43" i="50"/>
  <c r="AP312" i="55" s="1"/>
  <c r="ASF44" i="50"/>
  <c r="ASO42" i="50"/>
  <c r="ARX42" i="50"/>
  <c r="AC312" i="55" s="1"/>
  <c r="ASF43" i="50"/>
  <c r="ASO49" i="50"/>
  <c r="AMK47" i="50"/>
  <c r="BV239" i="55" s="1"/>
  <c r="AMK48" i="50"/>
  <c r="CD239" i="55" s="1"/>
  <c r="AMK49" i="50"/>
  <c r="CL239" i="55" s="1"/>
  <c r="ADB46" i="50"/>
  <c r="ACS48" i="50"/>
  <c r="ACS46" i="50"/>
  <c r="ACS44" i="50"/>
  <c r="ACS42" i="50"/>
  <c r="ACU42" i="50" s="1"/>
  <c r="AHU47" i="50"/>
  <c r="AHU43" i="50"/>
  <c r="ADB43" i="50"/>
  <c r="ADB49" i="50"/>
  <c r="ADB42" i="50"/>
  <c r="ADD42" i="50" s="1"/>
  <c r="ACJ48" i="50"/>
  <c r="ACJ46" i="50"/>
  <c r="ACJ44" i="50"/>
  <c r="ACJ42" i="50"/>
  <c r="AHU45" i="50"/>
  <c r="AHU49" i="50"/>
  <c r="ADB45" i="50"/>
  <c r="ADB48" i="50"/>
  <c r="ADB47" i="50"/>
  <c r="ACS47" i="50"/>
  <c r="ACS45" i="50"/>
  <c r="ACS43" i="50"/>
  <c r="ACS49" i="50"/>
  <c r="ACJ47" i="50"/>
  <c r="ACJ45" i="50"/>
  <c r="BF101" i="55" s="1"/>
  <c r="ACJ43" i="50"/>
  <c r="ACJ49" i="50"/>
  <c r="AHU46" i="50"/>
  <c r="AHU44" i="50"/>
  <c r="AHU42" i="50"/>
  <c r="AHW42" i="50" s="1"/>
  <c r="AHU48" i="50"/>
  <c r="ADB44" i="50"/>
  <c r="AIE45" i="50"/>
  <c r="ABP48" i="50"/>
  <c r="ABZ48" i="50"/>
  <c r="ABZ46" i="50"/>
  <c r="ABZ44" i="50"/>
  <c r="ABZ43" i="50"/>
  <c r="ABZ42" i="50"/>
  <c r="ABP47" i="50"/>
  <c r="ABZ47" i="50"/>
  <c r="ABP46" i="50"/>
  <c r="ABZ45" i="50"/>
  <c r="ABP42" i="50"/>
  <c r="ABP49" i="50"/>
  <c r="ABP45" i="50"/>
  <c r="ABP43" i="50"/>
  <c r="ABP44" i="50"/>
  <c r="ABZ49" i="50"/>
  <c r="AJW42" i="50"/>
  <c r="AC206" i="55" s="1"/>
  <c r="AJW46" i="50"/>
  <c r="BN206" i="55" s="1"/>
  <c r="AJW44" i="50"/>
  <c r="AX206" i="55" s="1"/>
  <c r="AJW49" i="50"/>
  <c r="CL206" i="55" s="1"/>
  <c r="AJW45" i="50"/>
  <c r="BF206" i="55" s="1"/>
  <c r="AJW48" i="50"/>
  <c r="CD206" i="55" s="1"/>
  <c r="AJW47" i="50"/>
  <c r="BV206" i="55" s="1"/>
  <c r="AJW43" i="50"/>
  <c r="AP206" i="55" s="1"/>
  <c r="ALI49" i="50"/>
  <c r="CL226" i="55" s="1"/>
  <c r="ALI48" i="50"/>
  <c r="CD226" i="55" s="1"/>
  <c r="ALI47" i="50"/>
  <c r="BV226" i="55" s="1"/>
  <c r="ALI42" i="50"/>
  <c r="AC226" i="55" s="1"/>
  <c r="ALI46" i="50"/>
  <c r="BN226" i="55" s="1"/>
  <c r="ALI45" i="50"/>
  <c r="BF226" i="55" s="1"/>
  <c r="ALI43" i="50"/>
  <c r="AP226" i="55" s="1"/>
  <c r="ALI44" i="50"/>
  <c r="AX226" i="55" s="1"/>
  <c r="ARA47" i="50"/>
  <c r="BV182" i="55" s="1"/>
  <c r="ARJ49" i="50"/>
  <c r="CL184" i="55" s="1"/>
  <c r="ARA46" i="50"/>
  <c r="BN182" i="55" s="1"/>
  <c r="AQS46" i="50"/>
  <c r="AQS42" i="50"/>
  <c r="ARA48" i="50"/>
  <c r="CD182" i="55" s="1"/>
  <c r="ARJ48" i="50"/>
  <c r="CD184" i="55" s="1"/>
  <c r="ARA45" i="50"/>
  <c r="AQS45" i="50"/>
  <c r="ARJ46" i="50"/>
  <c r="BN184" i="55" s="1"/>
  <c r="ARJ45" i="50"/>
  <c r="ARJ42" i="50"/>
  <c r="ARA49" i="50"/>
  <c r="CL182" i="55" s="1"/>
  <c r="ARJ47" i="50"/>
  <c r="BV184" i="55" s="1"/>
  <c r="ARA44" i="50"/>
  <c r="AQS44" i="50"/>
  <c r="ARA43" i="50"/>
  <c r="AQS43" i="50"/>
  <c r="ARA42" i="50"/>
  <c r="AQS47" i="50"/>
  <c r="ARJ44" i="50"/>
  <c r="AQS49" i="50"/>
  <c r="ARJ43" i="50"/>
  <c r="AQS48" i="50"/>
  <c r="AMB49" i="50"/>
  <c r="CL237" i="55" s="1"/>
  <c r="ALS49" i="50"/>
  <c r="CL233" i="55" s="1"/>
  <c r="AKZ49" i="50"/>
  <c r="CL219" i="55" s="1"/>
  <c r="AKQ49" i="50"/>
  <c r="CL217" i="55" s="1"/>
  <c r="AKI49" i="50"/>
  <c r="AJO49" i="50"/>
  <c r="CL202" i="55" s="1"/>
  <c r="AIY49" i="50"/>
  <c r="CL193" i="55" s="1"/>
  <c r="AEX49" i="50"/>
  <c r="AIE49" i="50"/>
  <c r="AMB45" i="50"/>
  <c r="AKI45" i="50"/>
  <c r="AMB44" i="50"/>
  <c r="AKQ44" i="50"/>
  <c r="AEX44" i="50"/>
  <c r="AMK43" i="50"/>
  <c r="ALS43" i="50"/>
  <c r="AJO43" i="50"/>
  <c r="AP202" i="55" s="1"/>
  <c r="AIE43" i="50"/>
  <c r="AMB48" i="50"/>
  <c r="CD237" i="55" s="1"/>
  <c r="ALS48" i="50"/>
  <c r="CD233" i="55" s="1"/>
  <c r="AKZ48" i="50"/>
  <c r="CD219" i="55" s="1"/>
  <c r="AKQ48" i="50"/>
  <c r="CD217" i="55" s="1"/>
  <c r="AKI48" i="50"/>
  <c r="AJO48" i="50"/>
  <c r="CD202" i="55" s="1"/>
  <c r="AIY48" i="50"/>
  <c r="CD193" i="55" s="1"/>
  <c r="AEX48" i="50"/>
  <c r="AIE48" i="50"/>
  <c r="AKZ46" i="50"/>
  <c r="BN219" i="55" s="1"/>
  <c r="AJO46" i="50"/>
  <c r="BN202" i="55" s="1"/>
  <c r="AEX46" i="50"/>
  <c r="AIY45" i="50"/>
  <c r="BF193" i="55" s="1"/>
  <c r="AMB47" i="50"/>
  <c r="BV237" i="55" s="1"/>
  <c r="ALS47" i="50"/>
  <c r="BV233" i="55" s="1"/>
  <c r="AKZ47" i="50"/>
  <c r="BV219" i="55" s="1"/>
  <c r="AKQ47" i="50"/>
  <c r="BV217" i="55" s="1"/>
  <c r="AKI47" i="50"/>
  <c r="AJO47" i="50"/>
  <c r="BV202" i="55" s="1"/>
  <c r="AIY47" i="50"/>
  <c r="BV193" i="55" s="1"/>
  <c r="AEX47" i="50"/>
  <c r="AIE47" i="50"/>
  <c r="AMK46" i="50"/>
  <c r="BN239" i="55" s="1"/>
  <c r="AMB46" i="50"/>
  <c r="BN237" i="55" s="1"/>
  <c r="ALS46" i="50"/>
  <c r="AKQ46" i="50"/>
  <c r="BN217" i="55" s="1"/>
  <c r="AIY46" i="50"/>
  <c r="BN193" i="55" s="1"/>
  <c r="AIE46" i="50"/>
  <c r="AJO45" i="50"/>
  <c r="BF202" i="55" s="1"/>
  <c r="ALS44" i="50"/>
  <c r="AKZ44" i="50"/>
  <c r="AIY44" i="50"/>
  <c r="AX193" i="55" s="1"/>
  <c r="AKI43" i="50"/>
  <c r="AKI46" i="50"/>
  <c r="AKZ45" i="50"/>
  <c r="AJO44" i="50"/>
  <c r="AX202" i="55" s="1"/>
  <c r="AMB43" i="50"/>
  <c r="AKQ43" i="50"/>
  <c r="AEX43" i="50"/>
  <c r="AMK42" i="50"/>
  <c r="AMB42" i="50"/>
  <c r="ALS42" i="50"/>
  <c r="AC233" i="55" s="1"/>
  <c r="AKZ42" i="50"/>
  <c r="AKQ42" i="50"/>
  <c r="AKI42" i="50"/>
  <c r="AJO42" i="50"/>
  <c r="AC202" i="55" s="1"/>
  <c r="AIY42" i="50"/>
  <c r="AC193" i="55" s="1"/>
  <c r="AEX42" i="50"/>
  <c r="AIE42" i="50"/>
  <c r="AMK45" i="50"/>
  <c r="ALS45" i="50"/>
  <c r="AKQ45" i="50"/>
  <c r="AEX45" i="50"/>
  <c r="AMK44" i="50"/>
  <c r="AKI44" i="50"/>
  <c r="AIE44" i="50"/>
  <c r="AKZ43" i="50"/>
  <c r="AIY43" i="50"/>
  <c r="AP193" i="55" s="1"/>
  <c r="AED49" i="50"/>
  <c r="ADL47" i="50"/>
  <c r="ADV44" i="50"/>
  <c r="ADV49" i="50"/>
  <c r="AED46" i="50"/>
  <c r="ADL44" i="50"/>
  <c r="ADL49" i="50"/>
  <c r="ADV46" i="50"/>
  <c r="AED43" i="50"/>
  <c r="ADV48" i="50"/>
  <c r="ADL43" i="50"/>
  <c r="AED48" i="50"/>
  <c r="ADL46" i="50"/>
  <c r="ADV43" i="50"/>
  <c r="AED45" i="50"/>
  <c r="ADL48" i="50"/>
  <c r="ADV45" i="50"/>
  <c r="AED42" i="50"/>
  <c r="AED47" i="50"/>
  <c r="ADL45" i="50"/>
  <c r="ADV42" i="50"/>
  <c r="ADV47" i="50"/>
  <c r="AED44" i="50"/>
  <c r="ADL42" i="50"/>
  <c r="AIO47" i="50"/>
  <c r="BV143" i="55" s="1"/>
  <c r="AIO45" i="50"/>
  <c r="BF143" i="55" s="1"/>
  <c r="AIO44" i="50"/>
  <c r="AX143" i="55" s="1"/>
  <c r="AIO42" i="50"/>
  <c r="AC143" i="55" s="1"/>
  <c r="AIO48" i="50"/>
  <c r="CD143" i="55" s="1"/>
  <c r="AIO46" i="50"/>
  <c r="BN143" i="55" s="1"/>
  <c r="AIO43" i="50"/>
  <c r="AP143" i="55" s="1"/>
  <c r="AIO49" i="50"/>
  <c r="CL143" i="55" s="1"/>
  <c r="ABF48" i="50"/>
  <c r="ABF46" i="50"/>
  <c r="ABF47" i="50"/>
  <c r="ABF45" i="50"/>
  <c r="ABF49" i="50"/>
  <c r="ABF44" i="50"/>
  <c r="ABF43" i="50"/>
  <c r="ABF42" i="50"/>
  <c r="BL26" i="15"/>
  <c r="BN41" i="15"/>
  <c r="CD41" i="15"/>
  <c r="CB26" i="15"/>
  <c r="BT26" i="15"/>
  <c r="OW223" i="39"/>
  <c r="BP104" i="39"/>
  <c r="BH127" i="39"/>
  <c r="AJ39" i="39"/>
  <c r="AJ40" i="39"/>
  <c r="AJ41" i="39"/>
  <c r="NS413" i="39"/>
  <c r="AJ34" i="39"/>
  <c r="AJ36" i="39"/>
  <c r="AJ37" i="39"/>
  <c r="AJ35" i="39"/>
  <c r="NW206" i="39"/>
  <c r="NX206" i="39"/>
  <c r="NV206" i="39"/>
  <c r="BW104" i="39"/>
  <c r="NT391" i="39" s="1"/>
  <c r="BY104" i="39"/>
  <c r="NT393" i="39" s="1"/>
  <c r="CB32" i="15"/>
  <c r="NT183" i="39" s="1"/>
  <c r="BP105" i="39"/>
  <c r="BP106" i="39"/>
  <c r="BK225" i="39"/>
  <c r="BN225" i="39" s="1"/>
  <c r="BP99" i="39"/>
  <c r="BY106" i="39"/>
  <c r="NV393" i="39" s="1"/>
  <c r="BW106" i="39"/>
  <c r="NV391" i="39" s="1"/>
  <c r="BC127" i="39"/>
  <c r="BX99" i="39"/>
  <c r="NO392" i="39" s="1"/>
  <c r="BY99" i="39"/>
  <c r="NO393" i="39" s="1"/>
  <c r="BW99" i="39"/>
  <c r="NO391" i="39" s="1"/>
  <c r="NY221" i="39" l="1"/>
  <c r="NY230" i="39" s="1"/>
  <c r="NY222" i="39"/>
  <c r="NY231" i="39" s="1"/>
  <c r="NY223" i="39"/>
  <c r="NY232" i="39" s="1"/>
  <c r="NY216" i="39"/>
  <c r="NY225" i="39" s="1"/>
  <c r="NY215" i="39"/>
  <c r="NY224" i="39" s="1"/>
  <c r="NY217" i="39"/>
  <c r="NY226" i="39" s="1"/>
  <c r="NY220" i="39"/>
  <c r="NY229" i="39" s="1"/>
  <c r="NY218" i="39"/>
  <c r="NY227" i="39" s="1"/>
  <c r="NY219" i="39"/>
  <c r="NY228" i="39" s="1"/>
  <c r="PH215" i="39"/>
  <c r="PH220" i="39"/>
  <c r="PI221" i="39"/>
  <c r="PI223" i="39"/>
  <c r="PI217" i="39"/>
  <c r="PI215" i="39"/>
  <c r="PI220" i="39"/>
  <c r="PH217" i="39"/>
  <c r="PI222" i="39"/>
  <c r="PH219" i="39"/>
  <c r="PI218" i="39"/>
  <c r="PG220" i="39"/>
  <c r="PN220" i="39" s="1"/>
  <c r="PH221" i="39"/>
  <c r="PH223" i="39"/>
  <c r="PH222" i="39"/>
  <c r="PH216" i="39"/>
  <c r="PI219" i="39"/>
  <c r="PI216" i="39"/>
  <c r="PH218" i="39"/>
  <c r="CD161" i="55"/>
  <c r="AM45" i="50"/>
  <c r="OW73" i="39"/>
  <c r="AM44" i="50"/>
  <c r="OW72" i="39"/>
  <c r="AM40" i="50"/>
  <c r="OW68" i="39"/>
  <c r="AM42" i="50"/>
  <c r="OW70" i="39"/>
  <c r="AM41" i="50"/>
  <c r="OW69" i="39"/>
  <c r="AM39" i="50"/>
  <c r="OW67" i="39"/>
  <c r="PC67" i="39"/>
  <c r="AM46" i="50"/>
  <c r="OW74" i="39"/>
  <c r="BN161" i="55"/>
  <c r="CL169" i="55"/>
  <c r="CL171" i="55"/>
  <c r="AGH49" i="50"/>
  <c r="BN169" i="55"/>
  <c r="AC165" i="55"/>
  <c r="CD171" i="55"/>
  <c r="BN171" i="55"/>
  <c r="AP284" i="55"/>
  <c r="AHC43" i="50"/>
  <c r="AHL45" i="50"/>
  <c r="BF291" i="55"/>
  <c r="AC284" i="55"/>
  <c r="AHC42" i="50"/>
  <c r="AHL43" i="50"/>
  <c r="AP291" i="55"/>
  <c r="AX284" i="55"/>
  <c r="AHC44" i="50"/>
  <c r="AHL46" i="50"/>
  <c r="BN291" i="55"/>
  <c r="BN284" i="55"/>
  <c r="AHC46" i="50"/>
  <c r="AHL42" i="50"/>
  <c r="AC291" i="55"/>
  <c r="BF284" i="55"/>
  <c r="AHC45" i="50"/>
  <c r="AHL47" i="50"/>
  <c r="BV291" i="55"/>
  <c r="BV284" i="55"/>
  <c r="AHC47" i="50"/>
  <c r="AHL49" i="50"/>
  <c r="CL291" i="55"/>
  <c r="AHL44" i="50"/>
  <c r="AX291" i="55"/>
  <c r="CD284" i="55"/>
  <c r="AHC48" i="50"/>
  <c r="AHL48" i="50"/>
  <c r="CD291" i="55"/>
  <c r="CL284" i="55"/>
  <c r="AHC49" i="50"/>
  <c r="BF277" i="55"/>
  <c r="BF300" i="55"/>
  <c r="AGU45" i="50"/>
  <c r="AP277" i="55"/>
  <c r="AP300" i="55"/>
  <c r="AGU43" i="50"/>
  <c r="BN277" i="55"/>
  <c r="BN300" i="55"/>
  <c r="AGU46" i="50"/>
  <c r="CL277" i="55"/>
  <c r="CL300" i="55"/>
  <c r="AGU49" i="50"/>
  <c r="BV277" i="55"/>
  <c r="BV300" i="55"/>
  <c r="AGU47" i="50"/>
  <c r="AX277" i="55"/>
  <c r="AX300" i="55"/>
  <c r="AGU44" i="50"/>
  <c r="CD277" i="55"/>
  <c r="CD300" i="55"/>
  <c r="AGU48" i="50"/>
  <c r="AC277" i="55"/>
  <c r="AC300" i="55"/>
  <c r="AGU42" i="50"/>
  <c r="BV169" i="55"/>
  <c r="CL161" i="55"/>
  <c r="BV171" i="55"/>
  <c r="CD169" i="55"/>
  <c r="AP161" i="55"/>
  <c r="BV161" i="55"/>
  <c r="AX161" i="55"/>
  <c r="AC161" i="55"/>
  <c r="OY220" i="39"/>
  <c r="OZ220" i="39"/>
  <c r="PE219" i="39"/>
  <c r="PA218" i="39"/>
  <c r="PG217" i="39"/>
  <c r="PN217" i="39" s="1"/>
  <c r="PC216" i="39"/>
  <c r="PB215" i="39"/>
  <c r="OZ215" i="39"/>
  <c r="PA222" i="39"/>
  <c r="OZ221" i="39"/>
  <c r="PC221" i="39"/>
  <c r="PG221" i="39"/>
  <c r="PN221" i="39" s="1"/>
  <c r="PD215" i="39"/>
  <c r="PA220" i="39"/>
  <c r="OZ218" i="39"/>
  <c r="OY217" i="39"/>
  <c r="PD217" i="39"/>
  <c r="PE216" i="39"/>
  <c r="OY215" i="39"/>
  <c r="PG215" i="39"/>
  <c r="PN215" i="39" s="1"/>
  <c r="OY222" i="39"/>
  <c r="PB221" i="39"/>
  <c r="PF220" i="39"/>
  <c r="PM220" i="39" s="1"/>
  <c r="PC220" i="39"/>
  <c r="PD219" i="39"/>
  <c r="PC217" i="39"/>
  <c r="OZ216" i="39"/>
  <c r="PF222" i="39"/>
  <c r="PM222" i="39" s="1"/>
  <c r="PD222" i="39"/>
  <c r="OY221" i="39"/>
  <c r="OZ219" i="39"/>
  <c r="PF219" i="39"/>
  <c r="PM219" i="39" s="1"/>
  <c r="PE218" i="39"/>
  <c r="PF217" i="39"/>
  <c r="PM217" i="39" s="1"/>
  <c r="OZ217" i="39"/>
  <c r="PA216" i="39"/>
  <c r="PC215" i="39"/>
  <c r="PC222" i="39"/>
  <c r="PA221" i="39"/>
  <c r="PB220" i="39"/>
  <c r="OY219" i="39"/>
  <c r="PC219" i="39"/>
  <c r="PB218" i="39"/>
  <c r="PE217" i="39"/>
  <c r="OY216" i="39"/>
  <c r="PF216" i="39"/>
  <c r="PM216" i="39" s="1"/>
  <c r="PB222" i="39"/>
  <c r="OZ222" i="39"/>
  <c r="PD220" i="39"/>
  <c r="PB219" i="39"/>
  <c r="PD218" i="39"/>
  <c r="PB217" i="39"/>
  <c r="PD216" i="39"/>
  <c r="PE215" i="39"/>
  <c r="PD221" i="39"/>
  <c r="PE222" i="39"/>
  <c r="PE220" i="39"/>
  <c r="PA219" i="39"/>
  <c r="PC218" i="39"/>
  <c r="OY218" i="39"/>
  <c r="PA217" i="39"/>
  <c r="PG216" i="39"/>
  <c r="PN216" i="39" s="1"/>
  <c r="PB216" i="39"/>
  <c r="PF221" i="39"/>
  <c r="PM221" i="39" s="1"/>
  <c r="PG219" i="39"/>
  <c r="PN219" i="39" s="1"/>
  <c r="PF218" i="39"/>
  <c r="PM218" i="39" s="1"/>
  <c r="PG218" i="39"/>
  <c r="PN218" i="39" s="1"/>
  <c r="PF215" i="39"/>
  <c r="PM215" i="39" s="1"/>
  <c r="PA215" i="39"/>
  <c r="PG222" i="39"/>
  <c r="PN222" i="39" s="1"/>
  <c r="PE221" i="39"/>
  <c r="PF223" i="39"/>
  <c r="PM223" i="39" s="1"/>
  <c r="PB223" i="39"/>
  <c r="OZ223" i="39"/>
  <c r="PG223" i="39"/>
  <c r="PN223" i="39" s="1"/>
  <c r="PC223" i="39"/>
  <c r="OY223" i="39"/>
  <c r="PD223" i="39"/>
  <c r="PE223" i="39"/>
  <c r="PA223" i="39"/>
  <c r="NU213" i="39"/>
  <c r="OX223" i="39"/>
  <c r="OX232" i="39" s="1"/>
  <c r="OW232" i="39"/>
  <c r="AJI45" i="50"/>
  <c r="UE40" i="50" s="1"/>
  <c r="AJI48" i="50"/>
  <c r="UW32" i="50" s="1"/>
  <c r="AJI49" i="50"/>
  <c r="VC38" i="50" s="1"/>
  <c r="AFX47" i="50"/>
  <c r="AFX42" i="50"/>
  <c r="AJI47" i="50"/>
  <c r="AJI42" i="50"/>
  <c r="TM33" i="50" s="1"/>
  <c r="AGH48" i="50"/>
  <c r="AFX49" i="50"/>
  <c r="AFX44" i="50"/>
  <c r="AGH44" i="50"/>
  <c r="AGH45" i="50"/>
  <c r="AGH47" i="50"/>
  <c r="AJI43" i="50"/>
  <c r="AGH43" i="50"/>
  <c r="AJI46" i="50"/>
  <c r="AJI44" i="50"/>
  <c r="AGH42" i="50"/>
  <c r="CL157" i="55"/>
  <c r="AC157" i="55"/>
  <c r="AP157" i="55"/>
  <c r="AX157" i="55"/>
  <c r="BF157" i="55"/>
  <c r="BN157" i="55"/>
  <c r="BV157" i="55"/>
  <c r="CD157" i="55"/>
  <c r="AFX45" i="50"/>
  <c r="AFX48" i="50"/>
  <c r="AFX43" i="50"/>
  <c r="AGH46" i="50"/>
  <c r="AFH42" i="50"/>
  <c r="AFX46" i="50"/>
  <c r="AFP46" i="50"/>
  <c r="AFH45" i="50"/>
  <c r="BF255" i="55"/>
  <c r="AFH47" i="50"/>
  <c r="BV255" i="55"/>
  <c r="AFP48" i="50"/>
  <c r="CD262" i="55"/>
  <c r="AFH48" i="50"/>
  <c r="CD255" i="55"/>
  <c r="AFP42" i="50"/>
  <c r="AC262" i="55"/>
  <c r="AFH43" i="50"/>
  <c r="AP255" i="55"/>
  <c r="AFP44" i="50"/>
  <c r="AX262" i="55"/>
  <c r="AFP43" i="50"/>
  <c r="AP262" i="55"/>
  <c r="AFH46" i="50"/>
  <c r="BN255" i="55"/>
  <c r="AFP45" i="50"/>
  <c r="BF262" i="55"/>
  <c r="AFH49" i="50"/>
  <c r="CL255" i="55"/>
  <c r="AFP47" i="50"/>
  <c r="BV262" i="55"/>
  <c r="AFH44" i="50"/>
  <c r="AX255" i="55"/>
  <c r="AFP49" i="50"/>
  <c r="CL262" i="55"/>
  <c r="AP248" i="55"/>
  <c r="CL248" i="55"/>
  <c r="CD248" i="55"/>
  <c r="BF248" i="55"/>
  <c r="BV248" i="55"/>
  <c r="AC248" i="55"/>
  <c r="BN248" i="55"/>
  <c r="AX248" i="55"/>
  <c r="BN101" i="55"/>
  <c r="CL101" i="55"/>
  <c r="CD101" i="55"/>
  <c r="BV101" i="55"/>
  <c r="AX101" i="55"/>
  <c r="AP316" i="55"/>
  <c r="ASH43" i="50"/>
  <c r="BN316" i="55"/>
  <c r="ASH46" i="50"/>
  <c r="BF319" i="55"/>
  <c r="ASQ45" i="50"/>
  <c r="AP319" i="55"/>
  <c r="ASQ43" i="50"/>
  <c r="CL319" i="55"/>
  <c r="ASQ49" i="50"/>
  <c r="ASQ42" i="50"/>
  <c r="AC319" i="55"/>
  <c r="BV316" i="55"/>
  <c r="ASH47" i="50"/>
  <c r="CL316" i="55"/>
  <c r="ASH49" i="50"/>
  <c r="AX316" i="55"/>
  <c r="ASH44" i="50"/>
  <c r="BN319" i="55"/>
  <c r="ASQ46" i="50"/>
  <c r="AC316" i="55"/>
  <c r="ASH42" i="50"/>
  <c r="BV319" i="55"/>
  <c r="ASQ47" i="50"/>
  <c r="AX319" i="55"/>
  <c r="ASQ44" i="50"/>
  <c r="ASQ48" i="50"/>
  <c r="CD319" i="55"/>
  <c r="BF316" i="55"/>
  <c r="ASH45" i="50"/>
  <c r="CD316" i="55"/>
  <c r="ASH48" i="50"/>
  <c r="AC237" i="55"/>
  <c r="AMD42" i="50"/>
  <c r="WR33" i="50" s="1"/>
  <c r="AC239" i="55"/>
  <c r="AMM42" i="50"/>
  <c r="WS33" i="50" s="1"/>
  <c r="AC213" i="55"/>
  <c r="AKK42" i="50"/>
  <c r="AC217" i="55"/>
  <c r="AKS42" i="50"/>
  <c r="AC219" i="55"/>
  <c r="ALB42" i="50"/>
  <c r="BF239" i="55"/>
  <c r="AMM45" i="50"/>
  <c r="WY33" i="50" s="1"/>
  <c r="BN213" i="55"/>
  <c r="AKK46" i="50"/>
  <c r="BV213" i="55"/>
  <c r="AKK47" i="50"/>
  <c r="AX237" i="55"/>
  <c r="AMD44" i="50"/>
  <c r="WV33" i="50" s="1"/>
  <c r="BF237" i="55"/>
  <c r="AMD45" i="50"/>
  <c r="WX33" i="50" s="1"/>
  <c r="BN233" i="55"/>
  <c r="ALU46" i="50"/>
  <c r="BF213" i="55"/>
  <c r="AKK45" i="50"/>
  <c r="AX213" i="55"/>
  <c r="AKK44" i="50"/>
  <c r="AX219" i="55"/>
  <c r="ALB44" i="50"/>
  <c r="AX239" i="55"/>
  <c r="AMM44" i="50"/>
  <c r="WW33" i="50" s="1"/>
  <c r="AP217" i="55"/>
  <c r="AKS43" i="50"/>
  <c r="AX233" i="55"/>
  <c r="ALU44" i="50"/>
  <c r="AP233" i="55"/>
  <c r="ALU43" i="50"/>
  <c r="AP237" i="55"/>
  <c r="AMD43" i="50"/>
  <c r="WT33" i="50" s="1"/>
  <c r="CD213" i="55"/>
  <c r="AKK48" i="50"/>
  <c r="AP239" i="55"/>
  <c r="AMM43" i="50"/>
  <c r="WU33" i="50" s="1"/>
  <c r="AP219" i="55"/>
  <c r="ALB43" i="50"/>
  <c r="BF217" i="55"/>
  <c r="AKS45" i="50"/>
  <c r="AP213" i="55"/>
  <c r="AKK43" i="50"/>
  <c r="BF233" i="55"/>
  <c r="ALU45" i="50"/>
  <c r="BF219" i="55"/>
  <c r="ALB45" i="50"/>
  <c r="AX217" i="55"/>
  <c r="AKS44" i="50"/>
  <c r="CL213" i="55"/>
  <c r="AKK49" i="50"/>
  <c r="AMD46" i="50"/>
  <c r="WZ33" i="50" s="1"/>
  <c r="AMM46" i="50"/>
  <c r="XA33" i="50" s="1"/>
  <c r="BF85" i="55"/>
  <c r="ABR45" i="50"/>
  <c r="BF92" i="55"/>
  <c r="ACB45" i="50"/>
  <c r="QT38" i="50"/>
  <c r="QT35" i="50"/>
  <c r="QT37" i="50"/>
  <c r="QT36" i="50"/>
  <c r="QT39" i="50"/>
  <c r="QT34" i="50"/>
  <c r="QT41" i="50"/>
  <c r="QT32" i="50"/>
  <c r="QT40" i="50"/>
  <c r="BV92" i="55"/>
  <c r="ACB47" i="50"/>
  <c r="BV85" i="55"/>
  <c r="ABR47" i="50"/>
  <c r="CL92" i="55"/>
  <c r="ACB49" i="50"/>
  <c r="AX85" i="55"/>
  <c r="ABR44" i="50"/>
  <c r="AP85" i="55"/>
  <c r="ABR43" i="50"/>
  <c r="AC92" i="55"/>
  <c r="ACB42" i="50"/>
  <c r="AP92" i="55"/>
  <c r="ACB43" i="50"/>
  <c r="CL85" i="55"/>
  <c r="ABR49" i="50"/>
  <c r="AX92" i="55"/>
  <c r="ACB44" i="50"/>
  <c r="AC85" i="55"/>
  <c r="ABR42" i="50"/>
  <c r="BN92" i="55"/>
  <c r="ACB46" i="50"/>
  <c r="CD92" i="55"/>
  <c r="ACB48" i="50"/>
  <c r="BN85" i="55"/>
  <c r="ABR46" i="50"/>
  <c r="CD85" i="55"/>
  <c r="ABR48" i="50"/>
  <c r="AP101" i="55"/>
  <c r="ACL43" i="50"/>
  <c r="AC118" i="55"/>
  <c r="ADX42" i="50"/>
  <c r="AC120" i="55"/>
  <c r="AEF42" i="50"/>
  <c r="ON69" i="39"/>
  <c r="ON72" i="39"/>
  <c r="ON73" i="39"/>
  <c r="ON68" i="39"/>
  <c r="ON74" i="39"/>
  <c r="ON70" i="39"/>
  <c r="PB67" i="39"/>
  <c r="OM67" i="39"/>
  <c r="ON67" i="39"/>
  <c r="ARL49" i="50"/>
  <c r="ARC47" i="50"/>
  <c r="ARC49" i="50"/>
  <c r="ARL47" i="50"/>
  <c r="ARC48" i="50"/>
  <c r="ARC46" i="50"/>
  <c r="CD178" i="55"/>
  <c r="AQU48" i="50"/>
  <c r="BF169" i="55"/>
  <c r="AX182" i="55"/>
  <c r="ARC44" i="50"/>
  <c r="AIG48" i="50"/>
  <c r="CD136" i="55"/>
  <c r="AP169" i="55"/>
  <c r="CL178" i="55"/>
  <c r="AQU49" i="50"/>
  <c r="AP178" i="55"/>
  <c r="AQU43" i="50"/>
  <c r="CL165" i="55"/>
  <c r="BF165" i="55"/>
  <c r="BV165" i="55"/>
  <c r="CD165" i="55"/>
  <c r="BN165" i="55"/>
  <c r="AX184" i="55"/>
  <c r="ARL44" i="50"/>
  <c r="AP182" i="55"/>
  <c r="ARC43" i="50"/>
  <c r="AC171" i="55"/>
  <c r="AP165" i="55"/>
  <c r="AIG45" i="50"/>
  <c r="BF136" i="55"/>
  <c r="AX171" i="55"/>
  <c r="AP184" i="55"/>
  <c r="ARL43" i="50"/>
  <c r="BV178" i="55"/>
  <c r="AQU47" i="50"/>
  <c r="AX169" i="55"/>
  <c r="AC184" i="55"/>
  <c r="ARL42" i="50"/>
  <c r="BN178" i="55"/>
  <c r="AQU46" i="50"/>
  <c r="AIG44" i="50"/>
  <c r="AX136" i="55"/>
  <c r="AEZ42" i="50"/>
  <c r="AIG46" i="50"/>
  <c r="BN136" i="55"/>
  <c r="AJA47" i="50"/>
  <c r="AP171" i="55"/>
  <c r="AIG47" i="50"/>
  <c r="BV136" i="55"/>
  <c r="AC169" i="55"/>
  <c r="BF171" i="55"/>
  <c r="AC182" i="55"/>
  <c r="ARC42" i="50"/>
  <c r="BF178" i="55"/>
  <c r="AQU45" i="50"/>
  <c r="AC178" i="55"/>
  <c r="AQU42" i="50"/>
  <c r="AIG49" i="50"/>
  <c r="CL136" i="55"/>
  <c r="ARL48" i="50"/>
  <c r="AX178" i="55"/>
  <c r="AQU44" i="50"/>
  <c r="BF184" i="55"/>
  <c r="ARL45" i="50"/>
  <c r="BF182" i="55"/>
  <c r="ARC45" i="50"/>
  <c r="AX165" i="55"/>
  <c r="AIG43" i="50"/>
  <c r="AP136" i="55"/>
  <c r="AIG42" i="50"/>
  <c r="AC136" i="55"/>
  <c r="AX129" i="55"/>
  <c r="AEF47" i="50"/>
  <c r="BV120" i="55"/>
  <c r="AP114" i="55"/>
  <c r="ADN43" i="50"/>
  <c r="ADX44" i="50"/>
  <c r="AX118" i="55"/>
  <c r="ADX48" i="50"/>
  <c r="CD118" i="55"/>
  <c r="ADX45" i="50"/>
  <c r="BF118" i="55"/>
  <c r="AEF43" i="50"/>
  <c r="AP120" i="55"/>
  <c r="AEF49" i="50"/>
  <c r="CL120" i="55"/>
  <c r="CL129" i="55"/>
  <c r="AC129" i="55"/>
  <c r="ADX46" i="50"/>
  <c r="BN118" i="55"/>
  <c r="BN129" i="55"/>
  <c r="CD129" i="55"/>
  <c r="AEF44" i="50"/>
  <c r="AX120" i="55"/>
  <c r="AEF45" i="50"/>
  <c r="BF120" i="55"/>
  <c r="ADX47" i="50"/>
  <c r="BV118" i="55"/>
  <c r="ADX43" i="50"/>
  <c r="AP118" i="55"/>
  <c r="AP129" i="55"/>
  <c r="AEF46" i="50"/>
  <c r="BN120" i="55"/>
  <c r="BF129" i="55"/>
  <c r="BV129" i="55"/>
  <c r="AEF48" i="50"/>
  <c r="CD120" i="55"/>
  <c r="ADX49" i="50"/>
  <c r="CL118" i="55"/>
  <c r="BF107" i="55"/>
  <c r="AX105" i="55"/>
  <c r="CL105" i="55"/>
  <c r="ADN47" i="50"/>
  <c r="BV114" i="55"/>
  <c r="BN107" i="55"/>
  <c r="BV105" i="55"/>
  <c r="CL107" i="55"/>
  <c r="BF105" i="55"/>
  <c r="BV107" i="55"/>
  <c r="ADN42" i="50"/>
  <c r="AC114" i="55"/>
  <c r="ADN48" i="50"/>
  <c r="CD114" i="55"/>
  <c r="AP107" i="55"/>
  <c r="ADN49" i="50"/>
  <c r="CL114" i="55"/>
  <c r="AC105" i="55"/>
  <c r="ADN44" i="50"/>
  <c r="AX114" i="55"/>
  <c r="AX107" i="55"/>
  <c r="BN105" i="55"/>
  <c r="CD105" i="55"/>
  <c r="ADN46" i="50"/>
  <c r="BN114" i="55"/>
  <c r="AC107" i="55"/>
  <c r="AP105" i="55"/>
  <c r="CD107" i="55"/>
  <c r="ADN45" i="50"/>
  <c r="BF114" i="55"/>
  <c r="AJY43" i="50"/>
  <c r="AJY45" i="50"/>
  <c r="AJY47" i="50"/>
  <c r="AJY42" i="50"/>
  <c r="AJY44" i="50"/>
  <c r="AJY46" i="50"/>
  <c r="AJY48" i="50"/>
  <c r="AJY49" i="50"/>
  <c r="AC101" i="55"/>
  <c r="ACL42" i="50"/>
  <c r="ALU47" i="50"/>
  <c r="AMM48" i="50"/>
  <c r="XE33" i="50" s="1"/>
  <c r="ALU42" i="50"/>
  <c r="AMD47" i="50"/>
  <c r="AMM47" i="50"/>
  <c r="XC33" i="50" s="1"/>
  <c r="ALU49" i="50"/>
  <c r="AMD49" i="50"/>
  <c r="XF33" i="50" s="1"/>
  <c r="ALU48" i="50"/>
  <c r="AMM49" i="50"/>
  <c r="XG33" i="50" s="1"/>
  <c r="AMD48" i="50"/>
  <c r="XD33" i="50" s="1"/>
  <c r="ALK42" i="50"/>
  <c r="ARL46" i="50"/>
  <c r="ALK44" i="50"/>
  <c r="ALK45" i="50"/>
  <c r="ALK46" i="50"/>
  <c r="ALK43" i="50"/>
  <c r="ALK47" i="50"/>
  <c r="ALK48" i="50"/>
  <c r="ALK49" i="50"/>
  <c r="AC152" i="55"/>
  <c r="CD152" i="55"/>
  <c r="BN152" i="55"/>
  <c r="AP152" i="55"/>
  <c r="BF152" i="55"/>
  <c r="AX152" i="55"/>
  <c r="BV152" i="55"/>
  <c r="CL152" i="55"/>
  <c r="AKS49" i="50"/>
  <c r="ALB46" i="50"/>
  <c r="AJQ46" i="50"/>
  <c r="DB104" i="50" s="1"/>
  <c r="DC104" i="50" s="1"/>
  <c r="AJA42" i="50"/>
  <c r="TO32" i="50" s="1"/>
  <c r="AJQ44" i="50"/>
  <c r="DB102" i="50" s="1"/>
  <c r="DC102" i="50" s="1"/>
  <c r="AJA46" i="50"/>
  <c r="AJQ47" i="50"/>
  <c r="DB105" i="50" s="1"/>
  <c r="DC105" i="50" s="1"/>
  <c r="AEZ48" i="50"/>
  <c r="AJQ42" i="50"/>
  <c r="DB100" i="50" s="1"/>
  <c r="AJA44" i="50"/>
  <c r="AKS46" i="50"/>
  <c r="AJA48" i="50"/>
  <c r="AEZ44" i="50"/>
  <c r="AEZ49" i="50"/>
  <c r="AJA43" i="50"/>
  <c r="AJQ43" i="50"/>
  <c r="DB101" i="50" s="1"/>
  <c r="DC101" i="50" s="1"/>
  <c r="AJQ45" i="50"/>
  <c r="DB103" i="50" s="1"/>
  <c r="DC103" i="50" s="1"/>
  <c r="AEZ45" i="50"/>
  <c r="AJQ48" i="50"/>
  <c r="DB106" i="50" s="1"/>
  <c r="DC106" i="50" s="1"/>
  <c r="AJA49" i="50"/>
  <c r="ALB49" i="50"/>
  <c r="AEZ43" i="50"/>
  <c r="AJA45" i="50"/>
  <c r="AJQ49" i="50"/>
  <c r="DB107" i="50" s="1"/>
  <c r="DC107" i="50" s="1"/>
  <c r="ALB48" i="50"/>
  <c r="AEZ47" i="50"/>
  <c r="AEZ46" i="50"/>
  <c r="AKS48" i="50"/>
  <c r="AIQ48" i="50"/>
  <c r="ACU45" i="50"/>
  <c r="ADD47" i="50"/>
  <c r="AIQ43" i="50"/>
  <c r="ADD44" i="50"/>
  <c r="ACL46" i="50"/>
  <c r="ACL48" i="50"/>
  <c r="AIQ42" i="50"/>
  <c r="AIQ49" i="50"/>
  <c r="ACL44" i="50"/>
  <c r="AHW43" i="50"/>
  <c r="ACU46" i="50"/>
  <c r="ACU48" i="50"/>
  <c r="AHW45" i="50"/>
  <c r="ACU43" i="50"/>
  <c r="AHW47" i="50"/>
  <c r="ADD48" i="50"/>
  <c r="ADD43" i="50"/>
  <c r="AHW44" i="50"/>
  <c r="ACL45" i="50"/>
  <c r="AIQ44" i="50"/>
  <c r="AIQ47" i="50"/>
  <c r="ACL49" i="50"/>
  <c r="AHW46" i="50"/>
  <c r="ADD45" i="50"/>
  <c r="AIQ46" i="50"/>
  <c r="ACU44" i="50"/>
  <c r="ACL47" i="50"/>
  <c r="ACU49" i="50"/>
  <c r="AHW48" i="50"/>
  <c r="AHW49" i="50"/>
  <c r="ADD46" i="50"/>
  <c r="AIQ45" i="50"/>
  <c r="ACU47" i="50"/>
  <c r="ADD49" i="50"/>
  <c r="ABH43" i="50"/>
  <c r="AP76" i="55"/>
  <c r="CL76" i="55"/>
  <c r="ABH49" i="50"/>
  <c r="AX76" i="55"/>
  <c r="ABH44" i="50"/>
  <c r="BF76" i="55"/>
  <c r="ABH45" i="50"/>
  <c r="AC76" i="55"/>
  <c r="ABH42" i="50"/>
  <c r="BV76" i="55"/>
  <c r="ABH47" i="50"/>
  <c r="BN76" i="55"/>
  <c r="ABH46" i="50"/>
  <c r="CD76" i="55"/>
  <c r="ABH48" i="50"/>
  <c r="Z39" i="15"/>
  <c r="CB78" i="15"/>
  <c r="Z41" i="15"/>
  <c r="BL32" i="15"/>
  <c r="NT181" i="39" s="1"/>
  <c r="CD39" i="15"/>
  <c r="BL78" i="15"/>
  <c r="X32" i="15"/>
  <c r="NT176" i="39" s="1"/>
  <c r="BT78" i="15"/>
  <c r="Z43" i="15"/>
  <c r="CD43" i="15"/>
  <c r="BN43" i="15"/>
  <c r="BN39" i="15"/>
  <c r="OG182" i="39"/>
  <c r="NT218" i="39"/>
  <c r="OT222" i="39"/>
  <c r="OT231" i="39" s="1"/>
  <c r="OL222" i="39"/>
  <c r="OL231" i="39" s="1"/>
  <c r="OP221" i="39"/>
  <c r="OP230" i="39" s="1"/>
  <c r="OT220" i="39"/>
  <c r="OT229" i="39" s="1"/>
  <c r="OL220" i="39"/>
  <c r="OL229" i="39" s="1"/>
  <c r="OP219" i="39"/>
  <c r="OP228" i="39" s="1"/>
  <c r="OT218" i="39"/>
  <c r="OT227" i="39" s="1"/>
  <c r="OL218" i="39"/>
  <c r="OL227" i="39" s="1"/>
  <c r="OP217" i="39"/>
  <c r="OP226" i="39" s="1"/>
  <c r="OT216" i="39"/>
  <c r="OT225" i="39" s="1"/>
  <c r="OL216" i="39"/>
  <c r="OL225" i="39" s="1"/>
  <c r="OP215" i="39"/>
  <c r="OP224" i="39" s="1"/>
  <c r="OE222" i="39"/>
  <c r="OE231" i="39" s="1"/>
  <c r="OE221" i="39"/>
  <c r="OE230" i="39" s="1"/>
  <c r="OE220" i="39"/>
  <c r="OE229" i="39" s="1"/>
  <c r="OE219" i="39"/>
  <c r="OE228" i="39" s="1"/>
  <c r="OE218" i="39"/>
  <c r="OE227" i="39" s="1"/>
  <c r="OE217" i="39"/>
  <c r="OE226" i="39" s="1"/>
  <c r="OE216" i="39"/>
  <c r="OE225" i="39" s="1"/>
  <c r="OE215" i="39"/>
  <c r="OE224" i="39" s="1"/>
  <c r="OS222" i="39"/>
  <c r="OS231" i="39" s="1"/>
  <c r="OK222" i="39"/>
  <c r="OK231" i="39" s="1"/>
  <c r="OO221" i="39"/>
  <c r="OO230" i="39" s="1"/>
  <c r="OS220" i="39"/>
  <c r="OS229" i="39" s="1"/>
  <c r="OK220" i="39"/>
  <c r="OK229" i="39" s="1"/>
  <c r="OO219" i="39"/>
  <c r="OO228" i="39" s="1"/>
  <c r="OS218" i="39"/>
  <c r="OS227" i="39" s="1"/>
  <c r="OK218" i="39"/>
  <c r="OK227" i="39" s="1"/>
  <c r="OO217" i="39"/>
  <c r="OO226" i="39" s="1"/>
  <c r="OS216" i="39"/>
  <c r="OS225" i="39" s="1"/>
  <c r="OK216" i="39"/>
  <c r="OK225" i="39" s="1"/>
  <c r="OO215" i="39"/>
  <c r="OO224" i="39" s="1"/>
  <c r="OD222" i="39"/>
  <c r="OD231" i="39" s="1"/>
  <c r="OD221" i="39"/>
  <c r="OD230" i="39" s="1"/>
  <c r="OD220" i="39"/>
  <c r="OD229" i="39" s="1"/>
  <c r="OD219" i="39"/>
  <c r="OD228" i="39" s="1"/>
  <c r="OD217" i="39"/>
  <c r="OD226" i="39" s="1"/>
  <c r="OD216" i="39"/>
  <c r="OD225" i="39" s="1"/>
  <c r="OG216" i="39"/>
  <c r="OG225" i="39" s="1"/>
  <c r="OM222" i="39"/>
  <c r="OM231" i="39" s="1"/>
  <c r="OM218" i="39"/>
  <c r="OM227" i="39" s="1"/>
  <c r="OF222" i="39"/>
  <c r="OF231" i="39" s="1"/>
  <c r="OF220" i="39"/>
  <c r="OF229" i="39" s="1"/>
  <c r="OF216" i="39"/>
  <c r="OF225" i="39" s="1"/>
  <c r="OD218" i="39"/>
  <c r="OD227" i="39" s="1"/>
  <c r="OD215" i="39"/>
  <c r="OD224" i="39" s="1"/>
  <c r="OF218" i="39"/>
  <c r="OF227" i="39" s="1"/>
  <c r="OR222" i="39"/>
  <c r="OR231" i="39" s="1"/>
  <c r="ON221" i="39"/>
  <c r="ON230" i="39" s="1"/>
  <c r="OR220" i="39"/>
  <c r="OR229" i="39" s="1"/>
  <c r="ON219" i="39"/>
  <c r="ON228" i="39" s="1"/>
  <c r="OR218" i="39"/>
  <c r="OR227" i="39" s="1"/>
  <c r="ON217" i="39"/>
  <c r="ON226" i="39" s="1"/>
  <c r="OR216" i="39"/>
  <c r="OR225" i="39" s="1"/>
  <c r="ON215" i="39"/>
  <c r="ON224" i="39" s="1"/>
  <c r="OC222" i="39"/>
  <c r="OC231" i="39" s="1"/>
  <c r="OC221" i="39"/>
  <c r="OC230" i="39" s="1"/>
  <c r="OC220" i="39"/>
  <c r="OC229" i="39" s="1"/>
  <c r="OC219" i="39"/>
  <c r="OC228" i="39" s="1"/>
  <c r="OC218" i="39"/>
  <c r="OC227" i="39" s="1"/>
  <c r="OC217" i="39"/>
  <c r="OC226" i="39" s="1"/>
  <c r="OC216" i="39"/>
  <c r="OC225" i="39" s="1"/>
  <c r="OC215" i="39"/>
  <c r="OC224" i="39" s="1"/>
  <c r="OB221" i="39"/>
  <c r="OB230" i="39" s="1"/>
  <c r="OB219" i="39"/>
  <c r="OB228" i="39" s="1"/>
  <c r="OB217" i="39"/>
  <c r="OB226" i="39" s="1"/>
  <c r="OB215" i="39"/>
  <c r="OB224" i="39" s="1"/>
  <c r="OP222" i="39"/>
  <c r="OP231" i="39" s="1"/>
  <c r="OL221" i="39"/>
  <c r="OL230" i="39" s="1"/>
  <c r="OP220" i="39"/>
  <c r="OP229" i="39" s="1"/>
  <c r="OT219" i="39"/>
  <c r="OT228" i="39" s="1"/>
  <c r="OT217" i="39"/>
  <c r="OT226" i="39" s="1"/>
  <c r="OL215" i="39"/>
  <c r="OL224" i="39" s="1"/>
  <c r="OA221" i="39"/>
  <c r="OA230" i="39" s="1"/>
  <c r="OA219" i="39"/>
  <c r="OA228" i="39" s="1"/>
  <c r="OA217" i="39"/>
  <c r="OA226" i="39" s="1"/>
  <c r="OA215" i="39"/>
  <c r="OA224" i="39" s="1"/>
  <c r="OG220" i="39"/>
  <c r="OG229" i="39" s="1"/>
  <c r="OG217" i="39"/>
  <c r="OG226" i="39" s="1"/>
  <c r="OM216" i="39"/>
  <c r="OM225" i="39" s="1"/>
  <c r="OF219" i="39"/>
  <c r="OF228" i="39" s="1"/>
  <c r="OF215" i="39"/>
  <c r="OF224" i="39" s="1"/>
  <c r="OM221" i="39"/>
  <c r="OM230" i="39" s="1"/>
  <c r="OM219" i="39"/>
  <c r="OM228" i="39" s="1"/>
  <c r="OM217" i="39"/>
  <c r="OM226" i="39" s="1"/>
  <c r="OM215" i="39"/>
  <c r="OM224" i="39" s="1"/>
  <c r="OB222" i="39"/>
  <c r="OB231" i="39" s="1"/>
  <c r="OB220" i="39"/>
  <c r="OB229" i="39" s="1"/>
  <c r="OB218" i="39"/>
  <c r="OB227" i="39" s="1"/>
  <c r="OB216" i="39"/>
  <c r="OB225" i="39" s="1"/>
  <c r="OT221" i="39"/>
  <c r="OT230" i="39" s="1"/>
  <c r="OL219" i="39"/>
  <c r="OL228" i="39" s="1"/>
  <c r="OP218" i="39"/>
  <c r="OP227" i="39" s="1"/>
  <c r="OL217" i="39"/>
  <c r="OL226" i="39" s="1"/>
  <c r="OP216" i="39"/>
  <c r="OP225" i="39" s="1"/>
  <c r="OT215" i="39"/>
  <c r="OT224" i="39" s="1"/>
  <c r="OA222" i="39"/>
  <c r="OA231" i="39" s="1"/>
  <c r="OA220" i="39"/>
  <c r="OA229" i="39" s="1"/>
  <c r="OA218" i="39"/>
  <c r="OA227" i="39" s="1"/>
  <c r="OA216" i="39"/>
  <c r="OA225" i="39" s="1"/>
  <c r="OR215" i="39"/>
  <c r="OR224" i="39" s="1"/>
  <c r="OG219" i="39"/>
  <c r="OG228" i="39" s="1"/>
  <c r="OG215" i="39"/>
  <c r="OG224" i="39" s="1"/>
  <c r="OM220" i="39"/>
  <c r="OM229" i="39" s="1"/>
  <c r="OF221" i="39"/>
  <c r="OF230" i="39" s="1"/>
  <c r="OF217" i="39"/>
  <c r="OF226" i="39" s="1"/>
  <c r="OO222" i="39"/>
  <c r="OO231" i="39" s="1"/>
  <c r="OS221" i="39"/>
  <c r="OS230" i="39" s="1"/>
  <c r="OK221" i="39"/>
  <c r="OK230" i="39" s="1"/>
  <c r="OO220" i="39"/>
  <c r="OO229" i="39" s="1"/>
  <c r="OS219" i="39"/>
  <c r="OS228" i="39" s="1"/>
  <c r="OK219" i="39"/>
  <c r="OK228" i="39" s="1"/>
  <c r="OO218" i="39"/>
  <c r="OO227" i="39" s="1"/>
  <c r="OS217" i="39"/>
  <c r="OS226" i="39" s="1"/>
  <c r="OK217" i="39"/>
  <c r="OK226" i="39" s="1"/>
  <c r="OO216" i="39"/>
  <c r="OO225" i="39" s="1"/>
  <c r="OS215" i="39"/>
  <c r="OS224" i="39" s="1"/>
  <c r="OK215" i="39"/>
  <c r="OK224" i="39" s="1"/>
  <c r="NZ222" i="39"/>
  <c r="NZ231" i="39" s="1"/>
  <c r="NZ221" i="39"/>
  <c r="NZ230" i="39" s="1"/>
  <c r="NZ220" i="39"/>
  <c r="NZ229" i="39" s="1"/>
  <c r="NZ219" i="39"/>
  <c r="NZ228" i="39" s="1"/>
  <c r="NZ218" i="39"/>
  <c r="NZ227" i="39" s="1"/>
  <c r="NZ217" i="39"/>
  <c r="NZ226" i="39" s="1"/>
  <c r="NZ216" i="39"/>
  <c r="NZ225" i="39" s="1"/>
  <c r="NZ215" i="39"/>
  <c r="NZ224" i="39" s="1"/>
  <c r="ON222" i="39"/>
  <c r="ON231" i="39" s="1"/>
  <c r="OR221" i="39"/>
  <c r="OR230" i="39" s="1"/>
  <c r="ON220" i="39"/>
  <c r="ON229" i="39" s="1"/>
  <c r="OR219" i="39"/>
  <c r="OR228" i="39" s="1"/>
  <c r="ON218" i="39"/>
  <c r="ON227" i="39" s="1"/>
  <c r="OR217" i="39"/>
  <c r="OR226" i="39" s="1"/>
  <c r="ON216" i="39"/>
  <c r="ON225" i="39" s="1"/>
  <c r="OG222" i="39"/>
  <c r="OG231" i="39" s="1"/>
  <c r="OG221" i="39"/>
  <c r="OG230" i="39" s="1"/>
  <c r="OG218" i="39"/>
  <c r="OG227" i="39" s="1"/>
  <c r="NT215" i="39"/>
  <c r="NT224" i="39" s="1"/>
  <c r="PE74" i="39"/>
  <c r="PD74" i="39"/>
  <c r="OF74" i="39"/>
  <c r="OF92" i="39" s="1"/>
  <c r="OL74" i="39"/>
  <c r="OL92" i="39" s="1"/>
  <c r="OD74" i="39"/>
  <c r="OD92" i="39" s="1"/>
  <c r="OZ74" i="39"/>
  <c r="PG74" i="39"/>
  <c r="NZ74" i="39"/>
  <c r="NZ92" i="39" s="1"/>
  <c r="PC74" i="39"/>
  <c r="OB74" i="39"/>
  <c r="OB92" i="39" s="1"/>
  <c r="OP74" i="39"/>
  <c r="OC74" i="39"/>
  <c r="OC92" i="39" s="1"/>
  <c r="OO74" i="39"/>
  <c r="OX74" i="39"/>
  <c r="PF74" i="39"/>
  <c r="OY74" i="39"/>
  <c r="OE74" i="39"/>
  <c r="OE92" i="39" s="1"/>
  <c r="PH74" i="39"/>
  <c r="OH74" i="39"/>
  <c r="OH92" i="39" s="1"/>
  <c r="OM74" i="39"/>
  <c r="OQ74" i="39"/>
  <c r="OA74" i="39"/>
  <c r="OA92" i="39" s="1"/>
  <c r="PA74" i="39"/>
  <c r="PB74" i="39"/>
  <c r="OT74" i="39"/>
  <c r="OG74" i="39"/>
  <c r="OG92" i="39" s="1"/>
  <c r="OL73" i="39"/>
  <c r="OL91" i="39" s="1"/>
  <c r="PG73" i="39"/>
  <c r="OT73" i="39"/>
  <c r="PA73" i="39"/>
  <c r="OP73" i="39"/>
  <c r="OH73" i="39"/>
  <c r="OH91" i="39" s="1"/>
  <c r="OB73" i="39"/>
  <c r="OB91" i="39" s="1"/>
  <c r="OZ73" i="39"/>
  <c r="OG73" i="39"/>
  <c r="OG91" i="39" s="1"/>
  <c r="PH73" i="39"/>
  <c r="KT91" i="39" s="1"/>
  <c r="PC73" i="39"/>
  <c r="OX73" i="39"/>
  <c r="NZ73" i="39"/>
  <c r="NZ91" i="39" s="1"/>
  <c r="PD73" i="39"/>
  <c r="PE73" i="39"/>
  <c r="OC73" i="39"/>
  <c r="OC91" i="39" s="1"/>
  <c r="OM73" i="39"/>
  <c r="OA73" i="39"/>
  <c r="OA91" i="39" s="1"/>
  <c r="PF73" i="39"/>
  <c r="PB73" i="39"/>
  <c r="OO73" i="39"/>
  <c r="OY73" i="39"/>
  <c r="OD73" i="39"/>
  <c r="OD91" i="39" s="1"/>
  <c r="OQ73" i="39"/>
  <c r="OE73" i="39"/>
  <c r="OE91" i="39" s="1"/>
  <c r="OF73" i="39"/>
  <c r="OF91" i="39" s="1"/>
  <c r="PH72" i="39"/>
  <c r="KT90" i="39" s="1"/>
  <c r="OO72" i="39"/>
  <c r="OF72" i="39"/>
  <c r="OF90" i="39" s="1"/>
  <c r="OY72" i="39"/>
  <c r="OE72" i="39"/>
  <c r="OE90" i="39" s="1"/>
  <c r="PB72" i="39"/>
  <c r="PG72" i="39"/>
  <c r="OL72" i="39"/>
  <c r="OL90" i="39" s="1"/>
  <c r="OP72" i="39"/>
  <c r="OH72" i="39"/>
  <c r="OH90" i="39" s="1"/>
  <c r="NZ72" i="39"/>
  <c r="NZ90" i="39" s="1"/>
  <c r="OZ72" i="39"/>
  <c r="OG72" i="39"/>
  <c r="OG90" i="39" s="1"/>
  <c r="PC72" i="39"/>
  <c r="OQ72" i="39"/>
  <c r="OB72" i="39"/>
  <c r="OB90" i="39" s="1"/>
  <c r="OA72" i="39"/>
  <c r="OA90" i="39" s="1"/>
  <c r="PD72" i="39"/>
  <c r="OC72" i="39"/>
  <c r="OC90" i="39" s="1"/>
  <c r="OT72" i="39"/>
  <c r="OM72" i="39"/>
  <c r="OD72" i="39"/>
  <c r="OD90" i="39" s="1"/>
  <c r="PE72" i="39"/>
  <c r="OX72" i="39"/>
  <c r="PA72" i="39"/>
  <c r="PF72" i="39"/>
  <c r="NT217" i="39"/>
  <c r="NT226" i="39" s="1"/>
  <c r="NT219" i="39"/>
  <c r="NT228" i="39" s="1"/>
  <c r="NT216" i="39"/>
  <c r="NT225" i="39" s="1"/>
  <c r="NT222" i="39"/>
  <c r="NT231" i="39" s="1"/>
  <c r="NT220" i="39"/>
  <c r="NT229" i="39" s="1"/>
  <c r="NT221" i="39"/>
  <c r="NT230" i="39" s="1"/>
  <c r="NR434" i="39"/>
  <c r="PH67" i="39"/>
  <c r="KT85" i="39" s="1"/>
  <c r="OZ67" i="39"/>
  <c r="OL67" i="39"/>
  <c r="OL85" i="39" s="1"/>
  <c r="OB67" i="39"/>
  <c r="OB85" i="39" s="1"/>
  <c r="OX67" i="39"/>
  <c r="PG67" i="39"/>
  <c r="OY67" i="39"/>
  <c r="OH67" i="39"/>
  <c r="OH85" i="39" s="1"/>
  <c r="OA67" i="39"/>
  <c r="OA85" i="39" s="1"/>
  <c r="PF67" i="39"/>
  <c r="OG67" i="39"/>
  <c r="OG85" i="39" s="1"/>
  <c r="PE67" i="39"/>
  <c r="OT67" i="39"/>
  <c r="OF67" i="39"/>
  <c r="OF85" i="39" s="1"/>
  <c r="PD67" i="39"/>
  <c r="OQ67" i="39"/>
  <c r="OE67" i="39"/>
  <c r="OE85" i="39" s="1"/>
  <c r="OP67" i="39"/>
  <c r="OD67" i="39"/>
  <c r="OD85" i="39" s="1"/>
  <c r="OO67" i="39"/>
  <c r="OC67" i="39"/>
  <c r="OC85" i="39" s="1"/>
  <c r="PA67" i="39"/>
  <c r="NZ67" i="39"/>
  <c r="NZ85" i="39" s="1"/>
  <c r="PG68" i="39"/>
  <c r="OD68" i="39"/>
  <c r="OD86" i="39" s="1"/>
  <c r="OH68" i="39"/>
  <c r="OH86" i="39" s="1"/>
  <c r="PD68" i="39"/>
  <c r="OC68" i="39"/>
  <c r="OC86" i="39" s="1"/>
  <c r="OO68" i="39"/>
  <c r="OX68" i="39"/>
  <c r="OT68" i="39"/>
  <c r="PA68" i="39"/>
  <c r="NZ68" i="39"/>
  <c r="NZ86" i="39" s="1"/>
  <c r="OE68" i="39"/>
  <c r="OE86" i="39" s="1"/>
  <c r="PF68" i="39"/>
  <c r="OB68" i="39"/>
  <c r="OB86" i="39" s="1"/>
  <c r="PE68" i="39"/>
  <c r="OF68" i="39"/>
  <c r="OF86" i="39" s="1"/>
  <c r="OA68" i="39"/>
  <c r="OA86" i="39" s="1"/>
  <c r="OZ68" i="39"/>
  <c r="OG68" i="39"/>
  <c r="OG86" i="39" s="1"/>
  <c r="OL68" i="39"/>
  <c r="OL86" i="39" s="1"/>
  <c r="OM68" i="39"/>
  <c r="OQ68" i="39"/>
  <c r="PC68" i="39"/>
  <c r="OP68" i="39"/>
  <c r="OY68" i="39"/>
  <c r="PH68" i="39"/>
  <c r="KT86" i="39" s="1"/>
  <c r="PB68" i="39"/>
  <c r="PF70" i="39"/>
  <c r="OY70" i="39"/>
  <c r="PA70" i="39"/>
  <c r="PG70" i="39"/>
  <c r="OQ70" i="39"/>
  <c r="OA70" i="39"/>
  <c r="OA88" i="39" s="1"/>
  <c r="PD70" i="39"/>
  <c r="OC70" i="39"/>
  <c r="OC88" i="39" s="1"/>
  <c r="OL70" i="39"/>
  <c r="OL88" i="39" s="1"/>
  <c r="OD70" i="39"/>
  <c r="OD88" i="39" s="1"/>
  <c r="OO70" i="39"/>
  <c r="OF70" i="39"/>
  <c r="OF88" i="39" s="1"/>
  <c r="OG70" i="39"/>
  <c r="OG88" i="39" s="1"/>
  <c r="OZ70" i="39"/>
  <c r="PB70" i="39"/>
  <c r="OT70" i="39"/>
  <c r="PH70" i="39"/>
  <c r="KT88" i="39" s="1"/>
  <c r="OB70" i="39"/>
  <c r="OB88" i="39" s="1"/>
  <c r="PE70" i="39"/>
  <c r="OX70" i="39"/>
  <c r="OP70" i="39"/>
  <c r="NZ70" i="39"/>
  <c r="NZ88" i="39" s="1"/>
  <c r="OH70" i="39"/>
  <c r="OH88" i="39" s="1"/>
  <c r="OM70" i="39"/>
  <c r="OE70" i="39"/>
  <c r="OE88" i="39" s="1"/>
  <c r="PC70" i="39"/>
  <c r="PF69" i="39"/>
  <c r="OG69" i="39"/>
  <c r="OG87" i="39" s="1"/>
  <c r="OD69" i="39"/>
  <c r="OD87" i="39" s="1"/>
  <c r="OP69" i="39"/>
  <c r="OO69" i="39"/>
  <c r="PC69" i="39"/>
  <c r="NZ69" i="39"/>
  <c r="NZ87" i="39" s="1"/>
  <c r="OY69" i="39"/>
  <c r="PA69" i="39"/>
  <c r="PG69" i="39"/>
  <c r="OL69" i="39"/>
  <c r="OL87" i="39" s="1"/>
  <c r="OQ69" i="39"/>
  <c r="OE69" i="39"/>
  <c r="OE87" i="39" s="1"/>
  <c r="OC69" i="39"/>
  <c r="OC87" i="39" s="1"/>
  <c r="OF69" i="39"/>
  <c r="OF87" i="39" s="1"/>
  <c r="PD69" i="39"/>
  <c r="OM69" i="39"/>
  <c r="OZ69" i="39"/>
  <c r="OB69" i="39"/>
  <c r="OB87" i="39" s="1"/>
  <c r="PB69" i="39"/>
  <c r="OT69" i="39"/>
  <c r="OX69" i="39"/>
  <c r="PH69" i="39"/>
  <c r="KT87" i="39" s="1"/>
  <c r="OH69" i="39"/>
  <c r="OH87" i="39" s="1"/>
  <c r="OA69" i="39"/>
  <c r="OA87" i="39" s="1"/>
  <c r="PE69" i="39"/>
  <c r="BM225" i="39"/>
  <c r="BC12" i="39" s="1"/>
  <c r="PJ217" i="39" l="1"/>
  <c r="PJ222" i="39"/>
  <c r="PJ221" i="39"/>
  <c r="PJ223" i="39"/>
  <c r="PJ216" i="39"/>
  <c r="PJ220" i="39"/>
  <c r="PJ215" i="39"/>
  <c r="PJ219" i="39"/>
  <c r="PJ218" i="39"/>
  <c r="KW87" i="39"/>
  <c r="KW85" i="39"/>
  <c r="KW88" i="39"/>
  <c r="KW86" i="39"/>
  <c r="PT35" i="50"/>
  <c r="PT32" i="50"/>
  <c r="PT39" i="50"/>
  <c r="PT34" i="50"/>
  <c r="PT38" i="50"/>
  <c r="PT41" i="50"/>
  <c r="PT33" i="50"/>
  <c r="PU33" i="50" s="1"/>
  <c r="PT40" i="50"/>
  <c r="PT36" i="50"/>
  <c r="PT37" i="50"/>
  <c r="QD40" i="50"/>
  <c r="QD36" i="50"/>
  <c r="QD41" i="50"/>
  <c r="QD39" i="50"/>
  <c r="QD35" i="50"/>
  <c r="QD38" i="50"/>
  <c r="QD37" i="50"/>
  <c r="QD32" i="50"/>
  <c r="QD33" i="50"/>
  <c r="QE33" i="50" s="1"/>
  <c r="QD34" i="50"/>
  <c r="QF41" i="50"/>
  <c r="QF40" i="50"/>
  <c r="QF32" i="50"/>
  <c r="QF37" i="50"/>
  <c r="QF39" i="50"/>
  <c r="QF38" i="50"/>
  <c r="QF36" i="50"/>
  <c r="QF33" i="50"/>
  <c r="QG33" i="50" s="1"/>
  <c r="QF34" i="50"/>
  <c r="QF35" i="50"/>
  <c r="QB39" i="50"/>
  <c r="QB38" i="50"/>
  <c r="QB32" i="50"/>
  <c r="QB37" i="50"/>
  <c r="QB35" i="50"/>
  <c r="QB33" i="50"/>
  <c r="QC33" i="50" s="1"/>
  <c r="QB36" i="50"/>
  <c r="QB34" i="50"/>
  <c r="QB40" i="50"/>
  <c r="QB41" i="50"/>
  <c r="PZ38" i="50"/>
  <c r="PZ34" i="50"/>
  <c r="PZ33" i="50"/>
  <c r="QA33" i="50" s="1"/>
  <c r="PZ37" i="50"/>
  <c r="PZ32" i="50"/>
  <c r="PZ36" i="50"/>
  <c r="PZ35" i="50"/>
  <c r="PZ41" i="50"/>
  <c r="PZ39" i="50"/>
  <c r="PZ40" i="50"/>
  <c r="PX37" i="50"/>
  <c r="PX41" i="50"/>
  <c r="PX36" i="50"/>
  <c r="PX35" i="50"/>
  <c r="PX34" i="50"/>
  <c r="PX40" i="50"/>
  <c r="PX39" i="50"/>
  <c r="PX32" i="50"/>
  <c r="PX33" i="50"/>
  <c r="PY33" i="50" s="1"/>
  <c r="PX38" i="50"/>
  <c r="PV36" i="50"/>
  <c r="PV37" i="50"/>
  <c r="PV35" i="50"/>
  <c r="PV33" i="50"/>
  <c r="PW33" i="50" s="1"/>
  <c r="PV34" i="50"/>
  <c r="PV40" i="50"/>
  <c r="PV41" i="50"/>
  <c r="PV32" i="50"/>
  <c r="PV39" i="50"/>
  <c r="PV38" i="50"/>
  <c r="PR33" i="50"/>
  <c r="PS33" i="50" s="1"/>
  <c r="PR34" i="50"/>
  <c r="PR35" i="50"/>
  <c r="PR36" i="50"/>
  <c r="PR37" i="50"/>
  <c r="PR38" i="50"/>
  <c r="PR39" i="50"/>
  <c r="PR40" i="50"/>
  <c r="PR41" i="50"/>
  <c r="PR32" i="50"/>
  <c r="PG33" i="50"/>
  <c r="PH33" i="50" s="1"/>
  <c r="PG37" i="50"/>
  <c r="PG41" i="50"/>
  <c r="PG36" i="50"/>
  <c r="PG40" i="50"/>
  <c r="PG35" i="50"/>
  <c r="PG39" i="50"/>
  <c r="PG32" i="50"/>
  <c r="PG34" i="50"/>
  <c r="PG38" i="50"/>
  <c r="PE35" i="50"/>
  <c r="PE39" i="50"/>
  <c r="PE34" i="50"/>
  <c r="PE38" i="50"/>
  <c r="PE32" i="50"/>
  <c r="PE36" i="50"/>
  <c r="PE40" i="50"/>
  <c r="PE33" i="50"/>
  <c r="PF33" i="50" s="1"/>
  <c r="PE37" i="50"/>
  <c r="PE41" i="50"/>
  <c r="PC34" i="50"/>
  <c r="PC38" i="50"/>
  <c r="PC33" i="50"/>
  <c r="PD33" i="50" s="1"/>
  <c r="PC37" i="50"/>
  <c r="PC41" i="50"/>
  <c r="PC32" i="50"/>
  <c r="PC35" i="50"/>
  <c r="PC39" i="50"/>
  <c r="PC36" i="50"/>
  <c r="PC40" i="50"/>
  <c r="PO35" i="50"/>
  <c r="PO39" i="50"/>
  <c r="PO34" i="50"/>
  <c r="PO38" i="50"/>
  <c r="PO36" i="50"/>
  <c r="PO33" i="50"/>
  <c r="PP33" i="50" s="1"/>
  <c r="PO37" i="50"/>
  <c r="PO41" i="50"/>
  <c r="PO40" i="50"/>
  <c r="PO32" i="50"/>
  <c r="PK35" i="50"/>
  <c r="PK39" i="50"/>
  <c r="PK34" i="50"/>
  <c r="PK38" i="50"/>
  <c r="PK32" i="50"/>
  <c r="PK41" i="50"/>
  <c r="PK33" i="50"/>
  <c r="PL33" i="50" s="1"/>
  <c r="PK37" i="50"/>
  <c r="PK36" i="50"/>
  <c r="PK40" i="50"/>
  <c r="PI34" i="50"/>
  <c r="PI38" i="50"/>
  <c r="PI33" i="50"/>
  <c r="PJ33" i="50" s="1"/>
  <c r="PI37" i="50"/>
  <c r="PI41" i="50"/>
  <c r="PI32" i="50"/>
  <c r="PI36" i="50"/>
  <c r="PI40" i="50"/>
  <c r="PI35" i="50"/>
  <c r="PI39" i="50"/>
  <c r="PA32" i="50"/>
  <c r="PA33" i="50"/>
  <c r="PB33" i="50" s="1"/>
  <c r="PA37" i="50"/>
  <c r="PA41" i="50"/>
  <c r="PA36" i="50"/>
  <c r="PA40" i="50"/>
  <c r="PA34" i="50"/>
  <c r="PA35" i="50"/>
  <c r="PA39" i="50"/>
  <c r="PA38" i="50"/>
  <c r="PM36" i="50"/>
  <c r="PM40" i="50"/>
  <c r="PM35" i="50"/>
  <c r="PM39" i="50"/>
  <c r="PM32" i="50"/>
  <c r="PM34" i="50"/>
  <c r="PM38" i="50"/>
  <c r="PM33" i="50"/>
  <c r="PN33" i="50" s="1"/>
  <c r="PM37" i="50"/>
  <c r="PM41" i="50"/>
  <c r="NL32" i="50"/>
  <c r="NL35" i="50"/>
  <c r="NL41" i="50"/>
  <c r="NL33" i="50"/>
  <c r="NL37" i="50"/>
  <c r="NL39" i="50"/>
  <c r="NL34" i="50"/>
  <c r="NL36" i="50"/>
  <c r="NL40" i="50"/>
  <c r="NL38" i="50"/>
  <c r="ND32" i="50"/>
  <c r="ND36" i="50"/>
  <c r="ND40" i="50"/>
  <c r="ND33" i="50"/>
  <c r="ND37" i="50"/>
  <c r="ND38" i="50"/>
  <c r="ND39" i="50"/>
  <c r="ND41" i="50"/>
  <c r="ND34" i="50"/>
  <c r="ND35" i="50"/>
  <c r="NF32" i="50"/>
  <c r="NF38" i="50"/>
  <c r="NF40" i="50"/>
  <c r="NF34" i="50"/>
  <c r="NF36" i="50"/>
  <c r="NF33" i="50"/>
  <c r="NF35" i="50"/>
  <c r="NF37" i="50"/>
  <c r="NF39" i="50"/>
  <c r="NF41" i="50"/>
  <c r="NH32" i="50"/>
  <c r="NH39" i="50"/>
  <c r="NH41" i="50"/>
  <c r="NH34" i="50"/>
  <c r="NH38" i="50"/>
  <c r="NH40" i="50"/>
  <c r="NH33" i="50"/>
  <c r="NH35" i="50"/>
  <c r="NH37" i="50"/>
  <c r="NH36" i="50"/>
  <c r="MZ32" i="50"/>
  <c r="MZ35" i="50"/>
  <c r="MZ37" i="50"/>
  <c r="MZ39" i="50"/>
  <c r="MZ41" i="50"/>
  <c r="MZ34" i="50"/>
  <c r="MZ36" i="50"/>
  <c r="MZ38" i="50"/>
  <c r="MZ40" i="50"/>
  <c r="MZ33" i="50"/>
  <c r="NB32" i="50"/>
  <c r="NB37" i="50"/>
  <c r="NB33" i="50"/>
  <c r="NB35" i="50"/>
  <c r="NB41" i="50"/>
  <c r="NB34" i="50"/>
  <c r="NB39" i="50"/>
  <c r="NB36" i="50"/>
  <c r="NB38" i="50"/>
  <c r="NB40" i="50"/>
  <c r="NJ32" i="50"/>
  <c r="NJ33" i="50"/>
  <c r="NJ35" i="50"/>
  <c r="NJ39" i="50"/>
  <c r="NJ41" i="50"/>
  <c r="NJ37" i="50"/>
  <c r="NJ36" i="50"/>
  <c r="NJ38" i="50"/>
  <c r="NJ34" i="50"/>
  <c r="NJ40" i="50"/>
  <c r="LZ33" i="50"/>
  <c r="MA33" i="50" s="1"/>
  <c r="LZ36" i="50"/>
  <c r="MA36" i="50" s="1"/>
  <c r="LZ38" i="50"/>
  <c r="MA38" i="50" s="1"/>
  <c r="LZ39" i="50"/>
  <c r="MA39" i="50" s="1"/>
  <c r="LZ34" i="50"/>
  <c r="MA34" i="50" s="1"/>
  <c r="LZ35" i="50"/>
  <c r="MA35" i="50" s="1"/>
  <c r="LZ32" i="50"/>
  <c r="MA32" i="50" s="1"/>
  <c r="LZ37" i="50"/>
  <c r="MA37" i="50" s="1"/>
  <c r="LZ40" i="50"/>
  <c r="MA40" i="50" s="1"/>
  <c r="LZ41" i="50"/>
  <c r="MA41" i="50" s="1"/>
  <c r="MH34" i="50"/>
  <c r="MI34" i="50" s="1"/>
  <c r="MH39" i="50"/>
  <c r="MI39" i="50" s="1"/>
  <c r="MH35" i="50"/>
  <c r="MI35" i="50" s="1"/>
  <c r="MH40" i="50"/>
  <c r="MI40" i="50" s="1"/>
  <c r="MH32" i="50"/>
  <c r="MI32" i="50" s="1"/>
  <c r="MH36" i="50"/>
  <c r="MI36" i="50" s="1"/>
  <c r="MH37" i="50"/>
  <c r="MI37" i="50" s="1"/>
  <c r="MH41" i="50"/>
  <c r="MI41" i="50" s="1"/>
  <c r="MH33" i="50"/>
  <c r="MI33" i="50" s="1"/>
  <c r="MH38" i="50"/>
  <c r="MI38" i="50" s="1"/>
  <c r="MB40" i="50"/>
  <c r="MC40" i="50" s="1"/>
  <c r="MB37" i="50"/>
  <c r="MC37" i="50" s="1"/>
  <c r="MB41" i="50"/>
  <c r="MC41" i="50" s="1"/>
  <c r="MB36" i="50"/>
  <c r="MC36" i="50" s="1"/>
  <c r="MB33" i="50"/>
  <c r="MC33" i="50" s="1"/>
  <c r="MB38" i="50"/>
  <c r="MC38" i="50" s="1"/>
  <c r="MB39" i="50"/>
  <c r="MC39" i="50" s="1"/>
  <c r="MB32" i="50"/>
  <c r="MC32" i="50" s="1"/>
  <c r="MB34" i="50"/>
  <c r="MC34" i="50" s="1"/>
  <c r="MB35" i="50"/>
  <c r="MC35" i="50" s="1"/>
  <c r="MX40" i="50"/>
  <c r="MX32" i="50"/>
  <c r="MX39" i="50"/>
  <c r="MX36" i="50"/>
  <c r="MX41" i="50"/>
  <c r="MX38" i="50"/>
  <c r="MX37" i="50"/>
  <c r="MX35" i="50"/>
  <c r="MX33" i="50"/>
  <c r="MX34" i="50"/>
  <c r="MD35" i="50"/>
  <c r="ME35" i="50" s="1"/>
  <c r="MD40" i="50"/>
  <c r="ME40" i="50" s="1"/>
  <c r="MD36" i="50"/>
  <c r="ME36" i="50" s="1"/>
  <c r="MD37" i="50"/>
  <c r="ME37" i="50" s="1"/>
  <c r="MD41" i="50"/>
  <c r="ME41" i="50" s="1"/>
  <c r="MD32" i="50"/>
  <c r="ME32" i="50" s="1"/>
  <c r="MD33" i="50"/>
  <c r="ME33" i="50" s="1"/>
  <c r="MD38" i="50"/>
  <c r="ME38" i="50" s="1"/>
  <c r="MD34" i="50"/>
  <c r="ME34" i="50" s="1"/>
  <c r="MD39" i="50"/>
  <c r="ME39" i="50" s="1"/>
  <c r="MJ33" i="50"/>
  <c r="MK33" i="50" s="1"/>
  <c r="MJ38" i="50"/>
  <c r="MK38" i="50" s="1"/>
  <c r="MJ34" i="50"/>
  <c r="MK34" i="50" s="1"/>
  <c r="MJ32" i="50"/>
  <c r="MK32" i="50" s="1"/>
  <c r="MJ39" i="50"/>
  <c r="MK39" i="50" s="1"/>
  <c r="MJ40" i="50"/>
  <c r="MK40" i="50" s="1"/>
  <c r="MJ35" i="50"/>
  <c r="MK35" i="50" s="1"/>
  <c r="MJ36" i="50"/>
  <c r="MK36" i="50" s="1"/>
  <c r="MJ37" i="50"/>
  <c r="MK37" i="50" s="1"/>
  <c r="MJ41" i="50"/>
  <c r="MK41" i="50" s="1"/>
  <c r="ML37" i="50"/>
  <c r="MM37" i="50" s="1"/>
  <c r="ML41" i="50"/>
  <c r="MM41" i="50" s="1"/>
  <c r="ML32" i="50"/>
  <c r="MM32" i="50" s="1"/>
  <c r="ML38" i="50"/>
  <c r="MM38" i="50" s="1"/>
  <c r="ML33" i="50"/>
  <c r="MM33" i="50" s="1"/>
  <c r="ML34" i="50"/>
  <c r="MM34" i="50" s="1"/>
  <c r="ML39" i="50"/>
  <c r="MM39" i="50" s="1"/>
  <c r="ML36" i="50"/>
  <c r="MM36" i="50" s="1"/>
  <c r="ML40" i="50"/>
  <c r="MM40" i="50" s="1"/>
  <c r="ML35" i="50"/>
  <c r="MM35" i="50" s="1"/>
  <c r="MF41" i="50"/>
  <c r="MG41" i="50" s="1"/>
  <c r="MF37" i="50"/>
  <c r="MG37" i="50" s="1"/>
  <c r="MF32" i="50"/>
  <c r="MG32" i="50" s="1"/>
  <c r="MF34" i="50"/>
  <c r="MG34" i="50" s="1"/>
  <c r="MF39" i="50"/>
  <c r="MG39" i="50" s="1"/>
  <c r="MF35" i="50"/>
  <c r="MG35" i="50" s="1"/>
  <c r="MF33" i="50"/>
  <c r="MG33" i="50" s="1"/>
  <c r="MF40" i="50"/>
  <c r="MG40" i="50" s="1"/>
  <c r="MF38" i="50"/>
  <c r="MG38" i="50" s="1"/>
  <c r="MF36" i="50"/>
  <c r="MG36" i="50" s="1"/>
  <c r="LX37" i="50"/>
  <c r="LY37" i="50" s="1"/>
  <c r="LX38" i="50"/>
  <c r="LY38" i="50" s="1"/>
  <c r="LX39" i="50"/>
  <c r="LY39" i="50" s="1"/>
  <c r="LX40" i="50"/>
  <c r="LY40" i="50" s="1"/>
  <c r="LX32" i="50"/>
  <c r="LY32" i="50" s="1"/>
  <c r="LX33" i="50"/>
  <c r="LY33" i="50" s="1"/>
  <c r="LX41" i="50"/>
  <c r="LY41" i="50" s="1"/>
  <c r="LX35" i="50"/>
  <c r="LY35" i="50" s="1"/>
  <c r="LX34" i="50"/>
  <c r="LY34" i="50" s="1"/>
  <c r="LX36" i="50"/>
  <c r="LY36" i="50" s="1"/>
  <c r="OJ40" i="50"/>
  <c r="OK40" i="50" s="1"/>
  <c r="OJ34" i="50"/>
  <c r="OK34" i="50" s="1"/>
  <c r="OJ36" i="50"/>
  <c r="OK36" i="50" s="1"/>
  <c r="OJ38" i="50"/>
  <c r="OK38" i="50" s="1"/>
  <c r="PS38" i="50" s="1"/>
  <c r="OJ35" i="50"/>
  <c r="OK35" i="50" s="1"/>
  <c r="OJ32" i="50"/>
  <c r="OK32" i="50" s="1"/>
  <c r="OJ37" i="50"/>
  <c r="OK37" i="50" s="1"/>
  <c r="OJ39" i="50"/>
  <c r="OK39" i="50" s="1"/>
  <c r="OJ41" i="50"/>
  <c r="OK41" i="50" s="1"/>
  <c r="OR37" i="50"/>
  <c r="OS37" i="50" s="1"/>
  <c r="OR36" i="50"/>
  <c r="OS36" i="50" s="1"/>
  <c r="OR40" i="50"/>
  <c r="OS40" i="50" s="1"/>
  <c r="OR39" i="50"/>
  <c r="OS39" i="50" s="1"/>
  <c r="OR32" i="50"/>
  <c r="OS32" i="50" s="1"/>
  <c r="OR34" i="50"/>
  <c r="OS34" i="50" s="1"/>
  <c r="OR38" i="50"/>
  <c r="OS38" i="50" s="1"/>
  <c r="OR35" i="50"/>
  <c r="OS35" i="50" s="1"/>
  <c r="OR41" i="50"/>
  <c r="OS41" i="50" s="1"/>
  <c r="ON35" i="50"/>
  <c r="OO35" i="50" s="1"/>
  <c r="ON41" i="50"/>
  <c r="OO41" i="50" s="1"/>
  <c r="ON32" i="50"/>
  <c r="OO32" i="50" s="1"/>
  <c r="ON40" i="50"/>
  <c r="OO40" i="50" s="1"/>
  <c r="ON38" i="50"/>
  <c r="OO38" i="50" s="1"/>
  <c r="ON39" i="50"/>
  <c r="OO39" i="50" s="1"/>
  <c r="ON34" i="50"/>
  <c r="OO34" i="50" s="1"/>
  <c r="PW34" i="50" s="1"/>
  <c r="ON37" i="50"/>
  <c r="OO37" i="50" s="1"/>
  <c r="ON36" i="50"/>
  <c r="OO36" i="50" s="1"/>
  <c r="OP40" i="50"/>
  <c r="OQ40" i="50" s="1"/>
  <c r="OP37" i="50"/>
  <c r="OQ37" i="50" s="1"/>
  <c r="OP41" i="50"/>
  <c r="OQ41" i="50" s="1"/>
  <c r="OP39" i="50"/>
  <c r="OQ39" i="50" s="1"/>
  <c r="OP36" i="50"/>
  <c r="OQ36" i="50" s="1"/>
  <c r="OP32" i="50"/>
  <c r="OQ32" i="50" s="1"/>
  <c r="OP34" i="50"/>
  <c r="OQ34" i="50" s="1"/>
  <c r="OP38" i="50"/>
  <c r="OQ38" i="50" s="1"/>
  <c r="OP35" i="50"/>
  <c r="OQ35" i="50" s="1"/>
  <c r="OX40" i="50"/>
  <c r="OY40" i="50" s="1"/>
  <c r="OX38" i="50"/>
  <c r="OY38" i="50" s="1"/>
  <c r="OX35" i="50"/>
  <c r="OY35" i="50" s="1"/>
  <c r="OX34" i="50"/>
  <c r="OY34" i="50" s="1"/>
  <c r="OX36" i="50"/>
  <c r="OY36" i="50" s="1"/>
  <c r="OX39" i="50"/>
  <c r="OY39" i="50" s="1"/>
  <c r="OX41" i="50"/>
  <c r="OY41" i="50" s="1"/>
  <c r="OX37" i="50"/>
  <c r="OY37" i="50" s="1"/>
  <c r="OX32" i="50"/>
  <c r="OY32" i="50" s="1"/>
  <c r="OV36" i="50"/>
  <c r="OW36" i="50" s="1"/>
  <c r="OV34" i="50"/>
  <c r="OW34" i="50" s="1"/>
  <c r="OV32" i="50"/>
  <c r="OW32" i="50" s="1"/>
  <c r="OV39" i="50"/>
  <c r="OW39" i="50" s="1"/>
  <c r="OV40" i="50"/>
  <c r="OW40" i="50" s="1"/>
  <c r="OV38" i="50"/>
  <c r="OW38" i="50" s="1"/>
  <c r="OV37" i="50"/>
  <c r="OW37" i="50" s="1"/>
  <c r="OV35" i="50"/>
  <c r="OW35" i="50" s="1"/>
  <c r="OV41" i="50"/>
  <c r="OW41" i="50" s="1"/>
  <c r="OL40" i="50"/>
  <c r="OM40" i="50" s="1"/>
  <c r="OL35" i="50"/>
  <c r="OM35" i="50" s="1"/>
  <c r="OL37" i="50"/>
  <c r="OM37" i="50" s="1"/>
  <c r="OL36" i="50"/>
  <c r="OM36" i="50" s="1"/>
  <c r="OL32" i="50"/>
  <c r="OM32" i="50" s="1"/>
  <c r="OL34" i="50"/>
  <c r="OM34" i="50" s="1"/>
  <c r="PU34" i="50" s="1"/>
  <c r="OL41" i="50"/>
  <c r="OM41" i="50" s="1"/>
  <c r="OL38" i="50"/>
  <c r="OM38" i="50" s="1"/>
  <c r="OL39" i="50"/>
  <c r="OM39" i="50" s="1"/>
  <c r="OT39" i="50"/>
  <c r="OU39" i="50" s="1"/>
  <c r="OT37" i="50"/>
  <c r="OU37" i="50" s="1"/>
  <c r="OT41" i="50"/>
  <c r="OU41" i="50" s="1"/>
  <c r="OT36" i="50"/>
  <c r="OU36" i="50" s="1"/>
  <c r="OT34" i="50"/>
  <c r="OU34" i="50" s="1"/>
  <c r="OT38" i="50"/>
  <c r="OU38" i="50" s="1"/>
  <c r="OT35" i="50"/>
  <c r="OU35" i="50" s="1"/>
  <c r="OT32" i="50"/>
  <c r="OU32" i="50" s="1"/>
  <c r="OT40" i="50"/>
  <c r="OU40" i="50" s="1"/>
  <c r="PL218" i="39"/>
  <c r="PK223" i="39"/>
  <c r="PL222" i="39"/>
  <c r="PL216" i="39"/>
  <c r="PL220" i="39"/>
  <c r="PL223" i="39"/>
  <c r="PO223" i="39"/>
  <c r="PL217" i="39"/>
  <c r="PL221" i="39"/>
  <c r="PL219" i="39"/>
  <c r="PL215" i="39"/>
  <c r="OG183" i="39"/>
  <c r="OH213" i="39" s="1"/>
  <c r="PV213" i="39" s="1"/>
  <c r="NU212" i="39"/>
  <c r="NV218" i="39"/>
  <c r="NV227" i="39" s="1"/>
  <c r="NT227" i="39"/>
  <c r="PI74" i="39"/>
  <c r="KT92" i="39"/>
  <c r="PI73" i="39"/>
  <c r="PI68" i="39"/>
  <c r="PI72" i="39"/>
  <c r="PI70" i="39"/>
  <c r="PI69" i="39"/>
  <c r="PI67" i="39"/>
  <c r="UE39" i="50"/>
  <c r="UE32" i="50"/>
  <c r="UE33" i="50"/>
  <c r="UW39" i="50"/>
  <c r="UW35" i="50"/>
  <c r="UW34" i="50"/>
  <c r="UE38" i="50"/>
  <c r="UE36" i="50"/>
  <c r="UE35" i="50"/>
  <c r="UE34" i="50"/>
  <c r="UE41" i="50"/>
  <c r="UE37" i="50"/>
  <c r="UW33" i="50"/>
  <c r="VC37" i="50"/>
  <c r="UW38" i="50"/>
  <c r="VC33" i="50"/>
  <c r="UW36" i="50"/>
  <c r="VC40" i="50"/>
  <c r="UW37" i="50"/>
  <c r="UW41" i="50"/>
  <c r="VC39" i="50"/>
  <c r="VC36" i="50"/>
  <c r="VC32" i="50"/>
  <c r="UW40" i="50"/>
  <c r="VC34" i="50"/>
  <c r="VC35" i="50"/>
  <c r="VC41" i="50"/>
  <c r="TM41" i="50"/>
  <c r="UQ34" i="50"/>
  <c r="UQ32" i="50"/>
  <c r="UQ35" i="50"/>
  <c r="UQ36" i="50"/>
  <c r="UQ37" i="50"/>
  <c r="UQ40" i="50"/>
  <c r="UQ41" i="50"/>
  <c r="UQ38" i="50"/>
  <c r="UQ39" i="50"/>
  <c r="UQ33" i="50"/>
  <c r="TM39" i="50"/>
  <c r="UK34" i="50"/>
  <c r="UK32" i="50"/>
  <c r="UK38" i="50"/>
  <c r="UK41" i="50"/>
  <c r="UK35" i="50"/>
  <c r="UK36" i="50"/>
  <c r="UK37" i="50"/>
  <c r="UK40" i="50"/>
  <c r="UK33" i="50"/>
  <c r="UK39" i="50"/>
  <c r="TM40" i="50"/>
  <c r="TY35" i="50"/>
  <c r="TY38" i="50"/>
  <c r="TY36" i="50"/>
  <c r="TY37" i="50"/>
  <c r="TY39" i="50"/>
  <c r="TY40" i="50"/>
  <c r="TY33" i="50"/>
  <c r="TY41" i="50"/>
  <c r="TY34" i="50"/>
  <c r="TY32" i="50"/>
  <c r="TM38" i="50"/>
  <c r="TM37" i="50"/>
  <c r="TM32" i="50"/>
  <c r="TM36" i="50"/>
  <c r="TM34" i="50"/>
  <c r="TM35" i="50"/>
  <c r="TS36" i="50"/>
  <c r="TS32" i="50"/>
  <c r="TS37" i="50"/>
  <c r="TS38" i="50"/>
  <c r="TS39" i="50"/>
  <c r="TS40" i="50"/>
  <c r="TS33" i="50"/>
  <c r="TS41" i="50"/>
  <c r="TS34" i="50"/>
  <c r="TS35" i="50"/>
  <c r="CR100" i="50"/>
  <c r="CS100" i="50" s="1"/>
  <c r="DD104" i="50"/>
  <c r="DE104" i="50" s="1"/>
  <c r="CR102" i="50"/>
  <c r="CS102" i="50" s="1"/>
  <c r="DH106" i="50"/>
  <c r="DI106" i="50" s="1"/>
  <c r="CJ100" i="50"/>
  <c r="CK100" i="50" s="1"/>
  <c r="CL100" i="50"/>
  <c r="CM100" i="50" s="1"/>
  <c r="CR101" i="50"/>
  <c r="CS101" i="50" s="1"/>
  <c r="DF106" i="50"/>
  <c r="DG106" i="50" s="1"/>
  <c r="DH104" i="50"/>
  <c r="DI104" i="50" s="1"/>
  <c r="DF101" i="50"/>
  <c r="DG101" i="50" s="1"/>
  <c r="CJ106" i="50"/>
  <c r="CK106" i="50" s="1"/>
  <c r="DF103" i="50"/>
  <c r="DG103" i="50" s="1"/>
  <c r="CR107" i="50"/>
  <c r="CS107" i="50" s="1"/>
  <c r="DF104" i="50"/>
  <c r="DG104" i="50" s="1"/>
  <c r="CJ103" i="50"/>
  <c r="CK103" i="50" s="1"/>
  <c r="CN102" i="50"/>
  <c r="CO102" i="50" s="1"/>
  <c r="CP102" i="50"/>
  <c r="CQ102" i="50" s="1"/>
  <c r="CX102" i="50"/>
  <c r="CY102" i="50" s="1"/>
  <c r="CZ102" i="50"/>
  <c r="DA102" i="50" s="1"/>
  <c r="CT102" i="50"/>
  <c r="CU102" i="50" s="1"/>
  <c r="CV102" i="50"/>
  <c r="CW102" i="50" s="1"/>
  <c r="DH105" i="50"/>
  <c r="DI105" i="50" s="1"/>
  <c r="DJ105" i="50"/>
  <c r="DK105" i="50" s="1"/>
  <c r="DL105" i="50"/>
  <c r="DM105" i="50" s="1"/>
  <c r="CL103" i="50"/>
  <c r="CM103" i="50" s="1"/>
  <c r="DD102" i="50"/>
  <c r="DE102" i="50" s="1"/>
  <c r="DD103" i="50"/>
  <c r="DE103" i="50" s="1"/>
  <c r="DL104" i="50"/>
  <c r="DM104" i="50" s="1"/>
  <c r="DJ104" i="50"/>
  <c r="DK104" i="50" s="1"/>
  <c r="CR104" i="50"/>
  <c r="CS104" i="50" s="1"/>
  <c r="CR105" i="50"/>
  <c r="CS105" i="50" s="1"/>
  <c r="DD106" i="50"/>
  <c r="DE106" i="50" s="1"/>
  <c r="DH101" i="50"/>
  <c r="DI101" i="50" s="1"/>
  <c r="DJ106" i="50"/>
  <c r="DK106" i="50" s="1"/>
  <c r="DL106" i="50"/>
  <c r="DM106" i="50" s="1"/>
  <c r="CJ104" i="50"/>
  <c r="CK104" i="50" s="1"/>
  <c r="CL102" i="50"/>
  <c r="CM102" i="50" s="1"/>
  <c r="CJ101" i="50"/>
  <c r="CK101" i="50" s="1"/>
  <c r="CR106" i="50"/>
  <c r="CS106" i="50" s="1"/>
  <c r="CR103" i="50"/>
  <c r="CS103" i="50" s="1"/>
  <c r="CP104" i="50"/>
  <c r="CQ104" i="50" s="1"/>
  <c r="CN104" i="50"/>
  <c r="CO104" i="50" s="1"/>
  <c r="DF107" i="50"/>
  <c r="DG107" i="50" s="1"/>
  <c r="DD107" i="50"/>
  <c r="DE107" i="50" s="1"/>
  <c r="DH103" i="50"/>
  <c r="DI103" i="50" s="1"/>
  <c r="DL107" i="50"/>
  <c r="DM107" i="50" s="1"/>
  <c r="DJ107" i="50"/>
  <c r="DK107" i="50" s="1"/>
  <c r="CN101" i="50"/>
  <c r="CO101" i="50" s="1"/>
  <c r="CP101" i="50"/>
  <c r="CQ101" i="50" s="1"/>
  <c r="CL106" i="50"/>
  <c r="CM106" i="50" s="1"/>
  <c r="CJ107" i="50"/>
  <c r="CK107" i="50" s="1"/>
  <c r="CJ102" i="50"/>
  <c r="CK102" i="50" s="1"/>
  <c r="CJ105" i="50"/>
  <c r="CK105" i="50" s="1"/>
  <c r="CV101" i="50"/>
  <c r="CW101" i="50" s="1"/>
  <c r="CT101" i="50"/>
  <c r="CU101" i="50" s="1"/>
  <c r="CX101" i="50"/>
  <c r="CY101" i="50" s="1"/>
  <c r="CZ101" i="50"/>
  <c r="DA101" i="50" s="1"/>
  <c r="DH102" i="50"/>
  <c r="DI102" i="50" s="1"/>
  <c r="DJ103" i="50"/>
  <c r="DK103" i="50" s="1"/>
  <c r="DL103" i="50"/>
  <c r="DM103" i="50" s="1"/>
  <c r="DL102" i="50"/>
  <c r="DM102" i="50" s="1"/>
  <c r="DJ102" i="50"/>
  <c r="DK102" i="50" s="1"/>
  <c r="CN107" i="50"/>
  <c r="CO107" i="50" s="1"/>
  <c r="CP107" i="50"/>
  <c r="CQ107" i="50" s="1"/>
  <c r="CP106" i="50"/>
  <c r="CQ106" i="50" s="1"/>
  <c r="CN106" i="50"/>
  <c r="CO106" i="50" s="1"/>
  <c r="DJ101" i="50"/>
  <c r="DK101" i="50" s="1"/>
  <c r="DL101" i="50"/>
  <c r="DM101" i="50" s="1"/>
  <c r="CN105" i="50"/>
  <c r="CO105" i="50" s="1"/>
  <c r="CP105" i="50"/>
  <c r="CQ105" i="50" s="1"/>
  <c r="CN103" i="50"/>
  <c r="CO103" i="50" s="1"/>
  <c r="CP103" i="50"/>
  <c r="CQ103" i="50" s="1"/>
  <c r="CL104" i="50"/>
  <c r="CM104" i="50" s="1"/>
  <c r="CL101" i="50"/>
  <c r="CM101" i="50" s="1"/>
  <c r="CL107" i="50"/>
  <c r="CM107" i="50" s="1"/>
  <c r="CL105" i="50"/>
  <c r="CM105" i="50" s="1"/>
  <c r="DF102" i="50"/>
  <c r="DG102" i="50" s="1"/>
  <c r="DH107" i="50"/>
  <c r="DI107" i="50" s="1"/>
  <c r="DD101" i="50"/>
  <c r="DE101" i="50" s="1"/>
  <c r="DH100" i="50"/>
  <c r="DI100" i="50" s="1"/>
  <c r="DJ100" i="50"/>
  <c r="DK100" i="50" s="1"/>
  <c r="DL100" i="50"/>
  <c r="DM100" i="50" s="1"/>
  <c r="DD100" i="50"/>
  <c r="DF100" i="50"/>
  <c r="DG100" i="50" s="1"/>
  <c r="DC100" i="50"/>
  <c r="CN100" i="50"/>
  <c r="CO100" i="50" s="1"/>
  <c r="CP100" i="50"/>
  <c r="CQ100" i="50" s="1"/>
  <c r="XJ40" i="50"/>
  <c r="XJ35" i="50"/>
  <c r="XJ33" i="50"/>
  <c r="XK33" i="50" s="1"/>
  <c r="XJ39" i="50"/>
  <c r="XJ34" i="50"/>
  <c r="XJ32" i="50"/>
  <c r="XJ38" i="50"/>
  <c r="XJ41" i="50"/>
  <c r="XJ37" i="50"/>
  <c r="XJ36" i="50"/>
  <c r="JA34" i="50"/>
  <c r="JA36" i="50"/>
  <c r="JA38" i="50"/>
  <c r="JA40" i="50"/>
  <c r="JA33" i="50"/>
  <c r="JD33" i="50" s="1"/>
  <c r="LV33" i="50" s="1"/>
  <c r="JA35" i="50"/>
  <c r="JA37" i="50"/>
  <c r="JA39" i="50"/>
  <c r="JA41" i="50"/>
  <c r="KF32" i="50"/>
  <c r="KF33" i="50"/>
  <c r="KF34" i="50"/>
  <c r="KF35" i="50"/>
  <c r="KF36" i="50"/>
  <c r="KF37" i="50"/>
  <c r="KF38" i="50"/>
  <c r="KF39" i="50"/>
  <c r="KF40" i="50"/>
  <c r="KF41" i="50"/>
  <c r="WH39" i="50"/>
  <c r="WH37" i="50"/>
  <c r="WH41" i="50"/>
  <c r="WH34" i="50"/>
  <c r="WH32" i="50"/>
  <c r="WH36" i="50"/>
  <c r="WH35" i="50"/>
  <c r="WH38" i="50"/>
  <c r="WH40" i="50"/>
  <c r="WF36" i="50"/>
  <c r="WF37" i="50"/>
  <c r="WF40" i="50"/>
  <c r="WF38" i="50"/>
  <c r="WF41" i="50"/>
  <c r="WF39" i="50"/>
  <c r="WF34" i="50"/>
  <c r="WF35" i="50"/>
  <c r="WF32" i="50"/>
  <c r="XN34" i="50"/>
  <c r="XN32" i="50"/>
  <c r="XN38" i="50"/>
  <c r="XN37" i="50"/>
  <c r="XN41" i="50"/>
  <c r="XN36" i="50"/>
  <c r="XN40" i="50"/>
  <c r="XN33" i="50"/>
  <c r="XO33" i="50" s="1"/>
  <c r="YD33" i="50" s="1"/>
  <c r="XN39" i="50"/>
  <c r="XN35" i="50"/>
  <c r="ID34" i="50"/>
  <c r="ID36" i="50"/>
  <c r="ID38" i="50"/>
  <c r="ID40" i="50"/>
  <c r="ID33" i="50"/>
  <c r="ID35" i="50"/>
  <c r="ID37" i="50"/>
  <c r="ID39" i="50"/>
  <c r="ID41" i="50"/>
  <c r="IX39" i="50"/>
  <c r="IX41" i="50"/>
  <c r="IX33" i="50"/>
  <c r="IX35" i="50"/>
  <c r="IX37" i="50"/>
  <c r="IX34" i="50"/>
  <c r="IX40" i="50"/>
  <c r="IX38" i="50"/>
  <c r="IX36" i="50"/>
  <c r="IQ37" i="50"/>
  <c r="IQ41" i="50"/>
  <c r="IQ36" i="50"/>
  <c r="IQ38" i="50"/>
  <c r="IQ40" i="50"/>
  <c r="IQ35" i="50"/>
  <c r="IQ34" i="50"/>
  <c r="IQ33" i="50"/>
  <c r="IT33" i="50" s="1"/>
  <c r="LR33" i="50" s="1"/>
  <c r="IQ39" i="50"/>
  <c r="IL35" i="50"/>
  <c r="IO35" i="50" s="1"/>
  <c r="IL37" i="50"/>
  <c r="IO37" i="50" s="1"/>
  <c r="IL36" i="50"/>
  <c r="IO36" i="50" s="1"/>
  <c r="IL40" i="50"/>
  <c r="IO40" i="50" s="1"/>
  <c r="IL33" i="50"/>
  <c r="IO33" i="50" s="1"/>
  <c r="LP33" i="50" s="1"/>
  <c r="IL39" i="50"/>
  <c r="IO39" i="50" s="1"/>
  <c r="IL41" i="50"/>
  <c r="IO41" i="50" s="1"/>
  <c r="IL38" i="50"/>
  <c r="IO38" i="50" s="1"/>
  <c r="IL34" i="50"/>
  <c r="IO34" i="50" s="1"/>
  <c r="KL34" i="50"/>
  <c r="KL35" i="50"/>
  <c r="KL36" i="50"/>
  <c r="KL37" i="50"/>
  <c r="KL38" i="50"/>
  <c r="KL39" i="50"/>
  <c r="KL40" i="50"/>
  <c r="KL41" i="50"/>
  <c r="KL33" i="50"/>
  <c r="KL32" i="50"/>
  <c r="XX41" i="50"/>
  <c r="XX38" i="50"/>
  <c r="XX36" i="50"/>
  <c r="XX39" i="50"/>
  <c r="XX34" i="50"/>
  <c r="XX37" i="50"/>
  <c r="XX40" i="50"/>
  <c r="XX35" i="50"/>
  <c r="XX32" i="50"/>
  <c r="XX33" i="50"/>
  <c r="XY33" i="50" s="1"/>
  <c r="YO33" i="50" s="1"/>
  <c r="XL33" i="50"/>
  <c r="XM33" i="50" s="1"/>
  <c r="YC33" i="50" s="1"/>
  <c r="XL36" i="50"/>
  <c r="XL34" i="50"/>
  <c r="XL35" i="50"/>
  <c r="XL40" i="50"/>
  <c r="XL39" i="50"/>
  <c r="XL32" i="50"/>
  <c r="XL41" i="50"/>
  <c r="XL38" i="50"/>
  <c r="XL37" i="50"/>
  <c r="XV36" i="50"/>
  <c r="XV37" i="50"/>
  <c r="XV32" i="50"/>
  <c r="XV40" i="50"/>
  <c r="XV41" i="50"/>
  <c r="XV35" i="50"/>
  <c r="XV33" i="50"/>
  <c r="XW33" i="50" s="1"/>
  <c r="YL33" i="50" s="1"/>
  <c r="XV39" i="50"/>
  <c r="XV34" i="50"/>
  <c r="XV38" i="50"/>
  <c r="XP39" i="50"/>
  <c r="XP41" i="50"/>
  <c r="XP33" i="50"/>
  <c r="XQ33" i="50" s="1"/>
  <c r="YF33" i="50" s="1"/>
  <c r="XP32" i="50"/>
  <c r="XP38" i="50"/>
  <c r="XP37" i="50"/>
  <c r="XP34" i="50"/>
  <c r="XP36" i="50"/>
  <c r="XP40" i="50"/>
  <c r="XP35" i="50"/>
  <c r="XT35" i="50"/>
  <c r="XT36" i="50"/>
  <c r="XT39" i="50"/>
  <c r="XT40" i="50"/>
  <c r="XT34" i="50"/>
  <c r="XT38" i="50"/>
  <c r="XT32" i="50"/>
  <c r="XT37" i="50"/>
  <c r="XT33" i="50"/>
  <c r="XU33" i="50" s="1"/>
  <c r="XT41" i="50"/>
  <c r="IS33" i="50"/>
  <c r="IS35" i="50"/>
  <c r="IS37" i="50"/>
  <c r="IS39" i="50"/>
  <c r="IS41" i="50"/>
  <c r="IS34" i="50"/>
  <c r="IS36" i="50"/>
  <c r="IS38" i="50"/>
  <c r="IS40" i="50"/>
  <c r="IB39" i="50"/>
  <c r="IE39" i="50" s="1"/>
  <c r="IB41" i="50"/>
  <c r="IE41" i="50" s="1"/>
  <c r="IB38" i="50"/>
  <c r="IE38" i="50" s="1"/>
  <c r="IB40" i="50"/>
  <c r="IE40" i="50" s="1"/>
  <c r="IB35" i="50"/>
  <c r="IE35" i="50" s="1"/>
  <c r="IB34" i="50"/>
  <c r="IE34" i="50" s="1"/>
  <c r="IB33" i="50"/>
  <c r="IE33" i="50" s="1"/>
  <c r="LL33" i="50" s="1"/>
  <c r="IB37" i="50"/>
  <c r="IE37" i="50" s="1"/>
  <c r="IB36" i="50"/>
  <c r="IE36" i="50" s="1"/>
  <c r="IV33" i="50"/>
  <c r="IY33" i="50" s="1"/>
  <c r="LT33" i="50" s="1"/>
  <c r="IV35" i="50"/>
  <c r="IV37" i="50"/>
  <c r="IV39" i="50"/>
  <c r="IV41" i="50"/>
  <c r="IV34" i="50"/>
  <c r="IV36" i="50"/>
  <c r="IV38" i="50"/>
  <c r="IV40" i="50"/>
  <c r="KJ40" i="50"/>
  <c r="KJ32" i="50"/>
  <c r="KJ35" i="50"/>
  <c r="KJ37" i="50"/>
  <c r="KJ36" i="50"/>
  <c r="KJ34" i="50"/>
  <c r="KJ39" i="50"/>
  <c r="KJ38" i="50"/>
  <c r="KJ33" i="50"/>
  <c r="KJ41" i="50"/>
  <c r="WJ41" i="50"/>
  <c r="WJ37" i="50"/>
  <c r="WJ34" i="50"/>
  <c r="WJ36" i="50"/>
  <c r="WJ38" i="50"/>
  <c r="WJ40" i="50"/>
  <c r="WJ32" i="50"/>
  <c r="WJ35" i="50"/>
  <c r="WJ39" i="50"/>
  <c r="XR41" i="50"/>
  <c r="XR33" i="50"/>
  <c r="XS33" i="50" s="1"/>
  <c r="YH33" i="50" s="1"/>
  <c r="XR37" i="50"/>
  <c r="XR40" i="50"/>
  <c r="XR35" i="50"/>
  <c r="XR38" i="50"/>
  <c r="XR36" i="50"/>
  <c r="XR34" i="50"/>
  <c r="XR39" i="50"/>
  <c r="XR32" i="50"/>
  <c r="KD35" i="50"/>
  <c r="KD38" i="50"/>
  <c r="KD41" i="50"/>
  <c r="KD33" i="50"/>
  <c r="KD34" i="50"/>
  <c r="KD37" i="50"/>
  <c r="KD40" i="50"/>
  <c r="KD32" i="50"/>
  <c r="KD36" i="50"/>
  <c r="KD39" i="50"/>
  <c r="II33" i="50"/>
  <c r="II35" i="50"/>
  <c r="II37" i="50"/>
  <c r="II39" i="50"/>
  <c r="II41" i="50"/>
  <c r="II34" i="50"/>
  <c r="II36" i="50"/>
  <c r="II38" i="50"/>
  <c r="II40" i="50"/>
  <c r="KB34" i="50"/>
  <c r="KB35" i="50"/>
  <c r="KB36" i="50"/>
  <c r="KB37" i="50"/>
  <c r="KB38" i="50"/>
  <c r="KB39" i="50"/>
  <c r="KB40" i="50"/>
  <c r="KB41" i="50"/>
  <c r="KB32" i="50"/>
  <c r="KB33" i="50"/>
  <c r="WD35" i="50"/>
  <c r="WD39" i="50"/>
  <c r="WD38" i="50"/>
  <c r="WD36" i="50"/>
  <c r="WD37" i="50"/>
  <c r="WD40" i="50"/>
  <c r="WD41" i="50"/>
  <c r="WD34" i="50"/>
  <c r="WD32" i="50"/>
  <c r="IG34" i="50"/>
  <c r="IJ34" i="50" s="1"/>
  <c r="IG36" i="50"/>
  <c r="IJ36" i="50" s="1"/>
  <c r="IG38" i="50"/>
  <c r="IJ38" i="50" s="1"/>
  <c r="IG35" i="50"/>
  <c r="IJ35" i="50" s="1"/>
  <c r="IG41" i="50"/>
  <c r="IJ41" i="50" s="1"/>
  <c r="IG37" i="50"/>
  <c r="IJ37" i="50" s="1"/>
  <c r="IG40" i="50"/>
  <c r="IJ40" i="50" s="1"/>
  <c r="IG33" i="50"/>
  <c r="IJ33" i="50" s="1"/>
  <c r="LN33" i="50" s="1"/>
  <c r="IG39" i="50"/>
  <c r="IJ39" i="50" s="1"/>
  <c r="IN34" i="50"/>
  <c r="IN36" i="50"/>
  <c r="IN38" i="50"/>
  <c r="IN40" i="50"/>
  <c r="IN33" i="50"/>
  <c r="IN35" i="50"/>
  <c r="IN37" i="50"/>
  <c r="IN39" i="50"/>
  <c r="IN41" i="50"/>
  <c r="JC35" i="50"/>
  <c r="JC37" i="50"/>
  <c r="JC39" i="50"/>
  <c r="JC41" i="50"/>
  <c r="JC34" i="50"/>
  <c r="JC36" i="50"/>
  <c r="JC38" i="50"/>
  <c r="JC40" i="50"/>
  <c r="JC33" i="50"/>
  <c r="JZ41" i="50"/>
  <c r="JZ34" i="50"/>
  <c r="JZ35" i="50"/>
  <c r="JZ32" i="50"/>
  <c r="JZ38" i="50"/>
  <c r="JZ36" i="50"/>
  <c r="JZ37" i="50"/>
  <c r="JZ33" i="50"/>
  <c r="JZ39" i="50"/>
  <c r="JZ40" i="50"/>
  <c r="HY39" i="50"/>
  <c r="HY33" i="50"/>
  <c r="HY36" i="50"/>
  <c r="HY41" i="50"/>
  <c r="HY38" i="50"/>
  <c r="HY35" i="50"/>
  <c r="HY40" i="50"/>
  <c r="HY37" i="50"/>
  <c r="HY34" i="50"/>
  <c r="HW35" i="50"/>
  <c r="HZ35" i="50" s="1"/>
  <c r="HW37" i="50"/>
  <c r="HZ37" i="50" s="1"/>
  <c r="HW39" i="50"/>
  <c r="HZ39" i="50" s="1"/>
  <c r="HW41" i="50"/>
  <c r="HZ41" i="50" s="1"/>
  <c r="HW33" i="50"/>
  <c r="HZ33" i="50" s="1"/>
  <c r="LJ33" i="50" s="1"/>
  <c r="HW34" i="50"/>
  <c r="HZ34" i="50" s="1"/>
  <c r="HW36" i="50"/>
  <c r="HZ36" i="50" s="1"/>
  <c r="HW38" i="50"/>
  <c r="HZ38" i="50" s="1"/>
  <c r="HW40" i="50"/>
  <c r="HZ40" i="50" s="1"/>
  <c r="JX36" i="50"/>
  <c r="JX35" i="50"/>
  <c r="JX34" i="50"/>
  <c r="JX41" i="50"/>
  <c r="JX33" i="50"/>
  <c r="JX40" i="50"/>
  <c r="JX32" i="50"/>
  <c r="JX39" i="50"/>
  <c r="JX37" i="50"/>
  <c r="JX38" i="50"/>
  <c r="HT41" i="50"/>
  <c r="HT33" i="50"/>
  <c r="HT38" i="50"/>
  <c r="HT35" i="50"/>
  <c r="HT40" i="50"/>
  <c r="HT37" i="50"/>
  <c r="HT34" i="50"/>
  <c r="HT39" i="50"/>
  <c r="HT36" i="50"/>
  <c r="HR33" i="50"/>
  <c r="HU33" i="50" s="1"/>
  <c r="LH33" i="50" s="1"/>
  <c r="HR34" i="50"/>
  <c r="HU34" i="50" s="1"/>
  <c r="HR35" i="50"/>
  <c r="HU35" i="50" s="1"/>
  <c r="HR36" i="50"/>
  <c r="HU36" i="50" s="1"/>
  <c r="HR37" i="50"/>
  <c r="HU37" i="50" s="1"/>
  <c r="HR38" i="50"/>
  <c r="HU38" i="50" s="1"/>
  <c r="HR39" i="50"/>
  <c r="HU39" i="50" s="1"/>
  <c r="HR40" i="50"/>
  <c r="HU40" i="50" s="1"/>
  <c r="HU41" i="50"/>
  <c r="KH39" i="50"/>
  <c r="KH34" i="50"/>
  <c r="KH38" i="50"/>
  <c r="KH32" i="50"/>
  <c r="KH33" i="50"/>
  <c r="KH37" i="50"/>
  <c r="KH41" i="50"/>
  <c r="KH35" i="50"/>
  <c r="KH36" i="50"/>
  <c r="KH40" i="50"/>
  <c r="HT32" i="50"/>
  <c r="JA32" i="50"/>
  <c r="HW32" i="50"/>
  <c r="HR32" i="50"/>
  <c r="II32" i="50"/>
  <c r="IQ32" i="50"/>
  <c r="IL32" i="50"/>
  <c r="IO32" i="50" s="1"/>
  <c r="HY32" i="50"/>
  <c r="IN32" i="50"/>
  <c r="JC32" i="50"/>
  <c r="ID32" i="50"/>
  <c r="IB32" i="50"/>
  <c r="IE32" i="50" s="1"/>
  <c r="IV32" i="50"/>
  <c r="IX32" i="50"/>
  <c r="IG32" i="50"/>
  <c r="IJ32" i="50" s="1"/>
  <c r="IS32" i="50"/>
  <c r="XB33" i="50"/>
  <c r="XH33" i="50" s="1"/>
  <c r="XI33" i="50"/>
  <c r="WL35" i="50"/>
  <c r="WL37" i="50"/>
  <c r="WL39" i="50"/>
  <c r="WL41" i="50"/>
  <c r="WL34" i="50"/>
  <c r="WL36" i="50"/>
  <c r="WL38" i="50"/>
  <c r="WL40" i="50"/>
  <c r="WL32" i="50"/>
  <c r="WN40" i="50"/>
  <c r="WN35" i="50"/>
  <c r="WN37" i="50"/>
  <c r="WN39" i="50"/>
  <c r="WN41" i="50"/>
  <c r="WN34" i="50"/>
  <c r="WN36" i="50"/>
  <c r="WN32" i="50"/>
  <c r="WN38" i="50"/>
  <c r="WB36" i="50"/>
  <c r="WB37" i="50"/>
  <c r="WB38" i="50"/>
  <c r="WB39" i="50"/>
  <c r="WB35" i="50"/>
  <c r="WB40" i="50"/>
  <c r="WB41" i="50"/>
  <c r="WB34" i="50"/>
  <c r="WB32" i="50"/>
  <c r="WC32" i="50" s="1"/>
  <c r="WP35" i="50"/>
  <c r="WP37" i="50"/>
  <c r="WP39" i="50"/>
  <c r="WP32" i="50"/>
  <c r="WP34" i="50"/>
  <c r="WP36" i="50"/>
  <c r="WP41" i="50"/>
  <c r="WP38" i="50"/>
  <c r="WP40" i="50"/>
  <c r="VU39" i="50"/>
  <c r="VU40" i="50"/>
  <c r="VU41" i="50"/>
  <c r="VU32" i="50"/>
  <c r="VU35" i="50"/>
  <c r="VU34" i="50"/>
  <c r="VU36" i="50"/>
  <c r="VU37" i="50"/>
  <c r="VU38" i="50"/>
  <c r="VO32" i="50"/>
  <c r="VO39" i="50"/>
  <c r="VO40" i="50"/>
  <c r="VO41" i="50"/>
  <c r="VO34" i="50"/>
  <c r="VO35" i="50"/>
  <c r="VO36" i="50"/>
  <c r="VO37" i="50"/>
  <c r="VO38" i="50"/>
  <c r="VM38" i="50"/>
  <c r="VM41" i="50"/>
  <c r="VM34" i="50"/>
  <c r="VM35" i="50"/>
  <c r="VM32" i="50"/>
  <c r="VM36" i="50"/>
  <c r="VM37" i="50"/>
  <c r="VM39" i="50"/>
  <c r="VM40" i="50"/>
  <c r="VK38" i="50"/>
  <c r="VK37" i="50"/>
  <c r="VK36" i="50"/>
  <c r="VK35" i="50"/>
  <c r="VK34" i="50"/>
  <c r="VK41" i="50"/>
  <c r="VK40" i="50"/>
  <c r="VK32" i="50"/>
  <c r="VK39" i="50"/>
  <c r="VY34" i="50"/>
  <c r="VY36" i="50"/>
  <c r="VY37" i="50"/>
  <c r="VY38" i="50"/>
  <c r="VY39" i="50"/>
  <c r="VY40" i="50"/>
  <c r="VY41" i="50"/>
  <c r="VY32" i="50"/>
  <c r="VY35" i="50"/>
  <c r="VS36" i="50"/>
  <c r="VS38" i="50"/>
  <c r="VS39" i="50"/>
  <c r="VS41" i="50"/>
  <c r="VS40" i="50"/>
  <c r="VS34" i="50"/>
  <c r="VS32" i="50"/>
  <c r="VS35" i="50"/>
  <c r="VS37" i="50"/>
  <c r="VW40" i="50"/>
  <c r="VW41" i="50"/>
  <c r="VW34" i="50"/>
  <c r="VW32" i="50"/>
  <c r="VW35" i="50"/>
  <c r="VW36" i="50"/>
  <c r="VW37" i="50"/>
  <c r="VW38" i="50"/>
  <c r="VW39" i="50"/>
  <c r="VQ32" i="50"/>
  <c r="VQ36" i="50"/>
  <c r="VQ37" i="50"/>
  <c r="VQ38" i="50"/>
  <c r="VQ39" i="50"/>
  <c r="VQ40" i="50"/>
  <c r="VQ41" i="50"/>
  <c r="VQ34" i="50"/>
  <c r="VQ35" i="50"/>
  <c r="SF34" i="50"/>
  <c r="SF41" i="50"/>
  <c r="SF32" i="50"/>
  <c r="SF40" i="50"/>
  <c r="SF38" i="50"/>
  <c r="SF37" i="50"/>
  <c r="SF36" i="50"/>
  <c r="SF35" i="50"/>
  <c r="SF39" i="50"/>
  <c r="RT37" i="50"/>
  <c r="RT36" i="50"/>
  <c r="RT35" i="50"/>
  <c r="RT34" i="50"/>
  <c r="RT41" i="50"/>
  <c r="RT32" i="50"/>
  <c r="RT40" i="50"/>
  <c r="RT39" i="50"/>
  <c r="RT38" i="50"/>
  <c r="SH41" i="50"/>
  <c r="SH32" i="50"/>
  <c r="SH34" i="50"/>
  <c r="SH35" i="50"/>
  <c r="SH37" i="50"/>
  <c r="SH38" i="50"/>
  <c r="SH39" i="50"/>
  <c r="SH40" i="50"/>
  <c r="SH36" i="50"/>
  <c r="UP41" i="50"/>
  <c r="UP36" i="50"/>
  <c r="UP34" i="50"/>
  <c r="UP32" i="50"/>
  <c r="UP35" i="50"/>
  <c r="UP37" i="50"/>
  <c r="UP38" i="50"/>
  <c r="UP39" i="50"/>
  <c r="UP40" i="50"/>
  <c r="SI41" i="50"/>
  <c r="SI32" i="50"/>
  <c r="SI40" i="50"/>
  <c r="SI39" i="50"/>
  <c r="SI37" i="50"/>
  <c r="SI38" i="50"/>
  <c r="SI36" i="50"/>
  <c r="SI35" i="50"/>
  <c r="SI34" i="50"/>
  <c r="RY38" i="50"/>
  <c r="RY39" i="50"/>
  <c r="RY32" i="50"/>
  <c r="RY40" i="50"/>
  <c r="RY34" i="50"/>
  <c r="RY35" i="50"/>
  <c r="RY36" i="50"/>
  <c r="RY37" i="50"/>
  <c r="RY41" i="50"/>
  <c r="RW36" i="50"/>
  <c r="RW41" i="50"/>
  <c r="RW35" i="50"/>
  <c r="RW34" i="50"/>
  <c r="RW40" i="50"/>
  <c r="RW39" i="50"/>
  <c r="RW38" i="50"/>
  <c r="RW32" i="50"/>
  <c r="RW37" i="50"/>
  <c r="RV37" i="50"/>
  <c r="RV38" i="50"/>
  <c r="RV39" i="50"/>
  <c r="RV41" i="50"/>
  <c r="RV32" i="50"/>
  <c r="RV34" i="50"/>
  <c r="RV40" i="50"/>
  <c r="RV35" i="50"/>
  <c r="RV36" i="50"/>
  <c r="RZ35" i="50"/>
  <c r="RZ34" i="50"/>
  <c r="RZ41" i="50"/>
  <c r="RZ32" i="50"/>
  <c r="RZ39" i="50"/>
  <c r="RZ38" i="50"/>
  <c r="RZ40" i="50"/>
  <c r="RZ37" i="50"/>
  <c r="RZ36" i="50"/>
  <c r="SL40" i="50"/>
  <c r="SL37" i="50"/>
  <c r="SL39" i="50"/>
  <c r="SL38" i="50"/>
  <c r="SL36" i="50"/>
  <c r="SL35" i="50"/>
  <c r="SL34" i="50"/>
  <c r="SL41" i="50"/>
  <c r="SL32" i="50"/>
  <c r="VB37" i="50"/>
  <c r="VB38" i="50"/>
  <c r="VB40" i="50"/>
  <c r="VB39" i="50"/>
  <c r="VB41" i="50"/>
  <c r="VB34" i="50"/>
  <c r="VB32" i="50"/>
  <c r="VB35" i="50"/>
  <c r="VB36" i="50"/>
  <c r="UV35" i="50"/>
  <c r="UV36" i="50"/>
  <c r="UV37" i="50"/>
  <c r="UV39" i="50"/>
  <c r="UV40" i="50"/>
  <c r="UV38" i="50"/>
  <c r="UV41" i="50"/>
  <c r="UV34" i="50"/>
  <c r="UV32" i="50"/>
  <c r="UD39" i="50"/>
  <c r="UD40" i="50"/>
  <c r="UD41" i="50"/>
  <c r="UD35" i="50"/>
  <c r="UD36" i="50"/>
  <c r="UD37" i="50"/>
  <c r="UD34" i="50"/>
  <c r="UD38" i="50"/>
  <c r="UD32" i="50"/>
  <c r="SE40" i="50"/>
  <c r="SE41" i="50"/>
  <c r="SE32" i="50"/>
  <c r="SE34" i="50"/>
  <c r="SG34" i="50" s="1"/>
  <c r="SE36" i="50"/>
  <c r="SE37" i="50"/>
  <c r="SE35" i="50"/>
  <c r="SE38" i="50"/>
  <c r="SE39" i="50"/>
  <c r="SO39" i="50"/>
  <c r="SO38" i="50"/>
  <c r="SO37" i="50"/>
  <c r="SO35" i="50"/>
  <c r="SO34" i="50"/>
  <c r="SO41" i="50"/>
  <c r="SO32" i="50"/>
  <c r="SO40" i="50"/>
  <c r="SO36" i="50"/>
  <c r="SB39" i="50"/>
  <c r="SB34" i="50"/>
  <c r="SB40" i="50"/>
  <c r="SB41" i="50"/>
  <c r="SB32" i="50"/>
  <c r="SB35" i="50"/>
  <c r="SB36" i="50"/>
  <c r="SB37" i="50"/>
  <c r="SB38" i="50"/>
  <c r="SN35" i="50"/>
  <c r="SN38" i="50"/>
  <c r="SN36" i="50"/>
  <c r="SN37" i="50"/>
  <c r="SN39" i="50"/>
  <c r="SN40" i="50"/>
  <c r="SN41" i="50"/>
  <c r="SN32" i="50"/>
  <c r="SN34" i="50"/>
  <c r="SK34" i="50"/>
  <c r="SK35" i="50"/>
  <c r="SK36" i="50"/>
  <c r="SK38" i="50"/>
  <c r="SK39" i="50"/>
  <c r="SK40" i="50"/>
  <c r="SK37" i="50"/>
  <c r="SK41" i="50"/>
  <c r="SK32" i="50"/>
  <c r="TX37" i="50"/>
  <c r="TX40" i="50"/>
  <c r="TX38" i="50"/>
  <c r="TX39" i="50"/>
  <c r="TX41" i="50"/>
  <c r="TX34" i="50"/>
  <c r="TX32" i="50"/>
  <c r="TX35" i="50"/>
  <c r="TX36" i="50"/>
  <c r="UJ38" i="50"/>
  <c r="UJ39" i="50"/>
  <c r="UJ40" i="50"/>
  <c r="UJ41" i="50"/>
  <c r="UJ34" i="50"/>
  <c r="UJ32" i="50"/>
  <c r="UJ35" i="50"/>
  <c r="UJ37" i="50"/>
  <c r="UJ36" i="50"/>
  <c r="TR37" i="50"/>
  <c r="TR38" i="50"/>
  <c r="TR39" i="50"/>
  <c r="TR41" i="50"/>
  <c r="TR40" i="50"/>
  <c r="TR34" i="50"/>
  <c r="TR32" i="50"/>
  <c r="TR36" i="50"/>
  <c r="TR35" i="50"/>
  <c r="TL38" i="50"/>
  <c r="TL39" i="50"/>
  <c r="TL40" i="50"/>
  <c r="TL34" i="50"/>
  <c r="TL32" i="50"/>
  <c r="TL35" i="50"/>
  <c r="TL36" i="50"/>
  <c r="TL37" i="50"/>
  <c r="TL41" i="50"/>
  <c r="SC39" i="50"/>
  <c r="SC38" i="50"/>
  <c r="SC35" i="50"/>
  <c r="SC37" i="50"/>
  <c r="SC36" i="50"/>
  <c r="SC34" i="50"/>
  <c r="SC41" i="50"/>
  <c r="SC40" i="50"/>
  <c r="SC32" i="50"/>
  <c r="RS35" i="50"/>
  <c r="RS41" i="50"/>
  <c r="RS40" i="50"/>
  <c r="RS39" i="50"/>
  <c r="RS38" i="50"/>
  <c r="RS37" i="50"/>
  <c r="RS36" i="50"/>
  <c r="RS34" i="50"/>
  <c r="RS32" i="50"/>
  <c r="RI35" i="50"/>
  <c r="RI36" i="50"/>
  <c r="RI39" i="50"/>
  <c r="RI37" i="50"/>
  <c r="RI38" i="50"/>
  <c r="RI40" i="50"/>
  <c r="RI41" i="50"/>
  <c r="RI34" i="50"/>
  <c r="RI32" i="50"/>
  <c r="RC41" i="50"/>
  <c r="RC40" i="50"/>
  <c r="RC32" i="50"/>
  <c r="RC35" i="50"/>
  <c r="RC34" i="50"/>
  <c r="RC36" i="50"/>
  <c r="RC39" i="50"/>
  <c r="RC37" i="50"/>
  <c r="RC38" i="50"/>
  <c r="DS41" i="50"/>
  <c r="DS37" i="50"/>
  <c r="DS32" i="50"/>
  <c r="DS34" i="50"/>
  <c r="DS38" i="50"/>
  <c r="DS39" i="50"/>
  <c r="DS35" i="50"/>
  <c r="DS40" i="50"/>
  <c r="DS36" i="50"/>
  <c r="DY37" i="50"/>
  <c r="DY41" i="50"/>
  <c r="DY32" i="50"/>
  <c r="DY36" i="50"/>
  <c r="DY38" i="50"/>
  <c r="DY34" i="50"/>
  <c r="DY35" i="50"/>
  <c r="DY40" i="50"/>
  <c r="DY39" i="50"/>
  <c r="DE37" i="50"/>
  <c r="DE35" i="50"/>
  <c r="DE40" i="50"/>
  <c r="DE38" i="50"/>
  <c r="DE39" i="50"/>
  <c r="DE36" i="50"/>
  <c r="DE41" i="50"/>
  <c r="DE34" i="50"/>
  <c r="DE32" i="50"/>
  <c r="CY36" i="50"/>
  <c r="CY35" i="50"/>
  <c r="CY34" i="50"/>
  <c r="CY32" i="50"/>
  <c r="CY37" i="50"/>
  <c r="CY38" i="50"/>
  <c r="CY41" i="50"/>
  <c r="CY39" i="50"/>
  <c r="CY40" i="50"/>
  <c r="BH107" i="50"/>
  <c r="BH113" i="50"/>
  <c r="BH115" i="50"/>
  <c r="BH112" i="50"/>
  <c r="BH111" i="50"/>
  <c r="BH110" i="50"/>
  <c r="BH109" i="50"/>
  <c r="BH114" i="50"/>
  <c r="BH116" i="50"/>
  <c r="EA38" i="50"/>
  <c r="EA34" i="50"/>
  <c r="EA32" i="50"/>
  <c r="EA35" i="50"/>
  <c r="EA39" i="50"/>
  <c r="EA40" i="50"/>
  <c r="EA36" i="50"/>
  <c r="EA41" i="50"/>
  <c r="EA37" i="50"/>
  <c r="DK40" i="50"/>
  <c r="DK39" i="50"/>
  <c r="DK41" i="50"/>
  <c r="DK34" i="50"/>
  <c r="DK35" i="50"/>
  <c r="DK32" i="50"/>
  <c r="DK38" i="50"/>
  <c r="DK37" i="50"/>
  <c r="DK36" i="50"/>
  <c r="DA36" i="50"/>
  <c r="DA39" i="50"/>
  <c r="DA38" i="50"/>
  <c r="DA32" i="50"/>
  <c r="DA37" i="50"/>
  <c r="DA40" i="50"/>
  <c r="DA35" i="50"/>
  <c r="DA41" i="50"/>
  <c r="DA34" i="50"/>
  <c r="QZ38" i="50"/>
  <c r="QZ39" i="50"/>
  <c r="QZ34" i="50"/>
  <c r="QZ40" i="50"/>
  <c r="QZ41" i="50"/>
  <c r="QZ32" i="50"/>
  <c r="QZ35" i="50"/>
  <c r="QZ36" i="50"/>
  <c r="QZ37" i="50"/>
  <c r="QW37" i="50"/>
  <c r="QW36" i="50"/>
  <c r="QW34" i="50"/>
  <c r="QW35" i="50"/>
  <c r="QW41" i="50"/>
  <c r="QW32" i="50"/>
  <c r="QW40" i="50"/>
  <c r="QW39" i="50"/>
  <c r="QW38" i="50"/>
  <c r="RL36" i="50"/>
  <c r="RL37" i="50"/>
  <c r="RL38" i="50"/>
  <c r="RL39" i="50"/>
  <c r="RL41" i="50"/>
  <c r="RL40" i="50"/>
  <c r="RL34" i="50"/>
  <c r="RL32" i="50"/>
  <c r="RL35" i="50"/>
  <c r="DW32" i="50"/>
  <c r="DW38" i="50"/>
  <c r="DW34" i="50"/>
  <c r="DW37" i="50"/>
  <c r="DW39" i="50"/>
  <c r="DW35" i="50"/>
  <c r="DW40" i="50"/>
  <c r="DW36" i="50"/>
  <c r="DW41" i="50"/>
  <c r="DQ40" i="50"/>
  <c r="DQ36" i="50"/>
  <c r="DQ41" i="50"/>
  <c r="DQ37" i="50"/>
  <c r="DQ32" i="50"/>
  <c r="DQ38" i="50"/>
  <c r="DQ34" i="50"/>
  <c r="DQ39" i="50"/>
  <c r="DQ35" i="50"/>
  <c r="EC39" i="50"/>
  <c r="EC35" i="50"/>
  <c r="EC40" i="50"/>
  <c r="EC36" i="50"/>
  <c r="EC38" i="50"/>
  <c r="EC41" i="50"/>
  <c r="EC37" i="50"/>
  <c r="EC32" i="50"/>
  <c r="EC34" i="50"/>
  <c r="DU41" i="50"/>
  <c r="DU39" i="50"/>
  <c r="DU32" i="50"/>
  <c r="DU37" i="50"/>
  <c r="DU34" i="50"/>
  <c r="DU38" i="50"/>
  <c r="DU35" i="50"/>
  <c r="DU40" i="50"/>
  <c r="DU36" i="50"/>
  <c r="DI38" i="50"/>
  <c r="DI37" i="50"/>
  <c r="DI40" i="50"/>
  <c r="DI39" i="50"/>
  <c r="DI36" i="50"/>
  <c r="DI41" i="50"/>
  <c r="DI34" i="50"/>
  <c r="DI35" i="50"/>
  <c r="DI32" i="50"/>
  <c r="DC34" i="50"/>
  <c r="DC36" i="50"/>
  <c r="DC35" i="50"/>
  <c r="DC32" i="50"/>
  <c r="DC37" i="50"/>
  <c r="DC40" i="50"/>
  <c r="DC39" i="50"/>
  <c r="DC38" i="50"/>
  <c r="DC41" i="50"/>
  <c r="RF34" i="50"/>
  <c r="RF32" i="50"/>
  <c r="RF37" i="50"/>
  <c r="RF35" i="50"/>
  <c r="RF36" i="50"/>
  <c r="RF41" i="50"/>
  <c r="RF38" i="50"/>
  <c r="RF39" i="50"/>
  <c r="RF40" i="50"/>
  <c r="CW34" i="50"/>
  <c r="CW32" i="50"/>
  <c r="CW41" i="50"/>
  <c r="CW35" i="50"/>
  <c r="CW40" i="50"/>
  <c r="CW37" i="50"/>
  <c r="CW36" i="50"/>
  <c r="CW39" i="50"/>
  <c r="CW38" i="50"/>
  <c r="DO39" i="50"/>
  <c r="DO40" i="50"/>
  <c r="DO36" i="50"/>
  <c r="DO41" i="50"/>
  <c r="DO37" i="50"/>
  <c r="DO32" i="50"/>
  <c r="DO38" i="50"/>
  <c r="DO34" i="50"/>
  <c r="DO35" i="50"/>
  <c r="RO39" i="50"/>
  <c r="RO34" i="50"/>
  <c r="RO32" i="50"/>
  <c r="RO40" i="50"/>
  <c r="RO41" i="50"/>
  <c r="RO35" i="50"/>
  <c r="RO36" i="50"/>
  <c r="RO37" i="50"/>
  <c r="RO38" i="50"/>
  <c r="DG38" i="50"/>
  <c r="DG39" i="50"/>
  <c r="DG40" i="50"/>
  <c r="DG37" i="50"/>
  <c r="DG36" i="50"/>
  <c r="DG35" i="50"/>
  <c r="DG41" i="50"/>
  <c r="DG34" i="50"/>
  <c r="DG32" i="50"/>
  <c r="BN109" i="50"/>
  <c r="JD34" i="50" s="1"/>
  <c r="BN107" i="50"/>
  <c r="BN110" i="50"/>
  <c r="BN111" i="50"/>
  <c r="BN116" i="50"/>
  <c r="BN112" i="50"/>
  <c r="BN113" i="50"/>
  <c r="BN114" i="50"/>
  <c r="BN115" i="50"/>
  <c r="BM116" i="50"/>
  <c r="BM109" i="50"/>
  <c r="BM107" i="50"/>
  <c r="BM110" i="50"/>
  <c r="BM114" i="50"/>
  <c r="BM111" i="50"/>
  <c r="BM112" i="50"/>
  <c r="BM113" i="50"/>
  <c r="BM115" i="50"/>
  <c r="BL115" i="50"/>
  <c r="BL116" i="50"/>
  <c r="BL109" i="50"/>
  <c r="BL107" i="50"/>
  <c r="BL110" i="50"/>
  <c r="BL112" i="50"/>
  <c r="BL111" i="50"/>
  <c r="BL113" i="50"/>
  <c r="BL114" i="50"/>
  <c r="BK114" i="50"/>
  <c r="BK115" i="50"/>
  <c r="BK116" i="50"/>
  <c r="BK109" i="50"/>
  <c r="BK107" i="50"/>
  <c r="BK110" i="50"/>
  <c r="BK111" i="50"/>
  <c r="BK112" i="50"/>
  <c r="BK113" i="50"/>
  <c r="BJ113" i="50"/>
  <c r="BJ114" i="50"/>
  <c r="BJ115" i="50"/>
  <c r="BJ112" i="50"/>
  <c r="BJ116" i="50"/>
  <c r="BJ109" i="50"/>
  <c r="BJ107" i="50"/>
  <c r="BJ110" i="50"/>
  <c r="BJ111" i="50"/>
  <c r="BI112" i="50"/>
  <c r="BI113" i="50"/>
  <c r="BI111" i="50"/>
  <c r="BI114" i="50"/>
  <c r="BI115" i="50"/>
  <c r="BI116" i="50"/>
  <c r="BI109" i="50"/>
  <c r="BI107" i="50"/>
  <c r="BI110" i="50"/>
  <c r="FY37" i="50"/>
  <c r="FZ37" i="50" s="1"/>
  <c r="FY38" i="50"/>
  <c r="FZ38" i="50" s="1"/>
  <c r="FY40" i="50"/>
  <c r="FZ40" i="50" s="1"/>
  <c r="FY32" i="50"/>
  <c r="FZ32" i="50" s="1"/>
  <c r="FY36" i="50"/>
  <c r="FZ36" i="50" s="1"/>
  <c r="FY39" i="50"/>
  <c r="FZ39" i="50" s="1"/>
  <c r="FY41" i="50"/>
  <c r="FZ41" i="50" s="1"/>
  <c r="FY34" i="50"/>
  <c r="FZ34" i="50" s="1"/>
  <c r="FY35" i="50"/>
  <c r="FZ35" i="50" s="1"/>
  <c r="GE41" i="50"/>
  <c r="GF41" i="50" s="1"/>
  <c r="GE32" i="50"/>
  <c r="GF32" i="50" s="1"/>
  <c r="GE34" i="50"/>
  <c r="GF34" i="50" s="1"/>
  <c r="GE35" i="50"/>
  <c r="GF35" i="50" s="1"/>
  <c r="GE40" i="50"/>
  <c r="GF40" i="50" s="1"/>
  <c r="GE36" i="50"/>
  <c r="GF36" i="50" s="1"/>
  <c r="GE37" i="50"/>
  <c r="GF37" i="50" s="1"/>
  <c r="GE38" i="50"/>
  <c r="GF38" i="50" s="1"/>
  <c r="GE39" i="50"/>
  <c r="GF39" i="50" s="1"/>
  <c r="FS41" i="50"/>
  <c r="FT41" i="50" s="1"/>
  <c r="FS35" i="50"/>
  <c r="FT35" i="50" s="1"/>
  <c r="FS38" i="50"/>
  <c r="FT38" i="50" s="1"/>
  <c r="FS36" i="50"/>
  <c r="FT36" i="50" s="1"/>
  <c r="FS37" i="50"/>
  <c r="FT37" i="50" s="1"/>
  <c r="FS32" i="50"/>
  <c r="FT32" i="50" s="1"/>
  <c r="FS34" i="50"/>
  <c r="FT34" i="50" s="1"/>
  <c r="FS39" i="50"/>
  <c r="FT39" i="50" s="1"/>
  <c r="FS40" i="50"/>
  <c r="FT40" i="50" s="1"/>
  <c r="FW37" i="50"/>
  <c r="FX37" i="50" s="1"/>
  <c r="FW40" i="50"/>
  <c r="FX40" i="50" s="1"/>
  <c r="FW36" i="50"/>
  <c r="FX36" i="50" s="1"/>
  <c r="FW38" i="50"/>
  <c r="FX38" i="50" s="1"/>
  <c r="FW39" i="50"/>
  <c r="FX39" i="50" s="1"/>
  <c r="FW41" i="50"/>
  <c r="FX41" i="50" s="1"/>
  <c r="FW32" i="50"/>
  <c r="FX32" i="50" s="1"/>
  <c r="FW34" i="50"/>
  <c r="FX34" i="50" s="1"/>
  <c r="FW35" i="50"/>
  <c r="FX35" i="50" s="1"/>
  <c r="GC40" i="50"/>
  <c r="GD40" i="50" s="1"/>
  <c r="GC35" i="50"/>
  <c r="GD35" i="50" s="1"/>
  <c r="GC41" i="50"/>
  <c r="GD41" i="50" s="1"/>
  <c r="GC32" i="50"/>
  <c r="GD32" i="50" s="1"/>
  <c r="GC34" i="50"/>
  <c r="GD34" i="50" s="1"/>
  <c r="GC36" i="50"/>
  <c r="GD36" i="50" s="1"/>
  <c r="GC37" i="50"/>
  <c r="GD37" i="50" s="1"/>
  <c r="GC38" i="50"/>
  <c r="GD38" i="50" s="1"/>
  <c r="GC39" i="50"/>
  <c r="GD39" i="50" s="1"/>
  <c r="GA38" i="50"/>
  <c r="GB38" i="50" s="1"/>
  <c r="GA39" i="50"/>
  <c r="GB39" i="50" s="1"/>
  <c r="GA40" i="50"/>
  <c r="GB40" i="50" s="1"/>
  <c r="GA41" i="50"/>
  <c r="GB41" i="50" s="1"/>
  <c r="GA32" i="50"/>
  <c r="GB32" i="50" s="1"/>
  <c r="GA34" i="50"/>
  <c r="GB34" i="50" s="1"/>
  <c r="GA35" i="50"/>
  <c r="GB35" i="50" s="1"/>
  <c r="GA36" i="50"/>
  <c r="GB36" i="50" s="1"/>
  <c r="GA37" i="50"/>
  <c r="GB37" i="50" s="1"/>
  <c r="FU34" i="50"/>
  <c r="FV34" i="50" s="1"/>
  <c r="FU36" i="50"/>
  <c r="FV36" i="50" s="1"/>
  <c r="FU38" i="50"/>
  <c r="FV38" i="50" s="1"/>
  <c r="FU37" i="50"/>
  <c r="FV37" i="50" s="1"/>
  <c r="FU39" i="50"/>
  <c r="FV39" i="50" s="1"/>
  <c r="FU40" i="50"/>
  <c r="FV40" i="50" s="1"/>
  <c r="FU41" i="50"/>
  <c r="FV41" i="50" s="1"/>
  <c r="FU32" i="50"/>
  <c r="FV32" i="50" s="1"/>
  <c r="FU35" i="50"/>
  <c r="FV35" i="50" s="1"/>
  <c r="FQ40" i="50"/>
  <c r="FR40" i="50" s="1"/>
  <c r="FQ34" i="50"/>
  <c r="FR34" i="50" s="1"/>
  <c r="FQ41" i="50"/>
  <c r="FR41" i="50" s="1"/>
  <c r="FQ39" i="50"/>
  <c r="FR39" i="50" s="1"/>
  <c r="FQ38" i="50"/>
  <c r="FR38" i="50" s="1"/>
  <c r="FQ32" i="50"/>
  <c r="FR32" i="50" s="1"/>
  <c r="FQ37" i="50"/>
  <c r="FR37" i="50" s="1"/>
  <c r="FQ36" i="50"/>
  <c r="FR36" i="50" s="1"/>
  <c r="FQ35" i="50"/>
  <c r="FR35" i="50" s="1"/>
  <c r="EU32" i="50"/>
  <c r="EV32" i="50" s="1"/>
  <c r="EU34" i="50"/>
  <c r="EV34" i="50" s="1"/>
  <c r="EU39" i="50"/>
  <c r="EV39" i="50" s="1"/>
  <c r="EU36" i="50"/>
  <c r="EV36" i="50" s="1"/>
  <c r="EU41" i="50"/>
  <c r="EV41" i="50" s="1"/>
  <c r="EU38" i="50"/>
  <c r="EV38" i="50" s="1"/>
  <c r="EU40" i="50"/>
  <c r="EV40" i="50" s="1"/>
  <c r="EU37" i="50"/>
  <c r="EV37" i="50" s="1"/>
  <c r="EU35" i="50"/>
  <c r="EV35" i="50" s="1"/>
  <c r="ES34" i="50"/>
  <c r="ET34" i="50" s="1"/>
  <c r="ES35" i="50"/>
  <c r="ET35" i="50" s="1"/>
  <c r="ES41" i="50"/>
  <c r="ET41" i="50" s="1"/>
  <c r="ES32" i="50"/>
  <c r="ET32" i="50" s="1"/>
  <c r="ES39" i="50"/>
  <c r="ET39" i="50" s="1"/>
  <c r="ES37" i="50"/>
  <c r="ET37" i="50" s="1"/>
  <c r="ES36" i="50"/>
  <c r="ET36" i="50" s="1"/>
  <c r="ES40" i="50"/>
  <c r="ET40" i="50" s="1"/>
  <c r="ES38" i="50"/>
  <c r="ET38" i="50" s="1"/>
  <c r="EO36" i="50"/>
  <c r="EP36" i="50" s="1"/>
  <c r="EO41" i="50"/>
  <c r="EP41" i="50" s="1"/>
  <c r="EO35" i="50"/>
  <c r="EP35" i="50" s="1"/>
  <c r="EO32" i="50"/>
  <c r="EP32" i="50" s="1"/>
  <c r="EO38" i="50"/>
  <c r="EP38" i="50" s="1"/>
  <c r="EO34" i="50"/>
  <c r="EP34" i="50" s="1"/>
  <c r="EO40" i="50"/>
  <c r="EP40" i="50" s="1"/>
  <c r="EO39" i="50"/>
  <c r="EP39" i="50" s="1"/>
  <c r="EO37" i="50"/>
  <c r="EP37" i="50" s="1"/>
  <c r="EG40" i="50"/>
  <c r="EH40" i="50" s="1"/>
  <c r="EG39" i="50"/>
  <c r="EH39" i="50" s="1"/>
  <c r="EG36" i="50"/>
  <c r="EH36" i="50" s="1"/>
  <c r="EG32" i="50"/>
  <c r="EH32" i="50" s="1"/>
  <c r="EG38" i="50"/>
  <c r="EH38" i="50" s="1"/>
  <c r="EG37" i="50"/>
  <c r="EH37" i="50" s="1"/>
  <c r="EG35" i="50"/>
  <c r="EH35" i="50" s="1"/>
  <c r="EG34" i="50"/>
  <c r="EH34" i="50" s="1"/>
  <c r="EG41" i="50"/>
  <c r="EH41" i="50" s="1"/>
  <c r="EQ35" i="50"/>
  <c r="ER35" i="50" s="1"/>
  <c r="EQ38" i="50"/>
  <c r="ER38" i="50" s="1"/>
  <c r="EQ34" i="50"/>
  <c r="ER34" i="50" s="1"/>
  <c r="EQ39" i="50"/>
  <c r="ER39" i="50" s="1"/>
  <c r="EQ36" i="50"/>
  <c r="ER36" i="50" s="1"/>
  <c r="EQ41" i="50"/>
  <c r="ER41" i="50" s="1"/>
  <c r="EQ32" i="50"/>
  <c r="ER32" i="50" s="1"/>
  <c r="EQ40" i="50"/>
  <c r="ER40" i="50" s="1"/>
  <c r="EQ37" i="50"/>
  <c r="ER37" i="50" s="1"/>
  <c r="EM37" i="50"/>
  <c r="EN37" i="50" s="1"/>
  <c r="EM39" i="50"/>
  <c r="EN39" i="50" s="1"/>
  <c r="EM36" i="50"/>
  <c r="EN36" i="50" s="1"/>
  <c r="EM41" i="50"/>
  <c r="EN41" i="50" s="1"/>
  <c r="EM40" i="50"/>
  <c r="EN40" i="50" s="1"/>
  <c r="EM35" i="50"/>
  <c r="EN35" i="50" s="1"/>
  <c r="EM34" i="50"/>
  <c r="EN34" i="50" s="1"/>
  <c r="EM32" i="50"/>
  <c r="EN32" i="50" s="1"/>
  <c r="EM38" i="50"/>
  <c r="EN38" i="50" s="1"/>
  <c r="EI39" i="50"/>
  <c r="EJ39" i="50" s="1"/>
  <c r="EI32" i="50"/>
  <c r="EJ32" i="50" s="1"/>
  <c r="EI40" i="50"/>
  <c r="EJ40" i="50" s="1"/>
  <c r="EI38" i="50"/>
  <c r="EJ38" i="50" s="1"/>
  <c r="EI36" i="50"/>
  <c r="EJ36" i="50" s="1"/>
  <c r="EI34" i="50"/>
  <c r="EJ34" i="50" s="1"/>
  <c r="EI41" i="50"/>
  <c r="EJ41" i="50" s="1"/>
  <c r="EZ41" i="50" s="1"/>
  <c r="EI37" i="50"/>
  <c r="EJ37" i="50" s="1"/>
  <c r="EI35" i="50"/>
  <c r="EJ35" i="50" s="1"/>
  <c r="EK38" i="50"/>
  <c r="EL38" i="50" s="1"/>
  <c r="EK35" i="50"/>
  <c r="EL35" i="50" s="1"/>
  <c r="EK32" i="50"/>
  <c r="EL32" i="50" s="1"/>
  <c r="EK37" i="50"/>
  <c r="EL37" i="50" s="1"/>
  <c r="EK34" i="50"/>
  <c r="EL34" i="50" s="1"/>
  <c r="EK39" i="50"/>
  <c r="EL39" i="50" s="1"/>
  <c r="EK36" i="50"/>
  <c r="EL36" i="50" s="1"/>
  <c r="EK41" i="50"/>
  <c r="EL41" i="50" s="1"/>
  <c r="EK40" i="50"/>
  <c r="EL40" i="50" s="1"/>
  <c r="LK41" i="50"/>
  <c r="LK37" i="50"/>
  <c r="LK39" i="50"/>
  <c r="LK38" i="50"/>
  <c r="LK34" i="50"/>
  <c r="LK36" i="50"/>
  <c r="LK40" i="50"/>
  <c r="LK32" i="50"/>
  <c r="LL32" i="50" s="1"/>
  <c r="LK35" i="50"/>
  <c r="LQ34" i="50"/>
  <c r="LQ32" i="50"/>
  <c r="LQ40" i="50"/>
  <c r="LQ36" i="50"/>
  <c r="LQ41" i="50"/>
  <c r="LQ35" i="50"/>
  <c r="LQ38" i="50"/>
  <c r="LQ39" i="50"/>
  <c r="LQ37" i="50"/>
  <c r="LS37" i="50"/>
  <c r="LS38" i="50"/>
  <c r="LS32" i="50"/>
  <c r="LS40" i="50"/>
  <c r="LS39" i="50"/>
  <c r="LS34" i="50"/>
  <c r="LS36" i="50"/>
  <c r="LS41" i="50"/>
  <c r="LS35" i="50"/>
  <c r="LG35" i="50"/>
  <c r="LG32" i="50"/>
  <c r="LG38" i="50"/>
  <c r="LG39" i="50"/>
  <c r="LG34" i="50"/>
  <c r="LG41" i="50"/>
  <c r="LG40" i="50"/>
  <c r="LG36" i="50"/>
  <c r="LG37" i="50"/>
  <c r="LO34" i="50"/>
  <c r="LO35" i="50"/>
  <c r="LO36" i="50"/>
  <c r="LO38" i="50"/>
  <c r="LO40" i="50"/>
  <c r="LO39" i="50"/>
  <c r="LO37" i="50"/>
  <c r="LO32" i="50"/>
  <c r="LO41" i="50"/>
  <c r="LI32" i="50"/>
  <c r="LI35" i="50"/>
  <c r="LI37" i="50"/>
  <c r="LI38" i="50"/>
  <c r="LI36" i="50"/>
  <c r="LI39" i="50"/>
  <c r="LI40" i="50"/>
  <c r="LI34" i="50"/>
  <c r="LI41" i="50"/>
  <c r="LM39" i="50"/>
  <c r="LM34" i="50"/>
  <c r="LN34" i="50" s="1"/>
  <c r="LM35" i="50"/>
  <c r="LM40" i="50"/>
  <c r="LM38" i="50"/>
  <c r="LM37" i="50"/>
  <c r="LM41" i="50"/>
  <c r="LM36" i="50"/>
  <c r="LM32" i="50"/>
  <c r="LU40" i="50"/>
  <c r="LU34" i="50"/>
  <c r="LU35" i="50"/>
  <c r="LU39" i="50"/>
  <c r="LU41" i="50"/>
  <c r="LU32" i="50"/>
  <c r="LU38" i="50"/>
  <c r="LU36" i="50"/>
  <c r="LU37" i="50"/>
  <c r="BG107" i="50"/>
  <c r="BG116" i="50"/>
  <c r="BG114" i="50"/>
  <c r="BG113" i="50"/>
  <c r="BG111" i="50"/>
  <c r="BG109" i="50"/>
  <c r="BG115" i="50"/>
  <c r="BG112" i="50"/>
  <c r="BG110" i="50"/>
  <c r="US36" i="50"/>
  <c r="US35" i="50"/>
  <c r="US39" i="50"/>
  <c r="US32" i="50"/>
  <c r="US41" i="50"/>
  <c r="US40" i="50"/>
  <c r="US37" i="50"/>
  <c r="US34" i="50"/>
  <c r="US38" i="50"/>
  <c r="UG37" i="50"/>
  <c r="UG36" i="50"/>
  <c r="UG32" i="50"/>
  <c r="UG39" i="50"/>
  <c r="UG34" i="50"/>
  <c r="UG38" i="50"/>
  <c r="UG40" i="50"/>
  <c r="UG35" i="50"/>
  <c r="UG41" i="50"/>
  <c r="VE41" i="50"/>
  <c r="VE38" i="50"/>
  <c r="VE36" i="50"/>
  <c r="VE32" i="50"/>
  <c r="VE37" i="50"/>
  <c r="VE34" i="50"/>
  <c r="VE40" i="50"/>
  <c r="VE35" i="50"/>
  <c r="VE39" i="50"/>
  <c r="UY36" i="50"/>
  <c r="UY39" i="50"/>
  <c r="UY41" i="50"/>
  <c r="UY32" i="50"/>
  <c r="UY38" i="50"/>
  <c r="UY40" i="50"/>
  <c r="UY34" i="50"/>
  <c r="UY37" i="50"/>
  <c r="UY35" i="50"/>
  <c r="UA38" i="50"/>
  <c r="UA40" i="50"/>
  <c r="UA36" i="50"/>
  <c r="UA35" i="50"/>
  <c r="UA41" i="50"/>
  <c r="UA39" i="50"/>
  <c r="UA34" i="50"/>
  <c r="UA32" i="50"/>
  <c r="TZ32" i="50" s="1"/>
  <c r="UA37" i="50"/>
  <c r="TU38" i="50"/>
  <c r="TU40" i="50"/>
  <c r="TU36" i="50"/>
  <c r="TU39" i="50"/>
  <c r="TU35" i="50"/>
  <c r="TU41" i="50"/>
  <c r="TU32" i="50"/>
  <c r="TU34" i="50"/>
  <c r="TU37" i="50"/>
  <c r="UM39" i="50"/>
  <c r="UM35" i="50"/>
  <c r="UM40" i="50"/>
  <c r="UM41" i="50"/>
  <c r="UM34" i="50"/>
  <c r="WK34" i="50" s="1"/>
  <c r="UM38" i="50"/>
  <c r="UM32" i="50"/>
  <c r="UM37" i="50"/>
  <c r="UM36" i="50"/>
  <c r="TO34" i="50"/>
  <c r="TO35" i="50"/>
  <c r="TO39" i="50"/>
  <c r="TN39" i="50" s="1"/>
  <c r="TO40" i="50"/>
  <c r="TO36" i="50"/>
  <c r="TN36" i="50" s="1"/>
  <c r="TO41" i="50"/>
  <c r="TN41" i="50" s="1"/>
  <c r="TO38" i="50"/>
  <c r="TN38" i="50" s="1"/>
  <c r="TO37" i="50"/>
  <c r="TN37" i="50" s="1"/>
  <c r="QV35" i="50"/>
  <c r="QV38" i="50"/>
  <c r="QV34" i="50"/>
  <c r="QV39" i="50"/>
  <c r="QV41" i="50"/>
  <c r="QV40" i="50"/>
  <c r="QV37" i="50"/>
  <c r="QV36" i="50"/>
  <c r="QV32" i="50"/>
  <c r="QS38" i="50"/>
  <c r="QU38" i="50" s="1"/>
  <c r="QS36" i="50"/>
  <c r="QU36" i="50" s="1"/>
  <c r="QS35" i="50"/>
  <c r="QU35" i="50" s="1"/>
  <c r="QS40" i="50"/>
  <c r="QU40" i="50" s="1"/>
  <c r="QS37" i="50"/>
  <c r="QU37" i="50" s="1"/>
  <c r="QS32" i="50"/>
  <c r="QU32" i="50" s="1"/>
  <c r="QS41" i="50"/>
  <c r="QU41" i="50" s="1"/>
  <c r="QS34" i="50"/>
  <c r="QU34" i="50" s="1"/>
  <c r="QS39" i="50"/>
  <c r="QU39" i="50" s="1"/>
  <c r="RE38" i="50"/>
  <c r="RE41" i="50"/>
  <c r="RE36" i="50"/>
  <c r="RE37" i="50"/>
  <c r="RE40" i="50"/>
  <c r="RE35" i="50"/>
  <c r="RE39" i="50"/>
  <c r="RE32" i="50"/>
  <c r="RE34" i="50"/>
  <c r="RH40" i="50"/>
  <c r="RH34" i="50"/>
  <c r="RH38" i="50"/>
  <c r="RH39" i="50"/>
  <c r="RH32" i="50"/>
  <c r="RH41" i="50"/>
  <c r="RH37" i="50"/>
  <c r="RH35" i="50"/>
  <c r="RH36" i="50"/>
  <c r="RB36" i="50"/>
  <c r="RB37" i="50"/>
  <c r="RB41" i="50"/>
  <c r="RB34" i="50"/>
  <c r="RB32" i="50"/>
  <c r="RB35" i="50"/>
  <c r="RB40" i="50"/>
  <c r="RB38" i="50"/>
  <c r="RB39" i="50"/>
  <c r="QY37" i="50"/>
  <c r="QY39" i="50"/>
  <c r="QY35" i="50"/>
  <c r="QY41" i="50"/>
  <c r="QY38" i="50"/>
  <c r="QY36" i="50"/>
  <c r="QY34" i="50"/>
  <c r="QY40" i="50"/>
  <c r="QY32" i="50"/>
  <c r="RN34" i="50"/>
  <c r="RN35" i="50"/>
  <c r="RN37" i="50"/>
  <c r="RN41" i="50"/>
  <c r="RN39" i="50"/>
  <c r="RN40" i="50"/>
  <c r="RN32" i="50"/>
  <c r="RN38" i="50"/>
  <c r="RN36" i="50"/>
  <c r="RK40" i="50"/>
  <c r="RK36" i="50"/>
  <c r="RK34" i="50"/>
  <c r="RK38" i="50"/>
  <c r="RK39" i="50"/>
  <c r="RK41" i="50"/>
  <c r="RK35" i="50"/>
  <c r="RK37" i="50"/>
  <c r="RK32" i="50"/>
  <c r="PO221" i="39"/>
  <c r="PO219" i="39"/>
  <c r="PK215" i="39"/>
  <c r="NX218" i="39"/>
  <c r="NX227" i="39" s="1"/>
  <c r="NW218" i="39"/>
  <c r="NW227" i="39" s="1"/>
  <c r="PK219" i="39"/>
  <c r="OV219" i="39"/>
  <c r="OV228" i="39" s="1"/>
  <c r="PK217" i="39"/>
  <c r="PK221" i="39"/>
  <c r="PK220" i="39"/>
  <c r="OV221" i="39"/>
  <c r="OV230" i="39" s="1"/>
  <c r="PK218" i="39"/>
  <c r="PO217" i="39"/>
  <c r="PK216" i="39"/>
  <c r="OI222" i="39"/>
  <c r="OI231" i="39" s="1"/>
  <c r="OW222" i="39"/>
  <c r="OW231" i="39" s="1"/>
  <c r="OV215" i="39"/>
  <c r="OW216" i="39"/>
  <c r="OW225" i="39" s="1"/>
  <c r="OV217" i="39"/>
  <c r="OV226" i="39" s="1"/>
  <c r="OI215" i="39"/>
  <c r="OW218" i="39"/>
  <c r="OW227" i="39" s="1"/>
  <c r="PK222" i="39"/>
  <c r="OI219" i="39"/>
  <c r="OI228" i="39" s="1"/>
  <c r="OV222" i="39"/>
  <c r="OV231" i="39" s="1"/>
  <c r="OI221" i="39"/>
  <c r="OI230" i="39" s="1"/>
  <c r="OW217" i="39"/>
  <c r="OW226" i="39" s="1"/>
  <c r="OI216" i="39"/>
  <c r="OI225" i="39" s="1"/>
  <c r="OV216" i="39"/>
  <c r="OV225" i="39" s="1"/>
  <c r="PO216" i="39"/>
  <c r="OI220" i="39"/>
  <c r="OI229" i="39" s="1"/>
  <c r="OV220" i="39"/>
  <c r="OV229" i="39" s="1"/>
  <c r="OW220" i="39"/>
  <c r="OW229" i="39" s="1"/>
  <c r="OW221" i="39"/>
  <c r="OW230" i="39" s="1"/>
  <c r="PO218" i="39"/>
  <c r="OW215" i="39"/>
  <c r="PO220" i="39"/>
  <c r="OI217" i="39"/>
  <c r="OI226" i="39" s="1"/>
  <c r="PO222" i="39"/>
  <c r="OV218" i="39"/>
  <c r="OV227" i="39" s="1"/>
  <c r="OI218" i="39"/>
  <c r="OI227" i="39" s="1"/>
  <c r="OW219" i="39"/>
  <c r="NV221" i="39"/>
  <c r="NV230" i="39" s="1"/>
  <c r="NW215" i="39"/>
  <c r="NW224" i="39" s="1"/>
  <c r="NV220" i="39"/>
  <c r="NV229" i="39" s="1"/>
  <c r="NV222" i="39"/>
  <c r="NV231" i="39" s="1"/>
  <c r="NX216" i="39"/>
  <c r="NX225" i="39" s="1"/>
  <c r="NV217" i="39"/>
  <c r="NV226" i="39" s="1"/>
  <c r="NW219" i="39"/>
  <c r="NW228" i="39" s="1"/>
  <c r="NX215" i="39"/>
  <c r="NX224" i="39" s="1"/>
  <c r="NV216" i="39"/>
  <c r="NV225" i="39" s="1"/>
  <c r="NV215" i="39"/>
  <c r="NV224" i="39" s="1"/>
  <c r="NW217" i="39"/>
  <c r="NW226" i="39" s="1"/>
  <c r="NX219" i="39"/>
  <c r="NX228" i="39" s="1"/>
  <c r="NV219" i="39"/>
  <c r="NV228" i="39" s="1"/>
  <c r="NW216" i="39"/>
  <c r="NW225" i="39" s="1"/>
  <c r="NX222" i="39"/>
  <c r="NX231" i="39" s="1"/>
  <c r="NW222" i="39"/>
  <c r="NW231" i="39" s="1"/>
  <c r="NW221" i="39"/>
  <c r="NW230" i="39" s="1"/>
  <c r="NX221" i="39"/>
  <c r="NX230" i="39" s="1"/>
  <c r="NX217" i="39"/>
  <c r="NX226" i="39" s="1"/>
  <c r="NX220" i="39"/>
  <c r="NX229" i="39" s="1"/>
  <c r="NW220" i="39"/>
  <c r="NW229" i="39" s="1"/>
  <c r="BO225" i="39"/>
  <c r="NU222" i="39"/>
  <c r="NU231" i="39" s="1"/>
  <c r="LP36" i="50" l="1"/>
  <c r="OW228" i="39"/>
  <c r="LP34" i="50"/>
  <c r="MS34" i="50" s="1"/>
  <c r="NG34" i="50" s="1"/>
  <c r="LL39" i="50"/>
  <c r="MQ39" i="50" s="1"/>
  <c r="NC39" i="50" s="1"/>
  <c r="JE34" i="50"/>
  <c r="PW32" i="50"/>
  <c r="EX41" i="50"/>
  <c r="EY41" i="50"/>
  <c r="PW38" i="50"/>
  <c r="JD39" i="50"/>
  <c r="LV39" i="50" s="1"/>
  <c r="MV39" i="50" s="1"/>
  <c r="NM39" i="50" s="1"/>
  <c r="JD35" i="50"/>
  <c r="LV35" i="50" s="1"/>
  <c r="MV35" i="50" s="1"/>
  <c r="NM35" i="50" s="1"/>
  <c r="LP39" i="50"/>
  <c r="MS39" i="50" s="1"/>
  <c r="NG39" i="50" s="1"/>
  <c r="LL37" i="50"/>
  <c r="MQ37" i="50" s="1"/>
  <c r="NC37" i="50" s="1"/>
  <c r="MU33" i="50"/>
  <c r="NK33" i="50" s="1"/>
  <c r="QC32" i="50"/>
  <c r="QE34" i="50"/>
  <c r="QE36" i="50"/>
  <c r="QA37" i="50"/>
  <c r="NU221" i="39"/>
  <c r="OH221" i="39" s="1"/>
  <c r="NU218" i="39"/>
  <c r="OH218" i="39" s="1"/>
  <c r="PV218" i="39" s="1"/>
  <c r="NU215" i="39"/>
  <c r="NU220" i="39"/>
  <c r="OH220" i="39" s="1"/>
  <c r="OJ213" i="39"/>
  <c r="NU219" i="39"/>
  <c r="OH219" i="39" s="1"/>
  <c r="NU216" i="39"/>
  <c r="OH216" i="39" s="1"/>
  <c r="NU217" i="39"/>
  <c r="OH217" i="39" s="1"/>
  <c r="MQ32" i="50"/>
  <c r="NC32" i="50" s="1"/>
  <c r="LP37" i="50"/>
  <c r="MS37" i="50" s="1"/>
  <c r="NG37" i="50" s="1"/>
  <c r="JD40" i="50"/>
  <c r="LV40" i="50" s="1"/>
  <c r="MV40" i="50" s="1"/>
  <c r="NM40" i="50" s="1"/>
  <c r="MT33" i="50"/>
  <c r="NI33" i="50" s="1"/>
  <c r="QA40" i="50"/>
  <c r="QC37" i="50"/>
  <c r="PU37" i="50"/>
  <c r="PY32" i="50"/>
  <c r="PW39" i="50"/>
  <c r="QE37" i="50"/>
  <c r="PU36" i="50"/>
  <c r="QG39" i="50"/>
  <c r="LL34" i="50"/>
  <c r="MQ34" i="50" s="1"/>
  <c r="NC34" i="50" s="1"/>
  <c r="PW41" i="50"/>
  <c r="QE40" i="50"/>
  <c r="QE41" i="50"/>
  <c r="QG41" i="50"/>
  <c r="PW40" i="50"/>
  <c r="QA32" i="50"/>
  <c r="PW36" i="50"/>
  <c r="LJ39" i="50"/>
  <c r="MP39" i="50" s="1"/>
  <c r="NA39" i="50" s="1"/>
  <c r="QG40" i="50"/>
  <c r="PY35" i="50"/>
  <c r="LJ35" i="50"/>
  <c r="MP35" i="50" s="1"/>
  <c r="NA35" i="50" s="1"/>
  <c r="LL40" i="50"/>
  <c r="MQ40" i="50" s="1"/>
  <c r="NC40" i="50" s="1"/>
  <c r="PW37" i="50"/>
  <c r="QE39" i="50"/>
  <c r="QH33" i="50"/>
  <c r="QG37" i="50"/>
  <c r="PY40" i="50"/>
  <c r="QE38" i="50"/>
  <c r="QC41" i="50"/>
  <c r="QA41" i="50"/>
  <c r="QC40" i="50"/>
  <c r="QC39" i="50"/>
  <c r="PS32" i="50"/>
  <c r="QE35" i="50"/>
  <c r="QG32" i="50"/>
  <c r="PW35" i="50"/>
  <c r="PS41" i="50"/>
  <c r="PS40" i="50"/>
  <c r="PS37" i="50"/>
  <c r="PD35" i="50"/>
  <c r="PU35" i="50"/>
  <c r="PN32" i="50"/>
  <c r="QE32" i="50"/>
  <c r="PP34" i="50"/>
  <c r="QG34" i="50"/>
  <c r="PH36" i="50"/>
  <c r="PY36" i="50"/>
  <c r="PJ38" i="50"/>
  <c r="QA38" i="50"/>
  <c r="PB39" i="50"/>
  <c r="PS39" i="50"/>
  <c r="PD39" i="50"/>
  <c r="PU39" i="50"/>
  <c r="PD40" i="50"/>
  <c r="PU40" i="50"/>
  <c r="PP35" i="50"/>
  <c r="QG35" i="50"/>
  <c r="PH39" i="50"/>
  <c r="PY39" i="50"/>
  <c r="PJ34" i="50"/>
  <c r="QA34" i="50"/>
  <c r="PL35" i="50"/>
  <c r="QC35" i="50"/>
  <c r="PD38" i="50"/>
  <c r="PU38" i="50"/>
  <c r="PP38" i="50"/>
  <c r="QG38" i="50"/>
  <c r="PH41" i="50"/>
  <c r="PY41" i="50"/>
  <c r="PL38" i="50"/>
  <c r="QC38" i="50"/>
  <c r="PD41" i="50"/>
  <c r="PU41" i="50"/>
  <c r="PH37" i="50"/>
  <c r="PY37" i="50"/>
  <c r="PJ39" i="50"/>
  <c r="QA39" i="50"/>
  <c r="PB35" i="50"/>
  <c r="PS35" i="50"/>
  <c r="PL34" i="50"/>
  <c r="QC34" i="50"/>
  <c r="PL36" i="50"/>
  <c r="QC36" i="50"/>
  <c r="PD32" i="50"/>
  <c r="PU32" i="50"/>
  <c r="PH38" i="50"/>
  <c r="PY38" i="50"/>
  <c r="PJ36" i="50"/>
  <c r="QA36" i="50"/>
  <c r="PB36" i="50"/>
  <c r="PS36" i="50"/>
  <c r="PH34" i="50"/>
  <c r="PY34" i="50"/>
  <c r="PB34" i="50"/>
  <c r="PS34" i="50"/>
  <c r="PP36" i="50"/>
  <c r="QG36" i="50"/>
  <c r="PJ35" i="50"/>
  <c r="QA35" i="50"/>
  <c r="PL32" i="50"/>
  <c r="LL35" i="50"/>
  <c r="MQ35" i="50" s="1"/>
  <c r="NC35" i="50" s="1"/>
  <c r="PD34" i="50"/>
  <c r="PP37" i="50"/>
  <c r="PH40" i="50"/>
  <c r="PD36" i="50"/>
  <c r="PN37" i="50"/>
  <c r="PN36" i="50"/>
  <c r="PJ32" i="50"/>
  <c r="PB32" i="50"/>
  <c r="PP32" i="50"/>
  <c r="PH35" i="50"/>
  <c r="PB38" i="50"/>
  <c r="PP41" i="50"/>
  <c r="PL41" i="50"/>
  <c r="PP39" i="50"/>
  <c r="PJ37" i="50"/>
  <c r="PL37" i="50"/>
  <c r="PD37" i="50"/>
  <c r="PH32" i="50"/>
  <c r="PB41" i="50"/>
  <c r="PN39" i="50"/>
  <c r="PL40" i="50"/>
  <c r="PL39" i="50"/>
  <c r="MN36" i="50"/>
  <c r="PN41" i="50"/>
  <c r="PN40" i="50"/>
  <c r="PF36" i="50"/>
  <c r="PB37" i="50"/>
  <c r="PQ33" i="50"/>
  <c r="PF38" i="50"/>
  <c r="PP40" i="50"/>
  <c r="PF32" i="50"/>
  <c r="MN41" i="50"/>
  <c r="PN38" i="50"/>
  <c r="PF34" i="50"/>
  <c r="PJ40" i="50"/>
  <c r="PN34" i="50"/>
  <c r="PF41" i="50"/>
  <c r="PF39" i="50"/>
  <c r="PF37" i="50"/>
  <c r="PF35" i="50"/>
  <c r="PJ41" i="50"/>
  <c r="PB40" i="50"/>
  <c r="PN35" i="50"/>
  <c r="PF40" i="50"/>
  <c r="MN38" i="50"/>
  <c r="MN34" i="50"/>
  <c r="MN37" i="50"/>
  <c r="MN35" i="50"/>
  <c r="MN33" i="50"/>
  <c r="MN32" i="50"/>
  <c r="MO33" i="50"/>
  <c r="MY33" i="50" s="1"/>
  <c r="LW33" i="50"/>
  <c r="MN40" i="50"/>
  <c r="MN39" i="50"/>
  <c r="LJ37" i="50"/>
  <c r="MP37" i="50" s="1"/>
  <c r="NA37" i="50" s="1"/>
  <c r="SM41" i="50"/>
  <c r="SM32" i="50"/>
  <c r="LJ40" i="50"/>
  <c r="MP40" i="50" s="1"/>
  <c r="NA40" i="50" s="1"/>
  <c r="JD32" i="50"/>
  <c r="LV32" i="50" s="1"/>
  <c r="MV32" i="50" s="1"/>
  <c r="NM32" i="50" s="1"/>
  <c r="LN40" i="50"/>
  <c r="MR40" i="50" s="1"/>
  <c r="NE40" i="50" s="1"/>
  <c r="MP33" i="50"/>
  <c r="NA33" i="50" s="1"/>
  <c r="LL41" i="50"/>
  <c r="MQ41" i="50" s="1"/>
  <c r="NC41" i="50" s="1"/>
  <c r="MQ33" i="50"/>
  <c r="NC33" i="50" s="1"/>
  <c r="MR34" i="50"/>
  <c r="NE34" i="50" s="1"/>
  <c r="LP38" i="50"/>
  <c r="MS38" i="50" s="1"/>
  <c r="NG38" i="50" s="1"/>
  <c r="MV33" i="50"/>
  <c r="NM33" i="50" s="1"/>
  <c r="JD36" i="50"/>
  <c r="LV36" i="50" s="1"/>
  <c r="MV36" i="50" s="1"/>
  <c r="NM36" i="50" s="1"/>
  <c r="LP40" i="50"/>
  <c r="MS40" i="50" s="1"/>
  <c r="NG40" i="50" s="1"/>
  <c r="MS33" i="50"/>
  <c r="NG33" i="50" s="1"/>
  <c r="LN39" i="50"/>
  <c r="MR39" i="50" s="1"/>
  <c r="NE39" i="50" s="1"/>
  <c r="MS36" i="50"/>
  <c r="NG36" i="50" s="1"/>
  <c r="LV34" i="50"/>
  <c r="MV34" i="50" s="1"/>
  <c r="NM34" i="50" s="1"/>
  <c r="IY32" i="50"/>
  <c r="LT32" i="50" s="1"/>
  <c r="MU32" i="50" s="1"/>
  <c r="NK32" i="50" s="1"/>
  <c r="MR33" i="50"/>
  <c r="IY34" i="50"/>
  <c r="LT34" i="50" s="1"/>
  <c r="MU34" i="50" s="1"/>
  <c r="NK34" i="50" s="1"/>
  <c r="IY38" i="50"/>
  <c r="LT38" i="50" s="1"/>
  <c r="MU38" i="50" s="1"/>
  <c r="NK38" i="50" s="1"/>
  <c r="IT32" i="50"/>
  <c r="LR32" i="50" s="1"/>
  <c r="MT32" i="50" s="1"/>
  <c r="NI32" i="50" s="1"/>
  <c r="IY36" i="50"/>
  <c r="LT36" i="50" s="1"/>
  <c r="MU36" i="50" s="1"/>
  <c r="NK36" i="50" s="1"/>
  <c r="IT34" i="50"/>
  <c r="LR34" i="50" s="1"/>
  <c r="MT34" i="50" s="1"/>
  <c r="NI34" i="50" s="1"/>
  <c r="JD37" i="50"/>
  <c r="LV37" i="50" s="1"/>
  <c r="MV37" i="50" s="1"/>
  <c r="NM37" i="50" s="1"/>
  <c r="IY41" i="50"/>
  <c r="LT41" i="50" s="1"/>
  <c r="MU41" i="50" s="1"/>
  <c r="NK41" i="50" s="1"/>
  <c r="IT40" i="50"/>
  <c r="LR40" i="50" s="1"/>
  <c r="JD41" i="50"/>
  <c r="LV41" i="50" s="1"/>
  <c r="MV41" i="50" s="1"/>
  <c r="NM41" i="50" s="1"/>
  <c r="IY39" i="50"/>
  <c r="LT39" i="50" s="1"/>
  <c r="MU39" i="50" s="1"/>
  <c r="NK39" i="50" s="1"/>
  <c r="IT38" i="50"/>
  <c r="LR38" i="50" s="1"/>
  <c r="MT38" i="50" s="1"/>
  <c r="NI38" i="50" s="1"/>
  <c r="IT35" i="50"/>
  <c r="LR35" i="50" s="1"/>
  <c r="MT35" i="50" s="1"/>
  <c r="NI35" i="50" s="1"/>
  <c r="LN36" i="50"/>
  <c r="MR36" i="50" s="1"/>
  <c r="NE36" i="50" s="1"/>
  <c r="LJ41" i="50"/>
  <c r="MP41" i="50" s="1"/>
  <c r="NA41" i="50" s="1"/>
  <c r="LL36" i="50"/>
  <c r="MQ36" i="50" s="1"/>
  <c r="NC36" i="50" s="1"/>
  <c r="IY37" i="50"/>
  <c r="LT37" i="50" s="1"/>
  <c r="MU37" i="50" s="1"/>
  <c r="NK37" i="50" s="1"/>
  <c r="IT36" i="50"/>
  <c r="LR36" i="50" s="1"/>
  <c r="MT36" i="50" s="1"/>
  <c r="NI36" i="50" s="1"/>
  <c r="LJ34" i="50"/>
  <c r="MP34" i="50" s="1"/>
  <c r="NA34" i="50" s="1"/>
  <c r="LH36" i="50"/>
  <c r="IY35" i="50"/>
  <c r="LT35" i="50" s="1"/>
  <c r="MU35" i="50" s="1"/>
  <c r="NK35" i="50" s="1"/>
  <c r="IT41" i="50"/>
  <c r="LR41" i="50" s="1"/>
  <c r="MT41" i="50" s="1"/>
  <c r="NI41" i="50" s="1"/>
  <c r="LP41" i="50"/>
  <c r="MS41" i="50" s="1"/>
  <c r="NG41" i="50" s="1"/>
  <c r="LP32" i="50"/>
  <c r="MS32" i="50" s="1"/>
  <c r="NG32" i="50" s="1"/>
  <c r="IY40" i="50"/>
  <c r="LT40" i="50" s="1"/>
  <c r="MU40" i="50" s="1"/>
  <c r="NK40" i="50" s="1"/>
  <c r="IT39" i="50"/>
  <c r="LR39" i="50" s="1"/>
  <c r="MT39" i="50" s="1"/>
  <c r="NI39" i="50" s="1"/>
  <c r="IT37" i="50"/>
  <c r="LR37" i="50" s="1"/>
  <c r="MT37" i="50" s="1"/>
  <c r="NI37" i="50" s="1"/>
  <c r="LN35" i="50"/>
  <c r="MR35" i="50" s="1"/>
  <c r="NE35" i="50" s="1"/>
  <c r="LN32" i="50"/>
  <c r="MR32" i="50" s="1"/>
  <c r="NE32" i="50" s="1"/>
  <c r="LP35" i="50"/>
  <c r="MS35" i="50" s="1"/>
  <c r="NG35" i="50" s="1"/>
  <c r="JD38" i="50"/>
  <c r="LV38" i="50" s="1"/>
  <c r="MV38" i="50" s="1"/>
  <c r="NM38" i="50" s="1"/>
  <c r="LN41" i="50"/>
  <c r="MR41" i="50" s="1"/>
  <c r="NE41" i="50" s="1"/>
  <c r="LN37" i="50"/>
  <c r="MR37" i="50" s="1"/>
  <c r="NE37" i="50" s="1"/>
  <c r="LN38" i="50"/>
  <c r="MR38" i="50" s="1"/>
  <c r="NE38" i="50" s="1"/>
  <c r="LL38" i="50"/>
  <c r="MQ38" i="50" s="1"/>
  <c r="NC38" i="50" s="1"/>
  <c r="LJ36" i="50"/>
  <c r="MP36" i="50" s="1"/>
  <c r="NA36" i="50" s="1"/>
  <c r="LJ38" i="50"/>
  <c r="MP38" i="50" s="1"/>
  <c r="NA38" i="50" s="1"/>
  <c r="LH35" i="50"/>
  <c r="LH34" i="50"/>
  <c r="LH41" i="50"/>
  <c r="LH40" i="50"/>
  <c r="LH39" i="50"/>
  <c r="LH38" i="50"/>
  <c r="LH37" i="50"/>
  <c r="WQ36" i="50"/>
  <c r="WO36" i="50"/>
  <c r="HU32" i="50"/>
  <c r="LH32" i="50" s="1"/>
  <c r="HZ32" i="50"/>
  <c r="LJ32" i="50" s="1"/>
  <c r="MP32" i="50" s="1"/>
  <c r="NA32" i="50" s="1"/>
  <c r="OZ37" i="50"/>
  <c r="OZ32" i="50"/>
  <c r="OZ35" i="50"/>
  <c r="OZ38" i="50"/>
  <c r="OZ36" i="50"/>
  <c r="OZ34" i="50"/>
  <c r="OZ41" i="50"/>
  <c r="OZ40" i="50"/>
  <c r="OZ39" i="50"/>
  <c r="RM35" i="50"/>
  <c r="PP223" i="39"/>
  <c r="OV224" i="39"/>
  <c r="OI224" i="39"/>
  <c r="OW224" i="39"/>
  <c r="RG35" i="50"/>
  <c r="RM37" i="50"/>
  <c r="WO41" i="50"/>
  <c r="OG181" i="39"/>
  <c r="OH212" i="39" s="1"/>
  <c r="PV212" i="39" s="1"/>
  <c r="WO34" i="50"/>
  <c r="WM38" i="50"/>
  <c r="WQ32" i="50"/>
  <c r="WQ39" i="50"/>
  <c r="WM36" i="50"/>
  <c r="PQ213" i="39"/>
  <c r="WM40" i="50"/>
  <c r="XC40" i="50" s="1"/>
  <c r="WQ34" i="50"/>
  <c r="XF34" i="50" s="1"/>
  <c r="WO32" i="50"/>
  <c r="WM32" i="50"/>
  <c r="XB32" i="50" s="1"/>
  <c r="WM35" i="50"/>
  <c r="WM34" i="50"/>
  <c r="WQ37" i="50"/>
  <c r="WM37" i="50"/>
  <c r="WO39" i="50"/>
  <c r="WM41" i="50"/>
  <c r="WO37" i="50"/>
  <c r="WQ35" i="50"/>
  <c r="WQ40" i="50"/>
  <c r="WO38" i="50"/>
  <c r="WQ41" i="50"/>
  <c r="WO40" i="50"/>
  <c r="UL35" i="50"/>
  <c r="WK35" i="50"/>
  <c r="TT36" i="50"/>
  <c r="WE36" i="50"/>
  <c r="TZ35" i="50"/>
  <c r="WG35" i="50"/>
  <c r="UF40" i="50"/>
  <c r="WI40" i="50"/>
  <c r="UL37" i="50"/>
  <c r="WK37" i="50"/>
  <c r="TT37" i="50"/>
  <c r="WE37" i="50"/>
  <c r="TT38" i="50"/>
  <c r="WE38" i="50"/>
  <c r="TZ40" i="50"/>
  <c r="WG40" i="50"/>
  <c r="UF34" i="50"/>
  <c r="WI34" i="50"/>
  <c r="UL32" i="50"/>
  <c r="WK32" i="50"/>
  <c r="TT34" i="50"/>
  <c r="WE34" i="50"/>
  <c r="TZ37" i="50"/>
  <c r="WG37" i="50"/>
  <c r="TZ38" i="50"/>
  <c r="WG38" i="50"/>
  <c r="UF39" i="50"/>
  <c r="WI39" i="50"/>
  <c r="UL39" i="50"/>
  <c r="WK39" i="50"/>
  <c r="TZ36" i="50"/>
  <c r="WG36" i="50"/>
  <c r="UL38" i="50"/>
  <c r="WK38" i="50"/>
  <c r="TT32" i="50"/>
  <c r="WE32" i="50"/>
  <c r="WO35" i="50"/>
  <c r="VD38" i="50"/>
  <c r="WQ38" i="50"/>
  <c r="UF32" i="50"/>
  <c r="WI32" i="50"/>
  <c r="UL36" i="50"/>
  <c r="WK36" i="50"/>
  <c r="TT41" i="50"/>
  <c r="WE41" i="50"/>
  <c r="TZ34" i="50"/>
  <c r="WG34" i="50"/>
  <c r="UF36" i="50"/>
  <c r="WI36" i="50"/>
  <c r="WM39" i="50"/>
  <c r="UL41" i="50"/>
  <c r="WK41" i="50"/>
  <c r="TT35" i="50"/>
  <c r="TW35" i="50" s="1"/>
  <c r="WE35" i="50"/>
  <c r="TZ39" i="50"/>
  <c r="WG39" i="50"/>
  <c r="UF41" i="50"/>
  <c r="WI41" i="50"/>
  <c r="UF37" i="50"/>
  <c r="WI37" i="50"/>
  <c r="TT40" i="50"/>
  <c r="TW40" i="50" s="1"/>
  <c r="WE40" i="50"/>
  <c r="UF38" i="50"/>
  <c r="WI38" i="50"/>
  <c r="UL40" i="50"/>
  <c r="WK40" i="50"/>
  <c r="TT39" i="50"/>
  <c r="WE39" i="50"/>
  <c r="TZ41" i="50"/>
  <c r="WG41" i="50"/>
  <c r="UF35" i="50"/>
  <c r="WI35" i="50"/>
  <c r="UX35" i="50"/>
  <c r="SP40" i="50"/>
  <c r="UX41" i="50"/>
  <c r="VD34" i="50"/>
  <c r="VD35" i="50"/>
  <c r="UX37" i="50"/>
  <c r="VD39" i="50"/>
  <c r="VG39" i="50" s="1"/>
  <c r="VD41" i="50"/>
  <c r="TN34" i="50"/>
  <c r="TN32" i="50"/>
  <c r="VL32" i="50" s="1"/>
  <c r="TN40" i="50"/>
  <c r="TN35" i="50"/>
  <c r="TP35" i="50" s="1"/>
  <c r="UX38" i="50"/>
  <c r="VD32" i="50"/>
  <c r="UX40" i="50"/>
  <c r="UX36" i="50"/>
  <c r="VD40" i="50"/>
  <c r="VG40" i="50" s="1"/>
  <c r="UX39" i="50"/>
  <c r="UX34" i="50"/>
  <c r="VD37" i="50"/>
  <c r="VD36" i="50"/>
  <c r="UX32" i="50"/>
  <c r="UR41" i="50"/>
  <c r="WZ34" i="50"/>
  <c r="UL34" i="50"/>
  <c r="XS34" i="50" s="1"/>
  <c r="UR40" i="50"/>
  <c r="UT40" i="50" s="1"/>
  <c r="UR37" i="50"/>
  <c r="XU37" i="50" s="1"/>
  <c r="UR36" i="50"/>
  <c r="UR35" i="50"/>
  <c r="XU35" i="50" s="1"/>
  <c r="UR32" i="50"/>
  <c r="XU32" i="50" s="1"/>
  <c r="UR39" i="50"/>
  <c r="VV39" i="50" s="1"/>
  <c r="UR34" i="50"/>
  <c r="UT34" i="50" s="1"/>
  <c r="UR38" i="50"/>
  <c r="VV38" i="50" s="1"/>
  <c r="RA41" i="50"/>
  <c r="RJ41" i="50"/>
  <c r="QX35" i="50"/>
  <c r="EN101" i="50"/>
  <c r="EN102" i="50"/>
  <c r="DE100" i="50"/>
  <c r="RA40" i="50"/>
  <c r="YN33" i="50"/>
  <c r="RG37" i="50"/>
  <c r="RD34" i="50"/>
  <c r="YA33" i="50"/>
  <c r="XZ33" i="50"/>
  <c r="QX34" i="50"/>
  <c r="RP37" i="50"/>
  <c r="RP40" i="50"/>
  <c r="RA34" i="50"/>
  <c r="RD38" i="50"/>
  <c r="RJ36" i="50"/>
  <c r="RD35" i="50"/>
  <c r="RM36" i="50"/>
  <c r="QX36" i="50"/>
  <c r="YG33" i="50"/>
  <c r="RG32" i="50"/>
  <c r="RP36" i="50"/>
  <c r="RD41" i="50"/>
  <c r="QX32" i="50"/>
  <c r="YM33" i="50"/>
  <c r="YI33" i="50"/>
  <c r="YE33" i="50"/>
  <c r="YB33" i="50"/>
  <c r="RJ35" i="50"/>
  <c r="RU32" i="50"/>
  <c r="RJ37" i="50"/>
  <c r="QX38" i="50"/>
  <c r="RD32" i="50"/>
  <c r="RM32" i="50"/>
  <c r="RP35" i="50"/>
  <c r="RG34" i="50"/>
  <c r="RG40" i="50"/>
  <c r="QX37" i="50"/>
  <c r="RP41" i="50"/>
  <c r="RM34" i="50"/>
  <c r="RA35" i="50"/>
  <c r="RJ32" i="50"/>
  <c r="RG39" i="50"/>
  <c r="RJ39" i="50"/>
  <c r="RU36" i="50"/>
  <c r="RD40" i="50"/>
  <c r="RD37" i="50"/>
  <c r="SM40" i="50"/>
  <c r="SG41" i="50"/>
  <c r="RX35" i="50"/>
  <c r="RU37" i="50"/>
  <c r="RX34" i="50"/>
  <c r="RU38" i="50"/>
  <c r="SM37" i="50"/>
  <c r="SG32" i="50"/>
  <c r="WS32" i="50"/>
  <c r="WR32" i="50"/>
  <c r="RA32" i="50"/>
  <c r="RD39" i="50"/>
  <c r="RD36" i="50"/>
  <c r="RJ34" i="50"/>
  <c r="QX41" i="50"/>
  <c r="SG35" i="50"/>
  <c r="RM38" i="50"/>
  <c r="RP39" i="50"/>
  <c r="RU40" i="50"/>
  <c r="SM34" i="50"/>
  <c r="SP38" i="50"/>
  <c r="SG36" i="50"/>
  <c r="RM39" i="50"/>
  <c r="SA37" i="50"/>
  <c r="SP32" i="50"/>
  <c r="RX41" i="50"/>
  <c r="RU39" i="50"/>
  <c r="SG39" i="50"/>
  <c r="SM35" i="50"/>
  <c r="SP36" i="50"/>
  <c r="RJ40" i="50"/>
  <c r="UU36" i="50"/>
  <c r="SJ37" i="50"/>
  <c r="UB35" i="50"/>
  <c r="UI40" i="50"/>
  <c r="RP38" i="50"/>
  <c r="QX40" i="50"/>
  <c r="UN32" i="50"/>
  <c r="UB37" i="50"/>
  <c r="UB38" i="50"/>
  <c r="UI39" i="50"/>
  <c r="RP34" i="50"/>
  <c r="UH34" i="50"/>
  <c r="RJ38" i="50"/>
  <c r="RM41" i="50"/>
  <c r="RG36" i="50"/>
  <c r="UN38" i="50"/>
  <c r="UB32" i="50"/>
  <c r="WG32" i="50"/>
  <c r="UI32" i="50"/>
  <c r="SM39" i="50"/>
  <c r="SG40" i="50"/>
  <c r="UB40" i="50"/>
  <c r="RG41" i="50"/>
  <c r="UB34" i="50"/>
  <c r="UH36" i="50"/>
  <c r="RU41" i="50"/>
  <c r="SG38" i="50"/>
  <c r="UN37" i="50"/>
  <c r="RA36" i="50"/>
  <c r="UN41" i="50"/>
  <c r="UB39" i="50"/>
  <c r="UH41" i="50"/>
  <c r="UH37" i="50"/>
  <c r="RU35" i="50"/>
  <c r="SM36" i="50"/>
  <c r="SP37" i="50"/>
  <c r="UB36" i="50"/>
  <c r="UI38" i="50"/>
  <c r="RA38" i="50"/>
  <c r="UN40" i="50"/>
  <c r="UB41" i="50"/>
  <c r="UH35" i="50"/>
  <c r="RU34" i="50"/>
  <c r="SG37" i="50"/>
  <c r="RX40" i="50"/>
  <c r="UU41" i="50"/>
  <c r="UZ32" i="50"/>
  <c r="UZ35" i="50"/>
  <c r="TV36" i="50"/>
  <c r="TV40" i="50"/>
  <c r="TV34" i="50"/>
  <c r="TV32" i="50"/>
  <c r="TV41" i="50"/>
  <c r="TQ34" i="50"/>
  <c r="WC34" i="50"/>
  <c r="TP37" i="50"/>
  <c r="WC37" i="50"/>
  <c r="WC35" i="50"/>
  <c r="TQ38" i="50"/>
  <c r="WC38" i="50"/>
  <c r="TP41" i="50"/>
  <c r="WC41" i="50"/>
  <c r="TP36" i="50"/>
  <c r="WC36" i="50"/>
  <c r="TP40" i="50"/>
  <c r="WC40" i="50"/>
  <c r="TP39" i="50"/>
  <c r="WC39" i="50"/>
  <c r="RX39" i="50"/>
  <c r="SD41" i="50"/>
  <c r="SJ35" i="50"/>
  <c r="SJ38" i="50"/>
  <c r="RG38" i="50"/>
  <c r="RM40" i="50"/>
  <c r="RA37" i="50"/>
  <c r="RP32" i="50"/>
  <c r="RA39" i="50"/>
  <c r="QX39" i="50"/>
  <c r="SD32" i="50"/>
  <c r="SA39" i="50"/>
  <c r="SA41" i="50"/>
  <c r="SA38" i="50"/>
  <c r="SD40" i="50"/>
  <c r="SP34" i="50"/>
  <c r="SP35" i="50"/>
  <c r="SD34" i="50"/>
  <c r="RX32" i="50"/>
  <c r="SA36" i="50"/>
  <c r="SJ34" i="50"/>
  <c r="SD38" i="50"/>
  <c r="SD39" i="50"/>
  <c r="SA35" i="50"/>
  <c r="SJ32" i="50"/>
  <c r="SP41" i="50"/>
  <c r="SD37" i="50"/>
  <c r="SA34" i="50"/>
  <c r="SJ36" i="50"/>
  <c r="SJ41" i="50"/>
  <c r="SD36" i="50"/>
  <c r="RX38" i="50"/>
  <c r="SA40" i="50"/>
  <c r="SJ40" i="50"/>
  <c r="SM38" i="50"/>
  <c r="SP39" i="50"/>
  <c r="SD35" i="50"/>
  <c r="RX36" i="50"/>
  <c r="RX37" i="50"/>
  <c r="SA32" i="50"/>
  <c r="SJ39" i="50"/>
  <c r="VF34" i="50"/>
  <c r="DF39" i="50"/>
  <c r="DX39" i="50"/>
  <c r="DZ34" i="50"/>
  <c r="DH34" i="50"/>
  <c r="EB32" i="50"/>
  <c r="DJ32" i="50"/>
  <c r="DZ41" i="50"/>
  <c r="DH41" i="50"/>
  <c r="ED32" i="50"/>
  <c r="DL32" i="50"/>
  <c r="EB34" i="50"/>
  <c r="DJ34" i="50"/>
  <c r="DZ37" i="50"/>
  <c r="DH37" i="50"/>
  <c r="DZ39" i="50"/>
  <c r="DH39" i="50"/>
  <c r="DV35" i="50"/>
  <c r="DD35" i="50"/>
  <c r="DF41" i="50"/>
  <c r="DX41" i="50"/>
  <c r="EB36" i="50"/>
  <c r="DJ36" i="50"/>
  <c r="DZ36" i="50"/>
  <c r="DH36" i="50"/>
  <c r="DV37" i="50"/>
  <c r="DD37" i="50"/>
  <c r="ED40" i="50"/>
  <c r="DL40" i="50"/>
  <c r="DZ32" i="50"/>
  <c r="DH32" i="50"/>
  <c r="DH51" i="50" s="1"/>
  <c r="CZ34" i="50"/>
  <c r="DR34" i="50"/>
  <c r="DB35" i="50"/>
  <c r="DT35" i="50"/>
  <c r="DL41" i="50"/>
  <c r="ED41" i="50"/>
  <c r="ED38" i="50"/>
  <c r="DL38" i="50"/>
  <c r="DV34" i="50"/>
  <c r="DD34" i="50"/>
  <c r="DD40" i="50"/>
  <c r="DV40" i="50"/>
  <c r="DD39" i="50"/>
  <c r="DV39" i="50"/>
  <c r="ED39" i="50"/>
  <c r="DL39" i="50"/>
  <c r="EB38" i="50"/>
  <c r="DJ38" i="50"/>
  <c r="DX34" i="50"/>
  <c r="DF34" i="50"/>
  <c r="DF32" i="50"/>
  <c r="DX32" i="50"/>
  <c r="EB40" i="50"/>
  <c r="DJ40" i="50"/>
  <c r="CZ40" i="50"/>
  <c r="DR40" i="50"/>
  <c r="DP41" i="50"/>
  <c r="CX41" i="50"/>
  <c r="DP35" i="50"/>
  <c r="CX35" i="50"/>
  <c r="DD36" i="50"/>
  <c r="DV36" i="50"/>
  <c r="CZ35" i="50"/>
  <c r="DR35" i="50"/>
  <c r="EB35" i="50"/>
  <c r="DJ35" i="50"/>
  <c r="DP37" i="50"/>
  <c r="CX37" i="50"/>
  <c r="CX36" i="50"/>
  <c r="DP36" i="50"/>
  <c r="DP38" i="50"/>
  <c r="CX38" i="50"/>
  <c r="DD38" i="50"/>
  <c r="DV38" i="50"/>
  <c r="DB32" i="50"/>
  <c r="DT32" i="50"/>
  <c r="DX36" i="50"/>
  <c r="DF36" i="50"/>
  <c r="ED37" i="50"/>
  <c r="DL37" i="50"/>
  <c r="CX34" i="50"/>
  <c r="DP34" i="50"/>
  <c r="ED34" i="50"/>
  <c r="DL34" i="50"/>
  <c r="ED35" i="50"/>
  <c r="DL35" i="50"/>
  <c r="EB39" i="50"/>
  <c r="DJ39" i="50"/>
  <c r="DZ38" i="50"/>
  <c r="DH38" i="50"/>
  <c r="DB34" i="50"/>
  <c r="DT34" i="50"/>
  <c r="DD41" i="50"/>
  <c r="DV41" i="50"/>
  <c r="DT39" i="50"/>
  <c r="DB39" i="50"/>
  <c r="DB38" i="50"/>
  <c r="DT38" i="50"/>
  <c r="DR32" i="50"/>
  <c r="CZ32" i="50"/>
  <c r="DX35" i="50"/>
  <c r="DF35" i="50"/>
  <c r="DR39" i="50"/>
  <c r="CZ39" i="50"/>
  <c r="CZ37" i="50"/>
  <c r="DR37" i="50"/>
  <c r="DJ41" i="50"/>
  <c r="EB41" i="50"/>
  <c r="DH40" i="50"/>
  <c r="DZ40" i="50"/>
  <c r="DB41" i="50"/>
  <c r="DT41" i="50"/>
  <c r="DB36" i="50"/>
  <c r="DT36" i="50"/>
  <c r="DR36" i="50"/>
  <c r="CZ36" i="50"/>
  <c r="DP40" i="50"/>
  <c r="CX40" i="50"/>
  <c r="EB37" i="50"/>
  <c r="DJ37" i="50"/>
  <c r="ED36" i="50"/>
  <c r="DL36" i="50"/>
  <c r="DV32" i="50"/>
  <c r="DD32" i="50"/>
  <c r="DD44" i="50" s="1"/>
  <c r="DB40" i="50"/>
  <c r="DT40" i="50"/>
  <c r="DR38" i="50"/>
  <c r="CZ38" i="50"/>
  <c r="DF40" i="50"/>
  <c r="DX40" i="50"/>
  <c r="DF37" i="50"/>
  <c r="DX37" i="50"/>
  <c r="DB37" i="50"/>
  <c r="DT37" i="50"/>
  <c r="DX38" i="50"/>
  <c r="DF38" i="50"/>
  <c r="DH35" i="50"/>
  <c r="DZ35" i="50"/>
  <c r="DR41" i="50"/>
  <c r="CZ41" i="50"/>
  <c r="DP39" i="50"/>
  <c r="CX39" i="50"/>
  <c r="DP32" i="50"/>
  <c r="CX32" i="50"/>
  <c r="GM35" i="50"/>
  <c r="GL35" i="50"/>
  <c r="GM34" i="50"/>
  <c r="GL34" i="50"/>
  <c r="GS39" i="50"/>
  <c r="GR39" i="50"/>
  <c r="GT41" i="50"/>
  <c r="GU41" i="50"/>
  <c r="GO38" i="50"/>
  <c r="GN38" i="50"/>
  <c r="GK32" i="50"/>
  <c r="GJ32" i="50"/>
  <c r="GW37" i="50"/>
  <c r="GV37" i="50"/>
  <c r="GQ34" i="50"/>
  <c r="GP34" i="50"/>
  <c r="GM37" i="50"/>
  <c r="GL37" i="50"/>
  <c r="GM32" i="50"/>
  <c r="GL32" i="50"/>
  <c r="GS37" i="50"/>
  <c r="GR37" i="50"/>
  <c r="GS38" i="50"/>
  <c r="GR38" i="50"/>
  <c r="GU35" i="50"/>
  <c r="GT35" i="50"/>
  <c r="GO36" i="50"/>
  <c r="GN36" i="50"/>
  <c r="GK37" i="50"/>
  <c r="GJ37" i="50"/>
  <c r="GW36" i="50"/>
  <c r="GV36" i="50"/>
  <c r="GQ41" i="50"/>
  <c r="GP41" i="50"/>
  <c r="GM41" i="50"/>
  <c r="GL41" i="50"/>
  <c r="GS36" i="50"/>
  <c r="GR36" i="50"/>
  <c r="GU39" i="50"/>
  <c r="GT39" i="50"/>
  <c r="GU40" i="50"/>
  <c r="GT40" i="50"/>
  <c r="GO40" i="50"/>
  <c r="GN40" i="50"/>
  <c r="GK36" i="50"/>
  <c r="GJ36" i="50"/>
  <c r="GW40" i="50"/>
  <c r="GV40" i="50"/>
  <c r="GQ39" i="50"/>
  <c r="GP39" i="50"/>
  <c r="GM40" i="50"/>
  <c r="GL40" i="50"/>
  <c r="GS35" i="50"/>
  <c r="GR35" i="50"/>
  <c r="GU38" i="50"/>
  <c r="GT38" i="50"/>
  <c r="GO35" i="50"/>
  <c r="GN35" i="50"/>
  <c r="GO37" i="50"/>
  <c r="GN37" i="50"/>
  <c r="GK38" i="50"/>
  <c r="GJ38" i="50"/>
  <c r="GW35" i="50"/>
  <c r="GV35" i="50"/>
  <c r="GQ36" i="50"/>
  <c r="GP36" i="50"/>
  <c r="GM39" i="50"/>
  <c r="GL39" i="50"/>
  <c r="GS34" i="50"/>
  <c r="GR34" i="50"/>
  <c r="GU37" i="50"/>
  <c r="GT37" i="50"/>
  <c r="GO34" i="50"/>
  <c r="GN34" i="50"/>
  <c r="GK35" i="50"/>
  <c r="GJ35" i="50"/>
  <c r="GW34" i="50"/>
  <c r="GV34" i="50"/>
  <c r="GQ32" i="50"/>
  <c r="GP32" i="50"/>
  <c r="GQ40" i="50"/>
  <c r="GP40" i="50"/>
  <c r="GS32" i="50"/>
  <c r="GR32" i="50"/>
  <c r="GT36" i="50"/>
  <c r="GU36" i="50"/>
  <c r="GO32" i="50"/>
  <c r="GN32" i="50"/>
  <c r="GK40" i="50"/>
  <c r="GJ40" i="50"/>
  <c r="GK41" i="50"/>
  <c r="GJ41" i="50"/>
  <c r="GW32" i="50"/>
  <c r="GV32" i="50"/>
  <c r="GM38" i="50"/>
  <c r="GL38" i="50"/>
  <c r="GS41" i="50"/>
  <c r="GR41" i="50"/>
  <c r="GT34" i="50"/>
  <c r="GU34" i="50"/>
  <c r="GO41" i="50"/>
  <c r="GN41" i="50"/>
  <c r="GK39" i="50"/>
  <c r="GJ39" i="50"/>
  <c r="GW39" i="50"/>
  <c r="GV39" i="50"/>
  <c r="GW41" i="50"/>
  <c r="GV41" i="50"/>
  <c r="GQ38" i="50"/>
  <c r="GP38" i="50"/>
  <c r="GM36" i="50"/>
  <c r="GL36" i="50"/>
  <c r="GS40" i="50"/>
  <c r="GR40" i="50"/>
  <c r="GU32" i="50"/>
  <c r="GT32" i="50"/>
  <c r="GO39" i="50"/>
  <c r="GN39" i="50"/>
  <c r="GK34" i="50"/>
  <c r="GJ34" i="50"/>
  <c r="GW38" i="50"/>
  <c r="GV38" i="50"/>
  <c r="GQ35" i="50"/>
  <c r="GP35" i="50"/>
  <c r="GQ37" i="50"/>
  <c r="GP37" i="50"/>
  <c r="GG32" i="50"/>
  <c r="GI32" i="50"/>
  <c r="GH32" i="50"/>
  <c r="GG38" i="50"/>
  <c r="GH38" i="50"/>
  <c r="GI38" i="50"/>
  <c r="GG39" i="50"/>
  <c r="GH39" i="50"/>
  <c r="GI39" i="50"/>
  <c r="GG41" i="50"/>
  <c r="GI41" i="50"/>
  <c r="GH41" i="50"/>
  <c r="GG34" i="50"/>
  <c r="GI34" i="50"/>
  <c r="GH34" i="50"/>
  <c r="GG35" i="50"/>
  <c r="GH35" i="50"/>
  <c r="GI35" i="50"/>
  <c r="GG40" i="50"/>
  <c r="GI40" i="50"/>
  <c r="GH40" i="50"/>
  <c r="GG36" i="50"/>
  <c r="GI36" i="50"/>
  <c r="GH36" i="50"/>
  <c r="GG37" i="50"/>
  <c r="GH37" i="50"/>
  <c r="GI37" i="50"/>
  <c r="FC39" i="50"/>
  <c r="FB39" i="50"/>
  <c r="FA41" i="50"/>
  <c r="FD32" i="50"/>
  <c r="FE32" i="50"/>
  <c r="FH37" i="50"/>
  <c r="FI37" i="50"/>
  <c r="FI35" i="50"/>
  <c r="FH35" i="50"/>
  <c r="EW39" i="50"/>
  <c r="EY39" i="50"/>
  <c r="EX39" i="50"/>
  <c r="FF35" i="50"/>
  <c r="FG35" i="50"/>
  <c r="FK32" i="50"/>
  <c r="FJ32" i="50"/>
  <c r="FL41" i="50"/>
  <c r="FM41" i="50"/>
  <c r="FD34" i="50"/>
  <c r="FE34" i="50"/>
  <c r="FF41" i="50"/>
  <c r="FG41" i="50"/>
  <c r="EW34" i="50"/>
  <c r="EY34" i="50"/>
  <c r="EX34" i="50"/>
  <c r="FJ35" i="50"/>
  <c r="FK35" i="50"/>
  <c r="FC32" i="50"/>
  <c r="FB32" i="50"/>
  <c r="FA38" i="50"/>
  <c r="EZ38" i="50"/>
  <c r="FE40" i="50"/>
  <c r="FD40" i="50"/>
  <c r="FH41" i="50"/>
  <c r="FI41" i="50"/>
  <c r="EW35" i="50"/>
  <c r="EY35" i="50"/>
  <c r="EX35" i="50"/>
  <c r="FF39" i="50"/>
  <c r="FG39" i="50"/>
  <c r="FJ38" i="50"/>
  <c r="FK38" i="50"/>
  <c r="FJ34" i="50"/>
  <c r="FK34" i="50"/>
  <c r="FL34" i="50"/>
  <c r="FM34" i="50"/>
  <c r="FA34" i="50"/>
  <c r="EZ34" i="50"/>
  <c r="FJ41" i="50"/>
  <c r="FK41" i="50"/>
  <c r="FD35" i="50"/>
  <c r="FE35" i="50"/>
  <c r="FI32" i="50"/>
  <c r="FH32" i="50"/>
  <c r="FF37" i="50"/>
  <c r="FG37" i="50"/>
  <c r="FF36" i="50"/>
  <c r="FG36" i="50"/>
  <c r="FM39" i="50"/>
  <c r="FL39" i="50"/>
  <c r="FC35" i="50"/>
  <c r="FB35" i="50"/>
  <c r="EZ40" i="50"/>
  <c r="FA40" i="50"/>
  <c r="FD41" i="50"/>
  <c r="FE41" i="50"/>
  <c r="FH36" i="50"/>
  <c r="FI36" i="50"/>
  <c r="EW37" i="50"/>
  <c r="EX37" i="50"/>
  <c r="EY37" i="50"/>
  <c r="FF40" i="50"/>
  <c r="FG40" i="50"/>
  <c r="FK40" i="50"/>
  <c r="FJ40" i="50"/>
  <c r="FM35" i="50"/>
  <c r="FL35" i="50"/>
  <c r="FM32" i="50"/>
  <c r="FL32" i="50"/>
  <c r="FB34" i="50"/>
  <c r="FC34" i="50"/>
  <c r="EW41" i="50"/>
  <c r="EW40" i="50"/>
  <c r="EX40" i="50"/>
  <c r="EY40" i="50"/>
  <c r="FB37" i="50"/>
  <c r="FC37" i="50"/>
  <c r="FB40" i="50"/>
  <c r="FC40" i="50"/>
  <c r="EZ32" i="50"/>
  <c r="FA32" i="50"/>
  <c r="FI39" i="50"/>
  <c r="FH39" i="50"/>
  <c r="FG34" i="50"/>
  <c r="FF34" i="50"/>
  <c r="FL37" i="50"/>
  <c r="FM37" i="50"/>
  <c r="FB41" i="50"/>
  <c r="FC41" i="50"/>
  <c r="EZ35" i="50"/>
  <c r="FA35" i="50"/>
  <c r="EZ39" i="50"/>
  <c r="FA39" i="50"/>
  <c r="FE39" i="50"/>
  <c r="FD39" i="50"/>
  <c r="FH34" i="50"/>
  <c r="FI34" i="50"/>
  <c r="EW32" i="50"/>
  <c r="EY32" i="50"/>
  <c r="EX32" i="50"/>
  <c r="FG38" i="50"/>
  <c r="FF38" i="50"/>
  <c r="FJ37" i="50"/>
  <c r="FK37" i="50"/>
  <c r="FM40" i="50"/>
  <c r="FL40" i="50"/>
  <c r="FI40" i="50"/>
  <c r="FH40" i="50"/>
  <c r="FL36" i="50"/>
  <c r="FM36" i="50"/>
  <c r="EZ36" i="50"/>
  <c r="FA36" i="50"/>
  <c r="FC38" i="50"/>
  <c r="FB38" i="50"/>
  <c r="FE36" i="50"/>
  <c r="FD36" i="50"/>
  <c r="EW38" i="50"/>
  <c r="EY38" i="50"/>
  <c r="EX38" i="50"/>
  <c r="FK36" i="50"/>
  <c r="FJ36" i="50"/>
  <c r="FB36" i="50"/>
  <c r="FC36" i="50"/>
  <c r="FA37" i="50"/>
  <c r="EZ37" i="50"/>
  <c r="FD38" i="50"/>
  <c r="FE38" i="50"/>
  <c r="FD37" i="50"/>
  <c r="FE37" i="50"/>
  <c r="FH38" i="50"/>
  <c r="FI38" i="50"/>
  <c r="EW36" i="50"/>
  <c r="EX36" i="50"/>
  <c r="EY36" i="50"/>
  <c r="FG32" i="50"/>
  <c r="FF32" i="50"/>
  <c r="FJ39" i="50"/>
  <c r="FK39" i="50"/>
  <c r="FM38" i="50"/>
  <c r="FL38" i="50"/>
  <c r="UU34" i="50"/>
  <c r="UU40" i="50"/>
  <c r="UU39" i="50"/>
  <c r="TQ37" i="50"/>
  <c r="TQ35" i="50"/>
  <c r="UC32" i="50"/>
  <c r="UC38" i="50"/>
  <c r="UH40" i="50"/>
  <c r="UO40" i="50"/>
  <c r="TW39" i="50"/>
  <c r="TV39" i="50"/>
  <c r="UC39" i="50"/>
  <c r="UZ39" i="50"/>
  <c r="VF32" i="50"/>
  <c r="TQ36" i="50"/>
  <c r="UN36" i="50"/>
  <c r="UO36" i="50"/>
  <c r="UN35" i="50"/>
  <c r="UO35" i="50"/>
  <c r="TW36" i="50"/>
  <c r="UC41" i="50"/>
  <c r="UZ37" i="50"/>
  <c r="UZ36" i="50"/>
  <c r="VF36" i="50"/>
  <c r="VF37" i="50"/>
  <c r="TQ40" i="50"/>
  <c r="UO39" i="50"/>
  <c r="UN39" i="50"/>
  <c r="UZ34" i="50"/>
  <c r="VF38" i="50"/>
  <c r="TV37" i="50"/>
  <c r="UC36" i="50"/>
  <c r="UZ40" i="50"/>
  <c r="VF39" i="50"/>
  <c r="VF41" i="50"/>
  <c r="UH32" i="50"/>
  <c r="TV35" i="50"/>
  <c r="UZ41" i="50"/>
  <c r="TQ32" i="50"/>
  <c r="TP32" i="50"/>
  <c r="TW38" i="50"/>
  <c r="TV38" i="50"/>
  <c r="UZ38" i="50"/>
  <c r="VF35" i="50"/>
  <c r="TQ39" i="50"/>
  <c r="UO38" i="50"/>
  <c r="VF40" i="50"/>
  <c r="PP219" i="39"/>
  <c r="OX219" i="39"/>
  <c r="OX228" i="39" s="1"/>
  <c r="PP221" i="39"/>
  <c r="PP220" i="39"/>
  <c r="PP217" i="39"/>
  <c r="OX221" i="39"/>
  <c r="OX230" i="39" s="1"/>
  <c r="PP218" i="39"/>
  <c r="PP216" i="39"/>
  <c r="OX215" i="39"/>
  <c r="OX216" i="39"/>
  <c r="OX225" i="39" s="1"/>
  <c r="OX222" i="39"/>
  <c r="OX231" i="39" s="1"/>
  <c r="OX217" i="39"/>
  <c r="OX226" i="39" s="1"/>
  <c r="OX218" i="39"/>
  <c r="OX227" i="39" s="1"/>
  <c r="PP222" i="39"/>
  <c r="OX220" i="39"/>
  <c r="OX229" i="39" s="1"/>
  <c r="OH222" i="39"/>
  <c r="PV222" i="39" s="1"/>
  <c r="NU230" i="39" l="1"/>
  <c r="OH215" i="39"/>
  <c r="GG44" i="50"/>
  <c r="GG47" i="50"/>
  <c r="GG50" i="50"/>
  <c r="GG48" i="50"/>
  <c r="GG46" i="50"/>
  <c r="GG51" i="50"/>
  <c r="GG49" i="50"/>
  <c r="GG45" i="50"/>
  <c r="EW50" i="50"/>
  <c r="EW49" i="50"/>
  <c r="EW47" i="50"/>
  <c r="EW45" i="50"/>
  <c r="EW51" i="50"/>
  <c r="EW48" i="50"/>
  <c r="EW44" i="50"/>
  <c r="EW46" i="50"/>
  <c r="OZ46" i="50"/>
  <c r="OZ44" i="50"/>
  <c r="OZ51" i="50"/>
  <c r="OZ45" i="50"/>
  <c r="FE162" i="39" s="1"/>
  <c r="OZ49" i="50"/>
  <c r="FE166" i="39" s="1"/>
  <c r="OZ50" i="50"/>
  <c r="FE167" i="39" s="1"/>
  <c r="OZ48" i="50"/>
  <c r="OZ47" i="50"/>
  <c r="MN49" i="50"/>
  <c r="FC166" i="39" s="1"/>
  <c r="FC190" i="39" s="1"/>
  <c r="OR90" i="39" s="1"/>
  <c r="MN51" i="50"/>
  <c r="FC168" i="39" s="1"/>
  <c r="FC192" i="39" s="1"/>
  <c r="OR92" i="39" s="1"/>
  <c r="MN50" i="50"/>
  <c r="FC167" i="39" s="1"/>
  <c r="FC191" i="39" s="1"/>
  <c r="OR91" i="39" s="1"/>
  <c r="MN44" i="50"/>
  <c r="FC161" i="39" s="1"/>
  <c r="FC185" i="39" s="1"/>
  <c r="OR85" i="39" s="1"/>
  <c r="MN46" i="50"/>
  <c r="FC163" i="39" s="1"/>
  <c r="FC187" i="39" s="1"/>
  <c r="OR87" i="39" s="1"/>
  <c r="MN48" i="50"/>
  <c r="FC165" i="39" s="1"/>
  <c r="FC189" i="39" s="1"/>
  <c r="OR89" i="39" s="1"/>
  <c r="MN47" i="50"/>
  <c r="FC164" i="39" s="1"/>
  <c r="FC188" i="39" s="1"/>
  <c r="OR88" i="39" s="1"/>
  <c r="MN45" i="50"/>
  <c r="FC162" i="39" s="1"/>
  <c r="FC186" i="39" s="1"/>
  <c r="OR86" i="39" s="1"/>
  <c r="FE164" i="39"/>
  <c r="FE168" i="39"/>
  <c r="FE163" i="39"/>
  <c r="QH41" i="50"/>
  <c r="QH36" i="50"/>
  <c r="QH32" i="50"/>
  <c r="QH34" i="50"/>
  <c r="QH38" i="50"/>
  <c r="FE161" i="39"/>
  <c r="QH40" i="50"/>
  <c r="QH37" i="50"/>
  <c r="PQ34" i="50"/>
  <c r="QH39" i="50"/>
  <c r="QH35" i="50"/>
  <c r="PQ36" i="50"/>
  <c r="PQ35" i="50"/>
  <c r="PQ32" i="50"/>
  <c r="PQ39" i="50"/>
  <c r="PQ41" i="50"/>
  <c r="PQ38" i="50"/>
  <c r="PQ37" i="50"/>
  <c r="PQ40" i="50"/>
  <c r="MO37" i="50"/>
  <c r="MY37" i="50" s="1"/>
  <c r="NN37" i="50" s="1"/>
  <c r="LW37" i="50"/>
  <c r="MO38" i="50"/>
  <c r="MY38" i="50" s="1"/>
  <c r="NN38" i="50" s="1"/>
  <c r="LW38" i="50"/>
  <c r="MO36" i="50"/>
  <c r="MY36" i="50" s="1"/>
  <c r="NN36" i="50" s="1"/>
  <c r="LW36" i="50"/>
  <c r="MO39" i="50"/>
  <c r="MY39" i="50" s="1"/>
  <c r="NN39" i="50" s="1"/>
  <c r="LW39" i="50"/>
  <c r="MO40" i="50"/>
  <c r="MY40" i="50" s="1"/>
  <c r="LW40" i="50"/>
  <c r="MO41" i="50"/>
  <c r="MY41" i="50" s="1"/>
  <c r="NN41" i="50" s="1"/>
  <c r="LW41" i="50"/>
  <c r="MO32" i="50"/>
  <c r="MY32" i="50" s="1"/>
  <c r="NN32" i="50" s="1"/>
  <c r="LW32" i="50"/>
  <c r="MO34" i="50"/>
  <c r="MY34" i="50" s="1"/>
  <c r="NN34" i="50" s="1"/>
  <c r="LW34" i="50"/>
  <c r="MO35" i="50"/>
  <c r="MY35" i="50" s="1"/>
  <c r="NN35" i="50" s="1"/>
  <c r="LW35" i="50"/>
  <c r="MW33" i="50"/>
  <c r="NE33" i="50"/>
  <c r="NN33" i="50" s="1"/>
  <c r="MT40" i="50"/>
  <c r="OX224" i="39"/>
  <c r="OJ212" i="39"/>
  <c r="PQ212" i="39"/>
  <c r="PQ216" i="39"/>
  <c r="PV216" i="39"/>
  <c r="PQ217" i="39"/>
  <c r="PV217" i="39"/>
  <c r="PQ220" i="39"/>
  <c r="PV220" i="39"/>
  <c r="OH230" i="39"/>
  <c r="PV221" i="39"/>
  <c r="PQ219" i="39"/>
  <c r="PV219" i="39"/>
  <c r="PQ222" i="39"/>
  <c r="OH231" i="39"/>
  <c r="XK32" i="50"/>
  <c r="YA32" i="50" s="1"/>
  <c r="XA34" i="50"/>
  <c r="UT39" i="50"/>
  <c r="XU39" i="50"/>
  <c r="XU34" i="50"/>
  <c r="VV34" i="50"/>
  <c r="AT326" i="55"/>
  <c r="AT63" i="55"/>
  <c r="AL326" i="55"/>
  <c r="AL63" i="55"/>
  <c r="DD46" i="50"/>
  <c r="UT38" i="50"/>
  <c r="XC32" i="50"/>
  <c r="UC34" i="50"/>
  <c r="UU35" i="50"/>
  <c r="UU38" i="50"/>
  <c r="UC40" i="50"/>
  <c r="UO41" i="50"/>
  <c r="UC35" i="50"/>
  <c r="UC37" i="50"/>
  <c r="XU38" i="50"/>
  <c r="UU32" i="50"/>
  <c r="UO37" i="50"/>
  <c r="UO32" i="50"/>
  <c r="UO34" i="50"/>
  <c r="UI41" i="50"/>
  <c r="UI37" i="50"/>
  <c r="UI35" i="50"/>
  <c r="UH38" i="50"/>
  <c r="UH39" i="50"/>
  <c r="UI34" i="50"/>
  <c r="UI36" i="50"/>
  <c r="UT35" i="50"/>
  <c r="VH35" i="50" s="1"/>
  <c r="UT36" i="50"/>
  <c r="VH36" i="50" s="1"/>
  <c r="XG34" i="50"/>
  <c r="RQ37" i="50"/>
  <c r="RQ35" i="50"/>
  <c r="TW34" i="50"/>
  <c r="TP34" i="50"/>
  <c r="UU37" i="50"/>
  <c r="TQ41" i="50"/>
  <c r="VV37" i="50"/>
  <c r="UT37" i="50"/>
  <c r="VH37" i="50" s="1"/>
  <c r="XB40" i="50"/>
  <c r="TW32" i="50"/>
  <c r="RQ41" i="50"/>
  <c r="RQ34" i="50"/>
  <c r="RQ36" i="50"/>
  <c r="VV41" i="50"/>
  <c r="XU41" i="50"/>
  <c r="VZ35" i="50"/>
  <c r="XY35" i="50"/>
  <c r="VT38" i="50"/>
  <c r="XS38" i="50"/>
  <c r="VT39" i="50"/>
  <c r="XS39" i="50"/>
  <c r="VT36" i="50"/>
  <c r="XS36" i="50"/>
  <c r="VL36" i="50"/>
  <c r="XK36" i="50"/>
  <c r="VL37" i="50"/>
  <c r="XK37" i="50"/>
  <c r="VN32" i="50"/>
  <c r="XM32" i="50"/>
  <c r="VN40" i="50"/>
  <c r="XM40" i="50"/>
  <c r="VX37" i="50"/>
  <c r="XW37" i="50"/>
  <c r="VX39" i="50"/>
  <c r="XW39" i="50"/>
  <c r="VV40" i="50"/>
  <c r="XU40" i="50"/>
  <c r="VR35" i="50"/>
  <c r="XQ35" i="50"/>
  <c r="VP34" i="50"/>
  <c r="XO34" i="50"/>
  <c r="VP37" i="50"/>
  <c r="XO37" i="50"/>
  <c r="VR38" i="50"/>
  <c r="XQ38" i="50"/>
  <c r="VV35" i="50"/>
  <c r="VP39" i="50"/>
  <c r="XO39" i="50"/>
  <c r="VR32" i="50"/>
  <c r="XQ32" i="50"/>
  <c r="VR40" i="50"/>
  <c r="XQ40" i="50"/>
  <c r="VL41" i="50"/>
  <c r="XK41" i="50"/>
  <c r="VL34" i="50"/>
  <c r="XK34" i="50"/>
  <c r="VN34" i="50"/>
  <c r="XM34" i="50"/>
  <c r="VN36" i="50"/>
  <c r="XM36" i="50"/>
  <c r="VX36" i="50"/>
  <c r="XW36" i="50"/>
  <c r="VX41" i="50"/>
  <c r="XW41" i="50"/>
  <c r="VZ40" i="50"/>
  <c r="XY40" i="50"/>
  <c r="VR36" i="50"/>
  <c r="XQ36" i="50"/>
  <c r="VR39" i="50"/>
  <c r="XQ39" i="50"/>
  <c r="VT32" i="50"/>
  <c r="XS32" i="50"/>
  <c r="VV36" i="50"/>
  <c r="XU36" i="50"/>
  <c r="VP36" i="50"/>
  <c r="XO36" i="50"/>
  <c r="VR37" i="50"/>
  <c r="XQ37" i="50"/>
  <c r="VT41" i="50"/>
  <c r="XS41" i="50"/>
  <c r="VP40" i="50"/>
  <c r="XO40" i="50"/>
  <c r="VZ38" i="50"/>
  <c r="XY38" i="50"/>
  <c r="VP35" i="50"/>
  <c r="XO35" i="50"/>
  <c r="VZ34" i="50"/>
  <c r="XY34" i="50"/>
  <c r="VL39" i="50"/>
  <c r="XK39" i="50"/>
  <c r="VL38" i="50"/>
  <c r="XK38" i="50"/>
  <c r="VN35" i="50"/>
  <c r="XM35" i="50"/>
  <c r="VN38" i="50"/>
  <c r="XM38" i="50"/>
  <c r="VN39" i="50"/>
  <c r="XM39" i="50"/>
  <c r="VX35" i="50"/>
  <c r="XW35" i="50"/>
  <c r="VX32" i="50"/>
  <c r="XW32" i="50"/>
  <c r="VP41" i="50"/>
  <c r="XO41" i="50"/>
  <c r="VZ41" i="50"/>
  <c r="XY41" i="50"/>
  <c r="VR34" i="50"/>
  <c r="XQ34" i="50"/>
  <c r="VZ36" i="50"/>
  <c r="XY36" i="50"/>
  <c r="VR41" i="50"/>
  <c r="XQ41" i="50"/>
  <c r="VZ37" i="50"/>
  <c r="XY37" i="50"/>
  <c r="VP32" i="50"/>
  <c r="XO32" i="50"/>
  <c r="VT35" i="50"/>
  <c r="XS35" i="50"/>
  <c r="YI34" i="50"/>
  <c r="YH34" i="50"/>
  <c r="VL40" i="50"/>
  <c r="XK40" i="50"/>
  <c r="VL35" i="50"/>
  <c r="XK35" i="50"/>
  <c r="VN41" i="50"/>
  <c r="XM41" i="50"/>
  <c r="VN37" i="50"/>
  <c r="XM37" i="50"/>
  <c r="VX34" i="50"/>
  <c r="XW34" i="50"/>
  <c r="VX38" i="50"/>
  <c r="XW38" i="50"/>
  <c r="VX40" i="50"/>
  <c r="XW40" i="50"/>
  <c r="VT40" i="50"/>
  <c r="XS40" i="50"/>
  <c r="VT37" i="50"/>
  <c r="XS37" i="50"/>
  <c r="VZ39" i="50"/>
  <c r="XY39" i="50"/>
  <c r="VP38" i="50"/>
  <c r="XO38" i="50"/>
  <c r="VZ32" i="50"/>
  <c r="XY32" i="50"/>
  <c r="RQ32" i="50"/>
  <c r="WS35" i="50"/>
  <c r="WR35" i="50"/>
  <c r="WU37" i="50"/>
  <c r="WT37" i="50"/>
  <c r="XG39" i="50"/>
  <c r="XF39" i="50"/>
  <c r="WW38" i="50"/>
  <c r="WV38" i="50"/>
  <c r="WZ38" i="50"/>
  <c r="XA38" i="50"/>
  <c r="XA39" i="50"/>
  <c r="WZ39" i="50"/>
  <c r="WZ36" i="50"/>
  <c r="XA36" i="50"/>
  <c r="WS36" i="50"/>
  <c r="WR36" i="50"/>
  <c r="WS37" i="50"/>
  <c r="WR37" i="50"/>
  <c r="WU32" i="50"/>
  <c r="WT32" i="50"/>
  <c r="WU40" i="50"/>
  <c r="WT40" i="50"/>
  <c r="XE37" i="50"/>
  <c r="XD37" i="50"/>
  <c r="XE39" i="50"/>
  <c r="XD39" i="50"/>
  <c r="WY35" i="50"/>
  <c r="WX35" i="50"/>
  <c r="WW34" i="50"/>
  <c r="WV34" i="50"/>
  <c r="WW37" i="50"/>
  <c r="WV37" i="50"/>
  <c r="XC37" i="50"/>
  <c r="XB37" i="50"/>
  <c r="XC41" i="50"/>
  <c r="XB41" i="50"/>
  <c r="WU41" i="50"/>
  <c r="WT41" i="50"/>
  <c r="XA40" i="50"/>
  <c r="WZ40" i="50"/>
  <c r="XG35" i="50"/>
  <c r="XF35" i="50"/>
  <c r="WY38" i="50"/>
  <c r="WX38" i="50"/>
  <c r="WW39" i="50"/>
  <c r="WV39" i="50"/>
  <c r="WX32" i="50"/>
  <c r="WY32" i="50"/>
  <c r="XC34" i="50"/>
  <c r="XB34" i="50"/>
  <c r="WY40" i="50"/>
  <c r="WX40" i="50"/>
  <c r="XC35" i="50"/>
  <c r="XB35" i="50"/>
  <c r="XG32" i="50"/>
  <c r="XF32" i="50"/>
  <c r="WX39" i="50"/>
  <c r="WY39" i="50"/>
  <c r="XA32" i="50"/>
  <c r="WZ32" i="50"/>
  <c r="XD34" i="50"/>
  <c r="XE34" i="50"/>
  <c r="VG37" i="50"/>
  <c r="WS34" i="50"/>
  <c r="WR34" i="50"/>
  <c r="WU34" i="50"/>
  <c r="WT34" i="50"/>
  <c r="XE36" i="50"/>
  <c r="XD36" i="50"/>
  <c r="XG40" i="50"/>
  <c r="XF40" i="50"/>
  <c r="WY36" i="50"/>
  <c r="WX36" i="50"/>
  <c r="VA38" i="50"/>
  <c r="XC38" i="50"/>
  <c r="XB38" i="50"/>
  <c r="WW36" i="50"/>
  <c r="WV36" i="50"/>
  <c r="WY37" i="50"/>
  <c r="WX37" i="50"/>
  <c r="WZ41" i="50"/>
  <c r="XA41" i="50"/>
  <c r="WW40" i="50"/>
  <c r="WV40" i="50"/>
  <c r="XG38" i="50"/>
  <c r="XF38" i="50"/>
  <c r="WW35" i="50"/>
  <c r="WV35" i="50"/>
  <c r="WS40" i="50"/>
  <c r="WR40" i="50"/>
  <c r="XD40" i="50"/>
  <c r="XE40" i="50"/>
  <c r="WZ37" i="50"/>
  <c r="XA37" i="50"/>
  <c r="WR41" i="50"/>
  <c r="WS41" i="50"/>
  <c r="WU36" i="50"/>
  <c r="WT36" i="50"/>
  <c r="XE41" i="50"/>
  <c r="XD41" i="50"/>
  <c r="WS39" i="50"/>
  <c r="WR39" i="50"/>
  <c r="WS38" i="50"/>
  <c r="WR38" i="50"/>
  <c r="WT35" i="50"/>
  <c r="WU35" i="50"/>
  <c r="WT38" i="50"/>
  <c r="WU38" i="50"/>
  <c r="WU39" i="50"/>
  <c r="WT39" i="50"/>
  <c r="XE35" i="50"/>
  <c r="XD35" i="50"/>
  <c r="XE32" i="50"/>
  <c r="XD32" i="50"/>
  <c r="XC36" i="50"/>
  <c r="XB36" i="50"/>
  <c r="WW41" i="50"/>
  <c r="WV41" i="50"/>
  <c r="XG41" i="50"/>
  <c r="XF41" i="50"/>
  <c r="WY34" i="50"/>
  <c r="WX34" i="50"/>
  <c r="XG36" i="50"/>
  <c r="XF36" i="50"/>
  <c r="XE38" i="50"/>
  <c r="XD38" i="50"/>
  <c r="XC39" i="50"/>
  <c r="XB39" i="50"/>
  <c r="WY41" i="50"/>
  <c r="WX41" i="50"/>
  <c r="XG37" i="50"/>
  <c r="XF37" i="50"/>
  <c r="WV32" i="50"/>
  <c r="WW32" i="50"/>
  <c r="XA35" i="50"/>
  <c r="WZ35" i="50"/>
  <c r="RQ40" i="50"/>
  <c r="VG38" i="50"/>
  <c r="VG36" i="50"/>
  <c r="VG41" i="50"/>
  <c r="VG35" i="50"/>
  <c r="RQ38" i="50"/>
  <c r="SQ37" i="50"/>
  <c r="VA40" i="50"/>
  <c r="VA34" i="50"/>
  <c r="VG32" i="50"/>
  <c r="VA35" i="50"/>
  <c r="VA32" i="50"/>
  <c r="UT41" i="50"/>
  <c r="VH41" i="50" s="1"/>
  <c r="VA36" i="50"/>
  <c r="VA41" i="50"/>
  <c r="VA37" i="50"/>
  <c r="VA39" i="50"/>
  <c r="VI39" i="50" s="1"/>
  <c r="TW41" i="50"/>
  <c r="TW37" i="50"/>
  <c r="TP38" i="50"/>
  <c r="SQ39" i="50"/>
  <c r="RQ39" i="50"/>
  <c r="VG34" i="50"/>
  <c r="SQ38" i="50"/>
  <c r="SQ41" i="50"/>
  <c r="UT32" i="50"/>
  <c r="VH32" i="50" s="1"/>
  <c r="VV32" i="50"/>
  <c r="UN34" i="50"/>
  <c r="VT34" i="50"/>
  <c r="SQ34" i="50"/>
  <c r="SQ40" i="50"/>
  <c r="SQ32" i="50"/>
  <c r="SQ36" i="50"/>
  <c r="SQ35" i="50"/>
  <c r="VH40" i="50"/>
  <c r="DD45" i="50"/>
  <c r="DH46" i="50"/>
  <c r="GY40" i="50"/>
  <c r="GX41" i="50"/>
  <c r="DP50" i="50"/>
  <c r="DP44" i="50"/>
  <c r="DP51" i="50"/>
  <c r="DP49" i="50"/>
  <c r="DP47" i="50"/>
  <c r="DP45" i="50"/>
  <c r="DP46" i="50"/>
  <c r="EE34" i="50"/>
  <c r="DT51" i="50"/>
  <c r="DT49" i="50"/>
  <c r="DT47" i="50"/>
  <c r="DT45" i="50"/>
  <c r="DT44" i="50"/>
  <c r="DT50" i="50"/>
  <c r="DT46" i="50"/>
  <c r="DX51" i="50"/>
  <c r="DX47" i="50"/>
  <c r="DX50" i="50"/>
  <c r="DX46" i="50"/>
  <c r="DX44" i="50"/>
  <c r="DX49" i="50"/>
  <c r="DX45" i="50"/>
  <c r="DR44" i="50"/>
  <c r="DR51" i="50"/>
  <c r="DR49" i="50"/>
  <c r="DR47" i="50"/>
  <c r="DR45" i="50"/>
  <c r="DR50" i="50"/>
  <c r="DR46" i="50"/>
  <c r="ED44" i="50"/>
  <c r="ED47" i="50"/>
  <c r="ED50" i="50"/>
  <c r="ED46" i="50"/>
  <c r="ED45" i="50"/>
  <c r="ED51" i="50"/>
  <c r="ED49" i="50"/>
  <c r="EB44" i="50"/>
  <c r="EB49" i="50"/>
  <c r="EB45" i="50"/>
  <c r="EB50" i="50"/>
  <c r="EB46" i="50"/>
  <c r="EB51" i="50"/>
  <c r="EB47" i="50"/>
  <c r="EE41" i="50"/>
  <c r="EE36" i="50"/>
  <c r="DZ47" i="50"/>
  <c r="DZ49" i="50"/>
  <c r="DZ50" i="50"/>
  <c r="DZ51" i="50"/>
  <c r="DZ45" i="50"/>
  <c r="DZ44" i="50"/>
  <c r="DZ46" i="50"/>
  <c r="EE39" i="50"/>
  <c r="EE38" i="50"/>
  <c r="EE40" i="50"/>
  <c r="EE37" i="50"/>
  <c r="EE35" i="50"/>
  <c r="EE32" i="50"/>
  <c r="DV50" i="50"/>
  <c r="DV45" i="50"/>
  <c r="DV51" i="50"/>
  <c r="DV49" i="50"/>
  <c r="DV47" i="50"/>
  <c r="DV44" i="50"/>
  <c r="DV46" i="50"/>
  <c r="DH45" i="50"/>
  <c r="DH49" i="50"/>
  <c r="DH44" i="50"/>
  <c r="DH50" i="50"/>
  <c r="DH47" i="50"/>
  <c r="DD49" i="50"/>
  <c r="DD50" i="50"/>
  <c r="DD51" i="50"/>
  <c r="DD47" i="50"/>
  <c r="DM32" i="50"/>
  <c r="DM51" i="50" s="1"/>
  <c r="DM38" i="50"/>
  <c r="DM39" i="50"/>
  <c r="DM40" i="50"/>
  <c r="GX37" i="50"/>
  <c r="DM36" i="50"/>
  <c r="DM37" i="50"/>
  <c r="DM35" i="50"/>
  <c r="GY36" i="50"/>
  <c r="GX34" i="50"/>
  <c r="DM41" i="50"/>
  <c r="DM34" i="50"/>
  <c r="GX35" i="50"/>
  <c r="GX40" i="50"/>
  <c r="GX38" i="50"/>
  <c r="GY37" i="50"/>
  <c r="GY41" i="50"/>
  <c r="GX32" i="50"/>
  <c r="GY35" i="50"/>
  <c r="GY32" i="50"/>
  <c r="GX36" i="50"/>
  <c r="GX39" i="50"/>
  <c r="GY39" i="50"/>
  <c r="GY34" i="50"/>
  <c r="GY38" i="50"/>
  <c r="FN32" i="50"/>
  <c r="FO40" i="50"/>
  <c r="FO38" i="50"/>
  <c r="FN40" i="50"/>
  <c r="FN37" i="50"/>
  <c r="FN39" i="50"/>
  <c r="FO36" i="50"/>
  <c r="FN38" i="50"/>
  <c r="FN35" i="50"/>
  <c r="FO39" i="50"/>
  <c r="FN36" i="50"/>
  <c r="FO37" i="50"/>
  <c r="FN41" i="50"/>
  <c r="FO35" i="50"/>
  <c r="FO41" i="50"/>
  <c r="FN34" i="50"/>
  <c r="FO32" i="50"/>
  <c r="FO34" i="50"/>
  <c r="CZ49" i="50"/>
  <c r="CZ44" i="50"/>
  <c r="CZ47" i="50"/>
  <c r="CZ46" i="50"/>
  <c r="CZ45" i="50"/>
  <c r="CZ51" i="50"/>
  <c r="CZ50" i="50"/>
  <c r="DL49" i="50"/>
  <c r="DL44" i="50"/>
  <c r="DL47" i="50"/>
  <c r="DL46" i="50"/>
  <c r="DL45" i="50"/>
  <c r="DL51" i="50"/>
  <c r="DL50" i="50"/>
  <c r="DF49" i="50"/>
  <c r="DF45" i="50"/>
  <c r="DF47" i="50"/>
  <c r="DF46" i="50"/>
  <c r="DF44" i="50"/>
  <c r="DF51" i="50"/>
  <c r="DF50" i="50"/>
  <c r="DJ49" i="50"/>
  <c r="DJ47" i="50"/>
  <c r="DJ46" i="50"/>
  <c r="DJ45" i="50"/>
  <c r="DJ44" i="50"/>
  <c r="DJ51" i="50"/>
  <c r="DJ50" i="50"/>
  <c r="CX49" i="50"/>
  <c r="CX45" i="50"/>
  <c r="CX47" i="50"/>
  <c r="CX46" i="50"/>
  <c r="CX51" i="50"/>
  <c r="CX50" i="50"/>
  <c r="CX44" i="50"/>
  <c r="DB49" i="50"/>
  <c r="DB45" i="50"/>
  <c r="DB47" i="50"/>
  <c r="DB46" i="50"/>
  <c r="DB44" i="50"/>
  <c r="DB51" i="50"/>
  <c r="DB50" i="50"/>
  <c r="OJ221" i="39"/>
  <c r="PQ221" i="39"/>
  <c r="OJ218" i="39"/>
  <c r="PQ218" i="39"/>
  <c r="OJ217" i="39"/>
  <c r="OJ216" i="39"/>
  <c r="OJ219" i="39"/>
  <c r="OJ220" i="39"/>
  <c r="OJ222" i="39"/>
  <c r="OJ231" i="39" s="1"/>
  <c r="OJ215" i="39" l="1"/>
  <c r="FE187" i="39"/>
  <c r="OT87" i="39" s="1"/>
  <c r="FE192" i="39"/>
  <c r="OT92" i="39" s="1"/>
  <c r="FE186" i="39"/>
  <c r="OT86" i="39" s="1"/>
  <c r="FE185" i="39"/>
  <c r="OT85" i="39" s="1"/>
  <c r="FE191" i="39"/>
  <c r="OT91" i="39" s="1"/>
  <c r="FE188" i="39"/>
  <c r="OT88" i="39" s="1"/>
  <c r="FE190" i="39"/>
  <c r="OT90" i="39" s="1"/>
  <c r="OZ54" i="50"/>
  <c r="EW54" i="50"/>
  <c r="GG54" i="50"/>
  <c r="MN54" i="50"/>
  <c r="S78" i="54" s="1"/>
  <c r="PQ46" i="50"/>
  <c r="FF163" i="39" s="1"/>
  <c r="FF187" i="39" s="1"/>
  <c r="OU87" i="39" s="1"/>
  <c r="PQ48" i="50"/>
  <c r="FF165" i="39" s="1"/>
  <c r="FF189" i="39" s="1"/>
  <c r="OU89" i="39" s="1"/>
  <c r="PQ47" i="50"/>
  <c r="FF164" i="39" s="1"/>
  <c r="FF188" i="39" s="1"/>
  <c r="OU88" i="39" s="1"/>
  <c r="PQ45" i="50"/>
  <c r="FF162" i="39" s="1"/>
  <c r="FF186" i="39" s="1"/>
  <c r="OU86" i="39" s="1"/>
  <c r="PQ44" i="50"/>
  <c r="FF161" i="39" s="1"/>
  <c r="FF185" i="39" s="1"/>
  <c r="OU85" i="39" s="1"/>
  <c r="PQ51" i="50"/>
  <c r="FF168" i="39" s="1"/>
  <c r="FF192" i="39" s="1"/>
  <c r="OU92" i="39" s="1"/>
  <c r="PQ49" i="50"/>
  <c r="FF166" i="39" s="1"/>
  <c r="FF190" i="39" s="1"/>
  <c r="OU90" i="39" s="1"/>
  <c r="PQ50" i="50"/>
  <c r="FF167" i="39" s="1"/>
  <c r="FF191" i="39" s="1"/>
  <c r="OU91" i="39" s="1"/>
  <c r="VH44" i="50"/>
  <c r="VH51" i="50"/>
  <c r="VH45" i="50"/>
  <c r="VH49" i="50"/>
  <c r="VH50" i="50"/>
  <c r="FM167" i="39" s="1"/>
  <c r="FM191" i="39" s="1"/>
  <c r="VH48" i="50"/>
  <c r="VH47" i="50"/>
  <c r="VH46" i="50"/>
  <c r="FM163" i="39" s="1"/>
  <c r="FM187" i="39" s="1"/>
  <c r="EE48" i="50"/>
  <c r="EE51" i="50"/>
  <c r="EE44" i="50"/>
  <c r="EE50" i="50"/>
  <c r="EY167" i="39" s="1"/>
  <c r="EE49" i="50"/>
  <c r="EY166" i="39" s="1"/>
  <c r="EE46" i="50"/>
  <c r="EY163" i="39" s="1"/>
  <c r="EE47" i="50"/>
  <c r="EY164" i="39" s="1"/>
  <c r="EE45" i="50"/>
  <c r="EY162" i="39" s="1"/>
  <c r="LW50" i="50"/>
  <c r="LW49" i="50"/>
  <c r="FB166" i="39" s="1"/>
  <c r="LW46" i="50"/>
  <c r="FB163" i="39" s="1"/>
  <c r="LW47" i="50"/>
  <c r="FB164" i="39" s="1"/>
  <c r="LW45" i="50"/>
  <c r="FB162" i="39" s="1"/>
  <c r="LW48" i="50"/>
  <c r="LW44" i="50"/>
  <c r="FB161" i="39" s="1"/>
  <c r="LW51" i="50"/>
  <c r="FB168" i="39" s="1"/>
  <c r="SQ51" i="50"/>
  <c r="SQ44" i="50"/>
  <c r="SQ46" i="50"/>
  <c r="SQ48" i="50"/>
  <c r="SQ50" i="50"/>
  <c r="SQ47" i="50"/>
  <c r="SQ45" i="50"/>
  <c r="SQ49" i="50"/>
  <c r="RQ50" i="50"/>
  <c r="RQ51" i="50"/>
  <c r="RQ49" i="50"/>
  <c r="RQ48" i="50"/>
  <c r="RQ44" i="50"/>
  <c r="RQ46" i="50"/>
  <c r="RQ47" i="50"/>
  <c r="RQ45" i="50"/>
  <c r="NN51" i="50"/>
  <c r="FD168" i="39" s="1"/>
  <c r="FD192" i="39" s="1"/>
  <c r="OS92" i="39" s="1"/>
  <c r="NN46" i="50"/>
  <c r="FD163" i="39" s="1"/>
  <c r="FD187" i="39" s="1"/>
  <c r="OS87" i="39" s="1"/>
  <c r="NN50" i="50"/>
  <c r="NN44" i="50"/>
  <c r="FD161" i="39" s="1"/>
  <c r="FD185" i="39" s="1"/>
  <c r="OS85" i="39" s="1"/>
  <c r="NN47" i="50"/>
  <c r="FD164" i="39" s="1"/>
  <c r="FD188" i="39" s="1"/>
  <c r="OS88" i="39" s="1"/>
  <c r="NN48" i="50"/>
  <c r="FD165" i="39" s="1"/>
  <c r="FD189" i="39" s="1"/>
  <c r="OS89" i="39" s="1"/>
  <c r="NN49" i="50"/>
  <c r="FD166" i="39" s="1"/>
  <c r="FD190" i="39" s="1"/>
  <c r="OS90" i="39" s="1"/>
  <c r="NN45" i="50"/>
  <c r="FD162" i="39" s="1"/>
  <c r="FD186" i="39" s="1"/>
  <c r="OS86" i="39" s="1"/>
  <c r="QH46" i="50"/>
  <c r="FG163" i="39" s="1"/>
  <c r="FG187" i="39" s="1"/>
  <c r="OV87" i="39" s="1"/>
  <c r="QH45" i="50"/>
  <c r="FG162" i="39" s="1"/>
  <c r="FG186" i="39" s="1"/>
  <c r="OV86" i="39" s="1"/>
  <c r="QH44" i="50"/>
  <c r="FG161" i="39" s="1"/>
  <c r="FG185" i="39" s="1"/>
  <c r="OV85" i="39" s="1"/>
  <c r="QH48" i="50"/>
  <c r="FG165" i="39" s="1"/>
  <c r="FG189" i="39" s="1"/>
  <c r="OV89" i="39" s="1"/>
  <c r="QH47" i="50"/>
  <c r="FG164" i="39" s="1"/>
  <c r="FG188" i="39" s="1"/>
  <c r="OV88" i="39" s="1"/>
  <c r="QH51" i="50"/>
  <c r="FG168" i="39" s="1"/>
  <c r="FG192" i="39" s="1"/>
  <c r="OV92" i="39" s="1"/>
  <c r="QH50" i="50"/>
  <c r="FG167" i="39" s="1"/>
  <c r="FG191" i="39" s="1"/>
  <c r="OV91" i="39" s="1"/>
  <c r="QH49" i="50"/>
  <c r="FG166" i="39" s="1"/>
  <c r="FG190" i="39" s="1"/>
  <c r="OV90" i="39" s="1"/>
  <c r="MW37" i="50"/>
  <c r="MW36" i="50"/>
  <c r="MW38" i="50"/>
  <c r="MW41" i="50"/>
  <c r="MW32" i="50"/>
  <c r="MW35" i="50"/>
  <c r="MW34" i="50"/>
  <c r="MW39" i="50"/>
  <c r="FB167" i="39"/>
  <c r="MW40" i="50"/>
  <c r="NI40" i="50"/>
  <c r="NN40" i="50" s="1"/>
  <c r="OJ230" i="39"/>
  <c r="XZ32" i="50"/>
  <c r="VH39" i="50"/>
  <c r="VJ39" i="50" s="1"/>
  <c r="EX168" i="39"/>
  <c r="VH38" i="50"/>
  <c r="SR37" i="50"/>
  <c r="VI40" i="50"/>
  <c r="SR35" i="50"/>
  <c r="SR34" i="50"/>
  <c r="VH34" i="50"/>
  <c r="SR41" i="50"/>
  <c r="SR36" i="50"/>
  <c r="SR32" i="50"/>
  <c r="VI38" i="50"/>
  <c r="WA38" i="50"/>
  <c r="WA40" i="50"/>
  <c r="WA36" i="50"/>
  <c r="WA41" i="50"/>
  <c r="WA35" i="50"/>
  <c r="WA39" i="50"/>
  <c r="WA32" i="50"/>
  <c r="WA37" i="50"/>
  <c r="YN38" i="50"/>
  <c r="YO38" i="50"/>
  <c r="XI41" i="50"/>
  <c r="YF34" i="50"/>
  <c r="YG34" i="50"/>
  <c r="YL35" i="50"/>
  <c r="YM35" i="50"/>
  <c r="XZ38" i="50"/>
  <c r="YA38" i="50"/>
  <c r="YD37" i="50"/>
  <c r="YE37" i="50"/>
  <c r="YM39" i="50"/>
  <c r="YL39" i="50"/>
  <c r="YA37" i="50"/>
  <c r="XZ37" i="50"/>
  <c r="YH39" i="50"/>
  <c r="YI39" i="50"/>
  <c r="YC37" i="50"/>
  <c r="YB37" i="50"/>
  <c r="YN37" i="50"/>
  <c r="YO37" i="50"/>
  <c r="YD36" i="50"/>
  <c r="YE36" i="50"/>
  <c r="YI32" i="50"/>
  <c r="YH32" i="50"/>
  <c r="YL41" i="50"/>
  <c r="YM41" i="50"/>
  <c r="YA34" i="50"/>
  <c r="XZ34" i="50"/>
  <c r="YG32" i="50"/>
  <c r="YF32" i="50"/>
  <c r="VI34" i="50"/>
  <c r="YO41" i="50"/>
  <c r="YN41" i="50"/>
  <c r="YB39" i="50"/>
  <c r="YC39" i="50"/>
  <c r="XZ39" i="50"/>
  <c r="YA39" i="50"/>
  <c r="YD34" i="50"/>
  <c r="YE34" i="50"/>
  <c r="YL37" i="50"/>
  <c r="YM37" i="50"/>
  <c r="XZ36" i="50"/>
  <c r="YA36" i="50"/>
  <c r="YH38" i="50"/>
  <c r="YI38" i="50"/>
  <c r="YO32" i="50"/>
  <c r="YN32" i="50"/>
  <c r="YD38" i="50"/>
  <c r="YE38" i="50"/>
  <c r="YL40" i="50"/>
  <c r="YM40" i="50"/>
  <c r="YB41" i="50"/>
  <c r="YC41" i="50"/>
  <c r="YG41" i="50"/>
  <c r="YF41" i="50"/>
  <c r="YD40" i="50"/>
  <c r="YE40" i="50"/>
  <c r="YF39" i="50"/>
  <c r="YG39" i="50"/>
  <c r="YL36" i="50"/>
  <c r="YM36" i="50"/>
  <c r="YA41" i="50"/>
  <c r="XZ41" i="50"/>
  <c r="YE39" i="50"/>
  <c r="YD39" i="50"/>
  <c r="WA34" i="50"/>
  <c r="VI32" i="50"/>
  <c r="YD41" i="50"/>
  <c r="YE41" i="50"/>
  <c r="YB38" i="50"/>
  <c r="YC38" i="50"/>
  <c r="YN34" i="50"/>
  <c r="YO34" i="50"/>
  <c r="YF35" i="50"/>
  <c r="YG35" i="50"/>
  <c r="YC40" i="50"/>
  <c r="YB40" i="50"/>
  <c r="YN35" i="50"/>
  <c r="YO35" i="50"/>
  <c r="VI35" i="50"/>
  <c r="YN39" i="50"/>
  <c r="YO39" i="50"/>
  <c r="YL38" i="50"/>
  <c r="YM38" i="50"/>
  <c r="YA35" i="50"/>
  <c r="XZ35" i="50"/>
  <c r="YI35" i="50"/>
  <c r="YH35" i="50"/>
  <c r="YH41" i="50"/>
  <c r="YI41" i="50"/>
  <c r="YF36" i="50"/>
  <c r="YG36" i="50"/>
  <c r="YB36" i="50"/>
  <c r="YC36" i="50"/>
  <c r="YH40" i="50"/>
  <c r="YI40" i="50"/>
  <c r="YO36" i="50"/>
  <c r="YN36" i="50"/>
  <c r="YM32" i="50"/>
  <c r="YL32" i="50"/>
  <c r="YB35" i="50"/>
  <c r="YC35" i="50"/>
  <c r="YF38" i="50"/>
  <c r="YG38" i="50"/>
  <c r="YC32" i="50"/>
  <c r="YB32" i="50"/>
  <c r="YH36" i="50"/>
  <c r="YI36" i="50"/>
  <c r="YH37" i="50"/>
  <c r="YI37" i="50"/>
  <c r="YL34" i="50"/>
  <c r="YM34" i="50"/>
  <c r="XZ40" i="50"/>
  <c r="YA40" i="50"/>
  <c r="YE32" i="50"/>
  <c r="YD32" i="50"/>
  <c r="YD35" i="50"/>
  <c r="YE35" i="50"/>
  <c r="YF37" i="50"/>
  <c r="YG37" i="50"/>
  <c r="YN40" i="50"/>
  <c r="YO40" i="50"/>
  <c r="YB34" i="50"/>
  <c r="YC34" i="50"/>
  <c r="YF40" i="50"/>
  <c r="YG40" i="50"/>
  <c r="SR38" i="50"/>
  <c r="XH35" i="50"/>
  <c r="XI40" i="50"/>
  <c r="XI35" i="50"/>
  <c r="XI32" i="50"/>
  <c r="XH38" i="50"/>
  <c r="XI38" i="50"/>
  <c r="XH32" i="50"/>
  <c r="XH37" i="50"/>
  <c r="XH40" i="50"/>
  <c r="XI39" i="50"/>
  <c r="XH34" i="50"/>
  <c r="XH39" i="50"/>
  <c r="XI34" i="50"/>
  <c r="XI37" i="50"/>
  <c r="XH36" i="50"/>
  <c r="XH41" i="50"/>
  <c r="XI36" i="50"/>
  <c r="VI36" i="50"/>
  <c r="VI41" i="50"/>
  <c r="SR39" i="50"/>
  <c r="VI37" i="50"/>
  <c r="SR40" i="50"/>
  <c r="GZ36" i="50"/>
  <c r="GZ40" i="50"/>
  <c r="GZ32" i="50"/>
  <c r="GZ35" i="50"/>
  <c r="GZ38" i="50"/>
  <c r="HA37" i="50"/>
  <c r="HA34" i="50"/>
  <c r="GZ39" i="50"/>
  <c r="GZ41" i="50"/>
  <c r="GZ37" i="50"/>
  <c r="HA40" i="50"/>
  <c r="HA32" i="50"/>
  <c r="GZ34" i="50"/>
  <c r="HA41" i="50"/>
  <c r="HA36" i="50"/>
  <c r="HA35" i="50"/>
  <c r="HA38" i="50"/>
  <c r="HA39" i="50"/>
  <c r="EY161" i="39"/>
  <c r="EY185" i="39" s="1"/>
  <c r="EY168" i="39"/>
  <c r="DM46" i="50"/>
  <c r="EX163" i="39" s="1"/>
  <c r="DM44" i="50"/>
  <c r="EX161" i="39" s="1"/>
  <c r="EX185" i="39" s="1"/>
  <c r="DM47" i="50"/>
  <c r="EX164" i="39" s="1"/>
  <c r="DM49" i="50"/>
  <c r="EX166" i="39" s="1"/>
  <c r="DM50" i="50"/>
  <c r="EX167" i="39" s="1"/>
  <c r="DM45" i="50"/>
  <c r="EX162" i="39" s="1"/>
  <c r="FM168" i="39"/>
  <c r="FM192" i="39" s="1"/>
  <c r="FM164" i="39"/>
  <c r="FM188" i="39" s="1"/>
  <c r="FM162" i="39"/>
  <c r="FM186" i="39" s="1"/>
  <c r="AH27" i="8"/>
  <c r="AH25" i="8"/>
  <c r="AH24" i="8"/>
  <c r="AH22" i="8"/>
  <c r="AH20" i="8"/>
  <c r="AH19" i="8"/>
  <c r="AH15" i="8"/>
  <c r="EE54" i="50" l="1"/>
  <c r="FD167" i="39"/>
  <c r="FD191" i="39" s="1"/>
  <c r="OS91" i="39" s="1"/>
  <c r="EY190" i="39"/>
  <c r="ON90" i="39" s="1"/>
  <c r="EX192" i="39"/>
  <c r="OM92" i="39" s="1"/>
  <c r="EX186" i="39"/>
  <c r="OM86" i="39" s="1"/>
  <c r="EX187" i="39"/>
  <c r="OM87" i="39" s="1"/>
  <c r="EX191" i="39"/>
  <c r="OM91" i="39" s="1"/>
  <c r="EY191" i="39"/>
  <c r="ON91" i="39" s="1"/>
  <c r="FB185" i="39"/>
  <c r="OQ85" i="39" s="1"/>
  <c r="PD85" i="39" s="1"/>
  <c r="EX190" i="39"/>
  <c r="OM90" i="39" s="1"/>
  <c r="EY188" i="39"/>
  <c r="ON88" i="39" s="1"/>
  <c r="FB191" i="39"/>
  <c r="OQ91" i="39" s="1"/>
  <c r="EX188" i="39"/>
  <c r="OM88" i="39" s="1"/>
  <c r="EY187" i="39"/>
  <c r="ON87" i="39" s="1"/>
  <c r="FB188" i="39"/>
  <c r="OQ88" i="39" s="1"/>
  <c r="PD88" i="39" s="1"/>
  <c r="EY186" i="39"/>
  <c r="ON86" i="39" s="1"/>
  <c r="FB190" i="39"/>
  <c r="OQ90" i="39" s="1"/>
  <c r="PD90" i="39" s="1"/>
  <c r="FB186" i="39"/>
  <c r="OQ86" i="39" s="1"/>
  <c r="PD86" i="39" s="1"/>
  <c r="FB192" i="39"/>
  <c r="OQ92" i="39" s="1"/>
  <c r="PD92" i="39" s="1"/>
  <c r="EY192" i="39"/>
  <c r="ON92" i="39" s="1"/>
  <c r="FB187" i="39"/>
  <c r="OQ87" i="39" s="1"/>
  <c r="PD87" i="39" s="1"/>
  <c r="PQ54" i="50"/>
  <c r="NN54" i="50"/>
  <c r="S80" i="54" s="1"/>
  <c r="SQ54" i="50"/>
  <c r="LW54" i="50"/>
  <c r="RQ54" i="50"/>
  <c r="QH54" i="50"/>
  <c r="HA44" i="50"/>
  <c r="HA46" i="50"/>
  <c r="HA48" i="50"/>
  <c r="HA47" i="50"/>
  <c r="FA164" i="39" s="1"/>
  <c r="FA188" i="39" s="1"/>
  <c r="HA50" i="50"/>
  <c r="FA167" i="39" s="1"/>
  <c r="FA191" i="39" s="1"/>
  <c r="HA49" i="50"/>
  <c r="HA45" i="50"/>
  <c r="FA162" i="39" s="1"/>
  <c r="FA186" i="39" s="1"/>
  <c r="HA51" i="50"/>
  <c r="GZ49" i="50"/>
  <c r="GZ51" i="50"/>
  <c r="GZ44" i="50"/>
  <c r="EZ161" i="39" s="1"/>
  <c r="EZ185" i="39" s="1"/>
  <c r="GZ46" i="50"/>
  <c r="EZ163" i="39" s="1"/>
  <c r="EZ187" i="39" s="1"/>
  <c r="GZ48" i="50"/>
  <c r="GZ50" i="50"/>
  <c r="GZ47" i="50"/>
  <c r="EZ164" i="39" s="1"/>
  <c r="EZ188" i="39" s="1"/>
  <c r="GZ45" i="50"/>
  <c r="XH50" i="50"/>
  <c r="XH51" i="50"/>
  <c r="XH49" i="50"/>
  <c r="XH44" i="50"/>
  <c r="XH47" i="50"/>
  <c r="XH48" i="50"/>
  <c r="XH46" i="50"/>
  <c r="XH45" i="50"/>
  <c r="WA46" i="50"/>
  <c r="WA45" i="50"/>
  <c r="WA44" i="50"/>
  <c r="WA47" i="50"/>
  <c r="WA48" i="50"/>
  <c r="WA51" i="50"/>
  <c r="WA50" i="50"/>
  <c r="WA49" i="50"/>
  <c r="SR50" i="50"/>
  <c r="SR49" i="50"/>
  <c r="SR45" i="50"/>
  <c r="FL162" i="39" s="1"/>
  <c r="FL186" i="39" s="1"/>
  <c r="SR44" i="50"/>
  <c r="FL161" i="39" s="1"/>
  <c r="FL185" i="39" s="1"/>
  <c r="SR48" i="50"/>
  <c r="SR51" i="50"/>
  <c r="SR46" i="50"/>
  <c r="SR47" i="50"/>
  <c r="MW47" i="50"/>
  <c r="MW50" i="50"/>
  <c r="MW49" i="50"/>
  <c r="MW45" i="50"/>
  <c r="MW51" i="50"/>
  <c r="MW44" i="50"/>
  <c r="MW46" i="50"/>
  <c r="MW48" i="50"/>
  <c r="XI45" i="50"/>
  <c r="XI51" i="50"/>
  <c r="XI44" i="50"/>
  <c r="XI46" i="50"/>
  <c r="XI48" i="50"/>
  <c r="XI47" i="50"/>
  <c r="XI50" i="50"/>
  <c r="XI49" i="50"/>
  <c r="VJ32" i="50"/>
  <c r="VI47" i="50"/>
  <c r="VI49" i="50"/>
  <c r="VI45" i="50"/>
  <c r="VI44" i="50"/>
  <c r="VI51" i="50"/>
  <c r="VI50" i="50"/>
  <c r="VI46" i="50"/>
  <c r="VI48" i="50"/>
  <c r="VH54" i="50"/>
  <c r="FM166" i="39"/>
  <c r="FM190" i="39" s="1"/>
  <c r="ON85" i="39"/>
  <c r="EZ168" i="39"/>
  <c r="EZ192" i="39" s="1"/>
  <c r="FM161" i="39"/>
  <c r="FM185" i="39" s="1"/>
  <c r="OM85" i="39"/>
  <c r="VJ41" i="50"/>
  <c r="VJ36" i="50"/>
  <c r="VJ35" i="50"/>
  <c r="VJ40" i="50"/>
  <c r="VJ37" i="50"/>
  <c r="VJ38" i="50"/>
  <c r="VJ34" i="50"/>
  <c r="EZ167" i="39"/>
  <c r="EZ191" i="39" s="1"/>
  <c r="EZ166" i="39"/>
  <c r="EZ190" i="39" s="1"/>
  <c r="FL164" i="39"/>
  <c r="FL188" i="39" s="1"/>
  <c r="FL168" i="39"/>
  <c r="FL192" i="39" s="1"/>
  <c r="FL167" i="39"/>
  <c r="FL191" i="39" s="1"/>
  <c r="FL166" i="39"/>
  <c r="FL190" i="39" s="1"/>
  <c r="EZ162" i="39"/>
  <c r="EZ186" i="39" s="1"/>
  <c r="FA163" i="39"/>
  <c r="FA187" i="39" s="1"/>
  <c r="FA161" i="39"/>
  <c r="FA185" i="39" s="1"/>
  <c r="FA166" i="39"/>
  <c r="FA190" i="39" s="1"/>
  <c r="FA168" i="39"/>
  <c r="FA192" i="39" s="1"/>
  <c r="PD91" i="39" l="1"/>
  <c r="PB90" i="39"/>
  <c r="PB88" i="39"/>
  <c r="PB91" i="39"/>
  <c r="PB87" i="39"/>
  <c r="PB86" i="39"/>
  <c r="PB92" i="39"/>
  <c r="XI54" i="50"/>
  <c r="SR54" i="50"/>
  <c r="MW54" i="50"/>
  <c r="VI54" i="50"/>
  <c r="XH54" i="50"/>
  <c r="HA54" i="50"/>
  <c r="WA54" i="50"/>
  <c r="GZ54" i="50"/>
  <c r="FL163" i="39"/>
  <c r="FL187" i="39" s="1"/>
  <c r="VJ44" i="50"/>
  <c r="VJ50" i="50"/>
  <c r="VJ49" i="50"/>
  <c r="VJ46" i="50"/>
  <c r="VJ47" i="50"/>
  <c r="VJ45" i="50"/>
  <c r="VJ48" i="50"/>
  <c r="VJ51" i="50"/>
  <c r="FN161" i="39"/>
  <c r="FN162" i="39"/>
  <c r="FN168" i="39"/>
  <c r="FN166" i="39"/>
  <c r="FN164" i="39"/>
  <c r="FN163" i="39"/>
  <c r="FN167" i="39"/>
  <c r="PB85" i="39"/>
  <c r="FQ164" i="39"/>
  <c r="FR164" i="39"/>
  <c r="FR188" i="39" s="1"/>
  <c r="FS164" i="39"/>
  <c r="FS188" i="39" s="1"/>
  <c r="FR163" i="39"/>
  <c r="FR187" i="39" s="1"/>
  <c r="FR168" i="39"/>
  <c r="FR192" i="39" s="1"/>
  <c r="FS168" i="39"/>
  <c r="FS192" i="39" s="1"/>
  <c r="FQ168" i="39"/>
  <c r="FQ163" i="39"/>
  <c r="FQ187" i="39" s="1"/>
  <c r="FQ161" i="39"/>
  <c r="FQ185" i="39" s="1"/>
  <c r="FS167" i="39"/>
  <c r="FS191" i="39" s="1"/>
  <c r="FR166" i="39"/>
  <c r="FR190" i="39" s="1"/>
  <c r="FQ166" i="39"/>
  <c r="FR162" i="39"/>
  <c r="FR186" i="39" s="1"/>
  <c r="FS166" i="39"/>
  <c r="FS190" i="39" s="1"/>
  <c r="FR161" i="39"/>
  <c r="FR185" i="39" s="1"/>
  <c r="FS161" i="39"/>
  <c r="FS185" i="39" s="1"/>
  <c r="FQ162" i="39"/>
  <c r="FS162" i="39"/>
  <c r="FS186" i="39" s="1"/>
  <c r="FQ167" i="39"/>
  <c r="FS163" i="39"/>
  <c r="FS187" i="39" s="1"/>
  <c r="FR167" i="39"/>
  <c r="FR191" i="39" s="1"/>
  <c r="X78" i="15"/>
  <c r="FN192" i="39" l="1"/>
  <c r="OY92" i="39" s="1"/>
  <c r="PF92" i="39" s="1"/>
  <c r="FN186" i="39"/>
  <c r="OY86" i="39" s="1"/>
  <c r="PF86" i="39" s="1"/>
  <c r="FQ191" i="39"/>
  <c r="OX91" i="39" s="1"/>
  <c r="PE91" i="39" s="1"/>
  <c r="FQ188" i="39"/>
  <c r="OX88" i="39" s="1"/>
  <c r="PE88" i="39" s="1"/>
  <c r="FN185" i="39"/>
  <c r="OY85" i="39" s="1"/>
  <c r="PF85" i="39" s="1"/>
  <c r="FQ186" i="39"/>
  <c r="OX86" i="39" s="1"/>
  <c r="PE86" i="39" s="1"/>
  <c r="FQ192" i="39"/>
  <c r="OX92" i="39" s="1"/>
  <c r="PE92" i="39" s="1"/>
  <c r="FN191" i="39"/>
  <c r="OY91" i="39" s="1"/>
  <c r="PF91" i="39" s="1"/>
  <c r="FN187" i="39"/>
  <c r="OY87" i="39" s="1"/>
  <c r="PF87" i="39" s="1"/>
  <c r="FN188" i="39"/>
  <c r="OY88" i="39" s="1"/>
  <c r="PF88" i="39" s="1"/>
  <c r="FQ190" i="39"/>
  <c r="OX90" i="39" s="1"/>
  <c r="PE90" i="39" s="1"/>
  <c r="FN190" i="39"/>
  <c r="OY90" i="39" s="1"/>
  <c r="PF90" i="39" s="1"/>
  <c r="OX87" i="39"/>
  <c r="PE87" i="39" s="1"/>
  <c r="VJ54" i="50"/>
  <c r="OX85" i="39"/>
  <c r="PE85" i="39" s="1"/>
  <c r="DW51" i="39"/>
  <c r="DW53" i="39"/>
  <c r="DW105" i="39" l="1"/>
  <c r="NX76" i="39" s="1"/>
  <c r="DW65" i="39"/>
  <c r="DW103" i="39"/>
  <c r="EI103" i="39" s="1"/>
  <c r="DW64" i="39"/>
  <c r="OK72" i="39" l="1"/>
  <c r="OK90" i="39" s="1"/>
  <c r="OK70" i="39"/>
  <c r="OK88" i="39" s="1"/>
  <c r="OK73" i="39"/>
  <c r="OK91" i="39" s="1"/>
  <c r="OK68" i="39"/>
  <c r="OK86" i="39" s="1"/>
  <c r="OK74" i="39"/>
  <c r="OK92" i="39" s="1"/>
  <c r="OK69" i="39"/>
  <c r="OK87" i="39" s="1"/>
  <c r="OK67" i="39"/>
  <c r="EI105" i="39"/>
  <c r="EI117" i="39" s="1"/>
  <c r="DW72" i="39"/>
  <c r="S26" i="20" s="1"/>
  <c r="DW116" i="39"/>
  <c r="EH105" i="39"/>
  <c r="DW117" i="39"/>
  <c r="EH103" i="39"/>
  <c r="EI116" i="39"/>
  <c r="OI70" i="39" l="1"/>
  <c r="OI74" i="39"/>
  <c r="KU92" i="39" s="1"/>
  <c r="OI69" i="39"/>
  <c r="OI68" i="39"/>
  <c r="OI72" i="39"/>
  <c r="OI73" i="39"/>
  <c r="OI67" i="39"/>
  <c r="KU85" i="39" s="1"/>
  <c r="KX85" i="39" s="1"/>
  <c r="OK76" i="39"/>
  <c r="OK85" i="39" s="1"/>
  <c r="EI136" i="39"/>
  <c r="DW136" i="39"/>
  <c r="EH116" i="39"/>
  <c r="EH117" i="39"/>
  <c r="OI76" i="39"/>
  <c r="KU94" i="39" s="1"/>
  <c r="KX94" i="39" s="1"/>
  <c r="EK105" i="39"/>
  <c r="EK117" i="39" s="1"/>
  <c r="DS16" i="39"/>
  <c r="DS12" i="39"/>
  <c r="QO254" i="39" s="1"/>
  <c r="QO260" i="39" s="1"/>
  <c r="EK103" i="39"/>
  <c r="EK116" i="39" s="1"/>
  <c r="OI91" i="39" l="1"/>
  <c r="KU109" i="39" s="1"/>
  <c r="KU91" i="39"/>
  <c r="OI90" i="39"/>
  <c r="KU108" i="39" s="1"/>
  <c r="KU90" i="39"/>
  <c r="OI86" i="39"/>
  <c r="KU104" i="39" s="1"/>
  <c r="KX104" i="39" s="1"/>
  <c r="KU86" i="39"/>
  <c r="KX86" i="39" s="1"/>
  <c r="OI87" i="39"/>
  <c r="KU105" i="39" s="1"/>
  <c r="KX105" i="39" s="1"/>
  <c r="KU87" i="39"/>
  <c r="KX87" i="39" s="1"/>
  <c r="OI88" i="39"/>
  <c r="KU106" i="39" s="1"/>
  <c r="KX106" i="39" s="1"/>
  <c r="KU88" i="39"/>
  <c r="KX88" i="39" s="1"/>
  <c r="OJ74" i="39"/>
  <c r="OJ92" i="39" s="1"/>
  <c r="OI92" i="39"/>
  <c r="KU110" i="39" s="1"/>
  <c r="OJ73" i="39"/>
  <c r="OJ91" i="39" s="1"/>
  <c r="OJ67" i="39"/>
  <c r="OJ72" i="39"/>
  <c r="OJ90" i="39" s="1"/>
  <c r="OJ68" i="39"/>
  <c r="OJ86" i="39" s="1"/>
  <c r="OJ69" i="39"/>
  <c r="OJ87" i="39" s="1"/>
  <c r="OJ70" i="39"/>
  <c r="OJ88" i="39" s="1"/>
  <c r="OJ76" i="39"/>
  <c r="OI85" i="39"/>
  <c r="KU103" i="39" s="1"/>
  <c r="KX103" i="39" s="1"/>
  <c r="EK136" i="39"/>
  <c r="EH136" i="39"/>
  <c r="OJ85" i="39" l="1"/>
  <c r="AL50" i="39"/>
  <c r="CI63" i="36" l="1"/>
  <c r="AL52" i="39"/>
  <c r="AL49" i="39"/>
  <c r="BG162" i="39"/>
  <c r="AL51" i="39"/>
  <c r="BH63" i="36"/>
  <c r="AL25" i="39"/>
  <c r="BK234" i="39"/>
  <c r="NP83" i="39" s="1"/>
  <c r="BK233" i="39"/>
  <c r="NP82" i="39" s="1"/>
  <c r="BK228" i="39"/>
  <c r="NP77" i="39" s="1"/>
  <c r="BK230" i="39"/>
  <c r="NP79" i="39" s="1"/>
  <c r="BK227" i="39"/>
  <c r="NP76" i="39" s="1"/>
  <c r="BK229" i="39"/>
  <c r="NP78" i="39" s="1"/>
  <c r="NP84" i="39"/>
  <c r="BR100" i="39" l="1"/>
  <c r="BS100" i="39" s="1"/>
  <c r="BX100" i="39" s="1"/>
  <c r="NP392" i="39" s="1"/>
  <c r="BX162" i="39"/>
  <c r="BX169" i="39" s="1"/>
  <c r="BK162" i="39"/>
  <c r="BP100" i="39" s="1"/>
  <c r="AJ38" i="39"/>
  <c r="AL43" i="50"/>
  <c r="NP75" i="39"/>
  <c r="NP93" i="39" s="1"/>
  <c r="FM165" i="39"/>
  <c r="FM189" i="39" s="1"/>
  <c r="FB165" i="39"/>
  <c r="FE165" i="39"/>
  <c r="DM48" i="50"/>
  <c r="BD126" i="39"/>
  <c r="BD130" i="39" s="1"/>
  <c r="BF126" i="39"/>
  <c r="BF130" i="39" s="1"/>
  <c r="BG183" i="39"/>
  <c r="BE183" i="39"/>
  <c r="BE126" i="39"/>
  <c r="BE130" i="39" s="1"/>
  <c r="BR103" i="39"/>
  <c r="BS103" i="39" s="1"/>
  <c r="BX103" i="39" s="1"/>
  <c r="NS392" i="39" s="1"/>
  <c r="BR101" i="39"/>
  <c r="BS101" i="39" s="1"/>
  <c r="BD183" i="39"/>
  <c r="BR102" i="39"/>
  <c r="BS102" i="39" s="1"/>
  <c r="BF183" i="39"/>
  <c r="BG126" i="39"/>
  <c r="BG130" i="39" s="1"/>
  <c r="BG169" i="39"/>
  <c r="BJ147" i="39"/>
  <c r="BK147" i="39"/>
  <c r="BM230" i="39"/>
  <c r="BN230" i="39"/>
  <c r="NU79" i="39" s="1"/>
  <c r="BC147" i="39"/>
  <c r="BN227" i="39"/>
  <c r="NU76" i="39" s="1"/>
  <c r="BM227" i="39"/>
  <c r="BM228" i="39"/>
  <c r="BN228" i="39"/>
  <c r="NU77" i="39" s="1"/>
  <c r="BN233" i="39"/>
  <c r="NU82" i="39" s="1"/>
  <c r="BM233" i="39"/>
  <c r="BN234" i="39"/>
  <c r="NU83" i="39" s="1"/>
  <c r="BM234" i="39"/>
  <c r="BN235" i="39"/>
  <c r="NU84" i="39" s="1"/>
  <c r="BM235" i="39"/>
  <c r="BM229" i="39"/>
  <c r="BN229" i="39"/>
  <c r="NU78" i="39" s="1"/>
  <c r="BK232" i="39"/>
  <c r="NP81" i="39" s="1"/>
  <c r="BI147" i="39"/>
  <c r="NW27" i="39"/>
  <c r="BJ143" i="39"/>
  <c r="BK143" i="39"/>
  <c r="BF143" i="39"/>
  <c r="BG143" i="39"/>
  <c r="BH143" i="39"/>
  <c r="BI143" i="39"/>
  <c r="BC143" i="39"/>
  <c r="BD143" i="39"/>
  <c r="BE143" i="39"/>
  <c r="NV27" i="39"/>
  <c r="NX27" i="39" s="1"/>
  <c r="PC71" i="39" l="1"/>
  <c r="OW71" i="39"/>
  <c r="FB189" i="39"/>
  <c r="OQ89" i="39" s="1"/>
  <c r="FE189" i="39"/>
  <c r="OT89" i="39" s="1"/>
  <c r="BY100" i="39"/>
  <c r="NP393" i="39" s="1"/>
  <c r="AH43" i="15" s="1"/>
  <c r="BW100" i="39"/>
  <c r="NP391" i="39" s="1"/>
  <c r="AH39" i="15" s="1"/>
  <c r="DM54" i="50"/>
  <c r="S34" i="54" s="1"/>
  <c r="EX165" i="39"/>
  <c r="S107" i="54"/>
  <c r="FN165" i="39"/>
  <c r="OM71" i="39"/>
  <c r="OQ71" i="39"/>
  <c r="PA71" i="39"/>
  <c r="OB71" i="39"/>
  <c r="OB89" i="39" s="1"/>
  <c r="PD71" i="39"/>
  <c r="OC71" i="39"/>
  <c r="OC89" i="39" s="1"/>
  <c r="OG71" i="39"/>
  <c r="OG89" i="39" s="1"/>
  <c r="OI71" i="39"/>
  <c r="PE71" i="39"/>
  <c r="OA71" i="39"/>
  <c r="OA89" i="39" s="1"/>
  <c r="OX71" i="39"/>
  <c r="PF71" i="39"/>
  <c r="NZ71" i="39"/>
  <c r="NZ89" i="39" s="1"/>
  <c r="OT71" i="39"/>
  <c r="OD71" i="39"/>
  <c r="OD89" i="39" s="1"/>
  <c r="OK71" i="39"/>
  <c r="OK89" i="39" s="1"/>
  <c r="OY71" i="39"/>
  <c r="PG71" i="39"/>
  <c r="OF71" i="39"/>
  <c r="OF89" i="39" s="1"/>
  <c r="OL71" i="39"/>
  <c r="OL89" i="39" s="1"/>
  <c r="OZ71" i="39"/>
  <c r="PH71" i="39"/>
  <c r="KT89" i="39" s="1"/>
  <c r="OH71" i="39"/>
  <c r="OH89" i="39" s="1"/>
  <c r="OO71" i="39"/>
  <c r="PB71" i="39"/>
  <c r="OE71" i="39"/>
  <c r="OE89" i="39" s="1"/>
  <c r="OP71" i="39"/>
  <c r="AM43" i="50"/>
  <c r="DR48" i="50" s="1"/>
  <c r="EY165" i="39"/>
  <c r="EZ165" i="39"/>
  <c r="EZ189" i="39" s="1"/>
  <c r="FL165" i="39"/>
  <c r="FL189" i="39" s="1"/>
  <c r="FA165" i="39"/>
  <c r="FA189" i="39" s="1"/>
  <c r="PU82" i="39"/>
  <c r="PU78" i="39"/>
  <c r="PU77" i="39"/>
  <c r="PU76" i="39"/>
  <c r="PU83" i="39"/>
  <c r="PU79" i="39"/>
  <c r="ON71" i="39"/>
  <c r="S105" i="54"/>
  <c r="S91" i="54"/>
  <c r="BF41" i="15"/>
  <c r="AN26" i="15"/>
  <c r="AH41" i="15"/>
  <c r="BD26" i="15"/>
  <c r="AV26" i="15"/>
  <c r="AF26" i="15"/>
  <c r="BD192" i="39"/>
  <c r="BD207" i="39"/>
  <c r="BD127" i="39"/>
  <c r="BW103" i="39"/>
  <c r="NS391" i="39" s="1"/>
  <c r="BY103" i="39"/>
  <c r="NS393" i="39" s="1"/>
  <c r="BP102" i="39"/>
  <c r="BP101" i="39"/>
  <c r="BE127" i="39"/>
  <c r="BY101" i="39"/>
  <c r="NQ393" i="39" s="1"/>
  <c r="BX101" i="39"/>
  <c r="NQ392" i="39" s="1"/>
  <c r="BW101" i="39"/>
  <c r="NQ391" i="39" s="1"/>
  <c r="BG127" i="39"/>
  <c r="BW102" i="39"/>
  <c r="NR391" i="39" s="1"/>
  <c r="BY102" i="39"/>
  <c r="NR393" i="39" s="1"/>
  <c r="BX102" i="39"/>
  <c r="NR392" i="39" s="1"/>
  <c r="BK169" i="39"/>
  <c r="BP103" i="39"/>
  <c r="BF127" i="39"/>
  <c r="BK231" i="39"/>
  <c r="NP80" i="39" s="1"/>
  <c r="NU75" i="39"/>
  <c r="PU75" i="39" s="1"/>
  <c r="PU84" i="39"/>
  <c r="NV84" i="39"/>
  <c r="KS102" i="39" s="1"/>
  <c r="NV76" i="39"/>
  <c r="KS94" i="39" s="1"/>
  <c r="KV94" i="39" s="1"/>
  <c r="NV77" i="39"/>
  <c r="KS95" i="39" s="1"/>
  <c r="KV95" i="39" s="1"/>
  <c r="NV83" i="39"/>
  <c r="KS101" i="39" s="1"/>
  <c r="NV79" i="39"/>
  <c r="KS97" i="39" s="1"/>
  <c r="KV97" i="39" s="1"/>
  <c r="NV78" i="39"/>
  <c r="KS96" i="39" s="1"/>
  <c r="KV96" i="39" s="1"/>
  <c r="NV82" i="39"/>
  <c r="KS100" i="39" s="1"/>
  <c r="BO235" i="39"/>
  <c r="BF16" i="39"/>
  <c r="QR272" i="39" s="1"/>
  <c r="QR152" i="39" s="1"/>
  <c r="BO230" i="39"/>
  <c r="BE16" i="39"/>
  <c r="QQ272" i="39" s="1"/>
  <c r="QQ151" i="39" s="1"/>
  <c r="BO229" i="39"/>
  <c r="BD16" i="39"/>
  <c r="QP272" i="39" s="1"/>
  <c r="QP152" i="39" s="1"/>
  <c r="BO228" i="39"/>
  <c r="BC16" i="39"/>
  <c r="BO227" i="39"/>
  <c r="BJ16" i="39"/>
  <c r="QV272" i="39" s="1"/>
  <c r="QV273" i="39" s="1"/>
  <c r="BO234" i="39"/>
  <c r="BD12" i="39"/>
  <c r="QP254" i="39" s="1"/>
  <c r="BI16" i="39"/>
  <c r="QU272" i="39" s="1"/>
  <c r="QU151" i="39" s="1"/>
  <c r="BO233" i="39"/>
  <c r="BH147" i="39"/>
  <c r="BM232" i="39"/>
  <c r="BN232" i="39"/>
  <c r="NU81" i="39" s="1"/>
  <c r="BK16" i="39"/>
  <c r="QW272" i="39" s="1"/>
  <c r="QW273" i="39" s="1"/>
  <c r="BE12" i="39"/>
  <c r="QQ254" i="39" s="1"/>
  <c r="QQ260" i="39" s="1"/>
  <c r="KV102" i="39" l="1"/>
  <c r="KY102" i="39"/>
  <c r="PD89" i="39"/>
  <c r="EY189" i="39"/>
  <c r="ON89" i="39" s="1"/>
  <c r="EX189" i="39"/>
  <c r="OM89" i="39" s="1"/>
  <c r="FN189" i="39"/>
  <c r="OY89" i="39" s="1"/>
  <c r="PF89" i="39" s="1"/>
  <c r="S76" i="54"/>
  <c r="OI89" i="39"/>
  <c r="KU107" i="39" s="1"/>
  <c r="KU89" i="39"/>
  <c r="NU93" i="39"/>
  <c r="PU93" i="39" s="1"/>
  <c r="RL84" i="39"/>
  <c r="RO84" i="39" s="1"/>
  <c r="RL75" i="39"/>
  <c r="RO75" i="39" s="1"/>
  <c r="PI71" i="39"/>
  <c r="OJ71" i="39"/>
  <c r="OJ89" i="39" s="1"/>
  <c r="PV78" i="39"/>
  <c r="PV83" i="39"/>
  <c r="QA84" i="39"/>
  <c r="PV79" i="39"/>
  <c r="EB48" i="50"/>
  <c r="DD48" i="50"/>
  <c r="S127" i="54"/>
  <c r="FR165" i="39"/>
  <c r="FR189" i="39" s="1"/>
  <c r="S129" i="54"/>
  <c r="FS165" i="39"/>
  <c r="FS189" i="39" s="1"/>
  <c r="S120" i="54"/>
  <c r="FQ165" i="39"/>
  <c r="DL48" i="50"/>
  <c r="CX48" i="50"/>
  <c r="ED48" i="50"/>
  <c r="DT48" i="50"/>
  <c r="S36" i="54"/>
  <c r="S45" i="54"/>
  <c r="S98" i="54"/>
  <c r="S43" i="54"/>
  <c r="DB48" i="50"/>
  <c r="DP48" i="50"/>
  <c r="DJ48" i="50"/>
  <c r="DX48" i="50"/>
  <c r="DF48" i="50"/>
  <c r="DZ48" i="50"/>
  <c r="DH48" i="50"/>
  <c r="DV48" i="50"/>
  <c r="CZ48" i="50"/>
  <c r="PU81" i="39"/>
  <c r="S87" i="54"/>
  <c r="S89" i="54"/>
  <c r="NW77" i="39"/>
  <c r="NW78" i="39"/>
  <c r="NW79" i="39"/>
  <c r="NW83" i="39"/>
  <c r="NW82" i="39"/>
  <c r="QO272" i="39"/>
  <c r="QO148" i="39" s="1"/>
  <c r="BF39" i="15"/>
  <c r="BD78" i="15"/>
  <c r="AV32" i="15"/>
  <c r="NT179" i="39" s="1"/>
  <c r="AP41" i="15"/>
  <c r="AP43" i="15"/>
  <c r="AN78" i="15"/>
  <c r="AP39" i="15"/>
  <c r="AV78" i="15"/>
  <c r="AX41" i="15"/>
  <c r="S78" i="15"/>
  <c r="AX43" i="15"/>
  <c r="S26" i="15"/>
  <c r="AX39" i="15"/>
  <c r="BF43" i="15"/>
  <c r="AF78" i="15"/>
  <c r="QA68" i="39"/>
  <c r="QA75" i="39"/>
  <c r="BD193" i="39"/>
  <c r="AN32" i="15"/>
  <c r="NT178" i="39" s="1"/>
  <c r="BD32" i="15"/>
  <c r="NT180" i="39" s="1"/>
  <c r="AF32" i="15"/>
  <c r="NT177" i="39" s="1"/>
  <c r="NY68" i="39"/>
  <c r="NY86" i="39" s="1"/>
  <c r="NX68" i="39"/>
  <c r="NX86" i="39" s="1"/>
  <c r="NT68" i="39"/>
  <c r="NT86" i="39" s="1"/>
  <c r="NU68" i="39"/>
  <c r="NU86" i="39" s="1"/>
  <c r="NX73" i="39"/>
  <c r="NX91" i="39" s="1"/>
  <c r="NY73" i="39"/>
  <c r="NY91" i="39" s="1"/>
  <c r="NT73" i="39"/>
  <c r="NT91" i="39" s="1"/>
  <c r="NU73" i="39"/>
  <c r="NU91" i="39" s="1"/>
  <c r="NS70" i="39"/>
  <c r="NS88" i="39" s="1"/>
  <c r="NX70" i="39"/>
  <c r="NX88" i="39" s="1"/>
  <c r="NY70" i="39"/>
  <c r="NY88" i="39" s="1"/>
  <c r="NT70" i="39"/>
  <c r="NT88" i="39" s="1"/>
  <c r="NU70" i="39"/>
  <c r="NU88" i="39" s="1"/>
  <c r="NX74" i="39"/>
  <c r="NX92" i="39" s="1"/>
  <c r="NY74" i="39"/>
  <c r="NY92" i="39" s="1"/>
  <c r="NT74" i="39"/>
  <c r="NT92" i="39" s="1"/>
  <c r="NU74" i="39"/>
  <c r="NU92" i="39" s="1"/>
  <c r="NX72" i="39"/>
  <c r="NX90" i="39" s="1"/>
  <c r="NY72" i="39"/>
  <c r="NY90" i="39" s="1"/>
  <c r="NT72" i="39"/>
  <c r="NT90" i="39" s="1"/>
  <c r="NU72" i="39"/>
  <c r="NU90" i="39" s="1"/>
  <c r="NY69" i="39"/>
  <c r="NY87" i="39" s="1"/>
  <c r="NX69" i="39"/>
  <c r="NX87" i="39" s="1"/>
  <c r="NT69" i="39"/>
  <c r="NT87" i="39" s="1"/>
  <c r="NU69" i="39"/>
  <c r="NU87" i="39" s="1"/>
  <c r="NS71" i="39"/>
  <c r="NS89" i="39" s="1"/>
  <c r="NY71" i="39"/>
  <c r="NY89" i="39" s="1"/>
  <c r="NX71" i="39"/>
  <c r="NX89" i="39" s="1"/>
  <c r="NT71" i="39"/>
  <c r="NT89" i="39" s="1"/>
  <c r="NU71" i="39"/>
  <c r="NS67" i="39"/>
  <c r="NS85" i="39" s="1"/>
  <c r="NY67" i="39"/>
  <c r="NY85" i="39" s="1"/>
  <c r="NX67" i="39"/>
  <c r="NX85" i="39" s="1"/>
  <c r="NT67" i="39"/>
  <c r="NT85" i="39" s="1"/>
  <c r="NU67" i="39"/>
  <c r="NU85" i="39" s="1"/>
  <c r="NS68" i="39"/>
  <c r="NS86" i="39" s="1"/>
  <c r="NS73" i="39"/>
  <c r="NS91" i="39" s="1"/>
  <c r="NS74" i="39"/>
  <c r="NS92" i="39" s="1"/>
  <c r="NS72" i="39"/>
  <c r="NS90" i="39" s="1"/>
  <c r="NS69" i="39"/>
  <c r="NS87" i="39" s="1"/>
  <c r="NR73" i="39"/>
  <c r="NR91" i="39" s="1"/>
  <c r="NQ73" i="39"/>
  <c r="NQ91" i="39" s="1"/>
  <c r="NP73" i="39"/>
  <c r="NP91" i="39" s="1"/>
  <c r="NR74" i="39"/>
  <c r="NR92" i="39" s="1"/>
  <c r="NQ74" i="39"/>
  <c r="NQ92" i="39" s="1"/>
  <c r="NP74" i="39"/>
  <c r="NP92" i="39" s="1"/>
  <c r="NR72" i="39"/>
  <c r="NR90" i="39" s="1"/>
  <c r="NQ72" i="39"/>
  <c r="NQ90" i="39" s="1"/>
  <c r="NP72" i="39"/>
  <c r="NP90" i="39" s="1"/>
  <c r="NR68" i="39"/>
  <c r="NR86" i="39" s="1"/>
  <c r="NQ68" i="39"/>
  <c r="NQ86" i="39" s="1"/>
  <c r="NP68" i="39"/>
  <c r="NP86" i="39" s="1"/>
  <c r="NQ71" i="39"/>
  <c r="NQ89" i="39" s="1"/>
  <c r="NR71" i="39"/>
  <c r="NR89" i="39" s="1"/>
  <c r="NP71" i="39"/>
  <c r="NP89" i="39" s="1"/>
  <c r="NR70" i="39"/>
  <c r="NR88" i="39" s="1"/>
  <c r="NQ70" i="39"/>
  <c r="NQ88" i="39" s="1"/>
  <c r="NP70" i="39"/>
  <c r="NP88" i="39" s="1"/>
  <c r="NR67" i="39"/>
  <c r="NR85" i="39" s="1"/>
  <c r="NQ67" i="39"/>
  <c r="NQ85" i="39" s="1"/>
  <c r="NP67" i="39"/>
  <c r="NP85" i="39" s="1"/>
  <c r="NQ69" i="39"/>
  <c r="NQ87" i="39" s="1"/>
  <c r="NR69" i="39"/>
  <c r="NR87" i="39" s="1"/>
  <c r="NP69" i="39"/>
  <c r="NP87" i="39" s="1"/>
  <c r="QA80" i="39"/>
  <c r="QA67" i="39"/>
  <c r="QA71" i="39"/>
  <c r="QA76" i="39"/>
  <c r="BE147" i="39"/>
  <c r="BD147" i="39"/>
  <c r="BF147" i="39"/>
  <c r="BG147" i="39"/>
  <c r="BM231" i="39"/>
  <c r="BG16" i="39" s="1"/>
  <c r="QS272" i="39" s="1"/>
  <c r="QS273" i="39" s="1"/>
  <c r="BN231" i="39"/>
  <c r="NU80" i="39" s="1"/>
  <c r="QR144" i="39"/>
  <c r="QO144" i="39"/>
  <c r="PV84" i="39"/>
  <c r="QA78" i="39"/>
  <c r="QA72" i="39"/>
  <c r="QA82" i="39"/>
  <c r="QA81" i="39"/>
  <c r="QA69" i="39"/>
  <c r="QA73" i="39"/>
  <c r="QA77" i="39"/>
  <c r="QO140" i="39"/>
  <c r="QO137" i="39"/>
  <c r="QO138" i="39"/>
  <c r="QQ143" i="39"/>
  <c r="QR140" i="39"/>
  <c r="QQ144" i="39"/>
  <c r="QO143" i="39"/>
  <c r="QO141" i="39"/>
  <c r="QQ140" i="39"/>
  <c r="QO139" i="39"/>
  <c r="QQ139" i="39"/>
  <c r="QO142" i="39"/>
  <c r="QP138" i="39"/>
  <c r="QP140" i="39"/>
  <c r="QP143" i="39"/>
  <c r="QP144" i="39"/>
  <c r="QP142" i="39"/>
  <c r="QP139" i="39"/>
  <c r="NW84" i="39"/>
  <c r="NV75" i="39"/>
  <c r="PV76" i="39"/>
  <c r="PV82" i="39"/>
  <c r="PV77" i="39"/>
  <c r="NW76" i="39"/>
  <c r="PP71" i="39"/>
  <c r="PP89" i="39" s="1"/>
  <c r="PP70" i="39"/>
  <c r="PP88" i="39" s="1"/>
  <c r="PP74" i="39"/>
  <c r="PP92" i="39" s="1"/>
  <c r="PP69" i="39"/>
  <c r="PP87" i="39" s="1"/>
  <c r="PP67" i="39"/>
  <c r="PP85" i="39" s="1"/>
  <c r="PP72" i="39"/>
  <c r="PP90" i="39" s="1"/>
  <c r="PP73" i="39"/>
  <c r="PP91" i="39" s="1"/>
  <c r="NV81" i="39"/>
  <c r="KS99" i="39" s="1"/>
  <c r="QQ273" i="39"/>
  <c r="QP260" i="39"/>
  <c r="QQ152" i="39"/>
  <c r="QQ147" i="39"/>
  <c r="QQ148" i="39"/>
  <c r="QV152" i="39"/>
  <c r="QR148" i="39"/>
  <c r="QR273" i="39"/>
  <c r="QP148" i="39"/>
  <c r="QP146" i="39"/>
  <c r="QU152" i="39"/>
  <c r="QP150" i="39"/>
  <c r="QP273" i="39"/>
  <c r="QU273" i="39"/>
  <c r="QP147" i="39"/>
  <c r="QP151" i="39"/>
  <c r="BH16" i="39"/>
  <c r="QT272" i="39" s="1"/>
  <c r="QT273" i="39" s="1"/>
  <c r="BO232" i="39"/>
  <c r="AR74" i="39"/>
  <c r="AR75" i="39" s="1"/>
  <c r="NU210" i="39" l="1"/>
  <c r="PB89" i="39"/>
  <c r="FQ189" i="39"/>
  <c r="OX89" i="39" s="1"/>
  <c r="PE89" i="39" s="1"/>
  <c r="NV93" i="39"/>
  <c r="KS93" i="39"/>
  <c r="QA85" i="39"/>
  <c r="QA86" i="39"/>
  <c r="RL93" i="39"/>
  <c r="RO93" i="39" s="1"/>
  <c r="PV93" i="39"/>
  <c r="QA90" i="39"/>
  <c r="QA89" i="39"/>
  <c r="QA91" i="39"/>
  <c r="QA87" i="39"/>
  <c r="QA93" i="39"/>
  <c r="LA102" i="39"/>
  <c r="PV81" i="39"/>
  <c r="QO145" i="39"/>
  <c r="PU80" i="39"/>
  <c r="NU89" i="39"/>
  <c r="NW81" i="39"/>
  <c r="NW75" i="39"/>
  <c r="NW93" i="39" s="1"/>
  <c r="QO149" i="39"/>
  <c r="QO147" i="39"/>
  <c r="QO273" i="39"/>
  <c r="QO150" i="39"/>
  <c r="QO146" i="39"/>
  <c r="QO151" i="39"/>
  <c r="QO152" i="39"/>
  <c r="S32" i="15"/>
  <c r="NU208" i="39"/>
  <c r="NU214" i="39"/>
  <c r="NU209" i="39"/>
  <c r="NU211" i="39"/>
  <c r="NU223" i="39"/>
  <c r="OH223" i="39" s="1"/>
  <c r="PV223" i="39" s="1"/>
  <c r="NU207" i="39"/>
  <c r="OG180" i="39"/>
  <c r="OG178" i="39"/>
  <c r="OG177" i="39"/>
  <c r="PU71" i="39"/>
  <c r="PU73" i="39"/>
  <c r="NV71" i="39"/>
  <c r="KS89" i="39" s="1"/>
  <c r="PU68" i="39"/>
  <c r="PU69" i="39"/>
  <c r="PU74" i="39"/>
  <c r="PU72" i="39"/>
  <c r="PU70" i="39"/>
  <c r="PU67" i="39"/>
  <c r="NV68" i="39"/>
  <c r="NV72" i="39"/>
  <c r="NV67" i="39"/>
  <c r="NV73" i="39"/>
  <c r="NV70" i="39"/>
  <c r="NV69" i="39"/>
  <c r="NV74" i="39"/>
  <c r="KS92" i="39" s="1"/>
  <c r="NV80" i="39"/>
  <c r="KS98" i="39" s="1"/>
  <c r="BO231" i="39"/>
  <c r="OG179" i="39"/>
  <c r="AM74" i="39"/>
  <c r="AM75" i="39" s="1"/>
  <c r="AL74" i="39"/>
  <c r="AL75" i="39" s="1"/>
  <c r="PV75" i="39"/>
  <c r="QU143" i="39"/>
  <c r="QT144" i="39"/>
  <c r="QS142" i="39"/>
  <c r="QS143" i="39"/>
  <c r="QT143" i="39"/>
  <c r="QU144" i="39"/>
  <c r="QS141" i="39"/>
  <c r="QS144" i="39"/>
  <c r="QV144" i="39"/>
  <c r="AQ74" i="39" s="1"/>
  <c r="AQ75" i="39" s="1"/>
  <c r="QT142" i="39"/>
  <c r="AK74" i="39"/>
  <c r="AK75" i="39" s="1"/>
  <c r="QT152" i="39"/>
  <c r="QT150" i="39"/>
  <c r="QT151" i="39"/>
  <c r="QS151" i="39"/>
  <c r="QS149" i="39"/>
  <c r="QS150" i="39"/>
  <c r="QS152" i="39"/>
  <c r="NU206" i="39" l="1"/>
  <c r="BK92" i="50" s="1"/>
  <c r="OG176" i="39"/>
  <c r="OH206" i="39" s="1"/>
  <c r="KV93" i="39"/>
  <c r="KY93" i="39"/>
  <c r="LA93" i="39" s="1"/>
  <c r="LB93" i="39" s="1"/>
  <c r="LC93" i="39" s="1"/>
  <c r="BK88" i="50"/>
  <c r="BK94" i="50"/>
  <c r="BK87" i="50"/>
  <c r="OH208" i="39"/>
  <c r="NV91" i="39"/>
  <c r="KS109" i="39" s="1"/>
  <c r="KS91" i="39"/>
  <c r="NV88" i="39"/>
  <c r="KS106" i="39" s="1"/>
  <c r="KV106" i="39" s="1"/>
  <c r="KS88" i="39"/>
  <c r="KV88" i="39" s="1"/>
  <c r="NV90" i="39"/>
  <c r="KS108" i="39" s="1"/>
  <c r="KS90" i="39"/>
  <c r="NV87" i="39"/>
  <c r="KS105" i="39" s="1"/>
  <c r="KV105" i="39" s="1"/>
  <c r="KS87" i="39"/>
  <c r="KV87" i="39" s="1"/>
  <c r="NV86" i="39"/>
  <c r="KS104" i="39" s="1"/>
  <c r="KV104" i="39" s="1"/>
  <c r="KS86" i="39"/>
  <c r="KV86" i="39" s="1"/>
  <c r="NV85" i="39"/>
  <c r="KS103" i="39" s="1"/>
  <c r="KV103" i="39" s="1"/>
  <c r="KS85" i="39"/>
  <c r="KV85" i="39" s="1"/>
  <c r="KS111" i="39"/>
  <c r="LB102" i="39"/>
  <c r="LC102" i="39" s="1"/>
  <c r="NV89" i="39"/>
  <c r="KS107" i="39" s="1"/>
  <c r="NW74" i="39"/>
  <c r="NW92" i="39" s="1"/>
  <c r="NV92" i="39"/>
  <c r="KS110" i="39" s="1"/>
  <c r="NW69" i="39"/>
  <c r="NW87" i="39" s="1"/>
  <c r="NW70" i="39"/>
  <c r="NW88" i="39" s="1"/>
  <c r="NW73" i="39"/>
  <c r="NW91" i="39" s="1"/>
  <c r="NW67" i="39"/>
  <c r="NW85" i="39" s="1"/>
  <c r="NW71" i="39"/>
  <c r="NW68" i="39"/>
  <c r="NW86" i="39" s="1"/>
  <c r="NW72" i="39"/>
  <c r="NW90" i="39" s="1"/>
  <c r="PV74" i="39"/>
  <c r="PV80" i="39"/>
  <c r="PV73" i="39"/>
  <c r="PV71" i="39"/>
  <c r="NU229" i="39"/>
  <c r="NU227" i="39"/>
  <c r="NU232" i="39"/>
  <c r="NU226" i="39"/>
  <c r="NU228" i="39"/>
  <c r="NU225" i="39"/>
  <c r="NW80" i="39"/>
  <c r="AJ74" i="39"/>
  <c r="AJ75" i="39" s="1"/>
  <c r="OH211" i="39"/>
  <c r="PV211" i="39" s="1"/>
  <c r="PQ223" i="39"/>
  <c r="OH207" i="39"/>
  <c r="PV207" i="39" s="1"/>
  <c r="OJ223" i="39"/>
  <c r="PV68" i="39"/>
  <c r="PV69" i="39"/>
  <c r="PV67" i="39"/>
  <c r="PV70" i="39"/>
  <c r="PV72" i="39"/>
  <c r="OH214" i="39"/>
  <c r="OH209" i="39"/>
  <c r="PV209" i="39" s="1"/>
  <c r="OH210" i="39"/>
  <c r="PV210" i="39" s="1"/>
  <c r="AP74" i="39"/>
  <c r="AP75" i="39" s="1"/>
  <c r="AO74" i="39"/>
  <c r="AO75" i="39" s="1"/>
  <c r="AN74" i="39"/>
  <c r="AN75" i="39" s="1"/>
  <c r="NK211" i="39"/>
  <c r="NK210" i="39"/>
  <c r="NK206" i="39"/>
  <c r="NK213" i="39"/>
  <c r="NK212" i="39"/>
  <c r="ER121" i="39"/>
  <c r="EV121" i="39" s="1"/>
  <c r="NK207" i="39"/>
  <c r="NK209" i="39"/>
  <c r="ER123" i="39"/>
  <c r="EV123" i="39" s="1"/>
  <c r="NK208" i="39"/>
  <c r="ER126" i="39"/>
  <c r="EV126" i="39" s="1"/>
  <c r="ER125" i="39"/>
  <c r="EV125" i="39" s="1"/>
  <c r="ER122" i="39"/>
  <c r="EV122" i="39" s="1"/>
  <c r="ER120" i="39"/>
  <c r="EV120" i="39" s="1"/>
  <c r="ER124" i="39"/>
  <c r="EV124" i="39" s="1"/>
  <c r="NN142" i="39"/>
  <c r="GJ71" i="39"/>
  <c r="GN71" i="39"/>
  <c r="HJ72" i="39"/>
  <c r="HJ74" i="39"/>
  <c r="GJ72" i="39"/>
  <c r="GN72" i="39"/>
  <c r="NN143" i="39"/>
  <c r="NN141" i="39"/>
  <c r="GN70" i="39"/>
  <c r="GJ70" i="39"/>
  <c r="HJ73" i="39"/>
  <c r="GN76" i="39"/>
  <c r="HJ71" i="39"/>
  <c r="NN144" i="39"/>
  <c r="GJ73" i="39"/>
  <c r="GN73" i="39"/>
  <c r="ER119" i="39"/>
  <c r="EV119" i="39" s="1"/>
  <c r="NN19" i="39"/>
  <c r="NN26" i="39"/>
  <c r="NN24" i="39"/>
  <c r="NN22" i="39"/>
  <c r="NN23" i="39"/>
  <c r="NN21" i="39"/>
  <c r="NN25" i="39"/>
  <c r="NN20" i="39"/>
  <c r="GJ75" i="39"/>
  <c r="GN75" i="39"/>
  <c r="NN146" i="39"/>
  <c r="GJ74" i="39"/>
  <c r="NN145" i="39"/>
  <c r="GN74" i="39"/>
  <c r="NN139" i="39"/>
  <c r="GJ68" i="39"/>
  <c r="GN68" i="39"/>
  <c r="NN140" i="39"/>
  <c r="GJ69" i="39"/>
  <c r="GN69" i="39"/>
  <c r="BK89" i="50" l="1"/>
  <c r="BK91" i="50"/>
  <c r="BK90" i="50"/>
  <c r="BK93" i="50"/>
  <c r="BK84" i="50"/>
  <c r="PI226" i="39" s="1"/>
  <c r="OJ206" i="39"/>
  <c r="OJ224" i="39" s="1"/>
  <c r="OH224" i="39"/>
  <c r="NU224" i="39"/>
  <c r="BK86" i="50"/>
  <c r="PA224" i="39" s="1"/>
  <c r="KY111" i="39"/>
  <c r="LA111" i="39" s="1"/>
  <c r="LB111" i="39" s="1"/>
  <c r="LC111" i="39" s="1"/>
  <c r="KV111" i="39"/>
  <c r="NO384" i="39"/>
  <c r="NO386" i="39" s="1"/>
  <c r="NO390" i="39" s="1"/>
  <c r="NT384" i="39"/>
  <c r="NT386" i="39" s="1"/>
  <c r="NT390" i="39" s="1"/>
  <c r="NP384" i="39"/>
  <c r="NP386" i="39" s="1"/>
  <c r="NP390" i="39" s="1"/>
  <c r="NQ384" i="39"/>
  <c r="NQ386" i="39" s="1"/>
  <c r="NQ390" i="39" s="1"/>
  <c r="NV384" i="39"/>
  <c r="NV386" i="39" s="1"/>
  <c r="NV390" i="39" s="1"/>
  <c r="NR384" i="39"/>
  <c r="NR386" i="39" s="1"/>
  <c r="NR390" i="39" s="1"/>
  <c r="NS384" i="39"/>
  <c r="NS386" i="39" s="1"/>
  <c r="NS390" i="39" s="1"/>
  <c r="NU384" i="39"/>
  <c r="NU386" i="39" s="1"/>
  <c r="NU390" i="39" s="1"/>
  <c r="NW384" i="39"/>
  <c r="NW386" i="39" s="1"/>
  <c r="NW390" i="39" s="1"/>
  <c r="OH232" i="39"/>
  <c r="PV214" i="39"/>
  <c r="PQ208" i="39"/>
  <c r="PV208" i="39"/>
  <c r="OJ208" i="39"/>
  <c r="OJ226" i="39" s="1"/>
  <c r="OH226" i="39"/>
  <c r="NW89" i="39"/>
  <c r="PQ207" i="39"/>
  <c r="OH225" i="39"/>
  <c r="PQ209" i="39"/>
  <c r="OH227" i="39"/>
  <c r="PQ211" i="39"/>
  <c r="OH229" i="39"/>
  <c r="PQ210" i="39"/>
  <c r="OH228" i="39"/>
  <c r="PZ69" i="39"/>
  <c r="QH69" i="39" s="1"/>
  <c r="BD141" i="50"/>
  <c r="NN256" i="39"/>
  <c r="OJ211" i="39"/>
  <c r="OJ229" i="39" s="1"/>
  <c r="OJ207" i="39"/>
  <c r="OJ225" i="39" s="1"/>
  <c r="NN425" i="39"/>
  <c r="OJ214" i="39"/>
  <c r="OJ232" i="39" s="1"/>
  <c r="PQ214" i="39"/>
  <c r="NN258" i="39" s="1"/>
  <c r="OJ209" i="39"/>
  <c r="OJ227" i="39" s="1"/>
  <c r="OJ210" i="39"/>
  <c r="OJ228" i="39" s="1"/>
  <c r="NR26" i="39"/>
  <c r="NN432" i="39"/>
  <c r="NR20" i="39"/>
  <c r="NN426" i="39"/>
  <c r="NR25" i="39"/>
  <c r="JN82" i="39" s="1"/>
  <c r="NN431" i="39"/>
  <c r="NR24" i="39"/>
  <c r="NN430" i="39"/>
  <c r="NR21" i="39"/>
  <c r="JN81" i="39" s="1"/>
  <c r="NN427" i="39"/>
  <c r="NR23" i="39"/>
  <c r="JN78" i="39" s="1"/>
  <c r="NN429" i="39"/>
  <c r="NR22" i="39"/>
  <c r="JN83" i="39" s="1"/>
  <c r="NN428" i="39"/>
  <c r="NR19" i="39"/>
  <c r="NW272" i="39"/>
  <c r="PZ76" i="39"/>
  <c r="PZ67" i="39"/>
  <c r="QH67" i="39" s="1"/>
  <c r="HJ16" i="39"/>
  <c r="PZ78" i="39"/>
  <c r="PZ68" i="39"/>
  <c r="QH68" i="39" s="1"/>
  <c r="PZ77" i="39"/>
  <c r="HJ18" i="39"/>
  <c r="PZ73" i="39"/>
  <c r="QH73" i="39" s="1"/>
  <c r="PZ82" i="39"/>
  <c r="HJ17" i="39"/>
  <c r="PZ72" i="39"/>
  <c r="QH72" i="39" s="1"/>
  <c r="PZ81" i="39"/>
  <c r="NW38" i="39"/>
  <c r="NW40" i="39" s="1"/>
  <c r="HJ15" i="39"/>
  <c r="PB227" i="39" l="1"/>
  <c r="OY232" i="39"/>
  <c r="PD231" i="39"/>
  <c r="PG228" i="39"/>
  <c r="PN228" i="39" s="1"/>
  <c r="PE226" i="39"/>
  <c r="OZ231" i="39"/>
  <c r="OY226" i="39"/>
  <c r="PE230" i="39"/>
  <c r="PD226" i="39"/>
  <c r="PB230" i="39"/>
  <c r="OZ225" i="39"/>
  <c r="PI229" i="39"/>
  <c r="PA228" i="39"/>
  <c r="PB228" i="39"/>
  <c r="OY228" i="39"/>
  <c r="PI228" i="39"/>
  <c r="PE229" i="39"/>
  <c r="OZ226" i="39"/>
  <c r="OY230" i="39"/>
  <c r="OZ230" i="39"/>
  <c r="PF226" i="39"/>
  <c r="PM226" i="39" s="1"/>
  <c r="PG226" i="39"/>
  <c r="PN226" i="39" s="1"/>
  <c r="OZ232" i="39"/>
  <c r="PI232" i="39"/>
  <c r="PG225" i="39"/>
  <c r="PN225" i="39" s="1"/>
  <c r="PF230" i="39"/>
  <c r="PM230" i="39" s="1"/>
  <c r="PI231" i="39"/>
  <c r="PC226" i="39"/>
  <c r="PD227" i="39"/>
  <c r="PF227" i="39"/>
  <c r="PM227" i="39" s="1"/>
  <c r="PG232" i="39"/>
  <c r="PN232" i="39" s="1"/>
  <c r="PD232" i="39"/>
  <c r="PC225" i="39"/>
  <c r="OY225" i="39"/>
  <c r="PA226" i="39"/>
  <c r="PA229" i="39"/>
  <c r="PI225" i="39"/>
  <c r="PG230" i="39"/>
  <c r="PN230" i="39" s="1"/>
  <c r="PD225" i="39"/>
  <c r="PG227" i="39"/>
  <c r="PN227" i="39" s="1"/>
  <c r="PB226" i="39"/>
  <c r="PG229" i="39"/>
  <c r="PN229" i="39" s="1"/>
  <c r="PB232" i="39"/>
  <c r="PA232" i="39"/>
  <c r="PI230" i="39"/>
  <c r="PA227" i="39"/>
  <c r="PH232" i="39"/>
  <c r="PE231" i="39"/>
  <c r="PF225" i="39"/>
  <c r="PM225" i="39" s="1"/>
  <c r="PH226" i="39"/>
  <c r="PO226" i="39" s="1"/>
  <c r="PH227" i="39"/>
  <c r="PE232" i="39"/>
  <c r="PB225" i="39"/>
  <c r="PD230" i="39"/>
  <c r="PH229" i="39"/>
  <c r="PF231" i="39"/>
  <c r="PM231" i="39" s="1"/>
  <c r="PA231" i="39"/>
  <c r="PH225" i="39"/>
  <c r="PC227" i="39"/>
  <c r="OZ227" i="39"/>
  <c r="PC232" i="39"/>
  <c r="PA225" i="39"/>
  <c r="PF232" i="39"/>
  <c r="PM232" i="39" s="1"/>
  <c r="PE225" i="39"/>
  <c r="PH228" i="39"/>
  <c r="PB231" i="39"/>
  <c r="PG231" i="39"/>
  <c r="PN231" i="39" s="1"/>
  <c r="PC231" i="39"/>
  <c r="PE227" i="39"/>
  <c r="OY227" i="39"/>
  <c r="OZ229" i="39"/>
  <c r="PE228" i="39"/>
  <c r="OY229" i="39"/>
  <c r="PA230" i="39"/>
  <c r="PK230" i="39" s="1"/>
  <c r="PC230" i="39"/>
  <c r="PH230" i="39"/>
  <c r="PF228" i="39"/>
  <c r="PM228" i="39" s="1"/>
  <c r="PF229" i="39"/>
  <c r="PM229" i="39" s="1"/>
  <c r="PC229" i="39"/>
  <c r="PI227" i="39"/>
  <c r="PD228" i="39"/>
  <c r="PD229" i="39"/>
  <c r="PH231" i="39"/>
  <c r="PO231" i="39" s="1"/>
  <c r="OY231" i="39"/>
  <c r="OZ228" i="39"/>
  <c r="PB229" i="39"/>
  <c r="PC228" i="39"/>
  <c r="JN80" i="39"/>
  <c r="PI224" i="39"/>
  <c r="PE224" i="39"/>
  <c r="PD224" i="39"/>
  <c r="OY224" i="39"/>
  <c r="PF224" i="39"/>
  <c r="PM224" i="39" s="1"/>
  <c r="PG224" i="39"/>
  <c r="PN224" i="39" s="1"/>
  <c r="PH224" i="39"/>
  <c r="PC224" i="39"/>
  <c r="PB224" i="39"/>
  <c r="PK224" i="39" s="1"/>
  <c r="OZ224" i="39"/>
  <c r="NW276" i="39"/>
  <c r="II26" i="39" s="1"/>
  <c r="BC137" i="50"/>
  <c r="BC141" i="50" s="1"/>
  <c r="BC147" i="50" s="1"/>
  <c r="JN84" i="39"/>
  <c r="AV137" i="50"/>
  <c r="AV141" i="50" s="1"/>
  <c r="JN77" i="39"/>
  <c r="NV20" i="39"/>
  <c r="JN79" i="39"/>
  <c r="BB137" i="50"/>
  <c r="BB141" i="50" s="1"/>
  <c r="BB146" i="50" s="1"/>
  <c r="NW277" i="39"/>
  <c r="CK123" i="41"/>
  <c r="QH81" i="39"/>
  <c r="QH90" i="39" s="1"/>
  <c r="PZ90" i="39"/>
  <c r="QH78" i="39"/>
  <c r="QH87" i="39" s="1"/>
  <c r="PZ87" i="39"/>
  <c r="QH82" i="39"/>
  <c r="QH91" i="39" s="1"/>
  <c r="PZ91" i="39"/>
  <c r="QH76" i="39"/>
  <c r="QH85" i="39" s="1"/>
  <c r="PZ85" i="39"/>
  <c r="QH77" i="39"/>
  <c r="QH86" i="39" s="1"/>
  <c r="PZ86" i="39"/>
  <c r="BD146" i="50"/>
  <c r="BD147" i="50"/>
  <c r="NW41" i="39" s="1"/>
  <c r="CS52" i="43" s="1"/>
  <c r="AX137" i="50"/>
  <c r="AX141" i="50" s="1"/>
  <c r="AZ137" i="50"/>
  <c r="AZ141" i="50" s="1"/>
  <c r="NS25" i="39"/>
  <c r="BA137" i="50"/>
  <c r="BA141" i="50" s="1"/>
  <c r="AW137" i="50"/>
  <c r="AW141" i="50" s="1"/>
  <c r="AY137" i="50"/>
  <c r="AY141" i="50" s="1"/>
  <c r="AP32" i="15"/>
  <c r="AX32" i="15"/>
  <c r="AH32" i="15"/>
  <c r="BN32" i="15"/>
  <c r="Z32" i="15"/>
  <c r="CD32" i="15"/>
  <c r="CL32" i="15"/>
  <c r="BV32" i="15"/>
  <c r="BF32" i="15"/>
  <c r="JN62" i="39"/>
  <c r="NT270" i="39"/>
  <c r="IP109" i="39" s="1"/>
  <c r="BI182" i="39"/>
  <c r="NR270" i="39"/>
  <c r="IN109" i="39" s="1"/>
  <c r="NU36" i="39"/>
  <c r="JN63" i="39"/>
  <c r="JN59" i="39"/>
  <c r="JN61" i="39"/>
  <c r="NV270" i="39"/>
  <c r="IR109" i="39" s="1"/>
  <c r="JN64" i="39"/>
  <c r="NQ270" i="39"/>
  <c r="IM109" i="39" s="1"/>
  <c r="NU24" i="39"/>
  <c r="JN60" i="39"/>
  <c r="BC182" i="39"/>
  <c r="JN57" i="39"/>
  <c r="RI67" i="39" s="1"/>
  <c r="NN253" i="39"/>
  <c r="NS270" i="39"/>
  <c r="JN58" i="39"/>
  <c r="NW25" i="39"/>
  <c r="BH182" i="39"/>
  <c r="BF182" i="39"/>
  <c r="NR36" i="39"/>
  <c r="NO389" i="39"/>
  <c r="Z26" i="15" s="1"/>
  <c r="NT25" i="39"/>
  <c r="NS24" i="39"/>
  <c r="NT24" i="39"/>
  <c r="NV24" i="39"/>
  <c r="NT36" i="39"/>
  <c r="NT389" i="39"/>
  <c r="BJ182" i="39"/>
  <c r="NV26" i="39"/>
  <c r="NT26" i="39"/>
  <c r="NU25" i="39"/>
  <c r="NT22" i="39"/>
  <c r="NV36" i="39"/>
  <c r="NW26" i="39"/>
  <c r="NU21" i="39"/>
  <c r="NU26" i="39"/>
  <c r="NQ36" i="39"/>
  <c r="NW22" i="39"/>
  <c r="NQ389" i="39"/>
  <c r="NV22" i="39"/>
  <c r="NU22" i="39"/>
  <c r="NS26" i="39"/>
  <c r="NU270" i="39"/>
  <c r="IQ109" i="39" s="1"/>
  <c r="BD182" i="39"/>
  <c r="NP270" i="39"/>
  <c r="IL109" i="39" s="1"/>
  <c r="NT20" i="39"/>
  <c r="NT23" i="39"/>
  <c r="NT21" i="39"/>
  <c r="NV21" i="39"/>
  <c r="BE182" i="39"/>
  <c r="NS21" i="39"/>
  <c r="NW389" i="39"/>
  <c r="NW21" i="39"/>
  <c r="NS389" i="39"/>
  <c r="NP389" i="39"/>
  <c r="NV23" i="39"/>
  <c r="NP36" i="39"/>
  <c r="NW23" i="39"/>
  <c r="NV389" i="39"/>
  <c r="NW24" i="39"/>
  <c r="NS23" i="39"/>
  <c r="NS22" i="39"/>
  <c r="NV25" i="39"/>
  <c r="NU389" i="39"/>
  <c r="NS20" i="39"/>
  <c r="BG182" i="39"/>
  <c r="NW20" i="39"/>
  <c r="NS36" i="39"/>
  <c r="NR389" i="39"/>
  <c r="NU20" i="39"/>
  <c r="NU23" i="39"/>
  <c r="NO36" i="39"/>
  <c r="NT19" i="39"/>
  <c r="NU19" i="39"/>
  <c r="NW19" i="39"/>
  <c r="NS19" i="39"/>
  <c r="NV19" i="39"/>
  <c r="NO270" i="39"/>
  <c r="IK109" i="39" s="1"/>
  <c r="DA54" i="27"/>
  <c r="DA31" i="27"/>
  <c r="DA44" i="27"/>
  <c r="DA34" i="27"/>
  <c r="DA28" i="27"/>
  <c r="DA26" i="27"/>
  <c r="DA58" i="27"/>
  <c r="CU26" i="42"/>
  <c r="CU46" i="42"/>
  <c r="CU42" i="42"/>
  <c r="CU28" i="42"/>
  <c r="CU55" i="42"/>
  <c r="CU32" i="42"/>
  <c r="CU67" i="42"/>
  <c r="CU53" i="42"/>
  <c r="CU57" i="42"/>
  <c r="CU44" i="42"/>
  <c r="CU71" i="42"/>
  <c r="PK227" i="39" l="1"/>
  <c r="PL231" i="39"/>
  <c r="PJ232" i="39"/>
  <c r="PK228" i="39"/>
  <c r="PK225" i="39"/>
  <c r="PL227" i="39"/>
  <c r="PO228" i="39"/>
  <c r="PJ226" i="39"/>
  <c r="PO229" i="39"/>
  <c r="PJ225" i="39"/>
  <c r="PJ231" i="39"/>
  <c r="PL226" i="39"/>
  <c r="PK232" i="39"/>
  <c r="PJ230" i="39"/>
  <c r="PK229" i="39"/>
  <c r="PJ227" i="39"/>
  <c r="PK226" i="39"/>
  <c r="PL225" i="39"/>
  <c r="PO227" i="39"/>
  <c r="PJ228" i="39"/>
  <c r="PL232" i="39"/>
  <c r="PO232" i="39"/>
  <c r="PO225" i="39"/>
  <c r="PO230" i="39"/>
  <c r="PL230" i="39"/>
  <c r="PK231" i="39"/>
  <c r="PJ229" i="39"/>
  <c r="PL229" i="39"/>
  <c r="PL228" i="39"/>
  <c r="PO224" i="39"/>
  <c r="PL224" i="39"/>
  <c r="PJ224" i="39"/>
  <c r="BC146" i="50"/>
  <c r="CB80" i="54" s="1"/>
  <c r="IM185" i="39"/>
  <c r="DT275" i="67" s="1"/>
  <c r="IM140" i="39"/>
  <c r="DT110" i="67" s="1"/>
  <c r="IM167" i="39"/>
  <c r="DT209" i="67" s="1"/>
  <c r="IM149" i="39"/>
  <c r="DT143" i="67" s="1"/>
  <c r="IM131" i="39"/>
  <c r="DT77" i="67" s="1"/>
  <c r="IM176" i="39"/>
  <c r="DT242" i="67" s="1"/>
  <c r="IM112" i="39"/>
  <c r="DT11" i="67" s="1"/>
  <c r="IM122" i="39"/>
  <c r="DT44" i="67" s="1"/>
  <c r="IM158" i="39"/>
  <c r="DT176" i="67" s="1"/>
  <c r="IQ158" i="39"/>
  <c r="KR176" i="67" s="1"/>
  <c r="IQ122" i="39"/>
  <c r="KR44" i="67" s="1"/>
  <c r="IQ149" i="39"/>
  <c r="KR143" i="67" s="1"/>
  <c r="IQ185" i="39"/>
  <c r="KR275" i="67" s="1"/>
  <c r="IQ140" i="39"/>
  <c r="KR110" i="67" s="1"/>
  <c r="IQ176" i="39"/>
  <c r="KR242" i="67" s="1"/>
  <c r="IQ112" i="39"/>
  <c r="KR11" i="67" s="1"/>
  <c r="IQ131" i="39"/>
  <c r="KR77" i="67" s="1"/>
  <c r="IQ167" i="39"/>
  <c r="KR209" i="67" s="1"/>
  <c r="IN167" i="39"/>
  <c r="FM209" i="67" s="1"/>
  <c r="IN149" i="39"/>
  <c r="FM143" i="67" s="1"/>
  <c r="IN131" i="39"/>
  <c r="FM77" i="67" s="1"/>
  <c r="IN176" i="39"/>
  <c r="FM242" i="67" s="1"/>
  <c r="IN158" i="39"/>
  <c r="FM176" i="67" s="1"/>
  <c r="IN112" i="39"/>
  <c r="FM11" i="67" s="1"/>
  <c r="IN122" i="39"/>
  <c r="FM44" i="67" s="1"/>
  <c r="IN185" i="39"/>
  <c r="FM275" i="67" s="1"/>
  <c r="IN140" i="39"/>
  <c r="FM110" i="67" s="1"/>
  <c r="IP140" i="39"/>
  <c r="IY110" i="67" s="1"/>
  <c r="IP158" i="39"/>
  <c r="IY176" i="67" s="1"/>
  <c r="IP122" i="39"/>
  <c r="IY44" i="67" s="1"/>
  <c r="IP167" i="39"/>
  <c r="IY209" i="67" s="1"/>
  <c r="IP149" i="39"/>
  <c r="IY143" i="67" s="1"/>
  <c r="IP131" i="39"/>
  <c r="IY77" i="67" s="1"/>
  <c r="IP176" i="39"/>
  <c r="IY242" i="67" s="1"/>
  <c r="IP185" i="39"/>
  <c r="IY275" i="67" s="1"/>
  <c r="IP112" i="39"/>
  <c r="IY11" i="67" s="1"/>
  <c r="NS265" i="39"/>
  <c r="IO109" i="39"/>
  <c r="IR122" i="39"/>
  <c r="MK44" i="67" s="1"/>
  <c r="IR131" i="39"/>
  <c r="MK77" i="67" s="1"/>
  <c r="IR167" i="39"/>
  <c r="MK209" i="67" s="1"/>
  <c r="IR185" i="39"/>
  <c r="MK275" i="67" s="1"/>
  <c r="IR140" i="39"/>
  <c r="MK110" i="67" s="1"/>
  <c r="IR176" i="39"/>
  <c r="MK242" i="67" s="1"/>
  <c r="IR149" i="39"/>
  <c r="MK143" i="67" s="1"/>
  <c r="IR158" i="39"/>
  <c r="MK176" i="67" s="1"/>
  <c r="IR112" i="39"/>
  <c r="MK11" i="67" s="1"/>
  <c r="IK112" i="39"/>
  <c r="IK185" i="39"/>
  <c r="AH275" i="67" s="1"/>
  <c r="IK140" i="39"/>
  <c r="AH110" i="67" s="1"/>
  <c r="IK167" i="39"/>
  <c r="AH209" i="67" s="1"/>
  <c r="IK149" i="39"/>
  <c r="AH143" i="67" s="1"/>
  <c r="IK131" i="39"/>
  <c r="AH77" i="67" s="1"/>
  <c r="IK176" i="39"/>
  <c r="AH242" i="67" s="1"/>
  <c r="IK158" i="39"/>
  <c r="AH176" i="67" s="1"/>
  <c r="IK122" i="39"/>
  <c r="AH44" i="67" s="1"/>
  <c r="IL158" i="39"/>
  <c r="CA176" i="67" s="1"/>
  <c r="IL185" i="39"/>
  <c r="CA275" i="67" s="1"/>
  <c r="IL140" i="39"/>
  <c r="CA110" i="67" s="1"/>
  <c r="IL112" i="39"/>
  <c r="CA11" i="67" s="1"/>
  <c r="IL167" i="39"/>
  <c r="CA209" i="67" s="1"/>
  <c r="IL149" i="39"/>
  <c r="CA143" i="67" s="1"/>
  <c r="IL131" i="39"/>
  <c r="CA77" i="67" s="1"/>
  <c r="IL176" i="39"/>
  <c r="CA242" i="67" s="1"/>
  <c r="IL122" i="39"/>
  <c r="CA44" i="67" s="1"/>
  <c r="IL85" i="39"/>
  <c r="IS120" i="39" s="1"/>
  <c r="NA30" i="67" s="1"/>
  <c r="IK85" i="39"/>
  <c r="IS119" i="39" s="1"/>
  <c r="NK25" i="67" s="1"/>
  <c r="IS118" i="39"/>
  <c r="NA25" i="67" s="1"/>
  <c r="IS117" i="39"/>
  <c r="NA21" i="67" s="1"/>
  <c r="II85" i="39"/>
  <c r="IK65" i="39"/>
  <c r="II46" i="39"/>
  <c r="IJ46" i="39" s="1"/>
  <c r="RI72" i="39"/>
  <c r="RI69" i="39"/>
  <c r="RI78" i="39"/>
  <c r="RI81" i="39"/>
  <c r="RI87" i="39"/>
  <c r="RI68" i="39"/>
  <c r="RI73" i="39"/>
  <c r="RI86" i="39"/>
  <c r="RI82" i="39"/>
  <c r="RI77" i="39"/>
  <c r="RI90" i="39"/>
  <c r="RI91" i="39"/>
  <c r="RI74" i="39"/>
  <c r="RI76" i="39"/>
  <c r="RI88" i="39"/>
  <c r="RI83" i="39"/>
  <c r="RI70" i="39"/>
  <c r="RI85" i="39"/>
  <c r="RI92" i="39"/>
  <c r="RI79" i="39"/>
  <c r="CK20" i="22"/>
  <c r="CK26" i="22"/>
  <c r="CJ80" i="54"/>
  <c r="CJ78" i="54"/>
  <c r="BT78" i="54"/>
  <c r="BT80" i="54"/>
  <c r="CJ57" i="54"/>
  <c r="CJ66" i="54"/>
  <c r="CJ64" i="54"/>
  <c r="CJ55" i="54"/>
  <c r="CJ91" i="54"/>
  <c r="BT91" i="54"/>
  <c r="NW349" i="39"/>
  <c r="CU30" i="43" s="1"/>
  <c r="NW354" i="39"/>
  <c r="CU52" i="43" s="1"/>
  <c r="CK143" i="41"/>
  <c r="CK43" i="41"/>
  <c r="CK41" i="41"/>
  <c r="CK139" i="41"/>
  <c r="CM147" i="41" s="1"/>
  <c r="CK149" i="41"/>
  <c r="CK33" i="41"/>
  <c r="CK82" i="41"/>
  <c r="CK79" i="41"/>
  <c r="CK49" i="41"/>
  <c r="CK151" i="41"/>
  <c r="CK25" i="41"/>
  <c r="CK147" i="41"/>
  <c r="CK51" i="41"/>
  <c r="CK145" i="41"/>
  <c r="CS91" i="43"/>
  <c r="CS87" i="43"/>
  <c r="CK112" i="41"/>
  <c r="CS77" i="43"/>
  <c r="CS75" i="43"/>
  <c r="CS68" i="43"/>
  <c r="CS28" i="43"/>
  <c r="CS61" i="43"/>
  <c r="CS30" i="43"/>
  <c r="CS41" i="43"/>
  <c r="CS50" i="43"/>
  <c r="CS48" i="43"/>
  <c r="CS39" i="43"/>
  <c r="BB147" i="50"/>
  <c r="CK92" i="41"/>
  <c r="CK129" i="41"/>
  <c r="CK127" i="41"/>
  <c r="NW285" i="39"/>
  <c r="CM63" i="41" s="1"/>
  <c r="NW353" i="39"/>
  <c r="NW335" i="39"/>
  <c r="CW32" i="42" s="1"/>
  <c r="NW350" i="39"/>
  <c r="CU39" i="43" s="1"/>
  <c r="NW281" i="39"/>
  <c r="CM51" i="41" s="1"/>
  <c r="NW355" i="39"/>
  <c r="CU61" i="43" s="1"/>
  <c r="NW357" i="39"/>
  <c r="CU75" i="43" s="1"/>
  <c r="NW336" i="39"/>
  <c r="CW42" i="42" s="1"/>
  <c r="NW286" i="39"/>
  <c r="CM65" i="41" s="1"/>
  <c r="NW352" i="39"/>
  <c r="CU48" i="43" s="1"/>
  <c r="NW358" i="39"/>
  <c r="CU77" i="43" s="1"/>
  <c r="NW289" i="39"/>
  <c r="CM71" i="41" s="1"/>
  <c r="NW287" i="39"/>
  <c r="CM67" i="41" s="1"/>
  <c r="NW330" i="39"/>
  <c r="DC44" i="27" s="1"/>
  <c r="NW326" i="39"/>
  <c r="CN42" i="52" s="1"/>
  <c r="NW280" i="39"/>
  <c r="NW288" i="39"/>
  <c r="CM69" i="41" s="1"/>
  <c r="NW331" i="39"/>
  <c r="DC58" i="27" s="1"/>
  <c r="NW340" i="39"/>
  <c r="CW53" i="42" s="1"/>
  <c r="NW342" i="39"/>
  <c r="CW57" i="42" s="1"/>
  <c r="NW338" i="39"/>
  <c r="CW46" i="42" s="1"/>
  <c r="NW284" i="39"/>
  <c r="CM61" i="41" s="1"/>
  <c r="NW283" i="39"/>
  <c r="CM43" i="41" s="1"/>
  <c r="NW344" i="39"/>
  <c r="CW67" i="42" s="1"/>
  <c r="NW333" i="39"/>
  <c r="CW26" i="42" s="1"/>
  <c r="NW279" i="39"/>
  <c r="NW282" i="39"/>
  <c r="CM41" i="41" s="1"/>
  <c r="NW351" i="39"/>
  <c r="CU41" i="43" s="1"/>
  <c r="NW329" i="39"/>
  <c r="DC34" i="27" s="1"/>
  <c r="NW337" i="39"/>
  <c r="CW44" i="42" s="1"/>
  <c r="NW278" i="39"/>
  <c r="NW327" i="39"/>
  <c r="DC28" i="27" s="1"/>
  <c r="NW341" i="39"/>
  <c r="CW55" i="42" s="1"/>
  <c r="NW328" i="39"/>
  <c r="DC31" i="27" s="1"/>
  <c r="NW348" i="39"/>
  <c r="CU28" i="43" s="1"/>
  <c r="NW334" i="39"/>
  <c r="CW28" i="42" s="1"/>
  <c r="NW356" i="39"/>
  <c r="CU68" i="43" s="1"/>
  <c r="NW266" i="39"/>
  <c r="NW298" i="39" s="1"/>
  <c r="NW314" i="39"/>
  <c r="CM20" i="22" s="1"/>
  <c r="CK121" i="41"/>
  <c r="NR265" i="39"/>
  <c r="NQ265" i="39"/>
  <c r="NP265" i="39"/>
  <c r="NT265" i="39"/>
  <c r="NV265" i="39"/>
  <c r="NU265" i="39"/>
  <c r="AV146" i="50"/>
  <c r="AV147" i="50"/>
  <c r="CJ116" i="54"/>
  <c r="CJ114" i="54"/>
  <c r="BT129" i="54"/>
  <c r="BT127" i="54"/>
  <c r="BT89" i="54"/>
  <c r="CJ127" i="54"/>
  <c r="CJ89" i="54"/>
  <c r="CJ129" i="54"/>
  <c r="BT120" i="54"/>
  <c r="BT107" i="54"/>
  <c r="BT105" i="54"/>
  <c r="CJ120" i="54"/>
  <c r="CJ107" i="54"/>
  <c r="CJ105" i="54"/>
  <c r="BT98" i="54"/>
  <c r="CJ98" i="54"/>
  <c r="CJ45" i="54"/>
  <c r="CJ43" i="54"/>
  <c r="CJ36" i="54"/>
  <c r="BT36" i="54"/>
  <c r="BT43" i="54"/>
  <c r="BT45" i="54"/>
  <c r="BS26" i="54"/>
  <c r="W26" i="54"/>
  <c r="AM26" i="54"/>
  <c r="BC26" i="54"/>
  <c r="BK26" i="54"/>
  <c r="AE26" i="54"/>
  <c r="QS69" i="39"/>
  <c r="QS76" i="39"/>
  <c r="QS77" i="39"/>
  <c r="QS78" i="39"/>
  <c r="QS67" i="39"/>
  <c r="QS68" i="39"/>
  <c r="QS79" i="39"/>
  <c r="QS82" i="39"/>
  <c r="QS72" i="39"/>
  <c r="QS84" i="39"/>
  <c r="QS73" i="39"/>
  <c r="QS74" i="39"/>
  <c r="QS83" i="39"/>
  <c r="QS75" i="39"/>
  <c r="QS81" i="39"/>
  <c r="QS70" i="39"/>
  <c r="QS80" i="39"/>
  <c r="QS71" i="39"/>
  <c r="QT69" i="39"/>
  <c r="BT34" i="54"/>
  <c r="AV154" i="50"/>
  <c r="CK71" i="41"/>
  <c r="BT87" i="54"/>
  <c r="CJ34" i="54"/>
  <c r="CJ76" i="54"/>
  <c r="BT76" i="54"/>
  <c r="CJ87" i="54"/>
  <c r="AY146" i="50"/>
  <c r="AY147" i="50"/>
  <c r="AW146" i="50"/>
  <c r="AW147" i="50"/>
  <c r="BA146" i="50"/>
  <c r="BA147" i="50"/>
  <c r="AZ146" i="50"/>
  <c r="AZ147" i="50"/>
  <c r="AX146" i="50"/>
  <c r="AX147" i="50"/>
  <c r="AU26" i="54"/>
  <c r="CA26" i="54"/>
  <c r="NW363" i="39"/>
  <c r="CN46" i="52" s="1"/>
  <c r="BL152" i="22"/>
  <c r="AF152" i="22"/>
  <c r="BT152" i="22"/>
  <c r="X152" i="22"/>
  <c r="AN152" i="22"/>
  <c r="BD152" i="22"/>
  <c r="CD26" i="15"/>
  <c r="BN26" i="15"/>
  <c r="AX26" i="15"/>
  <c r="BV26" i="15"/>
  <c r="AH26" i="15"/>
  <c r="AP26" i="15"/>
  <c r="BF26" i="15"/>
  <c r="NT308" i="39"/>
  <c r="BO33" i="41" s="1"/>
  <c r="BU18" i="41"/>
  <c r="NT272" i="39"/>
  <c r="NR272" i="39"/>
  <c r="NR308" i="39"/>
  <c r="AY33" i="41" s="1"/>
  <c r="CD18" i="42"/>
  <c r="NU38" i="39"/>
  <c r="NU40" i="39" s="1"/>
  <c r="BU221" i="41"/>
  <c r="CB20" i="43"/>
  <c r="CJ18" i="27"/>
  <c r="BT14" i="22"/>
  <c r="BV18" i="26"/>
  <c r="NV308" i="39"/>
  <c r="CE33" i="41" s="1"/>
  <c r="NV272" i="39"/>
  <c r="NQ308" i="39"/>
  <c r="AQ33" i="41" s="1"/>
  <c r="NQ272" i="39"/>
  <c r="NP38" i="39"/>
  <c r="NP40" i="39" s="1"/>
  <c r="CB18" i="27"/>
  <c r="NS308" i="39"/>
  <c r="BG33" i="41" s="1"/>
  <c r="NS272" i="39"/>
  <c r="QZ76" i="39"/>
  <c r="QX76" i="39"/>
  <c r="QV76" i="39"/>
  <c r="QY76" i="39"/>
  <c r="QZ67" i="39"/>
  <c r="QT76" i="39"/>
  <c r="QW67" i="39"/>
  <c r="QV67" i="39"/>
  <c r="QX67" i="39"/>
  <c r="QU76" i="39"/>
  <c r="QU67" i="39"/>
  <c r="QW76" i="39"/>
  <c r="QY67" i="39"/>
  <c r="QT67" i="39"/>
  <c r="QV71" i="39"/>
  <c r="QU71" i="39"/>
  <c r="QZ68" i="39"/>
  <c r="QW68" i="39"/>
  <c r="QU79" i="39"/>
  <c r="QT70" i="39"/>
  <c r="QT83" i="39"/>
  <c r="QX72" i="39"/>
  <c r="QT73" i="39"/>
  <c r="QT82" i="39"/>
  <c r="QU81" i="39"/>
  <c r="QZ72" i="39"/>
  <c r="QV77" i="39"/>
  <c r="QV84" i="39"/>
  <c r="QY71" i="39"/>
  <c r="QV80" i="39"/>
  <c r="QV68" i="39"/>
  <c r="QZ83" i="39"/>
  <c r="QY73" i="39"/>
  <c r="QW83" i="39"/>
  <c r="QT78" i="39"/>
  <c r="QT74" i="39"/>
  <c r="QY72" i="39"/>
  <c r="QW79" i="39"/>
  <c r="QW77" i="39"/>
  <c r="QY79" i="39"/>
  <c r="QU77" i="39"/>
  <c r="QU75" i="39"/>
  <c r="QT80" i="39"/>
  <c r="QX80" i="39"/>
  <c r="QX74" i="39"/>
  <c r="QY83" i="39"/>
  <c r="QY74" i="39"/>
  <c r="QZ74" i="39"/>
  <c r="QV79" i="39"/>
  <c r="QU69" i="39"/>
  <c r="QU72" i="39"/>
  <c r="QZ79" i="39"/>
  <c r="QW70" i="39"/>
  <c r="QY78" i="39"/>
  <c r="QX69" i="39"/>
  <c r="QW84" i="39"/>
  <c r="QY80" i="39"/>
  <c r="QW73" i="39"/>
  <c r="QT81" i="39"/>
  <c r="QX84" i="39"/>
  <c r="QU80" i="39"/>
  <c r="QT84" i="39"/>
  <c r="QT68" i="39"/>
  <c r="QX83" i="39"/>
  <c r="QU74" i="39"/>
  <c r="QV74" i="39"/>
  <c r="QZ73" i="39"/>
  <c r="QZ70" i="39"/>
  <c r="QX79" i="39"/>
  <c r="QZ69" i="39"/>
  <c r="QX70" i="39"/>
  <c r="QX78" i="39"/>
  <c r="QU70" i="39"/>
  <c r="QV82" i="39"/>
  <c r="QZ77" i="39"/>
  <c r="QZ84" i="39"/>
  <c r="QX71" i="39"/>
  <c r="QV75" i="39"/>
  <c r="QX68" i="39"/>
  <c r="QW74" i="39"/>
  <c r="QX73" i="39"/>
  <c r="QY81" i="39"/>
  <c r="QV73" i="39"/>
  <c r="QV70" i="39"/>
  <c r="QY77" i="39"/>
  <c r="QZ78" i="39"/>
  <c r="QZ87" i="39" s="1"/>
  <c r="QV69" i="39"/>
  <c r="QT72" i="39"/>
  <c r="QZ75" i="39"/>
  <c r="QZ80" i="39"/>
  <c r="QX81" i="39"/>
  <c r="QU68" i="39"/>
  <c r="QZ71" i="39"/>
  <c r="QT71" i="39"/>
  <c r="QT75" i="39"/>
  <c r="QX77" i="39"/>
  <c r="QX82" i="39"/>
  <c r="QW81" i="39"/>
  <c r="QY82" i="39"/>
  <c r="QU73" i="39"/>
  <c r="QU78" i="39"/>
  <c r="QY70" i="39"/>
  <c r="QV78" i="39"/>
  <c r="QY69" i="39"/>
  <c r="QV83" i="39"/>
  <c r="QY84" i="39"/>
  <c r="QU84" i="39"/>
  <c r="QV81" i="39"/>
  <c r="QW80" i="39"/>
  <c r="QW71" i="39"/>
  <c r="QW75" i="39"/>
  <c r="QT79" i="39"/>
  <c r="QV72" i="39"/>
  <c r="QW72" i="39"/>
  <c r="QU83" i="39"/>
  <c r="QZ82" i="39"/>
  <c r="QZ81" i="39"/>
  <c r="QW82" i="39"/>
  <c r="QT77" i="39"/>
  <c r="QT86" i="39" s="1"/>
  <c r="QY68" i="39"/>
  <c r="QW78" i="39"/>
  <c r="QY75" i="39"/>
  <c r="QW69" i="39"/>
  <c r="QU82" i="39"/>
  <c r="QU91" i="39" s="1"/>
  <c r="QX75" i="39"/>
  <c r="NP272" i="39"/>
  <c r="NP308" i="39"/>
  <c r="AI33" i="41" s="1"/>
  <c r="NU272" i="39"/>
  <c r="NU308" i="39"/>
  <c r="BW33" i="41" s="1"/>
  <c r="NO272" i="39"/>
  <c r="NO308" i="39"/>
  <c r="AA33" i="41" s="1"/>
  <c r="NO265" i="39"/>
  <c r="NV38" i="39"/>
  <c r="NV40" i="39" s="1"/>
  <c r="CB152" i="22"/>
  <c r="BL18" i="27"/>
  <c r="AV152" i="22"/>
  <c r="NR38" i="39"/>
  <c r="NR40" i="39" s="1"/>
  <c r="AW221" i="41"/>
  <c r="BF18" i="42"/>
  <c r="BD20" i="43"/>
  <c r="AW18" i="41"/>
  <c r="NX24" i="39"/>
  <c r="BF18" i="26"/>
  <c r="BD14" i="22"/>
  <c r="AN14" i="22"/>
  <c r="AP18" i="26"/>
  <c r="AV14" i="22"/>
  <c r="AX18" i="26"/>
  <c r="X14" i="22"/>
  <c r="Z18" i="26"/>
  <c r="BM221" i="41"/>
  <c r="BN18" i="26"/>
  <c r="BL14" i="22"/>
  <c r="AV18" i="27"/>
  <c r="AF14" i="22"/>
  <c r="AH18" i="26"/>
  <c r="CC221" i="41"/>
  <c r="CD18" i="26"/>
  <c r="CB14" i="22"/>
  <c r="NX25" i="39"/>
  <c r="BV18" i="42"/>
  <c r="BT20" i="43"/>
  <c r="BM18" i="41"/>
  <c r="NT38" i="39"/>
  <c r="NT40" i="39" s="1"/>
  <c r="NX26" i="39"/>
  <c r="CJ20" i="43"/>
  <c r="CC18" i="41"/>
  <c r="CL18" i="42"/>
  <c r="CR18" i="27"/>
  <c r="AP18" i="42"/>
  <c r="AG221" i="41"/>
  <c r="AG18" i="41"/>
  <c r="AN20" i="43"/>
  <c r="NX20" i="39"/>
  <c r="AV20" i="43"/>
  <c r="AO18" i="41"/>
  <c r="CL26" i="15"/>
  <c r="NX22" i="39"/>
  <c r="NQ38" i="39"/>
  <c r="NQ40" i="39" s="1"/>
  <c r="AX18" i="42"/>
  <c r="BD18" i="27"/>
  <c r="AO221" i="41"/>
  <c r="BE221" i="41"/>
  <c r="BN18" i="42"/>
  <c r="NS38" i="39"/>
  <c r="NS40" i="39" s="1"/>
  <c r="BL20" i="43"/>
  <c r="BT18" i="27"/>
  <c r="NX23" i="39"/>
  <c r="BE18" i="41"/>
  <c r="NX21" i="39"/>
  <c r="Y221" i="41"/>
  <c r="AH18" i="42"/>
  <c r="Y18" i="41"/>
  <c r="AF20" i="43"/>
  <c r="AN18" i="27"/>
  <c r="NO38" i="39"/>
  <c r="NO48" i="39"/>
  <c r="NX19" i="39"/>
  <c r="CM112" i="41" l="1"/>
  <c r="CM101" i="41"/>
  <c r="CM105" i="41"/>
  <c r="PP227" i="39"/>
  <c r="PV231" i="39"/>
  <c r="LL148" i="39" s="1"/>
  <c r="CE26" i="22" s="1"/>
  <c r="PQ231" i="39"/>
  <c r="PQ228" i="39"/>
  <c r="PP231" i="39"/>
  <c r="PQ232" i="39"/>
  <c r="PQ230" i="39"/>
  <c r="PP226" i="39"/>
  <c r="PP232" i="39"/>
  <c r="NW346" i="39" s="1"/>
  <c r="PV232" i="39"/>
  <c r="PP228" i="39"/>
  <c r="PP230" i="39"/>
  <c r="PQ227" i="39"/>
  <c r="PV225" i="39"/>
  <c r="LL142" i="39" s="1"/>
  <c r="PV230" i="39"/>
  <c r="LL147" i="39" s="1"/>
  <c r="BO26" i="22" s="1"/>
  <c r="PV226" i="39"/>
  <c r="LL143" i="39" s="1"/>
  <c r="BG26" i="22" s="1"/>
  <c r="PV227" i="39"/>
  <c r="LL144" i="39" s="1"/>
  <c r="BW26" i="22" s="1"/>
  <c r="PQ226" i="39"/>
  <c r="PV228" i="39"/>
  <c r="LL145" i="39" s="1"/>
  <c r="PP225" i="39"/>
  <c r="PQ225" i="39"/>
  <c r="PV229" i="39"/>
  <c r="LL146" i="39" s="1"/>
  <c r="AY26" i="22" s="1"/>
  <c r="PQ229" i="39"/>
  <c r="PP229" i="39"/>
  <c r="NW304" i="39"/>
  <c r="CB34" i="54"/>
  <c r="CB76" i="54"/>
  <c r="CB105" i="54"/>
  <c r="CB89" i="54"/>
  <c r="CB43" i="54"/>
  <c r="CB120" i="54"/>
  <c r="CB45" i="54"/>
  <c r="CB36" i="54"/>
  <c r="CB107" i="54"/>
  <c r="CB127" i="54"/>
  <c r="CB129" i="54"/>
  <c r="CB87" i="54"/>
  <c r="CB98" i="54"/>
  <c r="CB91" i="54"/>
  <c r="CB78" i="54"/>
  <c r="PV224" i="39"/>
  <c r="PQ224" i="39"/>
  <c r="PP224" i="39"/>
  <c r="NW290" i="39"/>
  <c r="NW291" i="39" s="1"/>
  <c r="CM82" i="41" s="1"/>
  <c r="AH11" i="67"/>
  <c r="IO176" i="39"/>
  <c r="HF242" i="67" s="1"/>
  <c r="IO112" i="39"/>
  <c r="HF11" i="67" s="1"/>
  <c r="IO158" i="39"/>
  <c r="HF176" i="67" s="1"/>
  <c r="IO122" i="39"/>
  <c r="HF44" i="67" s="1"/>
  <c r="IO185" i="39"/>
  <c r="HF275" i="67" s="1"/>
  <c r="IO140" i="39"/>
  <c r="HF110" i="67" s="1"/>
  <c r="IO167" i="39"/>
  <c r="HF209" i="67" s="1"/>
  <c r="IO149" i="39"/>
  <c r="HF143" i="67" s="1"/>
  <c r="IO131" i="39"/>
  <c r="HF77" i="67" s="1"/>
  <c r="IK46" i="39"/>
  <c r="JM46" i="39" s="1"/>
  <c r="NW303" i="39" s="1"/>
  <c r="CM123" i="41" s="1"/>
  <c r="NQ276" i="39"/>
  <c r="II20" i="39" s="1"/>
  <c r="CM25" i="41"/>
  <c r="NO276" i="39"/>
  <c r="NV276" i="39"/>
  <c r="II25" i="39" s="1"/>
  <c r="NU276" i="39"/>
  <c r="II24" i="39" s="1"/>
  <c r="NS276" i="39"/>
  <c r="II22" i="39" s="1"/>
  <c r="NR276" i="39"/>
  <c r="II21" i="39" s="1"/>
  <c r="NT276" i="39"/>
  <c r="II23" i="39" s="1"/>
  <c r="NP276" i="39"/>
  <c r="QT88" i="39"/>
  <c r="BE123" i="41"/>
  <c r="QV87" i="39"/>
  <c r="QT87" i="39"/>
  <c r="QX91" i="39"/>
  <c r="QY91" i="39"/>
  <c r="QZ86" i="39"/>
  <c r="BD78" i="54"/>
  <c r="BD80" i="54"/>
  <c r="BL78" i="54"/>
  <c r="BL80" i="54"/>
  <c r="AF78" i="54"/>
  <c r="AF80" i="54"/>
  <c r="AN78" i="54"/>
  <c r="AN80" i="54"/>
  <c r="AV78" i="54"/>
  <c r="AV80" i="54"/>
  <c r="X78" i="54"/>
  <c r="X80" i="54"/>
  <c r="NW359" i="39"/>
  <c r="CU91" i="43" s="1"/>
  <c r="CL43" i="54"/>
  <c r="CL66" i="54"/>
  <c r="CL55" i="54"/>
  <c r="CL80" i="54"/>
  <c r="CL78" i="54"/>
  <c r="CL91" i="54"/>
  <c r="CL64" i="54"/>
  <c r="CL57" i="54"/>
  <c r="BL91" i="54"/>
  <c r="AF91" i="54"/>
  <c r="AN91" i="54"/>
  <c r="AV91" i="54"/>
  <c r="X45" i="54"/>
  <c r="X91" i="54"/>
  <c r="BD91" i="54"/>
  <c r="CL89" i="54"/>
  <c r="CL87" i="54"/>
  <c r="CL129" i="54"/>
  <c r="CL105" i="54"/>
  <c r="CL116" i="54"/>
  <c r="CL45" i="54"/>
  <c r="CL98" i="54"/>
  <c r="CL76" i="54"/>
  <c r="CL136" i="54"/>
  <c r="CL114" i="54"/>
  <c r="CL36" i="54"/>
  <c r="CL120" i="54"/>
  <c r="CL138" i="54"/>
  <c r="CL107" i="54"/>
  <c r="CL127" i="54"/>
  <c r="CL34" i="54"/>
  <c r="CM49" i="41"/>
  <c r="CM143" i="41"/>
  <c r="CM151" i="41"/>
  <c r="CM149" i="41"/>
  <c r="QX90" i="39"/>
  <c r="QX92" i="39"/>
  <c r="QU92" i="39"/>
  <c r="QX86" i="39"/>
  <c r="QX88" i="39"/>
  <c r="QS92" i="39"/>
  <c r="QY90" i="39"/>
  <c r="QX87" i="39"/>
  <c r="QY89" i="39"/>
  <c r="QW89" i="39"/>
  <c r="QZ91" i="39"/>
  <c r="QS85" i="39"/>
  <c r="QU89" i="39"/>
  <c r="QS93" i="39"/>
  <c r="QZ85" i="39"/>
  <c r="CM121" i="41"/>
  <c r="CM127" i="41"/>
  <c r="CM129" i="41"/>
  <c r="CM27" i="41"/>
  <c r="QW87" i="39"/>
  <c r="QV86" i="39"/>
  <c r="QZ89" i="39"/>
  <c r="QV91" i="39"/>
  <c r="QW92" i="39"/>
  <c r="QU85" i="39"/>
  <c r="QX85" i="39"/>
  <c r="QW90" i="39"/>
  <c r="QU93" i="39"/>
  <c r="QV85" i="39"/>
  <c r="QS86" i="39"/>
  <c r="QV92" i="39"/>
  <c r="QV88" i="39"/>
  <c r="QU90" i="39"/>
  <c r="QZ90" i="39"/>
  <c r="QU87" i="39"/>
  <c r="QT92" i="39"/>
  <c r="QY93" i="39"/>
  <c r="QT90" i="39"/>
  <c r="QT89" i="39"/>
  <c r="QU88" i="39"/>
  <c r="QU86" i="39"/>
  <c r="QS89" i="39"/>
  <c r="QW93" i="39"/>
  <c r="QY88" i="39"/>
  <c r="QZ92" i="39"/>
  <c r="QT91" i="39"/>
  <c r="QS91" i="39"/>
  <c r="QW86" i="39"/>
  <c r="QS90" i="39"/>
  <c r="QS88" i="39"/>
  <c r="QW91" i="39"/>
  <c r="QT93" i="39"/>
  <c r="QY87" i="39"/>
  <c r="QY92" i="39"/>
  <c r="QW88" i="39"/>
  <c r="QV89" i="39"/>
  <c r="QT85" i="39"/>
  <c r="QY86" i="39"/>
  <c r="QV90" i="39"/>
  <c r="QZ93" i="39"/>
  <c r="QX93" i="39"/>
  <c r="QZ88" i="39"/>
  <c r="QX89" i="39"/>
  <c r="QV93" i="39"/>
  <c r="QW85" i="39"/>
  <c r="QY85" i="39"/>
  <c r="QS87" i="39"/>
  <c r="CM92" i="41"/>
  <c r="DC26" i="27"/>
  <c r="CW71" i="42"/>
  <c r="CU50" i="43"/>
  <c r="CL78" i="15"/>
  <c r="DC54" i="27"/>
  <c r="NW300" i="39"/>
  <c r="CM145" i="41" s="1"/>
  <c r="NW313" i="39"/>
  <c r="CM139" i="41" s="1"/>
  <c r="NW296" i="39"/>
  <c r="NW297" i="39"/>
  <c r="NS277" i="39"/>
  <c r="NR277" i="39"/>
  <c r="NU277" i="39"/>
  <c r="NT277" i="39"/>
  <c r="NP277" i="39"/>
  <c r="NQ277" i="39"/>
  <c r="NO277" i="39"/>
  <c r="NV277" i="39"/>
  <c r="X34" i="54"/>
  <c r="X107" i="54"/>
  <c r="X129" i="54"/>
  <c r="X120" i="54"/>
  <c r="X127" i="54"/>
  <c r="X105" i="54"/>
  <c r="X43" i="54"/>
  <c r="X98" i="54"/>
  <c r="X76" i="54"/>
  <c r="X36" i="54"/>
  <c r="X89" i="54"/>
  <c r="X87" i="54"/>
  <c r="NO40" i="39"/>
  <c r="AV129" i="54"/>
  <c r="AV89" i="54"/>
  <c r="AV127" i="54"/>
  <c r="BD129" i="54"/>
  <c r="BD89" i="54"/>
  <c r="BD127" i="54"/>
  <c r="BL127" i="54"/>
  <c r="BL89" i="54"/>
  <c r="BL129" i="54"/>
  <c r="AF127" i="54"/>
  <c r="AF89" i="54"/>
  <c r="AF129" i="54"/>
  <c r="AN127" i="54"/>
  <c r="AN89" i="54"/>
  <c r="AN129" i="54"/>
  <c r="AF107" i="54"/>
  <c r="AF105" i="54"/>
  <c r="AF120" i="54"/>
  <c r="AN107" i="54"/>
  <c r="AN105" i="54"/>
  <c r="AN120" i="54"/>
  <c r="AV105" i="54"/>
  <c r="AV120" i="54"/>
  <c r="AV107" i="54"/>
  <c r="BD105" i="54"/>
  <c r="BD120" i="54"/>
  <c r="BD107" i="54"/>
  <c r="BL120" i="54"/>
  <c r="BL107" i="54"/>
  <c r="BL105" i="54"/>
  <c r="BD98" i="54"/>
  <c r="BL98" i="54"/>
  <c r="AF98" i="54"/>
  <c r="AN98" i="54"/>
  <c r="AV98" i="54"/>
  <c r="BL36" i="54"/>
  <c r="BL45" i="54"/>
  <c r="BL43" i="54"/>
  <c r="AF36" i="54"/>
  <c r="AF45" i="54"/>
  <c r="AF43" i="54"/>
  <c r="AN36" i="54"/>
  <c r="AN45" i="54"/>
  <c r="AN43" i="54"/>
  <c r="BD36" i="54"/>
  <c r="BD43" i="54"/>
  <c r="BD45" i="54"/>
  <c r="AV36" i="54"/>
  <c r="AV45" i="54"/>
  <c r="AV43" i="54"/>
  <c r="RA81" i="39"/>
  <c r="RA78" i="39"/>
  <c r="RA69" i="39"/>
  <c r="RB69" i="39" s="1"/>
  <c r="RA84" i="39"/>
  <c r="RA70" i="39"/>
  <c r="RB70" i="39" s="1"/>
  <c r="RA73" i="39"/>
  <c r="RB73" i="39" s="1"/>
  <c r="RA80" i="39"/>
  <c r="RA77" i="39"/>
  <c r="RA75" i="39"/>
  <c r="RA74" i="39"/>
  <c r="RB74" i="39" s="1"/>
  <c r="RA82" i="39"/>
  <c r="RA68" i="39"/>
  <c r="RB68" i="39" s="1"/>
  <c r="RA71" i="39"/>
  <c r="RB71" i="39" s="1"/>
  <c r="RA67" i="39"/>
  <c r="RB67" i="39" s="1"/>
  <c r="RA72" i="39"/>
  <c r="RB72" i="39" s="1"/>
  <c r="RA79" i="39"/>
  <c r="RA76" i="39"/>
  <c r="RA83" i="39"/>
  <c r="NV41" i="39"/>
  <c r="CK52" i="43" s="1"/>
  <c r="NU41" i="39"/>
  <c r="CC52" i="43" s="1"/>
  <c r="AN34" i="54"/>
  <c r="NS41" i="39"/>
  <c r="BM52" i="43" s="1"/>
  <c r="NQ41" i="39"/>
  <c r="AW52" i="43" s="1"/>
  <c r="NT41" i="39"/>
  <c r="BU52" i="43" s="1"/>
  <c r="NP41" i="39"/>
  <c r="AO52" i="43" s="1"/>
  <c r="NR41" i="39"/>
  <c r="BE52" i="43" s="1"/>
  <c r="AN87" i="54"/>
  <c r="AV76" i="54"/>
  <c r="AV34" i="54"/>
  <c r="AV87" i="54"/>
  <c r="AN76" i="54"/>
  <c r="AF76" i="54"/>
  <c r="BL76" i="54"/>
  <c r="BL34" i="54"/>
  <c r="BD34" i="54"/>
  <c r="BL87" i="54"/>
  <c r="AF34" i="54"/>
  <c r="BD76" i="54"/>
  <c r="BD87" i="54"/>
  <c r="AF87" i="54"/>
  <c r="BM44" i="27"/>
  <c r="CC28" i="27"/>
  <c r="CK26" i="27"/>
  <c r="CK58" i="27"/>
  <c r="CE53" i="42"/>
  <c r="CE28" i="42"/>
  <c r="CE44" i="42"/>
  <c r="CE71" i="42"/>
  <c r="CE42" i="42"/>
  <c r="CE32" i="42"/>
  <c r="CE55" i="42"/>
  <c r="CK44" i="27"/>
  <c r="CE46" i="42"/>
  <c r="CK31" i="27"/>
  <c r="CE67" i="42"/>
  <c r="CK34" i="27"/>
  <c r="CE57" i="42"/>
  <c r="CK54" i="27"/>
  <c r="CE26" i="42"/>
  <c r="CK28" i="27"/>
  <c r="AQ71" i="42"/>
  <c r="AW28" i="27"/>
  <c r="AQ55" i="42"/>
  <c r="AQ44" i="42"/>
  <c r="AQ26" i="42"/>
  <c r="AQ46" i="42"/>
  <c r="AQ57" i="42"/>
  <c r="AW44" i="27"/>
  <c r="AW58" i="27"/>
  <c r="AQ67" i="42"/>
  <c r="AW54" i="27"/>
  <c r="AQ32" i="42"/>
  <c r="AQ28" i="42"/>
  <c r="AW26" i="27"/>
  <c r="AQ42" i="42"/>
  <c r="AW31" i="27"/>
  <c r="AQ53" i="42"/>
  <c r="AW34" i="27"/>
  <c r="CM53" i="42"/>
  <c r="BG32" i="42"/>
  <c r="BG55" i="42"/>
  <c r="CM57" i="42"/>
  <c r="CM67" i="42"/>
  <c r="CS44" i="27"/>
  <c r="CS34" i="27"/>
  <c r="CS31" i="27"/>
  <c r="CM44" i="42"/>
  <c r="CM46" i="42"/>
  <c r="CM71" i="42"/>
  <c r="CM42" i="42"/>
  <c r="CS54" i="27"/>
  <c r="CM32" i="42"/>
  <c r="CS26" i="27"/>
  <c r="CS58" i="27"/>
  <c r="CM26" i="42"/>
  <c r="CS28" i="27"/>
  <c r="CE40" i="26"/>
  <c r="CM55" i="42"/>
  <c r="CM28" i="42"/>
  <c r="BM28" i="27"/>
  <c r="BG67" i="42"/>
  <c r="BG53" i="42"/>
  <c r="BM31" i="27"/>
  <c r="BM34" i="27"/>
  <c r="BG57" i="42"/>
  <c r="BG26" i="42"/>
  <c r="BG46" i="42"/>
  <c r="BM58" i="27"/>
  <c r="BG42" i="42"/>
  <c r="BM54" i="27"/>
  <c r="BM26" i="27"/>
  <c r="BG44" i="42"/>
  <c r="BG71" i="42"/>
  <c r="BG28" i="42"/>
  <c r="CC34" i="27"/>
  <c r="BW67" i="42"/>
  <c r="BW42" i="42"/>
  <c r="BW55" i="42"/>
  <c r="BW44" i="42"/>
  <c r="BW26" i="42"/>
  <c r="BW46" i="42"/>
  <c r="CC54" i="27"/>
  <c r="BW57" i="42"/>
  <c r="CC31" i="27"/>
  <c r="BW32" i="42"/>
  <c r="CC44" i="27"/>
  <c r="BW71" i="42"/>
  <c r="BW28" i="42"/>
  <c r="CC58" i="27"/>
  <c r="BW53" i="42"/>
  <c r="CC26" i="27"/>
  <c r="AY44" i="42"/>
  <c r="AY71" i="42"/>
  <c r="BE44" i="27"/>
  <c r="AY67" i="42"/>
  <c r="AY28" i="42"/>
  <c r="BE54" i="27"/>
  <c r="AY55" i="42"/>
  <c r="AY42" i="42"/>
  <c r="BE26" i="27"/>
  <c r="AY57" i="42"/>
  <c r="AY53" i="42"/>
  <c r="BE28" i="27"/>
  <c r="AY26" i="42"/>
  <c r="AY46" i="42"/>
  <c r="BE34" i="27"/>
  <c r="AY32" i="42"/>
  <c r="BE58" i="27"/>
  <c r="BE31" i="27"/>
  <c r="BO55" i="42"/>
  <c r="BU26" i="27"/>
  <c r="BU58" i="27"/>
  <c r="BO67" i="42"/>
  <c r="BO53" i="42"/>
  <c r="BO46" i="42"/>
  <c r="BO28" i="42"/>
  <c r="BU28" i="27"/>
  <c r="BO26" i="42"/>
  <c r="BU31" i="27"/>
  <c r="BO71" i="42"/>
  <c r="BO57" i="42"/>
  <c r="BU34" i="27"/>
  <c r="BO32" i="42"/>
  <c r="BU44" i="27"/>
  <c r="BO44" i="42"/>
  <c r="BO42" i="42"/>
  <c r="BU54" i="27"/>
  <c r="PM84" i="39"/>
  <c r="PL84" i="39"/>
  <c r="PN84" i="39"/>
  <c r="PO84" i="39"/>
  <c r="PO93" i="39" s="1"/>
  <c r="CK27" i="41" s="1"/>
  <c r="AI26" i="22" l="1"/>
  <c r="AQ26" i="22"/>
  <c r="NP346" i="39"/>
  <c r="NP283" i="39"/>
  <c r="AI43" i="41" s="1"/>
  <c r="NS346" i="39"/>
  <c r="BF66" i="54" s="1"/>
  <c r="NQ346" i="39"/>
  <c r="NO348" i="39"/>
  <c r="AI28" i="43" s="1"/>
  <c r="NV346" i="39"/>
  <c r="CD66" i="54" s="1"/>
  <c r="II18" i="39"/>
  <c r="II38" i="39" s="1"/>
  <c r="IJ38" i="39" s="1"/>
  <c r="IJ39" i="39" s="1"/>
  <c r="NO354" i="39"/>
  <c r="AI52" i="43" s="1"/>
  <c r="NU346" i="39"/>
  <c r="BV66" i="54" s="1"/>
  <c r="NT346" i="39"/>
  <c r="II80" i="39"/>
  <c r="IK80" i="39"/>
  <c r="IN119" i="39" s="1"/>
  <c r="ET25" i="67" s="1"/>
  <c r="IL80" i="39"/>
  <c r="IN120" i="39" s="1"/>
  <c r="EJ30" i="67" s="1"/>
  <c r="II83" i="39"/>
  <c r="IL83" i="39"/>
  <c r="IQ120" i="39" s="1"/>
  <c r="JO30" i="67" s="1"/>
  <c r="IK83" i="39"/>
  <c r="IQ119" i="39" s="1"/>
  <c r="JY25" i="67" s="1"/>
  <c r="IK64" i="39"/>
  <c r="CC123" i="41" s="1"/>
  <c r="IL84" i="39"/>
  <c r="IR120" i="39" s="1"/>
  <c r="LH30" i="67" s="1"/>
  <c r="IK84" i="39"/>
  <c r="IR119" i="39" s="1"/>
  <c r="LR25" i="67" s="1"/>
  <c r="II81" i="39"/>
  <c r="IL81" i="39"/>
  <c r="IO120" i="39" s="1"/>
  <c r="GC30" i="67" s="1"/>
  <c r="IK81" i="39"/>
  <c r="IO119" i="39" s="1"/>
  <c r="GM25" i="67" s="1"/>
  <c r="II79" i="39"/>
  <c r="IK79" i="39"/>
  <c r="IM119" i="39" s="1"/>
  <c r="DA25" i="67" s="1"/>
  <c r="IL79" i="39"/>
  <c r="IM120" i="39" s="1"/>
  <c r="CQ30" i="67" s="1"/>
  <c r="IK82" i="39"/>
  <c r="IP119" i="39" s="1"/>
  <c r="IF25" i="67" s="1"/>
  <c r="IL82" i="39"/>
  <c r="IP120" i="39" s="1"/>
  <c r="HV30" i="67" s="1"/>
  <c r="JV46" i="39"/>
  <c r="NW292" i="39" s="1"/>
  <c r="IP117" i="39"/>
  <c r="HV21" i="67" s="1"/>
  <c r="AO20" i="22"/>
  <c r="IM117" i="39"/>
  <c r="CQ21" i="67" s="1"/>
  <c r="BE20" i="22"/>
  <c r="IO117" i="39"/>
  <c r="GC21" i="67" s="1"/>
  <c r="BU20" i="22"/>
  <c r="IQ117" i="39"/>
  <c r="JO21" i="67" s="1"/>
  <c r="IR117" i="39"/>
  <c r="LH21" i="67" s="1"/>
  <c r="AW20" i="22"/>
  <c r="IN117" i="39"/>
  <c r="EJ21" i="67" s="1"/>
  <c r="NR346" i="39"/>
  <c r="AX66" i="54" s="1"/>
  <c r="II42" i="39"/>
  <c r="IJ42" i="39" s="1"/>
  <c r="IJ43" i="39" s="1"/>
  <c r="II84" i="39"/>
  <c r="IK59" i="39"/>
  <c r="II40" i="39"/>
  <c r="IK40" i="39" s="1"/>
  <c r="IK41" i="39" s="1"/>
  <c r="IK62" i="39"/>
  <c r="BM123" i="41" s="1"/>
  <c r="II45" i="39"/>
  <c r="II43" i="39"/>
  <c r="IK63" i="39"/>
  <c r="BU123" i="41" s="1"/>
  <c r="II44" i="39"/>
  <c r="IJ44" i="39" s="1"/>
  <c r="IJ45" i="39" s="1"/>
  <c r="IK60" i="39"/>
  <c r="II41" i="39"/>
  <c r="IK61" i="39"/>
  <c r="II82" i="39"/>
  <c r="BM20" i="22"/>
  <c r="CC20" i="22"/>
  <c r="CU87" i="43"/>
  <c r="BF55" i="54"/>
  <c r="BF57" i="54"/>
  <c r="BF91" i="54"/>
  <c r="BF64" i="54"/>
  <c r="CD78" i="54"/>
  <c r="CD57" i="54"/>
  <c r="CD64" i="54"/>
  <c r="CD91" i="54"/>
  <c r="BV55" i="54"/>
  <c r="BV91" i="54"/>
  <c r="BV78" i="54"/>
  <c r="BV64" i="54"/>
  <c r="BV80" i="54"/>
  <c r="BV57" i="54"/>
  <c r="AH43" i="54"/>
  <c r="AH64" i="54"/>
  <c r="AH80" i="54"/>
  <c r="AH66" i="54"/>
  <c r="AH78" i="54"/>
  <c r="AH91" i="54"/>
  <c r="AH57" i="54"/>
  <c r="AH55" i="54"/>
  <c r="BN64" i="54"/>
  <c r="BN80" i="54"/>
  <c r="BN66" i="54"/>
  <c r="BN91" i="54"/>
  <c r="BN78" i="54"/>
  <c r="BN57" i="54"/>
  <c r="BN55" i="54"/>
  <c r="AP127" i="54"/>
  <c r="AP80" i="54"/>
  <c r="AP91" i="54"/>
  <c r="AP55" i="54"/>
  <c r="AP66" i="54"/>
  <c r="AP64" i="54"/>
  <c r="AP78" i="54"/>
  <c r="AP57" i="54"/>
  <c r="BV136" i="54"/>
  <c r="BV138" i="54"/>
  <c r="BV129" i="54"/>
  <c r="BN127" i="54"/>
  <c r="BN36" i="54"/>
  <c r="BN34" i="54"/>
  <c r="BN116" i="54"/>
  <c r="BN98" i="54"/>
  <c r="BN105" i="54"/>
  <c r="BN114" i="54"/>
  <c r="BN89" i="54"/>
  <c r="BN76" i="54"/>
  <c r="BN107" i="54"/>
  <c r="BN87" i="54"/>
  <c r="BN138" i="54"/>
  <c r="BN136" i="54"/>
  <c r="BN45" i="54"/>
  <c r="BN129" i="54"/>
  <c r="BN43" i="54"/>
  <c r="BN120" i="54"/>
  <c r="CD127" i="54"/>
  <c r="CD36" i="54"/>
  <c r="CD116" i="54"/>
  <c r="CD98" i="54"/>
  <c r="CD114" i="54"/>
  <c r="CD89" i="54"/>
  <c r="CD138" i="54"/>
  <c r="CD105" i="54"/>
  <c r="CD107" i="54"/>
  <c r="CD87" i="54"/>
  <c r="CD76" i="54"/>
  <c r="CD136" i="54"/>
  <c r="CD45" i="54"/>
  <c r="CD34" i="54"/>
  <c r="CD129" i="54"/>
  <c r="CD43" i="54"/>
  <c r="CD120" i="54"/>
  <c r="BF114" i="54"/>
  <c r="BF89" i="54"/>
  <c r="BF138" i="54"/>
  <c r="BF105" i="54"/>
  <c r="BF76" i="54"/>
  <c r="BF43" i="54"/>
  <c r="BF136" i="54"/>
  <c r="BF45" i="54"/>
  <c r="BF36" i="54"/>
  <c r="BF129" i="54"/>
  <c r="BF127" i="54"/>
  <c r="BF120" i="54"/>
  <c r="BF34" i="54"/>
  <c r="BF87" i="54"/>
  <c r="BF116" i="54"/>
  <c r="BF98" i="54"/>
  <c r="BF107" i="54"/>
  <c r="BV105" i="54"/>
  <c r="BV76" i="54"/>
  <c r="BV45" i="54"/>
  <c r="BV43" i="54"/>
  <c r="BV116" i="54"/>
  <c r="BV127" i="54"/>
  <c r="BV36" i="54"/>
  <c r="BV98" i="54"/>
  <c r="BV120" i="54"/>
  <c r="BV34" i="54"/>
  <c r="BV114" i="54"/>
  <c r="BV89" i="54"/>
  <c r="BV107" i="54"/>
  <c r="BV87" i="54"/>
  <c r="AP45" i="54"/>
  <c r="AP136" i="54"/>
  <c r="AP129" i="54"/>
  <c r="AP76" i="54"/>
  <c r="AP138" i="54"/>
  <c r="AH36" i="54"/>
  <c r="AP98" i="54"/>
  <c r="AH129" i="54"/>
  <c r="AP116" i="54"/>
  <c r="AP34" i="54"/>
  <c r="AH76" i="54"/>
  <c r="AH87" i="54"/>
  <c r="AH105" i="54"/>
  <c r="AP107" i="54"/>
  <c r="AH98" i="54"/>
  <c r="AH138" i="54"/>
  <c r="AP105" i="54"/>
  <c r="AP120" i="54"/>
  <c r="AH120" i="54"/>
  <c r="AP43" i="54"/>
  <c r="AP89" i="54"/>
  <c r="AP36" i="54"/>
  <c r="AP114" i="54"/>
  <c r="AH116" i="54"/>
  <c r="AH45" i="54"/>
  <c r="AH107" i="54"/>
  <c r="AH34" i="54"/>
  <c r="AH89" i="54"/>
  <c r="AH136" i="54"/>
  <c r="AH114" i="54"/>
  <c r="AH127" i="54"/>
  <c r="AP87" i="54"/>
  <c r="NR349" i="39"/>
  <c r="BG30" i="43" s="1"/>
  <c r="NR354" i="39"/>
  <c r="BG52" i="43" s="1"/>
  <c r="NP278" i="39"/>
  <c r="NP354" i="39"/>
  <c r="AQ52" i="43" s="1"/>
  <c r="NS278" i="39"/>
  <c r="NS354" i="39"/>
  <c r="BO52" i="43" s="1"/>
  <c r="NQ278" i="39"/>
  <c r="NQ354" i="39"/>
  <c r="AY52" i="43" s="1"/>
  <c r="NV278" i="39"/>
  <c r="NV354" i="39"/>
  <c r="CM52" i="43" s="1"/>
  <c r="NT351" i="39"/>
  <c r="BW41" i="43" s="1"/>
  <c r="NT354" i="39"/>
  <c r="BW52" i="43" s="1"/>
  <c r="NU278" i="39"/>
  <c r="NU354" i="39"/>
  <c r="CE52" i="43" s="1"/>
  <c r="AW145" i="41"/>
  <c r="AW49" i="41"/>
  <c r="AW149" i="41"/>
  <c r="AW27" i="41"/>
  <c r="AW151" i="41"/>
  <c r="AW25" i="41"/>
  <c r="AW147" i="41"/>
  <c r="AW51" i="41"/>
  <c r="AW143" i="41"/>
  <c r="AW43" i="41"/>
  <c r="AW139" i="41"/>
  <c r="AY143" i="41" s="1"/>
  <c r="AW41" i="41"/>
  <c r="AW33" i="41"/>
  <c r="BU147" i="41"/>
  <c r="BU51" i="41"/>
  <c r="BU49" i="41"/>
  <c r="BU33" i="41"/>
  <c r="BU145" i="41"/>
  <c r="BU143" i="41"/>
  <c r="BU43" i="41"/>
  <c r="BU139" i="41"/>
  <c r="BW143" i="41" s="1"/>
  <c r="BU41" i="41"/>
  <c r="BU149" i="41"/>
  <c r="BU27" i="41"/>
  <c r="BU151" i="41"/>
  <c r="BU25" i="41"/>
  <c r="CC145" i="41"/>
  <c r="CC49" i="41"/>
  <c r="CC143" i="41"/>
  <c r="CC43" i="41"/>
  <c r="CC51" i="41"/>
  <c r="CC139" i="41"/>
  <c r="CE143" i="41" s="1"/>
  <c r="CC41" i="41"/>
  <c r="CC33" i="41"/>
  <c r="CC153" i="41"/>
  <c r="CC149" i="41"/>
  <c r="CC27" i="41"/>
  <c r="CC151" i="41"/>
  <c r="CC25" i="41"/>
  <c r="CC147" i="41"/>
  <c r="AG139" i="41"/>
  <c r="AI143" i="41" s="1"/>
  <c r="AG41" i="41"/>
  <c r="AG33" i="41"/>
  <c r="AG149" i="41"/>
  <c r="AG27" i="41"/>
  <c r="AG151" i="41"/>
  <c r="AG25" i="41"/>
  <c r="AG143" i="41"/>
  <c r="AG147" i="41"/>
  <c r="AG51" i="41"/>
  <c r="AG145" i="41"/>
  <c r="AG49" i="41"/>
  <c r="AG43" i="41"/>
  <c r="BM151" i="41"/>
  <c r="BM25" i="41"/>
  <c r="BM147" i="41"/>
  <c r="BM43" i="41"/>
  <c r="BM27" i="41"/>
  <c r="BM51" i="41"/>
  <c r="BM139" i="41"/>
  <c r="BO143" i="41" s="1"/>
  <c r="BM41" i="41"/>
  <c r="BM145" i="41"/>
  <c r="BM49" i="41"/>
  <c r="BM143" i="41"/>
  <c r="BM33" i="41"/>
  <c r="BM149" i="41"/>
  <c r="AO33" i="41"/>
  <c r="AO25" i="41"/>
  <c r="AO147" i="41"/>
  <c r="AO51" i="41"/>
  <c r="AO41" i="41"/>
  <c r="AO149" i="41"/>
  <c r="AO27" i="41"/>
  <c r="AO151" i="41"/>
  <c r="AO145" i="41"/>
  <c r="AO49" i="41"/>
  <c r="AO143" i="41"/>
  <c r="AO43" i="41"/>
  <c r="AO139" i="41"/>
  <c r="AQ143" i="41" s="1"/>
  <c r="BE149" i="41"/>
  <c r="BE27" i="41"/>
  <c r="BE151" i="41"/>
  <c r="BE25" i="41"/>
  <c r="BE49" i="41"/>
  <c r="BE147" i="41"/>
  <c r="BE51" i="41"/>
  <c r="BE145" i="41"/>
  <c r="BE143" i="41"/>
  <c r="BE43" i="41"/>
  <c r="BE139" i="41"/>
  <c r="BG143" i="41" s="1"/>
  <c r="BE41" i="41"/>
  <c r="BE33" i="41"/>
  <c r="BE50" i="43"/>
  <c r="BE48" i="43"/>
  <c r="BE68" i="43"/>
  <c r="BE77" i="43"/>
  <c r="BE75" i="43"/>
  <c r="BE30" i="43"/>
  <c r="BE28" i="43"/>
  <c r="BE61" i="43"/>
  <c r="AO68" i="43"/>
  <c r="AO28" i="43"/>
  <c r="AO61" i="43"/>
  <c r="AO50" i="43"/>
  <c r="AO30" i="43"/>
  <c r="AO48" i="43"/>
  <c r="AO75" i="43"/>
  <c r="AO77" i="43"/>
  <c r="CK77" i="43"/>
  <c r="CK75" i="43"/>
  <c r="CK30" i="43"/>
  <c r="CK68" i="43"/>
  <c r="CK28" i="43"/>
  <c r="CK61" i="43"/>
  <c r="CK50" i="43"/>
  <c r="CK48" i="43"/>
  <c r="BU48" i="43"/>
  <c r="BU77" i="43"/>
  <c r="BU75" i="43"/>
  <c r="BU30" i="43"/>
  <c r="BU50" i="43"/>
  <c r="BU68" i="43"/>
  <c r="BU28" i="43"/>
  <c r="BU61" i="43"/>
  <c r="AW28" i="43"/>
  <c r="AW61" i="43"/>
  <c r="AW50" i="43"/>
  <c r="AW48" i="43"/>
  <c r="AW30" i="43"/>
  <c r="AW68" i="43"/>
  <c r="AW75" i="43"/>
  <c r="AW77" i="43"/>
  <c r="BM50" i="43"/>
  <c r="BM48" i="43"/>
  <c r="BM77" i="43"/>
  <c r="BM75" i="43"/>
  <c r="BM30" i="43"/>
  <c r="BM68" i="43"/>
  <c r="BM28" i="43"/>
  <c r="BM61" i="43"/>
  <c r="CC77" i="43"/>
  <c r="CC75" i="43"/>
  <c r="CC30" i="43"/>
  <c r="CC68" i="43"/>
  <c r="CC28" i="43"/>
  <c r="CC61" i="43"/>
  <c r="CC50" i="43"/>
  <c r="CC48" i="43"/>
  <c r="NO279" i="39"/>
  <c r="NU330" i="39"/>
  <c r="CM44" i="27" s="1"/>
  <c r="NU344" i="39"/>
  <c r="CG71" i="42" s="1"/>
  <c r="NU283" i="39"/>
  <c r="BW43" i="41" s="1"/>
  <c r="NU284" i="39"/>
  <c r="BW61" i="41" s="1"/>
  <c r="NU358" i="39"/>
  <c r="CE77" i="43" s="1"/>
  <c r="NU280" i="39"/>
  <c r="NU355" i="39"/>
  <c r="CE61" i="43" s="1"/>
  <c r="NU337" i="39"/>
  <c r="CG44" i="42" s="1"/>
  <c r="NU353" i="39"/>
  <c r="NU287" i="39"/>
  <c r="BW67" i="41" s="1"/>
  <c r="NU335" i="39"/>
  <c r="CG32" i="42" s="1"/>
  <c r="NU356" i="39"/>
  <c r="CE68" i="43" s="1"/>
  <c r="NU359" i="39"/>
  <c r="CE87" i="43" s="1"/>
  <c r="NU342" i="39"/>
  <c r="CG57" i="42" s="1"/>
  <c r="NU331" i="39"/>
  <c r="BV78" i="15" s="1"/>
  <c r="NU336" i="39"/>
  <c r="CG42" i="42" s="1"/>
  <c r="NU334" i="39"/>
  <c r="CG28" i="42" s="1"/>
  <c r="NU350" i="39"/>
  <c r="CE39" i="43" s="1"/>
  <c r="NU288" i="39"/>
  <c r="BW69" i="41" s="1"/>
  <c r="NU281" i="39"/>
  <c r="BW51" i="41" s="1"/>
  <c r="NU279" i="39"/>
  <c r="BW27" i="41" s="1"/>
  <c r="NU285" i="39"/>
  <c r="BW63" i="41" s="1"/>
  <c r="NU286" i="39"/>
  <c r="BW65" i="41" s="1"/>
  <c r="NU326" i="39"/>
  <c r="NU333" i="39"/>
  <c r="CG26" i="42" s="1"/>
  <c r="NU352" i="39"/>
  <c r="CE48" i="43" s="1"/>
  <c r="NU266" i="39"/>
  <c r="NU298" i="39" s="1"/>
  <c r="NU357" i="39"/>
  <c r="CE75" i="43" s="1"/>
  <c r="NU348" i="39"/>
  <c r="CE28" i="43" s="1"/>
  <c r="NU341" i="39"/>
  <c r="CG55" i="42" s="1"/>
  <c r="NU351" i="39"/>
  <c r="CE41" i="43" s="1"/>
  <c r="NU327" i="39"/>
  <c r="CM28" i="27" s="1"/>
  <c r="NU340" i="39"/>
  <c r="CG53" i="42" s="1"/>
  <c r="NU329" i="39"/>
  <c r="CM34" i="27" s="1"/>
  <c r="NU338" i="39"/>
  <c r="CG46" i="42" s="1"/>
  <c r="NU289" i="39"/>
  <c r="BW71" i="41" s="1"/>
  <c r="NO331" i="39"/>
  <c r="AQ54" i="27" s="1"/>
  <c r="NU282" i="39"/>
  <c r="BW41" i="41" s="1"/>
  <c r="CM79" i="41"/>
  <c r="NW305" i="39"/>
  <c r="CC92" i="41"/>
  <c r="BM92" i="41"/>
  <c r="BU92" i="41"/>
  <c r="BO40" i="26"/>
  <c r="AI40" i="26"/>
  <c r="NP328" i="39"/>
  <c r="AY31" i="27" s="1"/>
  <c r="NO353" i="39"/>
  <c r="NO283" i="39"/>
  <c r="AA43" i="41" s="1"/>
  <c r="NQ326" i="39"/>
  <c r="AR42" i="52" s="1"/>
  <c r="NR342" i="39"/>
  <c r="BI57" i="42" s="1"/>
  <c r="NQ340" i="39"/>
  <c r="BA53" i="42" s="1"/>
  <c r="NQ327" i="39"/>
  <c r="BG28" i="27" s="1"/>
  <c r="NQ356" i="39"/>
  <c r="AY68" i="43" s="1"/>
  <c r="NQ341" i="39"/>
  <c r="BA55" i="42" s="1"/>
  <c r="NR266" i="39"/>
  <c r="NR298" i="39" s="1"/>
  <c r="NQ336" i="39"/>
  <c r="BA42" i="42" s="1"/>
  <c r="NR355" i="39"/>
  <c r="BG61" i="43" s="1"/>
  <c r="NR327" i="39"/>
  <c r="BO28" i="27" s="1"/>
  <c r="NQ337" i="39"/>
  <c r="BA44" i="42" s="1"/>
  <c r="NR348" i="39"/>
  <c r="BG28" i="43" s="1"/>
  <c r="NQ328" i="39"/>
  <c r="BG31" i="27" s="1"/>
  <c r="NR336" i="39"/>
  <c r="BI42" i="42" s="1"/>
  <c r="NQ283" i="39"/>
  <c r="AQ43" i="41" s="1"/>
  <c r="NR285" i="39"/>
  <c r="AY63" i="41" s="1"/>
  <c r="NR326" i="39"/>
  <c r="NQ351" i="39"/>
  <c r="AY41" i="43" s="1"/>
  <c r="NR337" i="39"/>
  <c r="BI44" i="42" s="1"/>
  <c r="NS341" i="39"/>
  <c r="BQ55" i="42" s="1"/>
  <c r="NS336" i="39"/>
  <c r="BQ42" i="42" s="1"/>
  <c r="NV338" i="39"/>
  <c r="CO46" i="42" s="1"/>
  <c r="NV288" i="39"/>
  <c r="CE69" i="41" s="1"/>
  <c r="NV344" i="39"/>
  <c r="CO71" i="42" s="1"/>
  <c r="NV333" i="39"/>
  <c r="CO26" i="42" s="1"/>
  <c r="NV330" i="39"/>
  <c r="CU44" i="27" s="1"/>
  <c r="AO28" i="27"/>
  <c r="NV356" i="39"/>
  <c r="CM68" i="43" s="1"/>
  <c r="Y214" i="41"/>
  <c r="NV282" i="39"/>
  <c r="CE41" i="41" s="1"/>
  <c r="NV350" i="39"/>
  <c r="CM39" i="43" s="1"/>
  <c r="NT333" i="39"/>
  <c r="BY26" i="42" s="1"/>
  <c r="NR278" i="39"/>
  <c r="NQ355" i="39"/>
  <c r="AY61" i="43" s="1"/>
  <c r="NV335" i="39"/>
  <c r="CO32" i="42" s="1"/>
  <c r="NV340" i="39"/>
  <c r="CO53" i="42" s="1"/>
  <c r="NV341" i="39"/>
  <c r="CO55" i="42" s="1"/>
  <c r="NR331" i="39"/>
  <c r="AX78" i="15" s="1"/>
  <c r="NQ279" i="39"/>
  <c r="NQ286" i="39"/>
  <c r="AQ65" i="41" s="1"/>
  <c r="NV355" i="39"/>
  <c r="CM61" i="43" s="1"/>
  <c r="NR358" i="39"/>
  <c r="BG77" i="43" s="1"/>
  <c r="NU328" i="39"/>
  <c r="CM31" i="27" s="1"/>
  <c r="NQ344" i="39"/>
  <c r="BA71" i="42" s="1"/>
  <c r="NQ350" i="39"/>
  <c r="AY39" i="43" s="1"/>
  <c r="NQ330" i="39"/>
  <c r="BG44" i="27" s="1"/>
  <c r="NQ287" i="39"/>
  <c r="AQ67" i="41" s="1"/>
  <c r="NV329" i="39"/>
  <c r="CU34" i="27" s="1"/>
  <c r="NV286" i="39"/>
  <c r="CE65" i="41" s="1"/>
  <c r="NV283" i="39"/>
  <c r="CE43" i="41" s="1"/>
  <c r="NV287" i="39"/>
  <c r="CE67" i="41" s="1"/>
  <c r="NV327" i="39"/>
  <c r="CU28" i="27" s="1"/>
  <c r="NV351" i="39"/>
  <c r="CM41" i="43" s="1"/>
  <c r="NR356" i="39"/>
  <c r="BG68" i="43" s="1"/>
  <c r="NT328" i="39"/>
  <c r="CE31" i="27" s="1"/>
  <c r="NR280" i="39"/>
  <c r="NR341" i="39"/>
  <c r="BI55" i="42" s="1"/>
  <c r="NQ333" i="39"/>
  <c r="BA26" i="42" s="1"/>
  <c r="NQ289" i="39"/>
  <c r="AQ71" i="41" s="1"/>
  <c r="NQ338" i="39"/>
  <c r="BA46" i="42" s="1"/>
  <c r="NQ288" i="39"/>
  <c r="AQ69" i="41" s="1"/>
  <c r="NQ280" i="39"/>
  <c r="NV279" i="39"/>
  <c r="CE27" i="41" s="1"/>
  <c r="NV348" i="39"/>
  <c r="CM28" i="43" s="1"/>
  <c r="NQ285" i="39"/>
  <c r="AQ63" i="41" s="1"/>
  <c r="NV359" i="39"/>
  <c r="CM87" i="43" s="1"/>
  <c r="NQ266" i="39"/>
  <c r="NQ298" i="39" s="1"/>
  <c r="NR359" i="39"/>
  <c r="BG91" i="43" s="1"/>
  <c r="NR279" i="39"/>
  <c r="NR334" i="39"/>
  <c r="BI28" i="42" s="1"/>
  <c r="NT284" i="39"/>
  <c r="BO61" i="41" s="1"/>
  <c r="NR284" i="39"/>
  <c r="AY61" i="41" s="1"/>
  <c r="NQ314" i="39"/>
  <c r="NQ281" i="39"/>
  <c r="AQ51" i="41" s="1"/>
  <c r="NQ342" i="39"/>
  <c r="BA57" i="42" s="1"/>
  <c r="NQ352" i="39"/>
  <c r="AY48" i="43" s="1"/>
  <c r="NQ329" i="39"/>
  <c r="BG34" i="27" s="1"/>
  <c r="NQ334" i="39"/>
  <c r="BA28" i="42" s="1"/>
  <c r="NQ284" i="39"/>
  <c r="AQ61" i="41" s="1"/>
  <c r="NV281" i="39"/>
  <c r="CE51" i="41" s="1"/>
  <c r="NV337" i="39"/>
  <c r="CO44" i="42" s="1"/>
  <c r="NV334" i="39"/>
  <c r="CO28" i="42" s="1"/>
  <c r="NR329" i="39"/>
  <c r="BO34" i="27" s="1"/>
  <c r="NR353" i="39"/>
  <c r="NR340" i="39"/>
  <c r="BI53" i="42" s="1"/>
  <c r="NR351" i="39"/>
  <c r="BG41" i="43" s="1"/>
  <c r="NQ353" i="39"/>
  <c r="NQ331" i="39"/>
  <c r="BG58" i="27" s="1"/>
  <c r="NQ357" i="39"/>
  <c r="AY75" i="43" s="1"/>
  <c r="NQ359" i="39"/>
  <c r="AY87" i="43" s="1"/>
  <c r="NQ335" i="39"/>
  <c r="BA32" i="42" s="1"/>
  <c r="NV326" i="39"/>
  <c r="CF42" i="52" s="1"/>
  <c r="NV357" i="39"/>
  <c r="CM75" i="43" s="1"/>
  <c r="NV328" i="39"/>
  <c r="CU31" i="27" s="1"/>
  <c r="NV342" i="39"/>
  <c r="CO57" i="42" s="1"/>
  <c r="NV285" i="39"/>
  <c r="CE63" i="41" s="1"/>
  <c r="NV280" i="39"/>
  <c r="NR281" i="39"/>
  <c r="AY51" i="41" s="1"/>
  <c r="NT286" i="39"/>
  <c r="BO65" i="41" s="1"/>
  <c r="NR344" i="39"/>
  <c r="BI67" i="42" s="1"/>
  <c r="NR287" i="39"/>
  <c r="AY67" i="41" s="1"/>
  <c r="NR289" i="39"/>
  <c r="AY71" i="41" s="1"/>
  <c r="NV266" i="39"/>
  <c r="NV298" i="39" s="1"/>
  <c r="NQ358" i="39"/>
  <c r="AY77" i="43" s="1"/>
  <c r="NQ282" i="39"/>
  <c r="AQ41" i="41" s="1"/>
  <c r="NQ348" i="39"/>
  <c r="AY28" i="43" s="1"/>
  <c r="NV353" i="39"/>
  <c r="NV289" i="39"/>
  <c r="CE71" i="41" s="1"/>
  <c r="NV284" i="39"/>
  <c r="CE61" i="41" s="1"/>
  <c r="NV331" i="39"/>
  <c r="CU54" i="27" s="1"/>
  <c r="NV358" i="39"/>
  <c r="CM77" i="43" s="1"/>
  <c r="NV336" i="39"/>
  <c r="CO42" i="42" s="1"/>
  <c r="NV352" i="39"/>
  <c r="CM48" i="43" s="1"/>
  <c r="NR328" i="39"/>
  <c r="BO31" i="27" s="1"/>
  <c r="NR282" i="39"/>
  <c r="AY41" i="41" s="1"/>
  <c r="NR335" i="39"/>
  <c r="BI32" i="42" s="1"/>
  <c r="NR330" i="39"/>
  <c r="BO44" i="27" s="1"/>
  <c r="NR288" i="39"/>
  <c r="AY69" i="41" s="1"/>
  <c r="NP338" i="39"/>
  <c r="AS46" i="42" s="1"/>
  <c r="NS283" i="39"/>
  <c r="BG43" i="41" s="1"/>
  <c r="NS356" i="39"/>
  <c r="BO68" i="43" s="1"/>
  <c r="NR283" i="39"/>
  <c r="AY43" i="41" s="1"/>
  <c r="NR338" i="39"/>
  <c r="BI46" i="42" s="1"/>
  <c r="NQ349" i="39"/>
  <c r="AY30" i="43" s="1"/>
  <c r="NP281" i="39"/>
  <c r="AI51" i="41" s="1"/>
  <c r="NS353" i="39"/>
  <c r="NP335" i="39"/>
  <c r="AS32" i="42" s="1"/>
  <c r="NS327" i="39"/>
  <c r="BW28" i="27" s="1"/>
  <c r="NS285" i="39"/>
  <c r="BG63" i="41" s="1"/>
  <c r="NP288" i="39"/>
  <c r="AI69" i="41" s="1"/>
  <c r="NP340" i="39"/>
  <c r="AS53" i="42" s="1"/>
  <c r="NS284" i="39"/>
  <c r="BG61" i="41" s="1"/>
  <c r="NR357" i="39"/>
  <c r="BG75" i="43" s="1"/>
  <c r="NP349" i="39"/>
  <c r="AQ30" i="43" s="1"/>
  <c r="NS342" i="39"/>
  <c r="BQ57" i="42" s="1"/>
  <c r="NP336" i="39"/>
  <c r="AS42" i="42" s="1"/>
  <c r="NS330" i="39"/>
  <c r="BW44" i="27" s="1"/>
  <c r="NS349" i="39"/>
  <c r="BO30" i="43" s="1"/>
  <c r="NP330" i="39"/>
  <c r="AY44" i="27" s="1"/>
  <c r="NP359" i="39"/>
  <c r="AQ91" i="43" s="1"/>
  <c r="NS328" i="39"/>
  <c r="BW31" i="27" s="1"/>
  <c r="NP358" i="39"/>
  <c r="AQ77" i="43" s="1"/>
  <c r="NP350" i="39"/>
  <c r="AQ39" i="43" s="1"/>
  <c r="NS286" i="39"/>
  <c r="BG65" i="41" s="1"/>
  <c r="NS333" i="39"/>
  <c r="BQ26" i="42" s="1"/>
  <c r="NS352" i="39"/>
  <c r="BO48" i="43" s="1"/>
  <c r="NR286" i="39"/>
  <c r="AY65" i="41" s="1"/>
  <c r="NR333" i="39"/>
  <c r="BI26" i="42" s="1"/>
  <c r="NR350" i="39"/>
  <c r="BG39" i="43" s="1"/>
  <c r="NU314" i="39"/>
  <c r="NP356" i="39"/>
  <c r="AQ68" i="43" s="1"/>
  <c r="NP337" i="39"/>
  <c r="AS44" i="42" s="1"/>
  <c r="NS280" i="39"/>
  <c r="NS338" i="39"/>
  <c r="BQ46" i="42" s="1"/>
  <c r="NP287" i="39"/>
  <c r="AI67" i="41" s="1"/>
  <c r="NS331" i="39"/>
  <c r="BF78" i="15" s="1"/>
  <c r="NP329" i="39"/>
  <c r="AY34" i="27" s="1"/>
  <c r="NP352" i="39"/>
  <c r="AQ48" i="43" s="1"/>
  <c r="NP344" i="39"/>
  <c r="AS71" i="42" s="1"/>
  <c r="NP357" i="39"/>
  <c r="AQ75" i="43" s="1"/>
  <c r="NS326" i="39"/>
  <c r="NV314" i="39"/>
  <c r="NP334" i="39"/>
  <c r="AS28" i="42" s="1"/>
  <c r="NP351" i="39"/>
  <c r="AQ41" i="43" s="1"/>
  <c r="NP333" i="39"/>
  <c r="AS26" i="42" s="1"/>
  <c r="NS288" i="39"/>
  <c r="BG69" i="41" s="1"/>
  <c r="NS282" i="39"/>
  <c r="BG41" i="41" s="1"/>
  <c r="NS287" i="39"/>
  <c r="BG67" i="41" s="1"/>
  <c r="NP285" i="39"/>
  <c r="AI63" i="41" s="1"/>
  <c r="NS329" i="39"/>
  <c r="BW34" i="27" s="1"/>
  <c r="NS344" i="39"/>
  <c r="BQ67" i="42" s="1"/>
  <c r="NU349" i="39"/>
  <c r="CE30" i="43" s="1"/>
  <c r="NR314" i="39"/>
  <c r="NP331" i="39"/>
  <c r="AH78" i="15" s="1"/>
  <c r="NP284" i="39"/>
  <c r="AI61" i="41" s="1"/>
  <c r="NP282" i="39"/>
  <c r="AI41" i="41" s="1"/>
  <c r="NS337" i="39"/>
  <c r="BQ44" i="42" s="1"/>
  <c r="NS359" i="39"/>
  <c r="BO91" i="43" s="1"/>
  <c r="NS335" i="39"/>
  <c r="BQ32" i="42" s="1"/>
  <c r="NP326" i="39"/>
  <c r="AJ42" i="52" s="1"/>
  <c r="NS340" i="39"/>
  <c r="BQ53" i="42" s="1"/>
  <c r="NS348" i="39"/>
  <c r="BO28" i="43" s="1"/>
  <c r="NS350" i="39"/>
  <c r="BO39" i="43" s="1"/>
  <c r="NP266" i="39"/>
  <c r="NP313" i="39" s="1"/>
  <c r="NP327" i="39"/>
  <c r="AY28" i="27" s="1"/>
  <c r="NP348" i="39"/>
  <c r="AQ28" i="43" s="1"/>
  <c r="NP280" i="39"/>
  <c r="NS357" i="39"/>
  <c r="BO75" i="43" s="1"/>
  <c r="NS334" i="39"/>
  <c r="BQ28" i="42" s="1"/>
  <c r="NS281" i="39"/>
  <c r="BG51" i="41" s="1"/>
  <c r="NP341" i="39"/>
  <c r="AS55" i="42" s="1"/>
  <c r="NP342" i="39"/>
  <c r="AS57" i="42" s="1"/>
  <c r="NS355" i="39"/>
  <c r="BO61" i="43" s="1"/>
  <c r="NP355" i="39"/>
  <c r="AQ61" i="43" s="1"/>
  <c r="NV349" i="39"/>
  <c r="CM30" i="43" s="1"/>
  <c r="NS314" i="39"/>
  <c r="BG20" i="22" s="1"/>
  <c r="NP279" i="39"/>
  <c r="NP289" i="39"/>
  <c r="AI71" i="41" s="1"/>
  <c r="NS279" i="39"/>
  <c r="BG27" i="41" s="1"/>
  <c r="NS289" i="39"/>
  <c r="BG71" i="41" s="1"/>
  <c r="NS266" i="39"/>
  <c r="NS298" i="39" s="1"/>
  <c r="NP353" i="39"/>
  <c r="NP286" i="39"/>
  <c r="AI65" i="41" s="1"/>
  <c r="NS358" i="39"/>
  <c r="BO77" i="43" s="1"/>
  <c r="NS351" i="39"/>
  <c r="BO41" i="43" s="1"/>
  <c r="NR352" i="39"/>
  <c r="BG48" i="43" s="1"/>
  <c r="NO284" i="39"/>
  <c r="AA61" i="41" s="1"/>
  <c r="NO334" i="39"/>
  <c r="AK28" i="42" s="1"/>
  <c r="NO356" i="39"/>
  <c r="AI68" i="43" s="1"/>
  <c r="NT338" i="39"/>
  <c r="BY46" i="42" s="1"/>
  <c r="NT334" i="39"/>
  <c r="BY28" i="42" s="1"/>
  <c r="NT357" i="39"/>
  <c r="BW75" i="43" s="1"/>
  <c r="NO342" i="39"/>
  <c r="AK57" i="42" s="1"/>
  <c r="NO327" i="39"/>
  <c r="AQ28" i="27" s="1"/>
  <c r="NO358" i="39"/>
  <c r="AI77" i="43" s="1"/>
  <c r="NO287" i="39"/>
  <c r="AA67" i="41" s="1"/>
  <c r="NO333" i="39"/>
  <c r="AK26" i="42" s="1"/>
  <c r="NO351" i="39"/>
  <c r="AI41" i="43" s="1"/>
  <c r="NT359" i="39"/>
  <c r="BW91" i="43" s="1"/>
  <c r="NT280" i="39"/>
  <c r="NT281" i="39"/>
  <c r="BO51" i="41" s="1"/>
  <c r="NT329" i="39"/>
  <c r="CE34" i="27" s="1"/>
  <c r="NO341" i="39"/>
  <c r="AK55" i="42" s="1"/>
  <c r="NT314" i="39"/>
  <c r="BO20" i="22" s="1"/>
  <c r="NO314" i="39"/>
  <c r="NO352" i="39"/>
  <c r="AI48" i="43" s="1"/>
  <c r="NO286" i="39"/>
  <c r="AA65" i="41" s="1"/>
  <c r="NO288" i="39"/>
  <c r="AA69" i="41" s="1"/>
  <c r="NT355" i="39"/>
  <c r="BW61" i="43" s="1"/>
  <c r="NT330" i="39"/>
  <c r="CE44" i="27" s="1"/>
  <c r="NT356" i="39"/>
  <c r="BW68" i="43" s="1"/>
  <c r="NT288" i="39"/>
  <c r="BO69" i="41" s="1"/>
  <c r="NT336" i="39"/>
  <c r="BY42" i="42" s="1"/>
  <c r="NO338" i="39"/>
  <c r="AK46" i="42" s="1"/>
  <c r="NT278" i="39"/>
  <c r="NO285" i="39"/>
  <c r="AA63" i="41" s="1"/>
  <c r="NO350" i="39"/>
  <c r="AI39" i="43" s="1"/>
  <c r="NT348" i="39"/>
  <c r="BW28" i="43" s="1"/>
  <c r="NT285" i="39"/>
  <c r="BO63" i="41" s="1"/>
  <c r="NT358" i="39"/>
  <c r="BW77" i="43" s="1"/>
  <c r="NT327" i="39"/>
  <c r="CE28" i="27" s="1"/>
  <c r="NO337" i="39"/>
  <c r="AK44" i="42" s="1"/>
  <c r="NO335" i="39"/>
  <c r="AK32" i="42" s="1"/>
  <c r="NO329" i="39"/>
  <c r="AQ34" i="27" s="1"/>
  <c r="NO280" i="39"/>
  <c r="NT341" i="39"/>
  <c r="BY55" i="42" s="1"/>
  <c r="NT335" i="39"/>
  <c r="BY32" i="42" s="1"/>
  <c r="NT337" i="39"/>
  <c r="BY44" i="42" s="1"/>
  <c r="NT352" i="39"/>
  <c r="BW48" i="43" s="1"/>
  <c r="NO344" i="39"/>
  <c r="AK67" i="42" s="1"/>
  <c r="NO281" i="39"/>
  <c r="AA51" i="41" s="1"/>
  <c r="NT349" i="39"/>
  <c r="BW30" i="43" s="1"/>
  <c r="NO330" i="39"/>
  <c r="AQ44" i="27" s="1"/>
  <c r="NO328" i="39"/>
  <c r="AQ31" i="27" s="1"/>
  <c r="NO266" i="39"/>
  <c r="NO298" i="39" s="1"/>
  <c r="NT282" i="39"/>
  <c r="BO41" i="41" s="1"/>
  <c r="NT289" i="39"/>
  <c r="BO71" i="41" s="1"/>
  <c r="NT344" i="39"/>
  <c r="BY71" i="42" s="1"/>
  <c r="NT340" i="39"/>
  <c r="BY53" i="42" s="1"/>
  <c r="NT283" i="39"/>
  <c r="BO43" i="41" s="1"/>
  <c r="NT353" i="39"/>
  <c r="NT331" i="39"/>
  <c r="CE58" i="27" s="1"/>
  <c r="NT326" i="39"/>
  <c r="NO340" i="39"/>
  <c r="AK53" i="42" s="1"/>
  <c r="NT266" i="39"/>
  <c r="NT298" i="39" s="1"/>
  <c r="NO278" i="39"/>
  <c r="NO336" i="39"/>
  <c r="AK42" i="42" s="1"/>
  <c r="NO282" i="39"/>
  <c r="NO355" i="39"/>
  <c r="AI61" i="43" s="1"/>
  <c r="NO326" i="39"/>
  <c r="AB42" i="52" s="1"/>
  <c r="NT279" i="39"/>
  <c r="BO27" i="41" s="1"/>
  <c r="NT342" i="39"/>
  <c r="BY57" i="42" s="1"/>
  <c r="NT287" i="39"/>
  <c r="BO67" i="41" s="1"/>
  <c r="NT350" i="39"/>
  <c r="BW39" i="43" s="1"/>
  <c r="NO349" i="39"/>
  <c r="AI30" i="43" s="1"/>
  <c r="NP314" i="39"/>
  <c r="AI44" i="42"/>
  <c r="AI57" i="42"/>
  <c r="AI28" i="42"/>
  <c r="AO58" i="27"/>
  <c r="AI46" i="42"/>
  <c r="AI71" i="42"/>
  <c r="AO34" i="27"/>
  <c r="AO26" i="27"/>
  <c r="AO54" i="27"/>
  <c r="AA40" i="26"/>
  <c r="AI53" i="42"/>
  <c r="AI26" i="42"/>
  <c r="CC71" i="41"/>
  <c r="AO31" i="27"/>
  <c r="AO44" i="27"/>
  <c r="AI42" i="42"/>
  <c r="AI55" i="42"/>
  <c r="Y218" i="41"/>
  <c r="AI67" i="42"/>
  <c r="AI32" i="42"/>
  <c r="NO41" i="39"/>
  <c r="AG52" i="43" s="1"/>
  <c r="PQ84" i="39"/>
  <c r="PQ93" i="39" s="1"/>
  <c r="PM93" i="39"/>
  <c r="PP84" i="39"/>
  <c r="PP93" i="39" s="1"/>
  <c r="PL93" i="39"/>
  <c r="PR84" i="39"/>
  <c r="PR93" i="39" s="1"/>
  <c r="PN93" i="39"/>
  <c r="RB84" i="39"/>
  <c r="RA93" i="39"/>
  <c r="RB82" i="39"/>
  <c r="RB91" i="39" s="1"/>
  <c r="RA91" i="39"/>
  <c r="RB78" i="39"/>
  <c r="RB87" i="39" s="1"/>
  <c r="RA87" i="39"/>
  <c r="RB76" i="39"/>
  <c r="RB85" i="39" s="1"/>
  <c r="RA85" i="39"/>
  <c r="RB81" i="39"/>
  <c r="RB90" i="39" s="1"/>
  <c r="RA90" i="39"/>
  <c r="RB79" i="39"/>
  <c r="RA88" i="39"/>
  <c r="RB77" i="39"/>
  <c r="RB86" i="39" s="1"/>
  <c r="RA86" i="39"/>
  <c r="RB80" i="39"/>
  <c r="RB89" i="39" s="1"/>
  <c r="RA89" i="39"/>
  <c r="RB83" i="39"/>
  <c r="RA92" i="39"/>
  <c r="BM71" i="41"/>
  <c r="BU69" i="41"/>
  <c r="BU71" i="41"/>
  <c r="PS84" i="39"/>
  <c r="PS93" i="39" s="1"/>
  <c r="CC69" i="41"/>
  <c r="CC67" i="41"/>
  <c r="CK69" i="41"/>
  <c r="BU67" i="41"/>
  <c r="CK67" i="41"/>
  <c r="CC61" i="41"/>
  <c r="CC65" i="41"/>
  <c r="NO363" i="39"/>
  <c r="AB46" i="52" s="1"/>
  <c r="NV363" i="39"/>
  <c r="CF46" i="52" s="1"/>
  <c r="NU363" i="39"/>
  <c r="BX46" i="52" s="1"/>
  <c r="NP363" i="39"/>
  <c r="AJ46" i="52" s="1"/>
  <c r="QM75" i="39"/>
  <c r="QM84" i="39"/>
  <c r="AQ40" i="26"/>
  <c r="QM71" i="39"/>
  <c r="QM76" i="39"/>
  <c r="QM80" i="39"/>
  <c r="QM67" i="39"/>
  <c r="QM78" i="39"/>
  <c r="QM82" i="39"/>
  <c r="QM69" i="39"/>
  <c r="QN69" i="39" s="1"/>
  <c r="QQ69" i="39" s="1"/>
  <c r="QR69" i="39" s="1"/>
  <c r="QM73" i="39"/>
  <c r="QN73" i="39" s="1"/>
  <c r="QQ73" i="39" s="1"/>
  <c r="QR73" i="39" s="1"/>
  <c r="RB75" i="39"/>
  <c r="RW75" i="39" s="1"/>
  <c r="RX75" i="39" s="1"/>
  <c r="QM68" i="39"/>
  <c r="QN68" i="39" s="1"/>
  <c r="QQ68" i="39" s="1"/>
  <c r="QR68" i="39" s="1"/>
  <c r="QM81" i="39"/>
  <c r="QM72" i="39"/>
  <c r="QN72" i="39" s="1"/>
  <c r="QQ72" i="39" s="1"/>
  <c r="QR72" i="39" s="1"/>
  <c r="QM77" i="39"/>
  <c r="AY40" i="26"/>
  <c r="CM40" i="26"/>
  <c r="BG40" i="26"/>
  <c r="BW40" i="26"/>
  <c r="BO101" i="41" l="1"/>
  <c r="BO105" i="41"/>
  <c r="BO112" i="41"/>
  <c r="CE105" i="41"/>
  <c r="CE112" i="41"/>
  <c r="CE101" i="41"/>
  <c r="BW105" i="41"/>
  <c r="BW112" i="41"/>
  <c r="BW101" i="41"/>
  <c r="BF78" i="54"/>
  <c r="BF80" i="54"/>
  <c r="CD55" i="54"/>
  <c r="CD80" i="54"/>
  <c r="AX116" i="54"/>
  <c r="AX138" i="54"/>
  <c r="AX89" i="54"/>
  <c r="AX78" i="54"/>
  <c r="AX43" i="54"/>
  <c r="AX91" i="54"/>
  <c r="AX55" i="54"/>
  <c r="AX45" i="54"/>
  <c r="AX105" i="54"/>
  <c r="AX36" i="54"/>
  <c r="AX120" i="54"/>
  <c r="AX80" i="54"/>
  <c r="AX34" i="54"/>
  <c r="AX87" i="54"/>
  <c r="AX76" i="54"/>
  <c r="AX64" i="54"/>
  <c r="AX114" i="54"/>
  <c r="AX136" i="54"/>
  <c r="AX129" i="54"/>
  <c r="AX57" i="54"/>
  <c r="AX107" i="54"/>
  <c r="AX127" i="54"/>
  <c r="AX98" i="54"/>
  <c r="NU304" i="39"/>
  <c r="NT304" i="39"/>
  <c r="BO121" i="41" s="1"/>
  <c r="NP304" i="39"/>
  <c r="NS304" i="39"/>
  <c r="NV304" i="39"/>
  <c r="CE121" i="41" s="1"/>
  <c r="NR304" i="39"/>
  <c r="NQ304" i="39"/>
  <c r="NQ290" i="39"/>
  <c r="NQ291" i="39" s="1"/>
  <c r="AQ82" i="41" s="1"/>
  <c r="NT290" i="39"/>
  <c r="NT291" i="39" s="1"/>
  <c r="BO82" i="41" s="1"/>
  <c r="NS290" i="39"/>
  <c r="NS291" i="39" s="1"/>
  <c r="BG82" i="41" s="1"/>
  <c r="NP290" i="39"/>
  <c r="NP291" i="39" s="1"/>
  <c r="AI82" i="41" s="1"/>
  <c r="NV290" i="39"/>
  <c r="NV291" i="39" s="1"/>
  <c r="CE82" i="41" s="1"/>
  <c r="NR290" i="39"/>
  <c r="NR291" i="39" s="1"/>
  <c r="AY82" i="41" s="1"/>
  <c r="NU290" i="39"/>
  <c r="AA49" i="41"/>
  <c r="II77" i="39"/>
  <c r="IL77" i="39"/>
  <c r="IK120" i="39" s="1"/>
  <c r="E30" i="67" s="1"/>
  <c r="IK77" i="39"/>
  <c r="IK119" i="39" s="1"/>
  <c r="O25" i="67" s="1"/>
  <c r="IK57" i="39"/>
  <c r="Y123" i="41" s="1"/>
  <c r="CM148" i="22"/>
  <c r="IK117" i="39"/>
  <c r="E21" i="67" s="1"/>
  <c r="IK44" i="39"/>
  <c r="IK42" i="39"/>
  <c r="IJ40" i="39"/>
  <c r="AQ25" i="41"/>
  <c r="BO25" i="41"/>
  <c r="BW25" i="41"/>
  <c r="BG25" i="41"/>
  <c r="AI25" i="41"/>
  <c r="AY25" i="41"/>
  <c r="CE25" i="41"/>
  <c r="AA25" i="41"/>
  <c r="AI27" i="41"/>
  <c r="AY27" i="41"/>
  <c r="AQ27" i="41"/>
  <c r="AA27" i="41"/>
  <c r="IK38" i="39"/>
  <c r="AY92" i="41"/>
  <c r="AY20" i="22"/>
  <c r="BG92" i="41"/>
  <c r="BW92" i="41"/>
  <c r="BW20" i="22"/>
  <c r="BO92" i="41"/>
  <c r="CE92" i="41"/>
  <c r="CE20" i="22"/>
  <c r="Y20" i="22"/>
  <c r="AI92" i="41"/>
  <c r="AI20" i="22"/>
  <c r="AA92" i="41"/>
  <c r="AA20" i="22"/>
  <c r="AQ92" i="41"/>
  <c r="AQ20" i="22"/>
  <c r="AY151" i="41"/>
  <c r="BO147" i="41"/>
  <c r="CM26" i="27"/>
  <c r="BX42" i="52"/>
  <c r="BO26" i="27"/>
  <c r="AZ42" i="52"/>
  <c r="BW26" i="27"/>
  <c r="BH42" i="52"/>
  <c r="CE26" i="27"/>
  <c r="BP42" i="52"/>
  <c r="AI49" i="41"/>
  <c r="CE49" i="41"/>
  <c r="AY49" i="41"/>
  <c r="BW49" i="41"/>
  <c r="AQ49" i="41"/>
  <c r="BO49" i="41"/>
  <c r="BG49" i="41"/>
  <c r="AY149" i="41"/>
  <c r="AY147" i="41"/>
  <c r="BO149" i="41"/>
  <c r="BO151" i="41"/>
  <c r="BW151" i="41"/>
  <c r="CE147" i="41"/>
  <c r="BW147" i="41"/>
  <c r="BW149" i="41"/>
  <c r="CV42" i="41"/>
  <c r="AI151" i="41"/>
  <c r="BG151" i="41"/>
  <c r="BG149" i="41"/>
  <c r="BG147" i="41"/>
  <c r="AI139" i="41"/>
  <c r="NU296" i="39"/>
  <c r="NU313" i="39"/>
  <c r="BW139" i="41" s="1"/>
  <c r="NU300" i="39"/>
  <c r="BW145" i="41" s="1"/>
  <c r="NU297" i="39"/>
  <c r="AI149" i="41"/>
  <c r="AI147" i="41"/>
  <c r="CE151" i="41"/>
  <c r="CE153" i="41"/>
  <c r="CE149" i="41"/>
  <c r="CE139" i="41"/>
  <c r="CE145" i="41"/>
  <c r="AQ147" i="41"/>
  <c r="AQ151" i="41"/>
  <c r="AQ149" i="41"/>
  <c r="CV50" i="41"/>
  <c r="Y143" i="41"/>
  <c r="Y43" i="41"/>
  <c r="Y139" i="41"/>
  <c r="AA143" i="41" s="1"/>
  <c r="Y149" i="41"/>
  <c r="Y27" i="41"/>
  <c r="Y49" i="41"/>
  <c r="Y41" i="41"/>
  <c r="Y33" i="41"/>
  <c r="Y151" i="41"/>
  <c r="Y25" i="41"/>
  <c r="Y147" i="41"/>
  <c r="Y51" i="41"/>
  <c r="Y145" i="41"/>
  <c r="AG75" i="43"/>
  <c r="AG68" i="43"/>
  <c r="AG28" i="43"/>
  <c r="AG61" i="43"/>
  <c r="AG30" i="43"/>
  <c r="AG50" i="43"/>
  <c r="AG48" i="43"/>
  <c r="AG77" i="43"/>
  <c r="CG67" i="42"/>
  <c r="CE50" i="43"/>
  <c r="Z78" i="15"/>
  <c r="CE91" i="43"/>
  <c r="CM54" i="27"/>
  <c r="CM58" i="27"/>
  <c r="AQ58" i="27"/>
  <c r="AA41" i="41"/>
  <c r="Y92" i="41"/>
  <c r="AI50" i="43"/>
  <c r="QM86" i="39"/>
  <c r="BG26" i="27"/>
  <c r="NR296" i="39"/>
  <c r="NR300" i="39"/>
  <c r="AY145" i="41" s="1"/>
  <c r="NR313" i="39"/>
  <c r="AY139" i="41" s="1"/>
  <c r="NR297" i="39"/>
  <c r="NT313" i="39"/>
  <c r="BO139" i="41" s="1"/>
  <c r="NP296" i="39"/>
  <c r="NV296" i="39"/>
  <c r="NT296" i="39"/>
  <c r="NP300" i="39"/>
  <c r="AI145" i="41" s="1"/>
  <c r="BO50" i="43"/>
  <c r="NV297" i="39"/>
  <c r="CO67" i="42"/>
  <c r="NP298" i="39"/>
  <c r="NV300" i="39"/>
  <c r="NP297" i="39"/>
  <c r="NV313" i="39"/>
  <c r="AY50" i="43"/>
  <c r="NT297" i="39"/>
  <c r="NT300" i="39"/>
  <c r="BO145" i="41" s="1"/>
  <c r="AP78" i="15"/>
  <c r="BW54" i="27"/>
  <c r="NQ297" i="39"/>
  <c r="CD78" i="15"/>
  <c r="CU58" i="27"/>
  <c r="CM91" i="43"/>
  <c r="BG54" i="27"/>
  <c r="NO300" i="39"/>
  <c r="NQ296" i="39"/>
  <c r="NO313" i="39"/>
  <c r="BW58" i="27"/>
  <c r="AY91" i="43"/>
  <c r="CM50" i="43"/>
  <c r="CE54" i="27"/>
  <c r="BY67" i="42"/>
  <c r="BO58" i="27"/>
  <c r="BI71" i="42"/>
  <c r="BG87" i="43"/>
  <c r="CU26" i="27"/>
  <c r="BG50" i="43"/>
  <c r="BA67" i="42"/>
  <c r="BO54" i="27"/>
  <c r="AQ50" i="43"/>
  <c r="AY26" i="27"/>
  <c r="AQ87" i="43"/>
  <c r="AY58" i="27"/>
  <c r="AY54" i="27"/>
  <c r="NS300" i="39"/>
  <c r="BG145" i="41" s="1"/>
  <c r="NS313" i="39"/>
  <c r="BG139" i="41" s="1"/>
  <c r="BQ71" i="42"/>
  <c r="BO87" i="43"/>
  <c r="NS297" i="39"/>
  <c r="NS296" i="39"/>
  <c r="NO297" i="39"/>
  <c r="NQ300" i="39"/>
  <c r="AQ145" i="41" s="1"/>
  <c r="NO296" i="39"/>
  <c r="NQ313" i="39"/>
  <c r="AQ139" i="41" s="1"/>
  <c r="BW87" i="43"/>
  <c r="BW50" i="43"/>
  <c r="BN78" i="15"/>
  <c r="AS67" i="42"/>
  <c r="AQ26" i="27"/>
  <c r="AK71" i="42"/>
  <c r="QM87" i="39"/>
  <c r="QM90" i="39"/>
  <c r="AW153" i="41" s="1"/>
  <c r="QM89" i="39"/>
  <c r="QM91" i="39"/>
  <c r="BM153" i="41" s="1"/>
  <c r="QM93" i="39"/>
  <c r="RW84" i="39"/>
  <c r="RX84" i="39" s="1"/>
  <c r="Y61" i="41"/>
  <c r="Y69" i="41"/>
  <c r="Y65" i="41"/>
  <c r="Y71" i="41"/>
  <c r="Y67" i="41"/>
  <c r="QN76" i="39"/>
  <c r="QM85" i="39"/>
  <c r="Y153" i="41" s="1"/>
  <c r="RB88" i="39"/>
  <c r="RB92" i="39"/>
  <c r="RB93" i="39"/>
  <c r="RW93" i="39" s="1"/>
  <c r="AW67" i="41"/>
  <c r="AO69" i="41"/>
  <c r="AO71" i="41"/>
  <c r="AW69" i="41"/>
  <c r="AW71" i="41"/>
  <c r="AO67" i="41"/>
  <c r="AG69" i="41"/>
  <c r="AG71" i="41"/>
  <c r="BE69" i="41"/>
  <c r="BE71" i="41"/>
  <c r="QN77" i="39"/>
  <c r="QN82" i="39"/>
  <c r="QN80" i="39"/>
  <c r="QN81" i="39"/>
  <c r="QN84" i="39"/>
  <c r="QN78" i="39"/>
  <c r="QN71" i="39"/>
  <c r="QQ71" i="39" s="1"/>
  <c r="QR71" i="39" s="1"/>
  <c r="QN75" i="39"/>
  <c r="QQ75" i="39" s="1"/>
  <c r="QN67" i="39"/>
  <c r="QQ67" i="39" s="1"/>
  <c r="QR67" i="39" s="1"/>
  <c r="BE67" i="41"/>
  <c r="CK63" i="41"/>
  <c r="BM69" i="41"/>
  <c r="BU65" i="41"/>
  <c r="CK65" i="41"/>
  <c r="BU61" i="41"/>
  <c r="CK61" i="41"/>
  <c r="BM67" i="41"/>
  <c r="AG67" i="41"/>
  <c r="BE65" i="41"/>
  <c r="NS363" i="39"/>
  <c r="BH46" i="52" s="1"/>
  <c r="NT363" i="39"/>
  <c r="BP46" i="52" s="1"/>
  <c r="NR363" i="39"/>
  <c r="AZ46" i="52" s="1"/>
  <c r="NQ363" i="39"/>
  <c r="AR46" i="52" s="1"/>
  <c r="AA101" i="41" l="1"/>
  <c r="AA112" i="41"/>
  <c r="AA105" i="41"/>
  <c r="BW79" i="41"/>
  <c r="NU291" i="39"/>
  <c r="BW82" i="41" s="1"/>
  <c r="JM40" i="39"/>
  <c r="NQ303" i="39" s="1"/>
  <c r="AQ123" i="41" s="1"/>
  <c r="IJ41" i="39"/>
  <c r="JM41" i="39" s="1"/>
  <c r="NR303" i="39" s="1"/>
  <c r="AY123" i="41" s="1"/>
  <c r="JM38" i="39"/>
  <c r="NO303" i="39" s="1"/>
  <c r="AA123" i="41" s="1"/>
  <c r="IK39" i="39"/>
  <c r="JM44" i="39"/>
  <c r="NU303" i="39" s="1"/>
  <c r="BW123" i="41" s="1"/>
  <c r="IK45" i="39"/>
  <c r="JM45" i="39" s="1"/>
  <c r="NV303" i="39" s="1"/>
  <c r="CE123" i="41" s="1"/>
  <c r="JM42" i="39"/>
  <c r="NS303" i="39" s="1"/>
  <c r="BG123" i="41" s="1"/>
  <c r="IK43" i="39"/>
  <c r="JM43" i="39" s="1"/>
  <c r="NT303" i="39" s="1"/>
  <c r="BO123" i="41" s="1"/>
  <c r="AG153" i="41"/>
  <c r="AO153" i="41"/>
  <c r="BE153" i="41"/>
  <c r="AA139" i="41"/>
  <c r="AA145" i="41"/>
  <c r="AA151" i="41"/>
  <c r="AA147" i="41"/>
  <c r="AA149" i="41"/>
  <c r="CK213" i="41"/>
  <c r="BU153" i="41"/>
  <c r="CK153" i="41"/>
  <c r="RX93" i="39"/>
  <c r="BW121" i="41"/>
  <c r="BO79" i="41"/>
  <c r="BG79" i="41"/>
  <c r="AY79" i="41"/>
  <c r="CE79" i="41"/>
  <c r="AI79" i="41"/>
  <c r="AQ79" i="41"/>
  <c r="QQ77" i="39"/>
  <c r="QN86" i="39"/>
  <c r="QQ78" i="39"/>
  <c r="QN87" i="39"/>
  <c r="QQ84" i="39"/>
  <c r="QQ93" i="39" s="1"/>
  <c r="QN93" i="39"/>
  <c r="QQ81" i="39"/>
  <c r="QN90" i="39"/>
  <c r="QQ80" i="39"/>
  <c r="QN89" i="39"/>
  <c r="QQ82" i="39"/>
  <c r="QN91" i="39"/>
  <c r="QQ76" i="39"/>
  <c r="QN85" i="39"/>
  <c r="AO61" i="41"/>
  <c r="AO65" i="41"/>
  <c r="BE61" i="41"/>
  <c r="BM61" i="41"/>
  <c r="BM65" i="41"/>
  <c r="AG65" i="41"/>
  <c r="AW65" i="41"/>
  <c r="AG61" i="41"/>
  <c r="AW61" i="41"/>
  <c r="LO38" i="39"/>
  <c r="JV41" i="39" l="1"/>
  <c r="NR292" i="39" s="1"/>
  <c r="JV42" i="39"/>
  <c r="NS292" i="39" s="1"/>
  <c r="JV45" i="39"/>
  <c r="CE148" i="22" s="1"/>
  <c r="JV40" i="39"/>
  <c r="NQ292" i="39" s="1"/>
  <c r="JV44" i="39"/>
  <c r="BW148" i="22" s="1"/>
  <c r="JV38" i="39"/>
  <c r="NO292" i="39" s="1"/>
  <c r="JV43" i="39"/>
  <c r="NT292" i="39" s="1"/>
  <c r="KP62" i="39"/>
  <c r="CK217" i="41"/>
  <c r="QR81" i="39"/>
  <c r="QQ90" i="39"/>
  <c r="QR76" i="39"/>
  <c r="QQ85" i="39"/>
  <c r="QR82" i="39"/>
  <c r="QQ91" i="39"/>
  <c r="QR78" i="39"/>
  <c r="QQ87" i="39"/>
  <c r="QR80" i="39"/>
  <c r="QQ89" i="39"/>
  <c r="QR77" i="39"/>
  <c r="QQ86" i="39"/>
  <c r="LO39" i="39"/>
  <c r="RE71" i="39"/>
  <c r="RJ71" i="39" l="1"/>
  <c r="NV292" i="39"/>
  <c r="AY148" i="22"/>
  <c r="BG148" i="22"/>
  <c r="NN254" i="39"/>
  <c r="AQ148" i="22"/>
  <c r="BO148" i="22"/>
  <c r="NU292" i="39"/>
  <c r="AA148" i="22"/>
  <c r="QR87" i="39"/>
  <c r="QR91" i="39"/>
  <c r="QR86" i="39"/>
  <c r="QR85" i="39"/>
  <c r="QR89" i="39"/>
  <c r="QR90" i="39"/>
  <c r="RE80" i="39"/>
  <c r="RF71" i="39"/>
  <c r="RI71" i="39" s="1"/>
  <c r="RJ80" i="39" l="1"/>
  <c r="NO299" i="39"/>
  <c r="AA153" i="41"/>
  <c r="NU299" i="39"/>
  <c r="BW153" i="41"/>
  <c r="CM153" i="41"/>
  <c r="AY153" i="41"/>
  <c r="NV299" i="39"/>
  <c r="NW299" i="39"/>
  <c r="NW317" i="39" s="1"/>
  <c r="NW318" i="39" s="1"/>
  <c r="CM217" i="41" s="1"/>
  <c r="NR299" i="39"/>
  <c r="BO153" i="41"/>
  <c r="NT299" i="39"/>
  <c r="AI153" i="41"/>
  <c r="BG153" i="41"/>
  <c r="NQ299" i="39"/>
  <c r="NP299" i="39"/>
  <c r="NS299" i="39"/>
  <c r="AQ153" i="41"/>
  <c r="II19" i="39"/>
  <c r="AO123" i="41"/>
  <c r="RF80" i="39"/>
  <c r="IL117" i="39" s="1"/>
  <c r="AX21" i="67" s="1"/>
  <c r="RE89" i="39"/>
  <c r="RJ89" i="39" l="1"/>
  <c r="CM213" i="41"/>
  <c r="IL78" i="39"/>
  <c r="IL120" i="39" s="1"/>
  <c r="IK78" i="39"/>
  <c r="IL119" i="39" s="1"/>
  <c r="II78" i="39"/>
  <c r="AG20" i="22"/>
  <c r="RI80" i="39"/>
  <c r="II39" i="39"/>
  <c r="IK58" i="39"/>
  <c r="AG123" i="41" s="1"/>
  <c r="AW123" i="41"/>
  <c r="AO92" i="41"/>
  <c r="AW92" i="41"/>
  <c r="BE92" i="41"/>
  <c r="RF89" i="39"/>
  <c r="AKM47" i="50"/>
  <c r="AKO47" i="50"/>
  <c r="AY121" i="41" l="1"/>
  <c r="AY101" i="41"/>
  <c r="AY105" i="41"/>
  <c r="AY112" i="41"/>
  <c r="BG121" i="41"/>
  <c r="BG101" i="41"/>
  <c r="BG105" i="41"/>
  <c r="BG112" i="41"/>
  <c r="AQ121" i="41"/>
  <c r="AQ105" i="41"/>
  <c r="AQ112" i="41"/>
  <c r="AQ101" i="41"/>
  <c r="BH25" i="67"/>
  <c r="AX30" i="67"/>
  <c r="AG92" i="41"/>
  <c r="RI89" i="39"/>
  <c r="JM39" i="39"/>
  <c r="NP303" i="39" s="1"/>
  <c r="AI123" i="41" s="1"/>
  <c r="AKS47" i="50"/>
  <c r="DD105" i="50" s="1"/>
  <c r="DE105" i="50" s="1"/>
  <c r="AKX47" i="50"/>
  <c r="BR219" i="55" s="1"/>
  <c r="AI121" i="41" l="1"/>
  <c r="AI112" i="41"/>
  <c r="AI105" i="41"/>
  <c r="AI101" i="41"/>
  <c r="JV39" i="39"/>
  <c r="YJ33" i="50"/>
  <c r="YP33" i="50" s="1"/>
  <c r="YJ37" i="50"/>
  <c r="YP37" i="50" s="1"/>
  <c r="YJ39" i="50"/>
  <c r="YP39" i="50" s="1"/>
  <c r="YJ35" i="50"/>
  <c r="YP35" i="50" s="1"/>
  <c r="YJ38" i="50"/>
  <c r="YP38" i="50" s="1"/>
  <c r="YJ34" i="50"/>
  <c r="YP34" i="50" s="1"/>
  <c r="YJ32" i="50"/>
  <c r="YP32" i="50" s="1"/>
  <c r="YJ41" i="50"/>
  <c r="YP41" i="50" s="1"/>
  <c r="YJ40" i="50"/>
  <c r="YP40" i="50" s="1"/>
  <c r="YJ36" i="50"/>
  <c r="YP36" i="50" s="1"/>
  <c r="ALB47" i="50"/>
  <c r="DF105" i="50" s="1"/>
  <c r="DG105" i="50" s="1"/>
  <c r="NP292" i="39" l="1"/>
  <c r="AI148" i="22"/>
  <c r="YP45" i="50"/>
  <c r="YP49" i="50"/>
  <c r="YP50" i="50"/>
  <c r="YP48" i="50"/>
  <c r="FO165" i="39" s="1"/>
  <c r="FO189" i="39" s="1"/>
  <c r="YP47" i="50"/>
  <c r="FO164" i="39" s="1"/>
  <c r="FO188" i="39" s="1"/>
  <c r="YP46" i="50"/>
  <c r="FO163" i="39" s="1"/>
  <c r="FO187" i="39" s="1"/>
  <c r="YP44" i="50"/>
  <c r="YP51" i="50"/>
  <c r="CB114" i="54" s="1"/>
  <c r="FO162" i="39"/>
  <c r="FO186" i="39" s="1"/>
  <c r="FO166" i="39"/>
  <c r="FO190" i="39" s="1"/>
  <c r="FO167" i="39"/>
  <c r="FO191" i="39" s="1"/>
  <c r="AF114" i="54"/>
  <c r="AN114" i="54"/>
  <c r="BT114" i="54"/>
  <c r="BL114" i="54"/>
  <c r="AV114" i="54"/>
  <c r="YK33" i="50"/>
  <c r="YQ33" i="50" s="1"/>
  <c r="YK37" i="50"/>
  <c r="YQ37" i="50" s="1"/>
  <c r="YK39" i="50"/>
  <c r="YQ39" i="50" s="1"/>
  <c r="YK35" i="50"/>
  <c r="YQ35" i="50" s="1"/>
  <c r="YK38" i="50"/>
  <c r="YQ38" i="50" s="1"/>
  <c r="YK32" i="50"/>
  <c r="YQ32" i="50" s="1"/>
  <c r="YK34" i="50"/>
  <c r="YQ34" i="50" s="1"/>
  <c r="YK41" i="50"/>
  <c r="YQ41" i="50" s="1"/>
  <c r="YK36" i="50"/>
  <c r="YQ36" i="50" s="1"/>
  <c r="YK40" i="50"/>
  <c r="YQ40" i="50" s="1"/>
  <c r="BD114" i="54" l="1"/>
  <c r="FO168" i="39"/>
  <c r="FO192" i="39" s="1"/>
  <c r="YP54" i="50"/>
  <c r="S114" i="54" s="1"/>
  <c r="YQ45" i="50"/>
  <c r="YQ44" i="50"/>
  <c r="X116" i="54" s="1"/>
  <c r="YQ51" i="50"/>
  <c r="FP168" i="39" s="1"/>
  <c r="FP192" i="39" s="1"/>
  <c r="YQ46" i="50"/>
  <c r="FP163" i="39" s="1"/>
  <c r="FP187" i="39" s="1"/>
  <c r="YQ50" i="50"/>
  <c r="BL116" i="54" s="1"/>
  <c r="YQ48" i="50"/>
  <c r="FP165" i="39" s="1"/>
  <c r="FP189" i="39" s="1"/>
  <c r="YQ47" i="50"/>
  <c r="FP164" i="39" s="1"/>
  <c r="FP188" i="39" s="1"/>
  <c r="YQ49" i="50"/>
  <c r="AV116" i="54" s="1"/>
  <c r="FO161" i="39"/>
  <c r="FO185" i="39" s="1"/>
  <c r="X114" i="54"/>
  <c r="FP162" i="39"/>
  <c r="FP186" i="39" s="1"/>
  <c r="FP161" i="39"/>
  <c r="FP185" i="39" s="1"/>
  <c r="FP167" i="39"/>
  <c r="FP191" i="39" s="1"/>
  <c r="CB116" i="54"/>
  <c r="BD116" i="54"/>
  <c r="AN116" i="54"/>
  <c r="BJ161" i="55"/>
  <c r="AL161" i="55"/>
  <c r="FP166" i="39" l="1"/>
  <c r="FP190" i="39" s="1"/>
  <c r="AF116" i="54"/>
  <c r="YQ54" i="50"/>
  <c r="S116" i="54" s="1"/>
  <c r="BT116" i="54"/>
  <c r="IM34" i="50"/>
  <c r="IH38" i="50"/>
  <c r="BB161" i="55"/>
  <c r="JB39" i="50"/>
  <c r="CH161" i="55"/>
  <c r="IR35" i="50"/>
  <c r="BR161" i="55"/>
  <c r="IC33" i="50"/>
  <c r="AT161" i="55"/>
  <c r="HX33" i="50"/>
  <c r="IW34" i="50"/>
  <c r="IZ34" i="50" s="1"/>
  <c r="BZ161" i="55"/>
  <c r="HS39" i="50"/>
  <c r="X161" i="55"/>
  <c r="JY39" i="50"/>
  <c r="HV39" i="50"/>
  <c r="CZ100" i="50"/>
  <c r="DA100" i="50" s="1"/>
  <c r="CV100" i="50"/>
  <c r="CW100" i="50" s="1"/>
  <c r="CT100" i="50"/>
  <c r="CU100" i="50" s="1"/>
  <c r="CX100" i="50"/>
  <c r="CY100" i="50" s="1"/>
  <c r="KM39" i="50" l="1"/>
  <c r="LC39" i="50" s="1"/>
  <c r="JE39" i="50"/>
  <c r="JT39" i="50" s="1"/>
  <c r="KC33" i="50"/>
  <c r="IF33" i="50"/>
  <c r="IA33" i="50"/>
  <c r="KA33" i="50"/>
  <c r="CZ106" i="50"/>
  <c r="DA106" i="50" s="1"/>
  <c r="IW41" i="50"/>
  <c r="KK41" i="50" s="1"/>
  <c r="KK34" i="50"/>
  <c r="LA34" i="50" s="1"/>
  <c r="CV106" i="50"/>
  <c r="CW106" i="50" s="1"/>
  <c r="IM33" i="50"/>
  <c r="IM38" i="50"/>
  <c r="IP38" i="50" s="1"/>
  <c r="HS40" i="50"/>
  <c r="JY40" i="50" s="1"/>
  <c r="IW33" i="50"/>
  <c r="IZ33" i="50" s="1"/>
  <c r="IW40" i="50"/>
  <c r="IZ40" i="50" s="1"/>
  <c r="CX107" i="50"/>
  <c r="CY107" i="50" s="1"/>
  <c r="IM32" i="50"/>
  <c r="IP32" i="50" s="1"/>
  <c r="IW38" i="50"/>
  <c r="IZ38" i="50" s="1"/>
  <c r="IW37" i="50"/>
  <c r="KK37" i="50" s="1"/>
  <c r="JB35" i="50"/>
  <c r="CV107" i="50"/>
  <c r="CW107" i="50" s="1"/>
  <c r="IW39" i="50"/>
  <c r="IZ39" i="50" s="1"/>
  <c r="CT106" i="50"/>
  <c r="CU106" i="50" s="1"/>
  <c r="IW32" i="50"/>
  <c r="KK32" i="50" s="1"/>
  <c r="IW35" i="50"/>
  <c r="KK35" i="50" s="1"/>
  <c r="HS32" i="50"/>
  <c r="HV32" i="50" s="1"/>
  <c r="IM36" i="50"/>
  <c r="KG36" i="50" s="1"/>
  <c r="IM37" i="50"/>
  <c r="IP37" i="50" s="1"/>
  <c r="IM41" i="50"/>
  <c r="IP41" i="50" s="1"/>
  <c r="IM35" i="50"/>
  <c r="KG35" i="50" s="1"/>
  <c r="IM39" i="50"/>
  <c r="KG39" i="50" s="1"/>
  <c r="HX34" i="50"/>
  <c r="KE38" i="50"/>
  <c r="IK38" i="50"/>
  <c r="IH39" i="50"/>
  <c r="CT103" i="50"/>
  <c r="CU103" i="50" s="1"/>
  <c r="CV103" i="50"/>
  <c r="CW103" i="50" s="1"/>
  <c r="CX103" i="50"/>
  <c r="CY103" i="50" s="1"/>
  <c r="CZ103" i="50"/>
  <c r="DA103" i="50" s="1"/>
  <c r="HX37" i="50"/>
  <c r="HX39" i="50"/>
  <c r="IH34" i="50"/>
  <c r="IH32" i="50"/>
  <c r="HX38" i="50"/>
  <c r="IH41" i="50"/>
  <c r="HX32" i="50"/>
  <c r="IH37" i="50"/>
  <c r="HX40" i="50"/>
  <c r="CZ107" i="50"/>
  <c r="DA107" i="50" s="1"/>
  <c r="IH35" i="50"/>
  <c r="HX35" i="50"/>
  <c r="CT107" i="50"/>
  <c r="CU107" i="50" s="1"/>
  <c r="IH40" i="50"/>
  <c r="KG34" i="50"/>
  <c r="IP34" i="50"/>
  <c r="KG33" i="50"/>
  <c r="IP33" i="50"/>
  <c r="IM40" i="50"/>
  <c r="CX104" i="50"/>
  <c r="CY104" i="50" s="1"/>
  <c r="CT104" i="50"/>
  <c r="CU104" i="50" s="1"/>
  <c r="CV104" i="50"/>
  <c r="CW104" i="50" s="1"/>
  <c r="CZ104" i="50"/>
  <c r="DA104" i="50" s="1"/>
  <c r="CX106" i="50"/>
  <c r="CY106" i="50" s="1"/>
  <c r="JB33" i="50"/>
  <c r="JE33" i="50" s="1"/>
  <c r="JB41" i="50"/>
  <c r="JE41" i="50" s="1"/>
  <c r="JB36" i="50"/>
  <c r="JB40" i="50"/>
  <c r="JE40" i="50" s="1"/>
  <c r="JB37" i="50"/>
  <c r="JE37" i="50" s="1"/>
  <c r="IW36" i="50"/>
  <c r="KK36" i="50" s="1"/>
  <c r="HS38" i="50"/>
  <c r="HV38" i="50" s="1"/>
  <c r="HS33" i="50"/>
  <c r="HV33" i="50" s="1"/>
  <c r="HS35" i="50"/>
  <c r="JY35" i="50" s="1"/>
  <c r="HS37" i="50"/>
  <c r="HV37" i="50" s="1"/>
  <c r="HS41" i="50"/>
  <c r="JY41" i="50" s="1"/>
  <c r="HS34" i="50"/>
  <c r="JY34" i="50" s="1"/>
  <c r="IR38" i="50"/>
  <c r="KI38" i="50" s="1"/>
  <c r="HX36" i="50"/>
  <c r="JB32" i="50"/>
  <c r="JE32" i="50" s="1"/>
  <c r="JB38" i="50"/>
  <c r="JE38" i="50" s="1"/>
  <c r="HS36" i="50"/>
  <c r="JY36" i="50" s="1"/>
  <c r="IH33" i="50"/>
  <c r="HX41" i="50"/>
  <c r="JB34" i="50"/>
  <c r="KM34" i="50" s="1"/>
  <c r="IH36" i="50"/>
  <c r="CZ105" i="50"/>
  <c r="DA105" i="50" s="1"/>
  <c r="IR33" i="50"/>
  <c r="KI33" i="50" s="1"/>
  <c r="IC32" i="50"/>
  <c r="IC40" i="50"/>
  <c r="IC36" i="50"/>
  <c r="IR32" i="50"/>
  <c r="IU32" i="50" s="1"/>
  <c r="IC38" i="50"/>
  <c r="IC41" i="50"/>
  <c r="CX105" i="50"/>
  <c r="CY105" i="50" s="1"/>
  <c r="IR41" i="50"/>
  <c r="IU41" i="50" s="1"/>
  <c r="IC39" i="50"/>
  <c r="IR40" i="50"/>
  <c r="KI40" i="50" s="1"/>
  <c r="CV105" i="50"/>
  <c r="CW105" i="50" s="1"/>
  <c r="IC35" i="50"/>
  <c r="IC37" i="50"/>
  <c r="IR37" i="50"/>
  <c r="KI37" i="50" s="1"/>
  <c r="IR39" i="50"/>
  <c r="KI39" i="50" s="1"/>
  <c r="CT105" i="50"/>
  <c r="CU105" i="50" s="1"/>
  <c r="IC34" i="50"/>
  <c r="IR34" i="50"/>
  <c r="IU34" i="50" s="1"/>
  <c r="IR36" i="50"/>
  <c r="IU36" i="50" s="1"/>
  <c r="EN100" i="50"/>
  <c r="JF39" i="50"/>
  <c r="JG39" i="50"/>
  <c r="KO39" i="50"/>
  <c r="KN39" i="50"/>
  <c r="KI35" i="50"/>
  <c r="IU35" i="50"/>
  <c r="JR34" i="50"/>
  <c r="JS34" i="50"/>
  <c r="LB39" i="50" l="1"/>
  <c r="KM35" i="50"/>
  <c r="LB35" i="50" s="1"/>
  <c r="JE35" i="50"/>
  <c r="JT35" i="50" s="1"/>
  <c r="KM36" i="50"/>
  <c r="LC36" i="50" s="1"/>
  <c r="JE36" i="50"/>
  <c r="JT36" i="50" s="1"/>
  <c r="HV36" i="50"/>
  <c r="JF36" i="50" s="1"/>
  <c r="JY37" i="50"/>
  <c r="KO37" i="50" s="1"/>
  <c r="JY33" i="50"/>
  <c r="KO33" i="50" s="1"/>
  <c r="KG38" i="50"/>
  <c r="KW38" i="50" s="1"/>
  <c r="HV34" i="50"/>
  <c r="JG34" i="50" s="1"/>
  <c r="KG32" i="50"/>
  <c r="KW32" i="50" s="1"/>
  <c r="JY38" i="50"/>
  <c r="KN38" i="50" s="1"/>
  <c r="JY32" i="50"/>
  <c r="KO32" i="50" s="1"/>
  <c r="KR33" i="50"/>
  <c r="KS33" i="50"/>
  <c r="KC41" i="50"/>
  <c r="IF41" i="50"/>
  <c r="IF36" i="50"/>
  <c r="KC36" i="50"/>
  <c r="IF40" i="50"/>
  <c r="KC40" i="50"/>
  <c r="KC34" i="50"/>
  <c r="IF34" i="50"/>
  <c r="KC39" i="50"/>
  <c r="IF39" i="50"/>
  <c r="IF32" i="50"/>
  <c r="KC32" i="50"/>
  <c r="KC37" i="50"/>
  <c r="IF37" i="50"/>
  <c r="KC38" i="50"/>
  <c r="IF38" i="50"/>
  <c r="KC35" i="50"/>
  <c r="IF35" i="50"/>
  <c r="JJ33" i="50"/>
  <c r="JK33" i="50"/>
  <c r="IA35" i="50"/>
  <c r="KA35" i="50"/>
  <c r="IA39" i="50"/>
  <c r="KA39" i="50"/>
  <c r="KA36" i="50"/>
  <c r="IA36" i="50"/>
  <c r="IA40" i="50"/>
  <c r="KA40" i="50"/>
  <c r="KA37" i="50"/>
  <c r="IA37" i="50"/>
  <c r="KA34" i="50"/>
  <c r="IA34" i="50"/>
  <c r="IA38" i="50"/>
  <c r="KA38" i="50"/>
  <c r="IA41" i="50"/>
  <c r="KA41" i="50"/>
  <c r="KA32" i="50"/>
  <c r="IA32" i="50"/>
  <c r="KQ33" i="50"/>
  <c r="KP33" i="50"/>
  <c r="JH33" i="50"/>
  <c r="JI33" i="50"/>
  <c r="HV40" i="50"/>
  <c r="JF40" i="50" s="1"/>
  <c r="HV41" i="50"/>
  <c r="JF41" i="50" s="1"/>
  <c r="HV35" i="50"/>
  <c r="JF35" i="50" s="1"/>
  <c r="KK38" i="50"/>
  <c r="LA38" i="50" s="1"/>
  <c r="IZ35" i="50"/>
  <c r="JR35" i="50" s="1"/>
  <c r="KZ34" i="50"/>
  <c r="IZ41" i="50"/>
  <c r="JR41" i="50" s="1"/>
  <c r="KK40" i="50"/>
  <c r="KZ40" i="50" s="1"/>
  <c r="KK39" i="50"/>
  <c r="KZ39" i="50" s="1"/>
  <c r="KK33" i="50"/>
  <c r="KZ33" i="50" s="1"/>
  <c r="IP35" i="50"/>
  <c r="JN35" i="50" s="1"/>
  <c r="KG41" i="50"/>
  <c r="KV41" i="50" s="1"/>
  <c r="EN106" i="50"/>
  <c r="BZ63" i="55" s="1"/>
  <c r="IZ32" i="50"/>
  <c r="JR32" i="50" s="1"/>
  <c r="IZ37" i="50"/>
  <c r="JS37" i="50" s="1"/>
  <c r="KI34" i="50"/>
  <c r="KY34" i="50" s="1"/>
  <c r="IP39" i="50"/>
  <c r="JO39" i="50" s="1"/>
  <c r="KG37" i="50"/>
  <c r="KV37" i="50" s="1"/>
  <c r="JU39" i="50"/>
  <c r="IP36" i="50"/>
  <c r="JO36" i="50" s="1"/>
  <c r="KM33" i="50"/>
  <c r="LB33" i="50" s="1"/>
  <c r="IZ36" i="50"/>
  <c r="JS36" i="50" s="1"/>
  <c r="IU40" i="50"/>
  <c r="JQ40" i="50" s="1"/>
  <c r="KM38" i="50"/>
  <c r="LC38" i="50" s="1"/>
  <c r="EN103" i="50"/>
  <c r="IK37" i="50"/>
  <c r="KE37" i="50"/>
  <c r="IK36" i="50"/>
  <c r="KE36" i="50"/>
  <c r="IK40" i="50"/>
  <c r="KE40" i="50"/>
  <c r="IK41" i="50"/>
  <c r="KE41" i="50"/>
  <c r="IK32" i="50"/>
  <c r="KE32" i="50"/>
  <c r="KE39" i="50"/>
  <c r="IK39" i="50"/>
  <c r="KE35" i="50"/>
  <c r="IK35" i="50"/>
  <c r="IK34" i="50"/>
  <c r="KE34" i="50"/>
  <c r="JL38" i="50"/>
  <c r="JM38" i="50"/>
  <c r="IK33" i="50"/>
  <c r="KE33" i="50"/>
  <c r="KT38" i="50"/>
  <c r="KU38" i="50"/>
  <c r="KM37" i="50"/>
  <c r="LC37" i="50" s="1"/>
  <c r="EN107" i="50"/>
  <c r="KM41" i="50"/>
  <c r="LC41" i="50" s="1"/>
  <c r="KM40" i="50"/>
  <c r="LB40" i="50" s="1"/>
  <c r="KW33" i="50"/>
  <c r="KV33" i="50"/>
  <c r="JN33" i="50"/>
  <c r="JO33" i="50"/>
  <c r="JO34" i="50"/>
  <c r="JN34" i="50"/>
  <c r="JO38" i="50"/>
  <c r="JN38" i="50"/>
  <c r="EN104" i="50"/>
  <c r="KV34" i="50"/>
  <c r="KW34" i="50"/>
  <c r="KW36" i="50"/>
  <c r="KV36" i="50"/>
  <c r="IP40" i="50"/>
  <c r="KG40" i="50"/>
  <c r="KV39" i="50"/>
  <c r="KW39" i="50"/>
  <c r="JN41" i="50"/>
  <c r="JO41" i="50"/>
  <c r="KV35" i="50"/>
  <c r="KW35" i="50"/>
  <c r="JO32" i="50"/>
  <c r="JN32" i="50"/>
  <c r="JN37" i="50"/>
  <c r="JO37" i="50"/>
  <c r="IU38" i="50"/>
  <c r="JP38" i="50" s="1"/>
  <c r="IU39" i="50"/>
  <c r="JQ39" i="50" s="1"/>
  <c r="KM32" i="50"/>
  <c r="LB32" i="50" s="1"/>
  <c r="IU33" i="50"/>
  <c r="JQ33" i="50" s="1"/>
  <c r="KI41" i="50"/>
  <c r="KX41" i="50" s="1"/>
  <c r="JT34" i="50"/>
  <c r="KI32" i="50"/>
  <c r="KY32" i="50" s="1"/>
  <c r="IU37" i="50"/>
  <c r="JP37" i="50" s="1"/>
  <c r="EN105" i="50"/>
  <c r="KI36" i="50"/>
  <c r="KX36" i="50" s="1"/>
  <c r="KN40" i="50"/>
  <c r="KO40" i="50"/>
  <c r="JG32" i="50"/>
  <c r="JF32" i="50"/>
  <c r="KN41" i="50"/>
  <c r="KO41" i="50"/>
  <c r="KN36" i="50"/>
  <c r="KO36" i="50"/>
  <c r="KN34" i="50"/>
  <c r="KO34" i="50"/>
  <c r="X326" i="55"/>
  <c r="X63" i="55"/>
  <c r="KN35" i="50"/>
  <c r="KO35" i="50"/>
  <c r="JF33" i="50"/>
  <c r="JG33" i="50"/>
  <c r="JG38" i="50"/>
  <c r="JF38" i="50"/>
  <c r="JG37" i="50"/>
  <c r="JF37" i="50"/>
  <c r="JS38" i="50"/>
  <c r="JR38" i="50"/>
  <c r="LA32" i="50"/>
  <c r="KZ32" i="50"/>
  <c r="LC34" i="50"/>
  <c r="LB34" i="50"/>
  <c r="JU40" i="50"/>
  <c r="JT40" i="50"/>
  <c r="JT41" i="50"/>
  <c r="JU41" i="50"/>
  <c r="JR33" i="50"/>
  <c r="JS33" i="50"/>
  <c r="JP35" i="50"/>
  <c r="JQ35" i="50"/>
  <c r="KX39" i="50"/>
  <c r="KY39" i="50"/>
  <c r="JU38" i="50"/>
  <c r="JT38" i="50"/>
  <c r="KX35" i="50"/>
  <c r="KY35" i="50"/>
  <c r="KX37" i="50"/>
  <c r="KY37" i="50"/>
  <c r="JT37" i="50"/>
  <c r="JU37" i="50"/>
  <c r="JS40" i="50"/>
  <c r="JR40" i="50"/>
  <c r="JR39" i="50"/>
  <c r="JS39" i="50"/>
  <c r="JQ41" i="50"/>
  <c r="JP41" i="50"/>
  <c r="KX38" i="50"/>
  <c r="KY38" i="50"/>
  <c r="JQ36" i="50"/>
  <c r="JP36" i="50"/>
  <c r="KX40" i="50"/>
  <c r="KY40" i="50"/>
  <c r="LA35" i="50"/>
  <c r="KZ35" i="50"/>
  <c r="JQ32" i="50"/>
  <c r="JP32" i="50"/>
  <c r="JU32" i="50"/>
  <c r="JT32" i="50"/>
  <c r="KZ36" i="50"/>
  <c r="LA36" i="50"/>
  <c r="JQ34" i="50"/>
  <c r="JP34" i="50"/>
  <c r="KY33" i="50"/>
  <c r="KX33" i="50"/>
  <c r="KZ37" i="50"/>
  <c r="LA37" i="50"/>
  <c r="KZ41" i="50"/>
  <c r="LA41" i="50"/>
  <c r="JU33" i="50"/>
  <c r="JT33" i="50"/>
  <c r="LC35" i="50" l="1"/>
  <c r="LB36" i="50"/>
  <c r="KV32" i="50"/>
  <c r="KV38" i="50"/>
  <c r="JG36" i="50"/>
  <c r="KN33" i="50"/>
  <c r="JF34" i="50"/>
  <c r="KN37" i="50"/>
  <c r="KO38" i="50"/>
  <c r="KN32" i="50"/>
  <c r="JG41" i="50"/>
  <c r="JG35" i="50"/>
  <c r="JG40" i="50"/>
  <c r="JK34" i="50"/>
  <c r="JJ34" i="50"/>
  <c r="KR34" i="50"/>
  <c r="KS34" i="50"/>
  <c r="JJ37" i="50"/>
  <c r="JK37" i="50"/>
  <c r="KS40" i="50"/>
  <c r="KR40" i="50"/>
  <c r="KS35" i="50"/>
  <c r="KR35" i="50"/>
  <c r="KR41" i="50"/>
  <c r="KS41" i="50"/>
  <c r="KR37" i="50"/>
  <c r="KS37" i="50"/>
  <c r="JJ32" i="50"/>
  <c r="JK32" i="50"/>
  <c r="JK40" i="50"/>
  <c r="JJ40" i="50"/>
  <c r="KR32" i="50"/>
  <c r="KS32" i="50"/>
  <c r="KR36" i="50"/>
  <c r="KS36" i="50"/>
  <c r="JK36" i="50"/>
  <c r="JJ36" i="50"/>
  <c r="JK35" i="50"/>
  <c r="JJ35" i="50"/>
  <c r="JK39" i="50"/>
  <c r="JJ39" i="50"/>
  <c r="JK41" i="50"/>
  <c r="JJ41" i="50"/>
  <c r="KS39" i="50"/>
  <c r="KR39" i="50"/>
  <c r="JJ38" i="50"/>
  <c r="JK38" i="50"/>
  <c r="KS38" i="50"/>
  <c r="KR38" i="50"/>
  <c r="KP41" i="50"/>
  <c r="KQ41" i="50"/>
  <c r="KQ40" i="50"/>
  <c r="KP40" i="50"/>
  <c r="JH41" i="50"/>
  <c r="JI41" i="50"/>
  <c r="JI40" i="50"/>
  <c r="JH40" i="50"/>
  <c r="KP38" i="50"/>
  <c r="KQ38" i="50"/>
  <c r="JI36" i="50"/>
  <c r="JH36" i="50"/>
  <c r="JH38" i="50"/>
  <c r="JI38" i="50"/>
  <c r="KP36" i="50"/>
  <c r="KQ36" i="50"/>
  <c r="JI34" i="50"/>
  <c r="JH34" i="50"/>
  <c r="KP39" i="50"/>
  <c r="KQ39" i="50"/>
  <c r="KP34" i="50"/>
  <c r="KQ34" i="50"/>
  <c r="JH39" i="50"/>
  <c r="JI39" i="50"/>
  <c r="JH32" i="50"/>
  <c r="JI32" i="50"/>
  <c r="JH37" i="50"/>
  <c r="JI37" i="50"/>
  <c r="KQ35" i="50"/>
  <c r="KP35" i="50"/>
  <c r="KQ32" i="50"/>
  <c r="KP32" i="50"/>
  <c r="KP37" i="50"/>
  <c r="KQ37" i="50"/>
  <c r="JI35" i="50"/>
  <c r="JH35" i="50"/>
  <c r="JO35" i="50"/>
  <c r="KZ38" i="50"/>
  <c r="LA33" i="50"/>
  <c r="JN39" i="50"/>
  <c r="LA40" i="50"/>
  <c r="JU36" i="50"/>
  <c r="LA39" i="50"/>
  <c r="JS41" i="50"/>
  <c r="JS35" i="50"/>
  <c r="BZ326" i="55"/>
  <c r="JU35" i="50"/>
  <c r="KW41" i="50"/>
  <c r="BR326" i="55"/>
  <c r="JS32" i="50"/>
  <c r="CH326" i="55"/>
  <c r="KW37" i="50"/>
  <c r="KX34" i="50"/>
  <c r="LB38" i="50"/>
  <c r="JR37" i="50"/>
  <c r="LC33" i="50"/>
  <c r="JN36" i="50"/>
  <c r="JR36" i="50"/>
  <c r="JP40" i="50"/>
  <c r="LC40" i="50"/>
  <c r="LB37" i="50"/>
  <c r="JL34" i="50"/>
  <c r="JM34" i="50"/>
  <c r="JL41" i="50"/>
  <c r="JM41" i="50"/>
  <c r="KT35" i="50"/>
  <c r="KU35" i="50"/>
  <c r="JM40" i="50"/>
  <c r="JL40" i="50"/>
  <c r="KU33" i="50"/>
  <c r="KT33" i="50"/>
  <c r="JL39" i="50"/>
  <c r="JM39" i="50"/>
  <c r="KT36" i="50"/>
  <c r="KU36" i="50"/>
  <c r="KU40" i="50"/>
  <c r="KT40" i="50"/>
  <c r="JL33" i="50"/>
  <c r="JM33" i="50"/>
  <c r="JW33" i="50" s="1"/>
  <c r="KU39" i="50"/>
  <c r="KT39" i="50"/>
  <c r="JM36" i="50"/>
  <c r="JL36" i="50"/>
  <c r="KU32" i="50"/>
  <c r="KT32" i="50"/>
  <c r="KT37" i="50"/>
  <c r="KU37" i="50"/>
  <c r="JM35" i="50"/>
  <c r="JL35" i="50"/>
  <c r="JM32" i="50"/>
  <c r="JL32" i="50"/>
  <c r="JL37" i="50"/>
  <c r="JM37" i="50"/>
  <c r="KT34" i="50"/>
  <c r="KU34" i="50"/>
  <c r="KU41" i="50"/>
  <c r="KT41" i="50"/>
  <c r="BB326" i="55"/>
  <c r="BB63" i="55"/>
  <c r="JP39" i="50"/>
  <c r="JQ38" i="50"/>
  <c r="LC32" i="50"/>
  <c r="LB41" i="50"/>
  <c r="CH63" i="55"/>
  <c r="JP33" i="50"/>
  <c r="JN40" i="50"/>
  <c r="JO40" i="50"/>
  <c r="KW40" i="50"/>
  <c r="KV40" i="50"/>
  <c r="BJ326" i="55"/>
  <c r="BJ63" i="55"/>
  <c r="KX32" i="50"/>
  <c r="JU34" i="50"/>
  <c r="JQ37" i="50"/>
  <c r="KY41" i="50"/>
  <c r="BR63" i="55"/>
  <c r="KY36" i="50"/>
  <c r="LE35" i="50" l="1"/>
  <c r="LD33" i="50"/>
  <c r="JV38" i="50"/>
  <c r="LD39" i="50"/>
  <c r="LE34" i="50"/>
  <c r="JV32" i="50"/>
  <c r="JV41" i="50"/>
  <c r="LE38" i="50"/>
  <c r="LD36" i="50"/>
  <c r="JW39" i="50"/>
  <c r="LD35" i="50"/>
  <c r="JV35" i="50"/>
  <c r="JV34" i="50"/>
  <c r="JW38" i="50"/>
  <c r="LD38" i="50"/>
  <c r="LE40" i="50"/>
  <c r="JW36" i="50"/>
  <c r="LE39" i="50"/>
  <c r="JW41" i="50"/>
  <c r="JW35" i="50"/>
  <c r="JW32" i="50"/>
  <c r="JV37" i="50"/>
  <c r="LD34" i="50"/>
  <c r="LE37" i="50"/>
  <c r="LE33" i="50"/>
  <c r="LD37" i="50"/>
  <c r="JV36" i="50"/>
  <c r="JV39" i="50"/>
  <c r="LE41" i="50"/>
  <c r="JV33" i="50"/>
  <c r="JW34" i="50"/>
  <c r="JW37" i="50"/>
  <c r="LD41" i="50"/>
  <c r="LD40" i="50"/>
  <c r="LE36" i="50"/>
  <c r="LE32" i="50"/>
  <c r="JV40" i="50"/>
  <c r="LD32" i="50"/>
  <c r="JW40" i="50"/>
  <c r="LD50" i="50" l="1"/>
  <c r="LD48" i="50"/>
  <c r="AF64" i="54" s="1"/>
  <c r="LD46" i="50"/>
  <c r="BD64" i="54" s="1"/>
  <c r="LD47" i="50"/>
  <c r="BT64" i="54" s="1"/>
  <c r="LD49" i="50"/>
  <c r="LD45" i="50"/>
  <c r="AN64" i="54" s="1"/>
  <c r="LD44" i="50"/>
  <c r="FJ161" i="39" s="1"/>
  <c r="FJ185" i="39" s="1"/>
  <c r="LD51" i="50"/>
  <c r="CB64" i="54" s="1"/>
  <c r="JV45" i="50"/>
  <c r="AN55" i="54" s="1"/>
  <c r="JV51" i="50"/>
  <c r="CB55" i="54" s="1"/>
  <c r="JV46" i="50"/>
  <c r="JV49" i="50"/>
  <c r="JV44" i="50"/>
  <c r="JV50" i="50"/>
  <c r="BL55" i="54" s="1"/>
  <c r="JV47" i="50"/>
  <c r="FH164" i="39" s="1"/>
  <c r="JV48" i="50"/>
  <c r="FH165" i="39" s="1"/>
  <c r="FH189" i="39" s="1"/>
  <c r="JW46" i="50"/>
  <c r="FI163" i="39" s="1"/>
  <c r="FI187" i="39" s="1"/>
  <c r="JW44" i="50"/>
  <c r="JW51" i="50"/>
  <c r="JW45" i="50"/>
  <c r="FI162" i="39" s="1"/>
  <c r="FI186" i="39" s="1"/>
  <c r="JW50" i="50"/>
  <c r="JW49" i="50"/>
  <c r="JW47" i="50"/>
  <c r="FI164" i="39" s="1"/>
  <c r="FI188" i="39" s="1"/>
  <c r="JW48" i="50"/>
  <c r="AF57" i="54" s="1"/>
  <c r="LE51" i="50"/>
  <c r="FK168" i="39" s="1"/>
  <c r="FK192" i="39" s="1"/>
  <c r="LE44" i="50"/>
  <c r="LE50" i="50"/>
  <c r="LE49" i="50"/>
  <c r="FK166" i="39" s="1"/>
  <c r="FK190" i="39" s="1"/>
  <c r="LE45" i="50"/>
  <c r="LE46" i="50"/>
  <c r="BD66" i="54" s="1"/>
  <c r="LE47" i="50"/>
  <c r="FK164" i="39" s="1"/>
  <c r="FK188" i="39" s="1"/>
  <c r="LE48" i="50"/>
  <c r="FK165" i="39" s="1"/>
  <c r="FK189" i="39" s="1"/>
  <c r="AV64" i="54"/>
  <c r="BD55" i="54"/>
  <c r="CB57" i="54"/>
  <c r="BL57" i="54"/>
  <c r="BL64" i="54"/>
  <c r="FI166" i="39"/>
  <c r="FI190" i="39" s="1"/>
  <c r="AN66" i="54"/>
  <c r="FH161" i="39"/>
  <c r="FH185" i="39" s="1"/>
  <c r="FK161" i="39"/>
  <c r="FK185" i="39" s="1"/>
  <c r="FK162" i="39"/>
  <c r="FK186" i="39" s="1"/>
  <c r="X66" i="54"/>
  <c r="FJ166" i="39"/>
  <c r="FJ190" i="39" s="1"/>
  <c r="FH168" i="39"/>
  <c r="FH192" i="39" s="1"/>
  <c r="FJ162" i="39"/>
  <c r="FJ186" i="39" s="1"/>
  <c r="AV57" i="54"/>
  <c r="FJ164" i="39"/>
  <c r="FJ188" i="39" s="1"/>
  <c r="FK167" i="39"/>
  <c r="FK191" i="39" s="1"/>
  <c r="BL66" i="54"/>
  <c r="FI161" i="39"/>
  <c r="FI185" i="39" s="1"/>
  <c r="X57" i="54"/>
  <c r="CB66" i="54"/>
  <c r="FH166" i="39"/>
  <c r="FH190" i="39" s="1"/>
  <c r="AV55" i="54"/>
  <c r="FK163" i="39"/>
  <c r="FK187" i="39" s="1"/>
  <c r="FI168" i="39"/>
  <c r="FI192" i="39" s="1"/>
  <c r="FH163" i="39"/>
  <c r="FH187" i="39" s="1"/>
  <c r="FJ167" i="39"/>
  <c r="FJ191" i="39" s="1"/>
  <c r="FI167" i="39"/>
  <c r="FI191" i="39" s="1"/>
  <c r="FH167" i="39" l="1"/>
  <c r="FH191" i="39" s="1"/>
  <c r="OO91" i="39" s="1"/>
  <c r="BT55" i="54"/>
  <c r="AN57" i="54"/>
  <c r="FI165" i="39"/>
  <c r="FI189" i="39" s="1"/>
  <c r="OP89" i="39" s="1"/>
  <c r="AF55" i="54"/>
  <c r="BT66" i="54"/>
  <c r="X64" i="54"/>
  <c r="FJ168" i="39"/>
  <c r="FJ192" i="39" s="1"/>
  <c r="OO92" i="39" s="1"/>
  <c r="BT57" i="54"/>
  <c r="AF66" i="54"/>
  <c r="FH188" i="39"/>
  <c r="OO88" i="39" s="1"/>
  <c r="OP85" i="39"/>
  <c r="AG41" i="43" s="1"/>
  <c r="JW54" i="50"/>
  <c r="S57" i="54" s="1"/>
  <c r="OP90" i="39"/>
  <c r="JV54" i="50"/>
  <c r="S55" i="54" s="1"/>
  <c r="OO85" i="39"/>
  <c r="AG39" i="43" s="1"/>
  <c r="FH162" i="39"/>
  <c r="LD54" i="50"/>
  <c r="S64" i="54" s="1"/>
  <c r="X55" i="54"/>
  <c r="AV66" i="54"/>
  <c r="FJ163" i="39"/>
  <c r="LE54" i="50"/>
  <c r="S66" i="54" s="1"/>
  <c r="BD57" i="54"/>
  <c r="FJ165" i="39"/>
  <c r="OP86" i="39"/>
  <c r="AW41" i="43" s="1"/>
  <c r="OO90" i="39"/>
  <c r="OP87" i="39"/>
  <c r="BM41" i="43" s="1"/>
  <c r="OP88" i="39"/>
  <c r="CC41" i="43" s="1"/>
  <c r="OP92" i="39"/>
  <c r="CK41" i="43" s="1"/>
  <c r="OP91" i="39"/>
  <c r="BU41" i="43" s="1"/>
  <c r="BE41" i="43" l="1"/>
  <c r="AO41" i="43"/>
  <c r="PC91" i="39"/>
  <c r="PU91" i="39" s="1"/>
  <c r="BM79" i="41" s="1"/>
  <c r="PC85" i="39"/>
  <c r="PH85" i="39" s="1"/>
  <c r="AG87" i="43" s="1"/>
  <c r="BE39" i="43"/>
  <c r="PC90" i="39"/>
  <c r="PU90" i="39" s="1"/>
  <c r="PV90" i="39" s="1"/>
  <c r="CK39" i="43"/>
  <c r="PC92" i="39"/>
  <c r="PH92" i="39" s="1"/>
  <c r="KT110" i="39" s="1"/>
  <c r="CC39" i="43"/>
  <c r="PC88" i="39"/>
  <c r="PH88" i="39" s="1"/>
  <c r="KT106" i="39" s="1"/>
  <c r="FH186" i="39"/>
  <c r="OO86" i="39" s="1"/>
  <c r="PC86" i="39" s="1"/>
  <c r="FJ189" i="39"/>
  <c r="OO89" i="39" s="1"/>
  <c r="PC89" i="39" s="1"/>
  <c r="FJ187" i="39"/>
  <c r="OO87" i="39" s="1"/>
  <c r="PC87" i="39" s="1"/>
  <c r="BU39" i="43"/>
  <c r="KW106" i="39" l="1"/>
  <c r="Y63" i="41"/>
  <c r="PU85" i="39"/>
  <c r="Y79" i="41" s="1"/>
  <c r="KT103" i="39"/>
  <c r="AO39" i="43"/>
  <c r="BM39" i="43"/>
  <c r="PH87" i="39"/>
  <c r="PI87" i="39" s="1"/>
  <c r="BM91" i="43" s="1"/>
  <c r="AW39" i="43"/>
  <c r="PU86" i="39"/>
  <c r="PI85" i="39"/>
  <c r="AG91" i="43" s="1"/>
  <c r="AW63" i="41"/>
  <c r="PH90" i="39"/>
  <c r="PI90" i="39" s="1"/>
  <c r="PU89" i="39"/>
  <c r="PV89" i="39" s="1"/>
  <c r="PI92" i="39"/>
  <c r="CK91" i="43" s="1"/>
  <c r="CK87" i="43"/>
  <c r="CC87" i="43"/>
  <c r="PI88" i="39"/>
  <c r="CC91" i="43" s="1"/>
  <c r="PU88" i="39"/>
  <c r="BU79" i="41" s="1"/>
  <c r="BU63" i="41"/>
  <c r="CC63" i="41"/>
  <c r="PU92" i="39"/>
  <c r="CC79" i="41" s="1"/>
  <c r="AW79" i="41"/>
  <c r="PH91" i="39"/>
  <c r="BM63" i="41"/>
  <c r="PV91" i="39"/>
  <c r="BM82" i="41" s="1"/>
  <c r="KW103" i="39" l="1"/>
  <c r="BE91" i="43"/>
  <c r="PV85" i="39"/>
  <c r="Y82" i="41" s="1"/>
  <c r="PU87" i="39"/>
  <c r="BE79" i="41" s="1"/>
  <c r="PV86" i="39"/>
  <c r="KT105" i="39"/>
  <c r="AO63" i="41"/>
  <c r="PH86" i="39"/>
  <c r="PI86" i="39" s="1"/>
  <c r="AW91" i="43" s="1"/>
  <c r="BM87" i="43"/>
  <c r="BE63" i="41"/>
  <c r="PH89" i="39"/>
  <c r="AG63" i="41"/>
  <c r="BE87" i="43"/>
  <c r="KT108" i="39"/>
  <c r="PV92" i="39"/>
  <c r="CC82" i="41" s="1"/>
  <c r="AG79" i="41"/>
  <c r="PV88" i="39"/>
  <c r="BU82" i="41" s="1"/>
  <c r="AW82" i="41"/>
  <c r="KT109" i="39"/>
  <c r="BU87" i="43"/>
  <c r="PI91" i="39"/>
  <c r="BU91" i="43" s="1"/>
  <c r="KW105" i="39" l="1"/>
  <c r="AG82" i="41"/>
  <c r="AO79" i="41"/>
  <c r="PV87" i="39"/>
  <c r="BE82" i="41" s="1"/>
  <c r="KT104" i="39"/>
  <c r="AW87" i="43"/>
  <c r="KT107" i="39"/>
  <c r="AO87" i="43"/>
  <c r="PI89" i="39"/>
  <c r="AO91" i="43" s="1"/>
  <c r="KX65" i="39"/>
  <c r="BO182" i="36" s="1"/>
  <c r="RR85" i="39"/>
  <c r="KX63" i="39"/>
  <c r="AO182" i="36" s="1"/>
  <c r="AU155" i="36"/>
  <c r="KX64" i="39"/>
  <c r="AZ182" i="36" s="1"/>
  <c r="NO315" i="39"/>
  <c r="RR67" i="39"/>
  <c r="RR76" i="39"/>
  <c r="KX62" i="39"/>
  <c r="AD182" i="36" s="1"/>
  <c r="KW104" i="39" l="1"/>
  <c r="AO82" i="41"/>
  <c r="KV63" i="39"/>
  <c r="KW63" i="39"/>
  <c r="AO105" i="41"/>
  <c r="RR69" i="39"/>
  <c r="RR78" i="39"/>
  <c r="RR87" i="39"/>
  <c r="BE105" i="41"/>
  <c r="KW62" i="39"/>
  <c r="KV62" i="39"/>
  <c r="NO316" i="39"/>
  <c r="KW65" i="39"/>
  <c r="KV65" i="39"/>
  <c r="RR79" i="39"/>
  <c r="RR70" i="39"/>
  <c r="RR88" i="39"/>
  <c r="BU105" i="41"/>
  <c r="KW64" i="39"/>
  <c r="KV64" i="39"/>
  <c r="Y105" i="41"/>
  <c r="NS315" i="39"/>
  <c r="NQ315" i="39"/>
  <c r="CC155" i="36"/>
  <c r="BJ155" i="36"/>
  <c r="AJ155" i="36"/>
  <c r="NU315" i="39"/>
  <c r="BU101" i="41"/>
  <c r="LB65" i="39" l="1"/>
  <c r="LD65" i="39"/>
  <c r="BY182" i="36" s="1"/>
  <c r="LB62" i="39"/>
  <c r="LD62" i="39"/>
  <c r="LB64" i="39"/>
  <c r="LD64" i="39"/>
  <c r="BH182" i="36" s="1"/>
  <c r="LB63" i="39"/>
  <c r="LC63" i="39" s="1"/>
  <c r="LD63" i="39"/>
  <c r="AS182" i="36" s="1"/>
  <c r="RR77" i="39"/>
  <c r="RR86" i="39"/>
  <c r="RR68" i="39"/>
  <c r="NQ305" i="39"/>
  <c r="NQ317" i="39" s="1"/>
  <c r="NQ316" i="39"/>
  <c r="AO101" i="41"/>
  <c r="BE101" i="41"/>
  <c r="NS305" i="39"/>
  <c r="NS317" i="39" s="1"/>
  <c r="NS316" i="39"/>
  <c r="NU305" i="39"/>
  <c r="NU317" i="39" s="1"/>
  <c r="NU316" i="39"/>
  <c r="Y101" i="41"/>
  <c r="LE64" i="39" l="1"/>
  <c r="LG64" i="39" s="1"/>
  <c r="BM101" i="41" s="1"/>
  <c r="LC64" i="39"/>
  <c r="NT315" i="39" s="1"/>
  <c r="LE62" i="39"/>
  <c r="LG62" i="39" s="1"/>
  <c r="AG101" i="41" s="1"/>
  <c r="LC62" i="39"/>
  <c r="NP315" i="39" s="1"/>
  <c r="LE65" i="39"/>
  <c r="LG65" i="39" s="1"/>
  <c r="LC65" i="39"/>
  <c r="NV315" i="39" s="1"/>
  <c r="LF62" i="39"/>
  <c r="LF65" i="39"/>
  <c r="AJ182" i="36"/>
  <c r="BJ182" i="36"/>
  <c r="AG182" i="36"/>
  <c r="LF64" i="39"/>
  <c r="NR315" i="39"/>
  <c r="LE63" i="39"/>
  <c r="LG63" i="39" s="1"/>
  <c r="LF63" i="39"/>
  <c r="AU182" i="36"/>
  <c r="BG127" i="41"/>
  <c r="BG129" i="41"/>
  <c r="NS318" i="39"/>
  <c r="BW129" i="41"/>
  <c r="NU318" i="39"/>
  <c r="BW127" i="41"/>
  <c r="AQ129" i="41"/>
  <c r="AQ127" i="41"/>
  <c r="NQ318" i="39"/>
  <c r="CC182" i="36"/>
  <c r="NP305" i="39" l="1"/>
  <c r="NP317" i="39" s="1"/>
  <c r="NP318" i="39" s="1"/>
  <c r="KQ110" i="39"/>
  <c r="KX110" i="39" s="1"/>
  <c r="KQ101" i="39"/>
  <c r="KX101" i="39" s="1"/>
  <c r="KQ92" i="39"/>
  <c r="KX92" i="39" s="1"/>
  <c r="RR73" i="39"/>
  <c r="KQ109" i="39"/>
  <c r="KX109" i="39" s="1"/>
  <c r="KQ91" i="39"/>
  <c r="KX91" i="39" s="1"/>
  <c r="KQ100" i="39"/>
  <c r="KX100" i="39" s="1"/>
  <c r="RR81" i="39"/>
  <c r="KQ108" i="39"/>
  <c r="KX108" i="39" s="1"/>
  <c r="KQ90" i="39"/>
  <c r="KX90" i="39" s="1"/>
  <c r="KQ99" i="39"/>
  <c r="KX99" i="39" s="1"/>
  <c r="RR80" i="39"/>
  <c r="KQ98" i="39"/>
  <c r="KX98" i="39" s="1"/>
  <c r="KQ89" i="39"/>
  <c r="KX89" i="39" s="1"/>
  <c r="KQ107" i="39"/>
  <c r="KX107" i="39" s="1"/>
  <c r="RP82" i="39"/>
  <c r="RQ82" i="39" s="1"/>
  <c r="RP91" i="39"/>
  <c r="RQ91" i="39" s="1"/>
  <c r="RP73" i="39"/>
  <c r="RQ73" i="39" s="1"/>
  <c r="RP80" i="39"/>
  <c r="RQ80" i="39" s="1"/>
  <c r="RP89" i="39"/>
  <c r="RQ89" i="39" s="1"/>
  <c r="RP71" i="39"/>
  <c r="RQ71" i="39" s="1"/>
  <c r="RP92" i="39"/>
  <c r="RQ92" i="39" s="1"/>
  <c r="RP74" i="39"/>
  <c r="RQ74" i="39" s="1"/>
  <c r="NP316" i="39"/>
  <c r="RR71" i="39"/>
  <c r="RP83" i="39"/>
  <c r="RQ83" i="39" s="1"/>
  <c r="AG105" i="41"/>
  <c r="RR91" i="39"/>
  <c r="RR82" i="39"/>
  <c r="BM105" i="41"/>
  <c r="RR89" i="39"/>
  <c r="NT316" i="39"/>
  <c r="NT305" i="39"/>
  <c r="BO129" i="41" s="1"/>
  <c r="RP81" i="39"/>
  <c r="RQ81" i="39" s="1"/>
  <c r="RP90" i="39"/>
  <c r="RQ90" i="39" s="1"/>
  <c r="RP72" i="39"/>
  <c r="RQ72" i="39" s="1"/>
  <c r="RR90" i="39"/>
  <c r="NR316" i="39"/>
  <c r="NR305" i="39"/>
  <c r="NR317" i="39" s="1"/>
  <c r="AW101" i="41"/>
  <c r="RR72" i="39"/>
  <c r="AW105" i="41"/>
  <c r="NV305" i="39"/>
  <c r="NV317" i="39" s="1"/>
  <c r="NV316" i="39"/>
  <c r="CC101" i="41"/>
  <c r="AQ217" i="41"/>
  <c r="AQ213" i="41"/>
  <c r="BG213" i="41"/>
  <c r="BG217" i="41"/>
  <c r="BW213" i="41"/>
  <c r="BW217" i="41"/>
  <c r="RR92" i="39"/>
  <c r="RR83" i="39"/>
  <c r="RR74" i="39"/>
  <c r="CC105" i="41"/>
  <c r="AI127" i="41" l="1"/>
  <c r="AI129" i="41"/>
  <c r="NT317" i="39"/>
  <c r="KV107" i="39"/>
  <c r="KW107" i="39"/>
  <c r="KW98" i="39"/>
  <c r="KV98" i="39"/>
  <c r="KW109" i="39"/>
  <c r="KV109" i="39"/>
  <c r="KV100" i="39"/>
  <c r="KW100" i="39"/>
  <c r="KV99" i="39"/>
  <c r="KW99" i="39"/>
  <c r="KV92" i="39"/>
  <c r="KW92" i="39"/>
  <c r="KV91" i="39"/>
  <c r="KW91" i="39"/>
  <c r="KW90" i="39"/>
  <c r="KV90" i="39"/>
  <c r="KW101" i="39"/>
  <c r="KV101" i="39"/>
  <c r="KV89" i="39"/>
  <c r="KW89" i="39"/>
  <c r="KV108" i="39"/>
  <c r="KW108" i="39"/>
  <c r="KV110" i="39"/>
  <c r="KW110" i="39"/>
  <c r="BO127" i="41"/>
  <c r="AY129" i="41"/>
  <c r="NR318" i="39"/>
  <c r="AY127" i="41"/>
  <c r="AI217" i="41"/>
  <c r="AI213" i="41"/>
  <c r="NV318" i="39"/>
  <c r="CE127" i="41"/>
  <c r="CE129" i="41"/>
  <c r="KY96" i="39" l="1"/>
  <c r="RG78" i="39" s="1"/>
  <c r="KY94" i="39"/>
  <c r="RG76" i="39" s="1"/>
  <c r="NT318" i="39"/>
  <c r="BO213" i="41" s="1"/>
  <c r="KY90" i="39"/>
  <c r="RG72" i="39" s="1"/>
  <c r="KY86" i="39"/>
  <c r="RG68" i="39" s="1"/>
  <c r="KY89" i="39"/>
  <c r="RG71" i="39" s="1"/>
  <c r="KY85" i="39"/>
  <c r="RG67" i="39" s="1"/>
  <c r="KY106" i="39"/>
  <c r="RG88" i="39" s="1"/>
  <c r="KY110" i="39"/>
  <c r="RG92" i="39" s="1"/>
  <c r="KY87" i="39"/>
  <c r="RG69" i="39" s="1"/>
  <c r="KY91" i="39"/>
  <c r="RG73" i="39" s="1"/>
  <c r="KY100" i="39"/>
  <c r="RG82" i="39" s="1"/>
  <c r="KY105" i="39"/>
  <c r="RG87" i="39" s="1"/>
  <c r="KY109" i="39"/>
  <c r="RG91" i="39" s="1"/>
  <c r="KY99" i="39"/>
  <c r="RG81" i="39" s="1"/>
  <c r="KY95" i="39"/>
  <c r="RG77" i="39" s="1"/>
  <c r="KY104" i="39"/>
  <c r="RG86" i="39" s="1"/>
  <c r="KY108" i="39"/>
  <c r="RG90" i="39" s="1"/>
  <c r="KY101" i="39"/>
  <c r="RG83" i="39" s="1"/>
  <c r="KY97" i="39"/>
  <c r="RG79" i="39" s="1"/>
  <c r="KY88" i="39"/>
  <c r="RG70" i="39" s="1"/>
  <c r="KY92" i="39"/>
  <c r="RG74" i="39" s="1"/>
  <c r="KY98" i="39"/>
  <c r="RG80" i="39" s="1"/>
  <c r="KY107" i="39"/>
  <c r="RG89" i="39" s="1"/>
  <c r="KY103" i="39"/>
  <c r="RG85" i="39" s="1"/>
  <c r="AY213" i="41"/>
  <c r="AY217" i="41"/>
  <c r="CE217" i="41"/>
  <c r="CE213" i="41"/>
  <c r="BO217" i="41" l="1"/>
  <c r="LA103" i="39"/>
  <c r="LB103" i="39" s="1"/>
  <c r="LC103" i="39" s="1"/>
  <c r="RH85" i="39" s="1"/>
  <c r="RK85" i="39" s="1"/>
  <c r="RL85" i="39" s="1"/>
  <c r="LA108" i="39"/>
  <c r="LB108" i="39" s="1"/>
  <c r="LC108" i="39" s="1"/>
  <c r="RH90" i="39" s="1"/>
  <c r="RK90" i="39" s="1"/>
  <c r="RL90" i="39" s="1"/>
  <c r="LA91" i="39"/>
  <c r="LB91" i="39" s="1"/>
  <c r="LC91" i="39" s="1"/>
  <c r="RH73" i="39" s="1"/>
  <c r="RK73" i="39" s="1"/>
  <c r="RL73" i="39" s="1"/>
  <c r="LA104" i="39"/>
  <c r="LB104" i="39" s="1"/>
  <c r="LC104" i="39" s="1"/>
  <c r="RH86" i="39" s="1"/>
  <c r="RK86" i="39" s="1"/>
  <c r="RL86" i="39" s="1"/>
  <c r="LA98" i="39"/>
  <c r="LB98" i="39" s="1"/>
  <c r="LC98" i="39" s="1"/>
  <c r="LA110" i="39"/>
  <c r="LB110" i="39" s="1"/>
  <c r="LC110" i="39" s="1"/>
  <c r="RH92" i="39" s="1"/>
  <c r="RK92" i="39" s="1"/>
  <c r="RL92" i="39" s="1"/>
  <c r="LA94" i="39"/>
  <c r="LB94" i="39" s="1"/>
  <c r="LC94" i="39" s="1"/>
  <c r="LA99" i="39"/>
  <c r="LB99" i="39" s="1"/>
  <c r="LC99" i="39" s="1"/>
  <c r="LA106" i="39"/>
  <c r="LB106" i="39" s="1"/>
  <c r="LC106" i="39" s="1"/>
  <c r="RH88" i="39" s="1"/>
  <c r="RK88" i="39" s="1"/>
  <c r="RL88" i="39" s="1"/>
  <c r="LA107" i="39"/>
  <c r="LB107" i="39" s="1"/>
  <c r="LC107" i="39" s="1"/>
  <c r="RH89" i="39" s="1"/>
  <c r="RK89" i="39" s="1"/>
  <c r="RL89" i="39" s="1"/>
  <c r="LA95" i="39"/>
  <c r="LB95" i="39" s="1"/>
  <c r="LC95" i="39" s="1"/>
  <c r="LA92" i="39"/>
  <c r="LB92" i="39" s="1"/>
  <c r="LC92" i="39" s="1"/>
  <c r="RH74" i="39" s="1"/>
  <c r="RK74" i="39" s="1"/>
  <c r="RL74" i="39" s="1"/>
  <c r="LA109" i="39"/>
  <c r="LB109" i="39" s="1"/>
  <c r="LC109" i="39" s="1"/>
  <c r="RH91" i="39" s="1"/>
  <c r="RK91" i="39" s="1"/>
  <c r="RL91" i="39" s="1"/>
  <c r="LA85" i="39"/>
  <c r="LB85" i="39" s="1"/>
  <c r="LC85" i="39" s="1"/>
  <c r="RH67" i="39" s="1"/>
  <c r="LA88" i="39"/>
  <c r="LB88" i="39" s="1"/>
  <c r="LC88" i="39" s="1"/>
  <c r="RH70" i="39" s="1"/>
  <c r="RK70" i="39" s="1"/>
  <c r="RL70" i="39" s="1"/>
  <c r="LA105" i="39"/>
  <c r="LB105" i="39" s="1"/>
  <c r="LC105" i="39" s="1"/>
  <c r="RH87" i="39" s="1"/>
  <c r="RK87" i="39" s="1"/>
  <c r="RL87" i="39" s="1"/>
  <c r="LA89" i="39"/>
  <c r="LB89" i="39" s="1"/>
  <c r="LC89" i="39" s="1"/>
  <c r="RH71" i="39" s="1"/>
  <c r="RK71" i="39" s="1"/>
  <c r="RL71" i="39" s="1"/>
  <c r="LA87" i="39"/>
  <c r="LB87" i="39" s="1"/>
  <c r="LC87" i="39" s="1"/>
  <c r="RH69" i="39" s="1"/>
  <c r="RK69" i="39" s="1"/>
  <c r="RL69" i="39" s="1"/>
  <c r="LA97" i="39"/>
  <c r="LB97" i="39" s="1"/>
  <c r="LC97" i="39" s="1"/>
  <c r="LA100" i="39"/>
  <c r="LB100" i="39" s="1"/>
  <c r="LC100" i="39" s="1"/>
  <c r="LA86" i="39"/>
  <c r="LB86" i="39" s="1"/>
  <c r="LC86" i="39" s="1"/>
  <c r="RH68" i="39" s="1"/>
  <c r="RK68" i="39" s="1"/>
  <c r="RL68" i="39" s="1"/>
  <c r="LA101" i="39"/>
  <c r="LB101" i="39" s="1"/>
  <c r="LC101" i="39" s="1"/>
  <c r="LA96" i="39"/>
  <c r="LB96" i="39" s="1"/>
  <c r="LC96" i="39" s="1"/>
  <c r="RH78" i="39" s="1"/>
  <c r="LA90" i="39"/>
  <c r="LB90" i="39" s="1"/>
  <c r="LC90" i="39" s="1"/>
  <c r="RH72" i="39" s="1"/>
  <c r="RK72" i="39" s="1"/>
  <c r="RL72" i="39" s="1"/>
  <c r="IO118" i="39" l="1"/>
  <c r="GC25" i="67" s="1"/>
  <c r="RK67" i="39"/>
  <c r="RL67" i="39" s="1"/>
  <c r="RO67" i="39" s="1"/>
  <c r="RW67" i="39" s="1"/>
  <c r="RX67" i="39" s="1"/>
  <c r="AG112" i="41"/>
  <c r="LK147" i="39"/>
  <c r="AO112" i="41"/>
  <c r="RK78" i="39"/>
  <c r="RL78" i="39" s="1"/>
  <c r="BE26" i="22"/>
  <c r="BE121" i="41"/>
  <c r="RN73" i="39"/>
  <c r="RM73" i="39" s="1"/>
  <c r="RO73" i="39"/>
  <c r="RW73" i="39" s="1"/>
  <c r="RX73" i="39" s="1"/>
  <c r="RO87" i="39"/>
  <c r="RW87" i="39" s="1"/>
  <c r="RX87" i="39" s="1"/>
  <c r="RN87" i="39"/>
  <c r="RM87" i="39" s="1"/>
  <c r="RO69" i="39"/>
  <c r="RW69" i="39" s="1"/>
  <c r="RX69" i="39" s="1"/>
  <c r="RN69" i="39"/>
  <c r="RM69" i="39" s="1"/>
  <c r="RN91" i="39"/>
  <c r="RM91" i="39" s="1"/>
  <c r="RO91" i="39"/>
  <c r="RW91" i="39" s="1"/>
  <c r="RX91" i="39" s="1"/>
  <c r="RN72" i="39"/>
  <c r="RM72" i="39" s="1"/>
  <c r="RO72" i="39"/>
  <c r="RW72" i="39" s="1"/>
  <c r="RX72" i="39" s="1"/>
  <c r="BE112" i="41"/>
  <c r="RH82" i="39"/>
  <c r="IP118" i="39" s="1"/>
  <c r="HV25" i="67" s="1"/>
  <c r="RH81" i="39"/>
  <c r="LK146" i="39"/>
  <c r="RO86" i="39"/>
  <c r="RW86" i="39" s="1"/>
  <c r="RX86" i="39" s="1"/>
  <c r="RN86" i="39"/>
  <c r="RM86" i="39" s="1"/>
  <c r="RN70" i="39"/>
  <c r="RM70" i="39" s="1"/>
  <c r="RO70" i="39"/>
  <c r="RW70" i="39" s="1"/>
  <c r="RX70" i="39" s="1"/>
  <c r="RH77" i="39"/>
  <c r="IM118" i="39" s="1"/>
  <c r="CQ25" i="67" s="1"/>
  <c r="LK142" i="39"/>
  <c r="RH76" i="39"/>
  <c r="IK118" i="39" s="1"/>
  <c r="E25" i="67" s="1"/>
  <c r="LK141" i="39"/>
  <c r="RH83" i="39"/>
  <c r="IR118" i="39" s="1"/>
  <c r="LH25" i="67" s="1"/>
  <c r="LK148" i="39"/>
  <c r="RH79" i="39"/>
  <c r="IQ118" i="39" s="1"/>
  <c r="JO25" i="67" s="1"/>
  <c r="LK144" i="39"/>
  <c r="RO89" i="39"/>
  <c r="RW89" i="39" s="1"/>
  <c r="RX89" i="39" s="1"/>
  <c r="RN89" i="39"/>
  <c r="RM89" i="39" s="1"/>
  <c r="CC112" i="41"/>
  <c r="RO90" i="39"/>
  <c r="RW90" i="39" s="1"/>
  <c r="RX90" i="39" s="1"/>
  <c r="RN90" i="39"/>
  <c r="RM90" i="39" s="1"/>
  <c r="RN74" i="39"/>
  <c r="RM74" i="39" s="1"/>
  <c r="RO74" i="39"/>
  <c r="RW74" i="39" s="1"/>
  <c r="RX74" i="39" s="1"/>
  <c r="RO71" i="39"/>
  <c r="RW71" i="39" s="1"/>
  <c r="RX71" i="39" s="1"/>
  <c r="RN71" i="39"/>
  <c r="RM71" i="39" s="1"/>
  <c r="RN92" i="39"/>
  <c r="RM92" i="39" s="1"/>
  <c r="RO92" i="39"/>
  <c r="RW92" i="39" s="1"/>
  <c r="RX92" i="39" s="1"/>
  <c r="AW112" i="41"/>
  <c r="RO68" i="39"/>
  <c r="RW68" i="39" s="1"/>
  <c r="RX68" i="39" s="1"/>
  <c r="RN68" i="39"/>
  <c r="RM68" i="39" s="1"/>
  <c r="BM112" i="41"/>
  <c r="BU112" i="41"/>
  <c r="RH80" i="39"/>
  <c r="IL118" i="39" s="1"/>
  <c r="AX25" i="67" s="1"/>
  <c r="LK145" i="39"/>
  <c r="Y112" i="41"/>
  <c r="LK143" i="39"/>
  <c r="RN88" i="39"/>
  <c r="RM88" i="39" s="1"/>
  <c r="RO88" i="39"/>
  <c r="RW88" i="39" s="1"/>
  <c r="RX88" i="39" s="1"/>
  <c r="RN85" i="39"/>
  <c r="RM85" i="39" s="1"/>
  <c r="RO85" i="39"/>
  <c r="RW85" i="39" s="1"/>
  <c r="RX85" i="39" s="1"/>
  <c r="IN118" i="39" l="1"/>
  <c r="EJ25" i="67" s="1"/>
  <c r="RK76" i="39"/>
  <c r="RL76" i="39" s="1"/>
  <c r="RO76" i="39" s="1"/>
  <c r="RW76" i="39" s="1"/>
  <c r="Y213" i="41" s="1"/>
  <c r="RN67" i="39"/>
  <c r="RM67" i="39" s="1"/>
  <c r="RN78" i="39"/>
  <c r="RO78" i="39"/>
  <c r="RW78" i="39" s="1"/>
  <c r="Y26" i="22"/>
  <c r="Y121" i="41"/>
  <c r="RK81" i="39"/>
  <c r="RL81" i="39" s="1"/>
  <c r="AW26" i="22"/>
  <c r="AW121" i="41"/>
  <c r="RK82" i="39"/>
  <c r="RL82" i="39" s="1"/>
  <c r="BM26" i="22"/>
  <c r="BM121" i="41"/>
  <c r="RY69" i="39"/>
  <c r="RZ69" i="39" s="1"/>
  <c r="RY72" i="39"/>
  <c r="RZ72" i="39" s="1"/>
  <c r="RY74" i="39"/>
  <c r="RZ74" i="39" s="1"/>
  <c r="RY68" i="39"/>
  <c r="RZ68" i="39" s="1"/>
  <c r="RY73" i="39"/>
  <c r="RZ73" i="39" s="1"/>
  <c r="RY67" i="39"/>
  <c r="RZ67" i="39" s="1"/>
  <c r="RY71" i="39"/>
  <c r="RZ71" i="39" s="1"/>
  <c r="RY75" i="39"/>
  <c r="RZ75" i="39" s="1"/>
  <c r="RY70" i="39"/>
  <c r="RZ70" i="39" s="1"/>
  <c r="RK77" i="39"/>
  <c r="RL77" i="39" s="1"/>
  <c r="AO26" i="22"/>
  <c r="AO121" i="41"/>
  <c r="RK83" i="39"/>
  <c r="RL83" i="39" s="1"/>
  <c r="CC26" i="22"/>
  <c r="CC121" i="41"/>
  <c r="AG26" i="22"/>
  <c r="RK80" i="39"/>
  <c r="RL80" i="39" s="1"/>
  <c r="AG121" i="41"/>
  <c r="RY88" i="39"/>
  <c r="RZ88" i="39" s="1"/>
  <c r="RY87" i="39"/>
  <c r="RZ87" i="39" s="1"/>
  <c r="RY86" i="39"/>
  <c r="RZ86" i="39" s="1"/>
  <c r="RY92" i="39"/>
  <c r="RZ92" i="39" s="1"/>
  <c r="RY85" i="39"/>
  <c r="RZ85" i="39" s="1"/>
  <c r="RY90" i="39"/>
  <c r="RZ90" i="39" s="1"/>
  <c r="RY93" i="39"/>
  <c r="RZ93" i="39" s="1"/>
  <c r="RY91" i="39"/>
  <c r="RZ91" i="39" s="1"/>
  <c r="RY89" i="39"/>
  <c r="RZ89" i="39" s="1"/>
  <c r="RK79" i="39"/>
  <c r="RL79" i="39" s="1"/>
  <c r="BU26" i="22"/>
  <c r="BU121" i="41"/>
  <c r="RN76" i="39" l="1"/>
  <c r="RM76" i="39" s="1"/>
  <c r="Y129" i="41" s="1"/>
  <c r="RX76" i="39"/>
  <c r="Y217" i="41" s="1"/>
  <c r="RO82" i="39"/>
  <c r="RW82" i="39" s="1"/>
  <c r="RX82" i="39" s="1"/>
  <c r="BM217" i="41" s="1"/>
  <c r="RN82" i="39"/>
  <c r="BE213" i="41"/>
  <c r="RX78" i="39"/>
  <c r="BE217" i="41" s="1"/>
  <c r="RM78" i="39"/>
  <c r="BE129" i="41" s="1"/>
  <c r="BE127" i="41"/>
  <c r="RO83" i="39"/>
  <c r="RW83" i="39" s="1"/>
  <c r="RN83" i="39"/>
  <c r="RO79" i="39"/>
  <c r="RW79" i="39" s="1"/>
  <c r="RN79" i="39"/>
  <c r="RN81" i="39"/>
  <c r="RO81" i="39"/>
  <c r="RW81" i="39" s="1"/>
  <c r="RO77" i="39"/>
  <c r="RW77" i="39" s="1"/>
  <c r="RN77" i="39"/>
  <c r="RO80" i="39"/>
  <c r="RW80" i="39" s="1"/>
  <c r="RN80" i="39"/>
  <c r="Y127" i="41" l="1"/>
  <c r="BM213" i="41"/>
  <c r="BM127" i="41"/>
  <c r="RM82" i="39"/>
  <c r="BM129" i="41" s="1"/>
  <c r="RM81" i="39"/>
  <c r="AW127" i="41"/>
  <c r="RM79" i="39"/>
  <c r="BU129" i="41" s="1"/>
  <c r="BU127" i="41"/>
  <c r="AO213" i="41"/>
  <c r="RX77" i="39"/>
  <c r="RX81" i="39"/>
  <c r="AW213" i="41"/>
  <c r="BU213" i="41"/>
  <c r="RX79" i="39"/>
  <c r="BU217" i="41" s="1"/>
  <c r="RM80" i="39"/>
  <c r="AG127" i="41"/>
  <c r="CC127" i="41"/>
  <c r="RM83" i="39"/>
  <c r="CC129" i="41" s="1"/>
  <c r="AG213" i="41"/>
  <c r="RX80" i="39"/>
  <c r="RX83" i="39"/>
  <c r="CC217" i="41" s="1"/>
  <c r="CC213" i="41"/>
  <c r="RM77" i="39"/>
  <c r="AO129" i="41" s="1"/>
  <c r="AO127" i="41"/>
  <c r="AG217" i="41" l="1"/>
  <c r="AG129" i="41"/>
  <c r="AW217" i="41"/>
  <c r="AW129" i="41"/>
  <c r="AO217" i="41"/>
  <c r="RY80" i="39"/>
  <c r="RZ80" i="39" s="1"/>
  <c r="RY77" i="39"/>
  <c r="RZ77" i="39" s="1"/>
  <c r="RY79" i="39"/>
  <c r="RZ79" i="39" s="1"/>
  <c r="RY81" i="39"/>
  <c r="RZ81" i="39" s="1"/>
  <c r="RY82" i="39"/>
  <c r="RZ82" i="39" s="1"/>
  <c r="RY78" i="39"/>
  <c r="RZ78" i="39" s="1"/>
  <c r="RY76" i="39"/>
  <c r="RZ76" i="39" s="1"/>
  <c r="RY84" i="39"/>
  <c r="RZ84" i="39" s="1"/>
  <c r="RY83" i="39"/>
  <c r="RZ83" i="39" s="1"/>
  <c r="AW248" i="41" l="1"/>
  <c r="BM248" i="41"/>
  <c r="BU248" i="41"/>
  <c r="AO248" i="41"/>
  <c r="CC248" i="41"/>
  <c r="AG248" i="41"/>
  <c r="Y248" i="41"/>
  <c r="BE248" i="41"/>
  <c r="CK248" i="41"/>
  <c r="PL176" i="39" l="1"/>
  <c r="PO206" i="39"/>
  <c r="PP206" i="39" s="1"/>
  <c r="NO357" i="39" l="1"/>
  <c r="AI75" i="43" s="1"/>
  <c r="PQ206" i="39"/>
  <c r="PV206" i="39"/>
  <c r="PO215" i="39"/>
  <c r="PQ215" i="39" l="1"/>
  <c r="PV215" i="39"/>
  <c r="LL141" i="39" s="1"/>
  <c r="NO289" i="39"/>
  <c r="PP215" i="39"/>
  <c r="NO290" i="39" l="1"/>
  <c r="NO291" i="39" s="1"/>
  <c r="AA82" i="41" s="1"/>
  <c r="NO304" i="39"/>
  <c r="NO346" i="39"/>
  <c r="NO359" i="39"/>
  <c r="AA26" i="22"/>
  <c r="AA71" i="41"/>
  <c r="Z66" i="54" l="1"/>
  <c r="Z116" i="54"/>
  <c r="Z114" i="54"/>
  <c r="Z89" i="54"/>
  <c r="Z80" i="54"/>
  <c r="Z107" i="54"/>
  <c r="Z120" i="54"/>
  <c r="Z43" i="54"/>
  <c r="Z91" i="54"/>
  <c r="Z34" i="54"/>
  <c r="Z36" i="54"/>
  <c r="Z127" i="54"/>
  <c r="Z64" i="54"/>
  <c r="Z98" i="54"/>
  <c r="Z138" i="54"/>
  <c r="Z57" i="54"/>
  <c r="Z105" i="54"/>
  <c r="Z78" i="54"/>
  <c r="Z45" i="54"/>
  <c r="Z76" i="54"/>
  <c r="Z55" i="54"/>
  <c r="Z87" i="54"/>
  <c r="Z136" i="54"/>
  <c r="Z129" i="54"/>
  <c r="AA121" i="41"/>
  <c r="AA79" i="41"/>
  <c r="NO305" i="39"/>
  <c r="AA129" i="41" s="1"/>
  <c r="AI87" i="43"/>
  <c r="AI91" i="43"/>
  <c r="AA127" i="41" l="1"/>
  <c r="NO317" i="39"/>
  <c r="NX317" i="39" l="1"/>
  <c r="NO318" i="39"/>
  <c r="NX318" i="39" l="1"/>
  <c r="AA213" i="41"/>
  <c r="AA217" i="41"/>
  <c r="AW223" i="41" l="1"/>
  <c r="CK223" i="41"/>
  <c r="AO223" i="41"/>
  <c r="BU223" i="41"/>
  <c r="AG223" i="41"/>
  <c r="CC223" i="41"/>
  <c r="BM223" i="41"/>
  <c r="Y223" i="41"/>
  <c r="BE223" i="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<sst xmlns="http://schemas.openxmlformats.org/spreadsheetml/2006/main" count="6446" uniqueCount="2794">
  <si>
    <t>Sonderboring</t>
  </si>
  <si>
    <t>Kjerneboring</t>
  </si>
  <si>
    <t>Seismikk</t>
  </si>
  <si>
    <t>Sporadisk injeksjon</t>
  </si>
  <si>
    <t>Boring</t>
  </si>
  <si>
    <t>Injeksjon</t>
  </si>
  <si>
    <t>Kontrollhull</t>
  </si>
  <si>
    <t>Systematisk injeksjon</t>
  </si>
  <si>
    <t>kapasitet</t>
  </si>
  <si>
    <t>Sonderboring inkl. lekkasjemåling, avh. av antall hull, her antas 4</t>
  </si>
  <si>
    <t>bor-m/h</t>
  </si>
  <si>
    <t>Kjerneboring (time for time, inngår i ventetid)</t>
  </si>
  <si>
    <t>Seismikk (time for time, inngår i ventetid)</t>
  </si>
  <si>
    <t>Rigg inkl. herdetid, stk = opp- og nedrigg pr skjerm</t>
  </si>
  <si>
    <t>stk/h</t>
  </si>
  <si>
    <t>Boring (alle hull bores og pakkes før injeksjon starter)</t>
  </si>
  <si>
    <t>Injeksjon (pumping), type sement, antall linjer, her antas 4</t>
  </si>
  <si>
    <t>tonn/h</t>
  </si>
  <si>
    <t>-</t>
  </si>
  <si>
    <t>Kontrollhull inkl. lekkasjemåling</t>
  </si>
  <si>
    <t>Rigg inkl. herdetid</t>
  </si>
  <si>
    <t>Foreslått</t>
  </si>
  <si>
    <t>Eksisterende</t>
  </si>
  <si>
    <t>Normal salve, tverrsnittsavhengig, 50 m3/h gjelder for T9,5 T5,5 – T12 justeres etter NTNU-modell</t>
  </si>
  <si>
    <t>m3/h</t>
  </si>
  <si>
    <t>Ikke avhengig av geologi</t>
  </si>
  <si>
    <t>Ikke tillegg for synk</t>
  </si>
  <si>
    <t>Nisjer, teknisk rom, med mer, kapasitet som for normal salve</t>
  </si>
  <si>
    <t>Halv salvelengde eller todelt salve</t>
  </si>
  <si>
    <t>Halv salvelengde, todelt tverrsnitt</t>
  </si>
  <si>
    <t>Manuell driftsrensk</t>
  </si>
  <si>
    <t>h/h</t>
  </si>
  <si>
    <t>Geologisk kartlegging (bygeherrens halvtime), brukes sjelden fullt ut, bygger opp «bunnfradrag» for entreprenør holdes utenfor ekvivalenttidsregnskapet?</t>
  </si>
  <si>
    <t>Sluttrensk legges til start etterarbeider</t>
  </si>
  <si>
    <t>Bolter alle typer, &lt;= 4 m (ikke bak stuff forutsatt «all» sikring på stuff)</t>
  </si>
  <si>
    <t>Bolter alle typer &gt; 4 m (ikke bak stuff forutsatt «all» sikring på stuff)</t>
  </si>
  <si>
    <t>Bergbånd</t>
  </si>
  <si>
    <t>m/h</t>
  </si>
  <si>
    <t>Nett</t>
  </si>
  <si>
    <t>m2/h</t>
  </si>
  <si>
    <t>Sprøytebetong, all bruk</t>
  </si>
  <si>
    <t>Buer (omfatter radielle bolter, braketter, armering)</t>
  </si>
  <si>
    <t>bue-m/h</t>
  </si>
  <si>
    <t>Sikringsstøp med fundament (for 1., 2. og 3. støp)</t>
  </si>
  <si>
    <t>Sikringsstøp med fundament (for 4. og etterfølgende støper)</t>
  </si>
  <si>
    <t>Nisj</t>
  </si>
  <si>
    <t>h</t>
  </si>
  <si>
    <t>Type</t>
  </si>
  <si>
    <t>Name</t>
  </si>
  <si>
    <t>General information</t>
  </si>
  <si>
    <t>Factor</t>
  </si>
  <si>
    <t>Project name</t>
  </si>
  <si>
    <t>Tunnel name</t>
  </si>
  <si>
    <t>Tunnel details</t>
  </si>
  <si>
    <t>Tunnel profile</t>
  </si>
  <si>
    <t>Valg fra N500</t>
  </si>
  <si>
    <t>Construction type</t>
  </si>
  <si>
    <t>Construction details</t>
  </si>
  <si>
    <t>Work week duration</t>
  </si>
  <si>
    <t>Prosjektnavn</t>
  </si>
  <si>
    <t>Tunnelnavn</t>
  </si>
  <si>
    <t>Tunneldata</t>
  </si>
  <si>
    <t>Tunnelprofil</t>
  </si>
  <si>
    <t>Lengde eks. portaler</t>
  </si>
  <si>
    <t>ÅDT</t>
  </si>
  <si>
    <t>Auto + brukerinput</t>
  </si>
  <si>
    <t>Tunnelklasse</t>
  </si>
  <si>
    <t>Antall løp</t>
  </si>
  <si>
    <t>Angrepspunkter</t>
  </si>
  <si>
    <t>Tidsbestemmende stuff</t>
  </si>
  <si>
    <t>Geologi</t>
  </si>
  <si>
    <t>med mer</t>
  </si>
  <si>
    <t>Total</t>
  </si>
  <si>
    <t>Mengde</t>
  </si>
  <si>
    <t xml:space="preserve">Sonderboring </t>
  </si>
  <si>
    <t>Sporadisk</t>
  </si>
  <si>
    <t>Systematisk</t>
  </si>
  <si>
    <t>Rigg</t>
  </si>
  <si>
    <t>m</t>
  </si>
  <si>
    <t>bor-m</t>
  </si>
  <si>
    <t>Beregnet tid</t>
  </si>
  <si>
    <t>Sprengning</t>
  </si>
  <si>
    <t>Sprengning
og utlasting</t>
  </si>
  <si>
    <t>Arbeider
foran stuff</t>
  </si>
  <si>
    <t>Redusert salvelengde</t>
  </si>
  <si>
    <t>Todelt tverrsnitt</t>
  </si>
  <si>
    <r>
      <t>m</t>
    </r>
    <r>
      <rPr>
        <vertAlign val="superscript"/>
        <sz val="11"/>
        <color theme="1"/>
        <rFont val="Georgia Pro"/>
        <family val="1"/>
      </rPr>
      <t>3</t>
    </r>
  </si>
  <si>
    <t>Redusert salvelengde
og todelt tverrsnitt</t>
  </si>
  <si>
    <t>Enhetstid</t>
  </si>
  <si>
    <t>Klasse A</t>
  </si>
  <si>
    <t>Klasse B</t>
  </si>
  <si>
    <t>Klasse C</t>
  </si>
  <si>
    <t>Klasse D</t>
  </si>
  <si>
    <t>Klasse E1</t>
  </si>
  <si>
    <t>Klasse E2</t>
  </si>
  <si>
    <t>Klasse F</t>
  </si>
  <si>
    <t>Klasse G</t>
  </si>
  <si>
    <t>stk</t>
  </si>
  <si>
    <t>Stabilitets-
sikring</t>
  </si>
  <si>
    <r>
      <t>m</t>
    </r>
    <r>
      <rPr>
        <vertAlign val="superscript"/>
        <sz val="11"/>
        <color theme="1"/>
        <rFont val="Georgia Pro"/>
        <family val="1"/>
      </rPr>
      <t>3</t>
    </r>
    <r>
      <rPr>
        <sz val="11"/>
        <color theme="1"/>
        <rFont val="Georgia Pro"/>
        <family val="1"/>
      </rPr>
      <t>/h</t>
    </r>
  </si>
  <si>
    <t>Enhet</t>
  </si>
  <si>
    <t>Manuell</t>
  </si>
  <si>
    <t>Alle typer ≤ 4 meter</t>
  </si>
  <si>
    <r>
      <t>m</t>
    </r>
    <r>
      <rPr>
        <vertAlign val="superscript"/>
        <sz val="11"/>
        <color theme="1"/>
        <rFont val="Georgia Pro"/>
        <family val="1"/>
      </rPr>
      <t>2</t>
    </r>
  </si>
  <si>
    <r>
      <t>m</t>
    </r>
    <r>
      <rPr>
        <vertAlign val="superscript"/>
        <sz val="11"/>
        <color theme="1"/>
        <rFont val="Georgia Pro"/>
        <family val="1"/>
      </rPr>
      <t>2</t>
    </r>
    <r>
      <rPr>
        <sz val="11"/>
        <color theme="1"/>
        <rFont val="Georgia Pro"/>
        <family val="1"/>
      </rPr>
      <t>/h</t>
    </r>
  </si>
  <si>
    <t>Sprøytebetong</t>
  </si>
  <si>
    <t>Buer</t>
  </si>
  <si>
    <t>Sikringsstøp</t>
  </si>
  <si>
    <t>For 1., 2. og 3. støp</t>
  </si>
  <si>
    <t>For 4. og
etterfølgende støper</t>
  </si>
  <si>
    <t>Beregnet byggetid</t>
  </si>
  <si>
    <t>Forberedende arbeider</t>
  </si>
  <si>
    <t>Veg</t>
  </si>
  <si>
    <t>Elektro</t>
  </si>
  <si>
    <t>Testing</t>
  </si>
  <si>
    <t>Justeringer</t>
  </si>
  <si>
    <t>Nisjer</t>
  </si>
  <si>
    <t>Snunisjer</t>
  </si>
  <si>
    <t>Tverrforbindelser</t>
  </si>
  <si>
    <t>Tekniske rom</t>
  </si>
  <si>
    <t>Siktutvidelse</t>
  </si>
  <si>
    <t>Utvidelse for tung sikring</t>
  </si>
  <si>
    <t>Pumpesump</t>
  </si>
  <si>
    <t>Sprengningsvolum</t>
  </si>
  <si>
    <t>Oppsummering av beregnet byggetid</t>
  </si>
  <si>
    <t>Forberedende arbeider byggetid</t>
  </si>
  <si>
    <t>Vann -og frostsikring</t>
  </si>
  <si>
    <t>Totatle vann -og frostsikring byggetid</t>
  </si>
  <si>
    <t>Totatle testing tid</t>
  </si>
  <si>
    <t>Totale elektrisk arbied tid</t>
  </si>
  <si>
    <t>Totatle vegarbeidstid</t>
  </si>
  <si>
    <t>Info.</t>
  </si>
  <si>
    <t>Kapasitet</t>
  </si>
  <si>
    <t>Switch tube</t>
  </si>
  <si>
    <t>Delsum</t>
  </si>
  <si>
    <t>Sprengingsvibrasjoner</t>
  </si>
  <si>
    <t>Skytetidspunkt</t>
  </si>
  <si>
    <t>Støyende arbeider</t>
  </si>
  <si>
    <t>Begrunnelse</t>
  </si>
  <si>
    <t>Driving og sikring</t>
  </si>
  <si>
    <t>T9,5</t>
  </si>
  <si>
    <t>Tunnel types</t>
  </si>
  <si>
    <t>T8,5</t>
  </si>
  <si>
    <t>en stuff to stuffer</t>
  </si>
  <si>
    <t>Arbeidsuke lengde</t>
  </si>
  <si>
    <t>Annet</t>
  </si>
  <si>
    <t>uker</t>
  </si>
  <si>
    <t>Portaler</t>
  </si>
  <si>
    <t>Andre arbeider</t>
  </si>
  <si>
    <t>i</t>
  </si>
  <si>
    <t>Vekseldrift</t>
  </si>
  <si>
    <t>Standard</t>
  </si>
  <si>
    <t>Alternativ</t>
  </si>
  <si>
    <t>Forberedende
arbeider</t>
  </si>
  <si>
    <t>Link</t>
  </si>
  <si>
    <t>Notes (Hidden later)</t>
  </si>
  <si>
    <t>T4</t>
  </si>
  <si>
    <t>T5,5</t>
  </si>
  <si>
    <t>T11,5</t>
  </si>
  <si>
    <t>T7,5</t>
  </si>
  <si>
    <t>T10,5</t>
  </si>
  <si>
    <t>T12,5</t>
  </si>
  <si>
    <t>T13</t>
  </si>
  <si>
    <t>T13,5</t>
  </si>
  <si>
    <t>T14,0</t>
  </si>
  <si>
    <t>Area_n</t>
  </si>
  <si>
    <t>Area_s</t>
  </si>
  <si>
    <t>Teoretisk tverrsnittsareal</t>
  </si>
  <si>
    <t>Stuff</t>
  </si>
  <si>
    <t>No</t>
  </si>
  <si>
    <t>Stuff 1</t>
  </si>
  <si>
    <t>Stuff 2</t>
  </si>
  <si>
    <t>Stuff 3</t>
  </si>
  <si>
    <t>Stuff 4</t>
  </si>
  <si>
    <t>Stuff_no</t>
  </si>
  <si>
    <t>11face</t>
  </si>
  <si>
    <t>12face</t>
  </si>
  <si>
    <t>13face</t>
  </si>
  <si>
    <t>14face</t>
  </si>
  <si>
    <t>22face</t>
  </si>
  <si>
    <t>24face</t>
  </si>
  <si>
    <t>26face</t>
  </si>
  <si>
    <t>28face</t>
  </si>
  <si>
    <t>Stuff 5</t>
  </si>
  <si>
    <t>Stuff 6</t>
  </si>
  <si>
    <t>Stuff 7</t>
  </si>
  <si>
    <t>Stuff 8</t>
  </si>
  <si>
    <t>Column1</t>
  </si>
  <si>
    <t>Config</t>
  </si>
  <si>
    <t>A</t>
  </si>
  <si>
    <t>B</t>
  </si>
  <si>
    <t>C</t>
  </si>
  <si>
    <t>D</t>
  </si>
  <si>
    <t>Meetingpoint</t>
  </si>
  <si>
    <t>It's a race!</t>
  </si>
  <si>
    <t>Percentage based</t>
  </si>
  <si>
    <t>dager</t>
  </si>
  <si>
    <t>date</t>
  </si>
  <si>
    <t>total</t>
  </si>
  <si>
    <t>config</t>
  </si>
  <si>
    <t>Stuff delay</t>
  </si>
  <si>
    <t>Stuff working partition</t>
  </si>
  <si>
    <t>percentage</t>
  </si>
  <si>
    <t>stuff</t>
  </si>
  <si>
    <t>first</t>
  </si>
  <si>
    <t>second</t>
  </si>
  <si>
    <t>antall løp</t>
  </si>
  <si>
    <t>tunneltype</t>
  </si>
  <si>
    <t>Løp 1</t>
  </si>
  <si>
    <t>location</t>
  </si>
  <si>
    <t>Løp 2</t>
  </si>
  <si>
    <t>adit configu</t>
  </si>
  <si>
    <t>Begge løp</t>
  </si>
  <si>
    <t>Tunneldriftsinformasjon</t>
  </si>
  <si>
    <t>Stuff-
informasjon</t>
  </si>
  <si>
    <t>stuff number</t>
  </si>
  <si>
    <t>adit possible?</t>
  </si>
  <si>
    <t>lane, stuff, adit, metod</t>
  </si>
  <si>
    <t>lane, stuff, metod, config</t>
  </si>
  <si>
    <t>lane stuff, adit</t>
  </si>
  <si>
    <t>metod</t>
  </si>
  <si>
    <t>stuff length [m]</t>
  </si>
  <si>
    <t>total tunnellengde</t>
  </si>
  <si>
    <t>1-4</t>
  </si>
  <si>
    <t>1-1</t>
  </si>
  <si>
    <t>1-2</t>
  </si>
  <si>
    <t>1-3</t>
  </si>
  <si>
    <t>2-4</t>
  </si>
  <si>
    <t>2-8</t>
  </si>
  <si>
    <t>2-2</t>
  </si>
  <si>
    <t>2-6</t>
  </si>
  <si>
    <t>bunn stuff</t>
  </si>
  <si>
    <t>topp stuff</t>
  </si>
  <si>
    <t>prosent</t>
  </si>
  <si>
    <t>final total</t>
  </si>
  <si>
    <t>lengde</t>
  </si>
  <si>
    <t>lane, stuff, adit, metod, config</t>
  </si>
  <si>
    <t>race? (for future)</t>
  </si>
  <si>
    <t>lane, stuff, adit, metod, config, race?</t>
  </si>
  <si>
    <t>lane, stuff, metod, config, race</t>
  </si>
  <si>
    <t>topp</t>
  </si>
  <si>
    <t>starting point</t>
  </si>
  <si>
    <t>Tunneltype</t>
  </si>
  <si>
    <t>type</t>
  </si>
  <si>
    <t>Jernbanetunnel</t>
  </si>
  <si>
    <t>adit, yes?</t>
  </si>
  <si>
    <t>Prosjektinformasjon</t>
  </si>
  <si>
    <t>length</t>
  </si>
  <si>
    <t>Berguttak - tunnel løp</t>
  </si>
  <si>
    <t>Distribution unknown</t>
  </si>
  <si>
    <t>adit config indirect</t>
  </si>
  <si>
    <t>In use</t>
  </si>
  <si>
    <t>lane, stuff, aditconfig,metod</t>
  </si>
  <si>
    <t>Lengde</t>
  </si>
  <si>
    <t>Tverrsnittsareal</t>
  </si>
  <si>
    <t>Distribution known</t>
  </si>
  <si>
    <t>Løp: 1</t>
  </si>
  <si>
    <t>Navn</t>
  </si>
  <si>
    <t>Tverrslag</t>
  </si>
  <si>
    <t>cross section</t>
  </si>
  <si>
    <t>Tunnel løp</t>
  </si>
  <si>
    <t>Armeringer med mer</t>
  </si>
  <si>
    <t>buer-m</t>
  </si>
  <si>
    <t>buer-m/h</t>
  </si>
  <si>
    <t>Antall stuffer</t>
  </si>
  <si>
    <t>selected metod</t>
  </si>
  <si>
    <t>metod poss</t>
  </si>
  <si>
    <t>adit configur</t>
  </si>
  <si>
    <t>løp, stuff</t>
  </si>
  <si>
    <t>løp,, stuff, metod</t>
  </si>
  <si>
    <t>final config letter</t>
  </si>
  <si>
    <t>Normal salve volum</t>
  </si>
  <si>
    <t>total volum</t>
  </si>
  <si>
    <t>Dist</t>
  </si>
  <si>
    <t>distr</t>
  </si>
  <si>
    <t>distribution?</t>
  </si>
  <si>
    <t>no</t>
  </si>
  <si>
    <t>tverrslag required?</t>
  </si>
  <si>
    <t>løpstuff</t>
  </si>
  <si>
    <t>9?</t>
  </si>
  <si>
    <t>antall stuffer</t>
  </si>
  <si>
    <t>stuff, distri</t>
  </si>
  <si>
    <t>1 - un, 2 - known</t>
  </si>
  <si>
    <t>default position</t>
  </si>
  <si>
    <t>on/off</t>
  </si>
  <si>
    <t>Position</t>
  </si>
  <si>
    <t>Totalvol</t>
  </si>
  <si>
    <t>Normal</t>
  </si>
  <si>
    <t>Total volume</t>
  </si>
  <si>
    <t>Inputs</t>
  </si>
  <si>
    <t>Normal volume</t>
  </si>
  <si>
    <t>Reduced</t>
  </si>
  <si>
    <t>Calculations</t>
  </si>
  <si>
    <t>distribution unknown</t>
  </si>
  <si>
    <t>distribution known</t>
  </si>
  <si>
    <t>Total teoret</t>
  </si>
  <si>
    <t>Sprengnings-
volum</t>
  </si>
  <si>
    <t>Totals:</t>
  </si>
  <si>
    <t>løp, stuff, metod</t>
  </si>
  <si>
    <t>Foran</t>
  </si>
  <si>
    <t>sp_Rigg</t>
  </si>
  <si>
    <t>sp_Boring</t>
  </si>
  <si>
    <t>Sp_Injeksjon</t>
  </si>
  <si>
    <t>sp_Kontrollhull</t>
  </si>
  <si>
    <t>sy_Rigg</t>
  </si>
  <si>
    <t>sy_Boring</t>
  </si>
  <si>
    <t>sy_Injeksjon</t>
  </si>
  <si>
    <t>sy_Kontrollhull</t>
  </si>
  <si>
    <t>Byggetid</t>
  </si>
  <si>
    <t>Outputs</t>
  </si>
  <si>
    <t>Redusertsalvelengde</t>
  </si>
  <si>
    <t>Todelttverrsnitt</t>
  </si>
  <si>
    <t>Tekniskerom</t>
  </si>
  <si>
    <t>Redusertsalvelengdeogtodelttverrsnitt</t>
  </si>
  <si>
    <t>Utvidelsefortungsikring</t>
  </si>
  <si>
    <t>total_reduced</t>
  </si>
  <si>
    <t>total_nisjer</t>
  </si>
  <si>
    <t>byggetid - sprengning</t>
  </si>
  <si>
    <t>stuff, tverrslag_on</t>
  </si>
  <si>
    <t>total_tid</t>
  </si>
  <si>
    <t>tverrslag</t>
  </si>
  <si>
    <t>foran_tid</t>
  </si>
  <si>
    <t>Stabilitet</t>
  </si>
  <si>
    <t>Tunnel Configuration ID</t>
  </si>
  <si>
    <t>Tunnel løp volume</t>
  </si>
  <si>
    <t>This section is used to ID the exact tunnel configuration: number of løp and stuff; construction methodology; configuration of stuff direction; configuration of tverrslag; and in the future, special RACE function.</t>
  </si>
  <si>
    <t>Final byggetid for the "sprengning" component.</t>
  </si>
  <si>
    <t>løp 1</t>
  </si>
  <si>
    <t>User inputs from the "Sprengningsvolum"-tab, are gathered here.</t>
  </si>
  <si>
    <t>Tunnel løp volume information is gathered here. Tunnel løp volume values are taken from the "config"-tab.</t>
  </si>
  <si>
    <r>
      <rPr>
        <b/>
        <i/>
        <sz val="11"/>
        <color rgb="FFCC3300"/>
        <rFont val="Georgia Pro"/>
        <family val="1"/>
      </rPr>
      <t xml:space="preserve">Warning! </t>
    </r>
    <r>
      <rPr>
        <i/>
        <sz val="11"/>
        <color rgb="FFCC3300"/>
        <rFont val="Georgia Pro"/>
        <family val="1"/>
      </rPr>
      <t xml:space="preserve">User input cells are </t>
    </r>
    <r>
      <rPr>
        <b/>
        <i/>
        <sz val="11"/>
        <color rgb="FFCC3300"/>
        <rFont val="Georgia Pro"/>
        <family val="1"/>
      </rPr>
      <t>dynamic</t>
    </r>
    <r>
      <rPr>
        <i/>
        <sz val="11"/>
        <color rgb="FFCC3300"/>
        <rFont val="Georgia Pro"/>
        <family val="1"/>
      </rPr>
      <t xml:space="preserve"> and will alter depending on "distribution of work" status.</t>
    </r>
  </si>
  <si>
    <t>Proposed solution: dynamic "position" depending in on the "distribution of work" and on the number of stuff.</t>
  </si>
  <si>
    <t>Hele løp 2</t>
  </si>
  <si>
    <t>løp no.</t>
  </si>
  <si>
    <t>løpstuff,distri</t>
  </si>
  <si>
    <t>Gathering data -  "Sprengsvolum"</t>
  </si>
  <si>
    <r>
      <rPr>
        <b/>
        <i/>
        <sz val="11"/>
        <color rgb="FFCC3300"/>
        <rFont val="Georgia Pro"/>
        <family val="1"/>
      </rPr>
      <t xml:space="preserve">Warning! </t>
    </r>
    <r>
      <rPr>
        <i/>
        <sz val="11"/>
        <color rgb="FFCC3300"/>
        <rFont val="Georgia Pro"/>
        <family val="1"/>
      </rPr>
      <t>Take care when editing. Most of the formulas, and conditional formatting are controlled by this ID system.</t>
    </r>
  </si>
  <si>
    <t>Values are taken from locked cells, with a dynamic title / label. This label is controlled by the "distribution of work" toggle. The table below shows the current staus of each "fixed" cell range.</t>
  </si>
  <si>
    <t>Summary of quantities</t>
  </si>
  <si>
    <t>Here, the quantities are summarised into their "fixed" column positions. Toggled by the "distribution unknown/known" factor.</t>
  </si>
  <si>
    <t>Column position</t>
  </si>
  <si>
    <t>These tables will be used for "total" and "delsum" outputs.</t>
  </si>
  <si>
    <t>Byggetid - sprengning</t>
  </si>
  <si>
    <t>Quantities are converted to construction time, using the time capacity values. Outputs are sorted into their appropriate "column positions".</t>
  </si>
  <si>
    <t>Position 1, is the most-left column position. Each subsequent position number is one position across to the right.</t>
  </si>
  <si>
    <r>
      <rPr>
        <b/>
        <i/>
        <sz val="11"/>
        <color rgb="FFCC3300"/>
        <rFont val="Georgia Pro"/>
        <family val="1"/>
      </rPr>
      <t xml:space="preserve">Note: </t>
    </r>
    <r>
      <rPr>
        <i/>
        <sz val="11"/>
        <color rgb="FFCC3300"/>
        <rFont val="Georgia Pro"/>
        <family val="1"/>
      </rPr>
      <t>A separation between Løp 1 and 2 is made. In the future, individual løp may have different tunnel lengths (despite originating from the "same" tunnel).</t>
    </r>
  </si>
  <si>
    <t>"Positioning" and preparations</t>
  </si>
  <si>
    <t>Final byggetid for the "foran stuff" component.</t>
  </si>
  <si>
    <t>User inputs from the "Foran stuff"-tab, are gathered here.</t>
  </si>
  <si>
    <t>The first table gathers user input values from a "fixed" column position. The second table associates the correct Løp or Stuff number to the "position".</t>
  </si>
  <si>
    <t>In this table, the gathered data is assigned to their associated stuff or løp numbers. This is determined by the "distribution unknown/known" toggle.</t>
  </si>
  <si>
    <t>Here are the final outputs for the stuff and løp.</t>
  </si>
  <si>
    <r>
      <t xml:space="preserve">This section is used to show outputs for each stuff - </t>
    </r>
    <r>
      <rPr>
        <b/>
        <sz val="11"/>
        <color rgb="FFCC3300"/>
        <rFont val="Georgia Pro"/>
        <family val="1"/>
      </rPr>
      <t>indepedent</t>
    </r>
    <r>
      <rPr>
        <sz val="11"/>
        <color rgb="FFCC3300"/>
        <rFont val="Georgia Pro"/>
        <family val="1"/>
      </rPr>
      <t xml:space="preserve"> of the løp (or the "distribution unknown" toggle")</t>
    </r>
  </si>
  <si>
    <t>"Stuff only" outputs preparation</t>
  </si>
  <si>
    <t>Sprengningtid</t>
  </si>
  <si>
    <t>Final byggetid for the "stabilitet" component.</t>
  </si>
  <si>
    <t>User inputs from the "Stabilitet"-tab, are gathered here.</t>
  </si>
  <si>
    <t>Inputs - sprengning</t>
  </si>
  <si>
    <t>This section covers mostly the final outputs.</t>
  </si>
  <si>
    <t>Final ouputs</t>
  </si>
  <si>
    <t>The first table is used to control the "position" of the stuff and løp names. Link to this table for stuff and løp naming.</t>
  </si>
  <si>
    <t>Position and naming control</t>
  </si>
  <si>
    <t>--- Important! ---</t>
  </si>
  <si>
    <t>lt4m</t>
  </si>
  <si>
    <t>gt4m</t>
  </si>
  <si>
    <t>band</t>
  </si>
  <si>
    <t>net</t>
  </si>
  <si>
    <t>shotcrete</t>
  </si>
  <si>
    <t>buer</t>
  </si>
  <si>
    <t>sik123</t>
  </si>
  <si>
    <t>sik4</t>
  </si>
  <si>
    <t>Final summary of values</t>
  </si>
  <si>
    <t>Outputs for "stuff "only</t>
  </si>
  <si>
    <t>stab_tid</t>
  </si>
  <si>
    <t>total_man</t>
  </si>
  <si>
    <t>total_bolt</t>
  </si>
  <si>
    <t>total_band</t>
  </si>
  <si>
    <t>total_shot</t>
  </si>
  <si>
    <t>total_buer</t>
  </si>
  <si>
    <t>total_sik</t>
  </si>
  <si>
    <t>total_total</t>
  </si>
  <si>
    <t>Final byggetid for the all "driving og sikring" component. Values are simply the sum of "sprengning", "foran stuff" and "stabilitet" construction time.</t>
  </si>
  <si>
    <t>Gathering input values</t>
  </si>
  <si>
    <t>When the "distribution of quantities is unknown", the user input "stuff length" is used to determine this partitioning / ratio of work.</t>
  </si>
  <si>
    <t>The below table, takes the sum of relevant stuff lengths, to determine a total løp length. Table required, in case a user added a stuff length to a non-existing stuff.</t>
  </si>
  <si>
    <t>Checking toggles</t>
  </si>
  <si>
    <t>total_byggetid [h]</t>
  </si>
  <si>
    <t>configuration [løp,stuff]</t>
  </si>
  <si>
    <t>Although values exist for all configurations, only ONE configuration (the one selected by the user) is correct</t>
  </si>
  <si>
    <t>Assigning Tverrslag to Stuff</t>
  </si>
  <si>
    <t>None</t>
  </si>
  <si>
    <t>løp,, stuff, config, adit</t>
  </si>
  <si>
    <t>Primary stuff connected to tverrslag</t>
  </si>
  <si>
    <t>Secondary stuff?</t>
  </si>
  <si>
    <t>Configs with Tverrslag - en løp</t>
  </si>
  <si>
    <t>config_2</t>
  </si>
  <si>
    <t>Configs with Tverrslag - to løp</t>
  </si>
  <si>
    <t>lopstuff</t>
  </si>
  <si>
    <t>1</t>
  </si>
  <si>
    <t>2</t>
  </si>
  <si>
    <t>3</t>
  </si>
  <si>
    <t>4</t>
  </si>
  <si>
    <t>5</t>
  </si>
  <si>
    <t>6</t>
  </si>
  <si>
    <t>7</t>
  </si>
  <si>
    <t>8</t>
  </si>
  <si>
    <t>Final</t>
  </si>
  <si>
    <t>Linking vekseldrift stuff</t>
  </si>
  <si>
    <t>position</t>
  </si>
  <si>
    <t>config:</t>
  </si>
  <si>
    <t>"beggedrift"</t>
  </si>
  <si>
    <t>"endrift"</t>
  </si>
  <si>
    <t>!!</t>
  </si>
  <si>
    <t>Faktor</t>
  </si>
  <si>
    <t>convert to weeks</t>
  </si>
  <si>
    <t>Preparations</t>
  </si>
  <si>
    <t>lopstuff_distristatus</t>
  </si>
  <si>
    <t>lopstuff_distr</t>
  </si>
  <si>
    <t>Byggetid for each stuff</t>
  </si>
  <si>
    <t>convert to uke</t>
  </si>
  <si>
    <t>h -&gt; uke</t>
  </si>
  <si>
    <t>Input check</t>
  </si>
  <si>
    <t>tverrslag configuration</t>
  </si>
  <si>
    <t>total_sonder</t>
  </si>
  <si>
    <t>total_inj</t>
  </si>
  <si>
    <t>totals</t>
  </si>
  <si>
    <t>done</t>
  </si>
  <si>
    <t>total_tunnelop</t>
  </si>
  <si>
    <t>name</t>
  </si>
  <si>
    <t xml:space="preserve">Oppsummering </t>
  </si>
  <si>
    <t>total_lop</t>
  </si>
  <si>
    <t>total_Nisj</t>
  </si>
  <si>
    <t>normal</t>
  </si>
  <si>
    <t>total_nisj</t>
  </si>
  <si>
    <t>stuff on/off status</t>
  </si>
  <si>
    <t>distribution status</t>
  </si>
  <si>
    <t>final stuff/dist ID number</t>
  </si>
  <si>
    <t>sprengning</t>
  </si>
  <si>
    <t>foran</t>
  </si>
  <si>
    <t>Forarbeider</t>
  </si>
  <si>
    <t>Forberedende</t>
  </si>
  <si>
    <t>Andrearbeider</t>
  </si>
  <si>
    <t>total_forbe</t>
  </si>
  <si>
    <t>forberedende</t>
  </si>
  <si>
    <t>"position_stuff"</t>
  </si>
  <si>
    <t>"inputs_spreng"</t>
  </si>
  <si>
    <t>"outputs_spreng"</t>
  </si>
  <si>
    <t>"outputs_foran"</t>
  </si>
  <si>
    <t>"inputs_foran"</t>
  </si>
  <si>
    <t>"inputs_stab"</t>
  </si>
  <si>
    <t>"outputs_forbe"</t>
  </si>
  <si>
    <t>"inputs_forbe"</t>
  </si>
  <si>
    <t>"outputs_stab"</t>
  </si>
  <si>
    <t>"oppsum_position"</t>
  </si>
  <si>
    <t>"outputs_oppsum"</t>
  </si>
  <si>
    <t>This table counts the number of columns that need to be "turned on" (conditional formatting). Used in "output" sheets.</t>
  </si>
  <si>
    <t>Columns "turned on"</t>
  </si>
  <si>
    <t>"tube1"</t>
  </si>
  <si>
    <t>"tube2"</t>
  </si>
  <si>
    <t>"adit2"</t>
  </si>
  <si>
    <t>"adit1"</t>
  </si>
  <si>
    <t>"nolane"</t>
  </si>
  <si>
    <t>"number_2"</t>
  </si>
  <si>
    <t>hr_Forberedende</t>
  </si>
  <si>
    <t>hr_Portaler</t>
  </si>
  <si>
    <t>hr_Andrearbeider</t>
  </si>
  <si>
    <t>total_forbe_hr</t>
  </si>
  <si>
    <t>justeringer</t>
  </si>
  <si>
    <t>Oppsum</t>
  </si>
  <si>
    <t>løp, stuff, config, tverrslag config</t>
  </si>
  <si>
    <t>Tverrslag construction time</t>
  </si>
  <si>
    <t>for main løp only (does not include forberedende)</t>
  </si>
  <si>
    <t>First connection</t>
  </si>
  <si>
    <t>Secondary connection</t>
  </si>
  <si>
    <t>Not required</t>
  </si>
  <si>
    <t>Status</t>
  </si>
  <si>
    <t>delay tverrslag</t>
  </si>
  <si>
    <t>Tverrslag delay</t>
  </si>
  <si>
    <t>En drift eller vekseldrift</t>
  </si>
  <si>
    <t>faktor</t>
  </si>
  <si>
    <t>"vekdrift"</t>
  </si>
  <si>
    <t>error checks</t>
  </si>
  <si>
    <t>error_metod</t>
  </si>
  <si>
    <t>Stuff 1-1</t>
  </si>
  <si>
    <t>Stuff 2-2</t>
  </si>
  <si>
    <t>Stuff 1-2</t>
  </si>
  <si>
    <t>Stuff 1-3</t>
  </si>
  <si>
    <t>Stuff 1-4</t>
  </si>
  <si>
    <t>Stuff 2-1</t>
  </si>
  <si>
    <t>Stuff 2-3</t>
  </si>
  <si>
    <t>Stuff 2-4</t>
  </si>
  <si>
    <t>"metod_3"</t>
  </si>
  <si>
    <t xml:space="preserve">Tverrslag </t>
  </si>
  <si>
    <t>Length</t>
  </si>
  <si>
    <t>Metod</t>
  </si>
  <si>
    <t xml:space="preserve">metod poss </t>
  </si>
  <si>
    <t>colour sequence</t>
  </si>
  <si>
    <t>løp 2</t>
  </si>
  <si>
    <t>stuff no.</t>
  </si>
  <si>
    <t>This table and setup was only applied to configurations 26A and above (perhaps the earlier configs will be updated with this in the future)</t>
  </si>
  <si>
    <t>løp number</t>
  </si>
  <si>
    <t>Stuff lengde</t>
  </si>
  <si>
    <t>kon_metod</t>
  </si>
  <si>
    <t>kon_metod_no</t>
  </si>
  <si>
    <t>Tick approval checks</t>
  </si>
  <si>
    <t>Kombinasjon</t>
  </si>
  <si>
    <t>12C</t>
  </si>
  <si>
    <t>12B</t>
  </si>
  <si>
    <t>13A</t>
  </si>
  <si>
    <t>13B</t>
  </si>
  <si>
    <t>14A</t>
  </si>
  <si>
    <t>24B</t>
  </si>
  <si>
    <t>24C</t>
  </si>
  <si>
    <t>26A</t>
  </si>
  <si>
    <t>26B</t>
  </si>
  <si>
    <t>28A</t>
  </si>
  <si>
    <t>tverrslag_conn</t>
  </si>
  <si>
    <t>tverr</t>
  </si>
  <si>
    <t>second poss</t>
  </si>
  <si>
    <t>11</t>
  </si>
  <si>
    <t>12</t>
  </si>
  <si>
    <t>13</t>
  </si>
  <si>
    <t>14</t>
  </si>
  <si>
    <t>21</t>
  </si>
  <si>
    <t>22</t>
  </si>
  <si>
    <t>23</t>
  </si>
  <si>
    <t>24</t>
  </si>
  <si>
    <t>info</t>
  </si>
  <si>
    <t>reference cell</t>
  </si>
  <si>
    <t>do</t>
  </si>
  <si>
    <t>not</t>
  </si>
  <si>
    <t>delete</t>
  </si>
  <si>
    <t>do not delete / move</t>
  </si>
  <si>
    <t>the above area controls the _list for the tverrslag connection</t>
  </si>
  <si>
    <t>table name:</t>
  </si>
  <si>
    <t>"config11"</t>
  </si>
  <si>
    <t>"configabc"</t>
  </si>
  <si>
    <t>"config13"</t>
  </si>
  <si>
    <t>"config14"</t>
  </si>
  <si>
    <t>"Config28"</t>
  </si>
  <si>
    <t>"Config22"</t>
  </si>
  <si>
    <t>"Config24"</t>
  </si>
  <si>
    <t>"Config26"</t>
  </si>
  <si>
    <t>If applicable, table names are labled with quotation marks "".</t>
  </si>
  <si>
    <t>Be careful when deleting or editing these.</t>
  </si>
  <si>
    <t>Forbe</t>
  </si>
  <si>
    <t>Blank</t>
  </si>
  <si>
    <t>Filled in</t>
  </si>
  <si>
    <t>forbe_port</t>
  </si>
  <si>
    <t>forbe_total</t>
  </si>
  <si>
    <t>control</t>
  </si>
  <si>
    <t>position_inn</t>
  </si>
  <si>
    <t>Teoretisk volum per hele løp</t>
  </si>
  <si>
    <t>"inputs_checks"</t>
  </si>
  <si>
    <t>oppsum_forbe</t>
  </si>
  <si>
    <t>oppsum_løp</t>
  </si>
  <si>
    <t>oppsum_nisj</t>
  </si>
  <si>
    <t>"outputs_checks"</t>
  </si>
  <si>
    <t>"oppsum_checks"</t>
  </si>
  <si>
    <t>tick check</t>
  </si>
  <si>
    <t>stuffdistr</t>
  </si>
  <si>
    <r>
      <rPr>
        <b/>
        <sz val="22"/>
        <color theme="1"/>
        <rFont val="Georgia Pro"/>
        <family val="1"/>
      </rPr>
      <t xml:space="preserve">Oppsumering: </t>
    </r>
    <r>
      <rPr>
        <b/>
        <sz val="16"/>
        <color theme="1"/>
        <rFont val="Georgia Pro"/>
        <family val="1"/>
      </rPr>
      <t>naming and position</t>
    </r>
  </si>
  <si>
    <t>"outputs_position"</t>
  </si>
  <si>
    <t>"position_foran"</t>
  </si>
  <si>
    <t>total_tid_uke</t>
  </si>
  <si>
    <t>11A</t>
  </si>
  <si>
    <t>12A</t>
  </si>
  <si>
    <t>oppsum_total_hr</t>
  </si>
  <si>
    <t>oppsum_total_uke</t>
  </si>
  <si>
    <t>Tverrslag byggetid</t>
  </si>
  <si>
    <t>Mer informasjon</t>
  </si>
  <si>
    <t>Vegtunnel</t>
  </si>
  <si>
    <t>Fordeling av mengder</t>
  </si>
  <si>
    <t>Drivekonfigurasjon</t>
  </si>
  <si>
    <t>total:</t>
  </si>
  <si>
    <t>volume</t>
  </si>
  <si>
    <t xml:space="preserve">distribution </t>
  </si>
  <si>
    <t>CHOSEN CONFIG</t>
  </si>
  <si>
    <t>MAX CONFIG</t>
  </si>
  <si>
    <t>third</t>
  </si>
  <si>
    <t>dummy 11</t>
  </si>
  <si>
    <t>dummy 12</t>
  </si>
  <si>
    <t>dummy 13</t>
  </si>
  <si>
    <t>dummy 14</t>
  </si>
  <si>
    <t>dummy 21</t>
  </si>
  <si>
    <t>dummy 22</t>
  </si>
  <si>
    <t>dummy 23</t>
  </si>
  <si>
    <t>dummy 24</t>
  </si>
  <si>
    <t>hr</t>
  </si>
  <si>
    <t>fourth</t>
  </si>
  <si>
    <t>Forsink for hver stuff</t>
  </si>
  <si>
    <r>
      <t>1</t>
    </r>
    <r>
      <rPr>
        <vertAlign val="superscript"/>
        <sz val="11"/>
        <color theme="1"/>
        <rFont val="Georgia Pro"/>
        <family val="1"/>
      </rPr>
      <t>st</t>
    </r>
    <r>
      <rPr>
        <sz val="11"/>
        <color theme="1"/>
        <rFont val="Georgia Pro"/>
        <family val="1"/>
      </rPr>
      <t xml:space="preserve"> stuff etter tverrslag</t>
    </r>
  </si>
  <si>
    <r>
      <t>2</t>
    </r>
    <r>
      <rPr>
        <vertAlign val="superscript"/>
        <sz val="11"/>
        <color theme="1"/>
        <rFont val="Georgia Pro"/>
        <family val="1"/>
      </rPr>
      <t xml:space="preserve">nd </t>
    </r>
    <r>
      <rPr>
        <sz val="11"/>
        <color theme="1"/>
        <rFont val="Georgia Pro"/>
        <family val="1"/>
      </rPr>
      <t>stuff etter tverrslag</t>
    </r>
  </si>
  <si>
    <r>
      <t>3</t>
    </r>
    <r>
      <rPr>
        <vertAlign val="superscript"/>
        <sz val="11"/>
        <color theme="1"/>
        <rFont val="Georgia Pro"/>
        <family val="1"/>
      </rPr>
      <t>rd</t>
    </r>
    <r>
      <rPr>
        <sz val="11"/>
        <color theme="1"/>
        <rFont val="Georgia Pro"/>
        <family val="1"/>
      </rPr>
      <t xml:space="preserve"> stuff etter tverrslag</t>
    </r>
  </si>
  <si>
    <r>
      <t>4</t>
    </r>
    <r>
      <rPr>
        <vertAlign val="superscript"/>
        <sz val="11"/>
        <color theme="1"/>
        <rFont val="Georgia Pro"/>
        <family val="1"/>
      </rPr>
      <t>th</t>
    </r>
    <r>
      <rPr>
        <sz val="11"/>
        <color theme="1"/>
        <rFont val="Georgia Pro"/>
        <family val="1"/>
      </rPr>
      <t xml:space="preserve"> stuff etter tverrslag</t>
    </r>
  </si>
  <si>
    <t>connection priority</t>
  </si>
  <si>
    <t>final outputs</t>
  </si>
  <si>
    <t>check erro</t>
  </si>
  <si>
    <t>forsink for hver stuff</t>
  </si>
  <si>
    <t>kryssområdet arbeid</t>
  </si>
  <si>
    <t>tverr_2</t>
  </si>
  <si>
    <t>tverr_1</t>
  </si>
  <si>
    <t>tverr_3</t>
  </si>
  <si>
    <t>tverr_4</t>
  </si>
  <si>
    <t>possible</t>
  </si>
  <si>
    <t>13C</t>
  </si>
  <si>
    <t>13D</t>
  </si>
  <si>
    <t>22A</t>
  </si>
  <si>
    <t>24A</t>
  </si>
  <si>
    <t>26C</t>
  </si>
  <si>
    <t>26D</t>
  </si>
  <si>
    <t>Third connection</t>
  </si>
  <si>
    <t>Forth connection</t>
  </si>
  <si>
    <t>only one option</t>
  </si>
  <si>
    <t>stuff / tverrslag option not possible</t>
  </si>
  <si>
    <t>tverrslag inputs</t>
  </si>
  <si>
    <t>number of stuff connected</t>
  </si>
  <si>
    <t>total forsink for hver stuff</t>
  </si>
  <si>
    <t>Column2</t>
  </si>
  <si>
    <t>"outputs_tverrslag_forsink"</t>
  </si>
  <si>
    <t>status</t>
  </si>
  <si>
    <t>tverrslag_status</t>
  </si>
  <si>
    <t>tverrslag_tid</t>
  </si>
  <si>
    <t>forsink_total_uker</t>
  </si>
  <si>
    <t>forsink_total_hr</t>
  </si>
  <si>
    <t>Kryssområdet_uker</t>
  </si>
  <si>
    <t>Kryssområdet_hr</t>
  </si>
  <si>
    <t>kryssområdet_forberedende_uke</t>
  </si>
  <si>
    <t>extra_forsink_etter_tverrslag_total_uke</t>
  </si>
  <si>
    <t>kryssområdet_forberedende_hr</t>
  </si>
  <si>
    <t>extra_forsink_etter_tverrslag_total_hr</t>
  </si>
  <si>
    <t>extra_forsink_etter_tverrslag_perstuff_uke</t>
  </si>
  <si>
    <t>forsink_perstuff_uker</t>
  </si>
  <si>
    <t>oppsum_drivetid</t>
  </si>
  <si>
    <t>faktor times drive tid</t>
  </si>
  <si>
    <t>drivetid_with_faktor</t>
  </si>
  <si>
    <t>extra_sum</t>
  </si>
  <si>
    <t>oppsum_drivetid_uke</t>
  </si>
  <si>
    <t>oppsum_drivetid_hr</t>
  </si>
  <si>
    <t>Kryssområdet forberedelser</t>
  </si>
  <si>
    <t>Total sprengningsvolum</t>
  </si>
  <si>
    <t>Sum</t>
  </si>
  <si>
    <t>hele tunnel (inkluderer tverrslag)</t>
  </si>
  <si>
    <t>In_sprengning outputs</t>
  </si>
  <si>
    <t>total_sprengning</t>
  </si>
  <si>
    <t>Sprengning_sum_(inputs tab)</t>
  </si>
  <si>
    <t>foran_sum_(inputs tab)</t>
  </si>
  <si>
    <t>Arbeider foran stuff</t>
  </si>
  <si>
    <t>Stabilitetssikring</t>
  </si>
  <si>
    <t>foran_sum_(outputs tab)</t>
  </si>
  <si>
    <t>"position_stab"</t>
  </si>
  <si>
    <t>Column3</t>
  </si>
  <si>
    <t>total_spreng_hr</t>
  </si>
  <si>
    <t>total_spreng_uker</t>
  </si>
  <si>
    <t>total_foran_uke</t>
  </si>
  <si>
    <t>total_foran_hr</t>
  </si>
  <si>
    <t>total_stab_hr</t>
  </si>
  <si>
    <t>total_stab_uker</t>
  </si>
  <si>
    <t>stuff_id</t>
  </si>
  <si>
    <t>Beregnet
byggetid</t>
  </si>
  <si>
    <t>Inntastingsverdi</t>
  </si>
  <si>
    <t>Output position (column count)</t>
  </si>
  <si>
    <t>This table gathers the user inputs relating to tverrslag (from the "config" sheet)</t>
  </si>
  <si>
    <t>oppsum_sonder</t>
  </si>
  <si>
    <t>oppsum_inj</t>
  </si>
  <si>
    <t>oppsum_manuell</t>
  </si>
  <si>
    <t>oppsum_bolter</t>
  </si>
  <si>
    <t>oppsum_bånd</t>
  </si>
  <si>
    <t>oppsum_shot</t>
  </si>
  <si>
    <t>oppsum_sik</t>
  </si>
  <si>
    <t>oppsum_buer</t>
  </si>
  <si>
    <t>stab</t>
  </si>
  <si>
    <t>position_oppsum</t>
  </si>
  <si>
    <t>drive total hr</t>
  </si>
  <si>
    <t>drive total uker</t>
  </si>
  <si>
    <t>total tverrslag connection</t>
  </si>
  <si>
    <t>check blank</t>
  </si>
  <si>
    <t>final check</t>
  </si>
  <si>
    <t>oppsum_drive</t>
  </si>
  <si>
    <t>total_total_hr</t>
  </si>
  <si>
    <t>metod check</t>
  </si>
  <si>
    <t>oppsum_sprengning_total</t>
  </si>
  <si>
    <t>oppsum_foran_total</t>
  </si>
  <si>
    <t>oppsum_stab_total</t>
  </si>
  <si>
    <t>FORAN</t>
  </si>
  <si>
    <t>Stab</t>
  </si>
  <si>
    <t>This table counts the number of columns that need to be "turned on" (conditional formatting). Used in "inputs" sheets.</t>
  </si>
  <si>
    <t>foran_rigg_check</t>
  </si>
  <si>
    <t>not complete</t>
  </si>
  <si>
    <t>sp_kontroll and sy not yet decided</t>
  </si>
  <si>
    <t>tverrlag final tick</t>
  </si>
  <si>
    <t>tick_check</t>
  </si>
  <si>
    <t>check</t>
  </si>
  <si>
    <t>Svar</t>
  </si>
  <si>
    <t>"tverr_connection_new"</t>
  </si>
  <si>
    <t>31</t>
  </si>
  <si>
    <t>41</t>
  </si>
  <si>
    <t>51</t>
  </si>
  <si>
    <t>61</t>
  </si>
  <si>
    <t>71</t>
  </si>
  <si>
    <t>81</t>
  </si>
  <si>
    <t>91</t>
  </si>
  <si>
    <t>32</t>
  </si>
  <si>
    <t>42</t>
  </si>
  <si>
    <t>52</t>
  </si>
  <si>
    <t>62</t>
  </si>
  <si>
    <t>72</t>
  </si>
  <si>
    <t>82</t>
  </si>
  <si>
    <t>92</t>
  </si>
  <si>
    <t>Ikke påvirket</t>
  </si>
  <si>
    <t>tverrslag_tid_new</t>
  </si>
  <si>
    <t>must be 4 for approved</t>
  </si>
  <si>
    <t>sprengnings volum check</t>
  </si>
  <si>
    <t>inputs_tick_sprengning</t>
  </si>
  <si>
    <t>area</t>
  </si>
  <si>
    <t>tverrslag length</t>
  </si>
  <si>
    <t>"outputs_tick_sprengning"</t>
  </si>
  <si>
    <t>output_checks</t>
  </si>
  <si>
    <t>length_area_check</t>
  </si>
  <si>
    <t>bothløp_check</t>
  </si>
  <si>
    <t>If et løp, checks only løp 1. If to løp, checks both løp 1 and 2</t>
  </si>
  <si>
    <t>both løp and stuff checks</t>
  </si>
  <si>
    <t>including stuff</t>
  </si>
  <si>
    <t>sum</t>
  </si>
  <si>
    <t>max</t>
  </si>
  <si>
    <t>This table checks that the relevant stuffs are filled in, depending on the configuration (necessary when distribution is unknown / automatic)</t>
  </si>
  <si>
    <t>"checks_heleløp_sprengning"</t>
  </si>
  <si>
    <t>input_checks</t>
  </si>
  <si>
    <t>"checks_sprengning"</t>
  </si>
  <si>
    <t>This table checks that the sprengning components are all satisfied for each individual stuff, as well as the hele tunnel distribution</t>
  </si>
  <si>
    <t>This table is used to control the tick marks for the input_sprengning tab</t>
  </si>
  <si>
    <t>all reduced</t>
  </si>
  <si>
    <t>total_teor</t>
  </si>
  <si>
    <t>check_red</t>
  </si>
  <si>
    <t>check_todel</t>
  </si>
  <si>
    <t>check_redtodel</t>
  </si>
  <si>
    <t>tick_red</t>
  </si>
  <si>
    <t>tick_todel</t>
  </si>
  <si>
    <t>tick_redtodel</t>
  </si>
  <si>
    <t>geo_svar</t>
  </si>
  <si>
    <t>geo_tid</t>
  </si>
  <si>
    <t>geo_beg</t>
  </si>
  <si>
    <t>stig_svar</t>
  </si>
  <si>
    <t>stig_tid</t>
  </si>
  <si>
    <t>stig_beg</t>
  </si>
  <si>
    <t>arb_svar</t>
  </si>
  <si>
    <t>arb_tid</t>
  </si>
  <si>
    <t>arb_beg</t>
  </si>
  <si>
    <t>spreng_svar</t>
  </si>
  <si>
    <t>spreng_tid</t>
  </si>
  <si>
    <t>spreng_beg</t>
  </si>
  <si>
    <t>skyte_svar</t>
  </si>
  <si>
    <t>skyte_tid</t>
  </si>
  <si>
    <t>skyte_beg</t>
  </si>
  <si>
    <t>støy_svar</t>
  </si>
  <si>
    <t>støy_tid</t>
  </si>
  <si>
    <t>støy_beg</t>
  </si>
  <si>
    <t>ann_svar</t>
  </si>
  <si>
    <t>ann_tid</t>
  </si>
  <si>
    <t>ann_beg</t>
  </si>
  <si>
    <t>This table gathers the user inputs relating to the "justeringer" sheet</t>
  </si>
  <si>
    <t>This table checks the input cells: 0 means not filled, 1 means complete.</t>
  </si>
  <si>
    <t>total_just_tid</t>
  </si>
  <si>
    <t>checks_justeringer_tick</t>
  </si>
  <si>
    <t>geo_final</t>
  </si>
  <si>
    <t>stig_final</t>
  </si>
  <si>
    <t>arb_final</t>
  </si>
  <si>
    <t>spreng_fial</t>
  </si>
  <si>
    <t>skyte_final</t>
  </si>
  <si>
    <t>støy_final</t>
  </si>
  <si>
    <t>ann_final</t>
  </si>
  <si>
    <t>Tidsjusteringer</t>
  </si>
  <si>
    <t>"outputs_just"</t>
  </si>
  <si>
    <t>just_geo</t>
  </si>
  <si>
    <t>just_stig</t>
  </si>
  <si>
    <t>just_arb</t>
  </si>
  <si>
    <t>just_spreng</t>
  </si>
  <si>
    <t>just_skyte</t>
  </si>
  <si>
    <t>just_støy</t>
  </si>
  <si>
    <t>just_ann</t>
  </si>
  <si>
    <t>just_total_uke</t>
  </si>
  <si>
    <t>just_total_hr</t>
  </si>
  <si>
    <t>just_final</t>
  </si>
  <si>
    <t>tick check - metod</t>
  </si>
  <si>
    <t>tick check - stuff</t>
  </si>
  <si>
    <t>tick check  - config</t>
  </si>
  <si>
    <t>need to add</t>
  </si>
  <si>
    <t>inputs_forsinket</t>
  </si>
  <si>
    <t>tid_uke</t>
  </si>
  <si>
    <t>forsinket</t>
  </si>
  <si>
    <t>forsinket_uke</t>
  </si>
  <si>
    <t>forsinket_hr</t>
  </si>
  <si>
    <t>drivetid + forbe + tverr + faktor + juster + forsinket</t>
  </si>
  <si>
    <t>tverrslag_forsinkt_uke</t>
  </si>
  <si>
    <t>tverrslag_forsinkt_hr</t>
  </si>
  <si>
    <t>Tverrslag byggetid check</t>
  </si>
  <si>
    <t>tverrslag final check</t>
  </si>
  <si>
    <t>Tverrslag forberedendearbeider</t>
  </si>
  <si>
    <t>Tverrslag justeringer</t>
  </si>
  <si>
    <t>Tverrslag forsinket oppstart</t>
  </si>
  <si>
    <t>extra_tverrslag_forarb_uke</t>
  </si>
  <si>
    <t>extra_tverrslag_forarb_hr</t>
  </si>
  <si>
    <t>extra_tverrslag_just_uke</t>
  </si>
  <si>
    <t>extra_tverrslag_just_hr</t>
  </si>
  <si>
    <t>stuff_position</t>
  </si>
  <si>
    <t>tverrslag position</t>
  </si>
  <si>
    <t>tverrslag justering check</t>
  </si>
  <si>
    <t>tverrslag forarb check</t>
  </si>
  <si>
    <t>extra tverrslag</t>
  </si>
  <si>
    <t>tverrslag_check</t>
  </si>
  <si>
    <t>tverrslag on_ check</t>
  </si>
  <si>
    <t>forsink check</t>
  </si>
  <si>
    <t>tverrslag forsink check</t>
  </si>
  <si>
    <t xml:space="preserve">løp1 </t>
  </si>
  <si>
    <t>løp2</t>
  </si>
  <si>
    <r>
      <t>m</t>
    </r>
    <r>
      <rPr>
        <b/>
        <vertAlign val="superscript"/>
        <sz val="12"/>
        <color theme="1"/>
        <rFont val="Georgia Pro"/>
        <family val="1"/>
      </rPr>
      <t>3</t>
    </r>
  </si>
  <si>
    <t>position_input</t>
  </si>
  <si>
    <t>display length</t>
  </si>
  <si>
    <t>Do not delete these columns</t>
  </si>
  <si>
    <t xml:space="preserve">! </t>
  </si>
  <si>
    <r>
      <t>Tilknyttede dokumenter kan også bli funnet ved å klikke på binders-ikonet</t>
    </r>
    <r>
      <rPr>
        <b/>
        <i/>
        <sz val="12"/>
        <color theme="1"/>
        <rFont val="Georgia Pro"/>
        <family val="1"/>
      </rPr>
      <t xml:space="preserve"> (arbeid pågår) </t>
    </r>
  </si>
  <si>
    <t>Nei</t>
  </si>
  <si>
    <t>"tickcheck_foran"</t>
  </si>
  <si>
    <t>Institutt for bygg- og miljøteknikk, NTNU</t>
  </si>
  <si>
    <t>Tunnelbyggetid 2021</t>
  </si>
  <si>
    <t>stk.</t>
  </si>
  <si>
    <t>Inndata</t>
  </si>
  <si>
    <t>Criticalstuff</t>
  </si>
  <si>
    <t>Crit_message</t>
  </si>
  <si>
    <t>0=blank</t>
  </si>
  <si>
    <t>Kontakt:</t>
  </si>
  <si>
    <t xml:space="preserve"> </t>
  </si>
  <si>
    <t>Tverrslaget</t>
  </si>
  <si>
    <t>Alle typer &gt; 4 meter</t>
  </si>
  <si>
    <t>Input (ISBLANK)</t>
  </si>
  <si>
    <t>TBT_Name</t>
  </si>
  <si>
    <t>NFF_Details</t>
  </si>
  <si>
    <t>Unit</t>
  </si>
  <si>
    <t>User input</t>
  </si>
  <si>
    <t>Final kapasitet</t>
  </si>
  <si>
    <t>Foreslått
kapasitet (NFF)</t>
  </si>
  <si>
    <t>Beregnet av</t>
  </si>
  <si>
    <t>Beregnet dato</t>
  </si>
  <si>
    <t>Arbeidsuke altered?</t>
  </si>
  <si>
    <t>Egendefinerte verdier</t>
  </si>
  <si>
    <t>Egendefinert</t>
  </si>
  <si>
    <t>h/uke</t>
  </si>
  <si>
    <t>Arbeidsuke</t>
  </si>
  <si>
    <t>Custom</t>
  </si>
  <si>
    <t>Kapasitetsverdier</t>
  </si>
  <si>
    <t>Display</t>
  </si>
  <si>
    <t>tverrslag navn check</t>
  </si>
  <si>
    <t>tverrslag final navn</t>
  </si>
  <si>
    <t>tverrslag navn input</t>
  </si>
  <si>
    <t xml:space="preserve">                                                                                                                                                                                                                                                                                          </t>
  </si>
  <si>
    <t xml:space="preserve">     </t>
  </si>
  <si>
    <t xml:space="preserve">                                                                                                                                                                                   </t>
  </si>
  <si>
    <t>not used</t>
  </si>
  <si>
    <t>Her kan brukeren angi sin egen arbeidsuke lengde og sine egne kapasitetsverdier.
La cellen være tom hvis man ønsker å bruke standardverdiene (foreslåtte).</t>
  </si>
  <si>
    <t>Oppsummering</t>
  </si>
  <si>
    <t>New features</t>
  </si>
  <si>
    <t>N500</t>
  </si>
  <si>
    <t>Arbeid pågår!!</t>
  </si>
  <si>
    <t>Bergmasse klasse setting "on"</t>
  </si>
  <si>
    <t>1 is "on", 2 is "off"</t>
  </si>
  <si>
    <t>Klasse</t>
  </si>
  <si>
    <t>Bergforhold</t>
  </si>
  <si>
    <t>Sikringsklasse</t>
  </si>
  <si>
    <t>Spredt bolting</t>
  </si>
  <si>
    <t>Bolt &lt; 4</t>
  </si>
  <si>
    <t>Bolt &gt; 4</t>
  </si>
  <si>
    <t>shot_thick</t>
  </si>
  <si>
    <t>??</t>
  </si>
  <si>
    <t>bolt_lt4_cc</t>
  </si>
  <si>
    <t>bolt_gt4_cc</t>
  </si>
  <si>
    <t>E (Q = 0,2 - 0,1)</t>
  </si>
  <si>
    <t>E (Q = 1,0 - 0,2)</t>
  </si>
  <si>
    <t>F</t>
  </si>
  <si>
    <t>shot_arm</t>
  </si>
  <si>
    <t>bue</t>
  </si>
  <si>
    <t>Yes</t>
  </si>
  <si>
    <t>center to center</t>
  </si>
  <si>
    <t>tykkelse (mm)</t>
  </si>
  <si>
    <t>Armerte sprøytebetongbuer</t>
  </si>
  <si>
    <t>center to center
(average of c-c 2-3 = 2,5)</t>
  </si>
  <si>
    <t>Buedimensjon E30/6 ø20 mm</t>
  </si>
  <si>
    <t>Buene boltes systematisk</t>
  </si>
  <si>
    <t>Buene boltes systematisk, c/c bolt = 1,5 m, boltelengde 3–4 m</t>
  </si>
  <si>
    <t>Sålestøp vurderes</t>
  </si>
  <si>
    <t>Sikringsklasse V</t>
  </si>
  <si>
    <t>Sikringsklasse IV</t>
  </si>
  <si>
    <t>Sikringsklasse II</t>
  </si>
  <si>
    <t>Sikringsklasse III</t>
  </si>
  <si>
    <t>Sikringsklasse I</t>
  </si>
  <si>
    <t>G</t>
  </si>
  <si>
    <t>Sikringsklasse VI</t>
  </si>
  <si>
    <t>bue_bolt_lt4</t>
  </si>
  <si>
    <t>Bergsmasse
klasse</t>
  </si>
  <si>
    <t>E2</t>
  </si>
  <si>
    <t>E1</t>
  </si>
  <si>
    <t>remain_length</t>
  </si>
  <si>
    <t>Manuel driftsrensk</t>
  </si>
  <si>
    <t>Hva betyr dette?</t>
  </si>
  <si>
    <t>Sprøytebetong B35 E700, tykkelse 80 mm</t>
  </si>
  <si>
    <t>Systematisk bolting c/c 2 m</t>
  </si>
  <si>
    <t>Sprøytebetong B35 E1000, tykkelse 100 mm</t>
  </si>
  <si>
    <t>Systematisk bolting c/c 1,75 m</t>
  </si>
  <si>
    <t>Sprøytebetong B35 E1000, tykkelse 150 mm</t>
  </si>
  <si>
    <t>Systematisk bolting, c/c 1,5 m</t>
  </si>
  <si>
    <t>Armerte sprøytebetongbuer.</t>
  </si>
  <si>
    <t>Buedimensjon E30/6 ø20 mm, c/c buer 2–3 m,</t>
  </si>
  <si>
    <t>Sprøytebetong B35 E1000, tykkelse 150–250 mm</t>
  </si>
  <si>
    <t>Systematisk bolting, c/c 1,0 – 1,5 m</t>
  </si>
  <si>
    <t>150-250</t>
  </si>
  <si>
    <t>1-1,5</t>
  </si>
  <si>
    <t>2-3</t>
  </si>
  <si>
    <t>3-4</t>
  </si>
  <si>
    <t>Okay</t>
  </si>
  <si>
    <t>Trenger mer informasjon</t>
  </si>
  <si>
    <t>Buelendge</t>
  </si>
  <si>
    <t>Bruker-definert</t>
  </si>
  <si>
    <t>Lengde-avhengig</t>
  </si>
  <si>
    <t>Sikringsklasse-basert</t>
  </si>
  <si>
    <t>Title</t>
  </si>
  <si>
    <t>Sikrings-mengde:</t>
  </si>
  <si>
    <t>Remaining (undefined) length</t>
  </si>
  <si>
    <t>Her kan brukeren bruke bergmasse-klassa for å beregne sikringsmengden.</t>
  </si>
  <si>
    <t>bergbånd</t>
  </si>
  <si>
    <t>Arch</t>
  </si>
  <si>
    <t>Thickness</t>
  </si>
  <si>
    <t>John &amp; Amund</t>
  </si>
  <si>
    <t>Interpolation</t>
  </si>
  <si>
    <t>bolt_lt4</t>
  </si>
  <si>
    <t>bolt_gt4</t>
  </si>
  <si>
    <t>bredde</t>
  </si>
  <si>
    <t>Buelengde</t>
  </si>
  <si>
    <t>Bredde</t>
  </si>
  <si>
    <t>This table assigns the klasse length to the relevant stuff</t>
  </si>
  <si>
    <t>This table collects all the user inputs from the "bergmasse klasse" input sheet.  There, the user defines portions of the tunnel with a rock mass class</t>
  </si>
  <si>
    <t>Gradient</t>
  </si>
  <si>
    <t>This table forms the "recommended" values to convert rock mass class into stability quantity</t>
  </si>
  <si>
    <t>Control</t>
  </si>
  <si>
    <t>klasse matches stuff length</t>
  </si>
  <si>
    <t>klasse_stuff_match</t>
  </si>
  <si>
    <t>total_klasse</t>
  </si>
  <si>
    <t>Research/background</t>
  </si>
  <si>
    <t>Partition</t>
  </si>
  <si>
    <t>Method</t>
  </si>
  <si>
    <t>Klasse_man</t>
  </si>
  <si>
    <t>Insufficient data so far</t>
  </si>
  <si>
    <t>Fra N500</t>
  </si>
  <si>
    <t>"klasse_shot"</t>
  </si>
  <si>
    <t>"klasse_buer"</t>
  </si>
  <si>
    <t>man_metode</t>
  </si>
  <si>
    <t>%</t>
  </si>
  <si>
    <t>Klasse_bånd</t>
  </si>
  <si>
    <t>Klasse_net</t>
  </si>
  <si>
    <t>Metode</t>
  </si>
  <si>
    <t>Klasse_shot</t>
  </si>
  <si>
    <t>Klasse_buer</t>
  </si>
  <si>
    <t>Sikringstøp per tunnellengde</t>
  </si>
  <si>
    <t>"klasse_sikrings"</t>
  </si>
  <si>
    <t>sikrings per length</t>
  </si>
  <si>
    <t>Sikringsstøp per tunnellengde</t>
  </si>
  <si>
    <t>Prosent basert</t>
  </si>
  <si>
    <t>Verdier</t>
  </si>
  <si>
    <t>bolt_del</t>
  </si>
  <si>
    <t>bolt_metod</t>
  </si>
  <si>
    <t>man_metod</t>
  </si>
  <si>
    <t>bånd_metod</t>
  </si>
  <si>
    <t>nett_metod</t>
  </si>
  <si>
    <t>shot_metod</t>
  </si>
  <si>
    <t>buer_metod</t>
  </si>
  <si>
    <t>sik_metod</t>
  </si>
  <si>
    <t>sik_del</t>
  </si>
  <si>
    <t>Klasse_bolt_del</t>
  </si>
  <si>
    <t>Klasse_bolt_method</t>
  </si>
  <si>
    <t>klasse_sik_del</t>
  </si>
  <si>
    <t>Klasse_sik_method</t>
  </si>
  <si>
    <t>Titles</t>
  </si>
  <si>
    <t>This table controls the naming convention (for consistency controll)</t>
  </si>
  <si>
    <t>Tunnel type</t>
  </si>
  <si>
    <t>Area (normal)</t>
  </si>
  <si>
    <t>Area (teoretisk)</t>
  </si>
  <si>
    <t>Rank</t>
  </si>
  <si>
    <t>Veidekke</t>
  </si>
  <si>
    <r>
      <t>This worksheet tab controls the "</t>
    </r>
    <r>
      <rPr>
        <b/>
        <i/>
        <sz val="11"/>
        <color rgb="FFCC3300"/>
        <rFont val="Georgia Pro"/>
        <family val="1"/>
      </rPr>
      <t>Bergmasse klasse" feature</t>
    </r>
  </si>
  <si>
    <t>"outputs_klasse_qty"</t>
  </si>
  <si>
    <t>Final bergmasse klasse to quantity conversion</t>
  </si>
  <si>
    <t>If values unchanged by the user, a default will be used instead.</t>
  </si>
  <si>
    <t>Mer?</t>
  </si>
  <si>
    <t>This section is mostly for research purposes. (May be moved to another tab if it gets messy)</t>
  </si>
  <si>
    <t>Conversion "default" values were established based on interpolation between N500, Veidekke &amp; Skanska suggestions and inputs</t>
  </si>
  <si>
    <t>Item</t>
  </si>
  <si>
    <t>Bolting information</t>
  </si>
  <si>
    <t>Shotcreting information</t>
  </si>
  <si>
    <t>This converts the user-defined lengths, into a quantity of stability works (with repsects to the bergmasse klasse system)</t>
  </si>
  <si>
    <t>man_a_output</t>
  </si>
  <si>
    <t>man_a_rate</t>
  </si>
  <si>
    <t>Column4</t>
  </si>
  <si>
    <t>Column5</t>
  </si>
  <si>
    <t>area_a</t>
  </si>
  <si>
    <t>area_b</t>
  </si>
  <si>
    <t>area_c</t>
  </si>
  <si>
    <t>area_d</t>
  </si>
  <si>
    <t>area_e1</t>
  </si>
  <si>
    <t>area_e2</t>
  </si>
  <si>
    <t>area_f</t>
  </si>
  <si>
    <t>area_g</t>
  </si>
  <si>
    <t>Hovedtunnel</t>
  </si>
  <si>
    <t>Final tverrslag profile</t>
  </si>
  <si>
    <t>man_b_rate</t>
  </si>
  <si>
    <t>man_b_output</t>
  </si>
  <si>
    <t>man_c_rate</t>
  </si>
  <si>
    <t>man_c_output</t>
  </si>
  <si>
    <t>lengde_A</t>
  </si>
  <si>
    <t>lengde_B</t>
  </si>
  <si>
    <t>lengde_C</t>
  </si>
  <si>
    <t>lengde_D</t>
  </si>
  <si>
    <t>lengde_E1</t>
  </si>
  <si>
    <t>lengde_E2</t>
  </si>
  <si>
    <t>lengde_F</t>
  </si>
  <si>
    <t>lengde_G</t>
  </si>
  <si>
    <t>actual_lengde</t>
  </si>
  <si>
    <t>klasse_total_length</t>
  </si>
  <si>
    <t>man_d_rate</t>
  </si>
  <si>
    <t>man_d_output</t>
  </si>
  <si>
    <t>man_e2_rate</t>
  </si>
  <si>
    <t>man_e2_output</t>
  </si>
  <si>
    <t>man_e1_output</t>
  </si>
  <si>
    <t>man_e1_rate</t>
  </si>
  <si>
    <t>man_f_rate</t>
  </si>
  <si>
    <t>man_f_output</t>
  </si>
  <si>
    <t>man_g_rate</t>
  </si>
  <si>
    <t>man_g_output</t>
  </si>
  <si>
    <t>method check</t>
  </si>
  <si>
    <t>Input_metod</t>
  </si>
  <si>
    <t>1 - percentage based of entire tunnel</t>
  </si>
  <si>
    <t>2 - individual stuff</t>
  </si>
  <si>
    <t>Final buelengde</t>
  </si>
  <si>
    <t>User buelengde</t>
  </si>
  <si>
    <t>bolter per length</t>
  </si>
  <si>
    <t>NOTHING YET</t>
  </si>
  <si>
    <t>bånd_metode</t>
  </si>
  <si>
    <t>nett</t>
  </si>
  <si>
    <t>nett_metode</t>
  </si>
  <si>
    <t>nett_a_rate</t>
  </si>
  <si>
    <t>nett_a_output</t>
  </si>
  <si>
    <t>nett_b_rate</t>
  </si>
  <si>
    <t>nett_b_output</t>
  </si>
  <si>
    <t>nett_c_rate</t>
  </si>
  <si>
    <t>nett_c_output</t>
  </si>
  <si>
    <t>nett_d_rate</t>
  </si>
  <si>
    <t>nett_d_output</t>
  </si>
  <si>
    <t>nett_e1_rate</t>
  </si>
  <si>
    <t>nett_e1_output</t>
  </si>
  <si>
    <t>nett_e2_rate</t>
  </si>
  <si>
    <t>nett_e2_output</t>
  </si>
  <si>
    <t>nett_f_rate</t>
  </si>
  <si>
    <t>nett_f_output</t>
  </si>
  <si>
    <t>nett_g_rate</t>
  </si>
  <si>
    <t>nett_g_output</t>
  </si>
  <si>
    <t>nett_total</t>
  </si>
  <si>
    <t>Column6</t>
  </si>
  <si>
    <t>Column7</t>
  </si>
  <si>
    <t>Random</t>
  </si>
  <si>
    <t>Tykkelse lag</t>
  </si>
  <si>
    <t>mm</t>
  </si>
  <si>
    <t>bue_metode</t>
  </si>
  <si>
    <r>
      <rPr>
        <b/>
        <i/>
        <u/>
        <sz val="25"/>
        <color theme="1"/>
        <rFont val="Georgia Pro"/>
        <family val="1"/>
      </rPr>
      <t>Veidekke</t>
    </r>
    <r>
      <rPr>
        <b/>
        <i/>
        <sz val="25"/>
        <color theme="1"/>
        <rFont val="Georgia Pro"/>
        <family val="1"/>
      </rPr>
      <t xml:space="preserve"> shotcrete conversion</t>
    </r>
  </si>
  <si>
    <t>This table displays the correct name for each column (klasse input sheet)</t>
  </si>
  <si>
    <t>Heletunnel</t>
  </si>
  <si>
    <t>Individual stuff</t>
  </si>
  <si>
    <t>shot_faktor</t>
  </si>
  <si>
    <t>klasse_shot_faktor</t>
  </si>
  <si>
    <t>Ja</t>
  </si>
  <si>
    <t>klasse_buer_del</t>
  </si>
  <si>
    <t>Buedimensjon</t>
  </si>
  <si>
    <t>klasse_buer_dim</t>
  </si>
  <si>
    <t>Dimensjon</t>
  </si>
  <si>
    <t>Ingen</t>
  </si>
  <si>
    <t>bolt_spacing</t>
  </si>
  <si>
    <t>klasse_buer_bolt</t>
  </si>
  <si>
    <t>klasse_buer_bolt_del</t>
  </si>
  <si>
    <t>bolt</t>
  </si>
  <si>
    <t>Bue-bolter (≤ 4 m)</t>
  </si>
  <si>
    <t>Bue-bolter (&gt; 4 m)</t>
  </si>
  <si>
    <t>buedimensjon</t>
  </si>
  <si>
    <t>bue_a_output</t>
  </si>
  <si>
    <t>bue_b_output</t>
  </si>
  <si>
    <t>bue_c_output</t>
  </si>
  <si>
    <t>bue_d_output</t>
  </si>
  <si>
    <t>bue_e1_output</t>
  </si>
  <si>
    <t>bue_e2_output</t>
  </si>
  <si>
    <t>bue_f_output</t>
  </si>
  <si>
    <t>bue_g_output</t>
  </si>
  <si>
    <t>bue_a_dim</t>
  </si>
  <si>
    <t>bue_b_dim</t>
  </si>
  <si>
    <t>bue_c_dim</t>
  </si>
  <si>
    <t>bue_d_dim</t>
  </si>
  <si>
    <t>bue_e1_dim</t>
  </si>
  <si>
    <t>bue_e2_dim</t>
  </si>
  <si>
    <t>bue_f_dim</t>
  </si>
  <si>
    <t>bue_g_dim</t>
  </si>
  <si>
    <t>bue_a_e30</t>
  </si>
  <si>
    <t>bue_a_d60</t>
  </si>
  <si>
    <t>Dimensjon type 1</t>
  </si>
  <si>
    <t>Dimensjon type 2</t>
  </si>
  <si>
    <t>bue_b_e30</t>
  </si>
  <si>
    <t>bue_b_d60</t>
  </si>
  <si>
    <t>bue_c_e30</t>
  </si>
  <si>
    <t>bue_c_d60</t>
  </si>
  <si>
    <t>bue_d_e30</t>
  </si>
  <si>
    <t>bue_d_d60</t>
  </si>
  <si>
    <t>bue_e1_e30</t>
  </si>
  <si>
    <t>bue_e1_d60</t>
  </si>
  <si>
    <t>bue_f_e30</t>
  </si>
  <si>
    <t>bue_f_d60</t>
  </si>
  <si>
    <t>bue_e2_e30</t>
  </si>
  <si>
    <t>bue_e2_d60</t>
  </si>
  <si>
    <t>bue_g_e30</t>
  </si>
  <si>
    <t>bue_g_d60</t>
  </si>
  <si>
    <t>E30</t>
  </si>
  <si>
    <t>D60</t>
  </si>
  <si>
    <t>Extra_shot</t>
  </si>
  <si>
    <t>taper_grade</t>
  </si>
  <si>
    <t>armering amount</t>
  </si>
  <si>
    <t>thickess [mm]</t>
  </si>
  <si>
    <t>cover [mm]</t>
  </si>
  <si>
    <t>bolt_dia [mm]</t>
  </si>
  <si>
    <t>cc_spacing [mm]</t>
  </si>
  <si>
    <t>taper_distance [mm]</t>
  </si>
  <si>
    <t>bue_bredde [mm]</t>
  </si>
  <si>
    <t>area_a [m]</t>
  </si>
  <si>
    <t>area_b [m]</t>
  </si>
  <si>
    <t>area_c [m]</t>
  </si>
  <si>
    <t>avg_thickness_c [mm]</t>
  </si>
  <si>
    <t>bredde_c [mm]</t>
  </si>
  <si>
    <t>TEST</t>
  </si>
  <si>
    <t>This table calculates the extra shotcrete volume required when constructing RRS (reinforced ribs of sprayed concrete)</t>
  </si>
  <si>
    <t>extra_shot_sum [m2]</t>
  </si>
  <si>
    <t>[m]</t>
  </si>
  <si>
    <t>buer_bolt</t>
  </si>
  <si>
    <t>Diemensjon type 0</t>
  </si>
  <si>
    <t>"outputs_stab_klasse"</t>
  </si>
  <si>
    <t>final stuff id</t>
  </si>
  <si>
    <t>2 - brukerdefinert</t>
  </si>
  <si>
    <t>1 - lengdebasert</t>
  </si>
  <si>
    <t>Input NAME</t>
  </si>
  <si>
    <t>Output QTY Name</t>
  </si>
  <si>
    <r>
      <rPr>
        <b/>
        <sz val="22"/>
        <color theme="1"/>
        <rFont val="Georgia Pro"/>
        <family val="1"/>
      </rPr>
      <t xml:space="preserve">Stabilitets OUTPUTS Quantity: </t>
    </r>
    <r>
      <rPr>
        <b/>
        <sz val="16"/>
        <color theme="1"/>
        <rFont val="Georgia Pro"/>
        <family val="1"/>
      </rPr>
      <t>naming and position</t>
    </r>
  </si>
  <si>
    <t>1 - automatisk</t>
  </si>
  <si>
    <t>outputs_stuff_id</t>
  </si>
  <si>
    <t>klasse_stuff_id</t>
  </si>
  <si>
    <t>klasse_1</t>
  </si>
  <si>
    <t>klasse_2</t>
  </si>
  <si>
    <t>klasse_3</t>
  </si>
  <si>
    <t>klasse_4</t>
  </si>
  <si>
    <t>klasse_5</t>
  </si>
  <si>
    <t>klasse_6</t>
  </si>
  <si>
    <t>klasse_7</t>
  </si>
  <si>
    <t>klasse_8</t>
  </si>
  <si>
    <t>klasse_9</t>
  </si>
  <si>
    <t>"inputs_stab_klasse"</t>
  </si>
  <si>
    <t>COLUMN HIDE/SHOW COUNT</t>
  </si>
  <si>
    <t>INPUT</t>
  </si>
  <si>
    <t>QTY</t>
  </si>
  <si>
    <t>Sprøytebetong ruhetsfaktor</t>
  </si>
  <si>
    <t>Ruhetfaktor</t>
  </si>
  <si>
    <t>Denne arkfane
er ikke i bruk!</t>
  </si>
  <si>
    <t>Label</t>
  </si>
  <si>
    <t>Intercept</t>
  </si>
  <si>
    <t>Educated guess</t>
  </si>
  <si>
    <t>Seeking entreprenør advice</t>
  </si>
  <si>
    <t>Banenor</t>
  </si>
  <si>
    <r>
      <t>60m</t>
    </r>
    <r>
      <rPr>
        <vertAlign val="superscript"/>
        <sz val="11"/>
        <color theme="1"/>
        <rFont val="Georgia Pro"/>
        <family val="1"/>
      </rPr>
      <t>2</t>
    </r>
  </si>
  <si>
    <r>
      <t>60-90 m</t>
    </r>
    <r>
      <rPr>
        <vertAlign val="superscript"/>
        <sz val="11"/>
        <color theme="1"/>
        <rFont val="Georgia Pro"/>
        <family val="1"/>
      </rPr>
      <t>2</t>
    </r>
  </si>
  <si>
    <t>T8,5 - T12,5</t>
  </si>
  <si>
    <r>
      <t>128m</t>
    </r>
    <r>
      <rPr>
        <vertAlign val="superscript"/>
        <sz val="11"/>
        <color theme="1"/>
        <rFont val="Georgia Pro"/>
        <family val="1"/>
      </rPr>
      <t>2</t>
    </r>
  </si>
  <si>
    <t>T16</t>
  </si>
  <si>
    <t>Bolting - Heng og vederlag</t>
  </si>
  <si>
    <t>BaneNOR</t>
  </si>
  <si>
    <r>
      <t>60m</t>
    </r>
    <r>
      <rPr>
        <b/>
        <vertAlign val="superscript"/>
        <sz val="13"/>
        <color theme="1"/>
        <rFont val="Georgia Pro"/>
        <family val="1"/>
      </rPr>
      <t>2</t>
    </r>
  </si>
  <si>
    <t>Will be redundant soon</t>
  </si>
  <si>
    <t>This should instead be an output</t>
  </si>
  <si>
    <t>volume per length</t>
  </si>
  <si>
    <t>Grade</t>
  </si>
  <si>
    <t>Manual rensk</t>
  </si>
  <si>
    <t>Buelendge
(såle-såle)</t>
  </si>
  <si>
    <r>
      <t>Senterhøyde veggradier
(Y</t>
    </r>
    <r>
      <rPr>
        <vertAlign val="subscript"/>
        <sz val="12"/>
        <color theme="1"/>
        <rFont val="Georgia Pro"/>
        <family val="1"/>
      </rPr>
      <t>v</t>
    </r>
    <r>
      <rPr>
        <sz val="12"/>
        <color theme="1"/>
        <rFont val="Georgia Pro"/>
        <family val="1"/>
      </rPr>
      <t>)</t>
    </r>
  </si>
  <si>
    <t>Response</t>
  </si>
  <si>
    <t>Vederlag-vederlag</t>
  </si>
  <si>
    <t>Beregningsalternativ</t>
  </si>
  <si>
    <t>Startsted</t>
  </si>
  <si>
    <t>Sluttsted</t>
  </si>
  <si>
    <t>Generell informasjon</t>
  </si>
  <si>
    <t>Ukentlig
arbeidstid</t>
  </si>
  <si>
    <t>Generell
informasjon</t>
  </si>
  <si>
    <t>Forskjæring</t>
  </si>
  <si>
    <t>Buer: tillegs-sprøytebtong</t>
  </si>
  <si>
    <t>Berguttak hovedløp</t>
  </si>
  <si>
    <t>Normalsalve</t>
  </si>
  <si>
    <t>Redusert salve</t>
  </si>
  <si>
    <t>Fullt tverrsnitt – redusert salvelengde</t>
  </si>
  <si>
    <t>Todelt tverrsnitt – normal salvelengde</t>
  </si>
  <si>
    <t>Todelt tverrsnitt – redusert salvelengde</t>
  </si>
  <si>
    <t>Hele tunnelen</t>
  </si>
  <si>
    <t>Forundersøkelser</t>
  </si>
  <si>
    <t>kg</t>
  </si>
  <si>
    <t>kg/h</t>
  </si>
  <si>
    <t>Alle typer ≤ 4 m</t>
  </si>
  <si>
    <t>Alle typer &gt; 4 m</t>
  </si>
  <si>
    <t>Bergbånd og nett</t>
  </si>
  <si>
    <t>Festebolter for bergbånd og nett</t>
  </si>
  <si>
    <t>Samlet buelengde</t>
  </si>
  <si>
    <t>tunnelklasse</t>
  </si>
  <si>
    <t>E</t>
  </si>
  <si>
    <t>Vanntunnel / annet</t>
  </si>
  <si>
    <t>tunneltype_id</t>
  </si>
  <si>
    <t>Tunnel XS</t>
  </si>
  <si>
    <t>Prosjektinfo label</t>
  </si>
  <si>
    <t>Tunnelprofil_list</t>
  </si>
  <si>
    <t/>
  </si>
  <si>
    <t>Profile_list</t>
  </si>
  <si>
    <t>"vegprofil"</t>
  </si>
  <si>
    <t>"vannprofil"</t>
  </si>
  <si>
    <t>Høyde_bredde</t>
  </si>
  <si>
    <t>vegprofil[name]</t>
  </si>
  <si>
    <t>vannprofil[name]</t>
  </si>
  <si>
    <t>Høyde / bredde</t>
  </si>
  <si>
    <t>løp1</t>
  </si>
  <si>
    <t>Vederlag</t>
  </si>
  <si>
    <t>For prosjektet</t>
  </si>
  <si>
    <t>For hver stuff</t>
  </si>
  <si>
    <t>Vegg</t>
  </si>
  <si>
    <t>Drift informasjon</t>
  </si>
  <si>
    <t>Prosjekt</t>
  </si>
  <si>
    <t>ID</t>
  </si>
  <si>
    <t>"control_forbe"</t>
  </si>
  <si>
    <t>Tverrslag_status</t>
  </si>
  <si>
    <t>Column12</t>
  </si>
  <si>
    <t>Column13</t>
  </si>
  <si>
    <t>Column14</t>
  </si>
  <si>
    <t>prosjekt_forbe</t>
  </si>
  <si>
    <t>Notice for tverrslag stuff'</t>
  </si>
  <si>
    <t>oopsum_prosjekt_forbe</t>
  </si>
  <si>
    <t>blank_for</t>
  </si>
  <si>
    <t>blank_andre</t>
  </si>
  <si>
    <t>1=blank</t>
  </si>
  <si>
    <t>1=incomplete</t>
  </si>
  <si>
    <t>Ikke relevant</t>
  </si>
  <si>
    <t>hide_control</t>
  </si>
  <si>
    <t>position_forb</t>
  </si>
  <si>
    <t>This table controls the "grey-out" for each stuff. Stuff connected to the tverrslag will not affected by "forberedende arbeider", and their cells will be greyed-out.</t>
  </si>
  <si>
    <t>forbe_check</t>
  </si>
  <si>
    <t>forsk_check</t>
  </si>
  <si>
    <t>forbe_total_check</t>
  </si>
  <si>
    <t>blank_forsk</t>
  </si>
  <si>
    <t>final_check</t>
  </si>
  <si>
    <t>total_check</t>
  </si>
  <si>
    <t>prosjekt_forbe_hr</t>
  </si>
  <si>
    <t>Bergbånd overlappingsfaktor</t>
  </si>
  <si>
    <t>Salve-informasjon</t>
  </si>
  <si>
    <t>Dobbeltspor</t>
  </si>
  <si>
    <t>Sikringsbolting</t>
  </si>
  <si>
    <t>This section contains the methodology and the rates to estimate the number of rock bolts.</t>
  </si>
  <si>
    <t>veder_cc_a</t>
  </si>
  <si>
    <t>veg60</t>
  </si>
  <si>
    <t>veg90</t>
  </si>
  <si>
    <t>jern125</t>
  </si>
  <si>
    <t>jern85</t>
  </si>
  <si>
    <t>veder_cc_b</t>
  </si>
  <si>
    <t>veder_cc_c</t>
  </si>
  <si>
    <t>veder_cc_d</t>
  </si>
  <si>
    <t>veder_cc_e1</t>
  </si>
  <si>
    <t>veder_cc_e2</t>
  </si>
  <si>
    <t>veder_cc_f</t>
  </si>
  <si>
    <t>veder_cc_g</t>
  </si>
  <si>
    <t>veder_length_lt4_a</t>
  </si>
  <si>
    <t>veder_length_lt4_b</t>
  </si>
  <si>
    <t>veder_length_lt4_c</t>
  </si>
  <si>
    <t>veder_length_lt4_d</t>
  </si>
  <si>
    <t>veder_length_lt4_e1</t>
  </si>
  <si>
    <t>veder_length_lt4_e2</t>
  </si>
  <si>
    <t>veder_length_lt4_g</t>
  </si>
  <si>
    <t>veder_length_lt4_f</t>
  </si>
  <si>
    <t>veder_length_gt4_a</t>
  </si>
  <si>
    <t>veder_length_gt4_b</t>
  </si>
  <si>
    <t>veder_length_gt4_c</t>
  </si>
  <si>
    <t>veder_length_gt4_d</t>
  </si>
  <si>
    <t>veder_length_gt4_e1</t>
  </si>
  <si>
    <t>veder_length_gt4_e2</t>
  </si>
  <si>
    <t>veder_length_gt4_f</t>
  </si>
  <si>
    <t>veder_length_gt4_g</t>
  </si>
  <si>
    <t>vegg_cc_a</t>
  </si>
  <si>
    <t>vegg_cc_b</t>
  </si>
  <si>
    <t>vegg_cc_c</t>
  </si>
  <si>
    <t>vegg_cc_d</t>
  </si>
  <si>
    <t>vegg_cc_e1</t>
  </si>
  <si>
    <t>vegg_cc_e2</t>
  </si>
  <si>
    <t>vegg_cc_f</t>
  </si>
  <si>
    <t>vegg_cc_g</t>
  </si>
  <si>
    <t>vegg_length_lt4_a</t>
  </si>
  <si>
    <t>vegg_length_lt4_b</t>
  </si>
  <si>
    <t>vegg_length_lt4_c</t>
  </si>
  <si>
    <t>vegg_length_lt4_d</t>
  </si>
  <si>
    <t>vegg_length_lt4_e1</t>
  </si>
  <si>
    <t>vegg_length_lt4_e2</t>
  </si>
  <si>
    <t>vegg_length_lt4_f</t>
  </si>
  <si>
    <t>vegg_length_lt4_g</t>
  </si>
  <si>
    <t>vegg_length_gt4_a</t>
  </si>
  <si>
    <t>vegg_length_gt4_b</t>
  </si>
  <si>
    <t>vegg_length_gt4_c</t>
  </si>
  <si>
    <t>vegg_length_gt4_d</t>
  </si>
  <si>
    <t>vegg_length_gt4_e1</t>
  </si>
  <si>
    <t>vegg_length_gt4_e2</t>
  </si>
  <si>
    <t>vegg_length_gt4_f</t>
  </si>
  <si>
    <t>vegg_length_gt4_g</t>
  </si>
  <si>
    <t>Reference_ID</t>
  </si>
  <si>
    <t>Tunneltype_ID</t>
  </si>
  <si>
    <t>Jern_ID</t>
  </si>
  <si>
    <t>Veg_ID</t>
  </si>
  <si>
    <t>"klasseqty_bolt"</t>
  </si>
  <si>
    <t>"klasseqty_sprøyte"</t>
  </si>
  <si>
    <t>This section contains the methodology and the rates to estimate the volume of shotcrete</t>
  </si>
  <si>
    <t>veder_tykkelse_a</t>
  </si>
  <si>
    <t>veder_tykkelse_b</t>
  </si>
  <si>
    <t>veder_tykkelse_c</t>
  </si>
  <si>
    <t>veder_tykkelse_d</t>
  </si>
  <si>
    <t>veder_tykkelse_e1</t>
  </si>
  <si>
    <t>veder_tykkelse_e2</t>
  </si>
  <si>
    <t>veder_tykkelse_f</t>
  </si>
  <si>
    <t>veder_tykkelse_g</t>
  </si>
  <si>
    <t>vegg_tykkelse_a</t>
  </si>
  <si>
    <t>vegg_tykkelse_b</t>
  </si>
  <si>
    <t>vegg_tykkelse_c</t>
  </si>
  <si>
    <t>vegg_tykkelse_d</t>
  </si>
  <si>
    <t>vegg_tykkelse_e1</t>
  </si>
  <si>
    <t>vegg_tykkelse_e2</t>
  </si>
  <si>
    <t>vegg_tykkelse_f</t>
  </si>
  <si>
    <t>vegg_tykkelse_g</t>
  </si>
  <si>
    <t>ruhetfaktor_a</t>
  </si>
  <si>
    <t>ruhetfaktor_b</t>
  </si>
  <si>
    <t>ruhetfaktor_c</t>
  </si>
  <si>
    <t>ruhetfaktor_d</t>
  </si>
  <si>
    <t>ruhetfaktor_e1</t>
  </si>
  <si>
    <t>ruhetfaktor_e2</t>
  </si>
  <si>
    <t>ruhetfaktor_f</t>
  </si>
  <si>
    <t>ruhetfaktor_g</t>
  </si>
  <si>
    <t>Bue-rast</t>
  </si>
  <si>
    <t>"klasseqty_buer"</t>
  </si>
  <si>
    <t>dimensjon_a</t>
  </si>
  <si>
    <t>dimensjon_b</t>
  </si>
  <si>
    <t>dimensjon_c</t>
  </si>
  <si>
    <t>dimensjon_d</t>
  </si>
  <si>
    <t>dimensjon_e1</t>
  </si>
  <si>
    <t>dimensjon_e2</t>
  </si>
  <si>
    <t>dimensjon_f</t>
  </si>
  <si>
    <t>dimensjon_g</t>
  </si>
  <si>
    <t>Type_size</t>
  </si>
  <si>
    <t>bue_senteravstand_a</t>
  </si>
  <si>
    <t>bue_senteravstand_b</t>
  </si>
  <si>
    <t>bue_senteravstand_c</t>
  </si>
  <si>
    <t>bue_senteravstand_d</t>
  </si>
  <si>
    <t>bue_senteravstand_e1</t>
  </si>
  <si>
    <t>bue_senteravstand_e2</t>
  </si>
  <si>
    <t>bue_senteravstand_f</t>
  </si>
  <si>
    <t>bue_senteravstand_g</t>
  </si>
  <si>
    <t>radiellebolter_senteravstand_a</t>
  </si>
  <si>
    <t>radiellebolter_senteravstand_b</t>
  </si>
  <si>
    <t>radiellebolter_senteravstand_c</t>
  </si>
  <si>
    <t>radiellebolter_senteravstand_d</t>
  </si>
  <si>
    <t>radiellebolter_senteravstand_e1</t>
  </si>
  <si>
    <t>radiellebolter_senteravstand_e2</t>
  </si>
  <si>
    <t>radiellebolter_senteravstand_f</t>
  </si>
  <si>
    <t>radiellebolter_senteravstand_g</t>
  </si>
  <si>
    <t>radiellebolter_lt4_a</t>
  </si>
  <si>
    <t>radiellebolter_lt4_b</t>
  </si>
  <si>
    <t>radiellebolter_lt4_c</t>
  </si>
  <si>
    <t>radiellebolter_lt4_d</t>
  </si>
  <si>
    <t>radiellebolter_lt4_e1</t>
  </si>
  <si>
    <t>radiellebolter_lt4_e2</t>
  </si>
  <si>
    <t>radiellebolter_lt4_f</t>
  </si>
  <si>
    <t>radiellebolter_lt4_g</t>
  </si>
  <si>
    <t>radiellebolter_gt4_a</t>
  </si>
  <si>
    <t>radiellebolter_gt4_b</t>
  </si>
  <si>
    <t>radiellebolter_gt4_c</t>
  </si>
  <si>
    <t>radiellebolter_gt4_d</t>
  </si>
  <si>
    <t>radiellebolter_gt4_e1</t>
  </si>
  <si>
    <t>radiellebolter_gt4_e2</t>
  </si>
  <si>
    <t>radiellebolter_gt4_f</t>
  </si>
  <si>
    <t>radiellebolter_gt4_g</t>
  </si>
  <si>
    <t>Bue-forankring ved sålen</t>
  </si>
  <si>
    <t>forankring_a</t>
  </si>
  <si>
    <t>forankring_b</t>
  </si>
  <si>
    <t>forankring_c</t>
  </si>
  <si>
    <t>forankring_d</t>
  </si>
  <si>
    <t>forankring_e1</t>
  </si>
  <si>
    <t>forankring_e2</t>
  </si>
  <si>
    <t>forankring_f</t>
  </si>
  <si>
    <t>forankring_g</t>
  </si>
  <si>
    <t>forankring_lt4_a</t>
  </si>
  <si>
    <t>forankring_lt4_b</t>
  </si>
  <si>
    <t>forankring_lt4_c</t>
  </si>
  <si>
    <t>forankring_lt4_d</t>
  </si>
  <si>
    <t>forankring_lt4_e1</t>
  </si>
  <si>
    <t>forankring_lt4_e2</t>
  </si>
  <si>
    <t>forankring_lt4_f</t>
  </si>
  <si>
    <t>forankring_lt4_g</t>
  </si>
  <si>
    <t>forankring_gt4_a</t>
  </si>
  <si>
    <t>forankring_gt4_b</t>
  </si>
  <si>
    <t>forankring_gt4_c</t>
  </si>
  <si>
    <t>forankring_gt4_d</t>
  </si>
  <si>
    <t>forankring_gt4_e1</t>
  </si>
  <si>
    <t>forankring_gt4_e2</t>
  </si>
  <si>
    <t>forankring_gt4_f</t>
  </si>
  <si>
    <t>forankring_gt4_g</t>
  </si>
  <si>
    <t>Forbolting</t>
  </si>
  <si>
    <t>Radielle bolter (opphengbolter)</t>
  </si>
  <si>
    <t>"klasseqty_forbolting"</t>
  </si>
  <si>
    <t>Såle-såle</t>
  </si>
  <si>
    <t>bueområde_a</t>
  </si>
  <si>
    <t>bueområde_b</t>
  </si>
  <si>
    <t>bueområde_c</t>
  </si>
  <si>
    <t>bueområde_d</t>
  </si>
  <si>
    <t>bueområde_e1</t>
  </si>
  <si>
    <t>bueområde_e2</t>
  </si>
  <si>
    <t>bueområde_f</t>
  </si>
  <si>
    <t>bueområde_g</t>
  </si>
  <si>
    <t>forbolting_senteravstand_a</t>
  </si>
  <si>
    <t>forbolting_senteravstand_b</t>
  </si>
  <si>
    <t>forbolting_senteravstand_c</t>
  </si>
  <si>
    <t>forbolting_senteravstand_d</t>
  </si>
  <si>
    <t>forbolting_senteravstand_e1</t>
  </si>
  <si>
    <t>forbolting_senteravstand_e2</t>
  </si>
  <si>
    <t>forbolting_senteravstand_f</t>
  </si>
  <si>
    <t>forbolting_senteravstand_g</t>
  </si>
  <si>
    <t>forbolting_lt4_b</t>
  </si>
  <si>
    <t>forbolting_lt4_c</t>
  </si>
  <si>
    <t>forbolting_lt4_d</t>
  </si>
  <si>
    <t>forbolting_lt4_e1</t>
  </si>
  <si>
    <t>forbolting_lt4_e2</t>
  </si>
  <si>
    <t>forbolting_lt4_f</t>
  </si>
  <si>
    <t>forbolting_lt4_g</t>
  </si>
  <si>
    <t>forbolting_lt4_a</t>
  </si>
  <si>
    <t>forbolting_gt4_a</t>
  </si>
  <si>
    <t>forbolting_gt4_b</t>
  </si>
  <si>
    <t>forbolting_gt4_c</t>
  </si>
  <si>
    <t>forbolting_gt4_d</t>
  </si>
  <si>
    <t>forbolting_gt4_e1</t>
  </si>
  <si>
    <t>forbolting_gt4_e2</t>
  </si>
  <si>
    <t>forbolting_gt4_f</t>
  </si>
  <si>
    <t>forbolting_gt4_g</t>
  </si>
  <si>
    <t>oppheng_senteravstand_a</t>
  </si>
  <si>
    <t>oppheng_senteravstand_b</t>
  </si>
  <si>
    <t>oppheng_senteravstand_c</t>
  </si>
  <si>
    <t>oppheng_senteravstand_d</t>
  </si>
  <si>
    <t>oppheng_senteravstand_e1</t>
  </si>
  <si>
    <t>oppheng_senteravstand_e2</t>
  </si>
  <si>
    <t>oppheng_senteravstand_f</t>
  </si>
  <si>
    <t>oppheng_senteravstand_g</t>
  </si>
  <si>
    <t>oppheng_lt4_a</t>
  </si>
  <si>
    <t>oppheng_lt4_b</t>
  </si>
  <si>
    <t>oppheng_lt4_c</t>
  </si>
  <si>
    <t>oppheng_lt4_d</t>
  </si>
  <si>
    <t>oppheng_lt4_e1</t>
  </si>
  <si>
    <t>oppheng_lt4_e2</t>
  </si>
  <si>
    <t>oppheng_lt4_f</t>
  </si>
  <si>
    <t>oppheng_lt4_g</t>
  </si>
  <si>
    <t>oppheng_gt4_a</t>
  </si>
  <si>
    <t>oppheng_gt4_b</t>
  </si>
  <si>
    <t>oppheng_gt4_c</t>
  </si>
  <si>
    <t>oppheng_gt4_d</t>
  </si>
  <si>
    <t>oppheng_gt4_e1</t>
  </si>
  <si>
    <t>oppheng_gt4_e2</t>
  </si>
  <si>
    <t>oppheng_gt4_f</t>
  </si>
  <si>
    <t>oppheng_gt4_g</t>
  </si>
  <si>
    <t>"klasseqty_bergbånd"</t>
  </si>
  <si>
    <t>overlappingsfaktor_a</t>
  </si>
  <si>
    <t>overlappingsfaktor_b</t>
  </si>
  <si>
    <t>overlappingsfaktor_c</t>
  </si>
  <si>
    <t>overlappingsfaktor_d</t>
  </si>
  <si>
    <t>overlappingsfaktor_e1</t>
  </si>
  <si>
    <t>overlappingsfaktor_e2</t>
  </si>
  <si>
    <t>overlappingsfaktor_f</t>
  </si>
  <si>
    <t>overlappingsfaktor_g</t>
  </si>
  <si>
    <t>Bue-informasjon</t>
  </si>
  <si>
    <t>Vegg lengde</t>
  </si>
  <si>
    <t>Vederlag-vederlag lengde</t>
  </si>
  <si>
    <t>Bergklasse mode ON/OFF</t>
  </si>
  <si>
    <t>Tunnel_ID</t>
  </si>
  <si>
    <t>Enkeltspor</t>
  </si>
  <si>
    <t>"jernprofil"</t>
  </si>
  <si>
    <t>jernprofil[name]</t>
  </si>
  <si>
    <t>tverrslag_type (profile)</t>
  </si>
  <si>
    <t>Jern</t>
  </si>
  <si>
    <t>Vann</t>
  </si>
  <si>
    <t>This table contains general tunnel information. This is where the standard values come from.</t>
  </si>
  <si>
    <t>User vegg-lengde</t>
  </si>
  <si>
    <t>Final vegg-lengde</t>
  </si>
  <si>
    <t>User vederlag-vederlag-lengde</t>
  </si>
  <si>
    <t>Final vederlag-vederlag-lengde</t>
  </si>
  <si>
    <t>Beregnet</t>
  </si>
  <si>
    <t>Gjennomsnitt salve-lengde</t>
  </si>
  <si>
    <t>salve_lengde_a</t>
  </si>
  <si>
    <t>salve_lengde_b</t>
  </si>
  <si>
    <t>salve_lengde_c</t>
  </si>
  <si>
    <t>salve_lengde_d</t>
  </si>
  <si>
    <t>salve_lengde_e1</t>
  </si>
  <si>
    <t>salve_lengde_e2</t>
  </si>
  <si>
    <t>salve_lengde_f</t>
  </si>
  <si>
    <t>salve_lengde_g</t>
  </si>
  <si>
    <t>General-informasjon</t>
  </si>
  <si>
    <t>Rensk og kartlegging</t>
  </si>
  <si>
    <t>_Calcs_Klasse!S29</t>
  </si>
  <si>
    <t>Final rates</t>
  </si>
  <si>
    <t>_Calcs_Klasse!JV31</t>
  </si>
  <si>
    <t>"klasseqty_rensk"</t>
  </si>
  <si>
    <t>inspectiontid_a</t>
  </si>
  <si>
    <t>inspectiontid_b</t>
  </si>
  <si>
    <t>inspectiontid_c</t>
  </si>
  <si>
    <t>inspectiontid_d</t>
  </si>
  <si>
    <t>inspectiontid_e1</t>
  </si>
  <si>
    <t>inspectiontid_e2</t>
  </si>
  <si>
    <t>inspectiontid_f</t>
  </si>
  <si>
    <t>inspectiontid_g</t>
  </si>
  <si>
    <t>"klasse_salve"</t>
  </si>
  <si>
    <t>This table controls the salve-lengde for the different tunnel sizes</t>
  </si>
  <si>
    <t>Rates_Tables</t>
  </si>
  <si>
    <t>Byggherretid / kartlegging</t>
  </si>
  <si>
    <t>Minutter per salve</t>
  </si>
  <si>
    <t>Bolting senteravstand</t>
  </si>
  <si>
    <r>
      <t>Boltelengde fordeling (</t>
    </r>
    <r>
      <rPr>
        <sz val="11"/>
        <color theme="1"/>
        <rFont val="Georgia Pro"/>
        <family val="1"/>
      </rPr>
      <t>≤</t>
    </r>
    <r>
      <rPr>
        <i/>
        <sz val="11"/>
        <color theme="1"/>
        <rFont val="Georgia Pro"/>
        <family val="1"/>
      </rPr>
      <t xml:space="preserve"> 4 m)</t>
    </r>
  </si>
  <si>
    <t>Boltelengde fordeling (&gt; 4 m)</t>
  </si>
  <si>
    <t>Bue-radielle bolter</t>
  </si>
  <si>
    <t>Bue-radielle bolter senteravstand</t>
  </si>
  <si>
    <t>Forankring ved sålen (bolteforsterkning i fot, anchoring bolts)</t>
  </si>
  <si>
    <t>Total tilleggs-sprøytebetong per meter bue</t>
  </si>
  <si>
    <t>Bolteforsterkning i fot, anchoring bolts</t>
  </si>
  <si>
    <t>min/salve</t>
  </si>
  <si>
    <t>0 = negative</t>
  </si>
  <si>
    <t>0 = too big</t>
  </si>
  <si>
    <t>Her kan brukeren angi sin egne verdier.
La cellen være tom hvis man ønsker å bruke standardverdiene (foreslåtte).</t>
  </si>
  <si>
    <t>Suggested values:</t>
  </si>
  <si>
    <t>General</t>
  </si>
  <si>
    <t>_Calcs!F6</t>
  </si>
  <si>
    <t>Subject</t>
  </si>
  <si>
    <t>Foreslått / suggested values</t>
  </si>
  <si>
    <t>Custom value, by user</t>
  </si>
  <si>
    <t>Alternative?</t>
  </si>
  <si>
    <t>Bolting - Vegg</t>
  </si>
  <si>
    <t>Sprøytebetong - Vegg</t>
  </si>
  <si>
    <t>Sprøytebetong - Heng og vederlag</t>
  </si>
  <si>
    <t>good</t>
  </si>
  <si>
    <t>Forbolter</t>
  </si>
  <si>
    <t>Forbolting -bueområde</t>
  </si>
  <si>
    <t>Bueområde</t>
  </si>
  <si>
    <t>klasse_forbotling_område</t>
  </si>
  <si>
    <t>Forbolting: boltelengde fordeling (≤ 4 m)</t>
  </si>
  <si>
    <t>Forbolting: boltelengde fordeling (&gt; 4 m)</t>
  </si>
  <si>
    <t>Opphengbolting: boltelengde fordeling (≤ 4 m)</t>
  </si>
  <si>
    <t>Opphengbolting: boltelengde fordeling (&gt; 4 m)</t>
  </si>
  <si>
    <t>tillegs-sprøytebetong_a</t>
  </si>
  <si>
    <t>tillegs-sprøytebetong_b</t>
  </si>
  <si>
    <t>tillegs-sprøytebetong_c</t>
  </si>
  <si>
    <t>tillegs-sprøytebetong_d</t>
  </si>
  <si>
    <t>tillegs-sprøytebetong_e1</t>
  </si>
  <si>
    <t>tillegs-sprøytebetong_e2</t>
  </si>
  <si>
    <t>tillegs-sprøytebetong_f</t>
  </si>
  <si>
    <t>tillegs-sprøytebetong_g</t>
  </si>
  <si>
    <t>1 = incomplete</t>
  </si>
  <si>
    <t>utvidelse_a</t>
  </si>
  <si>
    <t>utvidelse_b</t>
  </si>
  <si>
    <t>utvidelse_c</t>
  </si>
  <si>
    <t>utvidelse_d</t>
  </si>
  <si>
    <t>utvidelse_e1</t>
  </si>
  <si>
    <t>utvidelse_e2</t>
  </si>
  <si>
    <t>utvidelse_f</t>
  </si>
  <si>
    <t>utvidelse_g</t>
  </si>
  <si>
    <t>Utvidelse av spreningsprofil bredde</t>
  </si>
  <si>
    <t>Enkelt</t>
  </si>
  <si>
    <t>Dobbelt</t>
  </si>
  <si>
    <t>Ekstra festebolter for bergbånd og nett</t>
  </si>
  <si>
    <t>Sondérboring</t>
  </si>
  <si>
    <t>justering_svar</t>
  </si>
  <si>
    <t>justering_svar[Svar]</t>
  </si>
  <si>
    <t>general_svar</t>
  </si>
  <si>
    <t>general_tid</t>
  </si>
  <si>
    <t>general_beg</t>
  </si>
  <si>
    <t>1 = okay</t>
  </si>
  <si>
    <t>general_svar_id</t>
  </si>
  <si>
    <t>Column9</t>
  </si>
  <si>
    <t>0 = error,
1 = general,
2= individ,
3 = ingen</t>
  </si>
  <si>
    <t>general_final</t>
  </si>
  <si>
    <t>Oppsum_checks</t>
  </si>
  <si>
    <t>all_nei_check</t>
  </si>
  <si>
    <t>just_generell</t>
  </si>
  <si>
    <t>Two_options</t>
  </si>
  <si>
    <t>kartlegging</t>
  </si>
  <si>
    <t>Stabilitiet</t>
  </si>
  <si>
    <t>tverrslag_status_oppsum</t>
  </si>
  <si>
    <t>For 4. og etterfølgende støper</t>
  </si>
  <si>
    <t>festebolter</t>
  </si>
  <si>
    <t>Output position</t>
  </si>
  <si>
    <t>Subcategory</t>
  </si>
  <si>
    <t>Main subject</t>
  </si>
  <si>
    <t>Table of contents and hyperlinks</t>
  </si>
  <si>
    <t>Labels</t>
  </si>
  <si>
    <t>Total_hr</t>
  </si>
  <si>
    <t>extra_for_tverrslag_sum</t>
  </si>
  <si>
    <t>Final OPPSUMMERING</t>
  </si>
  <si>
    <t>This gathers the stuff navn directly from user input (sheet: Tun.drift)</t>
  </si>
  <si>
    <t>This row checks the stuff names for duplicates.</t>
  </si>
  <si>
    <t>1 - unknown, 2 - known</t>
  </si>
  <si>
    <t>Teoretisk volum hovedløp</t>
  </si>
  <si>
    <t>Quantity distribution</t>
  </si>
  <si>
    <r>
      <t xml:space="preserve">Todelt tverrsnitt –
</t>
    </r>
    <r>
      <rPr>
        <i/>
        <sz val="11"/>
        <color theme="1"/>
        <rFont val="Georgia Pro"/>
        <family val="1"/>
      </rPr>
      <t>normal salvelengde</t>
    </r>
  </si>
  <si>
    <r>
      <t xml:space="preserve">Todelt tverrsnitt –
</t>
    </r>
    <r>
      <rPr>
        <i/>
        <sz val="11"/>
        <color theme="1"/>
        <rFont val="Georgia Pro"/>
        <family val="1"/>
      </rPr>
      <t>redusert salvelengde</t>
    </r>
  </si>
  <si>
    <t>Andel av lengde av tunnelklassen</t>
  </si>
  <si>
    <t>Sprakefjell</t>
  </si>
  <si>
    <t>Nisjer og andre bergrom</t>
  </si>
  <si>
    <t>Model</t>
  </si>
  <si>
    <t>ModelVersion</t>
  </si>
  <si>
    <t>Model Version</t>
  </si>
  <si>
    <t>Tunneltype_list</t>
  </si>
  <si>
    <t>tunneltype_SK</t>
  </si>
  <si>
    <t>tunneltype_MB</t>
  </si>
  <si>
    <t>tverrslag_total_hr</t>
  </si>
  <si>
    <t>kryssområdet_forberedende_hr2</t>
  </si>
  <si>
    <t>total_prosjekt_uke</t>
  </si>
  <si>
    <t>Forberedende Arbeider</t>
  </si>
  <si>
    <t>Inputmethod</t>
  </si>
  <si>
    <t>"Input_metod_MB"</t>
  </si>
  <si>
    <t>"Input_metod_SB"</t>
  </si>
  <si>
    <t>extra_tverrslag_prosjekt_forarb_uke</t>
  </si>
  <si>
    <t>extra_tverrslag_prosjekt_forarb_hr</t>
  </si>
  <si>
    <t>Løp 2 navn</t>
  </si>
  <si>
    <t>Løp 2 tunnellengde</t>
  </si>
  <si>
    <t>Here, 0 = all good, no errors</t>
  </si>
  <si>
    <t>SVV</t>
  </si>
  <si>
    <t>manual_tid_salve_a</t>
  </si>
  <si>
    <t>manual_tid_salve_b</t>
  </si>
  <si>
    <t>manual_tid_salve_c</t>
  </si>
  <si>
    <t>manual_tid_salve_d</t>
  </si>
  <si>
    <t>manual_tid_salve_e1</t>
  </si>
  <si>
    <t>manual_tid_salve_e2</t>
  </si>
  <si>
    <t>manual_tid_salve_f</t>
  </si>
  <si>
    <t>manual_tid_salve_g</t>
  </si>
  <si>
    <t>Forankring bolter</t>
  </si>
  <si>
    <t>Tilleggs-sprøytebetong ved buer</t>
  </si>
  <si>
    <t>andel_av_tunnelklasse_a</t>
  </si>
  <si>
    <t>andel_av_tunnelklasse_b</t>
  </si>
  <si>
    <t>andel_av_tunnelklasse_c</t>
  </si>
  <si>
    <t>andel_av_tunnelklasse_d</t>
  </si>
  <si>
    <t>andel_av_tunnelklasse_e1</t>
  </si>
  <si>
    <t>andel_av_tunnelklasse_f</t>
  </si>
  <si>
    <t>andel_av_tunnelklasse_g</t>
  </si>
  <si>
    <t>andel_av_tunnelklasse_e2</t>
  </si>
  <si>
    <t>_Calcs_Klasse!YF95</t>
  </si>
  <si>
    <t>kartlegging_metod</t>
  </si>
  <si>
    <t>Boltelengde fordeling (≤ 4 m)</t>
  </si>
  <si>
    <t>Column10</t>
  </si>
  <si>
    <t>Column11</t>
  </si>
  <si>
    <t>antall_salver_a</t>
  </si>
  <si>
    <t>antall_salver_b</t>
  </si>
  <si>
    <t>antall_salver_c</t>
  </si>
  <si>
    <t>antall_salver_d</t>
  </si>
  <si>
    <t>antall_salver_e1</t>
  </si>
  <si>
    <t>antall_salver_e2</t>
  </si>
  <si>
    <t>antall_salver_f</t>
  </si>
  <si>
    <t>antall_salver_g</t>
  </si>
  <si>
    <t>Tunnel partitioning</t>
  </si>
  <si>
    <t>Stuff del</t>
  </si>
  <si>
    <t>Stuff Rank</t>
  </si>
  <si>
    <t>Tunneldrift Kapasitet Kontroll</t>
  </si>
  <si>
    <t>In this sheet, the rates in which tunnelklasse lengde is converted into a quantity is controlled.
Recommendated rates are used as default. However, values input into the "!Egen_SK" sheet, will overwrite these default values.</t>
  </si>
  <si>
    <t>In this sheet, the unit times / capacities are controlled.
NFF capacities are used by default to calculate the byggetid. However, values input into the "!Egen_Kap" sheet, will overwrite these default values.</t>
  </si>
  <si>
    <r>
      <t xml:space="preserve">Tunnelklasse-til-mengde </t>
    </r>
    <r>
      <rPr>
        <b/>
        <i/>
        <u/>
        <sz val="25"/>
        <color theme="1"/>
        <rFont val="Arial"/>
        <family val="2"/>
        <scheme val="minor"/>
      </rPr>
      <t>Rate</t>
    </r>
    <r>
      <rPr>
        <b/>
        <i/>
        <sz val="25"/>
        <color theme="1"/>
        <rFont val="Arial"/>
        <family val="2"/>
        <scheme val="minor"/>
      </rPr>
      <t xml:space="preserve"> </t>
    </r>
    <r>
      <rPr>
        <b/>
        <sz val="25"/>
        <color theme="1"/>
        <rFont val="Arial"/>
        <family val="2"/>
        <scheme val="minor"/>
      </rPr>
      <t>Kontroll</t>
    </r>
  </si>
  <si>
    <t>Foreslått kapasitet
(Arbeidsgruppe)</t>
  </si>
  <si>
    <t>Note used yet</t>
  </si>
  <si>
    <t>Arbeidsgruppe_Details</t>
  </si>
  <si>
    <t>Not used</t>
  </si>
  <si>
    <t>Column8</t>
  </si>
  <si>
    <t>Column15</t>
  </si>
  <si>
    <t>Column16</t>
  </si>
  <si>
    <t>Column17</t>
  </si>
  <si>
    <t>Column18</t>
  </si>
  <si>
    <t>Column19</t>
  </si>
  <si>
    <t>Column20</t>
  </si>
  <si>
    <t>Column21</t>
  </si>
  <si>
    <t>Column22</t>
  </si>
  <si>
    <t>Column23</t>
  </si>
  <si>
    <t>bolt_veder_a_rate</t>
  </si>
  <si>
    <t>bolt_veder_a_output</t>
  </si>
  <si>
    <t>bolt_veder_b_rate</t>
  </si>
  <si>
    <t>bolt_veder_b_output</t>
  </si>
  <si>
    <t>bolt_veder_c_rate</t>
  </si>
  <si>
    <t>bolt_veder_c_output</t>
  </si>
  <si>
    <t>bolt_veder_d_rate</t>
  </si>
  <si>
    <t>bolt_veder_d_output</t>
  </si>
  <si>
    <t>bolt_veder_e1_rate</t>
  </si>
  <si>
    <t>bolt_veder_e1_output</t>
  </si>
  <si>
    <t>bolt_veder_e2_rate</t>
  </si>
  <si>
    <t>bolt_veder_e2_output</t>
  </si>
  <si>
    <t>bolt_veder_f_rate</t>
  </si>
  <si>
    <t>bolt_veder_f_output</t>
  </si>
  <si>
    <t>bolt_veder_g_rate</t>
  </si>
  <si>
    <t>bolt_veder_g_output</t>
  </si>
  <si>
    <t>bolt_vegg_a_rate</t>
  </si>
  <si>
    <t>bolt_vegg_a_output</t>
  </si>
  <si>
    <t>bolt_vegg_b_rate</t>
  </si>
  <si>
    <t>bolt_vegg_b_output</t>
  </si>
  <si>
    <t>bolt_vegg_c_rate</t>
  </si>
  <si>
    <t>bolt_vegg_c_output</t>
  </si>
  <si>
    <t>bolt_vegg_d_rate</t>
  </si>
  <si>
    <t>bolt_vegg_d_output</t>
  </si>
  <si>
    <t>bolt_vegg_e1_rate</t>
  </si>
  <si>
    <t>bolt_vegg_e1_output</t>
  </si>
  <si>
    <t>bolt_vegg_e2_rate</t>
  </si>
  <si>
    <t>bolt_vegg_e2_output</t>
  </si>
  <si>
    <t>bolt_vegg_f_rate</t>
  </si>
  <si>
    <t>bolt_vegg_f_output</t>
  </si>
  <si>
    <t>bolt_vegg_g_rate</t>
  </si>
  <si>
    <t>bolt_vegg_g_output</t>
  </si>
  <si>
    <t>bolt_veder_metode</t>
  </si>
  <si>
    <t>bolt_veder_sum</t>
  </si>
  <si>
    <t>bolt_veder_a_lt4</t>
  </si>
  <si>
    <t>bolt_veder_a_gt4</t>
  </si>
  <si>
    <t>bolt_veder_b_lt4</t>
  </si>
  <si>
    <t>bolt_veder_b_gt4</t>
  </si>
  <si>
    <t>bolt_veder_c_lt4</t>
  </si>
  <si>
    <t>bolt_veder_c_gt4</t>
  </si>
  <si>
    <t>bolt_veder_d_lt4</t>
  </si>
  <si>
    <t>bolt_veder_d_gt4</t>
  </si>
  <si>
    <t>bolt_veder_e1_lt4</t>
  </si>
  <si>
    <t>bolt_veder_e1_gt4</t>
  </si>
  <si>
    <t>bolt_veder_e2_lt4</t>
  </si>
  <si>
    <t>bolt_veder_e2_gt4</t>
  </si>
  <si>
    <t>bolt_veder_f_lt4</t>
  </si>
  <si>
    <t>bolt_veder_f_gt4</t>
  </si>
  <si>
    <t>bolt_veder_g_lt4</t>
  </si>
  <si>
    <t>bolt_veder_g_gt4</t>
  </si>
  <si>
    <t>bolt_veder_gt4_sum</t>
  </si>
  <si>
    <t>bolt_veder_lt4_sum</t>
  </si>
  <si>
    <t>bolt_vegg_metode</t>
  </si>
  <si>
    <t>bolt_vegg_sum</t>
  </si>
  <si>
    <t>bolt_vegg_a_lt4</t>
  </si>
  <si>
    <t>bolt_vegg_a_gt4</t>
  </si>
  <si>
    <t>bolt_vegg_b_lt4</t>
  </si>
  <si>
    <t>bolt_vegg_b_gt4</t>
  </si>
  <si>
    <t>bolt_vegg_c_lt4</t>
  </si>
  <si>
    <t>bolt_vegg_c_gt4</t>
  </si>
  <si>
    <t>bolt_vegg_d_lt4</t>
  </si>
  <si>
    <t>bolt_vegg_d_gt4</t>
  </si>
  <si>
    <t>bolt_vegg_e1_lt4</t>
  </si>
  <si>
    <t>bolt_vegg_e1_gt4</t>
  </si>
  <si>
    <t>bolt_vegg_e2_lt4</t>
  </si>
  <si>
    <t>bolt_vegg_e2_gt4</t>
  </si>
  <si>
    <t>bolt_vegg_f_lt4</t>
  </si>
  <si>
    <t>bolt_vegg_f_gt4</t>
  </si>
  <si>
    <t>bolt_vegg_g_lt4</t>
  </si>
  <si>
    <t>bolt_vegg_g_gt4</t>
  </si>
  <si>
    <t>bolt_vegg_lt4_sum</t>
  </si>
  <si>
    <t>bolt_vegg_gt4_sum</t>
  </si>
  <si>
    <t>This column is a temporary space in case, one day, we get alternating calculation methods</t>
  </si>
  <si>
    <t>SK_Mengde_Total</t>
  </si>
  <si>
    <t>Match cell ID:</t>
  </si>
  <si>
    <t>kartlegg_metode</t>
  </si>
  <si>
    <t>kartlegg_a_rate</t>
  </si>
  <si>
    <t>kartlegg_a_output</t>
  </si>
  <si>
    <t>kartlegg_b_rate</t>
  </si>
  <si>
    <t>kartlegg_b_output</t>
  </si>
  <si>
    <t>kartlegg_c_rate</t>
  </si>
  <si>
    <t>kartlegg_c_output</t>
  </si>
  <si>
    <t>kartlegg_d_rate</t>
  </si>
  <si>
    <t>kartlegg_d_output</t>
  </si>
  <si>
    <t>kartlegg_e1_rate</t>
  </si>
  <si>
    <t>kartlegg_e1_output</t>
  </si>
  <si>
    <t>kartlegg_e2_rate</t>
  </si>
  <si>
    <t>kartlegg_e2_output</t>
  </si>
  <si>
    <t>kartlegg_f_rate</t>
  </si>
  <si>
    <t>kartlegg_f_output</t>
  </si>
  <si>
    <t>kartlegg_g_rate</t>
  </si>
  <si>
    <t>kartlegg_g_output</t>
  </si>
  <si>
    <t>man_total_hr</t>
  </si>
  <si>
    <t>kartlegg_total_hr</t>
  </si>
  <si>
    <t>shot_veder_metode</t>
  </si>
  <si>
    <t>shot_veder_a_faktor</t>
  </si>
  <si>
    <t>shot_veder_a_rate</t>
  </si>
  <si>
    <t>shot_veder_a_output</t>
  </si>
  <si>
    <t>shot_veder_b_faktor</t>
  </si>
  <si>
    <t>shot_veder_b_rate</t>
  </si>
  <si>
    <t>shot_veder_b_output</t>
  </si>
  <si>
    <t>shot_veder_c_faktor</t>
  </si>
  <si>
    <t>shot_veder_c_rate</t>
  </si>
  <si>
    <t>shot_veder_c_output</t>
  </si>
  <si>
    <t>shot_veder_d_faktor</t>
  </si>
  <si>
    <t>shot_veder_d_rate</t>
  </si>
  <si>
    <t>shot_veder_d_output</t>
  </si>
  <si>
    <t>shot_veder_e1_faktor</t>
  </si>
  <si>
    <t>shot_veder_e1_rate</t>
  </si>
  <si>
    <t>shot_veder_e1_output</t>
  </si>
  <si>
    <t>shot_veder_e2_faktor</t>
  </si>
  <si>
    <t>shot_veder_e2_rate</t>
  </si>
  <si>
    <t>shot_veder_e2_output</t>
  </si>
  <si>
    <t>shot_veder_f_faktor</t>
  </si>
  <si>
    <t>shot_veder_f_rate</t>
  </si>
  <si>
    <t>shot_veder_f_output</t>
  </si>
  <si>
    <t>shot_veder_g_faktor</t>
  </si>
  <si>
    <t>shot_veder_g_rate</t>
  </si>
  <si>
    <t>shot_veder_g_output</t>
  </si>
  <si>
    <t>shot_veder_sum</t>
  </si>
  <si>
    <t>Column24</t>
  </si>
  <si>
    <t>Column25</t>
  </si>
  <si>
    <t>Column26</t>
  </si>
  <si>
    <t>Column45</t>
  </si>
  <si>
    <t>Column46</t>
  </si>
  <si>
    <t>Column47</t>
  </si>
  <si>
    <t>Column48</t>
  </si>
  <si>
    <t>Column49</t>
  </si>
  <si>
    <t>Column50</t>
  </si>
  <si>
    <t>Column51</t>
  </si>
  <si>
    <t>Column52</t>
  </si>
  <si>
    <t>Column53</t>
  </si>
  <si>
    <t>shot_vegg_metode</t>
  </si>
  <si>
    <t>shot_vegg_a_faktor</t>
  </si>
  <si>
    <t>shot_vegg_a_rate</t>
  </si>
  <si>
    <t>shot_vegg_a_output</t>
  </si>
  <si>
    <t>shot_vegg_b_faktor</t>
  </si>
  <si>
    <t>shot_vegg_b_rate</t>
  </si>
  <si>
    <t>shot_vegg_b_output</t>
  </si>
  <si>
    <t>shot_vegg_c_faktor</t>
  </si>
  <si>
    <t>shot_vegg_c_rate</t>
  </si>
  <si>
    <t>shot_vegg_c_output</t>
  </si>
  <si>
    <t>shot_vegg_d_faktor</t>
  </si>
  <si>
    <t>shot_vegg_d_rate</t>
  </si>
  <si>
    <t>shot_vegg_d_output</t>
  </si>
  <si>
    <t>shot_vegg_e1_faktor</t>
  </si>
  <si>
    <t>shot_vegg_e1_rate</t>
  </si>
  <si>
    <t>shot_vegg_e1_output</t>
  </si>
  <si>
    <t>shot_vegg_e2_faktor</t>
  </si>
  <si>
    <t>shot_vegg_e2_rate</t>
  </si>
  <si>
    <t>shot_vegg_e2_output</t>
  </si>
  <si>
    <t>shot_vegg_f_faktor</t>
  </si>
  <si>
    <t>shot_vegg_f_rate</t>
  </si>
  <si>
    <t>shot_vegg_f_output</t>
  </si>
  <si>
    <t>shot_vegg_g_faktor</t>
  </si>
  <si>
    <t>shot_vegg_g_rate</t>
  </si>
  <si>
    <t>shot_vegg_g_output</t>
  </si>
  <si>
    <t>shot_vegg_sum</t>
  </si>
  <si>
    <r>
      <t xml:space="preserve">Fullt tverrsnitt –
</t>
    </r>
    <r>
      <rPr>
        <i/>
        <sz val="11"/>
        <color theme="1"/>
        <rFont val="Georgia Pro"/>
        <family val="1"/>
      </rPr>
      <t>redusert salvelengde</t>
    </r>
  </si>
  <si>
    <t>Dobbel buer ? (D60)</t>
  </si>
  <si>
    <t>Enkel buer ? (E30)</t>
  </si>
  <si>
    <t>forankring_bolter</t>
  </si>
  <si>
    <t>forankring_bolter_rate_a</t>
  </si>
  <si>
    <t>forankring_bolter_rate_b</t>
  </si>
  <si>
    <t>forankring_bolter_rate_c</t>
  </si>
  <si>
    <t>forankring_bolter_rate_d</t>
  </si>
  <si>
    <t>forankring_bolter_rate_e1</t>
  </si>
  <si>
    <t>forankring_bolter_rate_e2</t>
  </si>
  <si>
    <t>forankring_bolter_rate_f</t>
  </si>
  <si>
    <t>forankring_bolter_rate_g</t>
  </si>
  <si>
    <t>forankring_bolter_output_a</t>
  </si>
  <si>
    <t>forankring_bolter_output_b</t>
  </si>
  <si>
    <t>forankring_bolter_output_c</t>
  </si>
  <si>
    <t>forankring_bolter_output_d</t>
  </si>
  <si>
    <t>forankring_bolter_output_e1</t>
  </si>
  <si>
    <t>forankring_bolter_output_e2</t>
  </si>
  <si>
    <t>forankring_bolter_output_f</t>
  </si>
  <si>
    <t>forankring_bolter_output_g</t>
  </si>
  <si>
    <t>forankring_lt4_sum</t>
  </si>
  <si>
    <t>forankring_gt4_sum</t>
  </si>
  <si>
    <t>Antall forankring bolter per bue-rast</t>
  </si>
  <si>
    <t>forbolter_lt4_a</t>
  </si>
  <si>
    <t>forbolter_gt4_a</t>
  </si>
  <si>
    <t>forbolter_lt4_b</t>
  </si>
  <si>
    <t>forbolter_gt4_b</t>
  </si>
  <si>
    <t>forbolter_lt4_c</t>
  </si>
  <si>
    <t>forbolter_gt4_c</t>
  </si>
  <si>
    <t>forbolter_lt4_d</t>
  </si>
  <si>
    <t>forbolter_gt4_d</t>
  </si>
  <si>
    <t>forbolter_lt4_e1</t>
  </si>
  <si>
    <t>forbolter_gt4_e1</t>
  </si>
  <si>
    <t>forbolter_lt4_e2</t>
  </si>
  <si>
    <t>forbolter_gt4_e2</t>
  </si>
  <si>
    <t>forbolter_lt4_f</t>
  </si>
  <si>
    <t>forbolter_gt4_f</t>
  </si>
  <si>
    <t>forbolter_lt4_g</t>
  </si>
  <si>
    <t>forbolter_gt4_g</t>
  </si>
  <si>
    <t>forbolter_lt4_sum</t>
  </si>
  <si>
    <t>forbolter_gt4_sum</t>
  </si>
  <si>
    <t>bue_radielle_bolter_rate_a</t>
  </si>
  <si>
    <t>bue_radielle_bolter_output_a</t>
  </si>
  <si>
    <t>bue_radielle_bolter_rate_b</t>
  </si>
  <si>
    <t>bue_radielle_bolter_output_b</t>
  </si>
  <si>
    <t>bue_radielle_bolter_rate_c</t>
  </si>
  <si>
    <t>bue_radielle_bolter_output_c</t>
  </si>
  <si>
    <t>bue_radielle_bolter_rate_d</t>
  </si>
  <si>
    <t>bue_radielle_bolter_output_d</t>
  </si>
  <si>
    <t>bue_radielle_bolter_rate_e1</t>
  </si>
  <si>
    <t>bue_radielle_bolter_output_e1</t>
  </si>
  <si>
    <t>bue_radielle_bolter_rate_e2</t>
  </si>
  <si>
    <t>bue_radielle_bolter_output_e2</t>
  </si>
  <si>
    <t>bue_radielle_bolter_rate_f</t>
  </si>
  <si>
    <t>bue_radielle_bolter_output_f</t>
  </si>
  <si>
    <t>bue_radielle_bolter_rate_g</t>
  </si>
  <si>
    <t>bue_radielle_bolter_output_g</t>
  </si>
  <si>
    <t>bue_radielle_lt4_a</t>
  </si>
  <si>
    <t>bue_radielle_gt4_a</t>
  </si>
  <si>
    <t>bue_radielle_lt4_b</t>
  </si>
  <si>
    <t>bue_radielle_gt4_b</t>
  </si>
  <si>
    <t>bue_radielle_lt4_c</t>
  </si>
  <si>
    <t>bue_radielle_gt4_c</t>
  </si>
  <si>
    <t>bue_radielle_lt4_d</t>
  </si>
  <si>
    <t>bue_radielle_gt4_d</t>
  </si>
  <si>
    <t>bue_radielle_lt4_e1</t>
  </si>
  <si>
    <t>bue_radielle_gt4_e1</t>
  </si>
  <si>
    <t>bue_radielle_lt4_e2</t>
  </si>
  <si>
    <t>bue_radielle_gt4_e2</t>
  </si>
  <si>
    <t>bue_radielle_lt4_f</t>
  </si>
  <si>
    <t>bue_radielle_gt4_f</t>
  </si>
  <si>
    <t>bue_radielle_lt4_g</t>
  </si>
  <si>
    <t>bue_radielle_gt4_g</t>
  </si>
  <si>
    <t>bue_radielle_lt4_sum</t>
  </si>
  <si>
    <t>bue_radielle_gt4_sum</t>
  </si>
  <si>
    <t>forbolting_bueområde_a</t>
  </si>
  <si>
    <t>forbolting_andel_a</t>
  </si>
  <si>
    <t>forbolting_bueområde_b</t>
  </si>
  <si>
    <t>forbolting_andel_b</t>
  </si>
  <si>
    <t>forbolting_andel_c</t>
  </si>
  <si>
    <t>forbolting_bueområde_c</t>
  </si>
  <si>
    <t>forbolting_bueområde_d</t>
  </si>
  <si>
    <t>forbolting_andel_d</t>
  </si>
  <si>
    <t>forbolting_bueområde_e1</t>
  </si>
  <si>
    <t>forbolting_andel_e1</t>
  </si>
  <si>
    <t>forbolting_bueområde_e2</t>
  </si>
  <si>
    <t>forbolting_andel_e2</t>
  </si>
  <si>
    <t>forbolting_bueområde_f</t>
  </si>
  <si>
    <t>forbolting_andel_f</t>
  </si>
  <si>
    <t>forbolting_bueområde_g</t>
  </si>
  <si>
    <t>forbolting_andel_g</t>
  </si>
  <si>
    <t>forbolting_bolter_output_a</t>
  </si>
  <si>
    <t>forbolting_bolter_output_b</t>
  </si>
  <si>
    <t>forbolting_bolter_output_c</t>
  </si>
  <si>
    <t>forbolting_bolter_output_d</t>
  </si>
  <si>
    <t>forbolting_bolter_output_e1</t>
  </si>
  <si>
    <t>forbolting_bolter_output_e2</t>
  </si>
  <si>
    <t>forbolting_bolter_output_f</t>
  </si>
  <si>
    <t>forbolting_bolter_output_g</t>
  </si>
  <si>
    <t>opphengbolter_lt4_a</t>
  </si>
  <si>
    <t>opphengbolter_gt4_a</t>
  </si>
  <si>
    <t>opphengbolter_lt4_b</t>
  </si>
  <si>
    <t>opphengbolter_gt4_b</t>
  </si>
  <si>
    <t>opphengbolter_lt4_c</t>
  </si>
  <si>
    <t>opphengbolter_gt4_c</t>
  </si>
  <si>
    <t>opphengbolter_lt4_d</t>
  </si>
  <si>
    <t>opphengbolter_gt4_d</t>
  </si>
  <si>
    <t>opphengbolter_lt4_e1</t>
  </si>
  <si>
    <t>opphengbolter_gt4_e1</t>
  </si>
  <si>
    <t>opphengbolter_lt4_e2</t>
  </si>
  <si>
    <t>opphengbolter_gt4_e2</t>
  </si>
  <si>
    <t>opphengbolter_lt4_f</t>
  </si>
  <si>
    <t>opphengbolter_gt4_f</t>
  </si>
  <si>
    <t>opphengbolter_lt4_g</t>
  </si>
  <si>
    <t>opphengbolter_gt4_g</t>
  </si>
  <si>
    <t>opphengbolter_lt4_sum</t>
  </si>
  <si>
    <t>opphengbolter_gt4_sum</t>
  </si>
  <si>
    <t>opphengbolter_senteravstand_a</t>
  </si>
  <si>
    <t>opphengbolter_senteravstand_b</t>
  </si>
  <si>
    <t>opphengbolter_senteravstand_c</t>
  </si>
  <si>
    <t>opphengbolter_senteravstand_d</t>
  </si>
  <si>
    <t>opphengbolter_senteravstand_e1</t>
  </si>
  <si>
    <t>opphengbolter_senteravstand_e2</t>
  </si>
  <si>
    <t>opphengbolter_senteravstand_f</t>
  </si>
  <si>
    <t>opphengbolter_senteravstand_g</t>
  </si>
  <si>
    <t>opphengbolter_output_a</t>
  </si>
  <si>
    <t>opphengbolter_output_b</t>
  </si>
  <si>
    <t>opphengbolter_output_c</t>
  </si>
  <si>
    <t>opphengbolter_output_d</t>
  </si>
  <si>
    <t>opphengbolter_output_e1</t>
  </si>
  <si>
    <t>opphengbolter_output_e2</t>
  </si>
  <si>
    <t>opphengbolter_output_f</t>
  </si>
  <si>
    <t>opphengbolter_output_g</t>
  </si>
  <si>
    <r>
      <t xml:space="preserve">Egendefinerte </t>
    </r>
    <r>
      <rPr>
        <b/>
        <i/>
        <sz val="22"/>
        <color theme="1"/>
        <rFont val="Georgia Pro"/>
        <family val="1"/>
      </rPr>
      <t>sikringsklasse</t>
    </r>
    <r>
      <rPr>
        <b/>
        <sz val="22"/>
        <color theme="1"/>
        <rFont val="Georgia Pro"/>
        <family val="1"/>
      </rPr>
      <t xml:space="preserve"> verdier</t>
    </r>
  </si>
  <si>
    <t>This table checks whether or not each cell has been filled in</t>
  </si>
  <si>
    <t>1 = yes, 0 = blank</t>
  </si>
  <si>
    <t>Bergmasse klasse_(inputs tab)</t>
  </si>
  <si>
    <t>Inn_SK outputs</t>
  </si>
  <si>
    <t>This is table controlls / displays the total length of each sikringsklasse.</t>
  </si>
  <si>
    <t>Arbeid pågår!</t>
  </si>
  <si>
    <t>Sprøytebetong tykkelse lag</t>
  </si>
  <si>
    <t>Forbolting senteravstand</t>
  </si>
  <si>
    <t>Opphengbolting senteravstand</t>
  </si>
  <si>
    <t>Sikrings-
bolter</t>
  </si>
  <si>
    <t>Sikringsstøp partisjonering
(For 4. og etterfølgende støper)</t>
  </si>
  <si>
    <t>Sikringsstøp partisjonering
(For 1., 2. og 3. støp)</t>
  </si>
  <si>
    <t>tunnel_area_m2_a</t>
  </si>
  <si>
    <t>tunnel_area_m2_b</t>
  </si>
  <si>
    <t>tunnel_area_m2_c</t>
  </si>
  <si>
    <t>tunnel_area_m2_d</t>
  </si>
  <si>
    <t>tunnel_area_m2_e1</t>
  </si>
  <si>
    <t>tunnel_area_m2_e2</t>
  </si>
  <si>
    <t>tunnel_area_m2_f</t>
  </si>
  <si>
    <t>tunnel_area_m2_g</t>
  </si>
  <si>
    <t>Distribution</t>
  </si>
  <si>
    <t>1 = unknown, 2 = known</t>
  </si>
  <si>
    <t>second digit indicates:</t>
  </si>
  <si>
    <t>This table collects the stability quantities (from sikringsklasse).</t>
  </si>
  <si>
    <r>
      <t xml:space="preserve">Stuff ID: </t>
    </r>
    <r>
      <rPr>
        <b/>
        <i/>
        <sz val="11"/>
        <color rgb="FFCC3300"/>
        <rFont val="Georgia Pro"/>
        <family val="1"/>
      </rPr>
      <t>First</t>
    </r>
    <r>
      <rPr>
        <i/>
        <sz val="11"/>
        <color rgb="FFCC3300"/>
        <rFont val="Georgia Pro"/>
        <family val="1"/>
      </rPr>
      <t xml:space="preserve"> digit = stuff number, </t>
    </r>
    <r>
      <rPr>
        <b/>
        <i/>
        <sz val="11"/>
        <color rgb="FFCC3300"/>
        <rFont val="Georgia Pro"/>
        <family val="1"/>
      </rPr>
      <t>second</t>
    </r>
    <r>
      <rPr>
        <i/>
        <sz val="11"/>
        <color rgb="FFCC3300"/>
        <rFont val="Georgia Pro"/>
        <family val="1"/>
      </rPr>
      <t xml:space="preserve"> digit = distribution metthod</t>
    </r>
  </si>
  <si>
    <t>Manuell_total_hr</t>
  </si>
  <si>
    <t>bolt_lt4_total</t>
  </si>
  <si>
    <t>bolt_gt4_total</t>
  </si>
  <si>
    <t>sprøyte_total</t>
  </si>
  <si>
    <t>forbolter_lt4_total</t>
  </si>
  <si>
    <t>forbolter_gt4_total</t>
  </si>
  <si>
    <t>opphengbolter_lt4_total</t>
  </si>
  <si>
    <t>opphengbolter_gt4_total</t>
  </si>
  <si>
    <t>bue_e30_total</t>
  </si>
  <si>
    <t>bue_d60_total</t>
  </si>
  <si>
    <t>bue_radielle_lt4_total</t>
  </si>
  <si>
    <t>bue_radielle_gt4_total</t>
  </si>
  <si>
    <t>tillleggs_sprøyte_total</t>
  </si>
  <si>
    <t>forankring_lt4_total</t>
  </si>
  <si>
    <t>forankring_gt4_total</t>
  </si>
  <si>
    <t>sprøytebetong</t>
  </si>
  <si>
    <t>manuell</t>
  </si>
  <si>
    <t>Unique columns</t>
  </si>
  <si>
    <t>bolt_lt4_sum</t>
  </si>
  <si>
    <t>bolt_gt4_sum</t>
  </si>
  <si>
    <t>bue_e30_sum</t>
  </si>
  <si>
    <t>bue_d60_sum</t>
  </si>
  <si>
    <t>bue_ALL_sum</t>
  </si>
  <si>
    <t>temp</t>
  </si>
  <si>
    <t>Opphengbolter</t>
  </si>
  <si>
    <t>Radielle bolter</t>
  </si>
  <si>
    <t>Tilleggs sprøytebetong</t>
  </si>
  <si>
    <t>Forankringbolter</t>
  </si>
  <si>
    <t>sik123_sum</t>
  </si>
  <si>
    <t>sik4_sum</t>
  </si>
  <si>
    <t>total_bånd_og_nett</t>
  </si>
  <si>
    <t>bånd</t>
  </si>
  <si>
    <t>sik_metode</t>
  </si>
  <si>
    <t>sik_a_rate</t>
  </si>
  <si>
    <t>sik_a_output</t>
  </si>
  <si>
    <t>sik_b_rate</t>
  </si>
  <si>
    <t>sik_b_output</t>
  </si>
  <si>
    <t>sik_c_rate</t>
  </si>
  <si>
    <t>sik_c_output</t>
  </si>
  <si>
    <t>sik_d_rate</t>
  </si>
  <si>
    <t>sik_d_output</t>
  </si>
  <si>
    <t>sik_e1_rate</t>
  </si>
  <si>
    <t>sik_e1_output</t>
  </si>
  <si>
    <t>sik_e2_rate</t>
  </si>
  <si>
    <t>sik_e2_output</t>
  </si>
  <si>
    <t>sik_f_rate</t>
  </si>
  <si>
    <t>sik_f_output</t>
  </si>
  <si>
    <t>sik_g_rate</t>
  </si>
  <si>
    <t>sik_g_output</t>
  </si>
  <si>
    <t>sik_total</t>
  </si>
  <si>
    <t xml:space="preserve">The following tables controls the final values the equivalient quantity per klasse. </t>
  </si>
  <si>
    <t>Rates tables</t>
  </si>
  <si>
    <t>The following tables control the rates which we convert sikringsklasse to quantity</t>
  </si>
  <si>
    <t>"klasseqty_sik1234"</t>
  </si>
  <si>
    <t>Sikringsstøp fordeling (1., 2. og 3. støp)</t>
  </si>
  <si>
    <t>Sikringsstøp fordeling (4. og etterfølgende støper)</t>
  </si>
  <si>
    <t>sikringsstøp_hypp_a</t>
  </si>
  <si>
    <t>sikringsstøp_hypp_b</t>
  </si>
  <si>
    <t>sikringsstøp_hypp_c</t>
  </si>
  <si>
    <t>sikringsstøp_hypp_d</t>
  </si>
  <si>
    <t>sikringsstøp_hypp_e1</t>
  </si>
  <si>
    <t>sikringsstøp_hypp_e2</t>
  </si>
  <si>
    <t>sikringsstøp_hypp_f</t>
  </si>
  <si>
    <t>sikringsstøp_hypp_g</t>
  </si>
  <si>
    <t>sikringsstøp_123_a</t>
  </si>
  <si>
    <t>sikringsstøp_123_b</t>
  </si>
  <si>
    <t>sikringsstøp_123_c</t>
  </si>
  <si>
    <t>sikringsstøp_123_d</t>
  </si>
  <si>
    <t>sikringsstøp_123_e1</t>
  </si>
  <si>
    <t>sikringsstøp_123_e2</t>
  </si>
  <si>
    <t>sikringsstøp_123_f</t>
  </si>
  <si>
    <t>sikringsstøp_123_g</t>
  </si>
  <si>
    <t>sikringsstøp_4_a</t>
  </si>
  <si>
    <t>sikringsstøp_4_b</t>
  </si>
  <si>
    <t>sikringsstøp_4_c</t>
  </si>
  <si>
    <t>sikringsstøp_4_d</t>
  </si>
  <si>
    <t>sikringsstøp_4_e1</t>
  </si>
  <si>
    <t>sikringsstøp_4_e2</t>
  </si>
  <si>
    <t>sikringsstøp_4_f</t>
  </si>
  <si>
    <t>sikringsstøp_4_g</t>
  </si>
  <si>
    <t>Setup</t>
  </si>
  <si>
    <t>"klasse_kapasitet"</t>
  </si>
  <si>
    <t>Symbol</t>
  </si>
  <si>
    <t>M</t>
  </si>
  <si>
    <t>N</t>
  </si>
  <si>
    <t>S</t>
  </si>
  <si>
    <t>K</t>
  </si>
  <si>
    <t>BB</t>
  </si>
  <si>
    <t>Bu</t>
  </si>
  <si>
    <t>FB</t>
  </si>
  <si>
    <t>S123</t>
  </si>
  <si>
    <t>S4</t>
  </si>
  <si>
    <t>FA</t>
  </si>
  <si>
    <t>OH</t>
  </si>
  <si>
    <t>Manuell_rate</t>
  </si>
  <si>
    <t>Manuell_kap</t>
  </si>
  <si>
    <t>Kartlegging_rate</t>
  </si>
  <si>
    <t>Karrlegging_kap</t>
  </si>
  <si>
    <t>Bolting_lt4_rate</t>
  </si>
  <si>
    <t>Bolting_lt4_kap</t>
  </si>
  <si>
    <t>Bolting_gt4_rate</t>
  </si>
  <si>
    <t>sikringsklasse</t>
  </si>
  <si>
    <t>Q_rating</t>
  </si>
  <si>
    <t>Bolting_gt4_kap</t>
  </si>
  <si>
    <t>sprøytebetong_rate</t>
  </si>
  <si>
    <t>sprøytebetong_kap</t>
  </si>
  <si>
    <t>_Calcs_Klasse!AU94</t>
  </si>
  <si>
    <t>"Klasse_kapasitet"</t>
  </si>
  <si>
    <t>forbolting_lt4_rate</t>
  </si>
  <si>
    <t>forbolting_lt4_kap</t>
  </si>
  <si>
    <t>forbolting_gt4_rate</t>
  </si>
  <si>
    <t>forbolting_gt4_kap</t>
  </si>
  <si>
    <t>opphengbolter_lt4_rate</t>
  </si>
  <si>
    <t>opphengbolter_lt4_kap</t>
  </si>
  <si>
    <t>opphengbolter_gt4_rate</t>
  </si>
  <si>
    <t>opphengbolter_gt4_kap</t>
  </si>
  <si>
    <t>bue_rate</t>
  </si>
  <si>
    <t>bue_kap</t>
  </si>
  <si>
    <t>radiellebolter_lt4_rate</t>
  </si>
  <si>
    <t>radiellebolter_lt4_kap</t>
  </si>
  <si>
    <t>radiellebolter_gt4_rate</t>
  </si>
  <si>
    <t>radiellebolter_gt4_kap</t>
  </si>
  <si>
    <t>bue_tilleggs_sprøyte_rate</t>
  </si>
  <si>
    <t>bue_tilleggs_sprøyte_kap</t>
  </si>
  <si>
    <t>forankring_lt4_rate</t>
  </si>
  <si>
    <t>forankring_lt4_kap</t>
  </si>
  <si>
    <t>forankring_gt4_rate</t>
  </si>
  <si>
    <t>forankring_gt4_kap</t>
  </si>
  <si>
    <t>total_kap</t>
  </si>
  <si>
    <t>Sikringsklasse kapasitet</t>
  </si>
  <si>
    <r>
      <t>m</t>
    </r>
    <r>
      <rPr>
        <vertAlign val="superscript"/>
        <sz val="12"/>
        <color theme="1"/>
        <rFont val="Georgia Pro"/>
        <family val="1"/>
      </rPr>
      <t>2</t>
    </r>
  </si>
  <si>
    <r>
      <t>m</t>
    </r>
    <r>
      <rPr>
        <vertAlign val="superscript"/>
        <sz val="12"/>
        <rFont val="Georgia Pro"/>
        <family val="1"/>
      </rPr>
      <t>3</t>
    </r>
    <r>
      <rPr>
        <sz val="12"/>
        <rFont val="Georgia Pro"/>
        <family val="1"/>
      </rPr>
      <t>/m</t>
    </r>
  </si>
  <si>
    <r>
      <t>m</t>
    </r>
    <r>
      <rPr>
        <vertAlign val="superscript"/>
        <sz val="12"/>
        <color theme="1"/>
        <rFont val="Georgia Pro"/>
        <family val="1"/>
      </rPr>
      <t>2</t>
    </r>
    <r>
      <rPr>
        <sz val="12"/>
        <color theme="1"/>
        <rFont val="Georgia Pro"/>
        <family val="1"/>
      </rPr>
      <t>/m</t>
    </r>
  </si>
  <si>
    <r>
      <t>h/m</t>
    </r>
    <r>
      <rPr>
        <i/>
        <vertAlign val="superscript"/>
        <sz val="14"/>
        <color theme="1"/>
        <rFont val="Georgia Pro"/>
        <family val="1"/>
      </rPr>
      <t>2</t>
    </r>
  </si>
  <si>
    <t>Currently, no ability to alter this</t>
  </si>
  <si>
    <t>Sikringsklasse checks</t>
  </si>
  <si>
    <t>This table takes in all the sikringsklasse conversion rate numbers, and calculates a sikringsklasse kapasitet verdi!</t>
  </si>
  <si>
    <t>Sikringsklasse egendefinert checks</t>
  </si>
  <si>
    <t>This table checks to see if the sikringsklasse component has been input correctly.</t>
  </si>
  <si>
    <t>salve_lengde</t>
  </si>
  <si>
    <t>bånd_ekstra_a_rate</t>
  </si>
  <si>
    <t>bånd_ekstra_a_output</t>
  </si>
  <si>
    <t>bånd_ekstra_b_rate</t>
  </si>
  <si>
    <t>bånd_ekstra_b_output</t>
  </si>
  <si>
    <t>bånd_ekstra_c_rate</t>
  </si>
  <si>
    <t>bånd_ekstra_c_output</t>
  </si>
  <si>
    <t>bånd_ekstra_d_rate</t>
  </si>
  <si>
    <t>bånd_ekstra_d_output</t>
  </si>
  <si>
    <t>bånd_ekstra_e1_rate</t>
  </si>
  <si>
    <t>bånd_ekstra_e1_output</t>
  </si>
  <si>
    <t>bånd_ekstra_e2_rate</t>
  </si>
  <si>
    <t>bånd_ekstra_e2_output</t>
  </si>
  <si>
    <t>bånd_ekstra_f_rate</t>
  </si>
  <si>
    <t>bånd_ekstra_f_output</t>
  </si>
  <si>
    <t>bånd_ekstra_g_rate</t>
  </si>
  <si>
    <t>bånd_ekstra_g_output</t>
  </si>
  <si>
    <t>bånd_ekstra_total</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</si>
  <si>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</si>
  <si>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</si>
  <si>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</si>
  <si>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</si>
  <si>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</si>
  <si>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</si>
  <si>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</si>
  <si>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</si>
  <si>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</si>
  <si>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</si>
  <si>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</si>
  <si>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</si>
  <si>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</si>
  <si>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</si>
  <si>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</si>
  <si>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</si>
  <si>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</si>
  <si>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</si>
  <si>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Column1278</t>
  </si>
  <si>
    <t>Column1279</t>
  </si>
  <si>
    <t>Bergbånd langs forbolting</t>
  </si>
  <si>
    <t>Sikringsklasse-messig</t>
  </si>
  <si>
    <t>Tilleggs-sprøytebetong per meter bue</t>
  </si>
  <si>
    <t>Tilleggs-bergbånd per metre av tunnel</t>
  </si>
  <si>
    <t>Tilleggs-bergbånd</t>
  </si>
  <si>
    <t>Tilleggs-festebolter ved bergbånd</t>
  </si>
  <si>
    <t>UI status</t>
  </si>
  <si>
    <t>not used in calcs</t>
  </si>
  <si>
    <t>tilleggs_bergbånd_a</t>
  </si>
  <si>
    <t>tilleggs_bergbånd_b</t>
  </si>
  <si>
    <t>tilleggs_bergbånd_c</t>
  </si>
  <si>
    <t>tilleggs_bergbånd_d</t>
  </si>
  <si>
    <t>tilleggs_bergbånd_e1</t>
  </si>
  <si>
    <t>tilleggs_bergbånd_e2</t>
  </si>
  <si>
    <t>tilleggs_bergbånd_f</t>
  </si>
  <si>
    <t>tilleggs_bergbånd_g</t>
  </si>
  <si>
    <t>tilleggs_bergbånd_festebolter_lt4_a</t>
  </si>
  <si>
    <t>tilleggs_bergbånd_festebolter_lt4_b</t>
  </si>
  <si>
    <t>tilleggs_bergbånd_festebolter_lt4_c</t>
  </si>
  <si>
    <t>tilleggs_bergbånd_festebolter_lt4_d</t>
  </si>
  <si>
    <t>tilleggs_bergbånd_festebolter_lt4_e1</t>
  </si>
  <si>
    <t>tilleggs_bergbånd_festebolter_lt4_e2</t>
  </si>
  <si>
    <t>tilleggs_bergbånd_festebolter_lt4_f</t>
  </si>
  <si>
    <t>tilleggs_bergbånd_festebolter_lt4_g</t>
  </si>
  <si>
    <t>tilleggs_bergbånd_festebolter_gt4_a</t>
  </si>
  <si>
    <t>tilleggs_bergbånd_festebolter_gt4_b</t>
  </si>
  <si>
    <t>tilleggs_bergbånd_festebolter_gt4_c</t>
  </si>
  <si>
    <t>tilleggs_bergbånd_festebolter_gt4_d</t>
  </si>
  <si>
    <t>tilleggs_bergbånd_festebolter_gt4_e1</t>
  </si>
  <si>
    <t>tilleggs_bergbånd_festebolter_gt4_e2</t>
  </si>
  <si>
    <t>tilleggs_bergbånd_festebolter_gt4_f</t>
  </si>
  <si>
    <t>tilleggs_bergbånd_festebolter_gt4_g</t>
  </si>
  <si>
    <t>tilleggs_bergbånd_festebolter_senteravstand_a</t>
  </si>
  <si>
    <t>tilleggs_bergbånd_festebolter_senteravstand_b</t>
  </si>
  <si>
    <t>tilleggs_bergbånd_festebolter_senteravstand_c</t>
  </si>
  <si>
    <t>tilleggs_bergbånd_festebolter_senteravstand_d</t>
  </si>
  <si>
    <t>tilleggs_bergbånd_festebolter_senteravstand_e1</t>
  </si>
  <si>
    <t>tilleggs_bergbånd_festebolter_senteravstand_e2</t>
  </si>
  <si>
    <t>tilleggs_bergbånd_festebolter_senteravstand_f</t>
  </si>
  <si>
    <t>tilleggs_bergbånd_festebolter_senteravstand_g</t>
  </si>
  <si>
    <t>Bue senteravstand</t>
  </si>
  <si>
    <t>amund!</t>
  </si>
  <si>
    <t>andel_a</t>
  </si>
  <si>
    <t>andel_b</t>
  </si>
  <si>
    <t>andel_c</t>
  </si>
  <si>
    <t>andel_d</t>
  </si>
  <si>
    <t>andel_e1</t>
  </si>
  <si>
    <t>andel_e2</t>
  </si>
  <si>
    <t>andel_f</t>
  </si>
  <si>
    <t>andel_g</t>
  </si>
  <si>
    <t>bue_a_senteravstand</t>
  </si>
  <si>
    <t>bue_b_senteravstand</t>
  </si>
  <si>
    <t>bue_c_senteravstand</t>
  </si>
  <si>
    <t>bue_d_senteravstand</t>
  </si>
  <si>
    <t>bue_e1_senteravstand</t>
  </si>
  <si>
    <t>bue_e2_senteravstand</t>
  </si>
  <si>
    <t>bue_f_senteravstand</t>
  </si>
  <si>
    <t>bue_g_senteravstand</t>
  </si>
  <si>
    <t>bue_a_andel</t>
  </si>
  <si>
    <t>bue_b_andel</t>
  </si>
  <si>
    <t>bue_c_andel</t>
  </si>
  <si>
    <t>bue_d_andel</t>
  </si>
  <si>
    <t>bue_e1_andel</t>
  </si>
  <si>
    <t>bue_e2_andel</t>
  </si>
  <si>
    <t>bue_f_andel</t>
  </si>
  <si>
    <t>bue_g_andel</t>
  </si>
  <si>
    <t>Ekvivalent lengde</t>
  </si>
  <si>
    <t>bolter</t>
  </si>
  <si>
    <t>sprøyte</t>
  </si>
  <si>
    <t>1 = en stuff, 2 = veksel, 3 = kombo</t>
  </si>
  <si>
    <t>m/week</t>
  </si>
  <si>
    <t>Middels</t>
  </si>
  <si>
    <t>Sikrings kapasitet</t>
  </si>
  <si>
    <t>_Calcs_Klasse!BE94</t>
  </si>
  <si>
    <t>Vekseldrift faktor</t>
  </si>
  <si>
    <t>Gjennomgående teoretisk normal profil</t>
  </si>
  <si>
    <t>ekstra_drivetid_pga_faktor</t>
  </si>
  <si>
    <t>drivemetode</t>
  </si>
  <si>
    <t>Tunnel drift - konfiguration</t>
  </si>
  <si>
    <t>This table checks to see how many "stuff" columns are turned "on"</t>
  </si>
  <si>
    <t>Column_number</t>
  </si>
  <si>
    <t>Løp_Stuff</t>
  </si>
  <si>
    <t>Final column number</t>
  </si>
  <si>
    <t>Tunnel drift</t>
  </si>
  <si>
    <t>"tunneldrift_column"</t>
  </si>
  <si>
    <t>Stuff_navn</t>
  </si>
  <si>
    <t>En_stuff_input</t>
  </si>
  <si>
    <t>This table shows which stuffs should be "on", depending on the tunnel configuration (antall løp and stuff).</t>
  </si>
  <si>
    <t>1 = on, 0 = off</t>
  </si>
  <si>
    <t>løp_stuff</t>
  </si>
  <si>
    <t>"tunneldrift_stuffcontrol"</t>
  </si>
  <si>
    <t>Stuff_control</t>
  </si>
  <si>
    <t>This table shows the tunnel ID values. Try to link your codes/formulas to these ID values.</t>
  </si>
  <si>
    <r>
      <rPr>
        <b/>
        <i/>
        <sz val="15"/>
        <color rgb="FFCC3300"/>
        <rFont val="Georgia Pro"/>
        <family val="1"/>
      </rPr>
      <t>IMPORTANT</t>
    </r>
    <r>
      <rPr>
        <i/>
        <sz val="11"/>
        <color rgb="FFCC3300"/>
        <rFont val="Georgia Pro"/>
        <family val="1"/>
      </rPr>
      <t>!</t>
    </r>
  </si>
  <si>
    <t>This table collects and confirms all the stuff lengths (from the "tunnel drift" tab").</t>
  </si>
  <si>
    <t>gjenværende_lengde</t>
  </si>
  <si>
    <t>CHECK_final</t>
  </si>
  <si>
    <t>CHECK_Stuff_lengde</t>
  </si>
  <si>
    <t>Input_stuff_lengde</t>
  </si>
  <si>
    <t>CHECK_løp_lengde</t>
  </si>
  <si>
    <t>vekseldrift_lengde</t>
  </si>
  <si>
    <t>en_stuff_lengde_final</t>
  </si>
  <si>
    <t>vekseldrift_lengde_final</t>
  </si>
  <si>
    <t>en_stuff_lengde</t>
  </si>
  <si>
    <t>This table calculates the vekseldrift framdrift faktor. The faktor is a dependent on the stabilitets:sprengnings tid ratio. A higher ratio results in a higher faktor value.</t>
  </si>
  <si>
    <t>"inputs_justeringer"</t>
  </si>
  <si>
    <t>stuff_navn</t>
  </si>
  <si>
    <t>sprengning_tid_hr</t>
  </si>
  <si>
    <t>stabilitets_tid_hr</t>
  </si>
  <si>
    <t>foran_tid_hr</t>
  </si>
  <si>
    <t>foran_spreng_ratio</t>
  </si>
  <si>
    <t>beregnet_faktor_final</t>
  </si>
  <si>
    <t>"framdriftfaktor"</t>
  </si>
  <si>
    <t>Høy</t>
  </si>
  <si>
    <t>Lite</t>
  </si>
  <si>
    <t>stab_spreng_min</t>
  </si>
  <si>
    <t>stab_spreng_max</t>
  </si>
  <si>
    <t>Stabilitet : Sprengning</t>
  </si>
  <si>
    <t>min_faktor</t>
  </si>
  <si>
    <t>max_faktor</t>
  </si>
  <si>
    <t>rise/run</t>
  </si>
  <si>
    <t>This table is set up to connect the stabilitet:sprengning ratio to a vekseldrift faktor value.</t>
  </si>
  <si>
    <t>test example</t>
  </si>
  <si>
    <r>
      <t>Adjust the values in the "</t>
    </r>
    <r>
      <rPr>
        <b/>
        <i/>
        <sz val="11"/>
        <color theme="9" tint="-0.249977111117893"/>
        <rFont val="Georgia Pro"/>
        <family val="1"/>
      </rPr>
      <t>green</t>
    </r>
    <r>
      <rPr>
        <i/>
        <sz val="11"/>
        <color rgb="FFCC3300"/>
        <rFont val="Georgia Pro"/>
        <family val="1"/>
      </rPr>
      <t>" cells when there is consensus among the steering group</t>
    </r>
  </si>
  <si>
    <t>enstuff_prosent</t>
  </si>
  <si>
    <t>veksel_prosent</t>
  </si>
  <si>
    <t>"tunneldrift_vekseldrift"</t>
  </si>
  <si>
    <t>1 = en stuff, 2 = veksel</t>
  </si>
  <si>
    <t>metode</t>
  </si>
  <si>
    <t>Andel av tunnel</t>
  </si>
  <si>
    <t>The klasse stuff id should be used after the sikringsklasse version</t>
  </si>
  <si>
    <t>IMPORTANT! VIKTIG!</t>
  </si>
  <si>
    <t>kon_metod_en_stuff_tick</t>
  </si>
  <si>
    <t>kon_metod_veksel_tick</t>
  </si>
  <si>
    <t>CHECK_enstuff</t>
  </si>
  <si>
    <t>løp_lengde</t>
  </si>
  <si>
    <t>CHECK_veksel_nullsum</t>
  </si>
  <si>
    <t>kon_metode_hoved_check</t>
  </si>
  <si>
    <t>Kom_metode_BLANK_check</t>
  </si>
  <si>
    <t>This table collects the construction method from the "Tunnel.drift" tab.</t>
  </si>
  <si>
    <t>Bruker-definert konstruksjon metode</t>
  </si>
  <si>
    <t>1 = all enkel, 2 = all veksel, 3 = kombinasjon</t>
  </si>
  <si>
    <t>This table collects all the "andel av tunnel med en stuff drift".</t>
  </si>
  <si>
    <t>Blank check</t>
  </si>
  <si>
    <t>Final_metode_id</t>
  </si>
  <si>
    <t>Final_metode_name</t>
  </si>
  <si>
    <t>CHECK_Kombinasjon</t>
  </si>
  <si>
    <t>CHECK_Enstuff</t>
  </si>
  <si>
    <t>CHECK_Veksel</t>
  </si>
  <si>
    <t>CHECHK_Final</t>
  </si>
  <si>
    <t>enstuff_metode_tick</t>
  </si>
  <si>
    <t>veksel_metode_tick</t>
  </si>
  <si>
    <t>hoved_metode_tick</t>
  </si>
  <si>
    <t>faktor_beregnet</t>
  </si>
  <si>
    <t>faktor_user</t>
  </si>
  <si>
    <t>faktor_final</t>
  </si>
  <si>
    <t>"inputs_framdriftfaktor"</t>
  </si>
  <si>
    <t>This table collects the custom framdrift faktor (from the tunnel.drift tab).</t>
  </si>
  <si>
    <t>BLANK_check</t>
  </si>
  <si>
    <t>User_input</t>
  </si>
  <si>
    <t>Beregnet framdriftfaktor</t>
  </si>
  <si>
    <t>This table collects the calculated framdrift faktor, These values are then displayed in the "tunnel.drift" tab.</t>
  </si>
  <si>
    <t>Stuff name</t>
  </si>
  <si>
    <t>en_stuff_oppsum</t>
  </si>
  <si>
    <t>1 = good, 0 = bad</t>
  </si>
  <si>
    <t>Enstuff_andel_CHECK_blank</t>
  </si>
  <si>
    <t>0 = all good, 1 = one or more blank</t>
  </si>
  <si>
    <t>"position_klasse"</t>
  </si>
  <si>
    <t>final stuff/dist ID number (old?)</t>
  </si>
  <si>
    <t>stab-foran_spreng_ratio</t>
  </si>
  <si>
    <t>rating_stab-foran</t>
  </si>
  <si>
    <t>beregnet_faktor_stab-foran</t>
  </si>
  <si>
    <t>ekstra_framdrift_tid_oppsum_hr</t>
  </si>
  <si>
    <t>ekstra_framdrift_tid_oppsum_uke</t>
  </si>
  <si>
    <t>This table controls the position (the column) in which the "stuff" is displayed in the excel: for "Oppsummering", "IN", and "UT" tabs.</t>
  </si>
  <si>
    <t>stab-foran_sprengning_ratio</t>
  </si>
  <si>
    <t>beregnet_framdriftfaktor_check</t>
  </si>
  <si>
    <t>Beregnet framdriftfaktor_check</t>
  </si>
  <si>
    <t>ytterligere tid check</t>
  </si>
  <si>
    <t>Ytterligere drivetid_check</t>
  </si>
  <si>
    <t>This section here controls the variable blasting capacity rates. The basis for this values and formulas is gathered from the "!Forskning" sheet.</t>
  </si>
  <si>
    <t>The eventual "sprengnings" kapasitet is a function of the tunnel cross section (theoretical cross section, normal).</t>
  </si>
  <si>
    <t>Model inputs</t>
  </si>
  <si>
    <t>Lower</t>
  </si>
  <si>
    <t>Upper</t>
  </si>
  <si>
    <t>Values here are gathered from user input cells (from "prosjektinformasjon" and "tunnel.drift")</t>
  </si>
  <si>
    <r>
      <t>m</t>
    </r>
    <r>
      <rPr>
        <vertAlign val="superscript"/>
        <sz val="12"/>
        <color theme="1"/>
        <rFont val="Georgia Pro"/>
        <family val="1"/>
      </rPr>
      <t>3</t>
    </r>
    <r>
      <rPr>
        <sz val="12"/>
        <color theme="1"/>
        <rFont val="Georgia Pro"/>
        <family val="1"/>
      </rPr>
      <t>/hour</t>
    </r>
  </si>
  <si>
    <t>Fullt tverrsnitt –
redusert salvelengde</t>
  </si>
  <si>
    <t>Todelt tverrsnitt –
normal salvelengde</t>
  </si>
  <si>
    <t>Todelt tverrsnitt –
redusert salvelengde</t>
  </si>
  <si>
    <t>Compared to Normalsalve</t>
  </si>
  <si>
    <t>Initial rate</t>
  </si>
  <si>
    <t>These tables calculate the final sprengning capacity rate.</t>
  </si>
  <si>
    <t>_Calcs!AK6</t>
  </si>
  <si>
    <t>_Calcs!DA27</t>
  </si>
  <si>
    <t>_Calcs!FP29</t>
  </si>
  <si>
    <t>_Calcs!IX27</t>
  </si>
  <si>
    <t>_Calcs!PZ82</t>
  </si>
  <si>
    <t>_Calcs!MU216</t>
  </si>
  <si>
    <t>_Calcs!LY119</t>
  </si>
  <si>
    <t>enstuff_prosent_input</t>
  </si>
  <si>
    <t>Check_drivemetode_blank</t>
  </si>
  <si>
    <r>
      <t>m</t>
    </r>
    <r>
      <rPr>
        <vertAlign val="superscript"/>
        <sz val="11"/>
        <color rgb="FF002060"/>
        <rFont val="Georgia Pro"/>
        <family val="1"/>
      </rPr>
      <t>2</t>
    </r>
  </si>
  <si>
    <r>
      <rPr>
        <sz val="12"/>
        <rFont val="Georgia Pro"/>
        <family val="1"/>
      </rPr>
      <t xml:space="preserve">Antall </t>
    </r>
    <r>
      <rPr>
        <b/>
        <sz val="12"/>
        <rFont val="Georgia Pro"/>
        <family val="1"/>
      </rPr>
      <t>løp</t>
    </r>
  </si>
  <si>
    <r>
      <rPr>
        <sz val="12"/>
        <rFont val="Georgia Pro"/>
        <family val="1"/>
      </rPr>
      <t xml:space="preserve">Antall </t>
    </r>
    <r>
      <rPr>
        <b/>
        <sz val="12"/>
        <rFont val="Georgia Pro"/>
        <family val="1"/>
      </rPr>
      <t>stuffer</t>
    </r>
  </si>
  <si>
    <t>Hovedtunnel kapasitet</t>
  </si>
  <si>
    <t>Tverrslag kapasitet</t>
  </si>
  <si>
    <t>Variabel sprengning</t>
  </si>
  <si>
    <t>Tverrslag (suggested)</t>
  </si>
  <si>
    <t>Hovedtunnel (suggested)</t>
  </si>
  <si>
    <t>Ikke tegnet i målestokk</t>
  </si>
  <si>
    <t>(pga framdriftsfaktor)</t>
  </si>
  <si>
    <t>Framdriftsfaktor</t>
  </si>
  <si>
    <t>feste</t>
  </si>
  <si>
    <r>
      <rPr>
        <b/>
        <sz val="14"/>
        <color theme="0"/>
        <rFont val="Georgia Pro"/>
        <family val="1"/>
      </rPr>
      <t xml:space="preserve">Klikk her </t>
    </r>
    <r>
      <rPr>
        <sz val="14"/>
        <color theme="0"/>
        <rFont val="Georgia Pro"/>
        <family val="1"/>
      </rPr>
      <t xml:space="preserve">for å gå tilbake til
</t>
    </r>
    <r>
      <rPr>
        <u/>
        <sz val="14"/>
        <color theme="0"/>
        <rFont val="Georgia Pro"/>
        <family val="1"/>
      </rPr>
      <t xml:space="preserve">sikringsklasse-basert </t>
    </r>
    <r>
      <rPr>
        <sz val="14"/>
        <color theme="0"/>
        <rFont val="Georgia Pro"/>
        <family val="1"/>
      </rPr>
      <t>-arkfanen</t>
    </r>
  </si>
  <si>
    <t>Denne arkfanen er ikke i bruk!</t>
  </si>
  <si>
    <t>Sikrings-mengde</t>
  </si>
  <si>
    <t>Fordeling av klasse lengde:</t>
  </si>
  <si>
    <t>input_blank_check</t>
  </si>
  <si>
    <t>"checks_klasse"</t>
  </si>
  <si>
    <t>"inputs_klasse"</t>
  </si>
  <si>
    <t>Sikring og
Fordeling</t>
  </si>
  <si>
    <t>TRUE = blank, no custom weekly hour</t>
  </si>
  <si>
    <t>Sikrings-mengde og Fordeling</t>
  </si>
  <si>
    <t>klasse_lengde_distribution</t>
  </si>
  <si>
    <t>1 = lengde-basert, 2 = bruker-definert</t>
  </si>
  <si>
    <t>0=not complete</t>
  </si>
  <si>
    <t>Sikringsklasse check</t>
  </si>
  <si>
    <t>m/m</t>
  </si>
  <si>
    <t>Tilleggs-sprøytebetong (tykkelse) per nett areal</t>
  </si>
  <si>
    <t>Nett (kvadratmeter) per meter av tunnel</t>
  </si>
  <si>
    <r>
      <t>mm/m</t>
    </r>
    <r>
      <rPr>
        <vertAlign val="superscript"/>
        <sz val="12"/>
        <color theme="1"/>
        <rFont val="Georgia Pro"/>
        <family val="1"/>
      </rPr>
      <t>2</t>
    </r>
  </si>
  <si>
    <t>"klasseqty_nett"</t>
  </si>
  <si>
    <t>nett_hypp_a</t>
  </si>
  <si>
    <t>nett_hypp_b</t>
  </si>
  <si>
    <t>nett_hypp_c</t>
  </si>
  <si>
    <t>nett_hypp_d</t>
  </si>
  <si>
    <t>nett_hypp_e1</t>
  </si>
  <si>
    <t>nett_hypp_e2</t>
  </si>
  <si>
    <t>nett_hypp_f</t>
  </si>
  <si>
    <t>nett_hypp_g</t>
  </si>
  <si>
    <t>nett_sprøytebetong_tykkelse_a</t>
  </si>
  <si>
    <t>nett_sprøytebetong_tykkelse_b</t>
  </si>
  <si>
    <t>nett_sprøytebetong_tykkelse_c</t>
  </si>
  <si>
    <t>nett_sprøytebetong_tykkelse_d</t>
  </si>
  <si>
    <t>nett_sprøytebetong_tykkelse_e1</t>
  </si>
  <si>
    <t>nett_sprøytebetong_tykkelse_e2</t>
  </si>
  <si>
    <t>nett_sprøytebetong_tykkelse_f</t>
  </si>
  <si>
    <t>nett_sprøytebetong_tykkelse_g</t>
  </si>
  <si>
    <t>nett_festebolter_avstand_a</t>
  </si>
  <si>
    <t>nett_festebolter_avstand_b</t>
  </si>
  <si>
    <t>nett_festebolter_avstand_c</t>
  </si>
  <si>
    <t>nett_festebolter_avstand_d</t>
  </si>
  <si>
    <t>nett_festebolter_avstand_e1</t>
  </si>
  <si>
    <t>nett_festebolter_avstand_e2</t>
  </si>
  <si>
    <t>nett_festebolter_avstand_f</t>
  </si>
  <si>
    <t>nett_festebolter_avstand_g</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</si>
  <si>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</si>
  <si>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</si>
  <si>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</si>
  <si>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</si>
  <si>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</si>
  <si>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</si>
  <si>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</si>
  <si>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</si>
  <si>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</si>
  <si>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</si>
  <si>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</si>
  <si>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</si>
  <si>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</si>
  <si>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</si>
  <si>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</si>
  <si>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</si>
  <si>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Sikringsbolter</t>
  </si>
  <si>
    <t>Festebolter for bergbånd</t>
  </si>
  <si>
    <t>forbolting_bue_lengde_a</t>
  </si>
  <si>
    <t>forbolting_bue_lengde_b</t>
  </si>
  <si>
    <t>forbolting_bue_lengde_c</t>
  </si>
  <si>
    <t>forbolting_bue_lengde_d</t>
  </si>
  <si>
    <t>forbolting_bue_lengde_e1</t>
  </si>
  <si>
    <t>forbolting_bue_lengde_e2</t>
  </si>
  <si>
    <t>forbolting_bue_lengde_f</t>
  </si>
  <si>
    <t>forbolting_bue_lengde_g</t>
  </si>
  <si>
    <t>bergbånd_langs_forbolting_a_rate</t>
  </si>
  <si>
    <t>bergbånd_langs_forbolting_a_output</t>
  </si>
  <si>
    <t>bergbånd_langs_forbolting_b_rate</t>
  </si>
  <si>
    <t>bergbånd_langs_forbolting_b_output</t>
  </si>
  <si>
    <t>bergbånd_langs_forbolting_c_rate</t>
  </si>
  <si>
    <t>bergbånd_langs_forbolting_c_output</t>
  </si>
  <si>
    <t>bergbånd_langs_forbolting_d_rate</t>
  </si>
  <si>
    <t>bergbånd_langs_forbolting_d_output</t>
  </si>
  <si>
    <t>bergbånd_langs_forbolting_e1_rate</t>
  </si>
  <si>
    <t>bergbånd_langs_forbolting_e1_output</t>
  </si>
  <si>
    <t>bergbånd_langs_forbolting_e2_rate</t>
  </si>
  <si>
    <t>bergbånd_langs_forbolting_e2_output</t>
  </si>
  <si>
    <t>bergbånd_langs_forbolting_f_rate</t>
  </si>
  <si>
    <t>bergbånd_langs_forbolting_f_output</t>
  </si>
  <si>
    <t>bergbånd_langs_forbolting_g_rate</t>
  </si>
  <si>
    <t>bergbånd_langs_forbolting_g_output</t>
  </si>
  <si>
    <t>bergbånd_langs_forbolting_total</t>
  </si>
  <si>
    <t>bergbånd_sum_a</t>
  </si>
  <si>
    <t>bergbånd_sum_b</t>
  </si>
  <si>
    <t>bergbånd_sum_c</t>
  </si>
  <si>
    <t>bergbånd_sum_d</t>
  </si>
  <si>
    <t>bergbånd_sum_e1</t>
  </si>
  <si>
    <t>bergbånd_sum_e2</t>
  </si>
  <si>
    <t>bergbånd_sum_f</t>
  </si>
  <si>
    <t>bergbånd_sum_g</t>
  </si>
  <si>
    <t>bergbånd_sum_total</t>
  </si>
  <si>
    <t>Festebolter</t>
  </si>
  <si>
    <t>Festebolter for nett</t>
  </si>
  <si>
    <t>Sprøytebetong ved nett</t>
  </si>
  <si>
    <t>1= Sikringsklasse,
2 = mengde-basert</t>
  </si>
  <si>
    <t>Naming convention table</t>
  </si>
  <si>
    <t>Comments/Notes</t>
  </si>
  <si>
    <t>General labels</t>
  </si>
  <si>
    <t>These labels are primarily used in the general tabs - such as "Prosjekt Info", and "Oppsummering".</t>
  </si>
  <si>
    <t>1st level</t>
  </si>
  <si>
    <t>2nd level</t>
  </si>
  <si>
    <t>3rd level</t>
  </si>
  <si>
    <t>Name type / hierachy</t>
  </si>
  <si>
    <t>festebolter_for bergbånd_total</t>
  </si>
  <si>
    <t>festebolter_for_bergbånd_a_output</t>
  </si>
  <si>
    <t>festebolter_for_bergbånd_b_senteravstand</t>
  </si>
  <si>
    <t>festebolter_for_bergbånd_b_output</t>
  </si>
  <si>
    <t>festebolter_for_bergbånd_c_senteravstand</t>
  </si>
  <si>
    <t>festebolter_for_bergbånd_c_output</t>
  </si>
  <si>
    <t>festebolter_for_bergbånd_d_senteravstand</t>
  </si>
  <si>
    <t>festebolter_for_bergbånd_d_output</t>
  </si>
  <si>
    <t>festebolter_for_bergbånd_e1_senteravstand</t>
  </si>
  <si>
    <t>festebolter_for_bergbånd_e1_output</t>
  </si>
  <si>
    <t>festebolter_for_bergbånd_e2_senteravstand</t>
  </si>
  <si>
    <t>festebolter_for_bergbånd_e2_output</t>
  </si>
  <si>
    <t>festebolter_for_bergbånd_f_senteravstand</t>
  </si>
  <si>
    <t>festebolter_for_bergbånd_f_output</t>
  </si>
  <si>
    <t>festebolter_for_bergbånd_g_senteravstand</t>
  </si>
  <si>
    <t>festebolter_for_bergbånd_g_output</t>
  </si>
  <si>
    <t>festebolter_for_bergbånd_a_senteravstand</t>
  </si>
  <si>
    <t>Festebolter for nett senteravstand</t>
  </si>
  <si>
    <t>Festebolter for bergbånd senteravstand</t>
  </si>
  <si>
    <t>Column443</t>
  </si>
  <si>
    <t>Column444</t>
  </si>
  <si>
    <t>Column445</t>
  </si>
  <si>
    <t>Column446</t>
  </si>
  <si>
    <t>Column447</t>
  </si>
  <si>
    <t>Column448</t>
  </si>
  <si>
    <t>Construction element ID/reference table</t>
  </si>
  <si>
    <t>NO LONGER IN USE!
This table controls the final method for converting klasse into quantity</t>
  </si>
  <si>
    <t>Variable calculation method control table</t>
  </si>
  <si>
    <t>Klasse Name (1st Level)</t>
  </si>
  <si>
    <t>Klasse Name (2nd Level)</t>
  </si>
  <si>
    <t>Underline</t>
  </si>
  <si>
    <t>Navnekonvensjon</t>
  </si>
  <si>
    <r>
      <rPr>
        <b/>
        <sz val="25"/>
        <color rgb="FFCC0066"/>
        <rFont val="Georgia Pro"/>
        <family val="1"/>
      </rPr>
      <t xml:space="preserve">Navnekonvensjon: </t>
    </r>
    <r>
      <rPr>
        <b/>
        <sz val="25"/>
        <color theme="1"/>
        <rFont val="Georgia Pro"/>
        <family val="1"/>
      </rPr>
      <t>sikringsklasse</t>
    </r>
  </si>
  <si>
    <t>Italics</t>
  </si>
  <si>
    <t>Italics and "quotation marks"</t>
  </si>
  <si>
    <t>Major category/theme (typically found only at the upper rows of the sheet)</t>
  </si>
  <si>
    <r>
      <t>Un-</t>
    </r>
    <r>
      <rPr>
        <i/>
        <sz val="11"/>
        <rFont val="Georgia Pro"/>
        <family val="1"/>
      </rPr>
      <t>named</t>
    </r>
    <r>
      <rPr>
        <sz val="11"/>
        <rFont val="Georgia Pro"/>
        <family val="1"/>
      </rPr>
      <t xml:space="preserve"> table</t>
    </r>
  </si>
  <si>
    <r>
      <rPr>
        <i/>
        <sz val="11"/>
        <rFont val="Georgia Pro"/>
        <family val="1"/>
      </rPr>
      <t>Named</t>
    </r>
    <r>
      <rPr>
        <sz val="11"/>
        <rFont val="Georgia Pro"/>
        <family val="1"/>
      </rPr>
      <t xml:space="preserve"> table (This means that the table has been defined in the "Name Manager" and can be referenced by its unique name).</t>
    </r>
  </si>
  <si>
    <t>Headings</t>
  </si>
  <si>
    <t>Table of contents -
 sikringsklasse</t>
  </si>
  <si>
    <r>
      <t xml:space="preserve">Bergmasse klasse </t>
    </r>
    <r>
      <rPr>
        <sz val="35"/>
        <color theme="1"/>
        <rFont val="Georgia Pro"/>
        <family val="1"/>
      </rPr>
      <t xml:space="preserve">-  </t>
    </r>
    <r>
      <rPr>
        <i/>
        <sz val="35"/>
        <color theme="1"/>
        <rFont val="Georgia Pro"/>
        <family val="1"/>
      </rPr>
      <t>Calculations sheet</t>
    </r>
  </si>
  <si>
    <t>Tips for use</t>
  </si>
  <si>
    <t>Column54</t>
  </si>
  <si>
    <t>Column55</t>
  </si>
  <si>
    <t>Column56</t>
  </si>
  <si>
    <t>Column57</t>
  </si>
  <si>
    <t>Column58</t>
  </si>
  <si>
    <t>≤ 4 m</t>
  </si>
  <si>
    <t>&gt; 4 m</t>
  </si>
  <si>
    <t>XBB</t>
  </si>
  <si>
    <t>FeBB</t>
  </si>
  <si>
    <t>FeN</t>
  </si>
  <si>
    <t>SN</t>
  </si>
  <si>
    <t>RB</t>
  </si>
  <si>
    <t>Sbu</t>
  </si>
  <si>
    <t>Construction category</t>
  </si>
  <si>
    <t>Specific construction element</t>
  </si>
  <si>
    <t>festebolter_for_nett_senteravstand_a</t>
  </si>
  <si>
    <t>festebolter_for_nett_senteravstand_b</t>
  </si>
  <si>
    <t>festebolter_for_nett_senteravstand_c</t>
  </si>
  <si>
    <t>festebolter_for_nett_senteravstand_d</t>
  </si>
  <si>
    <t>festebolter_for_nett_senteravstand_e1</t>
  </si>
  <si>
    <t>festebolter_for_nett_senteravstand_e2</t>
  </si>
  <si>
    <t>festebolter_for_nett_senteravstand_f</t>
  </si>
  <si>
    <t>festebolter_for_nett_senteravstand_g</t>
  </si>
  <si>
    <t>festebolter_for_nett_output_a</t>
  </si>
  <si>
    <t>festebolter_for_nett_output_g</t>
  </si>
  <si>
    <t>festebolter_for_nett_output_f</t>
  </si>
  <si>
    <t>festebolter_for_nett_output_e2</t>
  </si>
  <si>
    <t>festebolter_for_nett_output_e1</t>
  </si>
  <si>
    <t>festebolter_for_nett_output_d</t>
  </si>
  <si>
    <t>festebolter_for_nett_output_c</t>
  </si>
  <si>
    <t>festebolter_for_nett_output_b</t>
  </si>
  <si>
    <t>festebolter_for_nett_sum</t>
  </si>
  <si>
    <t>Column4425</t>
  </si>
  <si>
    <t>Column4426</t>
  </si>
  <si>
    <t>Column4427</t>
  </si>
  <si>
    <t>sprøytebetong_ved_nett_output_a</t>
  </si>
  <si>
    <t>sprøytebetong_ved_nett_output_b</t>
  </si>
  <si>
    <t>sprøytebetong_ved_nett_output_c</t>
  </si>
  <si>
    <t>sprøytebetong_ved_nett_output_d</t>
  </si>
  <si>
    <t>sprøytebetong_ved_nett_output_e1</t>
  </si>
  <si>
    <t>sprøytebetong_ved_nett_output_e2</t>
  </si>
  <si>
    <t>sprøytebetong_ved_nett_output_f</t>
  </si>
  <si>
    <t>sprøytebetong_ved_nett_output_g</t>
  </si>
  <si>
    <t>sprøytebetong_ved_nett_sum</t>
  </si>
  <si>
    <t>sprøytebetong_ved_nett_tykkelse_a</t>
  </si>
  <si>
    <t>sprøytebetong_ved_nett_tykkelse_b</t>
  </si>
  <si>
    <t>sprøytebetong_ved_nett_tykkelse_c</t>
  </si>
  <si>
    <t>sprøytebetong_ved_nett_tykkelse_d</t>
  </si>
  <si>
    <t>sprøytebetong_ved_nett_tykkelse_e1</t>
  </si>
  <si>
    <t>sprøytebetong_ved_nett_tykkelse_e2</t>
  </si>
  <si>
    <t>sprøytebetong_ved_nett_tykkelse_f</t>
  </si>
  <si>
    <t>sprøytebetong_ved_nett_tykkelse_g</t>
  </si>
  <si>
    <t>Såle-to-såle</t>
  </si>
  <si>
    <t>Added to final time calcs</t>
  </si>
  <si>
    <t>sprøytebetong_ved_bue_rate_a</t>
  </si>
  <si>
    <t>sprøytebetong_ved_bue_output_a</t>
  </si>
  <si>
    <t>sprøytebetong_ved_bue_rate_b</t>
  </si>
  <si>
    <t>sprøytebetong_ved_bue_output_b</t>
  </si>
  <si>
    <t>sprøytebetong_ved_bue_rate_c</t>
  </si>
  <si>
    <t>sprøytebetong_ved_bue_output_c</t>
  </si>
  <si>
    <t>sprøytebetong_ved_bue_rate_d</t>
  </si>
  <si>
    <t>sprøytebetong_ved_bue_output_d</t>
  </si>
  <si>
    <t>sprøytebetong_ved_bue_rate_e1</t>
  </si>
  <si>
    <t>sprøytebetong_ved_bue_output_e1</t>
  </si>
  <si>
    <t>sprøytebetong_ved_bue_rate_e2</t>
  </si>
  <si>
    <t>sprøytebetong_ved_bue_output_e2</t>
  </si>
  <si>
    <t>sprøytebetong_ved_bue_rate_f</t>
  </si>
  <si>
    <t>sprøytebetong_ved_bue_output_f</t>
  </si>
  <si>
    <t>sprøytebetong_ved_bue_rate_g</t>
  </si>
  <si>
    <t>sprøytebetong_ved_bue_output_g</t>
  </si>
  <si>
    <t>sprøytebetong_ved_bue_sum</t>
  </si>
  <si>
    <t>bergbånd_ekstra</t>
  </si>
  <si>
    <t>festebolter_for_bergbånd</t>
  </si>
  <si>
    <t>festebolter_for_bergbånd_total</t>
  </si>
  <si>
    <t>sprøytebetong_ved_nett_total</t>
  </si>
  <si>
    <t>festebolter_for_nett_total</t>
  </si>
  <si>
    <t>sprøytebetong_ved_bue_total</t>
  </si>
  <si>
    <t>_Calcs!OA72</t>
  </si>
  <si>
    <t>_Calcs!EP47</t>
  </si>
  <si>
    <t>bergbånd_ekstra_total</t>
  </si>
  <si>
    <t>sprøytebetong_ved_nett</t>
  </si>
  <si>
    <t>festebolter_for_nett</t>
  </si>
  <si>
    <t>festebolter_general</t>
  </si>
  <si>
    <t>Standard teoretisk
sprengningsprofil (eks. grøfter)</t>
  </si>
  <si>
    <t>Gjennomgående teoretisk
sprengningsprofil (eks. grøfter)</t>
  </si>
  <si>
    <t>Grøfter</t>
  </si>
  <si>
    <t>Extra_1</t>
  </si>
  <si>
    <t>Extra_2</t>
  </si>
  <si>
    <t>Grøfter, nisjer og andre bergrom</t>
  </si>
  <si>
    <t>a</t>
  </si>
  <si>
    <t>Standard navn</t>
  </si>
  <si>
    <t>Sprengnings kapasitet</t>
  </si>
  <si>
    <r>
      <t xml:space="preserve">Cells with </t>
    </r>
    <r>
      <rPr>
        <b/>
        <sz val="11"/>
        <rFont val="Georgia Pro"/>
        <family val="1"/>
      </rPr>
      <t>large bold text</t>
    </r>
    <r>
      <rPr>
        <sz val="11"/>
        <rFont val="Georgia Pro"/>
        <family val="1"/>
      </rPr>
      <t>, and coloured background indicate a new catergory. These can be further broken down into the following.</t>
    </r>
  </si>
  <si>
    <t>rensk</t>
  </si>
  <si>
    <t>Behovsprøvd</t>
  </si>
  <si>
    <t>For 1. og 2. støp</t>
  </si>
  <si>
    <t>For 3. og etterfølgende støper</t>
  </si>
  <si>
    <t>This row is a check to make sure the inputs are correct</t>
  </si>
  <si>
    <t>This cell represents the tunnel type and size. Used to control the suggested sikringsklasse conversion variables.</t>
  </si>
  <si>
    <t>ISBLANK check</t>
  </si>
  <si>
    <t>These columns are a temporary space in case, one day, we require alternative calculation methods</t>
  </si>
  <si>
    <t>Column27</t>
  </si>
  <si>
    <t>Column28</t>
  </si>
  <si>
    <t>up to here</t>
  </si>
  <si>
    <t>Beregning av byggetid for samferdselstunneler</t>
  </si>
  <si>
    <t>"position_framdriftsfaktor"</t>
  </si>
  <si>
    <t>Driftsform</t>
  </si>
  <si>
    <t>Et rødt varselsymbol betyr enten at informasjon i cellen er påkrevd eller at cellen er fylt ut feil</t>
  </si>
  <si>
    <t>User_Input</t>
  </si>
  <si>
    <t>Blank_check</t>
  </si>
  <si>
    <t>"outputs_framdriftfaktor"</t>
  </si>
  <si>
    <t>vek_faktor_bruker</t>
  </si>
  <si>
    <t>vek_faktor_beg</t>
  </si>
  <si>
    <t>vek_faktor_beg_check</t>
  </si>
  <si>
    <t>vek_faktor_beg_verdi</t>
  </si>
  <si>
    <t>vek_faktor_bruker_check</t>
  </si>
  <si>
    <t>vek_faktor_bruker_verdi</t>
  </si>
  <si>
    <t xml:space="preserve">2 = veksel
1 = en stuff
</t>
  </si>
  <si>
    <t>metode_check</t>
  </si>
  <si>
    <t>vek_faktor_final</t>
  </si>
  <si>
    <t>bruker_definert_framdriftsfaktor</t>
  </si>
  <si>
    <t>faktor_bruker_definert</t>
  </si>
  <si>
    <t>vek_faktor_bruker_definert_status</t>
  </si>
  <si>
    <t>_Calcs!IO6</t>
  </si>
  <si>
    <t>_Calcs!LG6</t>
  </si>
  <si>
    <t>sprengning_tid_hr_veksel_del</t>
  </si>
  <si>
    <t>foran_tid_hr_veksel_del</t>
  </si>
  <si>
    <t>stabilitets_tid_hr_veksel_del</t>
  </si>
  <si>
    <t>Framdriftsfaktor vekseldrift</t>
  </si>
  <si>
    <t>"utskrift_just"</t>
  </si>
  <si>
    <t>Tidjustering</t>
  </si>
  <si>
    <t>Utskrift_justeringer</t>
  </si>
  <si>
    <t>Framdrifts-faktor justeringer</t>
  </si>
  <si>
    <t>Type justering</t>
  </si>
  <si>
    <t>Drifts-
informasjon</t>
  </si>
  <si>
    <t>Tverrslags-
informasjon</t>
  </si>
  <si>
    <t>Beregning av tid for sikring</t>
  </si>
  <si>
    <t>Skal forberedende arbeider inkluderes?</t>
  </si>
  <si>
    <t>Tverrslagskonfigurasjon</t>
  </si>
  <si>
    <t>Individuelle justeringer</t>
  </si>
  <si>
    <t>Tunnel hovedløp</t>
  </si>
  <si>
    <t>Sikringsbuer</t>
  </si>
  <si>
    <t>Sikringsbuer og forankring</t>
  </si>
  <si>
    <t>Framdrifts-
faktor
vekseldrift</t>
  </si>
  <si>
    <t>Beregnet framdriftsfaktor</t>
  </si>
  <si>
    <t>Justert framdriftsfaktor</t>
  </si>
  <si>
    <t>Forberedende arbeider prosjekt</t>
  </si>
  <si>
    <t>Forberedendearbeider tverrslag</t>
  </si>
  <si>
    <t>Etablering av kryssområde</t>
  </si>
  <si>
    <t>Forskjøvet oppstart</t>
  </si>
  <si>
    <t>Oppstart</t>
  </si>
  <si>
    <t>Drivetid per stuff</t>
  </si>
  <si>
    <t>Switched tverrslag byggetid with krysområdet</t>
  </si>
  <si>
    <t>Different vekseldrfit faktors can no longer be given for the same paralel stuffs</t>
  </si>
  <si>
    <t>Unchanged</t>
  </si>
  <si>
    <t>Utskrift labels</t>
  </si>
  <si>
    <t>Justering</t>
  </si>
  <si>
    <t>Justert</t>
  </si>
  <si>
    <t>Page number</t>
  </si>
  <si>
    <t>First page</t>
  </si>
  <si>
    <t>Total pages</t>
  </si>
  <si>
    <t>The table below controls some naming conventions in the utskrift justeringer sheet</t>
  </si>
  <si>
    <t>Displayed value</t>
  </si>
  <si>
    <t>Label ID</t>
  </si>
  <si>
    <t>Page</t>
  </si>
  <si>
    <t>outputs_utskrift_just</t>
  </si>
  <si>
    <t>Position number</t>
  </si>
  <si>
    <t>Header: stuff navn</t>
  </si>
  <si>
    <t>Relevants</t>
  </si>
  <si>
    <t>Side nummer</t>
  </si>
  <si>
    <t>Parameter</t>
  </si>
  <si>
    <t>Cells marked with a cream coloured background are reference cells</t>
  </si>
  <si>
    <t>Løp 1 navn</t>
  </si>
  <si>
    <t>Løp 1 tunnellengde</t>
  </si>
  <si>
    <r>
      <t xml:space="preserve">Klikk på  </t>
    </r>
    <r>
      <rPr>
        <b/>
        <sz val="12"/>
        <color rgb="FFFF0066"/>
        <rFont val="Georgia Pro"/>
        <family val="1"/>
      </rPr>
      <t>!</t>
    </r>
    <r>
      <rPr>
        <b/>
        <i/>
        <sz val="12"/>
        <color theme="1"/>
        <rFont val="Georgia Pro"/>
        <family val="1"/>
      </rPr>
      <t xml:space="preserve">  </t>
    </r>
    <r>
      <rPr>
        <i/>
        <sz val="12"/>
        <color theme="1"/>
        <rFont val="Georgia Pro"/>
        <family val="1"/>
      </rPr>
      <t>for avklaring og foreslåtte løsninger (gjelder det fleste parametere)</t>
    </r>
  </si>
  <si>
    <r>
      <rPr>
        <sz val="12"/>
        <rFont val="Georgia Pro"/>
        <family val="1"/>
      </rPr>
      <t xml:space="preserve">For mer informasjon om en parameter, klikk på  </t>
    </r>
    <r>
      <rPr>
        <b/>
        <i/>
        <sz val="12"/>
        <color rgb="FF002060"/>
        <rFont val="Georgia Pro"/>
        <family val="1"/>
      </rPr>
      <t>i</t>
    </r>
  </si>
  <si>
    <t>Added "Utskrift justeringer"</t>
  </si>
  <si>
    <t>_Calcs!CS6</t>
  </si>
  <si>
    <t>Major changes</t>
  </si>
  <si>
    <t>Minor changes</t>
  </si>
  <si>
    <t>Kjerneboring kapasitet endret fra 60 til 1 h/h</t>
  </si>
  <si>
    <t>No adjustment message</t>
  </si>
  <si>
    <t>Arne Aakre (aa@eba.no)</t>
  </si>
  <si>
    <t>Brukerdefinert</t>
  </si>
  <si>
    <t>Mengdebasert</t>
  </si>
  <si>
    <t>Enstuffs drift</t>
  </si>
  <si>
    <t>Version 1,0</t>
  </si>
  <si>
    <t>tunneltype_V1</t>
  </si>
  <si>
    <t>Lengde tverrslag</t>
  </si>
  <si>
    <t>Stuffnavn</t>
  </si>
  <si>
    <t>Stufflengde</t>
  </si>
  <si>
    <t>Andel av tunnel med enstuffs drift</t>
  </si>
  <si>
    <t>Varighet</t>
  </si>
  <si>
    <t>Forberedende arbeid</t>
  </si>
  <si>
    <t>Foran stuff</t>
  </si>
  <si>
    <t>Kritisk stuff</t>
  </si>
  <si>
    <t>Critical stuff message</t>
  </si>
  <si>
    <t>This table controls the critical stuff message (oppsummering)</t>
  </si>
  <si>
    <t>"tickcheck_stab"</t>
  </si>
  <si>
    <t>grøfter</t>
  </si>
  <si>
    <t>0 = version 1,0 (uten jernbanetunnel)
1 = mengdebasert (veg og jernbane)
2 = sikringsklasse</t>
  </si>
  <si>
    <t>Below is a table of contents and hyperlinks</t>
  </si>
  <si>
    <r>
      <t xml:space="preserve">This table is used to keep naming convention consistent. Most titles and labels will refer to this table as much as possible.
</t>
    </r>
    <r>
      <rPr>
        <b/>
        <i/>
        <u/>
        <sz val="11"/>
        <color rgb="FFCC3300"/>
        <rFont val="Georgia Pro"/>
        <family val="1"/>
      </rPr>
      <t>BE CAREFUL WHEN INSERTING NEW ROWS</t>
    </r>
    <r>
      <rPr>
        <b/>
        <i/>
        <sz val="11"/>
        <color rgb="FFCC3300"/>
        <rFont val="Georgia Pro"/>
        <family val="1"/>
      </rPr>
      <t>.</t>
    </r>
    <r>
      <rPr>
        <i/>
        <sz val="11"/>
        <color rgb="FFCC3300"/>
        <rFont val="Georgia Pro"/>
        <family val="1"/>
      </rPr>
      <t xml:space="preserve"> (May interfere with other tables in this sheet!)</t>
    </r>
  </si>
  <si>
    <t>Display length</t>
  </si>
  <si>
    <t>Samlet justering</t>
  </si>
  <si>
    <t>Generell justering</t>
  </si>
  <si>
    <t>Framdrifts
faktor</t>
  </si>
  <si>
    <t>Begrunnelse for justering</t>
  </si>
  <si>
    <t>sik_12</t>
  </si>
  <si>
    <t>sik_3</t>
  </si>
  <si>
    <t>max sik_12</t>
  </si>
  <si>
    <t>sik_samlet</t>
  </si>
  <si>
    <t>This table controls the point the sikringsstøp becomes "3. or etterfølge"</t>
  </si>
  <si>
    <t>sik_unused</t>
  </si>
  <si>
    <t>Berguttak grøfter, nisjer og bergrom</t>
  </si>
  <si>
    <t>Opp- og nedrigging</t>
  </si>
  <si>
    <t>bue-m</t>
  </si>
  <si>
    <t>Krevende geologi og/eller svakhetssoner</t>
  </si>
  <si>
    <t>Krevende geologi / svakhetssoner</t>
  </si>
  <si>
    <t>Stor stigning eller synk</t>
  </si>
  <si>
    <t>Avvikende arbeidstid i deler av prosjektet</t>
  </si>
  <si>
    <t>Avvikende arbeidstid</t>
  </si>
  <si>
    <t>Andre faktorer</t>
  </si>
  <si>
    <t>Begrunnelser for tidsjusteringer</t>
  </si>
  <si>
    <t>Relativ tid sikring</t>
  </si>
  <si>
    <t>Samlet byggetid per stuff</t>
  </si>
  <si>
    <t>Beregnet tidforbruk</t>
  </si>
  <si>
    <t>Ut_</t>
  </si>
  <si>
    <t>Berguttak</t>
  </si>
  <si>
    <t>Fullt tverrsnitt – 
redusert salvelengde</t>
  </si>
  <si>
    <t>Input for sikringsstøp (1. 2. and 3.) combined into one.</t>
  </si>
  <si>
    <t>0 = good</t>
  </si>
  <si>
    <t>FALSE = good (not blank)</t>
  </si>
  <si>
    <t>_Calcs!GL15</t>
  </si>
  <si>
    <t>Registrering og kartlegging</t>
  </si>
  <si>
    <t>Påvirkning</t>
  </si>
  <si>
    <t>Tilleggstid vekseldrift</t>
  </si>
  <si>
    <t>Påvirkes av tverrslaget</t>
  </si>
  <si>
    <t>First heading</t>
  </si>
  <si>
    <t>_Calcs!IT103</t>
  </si>
  <si>
    <t>Versjon 1.0 med tilhørende veileder (11.11.2021)</t>
  </si>
  <si>
    <t>Ukentlig arbeidstid</t>
  </si>
  <si>
    <t>Majka, John, Śnieżynka, Glowy, Zukkini &amp; Paulinka!</t>
  </si>
  <si>
    <t>&amp; john!</t>
  </si>
  <si>
    <t>eldbjørg!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</si>
</sst>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kr&quot;\ * #,##0.00_-;\-&quot;kr&quot;\ * #,##0.00_-;_-&quot;kr&quot;\ * &quot;-&quot;??_-;_-@_-"/>
    <numFmt numFmtId="164" formatCode="0.0"/>
    <numFmt numFmtId="165" formatCode="#,##0.0"/>
    <numFmt numFmtId="166" formatCode="#.###"/>
    <numFmt numFmtId="167" formatCode="[$-F400]h:mm:ss\ AM/PM"/>
    <numFmt numFmtId="168" formatCode="0.0\ %"/>
    <numFmt numFmtId="169" formatCode="#,##0.000"/>
    <numFmt numFmtId="170" formatCode="#,##0.0000"/>
  </numFmts>
  <fonts count="221" x14ac:knownFonts="1">
    <font>
      <sz val="11"/>
      <color theme="1"/>
      <name val="Arial"/>
      <family val="2"/>
      <scheme val="minor"/>
    </font>
    <font>
      <sz val="11"/>
      <color theme="1"/>
      <name val="Arial"/>
      <family val="2"/>
    </font>
    <font>
      <sz val="11"/>
      <color theme="1"/>
      <name val="Arial"/>
      <family val="2"/>
    </font>
    <font>
      <sz val="13"/>
      <color theme="1"/>
      <name val="Arial"/>
      <family val="2"/>
    </font>
    <font>
      <sz val="11"/>
      <color theme="1"/>
      <name val="Arial"/>
      <family val="2"/>
    </font>
    <font>
      <sz val="12"/>
      <color theme="1"/>
      <name val="Arial"/>
      <family val="2"/>
      <scheme val="minor"/>
    </font>
    <font>
      <b/>
      <sz val="11"/>
      <color theme="1"/>
      <name val="Arial"/>
      <family val="2"/>
      <scheme val="minor"/>
    </font>
    <font>
      <sz val="11"/>
      <color theme="1"/>
      <name val="Arial"/>
      <family val="2"/>
      <scheme val="minor"/>
    </font>
    <font>
      <sz val="11"/>
      <color rgb="FFFF0000"/>
      <name val="Arial"/>
      <family val="2"/>
      <scheme val="minor"/>
    </font>
    <font>
      <sz val="11"/>
      <color theme="1"/>
      <name val="Georgia Pro"/>
      <family val="1"/>
    </font>
    <font>
      <sz val="18"/>
      <color theme="1"/>
      <name val="Georgia Pro"/>
      <family val="1"/>
    </font>
    <font>
      <sz val="11"/>
      <color rgb="FF0070C0"/>
      <name val="Georgia Pro"/>
      <family val="1"/>
    </font>
    <font>
      <b/>
      <sz val="11"/>
      <color theme="1"/>
      <name val="Georgia Pro"/>
      <family val="1"/>
    </font>
    <font>
      <b/>
      <sz val="20"/>
      <color theme="1"/>
      <name val="Georgia Pro"/>
      <family val="1"/>
    </font>
    <font>
      <b/>
      <sz val="12"/>
      <color theme="1"/>
      <name val="Georgia Pro"/>
      <family val="1"/>
    </font>
    <font>
      <i/>
      <sz val="11"/>
      <color theme="1"/>
      <name val="Georgia Pro"/>
      <family val="1"/>
    </font>
    <font>
      <b/>
      <sz val="10"/>
      <color theme="1"/>
      <name val="Georgia Pro"/>
      <family val="1"/>
    </font>
    <font>
      <sz val="10"/>
      <color theme="1"/>
      <name val="Georgia Pro"/>
      <family val="1"/>
    </font>
    <font>
      <vertAlign val="superscript"/>
      <sz val="11"/>
      <color theme="1"/>
      <name val="Georgia Pro"/>
      <family val="1"/>
    </font>
    <font>
      <b/>
      <sz val="11"/>
      <color rgb="FF0070C0"/>
      <name val="Georgia Pro"/>
      <family val="1"/>
    </font>
    <font>
      <sz val="11"/>
      <color theme="2" tint="-0.749992370372631"/>
      <name val="Georgia Pro"/>
      <family val="1"/>
    </font>
    <font>
      <b/>
      <sz val="11"/>
      <color theme="9" tint="-0.249977111117893"/>
      <name val="Georgia Pro"/>
      <family val="1"/>
    </font>
    <font>
      <b/>
      <sz val="11"/>
      <color theme="8" tint="-0.249977111117893"/>
      <name val="Georgia Pro"/>
      <family val="1"/>
    </font>
    <font>
      <b/>
      <sz val="11"/>
      <color rgb="FFED8951"/>
      <name val="Georgia Pro"/>
      <family val="1"/>
    </font>
    <font>
      <b/>
      <i/>
      <sz val="12"/>
      <color theme="1"/>
      <name val="Georgia Pro"/>
      <family val="1"/>
    </font>
    <font>
      <b/>
      <i/>
      <sz val="13"/>
      <color theme="1"/>
      <name val="Georgia Pro"/>
      <family val="1"/>
    </font>
    <font>
      <b/>
      <i/>
      <u/>
      <sz val="13"/>
      <color theme="1"/>
      <name val="Georgia Pro"/>
      <family val="1"/>
    </font>
    <font>
      <b/>
      <i/>
      <u/>
      <sz val="15"/>
      <color theme="1"/>
      <name val="Georgia Pro"/>
      <family val="1"/>
    </font>
    <font>
      <b/>
      <sz val="13"/>
      <color theme="1"/>
      <name val="Georgia Pro"/>
      <family val="1"/>
    </font>
    <font>
      <sz val="25"/>
      <color theme="1"/>
      <name val="Georgia Pro"/>
      <family val="1"/>
    </font>
    <font>
      <b/>
      <i/>
      <sz val="20"/>
      <color theme="1"/>
      <name val="Georgia Pro"/>
      <family val="1"/>
    </font>
    <font>
      <b/>
      <i/>
      <sz val="11"/>
      <color theme="1"/>
      <name val="Georgia Pro"/>
      <family val="1"/>
    </font>
    <font>
      <b/>
      <sz val="14"/>
      <color theme="1"/>
      <name val="Georgia Pro"/>
      <family val="1"/>
    </font>
    <font>
      <i/>
      <sz val="11"/>
      <color theme="1" tint="0.249977111117893"/>
      <name val="Georgia Pro"/>
      <family val="1"/>
    </font>
    <font>
      <b/>
      <i/>
      <sz val="11"/>
      <color theme="2" tint="-0.499984740745262"/>
      <name val="Georgia Pro"/>
      <family val="1"/>
    </font>
    <font>
      <b/>
      <sz val="11"/>
      <color rgb="FFFF0066"/>
      <name val="Georgia Pro"/>
      <family val="1"/>
    </font>
    <font>
      <b/>
      <sz val="13"/>
      <color rgb="FFFF0066"/>
      <name val="Georgia Pro"/>
      <family val="1"/>
    </font>
    <font>
      <sz val="12"/>
      <color theme="1"/>
      <name val="Georgia Pro"/>
      <family val="1"/>
    </font>
    <font>
      <sz val="11"/>
      <name val="Arial"/>
      <family val="2"/>
    </font>
    <font>
      <b/>
      <sz val="18"/>
      <color theme="1"/>
      <name val="Georgia Pro"/>
      <family val="1"/>
    </font>
    <font>
      <u/>
      <sz val="11"/>
      <color theme="10"/>
      <name val="Arial"/>
      <family val="2"/>
      <scheme val="minor"/>
    </font>
    <font>
      <sz val="40"/>
      <color theme="0"/>
      <name val="Georgia Pro"/>
      <family val="1"/>
    </font>
    <font>
      <sz val="11"/>
      <color theme="0"/>
      <name val="Georgia Pro"/>
      <family val="1"/>
    </font>
    <font>
      <i/>
      <sz val="25"/>
      <color theme="0"/>
      <name val="Georgia Pro"/>
      <family val="1"/>
    </font>
    <font>
      <sz val="40"/>
      <color rgb="FFE5DA4D"/>
      <name val="Georgia Pro"/>
      <family val="1"/>
    </font>
    <font>
      <u/>
      <sz val="11"/>
      <color theme="10"/>
      <name val="Georgia Pro"/>
      <family val="1"/>
    </font>
    <font>
      <i/>
      <sz val="10"/>
      <color theme="1"/>
      <name val="Georgia Pro"/>
      <family val="1"/>
    </font>
    <font>
      <sz val="11"/>
      <name val="Georgia Pro"/>
      <family val="1"/>
    </font>
    <font>
      <b/>
      <i/>
      <sz val="11"/>
      <color rgb="FF002060"/>
      <name val="Georgia Pro"/>
      <family val="1"/>
    </font>
    <font>
      <b/>
      <i/>
      <sz val="11"/>
      <color rgb="FF002060"/>
      <name val="Arial"/>
      <family val="2"/>
      <scheme val="minor"/>
    </font>
    <font>
      <b/>
      <i/>
      <sz val="11"/>
      <color theme="2" tint="-0.749992370372631"/>
      <name val="Georgia Pro"/>
      <family val="1"/>
    </font>
    <font>
      <b/>
      <i/>
      <sz val="12"/>
      <color rgb="FF002060"/>
      <name val="Georgia Pro"/>
      <family val="1"/>
    </font>
    <font>
      <b/>
      <i/>
      <u/>
      <sz val="11"/>
      <color rgb="FF002060"/>
      <name val="Georgia Pro"/>
      <family val="1"/>
    </font>
    <font>
      <b/>
      <i/>
      <sz val="10"/>
      <color rgb="FF002060"/>
      <name val="Georgia Pro"/>
      <family val="1"/>
    </font>
    <font>
      <sz val="11"/>
      <color rgb="FFFF0066"/>
      <name val="Georgia Pro"/>
      <family val="1"/>
    </font>
    <font>
      <sz val="13"/>
      <color theme="1"/>
      <name val="Georgia Pro"/>
      <family val="1"/>
    </font>
    <font>
      <sz val="8"/>
      <name val="Arial"/>
      <family val="2"/>
      <scheme val="minor"/>
    </font>
    <font>
      <sz val="15"/>
      <color theme="1"/>
      <name val="Georgia Pro"/>
      <family val="1"/>
    </font>
    <font>
      <sz val="35"/>
      <color theme="1"/>
      <name val="Georgia Pro"/>
      <family val="1"/>
    </font>
    <font>
      <sz val="16"/>
      <color theme="1"/>
      <name val="Georgia Pro"/>
      <family val="1"/>
    </font>
    <font>
      <sz val="14"/>
      <color theme="1"/>
      <name val="Georgia Pro"/>
      <family val="1"/>
    </font>
    <font>
      <b/>
      <sz val="16"/>
      <color theme="1"/>
      <name val="Georgia Pro"/>
      <family val="1"/>
    </font>
    <font>
      <b/>
      <sz val="25"/>
      <color theme="1"/>
      <name val="Georgia Pro"/>
      <family val="1"/>
    </font>
    <font>
      <b/>
      <sz val="25"/>
      <color theme="1"/>
      <name val="Wingdings"/>
      <charset val="2"/>
    </font>
    <font>
      <sz val="11"/>
      <color theme="1"/>
      <name val="Georgia"/>
      <family val="1"/>
    </font>
    <font>
      <b/>
      <i/>
      <sz val="16"/>
      <color theme="1"/>
      <name val="Georgia Pro"/>
      <family val="1"/>
    </font>
    <font>
      <u/>
      <sz val="25"/>
      <color theme="1"/>
      <name val="Georgia Pro"/>
      <family val="1"/>
    </font>
    <font>
      <b/>
      <i/>
      <sz val="18"/>
      <color theme="1"/>
      <name val="Georgia Pro"/>
      <family val="1"/>
    </font>
    <font>
      <b/>
      <sz val="15"/>
      <color theme="1"/>
      <name val="Georgia Pro"/>
      <family val="1"/>
    </font>
    <font>
      <i/>
      <sz val="12"/>
      <color theme="1"/>
      <name val="Georgia Pro"/>
      <family val="1"/>
    </font>
    <font>
      <sz val="11"/>
      <color rgb="FFCC3300"/>
      <name val="Georgia Pro"/>
      <family val="1"/>
    </font>
    <font>
      <i/>
      <sz val="11"/>
      <color rgb="FFCC3300"/>
      <name val="Georgia Pro"/>
      <family val="1"/>
    </font>
    <font>
      <b/>
      <i/>
      <sz val="11"/>
      <color rgb="FFCC3300"/>
      <name val="Georgia Pro"/>
      <family val="1"/>
    </font>
    <font>
      <i/>
      <u/>
      <sz val="25"/>
      <color theme="1"/>
      <name val="Georgia Pro"/>
      <family val="1"/>
    </font>
    <font>
      <b/>
      <sz val="11"/>
      <color rgb="FFCC3300"/>
      <name val="Georgia Pro"/>
      <family val="1"/>
    </font>
    <font>
      <sz val="11"/>
      <color rgb="FFFF0000"/>
      <name val="Georgia Pro"/>
      <family val="1"/>
    </font>
    <font>
      <b/>
      <sz val="26"/>
      <color theme="1"/>
      <name val="Georgia Pro"/>
      <family val="1"/>
    </font>
    <font>
      <b/>
      <i/>
      <sz val="25"/>
      <color theme="1"/>
      <name val="Georgia Pro"/>
      <family val="1"/>
    </font>
    <font>
      <b/>
      <sz val="11"/>
      <color rgb="FFFF0000"/>
      <name val="Georgia Pro"/>
      <family val="1"/>
    </font>
    <font>
      <b/>
      <i/>
      <sz val="14"/>
      <color theme="1"/>
      <name val="Georgia Pro"/>
      <family val="1"/>
    </font>
    <font>
      <i/>
      <sz val="11"/>
      <color rgb="FF002060"/>
      <name val="Arial"/>
      <family val="2"/>
      <scheme val="minor"/>
    </font>
    <font>
      <i/>
      <sz val="11"/>
      <color rgb="FF002060"/>
      <name val="Arial"/>
      <family val="2"/>
    </font>
    <font>
      <sz val="9"/>
      <color theme="1"/>
      <name val="Georgia Pro"/>
      <family val="1"/>
    </font>
    <font>
      <b/>
      <sz val="35"/>
      <name val="Georgia"/>
      <family val="1"/>
    </font>
    <font>
      <i/>
      <sz val="16"/>
      <color theme="1"/>
      <name val="Georgia Pro"/>
      <family val="1"/>
    </font>
    <font>
      <b/>
      <i/>
      <sz val="20"/>
      <color rgb="FFCC3300"/>
      <name val="Georgia Pro"/>
      <family val="1"/>
    </font>
    <font>
      <b/>
      <i/>
      <sz val="15"/>
      <color rgb="FF002060"/>
      <name val="Georgia Pro"/>
      <family val="1"/>
    </font>
    <font>
      <b/>
      <sz val="22"/>
      <color theme="1"/>
      <name val="Georgia Pro"/>
      <family val="1"/>
    </font>
    <font>
      <sz val="18"/>
      <color theme="1"/>
      <name val="Arial"/>
      <family val="2"/>
      <scheme val="minor"/>
    </font>
    <font>
      <sz val="15"/>
      <color theme="0"/>
      <name val="Georgia Pro"/>
      <family val="1"/>
    </font>
    <font>
      <b/>
      <i/>
      <u/>
      <sz val="15"/>
      <color rgb="FFFF0066"/>
      <name val="Georgia Pro"/>
      <family val="1"/>
    </font>
    <font>
      <b/>
      <i/>
      <u/>
      <sz val="12"/>
      <color theme="1"/>
      <name val="Georgia Pro"/>
      <family val="1"/>
    </font>
    <font>
      <b/>
      <i/>
      <sz val="11"/>
      <name val="Georgia Pro"/>
      <family val="1"/>
    </font>
    <font>
      <b/>
      <i/>
      <sz val="10"/>
      <color rgb="FFFF0000"/>
      <name val="Georgia Pro"/>
      <family val="1"/>
    </font>
    <font>
      <b/>
      <sz val="15"/>
      <color rgb="FF0070C0"/>
      <name val="Georgia Pro"/>
      <family val="1"/>
    </font>
    <font>
      <b/>
      <sz val="15"/>
      <color theme="1"/>
      <name val="Arial"/>
      <family val="2"/>
      <scheme val="minor"/>
    </font>
    <font>
      <sz val="20"/>
      <color theme="1"/>
      <name val="Georgia Pro"/>
      <family val="1"/>
    </font>
    <font>
      <b/>
      <i/>
      <sz val="22"/>
      <color theme="1"/>
      <name val="Georgia Pro"/>
      <family val="1"/>
    </font>
    <font>
      <b/>
      <sz val="12"/>
      <color rgb="FFFF0066"/>
      <name val="Georgia Pro"/>
      <family val="1"/>
    </font>
    <font>
      <sz val="11"/>
      <name val="Arial"/>
      <family val="2"/>
      <scheme val="minor"/>
    </font>
    <font>
      <b/>
      <sz val="35"/>
      <color theme="1"/>
      <name val="Georgia Pro"/>
      <family val="1"/>
    </font>
    <font>
      <b/>
      <sz val="15"/>
      <color rgb="FFFF0066"/>
      <name val="Georgia Pro"/>
      <family val="1"/>
    </font>
    <font>
      <b/>
      <vertAlign val="superscript"/>
      <sz val="12"/>
      <color theme="1"/>
      <name val="Georgia Pro"/>
      <family val="1"/>
    </font>
    <font>
      <b/>
      <sz val="12"/>
      <color theme="1"/>
      <name val="Arial"/>
      <family val="2"/>
      <scheme val="minor"/>
    </font>
    <font>
      <b/>
      <sz val="11"/>
      <name val="Georgia Pro"/>
      <family val="1"/>
    </font>
    <font>
      <b/>
      <sz val="25"/>
      <color theme="0"/>
      <name val="Georgia Pro"/>
      <family val="1"/>
    </font>
    <font>
      <b/>
      <sz val="10"/>
      <name val="Georgia Pro"/>
      <family val="1"/>
    </font>
    <font>
      <b/>
      <sz val="18"/>
      <name val="Georgia Pro"/>
      <family val="1"/>
    </font>
    <font>
      <i/>
      <sz val="13"/>
      <color theme="1"/>
      <name val="Georgia Pro"/>
      <family val="1"/>
    </font>
    <font>
      <i/>
      <sz val="17"/>
      <color theme="1"/>
      <name val="Georgia Pro"/>
      <family val="1"/>
    </font>
    <font>
      <i/>
      <sz val="15"/>
      <color theme="1"/>
      <name val="Georgia Pro"/>
      <family val="1"/>
    </font>
    <font>
      <sz val="12"/>
      <name val="Georgia Pro"/>
      <family val="1"/>
    </font>
    <font>
      <i/>
      <sz val="16"/>
      <name val="Georgia Pro"/>
      <family val="1"/>
    </font>
    <font>
      <i/>
      <u/>
      <sz val="18"/>
      <color theme="1"/>
      <name val="Georgia Pro"/>
      <family val="1"/>
    </font>
    <font>
      <b/>
      <sz val="22"/>
      <name val="Georgia Pro"/>
      <family val="1"/>
    </font>
    <font>
      <i/>
      <sz val="11"/>
      <color theme="1"/>
      <name val="Arial"/>
      <family val="2"/>
      <scheme val="minor"/>
    </font>
    <font>
      <sz val="11"/>
      <color rgb="FF006100"/>
      <name val="Arial"/>
      <family val="2"/>
      <scheme val="minor"/>
    </font>
    <font>
      <sz val="11"/>
      <color rgb="FF9C0006"/>
      <name val="Arial"/>
      <family val="2"/>
      <scheme val="minor"/>
    </font>
    <font>
      <i/>
      <sz val="11"/>
      <color theme="1"/>
      <name val="Arial"/>
      <family val="2"/>
    </font>
    <font>
      <sz val="11"/>
      <color rgb="FF002060"/>
      <name val="Georgia Pro"/>
      <family val="1"/>
    </font>
    <font>
      <b/>
      <i/>
      <u/>
      <sz val="39"/>
      <color theme="1"/>
      <name val="Georgia Pro"/>
      <family val="1"/>
    </font>
    <font>
      <b/>
      <u/>
      <sz val="39"/>
      <color theme="1"/>
      <name val="Georgia Pro"/>
      <family val="1"/>
    </font>
    <font>
      <i/>
      <sz val="15"/>
      <color rgb="FFCC3300"/>
      <name val="Georgia Pro"/>
      <family val="1"/>
    </font>
    <font>
      <b/>
      <i/>
      <u/>
      <sz val="25"/>
      <color theme="1"/>
      <name val="Georgia Pro"/>
      <family val="1"/>
    </font>
    <font>
      <b/>
      <i/>
      <sz val="14"/>
      <name val="Georgia Pro"/>
      <family val="1"/>
    </font>
    <font>
      <sz val="11"/>
      <color rgb="FF006100"/>
      <name val="Georgia Pro"/>
      <family val="1"/>
    </font>
    <font>
      <sz val="11"/>
      <color rgb="FF9C0006"/>
      <name val="Georgia Pro"/>
      <family val="1"/>
    </font>
    <font>
      <sz val="15"/>
      <color theme="1"/>
      <name val="Arial"/>
      <family val="2"/>
      <scheme val="minor"/>
    </font>
    <font>
      <strike/>
      <sz val="11"/>
      <color theme="1"/>
      <name val="Georgia Pro"/>
      <family val="1"/>
    </font>
    <font>
      <strike/>
      <sz val="11"/>
      <color rgb="FF002060"/>
      <name val="Georgia Pro"/>
      <family val="1"/>
    </font>
    <font>
      <b/>
      <vertAlign val="superscript"/>
      <sz val="13"/>
      <color theme="1"/>
      <name val="Georgia Pro"/>
      <family val="1"/>
    </font>
    <font>
      <vertAlign val="superscript"/>
      <sz val="12"/>
      <color theme="1"/>
      <name val="Georgia Pro"/>
      <family val="1"/>
    </font>
    <font>
      <b/>
      <sz val="12"/>
      <name val="Georgia Pro"/>
      <family val="1"/>
    </font>
    <font>
      <sz val="20"/>
      <name val="Georgia Pro"/>
      <family val="1"/>
    </font>
    <font>
      <b/>
      <i/>
      <sz val="25"/>
      <color theme="1"/>
      <name val="Arial"/>
      <family val="2"/>
      <scheme val="minor"/>
    </font>
    <font>
      <vertAlign val="subscript"/>
      <sz val="12"/>
      <color theme="1"/>
      <name val="Georgia Pro"/>
      <family val="1"/>
    </font>
    <font>
      <b/>
      <sz val="20"/>
      <name val="Georgia Pro"/>
      <family val="1"/>
    </font>
    <font>
      <b/>
      <sz val="16"/>
      <name val="Georgia Pro"/>
      <family val="1"/>
    </font>
    <font>
      <i/>
      <sz val="11"/>
      <name val="Georgia Pro"/>
      <family val="1"/>
    </font>
    <font>
      <sz val="10"/>
      <color rgb="FFFF0000"/>
      <name val="Georgia Pro"/>
      <family val="1"/>
    </font>
    <font>
      <b/>
      <i/>
      <sz val="11"/>
      <color theme="1"/>
      <name val="Arial"/>
      <family val="2"/>
      <scheme val="minor"/>
    </font>
    <font>
      <sz val="11"/>
      <color theme="0"/>
      <name val="Arial"/>
      <family val="2"/>
      <scheme val="minor"/>
    </font>
    <font>
      <b/>
      <i/>
      <sz val="20"/>
      <color rgb="FFFF0000"/>
      <name val="Georgia Pro"/>
      <family val="1"/>
    </font>
    <font>
      <strike/>
      <sz val="11"/>
      <color theme="1"/>
      <name val="Arial"/>
      <family val="2"/>
      <scheme val="minor"/>
    </font>
    <font>
      <b/>
      <sz val="25"/>
      <color theme="1"/>
      <name val="Arial"/>
      <family val="2"/>
      <scheme val="minor"/>
    </font>
    <font>
      <b/>
      <i/>
      <u/>
      <sz val="25"/>
      <color theme="1"/>
      <name val="Arial"/>
      <family val="2"/>
      <scheme val="minor"/>
    </font>
    <font>
      <b/>
      <strike/>
      <sz val="11"/>
      <color theme="1"/>
      <name val="Arial"/>
      <family val="2"/>
      <scheme val="minor"/>
    </font>
    <font>
      <b/>
      <sz val="35"/>
      <color rgb="FFFF0000"/>
      <name val="Arial"/>
      <family val="2"/>
      <scheme val="minor"/>
    </font>
    <font>
      <b/>
      <u/>
      <sz val="11"/>
      <color theme="1"/>
      <name val="Arial"/>
      <family val="2"/>
      <scheme val="minor"/>
    </font>
    <font>
      <sz val="35"/>
      <name val="Georgia Pro"/>
      <family val="1"/>
    </font>
    <font>
      <b/>
      <i/>
      <u/>
      <sz val="35"/>
      <color theme="1"/>
      <name val="Georgia Pro"/>
      <family val="1"/>
    </font>
    <font>
      <b/>
      <u/>
      <sz val="35"/>
      <color theme="1"/>
      <name val="Georgia Pro"/>
      <family val="1"/>
    </font>
    <font>
      <sz val="35"/>
      <color theme="1"/>
      <name val="Arial"/>
      <family val="2"/>
      <scheme val="minor"/>
    </font>
    <font>
      <sz val="16"/>
      <name val="Arial"/>
      <family val="2"/>
      <scheme val="minor"/>
    </font>
    <font>
      <sz val="16"/>
      <color theme="1"/>
      <name val="Arial"/>
      <family val="2"/>
      <scheme val="minor"/>
    </font>
    <font>
      <sz val="12"/>
      <name val="Arial"/>
      <family val="2"/>
      <scheme val="minor"/>
    </font>
    <font>
      <vertAlign val="superscript"/>
      <sz val="12"/>
      <name val="Georgia Pro"/>
      <family val="1"/>
    </font>
    <font>
      <i/>
      <sz val="14"/>
      <color theme="1"/>
      <name val="Georgia Pro"/>
      <family val="1"/>
    </font>
    <font>
      <i/>
      <vertAlign val="superscript"/>
      <sz val="14"/>
      <color theme="1"/>
      <name val="Georgia Pro"/>
      <family val="1"/>
    </font>
    <font>
      <b/>
      <sz val="17"/>
      <color theme="1"/>
      <name val="Georgia Pro"/>
      <family val="1"/>
    </font>
    <font>
      <sz val="17"/>
      <color theme="1"/>
      <name val="Arial"/>
      <family val="2"/>
      <scheme val="minor"/>
    </font>
    <font>
      <b/>
      <sz val="11"/>
      <color rgb="FFFF0000"/>
      <name val="Arial"/>
      <family val="2"/>
      <scheme val="minor"/>
    </font>
    <font>
      <b/>
      <sz val="12"/>
      <color rgb="FFFF0000"/>
      <name val="Georgia Pro"/>
      <family val="1"/>
    </font>
    <font>
      <b/>
      <i/>
      <sz val="10"/>
      <color theme="1"/>
      <name val="Georgia Pro"/>
      <family val="1"/>
    </font>
    <font>
      <i/>
      <sz val="9"/>
      <color theme="1"/>
      <name val="Georgia Pro"/>
      <family val="1"/>
    </font>
    <font>
      <b/>
      <i/>
      <sz val="9"/>
      <color theme="1"/>
      <name val="Georgia Pro"/>
      <family val="1"/>
    </font>
    <font>
      <b/>
      <i/>
      <sz val="9"/>
      <color rgb="FFFF0066"/>
      <name val="Georgia Pro"/>
      <family val="1"/>
    </font>
    <font>
      <b/>
      <i/>
      <sz val="17"/>
      <color rgb="FF9900CC"/>
      <name val="Georgia Pro"/>
      <family val="1"/>
    </font>
    <font>
      <sz val="11"/>
      <color rgb="FF9900CC"/>
      <name val="Georgia Pro"/>
      <family val="1"/>
    </font>
    <font>
      <b/>
      <i/>
      <sz val="15"/>
      <color rgb="FFCC3300"/>
      <name val="Georgia Pro"/>
      <family val="1"/>
    </font>
    <font>
      <b/>
      <sz val="18"/>
      <color rgb="FFFF0000"/>
      <name val="Georgia Pro"/>
      <family val="1"/>
    </font>
    <font>
      <b/>
      <i/>
      <sz val="11"/>
      <color theme="9" tint="-0.249977111117893"/>
      <name val="Georgia Pro"/>
      <family val="1"/>
    </font>
    <font>
      <b/>
      <i/>
      <sz val="17"/>
      <name val="Georgia Pro"/>
      <family val="1"/>
    </font>
    <font>
      <b/>
      <sz val="18"/>
      <color rgb="FFFF0066"/>
      <name val="Georgia Pro"/>
      <family val="1"/>
    </font>
    <font>
      <b/>
      <i/>
      <sz val="11"/>
      <color rgb="FF336699"/>
      <name val="Georgia Pro"/>
      <family val="1"/>
    </font>
    <font>
      <b/>
      <i/>
      <sz val="9"/>
      <color rgb="FF002060"/>
      <name val="Georgia Pro"/>
      <family val="1"/>
    </font>
    <font>
      <vertAlign val="superscript"/>
      <sz val="11"/>
      <color rgb="FF002060"/>
      <name val="Georgia Pro"/>
      <family val="1"/>
    </font>
    <font>
      <b/>
      <sz val="16"/>
      <name val="Shonar Bangla"/>
      <family val="1"/>
    </font>
    <font>
      <b/>
      <sz val="16"/>
      <color theme="1"/>
      <name val="Shonar Bangla"/>
      <family val="1"/>
    </font>
    <font>
      <b/>
      <sz val="20"/>
      <color theme="0"/>
      <name val="Georgia Pro"/>
      <family val="1"/>
    </font>
    <font>
      <sz val="14"/>
      <color theme="0"/>
      <name val="Georgia Pro"/>
      <family val="1"/>
    </font>
    <font>
      <b/>
      <sz val="14"/>
      <color theme="0"/>
      <name val="Georgia Pro"/>
      <family val="1"/>
    </font>
    <font>
      <u/>
      <sz val="14"/>
      <color theme="0"/>
      <name val="Georgia Pro"/>
      <family val="1"/>
    </font>
    <font>
      <b/>
      <i/>
      <sz val="18"/>
      <name val="Georgia Pro"/>
      <family val="1"/>
    </font>
    <font>
      <b/>
      <sz val="22"/>
      <color rgb="FFFF0066"/>
      <name val="Georgia Pro"/>
      <family val="1"/>
    </font>
    <font>
      <b/>
      <i/>
      <sz val="12"/>
      <color rgb="FF0070C0"/>
      <name val="Georgia Pro"/>
      <family val="1"/>
    </font>
    <font>
      <u/>
      <sz val="11"/>
      <name val="Arial"/>
      <family val="2"/>
      <scheme val="minor"/>
    </font>
    <font>
      <b/>
      <sz val="11"/>
      <color theme="8" tint="-0.499984740745262"/>
      <name val="Georgia Pro"/>
      <family val="1"/>
    </font>
    <font>
      <b/>
      <i/>
      <strike/>
      <sz val="25"/>
      <color theme="1"/>
      <name val="Georgia Pro"/>
      <family val="1"/>
    </font>
    <font>
      <b/>
      <sz val="25"/>
      <color rgb="FFCC0066"/>
      <name val="Georgia Pro"/>
      <family val="1"/>
    </font>
    <font>
      <b/>
      <sz val="11"/>
      <color rgb="FFCC0066"/>
      <name val="Georgia Pro"/>
      <family val="1"/>
    </font>
    <font>
      <b/>
      <u/>
      <sz val="11"/>
      <name val="Georgia Pro"/>
      <family val="1"/>
    </font>
    <font>
      <i/>
      <sz val="35"/>
      <color theme="1"/>
      <name val="Georgia Pro"/>
      <family val="1"/>
    </font>
    <font>
      <b/>
      <i/>
      <sz val="20"/>
      <name val="Georgia Pro"/>
      <family val="1"/>
    </font>
    <font>
      <sz val="7"/>
      <color theme="1"/>
      <name val="Georgia Pro"/>
      <family val="1"/>
    </font>
    <font>
      <b/>
      <i/>
      <sz val="15"/>
      <color theme="1"/>
      <name val="Georgia Pro"/>
      <family val="1"/>
    </font>
    <font>
      <b/>
      <i/>
      <u/>
      <sz val="10"/>
      <color theme="1"/>
      <name val="Georgia Pro"/>
      <family val="1"/>
    </font>
    <font>
      <b/>
      <sz val="13"/>
      <color rgb="FFD18461"/>
      <name val="Georgia Pro"/>
      <family val="1"/>
    </font>
    <font>
      <i/>
      <u/>
      <sz val="13"/>
      <color theme="1"/>
      <name val="Georgia Pro"/>
      <family val="1"/>
    </font>
    <font>
      <b/>
      <i/>
      <sz val="14"/>
      <color rgb="FF002060"/>
      <name val="Georgia Pro"/>
      <family val="1"/>
    </font>
    <font>
      <sz val="10"/>
      <color theme="1"/>
      <name val="Arial"/>
      <family val="2"/>
      <scheme val="minor"/>
    </font>
    <font>
      <i/>
      <sz val="8"/>
      <color theme="1"/>
      <name val="Georgia Pro"/>
      <family val="1"/>
    </font>
    <font>
      <sz val="8"/>
      <color theme="1"/>
      <name val="Georgia Pro"/>
      <family val="1"/>
    </font>
    <font>
      <i/>
      <sz val="8"/>
      <color theme="1"/>
      <name val="Arial"/>
      <family val="2"/>
      <scheme val="minor"/>
    </font>
    <font>
      <b/>
      <sz val="9"/>
      <color theme="1"/>
      <name val="Georgia Pro"/>
      <family val="1"/>
    </font>
    <font>
      <b/>
      <sz val="8"/>
      <color theme="1"/>
      <name val="Georgia Pro"/>
      <family val="1"/>
    </font>
    <font>
      <b/>
      <i/>
      <u/>
      <sz val="11"/>
      <color rgb="FFCC3300"/>
      <name val="Georgia Pro"/>
      <family val="1"/>
    </font>
    <font>
      <i/>
      <sz val="11"/>
      <color rgb="FFF2ECDA"/>
      <name val="Georgia Pro"/>
      <family val="1"/>
    </font>
    <font>
      <sz val="11"/>
      <color rgb="FFF2ECDA"/>
      <name val="Georgia Pro"/>
      <family val="1"/>
    </font>
    <font>
      <b/>
      <sz val="11"/>
      <color rgb="FFF2ECDA"/>
      <name val="Georgia Pro"/>
      <family val="1"/>
    </font>
    <font>
      <b/>
      <sz val="35"/>
      <color rgb="FFC00000"/>
      <name val="Georgia Pro"/>
      <family val="1"/>
    </font>
    <font>
      <b/>
      <sz val="16"/>
      <color rgb="FFFF0066"/>
      <name val="Georgia Pro"/>
      <family val="1"/>
    </font>
    <font>
      <sz val="16"/>
      <name val="Georgia Pro"/>
      <family val="1"/>
    </font>
    <font>
      <sz val="1"/>
      <color theme="1"/>
      <name val="Georgia Pro"/>
      <family val="1"/>
    </font>
    <font>
      <sz val="1"/>
      <color theme="6" tint="0.59999389629810485"/>
      <name val="Georgia Pro"/>
      <family val="1"/>
    </font>
    <font>
      <sz val="1.5"/>
      <color theme="6" tint="0.39997558519241921"/>
      <name val="Georgia Pro"/>
      <family val="1"/>
    </font>
    <font>
      <sz val="11"/>
      <color theme="6" tint="0.79998168889431442"/>
      <name val="Georgia Pro"/>
      <family val="1"/>
    </font>
    <font>
      <sz val="1.5"/>
      <color theme="6" tint="0.59999389629810485"/>
      <name val="Georgia Pro"/>
      <family val="1"/>
    </font>
    <font>
      <sz val="1.5"/>
      <color theme="6" tint="0.79998168889431442"/>
      <name val="Georgia Pro"/>
      <family val="1"/>
    </font>
    <font>
      <b/>
      <sz val="1.5"/>
      <color theme="0" tint="-0.14999847407452621"/>
      <name val="Georgia Pro"/>
      <family val="1"/>
    </font>
    <font>
      <sz val="1.5"/>
      <color theme="1" tint="0.14999847407452621"/>
      <name val="Georgia Pro"/>
      <family val="1"/>
    </font>
  </fonts>
  <fills count="332">
    <fill>
      <patternFill patternType="none"/>
    </fill>
    <fill>
      <patternFill patternType="gray125"/>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E1E1"/>
        <bgColor indexed="64"/>
      </patternFill>
    </fill>
    <fill>
      <patternFill patternType="solid">
        <fgColor rgb="FFFFCDCD"/>
        <bgColor indexed="64"/>
      </patternFill>
    </fill>
    <fill>
      <patternFill patternType="solid">
        <fgColor theme="6" tint="0.59999389629810485"/>
        <bgColor indexed="64"/>
      </patternFill>
    </fill>
    <fill>
      <patternFill patternType="solid">
        <fgColor rgb="FFE9DFC1"/>
        <bgColor indexed="64"/>
      </patternFill>
    </fill>
    <fill>
      <patternFill patternType="solid">
        <fgColor rgb="FFF2ECDA"/>
        <bgColor indexed="64"/>
      </patternFill>
    </fill>
    <fill>
      <patternFill patternType="solid">
        <fgColor rgb="FFFCE7D0"/>
        <bgColor indexed="64"/>
      </patternFill>
    </fill>
    <fill>
      <patternFill patternType="solid">
        <fgColor rgb="FFC6E1E1"/>
        <bgColor indexed="64"/>
      </patternFill>
    </fill>
    <fill>
      <patternFill patternType="solid">
        <fgColor rgb="FFA5D0CF"/>
        <bgColor indexed="64"/>
      </patternFill>
    </fill>
    <fill>
      <patternFill patternType="solid">
        <fgColor rgb="FFC0DEDD"/>
        <bgColor indexed="64"/>
      </patternFill>
    </fill>
    <fill>
      <patternFill patternType="solid">
        <fgColor rgb="FFEAFCFC"/>
        <bgColor indexed="64"/>
      </patternFill>
    </fill>
    <fill>
      <patternFill patternType="solid">
        <fgColor rgb="FFD8E9F4"/>
        <bgColor indexed="64"/>
      </patternFill>
    </fill>
    <fill>
      <patternFill patternType="solid">
        <fgColor rgb="FF60A4D2"/>
        <bgColor indexed="64"/>
      </patternFill>
    </fill>
    <fill>
      <patternFill patternType="solid">
        <fgColor rgb="FFB1D4EB"/>
        <bgColor indexed="64"/>
      </patternFill>
    </fill>
    <fill>
      <patternFill patternType="solid">
        <fgColor theme="2"/>
        <bgColor indexed="64"/>
      </patternFill>
    </fill>
    <fill>
      <patternFill patternType="solid">
        <fgColor rgb="FFEDEDED"/>
        <bgColor indexed="64"/>
      </patternFill>
    </fill>
    <fill>
      <patternFill patternType="solid">
        <fgColor theme="1"/>
        <bgColor indexed="64"/>
      </patternFill>
    </fill>
    <fill>
      <patternFill patternType="solid">
        <fgColor theme="0" tint="-0.249977111117893"/>
        <bgColor indexed="64"/>
      </patternFill>
    </fill>
    <fill>
      <patternFill patternType="solid">
        <fgColor rgb="FFB3D6E3"/>
        <bgColor indexed="64"/>
      </patternFill>
    </fill>
    <fill>
      <patternFill patternType="solid">
        <fgColor rgb="FFF6F4F4"/>
        <bgColor indexed="64"/>
      </patternFill>
    </fill>
    <fill>
      <patternFill patternType="solid">
        <fgColor rgb="FFEEEAEA"/>
        <bgColor indexed="64"/>
      </patternFill>
    </fill>
    <fill>
      <patternFill patternType="solid">
        <fgColor rgb="FFE0D8D8"/>
        <bgColor indexed="64"/>
      </patternFill>
    </fill>
    <fill>
      <patternFill patternType="solid">
        <fgColor rgb="FFF2E0B4"/>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gray0625">
        <fgColor theme="0"/>
        <bgColor theme="0"/>
      </patternFill>
    </fill>
    <fill>
      <patternFill patternType="solid">
        <fgColor theme="8" tint="0.79998168889431442"/>
        <bgColor indexed="64"/>
      </patternFill>
    </fill>
    <fill>
      <patternFill patternType="solid">
        <fgColor rgb="FFDDECEF"/>
        <bgColor indexed="64"/>
      </patternFill>
    </fill>
    <fill>
      <patternFill patternType="solid">
        <fgColor rgb="FFDFE8DC"/>
        <bgColor indexed="64"/>
      </patternFill>
    </fill>
    <fill>
      <patternFill patternType="solid">
        <fgColor rgb="FFE9E7E3"/>
        <bgColor indexed="64"/>
      </patternFill>
    </fill>
    <fill>
      <patternFill patternType="solid">
        <fgColor rgb="FFB3BFC9"/>
        <bgColor indexed="64"/>
      </patternFill>
    </fill>
    <fill>
      <patternFill patternType="solid">
        <fgColor theme="4" tint="0.79998168889431442"/>
        <bgColor indexed="64"/>
      </patternFill>
    </fill>
    <fill>
      <patternFill patternType="solid">
        <fgColor rgb="FFCCECFF"/>
        <bgColor indexed="64"/>
      </patternFill>
    </fill>
    <fill>
      <patternFill patternType="solid">
        <fgColor rgb="FF00B0F0"/>
        <bgColor indexed="64"/>
      </patternFill>
    </fill>
    <fill>
      <patternFill patternType="solid">
        <fgColor rgb="FFBC688C"/>
        <bgColor indexed="64"/>
      </patternFill>
    </fill>
    <fill>
      <patternFill patternType="solid">
        <fgColor rgb="FF44829E"/>
        <bgColor indexed="64"/>
      </patternFill>
    </fill>
    <fill>
      <patternFill patternType="solid">
        <fgColor rgb="FF5C8E7A"/>
        <bgColor indexed="64"/>
      </patternFill>
    </fill>
    <fill>
      <patternFill patternType="solid">
        <fgColor rgb="FFECECEC"/>
        <bgColor indexed="64"/>
      </patternFill>
    </fill>
    <fill>
      <patternFill patternType="solid">
        <fgColor rgb="FFEF7D98"/>
        <bgColor indexed="64"/>
      </patternFill>
    </fill>
    <fill>
      <patternFill patternType="solid">
        <fgColor theme="8" tint="0.39997558519241921"/>
        <bgColor indexed="64"/>
      </patternFill>
    </fill>
    <fill>
      <patternFill patternType="solid">
        <fgColor rgb="FFB9E1ED"/>
        <bgColor indexed="64"/>
      </patternFill>
    </fill>
    <fill>
      <patternFill patternType="solid">
        <fgColor theme="8" tint="0.59999389629810485"/>
        <bgColor indexed="64"/>
      </patternFill>
    </fill>
    <fill>
      <patternFill patternType="solid">
        <fgColor rgb="FFC8E9EA"/>
        <bgColor indexed="64"/>
      </patternFill>
    </fill>
    <fill>
      <patternFill patternType="solid">
        <fgColor rgb="FF90CA90"/>
        <bgColor indexed="64"/>
      </patternFill>
    </fill>
    <fill>
      <patternFill patternType="solid">
        <fgColor theme="9" tint="0.39997558519241921"/>
        <bgColor indexed="64"/>
      </patternFill>
    </fill>
    <fill>
      <patternFill patternType="solid">
        <fgColor rgb="FF66CCFF"/>
        <bgColor indexed="64"/>
      </patternFill>
    </fill>
    <fill>
      <patternFill patternType="solid">
        <fgColor rgb="FF7DDF9B"/>
        <bgColor indexed="64"/>
      </patternFill>
    </fill>
    <fill>
      <patternFill patternType="solid">
        <fgColor rgb="FFBCB3BD"/>
        <bgColor indexed="64"/>
      </patternFill>
    </fill>
    <fill>
      <patternFill patternType="solid">
        <fgColor rgb="FFFCD0D0"/>
        <bgColor indexed="64"/>
      </patternFill>
    </fill>
    <fill>
      <patternFill patternType="solid">
        <fgColor rgb="FFF5BEB5"/>
        <bgColor indexed="64"/>
      </patternFill>
    </fill>
    <fill>
      <patternFill patternType="solid">
        <fgColor rgb="FFA6F0BD"/>
        <bgColor indexed="64"/>
      </patternFill>
    </fill>
    <fill>
      <patternFill patternType="solid">
        <fgColor rgb="FFBCE6C4"/>
        <bgColor indexed="64"/>
      </patternFill>
    </fill>
    <fill>
      <patternFill patternType="solid">
        <fgColor rgb="FFD5EFC3"/>
        <bgColor indexed="64"/>
      </patternFill>
    </fill>
    <fill>
      <patternFill patternType="solid">
        <fgColor rgb="FFF27D7A"/>
        <bgColor indexed="64"/>
      </patternFill>
    </fill>
    <fill>
      <patternFill patternType="solid">
        <fgColor rgb="FFFC9E9C"/>
        <bgColor indexed="64"/>
      </patternFill>
    </fill>
    <fill>
      <patternFill patternType="solid">
        <fgColor rgb="FFFFFF7D"/>
        <bgColor indexed="64"/>
      </patternFill>
    </fill>
    <fill>
      <patternFill patternType="solid">
        <fgColor rgb="FFF4E784"/>
        <bgColor indexed="64"/>
      </patternFill>
    </fill>
    <fill>
      <patternFill patternType="solid">
        <fgColor rgb="FFE3E38D"/>
        <bgColor indexed="64"/>
      </patternFill>
    </fill>
    <fill>
      <patternFill patternType="solid">
        <fgColor rgb="FFE4DCE2"/>
        <bgColor indexed="64"/>
      </patternFill>
    </fill>
    <fill>
      <patternFill patternType="solid">
        <fgColor rgb="FFDED0DE"/>
        <bgColor indexed="64"/>
      </patternFill>
    </fill>
    <fill>
      <patternFill patternType="solid">
        <fgColor rgb="FFA0CCDC"/>
        <bgColor indexed="64"/>
      </patternFill>
    </fill>
    <fill>
      <patternFill patternType="solid">
        <fgColor rgb="FFB0CCC1"/>
        <bgColor indexed="64"/>
      </patternFill>
    </fill>
    <fill>
      <patternFill patternType="solid">
        <fgColor rgb="FFBEB994"/>
        <bgColor indexed="64"/>
      </patternFill>
    </fill>
    <fill>
      <patternFill patternType="solid">
        <fgColor rgb="FFD5D2FA"/>
        <bgColor indexed="64"/>
      </patternFill>
    </fill>
    <fill>
      <patternFill patternType="solid">
        <fgColor theme="5" tint="0.59999389629810485"/>
        <bgColor indexed="64"/>
      </patternFill>
    </fill>
    <fill>
      <patternFill patternType="solid">
        <fgColor rgb="FFC7C7C7"/>
        <bgColor indexed="64"/>
      </patternFill>
    </fill>
    <fill>
      <patternFill patternType="solid">
        <fgColor rgb="FFE2DDCC"/>
        <bgColor indexed="64"/>
      </patternFill>
    </fill>
    <fill>
      <patternFill patternType="solid">
        <fgColor theme="9" tint="0.59999389629810485"/>
        <bgColor indexed="64"/>
      </patternFill>
    </fill>
    <fill>
      <patternFill patternType="solid">
        <fgColor rgb="FF8A8632"/>
        <bgColor indexed="64"/>
      </patternFill>
    </fill>
    <fill>
      <patternFill patternType="solid">
        <fgColor rgb="FFE7E200"/>
        <bgColor indexed="64"/>
      </patternFill>
    </fill>
    <fill>
      <patternFill patternType="solid">
        <fgColor rgb="FFD3C3D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E87878"/>
        <bgColor indexed="64"/>
      </patternFill>
    </fill>
    <fill>
      <patternFill patternType="solid">
        <fgColor rgb="FFCEC2D6"/>
        <bgColor indexed="64"/>
      </patternFill>
    </fill>
    <fill>
      <patternFill patternType="solid">
        <fgColor rgb="FFF1EADF"/>
        <bgColor indexed="64"/>
      </patternFill>
    </fill>
    <fill>
      <patternFill patternType="solid">
        <fgColor rgb="FFDFD3DE"/>
        <bgColor indexed="64"/>
      </patternFill>
    </fill>
    <fill>
      <patternFill patternType="solid">
        <fgColor rgb="FFFF9999"/>
        <bgColor indexed="64"/>
      </patternFill>
    </fill>
    <fill>
      <patternFill patternType="solid">
        <fgColor rgb="FF990033"/>
        <bgColor indexed="64"/>
      </patternFill>
    </fill>
    <fill>
      <patternFill patternType="solid">
        <fgColor rgb="FFCBBDD1"/>
        <bgColor indexed="64"/>
      </patternFill>
    </fill>
    <fill>
      <patternFill patternType="solid">
        <fgColor rgb="FFDED6E2"/>
        <bgColor indexed="64"/>
      </patternFill>
    </fill>
    <fill>
      <patternFill patternType="gray0625">
        <fgColor theme="0"/>
        <bgColor rgb="FFFFE1E1"/>
      </patternFill>
    </fill>
    <fill>
      <patternFill patternType="gray0625">
        <fgColor theme="0"/>
        <bgColor rgb="FFD8E9F4"/>
      </patternFill>
    </fill>
    <fill>
      <patternFill patternType="gray0625">
        <fgColor theme="0"/>
        <bgColor rgb="FFC6E1E1"/>
      </patternFill>
    </fill>
    <fill>
      <patternFill patternType="solid">
        <fgColor theme="6" tint="0.79998168889431442"/>
        <bgColor theme="0"/>
      </patternFill>
    </fill>
    <fill>
      <patternFill patternType="solid">
        <fgColor rgb="FFE2E2E2"/>
        <bgColor indexed="64"/>
      </patternFill>
    </fill>
    <fill>
      <patternFill patternType="solid">
        <fgColor rgb="FFFCF0D0"/>
        <bgColor indexed="64"/>
      </patternFill>
    </fill>
    <fill>
      <patternFill patternType="solid">
        <fgColor rgb="FFF2EFB4"/>
        <bgColor indexed="64"/>
      </patternFill>
    </fill>
    <fill>
      <patternFill patternType="solid">
        <fgColor rgb="FFF1A9A9"/>
        <bgColor indexed="64"/>
      </patternFill>
    </fill>
    <fill>
      <patternFill patternType="mediumGray">
        <fgColor theme="0"/>
        <bgColor rgb="FFFFE1E1"/>
      </patternFill>
    </fill>
    <fill>
      <patternFill patternType="lightGray">
        <fgColor theme="0"/>
        <bgColor theme="0" tint="-0.14996795556505021"/>
      </patternFill>
    </fill>
    <fill>
      <patternFill patternType="gray0625">
        <fgColor theme="0"/>
        <bgColor theme="6" tint="0.79995117038483843"/>
      </patternFill>
    </fill>
    <fill>
      <patternFill patternType="mediumGray">
        <fgColor theme="0"/>
        <bgColor theme="0" tint="-0.14996795556505021"/>
      </patternFill>
    </fill>
    <fill>
      <patternFill patternType="mediumGray">
        <fgColor theme="0"/>
        <bgColor rgb="FFD8E9F4"/>
      </patternFill>
    </fill>
    <fill>
      <patternFill patternType="mediumGray">
        <fgColor theme="0"/>
        <bgColor rgb="FFC6E1E1"/>
      </patternFill>
    </fill>
    <fill>
      <patternFill patternType="lightGray">
        <fgColor theme="0"/>
        <bgColor rgb="FFD8E9F4"/>
      </patternFill>
    </fill>
    <fill>
      <gradientFill>
        <stop position="0">
          <color rgb="FFD8E9F4"/>
        </stop>
        <stop position="1">
          <color rgb="FFE0D8D8"/>
        </stop>
      </gradientFill>
    </fill>
    <fill>
      <patternFill patternType="solid">
        <fgColor rgb="FFB0BDC8"/>
        <bgColor indexed="64"/>
      </patternFill>
    </fill>
    <fill>
      <patternFill patternType="lightGray">
        <fgColor theme="0"/>
        <bgColor rgb="FFFFE1E1"/>
      </patternFill>
    </fill>
    <fill>
      <gradientFill>
        <stop position="0">
          <color rgb="FFFFE1E1"/>
        </stop>
        <stop position="1">
          <color rgb="FFE0D8D8"/>
        </stop>
      </gradientFill>
    </fill>
    <fill>
      <patternFill patternType="mediumGray">
        <fgColor theme="0"/>
        <bgColor theme="0"/>
      </patternFill>
    </fill>
    <fill>
      <patternFill patternType="lightGray">
        <fgColor theme="0"/>
        <bgColor rgb="FFC6E1E1"/>
      </patternFill>
    </fill>
    <fill>
      <gradientFill>
        <stop position="0">
          <color rgb="FFC6E1E1"/>
        </stop>
        <stop position="1">
          <color rgb="FFE0D8D8"/>
        </stop>
      </gradientFill>
    </fill>
    <fill>
      <patternFill patternType="lightGray">
        <fgColor theme="0"/>
        <bgColor rgb="FFF2ECDA"/>
      </patternFill>
    </fill>
    <fill>
      <patternFill patternType="lightGray">
        <fgColor theme="0"/>
        <bgColor rgb="FFB3D6E3"/>
      </patternFill>
    </fill>
    <fill>
      <patternFill patternType="lightGray">
        <fgColor theme="0"/>
        <bgColor rgb="FFFFCDCD"/>
      </patternFill>
    </fill>
    <fill>
      <patternFill patternType="lightGray">
        <fgColor theme="0"/>
        <bgColor rgb="FFA5D0CF"/>
      </patternFill>
    </fill>
    <fill>
      <patternFill patternType="solid">
        <fgColor theme="4" tint="0.39997558519241921"/>
        <bgColor indexed="64"/>
      </patternFill>
    </fill>
    <fill>
      <patternFill patternType="solid">
        <fgColor rgb="FF9999FF"/>
        <bgColor indexed="64"/>
      </patternFill>
    </fill>
    <fill>
      <patternFill patternType="solid">
        <fgColor rgb="FFFF0066"/>
        <bgColor indexed="64"/>
      </patternFill>
    </fill>
    <fill>
      <patternFill patternType="gray0625">
        <fgColor theme="0"/>
        <bgColor theme="6" tint="0.79998168889431442"/>
      </patternFill>
    </fill>
    <fill>
      <patternFill patternType="solid">
        <fgColor rgb="FFE0D8D8"/>
        <bgColor theme="0"/>
      </patternFill>
    </fill>
    <fill>
      <patternFill patternType="solid">
        <fgColor rgb="FFADADAD"/>
        <bgColor indexed="64"/>
      </patternFill>
    </fill>
    <fill>
      <patternFill patternType="solid">
        <fgColor rgb="FFCCCCFF"/>
        <bgColor indexed="64"/>
      </patternFill>
    </fill>
    <fill>
      <patternFill patternType="solid">
        <fgColor rgb="FFD2CFB6"/>
        <bgColor indexed="64"/>
      </patternFill>
    </fill>
    <fill>
      <patternFill patternType="mediumGray">
        <fgColor theme="0"/>
        <bgColor theme="6" tint="0.79992065187536243"/>
      </patternFill>
    </fill>
    <fill>
      <patternFill patternType="lightGray">
        <fgColor theme="0"/>
        <bgColor rgb="FFFCE7D0"/>
      </patternFill>
    </fill>
    <fill>
      <patternFill patternType="mediumGray">
        <fgColor theme="0"/>
        <bgColor rgb="FFF2E0B4"/>
      </patternFill>
    </fill>
    <fill>
      <patternFill patternType="solid">
        <fgColor rgb="FFF1D3B5"/>
        <bgColor indexed="64"/>
      </patternFill>
    </fill>
    <fill>
      <patternFill patternType="lightGray">
        <fgColor theme="0"/>
        <bgColor rgb="FFF1D3B5"/>
      </patternFill>
    </fill>
    <fill>
      <patternFill patternType="lightGray">
        <fgColor theme="0"/>
        <bgColor theme="0"/>
      </patternFill>
    </fill>
    <fill>
      <patternFill patternType="lightGray">
        <fgColor theme="0"/>
        <bgColor rgb="FFF2E0B4"/>
      </patternFill>
    </fill>
    <fill>
      <patternFill patternType="solid">
        <fgColor rgb="FFE2E8BE"/>
        <bgColor indexed="64"/>
      </patternFill>
    </fill>
    <fill>
      <patternFill patternType="solid">
        <fgColor rgb="FFF0F3DD"/>
        <bgColor indexed="64"/>
      </patternFill>
    </fill>
    <fill>
      <patternFill patternType="gray125">
        <fgColor theme="0"/>
        <bgColor rgb="FFEEEAEA"/>
      </patternFill>
    </fill>
    <fill>
      <patternFill patternType="solid">
        <fgColor rgb="FFEACCCF"/>
        <bgColor indexed="64"/>
      </patternFill>
    </fill>
    <fill>
      <patternFill patternType="solid">
        <fgColor rgb="FF9FC7D5"/>
        <bgColor indexed="64"/>
      </patternFill>
    </fill>
    <fill>
      <patternFill patternType="solid">
        <fgColor rgb="FFE1E4E0"/>
        <bgColor indexed="64"/>
      </patternFill>
    </fill>
    <fill>
      <patternFill patternType="gray125">
        <fgColor theme="0"/>
        <bgColor rgb="FFE1E4E0"/>
      </patternFill>
    </fill>
    <fill>
      <patternFill patternType="solid">
        <fgColor rgb="FFB7DFCD"/>
        <bgColor indexed="64"/>
      </patternFill>
    </fill>
    <fill>
      <patternFill patternType="lightGray">
        <fgColor theme="0"/>
        <bgColor rgb="FFD0DBCF"/>
      </patternFill>
    </fill>
    <fill>
      <patternFill patternType="solid">
        <fgColor rgb="FFD9D9D9"/>
        <bgColor indexed="64"/>
      </patternFill>
    </fill>
    <fill>
      <patternFill patternType="solid">
        <fgColor rgb="FFF6F8B6"/>
        <bgColor indexed="64"/>
      </patternFill>
    </fill>
    <fill>
      <patternFill patternType="gray0625">
        <fgColor theme="0"/>
        <bgColor rgb="FFEDEDED"/>
      </patternFill>
    </fill>
    <fill>
      <patternFill patternType="solid">
        <fgColor rgb="FFEDEDED"/>
        <bgColor theme="0"/>
      </patternFill>
    </fill>
    <fill>
      <patternFill patternType="solid">
        <fgColor rgb="FFE4AACD"/>
        <bgColor indexed="64"/>
      </patternFill>
    </fill>
    <fill>
      <patternFill patternType="solid">
        <fgColor rgb="FF93C0E9"/>
        <bgColor indexed="64"/>
      </patternFill>
    </fill>
    <fill>
      <patternFill patternType="solid">
        <fgColor rgb="FF9CD8BB"/>
        <bgColor indexed="64"/>
      </patternFill>
    </fill>
    <fill>
      <patternFill patternType="solid">
        <fgColor rgb="FFF7DDE4"/>
        <bgColor indexed="64"/>
      </patternFill>
    </fill>
    <fill>
      <patternFill patternType="lightGray">
        <fgColor theme="0"/>
        <bgColor rgb="FFEFF6FB"/>
      </patternFill>
    </fill>
    <fill>
      <patternFill patternType="solid">
        <fgColor rgb="FFC2DDF0"/>
        <bgColor indexed="64"/>
      </patternFill>
    </fill>
    <fill>
      <patternFill patternType="mediumGray">
        <fgColor theme="0"/>
        <bgColor rgb="FFEFF6FB"/>
      </patternFill>
    </fill>
    <fill>
      <patternFill patternType="solid">
        <fgColor rgb="FFFFD9D9"/>
        <bgColor indexed="64"/>
      </patternFill>
    </fill>
    <fill>
      <patternFill patternType="lightGray">
        <fgColor theme="0"/>
        <bgColor rgb="FFFFF3F3"/>
      </patternFill>
    </fill>
    <fill>
      <patternFill patternType="lightGray">
        <fgColor theme="0"/>
        <bgColor rgb="FFEBF5F5"/>
      </patternFill>
    </fill>
    <fill>
      <patternFill patternType="solid">
        <fgColor rgb="FFC9C9C9"/>
        <bgColor indexed="64"/>
      </patternFill>
    </fill>
    <fill>
      <patternFill patternType="solid">
        <fgColor rgb="FFFFFFFF"/>
        <bgColor indexed="64"/>
      </patternFill>
    </fill>
    <fill>
      <patternFill patternType="lightGray">
        <fgColor theme="0"/>
        <bgColor rgb="FFE9E3E3"/>
      </patternFill>
    </fill>
    <fill>
      <patternFill patternType="lightGray">
        <fgColor theme="0"/>
        <bgColor theme="0" tint="-4.9989318521683403E-2"/>
      </patternFill>
    </fill>
    <fill>
      <patternFill patternType="lightGray">
        <fgColor theme="0"/>
        <bgColor rgb="FFAC9AA5"/>
      </patternFill>
    </fill>
    <fill>
      <patternFill patternType="darkGray">
        <fgColor theme="0"/>
        <bgColor rgb="FFAC9AA5"/>
      </patternFill>
    </fill>
    <fill>
      <patternFill patternType="solid">
        <fgColor rgb="FFD9E494"/>
        <bgColor indexed="64"/>
      </patternFill>
    </fill>
    <fill>
      <patternFill patternType="lightGray">
        <fgColor theme="0"/>
        <bgColor rgb="FFD9E494"/>
      </patternFill>
    </fill>
    <fill>
      <patternFill patternType="solid">
        <fgColor rgb="FFD5E18F"/>
        <bgColor indexed="64"/>
      </patternFill>
    </fill>
    <fill>
      <patternFill patternType="solid">
        <fgColor rgb="FFEFF4D4"/>
        <bgColor indexed="64"/>
      </patternFill>
    </fill>
    <fill>
      <patternFill patternType="lightGray">
        <fgColor theme="0"/>
        <bgColor rgb="FFEFF4D4"/>
      </patternFill>
    </fill>
    <fill>
      <patternFill patternType="darkGray">
        <fgColor theme="0"/>
        <bgColor rgb="FFCBDC76"/>
      </patternFill>
    </fill>
    <fill>
      <patternFill patternType="lightGray">
        <fgColor theme="0"/>
        <bgColor rgb="FFDCE7A3"/>
      </patternFill>
    </fill>
    <fill>
      <patternFill patternType="solid">
        <fgColor theme="0"/>
        <bgColor theme="0"/>
      </patternFill>
    </fill>
    <fill>
      <patternFill patternType="solid">
        <fgColor rgb="FFAC9AA5"/>
        <bgColor theme="0"/>
      </patternFill>
    </fill>
    <fill>
      <patternFill patternType="solid">
        <fgColor rgb="FFD2EAE9"/>
        <bgColor indexed="64"/>
      </patternFill>
    </fill>
    <fill>
      <patternFill patternType="solid">
        <fgColor rgb="FFE0EEF8"/>
        <bgColor indexed="64"/>
      </patternFill>
    </fill>
    <fill>
      <patternFill patternType="solid">
        <fgColor rgb="FFFFE5E5"/>
        <bgColor indexed="64"/>
      </patternFill>
    </fill>
    <fill>
      <patternFill patternType="solid">
        <fgColor rgb="FFC6EFCE"/>
      </patternFill>
    </fill>
    <fill>
      <patternFill patternType="solid">
        <fgColor rgb="FFFFC7CE"/>
      </patternFill>
    </fill>
    <fill>
      <patternFill patternType="solid">
        <fgColor rgb="FFBDD9C0"/>
        <bgColor indexed="64"/>
      </patternFill>
    </fill>
    <fill>
      <patternFill patternType="solid">
        <fgColor rgb="FFFBFBFB"/>
        <bgColor indexed="64"/>
      </patternFill>
    </fill>
    <fill>
      <patternFill patternType="solid">
        <fgColor rgb="FFDAE2E1"/>
        <bgColor indexed="64"/>
      </patternFill>
    </fill>
    <fill>
      <patternFill patternType="solid">
        <fgColor rgb="FFEEF2F2"/>
        <bgColor indexed="64"/>
      </patternFill>
    </fill>
    <fill>
      <patternFill patternType="solid">
        <fgColor rgb="FF9CB8CA"/>
        <bgColor indexed="64"/>
      </patternFill>
    </fill>
    <fill>
      <patternFill patternType="solid">
        <fgColor rgb="FFF2F1D7"/>
        <bgColor indexed="64"/>
      </patternFill>
    </fill>
    <fill>
      <patternFill patternType="solid">
        <fgColor rgb="FFE6DBCC"/>
        <bgColor indexed="64"/>
      </patternFill>
    </fill>
    <fill>
      <patternFill patternType="lightGray">
        <fgColor theme="0"/>
        <bgColor rgb="FFE6DBCC"/>
      </patternFill>
    </fill>
    <fill>
      <patternFill patternType="solid">
        <fgColor rgb="FFDEDCB8"/>
        <bgColor indexed="64"/>
      </patternFill>
    </fill>
    <fill>
      <patternFill patternType="lightGray">
        <fgColor theme="0"/>
        <bgColor rgb="FFDEDCB8"/>
      </patternFill>
    </fill>
    <fill>
      <patternFill patternType="solid">
        <fgColor rgb="FFF2F8F3"/>
        <bgColor indexed="64"/>
      </patternFill>
    </fill>
    <fill>
      <patternFill patternType="solid">
        <fgColor rgb="FFCDD5CD"/>
        <bgColor indexed="64"/>
      </patternFill>
    </fill>
    <fill>
      <patternFill patternType="solid">
        <fgColor theme="0" tint="-4.9989318521683403E-2"/>
        <bgColor theme="0"/>
      </patternFill>
    </fill>
    <fill>
      <patternFill patternType="solid">
        <fgColor rgb="FFCBDBD5"/>
        <bgColor indexed="64"/>
      </patternFill>
    </fill>
    <fill>
      <patternFill patternType="solid">
        <fgColor rgb="FFDB9999"/>
        <bgColor theme="0"/>
      </patternFill>
    </fill>
    <fill>
      <patternFill patternType="solid">
        <fgColor rgb="FFF2C486"/>
        <bgColor theme="0"/>
      </patternFill>
    </fill>
    <fill>
      <patternFill patternType="solid">
        <fgColor rgb="FFF0A888"/>
        <bgColor theme="0"/>
      </patternFill>
    </fill>
    <fill>
      <patternFill patternType="solid">
        <fgColor rgb="FFB78787"/>
        <bgColor theme="0"/>
      </patternFill>
    </fill>
    <fill>
      <patternFill patternType="solid">
        <fgColor rgb="FFFEF7A0"/>
        <bgColor theme="0"/>
      </patternFill>
    </fill>
    <fill>
      <patternFill patternType="solid">
        <fgColor rgb="FFFEFAC6"/>
        <bgColor theme="0"/>
      </patternFill>
    </fill>
    <fill>
      <patternFill patternType="solid">
        <fgColor rgb="FFFAE5CA"/>
        <bgColor theme="0"/>
      </patternFill>
    </fill>
    <fill>
      <patternFill patternType="solid">
        <fgColor rgb="FFFDF4E7"/>
        <bgColor theme="0"/>
      </patternFill>
    </fill>
    <fill>
      <patternFill patternType="solid">
        <fgColor rgb="FFFAE7CE"/>
        <bgColor theme="0"/>
      </patternFill>
    </fill>
    <fill>
      <patternFill patternType="solid">
        <fgColor rgb="FFA99596"/>
        <bgColor theme="0"/>
      </patternFill>
    </fill>
    <fill>
      <patternFill patternType="solid">
        <fgColor rgb="FFF7D0BF"/>
        <bgColor theme="0"/>
      </patternFill>
    </fill>
    <fill>
      <patternFill patternType="solid">
        <fgColor rgb="FFFAE4DA"/>
        <bgColor theme="0"/>
      </patternFill>
    </fill>
    <fill>
      <patternFill patternType="solid">
        <fgColor rgb="FFECCACA"/>
        <bgColor theme="0"/>
      </patternFill>
    </fill>
    <fill>
      <patternFill patternType="solid">
        <fgColor rgb="FFFEF7A0"/>
        <bgColor indexed="64"/>
      </patternFill>
    </fill>
    <fill>
      <patternFill patternType="solid">
        <fgColor rgb="FFFEFAC6"/>
        <bgColor indexed="64"/>
      </patternFill>
    </fill>
    <fill>
      <patternFill patternType="solid">
        <fgColor rgb="FFF0A888"/>
        <bgColor indexed="64"/>
      </patternFill>
    </fill>
    <fill>
      <patternFill patternType="solid">
        <fgColor rgb="FFDB9999"/>
        <bgColor indexed="64"/>
      </patternFill>
    </fill>
    <fill>
      <patternFill patternType="solid">
        <fgColor rgb="FFB78787"/>
        <bgColor indexed="64"/>
      </patternFill>
    </fill>
    <fill>
      <patternFill patternType="solid">
        <fgColor rgb="FFA99596"/>
        <bgColor indexed="64"/>
      </patternFill>
    </fill>
    <fill>
      <patternFill patternType="solid">
        <fgColor rgb="FFFFCC99"/>
        <bgColor indexed="64"/>
      </patternFill>
    </fill>
    <fill>
      <patternFill patternType="solid">
        <fgColor rgb="FFFC9364"/>
        <bgColor indexed="64"/>
      </patternFill>
    </fill>
    <fill>
      <patternFill patternType="solid">
        <fgColor rgb="FFF48080"/>
        <bgColor indexed="64"/>
      </patternFill>
    </fill>
    <fill>
      <patternFill patternType="solid">
        <fgColor rgb="FFF1E97B"/>
        <bgColor indexed="64"/>
      </patternFill>
    </fill>
    <fill>
      <patternFill patternType="solid">
        <fgColor rgb="FFF58B8B"/>
        <bgColor indexed="64"/>
      </patternFill>
    </fill>
    <fill>
      <patternFill patternType="solid">
        <fgColor rgb="FFFDBA83"/>
        <bgColor indexed="64"/>
      </patternFill>
    </fill>
    <fill>
      <patternFill patternType="solid">
        <fgColor rgb="FFDDEEA0"/>
        <bgColor indexed="64"/>
      </patternFill>
    </fill>
    <fill>
      <patternFill patternType="solid">
        <fgColor rgb="FFE7B0E8"/>
        <bgColor indexed="64"/>
      </patternFill>
    </fill>
    <fill>
      <patternFill patternType="solid">
        <fgColor rgb="FFBCA382"/>
        <bgColor indexed="64"/>
      </patternFill>
    </fill>
    <fill>
      <patternFill patternType="solid">
        <fgColor rgb="FFF6D6F6"/>
        <bgColor indexed="64"/>
      </patternFill>
    </fill>
    <fill>
      <patternFill patternType="solid">
        <fgColor rgb="FFE38F8D"/>
        <bgColor indexed="64"/>
      </patternFill>
    </fill>
    <fill>
      <patternFill patternType="solid">
        <fgColor theme="7" tint="0.39997558519241921"/>
        <bgColor indexed="64"/>
      </patternFill>
    </fill>
    <fill>
      <patternFill patternType="solid">
        <fgColor rgb="FFF4ED62"/>
        <bgColor indexed="64"/>
      </patternFill>
    </fill>
    <fill>
      <patternFill patternType="solid">
        <fgColor rgb="FFF1E97B"/>
        <bgColor theme="0"/>
      </patternFill>
    </fill>
    <fill>
      <patternFill patternType="solid">
        <fgColor rgb="FFF8F4BA"/>
        <bgColor theme="0"/>
      </patternFill>
    </fill>
    <fill>
      <patternFill patternType="solid">
        <fgColor rgb="FFE2EF9F"/>
        <bgColor theme="0"/>
      </patternFill>
    </fill>
    <fill>
      <patternFill patternType="solid">
        <fgColor rgb="FFF2C486"/>
        <bgColor indexed="64"/>
      </patternFill>
    </fill>
    <fill>
      <gradientFill>
        <stop position="0">
          <color rgb="FFF0A888"/>
        </stop>
        <stop position="1">
          <color rgb="FFDB9999"/>
        </stop>
      </gradientFill>
    </fill>
    <fill>
      <patternFill patternType="solid">
        <fgColor rgb="FFC7DCB2"/>
        <bgColor theme="0"/>
      </patternFill>
    </fill>
    <fill>
      <gradientFill>
        <stop position="0">
          <color rgb="FFC7DCB2"/>
        </stop>
        <stop position="1">
          <color rgb="FFE2EF9F"/>
        </stop>
      </gradientFill>
    </fill>
    <fill>
      <patternFill patternType="solid">
        <fgColor rgb="FFC7DCB2"/>
        <bgColor indexed="64"/>
      </patternFill>
    </fill>
    <fill>
      <patternFill patternType="solid">
        <fgColor rgb="FFEB9A8D"/>
        <bgColor indexed="64"/>
      </patternFill>
    </fill>
    <fill>
      <patternFill patternType="solid">
        <fgColor rgb="FFDCE9CF"/>
        <bgColor theme="0"/>
      </patternFill>
    </fill>
    <fill>
      <patternFill patternType="solid">
        <fgColor rgb="FFDCE9CF"/>
        <bgColor indexed="64"/>
      </patternFill>
    </fill>
    <fill>
      <patternFill patternType="solid">
        <fgColor rgb="FFF5EFA5"/>
        <bgColor indexed="64"/>
      </patternFill>
    </fill>
    <fill>
      <patternFill patternType="solid">
        <fgColor rgb="FFF5CF9D"/>
        <bgColor indexed="64"/>
      </patternFill>
    </fill>
    <fill>
      <patternFill patternType="solid">
        <fgColor rgb="FFF1B7AD"/>
        <bgColor indexed="64"/>
      </patternFill>
    </fill>
    <fill>
      <patternFill patternType="solid">
        <fgColor rgb="FFD4B6B6"/>
        <bgColor indexed="64"/>
      </patternFill>
    </fill>
    <fill>
      <patternFill patternType="solid">
        <fgColor rgb="FFC3B5B6"/>
        <bgColor indexed="64"/>
      </patternFill>
    </fill>
    <fill>
      <patternFill patternType="solid">
        <fgColor rgb="FFEEF2F2"/>
        <bgColor theme="0"/>
      </patternFill>
    </fill>
    <fill>
      <patternFill patternType="lightGray">
        <fgColor theme="0"/>
        <bgColor rgb="FFDAE2E1"/>
      </patternFill>
    </fill>
    <fill>
      <patternFill patternType="solid">
        <fgColor rgb="FFE6EFDD"/>
        <bgColor theme="0"/>
      </patternFill>
    </fill>
    <fill>
      <patternFill patternType="solid">
        <fgColor rgb="FFEDF5C3"/>
        <bgColor theme="0"/>
      </patternFill>
    </fill>
    <fill>
      <patternFill patternType="solid">
        <fgColor rgb="FFF5FADE"/>
        <bgColor theme="0"/>
      </patternFill>
    </fill>
    <fill>
      <patternFill patternType="solid">
        <fgColor rgb="FFF7F2B3"/>
        <bgColor theme="0"/>
      </patternFill>
    </fill>
    <fill>
      <patternFill patternType="solid">
        <fgColor rgb="FFFBF9D9"/>
        <bgColor theme="0"/>
      </patternFill>
    </fill>
    <fill>
      <patternFill patternType="lightGray">
        <fgColor theme="0"/>
        <bgColor rgb="FFFBF9D9"/>
      </patternFill>
    </fill>
    <fill>
      <patternFill patternType="solid">
        <fgColor rgb="FFEBC7C7"/>
        <bgColor theme="0"/>
      </patternFill>
    </fill>
    <fill>
      <patternFill patternType="solid">
        <fgColor rgb="FFF4E0E0"/>
        <bgColor theme="0"/>
      </patternFill>
    </fill>
    <fill>
      <patternFill patternType="solid">
        <fgColor rgb="FFD4B6B6"/>
        <bgColor theme="0"/>
      </patternFill>
    </fill>
    <fill>
      <patternFill patternType="solid">
        <fgColor rgb="FFE8D8D8"/>
        <bgColor theme="0"/>
      </patternFill>
    </fill>
    <fill>
      <patternFill patternType="solid">
        <fgColor rgb="FFC3B5B6"/>
        <bgColor theme="0"/>
      </patternFill>
    </fill>
    <fill>
      <patternFill patternType="solid">
        <fgColor rgb="FFDBD3D4"/>
        <bgColor theme="0"/>
      </patternFill>
    </fill>
    <fill>
      <patternFill patternType="solid">
        <fgColor rgb="FFCED4CF"/>
        <bgColor indexed="64"/>
      </patternFill>
    </fill>
    <fill>
      <patternFill patternType="solid">
        <fgColor rgb="FFCED4CF"/>
        <bgColor theme="0"/>
      </patternFill>
    </fill>
    <fill>
      <patternFill patternType="solid">
        <fgColor theme="0" tint="-0.14996795556505021"/>
        <bgColor indexed="64"/>
      </patternFill>
    </fill>
    <fill>
      <patternFill patternType="lightGray">
        <fgColor theme="0"/>
        <bgColor rgb="FFF3F2E5"/>
      </patternFill>
    </fill>
    <fill>
      <patternFill patternType="solid">
        <fgColor rgb="FFE6DBCC"/>
        <bgColor theme="0"/>
      </patternFill>
    </fill>
    <fill>
      <patternFill patternType="solid">
        <fgColor rgb="FFD4BBA8"/>
        <bgColor indexed="64"/>
      </patternFill>
    </fill>
    <fill>
      <patternFill patternType="solid">
        <fgColor rgb="FFFFCCFF"/>
        <bgColor indexed="64"/>
      </patternFill>
    </fill>
    <fill>
      <patternFill patternType="solid">
        <fgColor rgb="FFEDC9E3"/>
        <bgColor indexed="64"/>
      </patternFill>
    </fill>
    <fill>
      <patternFill patternType="solid">
        <fgColor rgb="FFCCCC00"/>
        <bgColor indexed="64"/>
      </patternFill>
    </fill>
    <fill>
      <patternFill patternType="solid">
        <fgColor rgb="FFFF6699"/>
        <bgColor indexed="64"/>
      </patternFill>
    </fill>
    <fill>
      <patternFill patternType="solid">
        <fgColor rgb="FF8BA0DB"/>
        <bgColor indexed="64"/>
      </patternFill>
    </fill>
    <fill>
      <patternFill patternType="solid">
        <fgColor rgb="FFD5F5C3"/>
        <bgColor indexed="64"/>
      </patternFill>
    </fill>
    <fill>
      <patternFill patternType="solid">
        <fgColor rgb="FFFFFF79"/>
        <bgColor indexed="64"/>
      </patternFill>
    </fill>
    <fill>
      <patternFill patternType="solid">
        <fgColor rgb="FFE2EFDA"/>
        <bgColor indexed="64"/>
      </patternFill>
    </fill>
    <fill>
      <patternFill patternType="solid">
        <fgColor rgb="FF99FF66"/>
        <bgColor indexed="64"/>
      </patternFill>
    </fill>
    <fill>
      <patternFill patternType="solid">
        <fgColor rgb="FFE6FEF8"/>
        <bgColor indexed="64"/>
      </patternFill>
    </fill>
    <fill>
      <patternFill patternType="solid">
        <fgColor rgb="FFE7E7C3"/>
        <bgColor indexed="64"/>
      </patternFill>
    </fill>
    <fill>
      <patternFill patternType="solid">
        <fgColor rgb="FFFF0000"/>
        <bgColor indexed="64"/>
      </patternFill>
    </fill>
    <fill>
      <patternFill patternType="solid">
        <fgColor rgb="FFC5F4AE"/>
        <bgColor indexed="64"/>
      </patternFill>
    </fill>
    <fill>
      <patternFill patternType="solid">
        <fgColor rgb="FFBBFDA9"/>
        <bgColor indexed="64"/>
      </patternFill>
    </fill>
    <fill>
      <patternFill patternType="solid">
        <fgColor rgb="FFC3C7C7"/>
        <bgColor indexed="64"/>
      </patternFill>
    </fill>
    <fill>
      <patternFill patternType="solid">
        <fgColor rgb="FFFFD9D9"/>
        <bgColor theme="0"/>
      </patternFill>
    </fill>
    <fill>
      <patternFill patternType="solid">
        <fgColor rgb="FFE4E8E5"/>
        <bgColor theme="0"/>
      </patternFill>
    </fill>
    <fill>
      <patternFill patternType="solid">
        <fgColor rgb="FFE4E8E5"/>
        <bgColor indexed="64"/>
      </patternFill>
    </fill>
    <fill>
      <patternFill patternType="solid">
        <fgColor rgb="FFCCEAE9"/>
        <bgColor indexed="64"/>
      </patternFill>
    </fill>
    <fill>
      <patternFill patternType="solid">
        <fgColor rgb="FFCCEAE9"/>
        <bgColor theme="0"/>
      </patternFill>
    </fill>
    <fill>
      <patternFill patternType="solid">
        <fgColor rgb="FFF78D8D"/>
        <bgColor indexed="64"/>
      </patternFill>
    </fill>
    <fill>
      <patternFill patternType="solid">
        <fgColor rgb="FFD7D3F1"/>
        <bgColor indexed="64"/>
      </patternFill>
    </fill>
    <fill>
      <patternFill patternType="solid">
        <fgColor theme="0" tint="-0.14999847407452621"/>
        <bgColor theme="0"/>
      </patternFill>
    </fill>
    <fill>
      <patternFill patternType="mediumGray">
        <fgColor theme="0"/>
        <bgColor rgb="FFD4BBA8"/>
      </patternFill>
    </fill>
    <fill>
      <patternFill patternType="solid">
        <fgColor rgb="FFD6DCE4"/>
        <bgColor indexed="64"/>
      </patternFill>
    </fill>
    <fill>
      <patternFill patternType="solid">
        <fgColor rgb="FFE3E8ED"/>
        <bgColor indexed="64"/>
      </patternFill>
    </fill>
    <fill>
      <patternFill patternType="solid">
        <fgColor rgb="FFC4D0D2"/>
        <bgColor indexed="64"/>
      </patternFill>
    </fill>
    <fill>
      <patternFill patternType="mediumGray">
        <fgColor theme="0"/>
        <bgColor rgb="FFE0D8D8"/>
      </patternFill>
    </fill>
    <fill>
      <patternFill patternType="solid">
        <fgColor rgb="FFD5F5E6"/>
        <bgColor indexed="64"/>
      </patternFill>
    </fill>
    <fill>
      <patternFill patternType="solid">
        <fgColor rgb="FFFF99CC"/>
        <bgColor indexed="64"/>
      </patternFill>
    </fill>
    <fill>
      <patternFill patternType="solid">
        <fgColor rgb="FFFFCCCC"/>
        <bgColor indexed="64"/>
      </patternFill>
    </fill>
    <fill>
      <patternFill patternType="solid">
        <fgColor rgb="FFE2E2E2"/>
        <bgColor theme="0"/>
      </patternFill>
    </fill>
    <fill>
      <patternFill patternType="mediumGray">
        <fgColor theme="0"/>
        <bgColor rgb="FFD9E0E3"/>
      </patternFill>
    </fill>
    <fill>
      <patternFill patternType="lightGray">
        <fgColor theme="0"/>
        <bgColor rgb="FFE0D8D8"/>
      </patternFill>
    </fill>
    <fill>
      <patternFill patternType="solid">
        <fgColor rgb="FFC9E3B5"/>
        <bgColor indexed="64"/>
      </patternFill>
    </fill>
    <fill>
      <patternFill patternType="solid">
        <fgColor rgb="FFFFF2CC"/>
        <bgColor indexed="64"/>
      </patternFill>
    </fill>
    <fill>
      <patternFill patternType="solid">
        <fgColor rgb="FFE2D796"/>
        <bgColor indexed="64"/>
      </patternFill>
    </fill>
    <fill>
      <patternFill patternType="mediumGray">
        <fgColor theme="0"/>
        <bgColor rgb="FFFCF0D0"/>
      </patternFill>
    </fill>
    <fill>
      <patternFill patternType="mediumGray">
        <fgColor theme="0"/>
        <bgColor rgb="FFEDEDED"/>
      </patternFill>
    </fill>
    <fill>
      <patternFill patternType="solid">
        <fgColor rgb="FFF2F2F2"/>
        <bgColor indexed="64"/>
      </patternFill>
    </fill>
    <fill>
      <patternFill patternType="gray125">
        <fgColor theme="0"/>
        <bgColor theme="0"/>
      </patternFill>
    </fill>
    <fill>
      <patternFill patternType="solid">
        <fgColor rgb="FFFCF1D4"/>
        <bgColor indexed="64"/>
      </patternFill>
    </fill>
    <fill>
      <patternFill patternType="solid">
        <fgColor rgb="FFF9F9B1"/>
        <bgColor indexed="64"/>
      </patternFill>
    </fill>
    <fill>
      <patternFill patternType="solid">
        <fgColor rgb="FFF6F258"/>
        <bgColor indexed="64"/>
      </patternFill>
    </fill>
    <fill>
      <patternFill patternType="solid">
        <fgColor rgb="FFEBF1D7"/>
        <bgColor indexed="64"/>
      </patternFill>
    </fill>
    <fill>
      <patternFill patternType="solid">
        <fgColor rgb="FFCADB99"/>
        <bgColor indexed="64"/>
      </patternFill>
    </fill>
    <fill>
      <patternFill patternType="solid">
        <fgColor rgb="FFABDDB3"/>
        <bgColor indexed="64"/>
      </patternFill>
    </fill>
    <fill>
      <patternFill patternType="solid">
        <fgColor rgb="FFE0C9A0"/>
        <bgColor indexed="64"/>
      </patternFill>
    </fill>
    <fill>
      <patternFill patternType="solid">
        <fgColor rgb="FFE9A9A9"/>
        <bgColor indexed="64"/>
      </patternFill>
    </fill>
    <fill>
      <patternFill patternType="solid">
        <fgColor rgb="FFFACECE"/>
        <bgColor indexed="64"/>
      </patternFill>
    </fill>
    <fill>
      <patternFill patternType="solid">
        <fgColor rgb="FFF8BAD2"/>
        <bgColor indexed="64"/>
      </patternFill>
    </fill>
    <fill>
      <patternFill patternType="solid">
        <fgColor rgb="FFE28297"/>
        <bgColor indexed="64"/>
      </patternFill>
    </fill>
    <fill>
      <patternFill patternType="solid">
        <fgColor rgb="FFFFB7EC"/>
        <bgColor indexed="64"/>
      </patternFill>
    </fill>
    <fill>
      <patternFill patternType="solid">
        <fgColor rgb="FFB1DDC6"/>
        <bgColor indexed="64"/>
      </patternFill>
    </fill>
    <fill>
      <patternFill patternType="solid">
        <fgColor rgb="FFC0F1F2"/>
        <bgColor indexed="64"/>
      </patternFill>
    </fill>
    <fill>
      <patternFill patternType="solid">
        <fgColor rgb="FFC0BBC7"/>
        <bgColor indexed="64"/>
      </patternFill>
    </fill>
    <fill>
      <patternFill patternType="solid">
        <fgColor rgb="FFABA5B5"/>
        <bgColor indexed="64"/>
      </patternFill>
    </fill>
    <fill>
      <patternFill patternType="solid">
        <fgColor rgb="FFFCD4FC"/>
        <bgColor indexed="64"/>
      </patternFill>
    </fill>
    <fill>
      <patternFill patternType="solid">
        <fgColor rgb="FFCEE0E4"/>
        <bgColor indexed="64"/>
      </patternFill>
    </fill>
    <fill>
      <patternFill patternType="solid">
        <fgColor rgb="FFB5F595"/>
        <bgColor indexed="64"/>
      </patternFill>
    </fill>
    <fill>
      <patternFill patternType="solid">
        <fgColor rgb="FFC2DBE4"/>
        <bgColor indexed="64"/>
      </patternFill>
    </fill>
    <fill>
      <patternFill patternType="solid">
        <fgColor rgb="FFFEF5EC"/>
        <bgColor indexed="64"/>
      </patternFill>
    </fill>
    <fill>
      <patternFill patternType="solid">
        <fgColor rgb="FFDCEBF0"/>
        <bgColor indexed="64"/>
      </patternFill>
    </fill>
    <fill>
      <patternFill patternType="solid">
        <fgColor rgb="FFBEE1F8"/>
        <bgColor indexed="64"/>
      </patternFill>
    </fill>
    <fill>
      <patternFill patternType="darkGray">
        <fgColor theme="0"/>
        <bgColor rgb="FFE0D8D8"/>
      </patternFill>
    </fill>
    <fill>
      <patternFill patternType="lightGray">
        <fgColor theme="0"/>
        <bgColor rgb="FFEEEAEA"/>
      </patternFill>
    </fill>
    <fill>
      <patternFill patternType="solid">
        <fgColor rgb="FFE0E0E0"/>
        <bgColor indexed="64"/>
      </patternFill>
    </fill>
    <fill>
      <gradientFill>
        <stop position="0">
          <color rgb="FFE0D8D8"/>
        </stop>
        <stop position="1">
          <color theme="6" tint="0.80001220740379042"/>
        </stop>
      </gradientFill>
    </fill>
    <fill>
      <gradientFill>
        <stop position="0">
          <color rgb="FFE0D8D8"/>
        </stop>
        <stop position="1">
          <color rgb="FFEDEDED"/>
        </stop>
      </gradientFill>
    </fill>
    <fill>
      <patternFill patternType="solid">
        <fgColor rgb="FFFDEFDF"/>
        <bgColor theme="0"/>
      </patternFill>
    </fill>
    <fill>
      <patternFill patternType="mediumGray">
        <fgColor theme="0"/>
        <bgColor theme="6" tint="0.79995117038483843"/>
      </patternFill>
    </fill>
    <fill>
      <patternFill patternType="solid">
        <fgColor rgb="FFF1D3B5"/>
        <bgColor theme="0"/>
      </patternFill>
    </fill>
    <fill>
      <patternFill patternType="solid">
        <fgColor rgb="FFF7F7F7"/>
        <bgColor indexed="64"/>
      </patternFill>
    </fill>
  </fills>
  <borders count="16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right/>
      <top style="medium">
        <color indexed="64"/>
      </top>
      <bottom style="medium">
        <color indexed="64"/>
      </bottom>
      <diagonal/>
    </border>
    <border>
      <left style="medium">
        <color rgb="FFFF0066"/>
      </left>
      <right style="medium">
        <color rgb="FFFF0066"/>
      </right>
      <top style="medium">
        <color rgb="FFFF0066"/>
      </top>
      <bottom style="medium">
        <color rgb="FFFF0066"/>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style="medium">
        <color theme="2" tint="-9.9978637043366805E-2"/>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right/>
      <top/>
      <bottom style="medium">
        <color indexed="64"/>
      </bottom>
      <diagonal/>
    </border>
    <border>
      <left style="medium">
        <color theme="2" tint="-9.9978637043366805E-2"/>
      </left>
      <right style="thin">
        <color theme="2" tint="-9.9978637043366805E-2"/>
      </right>
      <top style="medium">
        <color theme="2" tint="-9.9978637043366805E-2"/>
      </top>
      <bottom style="medium">
        <color theme="2" tint="-9.9978637043366805E-2"/>
      </bottom>
      <diagonal/>
    </border>
    <border>
      <left style="thin">
        <color theme="2" tint="-9.9978637043366805E-2"/>
      </left>
      <right style="medium">
        <color theme="2" tint="-9.9978637043366805E-2"/>
      </right>
      <top style="medium">
        <color theme="2" tint="-9.9978637043366805E-2"/>
      </top>
      <bottom style="medium">
        <color theme="2" tint="-9.9978637043366805E-2"/>
      </bottom>
      <diagonal/>
    </border>
    <border>
      <left style="thin">
        <color indexed="64"/>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right/>
      <top style="thin">
        <color indexed="64"/>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2" tint="-9.9948118533890809E-2"/>
      </left>
      <right style="medium">
        <color indexed="64"/>
      </right>
      <top style="medium">
        <color theme="2" tint="-9.9948118533890809E-2"/>
      </top>
      <bottom style="medium">
        <color theme="2" tint="-9.9948118533890809E-2"/>
      </bottom>
      <diagonal/>
    </border>
    <border>
      <left style="medium">
        <color indexed="64"/>
      </left>
      <right style="medium">
        <color theme="2" tint="-9.9948118533890809E-2"/>
      </right>
      <top style="medium">
        <color theme="2" tint="-9.9948118533890809E-2"/>
      </top>
      <bottom style="medium">
        <color theme="2" tint="-9.9948118533890809E-2"/>
      </bottom>
      <diagonal/>
    </border>
    <border>
      <left/>
      <right/>
      <top style="medium">
        <color theme="2" tint="-9.9978637043366805E-2"/>
      </top>
      <bottom style="medium">
        <color theme="2" tint="-9.9978637043366805E-2"/>
      </bottom>
      <diagonal/>
    </border>
    <border>
      <left style="medium">
        <color theme="2" tint="-9.9917600024414813E-2"/>
      </left>
      <right style="medium">
        <color theme="2" tint="-9.9917600024414813E-2"/>
      </right>
      <top style="medium">
        <color theme="2" tint="-9.9917600024414813E-2"/>
      </top>
      <bottom style="medium">
        <color theme="2" tint="-9.9917600024414813E-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medium">
        <color theme="2" tint="-9.9948118533890809E-2"/>
      </top>
      <bottom style="medium">
        <color theme="2" tint="-9.9948118533890809E-2"/>
      </bottom>
      <diagonal/>
    </border>
    <border>
      <left/>
      <right style="thin">
        <color indexed="64"/>
      </right>
      <top/>
      <bottom style="double">
        <color indexed="64"/>
      </bottom>
      <diagonal/>
    </border>
    <border>
      <left style="medium">
        <color indexed="64"/>
      </left>
      <right/>
      <top/>
      <bottom/>
      <diagonal/>
    </border>
    <border>
      <left/>
      <right style="medium">
        <color indexed="64"/>
      </right>
      <top/>
      <bottom/>
      <diagonal/>
    </border>
    <border>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style="medium">
        <color indexed="64"/>
      </left>
      <right style="medium">
        <color indexed="64"/>
      </right>
      <top/>
      <bottom/>
      <diagonal/>
    </border>
    <border>
      <left style="medium">
        <color rgb="FFFF0066"/>
      </left>
      <right style="medium">
        <color rgb="FFFF0066"/>
      </right>
      <top style="medium">
        <color rgb="FFFF0066"/>
      </top>
      <bottom/>
      <diagonal/>
    </border>
    <border>
      <left style="medium">
        <color rgb="FFFF0066"/>
      </left>
      <right style="medium">
        <color rgb="FFFF0066"/>
      </right>
      <top/>
      <bottom style="medium">
        <color rgb="FFFF0066"/>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auto="1"/>
      </left>
      <right style="thin">
        <color auto="1"/>
      </right>
      <top/>
      <bottom style="double">
        <color indexed="6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rgb="FFFF0066"/>
      </left>
      <right style="medium">
        <color rgb="FFFF0066"/>
      </right>
      <top/>
      <bottom/>
      <diagonal/>
    </border>
    <border>
      <left style="medium">
        <color rgb="FFFF0066"/>
      </left>
      <right style="medium">
        <color rgb="FFFF0066"/>
      </right>
      <top/>
      <bottom style="thin">
        <color auto="1"/>
      </bottom>
      <diagonal/>
    </border>
    <border>
      <left style="medium">
        <color rgb="FFFF0066"/>
      </left>
      <right style="medium">
        <color rgb="FFFF0066"/>
      </right>
      <top style="thin">
        <color auto="1"/>
      </top>
      <bottom style="thin">
        <color auto="1"/>
      </bottom>
      <diagonal/>
    </border>
    <border>
      <left style="medium">
        <color rgb="FFFF0066"/>
      </left>
      <right style="medium">
        <color rgb="FFFF0066"/>
      </right>
      <top/>
      <bottom style="double">
        <color indexed="64"/>
      </bottom>
      <diagonal/>
    </border>
    <border>
      <left style="thick">
        <color rgb="FFFF0066"/>
      </left>
      <right style="thin">
        <color auto="1"/>
      </right>
      <top/>
      <bottom style="thin">
        <color auto="1"/>
      </bottom>
      <diagonal/>
    </border>
    <border>
      <left style="thick">
        <color rgb="FFFF0066"/>
      </left>
      <right style="thin">
        <color auto="1"/>
      </right>
      <top style="thin">
        <color auto="1"/>
      </top>
      <bottom style="thin">
        <color auto="1"/>
      </bottom>
      <diagonal/>
    </border>
    <border>
      <left style="thin">
        <color auto="1"/>
      </left>
      <right style="thick">
        <color rgb="FFFF0066"/>
      </right>
      <top style="thin">
        <color auto="1"/>
      </top>
      <bottom style="thin">
        <color auto="1"/>
      </bottom>
      <diagonal/>
    </border>
    <border>
      <left style="thin">
        <color auto="1"/>
      </left>
      <right/>
      <top/>
      <bottom style="double">
        <color indexed="64"/>
      </bottom>
      <diagonal/>
    </border>
    <border>
      <left style="thick">
        <color rgb="FFFF0066"/>
      </left>
      <right style="thin">
        <color auto="1"/>
      </right>
      <top style="thin">
        <color auto="1"/>
      </top>
      <bottom style="double">
        <color indexed="64"/>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medium">
        <color theme="6" tint="0.39994506668294322"/>
      </right>
      <top style="medium">
        <color theme="6" tint="0.39994506668294322"/>
      </top>
      <bottom/>
      <diagonal/>
    </border>
    <border>
      <left style="medium">
        <color theme="6" tint="0.39994506668294322"/>
      </left>
      <right/>
      <top/>
      <bottom/>
      <diagonal/>
    </border>
    <border>
      <left/>
      <right style="medium">
        <color theme="6" tint="0.39994506668294322"/>
      </right>
      <top/>
      <bottom/>
      <diagonal/>
    </border>
    <border>
      <left style="medium">
        <color theme="6" tint="0.39994506668294322"/>
      </left>
      <right/>
      <top/>
      <bottom style="medium">
        <color theme="6" tint="0.39994506668294322"/>
      </bottom>
      <diagonal/>
    </border>
    <border>
      <left/>
      <right/>
      <top/>
      <bottom style="medium">
        <color theme="6" tint="0.39994506668294322"/>
      </bottom>
      <diagonal/>
    </border>
    <border>
      <left/>
      <right style="medium">
        <color theme="6" tint="0.39994506668294322"/>
      </right>
      <top/>
      <bottom style="medium">
        <color theme="6" tint="0.39994506668294322"/>
      </bottom>
      <diagonal/>
    </border>
    <border>
      <left style="medium">
        <color theme="6" tint="0.39994506668294322"/>
      </left>
      <right/>
      <top style="medium">
        <color theme="6" tint="0.39994506668294322"/>
      </top>
      <bottom style="medium">
        <color theme="6" tint="0.39994506668294322"/>
      </bottom>
      <diagonal/>
    </border>
    <border>
      <left/>
      <right/>
      <top style="medium">
        <color theme="6" tint="0.39994506668294322"/>
      </top>
      <bottom style="medium">
        <color theme="6" tint="0.39994506668294322"/>
      </bottom>
      <diagonal/>
    </border>
    <border>
      <left/>
      <right style="medium">
        <color theme="6" tint="0.39994506668294322"/>
      </right>
      <top style="medium">
        <color theme="6" tint="0.39994506668294322"/>
      </top>
      <bottom style="medium">
        <color theme="6" tint="0.39994506668294322"/>
      </bottom>
      <diagonal/>
    </border>
    <border>
      <left/>
      <right style="medium">
        <color rgb="FFFF0066"/>
      </right>
      <top style="medium">
        <color rgb="FFFF0066"/>
      </top>
      <bottom style="medium">
        <color rgb="FFFF0066"/>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medium">
        <color theme="6" tint="0.39994506668294322"/>
      </left>
      <right/>
      <top/>
      <bottom style="medium">
        <color theme="6" tint="0.39991454817346722"/>
      </bottom>
      <diagonal/>
    </border>
    <border>
      <left/>
      <right/>
      <top/>
      <bottom style="medium">
        <color theme="6" tint="0.39991454817346722"/>
      </bottom>
      <diagonal/>
    </border>
    <border>
      <left/>
      <right style="medium">
        <color theme="6" tint="0.39994506668294322"/>
      </right>
      <top/>
      <bottom style="medium">
        <color theme="6" tint="0.39991454817346722"/>
      </bottom>
      <diagonal/>
    </border>
    <border>
      <left style="medium">
        <color theme="2" tint="-9.9887081514938816E-2"/>
      </left>
      <right style="medium">
        <color theme="2" tint="-9.9887081514938816E-2"/>
      </right>
      <top style="medium">
        <color theme="2" tint="-9.9887081514938816E-2"/>
      </top>
      <bottom/>
      <diagonal/>
    </border>
    <border>
      <left style="medium">
        <color theme="2" tint="-9.9887081514938816E-2"/>
      </left>
      <right style="medium">
        <color theme="2" tint="-9.9887081514938816E-2"/>
      </right>
      <top/>
      <bottom style="medium">
        <color theme="2" tint="-9.9887081514938816E-2"/>
      </bottom>
      <diagonal/>
    </border>
    <border>
      <left style="medium">
        <color theme="6" tint="0.39991454817346722"/>
      </left>
      <right/>
      <top style="medium">
        <color theme="6" tint="0.39991454817346722"/>
      </top>
      <bottom/>
      <diagonal/>
    </border>
    <border>
      <left/>
      <right/>
      <top style="medium">
        <color theme="6" tint="0.39991454817346722"/>
      </top>
      <bottom/>
      <diagonal/>
    </border>
    <border>
      <left/>
      <right style="medium">
        <color theme="6" tint="0.39991454817346722"/>
      </right>
      <top style="medium">
        <color theme="6" tint="0.39991454817346722"/>
      </top>
      <bottom/>
      <diagonal/>
    </border>
    <border>
      <left style="medium">
        <color theme="6" tint="0.39991454817346722"/>
      </left>
      <right/>
      <top/>
      <bottom/>
      <diagonal/>
    </border>
    <border>
      <left/>
      <right style="medium">
        <color theme="6" tint="0.39991454817346722"/>
      </right>
      <top/>
      <bottom/>
      <diagonal/>
    </border>
    <border>
      <left style="medium">
        <color theme="6" tint="0.39991454817346722"/>
      </left>
      <right/>
      <top/>
      <bottom style="medium">
        <color theme="6" tint="0.39991454817346722"/>
      </bottom>
      <diagonal/>
    </border>
    <border>
      <left/>
      <right style="medium">
        <color theme="6" tint="0.39991454817346722"/>
      </right>
      <top/>
      <bottom style="medium">
        <color theme="6" tint="0.39991454817346722"/>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thin">
        <color indexed="64"/>
      </left>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theme="2" tint="-9.9887081514938816E-2"/>
      </left>
      <right/>
      <top style="medium">
        <color theme="2" tint="-9.9887081514938816E-2"/>
      </top>
      <bottom style="medium">
        <color theme="2" tint="-9.9887081514938816E-2"/>
      </bottom>
      <diagonal/>
    </border>
    <border>
      <left/>
      <right/>
      <top style="medium">
        <color theme="2" tint="-9.9887081514938816E-2"/>
      </top>
      <bottom style="medium">
        <color theme="2" tint="-9.9887081514938816E-2"/>
      </bottom>
      <diagonal/>
    </border>
    <border>
      <left/>
      <right style="medium">
        <color theme="2" tint="-9.9887081514938816E-2"/>
      </right>
      <top style="medium">
        <color theme="2" tint="-9.9887081514938816E-2"/>
      </top>
      <bottom style="medium">
        <color theme="2" tint="-9.9887081514938816E-2"/>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2" tint="-9.9948118533890809E-2"/>
      </left>
      <right style="medium">
        <color theme="2" tint="-9.9948118533890809E-2"/>
      </right>
      <top style="medium">
        <color theme="2" tint="-9.9948118533890809E-2"/>
      </top>
      <bottom style="medium">
        <color theme="2" tint="-9.9948118533890809E-2"/>
      </bottom>
      <diagonal/>
    </border>
    <border>
      <left style="medium">
        <color theme="2" tint="-9.9948118533890809E-2"/>
      </left>
      <right/>
      <top style="medium">
        <color theme="2" tint="-9.9948118533890809E-2"/>
      </top>
      <bottom style="medium">
        <color theme="2" tint="-9.9948118533890809E-2"/>
      </bottom>
      <diagonal/>
    </border>
    <border>
      <left/>
      <right style="medium">
        <color theme="2" tint="-9.9948118533890809E-2"/>
      </right>
      <top style="medium">
        <color theme="2" tint="-9.9948118533890809E-2"/>
      </top>
      <bottom style="medium">
        <color theme="2" tint="-9.9948118533890809E-2"/>
      </bottom>
      <diagonal/>
    </border>
    <border>
      <left style="medium">
        <color theme="2" tint="-9.9948118533890809E-2"/>
      </left>
      <right/>
      <top style="medium">
        <color theme="2" tint="-9.9948118533890809E-2"/>
      </top>
      <bottom/>
      <diagonal/>
    </border>
    <border>
      <left/>
      <right/>
      <top style="medium">
        <color theme="2" tint="-9.9948118533890809E-2"/>
      </top>
      <bottom/>
      <diagonal/>
    </border>
    <border>
      <left/>
      <right style="medium">
        <color theme="2" tint="-9.9948118533890809E-2"/>
      </right>
      <top style="medium">
        <color theme="2" tint="-9.9948118533890809E-2"/>
      </top>
      <bottom/>
      <diagonal/>
    </border>
    <border>
      <left style="medium">
        <color theme="2" tint="-9.9948118533890809E-2"/>
      </left>
      <right/>
      <top/>
      <bottom style="medium">
        <color theme="2" tint="-9.9948118533890809E-2"/>
      </bottom>
      <diagonal/>
    </border>
    <border>
      <left/>
      <right/>
      <top/>
      <bottom style="medium">
        <color theme="2" tint="-9.9948118533890809E-2"/>
      </bottom>
      <diagonal/>
    </border>
    <border>
      <left/>
      <right style="medium">
        <color theme="2" tint="-9.9948118533890809E-2"/>
      </right>
      <top/>
      <bottom style="medium">
        <color theme="2" tint="-9.9948118533890809E-2"/>
      </bottom>
      <diagonal/>
    </border>
    <border>
      <left style="thin">
        <color auto="1"/>
      </left>
      <right style="thin">
        <color auto="1"/>
      </right>
      <top style="double">
        <color indexed="64"/>
      </top>
      <bottom style="thin">
        <color auto="1"/>
      </bottom>
      <diagonal/>
    </border>
    <border>
      <left style="medium">
        <color theme="2" tint="-9.9917600024414813E-2"/>
      </left>
      <right/>
      <top style="medium">
        <color theme="2" tint="-9.9917600024414813E-2"/>
      </top>
      <bottom style="medium">
        <color theme="2" tint="-9.9917600024414813E-2"/>
      </bottom>
      <diagonal/>
    </border>
    <border>
      <left/>
      <right/>
      <top style="medium">
        <color theme="2" tint="-9.9917600024414813E-2"/>
      </top>
      <bottom style="medium">
        <color theme="2" tint="-9.9917600024414813E-2"/>
      </bottom>
      <diagonal/>
    </border>
    <border>
      <left/>
      <right style="medium">
        <color theme="2" tint="-9.9917600024414813E-2"/>
      </right>
      <top style="medium">
        <color theme="2" tint="-9.9917600024414813E-2"/>
      </top>
      <bottom style="medium">
        <color theme="2" tint="-9.9917600024414813E-2"/>
      </bottom>
      <diagonal/>
    </border>
    <border>
      <left/>
      <right style="medium">
        <color theme="2" tint="-9.9917600024414813E-2"/>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theme="2" tint="-9.9948118533890809E-2"/>
      </left>
      <right style="medium">
        <color theme="2" tint="-9.9917600024414813E-2"/>
      </right>
      <top style="medium">
        <color theme="2" tint="-9.9948118533890809E-2"/>
      </top>
      <bottom style="medium">
        <color theme="2" tint="-9.9948118533890809E-2"/>
      </bottom>
      <diagonal/>
    </border>
    <border>
      <left style="medium">
        <color theme="2" tint="-9.9917600024414813E-2"/>
      </left>
      <right style="medium">
        <color theme="2" tint="-9.9917600024414813E-2"/>
      </right>
      <top style="medium">
        <color theme="2" tint="-9.9948118533890809E-2"/>
      </top>
      <bottom style="medium">
        <color theme="2" tint="-9.9948118533890809E-2"/>
      </bottom>
      <diagonal/>
    </border>
    <border>
      <left style="medium">
        <color theme="2" tint="-9.9917600024414813E-2"/>
      </left>
      <right style="medium">
        <color theme="2" tint="-9.9948118533890809E-2"/>
      </right>
      <top style="medium">
        <color theme="2" tint="-9.9948118533890809E-2"/>
      </top>
      <bottom style="medium">
        <color theme="2" tint="-9.9948118533890809E-2"/>
      </bottom>
      <diagonal/>
    </border>
    <border>
      <left style="medium">
        <color indexed="64"/>
      </left>
      <right style="medium">
        <color indexed="64"/>
      </right>
      <top style="medium">
        <color theme="2" tint="-9.9948118533890809E-2"/>
      </top>
      <bottom style="medium">
        <color theme="2" tint="-9.9948118533890809E-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auto="1"/>
      </left>
      <right style="thin">
        <color auto="1"/>
      </right>
      <top style="thin">
        <color auto="1"/>
      </top>
      <bottom style="thick">
        <color auto="1"/>
      </bottom>
      <diagonal/>
    </border>
    <border>
      <left/>
      <right/>
      <top/>
      <bottom style="thick">
        <color auto="1"/>
      </bottom>
      <diagonal/>
    </border>
    <border>
      <left/>
      <right style="thin">
        <color auto="1"/>
      </right>
      <top style="thin">
        <color auto="1"/>
      </top>
      <bottom style="thick">
        <color auto="1"/>
      </bottom>
      <diagonal/>
    </border>
    <border>
      <left style="thin">
        <color auto="1"/>
      </left>
      <right/>
      <top style="thin">
        <color auto="1"/>
      </top>
      <bottom style="thick">
        <color auto="1"/>
      </bottom>
      <diagonal/>
    </border>
    <border>
      <left style="medium">
        <color theme="0" tint="-0.499984740745262"/>
      </left>
      <right/>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right/>
      <top style="medium">
        <color theme="2" tint="-0.499984740745262"/>
      </top>
      <bottom style="medium">
        <color theme="2" tint="-0.499984740745262"/>
      </bottom>
      <diagonal/>
    </border>
    <border>
      <left style="medium">
        <color theme="2" tint="-0.499984740745262"/>
      </left>
      <right style="medium">
        <color theme="2" tint="-9.9917600024414813E-2"/>
      </right>
      <top style="medium">
        <color theme="2" tint="-0.499984740745262"/>
      </top>
      <bottom style="medium">
        <color theme="2" tint="-0.499984740745262"/>
      </bottom>
      <diagonal/>
    </border>
    <border>
      <left style="medium">
        <color theme="2" tint="-9.9917600024414813E-2"/>
      </left>
      <right style="medium">
        <color theme="2" tint="-9.9917600024414813E-2"/>
      </right>
      <top style="medium">
        <color theme="2" tint="-0.499984740745262"/>
      </top>
      <bottom style="medium">
        <color theme="2" tint="-0.499984740745262"/>
      </bottom>
      <diagonal/>
    </border>
    <border>
      <left style="medium">
        <color theme="2" tint="-9.9917600024414813E-2"/>
      </left>
      <right style="medium">
        <color theme="2" tint="-0.499984740745262"/>
      </right>
      <top style="medium">
        <color theme="2" tint="-0.499984740745262"/>
      </top>
      <bottom style="medium">
        <color theme="2" tint="-0.499984740745262"/>
      </bottom>
      <diagonal/>
    </border>
    <border>
      <left/>
      <right/>
      <top/>
      <bottom style="thick">
        <color rgb="FFC00000"/>
      </bottom>
      <diagonal/>
    </border>
    <border>
      <left/>
      <right style="medium">
        <color rgb="FFFF0066"/>
      </right>
      <top/>
      <bottom/>
      <diagonal/>
    </border>
  </borders>
  <cellStyleXfs count="17">
    <xf numFmtId="0" fontId="0" fillId="0" borderId="0"/>
    <xf numFmtId="0" fontId="5" fillId="0" borderId="0"/>
    <xf numFmtId="164" fontId="9" fillId="8" borderId="4">
      <alignment horizontal="center" vertical="center"/>
    </xf>
    <xf numFmtId="0" fontId="9" fillId="5" borderId="1" applyProtection="0">
      <alignment horizontal="center" vertical="center"/>
      <protection locked="0"/>
    </xf>
    <xf numFmtId="2" fontId="9" fillId="9" borderId="4">
      <alignment horizontal="center" vertical="center"/>
    </xf>
    <xf numFmtId="0" fontId="9" fillId="12" borderId="0" applyFont="0" applyAlignment="0" applyProtection="0">
      <alignment horizontal="left" vertical="center"/>
    </xf>
    <xf numFmtId="0" fontId="40" fillId="0" borderId="0" applyNumberFormat="0" applyFill="0" applyBorder="0" applyAlignment="0" applyProtection="0"/>
    <xf numFmtId="165" fontId="9" fillId="9" borderId="1">
      <alignment horizontal="center" vertical="center"/>
      <protection hidden="1"/>
    </xf>
    <xf numFmtId="0" fontId="71" fillId="5" borderId="0"/>
    <xf numFmtId="0" fontId="9" fillId="9" borderId="43">
      <alignment horizontal="center" vertical="center"/>
    </xf>
    <xf numFmtId="0" fontId="9" fillId="97" borderId="0" applyFont="0" applyAlignment="0">
      <alignment horizontal="center" vertical="center"/>
      <protection hidden="1"/>
    </xf>
    <xf numFmtId="44" fontId="7" fillId="0" borderId="0" applyFont="0" applyFill="0" applyBorder="0" applyAlignment="0" applyProtection="0"/>
    <xf numFmtId="0" fontId="116" fillId="175" borderId="0" applyNumberFormat="0" applyBorder="0" applyAlignment="0" applyProtection="0"/>
    <xf numFmtId="0" fontId="117" fillId="176" borderId="0" applyNumberFormat="0" applyBorder="0" applyAlignment="0" applyProtection="0"/>
    <xf numFmtId="0" fontId="77" fillId="4" borderId="0"/>
    <xf numFmtId="0" fontId="3" fillId="0" borderId="0"/>
    <xf numFmtId="0" fontId="174" fillId="5" borderId="0"/>
  </cellStyleXfs>
  <cellXfs count="7257">
    <xf numFmtId="0" fontId="0" fillId="0" borderId="0" xfId="0"/>
    <xf numFmtId="0" fontId="4" fillId="0" borderId="0" xfId="0" applyFont="1"/>
    <xf numFmtId="0" fontId="4" fillId="0" borderId="0" xfId="0" applyFont="1" applyAlignment="1">
      <alignment horizontal="right"/>
    </xf>
    <xf numFmtId="0" fontId="4" fillId="0" borderId="0" xfId="0" applyFont="1" applyAlignment="1">
      <alignment horizontal="left"/>
    </xf>
    <xf numFmtId="0" fontId="0" fillId="0" borderId="0" xfId="0"/>
    <xf numFmtId="0" fontId="4" fillId="0" borderId="0" xfId="0" applyFont="1" applyAlignment="1">
      <alignment horizontal="left" vertical="center" wrapText="1"/>
    </xf>
    <xf numFmtId="0" fontId="4" fillId="0" borderId="0" xfId="0" quotePrefix="1" applyFont="1"/>
    <xf numFmtId="0" fontId="0" fillId="5" borderId="0" xfId="0" applyFill="1" applyProtection="1">
      <protection hidden="1"/>
    </xf>
    <xf numFmtId="0" fontId="0" fillId="5" borderId="0" xfId="0" applyFill="1" applyAlignment="1" applyProtection="1">
      <alignment vertical="center"/>
      <protection hidden="1"/>
    </xf>
    <xf numFmtId="0" fontId="0" fillId="5" borderId="0" xfId="0" applyFill="1" applyAlignment="1" applyProtection="1">
      <alignment horizontal="left" vertical="center"/>
      <protection hidden="1"/>
    </xf>
    <xf numFmtId="2" fontId="9" fillId="5" borderId="0" xfId="4" applyFill="1" applyBorder="1" applyAlignment="1" applyProtection="1">
      <alignment horizontal="left" vertical="center"/>
      <protection hidden="1"/>
    </xf>
    <xf numFmtId="0" fontId="9" fillId="33" borderId="0" xfId="0" applyFont="1" applyFill="1" applyBorder="1" applyAlignment="1" applyProtection="1">
      <alignment horizontal="center" vertical="center"/>
      <protection hidden="1"/>
    </xf>
    <xf numFmtId="0" fontId="9" fillId="33" borderId="0" xfId="0" applyFont="1" applyFill="1" applyBorder="1" applyAlignment="1" applyProtection="1">
      <alignment horizontal="left" vertical="center"/>
      <protection hidden="1"/>
    </xf>
    <xf numFmtId="0" fontId="9" fillId="5" borderId="0" xfId="0" applyFont="1" applyFill="1" applyAlignment="1" applyProtection="1">
      <alignment horizontal="center" vertical="center"/>
      <protection hidden="1"/>
    </xf>
    <xf numFmtId="0" fontId="9" fillId="5" borderId="0" xfId="0" applyFont="1" applyFill="1" applyAlignment="1" applyProtection="1">
      <alignment horizontal="right" vertical="center"/>
      <protection hidden="1"/>
    </xf>
    <xf numFmtId="0" fontId="9" fillId="5" borderId="0" xfId="0" applyFont="1" applyFill="1" applyAlignment="1" applyProtection="1">
      <alignment horizontal="left" vertical="center"/>
      <protection hidden="1"/>
    </xf>
    <xf numFmtId="0" fontId="9" fillId="5" borderId="0" xfId="0" applyFont="1" applyFill="1" applyBorder="1" applyAlignment="1" applyProtection="1">
      <alignment horizontal="center" vertical="center"/>
      <protection hidden="1"/>
    </xf>
    <xf numFmtId="0" fontId="9" fillId="5" borderId="0" xfId="0" applyFont="1" applyFill="1" applyBorder="1" applyAlignment="1" applyProtection="1">
      <alignment horizontal="left" vertical="center"/>
      <protection hidden="1"/>
    </xf>
    <xf numFmtId="165" fontId="9" fillId="5" borderId="0" xfId="0" applyNumberFormat="1" applyFont="1" applyFill="1" applyAlignment="1" applyProtection="1">
      <alignment horizontal="left" vertical="center"/>
      <protection hidden="1"/>
    </xf>
    <xf numFmtId="0" fontId="19" fillId="5" borderId="0" xfId="0" applyFont="1" applyFill="1" applyAlignment="1" applyProtection="1">
      <alignment horizontal="center" vertical="center"/>
      <protection hidden="1"/>
    </xf>
    <xf numFmtId="0" fontId="9" fillId="5" borderId="0" xfId="0" applyFont="1" applyFill="1" applyBorder="1" applyAlignment="1" applyProtection="1">
      <alignment horizontal="right" vertical="center"/>
      <protection hidden="1"/>
    </xf>
    <xf numFmtId="0" fontId="9" fillId="5" borderId="0" xfId="0" applyFont="1" applyFill="1" applyAlignment="1" applyProtection="1">
      <alignment vertical="center"/>
      <protection hidden="1"/>
    </xf>
    <xf numFmtId="165" fontId="9" fillId="5" borderId="0" xfId="0" applyNumberFormat="1" applyFont="1" applyFill="1" applyAlignment="1" applyProtection="1">
      <alignment horizontal="center" vertical="center"/>
      <protection hidden="1"/>
    </xf>
    <xf numFmtId="165" fontId="0" fillId="5" borderId="0" xfId="0" applyNumberFormat="1" applyFill="1" applyProtection="1">
      <protection hidden="1"/>
    </xf>
    <xf numFmtId="0" fontId="0" fillId="5" borderId="0" xfId="0" applyFill="1" applyAlignment="1" applyProtection="1">
      <alignment horizontal="left"/>
      <protection hidden="1"/>
    </xf>
    <xf numFmtId="2" fontId="9" fillId="5" borderId="0" xfId="4" applyFont="1" applyFill="1" applyBorder="1" applyAlignment="1" applyProtection="1">
      <alignment horizontal="left" vertical="center"/>
      <protection hidden="1"/>
    </xf>
    <xf numFmtId="0" fontId="7" fillId="5" borderId="0" xfId="0" applyFont="1" applyFill="1" applyAlignment="1" applyProtection="1">
      <alignment vertical="center"/>
      <protection hidden="1"/>
    </xf>
    <xf numFmtId="0" fontId="9" fillId="6" borderId="0" xfId="0" applyFont="1" applyFill="1" applyAlignment="1" applyProtection="1">
      <alignment horizontal="right" vertical="center"/>
      <protection hidden="1"/>
    </xf>
    <xf numFmtId="0" fontId="9" fillId="6" borderId="0" xfId="0" applyFont="1" applyFill="1" applyAlignment="1" applyProtection="1">
      <alignment horizontal="center" vertical="center"/>
      <protection hidden="1"/>
    </xf>
    <xf numFmtId="0" fontId="9" fillId="6" borderId="0" xfId="0" applyFont="1" applyFill="1" applyAlignment="1" applyProtection="1">
      <alignment horizontal="left" vertical="center"/>
      <protection hidden="1"/>
    </xf>
    <xf numFmtId="164" fontId="35" fillId="0" borderId="7" xfId="0" applyNumberFormat="1" applyFont="1" applyFill="1" applyBorder="1" applyAlignment="1" applyProtection="1">
      <alignment horizontal="center" vertical="center"/>
      <protection hidden="1"/>
    </xf>
    <xf numFmtId="0" fontId="9" fillId="6" borderId="0" xfId="0" applyFont="1" applyFill="1" applyBorder="1" applyAlignment="1" applyProtection="1">
      <alignment horizontal="center" vertical="center" wrapText="1"/>
      <protection hidden="1"/>
    </xf>
    <xf numFmtId="165" fontId="9" fillId="6" borderId="0" xfId="0" applyNumberFormat="1" applyFont="1" applyFill="1" applyBorder="1" applyAlignment="1" applyProtection="1">
      <alignment horizontal="center" vertical="center"/>
      <protection hidden="1"/>
    </xf>
    <xf numFmtId="0" fontId="9" fillId="6" borderId="0" xfId="0" applyFont="1" applyFill="1" applyBorder="1" applyAlignment="1" applyProtection="1">
      <alignment horizontal="left" vertical="center"/>
      <protection hidden="1"/>
    </xf>
    <xf numFmtId="0" fontId="0" fillId="5" borderId="0" xfId="0" applyFill="1" applyAlignment="1" applyProtection="1">
      <alignment horizontal="center" vertical="center"/>
      <protection hidden="1"/>
    </xf>
    <xf numFmtId="0" fontId="9" fillId="5" borderId="0" xfId="0" applyFont="1" applyFill="1" applyBorder="1" applyAlignment="1" applyProtection="1">
      <alignment horizontal="center" vertical="center" wrapText="1"/>
      <protection hidden="1"/>
    </xf>
    <xf numFmtId="165" fontId="9" fillId="5" borderId="0" xfId="0" applyNumberFormat="1" applyFont="1" applyFill="1" applyBorder="1" applyAlignment="1" applyProtection="1">
      <alignment horizontal="center" vertical="center"/>
      <protection hidden="1"/>
    </xf>
    <xf numFmtId="2" fontId="14" fillId="5" borderId="0" xfId="4" applyFont="1" applyFill="1" applyBorder="1" applyAlignment="1" applyProtection="1">
      <alignment vertical="center"/>
      <protection hidden="1"/>
    </xf>
    <xf numFmtId="2" fontId="9" fillId="5" borderId="0" xfId="4" applyFont="1" applyFill="1" applyBorder="1" applyAlignment="1" applyProtection="1">
      <alignment horizontal="center" vertical="center"/>
      <protection hidden="1"/>
    </xf>
    <xf numFmtId="0" fontId="13" fillId="5" borderId="0" xfId="0" applyFont="1" applyFill="1" applyAlignment="1" applyProtection="1">
      <alignment vertical="center" wrapText="1"/>
      <protection hidden="1"/>
    </xf>
    <xf numFmtId="165" fontId="0" fillId="5" borderId="0" xfId="0" applyNumberFormat="1" applyFill="1" applyAlignment="1" applyProtection="1">
      <alignment vertical="center"/>
      <protection hidden="1"/>
    </xf>
    <xf numFmtId="0" fontId="9" fillId="14" borderId="0" xfId="0" applyFont="1" applyFill="1" applyBorder="1" applyAlignment="1" applyProtection="1">
      <alignment horizontal="center" vertical="center"/>
      <protection hidden="1"/>
    </xf>
    <xf numFmtId="2" fontId="9" fillId="9" borderId="0" xfId="4" applyFont="1" applyBorder="1" applyAlignment="1" applyProtection="1">
      <alignment horizontal="left" vertical="center"/>
      <protection hidden="1"/>
    </xf>
    <xf numFmtId="0" fontId="9" fillId="14" borderId="0" xfId="0" applyFont="1" applyFill="1" applyBorder="1" applyAlignment="1" applyProtection="1">
      <alignment horizontal="left" vertical="center"/>
      <protection hidden="1"/>
    </xf>
    <xf numFmtId="0" fontId="9" fillId="15" borderId="0" xfId="0" applyFont="1" applyFill="1" applyBorder="1" applyAlignment="1" applyProtection="1">
      <alignment horizontal="center" vertical="center"/>
      <protection hidden="1"/>
    </xf>
    <xf numFmtId="0" fontId="11" fillId="15" borderId="0" xfId="0" applyFont="1" applyFill="1" applyAlignment="1" applyProtection="1">
      <alignment vertical="center"/>
      <protection hidden="1"/>
    </xf>
    <xf numFmtId="165" fontId="9" fillId="9" borderId="1" xfId="0" applyNumberFormat="1" applyFont="1" applyFill="1" applyBorder="1" applyAlignment="1" applyProtection="1">
      <alignment horizontal="center" vertical="center"/>
      <protection hidden="1"/>
    </xf>
    <xf numFmtId="0" fontId="9" fillId="31" borderId="0" xfId="0" applyFont="1" applyFill="1" applyAlignment="1" applyProtection="1">
      <alignment vertical="center"/>
      <protection hidden="1"/>
    </xf>
    <xf numFmtId="0" fontId="9" fillId="31" borderId="0" xfId="0" applyFont="1" applyFill="1" applyAlignment="1" applyProtection="1">
      <alignment horizontal="left" vertical="center"/>
      <protection hidden="1"/>
    </xf>
    <xf numFmtId="0" fontId="9" fillId="15" borderId="0" xfId="0" applyFont="1" applyFill="1" applyBorder="1" applyAlignment="1" applyProtection="1">
      <alignment horizontal="left" vertical="center"/>
      <protection hidden="1"/>
    </xf>
    <xf numFmtId="0" fontId="11" fillId="5" borderId="0" xfId="0" applyFont="1" applyFill="1" applyAlignment="1" applyProtection="1">
      <alignment vertical="center"/>
      <protection hidden="1"/>
    </xf>
    <xf numFmtId="165" fontId="0" fillId="5" borderId="0" xfId="0" applyNumberFormat="1" applyFill="1" applyBorder="1" applyAlignment="1" applyProtection="1">
      <alignment horizontal="center" vertical="center"/>
      <protection hidden="1"/>
    </xf>
    <xf numFmtId="0" fontId="9" fillId="12" borderId="0" xfId="0" applyFont="1" applyFill="1" applyBorder="1" applyAlignment="1" applyProtection="1">
      <alignment horizontal="center" vertical="center"/>
      <protection hidden="1"/>
    </xf>
    <xf numFmtId="0" fontId="9" fillId="12" borderId="0" xfId="0" applyFont="1" applyFill="1" applyBorder="1" applyAlignment="1" applyProtection="1">
      <alignment horizontal="left" vertical="center"/>
      <protection hidden="1"/>
    </xf>
    <xf numFmtId="0" fontId="9" fillId="11" borderId="0" xfId="0" applyFont="1" applyFill="1" applyAlignment="1" applyProtection="1">
      <alignment vertical="center"/>
      <protection hidden="1"/>
    </xf>
    <xf numFmtId="0" fontId="48" fillId="11" borderId="0" xfId="0" applyFont="1" applyFill="1" applyBorder="1" applyAlignment="1" applyProtection="1">
      <alignment horizontal="center" vertical="center"/>
      <protection hidden="1"/>
    </xf>
    <xf numFmtId="0" fontId="9" fillId="11" borderId="0"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165" fontId="9" fillId="11" borderId="0" xfId="0" applyNumberFormat="1" applyFont="1" applyFill="1" applyBorder="1" applyAlignment="1" applyProtection="1">
      <alignment horizontal="center" vertical="center"/>
      <protection hidden="1"/>
    </xf>
    <xf numFmtId="0" fontId="9" fillId="11" borderId="0" xfId="0" applyFont="1" applyFill="1" applyBorder="1" applyAlignment="1" applyProtection="1">
      <alignment horizontal="left" vertical="center"/>
      <protection hidden="1"/>
    </xf>
    <xf numFmtId="0" fontId="9" fillId="11" borderId="0" xfId="0" applyFont="1" applyFill="1" applyBorder="1" applyAlignment="1" applyProtection="1">
      <alignment horizontal="center" vertical="center" wrapText="1"/>
      <protection hidden="1"/>
    </xf>
    <xf numFmtId="0" fontId="20" fillId="11" borderId="0" xfId="0" applyFont="1" applyFill="1" applyBorder="1" applyAlignment="1" applyProtection="1">
      <alignment horizontal="center" vertical="center" wrapText="1"/>
      <protection hidden="1"/>
    </xf>
    <xf numFmtId="0" fontId="9" fillId="22" borderId="0" xfId="0" applyFont="1" applyFill="1" applyBorder="1" applyAlignment="1" applyProtection="1">
      <alignment horizontal="center" vertical="center" wrapText="1"/>
      <protection hidden="1"/>
    </xf>
    <xf numFmtId="0" fontId="9" fillId="21" borderId="0" xfId="0" applyFont="1" applyFill="1" applyAlignment="1" applyProtection="1">
      <alignment horizontal="right" vertical="center"/>
      <protection hidden="1"/>
    </xf>
    <xf numFmtId="0" fontId="9" fillId="21" borderId="0" xfId="0" applyFont="1" applyFill="1" applyAlignment="1" applyProtection="1">
      <alignment vertical="center"/>
      <protection hidden="1"/>
    </xf>
    <xf numFmtId="165" fontId="9" fillId="21" borderId="0" xfId="0" applyNumberFormat="1" applyFont="1" applyFill="1" applyBorder="1" applyAlignment="1" applyProtection="1">
      <alignment horizontal="center" vertical="center"/>
      <protection hidden="1"/>
    </xf>
    <xf numFmtId="0" fontId="9" fillId="21" borderId="0" xfId="0" applyFont="1" applyFill="1" applyBorder="1" applyAlignment="1" applyProtection="1">
      <alignment horizontal="center" vertical="center"/>
      <protection hidden="1"/>
    </xf>
    <xf numFmtId="0" fontId="9" fillId="21" borderId="0" xfId="0" applyFont="1" applyFill="1" applyProtection="1">
      <protection hidden="1"/>
    </xf>
    <xf numFmtId="0" fontId="0" fillId="5" borderId="0" xfId="0" applyFill="1" applyBorder="1" applyAlignment="1" applyProtection="1">
      <alignment vertical="center"/>
      <protection hidden="1"/>
    </xf>
    <xf numFmtId="0" fontId="48" fillId="5" borderId="0" xfId="0" applyFont="1" applyFill="1" applyAlignment="1" applyProtection="1">
      <alignment horizontal="center" vertical="center"/>
      <protection hidden="1"/>
    </xf>
    <xf numFmtId="0" fontId="9" fillId="5" borderId="0" xfId="0" applyFont="1" applyFill="1" applyProtection="1">
      <protection hidden="1"/>
    </xf>
    <xf numFmtId="0" fontId="9" fillId="18" borderId="0" xfId="0" applyFont="1" applyFill="1" applyAlignment="1" applyProtection="1">
      <alignment horizontal="center" vertical="center"/>
      <protection hidden="1"/>
    </xf>
    <xf numFmtId="0" fontId="9" fillId="17" borderId="0" xfId="0" applyFont="1" applyFill="1" applyAlignment="1" applyProtection="1">
      <alignment vertical="center"/>
      <protection hidden="1"/>
    </xf>
    <xf numFmtId="0" fontId="9" fillId="17" borderId="0" xfId="0" applyFont="1" applyFill="1" applyBorder="1" applyAlignment="1" applyProtection="1">
      <alignment horizontal="center" vertical="center" wrapText="1"/>
      <protection hidden="1"/>
    </xf>
    <xf numFmtId="165" fontId="9" fillId="17" borderId="0" xfId="0" applyNumberFormat="1" applyFont="1" applyFill="1" applyBorder="1" applyAlignment="1" applyProtection="1">
      <alignment horizontal="center" vertical="center"/>
      <protection hidden="1"/>
    </xf>
    <xf numFmtId="0" fontId="9" fillId="17" borderId="0" xfId="0"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center"/>
      <protection hidden="1"/>
    </xf>
    <xf numFmtId="0" fontId="9" fillId="17" borderId="0" xfId="0" applyFont="1" applyFill="1" applyProtection="1">
      <protection hidden="1"/>
    </xf>
    <xf numFmtId="0" fontId="9" fillId="5" borderId="0" xfId="0" applyFont="1" applyFill="1" applyBorder="1" applyProtection="1">
      <protection hidden="1"/>
    </xf>
    <xf numFmtId="0" fontId="9" fillId="32" borderId="0" xfId="0" applyFont="1" applyFill="1" applyAlignment="1" applyProtection="1">
      <alignment horizontal="center" vertical="center"/>
      <protection hidden="1"/>
    </xf>
    <xf numFmtId="0" fontId="9" fillId="16" borderId="0" xfId="0" applyFont="1" applyFill="1" applyAlignment="1" applyProtection="1">
      <alignment horizontal="center" vertical="center"/>
      <protection hidden="1"/>
    </xf>
    <xf numFmtId="165" fontId="9" fillId="16" borderId="0" xfId="0" applyNumberFormat="1" applyFont="1" applyFill="1" applyBorder="1" applyAlignment="1" applyProtection="1">
      <alignment horizontal="center" vertical="center"/>
      <protection hidden="1"/>
    </xf>
    <xf numFmtId="0" fontId="9" fillId="16" borderId="0" xfId="0" applyFont="1" applyFill="1" applyBorder="1" applyAlignment="1" applyProtection="1">
      <alignment horizontal="center" vertical="center"/>
      <protection hidden="1"/>
    </xf>
    <xf numFmtId="0" fontId="9" fillId="16" borderId="0" xfId="0" applyFont="1" applyFill="1" applyBorder="1" applyAlignment="1" applyProtection="1">
      <alignment horizontal="left" vertical="center"/>
      <protection hidden="1"/>
    </xf>
    <xf numFmtId="0" fontId="9" fillId="13" borderId="0" xfId="0" applyFont="1" applyFill="1" applyBorder="1" applyAlignment="1" applyProtection="1">
      <alignment horizontal="center" vertical="center"/>
      <protection hidden="1"/>
    </xf>
    <xf numFmtId="0" fontId="9" fillId="13" borderId="0" xfId="0" applyFont="1" applyFill="1" applyAlignment="1" applyProtection="1">
      <alignment horizontal="right" vertical="center"/>
      <protection hidden="1"/>
    </xf>
    <xf numFmtId="0" fontId="9" fillId="13" borderId="0" xfId="0" applyFont="1" applyFill="1" applyBorder="1" applyAlignment="1" applyProtection="1">
      <alignment horizontal="center" vertical="center" wrapText="1"/>
      <protection hidden="1"/>
    </xf>
    <xf numFmtId="165" fontId="9" fillId="13" borderId="0" xfId="0" applyNumberFormat="1" applyFont="1" applyFill="1" applyBorder="1" applyAlignment="1" applyProtection="1">
      <alignment horizontal="center" vertical="center"/>
      <protection hidden="1"/>
    </xf>
    <xf numFmtId="0" fontId="9" fillId="13" borderId="0" xfId="0" applyFont="1" applyFill="1" applyBorder="1" applyAlignment="1" applyProtection="1">
      <alignment horizontal="left" vertical="center"/>
      <protection hidden="1"/>
    </xf>
    <xf numFmtId="0" fontId="9" fillId="6" borderId="0" xfId="0" applyFont="1" applyFill="1" applyProtection="1">
      <protection hidden="1"/>
    </xf>
    <xf numFmtId="1" fontId="9" fillId="5" borderId="0" xfId="0" applyNumberFormat="1" applyFont="1" applyFill="1" applyAlignment="1" applyProtection="1">
      <alignment horizontal="center" vertical="center"/>
      <protection hidden="1"/>
    </xf>
    <xf numFmtId="0" fontId="27" fillId="30" borderId="0" xfId="0" applyFont="1" applyFill="1" applyAlignment="1" applyProtection="1">
      <alignment horizontal="right" vertical="center"/>
      <protection hidden="1"/>
    </xf>
    <xf numFmtId="0" fontId="9" fillId="30" borderId="0" xfId="0" applyFont="1" applyFill="1" applyAlignment="1" applyProtection="1">
      <alignment horizontal="center" vertical="center"/>
      <protection hidden="1"/>
    </xf>
    <xf numFmtId="165" fontId="27" fillId="30" borderId="0" xfId="0" applyNumberFormat="1" applyFont="1" applyFill="1" applyAlignment="1" applyProtection="1">
      <alignment horizontal="right" vertical="center"/>
      <protection hidden="1"/>
    </xf>
    <xf numFmtId="0" fontId="37" fillId="31" borderId="0" xfId="0" applyFont="1" applyFill="1" applyAlignment="1" applyProtection="1">
      <alignment horizontal="right" vertical="center"/>
      <protection hidden="1"/>
    </xf>
    <xf numFmtId="0" fontId="37" fillId="31" borderId="0" xfId="0" applyFont="1" applyFill="1" applyAlignment="1" applyProtection="1">
      <alignment horizontal="left" vertical="center"/>
      <protection hidden="1"/>
    </xf>
    <xf numFmtId="164" fontId="14" fillId="5" borderId="0" xfId="0" applyNumberFormat="1" applyFont="1" applyFill="1" applyBorder="1" applyAlignment="1" applyProtection="1">
      <alignment horizontal="right" vertical="center"/>
      <protection hidden="1"/>
    </xf>
    <xf numFmtId="164" fontId="9" fillId="31" borderId="0" xfId="0" applyNumberFormat="1" applyFont="1" applyFill="1" applyBorder="1" applyAlignment="1" applyProtection="1">
      <alignment horizontal="right"/>
      <protection hidden="1"/>
    </xf>
    <xf numFmtId="164" fontId="9" fillId="5" borderId="0" xfId="0" applyNumberFormat="1" applyFont="1" applyFill="1" applyBorder="1" applyAlignment="1" applyProtection="1">
      <alignment horizontal="right" vertical="center"/>
      <protection hidden="1"/>
    </xf>
    <xf numFmtId="0" fontId="37" fillId="31" borderId="0" xfId="0" applyFont="1" applyFill="1" applyBorder="1" applyAlignment="1" applyProtection="1">
      <alignment horizontal="left"/>
      <protection hidden="1"/>
    </xf>
    <xf numFmtId="164" fontId="9" fillId="5" borderId="0" xfId="0" applyNumberFormat="1" applyFont="1" applyFill="1" applyBorder="1" applyAlignment="1" applyProtection="1">
      <alignment horizontal="right"/>
      <protection hidden="1"/>
    </xf>
    <xf numFmtId="0" fontId="9" fillId="29" borderId="0" xfId="0" applyFont="1" applyFill="1" applyAlignment="1" applyProtection="1">
      <alignment horizontal="center" vertical="center"/>
      <protection hidden="1"/>
    </xf>
    <xf numFmtId="0" fontId="9" fillId="29" borderId="0" xfId="0" applyFont="1" applyFill="1" applyAlignment="1" applyProtection="1">
      <alignment horizontal="right" vertical="center"/>
      <protection hidden="1"/>
    </xf>
    <xf numFmtId="0" fontId="15" fillId="5" borderId="0" xfId="0" applyFont="1" applyFill="1" applyAlignment="1" applyProtection="1">
      <alignment horizontal="right" vertical="center"/>
      <protection hidden="1"/>
    </xf>
    <xf numFmtId="2" fontId="17" fillId="5" borderId="0" xfId="4" applyFont="1" applyFill="1" applyBorder="1" applyAlignment="1" applyProtection="1">
      <alignment horizontal="left" vertical="center"/>
      <protection hidden="1"/>
    </xf>
    <xf numFmtId="0" fontId="9" fillId="10" borderId="0" xfId="0" applyFont="1" applyFill="1" applyAlignment="1" applyProtection="1">
      <alignment vertical="center"/>
      <protection hidden="1"/>
    </xf>
    <xf numFmtId="0" fontId="9" fillId="10" borderId="0" xfId="0" applyFont="1" applyFill="1" applyBorder="1" applyAlignment="1" applyProtection="1">
      <alignment horizontal="left" vertical="center"/>
      <protection hidden="1"/>
    </xf>
    <xf numFmtId="0" fontId="9" fillId="10" borderId="0" xfId="0" applyFont="1" applyFill="1" applyBorder="1" applyAlignment="1" applyProtection="1">
      <alignment horizontal="center" vertical="center"/>
      <protection hidden="1"/>
    </xf>
    <xf numFmtId="0" fontId="10" fillId="10" borderId="0" xfId="0" applyFont="1" applyFill="1" applyAlignment="1" applyProtection="1">
      <alignment vertical="center"/>
      <protection hidden="1"/>
    </xf>
    <xf numFmtId="0" fontId="12" fillId="10" borderId="0" xfId="0" applyFont="1" applyFill="1" applyAlignment="1" applyProtection="1">
      <alignment vertical="center"/>
      <protection hidden="1"/>
    </xf>
    <xf numFmtId="0" fontId="12" fillId="5" borderId="0" xfId="0" applyFont="1" applyFill="1" applyAlignment="1" applyProtection="1">
      <alignment vertical="center"/>
      <protection hidden="1"/>
    </xf>
    <xf numFmtId="0" fontId="12" fillId="5" borderId="0" xfId="0" applyFont="1" applyFill="1" applyAlignment="1" applyProtection="1">
      <alignment horizontal="left" vertical="center"/>
      <protection hidden="1"/>
    </xf>
    <xf numFmtId="0" fontId="37" fillId="5" borderId="0" xfId="1" applyFont="1" applyFill="1" applyProtection="1">
      <protection hidden="1"/>
    </xf>
    <xf numFmtId="0" fontId="9" fillId="6" borderId="0" xfId="0" applyFont="1" applyFill="1" applyBorder="1" applyAlignment="1" applyProtection="1">
      <alignment vertical="center"/>
      <protection hidden="1"/>
    </xf>
    <xf numFmtId="165" fontId="9" fillId="5" borderId="0" xfId="0" applyNumberFormat="1" applyFont="1" applyFill="1" applyProtection="1">
      <protection hidden="1"/>
    </xf>
    <xf numFmtId="0" fontId="9" fillId="5" borderId="0" xfId="0" applyFont="1" applyFill="1" applyAlignment="1" applyProtection="1">
      <alignment horizontal="left"/>
      <protection hidden="1"/>
    </xf>
    <xf numFmtId="0" fontId="9" fillId="10" borderId="0" xfId="0" applyFont="1" applyFill="1" applyProtection="1">
      <protection hidden="1"/>
    </xf>
    <xf numFmtId="0" fontId="19" fillId="6" borderId="0" xfId="0" applyFont="1" applyFill="1" applyAlignment="1" applyProtection="1">
      <alignment horizontal="center" vertical="center"/>
      <protection hidden="1"/>
    </xf>
    <xf numFmtId="0" fontId="20" fillId="6" borderId="0" xfId="0" applyFont="1" applyFill="1" applyBorder="1" applyAlignment="1" applyProtection="1">
      <alignment horizontal="left" vertical="center" wrapText="1"/>
      <protection hidden="1"/>
    </xf>
    <xf numFmtId="0" fontId="20" fillId="6" borderId="0" xfId="0" applyFont="1" applyFill="1" applyBorder="1" applyAlignment="1" applyProtection="1">
      <alignment horizontal="center" vertical="center" wrapText="1"/>
      <protection hidden="1"/>
    </xf>
    <xf numFmtId="0" fontId="48" fillId="6" borderId="0" xfId="0" applyFont="1" applyFill="1" applyBorder="1" applyAlignment="1" applyProtection="1">
      <alignment horizontal="left" vertical="center" wrapText="1"/>
      <protection hidden="1"/>
    </xf>
    <xf numFmtId="4" fontId="15" fillId="27" borderId="1" xfId="0" applyNumberFormat="1" applyFont="1" applyFill="1" applyBorder="1" applyAlignment="1" applyProtection="1">
      <alignment horizontal="center" vertical="center"/>
      <protection hidden="1"/>
    </xf>
    <xf numFmtId="0" fontId="37" fillId="5" borderId="0" xfId="1" applyFont="1" applyFill="1" applyAlignment="1" applyProtection="1">
      <alignment horizontal="left"/>
      <protection hidden="1"/>
    </xf>
    <xf numFmtId="0" fontId="37" fillId="5" borderId="0" xfId="1" applyFont="1" applyFill="1" applyAlignment="1" applyProtection="1">
      <alignment horizontal="center" vertical="center"/>
      <protection hidden="1"/>
    </xf>
    <xf numFmtId="0" fontId="45" fillId="5" borderId="0" xfId="6" applyFont="1" applyFill="1" applyProtection="1">
      <protection hidden="1"/>
    </xf>
    <xf numFmtId="0" fontId="37" fillId="7" borderId="0" xfId="1" applyFont="1" applyFill="1" applyProtection="1">
      <protection hidden="1"/>
    </xf>
    <xf numFmtId="0" fontId="37" fillId="7" borderId="0" xfId="1" applyFont="1" applyFill="1" applyAlignment="1" applyProtection="1">
      <alignment horizontal="left"/>
      <protection hidden="1"/>
    </xf>
    <xf numFmtId="0" fontId="37" fillId="7" borderId="0" xfId="1" applyFont="1" applyFill="1" applyAlignment="1" applyProtection="1">
      <alignment horizontal="center" vertical="center"/>
      <protection hidden="1"/>
    </xf>
    <xf numFmtId="0" fontId="9" fillId="9" borderId="0" xfId="0" applyFont="1" applyFill="1" applyBorder="1" applyAlignment="1" applyProtection="1">
      <alignment horizontal="center" vertical="center"/>
      <protection hidden="1"/>
    </xf>
    <xf numFmtId="0" fontId="26" fillId="5" borderId="0" xfId="0" applyFont="1" applyFill="1" applyAlignment="1" applyProtection="1">
      <alignment horizontal="left" vertical="center"/>
      <protection hidden="1"/>
    </xf>
    <xf numFmtId="0" fontId="0" fillId="5" borderId="0" xfId="0" applyFill="1" applyBorder="1" applyProtection="1">
      <protection hidden="1"/>
    </xf>
    <xf numFmtId="0" fontId="0" fillId="5" borderId="0" xfId="0" applyFill="1" applyBorder="1" applyAlignment="1" applyProtection="1">
      <alignment horizontal="left"/>
      <protection hidden="1"/>
    </xf>
    <xf numFmtId="2" fontId="9" fillId="5" borderId="0" xfId="0" applyNumberFormat="1" applyFont="1" applyFill="1" applyAlignment="1" applyProtection="1">
      <alignment vertical="center"/>
      <protection hidden="1"/>
    </xf>
    <xf numFmtId="164" fontId="14" fillId="29" borderId="0" xfId="0" applyNumberFormat="1" applyFont="1" applyFill="1" applyBorder="1" applyAlignment="1" applyProtection="1">
      <alignment vertical="center" wrapText="1"/>
      <protection hidden="1"/>
    </xf>
    <xf numFmtId="164" fontId="37" fillId="31" borderId="0" xfId="0" applyNumberFormat="1" applyFont="1" applyFill="1" applyBorder="1" applyAlignment="1" applyProtection="1">
      <alignment horizontal="right"/>
      <protection hidden="1"/>
    </xf>
    <xf numFmtId="0" fontId="37" fillId="5" borderId="0" xfId="0" applyFont="1" applyFill="1" applyAlignment="1" applyProtection="1">
      <alignment horizontal="right" vertical="center"/>
      <protection hidden="1"/>
    </xf>
    <xf numFmtId="0" fontId="9" fillId="5" borderId="0" xfId="0" applyFont="1" applyFill="1" applyBorder="1" applyAlignment="1" applyProtection="1">
      <alignment vertical="center"/>
      <protection hidden="1"/>
    </xf>
    <xf numFmtId="0" fontId="11" fillId="5" borderId="0" xfId="0" applyFont="1" applyFill="1" applyBorder="1" applyAlignment="1" applyProtection="1">
      <alignment vertical="center"/>
      <protection hidden="1"/>
    </xf>
    <xf numFmtId="0" fontId="19" fillId="5" borderId="0" xfId="0" applyFont="1" applyFill="1" applyBorder="1" applyAlignment="1" applyProtection="1">
      <alignment horizontal="center" vertical="center"/>
      <protection hidden="1"/>
    </xf>
    <xf numFmtId="1" fontId="9" fillId="3" borderId="0" xfId="0" applyNumberFormat="1"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0" fillId="3" borderId="0" xfId="0" applyFill="1" applyBorder="1" applyAlignment="1" applyProtection="1">
      <alignment vertical="center"/>
      <protection hidden="1"/>
    </xf>
    <xf numFmtId="0" fontId="48" fillId="21" borderId="0" xfId="0" applyFont="1" applyFill="1" applyBorder="1" applyAlignment="1" applyProtection="1">
      <alignment horizontal="center" vertical="center"/>
      <protection hidden="1"/>
    </xf>
    <xf numFmtId="0" fontId="20" fillId="21" borderId="0" xfId="0" applyFont="1" applyFill="1" applyBorder="1" applyAlignment="1" applyProtection="1">
      <alignment horizontal="center" vertical="center"/>
      <protection hidden="1"/>
    </xf>
    <xf numFmtId="0" fontId="9" fillId="21" borderId="0" xfId="0" applyFont="1" applyFill="1" applyBorder="1" applyAlignment="1" applyProtection="1">
      <alignment horizontal="center" vertical="center" wrapText="1"/>
      <protection hidden="1"/>
    </xf>
    <xf numFmtId="165" fontId="9" fillId="5" borderId="0" xfId="0" applyNumberFormat="1" applyFont="1" applyFill="1" applyAlignment="1" applyProtection="1">
      <alignment horizontal="right" vertical="center"/>
      <protection hidden="1"/>
    </xf>
    <xf numFmtId="165" fontId="27" fillId="5" borderId="0" xfId="0" applyNumberFormat="1" applyFont="1" applyFill="1" applyAlignment="1" applyProtection="1">
      <alignment horizontal="right" vertical="center"/>
      <protection hidden="1"/>
    </xf>
    <xf numFmtId="1" fontId="9" fillId="5" borderId="0" xfId="0" applyNumberFormat="1" applyFont="1" applyFill="1" applyBorder="1" applyAlignment="1" applyProtection="1">
      <alignment horizontal="center" vertical="center"/>
      <protection hidden="1"/>
    </xf>
    <xf numFmtId="164" fontId="14" fillId="5" borderId="0" xfId="0" applyNumberFormat="1" applyFont="1" applyFill="1" applyBorder="1" applyAlignment="1" applyProtection="1">
      <alignment vertical="center" wrapText="1"/>
      <protection hidden="1"/>
    </xf>
    <xf numFmtId="0" fontId="17" fillId="5" borderId="0" xfId="0" applyFont="1" applyFill="1" applyBorder="1" applyAlignment="1" applyProtection="1">
      <alignment horizontal="center" vertical="center"/>
      <protection hidden="1"/>
    </xf>
    <xf numFmtId="0" fontId="17" fillId="5" borderId="0" xfId="0" applyFont="1" applyFill="1" applyBorder="1" applyAlignment="1" applyProtection="1">
      <alignment horizontal="left" vertical="center"/>
      <protection hidden="1"/>
    </xf>
    <xf numFmtId="165" fontId="17" fillId="5" borderId="0" xfId="0" applyNumberFormat="1" applyFont="1" applyFill="1" applyBorder="1" applyAlignment="1" applyProtection="1">
      <alignment horizontal="center" vertical="center"/>
      <protection hidden="1"/>
    </xf>
    <xf numFmtId="0" fontId="17" fillId="5" borderId="0" xfId="0" applyFont="1" applyFill="1" applyBorder="1" applyAlignment="1" applyProtection="1">
      <alignment horizontal="center" vertical="center" wrapText="1"/>
      <protection hidden="1"/>
    </xf>
    <xf numFmtId="1" fontId="17" fillId="5" borderId="0" xfId="0" applyNumberFormat="1" applyFont="1" applyFill="1" applyBorder="1" applyAlignment="1" applyProtection="1">
      <alignment vertical="center" wrapText="1"/>
      <protection hidden="1"/>
    </xf>
    <xf numFmtId="165" fontId="17" fillId="5" borderId="0" xfId="0" applyNumberFormat="1" applyFont="1" applyFill="1" applyBorder="1" applyAlignment="1" applyProtection="1">
      <alignment horizontal="center" vertical="center" wrapText="1"/>
      <protection hidden="1"/>
    </xf>
    <xf numFmtId="0" fontId="16" fillId="5" borderId="0" xfId="0" applyFont="1" applyFill="1" applyBorder="1" applyAlignment="1" applyProtection="1">
      <alignment horizontal="center" vertical="center" wrapText="1"/>
      <protection hidden="1"/>
    </xf>
    <xf numFmtId="0" fontId="48" fillId="11" borderId="0" xfId="0" applyFont="1" applyFill="1" applyBorder="1" applyAlignment="1" applyProtection="1">
      <alignment horizontal="center" vertical="center" wrapText="1"/>
      <protection hidden="1"/>
    </xf>
    <xf numFmtId="0" fontId="11" fillId="11" borderId="0" xfId="0" applyFont="1" applyFill="1" applyBorder="1" applyAlignment="1" applyProtection="1">
      <alignment horizontal="center" vertical="center"/>
      <protection hidden="1"/>
    </xf>
    <xf numFmtId="164" fontId="35" fillId="0" borderId="7" xfId="0" applyNumberFormat="1" applyFont="1" applyBorder="1" applyAlignment="1" applyProtection="1">
      <alignment horizontal="center" vertical="center"/>
      <protection hidden="1"/>
    </xf>
    <xf numFmtId="0" fontId="9" fillId="30" borderId="0" xfId="0" applyFont="1" applyFill="1" applyAlignment="1" applyProtection="1">
      <alignment horizontal="left" vertical="center"/>
      <protection hidden="1"/>
    </xf>
    <xf numFmtId="0" fontId="9" fillId="11" borderId="0" xfId="0" applyFont="1" applyFill="1" applyBorder="1" applyAlignment="1" applyProtection="1">
      <alignment vertical="center"/>
      <protection hidden="1"/>
    </xf>
    <xf numFmtId="2" fontId="53" fillId="5" borderId="0" xfId="4" applyFont="1" applyFill="1" applyBorder="1" applyAlignment="1" applyProtection="1">
      <alignment horizontal="left" vertical="center"/>
      <protection hidden="1"/>
    </xf>
    <xf numFmtId="2" fontId="9" fillId="11" borderId="0" xfId="0" applyNumberFormat="1" applyFont="1" applyFill="1" applyAlignment="1" applyProtection="1">
      <alignment vertical="center"/>
      <protection hidden="1"/>
    </xf>
    <xf numFmtId="0" fontId="9" fillId="11" borderId="0" xfId="0" applyFont="1" applyFill="1" applyBorder="1" applyAlignment="1" applyProtection="1">
      <alignment horizontal="right" vertical="center"/>
      <protection hidden="1"/>
    </xf>
    <xf numFmtId="0" fontId="12" fillId="11" borderId="0" xfId="0" applyFont="1" applyFill="1" applyBorder="1" applyAlignment="1" applyProtection="1">
      <alignment horizontal="center" vertical="center" wrapText="1"/>
      <protection hidden="1"/>
    </xf>
    <xf numFmtId="0" fontId="11" fillId="11" borderId="0" xfId="0" applyFont="1" applyFill="1" applyBorder="1" applyAlignment="1" applyProtection="1">
      <alignment vertical="center"/>
      <protection hidden="1"/>
    </xf>
    <xf numFmtId="164" fontId="12" fillId="12" borderId="5" xfId="2" applyNumberFormat="1" applyFont="1" applyFill="1" applyBorder="1" applyAlignment="1" applyProtection="1">
      <alignment horizontal="center" vertical="center"/>
      <protection hidden="1"/>
    </xf>
    <xf numFmtId="0" fontId="9" fillId="29" borderId="0" xfId="0" applyFont="1" applyFill="1" applyAlignment="1" applyProtection="1">
      <alignment horizontal="left" vertical="center"/>
      <protection hidden="1"/>
    </xf>
    <xf numFmtId="164" fontId="14" fillId="29" borderId="0" xfId="0" applyNumberFormat="1" applyFont="1" applyFill="1" applyBorder="1" applyAlignment="1" applyProtection="1">
      <alignment horizontal="left" vertical="center" wrapText="1"/>
      <protection hidden="1"/>
    </xf>
    <xf numFmtId="0" fontId="9" fillId="22" borderId="0" xfId="0" applyFont="1" applyFill="1" applyAlignment="1" applyProtection="1">
      <alignment vertical="center"/>
      <protection hidden="1"/>
    </xf>
    <xf numFmtId="2" fontId="14" fillId="5" borderId="0" xfId="4" applyFont="1" applyFill="1" applyBorder="1" applyAlignment="1" applyProtection="1">
      <alignment horizontal="left" vertical="center"/>
      <protection hidden="1"/>
    </xf>
    <xf numFmtId="0" fontId="9" fillId="18" borderId="0" xfId="0" applyFont="1" applyFill="1" applyBorder="1" applyAlignment="1" applyProtection="1">
      <alignment horizontal="center" vertical="center"/>
      <protection hidden="1"/>
    </xf>
    <xf numFmtId="0" fontId="9" fillId="18" borderId="0" xfId="0" applyFont="1" applyFill="1" applyAlignment="1" applyProtection="1">
      <alignment vertical="center"/>
      <protection hidden="1"/>
    </xf>
    <xf numFmtId="0" fontId="23" fillId="17" borderId="0" xfId="0" applyFont="1" applyFill="1" applyAlignment="1" applyProtection="1">
      <alignment horizontal="center" vertical="center"/>
      <protection hidden="1"/>
    </xf>
    <xf numFmtId="164" fontId="12" fillId="20" borderId="5" xfId="0" applyNumberFormat="1" applyFont="1" applyFill="1" applyBorder="1" applyAlignment="1" applyProtection="1">
      <alignment horizontal="center" vertical="center"/>
      <protection hidden="1"/>
    </xf>
    <xf numFmtId="0" fontId="9" fillId="19" borderId="0" xfId="0" applyFont="1" applyFill="1" applyAlignment="1" applyProtection="1">
      <alignment vertical="center"/>
      <protection hidden="1"/>
    </xf>
    <xf numFmtId="0" fontId="9" fillId="19" borderId="0" xfId="0" applyFont="1" applyFill="1" applyAlignment="1" applyProtection="1">
      <alignment horizontal="right" vertical="center"/>
      <protection hidden="1"/>
    </xf>
    <xf numFmtId="2" fontId="12" fillId="20" borderId="5" xfId="0" applyNumberFormat="1" applyFont="1" applyFill="1" applyBorder="1" applyAlignment="1" applyProtection="1">
      <alignment horizontal="center" vertical="center"/>
      <protection hidden="1"/>
    </xf>
    <xf numFmtId="164" fontId="37" fillId="29" borderId="0" xfId="0" applyNumberFormat="1" applyFont="1" applyFill="1" applyAlignment="1" applyProtection="1">
      <alignment horizontal="right" vertical="center"/>
      <protection hidden="1"/>
    </xf>
    <xf numFmtId="0" fontId="55" fillId="31" borderId="0" xfId="0" applyFont="1" applyFill="1" applyAlignment="1" applyProtection="1">
      <alignment vertical="center"/>
      <protection hidden="1"/>
    </xf>
    <xf numFmtId="165" fontId="55" fillId="31" borderId="0" xfId="0" applyNumberFormat="1" applyFont="1" applyFill="1" applyBorder="1" applyAlignment="1" applyProtection="1">
      <alignment horizontal="center"/>
      <protection hidden="1"/>
    </xf>
    <xf numFmtId="0" fontId="0" fillId="5" borderId="0" xfId="0" applyFill="1"/>
    <xf numFmtId="0" fontId="38" fillId="0" borderId="0" xfId="0" applyFont="1"/>
    <xf numFmtId="0" fontId="9" fillId="5" borderId="0" xfId="0" applyFont="1" applyFill="1" applyBorder="1"/>
    <xf numFmtId="0" fontId="9" fillId="5" borderId="0" xfId="0" applyFont="1" applyFill="1" applyBorder="1" applyAlignment="1">
      <alignment horizontal="right"/>
    </xf>
    <xf numFmtId="0" fontId="9" fillId="5" borderId="15" xfId="0" applyFont="1" applyFill="1" applyBorder="1"/>
    <xf numFmtId="164" fontId="9" fillId="5" borderId="0" xfId="0" applyNumberFormat="1" applyFont="1" applyFill="1" applyBorder="1" applyAlignment="1">
      <alignment horizontal="right"/>
    </xf>
    <xf numFmtId="0" fontId="9" fillId="35" borderId="15" xfId="0" applyFont="1" applyFill="1" applyBorder="1"/>
    <xf numFmtId="0" fontId="9" fillId="2" borderId="15" xfId="0" applyFont="1" applyFill="1" applyBorder="1"/>
    <xf numFmtId="0" fontId="9" fillId="36" borderId="0" xfId="0" applyFont="1" applyFill="1" applyBorder="1"/>
    <xf numFmtId="0" fontId="9" fillId="4" borderId="0" xfId="0" applyFont="1" applyFill="1" applyBorder="1"/>
    <xf numFmtId="165" fontId="9" fillId="5" borderId="0" xfId="0" applyNumberFormat="1" applyFont="1" applyFill="1" applyAlignment="1" applyProtection="1">
      <alignment vertical="center"/>
      <protection hidden="1"/>
    </xf>
    <xf numFmtId="0" fontId="9" fillId="3" borderId="15" xfId="0" applyFont="1" applyFill="1" applyBorder="1"/>
    <xf numFmtId="0" fontId="9" fillId="5" borderId="16" xfId="0" applyFont="1" applyFill="1" applyBorder="1"/>
    <xf numFmtId="0" fontId="9" fillId="5" borderId="15" xfId="0" applyFont="1" applyFill="1" applyBorder="1" applyAlignment="1">
      <alignment horizontal="right" vertical="center"/>
    </xf>
    <xf numFmtId="0" fontId="9" fillId="5" borderId="22" xfId="0" quotePrefix="1" applyFont="1" applyFill="1" applyBorder="1" applyAlignment="1">
      <alignment horizontal="right" vertical="center"/>
    </xf>
    <xf numFmtId="16" fontId="9" fillId="5" borderId="22" xfId="0" quotePrefix="1" applyNumberFormat="1" applyFont="1" applyFill="1" applyBorder="1" applyAlignment="1">
      <alignment horizontal="right" vertical="center"/>
    </xf>
    <xf numFmtId="0" fontId="9" fillId="5" borderId="15" xfId="0" quotePrefix="1" applyFont="1" applyFill="1" applyBorder="1" applyAlignment="1">
      <alignment horizontal="right" vertical="center"/>
    </xf>
    <xf numFmtId="16" fontId="9" fillId="5" borderId="15" xfId="0" quotePrefix="1" applyNumberFormat="1" applyFont="1" applyFill="1" applyBorder="1" applyAlignment="1">
      <alignment horizontal="right" vertical="center"/>
    </xf>
    <xf numFmtId="0" fontId="9" fillId="5" borderId="15" xfId="0" applyFont="1" applyFill="1" applyBorder="1" applyAlignment="1">
      <alignment horizontal="right"/>
    </xf>
    <xf numFmtId="3" fontId="9" fillId="5" borderId="15" xfId="0" applyNumberFormat="1" applyFont="1" applyFill="1" applyBorder="1" applyAlignment="1">
      <alignment horizontal="right" vertical="center"/>
    </xf>
    <xf numFmtId="1" fontId="9" fillId="15" borderId="15" xfId="0" applyNumberFormat="1" applyFont="1" applyFill="1" applyBorder="1" applyAlignment="1">
      <alignment horizontal="right" vertical="center"/>
    </xf>
    <xf numFmtId="1" fontId="9" fillId="15" borderId="15" xfId="0" applyNumberFormat="1" applyFont="1" applyFill="1" applyBorder="1" applyAlignment="1">
      <alignment horizontal="right"/>
    </xf>
    <xf numFmtId="3" fontId="9" fillId="15" borderId="15" xfId="0" applyNumberFormat="1" applyFont="1" applyFill="1" applyBorder="1" applyAlignment="1">
      <alignment horizontal="right" vertical="center"/>
    </xf>
    <xf numFmtId="0" fontId="9" fillId="15" borderId="22" xfId="0" applyFont="1" applyFill="1" applyBorder="1" applyAlignment="1">
      <alignment horizontal="right" vertical="center"/>
    </xf>
    <xf numFmtId="0" fontId="9" fillId="15" borderId="15" xfId="0" applyFont="1" applyFill="1" applyBorder="1" applyAlignment="1">
      <alignment horizontal="right" vertical="center"/>
    </xf>
    <xf numFmtId="0" fontId="9" fillId="5" borderId="15" xfId="0" applyFont="1" applyFill="1" applyBorder="1" applyAlignment="1">
      <alignment horizontal="left"/>
    </xf>
    <xf numFmtId="0" fontId="9" fillId="5" borderId="0" xfId="0" applyFont="1" applyFill="1" applyBorder="1" applyAlignment="1">
      <alignment vertical="center"/>
    </xf>
    <xf numFmtId="164" fontId="9" fillId="5" borderId="0" xfId="0" applyNumberFormat="1" applyFont="1" applyFill="1" applyBorder="1"/>
    <xf numFmtId="164" fontId="9" fillId="5" borderId="15" xfId="0" applyNumberFormat="1" applyFont="1" applyFill="1" applyBorder="1" applyAlignment="1">
      <alignment horizontal="right"/>
    </xf>
    <xf numFmtId="165" fontId="9" fillId="5" borderId="0" xfId="0" applyNumberFormat="1" applyFont="1" applyFill="1" applyBorder="1"/>
    <xf numFmtId="165" fontId="9" fillId="5" borderId="15" xfId="0" applyNumberFormat="1" applyFont="1" applyFill="1" applyBorder="1" applyAlignment="1">
      <alignment horizontal="right"/>
    </xf>
    <xf numFmtId="165" fontId="9" fillId="5" borderId="15" xfId="0" applyNumberFormat="1" applyFont="1" applyFill="1" applyBorder="1" applyAlignment="1">
      <alignment horizontal="right" vertical="center"/>
    </xf>
    <xf numFmtId="0" fontId="38" fillId="3" borderId="0" xfId="0" applyFont="1" applyFill="1"/>
    <xf numFmtId="0" fontId="20" fillId="5" borderId="0" xfId="0" applyFont="1" applyFill="1" applyBorder="1" applyAlignment="1" applyProtection="1">
      <alignment horizontal="center" vertical="center"/>
      <protection hidden="1"/>
    </xf>
    <xf numFmtId="0" fontId="9" fillId="5" borderId="0" xfId="0" applyFont="1" applyFill="1" applyBorder="1" applyAlignment="1" applyProtection="1">
      <alignment horizontal="left"/>
      <protection hidden="1"/>
    </xf>
    <xf numFmtId="0" fontId="0" fillId="5" borderId="0" xfId="0" applyFill="1" applyBorder="1" applyAlignment="1" applyProtection="1">
      <protection hidden="1"/>
    </xf>
    <xf numFmtId="0" fontId="19" fillId="5" borderId="0" xfId="0" applyFont="1" applyFill="1" applyAlignment="1" applyProtection="1">
      <alignment horizontal="center"/>
      <protection hidden="1"/>
    </xf>
    <xf numFmtId="0" fontId="9" fillId="5" borderId="0" xfId="0" applyFont="1" applyFill="1" applyBorder="1" applyAlignment="1" applyProtection="1">
      <alignment horizontal="center"/>
      <protection hidden="1"/>
    </xf>
    <xf numFmtId="0" fontId="9" fillId="5" borderId="0" xfId="0" applyFont="1" applyFill="1" applyAlignment="1" applyProtection="1">
      <protection hidden="1"/>
    </xf>
    <xf numFmtId="0" fontId="0" fillId="5" borderId="0" xfId="0" applyFill="1" applyAlignment="1" applyProtection="1">
      <alignment horizontal="right" vertical="center"/>
      <protection hidden="1"/>
    </xf>
    <xf numFmtId="0" fontId="9" fillId="5" borderId="22" xfId="0" applyFont="1" applyFill="1" applyBorder="1" applyAlignment="1">
      <alignment horizontal="right" vertical="center"/>
    </xf>
    <xf numFmtId="0" fontId="9" fillId="5" borderId="15" xfId="0" applyFont="1" applyFill="1" applyBorder="1" applyAlignment="1" applyProtection="1">
      <alignment horizontal="right" vertical="center"/>
      <protection hidden="1"/>
    </xf>
    <xf numFmtId="0" fontId="9" fillId="5" borderId="15" xfId="0" applyFont="1" applyFill="1" applyBorder="1" applyAlignment="1" applyProtection="1">
      <alignment vertical="center"/>
      <protection hidden="1"/>
    </xf>
    <xf numFmtId="0" fontId="29" fillId="5" borderId="0" xfId="0" applyFont="1" applyFill="1" applyBorder="1" applyAlignment="1">
      <alignment horizontal="left" vertical="center"/>
    </xf>
    <xf numFmtId="0" fontId="66" fillId="5" borderId="0" xfId="0" applyFont="1" applyFill="1" applyBorder="1" applyAlignment="1">
      <alignment horizontal="left" vertical="center"/>
    </xf>
    <xf numFmtId="165" fontId="0" fillId="5" borderId="0" xfId="0" applyNumberFormat="1" applyFill="1" applyBorder="1" applyAlignment="1" applyProtection="1">
      <alignment vertical="center"/>
      <protection hidden="1"/>
    </xf>
    <xf numFmtId="0" fontId="9" fillId="5" borderId="0" xfId="5" applyFont="1" applyFill="1" applyAlignment="1" applyProtection="1">
      <alignment horizontal="center" vertical="center"/>
      <protection hidden="1"/>
    </xf>
    <xf numFmtId="165" fontId="65" fillId="5" borderId="0" xfId="0" applyNumberFormat="1" applyFont="1" applyFill="1" applyBorder="1" applyAlignment="1" applyProtection="1">
      <alignment horizontal="center" vertical="center"/>
      <protection hidden="1"/>
    </xf>
    <xf numFmtId="0" fontId="9" fillId="44" borderId="15" xfId="0" applyFont="1" applyFill="1" applyBorder="1"/>
    <xf numFmtId="0" fontId="9" fillId="4" borderId="15" xfId="0" applyFont="1" applyFill="1" applyBorder="1"/>
    <xf numFmtId="0" fontId="9" fillId="43" borderId="15" xfId="0" applyFont="1" applyFill="1" applyBorder="1"/>
    <xf numFmtId="0" fontId="9" fillId="24" borderId="15" xfId="0" applyFont="1" applyFill="1" applyBorder="1"/>
    <xf numFmtId="0" fontId="12" fillId="2" borderId="15" xfId="0" applyFont="1" applyFill="1" applyBorder="1"/>
    <xf numFmtId="3" fontId="9" fillId="5" borderId="15" xfId="0" applyNumberFormat="1" applyFont="1" applyFill="1" applyBorder="1" applyAlignment="1">
      <alignment horizontal="right"/>
    </xf>
    <xf numFmtId="0" fontId="9" fillId="5" borderId="28" xfId="0" applyFont="1" applyFill="1" applyBorder="1"/>
    <xf numFmtId="0" fontId="9" fillId="5" borderId="16" xfId="0" applyFont="1" applyFill="1" applyBorder="1" applyAlignment="1">
      <alignment horizontal="right"/>
    </xf>
    <xf numFmtId="0" fontId="47" fillId="5" borderId="15" xfId="0" applyFont="1" applyFill="1" applyBorder="1"/>
    <xf numFmtId="0" fontId="47" fillId="5" borderId="15" xfId="0" applyFont="1" applyFill="1" applyBorder="1" applyAlignment="1">
      <alignment horizontal="right" vertical="center"/>
    </xf>
    <xf numFmtId="0" fontId="47" fillId="5" borderId="0" xfId="0" applyFont="1" applyFill="1" applyBorder="1" applyAlignment="1">
      <alignment horizontal="right" vertical="center"/>
    </xf>
    <xf numFmtId="0" fontId="68" fillId="5" borderId="0" xfId="0" applyFont="1" applyFill="1" applyBorder="1"/>
    <xf numFmtId="165" fontId="9" fillId="5" borderId="15" xfId="0" applyNumberFormat="1" applyFont="1" applyFill="1" applyBorder="1"/>
    <xf numFmtId="0" fontId="9" fillId="5" borderId="15" xfId="0" applyFont="1" applyFill="1" applyBorder="1" applyAlignment="1">
      <alignment wrapText="1"/>
    </xf>
    <xf numFmtId="1" fontId="9" fillId="5" borderId="15" xfId="0" applyNumberFormat="1" applyFont="1" applyFill="1" applyBorder="1" applyAlignment="1">
      <alignment horizontal="right"/>
    </xf>
    <xf numFmtId="0" fontId="9" fillId="52" borderId="15" xfId="0" applyFont="1" applyFill="1" applyBorder="1" applyAlignment="1">
      <alignment horizontal="center" vertical="center"/>
    </xf>
    <xf numFmtId="0" fontId="9" fillId="52" borderId="27" xfId="0" applyFont="1" applyFill="1" applyBorder="1" applyAlignment="1">
      <alignment horizontal="center" vertical="center"/>
    </xf>
    <xf numFmtId="0" fontId="9" fillId="5" borderId="27" xfId="0" applyFont="1" applyFill="1" applyBorder="1"/>
    <xf numFmtId="0" fontId="9" fillId="5" borderId="22" xfId="0" applyFont="1" applyFill="1" applyBorder="1"/>
    <xf numFmtId="0" fontId="9" fillId="5" borderId="22" xfId="0" applyFont="1" applyFill="1" applyBorder="1" applyAlignment="1">
      <alignment horizontal="right"/>
    </xf>
    <xf numFmtId="0" fontId="9" fillId="5" borderId="13" xfId="0" applyFont="1" applyFill="1" applyBorder="1"/>
    <xf numFmtId="0" fontId="9" fillId="5" borderId="29" xfId="0" applyFont="1" applyFill="1" applyBorder="1" applyAlignment="1">
      <alignment horizontal="right"/>
    </xf>
    <xf numFmtId="0" fontId="9" fillId="5" borderId="0" xfId="0" applyFont="1" applyFill="1" applyBorder="1" applyAlignment="1">
      <alignment horizontal="right" vertical="center"/>
    </xf>
    <xf numFmtId="0" fontId="9" fillId="5" borderId="16" xfId="0" applyFont="1" applyFill="1" applyBorder="1" applyAlignment="1">
      <alignment horizontal="right" vertical="center"/>
    </xf>
    <xf numFmtId="0" fontId="9" fillId="5" borderId="28" xfId="0" applyFont="1" applyFill="1" applyBorder="1" applyAlignment="1">
      <alignment horizontal="right" vertical="center"/>
    </xf>
    <xf numFmtId="0" fontId="9" fillId="5" borderId="29" xfId="0" applyFont="1" applyFill="1" applyBorder="1" applyAlignment="1">
      <alignment horizontal="right" vertical="center"/>
    </xf>
    <xf numFmtId="0" fontId="9" fillId="5" borderId="13" xfId="0" applyFont="1" applyFill="1" applyBorder="1" applyAlignment="1">
      <alignment horizontal="right" vertical="center"/>
    </xf>
    <xf numFmtId="0" fontId="9" fillId="5" borderId="27" xfId="0" applyFont="1" applyFill="1" applyBorder="1" applyAlignment="1">
      <alignment horizontal="right" vertical="center"/>
    </xf>
    <xf numFmtId="0" fontId="12" fillId="53" borderId="15" xfId="0" applyFont="1" applyFill="1" applyBorder="1" applyAlignment="1">
      <alignment horizontal="center"/>
    </xf>
    <xf numFmtId="0" fontId="9" fillId="5" borderId="30" xfId="0" applyFont="1" applyFill="1" applyBorder="1" applyAlignment="1">
      <alignment horizontal="right" vertical="center"/>
    </xf>
    <xf numFmtId="164" fontId="28" fillId="29" borderId="0" xfId="0" applyNumberFormat="1" applyFont="1" applyFill="1" applyBorder="1" applyAlignment="1" applyProtection="1">
      <alignment horizontal="right" vertical="center" wrapText="1"/>
      <protection hidden="1"/>
    </xf>
    <xf numFmtId="165" fontId="9" fillId="5" borderId="16" xfId="0" applyNumberFormat="1" applyFont="1" applyFill="1" applyBorder="1" applyAlignment="1">
      <alignment horizontal="right" vertical="center"/>
    </xf>
    <xf numFmtId="165" fontId="9" fillId="5" borderId="22" xfId="0" applyNumberFormat="1" applyFont="1" applyFill="1" applyBorder="1" applyAlignment="1">
      <alignment horizontal="right" vertical="center"/>
    </xf>
    <xf numFmtId="165" fontId="9" fillId="5" borderId="29" xfId="0" applyNumberFormat="1" applyFont="1" applyFill="1" applyBorder="1" applyAlignment="1">
      <alignment horizontal="right" vertical="center"/>
    </xf>
    <xf numFmtId="165" fontId="9" fillId="5" borderId="32" xfId="0" applyNumberFormat="1" applyFont="1" applyFill="1" applyBorder="1" applyAlignment="1">
      <alignment horizontal="right" vertical="center"/>
    </xf>
    <xf numFmtId="165" fontId="9" fillId="5" borderId="26" xfId="0" applyNumberFormat="1" applyFont="1" applyFill="1" applyBorder="1" applyAlignment="1">
      <alignment horizontal="right" vertical="center"/>
    </xf>
    <xf numFmtId="0" fontId="9" fillId="5" borderId="0" xfId="0" applyFont="1" applyFill="1" applyBorder="1" applyAlignment="1">
      <alignment horizontal="left"/>
    </xf>
    <xf numFmtId="0" fontId="9" fillId="28" borderId="15" xfId="0" applyFont="1" applyFill="1" applyBorder="1" applyAlignment="1">
      <alignment horizontal="left"/>
    </xf>
    <xf numFmtId="0" fontId="9" fillId="28" borderId="15" xfId="0" applyFont="1" applyFill="1" applyBorder="1" applyAlignment="1">
      <alignment horizontal="right"/>
    </xf>
    <xf numFmtId="0" fontId="9" fillId="6" borderId="15" xfId="0" applyFont="1" applyFill="1" applyBorder="1"/>
    <xf numFmtId="0" fontId="9" fillId="5" borderId="34" xfId="0" applyFont="1" applyFill="1" applyBorder="1" applyAlignment="1">
      <alignment horizontal="right" vertical="center"/>
    </xf>
    <xf numFmtId="0" fontId="9" fillId="28" borderId="0" xfId="0" applyFont="1" applyFill="1" applyBorder="1"/>
    <xf numFmtId="0" fontId="9" fillId="28" borderId="15" xfId="0" applyFont="1" applyFill="1" applyBorder="1"/>
    <xf numFmtId="0" fontId="9" fillId="38" borderId="15" xfId="0" applyFont="1" applyFill="1" applyBorder="1" applyAlignment="1" applyProtection="1">
      <alignment vertical="center"/>
      <protection hidden="1"/>
    </xf>
    <xf numFmtId="0" fontId="9" fillId="38" borderId="15" xfId="0" applyFont="1" applyFill="1" applyBorder="1"/>
    <xf numFmtId="0" fontId="9" fillId="5" borderId="15" xfId="0" applyFont="1" applyFill="1" applyBorder="1" applyAlignment="1" applyProtection="1">
      <alignment horizontal="left" vertical="center"/>
      <protection hidden="1"/>
    </xf>
    <xf numFmtId="0" fontId="9" fillId="5" borderId="23" xfId="0" applyFont="1" applyFill="1" applyBorder="1"/>
    <xf numFmtId="0" fontId="68" fillId="54" borderId="0" xfId="0" applyFont="1" applyFill="1" applyBorder="1"/>
    <xf numFmtId="0" fontId="9" fillId="5" borderId="23" xfId="0" applyFont="1" applyFill="1" applyBorder="1" applyAlignment="1">
      <alignment horizontal="right"/>
    </xf>
    <xf numFmtId="0" fontId="9" fillId="5" borderId="6" xfId="0" applyFont="1" applyFill="1" applyBorder="1"/>
    <xf numFmtId="0" fontId="9" fillId="5" borderId="33" xfId="0" applyFont="1" applyFill="1" applyBorder="1"/>
    <xf numFmtId="0" fontId="9" fillId="5" borderId="33" xfId="0" applyFont="1" applyFill="1" applyBorder="1" applyAlignment="1">
      <alignment horizontal="right"/>
    </xf>
    <xf numFmtId="0" fontId="9" fillId="54" borderId="0" xfId="0" applyFont="1" applyFill="1" applyBorder="1"/>
    <xf numFmtId="0" fontId="70" fillId="5" borderId="0" xfId="0" applyFont="1" applyFill="1" applyBorder="1"/>
    <xf numFmtId="0" fontId="71" fillId="5" borderId="0" xfId="0" applyFont="1" applyFill="1" applyBorder="1"/>
    <xf numFmtId="0" fontId="71" fillId="5" borderId="35" xfId="0" applyFont="1" applyFill="1" applyBorder="1"/>
    <xf numFmtId="0" fontId="9" fillId="5" borderId="36" xfId="0" applyFont="1" applyFill="1" applyBorder="1"/>
    <xf numFmtId="0" fontId="9" fillId="5" borderId="37" xfId="0" applyFont="1" applyFill="1" applyBorder="1"/>
    <xf numFmtId="0" fontId="71" fillId="5" borderId="38" xfId="0" applyFont="1" applyFill="1" applyBorder="1"/>
    <xf numFmtId="0" fontId="9" fillId="5" borderId="39" xfId="0" applyFont="1" applyFill="1" applyBorder="1"/>
    <xf numFmtId="0" fontId="68" fillId="28" borderId="0" xfId="0" applyFont="1" applyFill="1" applyBorder="1"/>
    <xf numFmtId="0" fontId="9" fillId="5" borderId="15" xfId="0" applyNumberFormat="1" applyFont="1" applyFill="1" applyBorder="1" applyAlignment="1">
      <alignment horizontal="right" vertical="center"/>
    </xf>
    <xf numFmtId="0" fontId="9" fillId="52" borderId="15" xfId="0" applyFont="1" applyFill="1" applyBorder="1" applyAlignment="1">
      <alignment horizontal="center"/>
    </xf>
    <xf numFmtId="0" fontId="71" fillId="5" borderId="3" xfId="0" applyFont="1" applyFill="1" applyBorder="1"/>
    <xf numFmtId="0" fontId="9" fillId="5" borderId="2" xfId="0" applyFont="1" applyFill="1" applyBorder="1"/>
    <xf numFmtId="0" fontId="9" fillId="54" borderId="15" xfId="0" applyFont="1" applyFill="1" applyBorder="1"/>
    <xf numFmtId="0" fontId="14" fillId="28" borderId="15" xfId="0" applyFont="1" applyFill="1" applyBorder="1" applyAlignment="1">
      <alignment horizontal="right" vertical="center"/>
    </xf>
    <xf numFmtId="0" fontId="68" fillId="43" borderId="15" xfId="0" applyFont="1" applyFill="1" applyBorder="1" applyAlignment="1">
      <alignment horizontal="left" vertical="center"/>
    </xf>
    <xf numFmtId="0" fontId="9" fillId="28" borderId="0" xfId="0" applyFont="1" applyFill="1" applyBorder="1" applyAlignment="1">
      <alignment vertical="center"/>
    </xf>
    <xf numFmtId="0" fontId="73" fillId="5" borderId="0" xfId="0" applyFont="1" applyFill="1" applyBorder="1" applyAlignment="1">
      <alignment horizontal="left" vertical="center"/>
    </xf>
    <xf numFmtId="0" fontId="62" fillId="54" borderId="0" xfId="0" applyFont="1" applyFill="1" applyBorder="1"/>
    <xf numFmtId="0" fontId="9" fillId="46" borderId="27" xfId="0" applyFont="1" applyFill="1" applyBorder="1" applyAlignment="1">
      <alignment horizontal="center"/>
    </xf>
    <xf numFmtId="0" fontId="9" fillId="12" borderId="27" xfId="0" applyFont="1" applyFill="1" applyBorder="1" applyAlignment="1">
      <alignment horizontal="center"/>
    </xf>
    <xf numFmtId="0" fontId="9" fillId="50" borderId="27" xfId="0" applyFont="1" applyFill="1" applyBorder="1" applyAlignment="1">
      <alignment horizontal="center"/>
    </xf>
    <xf numFmtId="0" fontId="9" fillId="5" borderId="31" xfId="0" applyFont="1" applyFill="1" applyBorder="1"/>
    <xf numFmtId="0" fontId="9" fillId="5" borderId="30" xfId="0" applyFont="1" applyFill="1" applyBorder="1"/>
    <xf numFmtId="0" fontId="9" fillId="46" borderId="27" xfId="0" applyFont="1" applyFill="1" applyBorder="1" applyAlignment="1">
      <alignment horizontal="left"/>
    </xf>
    <xf numFmtId="165" fontId="17" fillId="5" borderId="0" xfId="4" applyNumberFormat="1" applyFont="1" applyFill="1" applyBorder="1" applyAlignment="1" applyProtection="1">
      <alignment horizontal="left" vertical="center"/>
      <protection hidden="1"/>
    </xf>
    <xf numFmtId="165" fontId="9" fillId="5" borderId="0" xfId="0" applyNumberFormat="1" applyFont="1" applyFill="1" applyBorder="1" applyProtection="1">
      <protection hidden="1"/>
    </xf>
    <xf numFmtId="0" fontId="57" fillId="52" borderId="15" xfId="0" applyFont="1" applyFill="1" applyBorder="1" applyAlignment="1">
      <alignment horizontal="left" vertical="center"/>
    </xf>
    <xf numFmtId="0" fontId="61" fillId="54" borderId="0" xfId="0" applyFont="1" applyFill="1" applyBorder="1"/>
    <xf numFmtId="0" fontId="61" fillId="28" borderId="15" xfId="0" applyFont="1" applyFill="1" applyBorder="1" applyAlignment="1">
      <alignment horizontal="right" vertical="center"/>
    </xf>
    <xf numFmtId="0" fontId="32" fillId="28" borderId="15" xfId="0" applyFont="1" applyFill="1" applyBorder="1" applyAlignment="1">
      <alignment horizontal="left" vertical="center"/>
    </xf>
    <xf numFmtId="0" fontId="32" fillId="53" borderId="15" xfId="0" applyFont="1" applyFill="1" applyBorder="1" applyAlignment="1">
      <alignment horizontal="left"/>
    </xf>
    <xf numFmtId="0" fontId="60" fillId="5" borderId="15" xfId="0" applyFont="1" applyFill="1" applyBorder="1" applyAlignment="1">
      <alignment horizontal="right"/>
    </xf>
    <xf numFmtId="0" fontId="0" fillId="5" borderId="22" xfId="0" applyFill="1" applyBorder="1"/>
    <xf numFmtId="0" fontId="9" fillId="5" borderId="29" xfId="0" applyFont="1" applyFill="1" applyBorder="1"/>
    <xf numFmtId="0" fontId="0" fillId="5" borderId="15" xfId="0" applyFill="1" applyBorder="1"/>
    <xf numFmtId="0" fontId="39" fillId="28" borderId="0" xfId="0" applyFont="1" applyFill="1" applyBorder="1"/>
    <xf numFmtId="0" fontId="76" fillId="28" borderId="0" xfId="0" applyFont="1" applyFill="1" applyBorder="1" applyAlignment="1">
      <alignment vertical="center"/>
    </xf>
    <xf numFmtId="0" fontId="60" fillId="5" borderId="15" xfId="0" applyFont="1" applyFill="1" applyBorder="1"/>
    <xf numFmtId="0" fontId="47" fillId="5" borderId="28" xfId="0" applyFont="1" applyFill="1" applyBorder="1" applyAlignment="1">
      <alignment horizontal="right" vertical="center"/>
    </xf>
    <xf numFmtId="0" fontId="47" fillId="5" borderId="13" xfId="0" applyFont="1" applyFill="1" applyBorder="1" applyAlignment="1">
      <alignment horizontal="right" vertical="center"/>
    </xf>
    <xf numFmtId="0" fontId="47" fillId="5" borderId="22" xfId="0" applyFont="1" applyFill="1" applyBorder="1" applyAlignment="1">
      <alignment horizontal="right" vertical="center"/>
    </xf>
    <xf numFmtId="165" fontId="9" fillId="5" borderId="16" xfId="0" applyNumberFormat="1" applyFont="1" applyFill="1" applyBorder="1"/>
    <xf numFmtId="165" fontId="9" fillId="5" borderId="27" xfId="0" applyNumberFormat="1" applyFont="1" applyFill="1" applyBorder="1"/>
    <xf numFmtId="0" fontId="12" fillId="5" borderId="15" xfId="0" applyFont="1" applyFill="1" applyBorder="1" applyAlignment="1">
      <alignment horizontal="right"/>
    </xf>
    <xf numFmtId="0" fontId="62" fillId="55" borderId="0" xfId="0" applyFont="1" applyFill="1" applyBorder="1" applyAlignment="1">
      <alignment vertical="center"/>
    </xf>
    <xf numFmtId="0" fontId="9" fillId="55" borderId="0" xfId="0" applyFont="1" applyFill="1" applyBorder="1"/>
    <xf numFmtId="0" fontId="9" fillId="56" borderId="0" xfId="0" applyFont="1" applyFill="1" applyBorder="1"/>
    <xf numFmtId="0" fontId="77" fillId="56" borderId="0" xfId="0" applyFont="1" applyFill="1" applyBorder="1" applyAlignment="1">
      <alignment vertical="center"/>
    </xf>
    <xf numFmtId="0" fontId="77" fillId="58" borderId="0" xfId="0" applyFont="1" applyFill="1" applyBorder="1" applyAlignment="1">
      <alignment vertical="center"/>
    </xf>
    <xf numFmtId="0" fontId="9" fillId="58" borderId="0" xfId="0" applyFont="1" applyFill="1" applyBorder="1"/>
    <xf numFmtId="0" fontId="77" fillId="57" borderId="0" xfId="0" applyFont="1" applyFill="1" applyBorder="1" applyAlignment="1">
      <alignment vertical="center"/>
    </xf>
    <xf numFmtId="0" fontId="15" fillId="57" borderId="0" xfId="0" applyFont="1" applyFill="1" applyBorder="1"/>
    <xf numFmtId="165" fontId="9" fillId="5" borderId="16" xfId="0" applyNumberFormat="1" applyFont="1" applyFill="1" applyBorder="1" applyAlignment="1">
      <alignment horizontal="right"/>
    </xf>
    <xf numFmtId="0" fontId="68" fillId="59" borderId="0" xfId="0" applyFont="1" applyFill="1" applyBorder="1"/>
    <xf numFmtId="0" fontId="9" fillId="59" borderId="0" xfId="0" applyFont="1" applyFill="1" applyBorder="1"/>
    <xf numFmtId="3" fontId="9" fillId="5" borderId="0" xfId="0" applyNumberFormat="1" applyFont="1" applyFill="1" applyAlignment="1" applyProtection="1">
      <alignment vertical="center"/>
      <protection hidden="1"/>
    </xf>
    <xf numFmtId="2" fontId="9" fillId="15" borderId="0" xfId="4" applyFont="1" applyFill="1" applyBorder="1" applyAlignment="1" applyProtection="1">
      <alignment horizontal="left" vertical="center"/>
      <protection hidden="1"/>
    </xf>
    <xf numFmtId="164" fontId="35" fillId="39" borderId="0" xfId="0" applyNumberFormat="1" applyFont="1" applyFill="1" applyBorder="1" applyAlignment="1" applyProtection="1">
      <alignment horizontal="center" vertical="center"/>
      <protection hidden="1"/>
    </xf>
    <xf numFmtId="164" fontId="9" fillId="5" borderId="15" xfId="0" applyNumberFormat="1" applyFont="1" applyFill="1" applyBorder="1"/>
    <xf numFmtId="0" fontId="62" fillId="60" borderId="0" xfId="0" applyFont="1" applyFill="1" applyBorder="1" applyAlignment="1">
      <alignment vertical="center"/>
    </xf>
    <xf numFmtId="0" fontId="9" fillId="60" borderId="0" xfId="0" applyFont="1" applyFill="1" applyBorder="1"/>
    <xf numFmtId="0" fontId="62" fillId="60" borderId="0" xfId="0" applyFont="1" applyFill="1" applyBorder="1"/>
    <xf numFmtId="0" fontId="61" fillId="45" borderId="0" xfId="0" quotePrefix="1" applyFont="1" applyFill="1" applyBorder="1"/>
    <xf numFmtId="0" fontId="9" fillId="45" borderId="0" xfId="0" applyFont="1" applyFill="1" applyBorder="1"/>
    <xf numFmtId="0" fontId="9" fillId="61" borderId="15" xfId="0" applyFont="1" applyFill="1" applyBorder="1" applyAlignment="1">
      <alignment horizontal="left"/>
    </xf>
    <xf numFmtId="0" fontId="9" fillId="61" borderId="15" xfId="0" applyFont="1" applyFill="1" applyBorder="1" applyAlignment="1">
      <alignment horizontal="right"/>
    </xf>
    <xf numFmtId="0" fontId="9" fillId="61" borderId="15" xfId="0" applyFont="1" applyFill="1" applyBorder="1"/>
    <xf numFmtId="0" fontId="9" fillId="62" borderId="15" xfId="0" applyFont="1" applyFill="1" applyBorder="1"/>
    <xf numFmtId="0" fontId="62" fillId="63" borderId="0" xfId="0" applyFont="1" applyFill="1" applyBorder="1"/>
    <xf numFmtId="0" fontId="9" fillId="63" borderId="15" xfId="0" applyFont="1" applyFill="1" applyBorder="1"/>
    <xf numFmtId="0" fontId="9" fillId="63" borderId="15" xfId="0" applyFont="1" applyFill="1" applyBorder="1" applyAlignment="1">
      <alignment horizontal="right"/>
    </xf>
    <xf numFmtId="0" fontId="9" fillId="63" borderId="15" xfId="0" applyFont="1" applyFill="1" applyBorder="1" applyAlignment="1">
      <alignment horizontal="left"/>
    </xf>
    <xf numFmtId="0" fontId="9" fillId="64" borderId="15" xfId="0" applyFont="1" applyFill="1" applyBorder="1"/>
    <xf numFmtId="0" fontId="77" fillId="65" borderId="0" xfId="0" applyFont="1" applyFill="1" applyBorder="1" applyAlignment="1">
      <alignment vertical="center"/>
    </xf>
    <xf numFmtId="0" fontId="9" fillId="65" borderId="0" xfId="0" applyFont="1" applyFill="1" applyBorder="1"/>
    <xf numFmtId="0" fontId="9" fillId="65" borderId="15" xfId="0" applyFont="1" applyFill="1" applyBorder="1"/>
    <xf numFmtId="0" fontId="9" fillId="66" borderId="15" xfId="0" applyFont="1" applyFill="1" applyBorder="1"/>
    <xf numFmtId="0" fontId="9" fillId="63" borderId="22" xfId="0" applyFont="1" applyFill="1" applyBorder="1" applyAlignment="1">
      <alignment horizontal="right"/>
    </xf>
    <xf numFmtId="165" fontId="9" fillId="63" borderId="22" xfId="0" applyNumberFormat="1" applyFont="1" applyFill="1" applyBorder="1"/>
    <xf numFmtId="0" fontId="39" fillId="67" borderId="0" xfId="0" applyFont="1" applyFill="1" applyBorder="1" applyAlignment="1">
      <alignment vertical="center"/>
    </xf>
    <xf numFmtId="0" fontId="9" fillId="67" borderId="0" xfId="0" applyFont="1" applyFill="1" applyBorder="1"/>
    <xf numFmtId="0" fontId="68" fillId="67" borderId="0" xfId="0" applyFont="1" applyFill="1" applyBorder="1"/>
    <xf numFmtId="0" fontId="62" fillId="68" borderId="0" xfId="0" applyFont="1" applyFill="1" applyBorder="1" applyAlignment="1">
      <alignment horizontal="left" vertical="center"/>
    </xf>
    <xf numFmtId="0" fontId="9" fillId="68" borderId="0" xfId="0" applyFont="1" applyFill="1" applyBorder="1"/>
    <xf numFmtId="0" fontId="9" fillId="68" borderId="15" xfId="0" applyFont="1" applyFill="1" applyBorder="1" applyAlignment="1" applyProtection="1">
      <alignment vertical="center"/>
      <protection hidden="1"/>
    </xf>
    <xf numFmtId="0" fontId="9" fillId="68" borderId="15" xfId="0" applyFont="1" applyFill="1" applyBorder="1"/>
    <xf numFmtId="0" fontId="9" fillId="68" borderId="15" xfId="0" applyFont="1" applyFill="1" applyBorder="1" applyAlignment="1">
      <alignment horizontal="left"/>
    </xf>
    <xf numFmtId="0" fontId="9" fillId="68" borderId="15" xfId="0" applyFont="1" applyFill="1" applyBorder="1" applyAlignment="1">
      <alignment horizontal="right"/>
    </xf>
    <xf numFmtId="0" fontId="62" fillId="69" borderId="0" xfId="0" applyFont="1" applyFill="1" applyBorder="1" applyAlignment="1">
      <alignment horizontal="left" vertical="center"/>
    </xf>
    <xf numFmtId="0" fontId="9" fillId="69" borderId="15" xfId="0" applyFont="1" applyFill="1" applyBorder="1"/>
    <xf numFmtId="0" fontId="9" fillId="5" borderId="15" xfId="0" applyFont="1" applyFill="1" applyBorder="1" applyAlignment="1">
      <alignment vertical="center"/>
    </xf>
    <xf numFmtId="164" fontId="57" fillId="5" borderId="27" xfId="0" applyNumberFormat="1" applyFont="1" applyFill="1" applyBorder="1" applyAlignment="1">
      <alignment horizontal="right"/>
    </xf>
    <xf numFmtId="164" fontId="9" fillId="5" borderId="27" xfId="0" applyNumberFormat="1" applyFont="1" applyFill="1" applyBorder="1"/>
    <xf numFmtId="164" fontId="9" fillId="5" borderId="16" xfId="0" applyNumberFormat="1" applyFont="1" applyFill="1" applyBorder="1"/>
    <xf numFmtId="164" fontId="9" fillId="5" borderId="30" xfId="0" applyNumberFormat="1" applyFont="1" applyFill="1" applyBorder="1"/>
    <xf numFmtId="164" fontId="35" fillId="70" borderId="7" xfId="0" applyNumberFormat="1" applyFont="1" applyFill="1" applyBorder="1" applyAlignment="1" applyProtection="1">
      <alignment horizontal="center" vertical="center"/>
      <protection hidden="1"/>
    </xf>
    <xf numFmtId="0" fontId="61" fillId="72" borderId="0" xfId="0" applyFont="1" applyFill="1" applyBorder="1" applyAlignment="1" applyProtection="1">
      <alignment vertical="center"/>
      <protection hidden="1"/>
    </xf>
    <xf numFmtId="0" fontId="9" fillId="47" borderId="0" xfId="0" applyFont="1" applyFill="1" applyAlignment="1" applyProtection="1">
      <alignment horizontal="left" vertical="center"/>
      <protection hidden="1"/>
    </xf>
    <xf numFmtId="0" fontId="9" fillId="48" borderId="0" xfId="0" applyFont="1" applyFill="1" applyAlignment="1" applyProtection="1">
      <alignment horizontal="left" vertical="center"/>
      <protection hidden="1"/>
    </xf>
    <xf numFmtId="0" fontId="61" fillId="73" borderId="0" xfId="0" applyFont="1" applyFill="1" applyBorder="1" applyAlignment="1" applyProtection="1">
      <alignment vertical="center"/>
      <protection hidden="1"/>
    </xf>
    <xf numFmtId="0" fontId="62" fillId="45" borderId="0" xfId="0" applyFont="1" applyFill="1" applyBorder="1" applyAlignment="1">
      <alignment horizontal="center" vertical="center"/>
    </xf>
    <xf numFmtId="2" fontId="9" fillId="5" borderId="15" xfId="0" applyNumberFormat="1" applyFont="1" applyFill="1" applyBorder="1" applyAlignment="1">
      <alignment horizontal="right"/>
    </xf>
    <xf numFmtId="0" fontId="9" fillId="5" borderId="28" xfId="0" applyFont="1" applyFill="1" applyBorder="1" applyAlignment="1">
      <alignment horizontal="right"/>
    </xf>
    <xf numFmtId="0" fontId="62" fillId="75" borderId="0" xfId="0" applyFont="1" applyFill="1" applyBorder="1" applyAlignment="1">
      <alignment horizontal="left" vertical="center"/>
    </xf>
    <xf numFmtId="0" fontId="68" fillId="74" borderId="15" xfId="0" applyFont="1" applyFill="1" applyBorder="1" applyAlignment="1">
      <alignment horizontal="left"/>
    </xf>
    <xf numFmtId="0" fontId="9" fillId="74" borderId="15" xfId="0" applyFont="1" applyFill="1" applyBorder="1"/>
    <xf numFmtId="0" fontId="9" fillId="74" borderId="15" xfId="0" applyFont="1" applyFill="1" applyBorder="1" applyAlignment="1">
      <alignment horizontal="right"/>
    </xf>
    <xf numFmtId="0" fontId="9" fillId="76" borderId="15" xfId="0" applyFont="1" applyFill="1" applyBorder="1"/>
    <xf numFmtId="0" fontId="9" fillId="2" borderId="22" xfId="0" applyFont="1" applyFill="1" applyBorder="1"/>
    <xf numFmtId="0" fontId="9" fillId="2" borderId="32" xfId="0" applyFont="1" applyFill="1" applyBorder="1"/>
    <xf numFmtId="165" fontId="9" fillId="2" borderId="15" xfId="0" applyNumberFormat="1" applyFont="1" applyFill="1" applyBorder="1"/>
    <xf numFmtId="0" fontId="9" fillId="38" borderId="15" xfId="0" applyFont="1" applyFill="1" applyBorder="1" applyAlignment="1">
      <alignment horizontal="right" vertical="center"/>
    </xf>
    <xf numFmtId="0" fontId="32" fillId="34" borderId="15" xfId="0" applyFont="1" applyFill="1" applyBorder="1" applyAlignment="1">
      <alignment horizontal="left"/>
    </xf>
    <xf numFmtId="0" fontId="12" fillId="34" borderId="15" xfId="0" applyFont="1" applyFill="1" applyBorder="1" applyAlignment="1">
      <alignment horizontal="center"/>
    </xf>
    <xf numFmtId="0" fontId="32" fillId="6" borderId="15" xfId="0" applyFont="1" applyFill="1" applyBorder="1" applyAlignment="1">
      <alignment horizontal="left" vertical="center"/>
    </xf>
    <xf numFmtId="0" fontId="61" fillId="6" borderId="15" xfId="0" applyFont="1" applyFill="1" applyBorder="1" applyAlignment="1">
      <alignment horizontal="right" vertical="center"/>
    </xf>
    <xf numFmtId="0" fontId="9" fillId="6" borderId="15" xfId="0" applyFont="1" applyFill="1" applyBorder="1" applyAlignment="1">
      <alignment horizontal="left" vertical="center"/>
    </xf>
    <xf numFmtId="0" fontId="9" fillId="6" borderId="15" xfId="0" applyFont="1" applyFill="1" applyBorder="1" applyAlignment="1">
      <alignment horizontal="center" vertical="center"/>
    </xf>
    <xf numFmtId="0" fontId="61" fillId="78" borderId="0" xfId="0" applyFont="1" applyFill="1" applyBorder="1" applyAlignment="1">
      <alignment horizontal="left" vertical="center"/>
    </xf>
    <xf numFmtId="0" fontId="9" fillId="78" borderId="0" xfId="0" applyFont="1" applyFill="1" applyBorder="1" applyAlignment="1">
      <alignment horizontal="left" vertical="center"/>
    </xf>
    <xf numFmtId="0" fontId="9" fillId="5" borderId="0" xfId="0" applyFont="1" applyFill="1" applyBorder="1" applyAlignment="1">
      <alignment horizontal="left" vertical="center"/>
    </xf>
    <xf numFmtId="0" fontId="61" fillId="78" borderId="0" xfId="0" quotePrefix="1" applyFont="1" applyFill="1" applyBorder="1" applyAlignment="1">
      <alignment horizontal="left" vertical="center"/>
    </xf>
    <xf numFmtId="0" fontId="62" fillId="78" borderId="0" xfId="0" applyFont="1" applyFill="1" applyBorder="1" applyAlignment="1">
      <alignment horizontal="left" vertical="center"/>
    </xf>
    <xf numFmtId="0" fontId="0" fillId="5" borderId="22" xfId="0" applyFill="1" applyBorder="1" applyAlignment="1">
      <alignment horizontal="right"/>
    </xf>
    <xf numFmtId="165" fontId="47" fillId="5" borderId="15" xfId="0" applyNumberFormat="1" applyFont="1" applyFill="1" applyBorder="1" applyAlignment="1">
      <alignment horizontal="right" vertical="center"/>
    </xf>
    <xf numFmtId="0" fontId="9" fillId="5" borderId="28" xfId="0" applyFont="1" applyFill="1" applyBorder="1" applyAlignment="1">
      <alignment horizontal="left"/>
    </xf>
    <xf numFmtId="0" fontId="9" fillId="5" borderId="31" xfId="0" applyFont="1" applyFill="1" applyBorder="1" applyAlignment="1">
      <alignment horizontal="left"/>
    </xf>
    <xf numFmtId="0" fontId="68" fillId="10" borderId="15" xfId="0" applyFont="1" applyFill="1" applyBorder="1" applyAlignment="1">
      <alignment horizontal="right"/>
    </xf>
    <xf numFmtId="0" fontId="68" fillId="78" borderId="15" xfId="0" applyFont="1" applyFill="1" applyBorder="1"/>
    <xf numFmtId="165" fontId="9" fillId="38" borderId="15" xfId="0" applyNumberFormat="1" applyFont="1" applyFill="1" applyBorder="1" applyAlignment="1">
      <alignment horizontal="right"/>
    </xf>
    <xf numFmtId="165" fontId="9" fillId="5" borderId="27" xfId="0" applyNumberFormat="1" applyFont="1" applyFill="1" applyBorder="1" applyAlignment="1">
      <alignment horizontal="right"/>
    </xf>
    <xf numFmtId="165" fontId="47" fillId="36" borderId="15" xfId="0" applyNumberFormat="1" applyFont="1" applyFill="1" applyBorder="1" applyAlignment="1">
      <alignment horizontal="right" vertical="center"/>
    </xf>
    <xf numFmtId="0" fontId="9" fillId="80" borderId="0" xfId="0" applyFont="1" applyFill="1" applyBorder="1"/>
    <xf numFmtId="0" fontId="9" fillId="80" borderId="0" xfId="0" applyFont="1" applyFill="1" applyAlignment="1" applyProtection="1">
      <alignment vertical="center"/>
      <protection hidden="1"/>
    </xf>
    <xf numFmtId="165" fontId="9" fillId="80" borderId="0" xfId="0" applyNumberFormat="1" applyFont="1" applyFill="1" applyAlignment="1" applyProtection="1">
      <alignment vertical="center"/>
      <protection hidden="1"/>
    </xf>
    <xf numFmtId="0" fontId="9" fillId="81" borderId="0" xfId="0" applyFont="1" applyFill="1" applyBorder="1"/>
    <xf numFmtId="165" fontId="9" fillId="5" borderId="15" xfId="0" applyNumberFormat="1" applyFont="1" applyFill="1" applyBorder="1" applyAlignment="1" applyProtection="1">
      <alignment vertical="center"/>
      <protection hidden="1"/>
    </xf>
    <xf numFmtId="0" fontId="77" fillId="81" borderId="0" xfId="0" applyFont="1" applyFill="1" applyBorder="1" applyAlignment="1">
      <alignment vertical="center"/>
    </xf>
    <xf numFmtId="0" fontId="9" fillId="74" borderId="15" xfId="0" applyFont="1" applyFill="1" applyBorder="1" applyAlignment="1">
      <alignment horizontal="left" vertical="center"/>
    </xf>
    <xf numFmtId="0" fontId="9" fillId="74" borderId="15" xfId="0" applyFont="1" applyFill="1" applyBorder="1" applyAlignment="1">
      <alignment horizontal="center" vertical="center"/>
    </xf>
    <xf numFmtId="0" fontId="9" fillId="74" borderId="15" xfId="0" applyFont="1" applyFill="1" applyBorder="1" applyAlignment="1">
      <alignment vertical="center"/>
    </xf>
    <xf numFmtId="165" fontId="9" fillId="81" borderId="22" xfId="0" applyNumberFormat="1" applyFont="1" applyFill="1" applyBorder="1" applyAlignment="1">
      <alignment horizontal="right" vertical="center"/>
    </xf>
    <xf numFmtId="165" fontId="9" fillId="81" borderId="15" xfId="0" applyNumberFormat="1" applyFont="1" applyFill="1" applyBorder="1" applyAlignment="1">
      <alignment horizontal="right" vertical="center"/>
    </xf>
    <xf numFmtId="165" fontId="9" fillId="81" borderId="15" xfId="0" applyNumberFormat="1" applyFont="1" applyFill="1" applyBorder="1" applyAlignment="1">
      <alignment horizontal="right"/>
    </xf>
    <xf numFmtId="0" fontId="32" fillId="82" borderId="0" xfId="0" applyFont="1" applyFill="1" applyBorder="1"/>
    <xf numFmtId="0" fontId="9" fillId="82" borderId="0" xfId="0" applyFont="1" applyFill="1" applyBorder="1"/>
    <xf numFmtId="0" fontId="77" fillId="82" borderId="0" xfId="0" applyFont="1" applyFill="1" applyBorder="1" applyAlignment="1">
      <alignment vertical="center"/>
    </xf>
    <xf numFmtId="0" fontId="9" fillId="77" borderId="15" xfId="0" applyFont="1" applyFill="1" applyBorder="1" applyAlignment="1">
      <alignment horizontal="right"/>
    </xf>
    <xf numFmtId="0" fontId="9" fillId="77" borderId="15" xfId="0" applyFont="1" applyFill="1" applyBorder="1"/>
    <xf numFmtId="165" fontId="9" fillId="5" borderId="22" xfId="0" applyNumberFormat="1" applyFont="1" applyFill="1" applyBorder="1" applyAlignment="1">
      <alignment horizontal="right"/>
    </xf>
    <xf numFmtId="165" fontId="28" fillId="5" borderId="0" xfId="0" applyNumberFormat="1" applyFont="1" applyFill="1" applyBorder="1" applyAlignment="1" applyProtection="1">
      <alignment vertical="center"/>
      <protection hidden="1"/>
    </xf>
    <xf numFmtId="0" fontId="71" fillId="5" borderId="0" xfId="8"/>
    <xf numFmtId="0" fontId="19" fillId="25" borderId="0" xfId="0" applyFont="1" applyFill="1" applyAlignment="1" applyProtection="1">
      <alignment horizontal="center" vertical="center"/>
      <protection hidden="1"/>
    </xf>
    <xf numFmtId="0" fontId="9" fillId="5" borderId="0" xfId="0" applyFont="1" applyFill="1" applyBorder="1" applyAlignment="1">
      <alignment horizontal="center"/>
    </xf>
    <xf numFmtId="0" fontId="4" fillId="0" borderId="44" xfId="0" applyFont="1" applyBorder="1"/>
    <xf numFmtId="0" fontId="4" fillId="84" borderId="44" xfId="0" applyFont="1" applyFill="1" applyBorder="1"/>
    <xf numFmtId="164" fontId="9" fillId="5" borderId="16" xfId="0" applyNumberFormat="1" applyFont="1" applyFill="1" applyBorder="1" applyAlignment="1">
      <alignment horizontal="right" vertical="center"/>
    </xf>
    <xf numFmtId="164" fontId="9" fillId="5" borderId="28" xfId="0" applyNumberFormat="1" applyFont="1" applyFill="1" applyBorder="1"/>
    <xf numFmtId="0" fontId="0" fillId="0" borderId="12" xfId="0" applyBorder="1"/>
    <xf numFmtId="0" fontId="0" fillId="0" borderId="33" xfId="0" applyBorder="1"/>
    <xf numFmtId="0" fontId="85" fillId="5" borderId="0" xfId="0" applyFont="1" applyFill="1" applyBorder="1"/>
    <xf numFmtId="0" fontId="9" fillId="5" borderId="13" xfId="0" applyFont="1" applyFill="1" applyBorder="1" applyAlignment="1">
      <alignment horizontal="left"/>
    </xf>
    <xf numFmtId="0" fontId="9" fillId="5" borderId="16" xfId="0" applyFont="1" applyFill="1" applyBorder="1" applyAlignment="1">
      <alignment horizontal="left"/>
    </xf>
    <xf numFmtId="0" fontId="9" fillId="5" borderId="27" xfId="0" applyFont="1" applyFill="1" applyBorder="1" applyAlignment="1">
      <alignment horizontal="left"/>
    </xf>
    <xf numFmtId="0" fontId="9" fillId="5" borderId="30" xfId="0" applyFont="1" applyFill="1" applyBorder="1" applyAlignment="1">
      <alignment horizontal="left"/>
    </xf>
    <xf numFmtId="0" fontId="9" fillId="5" borderId="22" xfId="0" applyFont="1" applyFill="1" applyBorder="1" applyAlignment="1">
      <alignment horizontal="left"/>
    </xf>
    <xf numFmtId="0" fontId="9" fillId="5" borderId="29" xfId="0" applyFont="1" applyFill="1" applyBorder="1" applyAlignment="1">
      <alignment horizontal="left"/>
    </xf>
    <xf numFmtId="0" fontId="0" fillId="0" borderId="15" xfId="0" applyBorder="1"/>
    <xf numFmtId="0" fontId="9" fillId="2" borderId="22" xfId="0" applyFont="1" applyFill="1" applyBorder="1" applyAlignment="1">
      <alignment horizontal="right" vertical="center"/>
    </xf>
    <xf numFmtId="0" fontId="9" fillId="2" borderId="15" xfId="0" applyFont="1" applyFill="1" applyBorder="1" applyAlignment="1">
      <alignment horizontal="right" vertical="center"/>
    </xf>
    <xf numFmtId="0" fontId="9" fillId="2" borderId="27" xfId="0" applyFont="1" applyFill="1" applyBorder="1" applyAlignment="1">
      <alignment horizontal="right" vertical="center"/>
    </xf>
    <xf numFmtId="164" fontId="9" fillId="5" borderId="15" xfId="0" applyNumberFormat="1" applyFont="1" applyFill="1" applyBorder="1" applyAlignment="1" applyProtection="1">
      <alignment vertical="center"/>
      <protection hidden="1"/>
    </xf>
    <xf numFmtId="0" fontId="4" fillId="85" borderId="0" xfId="0" applyFont="1" applyFill="1"/>
    <xf numFmtId="0" fontId="4" fillId="86" borderId="0" xfId="0" applyFont="1" applyFill="1"/>
    <xf numFmtId="0" fontId="38" fillId="86" borderId="0" xfId="0" applyFont="1" applyFill="1"/>
    <xf numFmtId="0" fontId="80" fillId="86" borderId="0" xfId="0" applyFont="1" applyFill="1"/>
    <xf numFmtId="0" fontId="81" fillId="86" borderId="0" xfId="0" applyFont="1" applyFill="1"/>
    <xf numFmtId="0" fontId="0" fillId="0" borderId="34" xfId="0" applyBorder="1"/>
    <xf numFmtId="0" fontId="30" fillId="5" borderId="0" xfId="0" applyFont="1" applyFill="1" applyAlignment="1" applyProtection="1">
      <alignment vertical="center"/>
      <protection hidden="1"/>
    </xf>
    <xf numFmtId="0" fontId="85" fillId="5" borderId="0" xfId="0" applyFont="1" applyFill="1" applyBorder="1" applyAlignment="1">
      <alignment horizontal="right"/>
    </xf>
    <xf numFmtId="0" fontId="9" fillId="5" borderId="28" xfId="0" applyFont="1" applyFill="1" applyBorder="1" applyAlignment="1">
      <alignment vertical="center"/>
    </xf>
    <xf numFmtId="0" fontId="9" fillId="35" borderId="22" xfId="0" applyFont="1" applyFill="1" applyBorder="1"/>
    <xf numFmtId="0" fontId="9" fillId="89" borderId="0" xfId="0" applyFont="1" applyFill="1" applyBorder="1"/>
    <xf numFmtId="164" fontId="9" fillId="5" borderId="31" xfId="0" applyNumberFormat="1" applyFont="1" applyFill="1" applyBorder="1"/>
    <xf numFmtId="0" fontId="9" fillId="5" borderId="13" xfId="0" applyFont="1" applyFill="1" applyBorder="1" applyAlignment="1">
      <alignment vertical="center"/>
    </xf>
    <xf numFmtId="0" fontId="9" fillId="38" borderId="22" xfId="0" applyFont="1" applyFill="1" applyBorder="1" applyAlignment="1">
      <alignment horizontal="right" vertical="center"/>
    </xf>
    <xf numFmtId="0" fontId="77" fillId="88" borderId="0" xfId="0" applyFont="1" applyFill="1" applyBorder="1" applyAlignment="1">
      <alignment vertical="center"/>
    </xf>
    <xf numFmtId="0" fontId="9" fillId="88" borderId="0" xfId="0" applyFont="1" applyFill="1" applyBorder="1"/>
    <xf numFmtId="0" fontId="9" fillId="90" borderId="0" xfId="0" applyFont="1" applyFill="1" applyAlignment="1" applyProtection="1">
      <alignment vertical="center"/>
      <protection hidden="1"/>
    </xf>
    <xf numFmtId="0" fontId="9" fillId="90" borderId="0" xfId="0" applyFont="1" applyFill="1" applyBorder="1"/>
    <xf numFmtId="165" fontId="9" fillId="90" borderId="0" xfId="0" applyNumberFormat="1" applyFont="1" applyFill="1" applyAlignment="1" applyProtection="1">
      <alignment vertical="center"/>
      <protection hidden="1"/>
    </xf>
    <xf numFmtId="164" fontId="47" fillId="5" borderId="15" xfId="0" applyNumberFormat="1" applyFont="1" applyFill="1" applyBorder="1" applyAlignment="1">
      <alignment horizontal="right" vertical="center"/>
    </xf>
    <xf numFmtId="0" fontId="77" fillId="89" borderId="0" xfId="0" applyFont="1" applyFill="1" applyBorder="1" applyAlignment="1">
      <alignment vertical="center"/>
    </xf>
    <xf numFmtId="164" fontId="9" fillId="5" borderId="22" xfId="0" applyNumberFormat="1" applyFont="1" applyFill="1" applyBorder="1"/>
    <xf numFmtId="165" fontId="9" fillId="38" borderId="22" xfId="0" applyNumberFormat="1" applyFont="1" applyFill="1" applyBorder="1" applyAlignment="1">
      <alignment horizontal="right"/>
    </xf>
    <xf numFmtId="165" fontId="9" fillId="2" borderId="22" xfId="0" applyNumberFormat="1" applyFont="1" applyFill="1" applyBorder="1" applyAlignment="1">
      <alignment horizontal="right"/>
    </xf>
    <xf numFmtId="165" fontId="9" fillId="36" borderId="22" xfId="0" applyNumberFormat="1" applyFont="1" applyFill="1" applyBorder="1" applyAlignment="1">
      <alignment horizontal="right"/>
    </xf>
    <xf numFmtId="0" fontId="9" fillId="5" borderId="49" xfId="0" applyFont="1" applyFill="1" applyBorder="1" applyAlignment="1">
      <alignment horizontal="left"/>
    </xf>
    <xf numFmtId="164" fontId="9" fillId="5" borderId="50" xfId="0" applyNumberFormat="1" applyFont="1" applyFill="1" applyBorder="1"/>
    <xf numFmtId="165" fontId="9" fillId="5" borderId="50" xfId="0" applyNumberFormat="1" applyFont="1" applyFill="1" applyBorder="1" applyAlignment="1">
      <alignment horizontal="right" vertical="center"/>
    </xf>
    <xf numFmtId="165" fontId="9" fillId="81" borderId="50" xfId="0" applyNumberFormat="1" applyFont="1" applyFill="1" applyBorder="1" applyAlignment="1">
      <alignment horizontal="right" vertical="center"/>
    </xf>
    <xf numFmtId="165" fontId="9" fillId="5" borderId="50" xfId="0" applyNumberFormat="1" applyFont="1" applyFill="1" applyBorder="1" applyAlignment="1">
      <alignment horizontal="right"/>
    </xf>
    <xf numFmtId="165" fontId="9" fillId="81" borderId="22" xfId="0" applyNumberFormat="1" applyFont="1" applyFill="1" applyBorder="1" applyAlignment="1">
      <alignment horizontal="right"/>
    </xf>
    <xf numFmtId="165" fontId="9" fillId="36" borderId="50" xfId="0" applyNumberFormat="1" applyFont="1" applyFill="1" applyBorder="1" applyAlignment="1">
      <alignment horizontal="right"/>
    </xf>
    <xf numFmtId="165" fontId="9" fillId="5" borderId="22" xfId="0" applyNumberFormat="1" applyFont="1" applyFill="1" applyBorder="1"/>
    <xf numFmtId="0" fontId="10" fillId="5" borderId="0" xfId="0" applyFont="1" applyFill="1" applyBorder="1" applyAlignment="1" applyProtection="1">
      <alignment horizontal="center" vertical="center"/>
      <protection hidden="1"/>
    </xf>
    <xf numFmtId="3" fontId="9" fillId="5" borderId="22" xfId="0" applyNumberFormat="1" applyFont="1" applyFill="1" applyBorder="1" applyAlignment="1">
      <alignment horizontal="right"/>
    </xf>
    <xf numFmtId="3" fontId="9" fillId="5" borderId="50" xfId="0" applyNumberFormat="1" applyFont="1" applyFill="1" applyBorder="1" applyAlignment="1">
      <alignment horizontal="right"/>
    </xf>
    <xf numFmtId="0" fontId="9" fillId="28" borderId="3" xfId="0" applyFont="1" applyFill="1" applyBorder="1" applyAlignment="1" applyProtection="1">
      <alignment horizontal="left" vertical="center"/>
      <protection hidden="1"/>
    </xf>
    <xf numFmtId="0" fontId="9" fillId="28" borderId="2" xfId="0" applyFont="1" applyFill="1" applyBorder="1" applyAlignment="1" applyProtection="1">
      <alignment horizontal="left" vertical="center"/>
      <protection hidden="1"/>
    </xf>
    <xf numFmtId="0" fontId="9" fillId="12" borderId="3" xfId="0" applyFont="1" applyFill="1" applyBorder="1" applyAlignment="1" applyProtection="1">
      <alignment horizontal="left" vertical="center"/>
      <protection hidden="1"/>
    </xf>
    <xf numFmtId="0" fontId="9" fillId="12" borderId="2" xfId="0" applyFont="1" applyFill="1" applyBorder="1" applyAlignment="1" applyProtection="1">
      <alignment horizontal="left" vertical="center"/>
      <protection hidden="1"/>
    </xf>
    <xf numFmtId="0" fontId="13" fillId="72" borderId="35" xfId="0" applyFont="1" applyFill="1" applyBorder="1" applyAlignment="1" applyProtection="1">
      <alignment vertical="center" wrapText="1"/>
      <protection hidden="1"/>
    </xf>
    <xf numFmtId="0" fontId="13" fillId="72" borderId="36" xfId="0" applyFont="1" applyFill="1" applyBorder="1" applyAlignment="1" applyProtection="1">
      <alignment vertical="center" wrapText="1"/>
      <protection hidden="1"/>
    </xf>
    <xf numFmtId="0" fontId="13" fillId="72" borderId="37" xfId="0" applyFont="1" applyFill="1" applyBorder="1" applyAlignment="1" applyProtection="1">
      <alignment vertical="center" wrapText="1"/>
      <protection hidden="1"/>
    </xf>
    <xf numFmtId="0" fontId="13" fillId="72" borderId="48" xfId="0" applyFont="1" applyFill="1" applyBorder="1" applyAlignment="1" applyProtection="1">
      <alignment vertical="center" wrapText="1"/>
      <protection hidden="1"/>
    </xf>
    <xf numFmtId="0" fontId="13" fillId="72" borderId="38" xfId="0" applyFont="1" applyFill="1" applyBorder="1" applyAlignment="1" applyProtection="1">
      <alignment vertical="center" wrapText="1"/>
      <protection hidden="1"/>
    </xf>
    <xf numFmtId="0" fontId="13" fillId="72" borderId="23" xfId="0" applyFont="1" applyFill="1" applyBorder="1" applyAlignment="1" applyProtection="1">
      <alignment vertical="center" wrapText="1"/>
      <protection hidden="1"/>
    </xf>
    <xf numFmtId="0" fontId="13" fillId="72" borderId="39" xfId="0" applyFont="1" applyFill="1" applyBorder="1" applyAlignment="1" applyProtection="1">
      <alignment vertical="center" wrapText="1"/>
      <protection hidden="1"/>
    </xf>
    <xf numFmtId="0" fontId="61" fillId="72" borderId="35" xfId="0" applyFont="1" applyFill="1" applyBorder="1" applyAlignment="1" applyProtection="1">
      <alignment vertical="center"/>
      <protection hidden="1"/>
    </xf>
    <xf numFmtId="0" fontId="61" fillId="72" borderId="36" xfId="0" applyFont="1" applyFill="1" applyBorder="1" applyAlignment="1" applyProtection="1">
      <alignment vertical="center"/>
      <protection hidden="1"/>
    </xf>
    <xf numFmtId="0" fontId="61" fillId="72" borderId="37" xfId="0" applyFont="1" applyFill="1" applyBorder="1" applyAlignment="1" applyProtection="1">
      <alignment vertical="center"/>
      <protection hidden="1"/>
    </xf>
    <xf numFmtId="0" fontId="61" fillId="72" borderId="47" xfId="0" applyFont="1" applyFill="1" applyBorder="1" applyAlignment="1" applyProtection="1">
      <alignment vertical="center"/>
      <protection hidden="1"/>
    </xf>
    <xf numFmtId="0" fontId="61" fillId="72" borderId="48" xfId="0" applyFont="1" applyFill="1" applyBorder="1" applyAlignment="1" applyProtection="1">
      <alignment vertical="center"/>
      <protection hidden="1"/>
    </xf>
    <xf numFmtId="0" fontId="61" fillId="72" borderId="38" xfId="0" applyFont="1" applyFill="1" applyBorder="1" applyAlignment="1" applyProtection="1">
      <alignment vertical="center"/>
      <protection hidden="1"/>
    </xf>
    <xf numFmtId="0" fontId="61" fillId="72" borderId="23" xfId="0" applyFont="1" applyFill="1" applyBorder="1" applyAlignment="1" applyProtection="1">
      <alignment vertical="center"/>
      <protection hidden="1"/>
    </xf>
    <xf numFmtId="0" fontId="61" fillId="72" borderId="39" xfId="0" applyFont="1" applyFill="1" applyBorder="1" applyAlignment="1" applyProtection="1">
      <alignment vertical="center"/>
      <protection hidden="1"/>
    </xf>
    <xf numFmtId="0" fontId="13" fillId="73" borderId="35" xfId="0" applyFont="1" applyFill="1" applyBorder="1" applyAlignment="1" applyProtection="1">
      <alignment vertical="center" wrapText="1"/>
      <protection hidden="1"/>
    </xf>
    <xf numFmtId="0" fontId="13" fillId="73" borderId="36" xfId="0" applyFont="1" applyFill="1" applyBorder="1" applyAlignment="1" applyProtection="1">
      <alignment vertical="center" wrapText="1"/>
      <protection hidden="1"/>
    </xf>
    <xf numFmtId="0" fontId="13" fillId="73" borderId="37" xfId="0" applyFont="1" applyFill="1" applyBorder="1" applyAlignment="1" applyProtection="1">
      <alignment vertical="center" wrapText="1"/>
      <protection hidden="1"/>
    </xf>
    <xf numFmtId="0" fontId="13" fillId="73" borderId="48" xfId="0" applyFont="1" applyFill="1" applyBorder="1" applyAlignment="1" applyProtection="1">
      <alignment vertical="center" wrapText="1"/>
      <protection hidden="1"/>
    </xf>
    <xf numFmtId="0" fontId="13" fillId="73" borderId="38" xfId="0" applyFont="1" applyFill="1" applyBorder="1" applyAlignment="1" applyProtection="1">
      <alignment vertical="center" wrapText="1"/>
      <protection hidden="1"/>
    </xf>
    <xf numFmtId="0" fontId="13" fillId="73" borderId="23" xfId="0" applyFont="1" applyFill="1" applyBorder="1" applyAlignment="1" applyProtection="1">
      <alignment vertical="center" wrapText="1"/>
      <protection hidden="1"/>
    </xf>
    <xf numFmtId="0" fontId="13" fillId="73" borderId="39" xfId="0" applyFont="1" applyFill="1" applyBorder="1" applyAlignment="1" applyProtection="1">
      <alignment vertical="center" wrapText="1"/>
      <protection hidden="1"/>
    </xf>
    <xf numFmtId="0" fontId="61" fillId="73" borderId="35" xfId="0" applyFont="1" applyFill="1" applyBorder="1" applyAlignment="1" applyProtection="1">
      <alignment vertical="center"/>
      <protection hidden="1"/>
    </xf>
    <xf numFmtId="0" fontId="61" fillId="73" borderId="36" xfId="0" applyFont="1" applyFill="1" applyBorder="1" applyAlignment="1" applyProtection="1">
      <alignment vertical="center"/>
      <protection hidden="1"/>
    </xf>
    <xf numFmtId="0" fontId="61" fillId="73" borderId="37" xfId="0" applyFont="1" applyFill="1" applyBorder="1" applyAlignment="1" applyProtection="1">
      <alignment vertical="center"/>
      <protection hidden="1"/>
    </xf>
    <xf numFmtId="0" fontId="61" fillId="73" borderId="47" xfId="0" applyFont="1" applyFill="1" applyBorder="1" applyAlignment="1" applyProtection="1">
      <alignment vertical="center"/>
      <protection hidden="1"/>
    </xf>
    <xf numFmtId="0" fontId="61" fillId="73" borderId="48" xfId="0" applyFont="1" applyFill="1" applyBorder="1" applyAlignment="1" applyProtection="1">
      <alignment vertical="center"/>
      <protection hidden="1"/>
    </xf>
    <xf numFmtId="0" fontId="61" fillId="73" borderId="38" xfId="0" applyFont="1" applyFill="1" applyBorder="1" applyAlignment="1" applyProtection="1">
      <alignment vertical="center"/>
      <protection hidden="1"/>
    </xf>
    <xf numFmtId="0" fontId="61" fillId="73" borderId="23" xfId="0" applyFont="1" applyFill="1" applyBorder="1" applyAlignment="1" applyProtection="1">
      <alignment vertical="center"/>
      <protection hidden="1"/>
    </xf>
    <xf numFmtId="0" fontId="61" fillId="73" borderId="39" xfId="0" applyFont="1" applyFill="1" applyBorder="1" applyAlignment="1" applyProtection="1">
      <alignment vertical="center"/>
      <protection hidden="1"/>
    </xf>
    <xf numFmtId="0" fontId="9" fillId="49" borderId="0" xfId="0" applyFont="1" applyFill="1" applyBorder="1" applyAlignment="1" applyProtection="1">
      <alignment vertical="center"/>
      <protection hidden="1"/>
    </xf>
    <xf numFmtId="0" fontId="9" fillId="49" borderId="0" xfId="0" applyFont="1" applyFill="1" applyBorder="1" applyAlignment="1" applyProtection="1">
      <alignment horizontal="right" vertical="center"/>
      <protection hidden="1"/>
    </xf>
    <xf numFmtId="0" fontId="9" fillId="49" borderId="23" xfId="0" applyFont="1" applyFill="1" applyBorder="1" applyAlignment="1" applyProtection="1">
      <alignment vertical="center"/>
      <protection hidden="1"/>
    </xf>
    <xf numFmtId="0" fontId="13" fillId="41" borderId="8" xfId="0" applyFont="1" applyFill="1" applyBorder="1" applyAlignment="1" applyProtection="1">
      <alignment vertical="center" wrapText="1"/>
      <protection hidden="1"/>
    </xf>
    <xf numFmtId="0" fontId="13" fillId="41" borderId="52" xfId="0" applyFont="1" applyFill="1" applyBorder="1" applyAlignment="1" applyProtection="1">
      <alignment vertical="center" wrapText="1"/>
      <protection hidden="1"/>
    </xf>
    <xf numFmtId="0" fontId="13" fillId="41" borderId="9" xfId="0" applyFont="1" applyFill="1" applyBorder="1" applyAlignment="1" applyProtection="1">
      <alignment vertical="center" wrapText="1"/>
      <protection hidden="1"/>
    </xf>
    <xf numFmtId="0" fontId="9" fillId="39" borderId="0" xfId="0" applyFont="1" applyFill="1" applyBorder="1" applyAlignment="1" applyProtection="1">
      <alignment horizontal="right" vertical="center"/>
      <protection hidden="1"/>
    </xf>
    <xf numFmtId="0" fontId="9" fillId="40" borderId="0" xfId="0" applyFont="1" applyFill="1" applyBorder="1" applyAlignment="1" applyProtection="1">
      <alignment horizontal="right" vertical="center"/>
      <protection hidden="1"/>
    </xf>
    <xf numFmtId="165" fontId="25" fillId="30" borderId="0" xfId="0" applyNumberFormat="1" applyFont="1" applyFill="1" applyAlignment="1" applyProtection="1">
      <alignment vertical="center"/>
      <protection hidden="1"/>
    </xf>
    <xf numFmtId="164" fontId="35" fillId="39" borderId="48" xfId="0" applyNumberFormat="1" applyFont="1" applyFill="1" applyBorder="1" applyAlignment="1" applyProtection="1">
      <alignment horizontal="center" vertical="center"/>
      <protection hidden="1"/>
    </xf>
    <xf numFmtId="0" fontId="9" fillId="39" borderId="0" xfId="0" applyFont="1" applyFill="1" applyBorder="1" applyAlignment="1" applyProtection="1">
      <alignment horizontal="center" vertical="center"/>
      <protection hidden="1"/>
    </xf>
    <xf numFmtId="0" fontId="37" fillId="5" borderId="0" xfId="0" applyFont="1" applyFill="1" applyAlignment="1" applyProtection="1">
      <alignment horizontal="left" vertical="center"/>
      <protection hidden="1"/>
    </xf>
    <xf numFmtId="0" fontId="9" fillId="91" borderId="0" xfId="0" applyFont="1" applyFill="1" applyAlignment="1" applyProtection="1">
      <alignment horizontal="right" vertical="center"/>
      <protection hidden="1"/>
    </xf>
    <xf numFmtId="0" fontId="9" fillId="92" borderId="0" xfId="0" applyFont="1" applyFill="1" applyAlignment="1" applyProtection="1">
      <alignment horizontal="right" vertical="center"/>
      <protection hidden="1"/>
    </xf>
    <xf numFmtId="4" fontId="9" fillId="5" borderId="15" xfId="0" applyNumberFormat="1" applyFont="1" applyFill="1" applyBorder="1"/>
    <xf numFmtId="0" fontId="13" fillId="15" borderId="52" xfId="0" applyFont="1" applyFill="1" applyBorder="1" applyAlignment="1" applyProtection="1">
      <alignment vertical="top" wrapText="1"/>
      <protection hidden="1"/>
    </xf>
    <xf numFmtId="2" fontId="9" fillId="15" borderId="52" xfId="4" applyFont="1" applyFill="1" applyBorder="1" applyAlignment="1" applyProtection="1">
      <alignment horizontal="left" vertical="center"/>
      <protection hidden="1"/>
    </xf>
    <xf numFmtId="2" fontId="9" fillId="15" borderId="9" xfId="4" applyFont="1" applyFill="1" applyBorder="1" applyAlignment="1" applyProtection="1">
      <alignment horizontal="left" vertical="center"/>
      <protection hidden="1"/>
    </xf>
    <xf numFmtId="0" fontId="9" fillId="15" borderId="0" xfId="0" applyFont="1" applyFill="1" applyBorder="1" applyAlignment="1" applyProtection="1">
      <alignment vertical="center"/>
      <protection hidden="1"/>
    </xf>
    <xf numFmtId="2" fontId="9" fillId="15" borderId="47" xfId="4" applyFont="1" applyFill="1" applyBorder="1" applyAlignment="1" applyProtection="1">
      <alignment horizontal="left" vertical="center"/>
      <protection hidden="1"/>
    </xf>
    <xf numFmtId="2" fontId="9" fillId="15" borderId="48" xfId="4" applyFont="1" applyFill="1" applyBorder="1" applyAlignment="1" applyProtection="1">
      <alignment horizontal="left" vertical="center"/>
      <protection hidden="1"/>
    </xf>
    <xf numFmtId="2" fontId="9" fillId="15" borderId="38" xfId="4" applyFont="1" applyFill="1" applyBorder="1" applyAlignment="1" applyProtection="1">
      <alignment horizontal="left" vertical="center"/>
      <protection hidden="1"/>
    </xf>
    <xf numFmtId="0" fontId="9" fillId="15" borderId="36" xfId="0" applyFont="1" applyFill="1" applyBorder="1" applyAlignment="1" applyProtection="1">
      <alignment horizontal="center" vertical="center"/>
      <protection hidden="1"/>
    </xf>
    <xf numFmtId="0" fontId="9" fillId="15" borderId="37" xfId="0" applyFont="1" applyFill="1" applyBorder="1" applyAlignment="1" applyProtection="1">
      <alignment horizontal="center" vertical="center"/>
      <protection hidden="1"/>
    </xf>
    <xf numFmtId="0" fontId="9" fillId="15" borderId="48" xfId="0" applyFont="1" applyFill="1" applyBorder="1" applyAlignment="1" applyProtection="1">
      <alignment horizontal="center" vertical="center"/>
      <protection hidden="1"/>
    </xf>
    <xf numFmtId="0" fontId="9" fillId="14" borderId="1" xfId="0" applyFont="1" applyFill="1" applyBorder="1" applyAlignment="1" applyProtection="1">
      <alignment horizontal="center" vertical="center"/>
      <protection hidden="1"/>
    </xf>
    <xf numFmtId="0" fontId="9" fillId="14" borderId="3" xfId="0" applyFont="1" applyFill="1" applyBorder="1" applyAlignment="1" applyProtection="1">
      <alignment horizontal="center" vertical="center"/>
      <protection hidden="1"/>
    </xf>
    <xf numFmtId="0" fontId="9" fillId="14" borderId="6" xfId="0" applyFont="1" applyFill="1" applyBorder="1" applyAlignment="1" applyProtection="1">
      <alignment horizontal="center" vertical="center"/>
      <protection hidden="1"/>
    </xf>
    <xf numFmtId="0" fontId="9" fillId="14" borderId="2" xfId="0" applyFont="1" applyFill="1" applyBorder="1" applyAlignment="1" applyProtection="1">
      <alignment horizontal="center" vertical="center"/>
      <protection hidden="1"/>
    </xf>
    <xf numFmtId="0" fontId="9" fillId="10" borderId="35" xfId="0" applyFont="1" applyFill="1" applyBorder="1" applyAlignment="1" applyProtection="1">
      <alignment horizontal="right" vertical="center"/>
      <protection hidden="1"/>
    </xf>
    <xf numFmtId="0" fontId="9" fillId="10" borderId="36" xfId="0" applyFont="1" applyFill="1" applyBorder="1" applyAlignment="1" applyProtection="1">
      <alignment vertical="center"/>
      <protection hidden="1"/>
    </xf>
    <xf numFmtId="0" fontId="9" fillId="10" borderId="36" xfId="0" applyFont="1" applyFill="1" applyBorder="1" applyAlignment="1" applyProtection="1">
      <alignment horizontal="center" vertical="center"/>
      <protection hidden="1"/>
    </xf>
    <xf numFmtId="165" fontId="9" fillId="10" borderId="36" xfId="0" applyNumberFormat="1" applyFont="1" applyFill="1" applyBorder="1" applyAlignment="1" applyProtection="1">
      <alignment horizontal="left" vertical="center"/>
      <protection hidden="1"/>
    </xf>
    <xf numFmtId="165" fontId="9" fillId="10" borderId="36" xfId="0" applyNumberFormat="1" applyFont="1" applyFill="1" applyBorder="1" applyAlignment="1" applyProtection="1">
      <alignment horizontal="center" vertical="center"/>
      <protection hidden="1"/>
    </xf>
    <xf numFmtId="165" fontId="9" fillId="10" borderId="36" xfId="0" applyNumberFormat="1" applyFont="1" applyFill="1" applyBorder="1" applyAlignment="1" applyProtection="1">
      <alignment vertical="center"/>
      <protection hidden="1"/>
    </xf>
    <xf numFmtId="0" fontId="11" fillId="10" borderId="36" xfId="0" applyFont="1" applyFill="1" applyBorder="1" applyAlignment="1" applyProtection="1">
      <alignment vertical="center"/>
      <protection hidden="1"/>
    </xf>
    <xf numFmtId="0" fontId="11" fillId="10" borderId="37" xfId="0" applyFont="1" applyFill="1" applyBorder="1" applyAlignment="1" applyProtection="1">
      <alignment vertical="center"/>
      <protection hidden="1"/>
    </xf>
    <xf numFmtId="0" fontId="9" fillId="10" borderId="47" xfId="0" applyFont="1" applyFill="1" applyBorder="1" applyAlignment="1" applyProtection="1">
      <alignment horizontal="right" vertical="center"/>
      <protection hidden="1"/>
    </xf>
    <xf numFmtId="0" fontId="11" fillId="10" borderId="48" xfId="0" applyFont="1" applyFill="1" applyBorder="1" applyAlignment="1" applyProtection="1">
      <alignment vertical="center"/>
      <protection hidden="1"/>
    </xf>
    <xf numFmtId="0" fontId="9" fillId="10" borderId="38" xfId="0" applyFont="1" applyFill="1" applyBorder="1" applyAlignment="1" applyProtection="1">
      <alignment horizontal="right" vertical="center"/>
      <protection hidden="1"/>
    </xf>
    <xf numFmtId="0" fontId="9" fillId="10" borderId="23" xfId="0" applyFont="1" applyFill="1" applyBorder="1" applyAlignment="1" applyProtection="1">
      <alignment vertical="center"/>
      <protection hidden="1"/>
    </xf>
    <xf numFmtId="0" fontId="9" fillId="10" borderId="23" xfId="0" applyFont="1" applyFill="1" applyBorder="1" applyAlignment="1" applyProtection="1">
      <alignment horizontal="center" vertical="center"/>
      <protection hidden="1"/>
    </xf>
    <xf numFmtId="165" fontId="9" fillId="10" borderId="23" xfId="0" applyNumberFormat="1" applyFont="1" applyFill="1" applyBorder="1" applyAlignment="1" applyProtection="1">
      <alignment horizontal="left" vertical="center"/>
      <protection hidden="1"/>
    </xf>
    <xf numFmtId="165" fontId="9" fillId="10" borderId="23" xfId="0" applyNumberFormat="1" applyFont="1" applyFill="1" applyBorder="1" applyAlignment="1" applyProtection="1">
      <alignment horizontal="center" vertical="center"/>
      <protection hidden="1"/>
    </xf>
    <xf numFmtId="165" fontId="9" fillId="10" borderId="23" xfId="0" applyNumberFormat="1" applyFont="1" applyFill="1" applyBorder="1" applyAlignment="1" applyProtection="1">
      <alignment vertical="center"/>
      <protection hidden="1"/>
    </xf>
    <xf numFmtId="0" fontId="11" fillId="10" borderId="23" xfId="0" applyFont="1" applyFill="1" applyBorder="1" applyAlignment="1" applyProtection="1">
      <alignment vertical="center"/>
      <protection hidden="1"/>
    </xf>
    <xf numFmtId="0" fontId="11" fillId="10" borderId="39" xfId="0" applyFont="1" applyFill="1" applyBorder="1" applyAlignment="1" applyProtection="1">
      <alignment vertical="center"/>
      <protection hidden="1"/>
    </xf>
    <xf numFmtId="0" fontId="11" fillId="9" borderId="0" xfId="0" applyFont="1" applyFill="1" applyBorder="1" applyAlignment="1" applyProtection="1">
      <alignment vertical="center"/>
      <protection hidden="1"/>
    </xf>
    <xf numFmtId="165" fontId="9" fillId="5" borderId="0" xfId="0" applyNumberFormat="1" applyFont="1" applyFill="1" applyBorder="1" applyAlignment="1" applyProtection="1">
      <alignment horizontal="left" vertical="center"/>
      <protection hidden="1"/>
    </xf>
    <xf numFmtId="165" fontId="9" fillId="5" borderId="0" xfId="0" applyNumberFormat="1" applyFont="1" applyFill="1" applyBorder="1" applyAlignment="1" applyProtection="1">
      <alignment vertical="center"/>
      <protection hidden="1"/>
    </xf>
    <xf numFmtId="0" fontId="9" fillId="11" borderId="35" xfId="0" applyFont="1" applyFill="1" applyBorder="1" applyAlignment="1" applyProtection="1">
      <alignment horizontal="right" vertical="center"/>
      <protection hidden="1"/>
    </xf>
    <xf numFmtId="0" fontId="9" fillId="11" borderId="36" xfId="0" applyFont="1" applyFill="1" applyBorder="1" applyAlignment="1" applyProtection="1">
      <alignment vertical="center"/>
      <protection hidden="1"/>
    </xf>
    <xf numFmtId="0" fontId="9" fillId="11" borderId="36" xfId="0" applyFont="1" applyFill="1" applyBorder="1" applyAlignment="1" applyProtection="1">
      <alignment horizontal="left" vertical="center"/>
      <protection hidden="1"/>
    </xf>
    <xf numFmtId="0" fontId="9" fillId="11" borderId="47" xfId="0" applyFont="1" applyFill="1" applyBorder="1" applyAlignment="1" applyProtection="1">
      <alignment horizontal="right" vertical="center"/>
      <protection hidden="1"/>
    </xf>
    <xf numFmtId="0" fontId="9" fillId="11" borderId="47" xfId="0" applyFont="1" applyFill="1" applyBorder="1" applyAlignment="1" applyProtection="1">
      <alignment vertical="center"/>
      <protection hidden="1"/>
    </xf>
    <xf numFmtId="0" fontId="9" fillId="11" borderId="23" xfId="0" applyFont="1" applyFill="1" applyBorder="1" applyAlignment="1" applyProtection="1">
      <alignment vertical="center"/>
      <protection hidden="1"/>
    </xf>
    <xf numFmtId="0" fontId="9" fillId="12" borderId="1" xfId="0" applyFont="1" applyFill="1" applyBorder="1" applyAlignment="1" applyProtection="1">
      <alignment horizontal="center" vertical="center"/>
      <protection hidden="1"/>
    </xf>
    <xf numFmtId="0" fontId="26" fillId="12" borderId="6" xfId="0" applyFont="1" applyFill="1" applyBorder="1" applyAlignment="1" applyProtection="1">
      <alignment horizontal="left" vertical="center"/>
      <protection hidden="1"/>
    </xf>
    <xf numFmtId="0" fontId="9" fillId="12" borderId="6" xfId="0" applyFont="1" applyFill="1" applyBorder="1" applyAlignment="1" applyProtection="1">
      <alignment horizontal="left" vertical="center"/>
      <protection hidden="1"/>
    </xf>
    <xf numFmtId="0" fontId="9" fillId="12" borderId="3" xfId="0" applyFont="1" applyFill="1" applyBorder="1" applyAlignment="1" applyProtection="1">
      <alignment vertical="center"/>
      <protection hidden="1"/>
    </xf>
    <xf numFmtId="0" fontId="9" fillId="12" borderId="6" xfId="0" applyFont="1" applyFill="1" applyBorder="1" applyAlignment="1" applyProtection="1">
      <alignment vertical="center"/>
      <protection hidden="1"/>
    </xf>
    <xf numFmtId="0" fontId="9" fillId="70" borderId="47" xfId="0" applyFont="1" applyFill="1" applyBorder="1" applyAlignment="1" applyProtection="1">
      <alignment vertical="center"/>
      <protection hidden="1"/>
    </xf>
    <xf numFmtId="0" fontId="9" fillId="70" borderId="0" xfId="0" applyFont="1" applyFill="1" applyBorder="1" applyAlignment="1" applyProtection="1">
      <alignment vertical="center"/>
      <protection hidden="1"/>
    </xf>
    <xf numFmtId="0" fontId="9" fillId="47" borderId="3" xfId="0" applyFont="1" applyFill="1" applyBorder="1" applyAlignment="1" applyProtection="1">
      <alignment horizontal="right" vertical="center"/>
      <protection hidden="1"/>
    </xf>
    <xf numFmtId="0" fontId="9" fillId="47" borderId="6" xfId="0" applyFont="1" applyFill="1" applyBorder="1" applyAlignment="1" applyProtection="1">
      <alignment horizontal="right" vertical="center"/>
      <protection hidden="1"/>
    </xf>
    <xf numFmtId="0" fontId="9" fillId="47" borderId="2" xfId="0" applyFont="1" applyFill="1" applyBorder="1" applyAlignment="1" applyProtection="1">
      <alignment horizontal="right" vertical="center"/>
      <protection hidden="1"/>
    </xf>
    <xf numFmtId="0" fontId="9" fillId="47" borderId="6" xfId="0" applyFont="1" applyFill="1" applyBorder="1" applyAlignment="1" applyProtection="1">
      <alignment horizontal="left" vertical="center"/>
      <protection hidden="1"/>
    </xf>
    <xf numFmtId="0" fontId="9" fillId="47" borderId="2" xfId="0" applyFont="1" applyFill="1" applyBorder="1" applyAlignment="1" applyProtection="1">
      <alignment horizontal="left" vertical="center"/>
      <protection hidden="1"/>
    </xf>
    <xf numFmtId="0" fontId="9" fillId="47" borderId="3" xfId="0" applyFont="1" applyFill="1" applyBorder="1" applyAlignment="1" applyProtection="1">
      <alignment horizontal="left" vertical="center"/>
      <protection hidden="1"/>
    </xf>
    <xf numFmtId="0" fontId="9" fillId="48" borderId="3" xfId="0" applyFont="1" applyFill="1" applyBorder="1" applyAlignment="1" applyProtection="1">
      <alignment horizontal="right" vertical="center"/>
      <protection hidden="1"/>
    </xf>
    <xf numFmtId="0" fontId="9" fillId="48" borderId="6" xfId="0" applyFont="1" applyFill="1" applyBorder="1" applyAlignment="1" applyProtection="1">
      <alignment horizontal="right" vertical="center"/>
      <protection hidden="1"/>
    </xf>
    <xf numFmtId="0" fontId="9" fillId="48" borderId="2" xfId="0" applyFont="1" applyFill="1" applyBorder="1" applyAlignment="1" applyProtection="1">
      <alignment horizontal="right" vertical="center"/>
      <protection hidden="1"/>
    </xf>
    <xf numFmtId="0" fontId="9" fillId="48" borderId="6" xfId="0" applyFont="1" applyFill="1" applyBorder="1" applyAlignment="1" applyProtection="1">
      <alignment horizontal="left" vertical="center"/>
      <protection hidden="1"/>
    </xf>
    <xf numFmtId="0" fontId="9" fillId="48" borderId="2" xfId="0" applyFont="1" applyFill="1" applyBorder="1" applyAlignment="1" applyProtection="1">
      <alignment horizontal="left" vertical="center"/>
      <protection hidden="1"/>
    </xf>
    <xf numFmtId="164" fontId="14" fillId="31" borderId="0" xfId="0" applyNumberFormat="1" applyFont="1" applyFill="1" applyBorder="1" applyAlignment="1" applyProtection="1">
      <alignment vertical="center" wrapText="1"/>
      <protection hidden="1"/>
    </xf>
    <xf numFmtId="0" fontId="9" fillId="15" borderId="47" xfId="0" applyFont="1" applyFill="1" applyBorder="1" applyAlignment="1" applyProtection="1">
      <alignment vertical="center"/>
      <protection hidden="1"/>
    </xf>
    <xf numFmtId="0" fontId="9" fillId="15" borderId="48" xfId="0" applyFont="1" applyFill="1" applyBorder="1" applyAlignment="1" applyProtection="1">
      <alignment vertical="center"/>
      <protection hidden="1"/>
    </xf>
    <xf numFmtId="0" fontId="9" fillId="15" borderId="38" xfId="0" applyFont="1" applyFill="1" applyBorder="1" applyAlignment="1" applyProtection="1">
      <alignment vertical="center"/>
      <protection hidden="1"/>
    </xf>
    <xf numFmtId="0" fontId="9" fillId="15" borderId="23" xfId="0" applyFont="1" applyFill="1" applyBorder="1" applyAlignment="1" applyProtection="1">
      <alignment vertical="center"/>
      <protection hidden="1"/>
    </xf>
    <xf numFmtId="0" fontId="9" fillId="15" borderId="39" xfId="0" applyFont="1" applyFill="1" applyBorder="1" applyAlignment="1" applyProtection="1">
      <alignment vertical="center"/>
      <protection hidden="1"/>
    </xf>
    <xf numFmtId="0" fontId="9" fillId="14" borderId="6" xfId="0" applyFont="1" applyFill="1" applyBorder="1" applyAlignment="1" applyProtection="1">
      <alignment horizontal="left" vertical="center"/>
      <protection hidden="1"/>
    </xf>
    <xf numFmtId="0" fontId="79" fillId="5" borderId="0" xfId="0" applyFont="1" applyFill="1" applyAlignment="1" applyProtection="1">
      <alignment horizontal="left" vertical="center"/>
      <protection hidden="1"/>
    </xf>
    <xf numFmtId="0" fontId="9" fillId="10" borderId="36" xfId="0" applyFont="1" applyFill="1" applyBorder="1" applyAlignment="1" applyProtection="1">
      <alignment horizontal="left" vertical="center"/>
      <protection hidden="1"/>
    </xf>
    <xf numFmtId="0" fontId="39" fillId="10" borderId="48" xfId="0" applyFont="1" applyFill="1" applyBorder="1" applyAlignment="1" applyProtection="1">
      <alignment vertical="center" wrapText="1"/>
      <protection hidden="1"/>
    </xf>
    <xf numFmtId="0" fontId="39" fillId="10" borderId="23" xfId="0" applyFont="1" applyFill="1" applyBorder="1" applyAlignment="1" applyProtection="1">
      <alignment horizontal="left" vertical="center" wrapText="1"/>
      <protection hidden="1"/>
    </xf>
    <xf numFmtId="0" fontId="39" fillId="10" borderId="23" xfId="0" applyFont="1" applyFill="1" applyBorder="1" applyAlignment="1" applyProtection="1">
      <alignment horizontal="center" vertical="center" wrapText="1"/>
      <protection hidden="1"/>
    </xf>
    <xf numFmtId="0" fontId="39" fillId="10" borderId="39" xfId="0" applyFont="1" applyFill="1" applyBorder="1" applyAlignment="1" applyProtection="1">
      <alignment horizontal="left" vertical="center" wrapText="1"/>
      <protection hidden="1"/>
    </xf>
    <xf numFmtId="0" fontId="9" fillId="15" borderId="35" xfId="0" applyFont="1" applyFill="1" applyBorder="1" applyAlignment="1" applyProtection="1">
      <alignment horizontal="center" vertical="center"/>
      <protection hidden="1"/>
    </xf>
    <xf numFmtId="0" fontId="9" fillId="15" borderId="36" xfId="0" applyFont="1" applyFill="1" applyBorder="1" applyAlignment="1" applyProtection="1">
      <alignment horizontal="left" vertical="center"/>
      <protection hidden="1"/>
    </xf>
    <xf numFmtId="0" fontId="9" fillId="15" borderId="47" xfId="0" applyFont="1" applyFill="1" applyBorder="1" applyAlignment="1" applyProtection="1">
      <alignment horizontal="center" vertical="center"/>
      <protection hidden="1"/>
    </xf>
    <xf numFmtId="0" fontId="9" fillId="15" borderId="38" xfId="0" applyFont="1" applyFill="1" applyBorder="1" applyAlignment="1" applyProtection="1">
      <alignment horizontal="center" vertical="center"/>
      <protection hidden="1"/>
    </xf>
    <xf numFmtId="0" fontId="9" fillId="15" borderId="23" xfId="0" applyFont="1" applyFill="1" applyBorder="1" applyAlignment="1" applyProtection="1">
      <alignment horizontal="center" vertical="center"/>
      <protection hidden="1"/>
    </xf>
    <xf numFmtId="0" fontId="9" fillId="15" borderId="23" xfId="0" applyFont="1" applyFill="1" applyBorder="1" applyAlignment="1" applyProtection="1">
      <alignment horizontal="left" vertical="center"/>
      <protection hidden="1"/>
    </xf>
    <xf numFmtId="0" fontId="9" fillId="14" borderId="3" xfId="0" applyFont="1" applyFill="1" applyBorder="1" applyAlignment="1" applyProtection="1">
      <alignment horizontal="left" vertical="center"/>
      <protection hidden="1"/>
    </xf>
    <xf numFmtId="165" fontId="9" fillId="14" borderId="6" xfId="0" applyNumberFormat="1" applyFont="1" applyFill="1" applyBorder="1" applyAlignment="1" applyProtection="1">
      <alignment horizontal="center" vertical="center"/>
      <protection hidden="1"/>
    </xf>
    <xf numFmtId="0" fontId="9" fillId="14" borderId="2" xfId="0" applyFont="1" applyFill="1" applyBorder="1" applyAlignment="1" applyProtection="1">
      <alignment horizontal="left" vertical="center"/>
      <protection hidden="1"/>
    </xf>
    <xf numFmtId="0" fontId="9" fillId="15" borderId="35" xfId="0" applyFont="1" applyFill="1" applyBorder="1" applyAlignment="1" applyProtection="1">
      <alignment horizontal="right" vertical="center"/>
      <protection hidden="1"/>
    </xf>
    <xf numFmtId="0" fontId="9" fillId="15" borderId="47" xfId="0" applyFont="1" applyFill="1" applyBorder="1" applyAlignment="1" applyProtection="1">
      <alignment horizontal="right" vertical="center"/>
      <protection hidden="1"/>
    </xf>
    <xf numFmtId="0" fontId="9" fillId="15" borderId="38" xfId="0" applyFont="1" applyFill="1" applyBorder="1" applyAlignment="1" applyProtection="1">
      <alignment horizontal="right" vertical="center"/>
      <protection hidden="1"/>
    </xf>
    <xf numFmtId="0" fontId="9" fillId="15" borderId="39" xfId="0" applyFont="1" applyFill="1" applyBorder="1" applyAlignment="1" applyProtection="1">
      <alignment horizontal="center" vertical="center"/>
      <protection hidden="1"/>
    </xf>
    <xf numFmtId="0" fontId="48" fillId="5" borderId="0" xfId="0" applyFont="1" applyFill="1" applyBorder="1" applyAlignment="1" applyProtection="1">
      <alignment horizontal="center" vertical="center"/>
      <protection hidden="1"/>
    </xf>
    <xf numFmtId="0" fontId="9" fillId="34" borderId="3" xfId="0" applyFont="1" applyFill="1" applyBorder="1" applyAlignment="1" applyProtection="1">
      <alignment horizontal="right" vertical="center"/>
      <protection hidden="1"/>
    </xf>
    <xf numFmtId="0" fontId="9" fillId="34" borderId="6" xfId="0" applyFont="1" applyFill="1" applyBorder="1" applyAlignment="1" applyProtection="1">
      <alignment vertical="center"/>
      <protection hidden="1"/>
    </xf>
    <xf numFmtId="165" fontId="9" fillId="34" borderId="6" xfId="0" applyNumberFormat="1" applyFont="1" applyFill="1" applyBorder="1" applyAlignment="1" applyProtection="1">
      <alignment horizontal="center" vertical="center"/>
      <protection hidden="1"/>
    </xf>
    <xf numFmtId="165" fontId="9" fillId="34" borderId="2" xfId="0" applyNumberFormat="1" applyFont="1" applyFill="1" applyBorder="1" applyAlignment="1" applyProtection="1">
      <alignment horizontal="center" vertical="center"/>
      <protection hidden="1"/>
    </xf>
    <xf numFmtId="0" fontId="9" fillId="6" borderId="35" xfId="0" applyFont="1" applyFill="1" applyBorder="1" applyAlignment="1" applyProtection="1">
      <alignment horizontal="right" vertical="center"/>
      <protection hidden="1"/>
    </xf>
    <xf numFmtId="0" fontId="9" fillId="6" borderId="36" xfId="0" applyFont="1" applyFill="1" applyBorder="1" applyAlignment="1" applyProtection="1">
      <alignment vertical="center"/>
      <protection hidden="1"/>
    </xf>
    <xf numFmtId="0" fontId="9" fillId="6" borderId="36" xfId="0" applyFont="1" applyFill="1" applyBorder="1" applyAlignment="1" applyProtection="1">
      <alignment horizontal="center" vertical="center"/>
      <protection hidden="1"/>
    </xf>
    <xf numFmtId="0" fontId="9" fillId="6" borderId="47" xfId="0" applyFont="1" applyFill="1" applyBorder="1" applyAlignment="1" applyProtection="1">
      <alignment horizontal="right" vertical="center"/>
      <protection hidden="1"/>
    </xf>
    <xf numFmtId="0" fontId="9" fillId="6" borderId="48" xfId="0" applyFont="1" applyFill="1" applyBorder="1" applyAlignment="1" applyProtection="1">
      <alignment horizontal="center" vertical="center"/>
      <protection hidden="1"/>
    </xf>
    <xf numFmtId="0" fontId="9" fillId="6" borderId="38" xfId="0" applyFont="1" applyFill="1" applyBorder="1" applyAlignment="1" applyProtection="1">
      <alignment horizontal="right" vertical="center"/>
      <protection hidden="1"/>
    </xf>
    <xf numFmtId="0" fontId="9" fillId="6" borderId="23" xfId="0" applyFont="1" applyFill="1" applyBorder="1" applyAlignment="1" applyProtection="1">
      <alignment horizontal="center" vertical="center" wrapText="1"/>
      <protection hidden="1"/>
    </xf>
    <xf numFmtId="0" fontId="9" fillId="6" borderId="23" xfId="0" applyFont="1" applyFill="1" applyBorder="1" applyAlignment="1" applyProtection="1">
      <alignment horizontal="center" vertical="center"/>
      <protection hidden="1"/>
    </xf>
    <xf numFmtId="0" fontId="9" fillId="6" borderId="39" xfId="0" applyFont="1" applyFill="1" applyBorder="1" applyAlignment="1" applyProtection="1">
      <alignment horizontal="center" vertical="center"/>
      <protection hidden="1"/>
    </xf>
    <xf numFmtId="0" fontId="13" fillId="5" borderId="0" xfId="0" applyFont="1" applyFill="1" applyBorder="1" applyAlignment="1" applyProtection="1">
      <alignment horizontal="center" vertical="center" wrapText="1"/>
      <protection hidden="1"/>
    </xf>
    <xf numFmtId="0" fontId="9" fillId="31" borderId="36" xfId="0" applyFont="1" applyFill="1" applyBorder="1" applyAlignment="1" applyProtection="1">
      <alignment horizontal="right" vertical="center"/>
      <protection hidden="1"/>
    </xf>
    <xf numFmtId="0" fontId="9" fillId="17" borderId="35" xfId="0" applyFont="1" applyFill="1" applyBorder="1" applyAlignment="1" applyProtection="1">
      <alignment horizontal="center" vertical="center" wrapText="1"/>
      <protection hidden="1"/>
    </xf>
    <xf numFmtId="0" fontId="9" fillId="17" borderId="36" xfId="0" applyFont="1" applyFill="1" applyBorder="1" applyAlignment="1" applyProtection="1">
      <alignment horizontal="center" vertical="center" wrapText="1"/>
      <protection hidden="1"/>
    </xf>
    <xf numFmtId="165" fontId="9" fillId="17" borderId="36" xfId="0" applyNumberFormat="1" applyFont="1" applyFill="1" applyBorder="1" applyAlignment="1" applyProtection="1">
      <alignment horizontal="center" vertical="center"/>
      <protection hidden="1"/>
    </xf>
    <xf numFmtId="0" fontId="9" fillId="17" borderId="36" xfId="0" applyFont="1" applyFill="1" applyBorder="1" applyAlignment="1" applyProtection="1">
      <alignment horizontal="center" vertical="center"/>
      <protection hidden="1"/>
    </xf>
    <xf numFmtId="0" fontId="9" fillId="17" borderId="36" xfId="0" applyFont="1" applyFill="1" applyBorder="1" applyProtection="1">
      <protection hidden="1"/>
    </xf>
    <xf numFmtId="0" fontId="9" fillId="17" borderId="37" xfId="0" applyFont="1" applyFill="1" applyBorder="1" applyProtection="1">
      <protection hidden="1"/>
    </xf>
    <xf numFmtId="0" fontId="9" fillId="17" borderId="47" xfId="0" applyFont="1" applyFill="1" applyBorder="1" applyAlignment="1" applyProtection="1">
      <alignment horizontal="center" vertical="center" wrapText="1"/>
      <protection hidden="1"/>
    </xf>
    <xf numFmtId="0" fontId="9" fillId="17" borderId="0" xfId="0" applyFont="1" applyFill="1" applyBorder="1" applyProtection="1">
      <protection hidden="1"/>
    </xf>
    <xf numFmtId="0" fontId="9" fillId="17" borderId="48" xfId="0" applyFont="1" applyFill="1" applyBorder="1" applyProtection="1">
      <protection hidden="1"/>
    </xf>
    <xf numFmtId="0" fontId="9" fillId="17" borderId="47" xfId="0" applyFont="1" applyFill="1" applyBorder="1" applyAlignment="1" applyProtection="1">
      <alignment vertical="center"/>
      <protection hidden="1"/>
    </xf>
    <xf numFmtId="0" fontId="9" fillId="17" borderId="0" xfId="0" applyFont="1" applyFill="1" applyBorder="1" applyAlignment="1" applyProtection="1">
      <alignment vertical="center"/>
      <protection hidden="1"/>
    </xf>
    <xf numFmtId="0" fontId="9" fillId="17" borderId="48" xfId="0" applyFont="1" applyFill="1" applyBorder="1" applyAlignment="1" applyProtection="1">
      <alignment vertical="center"/>
      <protection hidden="1"/>
    </xf>
    <xf numFmtId="0" fontId="9" fillId="17" borderId="38" xfId="0" applyFont="1" applyFill="1" applyBorder="1" applyAlignment="1" applyProtection="1">
      <alignment horizontal="center" vertical="center" wrapText="1"/>
      <protection hidden="1"/>
    </xf>
    <xf numFmtId="0" fontId="9" fillId="17" borderId="23" xfId="0" applyFont="1" applyFill="1" applyBorder="1" applyAlignment="1" applyProtection="1">
      <alignment horizontal="center" vertical="center" wrapText="1"/>
      <protection hidden="1"/>
    </xf>
    <xf numFmtId="165" fontId="9" fillId="17" borderId="23" xfId="0" applyNumberFormat="1" applyFont="1" applyFill="1" applyBorder="1" applyAlignment="1" applyProtection="1">
      <alignment horizontal="center" vertical="center"/>
      <protection hidden="1"/>
    </xf>
    <xf numFmtId="0" fontId="9" fillId="17" borderId="23" xfId="0" applyFont="1" applyFill="1" applyBorder="1" applyAlignment="1" applyProtection="1">
      <alignment horizontal="center" vertical="center"/>
      <protection hidden="1"/>
    </xf>
    <xf numFmtId="0" fontId="9" fillId="17" borderId="23" xfId="0" applyFont="1" applyFill="1" applyBorder="1" applyProtection="1">
      <protection hidden="1"/>
    </xf>
    <xf numFmtId="0" fontId="9" fillId="17" borderId="39" xfId="0" applyFont="1" applyFill="1" applyBorder="1" applyProtection="1">
      <protection hidden="1"/>
    </xf>
    <xf numFmtId="0" fontId="9" fillId="17" borderId="36" xfId="0" applyFont="1" applyFill="1" applyBorder="1" applyAlignment="1" applyProtection="1">
      <alignment horizontal="left" vertical="center"/>
      <protection hidden="1"/>
    </xf>
    <xf numFmtId="0" fontId="9" fillId="17" borderId="23" xfId="0" applyFont="1" applyFill="1" applyBorder="1" applyAlignment="1" applyProtection="1">
      <alignment horizontal="left" vertical="center"/>
      <protection hidden="1"/>
    </xf>
    <xf numFmtId="0" fontId="9" fillId="17" borderId="35" xfId="0" applyFont="1" applyFill="1" applyBorder="1" applyAlignment="1" applyProtection="1">
      <alignment horizontal="right" vertical="center"/>
      <protection hidden="1"/>
    </xf>
    <xf numFmtId="0" fontId="9" fillId="17" borderId="36" xfId="0" applyFont="1" applyFill="1" applyBorder="1" applyAlignment="1" applyProtection="1">
      <alignment vertical="center"/>
      <protection hidden="1"/>
    </xf>
    <xf numFmtId="0" fontId="48" fillId="17" borderId="36" xfId="0" applyFont="1" applyFill="1" applyBorder="1" applyAlignment="1" applyProtection="1">
      <alignment horizontal="center" vertical="center"/>
      <protection hidden="1"/>
    </xf>
    <xf numFmtId="0" fontId="9" fillId="17" borderId="47" xfId="0" applyFont="1" applyFill="1" applyBorder="1" applyAlignment="1" applyProtection="1">
      <alignment horizontal="right" vertical="center"/>
      <protection hidden="1"/>
    </xf>
    <xf numFmtId="0" fontId="48" fillId="17" borderId="0" xfId="0" applyFont="1" applyFill="1" applyBorder="1" applyAlignment="1" applyProtection="1">
      <alignment horizontal="center" vertical="center"/>
      <protection hidden="1"/>
    </xf>
    <xf numFmtId="0" fontId="9" fillId="17" borderId="38" xfId="0" applyFont="1" applyFill="1" applyBorder="1" applyAlignment="1" applyProtection="1">
      <alignment horizontal="right" vertical="center"/>
      <protection hidden="1"/>
    </xf>
    <xf numFmtId="0" fontId="9" fillId="17" borderId="37" xfId="0" applyFont="1" applyFill="1" applyBorder="1" applyAlignment="1" applyProtection="1">
      <alignment horizontal="center" vertical="center" wrapText="1"/>
      <protection hidden="1"/>
    </xf>
    <xf numFmtId="0" fontId="9" fillId="17" borderId="48" xfId="0" applyFont="1" applyFill="1" applyBorder="1" applyAlignment="1" applyProtection="1">
      <alignment horizontal="center" vertical="center" wrapText="1"/>
      <protection hidden="1"/>
    </xf>
    <xf numFmtId="0" fontId="9" fillId="17" borderId="39" xfId="0" applyFont="1" applyFill="1" applyBorder="1" applyAlignment="1" applyProtection="1">
      <alignment horizontal="center" vertical="center" wrapText="1"/>
      <protection hidden="1"/>
    </xf>
    <xf numFmtId="0" fontId="68" fillId="5" borderId="0" xfId="0" applyFont="1" applyFill="1" applyAlignment="1" applyProtection="1">
      <alignment wrapText="1"/>
      <protection hidden="1"/>
    </xf>
    <xf numFmtId="0" fontId="9" fillId="31" borderId="35" xfId="0" applyFont="1" applyFill="1" applyBorder="1" applyAlignment="1" applyProtection="1">
      <alignment horizontal="right" vertical="center"/>
      <protection hidden="1"/>
    </xf>
    <xf numFmtId="0" fontId="9" fillId="31" borderId="37" xfId="0" applyFont="1" applyFill="1" applyBorder="1" applyAlignment="1" applyProtection="1">
      <alignment horizontal="right" vertical="center"/>
      <protection hidden="1"/>
    </xf>
    <xf numFmtId="0" fontId="13" fillId="5" borderId="0" xfId="0" applyFont="1" applyFill="1" applyBorder="1" applyAlignment="1" applyProtection="1">
      <alignment vertical="center" wrapText="1"/>
      <protection hidden="1"/>
    </xf>
    <xf numFmtId="0" fontId="13" fillId="16" borderId="0" xfId="0" applyFont="1" applyFill="1" applyBorder="1" applyAlignment="1" applyProtection="1">
      <alignment vertical="center" wrapText="1"/>
      <protection hidden="1"/>
    </xf>
    <xf numFmtId="0" fontId="13" fillId="6" borderId="0" xfId="0" applyFont="1" applyFill="1" applyBorder="1" applyAlignment="1" applyProtection="1">
      <alignment horizontal="center" vertical="center" wrapText="1"/>
      <protection hidden="1"/>
    </xf>
    <xf numFmtId="0" fontId="13" fillId="6" borderId="0" xfId="0" applyFont="1" applyFill="1" applyBorder="1" applyAlignment="1" applyProtection="1">
      <alignment vertical="center" wrapText="1"/>
      <protection hidden="1"/>
    </xf>
    <xf numFmtId="0" fontId="37" fillId="5" borderId="0" xfId="0" applyFont="1" applyFill="1" applyBorder="1" applyAlignment="1" applyProtection="1">
      <alignment horizontal="right" vertical="center"/>
      <protection hidden="1"/>
    </xf>
    <xf numFmtId="0" fontId="0" fillId="5" borderId="0" xfId="0" applyFont="1" applyFill="1" applyProtection="1">
      <protection hidden="1"/>
    </xf>
    <xf numFmtId="0" fontId="9" fillId="14" borderId="6" xfId="0" applyFont="1" applyFill="1" applyBorder="1" applyAlignment="1" applyProtection="1">
      <alignment vertical="center"/>
      <protection hidden="1"/>
    </xf>
    <xf numFmtId="0" fontId="9" fillId="21" borderId="0" xfId="0" applyFont="1" applyFill="1" applyBorder="1" applyAlignment="1" applyProtection="1">
      <alignment vertical="center"/>
      <protection hidden="1"/>
    </xf>
    <xf numFmtId="0" fontId="9" fillId="16" borderId="0" xfId="0" applyFont="1" applyFill="1" applyBorder="1" applyAlignment="1" applyProtection="1">
      <alignment vertical="center"/>
      <protection hidden="1"/>
    </xf>
    <xf numFmtId="0" fontId="9" fillId="34" borderId="3" xfId="0" applyFont="1" applyFill="1" applyBorder="1" applyAlignment="1" applyProtection="1">
      <alignment vertical="center"/>
      <protection hidden="1"/>
    </xf>
    <xf numFmtId="0" fontId="9" fillId="34" borderId="2" xfId="0" applyFont="1" applyFill="1" applyBorder="1" applyAlignment="1" applyProtection="1">
      <alignment vertical="center"/>
      <protection hidden="1"/>
    </xf>
    <xf numFmtId="0" fontId="9" fillId="25" borderId="36" xfId="0" applyFont="1" applyFill="1" applyBorder="1" applyAlignment="1" applyProtection="1">
      <alignment vertical="center"/>
      <protection hidden="1"/>
    </xf>
    <xf numFmtId="0" fontId="9" fillId="25" borderId="37" xfId="0" applyFont="1" applyFill="1" applyBorder="1" applyAlignment="1" applyProtection="1">
      <alignment vertical="center"/>
      <protection hidden="1"/>
    </xf>
    <xf numFmtId="0" fontId="0" fillId="25" borderId="23" xfId="0" applyFill="1" applyBorder="1" applyProtection="1">
      <protection hidden="1"/>
    </xf>
    <xf numFmtId="0" fontId="0" fillId="25" borderId="39" xfId="0" applyFill="1" applyBorder="1" applyProtection="1">
      <protection hidden="1"/>
    </xf>
    <xf numFmtId="0" fontId="9" fillId="12" borderId="3" xfId="0" applyFont="1" applyFill="1" applyBorder="1" applyAlignment="1" applyProtection="1">
      <alignment horizontal="center" vertical="center"/>
      <protection hidden="1"/>
    </xf>
    <xf numFmtId="0" fontId="9" fillId="12" borderId="6" xfId="0" applyFont="1" applyFill="1" applyBorder="1" applyAlignment="1" applyProtection="1">
      <alignment horizontal="center" vertical="center"/>
      <protection hidden="1"/>
    </xf>
    <xf numFmtId="0" fontId="9" fillId="12" borderId="2" xfId="0" applyFont="1" applyFill="1" applyBorder="1" applyAlignment="1" applyProtection="1">
      <alignment horizontal="center" vertical="center"/>
      <protection hidden="1"/>
    </xf>
    <xf numFmtId="0" fontId="48" fillId="12" borderId="6" xfId="0" applyFont="1" applyFill="1" applyBorder="1" applyAlignment="1" applyProtection="1">
      <alignment horizontal="center" vertical="center"/>
      <protection hidden="1"/>
    </xf>
    <xf numFmtId="0" fontId="9" fillId="22" borderId="2" xfId="0" applyFont="1" applyFill="1" applyBorder="1" applyAlignment="1" applyProtection="1">
      <alignment horizontal="center" vertical="center"/>
      <protection hidden="1"/>
    </xf>
    <xf numFmtId="0" fontId="9" fillId="18" borderId="3" xfId="0" applyFont="1" applyFill="1" applyBorder="1" applyAlignment="1" applyProtection="1">
      <alignment horizontal="center" vertical="center"/>
      <protection hidden="1"/>
    </xf>
    <xf numFmtId="0" fontId="9" fillId="18" borderId="6" xfId="0" applyFont="1" applyFill="1" applyBorder="1" applyAlignment="1" applyProtection="1">
      <alignment horizontal="center" vertical="center"/>
      <protection hidden="1"/>
    </xf>
    <xf numFmtId="0" fontId="9" fillId="18" borderId="2" xfId="0" applyFont="1" applyFill="1" applyBorder="1" applyAlignment="1" applyProtection="1">
      <alignment horizontal="center" vertical="center"/>
      <protection hidden="1"/>
    </xf>
    <xf numFmtId="0" fontId="9" fillId="21" borderId="35" xfId="0" applyFont="1" applyFill="1" applyBorder="1" applyAlignment="1" applyProtection="1">
      <alignment horizontal="right" vertical="center"/>
      <protection hidden="1"/>
    </xf>
    <xf numFmtId="0" fontId="9" fillId="21" borderId="36" xfId="0" applyFont="1" applyFill="1" applyBorder="1" applyAlignment="1" applyProtection="1">
      <alignment vertical="center"/>
      <protection hidden="1"/>
    </xf>
    <xf numFmtId="0" fontId="48" fillId="21" borderId="36" xfId="0" applyFont="1" applyFill="1" applyBorder="1" applyAlignment="1" applyProtection="1">
      <alignment horizontal="center" vertical="center"/>
      <protection hidden="1"/>
    </xf>
    <xf numFmtId="0" fontId="9" fillId="21" borderId="36" xfId="0" applyFont="1" applyFill="1" applyBorder="1" applyAlignment="1" applyProtection="1">
      <alignment horizontal="center" vertical="center"/>
      <protection hidden="1"/>
    </xf>
    <xf numFmtId="165" fontId="9" fillId="21" borderId="37" xfId="0" applyNumberFormat="1" applyFont="1" applyFill="1" applyBorder="1" applyAlignment="1" applyProtection="1">
      <alignment horizontal="center" vertical="center"/>
      <protection hidden="1"/>
    </xf>
    <xf numFmtId="0" fontId="9" fillId="21" borderId="47" xfId="0" applyFont="1" applyFill="1" applyBorder="1" applyAlignment="1" applyProtection="1">
      <alignment horizontal="right" vertical="center"/>
      <protection hidden="1"/>
    </xf>
    <xf numFmtId="165" fontId="9" fillId="21" borderId="48" xfId="0" applyNumberFormat="1" applyFont="1" applyFill="1" applyBorder="1" applyAlignment="1" applyProtection="1">
      <alignment horizontal="center" vertical="center"/>
      <protection hidden="1"/>
    </xf>
    <xf numFmtId="0" fontId="9" fillId="21" borderId="38" xfId="0" applyFont="1" applyFill="1" applyBorder="1" applyAlignment="1" applyProtection="1">
      <alignment horizontal="right" vertical="center"/>
      <protection hidden="1"/>
    </xf>
    <xf numFmtId="0" fontId="9" fillId="21" borderId="23" xfId="0" applyFont="1" applyFill="1" applyBorder="1" applyAlignment="1" applyProtection="1">
      <alignment vertical="center"/>
      <protection hidden="1"/>
    </xf>
    <xf numFmtId="0" fontId="48" fillId="21" borderId="23" xfId="0" applyFont="1" applyFill="1" applyBorder="1" applyAlignment="1" applyProtection="1">
      <alignment horizontal="center" vertical="center"/>
      <protection hidden="1"/>
    </xf>
    <xf numFmtId="0" fontId="9" fillId="21" borderId="23" xfId="0" applyFont="1" applyFill="1" applyBorder="1" applyAlignment="1" applyProtection="1">
      <alignment horizontal="center" vertical="center"/>
      <protection hidden="1"/>
    </xf>
    <xf numFmtId="165" fontId="9" fillId="21" borderId="39" xfId="0" applyNumberFormat="1" applyFont="1" applyFill="1" applyBorder="1" applyAlignment="1" applyProtection="1">
      <alignment horizontal="center" vertical="center"/>
      <protection hidden="1"/>
    </xf>
    <xf numFmtId="165" fontId="9" fillId="21" borderId="35" xfId="0" applyNumberFormat="1" applyFont="1" applyFill="1" applyBorder="1" applyAlignment="1" applyProtection="1">
      <alignment horizontal="center" vertical="center"/>
      <protection hidden="1"/>
    </xf>
    <xf numFmtId="165" fontId="9" fillId="21" borderId="36" xfId="0" applyNumberFormat="1" applyFont="1" applyFill="1" applyBorder="1" applyAlignment="1" applyProtection="1">
      <alignment horizontal="center" vertical="center"/>
      <protection hidden="1"/>
    </xf>
    <xf numFmtId="0" fontId="9" fillId="21" borderId="36" xfId="0" applyFont="1" applyFill="1" applyBorder="1" applyAlignment="1" applyProtection="1">
      <alignment horizontal="left" vertical="center"/>
      <protection hidden="1"/>
    </xf>
    <xf numFmtId="0" fontId="9" fillId="21" borderId="36" xfId="0" applyFont="1" applyFill="1" applyBorder="1" applyProtection="1">
      <protection hidden="1"/>
    </xf>
    <xf numFmtId="0" fontId="9" fillId="21" borderId="37" xfId="0" applyFont="1" applyFill="1" applyBorder="1" applyProtection="1">
      <protection hidden="1"/>
    </xf>
    <xf numFmtId="165" fontId="9" fillId="21" borderId="47" xfId="0" applyNumberFormat="1" applyFont="1" applyFill="1" applyBorder="1" applyAlignment="1" applyProtection="1">
      <alignment horizontal="center" vertical="center"/>
      <protection hidden="1"/>
    </xf>
    <xf numFmtId="0" fontId="9" fillId="21" borderId="0" xfId="0" applyFont="1" applyFill="1" applyBorder="1" applyProtection="1">
      <protection hidden="1"/>
    </xf>
    <xf numFmtId="0" fontId="9" fillId="21" borderId="48" xfId="0" applyFont="1" applyFill="1" applyBorder="1" applyProtection="1">
      <protection hidden="1"/>
    </xf>
    <xf numFmtId="165" fontId="9" fillId="21" borderId="38" xfId="0" applyNumberFormat="1" applyFont="1" applyFill="1" applyBorder="1" applyAlignment="1" applyProtection="1">
      <alignment horizontal="center" vertical="center"/>
      <protection hidden="1"/>
    </xf>
    <xf numFmtId="165" fontId="9" fillId="21" borderId="23" xfId="0" applyNumberFormat="1" applyFont="1" applyFill="1" applyBorder="1" applyAlignment="1" applyProtection="1">
      <alignment horizontal="center" vertical="center"/>
      <protection hidden="1"/>
    </xf>
    <xf numFmtId="0" fontId="9" fillId="21" borderId="23" xfId="0" applyFont="1" applyFill="1" applyBorder="1" applyAlignment="1" applyProtection="1">
      <alignment horizontal="left" vertical="center"/>
      <protection hidden="1"/>
    </xf>
    <xf numFmtId="0" fontId="9" fillId="21" borderId="23" xfId="0" applyFont="1" applyFill="1" applyBorder="1" applyProtection="1">
      <protection hidden="1"/>
    </xf>
    <xf numFmtId="0" fontId="9" fillId="21" borderId="39" xfId="0" applyFont="1" applyFill="1" applyBorder="1" applyProtection="1">
      <protection hidden="1"/>
    </xf>
    <xf numFmtId="0" fontId="9" fillId="22" borderId="3" xfId="0" applyFont="1" applyFill="1" applyBorder="1" applyAlignment="1" applyProtection="1">
      <alignment horizontal="right" vertical="center"/>
      <protection hidden="1"/>
    </xf>
    <xf numFmtId="0" fontId="9" fillId="22" borderId="6" xfId="0" applyFont="1" applyFill="1" applyBorder="1" applyAlignment="1" applyProtection="1">
      <alignment vertical="center"/>
      <protection hidden="1"/>
    </xf>
    <xf numFmtId="0" fontId="9" fillId="22" borderId="2" xfId="0" applyFont="1" applyFill="1" applyBorder="1" applyAlignment="1" applyProtection="1">
      <alignment horizontal="center" vertical="center" wrapText="1"/>
      <protection hidden="1"/>
    </xf>
    <xf numFmtId="0" fontId="9" fillId="22" borderId="3" xfId="0" applyFont="1" applyFill="1" applyBorder="1" applyAlignment="1" applyProtection="1">
      <alignment horizontal="center" vertical="center" wrapText="1"/>
      <protection hidden="1"/>
    </xf>
    <xf numFmtId="0" fontId="9" fillId="22" borderId="6" xfId="0" applyFont="1" applyFill="1" applyBorder="1" applyAlignment="1" applyProtection="1">
      <alignment horizontal="center" vertical="center" wrapText="1"/>
      <protection hidden="1"/>
    </xf>
    <xf numFmtId="165" fontId="9" fillId="22" borderId="6" xfId="0" applyNumberFormat="1" applyFont="1" applyFill="1" applyBorder="1" applyAlignment="1" applyProtection="1">
      <alignment horizontal="center" vertical="center"/>
      <protection hidden="1"/>
    </xf>
    <xf numFmtId="0" fontId="9" fillId="22" borderId="6" xfId="0" applyFont="1" applyFill="1" applyBorder="1" applyAlignment="1" applyProtection="1">
      <alignment horizontal="left" vertical="center"/>
      <protection hidden="1"/>
    </xf>
    <xf numFmtId="0" fontId="48" fillId="11" borderId="36" xfId="0" applyFont="1" applyFill="1" applyBorder="1" applyAlignment="1" applyProtection="1">
      <alignment horizontal="center" vertical="center"/>
      <protection hidden="1"/>
    </xf>
    <xf numFmtId="0" fontId="9" fillId="11" borderId="36" xfId="0" applyFont="1" applyFill="1" applyBorder="1" applyAlignment="1" applyProtection="1">
      <alignment horizontal="center" vertical="center"/>
      <protection hidden="1"/>
    </xf>
    <xf numFmtId="0" fontId="9" fillId="11" borderId="37" xfId="0" applyFont="1" applyFill="1" applyBorder="1" applyAlignment="1" applyProtection="1">
      <alignment horizontal="center" vertical="center"/>
      <protection hidden="1"/>
    </xf>
    <xf numFmtId="0" fontId="9" fillId="11" borderId="48" xfId="0" applyFont="1" applyFill="1" applyBorder="1" applyAlignment="1" applyProtection="1">
      <alignment horizontal="center" vertical="center"/>
      <protection hidden="1"/>
    </xf>
    <xf numFmtId="0" fontId="9" fillId="11" borderId="38" xfId="0" applyFont="1" applyFill="1" applyBorder="1" applyAlignment="1" applyProtection="1">
      <alignment horizontal="right" vertical="center"/>
      <protection hidden="1"/>
    </xf>
    <xf numFmtId="0" fontId="48" fillId="11" borderId="23" xfId="0" applyFont="1" applyFill="1" applyBorder="1" applyAlignment="1" applyProtection="1">
      <alignment horizontal="center" vertical="center"/>
      <protection hidden="1"/>
    </xf>
    <xf numFmtId="0" fontId="9" fillId="11" borderId="23" xfId="0" applyFont="1" applyFill="1" applyBorder="1" applyAlignment="1" applyProtection="1">
      <alignment horizontal="center" vertical="center" wrapText="1"/>
      <protection hidden="1"/>
    </xf>
    <xf numFmtId="0" fontId="9" fillId="11" borderId="39" xfId="0" applyFont="1" applyFill="1" applyBorder="1" applyAlignment="1" applyProtection="1">
      <alignment horizontal="center" vertical="center"/>
      <protection hidden="1"/>
    </xf>
    <xf numFmtId="165" fontId="9" fillId="12" borderId="6" xfId="0" applyNumberFormat="1" applyFont="1" applyFill="1" applyBorder="1" applyAlignment="1" applyProtection="1">
      <alignment horizontal="center" vertical="center"/>
      <protection hidden="1"/>
    </xf>
    <xf numFmtId="0" fontId="19" fillId="12" borderId="6" xfId="0" applyFont="1" applyFill="1" applyBorder="1" applyAlignment="1" applyProtection="1">
      <alignment horizontal="center" vertical="center"/>
      <protection hidden="1"/>
    </xf>
    <xf numFmtId="0" fontId="9" fillId="11" borderId="35" xfId="0" applyFont="1" applyFill="1" applyBorder="1" applyAlignment="1" applyProtection="1">
      <alignment horizontal="center" vertical="center"/>
      <protection hidden="1"/>
    </xf>
    <xf numFmtId="165" fontId="9" fillId="11" borderId="36" xfId="0" applyNumberFormat="1" applyFont="1" applyFill="1" applyBorder="1" applyAlignment="1" applyProtection="1">
      <alignment horizontal="center" vertical="center"/>
      <protection hidden="1"/>
    </xf>
    <xf numFmtId="0" fontId="19" fillId="11" borderId="36" xfId="0" applyFont="1" applyFill="1" applyBorder="1" applyAlignment="1" applyProtection="1">
      <alignment horizontal="center" vertical="center"/>
      <protection hidden="1"/>
    </xf>
    <xf numFmtId="0" fontId="9" fillId="11" borderId="47" xfId="0" applyFont="1" applyFill="1" applyBorder="1" applyAlignment="1" applyProtection="1">
      <alignment horizontal="center" vertical="center"/>
      <protection hidden="1"/>
    </xf>
    <xf numFmtId="0" fontId="12" fillId="11" borderId="0" xfId="0" applyFont="1" applyFill="1" applyBorder="1" applyAlignment="1" applyProtection="1">
      <alignment horizontal="center" vertical="center"/>
      <protection hidden="1"/>
    </xf>
    <xf numFmtId="0" fontId="9" fillId="11" borderId="38" xfId="0" applyFont="1" applyFill="1" applyBorder="1" applyAlignment="1" applyProtection="1">
      <alignment horizontal="center" vertical="center"/>
      <protection hidden="1"/>
    </xf>
    <xf numFmtId="0" fontId="9" fillId="11" borderId="23" xfId="0" applyFont="1" applyFill="1" applyBorder="1" applyAlignment="1" applyProtection="1">
      <alignment horizontal="center" vertical="center"/>
      <protection hidden="1"/>
    </xf>
    <xf numFmtId="165" fontId="9" fillId="11" borderId="23" xfId="0" applyNumberFormat="1" applyFont="1" applyFill="1" applyBorder="1" applyAlignment="1" applyProtection="1">
      <alignment horizontal="center" vertical="center"/>
      <protection hidden="1"/>
    </xf>
    <xf numFmtId="0" fontId="9" fillId="11" borderId="23" xfId="0" applyFont="1" applyFill="1" applyBorder="1" applyAlignment="1" applyProtection="1">
      <alignment horizontal="left" vertical="center"/>
      <protection hidden="1"/>
    </xf>
    <xf numFmtId="0" fontId="19" fillId="11" borderId="23" xfId="0" applyFont="1" applyFill="1" applyBorder="1" applyAlignment="1" applyProtection="1">
      <alignment horizontal="center" vertical="center"/>
      <protection hidden="1"/>
    </xf>
    <xf numFmtId="0" fontId="48" fillId="18" borderId="6" xfId="0" applyFont="1" applyFill="1" applyBorder="1" applyAlignment="1" applyProtection="1">
      <alignment horizontal="center" vertical="center"/>
      <protection hidden="1"/>
    </xf>
    <xf numFmtId="0" fontId="9" fillId="18" borderId="6" xfId="0" applyFont="1" applyFill="1" applyBorder="1" applyAlignment="1" applyProtection="1">
      <alignment vertical="center"/>
      <protection hidden="1"/>
    </xf>
    <xf numFmtId="0" fontId="9" fillId="6" borderId="36" xfId="0" applyFont="1" applyFill="1" applyBorder="1" applyAlignment="1" applyProtection="1">
      <alignment horizontal="right" vertical="center"/>
      <protection hidden="1"/>
    </xf>
    <xf numFmtId="0" fontId="9" fillId="6" borderId="37" xfId="0" applyFont="1" applyFill="1" applyBorder="1" applyAlignment="1" applyProtection="1">
      <alignment horizontal="right" vertical="center"/>
      <protection hidden="1"/>
    </xf>
    <xf numFmtId="0" fontId="9" fillId="6" borderId="0" xfId="0" applyFont="1" applyFill="1" applyBorder="1" applyAlignment="1" applyProtection="1">
      <alignment horizontal="right" vertical="center"/>
      <protection hidden="1"/>
    </xf>
    <xf numFmtId="0" fontId="9" fillId="6" borderId="48" xfId="0" applyFont="1" applyFill="1" applyBorder="1" applyAlignment="1" applyProtection="1">
      <alignment horizontal="right" vertical="center"/>
      <protection hidden="1"/>
    </xf>
    <xf numFmtId="0" fontId="9" fillId="6" borderId="23" xfId="0" applyFont="1" applyFill="1" applyBorder="1" applyAlignment="1" applyProtection="1">
      <alignment horizontal="right" vertical="center"/>
      <protection hidden="1"/>
    </xf>
    <xf numFmtId="0" fontId="9" fillId="6" borderId="39" xfId="0" applyFont="1" applyFill="1" applyBorder="1" applyAlignment="1" applyProtection="1">
      <alignment horizontal="right" vertical="center"/>
      <protection hidden="1"/>
    </xf>
    <xf numFmtId="0" fontId="54" fillId="5" borderId="0" xfId="0" applyFont="1" applyFill="1" applyBorder="1" applyAlignment="1" applyProtection="1">
      <alignment horizontal="right" vertical="center"/>
      <protection hidden="1"/>
    </xf>
    <xf numFmtId="1" fontId="54" fillId="5" borderId="0" xfId="0" applyNumberFormat="1" applyFont="1" applyFill="1" applyAlignment="1" applyProtection="1">
      <alignment horizontal="center" vertical="center"/>
      <protection hidden="1"/>
    </xf>
    <xf numFmtId="0" fontId="54" fillId="5" borderId="0" xfId="0" applyFont="1" applyFill="1" applyAlignment="1" applyProtection="1">
      <alignment horizontal="center" vertical="center"/>
      <protection hidden="1"/>
    </xf>
    <xf numFmtId="165" fontId="90" fillId="5" borderId="0" xfId="0" applyNumberFormat="1" applyFont="1" applyFill="1" applyAlignment="1" applyProtection="1">
      <alignment horizontal="right" vertical="center"/>
      <protection hidden="1"/>
    </xf>
    <xf numFmtId="0" fontId="90" fillId="5" borderId="0" xfId="0" applyFont="1" applyFill="1" applyAlignment="1" applyProtection="1">
      <alignment horizontal="right" vertical="center"/>
      <protection hidden="1"/>
    </xf>
    <xf numFmtId="164" fontId="14" fillId="31" borderId="47" xfId="0" applyNumberFormat="1" applyFont="1" applyFill="1" applyBorder="1" applyAlignment="1" applyProtection="1">
      <alignment vertical="center" wrapText="1"/>
      <protection hidden="1"/>
    </xf>
    <xf numFmtId="164" fontId="14" fillId="31" borderId="38" xfId="0" applyNumberFormat="1" applyFont="1" applyFill="1" applyBorder="1" applyAlignment="1" applyProtection="1">
      <alignment vertical="center" wrapText="1"/>
      <protection hidden="1"/>
    </xf>
    <xf numFmtId="164" fontId="14" fillId="31" borderId="23" xfId="0" applyNumberFormat="1" applyFont="1" applyFill="1" applyBorder="1" applyAlignment="1" applyProtection="1">
      <alignment vertical="center" wrapText="1"/>
      <protection hidden="1"/>
    </xf>
    <xf numFmtId="0" fontId="13" fillId="70" borderId="8" xfId="0" applyFont="1" applyFill="1" applyBorder="1" applyAlignment="1" applyProtection="1">
      <alignment vertical="center" wrapText="1"/>
      <protection hidden="1"/>
    </xf>
    <xf numFmtId="0" fontId="9" fillId="70" borderId="35" xfId="0" applyFont="1" applyFill="1" applyBorder="1" applyAlignment="1" applyProtection="1">
      <alignment horizontal="right" vertical="center"/>
      <protection hidden="1"/>
    </xf>
    <xf numFmtId="0" fontId="9" fillId="70" borderId="36" xfId="0" applyFont="1" applyFill="1" applyBorder="1" applyAlignment="1" applyProtection="1">
      <alignment vertical="center"/>
      <protection hidden="1"/>
    </xf>
    <xf numFmtId="0" fontId="9" fillId="70" borderId="36" xfId="0" applyFont="1" applyFill="1" applyBorder="1" applyAlignment="1" applyProtection="1">
      <alignment horizontal="left" vertical="center"/>
      <protection hidden="1"/>
    </xf>
    <xf numFmtId="0" fontId="9" fillId="70" borderId="37" xfId="0" applyFont="1" applyFill="1" applyBorder="1" applyAlignment="1" applyProtection="1">
      <alignment vertical="center"/>
      <protection hidden="1"/>
    </xf>
    <xf numFmtId="2" fontId="9" fillId="70" borderId="0" xfId="4" applyFont="1" applyFill="1" applyBorder="1" applyAlignment="1" applyProtection="1">
      <alignment horizontal="left" vertical="center"/>
      <protection hidden="1"/>
    </xf>
    <xf numFmtId="2" fontId="48" fillId="70" borderId="0" xfId="4" applyFont="1" applyFill="1" applyBorder="1" applyAlignment="1" applyProtection="1">
      <alignment horizontal="left" vertical="center"/>
      <protection hidden="1"/>
    </xf>
    <xf numFmtId="2" fontId="48" fillId="70" borderId="0" xfId="4" quotePrefix="1" applyFont="1" applyFill="1" applyBorder="1" applyAlignment="1" applyProtection="1">
      <alignment horizontal="left" vertical="center"/>
      <protection hidden="1"/>
    </xf>
    <xf numFmtId="2" fontId="48" fillId="70" borderId="48" xfId="4" applyFont="1" applyFill="1" applyBorder="1" applyAlignment="1" applyProtection="1">
      <alignment horizontal="left" vertical="center"/>
      <protection hidden="1"/>
    </xf>
    <xf numFmtId="0" fontId="9" fillId="70" borderId="47" xfId="0" applyFont="1" applyFill="1" applyBorder="1" applyAlignment="1" applyProtection="1">
      <alignment horizontal="right" vertical="center"/>
      <protection hidden="1"/>
    </xf>
    <xf numFmtId="2" fontId="9" fillId="70" borderId="48" xfId="4" applyFont="1" applyFill="1" applyBorder="1" applyAlignment="1" applyProtection="1">
      <alignment horizontal="left" vertical="center"/>
      <protection hidden="1"/>
    </xf>
    <xf numFmtId="0" fontId="9" fillId="70" borderId="0" xfId="0" applyFont="1" applyFill="1" applyBorder="1" applyAlignment="1" applyProtection="1">
      <alignment horizontal="left" vertical="center"/>
      <protection hidden="1"/>
    </xf>
    <xf numFmtId="0" fontId="17" fillId="70" borderId="0" xfId="0" applyFont="1" applyFill="1" applyBorder="1" applyAlignment="1" applyProtection="1">
      <alignment vertical="center"/>
      <protection hidden="1"/>
    </xf>
    <xf numFmtId="0" fontId="17" fillId="70" borderId="0" xfId="0" applyFont="1" applyFill="1" applyBorder="1" applyAlignment="1" applyProtection="1">
      <alignment horizontal="left" vertical="center"/>
      <protection hidden="1"/>
    </xf>
    <xf numFmtId="0" fontId="9" fillId="70" borderId="48" xfId="0" applyFont="1" applyFill="1" applyBorder="1" applyAlignment="1" applyProtection="1">
      <alignment vertical="center"/>
      <protection hidden="1"/>
    </xf>
    <xf numFmtId="0" fontId="9" fillId="70" borderId="23" xfId="0" applyFont="1" applyFill="1" applyBorder="1" applyAlignment="1" applyProtection="1">
      <alignment vertical="center"/>
      <protection hidden="1"/>
    </xf>
    <xf numFmtId="0" fontId="9" fillId="70" borderId="39" xfId="0" applyFont="1" applyFill="1" applyBorder="1" applyAlignment="1" applyProtection="1">
      <alignment vertical="center"/>
      <protection hidden="1"/>
    </xf>
    <xf numFmtId="2" fontId="9" fillId="70" borderId="0" xfId="4" applyFont="1" applyFill="1" applyBorder="1" applyAlignment="1" applyProtection="1">
      <alignment vertical="center"/>
      <protection hidden="1"/>
    </xf>
    <xf numFmtId="0" fontId="46" fillId="70" borderId="0" xfId="0" applyFont="1" applyFill="1" applyBorder="1" applyAlignment="1" applyProtection="1">
      <protection hidden="1"/>
    </xf>
    <xf numFmtId="0" fontId="9" fillId="70" borderId="35" xfId="0" applyFont="1" applyFill="1" applyBorder="1" applyAlignment="1" applyProtection="1">
      <alignment vertical="center"/>
      <protection hidden="1"/>
    </xf>
    <xf numFmtId="2" fontId="9" fillId="70" borderId="47" xfId="4" applyFont="1" applyFill="1" applyBorder="1" applyAlignment="1" applyProtection="1">
      <alignment horizontal="left" vertical="center"/>
      <protection hidden="1"/>
    </xf>
    <xf numFmtId="0" fontId="17" fillId="70" borderId="47" xfId="0" applyFont="1" applyFill="1" applyBorder="1" applyAlignment="1" applyProtection="1">
      <alignment vertical="center"/>
      <protection hidden="1"/>
    </xf>
    <xf numFmtId="2" fontId="9" fillId="70" borderId="47" xfId="4" applyFont="1" applyFill="1" applyBorder="1" applyAlignment="1" applyProtection="1">
      <alignment vertical="center"/>
      <protection hidden="1"/>
    </xf>
    <xf numFmtId="0" fontId="9" fillId="70" borderId="38" xfId="0" applyFont="1" applyFill="1" applyBorder="1" applyAlignment="1" applyProtection="1">
      <alignment vertical="center"/>
      <protection hidden="1"/>
    </xf>
    <xf numFmtId="0" fontId="9" fillId="13" borderId="0" xfId="0" applyFont="1" applyFill="1" applyBorder="1" applyAlignment="1" applyProtection="1">
      <alignment horizontal="right" vertical="center"/>
      <protection hidden="1"/>
    </xf>
    <xf numFmtId="0" fontId="9" fillId="13" borderId="35" xfId="0" applyFont="1" applyFill="1" applyBorder="1" applyAlignment="1" applyProtection="1">
      <alignment horizontal="right" vertical="center"/>
      <protection hidden="1"/>
    </xf>
    <xf numFmtId="0" fontId="9" fillId="13" borderId="36" xfId="0" applyFont="1" applyFill="1" applyBorder="1" applyAlignment="1" applyProtection="1">
      <alignment horizontal="right" vertical="center"/>
      <protection hidden="1"/>
    </xf>
    <xf numFmtId="0" fontId="9" fillId="13" borderId="36" xfId="0" applyFont="1" applyFill="1" applyBorder="1" applyAlignment="1" applyProtection="1">
      <alignment horizontal="center" vertical="center"/>
      <protection hidden="1"/>
    </xf>
    <xf numFmtId="0" fontId="9" fillId="13" borderId="37" xfId="0" applyFont="1" applyFill="1" applyBorder="1" applyAlignment="1" applyProtection="1">
      <alignment horizontal="right" vertical="center"/>
      <protection hidden="1"/>
    </xf>
    <xf numFmtId="0" fontId="9" fillId="13" borderId="47" xfId="0" applyFont="1" applyFill="1" applyBorder="1" applyAlignment="1" applyProtection="1">
      <alignment horizontal="right" vertical="center"/>
      <protection hidden="1"/>
    </xf>
    <xf numFmtId="0" fontId="9" fillId="13" borderId="48" xfId="0" applyFont="1" applyFill="1" applyBorder="1" applyAlignment="1" applyProtection="1">
      <alignment horizontal="right" vertical="center"/>
      <protection hidden="1"/>
    </xf>
    <xf numFmtId="0" fontId="9" fillId="13" borderId="38" xfId="0" applyFont="1" applyFill="1" applyBorder="1" applyAlignment="1" applyProtection="1">
      <alignment horizontal="right" vertical="center"/>
      <protection hidden="1"/>
    </xf>
    <xf numFmtId="0" fontId="9" fillId="13" borderId="23" xfId="0" applyFont="1" applyFill="1" applyBorder="1" applyAlignment="1" applyProtection="1">
      <alignment horizontal="right" vertical="center"/>
      <protection hidden="1"/>
    </xf>
    <xf numFmtId="0" fontId="9" fillId="13" borderId="23" xfId="0" applyFont="1" applyFill="1" applyBorder="1" applyAlignment="1" applyProtection="1">
      <alignment horizontal="center" vertical="center"/>
      <protection hidden="1"/>
    </xf>
    <xf numFmtId="0" fontId="9" fillId="13" borderId="39" xfId="0" applyFont="1" applyFill="1" applyBorder="1" applyAlignment="1" applyProtection="1">
      <alignment horizontal="right" vertical="center"/>
      <protection hidden="1"/>
    </xf>
    <xf numFmtId="0" fontId="9" fillId="91" borderId="3" xfId="0" applyFont="1" applyFill="1" applyBorder="1" applyAlignment="1" applyProtection="1">
      <alignment horizontal="right" vertical="center"/>
      <protection hidden="1"/>
    </xf>
    <xf numFmtId="0" fontId="9" fillId="91" borderId="6" xfId="0" applyFont="1" applyFill="1" applyBorder="1" applyAlignment="1" applyProtection="1">
      <alignment horizontal="right" vertical="center"/>
      <protection hidden="1"/>
    </xf>
    <xf numFmtId="0" fontId="9" fillId="91" borderId="2" xfId="0" applyFont="1" applyFill="1" applyBorder="1" applyAlignment="1" applyProtection="1">
      <alignment horizontal="right" vertical="center"/>
      <protection hidden="1"/>
    </xf>
    <xf numFmtId="0" fontId="9" fillId="91" borderId="6" xfId="0" applyFont="1" applyFill="1" applyBorder="1" applyAlignment="1" applyProtection="1">
      <alignment horizontal="center" vertical="center"/>
      <protection hidden="1"/>
    </xf>
    <xf numFmtId="0" fontId="9" fillId="91" borderId="0" xfId="0" applyFont="1" applyFill="1" applyBorder="1" applyAlignment="1" applyProtection="1">
      <alignment horizontal="right" vertical="center"/>
      <protection hidden="1"/>
    </xf>
    <xf numFmtId="0" fontId="62" fillId="31" borderId="0" xfId="0" applyFont="1" applyFill="1" applyBorder="1" applyAlignment="1">
      <alignment vertical="center"/>
    </xf>
    <xf numFmtId="0" fontId="9" fillId="71" borderId="3" xfId="0" applyFont="1" applyFill="1" applyBorder="1" applyAlignment="1" applyProtection="1">
      <alignment vertical="center"/>
      <protection hidden="1"/>
    </xf>
    <xf numFmtId="0" fontId="9" fillId="71" borderId="6" xfId="0" applyFont="1" applyFill="1" applyBorder="1" applyAlignment="1" applyProtection="1">
      <alignment vertical="center"/>
      <protection hidden="1"/>
    </xf>
    <xf numFmtId="0" fontId="9" fillId="71" borderId="6" xfId="0" applyFont="1" applyFill="1" applyBorder="1" applyAlignment="1" applyProtection="1">
      <alignment horizontal="left" vertical="center"/>
      <protection hidden="1"/>
    </xf>
    <xf numFmtId="0" fontId="9" fillId="71" borderId="2" xfId="0" applyFont="1" applyFill="1" applyBorder="1" applyAlignment="1" applyProtection="1">
      <alignment horizontal="left" vertical="center"/>
      <protection hidden="1"/>
    </xf>
    <xf numFmtId="0" fontId="9" fillId="71" borderId="0" xfId="0" applyFont="1" applyFill="1" applyBorder="1" applyAlignment="1" applyProtection="1">
      <alignment vertical="center"/>
      <protection hidden="1"/>
    </xf>
    <xf numFmtId="0" fontId="9" fillId="71" borderId="3" xfId="0" applyFont="1" applyFill="1" applyBorder="1" applyAlignment="1" applyProtection="1">
      <alignment horizontal="left" vertical="center"/>
      <protection hidden="1"/>
    </xf>
    <xf numFmtId="0" fontId="26" fillId="71" borderId="6" xfId="0" applyFont="1" applyFill="1" applyBorder="1" applyAlignment="1" applyProtection="1">
      <alignment horizontal="left" vertical="center"/>
      <protection hidden="1"/>
    </xf>
    <xf numFmtId="0" fontId="13" fillId="92" borderId="23" xfId="0" applyFont="1" applyFill="1" applyBorder="1" applyAlignment="1" applyProtection="1">
      <alignment horizontal="center" vertical="center" wrapText="1"/>
      <protection hidden="1"/>
    </xf>
    <xf numFmtId="0" fontId="13" fillId="92" borderId="39" xfId="0" applyFont="1" applyFill="1" applyBorder="1" applyAlignment="1" applyProtection="1">
      <alignment horizontal="center" vertical="center" wrapText="1"/>
      <protection hidden="1"/>
    </xf>
    <xf numFmtId="0" fontId="9" fillId="92" borderId="35" xfId="0" applyFont="1" applyFill="1" applyBorder="1" applyAlignment="1" applyProtection="1">
      <alignment horizontal="right" vertical="center"/>
      <protection hidden="1"/>
    </xf>
    <xf numFmtId="0" fontId="9" fillId="92" borderId="36" xfId="0" applyFont="1" applyFill="1" applyBorder="1" applyAlignment="1" applyProtection="1">
      <alignment horizontal="right" vertical="center"/>
      <protection hidden="1"/>
    </xf>
    <xf numFmtId="0" fontId="9" fillId="92" borderId="36" xfId="0" applyFont="1" applyFill="1" applyBorder="1" applyAlignment="1" applyProtection="1">
      <alignment horizontal="center" vertical="center"/>
      <protection hidden="1"/>
    </xf>
    <xf numFmtId="0" fontId="9" fillId="92" borderId="37" xfId="0" applyFont="1" applyFill="1" applyBorder="1" applyAlignment="1" applyProtection="1">
      <alignment horizontal="right" vertical="center"/>
      <protection hidden="1"/>
    </xf>
    <xf numFmtId="0" fontId="9" fillId="92" borderId="47" xfId="0" applyFont="1" applyFill="1" applyBorder="1" applyAlignment="1" applyProtection="1">
      <alignment horizontal="right" vertical="center"/>
      <protection hidden="1"/>
    </xf>
    <xf numFmtId="0" fontId="48" fillId="92" borderId="0" xfId="0" applyFont="1" applyFill="1" applyBorder="1" applyAlignment="1" applyProtection="1">
      <alignment horizontal="center" vertical="center"/>
      <protection hidden="1"/>
    </xf>
    <xf numFmtId="0" fontId="9" fillId="92" borderId="0" xfId="0" applyFont="1" applyFill="1" applyBorder="1" applyAlignment="1" applyProtection="1">
      <alignment horizontal="right" vertical="center"/>
      <protection hidden="1"/>
    </xf>
    <xf numFmtId="0" fontId="9" fillId="92" borderId="48" xfId="0" applyFont="1" applyFill="1" applyBorder="1" applyAlignment="1" applyProtection="1">
      <alignment horizontal="right" vertical="center"/>
      <protection hidden="1"/>
    </xf>
    <xf numFmtId="0" fontId="9" fillId="92" borderId="0" xfId="0" applyFont="1" applyFill="1" applyBorder="1" applyAlignment="1" applyProtection="1">
      <alignment horizontal="center" vertical="center"/>
      <protection hidden="1"/>
    </xf>
    <xf numFmtId="0" fontId="9" fillId="92" borderId="38" xfId="0" applyFont="1" applyFill="1" applyBorder="1" applyAlignment="1" applyProtection="1">
      <alignment horizontal="right" vertical="center"/>
      <protection hidden="1"/>
    </xf>
    <xf numFmtId="0" fontId="9" fillId="92" borderId="23" xfId="0" applyFont="1" applyFill="1" applyBorder="1" applyAlignment="1" applyProtection="1">
      <alignment horizontal="right" vertical="center"/>
      <protection hidden="1"/>
    </xf>
    <xf numFmtId="0" fontId="9" fillId="92" borderId="23" xfId="0" applyFont="1" applyFill="1" applyBorder="1" applyAlignment="1" applyProtection="1">
      <alignment horizontal="center" vertical="center"/>
      <protection hidden="1"/>
    </xf>
    <xf numFmtId="0" fontId="9" fillId="92" borderId="39" xfId="0" applyFont="1" applyFill="1" applyBorder="1" applyAlignment="1" applyProtection="1">
      <alignment horizontal="right" vertical="center"/>
      <protection hidden="1"/>
    </xf>
    <xf numFmtId="164" fontId="9" fillId="92" borderId="0" xfId="0" applyNumberFormat="1" applyFont="1" applyFill="1" applyBorder="1" applyAlignment="1" applyProtection="1">
      <alignment horizontal="right" vertical="center"/>
      <protection hidden="1"/>
    </xf>
    <xf numFmtId="164" fontId="9" fillId="92" borderId="48" xfId="0" applyNumberFormat="1" applyFont="1" applyFill="1" applyBorder="1" applyAlignment="1" applyProtection="1">
      <alignment horizontal="right" vertical="center"/>
      <protection hidden="1"/>
    </xf>
    <xf numFmtId="164" fontId="9" fillId="92" borderId="47" xfId="0" applyNumberFormat="1" applyFont="1" applyFill="1" applyBorder="1" applyAlignment="1" applyProtection="1">
      <alignment horizontal="right" vertical="center"/>
      <protection hidden="1"/>
    </xf>
    <xf numFmtId="0" fontId="9" fillId="87" borderId="3" xfId="0" applyFont="1" applyFill="1" applyBorder="1" applyAlignment="1" applyProtection="1">
      <alignment horizontal="center" vertical="center"/>
      <protection hidden="1"/>
    </xf>
    <xf numFmtId="0" fontId="9" fillId="87" borderId="6" xfId="0" applyFont="1" applyFill="1" applyBorder="1" applyAlignment="1" applyProtection="1">
      <alignment horizontal="center" vertical="center"/>
      <protection hidden="1"/>
    </xf>
    <xf numFmtId="0" fontId="9" fillId="87" borderId="2" xfId="0" applyFont="1" applyFill="1" applyBorder="1" applyAlignment="1" applyProtection="1">
      <alignment horizontal="center" vertical="center"/>
      <protection hidden="1"/>
    </xf>
    <xf numFmtId="0" fontId="13" fillId="92" borderId="0" xfId="0" applyFont="1" applyFill="1" applyBorder="1" applyAlignment="1" applyProtection="1">
      <alignment horizontal="center" vertical="center" wrapText="1"/>
      <protection hidden="1"/>
    </xf>
    <xf numFmtId="0" fontId="13" fillId="92" borderId="48"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protection hidden="1"/>
    </xf>
    <xf numFmtId="164" fontId="9" fillId="36" borderId="15" xfId="0" applyNumberFormat="1" applyFont="1" applyFill="1" applyBorder="1"/>
    <xf numFmtId="0" fontId="9" fillId="2" borderId="0" xfId="0" applyFont="1" applyFill="1" applyBorder="1"/>
    <xf numFmtId="165" fontId="9" fillId="5" borderId="0" xfId="0" applyNumberFormat="1" applyFont="1" applyFill="1" applyBorder="1" applyAlignment="1">
      <alignment horizontal="right"/>
    </xf>
    <xf numFmtId="0" fontId="67" fillId="67" borderId="0" xfId="0" applyFont="1" applyFill="1" applyBorder="1" applyAlignment="1">
      <alignment vertical="center"/>
    </xf>
    <xf numFmtId="165" fontId="47" fillId="79" borderId="16" xfId="0" applyNumberFormat="1" applyFont="1" applyFill="1" applyBorder="1" applyAlignment="1">
      <alignment horizontal="right" vertical="center"/>
    </xf>
    <xf numFmtId="165" fontId="9" fillId="79" borderId="51" xfId="0" applyNumberFormat="1" applyFont="1" applyFill="1" applyBorder="1" applyAlignment="1">
      <alignment horizontal="right"/>
    </xf>
    <xf numFmtId="165" fontId="9" fillId="79" borderId="29" xfId="0" applyNumberFormat="1" applyFont="1" applyFill="1" applyBorder="1" applyAlignment="1">
      <alignment horizontal="right"/>
    </xf>
    <xf numFmtId="0" fontId="47" fillId="5" borderId="0" xfId="0" applyFont="1" applyFill="1" applyBorder="1" applyAlignment="1">
      <alignment horizontal="left" vertical="center"/>
    </xf>
    <xf numFmtId="165" fontId="9" fillId="5" borderId="15" xfId="0" applyNumberFormat="1" applyFont="1" applyFill="1" applyBorder="1" applyAlignment="1">
      <alignment horizontal="left"/>
    </xf>
    <xf numFmtId="165" fontId="9" fillId="5" borderId="57" xfId="0" applyNumberFormat="1" applyFont="1" applyFill="1" applyBorder="1" applyAlignment="1">
      <alignment horizontal="right"/>
    </xf>
    <xf numFmtId="165" fontId="9" fillId="11" borderId="22" xfId="0" applyNumberFormat="1" applyFont="1" applyFill="1" applyBorder="1" applyAlignment="1">
      <alignment horizontal="right"/>
    </xf>
    <xf numFmtId="0" fontId="13" fillId="16" borderId="48" xfId="0" applyFont="1" applyFill="1" applyBorder="1" applyAlignment="1" applyProtection="1">
      <alignment vertical="center" wrapText="1"/>
      <protection hidden="1"/>
    </xf>
    <xf numFmtId="0" fontId="13" fillId="16" borderId="23" xfId="0" applyFont="1" applyFill="1" applyBorder="1" applyAlignment="1" applyProtection="1">
      <alignment vertical="center" wrapText="1"/>
      <protection hidden="1"/>
    </xf>
    <xf numFmtId="0" fontId="13" fillId="16" borderId="39" xfId="0" applyFont="1" applyFill="1" applyBorder="1" applyAlignment="1" applyProtection="1">
      <alignment vertical="center" wrapText="1"/>
      <protection hidden="1"/>
    </xf>
    <xf numFmtId="0" fontId="9" fillId="32" borderId="3" xfId="0" applyFont="1" applyFill="1" applyBorder="1" applyAlignment="1" applyProtection="1">
      <alignment horizontal="center" vertical="center"/>
      <protection hidden="1"/>
    </xf>
    <xf numFmtId="0" fontId="9" fillId="32" borderId="6" xfId="0" applyFont="1" applyFill="1" applyBorder="1" applyAlignment="1" applyProtection="1">
      <alignment horizontal="center" vertical="center"/>
      <protection hidden="1"/>
    </xf>
    <xf numFmtId="0" fontId="9" fillId="32" borderId="2" xfId="0" applyFont="1" applyFill="1" applyBorder="1" applyAlignment="1" applyProtection="1">
      <alignment horizontal="center" vertical="center"/>
      <protection hidden="1"/>
    </xf>
    <xf numFmtId="0" fontId="9" fillId="16" borderId="35" xfId="0" applyFont="1" applyFill="1" applyBorder="1" applyAlignment="1" applyProtection="1">
      <alignment horizontal="right" vertical="center"/>
      <protection hidden="1"/>
    </xf>
    <xf numFmtId="0" fontId="9" fillId="16" borderId="36" xfId="0" applyFont="1" applyFill="1" applyBorder="1" applyAlignment="1" applyProtection="1">
      <alignment vertical="center"/>
      <protection hidden="1"/>
    </xf>
    <xf numFmtId="0" fontId="9" fillId="16" borderId="36" xfId="0" applyFont="1" applyFill="1" applyBorder="1" applyAlignment="1" applyProtection="1">
      <alignment horizontal="center" vertical="center"/>
      <protection hidden="1"/>
    </xf>
    <xf numFmtId="0" fontId="9" fillId="16" borderId="37" xfId="0" applyFont="1" applyFill="1" applyBorder="1" applyAlignment="1" applyProtection="1">
      <alignment horizontal="center" vertical="center"/>
      <protection hidden="1"/>
    </xf>
    <xf numFmtId="0" fontId="9" fillId="16" borderId="47" xfId="0" applyFont="1" applyFill="1" applyBorder="1" applyAlignment="1" applyProtection="1">
      <alignment horizontal="right" vertical="center"/>
      <protection hidden="1"/>
    </xf>
    <xf numFmtId="0" fontId="9" fillId="16" borderId="48" xfId="0" applyFont="1" applyFill="1" applyBorder="1" applyAlignment="1" applyProtection="1">
      <alignment horizontal="center" vertical="center"/>
      <protection hidden="1"/>
    </xf>
    <xf numFmtId="0" fontId="9" fillId="16" borderId="38" xfId="0" applyFont="1" applyFill="1" applyBorder="1" applyAlignment="1" applyProtection="1">
      <alignment horizontal="right" vertical="center"/>
      <protection hidden="1"/>
    </xf>
    <xf numFmtId="0" fontId="9" fillId="16" borderId="23" xfId="0" applyFont="1" applyFill="1" applyBorder="1" applyAlignment="1" applyProtection="1">
      <alignment vertical="center"/>
      <protection hidden="1"/>
    </xf>
    <xf numFmtId="0" fontId="9" fillId="16" borderId="23" xfId="0" applyFont="1" applyFill="1" applyBorder="1" applyAlignment="1" applyProtection="1">
      <alignment horizontal="center" vertical="center"/>
      <protection hidden="1"/>
    </xf>
    <xf numFmtId="0" fontId="9" fillId="16" borderId="39" xfId="0" applyFont="1" applyFill="1" applyBorder="1" applyAlignment="1" applyProtection="1">
      <alignment horizontal="center" vertical="center"/>
      <protection hidden="1"/>
    </xf>
    <xf numFmtId="0" fontId="9" fillId="16" borderId="35" xfId="0" applyFont="1" applyFill="1" applyBorder="1" applyAlignment="1" applyProtection="1">
      <alignment horizontal="center" vertical="center"/>
      <protection hidden="1"/>
    </xf>
    <xf numFmtId="165" fontId="9" fillId="16" borderId="36" xfId="0" applyNumberFormat="1" applyFont="1" applyFill="1" applyBorder="1" applyAlignment="1" applyProtection="1">
      <alignment horizontal="center" vertical="center"/>
      <protection hidden="1"/>
    </xf>
    <xf numFmtId="0" fontId="9" fillId="16" borderId="36" xfId="0" applyFont="1" applyFill="1" applyBorder="1" applyAlignment="1" applyProtection="1">
      <alignment horizontal="left" vertical="center"/>
      <protection hidden="1"/>
    </xf>
    <xf numFmtId="0" fontId="9" fillId="16" borderId="36" xfId="0" applyFont="1" applyFill="1" applyBorder="1" applyProtection="1">
      <protection hidden="1"/>
    </xf>
    <xf numFmtId="0" fontId="9" fillId="16" borderId="37" xfId="0" applyFont="1" applyFill="1" applyBorder="1" applyProtection="1">
      <protection hidden="1"/>
    </xf>
    <xf numFmtId="0" fontId="9" fillId="16" borderId="47" xfId="0" applyFont="1" applyFill="1" applyBorder="1" applyAlignment="1" applyProtection="1">
      <alignment horizontal="center" vertical="center"/>
      <protection hidden="1"/>
    </xf>
    <xf numFmtId="0" fontId="9" fillId="16" borderId="0" xfId="0" applyFont="1" applyFill="1" applyBorder="1" applyProtection="1">
      <protection hidden="1"/>
    </xf>
    <xf numFmtId="0" fontId="9" fillId="16" borderId="48" xfId="0" applyFont="1" applyFill="1" applyBorder="1" applyProtection="1">
      <protection hidden="1"/>
    </xf>
    <xf numFmtId="0" fontId="9" fillId="16" borderId="38" xfId="0" applyFont="1" applyFill="1" applyBorder="1" applyAlignment="1" applyProtection="1">
      <alignment horizontal="center" vertical="center"/>
      <protection hidden="1"/>
    </xf>
    <xf numFmtId="0" fontId="9" fillId="16" borderId="39" xfId="0" applyFont="1" applyFill="1" applyBorder="1" applyAlignment="1" applyProtection="1">
      <alignment vertical="center"/>
      <protection hidden="1"/>
    </xf>
    <xf numFmtId="165" fontId="25" fillId="5" borderId="0" xfId="0" applyNumberFormat="1" applyFont="1" applyFill="1" applyBorder="1" applyAlignment="1" applyProtection="1">
      <alignment vertical="center"/>
      <protection hidden="1"/>
    </xf>
    <xf numFmtId="165" fontId="25" fillId="5" borderId="0" xfId="0" applyNumberFormat="1" applyFont="1" applyFill="1" applyAlignment="1" applyProtection="1">
      <alignment vertical="center"/>
      <protection hidden="1"/>
    </xf>
    <xf numFmtId="165" fontId="31" fillId="5" borderId="0" xfId="0" applyNumberFormat="1" applyFont="1" applyFill="1" applyAlignment="1" applyProtection="1">
      <alignment vertical="center"/>
      <protection hidden="1"/>
    </xf>
    <xf numFmtId="165" fontId="31" fillId="5" borderId="0" xfId="0" applyNumberFormat="1" applyFont="1" applyFill="1" applyAlignment="1" applyProtection="1">
      <alignment horizontal="center" vertical="center"/>
      <protection hidden="1"/>
    </xf>
    <xf numFmtId="165" fontId="25" fillId="5" borderId="0" xfId="0" applyNumberFormat="1" applyFont="1" applyFill="1" applyAlignment="1" applyProtection="1">
      <alignment horizontal="center" vertical="center"/>
      <protection hidden="1"/>
    </xf>
    <xf numFmtId="0" fontId="27" fillId="5" borderId="0" xfId="0" applyFont="1" applyFill="1" applyAlignment="1" applyProtection="1">
      <alignment horizontal="right" vertical="center"/>
      <protection hidden="1"/>
    </xf>
    <xf numFmtId="165" fontId="31" fillId="30" borderId="3" xfId="0" applyNumberFormat="1" applyFont="1" applyFill="1" applyBorder="1" applyAlignment="1" applyProtection="1">
      <alignment vertical="center"/>
      <protection hidden="1"/>
    </xf>
    <xf numFmtId="165" fontId="31" fillId="30" borderId="6" xfId="0" applyNumberFormat="1" applyFont="1" applyFill="1" applyBorder="1" applyAlignment="1" applyProtection="1">
      <alignment vertical="center"/>
      <protection hidden="1"/>
    </xf>
    <xf numFmtId="0" fontId="37" fillId="31" borderId="37" xfId="0" applyFont="1" applyFill="1" applyBorder="1" applyAlignment="1" applyProtection="1">
      <alignment horizontal="right" vertical="center"/>
      <protection hidden="1"/>
    </xf>
    <xf numFmtId="0" fontId="9" fillId="31" borderId="47" xfId="0" applyFont="1" applyFill="1" applyBorder="1" applyAlignment="1" applyProtection="1">
      <alignment horizontal="right" vertical="center"/>
      <protection hidden="1"/>
    </xf>
    <xf numFmtId="0" fontId="37" fillId="31" borderId="48" xfId="0" applyFont="1" applyFill="1" applyBorder="1" applyAlignment="1" applyProtection="1">
      <alignment horizontal="left" vertical="center"/>
      <protection hidden="1"/>
    </xf>
    <xf numFmtId="0" fontId="9" fillId="31" borderId="38" xfId="0" applyFont="1" applyFill="1" applyBorder="1" applyAlignment="1" applyProtection="1">
      <alignment horizontal="center" vertical="center"/>
      <protection hidden="1"/>
    </xf>
    <xf numFmtId="0" fontId="9" fillId="31" borderId="23" xfId="0" applyFont="1" applyFill="1" applyBorder="1" applyAlignment="1" applyProtection="1">
      <alignment vertical="center"/>
      <protection hidden="1"/>
    </xf>
    <xf numFmtId="0" fontId="37" fillId="31" borderId="35" xfId="0" applyFont="1" applyFill="1" applyBorder="1" applyAlignment="1" applyProtection="1">
      <alignment horizontal="right" vertical="center"/>
      <protection hidden="1"/>
    </xf>
    <xf numFmtId="0" fontId="37" fillId="31" borderId="36" xfId="0" applyFont="1" applyFill="1" applyBorder="1" applyAlignment="1" applyProtection="1">
      <alignment horizontal="right" vertical="center"/>
      <protection hidden="1"/>
    </xf>
    <xf numFmtId="0" fontId="13" fillId="31" borderId="23" xfId="0" applyFont="1" applyFill="1" applyBorder="1" applyAlignment="1" applyProtection="1">
      <alignment vertical="top" wrapText="1"/>
      <protection hidden="1"/>
    </xf>
    <xf numFmtId="0" fontId="13" fillId="31" borderId="39" xfId="0" applyFont="1" applyFill="1" applyBorder="1" applyAlignment="1" applyProtection="1">
      <alignment vertical="top" wrapText="1"/>
      <protection hidden="1"/>
    </xf>
    <xf numFmtId="165" fontId="37" fillId="31" borderId="36" xfId="0" applyNumberFormat="1" applyFont="1" applyFill="1" applyBorder="1" applyAlignment="1" applyProtection="1">
      <alignment horizontal="center" vertical="center"/>
      <protection hidden="1"/>
    </xf>
    <xf numFmtId="0" fontId="37" fillId="31" borderId="36" xfId="0" applyFont="1" applyFill="1" applyBorder="1" applyAlignment="1" applyProtection="1">
      <alignment horizontal="left" vertical="center"/>
      <protection hidden="1"/>
    </xf>
    <xf numFmtId="0" fontId="37" fillId="31" borderId="37" xfId="0" applyFont="1" applyFill="1" applyBorder="1" applyAlignment="1" applyProtection="1">
      <alignment horizontal="left" vertical="center"/>
      <protection hidden="1"/>
    </xf>
    <xf numFmtId="0" fontId="55" fillId="31" borderId="47" xfId="0" applyFont="1" applyFill="1" applyBorder="1" applyAlignment="1" applyProtection="1">
      <alignment vertical="center"/>
      <protection hidden="1"/>
    </xf>
    <xf numFmtId="0" fontId="55" fillId="31" borderId="0" xfId="0" applyFont="1" applyFill="1" applyBorder="1" applyAlignment="1" applyProtection="1">
      <alignment vertical="center"/>
      <protection hidden="1"/>
    </xf>
    <xf numFmtId="0" fontId="55" fillId="31" borderId="48" xfId="0" applyFont="1" applyFill="1" applyBorder="1" applyAlignment="1" applyProtection="1">
      <alignment vertical="center"/>
      <protection hidden="1"/>
    </xf>
    <xf numFmtId="0" fontId="9" fillId="31" borderId="38" xfId="0" applyFont="1" applyFill="1" applyBorder="1" applyAlignment="1" applyProtection="1">
      <alignment vertical="center"/>
      <protection hidden="1"/>
    </xf>
    <xf numFmtId="165" fontId="9" fillId="31" borderId="23" xfId="0" applyNumberFormat="1" applyFont="1" applyFill="1" applyBorder="1" applyAlignment="1" applyProtection="1">
      <alignment vertical="center"/>
      <protection hidden="1"/>
    </xf>
    <xf numFmtId="0" fontId="37" fillId="31" borderId="23" xfId="0" applyFont="1" applyFill="1" applyBorder="1" applyAlignment="1" applyProtection="1">
      <alignment horizontal="left" vertical="center"/>
      <protection hidden="1"/>
    </xf>
    <xf numFmtId="0" fontId="37" fillId="31" borderId="39" xfId="0" applyFont="1" applyFill="1" applyBorder="1" applyAlignment="1" applyProtection="1">
      <alignment horizontal="left" vertical="center"/>
      <protection hidden="1"/>
    </xf>
    <xf numFmtId="0" fontId="27" fillId="30" borderId="6" xfId="0" applyFont="1" applyFill="1" applyBorder="1" applyAlignment="1" applyProtection="1">
      <alignment horizontal="right" vertical="center"/>
      <protection hidden="1"/>
    </xf>
    <xf numFmtId="0" fontId="27" fillId="30" borderId="2" xfId="0" applyFont="1" applyFill="1" applyBorder="1" applyAlignment="1" applyProtection="1">
      <alignment horizontal="right" vertical="center"/>
      <protection hidden="1"/>
    </xf>
    <xf numFmtId="0" fontId="13" fillId="95" borderId="47" xfId="0" applyFont="1" applyFill="1" applyBorder="1" applyAlignment="1" applyProtection="1">
      <alignment vertical="top" wrapText="1"/>
      <protection hidden="1"/>
    </xf>
    <xf numFmtId="0" fontId="13" fillId="95" borderId="0" xfId="0" applyFont="1" applyFill="1" applyBorder="1" applyAlignment="1" applyProtection="1">
      <alignment vertical="top" wrapText="1"/>
      <protection hidden="1"/>
    </xf>
    <xf numFmtId="0" fontId="13" fillId="95" borderId="48" xfId="0" applyFont="1" applyFill="1" applyBorder="1" applyAlignment="1" applyProtection="1">
      <alignment vertical="top" wrapText="1"/>
      <protection hidden="1"/>
    </xf>
    <xf numFmtId="0" fontId="13" fillId="92" borderId="36" xfId="0" applyFont="1" applyFill="1" applyBorder="1" applyAlignment="1" applyProtection="1">
      <alignment vertical="center" wrapText="1"/>
      <protection hidden="1"/>
    </xf>
    <xf numFmtId="0" fontId="13" fillId="92" borderId="37" xfId="0" applyFont="1" applyFill="1" applyBorder="1" applyAlignment="1" applyProtection="1">
      <alignment vertical="center" wrapText="1"/>
      <protection hidden="1"/>
    </xf>
    <xf numFmtId="0" fontId="13" fillId="16" borderId="36" xfId="0" applyFont="1" applyFill="1" applyBorder="1" applyAlignment="1" applyProtection="1">
      <alignment vertical="center" wrapText="1"/>
      <protection hidden="1"/>
    </xf>
    <xf numFmtId="0" fontId="13" fillId="16" borderId="37" xfId="0" applyFont="1" applyFill="1" applyBorder="1" applyAlignment="1" applyProtection="1">
      <alignment vertical="center" wrapText="1"/>
      <protection hidden="1"/>
    </xf>
    <xf numFmtId="165" fontId="31" fillId="30" borderId="1" xfId="0" applyNumberFormat="1" applyFont="1" applyFill="1" applyBorder="1" applyAlignment="1" applyProtection="1">
      <alignment vertical="center"/>
      <protection hidden="1"/>
    </xf>
    <xf numFmtId="0" fontId="9" fillId="31" borderId="8" xfId="0" applyFont="1" applyFill="1" applyBorder="1" applyAlignment="1" applyProtection="1">
      <alignment horizontal="right" vertical="center"/>
      <protection hidden="1"/>
    </xf>
    <xf numFmtId="0" fontId="9" fillId="13" borderId="6" xfId="0" applyFont="1" applyFill="1" applyBorder="1" applyAlignment="1" applyProtection="1">
      <alignment horizontal="center" vertical="center"/>
      <protection hidden="1"/>
    </xf>
    <xf numFmtId="0" fontId="10" fillId="13" borderId="2" xfId="0" applyFont="1" applyFill="1" applyBorder="1" applyAlignment="1" applyProtection="1">
      <alignment horizontal="center" vertical="center"/>
      <protection hidden="1"/>
    </xf>
    <xf numFmtId="0" fontId="9" fillId="15" borderId="8" xfId="0" applyFont="1" applyFill="1" applyBorder="1" applyAlignment="1" applyProtection="1">
      <alignment horizontal="right" vertical="center"/>
      <protection hidden="1"/>
    </xf>
    <xf numFmtId="0" fontId="13" fillId="15" borderId="52" xfId="0" applyFont="1" applyFill="1" applyBorder="1" applyAlignment="1" applyProtection="1">
      <alignment vertical="center" wrapText="1"/>
      <protection hidden="1"/>
    </xf>
    <xf numFmtId="0" fontId="13" fillId="15" borderId="9" xfId="0" applyFont="1" applyFill="1" applyBorder="1" applyAlignment="1" applyProtection="1">
      <alignment vertical="center" wrapText="1"/>
      <protection hidden="1"/>
    </xf>
    <xf numFmtId="165" fontId="9" fillId="15" borderId="36" xfId="0" applyNumberFormat="1" applyFont="1" applyFill="1" applyBorder="1" applyAlignment="1" applyProtection="1">
      <alignment horizontal="center" vertical="center"/>
      <protection hidden="1"/>
    </xf>
    <xf numFmtId="165" fontId="9" fillId="15" borderId="37" xfId="0" applyNumberFormat="1" applyFont="1" applyFill="1" applyBorder="1" applyAlignment="1" applyProtection="1">
      <alignment horizontal="center" vertical="center"/>
      <protection hidden="1"/>
    </xf>
    <xf numFmtId="0" fontId="48" fillId="15" borderId="0" xfId="0" applyFont="1" applyFill="1" applyBorder="1" applyAlignment="1" applyProtection="1">
      <alignment horizontal="center" vertical="center"/>
      <protection hidden="1"/>
    </xf>
    <xf numFmtId="0" fontId="9" fillId="97" borderId="0" xfId="0" applyFont="1" applyFill="1" applyAlignment="1" applyProtection="1">
      <alignment horizontal="right" vertical="center"/>
      <protection hidden="1"/>
    </xf>
    <xf numFmtId="0" fontId="9" fillId="97" borderId="0" xfId="0" applyFont="1" applyFill="1" applyAlignment="1" applyProtection="1">
      <alignment horizontal="left" vertical="center"/>
      <protection hidden="1"/>
    </xf>
    <xf numFmtId="0" fontId="9" fillId="97" borderId="0" xfId="0" applyFont="1" applyFill="1" applyBorder="1" applyAlignment="1" applyProtection="1">
      <alignment horizontal="center" vertical="center"/>
      <protection hidden="1"/>
    </xf>
    <xf numFmtId="0" fontId="9" fillId="97" borderId="0" xfId="0" applyFont="1" applyFill="1" applyBorder="1" applyAlignment="1" applyProtection="1">
      <alignment horizontal="left" vertical="center"/>
      <protection hidden="1"/>
    </xf>
    <xf numFmtId="2" fontId="9" fillId="97" borderId="0" xfId="4" applyFont="1" applyFill="1" applyBorder="1" applyAlignment="1" applyProtection="1">
      <alignment horizontal="left" vertical="center"/>
      <protection hidden="1"/>
    </xf>
    <xf numFmtId="165" fontId="9" fillId="97" borderId="0" xfId="0" applyNumberFormat="1" applyFont="1" applyFill="1" applyAlignment="1" applyProtection="1">
      <alignment horizontal="left" vertical="center"/>
      <protection hidden="1"/>
    </xf>
    <xf numFmtId="0" fontId="19" fillId="97" borderId="0" xfId="0" applyFont="1" applyFill="1" applyAlignment="1" applyProtection="1">
      <alignment horizontal="center" vertical="center"/>
      <protection hidden="1"/>
    </xf>
    <xf numFmtId="0" fontId="9" fillId="21" borderId="47" xfId="0" applyFont="1" applyFill="1" applyBorder="1" applyAlignment="1" applyProtection="1">
      <alignment horizontal="center" vertical="center" wrapText="1"/>
      <protection hidden="1"/>
    </xf>
    <xf numFmtId="0" fontId="11" fillId="21" borderId="48" xfId="0" applyFont="1" applyFill="1" applyBorder="1" applyAlignment="1" applyProtection="1">
      <alignment vertical="center"/>
      <protection hidden="1"/>
    </xf>
    <xf numFmtId="0" fontId="9" fillId="21" borderId="36" xfId="0" applyFont="1" applyFill="1" applyBorder="1" applyAlignment="1" applyProtection="1">
      <alignment horizontal="right" vertical="center"/>
      <protection hidden="1"/>
    </xf>
    <xf numFmtId="0" fontId="9" fillId="21" borderId="0" xfId="0" applyFont="1" applyFill="1" applyBorder="1" applyAlignment="1" applyProtection="1">
      <alignment horizontal="right" vertical="center"/>
      <protection hidden="1"/>
    </xf>
    <xf numFmtId="0" fontId="9" fillId="21" borderId="48" xfId="0" applyFont="1" applyFill="1" applyBorder="1" applyAlignment="1" applyProtection="1">
      <alignment horizontal="right" vertical="center"/>
      <protection hidden="1"/>
    </xf>
    <xf numFmtId="0" fontId="9" fillId="21" borderId="23" xfId="0" applyFont="1" applyFill="1" applyBorder="1" applyAlignment="1" applyProtection="1">
      <alignment horizontal="right" vertical="center"/>
      <protection hidden="1"/>
    </xf>
    <xf numFmtId="0" fontId="9" fillId="21" borderId="39" xfId="0" applyFont="1" applyFill="1" applyBorder="1" applyAlignment="1" applyProtection="1">
      <alignment horizontal="right" vertical="center"/>
      <protection hidden="1"/>
    </xf>
    <xf numFmtId="0" fontId="9" fillId="21" borderId="37" xfId="0" applyFont="1" applyFill="1" applyBorder="1" applyAlignment="1" applyProtection="1">
      <alignment horizontal="center" vertical="center"/>
      <protection hidden="1"/>
    </xf>
    <xf numFmtId="0" fontId="9" fillId="21" borderId="48" xfId="0" applyFont="1" applyFill="1" applyBorder="1" applyAlignment="1" applyProtection="1">
      <alignment horizontal="center" vertical="center"/>
      <protection hidden="1"/>
    </xf>
    <xf numFmtId="0" fontId="11" fillId="21" borderId="36" xfId="0" applyFont="1" applyFill="1" applyBorder="1" applyAlignment="1" applyProtection="1">
      <alignment vertical="center"/>
      <protection hidden="1"/>
    </xf>
    <xf numFmtId="0" fontId="9" fillId="21" borderId="0" xfId="0" applyFont="1" applyFill="1" applyBorder="1" applyAlignment="1" applyProtection="1">
      <alignment vertical="center" wrapText="1"/>
      <protection hidden="1"/>
    </xf>
    <xf numFmtId="0" fontId="11" fillId="21" borderId="0" xfId="0" applyFont="1" applyFill="1" applyBorder="1" applyAlignment="1" applyProtection="1">
      <alignment vertical="center"/>
      <protection hidden="1"/>
    </xf>
    <xf numFmtId="0" fontId="11" fillId="21" borderId="23" xfId="0" applyFont="1" applyFill="1" applyBorder="1" applyAlignment="1" applyProtection="1">
      <alignment vertical="center"/>
      <protection hidden="1"/>
    </xf>
    <xf numFmtId="0" fontId="9" fillId="21" borderId="39" xfId="0" applyFont="1" applyFill="1" applyBorder="1" applyAlignment="1" applyProtection="1">
      <alignment horizontal="center" vertical="center"/>
      <protection hidden="1"/>
    </xf>
    <xf numFmtId="0" fontId="13" fillId="21" borderId="8" xfId="0" applyFont="1" applyFill="1" applyBorder="1" applyAlignment="1" applyProtection="1">
      <alignment vertical="center" wrapText="1"/>
      <protection hidden="1"/>
    </xf>
    <xf numFmtId="0" fontId="13" fillId="21" borderId="52" xfId="0" applyFont="1" applyFill="1" applyBorder="1" applyAlignment="1" applyProtection="1">
      <alignment vertical="center" wrapText="1"/>
      <protection hidden="1"/>
    </xf>
    <xf numFmtId="0" fontId="9" fillId="21" borderId="52" xfId="0" applyFont="1" applyFill="1" applyBorder="1" applyAlignment="1" applyProtection="1">
      <alignment horizontal="center" vertical="center"/>
      <protection hidden="1"/>
    </xf>
    <xf numFmtId="0" fontId="75" fillId="21" borderId="52" xfId="0" applyFont="1" applyFill="1" applyBorder="1" applyAlignment="1" applyProtection="1">
      <alignment horizontal="center" vertical="center"/>
      <protection hidden="1"/>
    </xf>
    <xf numFmtId="0" fontId="9" fillId="21" borderId="9" xfId="0" applyFont="1" applyFill="1" applyBorder="1" applyAlignment="1" applyProtection="1">
      <alignment horizontal="center" vertical="center"/>
      <protection hidden="1"/>
    </xf>
    <xf numFmtId="0" fontId="25" fillId="5" borderId="0" xfId="0" applyFont="1" applyFill="1" applyBorder="1" applyAlignment="1" applyProtection="1">
      <alignment horizontal="left" vertical="center"/>
      <protection hidden="1"/>
    </xf>
    <xf numFmtId="0" fontId="26" fillId="5" borderId="0" xfId="0" applyFont="1" applyFill="1" applyBorder="1" applyAlignment="1" applyProtection="1">
      <alignment horizontal="left" vertical="center"/>
      <protection hidden="1"/>
    </xf>
    <xf numFmtId="0" fontId="9" fillId="21" borderId="36" xfId="0" applyFont="1" applyFill="1" applyBorder="1" applyAlignment="1" applyProtection="1">
      <alignment horizontal="left" vertical="center" wrapText="1"/>
      <protection hidden="1"/>
    </xf>
    <xf numFmtId="0" fontId="37" fillId="21" borderId="36" xfId="0" applyFont="1" applyFill="1" applyBorder="1" applyAlignment="1" applyProtection="1">
      <alignment horizontal="left" vertical="center"/>
      <protection hidden="1"/>
    </xf>
    <xf numFmtId="0" fontId="55" fillId="22" borderId="35" xfId="0" applyFont="1" applyFill="1" applyBorder="1" applyAlignment="1" applyProtection="1">
      <alignment horizontal="right" vertical="center"/>
      <protection hidden="1"/>
    </xf>
    <xf numFmtId="0" fontId="55" fillId="22" borderId="37" xfId="0" applyFont="1" applyFill="1" applyBorder="1" applyAlignment="1" applyProtection="1">
      <alignment horizontal="center" vertical="center"/>
      <protection hidden="1"/>
    </xf>
    <xf numFmtId="0" fontId="55" fillId="22" borderId="38" xfId="0" applyFont="1" applyFill="1" applyBorder="1" applyAlignment="1" applyProtection="1">
      <alignment horizontal="right" vertical="center"/>
      <protection hidden="1"/>
    </xf>
    <xf numFmtId="0" fontId="55" fillId="22" borderId="39" xfId="0" applyFont="1" applyFill="1" applyBorder="1" applyAlignment="1" applyProtection="1">
      <alignment horizontal="center" vertical="center"/>
      <protection hidden="1"/>
    </xf>
    <xf numFmtId="0" fontId="37" fillId="5" borderId="0" xfId="0" applyFont="1" applyFill="1" applyBorder="1" applyAlignment="1" applyProtection="1">
      <alignment horizontal="left" vertical="center"/>
      <protection hidden="1"/>
    </xf>
    <xf numFmtId="165" fontId="34" fillId="5" borderId="0" xfId="0" applyNumberFormat="1" applyFont="1" applyFill="1" applyBorder="1" applyAlignment="1" applyProtection="1">
      <alignment horizontal="center" vertical="center"/>
      <protection hidden="1"/>
    </xf>
    <xf numFmtId="164" fontId="35" fillId="5" borderId="0" xfId="0" applyNumberFormat="1" applyFont="1" applyFill="1" applyBorder="1" applyAlignment="1" applyProtection="1">
      <alignment horizontal="center" vertical="center"/>
      <protection hidden="1"/>
    </xf>
    <xf numFmtId="0" fontId="9" fillId="22" borderId="38" xfId="0" applyFont="1" applyFill="1" applyBorder="1" applyAlignment="1" applyProtection="1">
      <alignment horizontal="left" vertical="center"/>
      <protection hidden="1"/>
    </xf>
    <xf numFmtId="0" fontId="9" fillId="22" borderId="39" xfId="0" applyFont="1" applyFill="1" applyBorder="1" applyAlignment="1" applyProtection="1">
      <alignment horizontal="left" vertical="center"/>
      <protection hidden="1"/>
    </xf>
    <xf numFmtId="0" fontId="9" fillId="10" borderId="36" xfId="0" applyFont="1" applyFill="1" applyBorder="1" applyAlignment="1" applyProtection="1">
      <alignment horizontal="left"/>
      <protection hidden="1"/>
    </xf>
    <xf numFmtId="0" fontId="9" fillId="10" borderId="37"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 vertical="center"/>
      <protection hidden="1"/>
    </xf>
    <xf numFmtId="0" fontId="9" fillId="10" borderId="23" xfId="0" applyFont="1" applyFill="1" applyBorder="1" applyAlignment="1" applyProtection="1">
      <alignment horizontal="left"/>
      <protection hidden="1"/>
    </xf>
    <xf numFmtId="0" fontId="9" fillId="10" borderId="39" xfId="0" applyFont="1" applyFill="1" applyBorder="1" applyAlignment="1" applyProtection="1">
      <alignment horizontal="center" vertical="center"/>
      <protection hidden="1"/>
    </xf>
    <xf numFmtId="164" fontId="35" fillId="21" borderId="0" xfId="0" applyNumberFormat="1" applyFont="1" applyFill="1" applyBorder="1" applyAlignment="1" applyProtection="1">
      <alignment horizontal="center" vertical="center"/>
      <protection hidden="1"/>
    </xf>
    <xf numFmtId="0" fontId="9" fillId="21" borderId="35" xfId="0" applyFont="1" applyFill="1" applyBorder="1" applyAlignment="1" applyProtection="1">
      <alignment horizontal="center" vertical="center"/>
      <protection hidden="1"/>
    </xf>
    <xf numFmtId="165" fontId="34" fillId="21" borderId="36" xfId="0" applyNumberFormat="1" applyFont="1" applyFill="1" applyBorder="1" applyAlignment="1" applyProtection="1">
      <alignment horizontal="center" vertical="center"/>
      <protection hidden="1"/>
    </xf>
    <xf numFmtId="164" fontId="35" fillId="21" borderId="36" xfId="0" applyNumberFormat="1" applyFont="1" applyFill="1" applyBorder="1" applyAlignment="1" applyProtection="1">
      <alignment horizontal="center" vertical="center"/>
      <protection hidden="1"/>
    </xf>
    <xf numFmtId="0" fontId="11" fillId="21" borderId="37" xfId="0" applyFont="1" applyFill="1" applyBorder="1" applyAlignment="1" applyProtection="1">
      <alignment vertical="center"/>
      <protection hidden="1"/>
    </xf>
    <xf numFmtId="165" fontId="9" fillId="5" borderId="0" xfId="0" applyNumberFormat="1" applyFont="1" applyFill="1" applyBorder="1" applyAlignment="1" applyProtection="1">
      <alignment horizontal="right" vertical="center"/>
      <protection hidden="1"/>
    </xf>
    <xf numFmtId="0" fontId="9" fillId="31" borderId="0" xfId="0" applyFont="1" applyFill="1" applyBorder="1" applyAlignment="1" applyProtection="1">
      <alignment horizontal="left" vertical="center"/>
      <protection hidden="1"/>
    </xf>
    <xf numFmtId="0" fontId="9" fillId="22" borderId="3" xfId="0" applyFont="1" applyFill="1" applyBorder="1" applyAlignment="1" applyProtection="1">
      <alignment horizontal="center" vertical="center"/>
      <protection hidden="1"/>
    </xf>
    <xf numFmtId="0" fontId="9" fillId="22" borderId="6" xfId="0" applyFont="1" applyFill="1" applyBorder="1" applyAlignment="1" applyProtection="1">
      <alignment horizontal="center" vertical="center"/>
      <protection hidden="1"/>
    </xf>
    <xf numFmtId="165" fontId="65" fillId="28" borderId="0" xfId="0" applyNumberFormat="1" applyFont="1" applyFill="1" applyBorder="1" applyAlignment="1" applyProtection="1">
      <alignment horizontal="center" vertical="center"/>
      <protection hidden="1"/>
    </xf>
    <xf numFmtId="0" fontId="12" fillId="6" borderId="0" xfId="0" applyFont="1" applyFill="1" applyBorder="1" applyAlignment="1" applyProtection="1">
      <alignment horizontal="right" vertical="center"/>
      <protection hidden="1"/>
    </xf>
    <xf numFmtId="0" fontId="37" fillId="87" borderId="6" xfId="0" applyFont="1" applyFill="1" applyBorder="1" applyAlignment="1" applyProtection="1">
      <alignment horizontal="center" vertical="center"/>
      <protection hidden="1"/>
    </xf>
    <xf numFmtId="0" fontId="37" fillId="5" borderId="0" xfId="0" applyFont="1" applyFill="1" applyAlignment="1" applyProtection="1">
      <alignment vertical="center"/>
      <protection hidden="1"/>
    </xf>
    <xf numFmtId="0" fontId="37" fillId="34" borderId="6" xfId="0" applyFont="1" applyFill="1" applyBorder="1" applyAlignment="1" applyProtection="1">
      <alignment vertical="center"/>
      <protection hidden="1"/>
    </xf>
    <xf numFmtId="0" fontId="37" fillId="6" borderId="36" xfId="0" applyFont="1" applyFill="1" applyBorder="1" applyAlignment="1" applyProtection="1">
      <alignment vertical="center"/>
      <protection hidden="1"/>
    </xf>
    <xf numFmtId="0" fontId="37" fillId="6" borderId="0" xfId="0" applyFont="1" applyFill="1" applyBorder="1" applyAlignment="1" applyProtection="1">
      <alignment vertical="center"/>
      <protection hidden="1"/>
    </xf>
    <xf numFmtId="0" fontId="37" fillId="6" borderId="23" xfId="0" applyFont="1" applyFill="1" applyBorder="1" applyAlignment="1" applyProtection="1">
      <alignment vertical="center"/>
      <protection hidden="1"/>
    </xf>
    <xf numFmtId="0" fontId="37" fillId="5" borderId="0" xfId="0" applyFont="1" applyFill="1" applyBorder="1" applyAlignment="1" applyProtection="1">
      <alignment vertical="center"/>
      <protection hidden="1"/>
    </xf>
    <xf numFmtId="0" fontId="37" fillId="15" borderId="0" xfId="0" applyFont="1" applyFill="1" applyBorder="1" applyAlignment="1" applyProtection="1">
      <alignment vertical="center"/>
      <protection hidden="1"/>
    </xf>
    <xf numFmtId="0" fontId="37" fillId="11" borderId="36" xfId="0" applyFont="1" applyFill="1" applyBorder="1" applyAlignment="1" applyProtection="1">
      <alignment vertical="center"/>
      <protection hidden="1"/>
    </xf>
    <xf numFmtId="0" fontId="37" fillId="11" borderId="0" xfId="0" applyFont="1" applyFill="1" applyBorder="1" applyAlignment="1" applyProtection="1">
      <alignment vertical="center"/>
      <protection hidden="1"/>
    </xf>
    <xf numFmtId="0" fontId="37" fillId="11" borderId="23" xfId="0" applyFont="1" applyFill="1" applyBorder="1" applyAlignment="1" applyProtection="1">
      <alignment vertical="center"/>
      <protection hidden="1"/>
    </xf>
    <xf numFmtId="0" fontId="37" fillId="21" borderId="36" xfId="0" applyFont="1" applyFill="1" applyBorder="1" applyAlignment="1" applyProtection="1">
      <alignment vertical="center"/>
      <protection hidden="1"/>
    </xf>
    <xf numFmtId="0" fontId="37" fillId="21" borderId="0" xfId="0" applyFont="1" applyFill="1" applyBorder="1" applyAlignment="1" applyProtection="1">
      <alignment vertical="center"/>
      <protection hidden="1"/>
    </xf>
    <xf numFmtId="0" fontId="37" fillId="21" borderId="23" xfId="0" applyFont="1" applyFill="1" applyBorder="1" applyAlignment="1" applyProtection="1">
      <alignment vertical="center"/>
      <protection hidden="1"/>
    </xf>
    <xf numFmtId="0" fontId="37" fillId="17" borderId="36" xfId="0" applyFont="1" applyFill="1" applyBorder="1" applyAlignment="1" applyProtection="1">
      <alignment vertical="center"/>
      <protection hidden="1"/>
    </xf>
    <xf numFmtId="0" fontId="37" fillId="17" borderId="0" xfId="0" applyFont="1" applyFill="1" applyBorder="1" applyAlignment="1" applyProtection="1">
      <alignment vertical="center"/>
      <protection hidden="1"/>
    </xf>
    <xf numFmtId="0" fontId="37" fillId="17" borderId="23" xfId="0" applyFont="1" applyFill="1" applyBorder="1" applyAlignment="1" applyProtection="1">
      <alignment vertical="center"/>
      <protection hidden="1"/>
    </xf>
    <xf numFmtId="0" fontId="37" fillId="16" borderId="36" xfId="0" applyFont="1" applyFill="1" applyBorder="1" applyAlignment="1" applyProtection="1">
      <alignment vertical="center"/>
      <protection hidden="1"/>
    </xf>
    <xf numFmtId="0" fontId="37" fillId="16" borderId="0" xfId="0" applyFont="1" applyFill="1" applyBorder="1" applyAlignment="1" applyProtection="1">
      <alignment vertical="center"/>
      <protection hidden="1"/>
    </xf>
    <xf numFmtId="0" fontId="37" fillId="16" borderId="23" xfId="0" applyFont="1" applyFill="1" applyBorder="1" applyAlignment="1" applyProtection="1">
      <alignment vertical="center"/>
      <protection hidden="1"/>
    </xf>
    <xf numFmtId="165" fontId="24" fillId="30" borderId="6" xfId="0" applyNumberFormat="1" applyFont="1" applyFill="1" applyBorder="1" applyAlignment="1" applyProtection="1">
      <alignment vertical="center"/>
      <protection hidden="1"/>
    </xf>
    <xf numFmtId="165" fontId="24" fillId="5" borderId="0" xfId="0" applyNumberFormat="1" applyFont="1" applyFill="1" applyAlignment="1" applyProtection="1">
      <alignment vertical="center"/>
      <protection hidden="1"/>
    </xf>
    <xf numFmtId="0" fontId="91" fillId="14" borderId="6" xfId="0" applyFont="1" applyFill="1" applyBorder="1" applyAlignment="1" applyProtection="1">
      <alignment horizontal="left" vertical="center"/>
      <protection hidden="1"/>
    </xf>
    <xf numFmtId="0" fontId="91" fillId="5" borderId="0" xfId="0" applyFont="1" applyFill="1" applyAlignment="1" applyProtection="1">
      <alignment horizontal="left" vertical="center"/>
      <protection hidden="1"/>
    </xf>
    <xf numFmtId="0" fontId="37" fillId="15" borderId="36" xfId="0" applyFont="1" applyFill="1" applyBorder="1" applyAlignment="1" applyProtection="1">
      <alignment horizontal="center" vertical="center"/>
      <protection hidden="1"/>
    </xf>
    <xf numFmtId="0" fontId="37" fillId="15" borderId="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6" borderId="0" xfId="0" applyFont="1" applyFill="1" applyAlignment="1" applyProtection="1">
      <alignment vertical="center"/>
      <protection hidden="1"/>
    </xf>
    <xf numFmtId="0" fontId="91" fillId="12" borderId="6" xfId="0" applyFont="1" applyFill="1" applyBorder="1" applyAlignment="1" applyProtection="1">
      <alignment horizontal="left" vertical="center"/>
      <protection hidden="1"/>
    </xf>
    <xf numFmtId="0" fontId="91" fillId="22" borderId="6" xfId="0" applyFont="1" applyFill="1" applyBorder="1" applyAlignment="1" applyProtection="1">
      <alignment horizontal="left" vertical="center"/>
      <protection hidden="1"/>
    </xf>
    <xf numFmtId="0" fontId="37" fillId="18" borderId="6" xfId="0" applyFont="1" applyFill="1" applyBorder="1" applyAlignment="1" applyProtection="1">
      <alignment horizontal="center" vertical="center"/>
      <protection hidden="1"/>
    </xf>
    <xf numFmtId="0" fontId="37" fillId="5" borderId="0" xfId="0" applyFont="1" applyFill="1" applyAlignment="1" applyProtection="1">
      <alignment horizontal="center" vertical="center"/>
      <protection hidden="1"/>
    </xf>
    <xf numFmtId="0" fontId="37" fillId="13" borderId="36" xfId="0" applyFont="1" applyFill="1" applyBorder="1" applyAlignment="1" applyProtection="1">
      <alignment horizontal="right" vertical="center"/>
      <protection hidden="1"/>
    </xf>
    <xf numFmtId="0" fontId="37" fillId="13" borderId="0" xfId="0" applyFont="1" applyFill="1" applyBorder="1" applyAlignment="1" applyProtection="1">
      <alignment horizontal="right" vertical="center"/>
      <protection hidden="1"/>
    </xf>
    <xf numFmtId="0" fontId="37" fillId="13" borderId="23" xfId="0" applyFont="1" applyFill="1" applyBorder="1" applyAlignment="1" applyProtection="1">
      <alignment horizontal="right" vertical="center"/>
      <protection hidden="1"/>
    </xf>
    <xf numFmtId="0" fontId="37" fillId="6" borderId="36" xfId="0" applyFont="1" applyFill="1" applyBorder="1" applyAlignment="1" applyProtection="1">
      <alignment horizontal="right" vertical="center"/>
      <protection hidden="1"/>
    </xf>
    <xf numFmtId="0" fontId="37" fillId="6" borderId="0" xfId="0" applyFont="1" applyFill="1" applyBorder="1" applyAlignment="1" applyProtection="1">
      <alignment horizontal="left" vertical="center"/>
      <protection hidden="1"/>
    </xf>
    <xf numFmtId="0" fontId="37" fillId="91" borderId="6" xfId="0" applyFont="1" applyFill="1" applyBorder="1" applyAlignment="1" applyProtection="1">
      <alignment horizontal="right" vertical="center"/>
      <protection hidden="1"/>
    </xf>
    <xf numFmtId="0" fontId="37" fillId="92" borderId="36" xfId="0" applyFont="1" applyFill="1" applyBorder="1" applyAlignment="1" applyProtection="1">
      <alignment horizontal="right" vertical="center"/>
      <protection hidden="1"/>
    </xf>
    <xf numFmtId="0" fontId="37" fillId="92" borderId="0" xfId="0" applyFont="1" applyFill="1" applyBorder="1" applyAlignment="1" applyProtection="1">
      <alignment horizontal="left" vertical="center"/>
      <protection hidden="1"/>
    </xf>
    <xf numFmtId="0" fontId="37" fillId="92" borderId="23" xfId="0" applyFont="1" applyFill="1" applyBorder="1" applyAlignment="1" applyProtection="1">
      <alignment horizontal="right" vertical="center"/>
      <protection hidden="1"/>
    </xf>
    <xf numFmtId="0" fontId="37" fillId="32" borderId="6" xfId="0" applyFont="1" applyFill="1" applyBorder="1" applyAlignment="1" applyProtection="1">
      <alignment horizontal="center" vertical="center"/>
      <protection hidden="1"/>
    </xf>
    <xf numFmtId="0" fontId="91" fillId="13" borderId="0" xfId="0" applyFont="1" applyFill="1" applyAlignment="1" applyProtection="1">
      <alignment horizontal="left" vertical="center"/>
      <protection hidden="1"/>
    </xf>
    <xf numFmtId="0" fontId="37" fillId="97" borderId="0" xfId="0" applyFont="1" applyFill="1" applyAlignment="1" applyProtection="1">
      <alignment horizontal="left" vertical="center"/>
      <protection hidden="1"/>
    </xf>
    <xf numFmtId="0" fontId="37" fillId="31" borderId="0" xfId="0" applyFont="1" applyFill="1" applyBorder="1" applyAlignment="1" applyProtection="1">
      <alignment horizontal="right" vertical="center"/>
      <protection hidden="1"/>
    </xf>
    <xf numFmtId="0" fontId="14" fillId="11" borderId="36" xfId="0" applyFont="1" applyFill="1" applyBorder="1" applyAlignment="1" applyProtection="1">
      <alignment vertical="center"/>
      <protection hidden="1"/>
    </xf>
    <xf numFmtId="0" fontId="9" fillId="6" borderId="6" xfId="0" applyFont="1" applyFill="1" applyBorder="1" applyAlignment="1" applyProtection="1">
      <alignment horizontal="left" vertical="center"/>
      <protection hidden="1"/>
    </xf>
    <xf numFmtId="0" fontId="9" fillId="6" borderId="6" xfId="0" applyFont="1" applyFill="1" applyBorder="1" applyAlignment="1" applyProtection="1">
      <alignment vertical="center"/>
      <protection hidden="1"/>
    </xf>
    <xf numFmtId="0" fontId="14" fillId="31" borderId="48" xfId="0" applyFont="1" applyFill="1" applyBorder="1" applyAlignment="1" applyProtection="1">
      <alignment horizontal="left" vertical="center"/>
      <protection hidden="1"/>
    </xf>
    <xf numFmtId="0" fontId="13" fillId="98" borderId="36" xfId="0" applyFont="1" applyFill="1" applyBorder="1" applyAlignment="1" applyProtection="1">
      <alignment vertical="center" wrapText="1"/>
      <protection hidden="1"/>
    </xf>
    <xf numFmtId="0" fontId="13" fillId="98" borderId="37" xfId="0" applyFont="1" applyFill="1" applyBorder="1" applyAlignment="1" applyProtection="1">
      <alignment vertical="center" wrapText="1"/>
      <protection hidden="1"/>
    </xf>
    <xf numFmtId="0" fontId="13" fillId="98" borderId="23" xfId="0" applyFont="1" applyFill="1" applyBorder="1" applyAlignment="1" applyProtection="1">
      <alignment vertical="center" wrapText="1"/>
      <protection hidden="1"/>
    </xf>
    <xf numFmtId="0" fontId="13" fillId="98" borderId="39" xfId="0" applyFont="1" applyFill="1" applyBorder="1" applyAlignment="1" applyProtection="1">
      <alignment vertical="center" wrapText="1"/>
      <protection hidden="1"/>
    </xf>
    <xf numFmtId="0" fontId="9" fillId="98" borderId="35" xfId="0" applyFont="1" applyFill="1" applyBorder="1" applyAlignment="1" applyProtection="1">
      <alignment horizontal="right" vertical="center"/>
      <protection hidden="1"/>
    </xf>
    <xf numFmtId="0" fontId="37" fillId="98" borderId="36" xfId="0" applyFont="1" applyFill="1" applyBorder="1" applyAlignment="1" applyProtection="1">
      <alignment horizontal="right" vertical="center"/>
      <protection hidden="1"/>
    </xf>
    <xf numFmtId="0" fontId="9" fillId="98" borderId="36" xfId="0" applyFont="1" applyFill="1" applyBorder="1" applyAlignment="1" applyProtection="1">
      <alignment horizontal="center" vertical="center"/>
      <protection hidden="1"/>
    </xf>
    <xf numFmtId="0" fontId="9" fillId="98" borderId="36" xfId="0" applyFont="1" applyFill="1" applyBorder="1" applyAlignment="1" applyProtection="1">
      <alignment horizontal="right" vertical="center"/>
      <protection hidden="1"/>
    </xf>
    <xf numFmtId="0" fontId="9" fillId="98" borderId="37" xfId="0" applyFont="1" applyFill="1" applyBorder="1" applyAlignment="1" applyProtection="1">
      <alignment horizontal="right" vertical="center"/>
      <protection hidden="1"/>
    </xf>
    <xf numFmtId="0" fontId="9" fillId="98" borderId="47" xfId="0" applyFont="1" applyFill="1" applyBorder="1" applyAlignment="1" applyProtection="1">
      <alignment horizontal="right" vertical="center"/>
      <protection hidden="1"/>
    </xf>
    <xf numFmtId="0" fontId="37" fillId="98" borderId="0" xfId="0" applyFont="1" applyFill="1" applyBorder="1" applyAlignment="1" applyProtection="1">
      <alignment horizontal="left" vertical="center"/>
      <protection hidden="1"/>
    </xf>
    <xf numFmtId="0" fontId="48" fillId="98" borderId="0" xfId="0" applyFont="1" applyFill="1" applyBorder="1" applyAlignment="1" applyProtection="1">
      <alignment horizontal="center" vertical="center"/>
      <protection hidden="1"/>
    </xf>
    <xf numFmtId="0" fontId="9" fillId="98" borderId="0" xfId="0" applyFont="1" applyFill="1" applyBorder="1" applyAlignment="1" applyProtection="1">
      <alignment horizontal="right" vertical="center"/>
      <protection hidden="1"/>
    </xf>
    <xf numFmtId="0" fontId="9" fillId="98" borderId="48" xfId="0" applyFont="1" applyFill="1" applyBorder="1" applyAlignment="1" applyProtection="1">
      <alignment horizontal="right" vertical="center"/>
      <protection hidden="1"/>
    </xf>
    <xf numFmtId="0" fontId="9" fillId="98" borderId="38" xfId="0" applyFont="1" applyFill="1" applyBorder="1" applyAlignment="1" applyProtection="1">
      <alignment horizontal="right" vertical="center"/>
      <protection hidden="1"/>
    </xf>
    <xf numFmtId="0" fontId="37" fillId="98" borderId="23" xfId="0" applyFont="1" applyFill="1" applyBorder="1" applyAlignment="1" applyProtection="1">
      <alignment horizontal="right" vertical="center"/>
      <protection hidden="1"/>
    </xf>
    <xf numFmtId="0" fontId="9" fillId="98" borderId="23" xfId="0" applyFont="1" applyFill="1" applyBorder="1" applyAlignment="1" applyProtection="1">
      <alignment horizontal="center" vertical="center"/>
      <protection hidden="1"/>
    </xf>
    <xf numFmtId="0" fontId="9" fillId="98" borderId="23" xfId="0" applyFont="1" applyFill="1" applyBorder="1" applyAlignment="1" applyProtection="1">
      <alignment horizontal="right" vertical="center"/>
      <protection hidden="1"/>
    </xf>
    <xf numFmtId="0" fontId="9" fillId="98" borderId="39" xfId="0" applyFont="1" applyFill="1" applyBorder="1" applyAlignment="1" applyProtection="1">
      <alignment horizontal="right" vertical="center"/>
      <protection hidden="1"/>
    </xf>
    <xf numFmtId="0" fontId="9" fillId="98" borderId="0" xfId="0" applyFont="1" applyFill="1" applyAlignment="1" applyProtection="1">
      <alignment horizontal="right" vertical="center"/>
      <protection hidden="1"/>
    </xf>
    <xf numFmtId="165" fontId="9" fillId="98" borderId="0" xfId="0" applyNumberFormat="1" applyFont="1" applyFill="1" applyBorder="1" applyAlignment="1" applyProtection="1">
      <alignment horizontal="center" vertical="center"/>
      <protection hidden="1"/>
    </xf>
    <xf numFmtId="164" fontId="35" fillId="98" borderId="0" xfId="0" applyNumberFormat="1" applyFont="1" applyFill="1" applyBorder="1" applyAlignment="1" applyProtection="1">
      <alignment horizontal="center" vertical="center"/>
      <protection hidden="1"/>
    </xf>
    <xf numFmtId="0" fontId="9" fillId="99" borderId="3" xfId="0" applyFont="1" applyFill="1" applyBorder="1" applyAlignment="1" applyProtection="1">
      <alignment horizontal="right" vertical="center"/>
      <protection hidden="1"/>
    </xf>
    <xf numFmtId="0" fontId="37" fillId="99" borderId="6" xfId="0" applyFont="1" applyFill="1" applyBorder="1" applyAlignment="1" applyProtection="1">
      <alignment horizontal="right" vertical="center"/>
      <protection hidden="1"/>
    </xf>
    <xf numFmtId="0" fontId="9" fillId="99" borderId="6" xfId="0" applyFont="1" applyFill="1" applyBorder="1" applyAlignment="1" applyProtection="1">
      <alignment horizontal="center" vertical="center"/>
      <protection hidden="1"/>
    </xf>
    <xf numFmtId="0" fontId="9" fillId="99" borderId="6" xfId="0" applyFont="1" applyFill="1" applyBorder="1" applyAlignment="1" applyProtection="1">
      <alignment horizontal="right" vertical="center"/>
      <protection hidden="1"/>
    </xf>
    <xf numFmtId="0" fontId="9" fillId="99" borderId="2" xfId="0" applyFont="1" applyFill="1" applyBorder="1" applyAlignment="1" applyProtection="1">
      <alignment horizontal="right" vertical="center"/>
      <protection hidden="1"/>
    </xf>
    <xf numFmtId="0" fontId="9" fillId="99" borderId="0" xfId="0" applyFont="1" applyFill="1" applyAlignment="1" applyProtection="1">
      <alignment horizontal="right" vertical="center"/>
      <protection hidden="1"/>
    </xf>
    <xf numFmtId="0" fontId="9" fillId="15" borderId="0" xfId="0" applyFont="1" applyFill="1" applyBorder="1" applyProtection="1">
      <protection hidden="1"/>
    </xf>
    <xf numFmtId="0" fontId="9" fillId="15" borderId="35" xfId="0" applyFont="1" applyFill="1" applyBorder="1" applyProtection="1">
      <protection hidden="1"/>
    </xf>
    <xf numFmtId="0" fontId="9" fillId="15" borderId="36" xfId="0" applyFont="1" applyFill="1" applyBorder="1" applyProtection="1">
      <protection hidden="1"/>
    </xf>
    <xf numFmtId="0" fontId="9" fillId="15" borderId="37" xfId="0" applyFont="1" applyFill="1" applyBorder="1" applyProtection="1">
      <protection hidden="1"/>
    </xf>
    <xf numFmtId="0" fontId="9" fillId="15" borderId="47" xfId="0" applyFont="1" applyFill="1" applyBorder="1" applyProtection="1">
      <protection hidden="1"/>
    </xf>
    <xf numFmtId="0" fontId="9" fillId="15" borderId="48" xfId="0" applyFont="1" applyFill="1" applyBorder="1" applyProtection="1">
      <protection hidden="1"/>
    </xf>
    <xf numFmtId="0" fontId="54" fillId="5" borderId="0" xfId="0" applyFont="1" applyFill="1" applyProtection="1">
      <protection hidden="1"/>
    </xf>
    <xf numFmtId="0" fontId="54" fillId="5" borderId="0" xfId="0" applyFont="1" applyFill="1" applyBorder="1" applyProtection="1">
      <protection hidden="1"/>
    </xf>
    <xf numFmtId="0" fontId="54" fillId="5" borderId="0" xfId="0" applyFont="1" applyFill="1" applyAlignment="1" applyProtection="1">
      <alignment vertical="center"/>
      <protection hidden="1"/>
    </xf>
    <xf numFmtId="0" fontId="9" fillId="6" borderId="2" xfId="0" applyFont="1" applyFill="1" applyBorder="1" applyAlignment="1" applyProtection="1">
      <alignment vertical="center"/>
      <protection hidden="1"/>
    </xf>
    <xf numFmtId="0" fontId="9" fillId="6" borderId="1" xfId="0" applyFont="1" applyFill="1" applyBorder="1" applyAlignment="1" applyProtection="1">
      <alignment horizontal="center" vertical="center"/>
      <protection hidden="1"/>
    </xf>
    <xf numFmtId="0" fontId="9" fillId="14" borderId="3" xfId="0" applyFont="1" applyFill="1" applyBorder="1" applyAlignment="1" applyProtection="1">
      <alignment vertical="center"/>
      <protection hidden="1"/>
    </xf>
    <xf numFmtId="0" fontId="9" fillId="14" borderId="2" xfId="0" applyFont="1" applyFill="1" applyBorder="1" applyAlignment="1" applyProtection="1">
      <alignment vertical="center"/>
      <protection hidden="1"/>
    </xf>
    <xf numFmtId="0" fontId="13" fillId="94" borderId="35" xfId="0" applyFont="1" applyFill="1" applyBorder="1" applyAlignment="1" applyProtection="1">
      <alignment vertical="center" wrapText="1"/>
      <protection hidden="1"/>
    </xf>
    <xf numFmtId="0" fontId="13" fillId="94" borderId="36" xfId="0" applyFont="1" applyFill="1" applyBorder="1" applyAlignment="1" applyProtection="1">
      <alignment vertical="center" wrapText="1"/>
      <protection hidden="1"/>
    </xf>
    <xf numFmtId="0" fontId="13" fillId="94" borderId="37" xfId="0" applyFont="1" applyFill="1" applyBorder="1" applyAlignment="1" applyProtection="1">
      <alignment vertical="center" wrapText="1"/>
      <protection hidden="1"/>
    </xf>
    <xf numFmtId="0" fontId="13" fillId="94" borderId="38" xfId="0" applyFont="1" applyFill="1" applyBorder="1" applyAlignment="1" applyProtection="1">
      <alignment vertical="center" wrapText="1"/>
      <protection hidden="1"/>
    </xf>
    <xf numFmtId="0" fontId="13" fillId="94" borderId="23" xfId="0" applyFont="1" applyFill="1" applyBorder="1" applyAlignment="1" applyProtection="1">
      <alignment vertical="center" wrapText="1"/>
      <protection hidden="1"/>
    </xf>
    <xf numFmtId="0" fontId="13" fillId="94" borderId="39" xfId="0" applyFont="1" applyFill="1" applyBorder="1" applyAlignment="1" applyProtection="1">
      <alignment vertical="center" wrapText="1"/>
      <protection hidden="1"/>
    </xf>
    <xf numFmtId="0" fontId="13" fillId="95" borderId="35" xfId="0" applyFont="1" applyFill="1" applyBorder="1" applyAlignment="1" applyProtection="1">
      <alignment vertical="center" wrapText="1"/>
      <protection hidden="1"/>
    </xf>
    <xf numFmtId="0" fontId="13" fillId="95" borderId="36" xfId="0" applyFont="1" applyFill="1" applyBorder="1" applyAlignment="1" applyProtection="1">
      <alignment vertical="center" wrapText="1"/>
      <protection hidden="1"/>
    </xf>
    <xf numFmtId="0" fontId="13" fillId="95" borderId="37" xfId="0" applyFont="1" applyFill="1" applyBorder="1" applyAlignment="1" applyProtection="1">
      <alignment vertical="center" wrapText="1"/>
      <protection hidden="1"/>
    </xf>
    <xf numFmtId="0" fontId="13" fillId="95" borderId="47" xfId="0" applyFont="1" applyFill="1" applyBorder="1" applyAlignment="1" applyProtection="1">
      <alignment horizontal="center" vertical="center" wrapText="1"/>
      <protection hidden="1"/>
    </xf>
    <xf numFmtId="0" fontId="13" fillId="95" borderId="0" xfId="0" applyFont="1" applyFill="1" applyBorder="1" applyAlignment="1" applyProtection="1">
      <alignment horizontal="center" vertical="center" wrapText="1"/>
      <protection hidden="1"/>
    </xf>
    <xf numFmtId="0" fontId="13" fillId="95" borderId="48" xfId="0" applyFont="1" applyFill="1" applyBorder="1" applyAlignment="1" applyProtection="1">
      <alignment horizontal="center" vertical="center" wrapText="1"/>
      <protection hidden="1"/>
    </xf>
    <xf numFmtId="0" fontId="13" fillId="95" borderId="47" xfId="0" applyFont="1" applyFill="1" applyBorder="1" applyAlignment="1" applyProtection="1">
      <alignment vertical="center" wrapText="1"/>
      <protection hidden="1"/>
    </xf>
    <xf numFmtId="0" fontId="13" fillId="95" borderId="0" xfId="0" applyFont="1" applyFill="1" applyBorder="1" applyAlignment="1" applyProtection="1">
      <alignment vertical="center" wrapText="1"/>
      <protection hidden="1"/>
    </xf>
    <xf numFmtId="0" fontId="13" fillId="95" borderId="48" xfId="0" applyFont="1" applyFill="1" applyBorder="1" applyAlignment="1" applyProtection="1">
      <alignment vertical="center" wrapText="1"/>
      <protection hidden="1"/>
    </xf>
    <xf numFmtId="0" fontId="13" fillId="95" borderId="38" xfId="0" applyFont="1" applyFill="1" applyBorder="1" applyAlignment="1" applyProtection="1">
      <alignment vertical="center" wrapText="1"/>
      <protection hidden="1"/>
    </xf>
    <xf numFmtId="0" fontId="13" fillId="95" borderId="23" xfId="0" applyFont="1" applyFill="1" applyBorder="1" applyAlignment="1" applyProtection="1">
      <alignment vertical="center" wrapText="1"/>
      <protection hidden="1"/>
    </xf>
    <xf numFmtId="0" fontId="13" fillId="95" borderId="39" xfId="0" applyFont="1" applyFill="1" applyBorder="1" applyAlignment="1" applyProtection="1">
      <alignment vertical="center" wrapText="1"/>
      <protection hidden="1"/>
    </xf>
    <xf numFmtId="0" fontId="13" fillId="93" borderId="35" xfId="0" applyFont="1" applyFill="1" applyBorder="1" applyAlignment="1" applyProtection="1">
      <alignment vertical="center" wrapText="1"/>
      <protection hidden="1"/>
    </xf>
    <xf numFmtId="0" fontId="13" fillId="93" borderId="36" xfId="0" applyFont="1" applyFill="1" applyBorder="1" applyAlignment="1" applyProtection="1">
      <alignment vertical="center" wrapText="1"/>
      <protection hidden="1"/>
    </xf>
    <xf numFmtId="0" fontId="13" fillId="93" borderId="37" xfId="0" applyFont="1" applyFill="1" applyBorder="1" applyAlignment="1" applyProtection="1">
      <alignment vertical="center" wrapText="1"/>
      <protection hidden="1"/>
    </xf>
    <xf numFmtId="0" fontId="13" fillId="93" borderId="38" xfId="0" applyFont="1" applyFill="1" applyBorder="1" applyAlignment="1" applyProtection="1">
      <alignment vertical="center" wrapText="1"/>
      <protection hidden="1"/>
    </xf>
    <xf numFmtId="0" fontId="13" fillId="93" borderId="23" xfId="0" applyFont="1" applyFill="1" applyBorder="1" applyAlignment="1" applyProtection="1">
      <alignment vertical="center" wrapText="1"/>
      <protection hidden="1"/>
    </xf>
    <xf numFmtId="0" fontId="13" fillId="93" borderId="39" xfId="0" applyFont="1" applyFill="1" applyBorder="1" applyAlignment="1" applyProtection="1">
      <alignment vertical="center" wrapText="1"/>
      <protection hidden="1"/>
    </xf>
    <xf numFmtId="0" fontId="9" fillId="9" borderId="35" xfId="0" applyFont="1" applyFill="1" applyBorder="1" applyAlignment="1" applyProtection="1">
      <alignment horizontal="center" vertical="center"/>
      <protection hidden="1"/>
    </xf>
    <xf numFmtId="0" fontId="9" fillId="9" borderId="36" xfId="0" applyFont="1" applyFill="1" applyBorder="1" applyAlignment="1" applyProtection="1">
      <alignment horizontal="center" vertical="center"/>
      <protection hidden="1"/>
    </xf>
    <xf numFmtId="165" fontId="9" fillId="9" borderId="36" xfId="0" applyNumberFormat="1" applyFont="1" applyFill="1" applyBorder="1" applyAlignment="1" applyProtection="1">
      <alignment horizontal="center" vertical="center"/>
      <protection hidden="1"/>
    </xf>
    <xf numFmtId="0" fontId="9" fillId="9" borderId="36" xfId="0" applyFont="1" applyFill="1" applyBorder="1" applyAlignment="1" applyProtection="1">
      <alignment horizontal="left" vertical="center"/>
      <protection hidden="1"/>
    </xf>
    <xf numFmtId="0" fontId="19" fillId="9" borderId="36" xfId="0" applyFont="1" applyFill="1" applyBorder="1" applyAlignment="1" applyProtection="1">
      <alignment horizontal="center" vertical="center"/>
      <protection hidden="1"/>
    </xf>
    <xf numFmtId="0" fontId="9" fillId="9" borderId="37" xfId="0" applyFont="1" applyFill="1" applyBorder="1" applyAlignment="1" applyProtection="1">
      <alignment horizontal="center" vertical="center"/>
      <protection hidden="1"/>
    </xf>
    <xf numFmtId="0" fontId="9" fillId="9" borderId="47" xfId="0" applyFont="1" applyFill="1" applyBorder="1" applyAlignment="1" applyProtection="1">
      <alignment horizontal="center" vertical="center"/>
      <protection hidden="1"/>
    </xf>
    <xf numFmtId="0" fontId="9" fillId="9" borderId="0" xfId="0" applyFont="1" applyFill="1" applyBorder="1" applyAlignment="1" applyProtection="1">
      <alignment horizontal="left" vertical="center"/>
      <protection hidden="1"/>
    </xf>
    <xf numFmtId="0" fontId="9" fillId="9" borderId="48" xfId="0" applyFont="1" applyFill="1" applyBorder="1" applyAlignment="1" applyProtection="1">
      <alignment horizontal="center" vertical="center"/>
      <protection hidden="1"/>
    </xf>
    <xf numFmtId="0" fontId="9" fillId="9" borderId="38" xfId="0" applyFont="1" applyFill="1" applyBorder="1" applyAlignment="1" applyProtection="1">
      <alignment horizontal="center" vertical="center"/>
      <protection hidden="1"/>
    </xf>
    <xf numFmtId="0" fontId="9" fillId="9" borderId="23" xfId="0" applyFont="1" applyFill="1" applyBorder="1" applyAlignment="1" applyProtection="1">
      <alignment horizontal="center" vertical="center"/>
      <protection hidden="1"/>
    </xf>
    <xf numFmtId="0" fontId="9" fillId="9" borderId="23" xfId="0" applyFont="1" applyFill="1" applyBorder="1" applyAlignment="1" applyProtection="1">
      <alignment horizontal="left" vertical="center"/>
      <protection hidden="1"/>
    </xf>
    <xf numFmtId="0" fontId="9" fillId="9" borderId="39" xfId="0" applyFont="1" applyFill="1" applyBorder="1" applyAlignment="1" applyProtection="1">
      <alignment horizontal="center" vertical="center"/>
      <protection hidden="1"/>
    </xf>
    <xf numFmtId="0" fontId="12" fillId="6" borderId="48" xfId="0" applyFont="1" applyFill="1" applyBorder="1" applyAlignment="1" applyProtection="1">
      <alignment horizontal="right" vertical="center"/>
      <protection hidden="1"/>
    </xf>
    <xf numFmtId="0" fontId="12" fillId="5" borderId="0" xfId="0" applyFont="1" applyFill="1" applyAlignment="1" applyProtection="1">
      <alignment horizontal="right" vertical="center"/>
      <protection hidden="1"/>
    </xf>
    <xf numFmtId="0" fontId="12" fillId="6" borderId="47" xfId="0" applyFont="1" applyFill="1" applyBorder="1" applyAlignment="1" applyProtection="1">
      <alignment horizontal="right" vertical="center"/>
      <protection hidden="1"/>
    </xf>
    <xf numFmtId="165" fontId="12" fillId="6" borderId="0" xfId="0" applyNumberFormat="1" applyFont="1" applyFill="1" applyBorder="1" applyAlignment="1" applyProtection="1">
      <alignment horizontal="center" vertical="center"/>
      <protection hidden="1"/>
    </xf>
    <xf numFmtId="0" fontId="9" fillId="87" borderId="3" xfId="0" applyFont="1" applyFill="1" applyBorder="1" applyAlignment="1" applyProtection="1">
      <alignment vertical="center"/>
      <protection hidden="1"/>
    </xf>
    <xf numFmtId="0" fontId="9" fillId="87" borderId="6" xfId="0" applyFont="1" applyFill="1" applyBorder="1" applyAlignment="1" applyProtection="1">
      <alignment vertical="center"/>
      <protection hidden="1"/>
    </xf>
    <xf numFmtId="0" fontId="9" fillId="87" borderId="2" xfId="0" applyFont="1" applyFill="1" applyBorder="1" applyAlignment="1" applyProtection="1">
      <alignment vertical="center"/>
      <protection hidden="1"/>
    </xf>
    <xf numFmtId="0" fontId="9" fillId="34" borderId="1" xfId="0" applyFont="1" applyFill="1" applyBorder="1" applyAlignment="1" applyProtection="1">
      <alignment vertical="center"/>
      <protection hidden="1"/>
    </xf>
    <xf numFmtId="0" fontId="9" fillId="6" borderId="3" xfId="0" applyFont="1" applyFill="1" applyBorder="1" applyAlignment="1" applyProtection="1">
      <alignment horizontal="left" vertical="center"/>
      <protection hidden="1"/>
    </xf>
    <xf numFmtId="0" fontId="9" fillId="6" borderId="6" xfId="0" applyFont="1" applyFill="1" applyBorder="1" applyAlignment="1" applyProtection="1">
      <alignment vertical="center" wrapText="1"/>
      <protection hidden="1"/>
    </xf>
    <xf numFmtId="0" fontId="9" fillId="6" borderId="2" xfId="0" applyFont="1" applyFill="1" applyBorder="1" applyAlignment="1" applyProtection="1">
      <alignment vertical="center" wrapText="1"/>
      <protection hidden="1"/>
    </xf>
    <xf numFmtId="165" fontId="9" fillId="21" borderId="23" xfId="0" applyNumberFormat="1" applyFont="1" applyFill="1" applyBorder="1" applyAlignment="1" applyProtection="1">
      <alignment horizontal="right" vertical="center"/>
      <protection hidden="1"/>
    </xf>
    <xf numFmtId="0" fontId="9" fillId="22" borderId="35" xfId="0" applyFont="1" applyFill="1" applyBorder="1" applyAlignment="1" applyProtection="1">
      <alignment horizontal="left" vertical="center"/>
      <protection hidden="1"/>
    </xf>
    <xf numFmtId="0" fontId="9" fillId="22" borderId="37" xfId="0" applyFont="1" applyFill="1" applyBorder="1" applyAlignment="1" applyProtection="1">
      <alignment horizontal="left" vertical="center"/>
      <protection hidden="1"/>
    </xf>
    <xf numFmtId="0" fontId="19" fillId="22" borderId="6" xfId="0" applyFont="1" applyFill="1" applyBorder="1" applyAlignment="1" applyProtection="1">
      <alignment horizontal="center" vertical="center"/>
      <protection hidden="1"/>
    </xf>
    <xf numFmtId="0" fontId="11" fillId="22" borderId="2" xfId="0" applyFont="1" applyFill="1" applyBorder="1" applyAlignment="1" applyProtection="1">
      <alignment vertical="center"/>
      <protection hidden="1"/>
    </xf>
    <xf numFmtId="0" fontId="11" fillId="9" borderId="37" xfId="0" applyFont="1" applyFill="1" applyBorder="1" applyAlignment="1" applyProtection="1">
      <alignment vertical="center"/>
      <protection hidden="1"/>
    </xf>
    <xf numFmtId="0" fontId="11" fillId="9" borderId="48" xfId="0" applyFont="1" applyFill="1" applyBorder="1" applyAlignment="1" applyProtection="1">
      <alignment vertical="center"/>
      <protection hidden="1"/>
    </xf>
    <xf numFmtId="165" fontId="34" fillId="9" borderId="23" xfId="0" applyNumberFormat="1" applyFont="1" applyFill="1" applyBorder="1" applyAlignment="1" applyProtection="1">
      <alignment horizontal="center" vertical="center"/>
      <protection hidden="1"/>
    </xf>
    <xf numFmtId="0" fontId="11" fillId="9" borderId="39" xfId="0" applyFont="1" applyFill="1" applyBorder="1" applyAlignment="1" applyProtection="1">
      <alignment vertical="center"/>
      <protection hidden="1"/>
    </xf>
    <xf numFmtId="164" fontId="35" fillId="9" borderId="23" xfId="0" applyNumberFormat="1" applyFont="1" applyFill="1" applyBorder="1" applyAlignment="1" applyProtection="1">
      <alignment horizontal="center" vertical="center"/>
      <protection hidden="1"/>
    </xf>
    <xf numFmtId="165" fontId="9" fillId="21" borderId="36" xfId="0" applyNumberFormat="1" applyFont="1" applyFill="1" applyBorder="1" applyAlignment="1" applyProtection="1">
      <alignment horizontal="right" vertical="center"/>
      <protection hidden="1"/>
    </xf>
    <xf numFmtId="0" fontId="9" fillId="21" borderId="37" xfId="0" applyFont="1" applyFill="1" applyBorder="1" applyAlignment="1" applyProtection="1">
      <alignment horizontal="right" vertical="center"/>
      <protection hidden="1"/>
    </xf>
    <xf numFmtId="0" fontId="9" fillId="28" borderId="6" xfId="0" applyFont="1" applyFill="1" applyBorder="1" applyAlignment="1" applyProtection="1">
      <alignment horizontal="left" vertical="center"/>
      <protection hidden="1"/>
    </xf>
    <xf numFmtId="0" fontId="9" fillId="21" borderId="35" xfId="0" applyFont="1" applyFill="1" applyBorder="1" applyAlignment="1" applyProtection="1">
      <alignment horizontal="center" vertical="center" wrapText="1"/>
      <protection hidden="1"/>
    </xf>
    <xf numFmtId="0" fontId="9" fillId="21" borderId="36" xfId="0" applyFont="1" applyFill="1" applyBorder="1" applyAlignment="1" applyProtection="1">
      <alignment horizontal="center" vertical="center" wrapText="1"/>
      <protection hidden="1"/>
    </xf>
    <xf numFmtId="0" fontId="19" fillId="21" borderId="36" xfId="0" applyFont="1" applyFill="1" applyBorder="1" applyAlignment="1" applyProtection="1">
      <alignment horizontal="center" vertical="center"/>
      <protection hidden="1"/>
    </xf>
    <xf numFmtId="0" fontId="9" fillId="21" borderId="47" xfId="0" applyFont="1" applyFill="1" applyBorder="1" applyAlignment="1" applyProtection="1">
      <alignment horizontal="center" vertical="center"/>
      <protection hidden="1"/>
    </xf>
    <xf numFmtId="0" fontId="19" fillId="21" borderId="0" xfId="0" applyFont="1" applyFill="1" applyBorder="1" applyAlignment="1" applyProtection="1">
      <alignment horizontal="center" vertical="center"/>
      <protection hidden="1"/>
    </xf>
    <xf numFmtId="0" fontId="9" fillId="21" borderId="38" xfId="0" applyFont="1" applyFill="1" applyBorder="1" applyAlignment="1" applyProtection="1">
      <alignment horizontal="center" vertical="center"/>
      <protection hidden="1"/>
    </xf>
    <xf numFmtId="0" fontId="22" fillId="21" borderId="23" xfId="0" applyFont="1" applyFill="1" applyBorder="1" applyAlignment="1" applyProtection="1">
      <alignment horizontal="center" vertical="center"/>
      <protection hidden="1"/>
    </xf>
    <xf numFmtId="0" fontId="11" fillId="21" borderId="39" xfId="0" applyFont="1" applyFill="1" applyBorder="1" applyAlignment="1" applyProtection="1">
      <alignment vertical="center"/>
      <protection hidden="1"/>
    </xf>
    <xf numFmtId="164" fontId="35" fillId="9" borderId="0" xfId="0" applyNumberFormat="1" applyFont="1" applyFill="1" applyBorder="1" applyAlignment="1" applyProtection="1">
      <alignment horizontal="center" vertical="center"/>
      <protection hidden="1"/>
    </xf>
    <xf numFmtId="0" fontId="9" fillId="9" borderId="35" xfId="0" applyFont="1" applyFill="1" applyBorder="1" applyAlignment="1" applyProtection="1">
      <alignment horizontal="right" vertical="center"/>
      <protection hidden="1"/>
    </xf>
    <xf numFmtId="0" fontId="11" fillId="9" borderId="36" xfId="0" applyFont="1" applyFill="1" applyBorder="1" applyAlignment="1" applyProtection="1">
      <alignment vertical="center"/>
      <protection hidden="1"/>
    </xf>
    <xf numFmtId="0" fontId="9" fillId="9" borderId="47" xfId="0" applyFont="1" applyFill="1" applyBorder="1" applyAlignment="1" applyProtection="1">
      <alignment horizontal="right" vertical="center"/>
      <protection hidden="1"/>
    </xf>
    <xf numFmtId="0" fontId="9" fillId="9" borderId="38" xfId="0" applyFont="1" applyFill="1" applyBorder="1" applyAlignment="1" applyProtection="1">
      <alignment horizontal="right" vertical="center"/>
      <protection hidden="1"/>
    </xf>
    <xf numFmtId="0" fontId="37" fillId="9" borderId="23" xfId="0" applyFont="1" applyFill="1" applyBorder="1" applyAlignment="1" applyProtection="1">
      <alignment horizontal="left" vertical="center"/>
      <protection hidden="1"/>
    </xf>
    <xf numFmtId="0" fontId="11" fillId="9" borderId="23" xfId="0" applyFont="1" applyFill="1" applyBorder="1" applyAlignment="1" applyProtection="1">
      <alignment vertical="center"/>
      <protection hidden="1"/>
    </xf>
    <xf numFmtId="0" fontId="55" fillId="31" borderId="47" xfId="0" applyFont="1" applyFill="1" applyBorder="1" applyAlignment="1" applyProtection="1">
      <alignment horizontal="right" vertical="center"/>
      <protection hidden="1"/>
    </xf>
    <xf numFmtId="0" fontId="55" fillId="31" borderId="0" xfId="0" applyFont="1" applyFill="1" applyBorder="1" applyAlignment="1" applyProtection="1">
      <alignment horizontal="right" vertical="center"/>
      <protection hidden="1"/>
    </xf>
    <xf numFmtId="0" fontId="37" fillId="31" borderId="38" xfId="0" applyFont="1" applyFill="1" applyBorder="1" applyAlignment="1" applyProtection="1">
      <alignment horizontal="left"/>
      <protection hidden="1"/>
    </xf>
    <xf numFmtId="0" fontId="37" fillId="31" borderId="23" xfId="0" applyFont="1" applyFill="1" applyBorder="1" applyAlignment="1" applyProtection="1">
      <alignment horizontal="left"/>
      <protection hidden="1"/>
    </xf>
    <xf numFmtId="164" fontId="37" fillId="31" borderId="23" xfId="0" applyNumberFormat="1" applyFont="1" applyFill="1" applyBorder="1" applyAlignment="1" applyProtection="1">
      <alignment horizontal="right"/>
      <protection hidden="1"/>
    </xf>
    <xf numFmtId="164" fontId="9" fillId="31" borderId="39" xfId="0" applyNumberFormat="1" applyFont="1" applyFill="1" applyBorder="1" applyAlignment="1" applyProtection="1">
      <alignment horizontal="right"/>
      <protection hidden="1"/>
    </xf>
    <xf numFmtId="0" fontId="55" fillId="31" borderId="48" xfId="0" applyFont="1" applyFill="1" applyBorder="1" applyAlignment="1" applyProtection="1">
      <alignment horizontal="right" vertical="center"/>
      <protection hidden="1"/>
    </xf>
    <xf numFmtId="0" fontId="37" fillId="31" borderId="39" xfId="0" applyFont="1" applyFill="1" applyBorder="1" applyAlignment="1" applyProtection="1">
      <alignment horizontal="left"/>
      <protection hidden="1"/>
    </xf>
    <xf numFmtId="164" fontId="9" fillId="5" borderId="0" xfId="0" applyNumberFormat="1" applyFont="1" applyFill="1" applyAlignment="1" applyProtection="1">
      <alignment horizontal="right" vertical="center"/>
      <protection hidden="1"/>
    </xf>
    <xf numFmtId="164" fontId="14" fillId="31" borderId="48" xfId="0" applyNumberFormat="1" applyFont="1" applyFill="1" applyBorder="1" applyAlignment="1" applyProtection="1">
      <alignment vertical="center" wrapText="1"/>
      <protection hidden="1"/>
    </xf>
    <xf numFmtId="0" fontId="9" fillId="31" borderId="38" xfId="0" applyFont="1" applyFill="1" applyBorder="1" applyAlignment="1" applyProtection="1">
      <alignment horizontal="right" vertical="center"/>
      <protection hidden="1"/>
    </xf>
    <xf numFmtId="0" fontId="9" fillId="31" borderId="23" xfId="0" applyFont="1" applyFill="1" applyBorder="1" applyAlignment="1" applyProtection="1">
      <alignment horizontal="right" vertical="center"/>
      <protection hidden="1"/>
    </xf>
    <xf numFmtId="0" fontId="9" fillId="31" borderId="39" xfId="0" applyFont="1" applyFill="1" applyBorder="1" applyAlignment="1" applyProtection="1">
      <alignment horizontal="right" vertical="center"/>
      <protection hidden="1"/>
    </xf>
    <xf numFmtId="164" fontId="14" fillId="31" borderId="9" xfId="0" applyNumberFormat="1" applyFont="1" applyFill="1" applyBorder="1" applyAlignment="1" applyProtection="1">
      <alignment horizontal="right" vertical="center"/>
      <protection hidden="1"/>
    </xf>
    <xf numFmtId="165" fontId="0" fillId="31" borderId="35" xfId="0" applyNumberFormat="1" applyFill="1" applyBorder="1" applyAlignment="1" applyProtection="1">
      <alignment horizontal="center" vertical="center"/>
      <protection hidden="1"/>
    </xf>
    <xf numFmtId="165" fontId="0" fillId="31" borderId="36" xfId="0" applyNumberFormat="1" applyFill="1" applyBorder="1" applyAlignment="1" applyProtection="1">
      <alignment horizontal="center" vertical="center"/>
      <protection hidden="1"/>
    </xf>
    <xf numFmtId="165" fontId="0" fillId="31" borderId="37" xfId="0" applyNumberFormat="1" applyFill="1" applyBorder="1" applyAlignment="1" applyProtection="1">
      <alignment horizontal="center" vertical="center"/>
      <protection hidden="1"/>
    </xf>
    <xf numFmtId="165" fontId="0" fillId="31" borderId="47" xfId="0" applyNumberFormat="1" applyFill="1" applyBorder="1" applyAlignment="1" applyProtection="1">
      <alignment horizontal="center" vertical="center"/>
      <protection hidden="1"/>
    </xf>
    <xf numFmtId="165" fontId="0" fillId="31" borderId="48" xfId="0" applyNumberFormat="1" applyFill="1" applyBorder="1" applyAlignment="1" applyProtection="1">
      <alignment horizontal="center" vertical="center"/>
      <protection hidden="1"/>
    </xf>
    <xf numFmtId="165" fontId="0" fillId="31" borderId="38" xfId="0" applyNumberFormat="1" applyFill="1" applyBorder="1" applyAlignment="1" applyProtection="1">
      <alignment horizontal="center" vertical="center"/>
      <protection hidden="1"/>
    </xf>
    <xf numFmtId="165" fontId="0" fillId="31" borderId="23" xfId="0" applyNumberFormat="1" applyFill="1" applyBorder="1" applyAlignment="1" applyProtection="1">
      <alignment horizontal="center" vertical="center"/>
      <protection hidden="1"/>
    </xf>
    <xf numFmtId="165" fontId="0" fillId="31" borderId="39" xfId="0" applyNumberFormat="1" applyFill="1" applyBorder="1" applyAlignment="1" applyProtection="1">
      <alignment horizontal="center" vertical="center"/>
      <protection hidden="1"/>
    </xf>
    <xf numFmtId="165" fontId="31" fillId="6" borderId="6" xfId="0" applyNumberFormat="1" applyFont="1" applyFill="1" applyBorder="1" applyAlignment="1" applyProtection="1">
      <alignment horizontal="center" vertical="center"/>
      <protection hidden="1"/>
    </xf>
    <xf numFmtId="0" fontId="31" fillId="6" borderId="2"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wrapText="1"/>
      <protection hidden="1"/>
    </xf>
    <xf numFmtId="0" fontId="12" fillId="6" borderId="6" xfId="0" applyFont="1" applyFill="1" applyBorder="1" applyAlignment="1" applyProtection="1">
      <alignment horizontal="center" vertical="center" wrapText="1"/>
      <protection hidden="1"/>
    </xf>
    <xf numFmtId="165" fontId="34" fillId="9" borderId="58" xfId="0" applyNumberFormat="1" applyFont="1" applyFill="1" applyBorder="1" applyAlignment="1" applyProtection="1">
      <alignment horizontal="center" vertical="center"/>
      <protection hidden="1"/>
    </xf>
    <xf numFmtId="0" fontId="11" fillId="6" borderId="23" xfId="0" applyFont="1" applyFill="1" applyBorder="1" applyAlignment="1" applyProtection="1">
      <alignment vertical="center"/>
      <protection hidden="1"/>
    </xf>
    <xf numFmtId="0" fontId="19" fillId="22" borderId="0" xfId="0" applyFont="1" applyFill="1" applyBorder="1" applyAlignment="1" applyProtection="1">
      <alignment horizontal="center" vertical="center"/>
      <protection hidden="1"/>
    </xf>
    <xf numFmtId="0" fontId="19" fillId="9" borderId="0" xfId="0" applyFont="1" applyFill="1" applyBorder="1" applyAlignment="1" applyProtection="1">
      <alignment horizontal="center" vertical="center"/>
      <protection hidden="1"/>
    </xf>
    <xf numFmtId="0" fontId="22" fillId="21" borderId="0" xfId="0" applyFont="1" applyFill="1" applyBorder="1" applyAlignment="1" applyProtection="1">
      <alignment horizontal="center" vertical="center"/>
      <protection hidden="1"/>
    </xf>
    <xf numFmtId="0" fontId="9" fillId="97" borderId="0" xfId="0" applyFont="1" applyFill="1" applyAlignment="1" applyProtection="1">
      <alignment horizontal="center" vertical="center"/>
      <protection hidden="1"/>
    </xf>
    <xf numFmtId="0" fontId="9" fillId="31" borderId="48" xfId="0" applyFont="1" applyFill="1" applyBorder="1" applyAlignment="1" applyProtection="1">
      <alignment horizontal="right" vertical="center"/>
      <protection hidden="1"/>
    </xf>
    <xf numFmtId="0" fontId="9" fillId="5" borderId="15" xfId="0" applyFont="1" applyFill="1" applyBorder="1" applyAlignment="1">
      <alignment horizontal="left" vertical="center"/>
    </xf>
    <xf numFmtId="0" fontId="11" fillId="11" borderId="36" xfId="0" applyFont="1" applyFill="1" applyBorder="1" applyAlignment="1" applyProtection="1">
      <alignment vertical="center"/>
      <protection hidden="1"/>
    </xf>
    <xf numFmtId="0" fontId="9" fillId="11" borderId="37" xfId="0" applyFont="1" applyFill="1" applyBorder="1" applyAlignment="1" applyProtection="1">
      <alignment horizontal="left" vertical="center"/>
      <protection hidden="1"/>
    </xf>
    <xf numFmtId="0" fontId="9" fillId="11" borderId="48" xfId="0" applyFont="1" applyFill="1" applyBorder="1" applyAlignment="1" applyProtection="1">
      <alignment horizontal="left" vertical="center"/>
      <protection hidden="1"/>
    </xf>
    <xf numFmtId="0" fontId="52" fillId="11" borderId="23" xfId="0" applyFont="1" applyFill="1" applyBorder="1" applyAlignment="1" applyProtection="1">
      <alignment horizontal="center" vertical="center" wrapText="1"/>
      <protection hidden="1"/>
    </xf>
    <xf numFmtId="0" fontId="11" fillId="11" borderId="23" xfId="0" applyFont="1" applyFill="1" applyBorder="1" applyAlignment="1" applyProtection="1">
      <alignment vertical="center"/>
      <protection hidden="1"/>
    </xf>
    <xf numFmtId="0" fontId="11" fillId="11" borderId="23" xfId="0" applyFont="1" applyFill="1" applyBorder="1" applyAlignment="1" applyProtection="1">
      <alignment horizontal="center" vertical="center"/>
      <protection hidden="1"/>
    </xf>
    <xf numFmtId="0" fontId="9" fillId="11" borderId="39" xfId="0" applyFont="1" applyFill="1" applyBorder="1" applyAlignment="1" applyProtection="1">
      <alignment horizontal="left" vertical="center"/>
      <protection hidden="1"/>
    </xf>
    <xf numFmtId="0" fontId="48" fillId="11" borderId="23" xfId="0" applyFont="1" applyFill="1" applyBorder="1" applyAlignment="1" applyProtection="1">
      <alignment horizontal="center" vertical="center" wrapText="1"/>
      <protection hidden="1"/>
    </xf>
    <xf numFmtId="0" fontId="48" fillId="5" borderId="0" xfId="0" applyFont="1" applyFill="1" applyBorder="1" applyAlignment="1" applyProtection="1">
      <alignment horizontal="center" vertical="center" wrapText="1"/>
      <protection hidden="1"/>
    </xf>
    <xf numFmtId="0" fontId="9" fillId="11" borderId="36" xfId="0" applyFont="1" applyFill="1" applyBorder="1" applyAlignment="1" applyProtection="1">
      <alignment horizontal="center" vertical="center" wrapText="1"/>
      <protection hidden="1"/>
    </xf>
    <xf numFmtId="0" fontId="48" fillId="11" borderId="36" xfId="0" applyFont="1" applyFill="1" applyBorder="1" applyAlignment="1" applyProtection="1">
      <alignment horizontal="center" vertical="center" wrapText="1"/>
      <protection hidden="1"/>
    </xf>
    <xf numFmtId="0" fontId="48" fillId="5" borderId="0" xfId="0" applyFont="1" applyFill="1" applyBorder="1" applyAlignment="1" applyProtection="1">
      <alignment horizontal="left" vertical="center"/>
      <protection hidden="1"/>
    </xf>
    <xf numFmtId="0" fontId="11" fillId="5" borderId="0" xfId="0" applyFont="1" applyFill="1" applyBorder="1" applyAlignment="1" applyProtection="1">
      <alignment horizontal="left" vertical="center"/>
      <protection hidden="1"/>
    </xf>
    <xf numFmtId="0" fontId="9" fillId="100" borderId="35" xfId="0" applyFont="1" applyFill="1" applyBorder="1" applyAlignment="1" applyProtection="1">
      <alignment horizontal="left" vertical="center"/>
      <protection hidden="1"/>
    </xf>
    <xf numFmtId="0" fontId="9" fillId="100" borderId="37" xfId="0" applyFont="1" applyFill="1" applyBorder="1" applyAlignment="1" applyProtection="1">
      <alignment horizontal="left" vertical="center"/>
      <protection hidden="1"/>
    </xf>
    <xf numFmtId="0" fontId="9" fillId="100" borderId="38" xfId="0" applyFont="1" applyFill="1" applyBorder="1" applyAlignment="1" applyProtection="1">
      <alignment horizontal="left" vertical="center"/>
      <protection hidden="1"/>
    </xf>
    <xf numFmtId="0" fontId="9" fillId="100" borderId="39" xfId="0" applyFont="1" applyFill="1" applyBorder="1" applyAlignment="1" applyProtection="1">
      <alignment horizontal="left" vertical="center"/>
      <protection hidden="1"/>
    </xf>
    <xf numFmtId="0" fontId="9" fillId="11" borderId="35" xfId="0" applyFont="1" applyFill="1" applyBorder="1" applyAlignment="1" applyProtection="1">
      <alignment horizontal="left" vertical="center"/>
      <protection hidden="1"/>
    </xf>
    <xf numFmtId="0" fontId="48" fillId="11" borderId="36" xfId="0" applyFont="1" applyFill="1" applyBorder="1" applyAlignment="1" applyProtection="1">
      <alignment horizontal="left" vertical="center"/>
      <protection hidden="1"/>
    </xf>
    <xf numFmtId="0" fontId="11" fillId="11" borderId="36" xfId="0" applyFont="1" applyFill="1" applyBorder="1" applyAlignment="1" applyProtection="1">
      <alignment horizontal="left" vertical="center"/>
      <protection hidden="1"/>
    </xf>
    <xf numFmtId="0" fontId="48" fillId="11" borderId="0" xfId="0" applyFont="1" applyFill="1" applyBorder="1" applyAlignment="1" applyProtection="1">
      <alignment vertical="center"/>
      <protection hidden="1"/>
    </xf>
    <xf numFmtId="0" fontId="9" fillId="11" borderId="0" xfId="0" applyFont="1" applyFill="1" applyBorder="1" applyAlignment="1" applyProtection="1">
      <alignment horizontal="left" vertical="center" wrapText="1"/>
      <protection hidden="1"/>
    </xf>
    <xf numFmtId="165" fontId="9" fillId="6" borderId="6" xfId="0" applyNumberFormat="1" applyFont="1" applyFill="1" applyBorder="1" applyAlignment="1" applyProtection="1">
      <alignment horizontal="left" vertical="center"/>
      <protection hidden="1"/>
    </xf>
    <xf numFmtId="165" fontId="9" fillId="6" borderId="2" xfId="0" applyNumberFormat="1" applyFont="1" applyFill="1" applyBorder="1" applyAlignment="1" applyProtection="1">
      <alignment horizontal="center" vertical="center"/>
      <protection hidden="1"/>
    </xf>
    <xf numFmtId="0" fontId="9" fillId="11" borderId="8" xfId="0" applyFont="1" applyFill="1" applyBorder="1" applyAlignment="1" applyProtection="1">
      <alignment horizontal="center" vertical="center"/>
      <protection hidden="1"/>
    </xf>
    <xf numFmtId="0" fontId="13" fillId="11" borderId="52" xfId="0" applyFont="1" applyFill="1" applyBorder="1" applyAlignment="1" applyProtection="1">
      <alignment vertical="center" wrapText="1"/>
      <protection hidden="1"/>
    </xf>
    <xf numFmtId="0" fontId="9" fillId="11" borderId="52" xfId="0" applyFont="1" applyFill="1" applyBorder="1" applyAlignment="1" applyProtection="1">
      <alignment horizontal="center" vertical="center"/>
      <protection hidden="1"/>
    </xf>
    <xf numFmtId="0" fontId="9" fillId="11" borderId="9" xfId="0" applyFont="1" applyFill="1" applyBorder="1" applyAlignment="1" applyProtection="1">
      <alignment horizontal="center" vertical="center"/>
      <protection hidden="1"/>
    </xf>
    <xf numFmtId="0" fontId="31" fillId="6" borderId="2" xfId="0" applyFont="1" applyFill="1" applyBorder="1" applyAlignment="1" applyProtection="1">
      <alignment vertical="center"/>
      <protection hidden="1"/>
    </xf>
    <xf numFmtId="165" fontId="9" fillId="6" borderId="3" xfId="0" applyNumberFormat="1" applyFont="1" applyFill="1" applyBorder="1" applyAlignment="1" applyProtection="1">
      <alignment horizontal="center" vertical="center"/>
      <protection hidden="1"/>
    </xf>
    <xf numFmtId="0" fontId="62" fillId="53" borderId="0" xfId="0" applyFont="1" applyFill="1" applyBorder="1" applyAlignment="1">
      <alignment vertical="center"/>
    </xf>
    <xf numFmtId="0" fontId="9" fillId="53" borderId="0" xfId="0" applyFont="1" applyFill="1" applyBorder="1"/>
    <xf numFmtId="0" fontId="62" fillId="2" borderId="0" xfId="0" applyFont="1" applyFill="1" applyBorder="1" applyAlignment="1">
      <alignment vertical="center"/>
    </xf>
    <xf numFmtId="0" fontId="9" fillId="11" borderId="47" xfId="0" applyFont="1" applyFill="1" applyBorder="1" applyAlignment="1" applyProtection="1">
      <alignment horizontal="left" vertical="center"/>
      <protection hidden="1"/>
    </xf>
    <xf numFmtId="0" fontId="9" fillId="11" borderId="38" xfId="0" applyFont="1" applyFill="1" applyBorder="1" applyAlignment="1" applyProtection="1">
      <alignment horizontal="left" vertical="center"/>
      <protection hidden="1"/>
    </xf>
    <xf numFmtId="164" fontId="35" fillId="11" borderId="0" xfId="0" applyNumberFormat="1" applyFont="1" applyFill="1" applyBorder="1" applyAlignment="1" applyProtection="1">
      <alignment horizontal="center" vertical="center"/>
      <protection hidden="1"/>
    </xf>
    <xf numFmtId="2" fontId="9" fillId="11" borderId="0" xfId="0" applyNumberFormat="1" applyFont="1" applyFill="1" applyBorder="1" applyAlignment="1" applyProtection="1">
      <alignment vertical="center"/>
      <protection hidden="1"/>
    </xf>
    <xf numFmtId="2" fontId="9" fillId="11" borderId="23" xfId="0" applyNumberFormat="1" applyFont="1" applyFill="1" applyBorder="1" applyAlignment="1" applyProtection="1">
      <alignment vertical="center"/>
      <protection hidden="1"/>
    </xf>
    <xf numFmtId="165" fontId="35" fillId="11" borderId="36" xfId="0" applyNumberFormat="1" applyFont="1" applyFill="1" applyBorder="1" applyAlignment="1" applyProtection="1">
      <alignment horizontal="center" vertical="center"/>
      <protection hidden="1"/>
    </xf>
    <xf numFmtId="0" fontId="26" fillId="5" borderId="0" xfId="0" applyFont="1" applyFill="1" applyAlignment="1" applyProtection="1">
      <alignment vertical="center"/>
      <protection hidden="1"/>
    </xf>
    <xf numFmtId="0" fontId="0" fillId="103" borderId="0" xfId="0" applyFill="1" applyAlignment="1" applyProtection="1">
      <alignment vertical="center"/>
      <protection hidden="1"/>
    </xf>
    <xf numFmtId="165" fontId="0" fillId="103" borderId="0" xfId="0" applyNumberFormat="1" applyFill="1" applyAlignment="1" applyProtection="1">
      <alignment vertical="center"/>
      <protection hidden="1"/>
    </xf>
    <xf numFmtId="165" fontId="0" fillId="104" borderId="3" xfId="0" applyNumberFormat="1" applyFill="1" applyBorder="1" applyProtection="1">
      <protection hidden="1"/>
    </xf>
    <xf numFmtId="165" fontId="0" fillId="104" borderId="6" xfId="0" applyNumberFormat="1" applyFill="1" applyBorder="1" applyProtection="1">
      <protection hidden="1"/>
    </xf>
    <xf numFmtId="165" fontId="0" fillId="104" borderId="2" xfId="0" applyNumberFormat="1" applyFill="1" applyBorder="1" applyProtection="1">
      <protection hidden="1"/>
    </xf>
    <xf numFmtId="0" fontId="9" fillId="105" borderId="0" xfId="0" applyFont="1" applyFill="1" applyBorder="1" applyAlignment="1" applyProtection="1">
      <alignment horizontal="right" vertical="center"/>
      <protection hidden="1"/>
    </xf>
    <xf numFmtId="0" fontId="9" fillId="18" borderId="35" xfId="0" applyFont="1" applyFill="1" applyBorder="1" applyAlignment="1" applyProtection="1">
      <alignment horizontal="left" vertical="center"/>
      <protection hidden="1"/>
    </xf>
    <xf numFmtId="0" fontId="9" fillId="18" borderId="37" xfId="0" applyFont="1" applyFill="1" applyBorder="1" applyAlignment="1" applyProtection="1">
      <alignment horizontal="left" vertical="center"/>
      <protection hidden="1"/>
    </xf>
    <xf numFmtId="0" fontId="9" fillId="18" borderId="38" xfId="0" applyFont="1" applyFill="1" applyBorder="1" applyAlignment="1" applyProtection="1">
      <alignment horizontal="left" vertical="center"/>
      <protection hidden="1"/>
    </xf>
    <xf numFmtId="0" fontId="9" fillId="18" borderId="39" xfId="0" applyFont="1" applyFill="1" applyBorder="1" applyAlignment="1" applyProtection="1">
      <alignment horizontal="left" vertical="center"/>
      <protection hidden="1"/>
    </xf>
    <xf numFmtId="0" fontId="9" fillId="17" borderId="35" xfId="0" applyFont="1" applyFill="1" applyBorder="1" applyAlignment="1" applyProtection="1">
      <alignment horizontal="left" vertical="center"/>
      <protection hidden="1"/>
    </xf>
    <xf numFmtId="0" fontId="19" fillId="17" borderId="36" xfId="0" applyFont="1" applyFill="1" applyBorder="1" applyAlignment="1" applyProtection="1">
      <alignment horizontal="center" vertical="center"/>
      <protection hidden="1"/>
    </xf>
    <xf numFmtId="0" fontId="9" fillId="17" borderId="37" xfId="0" applyFont="1" applyFill="1" applyBorder="1" applyAlignment="1" applyProtection="1">
      <alignment horizontal="left" vertical="center"/>
      <protection hidden="1"/>
    </xf>
    <xf numFmtId="0" fontId="12" fillId="17" borderId="47" xfId="0" applyFont="1" applyFill="1" applyBorder="1" applyAlignment="1" applyProtection="1">
      <alignment horizontal="left" vertical="center"/>
      <protection hidden="1"/>
    </xf>
    <xf numFmtId="0" fontId="23" fillId="17" borderId="0" xfId="0" applyFont="1" applyFill="1" applyBorder="1" applyAlignment="1" applyProtection="1">
      <alignment horizontal="center" vertical="center"/>
      <protection hidden="1"/>
    </xf>
    <xf numFmtId="0" fontId="9" fillId="17" borderId="48" xfId="0" applyFont="1" applyFill="1" applyBorder="1" applyAlignment="1" applyProtection="1">
      <alignment horizontal="left" vertical="center"/>
      <protection hidden="1"/>
    </xf>
    <xf numFmtId="0" fontId="9" fillId="17" borderId="38" xfId="0" applyFont="1" applyFill="1" applyBorder="1" applyAlignment="1" applyProtection="1">
      <alignment horizontal="left" vertical="center"/>
      <protection hidden="1"/>
    </xf>
    <xf numFmtId="0" fontId="9" fillId="17" borderId="39" xfId="0" applyFont="1" applyFill="1" applyBorder="1" applyAlignment="1" applyProtection="1">
      <alignment horizontal="left" vertical="center"/>
      <protection hidden="1"/>
    </xf>
    <xf numFmtId="0" fontId="9" fillId="17" borderId="47" xfId="0" applyFont="1" applyFill="1" applyBorder="1" applyAlignment="1" applyProtection="1">
      <alignment horizontal="left" vertical="center"/>
      <protection hidden="1"/>
    </xf>
    <xf numFmtId="0" fontId="19" fillId="17" borderId="0" xfId="0" applyFont="1" applyFill="1" applyBorder="1" applyAlignment="1" applyProtection="1">
      <alignment horizontal="center" vertical="center"/>
      <protection hidden="1"/>
    </xf>
    <xf numFmtId="165" fontId="9" fillId="18" borderId="6" xfId="0" applyNumberFormat="1" applyFont="1" applyFill="1" applyBorder="1" applyAlignment="1" applyProtection="1">
      <alignment horizontal="center" vertical="center"/>
      <protection hidden="1"/>
    </xf>
    <xf numFmtId="0" fontId="19" fillId="18" borderId="6" xfId="0" applyFont="1" applyFill="1" applyBorder="1" applyAlignment="1" applyProtection="1">
      <alignment horizontal="center" vertical="center"/>
      <protection hidden="1"/>
    </xf>
    <xf numFmtId="0" fontId="9" fillId="18" borderId="2" xfId="0" applyFont="1" applyFill="1" applyBorder="1" applyAlignment="1" applyProtection="1">
      <alignment vertical="center"/>
      <protection hidden="1"/>
    </xf>
    <xf numFmtId="0" fontId="9" fillId="31" borderId="23" xfId="0" applyFont="1" applyFill="1" applyBorder="1" applyProtection="1">
      <protection hidden="1"/>
    </xf>
    <xf numFmtId="0" fontId="9" fillId="17" borderId="35" xfId="0" applyFont="1" applyFill="1" applyBorder="1" applyAlignment="1" applyProtection="1">
      <alignment horizontal="center" vertical="center"/>
      <protection hidden="1"/>
    </xf>
    <xf numFmtId="0" fontId="23" fillId="17" borderId="36" xfId="0" applyFont="1" applyFill="1" applyBorder="1" applyAlignment="1" applyProtection="1">
      <alignment horizontal="center" vertical="center"/>
      <protection hidden="1"/>
    </xf>
    <xf numFmtId="0" fontId="23" fillId="17" borderId="37" xfId="0" applyFont="1" applyFill="1" applyBorder="1" applyAlignment="1" applyProtection="1">
      <alignment horizontal="center" vertical="center"/>
      <protection hidden="1"/>
    </xf>
    <xf numFmtId="0" fontId="9" fillId="17" borderId="47" xfId="0" applyFont="1" applyFill="1" applyBorder="1" applyAlignment="1" applyProtection="1">
      <alignment horizontal="center" vertical="center"/>
      <protection hidden="1"/>
    </xf>
    <xf numFmtId="0" fontId="23" fillId="17" borderId="48" xfId="0" applyFont="1" applyFill="1" applyBorder="1" applyAlignment="1" applyProtection="1">
      <alignment horizontal="center" vertical="center"/>
      <protection hidden="1"/>
    </xf>
    <xf numFmtId="165" fontId="9" fillId="17" borderId="23" xfId="0" applyNumberFormat="1" applyFont="1" applyFill="1" applyBorder="1" applyAlignment="1" applyProtection="1">
      <alignment horizontal="left" vertical="center"/>
      <protection hidden="1"/>
    </xf>
    <xf numFmtId="0" fontId="23" fillId="17" borderId="23" xfId="0" applyFont="1" applyFill="1" applyBorder="1" applyAlignment="1" applyProtection="1">
      <alignment horizontal="center" vertical="center"/>
      <protection hidden="1"/>
    </xf>
    <xf numFmtId="0" fontId="23" fillId="17" borderId="39" xfId="0" applyFont="1" applyFill="1" applyBorder="1" applyAlignment="1" applyProtection="1">
      <alignment horizontal="center" vertical="center"/>
      <protection hidden="1"/>
    </xf>
    <xf numFmtId="0" fontId="19" fillId="17" borderId="23" xfId="0" applyFont="1" applyFill="1" applyBorder="1" applyAlignment="1" applyProtection="1">
      <alignment horizontal="center" vertical="center"/>
      <protection hidden="1"/>
    </xf>
    <xf numFmtId="0" fontId="9" fillId="17" borderId="23" xfId="0" applyFont="1" applyFill="1" applyBorder="1" applyAlignment="1" applyProtection="1">
      <alignment horizontal="right" vertical="center"/>
      <protection hidden="1"/>
    </xf>
    <xf numFmtId="0" fontId="9" fillId="17" borderId="0" xfId="0" applyFont="1" applyFill="1" applyBorder="1" applyAlignment="1" applyProtection="1">
      <alignment vertical="center" wrapText="1"/>
      <protection hidden="1"/>
    </xf>
    <xf numFmtId="0" fontId="23" fillId="17" borderId="0" xfId="0" applyFont="1" applyFill="1" applyBorder="1" applyAlignment="1" applyProtection="1">
      <alignment horizontal="left" vertical="center"/>
      <protection hidden="1"/>
    </xf>
    <xf numFmtId="0" fontId="23" fillId="17" borderId="48" xfId="0" applyFont="1" applyFill="1" applyBorder="1" applyAlignment="1" applyProtection="1">
      <alignment horizontal="left" vertical="center"/>
      <protection hidden="1"/>
    </xf>
    <xf numFmtId="0" fontId="13" fillId="17" borderId="52" xfId="0" applyFont="1" applyFill="1" applyBorder="1" applyAlignment="1" applyProtection="1">
      <alignment vertical="center" wrapText="1"/>
      <protection hidden="1"/>
    </xf>
    <xf numFmtId="0" fontId="9" fillId="17" borderId="52" xfId="0" applyFont="1" applyFill="1" applyBorder="1" applyAlignment="1" applyProtection="1">
      <alignment horizontal="center" vertical="center"/>
      <protection hidden="1"/>
    </xf>
    <xf numFmtId="0" fontId="9" fillId="17" borderId="9" xfId="0" applyFont="1" applyFill="1" applyBorder="1" applyAlignment="1" applyProtection="1">
      <alignment horizontal="center" vertical="center"/>
      <protection hidden="1"/>
    </xf>
    <xf numFmtId="0" fontId="9" fillId="17" borderId="8" xfId="0" applyFont="1" applyFill="1" applyBorder="1" applyAlignment="1" applyProtection="1">
      <alignment horizontal="center" vertical="center"/>
      <protection hidden="1"/>
    </xf>
    <xf numFmtId="0" fontId="13" fillId="17" borderId="52" xfId="0" applyFont="1" applyFill="1" applyBorder="1" applyAlignment="1" applyProtection="1">
      <alignment vertical="top" wrapText="1"/>
      <protection hidden="1"/>
    </xf>
    <xf numFmtId="0" fontId="9" fillId="6" borderId="2" xfId="0" applyFont="1" applyFill="1" applyBorder="1" applyAlignment="1" applyProtection="1">
      <alignment horizontal="left" vertical="center"/>
      <protection hidden="1"/>
    </xf>
    <xf numFmtId="164" fontId="35" fillId="17" borderId="7" xfId="0" applyNumberFormat="1" applyFont="1" applyFill="1" applyBorder="1" applyAlignment="1" applyProtection="1">
      <alignment horizontal="center" vertical="center"/>
      <protection hidden="1"/>
    </xf>
    <xf numFmtId="165" fontId="9" fillId="17" borderId="36" xfId="0" applyNumberFormat="1" applyFont="1" applyFill="1" applyBorder="1" applyAlignment="1" applyProtection="1">
      <alignment horizontal="left" vertical="center"/>
      <protection hidden="1"/>
    </xf>
    <xf numFmtId="165" fontId="9" fillId="17" borderId="23" xfId="0" applyNumberFormat="1" applyFont="1" applyFill="1" applyBorder="1" applyAlignment="1" applyProtection="1">
      <alignment horizontal="right" vertical="center"/>
      <protection hidden="1"/>
    </xf>
    <xf numFmtId="0" fontId="9" fillId="17" borderId="37" xfId="0" applyFont="1" applyFill="1" applyBorder="1" applyAlignment="1" applyProtection="1">
      <alignment vertical="center"/>
      <protection hidden="1"/>
    </xf>
    <xf numFmtId="0" fontId="9" fillId="17" borderId="39" xfId="0" applyFont="1" applyFill="1" applyBorder="1" applyAlignment="1" applyProtection="1">
      <alignment horizontal="right" vertical="center"/>
      <protection hidden="1"/>
    </xf>
    <xf numFmtId="0" fontId="23" fillId="5" borderId="0" xfId="0" applyFont="1" applyFill="1" applyAlignment="1" applyProtection="1">
      <alignment horizontal="center" vertical="center"/>
      <protection hidden="1"/>
    </xf>
    <xf numFmtId="0" fontId="9" fillId="106" borderId="0" xfId="0" applyFont="1" applyFill="1" applyBorder="1" applyAlignment="1" applyProtection="1">
      <alignment horizontal="left" vertical="center"/>
      <protection hidden="1"/>
    </xf>
    <xf numFmtId="165" fontId="9" fillId="106" borderId="0" xfId="0" applyNumberFormat="1" applyFont="1" applyFill="1" applyAlignment="1" applyProtection="1">
      <alignment horizontal="left" vertical="center"/>
      <protection hidden="1"/>
    </xf>
    <xf numFmtId="0" fontId="9" fillId="106" borderId="0" xfId="0" applyFont="1" applyFill="1" applyBorder="1" applyAlignment="1" applyProtection="1">
      <alignment horizontal="center" vertical="center"/>
      <protection hidden="1"/>
    </xf>
    <xf numFmtId="0" fontId="19" fillId="106" borderId="0" xfId="0" applyFont="1" applyFill="1" applyAlignment="1" applyProtection="1">
      <alignment horizontal="center" vertical="center"/>
      <protection hidden="1"/>
    </xf>
    <xf numFmtId="0" fontId="23" fillId="106" borderId="0" xfId="0" applyFont="1" applyFill="1" applyAlignment="1" applyProtection="1">
      <alignment horizontal="center" vertical="center"/>
      <protection hidden="1"/>
    </xf>
    <xf numFmtId="0" fontId="62" fillId="79" borderId="0" xfId="0" applyFont="1" applyFill="1" applyBorder="1" applyAlignment="1">
      <alignment vertical="center"/>
    </xf>
    <xf numFmtId="0" fontId="9" fillId="79" borderId="0" xfId="0" applyFont="1" applyFill="1" applyBorder="1"/>
    <xf numFmtId="164" fontId="9" fillId="5" borderId="31" xfId="0" applyNumberFormat="1" applyFont="1" applyFill="1" applyBorder="1" applyAlignment="1" applyProtection="1">
      <alignment vertical="center"/>
      <protection hidden="1"/>
    </xf>
    <xf numFmtId="164" fontId="47" fillId="5" borderId="27" xfId="0" applyNumberFormat="1" applyFont="1" applyFill="1" applyBorder="1" applyAlignment="1">
      <alignment horizontal="right" vertical="center"/>
    </xf>
    <xf numFmtId="0" fontId="77" fillId="79" borderId="0" xfId="0" applyFont="1" applyFill="1" applyBorder="1" applyAlignment="1">
      <alignment vertical="center"/>
    </xf>
    <xf numFmtId="165" fontId="65" fillId="28" borderId="0" xfId="0" applyNumberFormat="1" applyFont="1" applyFill="1" applyBorder="1" applyAlignment="1" applyProtection="1">
      <alignment vertical="center"/>
      <protection hidden="1"/>
    </xf>
    <xf numFmtId="0" fontId="9" fillId="6" borderId="36" xfId="0" applyFont="1" applyFill="1" applyBorder="1" applyAlignment="1" applyProtection="1">
      <alignment horizontal="left" vertical="center"/>
      <protection hidden="1"/>
    </xf>
    <xf numFmtId="164" fontId="9" fillId="5" borderId="0" xfId="0" applyNumberFormat="1" applyFont="1" applyFill="1" applyBorder="1" applyAlignment="1">
      <alignment horizontal="left"/>
    </xf>
    <xf numFmtId="164" fontId="9" fillId="5" borderId="0" xfId="0" applyNumberFormat="1" applyFont="1" applyFill="1" applyBorder="1" applyAlignment="1">
      <alignment vertical="center"/>
    </xf>
    <xf numFmtId="164" fontId="9" fillId="5" borderId="0" xfId="0" applyNumberFormat="1" applyFont="1" applyFill="1" applyBorder="1" applyAlignment="1">
      <alignment horizontal="left" vertical="center"/>
    </xf>
    <xf numFmtId="165" fontId="47" fillId="79" borderId="29" xfId="0" applyNumberFormat="1" applyFont="1" applyFill="1" applyBorder="1" applyAlignment="1">
      <alignment horizontal="right" vertical="center"/>
    </xf>
    <xf numFmtId="0" fontId="79" fillId="22" borderId="37" xfId="0" applyFont="1" applyFill="1" applyBorder="1" applyAlignment="1" applyProtection="1">
      <alignment vertical="center"/>
      <protection hidden="1"/>
    </xf>
    <xf numFmtId="0" fontId="79" fillId="22" borderId="39" xfId="0" applyFont="1" applyFill="1" applyBorder="1" applyAlignment="1" applyProtection="1">
      <alignment vertical="center"/>
      <protection hidden="1"/>
    </xf>
    <xf numFmtId="0" fontId="9" fillId="22" borderId="3" xfId="0" applyFont="1" applyFill="1" applyBorder="1" applyAlignment="1" applyProtection="1">
      <alignment vertical="center"/>
      <protection hidden="1"/>
    </xf>
    <xf numFmtId="0" fontId="9" fillId="22" borderId="2" xfId="0" applyFont="1" applyFill="1" applyBorder="1" applyAlignment="1" applyProtection="1">
      <alignment vertical="center"/>
      <protection hidden="1"/>
    </xf>
    <xf numFmtId="0" fontId="9" fillId="21" borderId="35" xfId="0" applyFont="1" applyFill="1" applyBorder="1" applyAlignment="1" applyProtection="1">
      <alignment vertical="center"/>
      <protection hidden="1"/>
    </xf>
    <xf numFmtId="0" fontId="9" fillId="21" borderId="37" xfId="0" applyFont="1" applyFill="1" applyBorder="1" applyAlignment="1" applyProtection="1">
      <alignment vertical="center"/>
      <protection hidden="1"/>
    </xf>
    <xf numFmtId="0" fontId="9" fillId="21" borderId="47" xfId="0" applyFont="1" applyFill="1" applyBorder="1" applyAlignment="1" applyProtection="1">
      <alignment vertical="center"/>
      <protection hidden="1"/>
    </xf>
    <xf numFmtId="0" fontId="9" fillId="21" borderId="48" xfId="0" applyFont="1" applyFill="1" applyBorder="1" applyAlignment="1" applyProtection="1">
      <alignment vertical="center"/>
      <protection hidden="1"/>
    </xf>
    <xf numFmtId="164" fontId="9" fillId="21" borderId="0" xfId="0" applyNumberFormat="1" applyFont="1" applyFill="1" applyBorder="1" applyAlignment="1" applyProtection="1">
      <alignment horizontal="center" vertical="center"/>
      <protection hidden="1"/>
    </xf>
    <xf numFmtId="164" fontId="9" fillId="21" borderId="23" xfId="0" applyNumberFormat="1" applyFont="1" applyFill="1" applyBorder="1" applyAlignment="1" applyProtection="1">
      <alignment horizontal="right" vertical="center"/>
      <protection hidden="1"/>
    </xf>
    <xf numFmtId="0" fontId="9" fillId="107" borderId="35" xfId="0" applyFont="1" applyFill="1" applyBorder="1" applyAlignment="1" applyProtection="1">
      <alignment horizontal="left" vertical="center"/>
      <protection hidden="1"/>
    </xf>
    <xf numFmtId="1" fontId="9" fillId="107" borderId="36" xfId="0" applyNumberFormat="1" applyFont="1" applyFill="1" applyBorder="1" applyAlignment="1" applyProtection="1">
      <alignment horizontal="center" vertical="center"/>
      <protection hidden="1"/>
    </xf>
    <xf numFmtId="0" fontId="9" fillId="107" borderId="36" xfId="0" applyFont="1" applyFill="1" applyBorder="1" applyAlignment="1" applyProtection="1">
      <alignment horizontal="center" vertical="center"/>
      <protection hidden="1"/>
    </xf>
    <xf numFmtId="0" fontId="9" fillId="107" borderId="36" xfId="0" applyFont="1" applyFill="1" applyBorder="1" applyAlignment="1" applyProtection="1">
      <alignment horizontal="left" vertical="center"/>
      <protection hidden="1"/>
    </xf>
    <xf numFmtId="0" fontId="9" fillId="107" borderId="37" xfId="0" applyFont="1" applyFill="1" applyBorder="1" applyAlignment="1" applyProtection="1">
      <alignment horizontal="center" vertical="center"/>
      <protection hidden="1"/>
    </xf>
    <xf numFmtId="0" fontId="9" fillId="107" borderId="47" xfId="0" applyFont="1" applyFill="1" applyBorder="1" applyAlignment="1" applyProtection="1">
      <alignment horizontal="left" vertical="center"/>
      <protection hidden="1"/>
    </xf>
    <xf numFmtId="0" fontId="9" fillId="107" borderId="0" xfId="0" applyFont="1" applyFill="1" applyBorder="1" applyAlignment="1" applyProtection="1">
      <alignment horizontal="center" vertical="center"/>
      <protection hidden="1"/>
    </xf>
    <xf numFmtId="0" fontId="9" fillId="107" borderId="0" xfId="0" applyFont="1" applyFill="1" applyBorder="1" applyAlignment="1" applyProtection="1">
      <alignment horizontal="left" vertical="center"/>
      <protection hidden="1"/>
    </xf>
    <xf numFmtId="0" fontId="9" fillId="107" borderId="48" xfId="0" applyFont="1" applyFill="1" applyBorder="1" applyAlignment="1" applyProtection="1">
      <alignment horizontal="center" vertical="center"/>
      <protection hidden="1"/>
    </xf>
    <xf numFmtId="0" fontId="12" fillId="107" borderId="47" xfId="0" applyFont="1" applyFill="1" applyBorder="1" applyAlignment="1" applyProtection="1">
      <alignment horizontal="left" vertical="center"/>
      <protection hidden="1"/>
    </xf>
    <xf numFmtId="1" fontId="9" fillId="107" borderId="0" xfId="0" applyNumberFormat="1" applyFont="1" applyFill="1" applyBorder="1" applyAlignment="1" applyProtection="1">
      <alignment horizontal="center" vertical="center"/>
      <protection hidden="1"/>
    </xf>
    <xf numFmtId="0" fontId="9" fillId="107" borderId="38" xfId="0" applyFont="1" applyFill="1" applyBorder="1" applyAlignment="1" applyProtection="1">
      <alignment horizontal="left" vertical="center"/>
      <protection hidden="1"/>
    </xf>
    <xf numFmtId="0" fontId="9" fillId="107" borderId="23" xfId="0" applyFont="1" applyFill="1" applyBorder="1" applyAlignment="1" applyProtection="1">
      <alignment horizontal="right" vertical="center"/>
      <protection hidden="1"/>
    </xf>
    <xf numFmtId="0" fontId="9" fillId="107" borderId="23" xfId="0" applyFont="1" applyFill="1" applyBorder="1" applyAlignment="1" applyProtection="1">
      <alignment horizontal="left" vertical="center"/>
      <protection hidden="1"/>
    </xf>
    <xf numFmtId="0" fontId="9" fillId="107" borderId="39" xfId="0" applyFont="1" applyFill="1" applyBorder="1" applyAlignment="1" applyProtection="1">
      <alignment horizontal="right" vertical="center"/>
      <protection hidden="1"/>
    </xf>
    <xf numFmtId="0" fontId="9" fillId="21" borderId="37" xfId="0" applyFont="1" applyFill="1" applyBorder="1" applyAlignment="1" applyProtection="1">
      <alignment horizontal="left" vertical="center"/>
      <protection hidden="1"/>
    </xf>
    <xf numFmtId="0" fontId="21" fillId="21" borderId="0" xfId="0" applyFont="1" applyFill="1" applyBorder="1" applyAlignment="1" applyProtection="1">
      <alignment horizontal="center" vertical="center"/>
      <protection hidden="1"/>
    </xf>
    <xf numFmtId="0" fontId="9" fillId="21" borderId="48" xfId="0" applyFont="1" applyFill="1" applyBorder="1" applyAlignment="1" applyProtection="1">
      <alignment horizontal="left" vertical="center"/>
      <protection hidden="1"/>
    </xf>
    <xf numFmtId="0" fontId="12" fillId="21" borderId="0" xfId="0" applyFont="1" applyFill="1" applyBorder="1" applyAlignment="1" applyProtection="1">
      <alignment horizontal="left" vertical="center"/>
      <protection hidden="1"/>
    </xf>
    <xf numFmtId="0" fontId="12" fillId="21" borderId="48" xfId="0" applyFont="1" applyFill="1" applyBorder="1" applyAlignment="1" applyProtection="1">
      <alignment horizontal="left" vertical="center"/>
      <protection hidden="1"/>
    </xf>
    <xf numFmtId="0" fontId="9" fillId="21" borderId="23" xfId="0" applyFont="1" applyFill="1" applyBorder="1" applyAlignment="1" applyProtection="1">
      <alignment vertical="center" wrapText="1"/>
      <protection hidden="1"/>
    </xf>
    <xf numFmtId="0" fontId="9" fillId="21" borderId="39" xfId="0" applyFont="1" applyFill="1" applyBorder="1" applyAlignment="1" applyProtection="1">
      <alignment horizontal="left" vertical="center"/>
      <protection hidden="1"/>
    </xf>
    <xf numFmtId="0" fontId="9" fillId="5" borderId="0" xfId="0" applyFont="1" applyFill="1" applyAlignment="1" applyProtection="1">
      <alignment vertical="center" wrapText="1"/>
      <protection hidden="1"/>
    </xf>
    <xf numFmtId="1" fontId="9" fillId="107" borderId="23" xfId="0" applyNumberFormat="1" applyFont="1" applyFill="1" applyBorder="1" applyAlignment="1" applyProtection="1">
      <alignment horizontal="center" vertical="center"/>
      <protection hidden="1"/>
    </xf>
    <xf numFmtId="0" fontId="9" fillId="107" borderId="23" xfId="0" applyFont="1" applyFill="1" applyBorder="1" applyAlignment="1" applyProtection="1">
      <alignment horizontal="center" vertical="center"/>
      <protection hidden="1"/>
    </xf>
    <xf numFmtId="0" fontId="9" fillId="107" borderId="39" xfId="0" applyFont="1" applyFill="1" applyBorder="1" applyAlignment="1" applyProtection="1">
      <alignment horizontal="center" vertical="center"/>
      <protection hidden="1"/>
    </xf>
    <xf numFmtId="0" fontId="9" fillId="21" borderId="36" xfId="0" applyFont="1" applyFill="1" applyBorder="1" applyAlignment="1" applyProtection="1">
      <alignment vertical="center" wrapText="1"/>
      <protection hidden="1"/>
    </xf>
    <xf numFmtId="0" fontId="34" fillId="21" borderId="0" xfId="0" applyFont="1" applyFill="1" applyBorder="1" applyAlignment="1" applyProtection="1">
      <alignment vertical="center"/>
      <protection hidden="1"/>
    </xf>
    <xf numFmtId="0" fontId="33" fillId="21" borderId="23" xfId="0" applyFont="1" applyFill="1" applyBorder="1" applyAlignment="1" applyProtection="1">
      <alignment vertical="center"/>
      <protection hidden="1"/>
    </xf>
    <xf numFmtId="0" fontId="19" fillId="21" borderId="23" xfId="0" applyFont="1" applyFill="1" applyBorder="1" applyAlignment="1" applyProtection="1">
      <alignment horizontal="center" vertical="center"/>
      <protection hidden="1"/>
    </xf>
    <xf numFmtId="164" fontId="9" fillId="21" borderId="36" xfId="0" applyNumberFormat="1" applyFont="1" applyFill="1" applyBorder="1" applyAlignment="1" applyProtection="1">
      <alignment horizontal="right" vertical="center"/>
      <protection hidden="1"/>
    </xf>
    <xf numFmtId="0" fontId="9" fillId="21" borderId="38" xfId="0" applyFont="1" applyFill="1" applyBorder="1" applyAlignment="1" applyProtection="1">
      <alignment vertical="center"/>
      <protection hidden="1"/>
    </xf>
    <xf numFmtId="0" fontId="9" fillId="21" borderId="39" xfId="0" applyFont="1" applyFill="1" applyBorder="1" applyAlignment="1" applyProtection="1">
      <alignment vertical="center"/>
      <protection hidden="1"/>
    </xf>
    <xf numFmtId="0" fontId="16" fillId="5" borderId="0" xfId="0" applyFont="1" applyFill="1" applyBorder="1" applyAlignment="1" applyProtection="1">
      <alignment horizontal="left" vertical="center" wrapText="1"/>
      <protection hidden="1"/>
    </xf>
    <xf numFmtId="165" fontId="32" fillId="5" borderId="0" xfId="0" applyNumberFormat="1" applyFont="1" applyFill="1" applyBorder="1" applyAlignment="1" applyProtection="1">
      <alignment horizontal="left" vertical="center"/>
      <protection hidden="1"/>
    </xf>
    <xf numFmtId="0" fontId="9" fillId="30" borderId="0" xfId="0" applyFont="1" applyFill="1" applyBorder="1" applyAlignment="1" applyProtection="1">
      <alignment horizontal="left" vertical="center"/>
      <protection hidden="1"/>
    </xf>
    <xf numFmtId="0" fontId="0" fillId="5" borderId="0" xfId="0" applyFill="1" applyBorder="1" applyAlignment="1" applyProtection="1">
      <alignment horizontal="left" vertical="center"/>
      <protection hidden="1"/>
    </xf>
    <xf numFmtId="0" fontId="9" fillId="21" borderId="8" xfId="0" applyFont="1" applyFill="1" applyBorder="1" applyAlignment="1" applyProtection="1">
      <alignment horizontal="center" vertical="center"/>
      <protection hidden="1"/>
    </xf>
    <xf numFmtId="0" fontId="0" fillId="21" borderId="52" xfId="0" applyFill="1" applyBorder="1" applyAlignment="1" applyProtection="1">
      <alignment vertical="center"/>
      <protection hidden="1"/>
    </xf>
    <xf numFmtId="165" fontId="32" fillId="30" borderId="36" xfId="0" applyNumberFormat="1" applyFont="1" applyFill="1" applyBorder="1" applyAlignment="1" applyProtection="1">
      <alignment horizontal="left" vertical="center"/>
      <protection hidden="1"/>
    </xf>
    <xf numFmtId="165" fontId="65" fillId="28" borderId="3" xfId="0" applyNumberFormat="1" applyFont="1" applyFill="1" applyBorder="1" applyAlignment="1" applyProtection="1">
      <alignment vertical="center"/>
      <protection hidden="1"/>
    </xf>
    <xf numFmtId="165" fontId="65" fillId="28" borderId="6" xfId="0" applyNumberFormat="1" applyFont="1" applyFill="1" applyBorder="1" applyAlignment="1" applyProtection="1">
      <alignment vertical="center"/>
      <protection hidden="1"/>
    </xf>
    <xf numFmtId="0" fontId="9" fillId="31" borderId="36" xfId="0" applyFont="1" applyFill="1" applyBorder="1" applyAlignment="1" applyProtection="1">
      <alignment horizontal="left" vertical="center"/>
      <protection hidden="1"/>
    </xf>
    <xf numFmtId="0" fontId="9" fillId="31" borderId="37" xfId="0" applyFont="1" applyFill="1" applyBorder="1" applyAlignment="1" applyProtection="1">
      <alignment horizontal="left" vertical="center"/>
      <protection hidden="1"/>
    </xf>
    <xf numFmtId="0" fontId="9" fillId="31" borderId="48" xfId="0" applyFont="1" applyFill="1" applyBorder="1" applyAlignment="1" applyProtection="1">
      <alignment horizontal="left" vertical="center"/>
      <protection hidden="1"/>
    </xf>
    <xf numFmtId="0" fontId="28" fillId="31" borderId="0" xfId="0" applyFont="1" applyFill="1" applyBorder="1" applyAlignment="1" applyProtection="1">
      <alignment horizontal="right" vertical="center"/>
      <protection hidden="1"/>
    </xf>
    <xf numFmtId="0" fontId="55" fillId="31" borderId="47" xfId="0" applyFont="1" applyFill="1" applyBorder="1" applyAlignment="1" applyProtection="1">
      <alignment horizontal="left"/>
      <protection hidden="1"/>
    </xf>
    <xf numFmtId="0" fontId="9" fillId="31" borderId="23" xfId="0" applyFont="1" applyFill="1" applyBorder="1" applyAlignment="1" applyProtection="1">
      <alignment horizontal="left" vertical="center"/>
      <protection hidden="1"/>
    </xf>
    <xf numFmtId="0" fontId="9" fillId="31" borderId="39" xfId="0" applyFont="1" applyFill="1" applyBorder="1" applyAlignment="1" applyProtection="1">
      <alignment horizontal="left" vertical="center"/>
      <protection hidden="1"/>
    </xf>
    <xf numFmtId="165" fontId="25" fillId="5" borderId="0" xfId="0" applyNumberFormat="1" applyFont="1" applyFill="1" applyBorder="1" applyAlignment="1" applyProtection="1">
      <alignment horizontal="center" vertical="center"/>
      <protection hidden="1"/>
    </xf>
    <xf numFmtId="164" fontId="32" fillId="31" borderId="0" xfId="0" applyNumberFormat="1" applyFont="1" applyFill="1" applyBorder="1" applyAlignment="1" applyProtection="1">
      <alignment vertical="center" wrapText="1"/>
      <protection hidden="1"/>
    </xf>
    <xf numFmtId="164" fontId="32" fillId="31" borderId="36" xfId="0" applyNumberFormat="1" applyFont="1" applyFill="1" applyBorder="1" applyAlignment="1" applyProtection="1">
      <alignment vertical="center" wrapText="1"/>
      <protection hidden="1"/>
    </xf>
    <xf numFmtId="164" fontId="32" fillId="31" borderId="37" xfId="0" applyNumberFormat="1" applyFont="1" applyFill="1" applyBorder="1" applyAlignment="1" applyProtection="1">
      <alignment vertical="center" wrapText="1"/>
      <protection hidden="1"/>
    </xf>
    <xf numFmtId="164" fontId="32" fillId="31" borderId="47" xfId="0" applyNumberFormat="1" applyFont="1" applyFill="1" applyBorder="1" applyAlignment="1" applyProtection="1">
      <alignment vertical="center" wrapText="1"/>
      <protection hidden="1"/>
    </xf>
    <xf numFmtId="164" fontId="32" fillId="31" borderId="38" xfId="0" applyNumberFormat="1" applyFont="1" applyFill="1" applyBorder="1" applyAlignment="1" applyProtection="1">
      <alignment vertical="center" wrapText="1"/>
      <protection hidden="1"/>
    </xf>
    <xf numFmtId="164" fontId="32" fillId="31" borderId="23" xfId="0" applyNumberFormat="1" applyFont="1" applyFill="1" applyBorder="1" applyAlignment="1" applyProtection="1">
      <alignment vertical="center" wrapText="1"/>
      <protection hidden="1"/>
    </xf>
    <xf numFmtId="164" fontId="32" fillId="31" borderId="39" xfId="0" applyNumberFormat="1" applyFont="1" applyFill="1" applyBorder="1" applyAlignment="1" applyProtection="1">
      <alignment vertical="center" wrapText="1"/>
      <protection hidden="1"/>
    </xf>
    <xf numFmtId="0" fontId="9" fillId="30" borderId="2" xfId="0" applyFont="1" applyFill="1" applyBorder="1" applyAlignment="1" applyProtection="1">
      <alignment horizontal="left" vertical="center"/>
      <protection hidden="1"/>
    </xf>
    <xf numFmtId="165" fontId="9" fillId="6" borderId="3" xfId="0" applyNumberFormat="1" applyFont="1" applyFill="1" applyBorder="1" applyAlignment="1" applyProtection="1">
      <alignment horizontal="left" vertical="center"/>
      <protection hidden="1"/>
    </xf>
    <xf numFmtId="165" fontId="9" fillId="6" borderId="2" xfId="0" applyNumberFormat="1" applyFont="1" applyFill="1" applyBorder="1" applyAlignment="1" applyProtection="1">
      <alignment horizontal="left" vertical="center"/>
      <protection hidden="1"/>
    </xf>
    <xf numFmtId="0" fontId="94" fillId="5" borderId="0" xfId="0" applyFont="1" applyFill="1" applyAlignment="1" applyProtection="1">
      <alignment horizontal="center"/>
      <protection hidden="1"/>
    </xf>
    <xf numFmtId="0" fontId="95" fillId="37" borderId="0" xfId="0" applyFont="1" applyFill="1" applyAlignment="1" applyProtection="1">
      <alignment horizontal="center"/>
      <protection hidden="1"/>
    </xf>
    <xf numFmtId="0" fontId="94" fillId="37" borderId="0" xfId="0" applyFont="1" applyFill="1" applyAlignment="1" applyProtection="1">
      <alignment horizontal="center"/>
      <protection hidden="1"/>
    </xf>
    <xf numFmtId="0" fontId="9" fillId="30" borderId="48" xfId="0" applyFont="1" applyFill="1" applyBorder="1" applyAlignment="1" applyProtection="1">
      <alignment horizontal="left" vertical="center"/>
      <protection hidden="1"/>
    </xf>
    <xf numFmtId="165" fontId="32" fillId="30" borderId="37" xfId="0" applyNumberFormat="1" applyFont="1" applyFill="1" applyBorder="1" applyAlignment="1" applyProtection="1">
      <alignment horizontal="left" vertical="center"/>
      <protection hidden="1"/>
    </xf>
    <xf numFmtId="0" fontId="39" fillId="10" borderId="48" xfId="0" applyFont="1" applyFill="1" applyBorder="1" applyAlignment="1" applyProtection="1">
      <alignment vertical="center"/>
      <protection hidden="1"/>
    </xf>
    <xf numFmtId="0" fontId="96" fillId="10" borderId="8" xfId="0" applyFont="1" applyFill="1" applyBorder="1" applyAlignment="1" applyProtection="1">
      <alignment vertical="center"/>
      <protection hidden="1"/>
    </xf>
    <xf numFmtId="0" fontId="96" fillId="10" borderId="52" xfId="0" applyFont="1" applyFill="1" applyBorder="1" applyAlignment="1" applyProtection="1">
      <alignment vertical="center"/>
      <protection hidden="1"/>
    </xf>
    <xf numFmtId="0" fontId="96" fillId="10" borderId="9" xfId="0" applyFont="1" applyFill="1" applyBorder="1" applyAlignment="1" applyProtection="1">
      <alignment vertical="center"/>
      <protection hidden="1"/>
    </xf>
    <xf numFmtId="0" fontId="9" fillId="10" borderId="52" xfId="0" applyFont="1" applyFill="1" applyBorder="1" applyAlignment="1" applyProtection="1">
      <alignment vertical="center"/>
      <protection hidden="1"/>
    </xf>
    <xf numFmtId="0" fontId="9" fillId="10" borderId="9" xfId="0" applyFont="1" applyFill="1" applyBorder="1" applyAlignment="1" applyProtection="1">
      <alignment vertical="center"/>
      <protection hidden="1"/>
    </xf>
    <xf numFmtId="0" fontId="9" fillId="109" borderId="35" xfId="0" applyFont="1" applyFill="1" applyBorder="1" applyAlignment="1" applyProtection="1">
      <alignment horizontal="right" vertical="center"/>
      <protection hidden="1"/>
    </xf>
    <xf numFmtId="0" fontId="9" fillId="109" borderId="36" xfId="0" applyFont="1" applyFill="1" applyBorder="1" applyAlignment="1" applyProtection="1">
      <alignment vertical="center"/>
      <protection hidden="1"/>
    </xf>
    <xf numFmtId="0" fontId="9" fillId="109" borderId="36" xfId="0" applyFont="1" applyFill="1" applyBorder="1" applyAlignment="1" applyProtection="1">
      <alignment horizontal="center" vertical="center"/>
      <protection hidden="1"/>
    </xf>
    <xf numFmtId="0" fontId="11" fillId="109" borderId="36" xfId="0" applyFont="1" applyFill="1" applyBorder="1" applyAlignment="1" applyProtection="1">
      <alignment vertical="center"/>
      <protection hidden="1"/>
    </xf>
    <xf numFmtId="0" fontId="9" fillId="109" borderId="36" xfId="0" applyFont="1" applyFill="1" applyBorder="1" applyAlignment="1" applyProtection="1">
      <alignment horizontal="left"/>
      <protection hidden="1"/>
    </xf>
    <xf numFmtId="0" fontId="9" fillId="109" borderId="37" xfId="0" applyFont="1" applyFill="1" applyBorder="1" applyAlignment="1" applyProtection="1">
      <alignment horizontal="center" vertical="center"/>
      <protection hidden="1"/>
    </xf>
    <xf numFmtId="0" fontId="9" fillId="109" borderId="47" xfId="0" applyFont="1" applyFill="1" applyBorder="1" applyAlignment="1" applyProtection="1">
      <alignment horizontal="right" vertical="center"/>
      <protection hidden="1"/>
    </xf>
    <xf numFmtId="0" fontId="69" fillId="109" borderId="0" xfId="0" applyFont="1" applyFill="1" applyBorder="1" applyAlignment="1" applyProtection="1">
      <alignment horizontal="left" vertical="center"/>
      <protection hidden="1"/>
    </xf>
    <xf numFmtId="0" fontId="9" fillId="109" borderId="0" xfId="0" applyFont="1" applyFill="1" applyBorder="1" applyAlignment="1" applyProtection="1">
      <alignment horizontal="center" vertical="center"/>
      <protection hidden="1"/>
    </xf>
    <xf numFmtId="0" fontId="9" fillId="109" borderId="0" xfId="0" applyFont="1" applyFill="1" applyBorder="1" applyAlignment="1" applyProtection="1">
      <alignment horizontal="left"/>
      <protection hidden="1"/>
    </xf>
    <xf numFmtId="0" fontId="9" fillId="109" borderId="48" xfId="0" applyFont="1" applyFill="1" applyBorder="1" applyAlignment="1" applyProtection="1">
      <alignment horizontal="center" vertical="center"/>
      <protection hidden="1"/>
    </xf>
    <xf numFmtId="0" fontId="0" fillId="109" borderId="38" xfId="0" applyFill="1" applyBorder="1" applyAlignment="1" applyProtection="1">
      <alignment vertical="center"/>
      <protection hidden="1"/>
    </xf>
    <xf numFmtId="0" fontId="0" fillId="109" borderId="23" xfId="0" applyFill="1" applyBorder="1" applyAlignment="1" applyProtection="1">
      <alignment vertical="center"/>
      <protection hidden="1"/>
    </xf>
    <xf numFmtId="0" fontId="9" fillId="109" borderId="23" xfId="0" applyFont="1" applyFill="1" applyBorder="1" applyAlignment="1" applyProtection="1">
      <alignment horizontal="center" vertical="center"/>
      <protection hidden="1"/>
    </xf>
    <xf numFmtId="0" fontId="11" fillId="109" borderId="23" xfId="0" applyFont="1" applyFill="1" applyBorder="1" applyAlignment="1" applyProtection="1">
      <alignment vertical="center"/>
      <protection hidden="1"/>
    </xf>
    <xf numFmtId="0" fontId="9" fillId="109" borderId="23" xfId="0" applyFont="1" applyFill="1" applyBorder="1" applyAlignment="1" applyProtection="1">
      <alignment horizontal="left"/>
      <protection hidden="1"/>
    </xf>
    <xf numFmtId="0" fontId="9" fillId="109" borderId="39" xfId="0" applyFont="1" applyFill="1" applyBorder="1" applyAlignment="1" applyProtection="1">
      <alignment horizontal="center" vertical="center"/>
      <protection hidden="1"/>
    </xf>
    <xf numFmtId="0" fontId="37" fillId="109" borderId="0" xfId="0" applyFont="1" applyFill="1" applyBorder="1" applyAlignment="1" applyProtection="1">
      <alignment horizontal="left" vertical="center"/>
      <protection hidden="1"/>
    </xf>
    <xf numFmtId="0" fontId="37" fillId="6" borderId="0" xfId="0" applyFont="1" applyFill="1" applyBorder="1" applyAlignment="1" applyProtection="1">
      <alignment horizontal="center" vertical="center"/>
      <protection hidden="1"/>
    </xf>
    <xf numFmtId="0" fontId="9" fillId="109" borderId="35" xfId="0" applyFont="1" applyFill="1" applyBorder="1" applyAlignment="1" applyProtection="1">
      <alignment horizontal="left" vertical="center"/>
      <protection hidden="1"/>
    </xf>
    <xf numFmtId="0" fontId="9" fillId="109" borderId="36" xfId="0" applyFont="1" applyFill="1" applyBorder="1" applyAlignment="1" applyProtection="1">
      <alignment horizontal="left" vertical="center"/>
      <protection hidden="1"/>
    </xf>
    <xf numFmtId="0" fontId="9" fillId="109" borderId="47" xfId="0" applyFont="1" applyFill="1" applyBorder="1" applyAlignment="1" applyProtection="1">
      <alignment horizontal="left" vertical="center"/>
      <protection hidden="1"/>
    </xf>
    <xf numFmtId="0" fontId="24" fillId="109" borderId="0" xfId="0" applyFont="1" applyFill="1" applyBorder="1" applyAlignment="1" applyProtection="1">
      <alignment vertical="center"/>
      <protection hidden="1"/>
    </xf>
    <xf numFmtId="1" fontId="12" fillId="5" borderId="0" xfId="2" applyNumberFormat="1" applyFont="1" applyFill="1" applyBorder="1" applyAlignment="1" applyProtection="1">
      <alignment horizontal="center" vertical="center"/>
      <protection hidden="1"/>
    </xf>
    <xf numFmtId="0" fontId="20" fillId="5" borderId="0" xfId="0" applyFont="1" applyFill="1" applyBorder="1" applyAlignment="1" applyProtection="1">
      <alignment horizontal="center" vertical="center" wrapText="1"/>
      <protection hidden="1"/>
    </xf>
    <xf numFmtId="0" fontId="9" fillId="11" borderId="48" xfId="0" applyFont="1" applyFill="1" applyBorder="1" applyAlignment="1" applyProtection="1">
      <alignment vertical="center"/>
      <protection hidden="1"/>
    </xf>
    <xf numFmtId="0" fontId="9" fillId="110" borderId="38" xfId="0" applyFont="1" applyFill="1" applyBorder="1" applyAlignment="1" applyProtection="1">
      <alignment horizontal="center" vertical="center"/>
      <protection hidden="1"/>
    </xf>
    <xf numFmtId="1" fontId="12" fillId="110" borderId="23" xfId="2" applyNumberFormat="1" applyFont="1" applyFill="1" applyBorder="1" applyAlignment="1" applyProtection="1">
      <alignment horizontal="center" vertical="center"/>
      <protection hidden="1"/>
    </xf>
    <xf numFmtId="0" fontId="9" fillId="110" borderId="23" xfId="0" applyFont="1" applyFill="1" applyBorder="1" applyAlignment="1" applyProtection="1">
      <alignment horizontal="center" vertical="center"/>
      <protection hidden="1"/>
    </xf>
    <xf numFmtId="0" fontId="9" fillId="110" borderId="23" xfId="0" applyFont="1" applyFill="1" applyBorder="1" applyAlignment="1" applyProtection="1">
      <alignment horizontal="left" vertical="center"/>
      <protection hidden="1"/>
    </xf>
    <xf numFmtId="0" fontId="9" fillId="110" borderId="0" xfId="0" applyFont="1" applyFill="1" applyBorder="1" applyAlignment="1" applyProtection="1">
      <alignment horizontal="center" vertical="center"/>
      <protection hidden="1"/>
    </xf>
    <xf numFmtId="0" fontId="9" fillId="110" borderId="0" xfId="0" applyFont="1" applyFill="1" applyBorder="1" applyAlignment="1" applyProtection="1">
      <alignment horizontal="left" vertical="center"/>
      <protection hidden="1"/>
    </xf>
    <xf numFmtId="0" fontId="9" fillId="110" borderId="47" xfId="0" applyFont="1" applyFill="1" applyBorder="1" applyAlignment="1" applyProtection="1">
      <alignment horizontal="center" vertical="center"/>
      <protection hidden="1"/>
    </xf>
    <xf numFmtId="1" fontId="11" fillId="110" borderId="0" xfId="0" applyNumberFormat="1" applyFont="1" applyFill="1" applyBorder="1" applyAlignment="1" applyProtection="1">
      <alignment vertical="center"/>
      <protection hidden="1"/>
    </xf>
    <xf numFmtId="0" fontId="9" fillId="110" borderId="35" xfId="0" applyFont="1" applyFill="1" applyBorder="1" applyAlignment="1" applyProtection="1">
      <alignment horizontal="center" vertical="center"/>
      <protection hidden="1"/>
    </xf>
    <xf numFmtId="1" fontId="9" fillId="110" borderId="36" xfId="0" applyNumberFormat="1" applyFont="1" applyFill="1" applyBorder="1" applyAlignment="1" applyProtection="1">
      <alignment horizontal="center" vertical="center"/>
      <protection hidden="1"/>
    </xf>
    <xf numFmtId="0" fontId="9" fillId="110" borderId="36" xfId="0" applyFont="1" applyFill="1" applyBorder="1" applyAlignment="1" applyProtection="1">
      <alignment horizontal="center" vertical="center"/>
      <protection hidden="1"/>
    </xf>
    <xf numFmtId="0" fontId="9" fillId="110" borderId="36" xfId="0" applyFont="1" applyFill="1" applyBorder="1" applyAlignment="1" applyProtection="1">
      <alignment horizontal="left" vertical="center"/>
      <protection hidden="1"/>
    </xf>
    <xf numFmtId="1" fontId="9" fillId="110" borderId="23" xfId="0" applyNumberFormat="1" applyFont="1" applyFill="1" applyBorder="1" applyAlignment="1" applyProtection="1">
      <alignment horizontal="center" vertical="center"/>
      <protection hidden="1"/>
    </xf>
    <xf numFmtId="0" fontId="9" fillId="110" borderId="39" xfId="0" applyFont="1" applyFill="1" applyBorder="1" applyAlignment="1" applyProtection="1">
      <alignment horizontal="center" vertical="center"/>
      <protection hidden="1"/>
    </xf>
    <xf numFmtId="0" fontId="9" fillId="110" borderId="48" xfId="0" applyFont="1" applyFill="1" applyBorder="1" applyAlignment="1" applyProtection="1">
      <alignment horizontal="center" vertical="center"/>
      <protection hidden="1"/>
    </xf>
    <xf numFmtId="0" fontId="9" fillId="110" borderId="37" xfId="0" applyFont="1" applyFill="1" applyBorder="1" applyAlignment="1" applyProtection="1">
      <alignment horizontal="center" vertical="center"/>
      <protection hidden="1"/>
    </xf>
    <xf numFmtId="1" fontId="9" fillId="110" borderId="0" xfId="0" applyNumberFormat="1" applyFont="1" applyFill="1" applyBorder="1" applyAlignment="1" applyProtection="1">
      <alignment horizontal="center" vertical="center"/>
      <protection hidden="1"/>
    </xf>
    <xf numFmtId="0" fontId="9" fillId="11" borderId="35" xfId="0" applyFont="1" applyFill="1" applyBorder="1" applyAlignment="1" applyProtection="1">
      <alignment vertical="center"/>
      <protection hidden="1"/>
    </xf>
    <xf numFmtId="0" fontId="9" fillId="11" borderId="37" xfId="0" applyFont="1" applyFill="1" applyBorder="1" applyAlignment="1" applyProtection="1">
      <alignment vertical="center"/>
      <protection hidden="1"/>
    </xf>
    <xf numFmtId="0" fontId="9" fillId="11" borderId="38" xfId="0" applyFont="1" applyFill="1" applyBorder="1" applyAlignment="1" applyProtection="1">
      <alignment vertical="center"/>
      <protection hidden="1"/>
    </xf>
    <xf numFmtId="0" fontId="9" fillId="11" borderId="39" xfId="0" applyFont="1" applyFill="1" applyBorder="1" applyAlignment="1" applyProtection="1">
      <alignment vertical="center"/>
      <protection hidden="1"/>
    </xf>
    <xf numFmtId="165" fontId="9" fillId="12" borderId="6" xfId="0" applyNumberFormat="1" applyFont="1" applyFill="1" applyBorder="1" applyAlignment="1" applyProtection="1">
      <alignment horizontal="left" vertical="center"/>
      <protection hidden="1"/>
    </xf>
    <xf numFmtId="2" fontId="9" fillId="11" borderId="35" xfId="0" applyNumberFormat="1" applyFont="1" applyFill="1" applyBorder="1" applyAlignment="1" applyProtection="1">
      <alignment vertical="center"/>
      <protection hidden="1"/>
    </xf>
    <xf numFmtId="2" fontId="9" fillId="11" borderId="36" xfId="0" applyNumberFormat="1" applyFont="1" applyFill="1" applyBorder="1" applyAlignment="1" applyProtection="1">
      <alignment vertical="center"/>
      <protection hidden="1"/>
    </xf>
    <xf numFmtId="0" fontId="20" fillId="11" borderId="36" xfId="0" applyFont="1" applyFill="1" applyBorder="1" applyAlignment="1" applyProtection="1">
      <alignment horizontal="center" vertical="center" wrapText="1"/>
      <protection hidden="1"/>
    </xf>
    <xf numFmtId="2" fontId="9" fillId="11" borderId="37" xfId="0" applyNumberFormat="1" applyFont="1" applyFill="1" applyBorder="1" applyAlignment="1" applyProtection="1">
      <alignment vertical="center"/>
      <protection hidden="1"/>
    </xf>
    <xf numFmtId="2" fontId="9" fillId="11" borderId="47" xfId="0" applyNumberFormat="1" applyFont="1" applyFill="1" applyBorder="1" applyAlignment="1" applyProtection="1">
      <alignment vertical="center"/>
      <protection hidden="1"/>
    </xf>
    <xf numFmtId="2" fontId="9" fillId="11" borderId="48" xfId="0" applyNumberFormat="1" applyFont="1" applyFill="1" applyBorder="1" applyAlignment="1" applyProtection="1">
      <alignment vertical="center"/>
      <protection hidden="1"/>
    </xf>
    <xf numFmtId="2" fontId="9" fillId="11" borderId="38" xfId="0" applyNumberFormat="1" applyFont="1" applyFill="1" applyBorder="1" applyAlignment="1" applyProtection="1">
      <alignment vertical="center"/>
      <protection hidden="1"/>
    </xf>
    <xf numFmtId="0" fontId="20" fillId="11" borderId="23" xfId="0" applyFont="1" applyFill="1" applyBorder="1" applyAlignment="1" applyProtection="1">
      <alignment horizontal="center" vertical="center" wrapText="1"/>
      <protection hidden="1"/>
    </xf>
    <xf numFmtId="2" fontId="9" fillId="11" borderId="39" xfId="0" applyNumberFormat="1" applyFont="1" applyFill="1" applyBorder="1" applyAlignment="1" applyProtection="1">
      <alignment vertical="center"/>
      <protection hidden="1"/>
    </xf>
    <xf numFmtId="0" fontId="20" fillId="11" borderId="36" xfId="0" applyFont="1" applyFill="1" applyBorder="1" applyAlignment="1" applyProtection="1">
      <alignment horizontal="center" vertical="center"/>
      <protection hidden="1"/>
    </xf>
    <xf numFmtId="0" fontId="9" fillId="30" borderId="23" xfId="0" applyFont="1" applyFill="1" applyBorder="1" applyAlignment="1" applyProtection="1">
      <alignment horizontal="left" vertical="center"/>
      <protection hidden="1"/>
    </xf>
    <xf numFmtId="0" fontId="9" fillId="30" borderId="36" xfId="0" applyFont="1" applyFill="1" applyBorder="1" applyAlignment="1" applyProtection="1">
      <alignment horizontal="left" vertical="center"/>
      <protection hidden="1"/>
    </xf>
    <xf numFmtId="2" fontId="9" fillId="30" borderId="36" xfId="0" applyNumberFormat="1" applyFont="1" applyFill="1" applyBorder="1" applyAlignment="1" applyProtection="1">
      <alignment horizontal="left" vertical="center"/>
      <protection hidden="1"/>
    </xf>
    <xf numFmtId="2" fontId="9" fillId="30" borderId="0" xfId="0" applyNumberFormat="1" applyFont="1" applyFill="1" applyBorder="1" applyAlignment="1" applyProtection="1">
      <alignment horizontal="left" vertical="center"/>
      <protection hidden="1"/>
    </xf>
    <xf numFmtId="2" fontId="9" fillId="30" borderId="23" xfId="0" applyNumberFormat="1" applyFont="1" applyFill="1" applyBorder="1" applyAlignment="1" applyProtection="1">
      <alignment horizontal="left" vertical="center"/>
      <protection hidden="1"/>
    </xf>
    <xf numFmtId="0" fontId="9" fillId="30" borderId="39" xfId="0" applyFont="1" applyFill="1" applyBorder="1" applyAlignment="1" applyProtection="1">
      <alignment horizontal="left" vertical="center"/>
      <protection hidden="1"/>
    </xf>
    <xf numFmtId="2" fontId="9" fillId="5" borderId="0" xfId="0" applyNumberFormat="1" applyFont="1" applyFill="1" applyBorder="1" applyAlignment="1" applyProtection="1">
      <alignment horizontal="left" vertical="center"/>
      <protection hidden="1"/>
    </xf>
    <xf numFmtId="0" fontId="9" fillId="30" borderId="37" xfId="0" applyFont="1" applyFill="1" applyBorder="1" applyAlignment="1" applyProtection="1">
      <alignment horizontal="left" vertical="center"/>
      <protection hidden="1"/>
    </xf>
    <xf numFmtId="2" fontId="9" fillId="30" borderId="37" xfId="0" applyNumberFormat="1" applyFont="1" applyFill="1" applyBorder="1" applyAlignment="1" applyProtection="1">
      <alignment horizontal="left" vertical="center"/>
      <protection hidden="1"/>
    </xf>
    <xf numFmtId="2" fontId="9" fillId="30" borderId="48" xfId="0" applyNumberFormat="1" applyFont="1" applyFill="1" applyBorder="1" applyAlignment="1" applyProtection="1">
      <alignment horizontal="left" vertical="center"/>
      <protection hidden="1"/>
    </xf>
    <xf numFmtId="2" fontId="9" fillId="30" borderId="39" xfId="0" applyNumberFormat="1" applyFont="1" applyFill="1" applyBorder="1" applyAlignment="1" applyProtection="1">
      <alignment horizontal="left" vertical="center"/>
      <protection hidden="1"/>
    </xf>
    <xf numFmtId="0" fontId="37" fillId="31" borderId="47" xfId="0" applyFont="1" applyFill="1" applyBorder="1" applyAlignment="1" applyProtection="1">
      <alignment horizontal="right" vertical="center"/>
      <protection hidden="1"/>
    </xf>
    <xf numFmtId="0" fontId="37" fillId="31" borderId="47" xfId="0" applyFont="1" applyFill="1" applyBorder="1" applyAlignment="1" applyProtection="1">
      <alignment horizontal="left"/>
      <protection hidden="1"/>
    </xf>
    <xf numFmtId="0" fontId="37" fillId="31" borderId="38" xfId="0" applyFont="1" applyFill="1" applyBorder="1" applyAlignment="1" applyProtection="1">
      <alignment horizontal="right" vertical="center"/>
      <protection hidden="1"/>
    </xf>
    <xf numFmtId="0" fontId="37" fillId="31" borderId="23" xfId="0" applyFont="1" applyFill="1" applyBorder="1" applyAlignment="1" applyProtection="1">
      <alignment horizontal="right" vertical="center"/>
      <protection hidden="1"/>
    </xf>
    <xf numFmtId="0" fontId="55" fillId="31" borderId="38" xfId="0" applyFont="1" applyFill="1" applyBorder="1" applyAlignment="1" applyProtection="1">
      <alignment horizontal="left" vertical="center"/>
      <protection hidden="1"/>
    </xf>
    <xf numFmtId="165" fontId="12" fillId="6" borderId="6" xfId="0" applyNumberFormat="1" applyFont="1" applyFill="1" applyBorder="1" applyAlignment="1" applyProtection="1">
      <alignment horizontal="center" vertical="center"/>
      <protection hidden="1"/>
    </xf>
    <xf numFmtId="0" fontId="17" fillId="5" borderId="0" xfId="0" applyFont="1" applyFill="1" applyAlignment="1" applyProtection="1">
      <alignment horizontal="left" vertical="center"/>
      <protection hidden="1"/>
    </xf>
    <xf numFmtId="0" fontId="17" fillId="5" borderId="0" xfId="0" applyFont="1" applyFill="1" applyAlignment="1" applyProtection="1">
      <alignment horizontal="center" vertical="center" wrapText="1"/>
      <protection hidden="1"/>
    </xf>
    <xf numFmtId="0" fontId="24" fillId="109" borderId="0" xfId="0" applyFont="1" applyFill="1" applyAlignment="1" applyProtection="1">
      <alignment vertical="center"/>
      <protection hidden="1"/>
    </xf>
    <xf numFmtId="0" fontId="17" fillId="5" borderId="0" xfId="0" applyFont="1" applyFill="1" applyAlignment="1" applyProtection="1">
      <alignment horizontal="center" vertical="center"/>
      <protection hidden="1"/>
    </xf>
    <xf numFmtId="164" fontId="28" fillId="5" borderId="0" xfId="0" applyNumberFormat="1" applyFont="1" applyFill="1" applyAlignment="1" applyProtection="1">
      <alignment vertical="center" wrapText="1"/>
      <protection hidden="1"/>
    </xf>
    <xf numFmtId="164" fontId="14" fillId="5" borderId="0" xfId="0" applyNumberFormat="1" applyFont="1" applyFill="1" applyAlignment="1" applyProtection="1">
      <alignment horizontal="left" vertical="center" wrapText="1"/>
      <protection hidden="1"/>
    </xf>
    <xf numFmtId="0" fontId="65" fillId="18" borderId="0" xfId="0" applyFont="1" applyFill="1" applyAlignment="1" applyProtection="1">
      <alignment horizontal="center" vertical="center"/>
      <protection hidden="1"/>
    </xf>
    <xf numFmtId="0" fontId="79" fillId="100" borderId="37" xfId="0" applyFont="1" applyFill="1" applyBorder="1" applyAlignment="1" applyProtection="1">
      <alignment vertical="center"/>
      <protection hidden="1"/>
    </xf>
    <xf numFmtId="0" fontId="79" fillId="100" borderId="39" xfId="0" applyFont="1" applyFill="1" applyBorder="1" applyAlignment="1" applyProtection="1">
      <alignment vertical="center"/>
      <protection hidden="1"/>
    </xf>
    <xf numFmtId="0" fontId="11" fillId="11" borderId="37" xfId="0" applyFont="1" applyFill="1" applyBorder="1" applyAlignment="1" applyProtection="1">
      <alignment vertical="center"/>
      <protection hidden="1"/>
    </xf>
    <xf numFmtId="0" fontId="0" fillId="11" borderId="0" xfId="0" applyFill="1" applyBorder="1" applyAlignment="1" applyProtection="1">
      <alignment vertical="center"/>
      <protection hidden="1"/>
    </xf>
    <xf numFmtId="0" fontId="11" fillId="11" borderId="48" xfId="0" applyFont="1" applyFill="1" applyBorder="1" applyAlignment="1" applyProtection="1">
      <alignment horizontal="center" vertical="center"/>
      <protection hidden="1"/>
    </xf>
    <xf numFmtId="0" fontId="11" fillId="11" borderId="48" xfId="0" applyFont="1" applyFill="1" applyBorder="1" applyAlignment="1" applyProtection="1">
      <alignment vertical="center"/>
      <protection hidden="1"/>
    </xf>
    <xf numFmtId="0" fontId="0" fillId="11" borderId="23" xfId="0" applyFill="1" applyBorder="1" applyAlignment="1" applyProtection="1">
      <alignment vertical="center"/>
      <protection hidden="1"/>
    </xf>
    <xf numFmtId="0" fontId="11" fillId="11" borderId="39" xfId="0" applyFont="1" applyFill="1" applyBorder="1" applyAlignment="1" applyProtection="1">
      <alignment vertical="center"/>
      <protection hidden="1"/>
    </xf>
    <xf numFmtId="0" fontId="0" fillId="11" borderId="36" xfId="0" applyFill="1" applyBorder="1" applyAlignment="1" applyProtection="1">
      <alignment vertical="center"/>
      <protection hidden="1"/>
    </xf>
    <xf numFmtId="0" fontId="11" fillId="11" borderId="37" xfId="0" applyFont="1" applyFill="1" applyBorder="1" applyAlignment="1" applyProtection="1">
      <alignment horizontal="left" vertical="center"/>
      <protection hidden="1"/>
    </xf>
    <xf numFmtId="167" fontId="9" fillId="100" borderId="35" xfId="0" applyNumberFormat="1" applyFont="1" applyFill="1" applyBorder="1" applyAlignment="1" applyProtection="1">
      <alignment horizontal="left" vertical="center"/>
      <protection hidden="1"/>
    </xf>
    <xf numFmtId="167" fontId="9" fillId="100" borderId="38" xfId="0" applyNumberFormat="1" applyFont="1" applyFill="1" applyBorder="1" applyAlignment="1" applyProtection="1">
      <alignment horizontal="left" vertical="center"/>
      <protection hidden="1"/>
    </xf>
    <xf numFmtId="167" fontId="79" fillId="100" borderId="37" xfId="0" applyNumberFormat="1" applyFont="1" applyFill="1" applyBorder="1" applyAlignment="1" applyProtection="1">
      <alignment vertical="center"/>
      <protection hidden="1"/>
    </xf>
    <xf numFmtId="167" fontId="79" fillId="100" borderId="39" xfId="0" applyNumberFormat="1" applyFont="1" applyFill="1" applyBorder="1" applyAlignment="1" applyProtection="1">
      <alignment vertical="center"/>
      <protection hidden="1"/>
    </xf>
    <xf numFmtId="165" fontId="65" fillId="28" borderId="2" xfId="0" applyNumberFormat="1" applyFont="1" applyFill="1" applyBorder="1" applyAlignment="1" applyProtection="1">
      <alignment horizontal="center" vertical="center"/>
      <protection hidden="1"/>
    </xf>
    <xf numFmtId="0" fontId="9" fillId="31" borderId="39" xfId="0" applyFont="1" applyFill="1" applyBorder="1" applyAlignment="1" applyProtection="1">
      <alignment vertical="center"/>
      <protection hidden="1"/>
    </xf>
    <xf numFmtId="0" fontId="67" fillId="10" borderId="0" xfId="0" applyFont="1" applyFill="1" applyBorder="1" applyAlignment="1" applyProtection="1">
      <alignment vertical="center" wrapText="1"/>
      <protection hidden="1"/>
    </xf>
    <xf numFmtId="0" fontId="9" fillId="10" borderId="8" xfId="0" applyFont="1" applyFill="1" applyBorder="1" applyAlignment="1" applyProtection="1">
      <alignment vertical="center"/>
      <protection hidden="1"/>
    </xf>
    <xf numFmtId="0" fontId="9" fillId="10" borderId="0" xfId="0" applyFont="1" applyFill="1" applyBorder="1" applyAlignment="1" applyProtection="1">
      <alignment vertical="center"/>
      <protection hidden="1"/>
    </xf>
    <xf numFmtId="0" fontId="13" fillId="10" borderId="52" xfId="0" applyFont="1" applyFill="1" applyBorder="1" applyAlignment="1" applyProtection="1">
      <alignment vertical="top"/>
      <protection hidden="1"/>
    </xf>
    <xf numFmtId="0" fontId="13" fillId="10" borderId="9" xfId="0" applyFont="1" applyFill="1" applyBorder="1" applyAlignment="1" applyProtection="1">
      <alignment vertical="top"/>
      <protection hidden="1"/>
    </xf>
    <xf numFmtId="0" fontId="9" fillId="34" borderId="0" xfId="0" applyFont="1" applyFill="1" applyBorder="1" applyAlignment="1" applyProtection="1">
      <alignment vertical="center"/>
      <protection hidden="1"/>
    </xf>
    <xf numFmtId="0" fontId="79" fillId="5" borderId="0" xfId="0" applyFont="1" applyFill="1" applyBorder="1" applyAlignment="1" applyProtection="1">
      <alignment vertical="center"/>
      <protection hidden="1"/>
    </xf>
    <xf numFmtId="0" fontId="87" fillId="10" borderId="0" xfId="0" applyFont="1" applyFill="1" applyBorder="1" applyAlignment="1" applyProtection="1">
      <alignment vertical="top"/>
      <protection hidden="1"/>
    </xf>
    <xf numFmtId="0" fontId="23" fillId="5" borderId="0" xfId="0" applyFont="1" applyFill="1" applyBorder="1" applyAlignment="1" applyProtection="1">
      <alignment horizontal="left" vertical="center"/>
      <protection hidden="1"/>
    </xf>
    <xf numFmtId="0" fontId="9" fillId="5" borderId="0" xfId="0" applyFont="1" applyFill="1" applyBorder="1" applyAlignment="1" applyProtection="1">
      <alignment vertical="top"/>
      <protection hidden="1"/>
    </xf>
    <xf numFmtId="0" fontId="19" fillId="5" borderId="0" xfId="0" applyFont="1" applyFill="1" applyBorder="1" applyAlignment="1" applyProtection="1">
      <alignment horizontal="center"/>
      <protection hidden="1"/>
    </xf>
    <xf numFmtId="0" fontId="9" fillId="113" borderId="38" xfId="0" applyFont="1" applyFill="1" applyBorder="1" applyAlignment="1" applyProtection="1">
      <alignment horizontal="left" vertical="center"/>
      <protection hidden="1"/>
    </xf>
    <xf numFmtId="0" fontId="9" fillId="113" borderId="23" xfId="0" applyFont="1" applyFill="1" applyBorder="1" applyAlignment="1" applyProtection="1">
      <alignment horizontal="left" vertical="center"/>
      <protection hidden="1"/>
    </xf>
    <xf numFmtId="0" fontId="9" fillId="113" borderId="39" xfId="0" applyFont="1" applyFill="1" applyBorder="1" applyAlignment="1" applyProtection="1">
      <alignment horizontal="left" vertical="center"/>
      <protection hidden="1"/>
    </xf>
    <xf numFmtId="0" fontId="9" fillId="113" borderId="0" xfId="0" applyFont="1" applyFill="1" applyBorder="1" applyAlignment="1" applyProtection="1">
      <alignment horizontal="center" vertical="center"/>
      <protection hidden="1"/>
    </xf>
    <xf numFmtId="0" fontId="9" fillId="113" borderId="0" xfId="0" applyFont="1" applyFill="1" applyBorder="1" applyAlignment="1" applyProtection="1">
      <alignment horizontal="left" vertical="center"/>
      <protection hidden="1"/>
    </xf>
    <xf numFmtId="0" fontId="9" fillId="113" borderId="48" xfId="0" applyFont="1" applyFill="1" applyBorder="1" applyAlignment="1" applyProtection="1">
      <alignment horizontal="center" vertical="center"/>
      <protection hidden="1"/>
    </xf>
    <xf numFmtId="0" fontId="23" fillId="113" borderId="47" xfId="0" applyFont="1" applyFill="1" applyBorder="1" applyAlignment="1" applyProtection="1">
      <alignment horizontal="center" vertical="center"/>
      <protection hidden="1"/>
    </xf>
    <xf numFmtId="0" fontId="19" fillId="113" borderId="35" xfId="0" applyFont="1" applyFill="1" applyBorder="1" applyAlignment="1" applyProtection="1">
      <alignment horizontal="center" vertical="center"/>
      <protection hidden="1"/>
    </xf>
    <xf numFmtId="1" fontId="9" fillId="113" borderId="36" xfId="0" applyNumberFormat="1" applyFont="1" applyFill="1" applyBorder="1" applyAlignment="1" applyProtection="1">
      <alignment horizontal="center" vertical="center"/>
      <protection hidden="1"/>
    </xf>
    <xf numFmtId="0" fontId="9" fillId="113" borderId="36" xfId="0" applyFont="1" applyFill="1" applyBorder="1" applyAlignment="1" applyProtection="1">
      <alignment horizontal="center" vertical="center"/>
      <protection hidden="1"/>
    </xf>
    <xf numFmtId="0" fontId="9" fillId="113" borderId="36" xfId="0" applyFont="1" applyFill="1" applyBorder="1" applyAlignment="1" applyProtection="1">
      <alignment horizontal="left" vertical="center"/>
      <protection hidden="1"/>
    </xf>
    <xf numFmtId="0" fontId="9" fillId="113" borderId="37" xfId="0" applyFont="1" applyFill="1" applyBorder="1" applyAlignment="1" applyProtection="1">
      <alignment horizontal="center" vertical="center"/>
      <protection hidden="1"/>
    </xf>
    <xf numFmtId="0" fontId="19" fillId="113" borderId="47" xfId="0" applyFont="1" applyFill="1" applyBorder="1" applyAlignment="1" applyProtection="1">
      <alignment horizontal="center" vertical="center"/>
      <protection hidden="1"/>
    </xf>
    <xf numFmtId="1" fontId="9" fillId="113" borderId="0" xfId="0" applyNumberFormat="1" applyFont="1" applyFill="1" applyBorder="1" applyAlignment="1" applyProtection="1">
      <alignment horizontal="center" vertical="center"/>
      <protection hidden="1"/>
    </xf>
    <xf numFmtId="0" fontId="19" fillId="113" borderId="38" xfId="0" applyFont="1" applyFill="1" applyBorder="1" applyAlignment="1" applyProtection="1">
      <alignment horizontal="center" vertical="center"/>
      <protection hidden="1"/>
    </xf>
    <xf numFmtId="1" fontId="9" fillId="113" borderId="23" xfId="0" applyNumberFormat="1" applyFont="1" applyFill="1" applyBorder="1" applyAlignment="1" applyProtection="1">
      <alignment horizontal="center" vertical="center"/>
      <protection hidden="1"/>
    </xf>
    <xf numFmtId="0" fontId="9" fillId="113" borderId="23" xfId="0" applyFont="1" applyFill="1" applyBorder="1" applyAlignment="1" applyProtection="1">
      <alignment horizontal="center" vertical="center"/>
      <protection hidden="1"/>
    </xf>
    <xf numFmtId="0" fontId="9" fillId="113" borderId="39" xfId="0" applyFont="1" applyFill="1" applyBorder="1" applyAlignment="1" applyProtection="1">
      <alignment horizontal="center" vertical="center"/>
      <protection hidden="1"/>
    </xf>
    <xf numFmtId="0" fontId="9" fillId="113" borderId="38" xfId="0" applyFont="1" applyFill="1" applyBorder="1" applyAlignment="1" applyProtection="1">
      <alignment horizontal="right" vertical="center"/>
      <protection hidden="1"/>
    </xf>
    <xf numFmtId="0" fontId="9" fillId="113" borderId="23" xfId="0" applyFont="1" applyFill="1" applyBorder="1" applyAlignment="1" applyProtection="1">
      <alignment horizontal="right" vertical="center"/>
      <protection hidden="1"/>
    </xf>
    <xf numFmtId="0" fontId="9" fillId="113" borderId="39" xfId="0" applyFont="1" applyFill="1" applyBorder="1" applyAlignment="1" applyProtection="1">
      <alignment horizontal="right" vertical="center"/>
      <protection hidden="1"/>
    </xf>
    <xf numFmtId="0" fontId="23" fillId="113" borderId="38" xfId="0" applyFont="1" applyFill="1" applyBorder="1" applyAlignment="1" applyProtection="1">
      <alignment horizontal="center" vertical="center"/>
      <protection hidden="1"/>
    </xf>
    <xf numFmtId="0" fontId="23" fillId="113" borderId="48" xfId="0" applyFont="1" applyFill="1" applyBorder="1" applyAlignment="1" applyProtection="1">
      <alignment horizontal="center" vertical="center"/>
      <protection hidden="1"/>
    </xf>
    <xf numFmtId="0" fontId="23" fillId="113" borderId="0" xfId="0" applyFont="1" applyFill="1" applyBorder="1" applyAlignment="1" applyProtection="1">
      <alignment horizontal="center" vertical="center"/>
      <protection hidden="1"/>
    </xf>
    <xf numFmtId="0" fontId="23" fillId="113" borderId="0" xfId="0" applyFont="1" applyFill="1" applyBorder="1" applyAlignment="1" applyProtection="1">
      <alignment horizontal="left" vertical="center"/>
      <protection hidden="1"/>
    </xf>
    <xf numFmtId="0" fontId="19" fillId="17" borderId="37" xfId="0" applyFont="1" applyFill="1" applyBorder="1" applyAlignment="1" applyProtection="1">
      <alignment horizontal="center" vertical="center"/>
      <protection hidden="1"/>
    </xf>
    <xf numFmtId="0" fontId="19" fillId="17" borderId="39" xfId="0" applyFont="1" applyFill="1" applyBorder="1" applyAlignment="1" applyProtection="1">
      <alignment horizontal="center" vertical="center"/>
      <protection hidden="1"/>
    </xf>
    <xf numFmtId="0" fontId="79" fillId="18" borderId="37" xfId="0" applyFont="1" applyFill="1" applyBorder="1" applyAlignment="1" applyProtection="1">
      <alignment vertical="center"/>
      <protection hidden="1"/>
    </xf>
    <xf numFmtId="0" fontId="79" fillId="18" borderId="39" xfId="0" applyFont="1" applyFill="1" applyBorder="1" applyAlignment="1" applyProtection="1">
      <alignment vertical="center"/>
      <protection hidden="1"/>
    </xf>
    <xf numFmtId="0" fontId="19" fillId="17" borderId="48"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9" fillId="30" borderId="0" xfId="0" applyFont="1" applyFill="1" applyBorder="1" applyProtection="1">
      <protection hidden="1"/>
    </xf>
    <xf numFmtId="0" fontId="9" fillId="30" borderId="0" xfId="0" applyFont="1" applyFill="1" applyBorder="1" applyAlignment="1" applyProtection="1">
      <alignment vertical="center"/>
      <protection hidden="1"/>
    </xf>
    <xf numFmtId="165" fontId="9" fillId="103" borderId="0" xfId="0" applyNumberFormat="1" applyFont="1" applyFill="1" applyAlignment="1" applyProtection="1">
      <alignment vertical="center"/>
      <protection hidden="1"/>
    </xf>
    <xf numFmtId="0" fontId="9" fillId="30" borderId="36" xfId="0" applyFont="1" applyFill="1" applyBorder="1" applyAlignment="1" applyProtection="1">
      <alignment vertical="center"/>
      <protection hidden="1"/>
    </xf>
    <xf numFmtId="0" fontId="9" fillId="30" borderId="23" xfId="0" applyFont="1" applyFill="1" applyBorder="1" applyAlignment="1" applyProtection="1">
      <alignment vertical="center"/>
      <protection hidden="1"/>
    </xf>
    <xf numFmtId="0" fontId="9" fillId="30" borderId="36" xfId="0" applyFont="1" applyFill="1" applyBorder="1" applyProtection="1">
      <protection hidden="1"/>
    </xf>
    <xf numFmtId="0" fontId="9" fillId="30" borderId="36" xfId="0" applyFont="1" applyFill="1" applyBorder="1" applyAlignment="1" applyProtection="1">
      <alignment horizontal="center" vertical="center"/>
      <protection hidden="1"/>
    </xf>
    <xf numFmtId="0" fontId="9" fillId="30" borderId="37" xfId="0" applyFont="1" applyFill="1" applyBorder="1" applyProtection="1">
      <protection hidden="1"/>
    </xf>
    <xf numFmtId="0" fontId="9" fillId="30" borderId="48" xfId="0" applyFont="1" applyFill="1" applyBorder="1" applyProtection="1">
      <protection hidden="1"/>
    </xf>
    <xf numFmtId="0" fontId="9" fillId="30" borderId="23" xfId="0" applyFont="1" applyFill="1" applyBorder="1" applyProtection="1">
      <protection hidden="1"/>
    </xf>
    <xf numFmtId="0" fontId="9" fillId="30" borderId="23" xfId="0" applyFont="1" applyFill="1" applyBorder="1" applyAlignment="1" applyProtection="1">
      <alignment horizontal="center" vertical="center"/>
      <protection hidden="1"/>
    </xf>
    <xf numFmtId="0" fontId="9" fillId="30" borderId="39" xfId="0" applyFont="1" applyFill="1" applyBorder="1" applyProtection="1">
      <protection hidden="1"/>
    </xf>
    <xf numFmtId="0" fontId="24" fillId="109" borderId="36" xfId="0" applyFont="1" applyFill="1" applyBorder="1" applyAlignment="1" applyProtection="1">
      <alignment vertical="center"/>
      <protection hidden="1"/>
    </xf>
    <xf numFmtId="0" fontId="24" fillId="109" borderId="23" xfId="0" applyFont="1" applyFill="1" applyBorder="1" applyAlignment="1" applyProtection="1">
      <alignment vertical="center"/>
      <protection hidden="1"/>
    </xf>
    <xf numFmtId="0" fontId="87" fillId="10" borderId="48" xfId="0" applyFont="1" applyFill="1" applyBorder="1" applyAlignment="1" applyProtection="1">
      <alignment vertical="top"/>
      <protection hidden="1"/>
    </xf>
    <xf numFmtId="0" fontId="9" fillId="116" borderId="1" xfId="5" applyFont="1" applyFill="1" applyBorder="1" applyAlignment="1" applyProtection="1">
      <alignment horizontal="center" vertical="center"/>
      <protection hidden="1"/>
    </xf>
    <xf numFmtId="0" fontId="9" fillId="116" borderId="3" xfId="5" applyFont="1" applyFill="1" applyBorder="1" applyAlignment="1" applyProtection="1">
      <alignment horizontal="center" vertical="center"/>
      <protection hidden="1"/>
    </xf>
    <xf numFmtId="0" fontId="9" fillId="116" borderId="6" xfId="5" applyFont="1" applyFill="1" applyBorder="1" applyAlignment="1" applyProtection="1">
      <alignment horizontal="center" vertical="center"/>
      <protection hidden="1"/>
    </xf>
    <xf numFmtId="0" fontId="9" fillId="116" borderId="2" xfId="5" applyFont="1" applyFill="1" applyBorder="1" applyAlignment="1" applyProtection="1">
      <alignment horizontal="center" vertical="center"/>
      <protection hidden="1"/>
    </xf>
    <xf numFmtId="0" fontId="9" fillId="117" borderId="1" xfId="0" applyFont="1" applyFill="1" applyBorder="1" applyAlignment="1" applyProtection="1">
      <alignment horizontal="left" vertical="center"/>
      <protection hidden="1"/>
    </xf>
    <xf numFmtId="0" fontId="9" fillId="117" borderId="3" xfId="0" applyFont="1" applyFill="1" applyBorder="1" applyAlignment="1" applyProtection="1">
      <alignment horizontal="left" vertical="center"/>
      <protection hidden="1"/>
    </xf>
    <xf numFmtId="0" fontId="9" fillId="117" borderId="6" xfId="0" applyFont="1" applyFill="1" applyBorder="1" applyAlignment="1" applyProtection="1">
      <alignment horizontal="left" vertical="center"/>
      <protection hidden="1"/>
    </xf>
    <xf numFmtId="0" fontId="9" fillId="117" borderId="2" xfId="0" applyFont="1" applyFill="1" applyBorder="1" applyAlignment="1" applyProtection="1">
      <alignment horizontal="left" vertical="center"/>
      <protection hidden="1"/>
    </xf>
    <xf numFmtId="0" fontId="9" fillId="118" borderId="3" xfId="0" applyFont="1" applyFill="1" applyBorder="1" applyAlignment="1" applyProtection="1">
      <alignment horizontal="left" vertical="center"/>
      <protection hidden="1"/>
    </xf>
    <xf numFmtId="0" fontId="9" fillId="118" borderId="6" xfId="0" applyFont="1" applyFill="1" applyBorder="1" applyAlignment="1" applyProtection="1">
      <alignment horizontal="left" vertical="center"/>
      <protection hidden="1"/>
    </xf>
    <xf numFmtId="0" fontId="9" fillId="118" borderId="2" xfId="0" applyFont="1" applyFill="1" applyBorder="1" applyAlignment="1" applyProtection="1">
      <alignment horizontal="left" vertical="center"/>
      <protection hidden="1"/>
    </xf>
    <xf numFmtId="0" fontId="9" fillId="118" borderId="1" xfId="0" applyFont="1" applyFill="1" applyBorder="1" applyAlignment="1" applyProtection="1">
      <alignment horizontal="left" vertical="center"/>
      <protection hidden="1"/>
    </xf>
    <xf numFmtId="165" fontId="65" fillId="116" borderId="1" xfId="0" applyNumberFormat="1" applyFont="1" applyFill="1" applyBorder="1" applyAlignment="1" applyProtection="1">
      <alignment vertical="center"/>
      <protection hidden="1"/>
    </xf>
    <xf numFmtId="165" fontId="65" fillId="116" borderId="3" xfId="0" applyNumberFormat="1" applyFont="1" applyFill="1" applyBorder="1" applyAlignment="1" applyProtection="1">
      <alignment vertical="center"/>
      <protection hidden="1"/>
    </xf>
    <xf numFmtId="165" fontId="65" fillId="116" borderId="6" xfId="0" applyNumberFormat="1" applyFont="1" applyFill="1" applyBorder="1" applyAlignment="1" applyProtection="1">
      <alignment vertical="center"/>
      <protection hidden="1"/>
    </xf>
    <xf numFmtId="165" fontId="65" fillId="116" borderId="2" xfId="0" applyNumberFormat="1" applyFont="1" applyFill="1" applyBorder="1" applyAlignment="1" applyProtection="1">
      <alignment vertical="center"/>
      <protection hidden="1"/>
    </xf>
    <xf numFmtId="0" fontId="9" fillId="102" borderId="6" xfId="0" applyFont="1" applyFill="1" applyBorder="1" applyAlignment="1" applyProtection="1">
      <alignment horizontal="center" vertical="center"/>
      <protection hidden="1"/>
    </xf>
    <xf numFmtId="0" fontId="10" fillId="102" borderId="2" xfId="0" applyFont="1" applyFill="1" applyBorder="1" applyAlignment="1" applyProtection="1">
      <alignment horizontal="center" vertical="center"/>
      <protection hidden="1"/>
    </xf>
    <xf numFmtId="0" fontId="69" fillId="6" borderId="0" xfId="0" applyFont="1" applyFill="1" applyBorder="1" applyAlignment="1" applyProtection="1">
      <alignment vertical="center"/>
      <protection hidden="1"/>
    </xf>
    <xf numFmtId="165" fontId="9" fillId="6" borderId="36" xfId="0" applyNumberFormat="1" applyFont="1" applyFill="1" applyBorder="1" applyAlignment="1" applyProtection="1">
      <alignment horizontal="center" vertical="center"/>
      <protection hidden="1"/>
    </xf>
    <xf numFmtId="0" fontId="19" fillId="6" borderId="36" xfId="0" applyFont="1" applyFill="1" applyBorder="1" applyAlignment="1" applyProtection="1">
      <alignment horizontal="center" vertical="center"/>
      <protection hidden="1"/>
    </xf>
    <xf numFmtId="0" fontId="19" fillId="6" borderId="0" xfId="0" applyFont="1" applyFill="1" applyBorder="1" applyAlignment="1" applyProtection="1">
      <alignment horizontal="center" vertical="center"/>
      <protection hidden="1"/>
    </xf>
    <xf numFmtId="0" fontId="11" fillId="6" borderId="0" xfId="0" applyFont="1" applyFill="1" applyBorder="1" applyAlignment="1" applyProtection="1">
      <alignment vertical="center"/>
      <protection hidden="1"/>
    </xf>
    <xf numFmtId="165" fontId="9" fillId="6" borderId="23" xfId="0" applyNumberFormat="1" applyFont="1" applyFill="1" applyBorder="1" applyAlignment="1" applyProtection="1">
      <alignment horizontal="center" vertical="center"/>
      <protection hidden="1"/>
    </xf>
    <xf numFmtId="0" fontId="19" fillId="6" borderId="23" xfId="0" applyFont="1" applyFill="1" applyBorder="1" applyAlignment="1" applyProtection="1">
      <alignment horizontal="center" vertical="center"/>
      <protection hidden="1"/>
    </xf>
    <xf numFmtId="0" fontId="11" fillId="6" borderId="39" xfId="0" applyFont="1" applyFill="1" applyBorder="1" applyAlignment="1" applyProtection="1">
      <alignment vertical="center"/>
      <protection hidden="1"/>
    </xf>
    <xf numFmtId="0" fontId="9" fillId="6" borderId="3" xfId="0" applyFont="1" applyFill="1" applyBorder="1" applyAlignment="1" applyProtection="1">
      <alignment horizontal="right" vertical="center"/>
      <protection hidden="1"/>
    </xf>
    <xf numFmtId="0" fontId="9" fillId="10" borderId="1" xfId="0" applyFont="1" applyFill="1" applyBorder="1" applyAlignment="1" applyProtection="1">
      <alignment horizontal="center" vertical="center"/>
      <protection hidden="1"/>
    </xf>
    <xf numFmtId="0" fontId="9" fillId="10" borderId="3" xfId="0" applyFont="1" applyFill="1" applyBorder="1" applyAlignment="1" applyProtection="1">
      <alignment horizontal="left" vertical="center"/>
      <protection hidden="1"/>
    </xf>
    <xf numFmtId="0" fontId="26" fillId="10" borderId="6" xfId="0" applyFont="1" applyFill="1" applyBorder="1" applyAlignment="1" applyProtection="1">
      <alignment horizontal="left" vertical="center"/>
      <protection hidden="1"/>
    </xf>
    <xf numFmtId="0" fontId="9" fillId="10" borderId="6" xfId="0" applyFont="1" applyFill="1" applyBorder="1" applyAlignment="1" applyProtection="1">
      <alignment horizontal="left" vertical="center"/>
      <protection hidden="1"/>
    </xf>
    <xf numFmtId="0" fontId="9" fillId="10" borderId="6" xfId="0" applyFont="1" applyFill="1" applyBorder="1" applyAlignment="1" applyProtection="1">
      <alignment vertical="center"/>
      <protection hidden="1"/>
    </xf>
    <xf numFmtId="165" fontId="9" fillId="10" borderId="6" xfId="0" applyNumberFormat="1" applyFont="1" applyFill="1" applyBorder="1" applyAlignment="1" applyProtection="1">
      <alignment horizontal="center" vertical="center"/>
      <protection hidden="1"/>
    </xf>
    <xf numFmtId="0" fontId="9" fillId="10" borderId="6" xfId="0" applyFont="1" applyFill="1" applyBorder="1" applyAlignment="1" applyProtection="1">
      <alignment horizontal="center" vertical="center"/>
      <protection hidden="1"/>
    </xf>
    <xf numFmtId="0" fontId="9" fillId="10" borderId="6" xfId="0" applyFont="1" applyFill="1" applyBorder="1" applyProtection="1">
      <protection hidden="1"/>
    </xf>
    <xf numFmtId="0" fontId="9" fillId="10" borderId="2" xfId="0" applyFont="1" applyFill="1" applyBorder="1" applyProtection="1">
      <protection hidden="1"/>
    </xf>
    <xf numFmtId="0" fontId="9" fillId="10" borderId="37" xfId="0" applyFont="1" applyFill="1" applyBorder="1" applyAlignment="1" applyProtection="1">
      <alignment vertical="center"/>
      <protection hidden="1"/>
    </xf>
    <xf numFmtId="0" fontId="10" fillId="10" borderId="48" xfId="0" applyFont="1" applyFill="1" applyBorder="1" applyAlignment="1" applyProtection="1">
      <alignment vertical="center"/>
      <protection hidden="1"/>
    </xf>
    <xf numFmtId="0" fontId="9" fillId="10" borderId="23" xfId="0" applyFont="1" applyFill="1" applyBorder="1" applyAlignment="1" applyProtection="1">
      <alignment horizontal="left" vertical="center"/>
      <protection hidden="1"/>
    </xf>
    <xf numFmtId="0" fontId="9" fillId="10" borderId="39" xfId="0" applyFont="1" applyFill="1" applyBorder="1" applyAlignment="1" applyProtection="1">
      <alignment vertical="center"/>
      <protection hidden="1"/>
    </xf>
    <xf numFmtId="0" fontId="9" fillId="6" borderId="1" xfId="0" applyFont="1" applyFill="1" applyBorder="1" applyAlignment="1" applyProtection="1">
      <alignment horizontal="right" vertical="center"/>
      <protection hidden="1"/>
    </xf>
    <xf numFmtId="0" fontId="19" fillId="6" borderId="37" xfId="0" applyFont="1" applyFill="1" applyBorder="1" applyAlignment="1" applyProtection="1">
      <alignment horizontal="center" vertical="center"/>
      <protection hidden="1"/>
    </xf>
    <xf numFmtId="0" fontId="19" fillId="6" borderId="48" xfId="0" applyFont="1" applyFill="1" applyBorder="1" applyAlignment="1" applyProtection="1">
      <alignment horizontal="center" vertical="center"/>
      <protection hidden="1"/>
    </xf>
    <xf numFmtId="0" fontId="9" fillId="6" borderId="23" xfId="0" applyFont="1" applyFill="1" applyBorder="1" applyAlignment="1" applyProtection="1">
      <alignment vertical="center"/>
      <protection hidden="1"/>
    </xf>
    <xf numFmtId="0" fontId="9" fillId="6" borderId="23" xfId="0" applyFont="1" applyFill="1" applyBorder="1" applyAlignment="1" applyProtection="1">
      <alignment horizontal="left" vertical="center"/>
      <protection hidden="1"/>
    </xf>
    <xf numFmtId="0" fontId="19" fillId="6" borderId="39" xfId="0" applyFont="1" applyFill="1" applyBorder="1" applyAlignment="1" applyProtection="1">
      <alignment horizontal="center" vertical="center"/>
      <protection hidden="1"/>
    </xf>
    <xf numFmtId="0" fontId="9" fillId="6" borderId="8" xfId="0" applyFont="1" applyFill="1" applyBorder="1" applyAlignment="1" applyProtection="1">
      <alignment vertical="center"/>
      <protection hidden="1"/>
    </xf>
    <xf numFmtId="0" fontId="13" fillId="6" borderId="52" xfId="0" applyFont="1" applyFill="1" applyBorder="1" applyAlignment="1" applyProtection="1">
      <alignment vertical="center" wrapText="1"/>
      <protection hidden="1"/>
    </xf>
    <xf numFmtId="0" fontId="13" fillId="6" borderId="9" xfId="0" applyFont="1" applyFill="1" applyBorder="1" applyAlignment="1" applyProtection="1">
      <alignment vertical="center" wrapText="1"/>
      <protection hidden="1"/>
    </xf>
    <xf numFmtId="0" fontId="13" fillId="6" borderId="52" xfId="0" applyFont="1" applyFill="1" applyBorder="1" applyAlignment="1" applyProtection="1">
      <alignment horizontal="center" vertical="center"/>
      <protection hidden="1"/>
    </xf>
    <xf numFmtId="0" fontId="46" fillId="6" borderId="0" xfId="0" applyFont="1" applyFill="1" applyBorder="1" applyAlignment="1" applyProtection="1">
      <alignment horizontal="center"/>
      <protection hidden="1"/>
    </xf>
    <xf numFmtId="165" fontId="9" fillId="6" borderId="0" xfId="0" applyNumberFormat="1" applyFont="1" applyFill="1" applyBorder="1" applyAlignment="1" applyProtection="1">
      <alignment horizontal="right" vertical="center"/>
      <protection hidden="1"/>
    </xf>
    <xf numFmtId="0" fontId="19" fillId="25" borderId="48" xfId="0" applyFont="1" applyFill="1" applyBorder="1" applyAlignment="1" applyProtection="1">
      <alignment horizontal="center" vertical="center"/>
      <protection hidden="1"/>
    </xf>
    <xf numFmtId="0" fontId="9" fillId="109" borderId="0" xfId="0" applyFont="1" applyFill="1" applyBorder="1"/>
    <xf numFmtId="0" fontId="9" fillId="109" borderId="0" xfId="0" applyFont="1" applyFill="1" applyAlignment="1" applyProtection="1">
      <alignment vertical="center"/>
      <protection hidden="1"/>
    </xf>
    <xf numFmtId="165" fontId="9" fillId="109" borderId="0" xfId="0" applyNumberFormat="1" applyFont="1" applyFill="1" applyAlignment="1" applyProtection="1">
      <alignment vertical="center"/>
      <protection hidden="1"/>
    </xf>
    <xf numFmtId="0" fontId="9" fillId="119" borderId="0" xfId="0" applyFont="1" applyFill="1" applyBorder="1"/>
    <xf numFmtId="0" fontId="9" fillId="35" borderId="29" xfId="0" applyFont="1" applyFill="1" applyBorder="1"/>
    <xf numFmtId="0" fontId="9" fillId="12" borderId="0" xfId="0" applyFont="1" applyFill="1" applyBorder="1"/>
    <xf numFmtId="164" fontId="9" fillId="5" borderId="0" xfId="0" applyNumberFormat="1" applyFont="1" applyFill="1" applyBorder="1" applyAlignment="1">
      <alignment horizontal="right" vertical="center"/>
    </xf>
    <xf numFmtId="0" fontId="9" fillId="5" borderId="27" xfId="0" applyFont="1" applyFill="1" applyBorder="1" applyAlignment="1">
      <alignment horizontal="right"/>
    </xf>
    <xf numFmtId="0" fontId="9" fillId="36" borderId="0" xfId="0" applyFont="1" applyFill="1" applyBorder="1" applyAlignment="1">
      <alignment horizontal="right"/>
    </xf>
    <xf numFmtId="0" fontId="9" fillId="4" borderId="22" xfId="0" applyFont="1" applyFill="1" applyBorder="1" applyAlignment="1">
      <alignment horizontal="right"/>
    </xf>
    <xf numFmtId="0" fontId="9" fillId="4" borderId="22" xfId="0" applyFont="1" applyFill="1" applyBorder="1"/>
    <xf numFmtId="0" fontId="9" fillId="4" borderId="22" xfId="0" applyFont="1" applyFill="1" applyBorder="1" applyAlignment="1">
      <alignment horizontal="left"/>
    </xf>
    <xf numFmtId="0" fontId="9" fillId="4" borderId="15" xfId="0" applyFont="1" applyFill="1" applyBorder="1" applyAlignment="1" applyProtection="1">
      <alignment vertical="center"/>
      <protection hidden="1"/>
    </xf>
    <xf numFmtId="165" fontId="65" fillId="12" borderId="6" xfId="0" applyNumberFormat="1" applyFont="1" applyFill="1" applyBorder="1" applyAlignment="1" applyProtection="1">
      <alignment vertical="center"/>
      <protection hidden="1"/>
    </xf>
    <xf numFmtId="165" fontId="65" fillId="28" borderId="2" xfId="0" applyNumberFormat="1" applyFont="1" applyFill="1" applyBorder="1" applyAlignment="1" applyProtection="1">
      <alignment vertical="center"/>
      <protection hidden="1"/>
    </xf>
    <xf numFmtId="165" fontId="65" fillId="12" borderId="2" xfId="0" applyNumberFormat="1" applyFont="1" applyFill="1" applyBorder="1" applyAlignment="1" applyProtection="1">
      <alignment vertical="center"/>
      <protection hidden="1"/>
    </xf>
    <xf numFmtId="165" fontId="65" fillId="18" borderId="6" xfId="0" applyNumberFormat="1" applyFont="1" applyFill="1" applyBorder="1" applyAlignment="1" applyProtection="1">
      <alignment vertical="center"/>
      <protection hidden="1"/>
    </xf>
    <xf numFmtId="165" fontId="65" fillId="18" borderId="2" xfId="0" applyNumberFormat="1" applyFont="1" applyFill="1" applyBorder="1" applyAlignment="1" applyProtection="1">
      <alignment vertical="center"/>
      <protection hidden="1"/>
    </xf>
    <xf numFmtId="0" fontId="9" fillId="18" borderId="3" xfId="0" applyFont="1" applyFill="1" applyBorder="1" applyAlignment="1" applyProtection="1">
      <alignment vertical="center"/>
      <protection hidden="1"/>
    </xf>
    <xf numFmtId="0" fontId="9" fillId="4" borderId="15" xfId="0" applyFont="1" applyFill="1" applyBorder="1" applyAlignment="1">
      <alignment horizontal="left"/>
    </xf>
    <xf numFmtId="0" fontId="14" fillId="6" borderId="0" xfId="0" applyFont="1" applyFill="1" applyBorder="1" applyAlignment="1" applyProtection="1">
      <alignment vertical="center"/>
      <protection hidden="1"/>
    </xf>
    <xf numFmtId="1" fontId="9" fillId="5" borderId="0" xfId="0" applyNumberFormat="1" applyFont="1" applyFill="1" applyBorder="1"/>
    <xf numFmtId="0" fontId="9" fillId="120" borderId="3" xfId="0" applyFont="1" applyFill="1" applyBorder="1"/>
    <xf numFmtId="0" fontId="9" fillId="120" borderId="6" xfId="0" applyFont="1" applyFill="1" applyBorder="1" applyAlignment="1">
      <alignment horizontal="left"/>
    </xf>
    <xf numFmtId="0" fontId="9" fillId="120" borderId="6" xfId="0" applyFont="1" applyFill="1" applyBorder="1"/>
    <xf numFmtId="0" fontId="9" fillId="121" borderId="15" xfId="0" applyFont="1" applyFill="1" applyBorder="1"/>
    <xf numFmtId="0" fontId="9" fillId="5" borderId="59" xfId="0" applyFont="1" applyFill="1" applyBorder="1"/>
    <xf numFmtId="0" fontId="9" fillId="5" borderId="60" xfId="0" applyFont="1" applyFill="1" applyBorder="1"/>
    <xf numFmtId="0" fontId="12" fillId="36" borderId="17" xfId="0" applyFont="1" applyFill="1" applyBorder="1"/>
    <xf numFmtId="0" fontId="12" fillId="36" borderId="20" xfId="0" applyFont="1" applyFill="1" applyBorder="1"/>
    <xf numFmtId="165" fontId="31" fillId="30" borderId="2" xfId="0" applyNumberFormat="1" applyFont="1" applyFill="1" applyBorder="1" applyAlignment="1" applyProtection="1">
      <alignment vertical="center"/>
      <protection hidden="1"/>
    </xf>
    <xf numFmtId="0" fontId="9" fillId="101" borderId="0" xfId="0" applyFont="1" applyFill="1" applyBorder="1" applyAlignment="1" applyProtection="1">
      <alignment horizontal="left" vertical="center"/>
      <protection hidden="1"/>
    </xf>
    <xf numFmtId="0" fontId="9" fillId="101" borderId="0" xfId="0" applyFont="1" applyFill="1" applyAlignment="1" applyProtection="1">
      <alignment horizontal="left" vertical="center"/>
      <protection hidden="1"/>
    </xf>
    <xf numFmtId="0" fontId="9" fillId="38" borderId="15" xfId="0" applyFont="1" applyFill="1" applyBorder="1" applyAlignment="1">
      <alignment horizontal="center"/>
    </xf>
    <xf numFmtId="0" fontId="9" fillId="5" borderId="15" xfId="0" applyFont="1" applyFill="1" applyBorder="1" applyAlignment="1">
      <alignment horizontal="center"/>
    </xf>
    <xf numFmtId="1" fontId="12" fillId="5" borderId="28" xfId="0" applyNumberFormat="1" applyFont="1" applyFill="1" applyBorder="1" applyAlignment="1">
      <alignment horizontal="center"/>
    </xf>
    <xf numFmtId="0" fontId="9" fillId="4" borderId="15" xfId="0" applyFont="1" applyFill="1" applyBorder="1" applyAlignment="1">
      <alignment horizontal="center"/>
    </xf>
    <xf numFmtId="0" fontId="9" fillId="5" borderId="16" xfId="0" applyFont="1" applyFill="1" applyBorder="1" applyAlignment="1">
      <alignment horizontal="center"/>
    </xf>
    <xf numFmtId="0" fontId="0" fillId="5" borderId="0" xfId="0" applyFill="1" applyAlignment="1">
      <alignment horizontal="center"/>
    </xf>
    <xf numFmtId="165" fontId="9" fillId="5" borderId="0" xfId="0" applyNumberFormat="1" applyFont="1" applyFill="1" applyBorder="1" applyAlignment="1">
      <alignment horizontal="center"/>
    </xf>
    <xf numFmtId="0" fontId="9" fillId="5" borderId="23" xfId="0" applyFont="1" applyFill="1" applyBorder="1" applyAlignment="1">
      <alignment horizontal="center"/>
    </xf>
    <xf numFmtId="0" fontId="62" fillId="52" borderId="0" xfId="0" applyFont="1" applyFill="1" applyBorder="1" applyAlignment="1">
      <alignment horizontal="center" vertical="center"/>
    </xf>
    <xf numFmtId="0" fontId="9" fillId="52" borderId="0" xfId="0" applyFont="1" applyFill="1" applyBorder="1" applyAlignment="1">
      <alignment horizontal="center"/>
    </xf>
    <xf numFmtId="1" fontId="12" fillId="5" borderId="31" xfId="0" applyNumberFormat="1" applyFont="1" applyFill="1" applyBorder="1" applyAlignment="1">
      <alignment horizontal="center"/>
    </xf>
    <xf numFmtId="0" fontId="9" fillId="38" borderId="27" xfId="0" applyFont="1" applyFill="1" applyBorder="1" applyAlignment="1">
      <alignment horizontal="center"/>
    </xf>
    <xf numFmtId="0" fontId="9" fillId="5" borderId="27" xfId="0" applyFont="1" applyFill="1" applyBorder="1" applyAlignment="1">
      <alignment horizontal="center"/>
    </xf>
    <xf numFmtId="0" fontId="9" fillId="4" borderId="27" xfId="0" applyFont="1" applyFill="1" applyBorder="1" applyAlignment="1">
      <alignment horizontal="center"/>
    </xf>
    <xf numFmtId="0" fontId="9" fillId="5" borderId="30" xfId="0" applyFont="1" applyFill="1" applyBorder="1" applyAlignment="1">
      <alignment horizontal="center"/>
    </xf>
    <xf numFmtId="0" fontId="9" fillId="35" borderId="0" xfId="0" applyFont="1" applyFill="1" applyBorder="1" applyAlignment="1">
      <alignment horizontal="center"/>
    </xf>
    <xf numFmtId="0" fontId="9" fillId="119" borderId="0" xfId="0" applyFont="1" applyFill="1" applyBorder="1" applyAlignment="1">
      <alignment horizontal="center"/>
    </xf>
    <xf numFmtId="0" fontId="9" fillId="12" borderId="0" xfId="0" applyFont="1" applyFill="1" applyBorder="1" applyAlignment="1">
      <alignment horizontal="center"/>
    </xf>
    <xf numFmtId="0" fontId="9" fillId="36" borderId="0" xfId="0" applyFont="1" applyFill="1" applyBorder="1" applyAlignment="1">
      <alignment horizontal="center"/>
    </xf>
    <xf numFmtId="0" fontId="68" fillId="122" borderId="35" xfId="0" applyFont="1" applyFill="1" applyBorder="1" applyAlignment="1" applyProtection="1">
      <alignment wrapText="1"/>
      <protection hidden="1"/>
    </xf>
    <xf numFmtId="0" fontId="68" fillId="122" borderId="36" xfId="0" applyFont="1" applyFill="1" applyBorder="1" applyAlignment="1" applyProtection="1">
      <alignment wrapText="1"/>
      <protection hidden="1"/>
    </xf>
    <xf numFmtId="0" fontId="68" fillId="122" borderId="37" xfId="0" applyFont="1" applyFill="1" applyBorder="1" applyAlignment="1" applyProtection="1">
      <alignment wrapText="1"/>
      <protection hidden="1"/>
    </xf>
    <xf numFmtId="0" fontId="13" fillId="122" borderId="38" xfId="0" applyFont="1" applyFill="1" applyBorder="1" applyAlignment="1" applyProtection="1">
      <alignment vertical="top" wrapText="1"/>
      <protection hidden="1"/>
    </xf>
    <xf numFmtId="0" fontId="13" fillId="122" borderId="23" xfId="0" applyFont="1" applyFill="1" applyBorder="1" applyAlignment="1" applyProtection="1">
      <alignment vertical="top" wrapText="1"/>
      <protection hidden="1"/>
    </xf>
    <xf numFmtId="0" fontId="13" fillId="122" borderId="39" xfId="0" applyFont="1" applyFill="1" applyBorder="1" applyAlignment="1" applyProtection="1">
      <alignment vertical="top" wrapText="1"/>
      <protection hidden="1"/>
    </xf>
    <xf numFmtId="0" fontId="68" fillId="13" borderId="35" xfId="0" applyFont="1" applyFill="1" applyBorder="1" applyAlignment="1" applyProtection="1">
      <alignment wrapText="1"/>
      <protection hidden="1"/>
    </xf>
    <xf numFmtId="0" fontId="68" fillId="13" borderId="36" xfId="0" applyFont="1" applyFill="1" applyBorder="1" applyAlignment="1" applyProtection="1">
      <alignment wrapText="1"/>
      <protection hidden="1"/>
    </xf>
    <xf numFmtId="0" fontId="68" fillId="13" borderId="37" xfId="0" applyFont="1" applyFill="1" applyBorder="1" applyAlignment="1" applyProtection="1">
      <alignment wrapText="1"/>
      <protection hidden="1"/>
    </xf>
    <xf numFmtId="0" fontId="68" fillId="13" borderId="47" xfId="0" applyFont="1" applyFill="1" applyBorder="1" applyAlignment="1" applyProtection="1">
      <alignment wrapText="1"/>
      <protection hidden="1"/>
    </xf>
    <xf numFmtId="0" fontId="68" fillId="13" borderId="0" xfId="0" applyFont="1" applyFill="1" applyBorder="1" applyAlignment="1" applyProtection="1">
      <alignment wrapText="1"/>
      <protection hidden="1"/>
    </xf>
    <xf numFmtId="0" fontId="68" fillId="13" borderId="48" xfId="0" applyFont="1" applyFill="1" applyBorder="1" applyAlignment="1" applyProtection="1">
      <alignment wrapText="1"/>
      <protection hidden="1"/>
    </xf>
    <xf numFmtId="0" fontId="68" fillId="13" borderId="38" xfId="0" applyFont="1" applyFill="1" applyBorder="1" applyAlignment="1" applyProtection="1">
      <alignment wrapText="1"/>
      <protection hidden="1"/>
    </xf>
    <xf numFmtId="0" fontId="68" fillId="13" borderId="23" xfId="0" applyFont="1" applyFill="1" applyBorder="1" applyAlignment="1" applyProtection="1">
      <alignment wrapText="1"/>
      <protection hidden="1"/>
    </xf>
    <xf numFmtId="0" fontId="68" fillId="13" borderId="39" xfId="0" applyFont="1" applyFill="1" applyBorder="1" applyAlignment="1" applyProtection="1">
      <alignment wrapText="1"/>
      <protection hidden="1"/>
    </xf>
    <xf numFmtId="0" fontId="68" fillId="6" borderId="0" xfId="0" applyFont="1" applyFill="1" applyBorder="1" applyAlignment="1" applyProtection="1">
      <alignment wrapText="1"/>
      <protection hidden="1"/>
    </xf>
    <xf numFmtId="0" fontId="9" fillId="16" borderId="8" xfId="0" applyFont="1" applyFill="1" applyBorder="1" applyAlignment="1" applyProtection="1">
      <alignment horizontal="center" vertical="center"/>
      <protection hidden="1"/>
    </xf>
    <xf numFmtId="0" fontId="13" fillId="16" borderId="52" xfId="0" applyFont="1" applyFill="1" applyBorder="1" applyAlignment="1" applyProtection="1">
      <alignment vertical="center" wrapText="1"/>
      <protection hidden="1"/>
    </xf>
    <xf numFmtId="0" fontId="9" fillId="16" borderId="52" xfId="0" applyFont="1" applyFill="1" applyBorder="1" applyAlignment="1" applyProtection="1">
      <alignment horizontal="center" vertical="center"/>
      <protection hidden="1"/>
    </xf>
    <xf numFmtId="0" fontId="9" fillId="32" borderId="3" xfId="0" applyFont="1" applyFill="1" applyBorder="1" applyAlignment="1" applyProtection="1">
      <alignment horizontal="right" vertical="center"/>
      <protection hidden="1"/>
    </xf>
    <xf numFmtId="0" fontId="26" fillId="32" borderId="6" xfId="0" applyFont="1" applyFill="1" applyBorder="1" applyAlignment="1" applyProtection="1">
      <alignment horizontal="left" vertical="center"/>
      <protection hidden="1"/>
    </xf>
    <xf numFmtId="0" fontId="9" fillId="32" borderId="6" xfId="0" applyFont="1" applyFill="1" applyBorder="1" applyAlignment="1" applyProtection="1">
      <alignment horizontal="right" vertical="center"/>
      <protection hidden="1"/>
    </xf>
    <xf numFmtId="0" fontId="9" fillId="32" borderId="2" xfId="0" applyFont="1" applyFill="1" applyBorder="1" applyAlignment="1" applyProtection="1">
      <alignment horizontal="right" vertical="center"/>
      <protection hidden="1"/>
    </xf>
    <xf numFmtId="0" fontId="9" fillId="16" borderId="35" xfId="0" applyFont="1" applyFill="1" applyBorder="1" applyAlignment="1" applyProtection="1">
      <alignment vertical="center"/>
      <protection hidden="1"/>
    </xf>
    <xf numFmtId="0" fontId="9" fillId="16" borderId="47" xfId="0" applyFont="1" applyFill="1" applyBorder="1" applyAlignment="1" applyProtection="1">
      <alignment vertical="center"/>
      <protection hidden="1"/>
    </xf>
    <xf numFmtId="164" fontId="36" fillId="0" borderId="7" xfId="0" applyNumberFormat="1" applyFont="1" applyFill="1" applyBorder="1" applyAlignment="1" applyProtection="1">
      <alignment horizontal="center" vertical="center"/>
      <protection hidden="1"/>
    </xf>
    <xf numFmtId="0" fontId="39" fillId="10" borderId="0" xfId="0" applyFont="1" applyFill="1" applyBorder="1" applyAlignment="1" applyProtection="1">
      <alignment vertical="center"/>
      <protection hidden="1"/>
    </xf>
    <xf numFmtId="0" fontId="67" fillId="10" borderId="48" xfId="0" applyFont="1" applyFill="1" applyBorder="1" applyAlignment="1" applyProtection="1">
      <alignment vertical="center" wrapText="1"/>
      <protection hidden="1"/>
    </xf>
    <xf numFmtId="0" fontId="26" fillId="32" borderId="3" xfId="0" applyFont="1" applyFill="1" applyBorder="1" applyAlignment="1" applyProtection="1">
      <alignment horizontal="left" vertical="center"/>
      <protection hidden="1"/>
    </xf>
    <xf numFmtId="0" fontId="9" fillId="6" borderId="37" xfId="0" applyFont="1" applyFill="1" applyBorder="1" applyAlignment="1" applyProtection="1">
      <alignment vertical="center"/>
      <protection hidden="1"/>
    </xf>
    <xf numFmtId="0" fontId="9" fillId="6" borderId="48" xfId="0" applyFont="1" applyFill="1" applyBorder="1" applyAlignment="1" applyProtection="1">
      <alignment vertical="center"/>
      <protection hidden="1"/>
    </xf>
    <xf numFmtId="0" fontId="12" fillId="6" borderId="48" xfId="0" applyFont="1" applyFill="1" applyBorder="1" applyAlignment="1" applyProtection="1">
      <alignment vertical="center"/>
      <protection hidden="1"/>
    </xf>
    <xf numFmtId="0" fontId="9" fillId="6" borderId="39" xfId="0" applyFont="1" applyFill="1" applyBorder="1" applyAlignment="1" applyProtection="1">
      <alignment vertical="center"/>
      <protection hidden="1"/>
    </xf>
    <xf numFmtId="0" fontId="10" fillId="124" borderId="0" xfId="0" applyFont="1" applyFill="1" applyAlignment="1" applyProtection="1">
      <alignment vertical="center"/>
      <protection hidden="1"/>
    </xf>
    <xf numFmtId="0" fontId="9" fillId="124" borderId="1" xfId="0" applyFont="1" applyFill="1" applyBorder="1" applyAlignment="1" applyProtection="1">
      <alignment vertical="center"/>
      <protection hidden="1"/>
    </xf>
    <xf numFmtId="165" fontId="25" fillId="30" borderId="3" xfId="0" applyNumberFormat="1" applyFont="1" applyFill="1" applyBorder="1" applyAlignment="1" applyProtection="1">
      <alignment vertical="center"/>
      <protection hidden="1"/>
    </xf>
    <xf numFmtId="165" fontId="25" fillId="30" borderId="6" xfId="0" applyNumberFormat="1" applyFont="1" applyFill="1" applyBorder="1" applyAlignment="1" applyProtection="1">
      <alignment vertical="center"/>
      <protection hidden="1"/>
    </xf>
    <xf numFmtId="165" fontId="9" fillId="11" borderId="29" xfId="0" applyNumberFormat="1" applyFont="1" applyFill="1" applyBorder="1" applyAlignment="1">
      <alignment horizontal="right"/>
    </xf>
    <xf numFmtId="0" fontId="47" fillId="5" borderId="13" xfId="0" applyFont="1" applyFill="1" applyBorder="1" applyAlignment="1">
      <alignment horizontal="left" vertical="center"/>
    </xf>
    <xf numFmtId="165" fontId="9" fillId="5" borderId="13" xfId="0" applyNumberFormat="1" applyFont="1" applyFill="1" applyBorder="1" applyAlignment="1">
      <alignment horizontal="left"/>
    </xf>
    <xf numFmtId="0" fontId="47" fillId="5" borderId="62" xfId="0" applyFont="1" applyFill="1" applyBorder="1" applyAlignment="1">
      <alignment horizontal="left" vertical="center"/>
    </xf>
    <xf numFmtId="165" fontId="9" fillId="5" borderId="63" xfId="0" applyNumberFormat="1" applyFont="1" applyFill="1" applyBorder="1" applyAlignment="1">
      <alignment horizontal="left"/>
    </xf>
    <xf numFmtId="0" fontId="47" fillId="5" borderId="29" xfId="0" applyFont="1" applyFill="1" applyBorder="1" applyAlignment="1">
      <alignment horizontal="left" vertical="center"/>
    </xf>
    <xf numFmtId="165" fontId="9" fillId="5" borderId="29" xfId="0" applyNumberFormat="1" applyFont="1" applyFill="1" applyBorder="1" applyAlignment="1">
      <alignment horizontal="left"/>
    </xf>
    <xf numFmtId="165" fontId="9" fillId="5" borderId="62" xfId="0" applyNumberFormat="1" applyFont="1" applyFill="1" applyBorder="1" applyAlignment="1">
      <alignment horizontal="left"/>
    </xf>
    <xf numFmtId="165" fontId="9" fillId="5" borderId="64" xfId="0" applyNumberFormat="1" applyFont="1" applyFill="1" applyBorder="1" applyAlignment="1">
      <alignment horizontal="left"/>
    </xf>
    <xf numFmtId="0" fontId="47" fillId="5" borderId="15" xfId="0" applyFont="1" applyFill="1" applyBorder="1" applyAlignment="1">
      <alignment horizontal="left" vertical="center"/>
    </xf>
    <xf numFmtId="165" fontId="9" fillId="5" borderId="28" xfId="0" applyNumberFormat="1" applyFont="1" applyFill="1" applyBorder="1" applyAlignment="1">
      <alignment horizontal="right"/>
    </xf>
    <xf numFmtId="0" fontId="47" fillId="5" borderId="66" xfId="0" applyFont="1" applyFill="1" applyBorder="1" applyAlignment="1">
      <alignment horizontal="left" vertical="center"/>
    </xf>
    <xf numFmtId="165" fontId="9" fillId="5" borderId="66" xfId="0" applyNumberFormat="1" applyFont="1" applyFill="1" applyBorder="1" applyAlignment="1">
      <alignment horizontal="left"/>
    </xf>
    <xf numFmtId="0" fontId="9" fillId="6" borderId="0" xfId="0" quotePrefix="1" applyFont="1" applyFill="1" applyBorder="1" applyAlignment="1" applyProtection="1">
      <alignment horizontal="left" vertical="center"/>
      <protection hidden="1"/>
    </xf>
    <xf numFmtId="0" fontId="9" fillId="124" borderId="3" xfId="0" applyFont="1" applyFill="1" applyBorder="1" applyAlignment="1" applyProtection="1">
      <alignment vertical="center"/>
      <protection hidden="1"/>
    </xf>
    <xf numFmtId="0" fontId="9" fillId="124" borderId="6" xfId="0" applyFont="1" applyFill="1" applyBorder="1" applyAlignment="1" applyProtection="1">
      <alignment vertical="center"/>
      <protection hidden="1"/>
    </xf>
    <xf numFmtId="0" fontId="9" fillId="124" borderId="2" xfId="0" applyFont="1" applyFill="1" applyBorder="1" applyAlignment="1" applyProtection="1">
      <alignment vertical="center"/>
      <protection hidden="1"/>
    </xf>
    <xf numFmtId="0" fontId="0" fillId="5" borderId="0" xfId="0" applyFill="1" applyAlignment="1" applyProtection="1">
      <protection hidden="1"/>
    </xf>
    <xf numFmtId="0" fontId="9" fillId="33" borderId="0" xfId="0" applyFont="1" applyFill="1" applyBorder="1" applyAlignment="1" applyProtection="1">
      <alignment vertical="center"/>
      <protection hidden="1"/>
    </xf>
    <xf numFmtId="0" fontId="37" fillId="5" borderId="0" xfId="1" applyFont="1" applyFill="1" applyAlignment="1" applyProtection="1">
      <protection hidden="1"/>
    </xf>
    <xf numFmtId="0" fontId="37" fillId="7" borderId="0" xfId="1" applyFont="1" applyFill="1" applyAlignment="1" applyProtection="1">
      <protection hidden="1"/>
    </xf>
    <xf numFmtId="0" fontId="9" fillId="124" borderId="6" xfId="0" applyFont="1" applyFill="1" applyBorder="1" applyAlignment="1" applyProtection="1">
      <alignment horizontal="left" vertical="center"/>
      <protection hidden="1"/>
    </xf>
    <xf numFmtId="0" fontId="9" fillId="6" borderId="35" xfId="0" applyFont="1" applyFill="1" applyBorder="1" applyAlignment="1" applyProtection="1">
      <alignment horizontal="center" vertical="center"/>
      <protection hidden="1"/>
    </xf>
    <xf numFmtId="0" fontId="9" fillId="6" borderId="47" xfId="0" applyFont="1" applyFill="1" applyBorder="1" applyAlignment="1" applyProtection="1">
      <alignment horizontal="center" vertical="center" wrapText="1"/>
      <protection hidden="1"/>
    </xf>
    <xf numFmtId="0" fontId="9" fillId="6" borderId="38" xfId="0" applyFont="1" applyFill="1" applyBorder="1" applyAlignment="1" applyProtection="1">
      <alignment horizontal="center" vertical="center" wrapText="1"/>
      <protection hidden="1"/>
    </xf>
    <xf numFmtId="0" fontId="9" fillId="6" borderId="48" xfId="0" quotePrefix="1" applyFont="1" applyFill="1" applyBorder="1" applyAlignment="1" applyProtection="1">
      <alignment vertical="center"/>
      <protection hidden="1"/>
    </xf>
    <xf numFmtId="0" fontId="9" fillId="10" borderId="2" xfId="0" applyFont="1" applyFill="1" applyBorder="1" applyAlignment="1" applyProtection="1">
      <alignment vertical="center"/>
      <protection hidden="1"/>
    </xf>
    <xf numFmtId="0" fontId="9" fillId="6" borderId="47" xfId="0" applyFont="1" applyFill="1" applyBorder="1" applyAlignment="1" applyProtection="1">
      <alignment horizontal="center" vertical="center"/>
      <protection hidden="1"/>
    </xf>
    <xf numFmtId="0" fontId="9" fillId="6" borderId="38" xfId="0" applyFont="1" applyFill="1" applyBorder="1" applyAlignment="1" applyProtection="1">
      <alignment horizontal="center" vertical="center"/>
      <protection hidden="1"/>
    </xf>
    <xf numFmtId="0" fontId="9" fillId="6" borderId="38" xfId="0" applyFont="1" applyFill="1" applyBorder="1" applyAlignment="1" applyProtection="1">
      <alignment horizontal="left" vertical="center"/>
      <protection hidden="1"/>
    </xf>
    <xf numFmtId="0" fontId="13" fillId="126" borderId="1" xfId="0" applyFont="1" applyFill="1" applyBorder="1" applyAlignment="1" applyProtection="1">
      <alignment vertical="center" wrapText="1"/>
      <protection hidden="1"/>
    </xf>
    <xf numFmtId="164" fontId="9" fillId="5" borderId="15" xfId="0" applyNumberFormat="1" applyFont="1" applyFill="1" applyBorder="1" applyAlignment="1">
      <alignment horizontal="left"/>
    </xf>
    <xf numFmtId="0" fontId="9" fillId="5" borderId="13" xfId="0" applyFont="1" applyFill="1" applyBorder="1" applyAlignment="1">
      <alignment horizontal="right"/>
    </xf>
    <xf numFmtId="0" fontId="9" fillId="5" borderId="30" xfId="0" applyFont="1" applyFill="1" applyBorder="1" applyAlignment="1">
      <alignment horizontal="right"/>
    </xf>
    <xf numFmtId="1" fontId="9" fillId="5" borderId="15" xfId="0" applyNumberFormat="1" applyFont="1" applyFill="1" applyBorder="1"/>
    <xf numFmtId="0" fontId="13" fillId="92" borderId="47" xfId="0" applyFont="1" applyFill="1" applyBorder="1" applyAlignment="1" applyProtection="1">
      <alignment vertical="top" wrapText="1"/>
      <protection hidden="1"/>
    </xf>
    <xf numFmtId="0" fontId="13" fillId="92" borderId="0" xfId="0" applyFont="1" applyFill="1" applyBorder="1" applyAlignment="1" applyProtection="1">
      <alignment vertical="top" wrapText="1"/>
      <protection hidden="1"/>
    </xf>
    <xf numFmtId="0" fontId="13" fillId="92" borderId="48" xfId="0" applyFont="1" applyFill="1" applyBorder="1" applyAlignment="1" applyProtection="1">
      <alignment vertical="top" wrapText="1"/>
      <protection hidden="1"/>
    </xf>
    <xf numFmtId="0" fontId="13" fillId="127" borderId="0" xfId="0" applyFont="1" applyFill="1" applyBorder="1" applyAlignment="1" applyProtection="1">
      <alignment horizontal="center" vertical="center" wrapText="1"/>
      <protection hidden="1"/>
    </xf>
    <xf numFmtId="0" fontId="9" fillId="127" borderId="0" xfId="0" applyFont="1" applyFill="1" applyBorder="1" applyAlignment="1" applyProtection="1">
      <alignment horizontal="right" vertical="center"/>
      <protection hidden="1"/>
    </xf>
    <xf numFmtId="0" fontId="37" fillId="127" borderId="0" xfId="0" applyFont="1" applyFill="1" applyBorder="1" applyAlignment="1" applyProtection="1">
      <alignment horizontal="center" vertical="center"/>
      <protection hidden="1"/>
    </xf>
    <xf numFmtId="0" fontId="9" fillId="127" borderId="0" xfId="0" applyFont="1" applyFill="1" applyBorder="1" applyAlignment="1" applyProtection="1">
      <alignment horizontal="center" vertical="center"/>
      <protection hidden="1"/>
    </xf>
    <xf numFmtId="0" fontId="9" fillId="127" borderId="0" xfId="0" applyFont="1" applyFill="1" applyBorder="1" applyAlignment="1" applyProtection="1">
      <alignment horizontal="left" vertical="center"/>
      <protection hidden="1"/>
    </xf>
    <xf numFmtId="0" fontId="13" fillId="127" borderId="0" xfId="0" applyFont="1" applyFill="1" applyAlignment="1" applyProtection="1">
      <alignment vertical="center" wrapText="1"/>
      <protection hidden="1"/>
    </xf>
    <xf numFmtId="0" fontId="9" fillId="127" borderId="0" xfId="0" applyFont="1" applyFill="1" applyAlignment="1" applyProtection="1">
      <alignment horizontal="right" vertical="center"/>
      <protection hidden="1"/>
    </xf>
    <xf numFmtId="0" fontId="37" fillId="127" borderId="0" xfId="0" applyFont="1" applyFill="1" applyAlignment="1" applyProtection="1">
      <alignment vertical="center"/>
      <protection hidden="1"/>
    </xf>
    <xf numFmtId="0" fontId="9" fillId="127" borderId="0" xfId="0" applyFont="1" applyFill="1" applyAlignment="1" applyProtection="1">
      <alignment horizontal="center" vertical="center"/>
      <protection hidden="1"/>
    </xf>
    <xf numFmtId="0" fontId="9" fillId="127" borderId="0" xfId="0" applyFont="1" applyFill="1" applyBorder="1" applyAlignment="1" applyProtection="1">
      <alignment horizontal="center" vertical="center" wrapText="1"/>
      <protection hidden="1"/>
    </xf>
    <xf numFmtId="165" fontId="9" fillId="127" borderId="0" xfId="0" applyNumberFormat="1" applyFont="1" applyFill="1" applyBorder="1" applyAlignment="1" applyProtection="1">
      <alignment horizontal="center" vertical="center"/>
      <protection hidden="1"/>
    </xf>
    <xf numFmtId="0" fontId="9" fillId="127" borderId="0" xfId="0" applyFont="1" applyFill="1" applyProtection="1">
      <protection hidden="1"/>
    </xf>
    <xf numFmtId="165" fontId="25" fillId="30" borderId="2" xfId="0" applyNumberFormat="1" applyFont="1" applyFill="1" applyBorder="1" applyAlignment="1" applyProtection="1">
      <alignment vertical="center"/>
      <protection hidden="1"/>
    </xf>
    <xf numFmtId="0" fontId="13" fillId="99" borderId="3" xfId="0" applyFont="1" applyFill="1" applyBorder="1" applyAlignment="1" applyProtection="1">
      <alignment vertical="center" wrapText="1"/>
      <protection hidden="1"/>
    </xf>
    <xf numFmtId="0" fontId="13" fillId="99" borderId="6" xfId="0" applyFont="1" applyFill="1" applyBorder="1" applyAlignment="1" applyProtection="1">
      <alignment vertical="center" wrapText="1"/>
      <protection hidden="1"/>
    </xf>
    <xf numFmtId="0" fontId="13" fillId="99" borderId="2" xfId="0" applyFont="1" applyFill="1" applyBorder="1" applyAlignment="1" applyProtection="1">
      <alignment vertical="center" wrapText="1"/>
      <protection hidden="1"/>
    </xf>
    <xf numFmtId="0" fontId="13" fillId="92" borderId="35" xfId="0" applyFont="1" applyFill="1" applyBorder="1" applyAlignment="1" applyProtection="1">
      <alignment vertical="center" wrapText="1"/>
      <protection hidden="1"/>
    </xf>
    <xf numFmtId="0" fontId="13" fillId="92" borderId="47" xfId="0" applyFont="1" applyFill="1" applyBorder="1" applyAlignment="1" applyProtection="1">
      <alignment horizontal="center" vertical="center" wrapText="1"/>
      <protection hidden="1"/>
    </xf>
    <xf numFmtId="0" fontId="13" fillId="92" borderId="38" xfId="0" applyFont="1" applyFill="1" applyBorder="1" applyAlignment="1" applyProtection="1">
      <alignment horizontal="center" vertical="center" wrapText="1"/>
      <protection hidden="1"/>
    </xf>
    <xf numFmtId="0" fontId="13" fillId="16" borderId="35" xfId="0" applyFont="1" applyFill="1" applyBorder="1" applyAlignment="1" applyProtection="1">
      <alignment vertical="center" wrapText="1"/>
      <protection hidden="1"/>
    </xf>
    <xf numFmtId="0" fontId="13" fillId="16" borderId="47" xfId="0" applyFont="1" applyFill="1" applyBorder="1" applyAlignment="1" applyProtection="1">
      <alignment vertical="center" wrapText="1"/>
      <protection hidden="1"/>
    </xf>
    <xf numFmtId="0" fontId="13" fillId="16" borderId="38" xfId="0" applyFont="1" applyFill="1" applyBorder="1" applyAlignment="1" applyProtection="1">
      <alignment vertical="center" wrapText="1"/>
      <protection hidden="1"/>
    </xf>
    <xf numFmtId="0" fontId="13" fillId="31" borderId="38" xfId="0" applyFont="1" applyFill="1" applyBorder="1" applyAlignment="1" applyProtection="1">
      <alignment vertical="top" wrapText="1"/>
      <protection hidden="1"/>
    </xf>
    <xf numFmtId="0" fontId="9" fillId="25" borderId="35" xfId="0" applyFont="1" applyFill="1" applyBorder="1" applyAlignment="1" applyProtection="1">
      <alignment vertical="center"/>
      <protection hidden="1"/>
    </xf>
    <xf numFmtId="0" fontId="9" fillId="128" borderId="36" xfId="0" applyFont="1" applyFill="1" applyBorder="1" applyAlignment="1" applyProtection="1">
      <alignment horizontal="left" vertical="center"/>
      <protection hidden="1"/>
    </xf>
    <xf numFmtId="0" fontId="15" fillId="128" borderId="0" xfId="0" quotePrefix="1" applyFont="1" applyFill="1" applyBorder="1" applyAlignment="1" applyProtection="1">
      <alignment horizontal="left" vertical="center"/>
      <protection hidden="1"/>
    </xf>
    <xf numFmtId="0" fontId="9" fillId="128" borderId="35" xfId="0" applyFont="1" applyFill="1" applyBorder="1" applyAlignment="1" applyProtection="1">
      <alignment vertical="center"/>
      <protection hidden="1"/>
    </xf>
    <xf numFmtId="0" fontId="9" fillId="128" borderId="36" xfId="0" applyFont="1" applyFill="1" applyBorder="1" applyAlignment="1" applyProtection="1">
      <alignment vertical="center"/>
      <protection hidden="1"/>
    </xf>
    <xf numFmtId="0" fontId="9" fillId="128" borderId="37" xfId="0" applyFont="1" applyFill="1" applyBorder="1" applyAlignment="1" applyProtection="1">
      <alignment vertical="center"/>
      <protection hidden="1"/>
    </xf>
    <xf numFmtId="0" fontId="9" fillId="128" borderId="47" xfId="0" applyFont="1" applyFill="1" applyBorder="1" applyAlignment="1" applyProtection="1">
      <alignment vertical="center"/>
      <protection hidden="1"/>
    </xf>
    <xf numFmtId="0" fontId="9" fillId="128" borderId="0" xfId="0" applyFont="1" applyFill="1" applyBorder="1" applyAlignment="1" applyProtection="1">
      <alignment vertical="center"/>
      <protection hidden="1"/>
    </xf>
    <xf numFmtId="0" fontId="9" fillId="128" borderId="48" xfId="0" applyFont="1" applyFill="1" applyBorder="1" applyAlignment="1" applyProtection="1">
      <alignment vertical="center"/>
      <protection hidden="1"/>
    </xf>
    <xf numFmtId="0" fontId="9" fillId="128" borderId="38" xfId="0" applyFont="1" applyFill="1" applyBorder="1" applyAlignment="1" applyProtection="1">
      <alignment vertical="center"/>
      <protection hidden="1"/>
    </xf>
    <xf numFmtId="0" fontId="9" fillId="128" borderId="23" xfId="0" applyFont="1" applyFill="1" applyBorder="1" applyAlignment="1" applyProtection="1">
      <alignment vertical="center"/>
      <protection hidden="1"/>
    </xf>
    <xf numFmtId="0" fontId="9" fillId="128" borderId="23" xfId="0" applyFont="1" applyFill="1" applyBorder="1" applyAlignment="1" applyProtection="1">
      <alignment horizontal="left" vertical="center"/>
      <protection hidden="1"/>
    </xf>
    <xf numFmtId="0" fontId="9" fillId="128" borderId="39" xfId="0" applyFont="1" applyFill="1" applyBorder="1" applyAlignment="1" applyProtection="1">
      <alignment vertical="center"/>
      <protection hidden="1"/>
    </xf>
    <xf numFmtId="0" fontId="9" fillId="130" borderId="35" xfId="0" applyFont="1" applyFill="1" applyBorder="1" applyAlignment="1" applyProtection="1">
      <alignment horizontal="right" vertical="center"/>
      <protection hidden="1"/>
    </xf>
    <xf numFmtId="0" fontId="9" fillId="130" borderId="36" xfId="0" applyFont="1" applyFill="1" applyBorder="1" applyAlignment="1" applyProtection="1">
      <alignment vertical="center"/>
      <protection hidden="1"/>
    </xf>
    <xf numFmtId="0" fontId="9" fillId="130" borderId="36" xfId="0" applyFont="1" applyFill="1" applyBorder="1" applyAlignment="1" applyProtection="1">
      <alignment horizontal="center" vertical="center"/>
      <protection hidden="1"/>
    </xf>
    <xf numFmtId="0" fontId="9" fillId="130" borderId="37" xfId="0" applyFont="1" applyFill="1" applyBorder="1" applyAlignment="1" applyProtection="1">
      <alignment horizontal="center" vertical="center"/>
      <protection hidden="1"/>
    </xf>
    <xf numFmtId="0" fontId="9" fillId="130" borderId="47" xfId="0" applyFont="1" applyFill="1" applyBorder="1" applyAlignment="1" applyProtection="1">
      <alignment horizontal="right" vertical="center"/>
      <protection hidden="1"/>
    </xf>
    <xf numFmtId="0" fontId="9" fillId="130" borderId="0" xfId="0" applyFont="1" applyFill="1" applyBorder="1" applyAlignment="1" applyProtection="1">
      <alignment vertical="center"/>
      <protection hidden="1"/>
    </xf>
    <xf numFmtId="0" fontId="9" fillId="130" borderId="0" xfId="0" applyFont="1" applyFill="1" applyBorder="1" applyAlignment="1" applyProtection="1">
      <alignment horizontal="center" vertical="center" wrapText="1"/>
      <protection hidden="1"/>
    </xf>
    <xf numFmtId="0" fontId="9" fillId="130" borderId="48" xfId="0" applyFont="1" applyFill="1" applyBorder="1" applyAlignment="1" applyProtection="1">
      <alignment horizontal="center" vertical="center" wrapText="1"/>
      <protection hidden="1"/>
    </xf>
    <xf numFmtId="0" fontId="9" fillId="130" borderId="38" xfId="0" applyFont="1" applyFill="1" applyBorder="1" applyAlignment="1" applyProtection="1">
      <alignment horizontal="right" vertical="center"/>
      <protection hidden="1"/>
    </xf>
    <xf numFmtId="0" fontId="9" fillId="130" borderId="23" xfId="0" applyFont="1" applyFill="1" applyBorder="1" applyAlignment="1" applyProtection="1">
      <alignment vertical="center"/>
      <protection hidden="1"/>
    </xf>
    <xf numFmtId="0" fontId="48" fillId="130" borderId="23" xfId="0" applyFont="1" applyFill="1" applyBorder="1" applyAlignment="1" applyProtection="1">
      <alignment horizontal="center" vertical="center" wrapText="1"/>
      <protection hidden="1"/>
    </xf>
    <xf numFmtId="0" fontId="9" fillId="130" borderId="23" xfId="0" applyFont="1" applyFill="1" applyBorder="1" applyAlignment="1" applyProtection="1">
      <alignment horizontal="center" vertical="center" wrapText="1"/>
      <protection hidden="1"/>
    </xf>
    <xf numFmtId="0" fontId="9" fillId="130" borderId="39" xfId="0" applyFont="1" applyFill="1" applyBorder="1" applyAlignment="1" applyProtection="1">
      <alignment horizontal="center" vertical="center" wrapText="1"/>
      <protection hidden="1"/>
    </xf>
    <xf numFmtId="0" fontId="9" fillId="16" borderId="38" xfId="0" applyFont="1" applyFill="1" applyBorder="1" applyAlignment="1" applyProtection="1">
      <alignment vertical="center"/>
      <protection hidden="1"/>
    </xf>
    <xf numFmtId="0" fontId="9" fillId="131" borderId="1" xfId="0" applyFont="1" applyFill="1" applyBorder="1" applyAlignment="1" applyProtection="1">
      <alignment horizontal="left" vertical="center"/>
      <protection hidden="1"/>
    </xf>
    <xf numFmtId="0" fontId="9" fillId="131" borderId="3" xfId="0" applyFont="1" applyFill="1" applyBorder="1" applyAlignment="1" applyProtection="1">
      <alignment horizontal="left" vertical="center"/>
      <protection hidden="1"/>
    </xf>
    <xf numFmtId="0" fontId="9" fillId="131" borderId="6" xfId="0" applyFont="1" applyFill="1" applyBorder="1" applyAlignment="1" applyProtection="1">
      <alignment horizontal="left" vertical="center"/>
      <protection hidden="1"/>
    </xf>
    <xf numFmtId="0" fontId="9" fillId="130" borderId="3" xfId="0" applyFont="1" applyFill="1" applyBorder="1" applyAlignment="1" applyProtection="1">
      <alignment horizontal="left" vertical="center"/>
      <protection hidden="1"/>
    </xf>
    <xf numFmtId="0" fontId="9" fillId="130" borderId="2" xfId="0" applyFont="1" applyFill="1" applyBorder="1" applyAlignment="1" applyProtection="1">
      <alignment horizontal="left" vertical="center"/>
      <protection hidden="1"/>
    </xf>
    <xf numFmtId="0" fontId="9" fillId="132" borderId="0" xfId="0" applyFont="1" applyFill="1" applyBorder="1" applyAlignment="1" applyProtection="1">
      <alignment horizontal="left" vertical="center"/>
      <protection hidden="1"/>
    </xf>
    <xf numFmtId="0" fontId="12" fillId="6" borderId="6" xfId="0" applyFont="1" applyFill="1" applyBorder="1" applyAlignment="1" applyProtection="1">
      <alignment horizontal="left" vertical="center"/>
      <protection hidden="1"/>
    </xf>
    <xf numFmtId="0" fontId="9" fillId="133" borderId="3" xfId="0" applyFont="1" applyFill="1" applyBorder="1" applyAlignment="1" applyProtection="1">
      <alignment horizontal="left" vertical="center"/>
      <protection hidden="1"/>
    </xf>
    <xf numFmtId="0" fontId="9" fillId="133" borderId="6" xfId="0" applyFont="1" applyFill="1" applyBorder="1" applyAlignment="1" applyProtection="1">
      <alignment horizontal="left" vertical="center"/>
      <protection hidden="1"/>
    </xf>
    <xf numFmtId="0" fontId="9" fillId="133" borderId="2" xfId="0" applyFont="1" applyFill="1" applyBorder="1" applyAlignment="1" applyProtection="1">
      <alignment horizontal="left" vertical="center"/>
      <protection hidden="1"/>
    </xf>
    <xf numFmtId="0" fontId="47" fillId="5" borderId="0" xfId="0" applyFont="1" applyFill="1" applyBorder="1" applyAlignment="1">
      <alignment horizontal="left"/>
    </xf>
    <xf numFmtId="0" fontId="47" fillId="5" borderId="0" xfId="0" applyFont="1" applyFill="1" applyBorder="1" applyAlignment="1">
      <alignment horizontal="right"/>
    </xf>
    <xf numFmtId="0" fontId="100" fillId="5" borderId="0" xfId="0" applyFont="1" applyFill="1" applyBorder="1" applyAlignment="1"/>
    <xf numFmtId="0" fontId="62" fillId="4" borderId="0" xfId="0" applyFont="1" applyFill="1" applyBorder="1" applyAlignment="1">
      <alignment horizontal="left" vertical="center"/>
    </xf>
    <xf numFmtId="0" fontId="47" fillId="5" borderId="15" xfId="0" applyFont="1" applyFill="1" applyBorder="1" applyAlignment="1">
      <alignment horizontal="left"/>
    </xf>
    <xf numFmtId="0" fontId="0" fillId="5" borderId="15" xfId="0" applyFill="1" applyBorder="1" applyAlignment="1">
      <alignment horizontal="right"/>
    </xf>
    <xf numFmtId="0" fontId="54" fillId="5" borderId="0" xfId="0" applyFont="1" applyFill="1" applyAlignment="1" applyProtection="1">
      <alignment horizontal="left" vertical="center"/>
      <protection hidden="1"/>
    </xf>
    <xf numFmtId="0" fontId="47" fillId="5" borderId="28" xfId="0" applyFont="1" applyFill="1" applyBorder="1" applyAlignment="1">
      <alignment horizontal="left"/>
    </xf>
    <xf numFmtId="0" fontId="47" fillId="5" borderId="13" xfId="0" applyFont="1" applyFill="1" applyBorder="1" applyAlignment="1">
      <alignment horizontal="left"/>
    </xf>
    <xf numFmtId="0" fontId="47" fillId="5" borderId="31" xfId="0" applyFont="1" applyFill="1" applyBorder="1" applyAlignment="1">
      <alignment horizontal="left"/>
    </xf>
    <xf numFmtId="0" fontId="0" fillId="5" borderId="27" xfId="0" applyFill="1" applyBorder="1" applyAlignment="1">
      <alignment horizontal="right"/>
    </xf>
    <xf numFmtId="0" fontId="77" fillId="4" borderId="0" xfId="0" applyFont="1" applyFill="1" applyBorder="1" applyAlignment="1">
      <alignment horizontal="left" vertical="center"/>
    </xf>
    <xf numFmtId="0" fontId="0" fillId="5" borderId="29" xfId="0" applyFill="1" applyBorder="1"/>
    <xf numFmtId="0" fontId="99" fillId="5" borderId="15" xfId="0" applyFont="1" applyFill="1" applyBorder="1" applyAlignment="1">
      <alignment horizontal="right"/>
    </xf>
    <xf numFmtId="0" fontId="99" fillId="5" borderId="27" xfId="0" applyFont="1" applyFill="1" applyBorder="1" applyAlignment="1">
      <alignment horizontal="right"/>
    </xf>
    <xf numFmtId="0" fontId="9" fillId="32" borderId="0" xfId="0" applyFont="1" applyFill="1" applyBorder="1" applyAlignment="1" applyProtection="1">
      <alignment horizontal="center" vertical="center"/>
      <protection hidden="1"/>
    </xf>
    <xf numFmtId="0" fontId="9" fillId="30" borderId="6" xfId="0" applyFont="1" applyFill="1" applyBorder="1" applyAlignment="1" applyProtection="1">
      <alignment horizontal="left" vertical="center"/>
      <protection hidden="1"/>
    </xf>
    <xf numFmtId="0" fontId="9" fillId="131" borderId="2" xfId="0" applyFont="1" applyFill="1" applyBorder="1" applyAlignment="1" applyProtection="1">
      <alignment horizontal="left" vertical="center"/>
      <protection hidden="1"/>
    </xf>
    <xf numFmtId="0" fontId="96" fillId="10" borderId="52" xfId="0" applyFont="1" applyFill="1" applyBorder="1" applyAlignment="1" applyProtection="1">
      <alignment horizontal="left" vertical="center"/>
      <protection hidden="1"/>
    </xf>
    <xf numFmtId="0" fontId="9" fillId="121" borderId="0" xfId="0" applyFont="1" applyFill="1" applyBorder="1"/>
    <xf numFmtId="0" fontId="9" fillId="72" borderId="0" xfId="0" applyFont="1" applyFill="1" applyBorder="1"/>
    <xf numFmtId="0" fontId="62" fillId="72" borderId="0" xfId="0" applyFont="1" applyFill="1" applyBorder="1" applyAlignment="1">
      <alignment vertical="center"/>
    </xf>
    <xf numFmtId="164" fontId="35" fillId="70" borderId="0" xfId="0" applyNumberFormat="1" applyFont="1" applyFill="1" applyBorder="1" applyAlignment="1" applyProtection="1">
      <alignment horizontal="center" vertical="center"/>
      <protection hidden="1"/>
    </xf>
    <xf numFmtId="0" fontId="9" fillId="134" borderId="0" xfId="0" applyFont="1" applyFill="1" applyBorder="1" applyAlignment="1" applyProtection="1">
      <alignment horizontal="center" vertical="center"/>
      <protection hidden="1"/>
    </xf>
    <xf numFmtId="0" fontId="9" fillId="134" borderId="0" xfId="0" applyFont="1" applyFill="1" applyAlignment="1" applyProtection="1">
      <alignment horizontal="center" vertical="center"/>
      <protection hidden="1"/>
    </xf>
    <xf numFmtId="0" fontId="9" fillId="135" borderId="0" xfId="0" applyFont="1" applyFill="1" applyBorder="1" applyAlignment="1" applyProtection="1">
      <alignment vertical="center"/>
      <protection hidden="1"/>
    </xf>
    <xf numFmtId="0" fontId="9" fillId="135" borderId="0" xfId="0" applyFont="1" applyFill="1" applyBorder="1" applyAlignment="1" applyProtection="1">
      <alignment horizontal="center" vertical="center"/>
      <protection hidden="1"/>
    </xf>
    <xf numFmtId="0" fontId="37" fillId="135" borderId="0" xfId="0" applyFont="1" applyFill="1" applyBorder="1" applyAlignment="1" applyProtection="1">
      <alignment vertical="center"/>
      <protection hidden="1"/>
    </xf>
    <xf numFmtId="0" fontId="9" fillId="135" borderId="35" xfId="0" applyFont="1" applyFill="1" applyBorder="1" applyAlignment="1" applyProtection="1">
      <alignment horizontal="center" vertical="center"/>
      <protection hidden="1"/>
    </xf>
    <xf numFmtId="0" fontId="9" fillId="135" borderId="36" xfId="0" applyFont="1" applyFill="1" applyBorder="1" applyAlignment="1" applyProtection="1">
      <alignment horizontal="center" vertical="center"/>
      <protection hidden="1"/>
    </xf>
    <xf numFmtId="0" fontId="9" fillId="135" borderId="36" xfId="0" applyFont="1" applyFill="1" applyBorder="1" applyAlignment="1" applyProtection="1">
      <alignment vertical="center"/>
      <protection hidden="1"/>
    </xf>
    <xf numFmtId="0" fontId="9" fillId="135" borderId="37" xfId="0" applyFont="1" applyFill="1" applyBorder="1" applyAlignment="1" applyProtection="1">
      <alignment vertical="center"/>
      <protection hidden="1"/>
    </xf>
    <xf numFmtId="0" fontId="9" fillId="135" borderId="47" xfId="0" applyFont="1" applyFill="1" applyBorder="1" applyAlignment="1" applyProtection="1">
      <alignment horizontal="center" vertical="center"/>
      <protection hidden="1"/>
    </xf>
    <xf numFmtId="0" fontId="9" fillId="135" borderId="48" xfId="0" applyFont="1" applyFill="1" applyBorder="1" applyAlignment="1" applyProtection="1">
      <alignment vertical="center"/>
      <protection hidden="1"/>
    </xf>
    <xf numFmtId="0" fontId="9" fillId="135" borderId="38" xfId="0" applyFont="1" applyFill="1" applyBorder="1" applyAlignment="1" applyProtection="1">
      <alignment horizontal="center" vertical="center"/>
      <protection hidden="1"/>
    </xf>
    <xf numFmtId="0" fontId="9" fillId="135" borderId="23" xfId="0" applyFont="1" applyFill="1" applyBorder="1" applyAlignment="1" applyProtection="1">
      <alignment horizontal="center" vertical="center"/>
      <protection hidden="1"/>
    </xf>
    <xf numFmtId="0" fontId="9" fillId="135" borderId="23" xfId="0" applyFont="1" applyFill="1" applyBorder="1" applyAlignment="1" applyProtection="1">
      <alignment vertical="center"/>
      <protection hidden="1"/>
    </xf>
    <xf numFmtId="0" fontId="9" fillId="135" borderId="39" xfId="0" applyFont="1" applyFill="1" applyBorder="1" applyAlignment="1" applyProtection="1">
      <alignment vertical="center"/>
      <protection hidden="1"/>
    </xf>
    <xf numFmtId="0" fontId="9" fillId="135" borderId="37" xfId="0" applyFont="1" applyFill="1" applyBorder="1" applyAlignment="1" applyProtection="1">
      <alignment horizontal="center" vertical="center"/>
      <protection hidden="1"/>
    </xf>
    <xf numFmtId="0" fontId="9" fillId="135" borderId="48" xfId="0" applyFont="1" applyFill="1" applyBorder="1" applyAlignment="1" applyProtection="1">
      <alignment horizontal="center" vertical="center"/>
      <protection hidden="1"/>
    </xf>
    <xf numFmtId="0" fontId="9" fillId="135" borderId="39" xfId="0" applyFont="1" applyFill="1" applyBorder="1" applyAlignment="1" applyProtection="1">
      <alignment horizontal="center" vertical="center"/>
      <protection hidden="1"/>
    </xf>
    <xf numFmtId="0" fontId="9" fillId="135" borderId="35" xfId="0" applyFont="1" applyFill="1" applyBorder="1" applyAlignment="1" applyProtection="1">
      <alignment horizontal="right" vertical="center"/>
      <protection hidden="1"/>
    </xf>
    <xf numFmtId="0" fontId="37" fillId="135" borderId="36" xfId="0" applyFont="1" applyFill="1" applyBorder="1" applyAlignment="1" applyProtection="1">
      <alignment vertical="center"/>
      <protection hidden="1"/>
    </xf>
    <xf numFmtId="0" fontId="9" fillId="135" borderId="47" xfId="0" applyFont="1" applyFill="1" applyBorder="1" applyAlignment="1" applyProtection="1">
      <alignment horizontal="right" vertical="center"/>
      <protection hidden="1"/>
    </xf>
    <xf numFmtId="0" fontId="9" fillId="135" borderId="38" xfId="0" applyFont="1" applyFill="1" applyBorder="1" applyAlignment="1" applyProtection="1">
      <alignment horizontal="right" vertical="center"/>
      <protection hidden="1"/>
    </xf>
    <xf numFmtId="0" fontId="37" fillId="135" borderId="23" xfId="0" applyFont="1" applyFill="1" applyBorder="1" applyAlignment="1" applyProtection="1">
      <alignment vertical="center"/>
      <protection hidden="1"/>
    </xf>
    <xf numFmtId="0" fontId="9" fillId="134" borderId="3" xfId="0" applyFont="1" applyFill="1" applyBorder="1" applyAlignment="1" applyProtection="1">
      <alignment horizontal="center" vertical="center"/>
      <protection hidden="1"/>
    </xf>
    <xf numFmtId="0" fontId="9" fillId="134" borderId="6" xfId="0" applyFont="1" applyFill="1" applyBorder="1" applyAlignment="1" applyProtection="1">
      <alignment horizontal="center" vertical="center"/>
      <protection hidden="1"/>
    </xf>
    <xf numFmtId="0" fontId="9" fillId="134" borderId="2" xfId="0" applyFont="1" applyFill="1" applyBorder="1" applyAlignment="1" applyProtection="1">
      <alignment horizontal="center" vertical="center"/>
      <protection hidden="1"/>
    </xf>
    <xf numFmtId="0" fontId="37" fillId="134" borderId="6" xfId="0" applyFont="1" applyFill="1" applyBorder="1" applyAlignment="1" applyProtection="1">
      <alignment horizontal="center" vertical="center"/>
      <protection hidden="1"/>
    </xf>
    <xf numFmtId="0" fontId="9" fillId="134" borderId="0" xfId="0" applyFont="1" applyFill="1" applyBorder="1"/>
    <xf numFmtId="165" fontId="9" fillId="134" borderId="15" xfId="0" applyNumberFormat="1" applyFont="1" applyFill="1" applyBorder="1" applyAlignment="1">
      <alignment horizontal="right"/>
    </xf>
    <xf numFmtId="0" fontId="47" fillId="5" borderId="22" xfId="0" applyFont="1" applyFill="1" applyBorder="1" applyAlignment="1">
      <alignment horizontal="left" vertical="center"/>
    </xf>
    <xf numFmtId="165" fontId="9" fillId="5" borderId="22" xfId="0" applyNumberFormat="1" applyFont="1" applyFill="1" applyBorder="1" applyAlignment="1">
      <alignment horizontal="left"/>
    </xf>
    <xf numFmtId="165" fontId="9" fillId="5" borderId="50" xfId="0" applyNumberFormat="1" applyFont="1" applyFill="1" applyBorder="1" applyAlignment="1">
      <alignment horizontal="left"/>
    </xf>
    <xf numFmtId="165" fontId="9" fillId="125" borderId="28" xfId="0" applyNumberFormat="1" applyFont="1" applyFill="1" applyBorder="1" applyAlignment="1">
      <alignment horizontal="right"/>
    </xf>
    <xf numFmtId="0" fontId="9" fillId="120" borderId="15" xfId="0" applyFont="1" applyFill="1" applyBorder="1" applyAlignment="1">
      <alignment horizontal="left"/>
    </xf>
    <xf numFmtId="0" fontId="47" fillId="5" borderId="15" xfId="0" applyFont="1" applyFill="1" applyBorder="1" applyAlignment="1">
      <alignment horizontal="right"/>
    </xf>
    <xf numFmtId="164" fontId="47" fillId="5" borderId="22" xfId="0" applyNumberFormat="1" applyFont="1" applyFill="1" applyBorder="1" applyAlignment="1">
      <alignment horizontal="right"/>
    </xf>
    <xf numFmtId="0" fontId="47" fillId="5" borderId="22" xfId="0" applyFont="1" applyFill="1" applyBorder="1" applyAlignment="1">
      <alignment horizontal="right"/>
    </xf>
    <xf numFmtId="0" fontId="47" fillId="5" borderId="27" xfId="0" applyFont="1" applyFill="1" applyBorder="1" applyAlignment="1">
      <alignment horizontal="right"/>
    </xf>
    <xf numFmtId="165" fontId="9" fillId="5" borderId="65" xfId="0" applyNumberFormat="1" applyFont="1" applyFill="1" applyBorder="1" applyAlignment="1">
      <alignment horizontal="left"/>
    </xf>
    <xf numFmtId="165" fontId="9" fillId="5" borderId="29" xfId="0" applyNumberFormat="1" applyFont="1" applyFill="1" applyBorder="1" applyAlignment="1">
      <alignment horizontal="right"/>
    </xf>
    <xf numFmtId="165" fontId="9" fillId="5" borderId="13" xfId="0" applyNumberFormat="1" applyFont="1" applyFill="1" applyBorder="1" applyAlignment="1">
      <alignment horizontal="right"/>
    </xf>
    <xf numFmtId="165" fontId="9" fillId="134" borderId="22" xfId="0" applyNumberFormat="1" applyFont="1" applyFill="1" applyBorder="1" applyAlignment="1">
      <alignment horizontal="right"/>
    </xf>
    <xf numFmtId="165" fontId="9" fillId="11" borderId="57" xfId="0" applyNumberFormat="1" applyFont="1" applyFill="1" applyBorder="1" applyAlignment="1">
      <alignment horizontal="right"/>
    </xf>
    <xf numFmtId="165" fontId="9" fillId="11" borderId="68" xfId="0" applyNumberFormat="1" applyFont="1" applyFill="1" applyBorder="1" applyAlignment="1">
      <alignment horizontal="right"/>
    </xf>
    <xf numFmtId="165" fontId="9" fillId="5" borderId="46" xfId="0" applyNumberFormat="1" applyFont="1" applyFill="1" applyBorder="1" applyAlignment="1">
      <alignment horizontal="left"/>
    </xf>
    <xf numFmtId="165" fontId="9" fillId="5" borderId="68" xfId="0" applyNumberFormat="1" applyFont="1" applyFill="1" applyBorder="1" applyAlignment="1">
      <alignment horizontal="left"/>
    </xf>
    <xf numFmtId="165" fontId="9" fillId="5" borderId="69" xfId="0" applyNumberFormat="1" applyFont="1" applyFill="1" applyBorder="1" applyAlignment="1">
      <alignment horizontal="left"/>
    </xf>
    <xf numFmtId="165" fontId="9" fillId="5" borderId="51" xfId="0" applyNumberFormat="1" applyFont="1" applyFill="1" applyBorder="1" applyAlignment="1">
      <alignment horizontal="right"/>
    </xf>
    <xf numFmtId="165" fontId="9" fillId="5" borderId="49" xfId="0" applyNumberFormat="1" applyFont="1" applyFill="1" applyBorder="1" applyAlignment="1">
      <alignment horizontal="right"/>
    </xf>
    <xf numFmtId="165" fontId="9" fillId="134" borderId="50" xfId="0" applyNumberFormat="1" applyFont="1" applyFill="1" applyBorder="1" applyAlignment="1">
      <alignment horizontal="right"/>
    </xf>
    <xf numFmtId="165" fontId="9" fillId="44" borderId="16" xfId="0" applyNumberFormat="1" applyFont="1" applyFill="1" applyBorder="1" applyAlignment="1">
      <alignment horizontal="right"/>
    </xf>
    <xf numFmtId="165" fontId="9" fillId="44" borderId="15" xfId="0" applyNumberFormat="1" applyFont="1" applyFill="1" applyBorder="1" applyAlignment="1">
      <alignment horizontal="right"/>
    </xf>
    <xf numFmtId="3" fontId="9" fillId="5" borderId="15" xfId="0" applyNumberFormat="1" applyFont="1" applyFill="1" applyBorder="1"/>
    <xf numFmtId="0" fontId="37" fillId="31" borderId="48" xfId="0" applyFont="1" applyFill="1" applyBorder="1" applyAlignment="1" applyProtection="1">
      <alignment horizontal="right" vertical="center"/>
      <protection hidden="1"/>
    </xf>
    <xf numFmtId="164" fontId="37" fillId="31" borderId="48" xfId="0" applyNumberFormat="1" applyFont="1" applyFill="1" applyBorder="1" applyAlignment="1" applyProtection="1">
      <alignment horizontal="right"/>
      <protection hidden="1"/>
    </xf>
    <xf numFmtId="1" fontId="37" fillId="5" borderId="0" xfId="0" applyNumberFormat="1" applyFont="1" applyFill="1" applyAlignment="1" applyProtection="1">
      <alignment horizontal="center" vertical="center"/>
      <protection hidden="1"/>
    </xf>
    <xf numFmtId="2" fontId="37" fillId="5" borderId="0" xfId="4" applyFont="1" applyFill="1" applyBorder="1" applyAlignment="1" applyProtection="1">
      <alignment horizontal="left" vertical="center"/>
      <protection hidden="1"/>
    </xf>
    <xf numFmtId="0" fontId="37" fillId="31" borderId="47" xfId="0" applyFont="1" applyFill="1" applyBorder="1" applyAlignment="1" applyProtection="1">
      <alignment horizontal="left" vertical="center"/>
      <protection hidden="1"/>
    </xf>
    <xf numFmtId="0" fontId="37" fillId="31" borderId="8" xfId="0" applyFont="1" applyFill="1" applyBorder="1" applyAlignment="1" applyProtection="1">
      <alignment horizontal="right" vertical="center"/>
      <protection hidden="1"/>
    </xf>
    <xf numFmtId="164" fontId="14" fillId="31" borderId="36" xfId="0" applyNumberFormat="1" applyFont="1" applyFill="1" applyBorder="1" applyAlignment="1" applyProtection="1">
      <alignment wrapText="1"/>
      <protection hidden="1"/>
    </xf>
    <xf numFmtId="0" fontId="37" fillId="31" borderId="35" xfId="0" applyFont="1" applyFill="1" applyBorder="1" applyAlignment="1" applyProtection="1">
      <alignment horizontal="left" vertical="center"/>
      <protection hidden="1"/>
    </xf>
    <xf numFmtId="0" fontId="37" fillId="130" borderId="0" xfId="0" applyFont="1" applyFill="1" applyBorder="1" applyAlignment="1" applyProtection="1">
      <alignment vertical="center"/>
      <protection hidden="1"/>
    </xf>
    <xf numFmtId="0" fontId="37" fillId="130" borderId="23" xfId="0" applyFont="1" applyFill="1" applyBorder="1" applyAlignment="1" applyProtection="1">
      <alignment vertical="center"/>
      <protection hidden="1"/>
    </xf>
    <xf numFmtId="0" fontId="91" fillId="32" borderId="6" xfId="0" applyFont="1" applyFill="1" applyBorder="1" applyAlignment="1" applyProtection="1">
      <alignment horizontal="left" vertical="center"/>
      <protection hidden="1"/>
    </xf>
    <xf numFmtId="0" fontId="37" fillId="130" borderId="36" xfId="0" applyFont="1" applyFill="1" applyBorder="1" applyAlignment="1" applyProtection="1">
      <alignment vertical="center"/>
      <protection hidden="1"/>
    </xf>
    <xf numFmtId="0" fontId="13" fillId="16" borderId="52" xfId="0" applyFont="1" applyFill="1" applyBorder="1" applyAlignment="1" applyProtection="1">
      <alignment horizontal="center" vertical="center" wrapText="1"/>
      <protection hidden="1"/>
    </xf>
    <xf numFmtId="0" fontId="87" fillId="10" borderId="0" xfId="0" applyFont="1" applyFill="1" applyBorder="1" applyAlignment="1" applyProtection="1">
      <alignment horizontal="left" vertical="top" wrapText="1"/>
      <protection hidden="1"/>
    </xf>
    <xf numFmtId="0" fontId="87" fillId="10" borderId="0" xfId="0" applyFont="1" applyFill="1" applyBorder="1" applyAlignment="1" applyProtection="1">
      <alignment horizontal="left" vertical="top"/>
      <protection hidden="1"/>
    </xf>
    <xf numFmtId="0" fontId="9" fillId="10" borderId="52" xfId="0" applyFont="1" applyFill="1" applyBorder="1" applyAlignment="1" applyProtection="1">
      <alignment horizontal="left" vertical="center"/>
      <protection hidden="1"/>
    </xf>
    <xf numFmtId="0" fontId="9" fillId="10" borderId="47" xfId="0" applyFont="1" applyFill="1" applyBorder="1" applyAlignment="1" applyProtection="1">
      <alignment horizontal="left" vertical="center"/>
      <protection hidden="1"/>
    </xf>
    <xf numFmtId="0" fontId="9" fillId="10" borderId="48" xfId="0" applyFont="1" applyFill="1" applyBorder="1" applyAlignment="1" applyProtection="1">
      <alignment horizontal="left" vertical="center"/>
      <protection hidden="1"/>
    </xf>
    <xf numFmtId="0" fontId="19" fillId="5" borderId="0" xfId="0" applyFont="1" applyFill="1" applyAlignment="1" applyProtection="1">
      <alignment horizontal="left" vertical="center"/>
      <protection hidden="1"/>
    </xf>
    <xf numFmtId="0" fontId="11" fillId="5" borderId="0" xfId="0" applyFont="1" applyFill="1" applyAlignment="1" applyProtection="1">
      <alignment horizontal="left" vertical="center"/>
      <protection hidden="1"/>
    </xf>
    <xf numFmtId="0" fontId="19" fillId="5" borderId="0" xfId="0" applyFont="1" applyFill="1" applyBorder="1" applyAlignment="1" applyProtection="1">
      <alignment horizontal="left" vertical="center"/>
      <protection hidden="1"/>
    </xf>
    <xf numFmtId="0" fontId="37" fillId="109" borderId="0" xfId="0" applyFont="1" applyFill="1" applyAlignment="1" applyProtection="1">
      <alignment horizontal="left" vertical="center"/>
      <protection hidden="1"/>
    </xf>
    <xf numFmtId="165" fontId="9" fillId="6" borderId="6" xfId="0" applyNumberFormat="1" applyFont="1" applyFill="1" applyBorder="1" applyAlignment="1" applyProtection="1">
      <alignment vertical="center"/>
      <protection hidden="1"/>
    </xf>
    <xf numFmtId="0" fontId="39" fillId="10" borderId="48" xfId="0" applyFont="1" applyFill="1" applyBorder="1" applyAlignment="1" applyProtection="1">
      <alignment horizontal="left" vertical="center"/>
      <protection hidden="1"/>
    </xf>
    <xf numFmtId="0" fontId="9" fillId="15" borderId="3" xfId="0" applyFont="1" applyFill="1" applyBorder="1" applyProtection="1">
      <protection hidden="1"/>
    </xf>
    <xf numFmtId="165" fontId="65" fillId="15" borderId="6" xfId="0" applyNumberFormat="1" applyFont="1" applyFill="1" applyBorder="1" applyAlignment="1" applyProtection="1">
      <alignment vertical="center"/>
      <protection hidden="1"/>
    </xf>
    <xf numFmtId="165" fontId="65" fillId="15" borderId="2" xfId="0" applyNumberFormat="1" applyFont="1" applyFill="1" applyBorder="1" applyAlignment="1" applyProtection="1">
      <alignment vertical="center"/>
      <protection hidden="1"/>
    </xf>
    <xf numFmtId="0" fontId="9" fillId="15" borderId="3" xfId="0" applyFont="1" applyFill="1" applyBorder="1" applyAlignment="1" applyProtection="1">
      <alignment vertical="center"/>
      <protection hidden="1"/>
    </xf>
    <xf numFmtId="0" fontId="9" fillId="115" borderId="3" xfId="0" applyFont="1" applyFill="1" applyBorder="1" applyProtection="1">
      <protection hidden="1"/>
    </xf>
    <xf numFmtId="0" fontId="9" fillId="115" borderId="6" xfId="0" applyFont="1" applyFill="1" applyBorder="1" applyProtection="1">
      <protection hidden="1"/>
    </xf>
    <xf numFmtId="0" fontId="9" fillId="115" borderId="2" xfId="0" applyFont="1" applyFill="1" applyBorder="1" applyProtection="1">
      <protection hidden="1"/>
    </xf>
    <xf numFmtId="0" fontId="9" fillId="115" borderId="1" xfId="0" applyFont="1" applyFill="1" applyBorder="1" applyProtection="1">
      <protection hidden="1"/>
    </xf>
    <xf numFmtId="0" fontId="37" fillId="5" borderId="0" xfId="0" applyFont="1" applyFill="1" applyProtection="1">
      <protection hidden="1"/>
    </xf>
    <xf numFmtId="0" fontId="37" fillId="123" borderId="9" xfId="0" applyFont="1" applyFill="1" applyBorder="1" applyAlignment="1" applyProtection="1">
      <alignment horizontal="right" vertical="center"/>
      <protection hidden="1"/>
    </xf>
    <xf numFmtId="164" fontId="14" fillId="31" borderId="39" xfId="0" applyNumberFormat="1" applyFont="1" applyFill="1" applyBorder="1" applyAlignment="1" applyProtection="1">
      <alignment vertical="center" wrapText="1"/>
      <protection hidden="1"/>
    </xf>
    <xf numFmtId="0" fontId="37" fillId="31" borderId="0" xfId="0" applyFont="1" applyFill="1" applyProtection="1">
      <protection hidden="1"/>
    </xf>
    <xf numFmtId="0" fontId="37" fillId="31" borderId="47" xfId="0" applyFont="1" applyFill="1" applyBorder="1" applyProtection="1">
      <protection hidden="1"/>
    </xf>
    <xf numFmtId="0" fontId="37" fillId="31" borderId="0" xfId="0" applyFont="1" applyFill="1" applyBorder="1" applyProtection="1">
      <protection hidden="1"/>
    </xf>
    <xf numFmtId="0" fontId="37" fillId="123" borderId="8" xfId="0" applyFont="1" applyFill="1" applyBorder="1" applyAlignment="1" applyProtection="1">
      <alignment horizontal="right" vertical="center"/>
      <protection hidden="1"/>
    </xf>
    <xf numFmtId="0" fontId="37" fillId="31" borderId="48" xfId="0" applyFont="1" applyFill="1" applyBorder="1" applyProtection="1">
      <protection hidden="1"/>
    </xf>
    <xf numFmtId="0" fontId="9" fillId="16" borderId="23" xfId="0" applyFont="1" applyFill="1" applyBorder="1" applyAlignment="1" applyProtection="1">
      <alignment horizontal="left" vertical="center"/>
      <protection hidden="1"/>
    </xf>
    <xf numFmtId="165" fontId="9" fillId="16" borderId="23" xfId="0" applyNumberFormat="1" applyFont="1" applyFill="1" applyBorder="1" applyAlignment="1" applyProtection="1">
      <alignment horizontal="center" vertical="center"/>
      <protection hidden="1"/>
    </xf>
    <xf numFmtId="0" fontId="9" fillId="97" borderId="0" xfId="0" applyFont="1" applyFill="1" applyBorder="1" applyAlignment="1" applyProtection="1">
      <alignment horizontal="right" vertical="center"/>
      <protection hidden="1"/>
    </xf>
    <xf numFmtId="0" fontId="9" fillId="97" borderId="0" xfId="0" applyFont="1" applyFill="1" applyBorder="1" applyAlignment="1" applyProtection="1">
      <alignment vertical="center"/>
      <protection hidden="1"/>
    </xf>
    <xf numFmtId="165" fontId="9" fillId="97" borderId="0" xfId="0" applyNumberFormat="1" applyFont="1" applyFill="1" applyBorder="1" applyAlignment="1" applyProtection="1">
      <alignment horizontal="left" vertical="center"/>
      <protection hidden="1"/>
    </xf>
    <xf numFmtId="165" fontId="9" fillId="97" borderId="0" xfId="0" applyNumberFormat="1" applyFont="1" applyFill="1" applyBorder="1" applyAlignment="1" applyProtection="1">
      <alignment horizontal="center" vertical="center"/>
      <protection hidden="1"/>
    </xf>
    <xf numFmtId="165" fontId="9" fillId="97" borderId="0" xfId="0" applyNumberFormat="1" applyFont="1" applyFill="1" applyBorder="1" applyAlignment="1" applyProtection="1">
      <alignment vertical="center"/>
      <protection hidden="1"/>
    </xf>
    <xf numFmtId="0" fontId="11" fillId="97" borderId="0" xfId="0" applyFont="1" applyFill="1" applyBorder="1" applyAlignment="1" applyProtection="1">
      <alignment vertical="center"/>
      <protection hidden="1"/>
    </xf>
    <xf numFmtId="0" fontId="9" fillId="97" borderId="0" xfId="0" applyFont="1" applyFill="1" applyAlignment="1" applyProtection="1">
      <alignment vertical="center"/>
      <protection hidden="1"/>
    </xf>
    <xf numFmtId="165" fontId="9" fillId="97" borderId="0" xfId="0" applyNumberFormat="1" applyFont="1" applyFill="1" applyAlignment="1" applyProtection="1">
      <alignment horizontal="center" vertical="center"/>
      <protection hidden="1"/>
    </xf>
    <xf numFmtId="0" fontId="9" fillId="97" borderId="0" xfId="0" applyFont="1" applyFill="1" applyProtection="1">
      <protection hidden="1"/>
    </xf>
    <xf numFmtId="0" fontId="9" fillId="97" borderId="0" xfId="0" applyFont="1" applyFill="1" applyAlignment="1" applyProtection="1">
      <alignment horizontal="left"/>
      <protection hidden="1"/>
    </xf>
    <xf numFmtId="165" fontId="9" fillId="97" borderId="0" xfId="0" applyNumberFormat="1" applyFont="1" applyFill="1" applyProtection="1">
      <protection hidden="1"/>
    </xf>
    <xf numFmtId="2" fontId="9" fillId="70" borderId="38" xfId="4" applyFont="1" applyFill="1" applyBorder="1" applyAlignment="1" applyProtection="1">
      <alignment horizontal="left" vertical="center"/>
      <protection hidden="1"/>
    </xf>
    <xf numFmtId="2" fontId="9" fillId="70" borderId="23" xfId="4" applyFont="1" applyFill="1" applyBorder="1" applyAlignment="1" applyProtection="1">
      <alignment horizontal="left" vertical="center"/>
      <protection hidden="1"/>
    </xf>
    <xf numFmtId="2" fontId="9" fillId="70" borderId="39" xfId="4" applyFont="1" applyFill="1" applyBorder="1" applyAlignment="1" applyProtection="1">
      <alignment horizontal="left" vertical="center"/>
      <protection hidden="1"/>
    </xf>
    <xf numFmtId="2" fontId="9" fillId="70" borderId="35" xfId="4" applyFont="1" applyFill="1" applyBorder="1" applyAlignment="1" applyProtection="1">
      <alignment horizontal="left" vertical="center"/>
      <protection hidden="1"/>
    </xf>
    <xf numFmtId="2" fontId="9" fillId="70" borderId="36" xfId="4" applyFont="1" applyFill="1" applyBorder="1" applyAlignment="1" applyProtection="1">
      <alignment horizontal="left" vertical="center"/>
      <protection hidden="1"/>
    </xf>
    <xf numFmtId="2" fontId="9" fillId="70" borderId="37" xfId="4" applyFont="1" applyFill="1" applyBorder="1" applyAlignment="1" applyProtection="1">
      <alignment horizontal="left" vertical="center"/>
      <protection hidden="1"/>
    </xf>
    <xf numFmtId="0" fontId="13" fillId="97" borderId="52" xfId="0" applyFont="1" applyFill="1" applyBorder="1" applyAlignment="1" applyProtection="1">
      <alignment vertical="center" wrapText="1"/>
      <protection hidden="1"/>
    </xf>
    <xf numFmtId="0" fontId="13" fillId="5" borderId="52" xfId="0" applyFont="1" applyFill="1" applyBorder="1" applyAlignment="1" applyProtection="1">
      <alignment vertical="center" wrapText="1"/>
      <protection hidden="1"/>
    </xf>
    <xf numFmtId="0" fontId="13" fillId="97" borderId="0" xfId="0" applyFont="1" applyFill="1" applyAlignment="1" applyProtection="1">
      <alignment vertical="center" wrapText="1"/>
      <protection hidden="1"/>
    </xf>
    <xf numFmtId="0" fontId="97" fillId="5" borderId="0" xfId="0" applyFont="1" applyFill="1" applyBorder="1" applyAlignment="1" applyProtection="1">
      <alignment vertical="center"/>
      <protection hidden="1"/>
    </xf>
    <xf numFmtId="0" fontId="47" fillId="5" borderId="0" xfId="0" applyFont="1" applyFill="1" applyBorder="1" applyAlignment="1" applyProtection="1">
      <alignment horizontal="left" vertical="center"/>
      <protection hidden="1"/>
    </xf>
    <xf numFmtId="0" fontId="106" fillId="5" borderId="0" xfId="0" applyFont="1" applyFill="1" applyBorder="1" applyAlignment="1" applyProtection="1">
      <alignment horizontal="right" vertical="center" wrapText="1"/>
      <protection hidden="1"/>
    </xf>
    <xf numFmtId="0" fontId="39" fillId="5" borderId="0" xfId="0" applyFont="1" applyFill="1" applyBorder="1" applyAlignment="1" applyProtection="1">
      <alignment vertical="center"/>
      <protection hidden="1"/>
    </xf>
    <xf numFmtId="0" fontId="107" fillId="5" borderId="0" xfId="0" applyFont="1" applyFill="1" applyBorder="1" applyAlignment="1" applyProtection="1">
      <alignment horizontal="center" vertical="center" wrapText="1"/>
      <protection hidden="1"/>
    </xf>
    <xf numFmtId="0" fontId="19" fillId="5" borderId="0" xfId="0" applyFont="1" applyFill="1" applyBorder="1" applyAlignment="1" applyProtection="1">
      <alignment vertical="center"/>
      <protection hidden="1"/>
    </xf>
    <xf numFmtId="0" fontId="12" fillId="5" borderId="0" xfId="0" applyFont="1" applyFill="1" applyBorder="1" applyAlignment="1" applyProtection="1">
      <alignment vertical="center"/>
      <protection hidden="1"/>
    </xf>
    <xf numFmtId="0" fontId="51" fillId="6" borderId="0" xfId="0" quotePrefix="1" applyFont="1" applyFill="1" applyBorder="1" applyAlignment="1" applyProtection="1">
      <alignment horizontal="left" vertical="center"/>
      <protection hidden="1"/>
    </xf>
    <xf numFmtId="0" fontId="37" fillId="6" borderId="0" xfId="0" quotePrefix="1" applyFont="1" applyFill="1" applyBorder="1" applyAlignment="1" applyProtection="1">
      <alignment horizontal="left" vertical="center"/>
      <protection hidden="1"/>
    </xf>
    <xf numFmtId="0" fontId="69" fillId="6" borderId="0" xfId="0" quotePrefix="1" applyFont="1" applyFill="1" applyBorder="1" applyAlignment="1" applyProtection="1">
      <alignment horizontal="left" vertical="center"/>
      <protection hidden="1"/>
    </xf>
    <xf numFmtId="0" fontId="101" fillId="6" borderId="0" xfId="0" applyFont="1" applyFill="1" applyBorder="1" applyAlignment="1" applyProtection="1">
      <alignment horizontal="left" vertical="center"/>
      <protection hidden="1"/>
    </xf>
    <xf numFmtId="0" fontId="57" fillId="6" borderId="0" xfId="0" applyFont="1" applyFill="1" applyBorder="1" applyAlignment="1" applyProtection="1">
      <alignment horizontal="left" vertical="center"/>
      <protection hidden="1"/>
    </xf>
    <xf numFmtId="0" fontId="86" fillId="6" borderId="0" xfId="0" applyFont="1" applyFill="1" applyBorder="1" applyAlignment="1" applyProtection="1">
      <alignment horizontal="left" vertical="center"/>
      <protection hidden="1"/>
    </xf>
    <xf numFmtId="1" fontId="17" fillId="5" borderId="0" xfId="4" applyNumberFormat="1" applyFont="1" applyFill="1" applyBorder="1" applyAlignment="1" applyProtection="1">
      <alignment horizontal="left" vertical="center"/>
      <protection hidden="1"/>
    </xf>
    <xf numFmtId="1" fontId="9" fillId="17" borderId="52" xfId="0" applyNumberFormat="1" applyFont="1" applyFill="1" applyBorder="1" applyAlignment="1" applyProtection="1">
      <alignment horizontal="center" vertical="center"/>
      <protection hidden="1"/>
    </xf>
    <xf numFmtId="1" fontId="9" fillId="5" borderId="0" xfId="0" applyNumberFormat="1" applyFont="1" applyFill="1" applyBorder="1" applyAlignment="1" applyProtection="1">
      <alignment horizontal="right" vertical="center"/>
      <protection hidden="1"/>
    </xf>
    <xf numFmtId="1" fontId="9" fillId="17" borderId="47" xfId="0" applyNumberFormat="1" applyFont="1" applyFill="1" applyBorder="1" applyAlignment="1" applyProtection="1">
      <alignment horizontal="left" vertical="center"/>
      <protection hidden="1"/>
    </xf>
    <xf numFmtId="1" fontId="9" fillId="17" borderId="0" xfId="0" applyNumberFormat="1" applyFont="1" applyFill="1" applyBorder="1" applyAlignment="1" applyProtection="1">
      <alignment vertical="center"/>
      <protection hidden="1"/>
    </xf>
    <xf numFmtId="1" fontId="23" fillId="17" borderId="0" xfId="0" applyNumberFormat="1" applyFont="1" applyFill="1" applyBorder="1" applyAlignment="1" applyProtection="1">
      <alignment horizontal="center" vertical="center"/>
      <protection hidden="1"/>
    </xf>
    <xf numFmtId="1" fontId="9" fillId="17" borderId="0" xfId="0" applyNumberFormat="1" applyFont="1" applyFill="1" applyBorder="1" applyAlignment="1" applyProtection="1">
      <alignment horizontal="left" vertical="center"/>
      <protection hidden="1"/>
    </xf>
    <xf numFmtId="1" fontId="9" fillId="17" borderId="48" xfId="0" applyNumberFormat="1" applyFont="1" applyFill="1" applyBorder="1" applyAlignment="1" applyProtection="1">
      <alignment horizontal="left" vertical="center"/>
      <protection hidden="1"/>
    </xf>
    <xf numFmtId="1" fontId="9" fillId="5" borderId="0" xfId="0" applyNumberFormat="1" applyFont="1" applyFill="1" applyBorder="1" applyProtection="1">
      <protection hidden="1"/>
    </xf>
    <xf numFmtId="1" fontId="0" fillId="31" borderId="47" xfId="0" applyNumberFormat="1" applyFill="1" applyBorder="1" applyAlignment="1" applyProtection="1">
      <alignment horizontal="center" vertical="center"/>
      <protection hidden="1"/>
    </xf>
    <xf numFmtId="1" fontId="9" fillId="5" borderId="0" xfId="0" applyNumberFormat="1" applyFont="1" applyFill="1" applyAlignment="1" applyProtection="1">
      <alignment vertical="center"/>
      <protection hidden="1"/>
    </xf>
    <xf numFmtId="3" fontId="0" fillId="31" borderId="48" xfId="0" applyNumberFormat="1" applyFill="1" applyBorder="1" applyAlignment="1" applyProtection="1">
      <alignment horizontal="center" vertical="center"/>
      <protection hidden="1"/>
    </xf>
    <xf numFmtId="3" fontId="9" fillId="5" borderId="0" xfId="0" applyNumberFormat="1" applyFont="1" applyFill="1" applyBorder="1" applyAlignment="1" applyProtection="1">
      <alignment horizontal="center" vertical="center"/>
      <protection hidden="1"/>
    </xf>
    <xf numFmtId="3" fontId="9" fillId="17" borderId="47" xfId="0" applyNumberFormat="1" applyFont="1" applyFill="1" applyBorder="1" applyAlignment="1" applyProtection="1">
      <alignment horizontal="center" vertical="center"/>
      <protection hidden="1"/>
    </xf>
    <xf numFmtId="3" fontId="9" fillId="17" borderId="0" xfId="0" applyNumberFormat="1" applyFont="1" applyFill="1" applyBorder="1" applyAlignment="1" applyProtection="1">
      <alignment horizontal="center" vertical="center"/>
      <protection hidden="1"/>
    </xf>
    <xf numFmtId="3" fontId="23" fillId="17" borderId="0" xfId="0" applyNumberFormat="1" applyFont="1" applyFill="1" applyBorder="1" applyAlignment="1" applyProtection="1">
      <alignment horizontal="center" vertical="center"/>
      <protection hidden="1"/>
    </xf>
    <xf numFmtId="3" fontId="23" fillId="17" borderId="48" xfId="0" applyNumberFormat="1" applyFont="1" applyFill="1" applyBorder="1" applyAlignment="1" applyProtection="1">
      <alignment horizontal="center" vertical="center"/>
      <protection hidden="1"/>
    </xf>
    <xf numFmtId="3" fontId="23" fillId="17" borderId="0" xfId="0" applyNumberFormat="1" applyFont="1" applyFill="1" applyAlignment="1" applyProtection="1">
      <alignment horizontal="center" vertical="center"/>
      <protection hidden="1"/>
    </xf>
    <xf numFmtId="3" fontId="9" fillId="5" borderId="0" xfId="0" applyNumberFormat="1" applyFont="1" applyFill="1" applyBorder="1" applyProtection="1">
      <protection hidden="1"/>
    </xf>
    <xf numFmtId="3" fontId="0" fillId="31" borderId="23" xfId="0" applyNumberFormat="1" applyFill="1" applyBorder="1" applyAlignment="1" applyProtection="1">
      <alignment horizontal="center" vertical="center"/>
      <protection hidden="1"/>
    </xf>
    <xf numFmtId="3" fontId="19" fillId="17" borderId="0" xfId="0" applyNumberFormat="1" applyFont="1" applyFill="1" applyBorder="1" applyAlignment="1" applyProtection="1">
      <alignment horizontal="center" vertical="center"/>
      <protection hidden="1"/>
    </xf>
    <xf numFmtId="3" fontId="9" fillId="11" borderId="0" xfId="0" applyNumberFormat="1" applyFont="1" applyFill="1" applyBorder="1" applyAlignment="1" applyProtection="1">
      <alignment horizontal="center" vertical="center"/>
      <protection hidden="1"/>
    </xf>
    <xf numFmtId="3" fontId="35" fillId="0" borderId="7" xfId="0" applyNumberFormat="1" applyFont="1" applyBorder="1" applyAlignment="1" applyProtection="1">
      <alignment horizontal="center" vertical="center"/>
      <protection hidden="1"/>
    </xf>
    <xf numFmtId="3" fontId="12" fillId="11" borderId="0" xfId="0" applyNumberFormat="1" applyFont="1" applyFill="1" applyBorder="1" applyAlignment="1" applyProtection="1">
      <alignment horizontal="center" vertical="center"/>
      <protection hidden="1"/>
    </xf>
    <xf numFmtId="3" fontId="9" fillId="11" borderId="48" xfId="0" applyNumberFormat="1" applyFont="1" applyFill="1" applyBorder="1" applyAlignment="1" applyProtection="1">
      <alignment vertical="center"/>
      <protection hidden="1"/>
    </xf>
    <xf numFmtId="3" fontId="9" fillId="11" borderId="0" xfId="0" applyNumberFormat="1" applyFont="1" applyFill="1" applyAlignment="1" applyProtection="1">
      <alignment vertical="center"/>
      <protection hidden="1"/>
    </xf>
    <xf numFmtId="165" fontId="9" fillId="21" borderId="0" xfId="0" applyNumberFormat="1" applyFont="1" applyFill="1" applyBorder="1" applyAlignment="1" applyProtection="1">
      <alignment horizontal="right" vertical="center"/>
      <protection hidden="1"/>
    </xf>
    <xf numFmtId="165" fontId="35" fillId="21" borderId="0" xfId="0" applyNumberFormat="1" applyFont="1" applyFill="1" applyBorder="1" applyAlignment="1" applyProtection="1">
      <alignment horizontal="center" vertical="center"/>
      <protection hidden="1"/>
    </xf>
    <xf numFmtId="165" fontId="9" fillId="21" borderId="48" xfId="0" applyNumberFormat="1" applyFont="1" applyFill="1" applyBorder="1" applyAlignment="1" applyProtection="1">
      <alignment horizontal="right" vertical="center"/>
      <protection hidden="1"/>
    </xf>
    <xf numFmtId="165" fontId="9" fillId="21" borderId="47" xfId="0" applyNumberFormat="1" applyFont="1" applyFill="1" applyBorder="1" applyAlignment="1" applyProtection="1">
      <alignment horizontal="right" vertical="center"/>
      <protection hidden="1"/>
    </xf>
    <xf numFmtId="165" fontId="35" fillId="0" borderId="7" xfId="0" applyNumberFormat="1" applyFont="1" applyBorder="1" applyAlignment="1" applyProtection="1">
      <alignment horizontal="center" vertical="center"/>
      <protection hidden="1"/>
    </xf>
    <xf numFmtId="165" fontId="12" fillId="11" borderId="0" xfId="0" applyNumberFormat="1" applyFont="1" applyFill="1" applyBorder="1" applyAlignment="1" applyProtection="1">
      <alignment horizontal="center" vertical="center"/>
      <protection hidden="1"/>
    </xf>
    <xf numFmtId="165" fontId="9" fillId="11" borderId="48" xfId="0" applyNumberFormat="1" applyFont="1" applyFill="1" applyBorder="1" applyAlignment="1" applyProtection="1">
      <alignment vertical="center"/>
      <protection hidden="1"/>
    </xf>
    <xf numFmtId="165" fontId="9" fillId="11" borderId="47" xfId="0" applyNumberFormat="1" applyFont="1" applyFill="1" applyBorder="1" applyAlignment="1" applyProtection="1">
      <alignment vertical="center"/>
      <protection hidden="1"/>
    </xf>
    <xf numFmtId="165" fontId="9" fillId="11" borderId="0" xfId="0" applyNumberFormat="1" applyFont="1" applyFill="1" applyBorder="1" applyAlignment="1" applyProtection="1">
      <alignment vertical="center"/>
      <protection hidden="1"/>
    </xf>
    <xf numFmtId="0" fontId="13" fillId="6" borderId="52" xfId="0" applyFont="1" applyFill="1" applyBorder="1" applyAlignment="1" applyProtection="1">
      <alignment horizontal="center" vertical="center" wrapText="1"/>
      <protection hidden="1"/>
    </xf>
    <xf numFmtId="0" fontId="87" fillId="10" borderId="0" xfId="0" applyFont="1" applyFill="1" applyBorder="1" applyAlignment="1" applyProtection="1">
      <alignment horizontal="left" vertical="center" wrapText="1"/>
      <protection hidden="1"/>
    </xf>
    <xf numFmtId="0" fontId="12" fillId="6" borderId="0" xfId="0" applyFont="1" applyFill="1" applyBorder="1" applyAlignment="1" applyProtection="1">
      <alignment vertical="center"/>
      <protection hidden="1"/>
    </xf>
    <xf numFmtId="0" fontId="12" fillId="135" borderId="0" xfId="0" applyFont="1" applyFill="1" applyBorder="1" applyAlignment="1" applyProtection="1">
      <alignment horizontal="left" vertical="center"/>
      <protection hidden="1"/>
    </xf>
    <xf numFmtId="0" fontId="9" fillId="2" borderId="50" xfId="0" applyFont="1" applyFill="1" applyBorder="1" applyAlignment="1">
      <alignment horizontal="right" vertical="center"/>
    </xf>
    <xf numFmtId="0" fontId="9" fillId="38" borderId="50" xfId="0" applyFont="1" applyFill="1" applyBorder="1" applyAlignment="1">
      <alignment horizontal="right" vertical="center"/>
    </xf>
    <xf numFmtId="0" fontId="9" fillId="5" borderId="50" xfId="0" applyFont="1" applyFill="1" applyBorder="1"/>
    <xf numFmtId="0" fontId="9" fillId="5" borderId="57" xfId="0" applyFont="1" applyFill="1" applyBorder="1"/>
    <xf numFmtId="0" fontId="9" fillId="5" borderId="57" xfId="0" applyFont="1" applyFill="1" applyBorder="1" applyAlignment="1">
      <alignment horizontal="left"/>
    </xf>
    <xf numFmtId="0" fontId="9" fillId="5" borderId="50" xfId="0" applyFont="1" applyFill="1" applyBorder="1" applyAlignment="1">
      <alignment horizontal="left"/>
    </xf>
    <xf numFmtId="0" fontId="31" fillId="87" borderId="3" xfId="0" applyFont="1" applyFill="1" applyBorder="1" applyAlignment="1" applyProtection="1">
      <alignment vertical="center"/>
      <protection hidden="1"/>
    </xf>
    <xf numFmtId="0" fontId="30" fillId="87" borderId="6" xfId="0" applyFont="1" applyFill="1" applyBorder="1" applyAlignment="1" applyProtection="1">
      <alignment vertical="center"/>
      <protection hidden="1"/>
    </xf>
    <xf numFmtId="0" fontId="30" fillId="87" borderId="2" xfId="0" applyFont="1" applyFill="1" applyBorder="1" applyAlignment="1" applyProtection="1">
      <alignment vertical="center"/>
      <protection hidden="1"/>
    </xf>
    <xf numFmtId="0" fontId="37" fillId="31" borderId="36" xfId="0" applyFont="1" applyFill="1" applyBorder="1" applyAlignment="1" applyProtection="1">
      <alignment horizontal="center" vertical="center"/>
      <protection hidden="1"/>
    </xf>
    <xf numFmtId="0" fontId="77" fillId="4" borderId="0" xfId="0" applyFont="1" applyFill="1" applyBorder="1" applyAlignment="1">
      <alignment vertical="center"/>
    </xf>
    <xf numFmtId="0" fontId="37" fillId="5" borderId="0" xfId="1" applyFont="1" applyFill="1" applyAlignment="1" applyProtection="1">
      <alignment horizontal="left" vertical="center"/>
      <protection hidden="1"/>
    </xf>
    <xf numFmtId="0" fontId="37" fillId="7" borderId="0" xfId="1" applyFont="1" applyFill="1" applyAlignment="1" applyProtection="1">
      <alignment horizontal="left" vertical="center"/>
      <protection hidden="1"/>
    </xf>
    <xf numFmtId="0" fontId="9" fillId="124" borderId="6" xfId="0" applyFont="1" applyFill="1" applyBorder="1" applyAlignment="1" applyProtection="1">
      <alignment horizontal="center" vertical="center"/>
      <protection hidden="1"/>
    </xf>
    <xf numFmtId="0" fontId="9" fillId="15" borderId="36" xfId="0" applyFont="1" applyFill="1" applyBorder="1" applyAlignment="1" applyProtection="1">
      <alignment horizontal="center"/>
      <protection hidden="1"/>
    </xf>
    <xf numFmtId="0" fontId="11" fillId="97" borderId="0" xfId="0" applyFont="1" applyFill="1" applyBorder="1" applyAlignment="1" applyProtection="1">
      <alignment horizontal="center" vertical="center"/>
      <protection hidden="1"/>
    </xf>
    <xf numFmtId="0" fontId="11" fillId="5" borderId="0" xfId="0" applyFont="1" applyFill="1" applyBorder="1" applyAlignment="1" applyProtection="1">
      <alignment horizontal="center" vertical="center"/>
      <protection hidden="1"/>
    </xf>
    <xf numFmtId="0" fontId="11" fillId="10" borderId="36" xfId="0" applyFont="1" applyFill="1" applyBorder="1" applyAlignment="1" applyProtection="1">
      <alignment horizontal="center" vertical="center"/>
      <protection hidden="1"/>
    </xf>
    <xf numFmtId="0" fontId="11" fillId="10" borderId="23" xfId="0" applyFont="1" applyFill="1" applyBorder="1" applyAlignment="1" applyProtection="1">
      <alignment horizontal="center" vertical="center"/>
      <protection hidden="1"/>
    </xf>
    <xf numFmtId="0" fontId="11" fillId="5" borderId="0" xfId="0" applyFont="1" applyFill="1" applyAlignment="1" applyProtection="1">
      <alignment horizontal="center" vertical="center"/>
      <protection hidden="1"/>
    </xf>
    <xf numFmtId="0" fontId="12" fillId="6" borderId="6"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9" fillId="71" borderId="6" xfId="0" applyFont="1" applyFill="1" applyBorder="1" applyAlignment="1" applyProtection="1">
      <alignment horizontal="center" vertical="center"/>
      <protection hidden="1"/>
    </xf>
    <xf numFmtId="0" fontId="9" fillId="70" borderId="36" xfId="0" applyFont="1" applyFill="1" applyBorder="1" applyAlignment="1" applyProtection="1">
      <alignment horizontal="center" vertical="center"/>
      <protection hidden="1"/>
    </xf>
    <xf numFmtId="0" fontId="9" fillId="70" borderId="0" xfId="0" applyFont="1" applyFill="1" applyBorder="1" applyAlignment="1" applyProtection="1">
      <alignment horizontal="center" vertical="center"/>
      <protection hidden="1"/>
    </xf>
    <xf numFmtId="2" fontId="9" fillId="70" borderId="0" xfId="4" applyFont="1" applyFill="1" applyBorder="1" applyAlignment="1" applyProtection="1">
      <alignment horizontal="center" vertical="center"/>
      <protection hidden="1"/>
    </xf>
    <xf numFmtId="2" fontId="9" fillId="70" borderId="23" xfId="4" applyFont="1" applyFill="1" applyBorder="1" applyAlignment="1" applyProtection="1">
      <alignment horizontal="center" vertical="center"/>
      <protection hidden="1"/>
    </xf>
    <xf numFmtId="2" fontId="9" fillId="70" borderId="36" xfId="4" applyFont="1" applyFill="1" applyBorder="1" applyAlignment="1" applyProtection="1">
      <alignment horizontal="center" vertical="center"/>
      <protection hidden="1"/>
    </xf>
    <xf numFmtId="0" fontId="9" fillId="70" borderId="23" xfId="0" applyFont="1" applyFill="1" applyBorder="1" applyAlignment="1" applyProtection="1">
      <alignment horizontal="center" vertical="center"/>
      <protection hidden="1"/>
    </xf>
    <xf numFmtId="0" fontId="9" fillId="47" borderId="6" xfId="0" applyFont="1" applyFill="1" applyBorder="1" applyAlignment="1" applyProtection="1">
      <alignment horizontal="center" vertical="center"/>
      <protection hidden="1"/>
    </xf>
    <xf numFmtId="0" fontId="61" fillId="72" borderId="36" xfId="0" applyFont="1" applyFill="1" applyBorder="1" applyAlignment="1" applyProtection="1">
      <alignment horizontal="center" vertical="center"/>
      <protection hidden="1"/>
    </xf>
    <xf numFmtId="0" fontId="61" fillId="72" borderId="23" xfId="0" applyFont="1" applyFill="1" applyBorder="1" applyAlignment="1" applyProtection="1">
      <alignment horizontal="center" vertical="center"/>
      <protection hidden="1"/>
    </xf>
    <xf numFmtId="0" fontId="13" fillId="97" borderId="0" xfId="0" applyFont="1" applyFill="1" applyAlignment="1" applyProtection="1">
      <alignment horizontal="center" vertical="center" wrapText="1"/>
      <protection hidden="1"/>
    </xf>
    <xf numFmtId="0" fontId="9" fillId="48" borderId="6" xfId="0" applyFont="1" applyFill="1" applyBorder="1" applyAlignment="1" applyProtection="1">
      <alignment horizontal="center" vertical="center"/>
      <protection hidden="1"/>
    </xf>
    <xf numFmtId="0" fontId="61" fillId="73" borderId="36" xfId="0" applyFont="1" applyFill="1" applyBorder="1" applyAlignment="1" applyProtection="1">
      <alignment horizontal="center" vertical="center"/>
      <protection hidden="1"/>
    </xf>
    <xf numFmtId="0" fontId="61" fillId="73" borderId="23" xfId="0" applyFont="1" applyFill="1" applyBorder="1" applyAlignment="1" applyProtection="1">
      <alignment horizontal="center" vertical="center"/>
      <protection hidden="1"/>
    </xf>
    <xf numFmtId="0" fontId="69" fillId="6" borderId="0" xfId="0" applyFont="1" applyFill="1" applyBorder="1" applyAlignment="1" applyProtection="1">
      <alignment horizontal="center" vertical="center"/>
      <protection hidden="1"/>
    </xf>
    <xf numFmtId="0" fontId="11" fillId="6" borderId="23" xfId="0" applyFont="1" applyFill="1" applyBorder="1" applyAlignment="1" applyProtection="1">
      <alignment horizontal="center" vertical="center"/>
      <protection hidden="1"/>
    </xf>
    <xf numFmtId="2" fontId="48" fillId="70" borderId="0" xfId="4" applyFont="1" applyFill="1" applyBorder="1" applyAlignment="1" applyProtection="1">
      <alignment horizontal="center" vertical="center"/>
      <protection hidden="1"/>
    </xf>
    <xf numFmtId="0" fontId="17" fillId="70" borderId="0" xfId="0" applyFont="1" applyFill="1" applyBorder="1" applyAlignment="1" applyProtection="1">
      <alignment horizontal="center" vertical="center"/>
      <protection hidden="1"/>
    </xf>
    <xf numFmtId="0" fontId="13" fillId="72" borderId="36" xfId="0" applyFont="1" applyFill="1" applyBorder="1" applyAlignment="1" applyProtection="1">
      <alignment horizontal="center" vertical="center" wrapText="1"/>
      <protection hidden="1"/>
    </xf>
    <xf numFmtId="0" fontId="13" fillId="72" borderId="23" xfId="0" applyFont="1" applyFill="1" applyBorder="1" applyAlignment="1" applyProtection="1">
      <alignment horizontal="center" vertical="center" wrapText="1"/>
      <protection hidden="1"/>
    </xf>
    <xf numFmtId="0" fontId="13" fillId="73" borderId="36" xfId="0" applyFont="1" applyFill="1" applyBorder="1" applyAlignment="1" applyProtection="1">
      <alignment horizontal="center" vertical="center" wrapText="1"/>
      <protection hidden="1"/>
    </xf>
    <xf numFmtId="0" fontId="13" fillId="73" borderId="23" xfId="0" applyFont="1" applyFill="1" applyBorder="1" applyAlignment="1" applyProtection="1">
      <alignment horizontal="center" vertical="center" wrapText="1"/>
      <protection hidden="1"/>
    </xf>
    <xf numFmtId="0" fontId="9" fillId="34" borderId="6" xfId="0" applyFont="1" applyFill="1" applyBorder="1" applyAlignment="1" applyProtection="1">
      <alignment horizontal="left" vertical="center"/>
      <protection hidden="1"/>
    </xf>
    <xf numFmtId="164" fontId="14" fillId="31" borderId="23" xfId="0" applyNumberFormat="1" applyFont="1" applyFill="1" applyBorder="1" applyAlignment="1" applyProtection="1">
      <alignment horizontal="left" vertical="center" wrapText="1"/>
      <protection hidden="1"/>
    </xf>
    <xf numFmtId="0" fontId="87" fillId="10" borderId="0" xfId="0" applyFont="1" applyFill="1" applyBorder="1" applyAlignment="1" applyProtection="1">
      <alignment horizontal="center" vertical="top" wrapText="1"/>
      <protection hidden="1"/>
    </xf>
    <xf numFmtId="0" fontId="9" fillId="115" borderId="6" xfId="0" applyFont="1" applyFill="1" applyBorder="1" applyAlignment="1" applyProtection="1">
      <alignment horizontal="center"/>
      <protection hidden="1"/>
    </xf>
    <xf numFmtId="165" fontId="9" fillId="5" borderId="0" xfId="0" applyNumberFormat="1" applyFont="1" applyFill="1" applyBorder="1" applyAlignment="1" applyProtection="1">
      <alignment horizontal="center"/>
      <protection hidden="1"/>
    </xf>
    <xf numFmtId="164" fontId="14" fillId="31" borderId="23" xfId="0" applyNumberFormat="1" applyFont="1" applyFill="1" applyBorder="1" applyAlignment="1" applyProtection="1">
      <alignment horizontal="center" vertical="center" wrapText="1"/>
      <protection hidden="1"/>
    </xf>
    <xf numFmtId="0" fontId="0" fillId="5" borderId="0" xfId="0" applyFill="1" applyBorder="1" applyAlignment="1" applyProtection="1">
      <alignment horizontal="center"/>
      <protection hidden="1"/>
    </xf>
    <xf numFmtId="0" fontId="87" fillId="10" borderId="0" xfId="0" applyFont="1" applyFill="1" applyBorder="1" applyAlignment="1" applyProtection="1">
      <alignment horizontal="center" vertical="top"/>
      <protection hidden="1"/>
    </xf>
    <xf numFmtId="0" fontId="9" fillId="117" borderId="6" xfId="0" applyFont="1" applyFill="1" applyBorder="1" applyAlignment="1" applyProtection="1">
      <alignment horizontal="center" vertical="center"/>
      <protection hidden="1"/>
    </xf>
    <xf numFmtId="2" fontId="53" fillId="5" borderId="0" xfId="4" applyFont="1" applyFill="1" applyBorder="1" applyAlignment="1" applyProtection="1">
      <alignment horizontal="center" vertical="center"/>
      <protection hidden="1"/>
    </xf>
    <xf numFmtId="164" fontId="14" fillId="29" borderId="0" xfId="0" applyNumberFormat="1" applyFont="1" applyFill="1" applyBorder="1" applyAlignment="1" applyProtection="1">
      <alignment horizontal="center" vertical="center" wrapText="1"/>
      <protection hidden="1"/>
    </xf>
    <xf numFmtId="0" fontId="0" fillId="5" borderId="0" xfId="0" applyFill="1" applyAlignment="1" applyProtection="1">
      <alignment horizontal="center"/>
      <protection hidden="1"/>
    </xf>
    <xf numFmtId="0" fontId="9" fillId="5" borderId="0" xfId="0" applyFont="1" applyFill="1" applyAlignment="1" applyProtection="1">
      <alignment horizontal="center"/>
      <protection hidden="1"/>
    </xf>
    <xf numFmtId="0" fontId="9" fillId="5" borderId="0" xfId="0" applyFont="1" applyFill="1" applyBorder="1" applyAlignment="1" applyProtection="1">
      <alignment horizontal="left" vertical="center" wrapText="1"/>
      <protection hidden="1"/>
    </xf>
    <xf numFmtId="0" fontId="9" fillId="109" borderId="0" xfId="0" applyFont="1" applyFill="1" applyBorder="1" applyAlignment="1" applyProtection="1">
      <alignment horizontal="left" vertical="center"/>
      <protection hidden="1"/>
    </xf>
    <xf numFmtId="0" fontId="9" fillId="109" borderId="23" xfId="0" applyFont="1" applyFill="1" applyBorder="1" applyAlignment="1" applyProtection="1">
      <alignment horizontal="left" vertical="center"/>
      <protection hidden="1"/>
    </xf>
    <xf numFmtId="0" fontId="24" fillId="109" borderId="0" xfId="0" applyFont="1" applyFill="1" applyBorder="1" applyAlignment="1" applyProtection="1">
      <alignment horizontal="left" vertical="center"/>
      <protection hidden="1"/>
    </xf>
    <xf numFmtId="0" fontId="9" fillId="105" borderId="0" xfId="0" applyFont="1" applyFill="1" applyBorder="1" applyAlignment="1" applyProtection="1">
      <alignment horizontal="left" vertical="center"/>
      <protection hidden="1"/>
    </xf>
    <xf numFmtId="0" fontId="9" fillId="17" borderId="0" xfId="0" applyFont="1" applyFill="1" applyBorder="1" applyAlignment="1" applyProtection="1">
      <alignment horizontal="left" vertical="top"/>
      <protection hidden="1"/>
    </xf>
    <xf numFmtId="0" fontId="19" fillId="5" borderId="0" xfId="0" applyFont="1" applyFill="1" applyAlignment="1" applyProtection="1">
      <alignment horizontal="left"/>
      <protection hidden="1"/>
    </xf>
    <xf numFmtId="0" fontId="9" fillId="116" borderId="6" xfId="5" applyFont="1" applyFill="1" applyBorder="1" applyAlignment="1" applyProtection="1">
      <alignment horizontal="left" vertical="center"/>
      <protection hidden="1"/>
    </xf>
    <xf numFmtId="165" fontId="25" fillId="5" borderId="0" xfId="0" applyNumberFormat="1" applyFont="1" applyFill="1" applyAlignment="1" applyProtection="1">
      <alignment horizontal="left" vertical="center"/>
      <protection hidden="1"/>
    </xf>
    <xf numFmtId="0" fontId="9" fillId="115" borderId="6" xfId="0" applyFont="1" applyFill="1" applyBorder="1" applyAlignment="1" applyProtection="1">
      <alignment horizontal="left" vertical="center"/>
      <protection hidden="1"/>
    </xf>
    <xf numFmtId="165" fontId="90" fillId="5" borderId="0" xfId="0" applyNumberFormat="1" applyFont="1" applyFill="1" applyAlignment="1" applyProtection="1">
      <alignment horizontal="left" vertical="center"/>
      <protection hidden="1"/>
    </xf>
    <xf numFmtId="0" fontId="9" fillId="5" borderId="0" xfId="0" applyFont="1" applyFill="1" applyAlignment="1" applyProtection="1">
      <alignment horizontal="right"/>
      <protection hidden="1"/>
    </xf>
    <xf numFmtId="165" fontId="9" fillId="6" borderId="0" xfId="0" applyNumberFormat="1" applyFont="1" applyFill="1" applyBorder="1" applyAlignment="1" applyProtection="1">
      <alignment horizontal="left" vertical="center"/>
      <protection hidden="1"/>
    </xf>
    <xf numFmtId="165" fontId="9" fillId="6" borderId="23" xfId="0" applyNumberFormat="1" applyFont="1" applyFill="1" applyBorder="1" applyAlignment="1" applyProtection="1">
      <alignment horizontal="left" vertical="center"/>
      <protection hidden="1"/>
    </xf>
    <xf numFmtId="0" fontId="13" fillId="72" borderId="36" xfId="0" applyFont="1" applyFill="1" applyBorder="1" applyAlignment="1" applyProtection="1">
      <alignment horizontal="left" vertical="center" wrapText="1"/>
      <protection hidden="1"/>
    </xf>
    <xf numFmtId="0" fontId="13" fillId="72" borderId="23" xfId="0" applyFont="1" applyFill="1" applyBorder="1" applyAlignment="1" applyProtection="1">
      <alignment horizontal="left" vertical="center" wrapText="1"/>
      <protection hidden="1"/>
    </xf>
    <xf numFmtId="0" fontId="13" fillId="97" borderId="0" xfId="0" applyFont="1" applyFill="1" applyAlignment="1" applyProtection="1">
      <alignment horizontal="left" vertical="center" wrapText="1"/>
      <protection hidden="1"/>
    </xf>
    <xf numFmtId="0" fontId="13" fillId="73" borderId="36" xfId="0" applyFont="1" applyFill="1" applyBorder="1" applyAlignment="1" applyProtection="1">
      <alignment horizontal="left" vertical="center" wrapText="1"/>
      <protection hidden="1"/>
    </xf>
    <xf numFmtId="0" fontId="13" fillId="73" borderId="23" xfId="0" applyFont="1" applyFill="1" applyBorder="1" applyAlignment="1" applyProtection="1">
      <alignment horizontal="left" vertical="center" wrapText="1"/>
      <protection hidden="1"/>
    </xf>
    <xf numFmtId="0" fontId="9" fillId="87" borderId="6" xfId="0" applyFont="1" applyFill="1" applyBorder="1" applyAlignment="1" applyProtection="1">
      <alignment horizontal="left" vertical="center"/>
      <protection hidden="1"/>
    </xf>
    <xf numFmtId="0" fontId="12" fillId="15" borderId="0" xfId="0" applyFont="1" applyFill="1" applyBorder="1" applyAlignment="1" applyProtection="1">
      <alignment horizontal="left" vertical="center"/>
      <protection hidden="1"/>
    </xf>
    <xf numFmtId="0" fontId="12" fillId="15" borderId="23" xfId="0" applyFont="1" applyFill="1" applyBorder="1" applyAlignment="1" applyProtection="1">
      <alignment horizontal="left" vertical="center"/>
      <protection hidden="1"/>
    </xf>
    <xf numFmtId="0" fontId="12" fillId="5" borderId="0" xfId="0" applyFont="1" applyFill="1" applyBorder="1" applyAlignment="1" applyProtection="1">
      <alignment horizontal="left" vertical="center"/>
      <protection hidden="1"/>
    </xf>
    <xf numFmtId="0" fontId="12" fillId="127" borderId="0" xfId="0" applyFont="1" applyFill="1" applyBorder="1" applyAlignment="1" applyProtection="1">
      <alignment horizontal="left" vertical="center"/>
      <protection hidden="1"/>
    </xf>
    <xf numFmtId="0" fontId="12" fillId="12" borderId="6" xfId="0" applyFont="1" applyFill="1" applyBorder="1" applyAlignment="1" applyProtection="1">
      <alignment horizontal="left" vertical="center"/>
      <protection hidden="1"/>
    </xf>
    <xf numFmtId="0" fontId="12" fillId="11" borderId="36" xfId="0" applyFont="1" applyFill="1" applyBorder="1" applyAlignment="1" applyProtection="1">
      <alignment horizontal="left" vertical="center"/>
      <protection hidden="1"/>
    </xf>
    <xf numFmtId="0" fontId="12" fillId="11" borderId="0" xfId="0" applyFont="1" applyFill="1" applyBorder="1" applyAlignment="1" applyProtection="1">
      <alignment horizontal="left" vertical="center"/>
      <protection hidden="1"/>
    </xf>
    <xf numFmtId="0" fontId="12" fillId="11" borderId="23" xfId="0" applyFont="1" applyFill="1" applyBorder="1" applyAlignment="1" applyProtection="1">
      <alignment horizontal="left" vertical="center"/>
      <protection hidden="1"/>
    </xf>
    <xf numFmtId="0" fontId="12" fillId="22" borderId="6" xfId="0" applyFont="1" applyFill="1" applyBorder="1" applyAlignment="1" applyProtection="1">
      <alignment horizontal="left" vertical="center"/>
      <protection hidden="1"/>
    </xf>
    <xf numFmtId="0" fontId="12" fillId="21" borderId="36" xfId="0" applyFont="1" applyFill="1" applyBorder="1" applyAlignment="1" applyProtection="1">
      <alignment horizontal="left" vertical="center"/>
      <protection hidden="1"/>
    </xf>
    <xf numFmtId="0" fontId="12" fillId="21" borderId="23" xfId="0" applyFont="1" applyFill="1" applyBorder="1" applyAlignment="1" applyProtection="1">
      <alignment horizontal="left" vertical="center"/>
      <protection hidden="1"/>
    </xf>
    <xf numFmtId="0" fontId="12" fillId="18" borderId="6" xfId="0" applyFont="1" applyFill="1" applyBorder="1" applyAlignment="1" applyProtection="1">
      <alignment horizontal="left" vertical="center"/>
      <protection hidden="1"/>
    </xf>
    <xf numFmtId="0" fontId="12" fillId="17" borderId="36" xfId="0" applyFont="1" applyFill="1" applyBorder="1" applyAlignment="1" applyProtection="1">
      <alignment horizontal="left" vertical="center"/>
      <protection hidden="1"/>
    </xf>
    <xf numFmtId="0" fontId="12" fillId="17" borderId="0" xfId="0" applyFont="1" applyFill="1" applyBorder="1" applyAlignment="1" applyProtection="1">
      <alignment horizontal="left" vertical="center"/>
      <protection hidden="1"/>
    </xf>
    <xf numFmtId="0" fontId="9" fillId="13" borderId="36" xfId="0" applyFont="1" applyFill="1" applyBorder="1" applyAlignment="1" applyProtection="1">
      <alignment horizontal="left" vertical="center"/>
      <protection hidden="1"/>
    </xf>
    <xf numFmtId="0" fontId="9" fillId="13" borderId="23" xfId="0" applyFont="1" applyFill="1" applyBorder="1" applyAlignment="1" applyProtection="1">
      <alignment horizontal="left" vertical="center"/>
      <protection hidden="1"/>
    </xf>
    <xf numFmtId="0" fontId="12" fillId="99" borderId="6" xfId="0" applyFont="1" applyFill="1" applyBorder="1" applyAlignment="1" applyProtection="1">
      <alignment horizontal="left" vertical="center"/>
      <protection hidden="1"/>
    </xf>
    <xf numFmtId="0" fontId="12" fillId="98" borderId="36" xfId="0" applyFont="1" applyFill="1" applyBorder="1" applyAlignment="1" applyProtection="1">
      <alignment horizontal="left" vertical="center"/>
      <protection hidden="1"/>
    </xf>
    <xf numFmtId="0" fontId="12" fillId="98" borderId="0" xfId="0" quotePrefix="1" applyFont="1" applyFill="1" applyBorder="1" applyAlignment="1" applyProtection="1">
      <alignment horizontal="left" vertical="center"/>
      <protection hidden="1"/>
    </xf>
    <xf numFmtId="0" fontId="12" fillId="98" borderId="0" xfId="0" applyFont="1" applyFill="1" applyBorder="1" applyAlignment="1" applyProtection="1">
      <alignment horizontal="left" vertical="center"/>
      <protection hidden="1"/>
    </xf>
    <xf numFmtId="0" fontId="12" fillId="98" borderId="23" xfId="0" applyFont="1" applyFill="1" applyBorder="1" applyAlignment="1" applyProtection="1">
      <alignment horizontal="left" vertical="center"/>
      <protection hidden="1"/>
    </xf>
    <xf numFmtId="0" fontId="12" fillId="91" borderId="6" xfId="0" applyFont="1" applyFill="1" applyBorder="1" applyAlignment="1" applyProtection="1">
      <alignment horizontal="left" vertical="center"/>
      <protection hidden="1"/>
    </xf>
    <xf numFmtId="0" fontId="12" fillId="92" borderId="36" xfId="0" applyFont="1" applyFill="1" applyBorder="1" applyAlignment="1" applyProtection="1">
      <alignment horizontal="left" vertical="center"/>
      <protection hidden="1"/>
    </xf>
    <xf numFmtId="0" fontId="12" fillId="92" borderId="0" xfId="0" quotePrefix="1" applyFont="1" applyFill="1" applyBorder="1" applyAlignment="1" applyProtection="1">
      <alignment horizontal="left" vertical="center"/>
      <protection hidden="1"/>
    </xf>
    <xf numFmtId="0" fontId="12" fillId="92" borderId="0" xfId="0" applyFont="1" applyFill="1" applyBorder="1" applyAlignment="1" applyProtection="1">
      <alignment horizontal="left" vertical="center"/>
      <protection hidden="1"/>
    </xf>
    <xf numFmtId="0" fontId="12" fillId="92" borderId="23" xfId="0" applyFont="1" applyFill="1" applyBorder="1" applyAlignment="1" applyProtection="1">
      <alignment horizontal="left" vertical="center"/>
      <protection hidden="1"/>
    </xf>
    <xf numFmtId="0" fontId="12" fillId="32" borderId="6" xfId="0" applyFont="1" applyFill="1" applyBorder="1" applyAlignment="1" applyProtection="1">
      <alignment horizontal="left" vertical="center"/>
      <protection hidden="1"/>
    </xf>
    <xf numFmtId="0" fontId="12" fillId="16" borderId="36" xfId="0" applyFont="1" applyFill="1" applyBorder="1" applyAlignment="1" applyProtection="1">
      <alignment horizontal="left" vertical="center"/>
      <protection hidden="1"/>
    </xf>
    <xf numFmtId="0" fontId="12" fillId="16" borderId="0" xfId="0" applyFont="1" applyFill="1" applyBorder="1" applyAlignment="1" applyProtection="1">
      <alignment horizontal="left" vertical="center"/>
      <protection hidden="1"/>
    </xf>
    <xf numFmtId="0" fontId="12" fillId="134" borderId="6" xfId="0" applyFont="1" applyFill="1" applyBorder="1" applyAlignment="1" applyProtection="1">
      <alignment horizontal="left" vertical="center"/>
      <protection hidden="1"/>
    </xf>
    <xf numFmtId="0" fontId="9" fillId="135" borderId="36" xfId="0" applyFont="1" applyFill="1" applyBorder="1" applyAlignment="1" applyProtection="1">
      <alignment horizontal="left" vertical="center"/>
      <protection hidden="1"/>
    </xf>
    <xf numFmtId="0" fontId="9" fillId="135" borderId="23" xfId="0" applyFont="1" applyFill="1" applyBorder="1" applyAlignment="1" applyProtection="1">
      <alignment horizontal="left" vertical="center"/>
      <protection hidden="1"/>
    </xf>
    <xf numFmtId="165" fontId="31" fillId="30" borderId="6" xfId="0" applyNumberFormat="1" applyFont="1" applyFill="1" applyBorder="1" applyAlignment="1" applyProtection="1">
      <alignment horizontal="left" vertical="center"/>
      <protection hidden="1"/>
    </xf>
    <xf numFmtId="165" fontId="31" fillId="5" borderId="0" xfId="0" applyNumberFormat="1" applyFont="1" applyFill="1" applyAlignment="1" applyProtection="1">
      <alignment horizontal="left" vertical="center"/>
      <protection hidden="1"/>
    </xf>
    <xf numFmtId="0" fontId="17" fillId="5" borderId="0" xfId="0" applyFont="1" applyFill="1" applyBorder="1" applyAlignment="1" applyProtection="1">
      <alignment vertical="center"/>
      <protection hidden="1"/>
    </xf>
    <xf numFmtId="0" fontId="14" fillId="11" borderId="36" xfId="0" applyFont="1" applyFill="1" applyBorder="1" applyAlignment="1" applyProtection="1">
      <alignment horizontal="left" vertical="center"/>
      <protection hidden="1"/>
    </xf>
    <xf numFmtId="0" fontId="9" fillId="130" borderId="36" xfId="0" applyFont="1" applyFill="1" applyBorder="1" applyAlignment="1" applyProtection="1">
      <alignment horizontal="left" vertical="center"/>
      <protection hidden="1"/>
    </xf>
    <xf numFmtId="0" fontId="37" fillId="130" borderId="0" xfId="0" applyFont="1" applyFill="1" applyBorder="1" applyAlignment="1" applyProtection="1">
      <alignment horizontal="left" vertical="center"/>
      <protection hidden="1"/>
    </xf>
    <xf numFmtId="0" fontId="37" fillId="130" borderId="23" xfId="0" applyFont="1" applyFill="1" applyBorder="1" applyAlignment="1" applyProtection="1">
      <alignment horizontal="left" vertical="center"/>
      <protection hidden="1"/>
    </xf>
    <xf numFmtId="0" fontId="37" fillId="130" borderId="36" xfId="0" applyFont="1" applyFill="1" applyBorder="1" applyAlignment="1" applyProtection="1">
      <alignment horizontal="left" vertical="center"/>
      <protection hidden="1"/>
    </xf>
    <xf numFmtId="0" fontId="9" fillId="130" borderId="23" xfId="0" applyFont="1" applyFill="1" applyBorder="1" applyAlignment="1" applyProtection="1">
      <alignment horizontal="left" vertical="center"/>
      <protection hidden="1"/>
    </xf>
    <xf numFmtId="0" fontId="9" fillId="131" borderId="6" xfId="0" applyFont="1"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165" fontId="65" fillId="116" borderId="6" xfId="0" applyNumberFormat="1" applyFont="1" applyFill="1" applyBorder="1" applyAlignment="1" applyProtection="1">
      <alignment horizontal="center" vertical="center"/>
      <protection hidden="1"/>
    </xf>
    <xf numFmtId="2" fontId="14" fillId="5" borderId="0" xfId="4" applyFont="1" applyFill="1" applyBorder="1" applyAlignment="1" applyProtection="1">
      <alignment horizontal="center" vertical="center"/>
      <protection hidden="1"/>
    </xf>
    <xf numFmtId="164" fontId="32" fillId="31" borderId="36" xfId="0" applyNumberFormat="1" applyFont="1" applyFill="1" applyBorder="1" applyAlignment="1" applyProtection="1">
      <alignment horizontal="center" vertical="center" wrapText="1"/>
      <protection hidden="1"/>
    </xf>
    <xf numFmtId="0" fontId="9" fillId="118" borderId="6" xfId="0" applyFont="1" applyFill="1" applyBorder="1" applyAlignment="1" applyProtection="1">
      <alignment horizontal="center" vertical="center"/>
      <protection hidden="1"/>
    </xf>
    <xf numFmtId="2" fontId="17" fillId="5" borderId="0" xfId="4" applyFont="1" applyFill="1" applyBorder="1" applyAlignment="1" applyProtection="1">
      <alignment horizontal="center" vertical="center"/>
      <protection hidden="1"/>
    </xf>
    <xf numFmtId="0" fontId="9" fillId="97" borderId="0" xfId="0" applyFont="1" applyFill="1" applyAlignment="1" applyProtection="1">
      <alignment horizontal="center"/>
      <protection hidden="1"/>
    </xf>
    <xf numFmtId="0" fontId="48" fillId="6" borderId="0" xfId="0" applyFont="1" applyFill="1" applyBorder="1" applyAlignment="1" applyProtection="1">
      <alignment horizontal="center" vertical="center" wrapText="1"/>
      <protection hidden="1"/>
    </xf>
    <xf numFmtId="4" fontId="9" fillId="6" borderId="0" xfId="3" applyNumberFormat="1" applyFill="1" applyBorder="1" applyAlignment="1" applyProtection="1">
      <alignment horizontal="left" vertical="center"/>
      <protection hidden="1"/>
    </xf>
    <xf numFmtId="4" fontId="9" fillId="6" borderId="48" xfId="3" applyNumberFormat="1" applyFill="1" applyBorder="1" applyAlignment="1" applyProtection="1">
      <alignment vertical="center"/>
      <protection hidden="1"/>
    </xf>
    <xf numFmtId="0" fontId="9" fillId="6" borderId="0" xfId="9" applyFill="1" applyBorder="1" applyAlignment="1" applyProtection="1">
      <alignment horizontal="left" vertical="center"/>
      <protection hidden="1"/>
    </xf>
    <xf numFmtId="0" fontId="9" fillId="6" borderId="48" xfId="9" applyFill="1" applyBorder="1" applyAlignment="1" applyProtection="1">
      <alignment vertical="center"/>
      <protection hidden="1"/>
    </xf>
    <xf numFmtId="165" fontId="12" fillId="6" borderId="0" xfId="7" applyFont="1" applyFill="1" applyBorder="1" applyAlignment="1" applyProtection="1">
      <alignment horizontal="center" vertical="center"/>
      <protection hidden="1"/>
    </xf>
    <xf numFmtId="0" fontId="42" fillId="26" borderId="0" xfId="0" applyFont="1" applyFill="1" applyProtection="1">
      <protection hidden="1"/>
    </xf>
    <xf numFmtId="0" fontId="9" fillId="5" borderId="46" xfId="0" applyFont="1" applyFill="1" applyBorder="1" applyAlignment="1" applyProtection="1">
      <alignment horizontal="left"/>
      <protection hidden="1"/>
    </xf>
    <xf numFmtId="0" fontId="9" fillId="2" borderId="14"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6" borderId="0" xfId="0" applyFont="1" applyFill="1" applyBorder="1" applyProtection="1">
      <protection hidden="1"/>
    </xf>
    <xf numFmtId="0" fontId="9" fillId="6" borderId="0" xfId="0" applyFont="1" applyFill="1" applyBorder="1" applyAlignment="1" applyProtection="1">
      <alignment horizontal="right"/>
      <protection hidden="1"/>
    </xf>
    <xf numFmtId="0" fontId="9" fillId="5" borderId="0" xfId="0" applyFont="1" applyFill="1" applyBorder="1" applyAlignment="1" applyProtection="1">
      <alignment horizontal="right"/>
      <protection hidden="1"/>
    </xf>
    <xf numFmtId="0" fontId="9" fillId="142" borderId="3" xfId="0" applyFont="1" applyFill="1" applyBorder="1" applyProtection="1">
      <protection hidden="1"/>
    </xf>
    <xf numFmtId="0" fontId="9" fillId="142" borderId="6" xfId="0" applyFont="1" applyFill="1" applyBorder="1" applyProtection="1">
      <protection hidden="1"/>
    </xf>
    <xf numFmtId="0" fontId="9" fillId="142" borderId="6" xfId="0" applyFont="1" applyFill="1" applyBorder="1" applyAlignment="1" applyProtection="1">
      <alignment horizontal="center" vertical="center"/>
      <protection hidden="1"/>
    </xf>
    <xf numFmtId="0" fontId="9" fillId="142" borderId="6" xfId="0" applyFont="1" applyFill="1" applyBorder="1" applyAlignment="1" applyProtection="1">
      <alignment horizontal="right"/>
      <protection hidden="1"/>
    </xf>
    <xf numFmtId="0" fontId="9" fillId="142" borderId="2" xfId="0" applyFont="1" applyFill="1" applyBorder="1" applyProtection="1">
      <protection hidden="1"/>
    </xf>
    <xf numFmtId="0" fontId="0" fillId="5" borderId="0" xfId="0" applyFill="1" applyAlignment="1" applyProtection="1">
      <alignment horizontal="right"/>
      <protection hidden="1"/>
    </xf>
    <xf numFmtId="0" fontId="9" fillId="2" borderId="0" xfId="0" applyFont="1" applyFill="1" applyAlignment="1" applyProtection="1">
      <alignment horizontal="right" vertical="center"/>
      <protection hidden="1"/>
    </xf>
    <xf numFmtId="0" fontId="86" fillId="5" borderId="0" xfId="0" applyFont="1" applyFill="1" applyBorder="1" applyAlignment="1" applyProtection="1">
      <alignment vertical="center" wrapText="1"/>
      <protection hidden="1"/>
    </xf>
    <xf numFmtId="0" fontId="9" fillId="2" borderId="0" xfId="0" applyFont="1" applyFill="1" applyBorder="1" applyAlignment="1" applyProtection="1">
      <alignment horizontal="right"/>
      <protection hidden="1"/>
    </xf>
    <xf numFmtId="0" fontId="17" fillId="5" borderId="0" xfId="0" applyFont="1" applyFill="1" applyBorder="1" applyProtection="1">
      <protection hidden="1"/>
    </xf>
    <xf numFmtId="0" fontId="9" fillId="15" borderId="8" xfId="0" applyFont="1" applyFill="1" applyBorder="1" applyProtection="1">
      <protection hidden="1"/>
    </xf>
    <xf numFmtId="0" fontId="110" fillId="5" borderId="0" xfId="0" applyFont="1" applyFill="1" applyBorder="1" applyProtection="1">
      <protection hidden="1"/>
    </xf>
    <xf numFmtId="0" fontId="110" fillId="5" borderId="0" xfId="0" applyFont="1" applyFill="1" applyBorder="1" applyAlignment="1" applyProtection="1">
      <alignment horizontal="center" vertical="center"/>
      <protection hidden="1"/>
    </xf>
    <xf numFmtId="0" fontId="48" fillId="15" borderId="0" xfId="0" applyFont="1" applyFill="1" applyBorder="1" applyAlignment="1" applyProtection="1">
      <alignment horizontal="center" vertical="center" wrapText="1"/>
      <protection hidden="1"/>
    </xf>
    <xf numFmtId="0" fontId="48" fillId="15" borderId="0" xfId="0" applyFont="1" applyFill="1" applyBorder="1" applyAlignment="1" applyProtection="1">
      <alignment horizontal="left" vertical="center" wrapText="1"/>
      <protection hidden="1"/>
    </xf>
    <xf numFmtId="0" fontId="9" fillId="15" borderId="0" xfId="0" quotePrefix="1" applyFont="1" applyFill="1" applyBorder="1" applyAlignment="1" applyProtection="1">
      <alignment horizontal="left" vertical="center"/>
      <protection hidden="1"/>
    </xf>
    <xf numFmtId="0" fontId="37" fillId="5" borderId="0" xfId="0" applyFont="1" applyFill="1" applyBorder="1" applyAlignment="1" applyProtection="1">
      <alignment vertical="center" wrapText="1"/>
      <protection hidden="1"/>
    </xf>
    <xf numFmtId="0" fontId="37" fillId="5" borderId="0" xfId="0" applyFont="1" applyFill="1" applyBorder="1" applyAlignment="1" applyProtection="1">
      <alignment horizontal="left" vertical="center" wrapText="1"/>
      <protection hidden="1"/>
    </xf>
    <xf numFmtId="0" fontId="59" fillId="5" borderId="0" xfId="0" applyFont="1" applyFill="1" applyBorder="1" applyAlignment="1" applyProtection="1">
      <alignment vertical="center" wrapText="1"/>
      <protection hidden="1"/>
    </xf>
    <xf numFmtId="0" fontId="32" fillId="5" borderId="0" xfId="0" applyFont="1" applyFill="1" applyBorder="1" applyAlignment="1" applyProtection="1">
      <alignment horizontal="center" vertical="center"/>
      <protection hidden="1"/>
    </xf>
    <xf numFmtId="0" fontId="29" fillId="5" borderId="0" xfId="0" applyFont="1" applyFill="1" applyBorder="1" applyAlignment="1" applyProtection="1">
      <alignment vertical="center"/>
      <protection hidden="1"/>
    </xf>
    <xf numFmtId="0" fontId="55" fillId="5" borderId="0" xfId="0" applyFont="1" applyFill="1" applyBorder="1" applyAlignment="1" applyProtection="1">
      <alignment vertical="center" wrapText="1"/>
      <protection hidden="1"/>
    </xf>
    <xf numFmtId="0" fontId="28" fillId="5" borderId="0" xfId="0" applyFont="1" applyFill="1" applyBorder="1" applyAlignment="1" applyProtection="1">
      <alignment vertical="center" wrapText="1"/>
      <protection hidden="1"/>
    </xf>
    <xf numFmtId="0" fontId="59" fillId="5" borderId="0" xfId="0" applyFont="1" applyFill="1" applyBorder="1" applyAlignment="1" applyProtection="1">
      <alignment vertical="center"/>
      <protection hidden="1"/>
    </xf>
    <xf numFmtId="0" fontId="55" fillId="5" borderId="0" xfId="0" applyFont="1" applyFill="1" applyBorder="1" applyAlignment="1" applyProtection="1">
      <alignment wrapText="1"/>
      <protection hidden="1"/>
    </xf>
    <xf numFmtId="0" fontId="55" fillId="5" borderId="0" xfId="0" applyFont="1" applyFill="1" applyBorder="1" applyAlignment="1" applyProtection="1">
      <alignment horizontal="left" wrapText="1"/>
      <protection hidden="1"/>
    </xf>
    <xf numFmtId="0" fontId="55" fillId="5" borderId="0" xfId="0" applyFont="1" applyFill="1" applyBorder="1" applyAlignment="1" applyProtection="1">
      <protection hidden="1"/>
    </xf>
    <xf numFmtId="0" fontId="55" fillId="5" borderId="0" xfId="0" applyFont="1" applyFill="1" applyBorder="1" applyProtection="1">
      <protection hidden="1"/>
    </xf>
    <xf numFmtId="0" fontId="55" fillId="5" borderId="0" xfId="0" applyFont="1" applyFill="1" applyBorder="1" applyAlignment="1" applyProtection="1">
      <alignment horizontal="right"/>
      <protection hidden="1"/>
    </xf>
    <xf numFmtId="0" fontId="55" fillId="5" borderId="0" xfId="0" applyFont="1" applyFill="1" applyBorder="1" applyAlignment="1" applyProtection="1">
      <alignment horizontal="center" vertical="center"/>
      <protection hidden="1"/>
    </xf>
    <xf numFmtId="0" fontId="9" fillId="15" borderId="0" xfId="0" applyFont="1" applyFill="1" applyProtection="1">
      <protection hidden="1"/>
    </xf>
    <xf numFmtId="0" fontId="60" fillId="5" borderId="0" xfId="0" applyFont="1" applyFill="1" applyBorder="1" applyAlignment="1" applyProtection="1">
      <alignment vertical="center" wrapText="1"/>
      <protection hidden="1"/>
    </xf>
    <xf numFmtId="0" fontId="113" fillId="5" borderId="0" xfId="0" applyFont="1" applyFill="1" applyBorder="1" applyAlignment="1" applyProtection="1">
      <alignment vertical="center"/>
      <protection hidden="1"/>
    </xf>
    <xf numFmtId="0" fontId="112" fillId="5" borderId="0" xfId="0" applyFont="1" applyFill="1" applyBorder="1" applyAlignment="1" applyProtection="1">
      <alignment horizontal="left" vertical="center"/>
      <protection hidden="1"/>
    </xf>
    <xf numFmtId="0" fontId="109" fillId="5" borderId="0" xfId="0" applyFont="1" applyFill="1" applyBorder="1" applyProtection="1">
      <protection hidden="1"/>
    </xf>
    <xf numFmtId="0" fontId="84" fillId="5" borderId="0" xfId="0" applyFont="1" applyFill="1" applyBorder="1" applyProtection="1">
      <protection hidden="1"/>
    </xf>
    <xf numFmtId="0" fontId="84" fillId="5" borderId="0" xfId="0" applyFont="1" applyFill="1" applyBorder="1" applyAlignment="1" applyProtection="1">
      <alignment horizontal="right" vertical="center"/>
      <protection hidden="1"/>
    </xf>
    <xf numFmtId="0" fontId="84" fillId="5" borderId="0" xfId="0" applyFont="1" applyFill="1" applyBorder="1" applyAlignment="1" applyProtection="1">
      <alignment vertical="center"/>
      <protection hidden="1"/>
    </xf>
    <xf numFmtId="0" fontId="47" fillId="15" borderId="0" xfId="0" applyFont="1" applyFill="1" applyBorder="1" applyAlignment="1" applyProtection="1">
      <alignment vertical="center"/>
      <protection hidden="1"/>
    </xf>
    <xf numFmtId="0" fontId="47" fillId="15" borderId="0" xfId="0" applyFont="1" applyFill="1" applyBorder="1" applyAlignment="1" applyProtection="1">
      <alignment vertical="center" wrapText="1"/>
      <protection hidden="1"/>
    </xf>
    <xf numFmtId="0" fontId="48" fillId="15" borderId="0" xfId="0" applyFont="1" applyFill="1" applyBorder="1" applyAlignment="1" applyProtection="1">
      <alignment vertical="center" wrapText="1"/>
      <protection hidden="1"/>
    </xf>
    <xf numFmtId="0" fontId="17" fillId="15" borderId="48" xfId="0" applyFont="1" applyFill="1" applyBorder="1" applyAlignment="1" applyProtection="1">
      <alignment vertical="top" wrapText="1"/>
      <protection hidden="1"/>
    </xf>
    <xf numFmtId="0" fontId="61" fillId="5" borderId="0" xfId="0" applyFont="1" applyFill="1" applyBorder="1" applyAlignment="1" applyProtection="1">
      <alignment vertical="center" wrapText="1"/>
      <protection hidden="1"/>
    </xf>
    <xf numFmtId="0" fontId="61" fillId="5" borderId="0" xfId="0" applyFont="1" applyFill="1" applyBorder="1" applyAlignment="1" applyProtection="1">
      <alignment horizontal="right" vertical="center" wrapText="1"/>
      <protection hidden="1"/>
    </xf>
    <xf numFmtId="0" fontId="12" fillId="5" borderId="0" xfId="0" applyFont="1" applyFill="1" applyBorder="1" applyAlignment="1" applyProtection="1">
      <alignment horizontal="right" vertical="center"/>
      <protection hidden="1"/>
    </xf>
    <xf numFmtId="0" fontId="61" fillId="5" borderId="0" xfId="0" applyFont="1" applyFill="1" applyBorder="1" applyAlignment="1" applyProtection="1">
      <alignment horizontal="right" vertical="center"/>
      <protection hidden="1"/>
    </xf>
    <xf numFmtId="0" fontId="55" fillId="5" borderId="0" xfId="0" applyFont="1" applyFill="1" applyBorder="1" applyAlignment="1" applyProtection="1">
      <alignment horizontal="right" vertical="center"/>
      <protection hidden="1"/>
    </xf>
    <xf numFmtId="0" fontId="12" fillId="5" borderId="0" xfId="0" applyFont="1" applyFill="1" applyBorder="1" applyProtection="1">
      <protection hidden="1"/>
    </xf>
    <xf numFmtId="0" fontId="17" fillId="15" borderId="0" xfId="0" applyFont="1" applyFill="1" applyBorder="1" applyAlignment="1" applyProtection="1">
      <alignment horizontal="center" vertical="center" wrapText="1"/>
      <protection hidden="1"/>
    </xf>
    <xf numFmtId="0" fontId="28" fillId="5" borderId="0" xfId="0" applyFont="1" applyFill="1" applyBorder="1" applyAlignment="1" applyProtection="1">
      <alignment vertical="center"/>
      <protection hidden="1"/>
    </xf>
    <xf numFmtId="0" fontId="9" fillId="15" borderId="52" xfId="0" applyFont="1" applyFill="1" applyBorder="1" applyProtection="1">
      <protection hidden="1"/>
    </xf>
    <xf numFmtId="0" fontId="9" fillId="26" borderId="0" xfId="0" applyFont="1" applyFill="1" applyBorder="1" applyProtection="1">
      <protection hidden="1"/>
    </xf>
    <xf numFmtId="0" fontId="55" fillId="5" borderId="0" xfId="0" applyFont="1" applyFill="1" applyBorder="1" applyAlignment="1" applyProtection="1">
      <alignment vertical="center"/>
      <protection hidden="1"/>
    </xf>
    <xf numFmtId="0" fontId="9" fillId="26" borderId="0" xfId="0" applyFont="1" applyFill="1" applyBorder="1" applyAlignment="1" applyProtection="1">
      <alignment vertical="center"/>
      <protection hidden="1"/>
    </xf>
    <xf numFmtId="0" fontId="58" fillId="5"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55" fillId="5" borderId="0" xfId="0" applyFont="1" applyFill="1" applyBorder="1" applyAlignment="1" applyProtection="1">
      <alignment vertical="top"/>
      <protection hidden="1"/>
    </xf>
    <xf numFmtId="0" fontId="58" fillId="5" borderId="0" xfId="0" applyFont="1" applyFill="1" applyBorder="1" applyAlignment="1" applyProtection="1">
      <protection hidden="1"/>
    </xf>
    <xf numFmtId="0" fontId="58" fillId="5" borderId="0" xfId="0" applyFont="1" applyFill="1" applyBorder="1" applyAlignment="1" applyProtection="1">
      <alignment horizontal="right"/>
      <protection hidden="1"/>
    </xf>
    <xf numFmtId="0" fontId="68" fillId="5" borderId="0" xfId="0" applyFont="1" applyFill="1" applyBorder="1" applyAlignment="1" applyProtection="1">
      <alignment vertical="center"/>
      <protection hidden="1"/>
    </xf>
    <xf numFmtId="0" fontId="47" fillId="5" borderId="0" xfId="0" applyFont="1" applyFill="1" applyBorder="1" applyAlignment="1" applyProtection="1">
      <alignment vertical="center" wrapText="1"/>
      <protection hidden="1"/>
    </xf>
    <xf numFmtId="0" fontId="62" fillId="5" borderId="0" xfId="0" applyFont="1" applyFill="1" applyBorder="1" applyAlignment="1" applyProtection="1">
      <alignment vertical="center"/>
      <protection hidden="1"/>
    </xf>
    <xf numFmtId="166" fontId="37" fillId="5" borderId="0" xfId="0" applyNumberFormat="1" applyFont="1" applyFill="1" applyBorder="1" applyAlignment="1" applyProtection="1">
      <alignment vertical="center"/>
      <protection hidden="1"/>
    </xf>
    <xf numFmtId="0" fontId="47" fillId="15" borderId="23" xfId="0" applyFont="1" applyFill="1" applyBorder="1" applyAlignment="1" applyProtection="1">
      <alignment vertical="top" wrapText="1"/>
      <protection hidden="1"/>
    </xf>
    <xf numFmtId="0" fontId="9" fillId="15" borderId="23" xfId="0" applyFont="1" applyFill="1" applyBorder="1" applyProtection="1">
      <protection hidden="1"/>
    </xf>
    <xf numFmtId="0" fontId="9" fillId="15" borderId="23" xfId="0" applyFont="1" applyFill="1" applyBorder="1" applyAlignment="1" applyProtection="1">
      <alignment horizontal="center"/>
      <protection hidden="1"/>
    </xf>
    <xf numFmtId="0" fontId="9" fillId="15" borderId="39" xfId="0" applyFont="1" applyFill="1" applyBorder="1" applyProtection="1">
      <protection hidden="1"/>
    </xf>
    <xf numFmtId="0" fontId="9" fillId="15" borderId="38" xfId="0" applyFont="1" applyFill="1" applyBorder="1" applyProtection="1">
      <protection hidden="1"/>
    </xf>
    <xf numFmtId="0" fontId="17" fillId="15" borderId="23" xfId="0" applyFont="1" applyFill="1" applyBorder="1" applyAlignment="1" applyProtection="1">
      <alignment horizontal="center" vertical="center" wrapText="1"/>
      <protection hidden="1"/>
    </xf>
    <xf numFmtId="0" fontId="17" fillId="15" borderId="39" xfId="0" applyFont="1" applyFill="1" applyBorder="1" applyAlignment="1" applyProtection="1">
      <alignment vertical="top" wrapText="1"/>
      <protection hidden="1"/>
    </xf>
    <xf numFmtId="0" fontId="62" fillId="26" borderId="0" xfId="0" applyFont="1" applyFill="1" applyBorder="1" applyAlignment="1" applyProtection="1">
      <alignment vertical="center"/>
      <protection hidden="1"/>
    </xf>
    <xf numFmtId="166" fontId="37" fillId="26" borderId="0" xfId="0" applyNumberFormat="1" applyFont="1" applyFill="1" applyBorder="1" applyAlignment="1" applyProtection="1">
      <alignment vertical="center"/>
      <protection hidden="1"/>
    </xf>
    <xf numFmtId="0" fontId="9" fillId="26" borderId="0" xfId="0" applyFont="1" applyFill="1" applyBorder="1" applyAlignment="1" applyProtection="1">
      <alignment horizontal="right"/>
      <protection hidden="1"/>
    </xf>
    <xf numFmtId="0" fontId="37" fillId="26" borderId="0" xfId="0" applyFont="1" applyFill="1" applyBorder="1" applyAlignment="1" applyProtection="1">
      <alignment vertical="center"/>
      <protection hidden="1"/>
    </xf>
    <xf numFmtId="0" fontId="29" fillId="26" borderId="0" xfId="0" applyFont="1" applyFill="1" applyBorder="1" applyAlignment="1" applyProtection="1">
      <alignment vertical="center"/>
      <protection hidden="1"/>
    </xf>
    <xf numFmtId="0" fontId="55" fillId="26" borderId="0" xfId="0" applyFont="1" applyFill="1" applyBorder="1" applyAlignment="1" applyProtection="1">
      <alignment vertical="center"/>
      <protection hidden="1"/>
    </xf>
    <xf numFmtId="0" fontId="62" fillId="5" borderId="0" xfId="0" applyFont="1" applyFill="1" applyBorder="1" applyAlignment="1" applyProtection="1">
      <protection hidden="1"/>
    </xf>
    <xf numFmtId="0" fontId="9" fillId="6" borderId="0" xfId="0" applyFont="1" applyFill="1" applyAlignment="1" applyProtection="1">
      <alignment horizontal="center"/>
      <protection hidden="1"/>
    </xf>
    <xf numFmtId="0" fontId="9" fillId="5" borderId="0" xfId="0" quotePrefix="1" applyFont="1" applyFill="1" applyBorder="1" applyAlignment="1" applyProtection="1">
      <alignment horizontal="right" vertical="center"/>
      <protection hidden="1"/>
    </xf>
    <xf numFmtId="0" fontId="9" fillId="5" borderId="0" xfId="0" applyFont="1" applyFill="1" applyAlignment="1" applyProtection="1">
      <alignment vertical="top"/>
      <protection hidden="1"/>
    </xf>
    <xf numFmtId="0" fontId="9" fillId="71" borderId="1" xfId="0" applyFont="1" applyFill="1" applyBorder="1" applyProtection="1">
      <protection hidden="1"/>
    </xf>
    <xf numFmtId="0" fontId="59" fillId="5" borderId="0" xfId="0" applyFont="1" applyFill="1" applyBorder="1" applyProtection="1">
      <protection hidden="1"/>
    </xf>
    <xf numFmtId="0" fontId="109" fillId="5" borderId="0" xfId="0" applyFont="1" applyFill="1" applyBorder="1" applyAlignment="1" applyProtection="1">
      <alignment horizontal="right" vertical="center"/>
      <protection hidden="1"/>
    </xf>
    <xf numFmtId="0" fontId="84" fillId="5" borderId="0" xfId="0" applyFont="1" applyFill="1" applyBorder="1" applyAlignment="1" applyProtection="1">
      <alignment horizontal="left" vertical="center"/>
      <protection hidden="1"/>
    </xf>
    <xf numFmtId="0" fontId="9" fillId="70" borderId="47" xfId="0" applyFont="1" applyFill="1" applyBorder="1" applyProtection="1">
      <protection hidden="1"/>
    </xf>
    <xf numFmtId="0" fontId="9" fillId="70" borderId="0" xfId="0" applyFont="1" applyFill="1" applyBorder="1" applyProtection="1">
      <protection hidden="1"/>
    </xf>
    <xf numFmtId="0" fontId="9" fillId="70" borderId="48" xfId="0" applyFont="1" applyFill="1" applyBorder="1" applyProtection="1">
      <protection hidden="1"/>
    </xf>
    <xf numFmtId="0" fontId="28" fillId="5" borderId="0" xfId="0" applyFont="1" applyFill="1" applyBorder="1" applyAlignment="1" applyProtection="1">
      <alignment horizontal="center" vertical="center"/>
      <protection hidden="1"/>
    </xf>
    <xf numFmtId="0" fontId="9" fillId="4" borderId="0" xfId="0" applyFont="1" applyFill="1" applyProtection="1">
      <protection hidden="1"/>
    </xf>
    <xf numFmtId="0" fontId="9" fillId="70" borderId="52" xfId="0" applyFont="1" applyFill="1" applyBorder="1" applyProtection="1">
      <protection hidden="1"/>
    </xf>
    <xf numFmtId="0" fontId="108" fillId="5" borderId="0" xfId="0" applyFont="1" applyFill="1" applyBorder="1" applyProtection="1">
      <protection hidden="1"/>
    </xf>
    <xf numFmtId="0" fontId="82" fillId="5" borderId="15" xfId="0" applyFont="1" applyFill="1" applyBorder="1" applyProtection="1">
      <protection hidden="1"/>
    </xf>
    <xf numFmtId="0" fontId="82" fillId="44" borderId="15" xfId="0" applyFont="1" applyFill="1" applyBorder="1" applyProtection="1">
      <protection hidden="1"/>
    </xf>
    <xf numFmtId="0" fontId="9" fillId="5" borderId="15" xfId="0" applyFont="1" applyFill="1" applyBorder="1" applyProtection="1">
      <protection hidden="1"/>
    </xf>
    <xf numFmtId="0" fontId="9" fillId="81" borderId="15" xfId="0" applyFont="1" applyFill="1" applyBorder="1" applyProtection="1">
      <protection hidden="1"/>
    </xf>
    <xf numFmtId="0" fontId="9" fillId="44" borderId="15" xfId="0" applyFont="1" applyFill="1" applyBorder="1" applyProtection="1">
      <protection hidden="1"/>
    </xf>
    <xf numFmtId="0" fontId="17" fillId="5" borderId="0" xfId="0" applyFont="1" applyFill="1" applyProtection="1">
      <protection hidden="1"/>
    </xf>
    <xf numFmtId="0" fontId="17" fillId="70" borderId="52" xfId="0" applyFont="1" applyFill="1" applyBorder="1" applyProtection="1">
      <protection hidden="1"/>
    </xf>
    <xf numFmtId="0" fontId="17" fillId="70" borderId="47" xfId="0" applyFont="1" applyFill="1" applyBorder="1" applyProtection="1">
      <protection hidden="1"/>
    </xf>
    <xf numFmtId="0" fontId="17" fillId="70" borderId="48" xfId="0" applyFont="1" applyFill="1" applyBorder="1" applyAlignment="1" applyProtection="1">
      <alignment vertical="center"/>
      <protection hidden="1"/>
    </xf>
    <xf numFmtId="0" fontId="17" fillId="70" borderId="48" xfId="0" applyFont="1" applyFill="1" applyBorder="1" applyProtection="1">
      <protection hidden="1"/>
    </xf>
    <xf numFmtId="0" fontId="17" fillId="5" borderId="0" xfId="0" applyFont="1" applyFill="1" applyBorder="1" applyAlignment="1" applyProtection="1">
      <alignment horizontal="right"/>
      <protection hidden="1"/>
    </xf>
    <xf numFmtId="0" fontId="9" fillId="4" borderId="15" xfId="0" applyFont="1" applyFill="1" applyBorder="1" applyProtection="1">
      <protection hidden="1"/>
    </xf>
    <xf numFmtId="0" fontId="9" fillId="43" borderId="0" xfId="0" applyFont="1" applyFill="1" applyBorder="1" applyProtection="1">
      <protection hidden="1"/>
    </xf>
    <xf numFmtId="0" fontId="9" fillId="24" borderId="0" xfId="0" applyFont="1" applyFill="1" applyBorder="1" applyProtection="1">
      <protection hidden="1"/>
    </xf>
    <xf numFmtId="0" fontId="9" fillId="5" borderId="15" xfId="0" applyFont="1" applyFill="1" applyBorder="1" applyAlignment="1" applyProtection="1">
      <alignment horizontal="left"/>
      <protection hidden="1"/>
    </xf>
    <xf numFmtId="0" fontId="9" fillId="2" borderId="15" xfId="0" applyFont="1" applyFill="1" applyBorder="1" applyAlignment="1" applyProtection="1">
      <alignment horizontal="right"/>
      <protection hidden="1"/>
    </xf>
    <xf numFmtId="0" fontId="9" fillId="43" borderId="15" xfId="0" applyFont="1" applyFill="1" applyBorder="1" applyProtection="1">
      <protection hidden="1"/>
    </xf>
    <xf numFmtId="0" fontId="9" fillId="24" borderId="15" xfId="0" applyFont="1" applyFill="1" applyBorder="1" applyProtection="1">
      <protection hidden="1"/>
    </xf>
    <xf numFmtId="0" fontId="9" fillId="70" borderId="38" xfId="0" applyFont="1" applyFill="1" applyBorder="1" applyProtection="1">
      <protection hidden="1"/>
    </xf>
    <xf numFmtId="0" fontId="9" fillId="70" borderId="23" xfId="0" applyFont="1" applyFill="1" applyBorder="1" applyProtection="1">
      <protection hidden="1"/>
    </xf>
    <xf numFmtId="0" fontId="9" fillId="70" borderId="23" xfId="0" applyFont="1" applyFill="1" applyBorder="1" applyAlignment="1" applyProtection="1">
      <alignment horizontal="center"/>
      <protection hidden="1"/>
    </xf>
    <xf numFmtId="0" fontId="9" fillId="70" borderId="23" xfId="0" applyFont="1" applyFill="1" applyBorder="1" applyAlignment="1" applyProtection="1">
      <alignment horizontal="left" vertical="center"/>
      <protection hidden="1"/>
    </xf>
    <xf numFmtId="0" fontId="9" fillId="70" borderId="39" xfId="0" applyFont="1" applyFill="1" applyBorder="1" applyProtection="1">
      <protection hidden="1"/>
    </xf>
    <xf numFmtId="0" fontId="9" fillId="5" borderId="55" xfId="0" applyFont="1" applyFill="1" applyBorder="1" applyAlignment="1" applyProtection="1">
      <alignment horizontal="left"/>
      <protection hidden="1"/>
    </xf>
    <xf numFmtId="0" fontId="9" fillId="4" borderId="18" xfId="0" applyFont="1" applyFill="1" applyBorder="1" applyAlignment="1" applyProtection="1">
      <alignment horizontal="right"/>
      <protection hidden="1"/>
    </xf>
    <xf numFmtId="0" fontId="9" fillId="70" borderId="35" xfId="0" applyFont="1" applyFill="1" applyBorder="1" applyProtection="1">
      <protection hidden="1"/>
    </xf>
    <xf numFmtId="0" fontId="9" fillId="70" borderId="36" xfId="0" applyFont="1" applyFill="1" applyBorder="1" applyProtection="1">
      <protection hidden="1"/>
    </xf>
    <xf numFmtId="0" fontId="9" fillId="70" borderId="37" xfId="0" applyFont="1" applyFill="1" applyBorder="1" applyProtection="1">
      <protection hidden="1"/>
    </xf>
    <xf numFmtId="0" fontId="9" fillId="5" borderId="28" xfId="0" applyFont="1" applyFill="1" applyBorder="1" applyAlignment="1" applyProtection="1">
      <alignment horizontal="left"/>
      <protection hidden="1"/>
    </xf>
    <xf numFmtId="0" fontId="9" fillId="4" borderId="19" xfId="0" applyFont="1" applyFill="1" applyBorder="1" applyAlignment="1" applyProtection="1">
      <alignment horizontal="right"/>
      <protection hidden="1"/>
    </xf>
    <xf numFmtId="0" fontId="31" fillId="70" borderId="0" xfId="0" applyFont="1" applyFill="1" applyBorder="1" applyAlignment="1" applyProtection="1">
      <alignment horizontal="center"/>
      <protection hidden="1"/>
    </xf>
    <xf numFmtId="0" fontId="54" fillId="70" borderId="52" xfId="0" applyFont="1" applyFill="1" applyBorder="1" applyProtection="1">
      <protection hidden="1"/>
    </xf>
    <xf numFmtId="0" fontId="9" fillId="9" borderId="15" xfId="0" applyFont="1" applyFill="1" applyBorder="1" applyProtection="1">
      <protection hidden="1"/>
    </xf>
    <xf numFmtId="0" fontId="9" fillId="70" borderId="0" xfId="0" quotePrefix="1" applyFont="1" applyFill="1" applyBorder="1" applyAlignment="1" applyProtection="1">
      <alignment horizontal="left" vertical="center"/>
      <protection hidden="1"/>
    </xf>
    <xf numFmtId="0" fontId="9" fillId="4" borderId="21" xfId="0" applyFont="1" applyFill="1" applyBorder="1" applyAlignment="1" applyProtection="1">
      <alignment horizontal="right"/>
      <protection hidden="1"/>
    </xf>
    <xf numFmtId="0" fontId="9" fillId="53" borderId="15" xfId="0" applyFont="1" applyFill="1" applyBorder="1" applyProtection="1">
      <protection hidden="1"/>
    </xf>
    <xf numFmtId="0" fontId="9" fillId="70" borderId="9" xfId="0" applyFont="1" applyFill="1" applyBorder="1" applyProtection="1">
      <protection hidden="1"/>
    </xf>
    <xf numFmtId="0" fontId="9" fillId="83" borderId="15" xfId="0" applyFont="1" applyFill="1" applyBorder="1" applyProtection="1">
      <protection hidden="1"/>
    </xf>
    <xf numFmtId="0" fontId="9" fillId="38" borderId="3" xfId="0" applyFont="1" applyFill="1" applyBorder="1" applyProtection="1">
      <protection hidden="1"/>
    </xf>
    <xf numFmtId="0" fontId="9" fillId="38" borderId="2" xfId="0" applyFont="1" applyFill="1" applyBorder="1" applyProtection="1">
      <protection hidden="1"/>
    </xf>
    <xf numFmtId="0" fontId="9" fillId="11" borderId="35" xfId="0" applyFont="1" applyFill="1" applyBorder="1" applyProtection="1">
      <protection hidden="1"/>
    </xf>
    <xf numFmtId="0" fontId="9" fillId="11" borderId="36" xfId="0" applyFont="1" applyFill="1" applyBorder="1" applyProtection="1">
      <protection hidden="1"/>
    </xf>
    <xf numFmtId="0" fontId="9" fillId="11" borderId="36" xfId="0" applyFont="1" applyFill="1" applyBorder="1" applyAlignment="1" applyProtection="1">
      <alignment horizontal="center"/>
      <protection hidden="1"/>
    </xf>
    <xf numFmtId="0" fontId="9" fillId="11" borderId="37" xfId="0" applyFont="1" applyFill="1" applyBorder="1" applyProtection="1">
      <protection hidden="1"/>
    </xf>
    <xf numFmtId="0" fontId="9" fillId="11" borderId="0" xfId="0" applyFont="1" applyFill="1" applyProtection="1">
      <protection hidden="1"/>
    </xf>
    <xf numFmtId="0" fontId="9" fillId="11" borderId="47" xfId="0" applyFont="1" applyFill="1" applyBorder="1" applyProtection="1">
      <protection hidden="1"/>
    </xf>
    <xf numFmtId="0" fontId="9" fillId="11" borderId="0" xfId="0" applyFont="1" applyFill="1" applyBorder="1" applyProtection="1">
      <protection hidden="1"/>
    </xf>
    <xf numFmtId="0" fontId="48" fillId="11" borderId="0" xfId="0" applyFont="1" applyFill="1" applyBorder="1" applyAlignment="1" applyProtection="1">
      <alignment horizontal="left" vertical="center" wrapText="1"/>
      <protection hidden="1"/>
    </xf>
    <xf numFmtId="0" fontId="48" fillId="11" borderId="48" xfId="0" applyFont="1" applyFill="1" applyBorder="1" applyAlignment="1" applyProtection="1">
      <alignment horizontal="left" vertical="center" wrapText="1"/>
      <protection hidden="1"/>
    </xf>
    <xf numFmtId="0" fontId="9" fillId="11" borderId="48" xfId="0" applyFont="1" applyFill="1" applyBorder="1" applyProtection="1">
      <protection hidden="1"/>
    </xf>
    <xf numFmtId="0" fontId="9" fillId="11" borderId="0" xfId="0" applyFont="1" applyFill="1" applyBorder="1" applyAlignment="1" applyProtection="1">
      <alignment horizontal="center"/>
      <protection hidden="1"/>
    </xf>
    <xf numFmtId="0" fontId="48" fillId="11" borderId="0" xfId="0" quotePrefix="1" applyFont="1" applyFill="1" applyBorder="1" applyAlignment="1" applyProtection="1">
      <alignment horizontal="left" vertical="center" wrapText="1"/>
      <protection hidden="1"/>
    </xf>
    <xf numFmtId="0" fontId="9" fillId="11" borderId="38" xfId="0" applyFont="1" applyFill="1" applyBorder="1" applyProtection="1">
      <protection hidden="1"/>
    </xf>
    <xf numFmtId="0" fontId="9" fillId="11" borderId="23" xfId="0" applyFont="1" applyFill="1" applyBorder="1" applyProtection="1">
      <protection hidden="1"/>
    </xf>
    <xf numFmtId="0" fontId="9" fillId="11" borderId="23" xfId="0" applyFont="1" applyFill="1" applyBorder="1" applyAlignment="1" applyProtection="1">
      <alignment horizontal="center"/>
      <protection hidden="1"/>
    </xf>
    <xf numFmtId="0" fontId="9" fillId="11" borderId="39" xfId="0" applyFont="1" applyFill="1" applyBorder="1" applyProtection="1">
      <protection hidden="1"/>
    </xf>
    <xf numFmtId="0" fontId="9" fillId="5" borderId="27" xfId="0" applyFont="1" applyFill="1" applyBorder="1" applyProtection="1">
      <protection hidden="1"/>
    </xf>
    <xf numFmtId="0" fontId="9" fillId="38" borderId="15" xfId="0" applyFont="1" applyFill="1" applyBorder="1" applyProtection="1">
      <protection hidden="1"/>
    </xf>
    <xf numFmtId="0" fontId="9" fillId="49" borderId="35" xfId="0" applyFont="1" applyFill="1" applyBorder="1" applyProtection="1">
      <protection hidden="1"/>
    </xf>
    <xf numFmtId="0" fontId="9" fillId="49" borderId="36" xfId="0" applyFont="1" applyFill="1" applyBorder="1" applyProtection="1">
      <protection hidden="1"/>
    </xf>
    <xf numFmtId="0" fontId="9" fillId="49" borderId="36" xfId="0" applyFont="1" applyFill="1" applyBorder="1" applyAlignment="1" applyProtection="1">
      <alignment horizontal="left"/>
      <protection hidden="1"/>
    </xf>
    <xf numFmtId="0" fontId="9" fillId="49" borderId="36" xfId="0" applyFont="1" applyFill="1" applyBorder="1" applyAlignment="1" applyProtection="1">
      <alignment horizontal="center"/>
      <protection hidden="1"/>
    </xf>
    <xf numFmtId="0" fontId="9" fillId="49" borderId="36" xfId="0" applyFont="1" applyFill="1" applyBorder="1" applyAlignment="1" applyProtection="1">
      <alignment horizontal="left" vertical="center"/>
      <protection hidden="1"/>
    </xf>
    <xf numFmtId="0" fontId="9" fillId="49" borderId="37" xfId="0" applyFont="1" applyFill="1" applyBorder="1" applyAlignment="1" applyProtection="1">
      <alignment horizontal="left"/>
      <protection hidden="1"/>
    </xf>
    <xf numFmtId="0" fontId="9" fillId="39" borderId="36" xfId="0" applyFont="1" applyFill="1" applyBorder="1" applyProtection="1">
      <protection hidden="1"/>
    </xf>
    <xf numFmtId="0" fontId="9" fillId="68" borderId="0" xfId="0" applyFont="1" applyFill="1" applyAlignment="1" applyProtection="1">
      <alignment horizontal="right" vertical="center"/>
      <protection hidden="1"/>
    </xf>
    <xf numFmtId="0" fontId="9" fillId="49" borderId="47" xfId="0" applyFont="1" applyFill="1" applyBorder="1" applyAlignment="1" applyProtection="1">
      <alignment vertical="center"/>
      <protection hidden="1"/>
    </xf>
    <xf numFmtId="0" fontId="9" fillId="49" borderId="0" xfId="0" quotePrefix="1" applyFont="1" applyFill="1" applyBorder="1" applyAlignment="1" applyProtection="1">
      <alignment horizontal="left" vertical="center"/>
      <protection hidden="1"/>
    </xf>
    <xf numFmtId="0" fontId="9" fillId="49" borderId="48" xfId="0" applyFont="1" applyFill="1" applyBorder="1" applyAlignment="1" applyProtection="1">
      <alignment horizontal="left" vertical="center"/>
      <protection hidden="1"/>
    </xf>
    <xf numFmtId="0" fontId="9" fillId="39" borderId="47" xfId="0" applyFont="1" applyFill="1" applyBorder="1" applyAlignment="1" applyProtection="1">
      <alignment vertical="center"/>
      <protection hidden="1"/>
    </xf>
    <xf numFmtId="0" fontId="9" fillId="39" borderId="0" xfId="0" applyFont="1" applyFill="1" applyBorder="1" applyAlignment="1" applyProtection="1">
      <alignment vertical="center"/>
      <protection hidden="1"/>
    </xf>
    <xf numFmtId="0" fontId="9" fillId="49" borderId="0" xfId="0" applyFont="1" applyFill="1" applyBorder="1" applyAlignment="1" applyProtection="1">
      <alignment horizontal="left" vertical="center"/>
      <protection hidden="1"/>
    </xf>
    <xf numFmtId="0" fontId="9" fillId="49" borderId="0" xfId="0" applyFont="1" applyFill="1" applyBorder="1" applyAlignment="1" applyProtection="1">
      <alignment horizontal="center" vertical="center"/>
      <protection hidden="1"/>
    </xf>
    <xf numFmtId="0" fontId="48" fillId="49" borderId="0" xfId="0" applyFont="1" applyFill="1" applyBorder="1" applyAlignment="1" applyProtection="1">
      <alignment horizontal="center" vertical="center"/>
      <protection hidden="1"/>
    </xf>
    <xf numFmtId="0" fontId="9" fillId="39" borderId="48" xfId="0" applyFont="1" applyFill="1" applyBorder="1" applyAlignment="1" applyProtection="1">
      <alignment vertical="center"/>
      <protection hidden="1"/>
    </xf>
    <xf numFmtId="0" fontId="9" fillId="39" borderId="0" xfId="0" applyFont="1" applyFill="1" applyAlignment="1" applyProtection="1">
      <alignment vertical="center"/>
      <protection hidden="1"/>
    </xf>
    <xf numFmtId="0" fontId="9" fillId="5" borderId="3" xfId="0" applyFont="1" applyFill="1" applyBorder="1" applyAlignment="1" applyProtection="1">
      <alignment vertical="center"/>
      <protection hidden="1"/>
    </xf>
    <xf numFmtId="0" fontId="9" fillId="5" borderId="2" xfId="0" applyFont="1" applyFill="1" applyBorder="1" applyAlignment="1" applyProtection="1">
      <alignment vertical="center"/>
      <protection hidden="1"/>
    </xf>
    <xf numFmtId="0" fontId="9" fillId="49" borderId="38" xfId="0" applyFont="1" applyFill="1" applyBorder="1" applyAlignment="1" applyProtection="1">
      <alignment vertical="center"/>
      <protection hidden="1"/>
    </xf>
    <xf numFmtId="0" fontId="9" fillId="49" borderId="23" xfId="0" applyFont="1" applyFill="1" applyBorder="1" applyAlignment="1" applyProtection="1">
      <alignment horizontal="center" vertical="center"/>
      <protection hidden="1"/>
    </xf>
    <xf numFmtId="0" fontId="9" fillId="49" borderId="23" xfId="0" applyFont="1" applyFill="1" applyBorder="1" applyAlignment="1" applyProtection="1">
      <alignment horizontal="left" vertical="center"/>
      <protection hidden="1"/>
    </xf>
    <xf numFmtId="0" fontId="9" fillId="49" borderId="39" xfId="0" applyFont="1" applyFill="1" applyBorder="1" applyAlignment="1" applyProtection="1">
      <alignment horizontal="left" vertical="center"/>
      <protection hidden="1"/>
    </xf>
    <xf numFmtId="0" fontId="9" fillId="39" borderId="38" xfId="0" applyFont="1" applyFill="1" applyBorder="1" applyAlignment="1" applyProtection="1">
      <alignment vertical="center"/>
      <protection hidden="1"/>
    </xf>
    <xf numFmtId="0" fontId="9" fillId="39" borderId="23" xfId="0" applyFont="1" applyFill="1" applyBorder="1" applyAlignment="1" applyProtection="1">
      <alignment vertical="center"/>
      <protection hidden="1"/>
    </xf>
    <xf numFmtId="0" fontId="9" fillId="49" borderId="35" xfId="0" applyFont="1" applyFill="1" applyBorder="1" applyAlignment="1" applyProtection="1">
      <alignment vertical="center"/>
      <protection hidden="1"/>
    </xf>
    <xf numFmtId="0" fontId="9" fillId="49" borderId="36" xfId="0" applyFont="1" applyFill="1" applyBorder="1" applyAlignment="1" applyProtection="1">
      <alignment vertical="center"/>
      <protection hidden="1"/>
    </xf>
    <xf numFmtId="0" fontId="9" fillId="49" borderId="36" xfId="0" applyFont="1" applyFill="1" applyBorder="1" applyAlignment="1" applyProtection="1">
      <alignment horizontal="center" vertical="center"/>
      <protection hidden="1"/>
    </xf>
    <xf numFmtId="0" fontId="9" fillId="49" borderId="37" xfId="0" applyFont="1" applyFill="1" applyBorder="1" applyAlignment="1" applyProtection="1">
      <alignment horizontal="left" vertical="center"/>
      <protection hidden="1"/>
    </xf>
    <xf numFmtId="0" fontId="9" fillId="40" borderId="35" xfId="0" applyFont="1" applyFill="1" applyBorder="1" applyAlignment="1" applyProtection="1">
      <alignment vertical="center"/>
      <protection hidden="1"/>
    </xf>
    <xf numFmtId="0" fontId="9" fillId="40" borderId="36" xfId="0" applyFont="1" applyFill="1" applyBorder="1" applyAlignment="1" applyProtection="1">
      <alignment vertical="center"/>
      <protection hidden="1"/>
    </xf>
    <xf numFmtId="0" fontId="9" fillId="40" borderId="36" xfId="0" applyFont="1" applyFill="1" applyBorder="1" applyAlignment="1" applyProtection="1">
      <alignment horizontal="center" vertical="center"/>
      <protection hidden="1"/>
    </xf>
    <xf numFmtId="0" fontId="9" fillId="40" borderId="37" xfId="0" applyFont="1" applyFill="1" applyBorder="1" applyAlignment="1" applyProtection="1">
      <alignment vertical="center"/>
      <protection hidden="1"/>
    </xf>
    <xf numFmtId="0" fontId="9" fillId="40" borderId="0" xfId="0" applyFont="1" applyFill="1" applyAlignment="1" applyProtection="1">
      <alignment vertical="center"/>
      <protection hidden="1"/>
    </xf>
    <xf numFmtId="0" fontId="9" fillId="40" borderId="47" xfId="0" applyFont="1" applyFill="1" applyBorder="1" applyAlignment="1" applyProtection="1">
      <alignment vertical="center"/>
      <protection hidden="1"/>
    </xf>
    <xf numFmtId="0" fontId="9" fillId="40" borderId="0" xfId="0" applyFont="1" applyFill="1" applyBorder="1" applyAlignment="1" applyProtection="1">
      <alignment vertical="center"/>
      <protection hidden="1"/>
    </xf>
    <xf numFmtId="0" fontId="9" fillId="40" borderId="48" xfId="0" applyFont="1" applyFill="1" applyBorder="1" applyAlignment="1" applyProtection="1">
      <alignment vertical="center"/>
      <protection hidden="1"/>
    </xf>
    <xf numFmtId="0" fontId="9" fillId="40" borderId="0" xfId="0" applyFont="1" applyFill="1" applyBorder="1" applyAlignment="1" applyProtection="1">
      <alignment horizontal="center" vertical="center"/>
      <protection hidden="1"/>
    </xf>
    <xf numFmtId="0" fontId="9" fillId="40" borderId="38" xfId="0" applyFont="1" applyFill="1" applyBorder="1" applyAlignment="1" applyProtection="1">
      <alignment vertical="center"/>
      <protection hidden="1"/>
    </xf>
    <xf numFmtId="0" fontId="9" fillId="40" borderId="23" xfId="0" applyFont="1" applyFill="1" applyBorder="1" applyAlignment="1" applyProtection="1">
      <alignment vertical="center"/>
      <protection hidden="1"/>
    </xf>
    <xf numFmtId="0" fontId="9" fillId="40" borderId="23" xfId="0" applyFont="1" applyFill="1" applyBorder="1" applyAlignment="1" applyProtection="1">
      <alignment horizontal="center" vertical="center"/>
      <protection hidden="1"/>
    </xf>
    <xf numFmtId="0" fontId="9" fillId="40" borderId="39" xfId="0" applyFont="1" applyFill="1" applyBorder="1" applyAlignment="1" applyProtection="1">
      <alignment vertical="center"/>
      <protection hidden="1"/>
    </xf>
    <xf numFmtId="0" fontId="9" fillId="97" borderId="0" xfId="10" applyFont="1" applyAlignment="1" applyProtection="1">
      <alignment horizontal="center" vertical="center"/>
      <protection hidden="1"/>
    </xf>
    <xf numFmtId="0" fontId="9" fillId="97" borderId="0" xfId="10" applyFont="1" applyAlignment="1" applyProtection="1">
      <alignment horizontal="right" vertical="center"/>
      <protection hidden="1"/>
    </xf>
    <xf numFmtId="0" fontId="9" fillId="97" borderId="0" xfId="10" applyFont="1" applyAlignment="1" applyProtection="1">
      <alignment horizontal="left" vertical="center"/>
      <protection hidden="1"/>
    </xf>
    <xf numFmtId="0" fontId="19" fillId="97" borderId="0" xfId="10" applyFont="1" applyAlignment="1" applyProtection="1">
      <alignment horizontal="center" vertical="center"/>
      <protection hidden="1"/>
    </xf>
    <xf numFmtId="0" fontId="9" fillId="5" borderId="0" xfId="10" applyFont="1" applyFill="1" applyAlignment="1" applyProtection="1">
      <alignment horizontal="center" vertical="center"/>
      <protection hidden="1"/>
    </xf>
    <xf numFmtId="0" fontId="9" fillId="10" borderId="48" xfId="0" applyFont="1" applyFill="1" applyBorder="1" applyAlignment="1" applyProtection="1">
      <alignment vertical="center"/>
      <protection hidden="1"/>
    </xf>
    <xf numFmtId="0" fontId="48" fillId="9" borderId="0" xfId="0" applyFont="1" applyFill="1" applyBorder="1" applyAlignment="1" applyProtection="1">
      <alignment horizontal="center" vertical="center"/>
      <protection hidden="1"/>
    </xf>
    <xf numFmtId="0" fontId="48" fillId="9" borderId="23" xfId="0" applyFont="1" applyFill="1" applyBorder="1" applyAlignment="1" applyProtection="1">
      <alignment horizontal="center" vertical="center"/>
      <protection hidden="1"/>
    </xf>
    <xf numFmtId="0" fontId="50" fillId="21" borderId="0" xfId="0" applyFont="1" applyFill="1" applyBorder="1" applyAlignment="1" applyProtection="1">
      <alignment horizontal="center" vertical="center"/>
      <protection hidden="1"/>
    </xf>
    <xf numFmtId="0" fontId="19" fillId="97" borderId="0" xfId="10" applyFont="1" applyAlignment="1" applyProtection="1">
      <alignment horizontal="left" vertical="center"/>
      <protection hidden="1"/>
    </xf>
    <xf numFmtId="0" fontId="9" fillId="97" borderId="0" xfId="10" applyFont="1" applyFill="1" applyAlignment="1" applyProtection="1">
      <alignment horizontal="center" vertical="center"/>
      <protection hidden="1"/>
    </xf>
    <xf numFmtId="0" fontId="9" fillId="102" borderId="3" xfId="0" applyFont="1" applyFill="1" applyBorder="1" applyAlignment="1" applyProtection="1">
      <alignment horizontal="center" vertical="center"/>
      <protection hidden="1"/>
    </xf>
    <xf numFmtId="0" fontId="37" fillId="102" borderId="6" xfId="0" applyFont="1" applyFill="1" applyBorder="1" applyAlignment="1" applyProtection="1">
      <alignment horizontal="center" vertical="center"/>
      <protection hidden="1"/>
    </xf>
    <xf numFmtId="0" fontId="39" fillId="77" borderId="0" xfId="0" applyFont="1" applyFill="1" applyBorder="1" applyAlignment="1" applyProtection="1">
      <alignment horizontal="center" vertical="center"/>
      <protection hidden="1"/>
    </xf>
    <xf numFmtId="0" fontId="39" fillId="77" borderId="3" xfId="0" applyFont="1" applyFill="1" applyBorder="1" applyAlignment="1" applyProtection="1">
      <alignment horizontal="center" vertical="center"/>
      <protection hidden="1"/>
    </xf>
    <xf numFmtId="0" fontId="39" fillId="77" borderId="2" xfId="0" applyFont="1" applyFill="1" applyBorder="1" applyAlignment="1" applyProtection="1">
      <alignment horizontal="center" vertical="center"/>
      <protection hidden="1"/>
    </xf>
    <xf numFmtId="2" fontId="9" fillId="5" borderId="0" xfId="4" applyFill="1" applyBorder="1" applyAlignment="1" applyProtection="1">
      <alignment horizontal="center" vertical="center"/>
      <protection hidden="1"/>
    </xf>
    <xf numFmtId="0" fontId="9" fillId="28" borderId="3" xfId="0" applyFont="1" applyFill="1" applyBorder="1" applyAlignment="1" applyProtection="1">
      <alignment horizontal="center" vertical="center"/>
      <protection hidden="1"/>
    </xf>
    <xf numFmtId="0" fontId="9" fillId="28" borderId="2" xfId="0" applyFont="1" applyFill="1" applyBorder="1" applyAlignment="1" applyProtection="1">
      <alignment horizontal="center" vertical="center"/>
      <protection hidden="1"/>
    </xf>
    <xf numFmtId="0" fontId="9" fillId="117" borderId="1" xfId="0" applyFont="1" applyFill="1" applyBorder="1" applyAlignment="1" applyProtection="1">
      <alignment horizontal="center" vertical="center"/>
      <protection hidden="1"/>
    </xf>
    <xf numFmtId="0" fontId="9" fillId="117" borderId="3" xfId="0" applyFont="1" applyFill="1" applyBorder="1" applyAlignment="1" applyProtection="1">
      <alignment horizontal="center" vertical="center"/>
      <protection hidden="1"/>
    </xf>
    <xf numFmtId="0" fontId="9" fillId="117" borderId="2" xfId="0" applyFont="1" applyFill="1" applyBorder="1" applyAlignment="1" applyProtection="1">
      <alignment horizontal="center" vertical="center"/>
      <protection hidden="1"/>
    </xf>
    <xf numFmtId="1" fontId="48" fillId="17" borderId="0" xfId="0" applyNumberFormat="1" applyFont="1" applyFill="1" applyBorder="1" applyAlignment="1" applyProtection="1">
      <alignment horizontal="center" vertical="center"/>
      <protection hidden="1"/>
    </xf>
    <xf numFmtId="165" fontId="9" fillId="5" borderId="0" xfId="7" applyFill="1" applyBorder="1" applyProtection="1">
      <alignment horizontal="center" vertical="center"/>
      <protection hidden="1"/>
    </xf>
    <xf numFmtId="165" fontId="9" fillId="5" borderId="0" xfId="3" applyNumberFormat="1" applyFont="1" applyFill="1" applyBorder="1" applyProtection="1">
      <alignment horizontal="center" vertical="center"/>
      <protection hidden="1"/>
    </xf>
    <xf numFmtId="0" fontId="19" fillId="97" borderId="0" xfId="10" applyFont="1" applyAlignment="1" applyProtection="1">
      <alignment horizontal="left"/>
      <protection hidden="1"/>
    </xf>
    <xf numFmtId="165" fontId="15" fillId="9" borderId="1" xfId="7" applyFont="1" applyBorder="1" applyProtection="1">
      <alignment horizontal="center" vertical="center"/>
      <protection hidden="1"/>
    </xf>
    <xf numFmtId="3" fontId="15" fillId="9" borderId="1" xfId="7" applyNumberFormat="1" applyFont="1" applyBorder="1" applyProtection="1">
      <alignment horizontal="center" vertical="center"/>
      <protection hidden="1"/>
    </xf>
    <xf numFmtId="0" fontId="15" fillId="5" borderId="0" xfId="0" applyFont="1" applyFill="1" applyBorder="1" applyAlignment="1" applyProtection="1">
      <alignment horizontal="right" vertical="center"/>
      <protection hidden="1"/>
    </xf>
    <xf numFmtId="0" fontId="15" fillId="5" borderId="0" xfId="0" applyFont="1" applyFill="1" applyBorder="1" applyAlignment="1" applyProtection="1">
      <alignment horizontal="center" vertical="center"/>
      <protection hidden="1"/>
    </xf>
    <xf numFmtId="0" fontId="15" fillId="31" borderId="36" xfId="0" applyFont="1" applyFill="1" applyBorder="1" applyAlignment="1" applyProtection="1">
      <alignment horizontal="right" vertical="center"/>
      <protection hidden="1"/>
    </xf>
    <xf numFmtId="0" fontId="15" fillId="31" borderId="0" xfId="0" applyFont="1" applyFill="1" applyBorder="1" applyAlignment="1" applyProtection="1">
      <alignment horizontal="right" vertical="center"/>
      <protection hidden="1"/>
    </xf>
    <xf numFmtId="0" fontId="9" fillId="13" borderId="3" xfId="0" applyFont="1" applyFill="1" applyBorder="1" applyAlignment="1" applyProtection="1">
      <alignment horizontal="center" vertical="center"/>
      <protection hidden="1"/>
    </xf>
    <xf numFmtId="0" fontId="37" fillId="13" borderId="6" xfId="0" applyFont="1" applyFill="1" applyBorder="1" applyAlignment="1" applyProtection="1">
      <alignment horizontal="center" vertical="center"/>
      <protection hidden="1"/>
    </xf>
    <xf numFmtId="0" fontId="0" fillId="101" borderId="0" xfId="0" applyFill="1" applyProtection="1">
      <protection hidden="1"/>
    </xf>
    <xf numFmtId="0" fontId="68" fillId="5" borderId="0" xfId="0" applyFont="1" applyFill="1" applyAlignment="1" applyProtection="1">
      <alignment horizontal="center"/>
      <protection hidden="1"/>
    </xf>
    <xf numFmtId="0" fontId="19" fillId="97" borderId="0" xfId="10" applyFont="1" applyAlignment="1" applyProtection="1">
      <alignment horizontal="center"/>
      <protection hidden="1"/>
    </xf>
    <xf numFmtId="0" fontId="94" fillId="37" borderId="0" xfId="10" applyFont="1" applyFill="1" applyAlignment="1" applyProtection="1">
      <alignment horizontal="center"/>
      <protection hidden="1"/>
    </xf>
    <xf numFmtId="165" fontId="9" fillId="9" borderId="1" xfId="3" applyNumberFormat="1" applyFont="1" applyFill="1" applyBorder="1" applyProtection="1">
      <alignment horizontal="center" vertical="center"/>
      <protection hidden="1"/>
    </xf>
    <xf numFmtId="0" fontId="9" fillId="16" borderId="0" xfId="0" applyFont="1" applyFill="1" applyBorder="1" applyAlignment="1" applyProtection="1">
      <alignment vertical="center" wrapText="1"/>
      <protection hidden="1"/>
    </xf>
    <xf numFmtId="165" fontId="9" fillId="16" borderId="0" xfId="0" applyNumberFormat="1" applyFont="1" applyFill="1" applyBorder="1" applyAlignment="1" applyProtection="1">
      <alignment vertical="top" wrapText="1"/>
      <protection hidden="1"/>
    </xf>
    <xf numFmtId="0" fontId="48" fillId="130" borderId="0" xfId="0" applyFont="1" applyFill="1" applyBorder="1" applyAlignment="1" applyProtection="1">
      <alignment horizontal="center" vertical="center" wrapText="1"/>
      <protection hidden="1"/>
    </xf>
    <xf numFmtId="0" fontId="9" fillId="143" borderId="0" xfId="0" applyFont="1" applyFill="1" applyBorder="1" applyAlignment="1" applyProtection="1">
      <alignment horizontal="left" vertical="center"/>
      <protection hidden="1"/>
    </xf>
    <xf numFmtId="0" fontId="67" fillId="143" borderId="0" xfId="0" applyFont="1" applyFill="1" applyBorder="1" applyAlignment="1" applyProtection="1">
      <alignment vertical="center" wrapText="1"/>
      <protection hidden="1"/>
    </xf>
    <xf numFmtId="0" fontId="97" fillId="143" borderId="0" xfId="0" applyFont="1" applyFill="1" applyBorder="1" applyAlignment="1" applyProtection="1">
      <alignment vertical="center" wrapText="1"/>
      <protection hidden="1"/>
    </xf>
    <xf numFmtId="0" fontId="9" fillId="143" borderId="0" xfId="0" applyFont="1" applyFill="1" applyBorder="1" applyAlignment="1" applyProtection="1">
      <alignment vertical="center"/>
      <protection hidden="1"/>
    </xf>
    <xf numFmtId="0" fontId="39" fillId="143" borderId="0" xfId="0" applyFont="1" applyFill="1" applyBorder="1" applyAlignment="1" applyProtection="1">
      <alignment vertical="center" wrapText="1"/>
      <protection hidden="1"/>
    </xf>
    <xf numFmtId="0" fontId="97" fillId="143" borderId="0" xfId="0" applyFont="1" applyFill="1" applyBorder="1" applyAlignment="1" applyProtection="1">
      <alignment horizontal="left" vertical="center" wrapText="1"/>
      <protection hidden="1"/>
    </xf>
    <xf numFmtId="0" fontId="61" fillId="5" borderId="0" xfId="0" applyFont="1" applyFill="1" applyProtection="1">
      <protection hidden="1"/>
    </xf>
    <xf numFmtId="0" fontId="61" fillId="122" borderId="0" xfId="0" applyFont="1" applyFill="1" applyBorder="1" applyAlignment="1" applyProtection="1">
      <alignment horizontal="center" vertical="center"/>
      <protection hidden="1"/>
    </xf>
    <xf numFmtId="0" fontId="61" fillId="122" borderId="0" xfId="0" applyFont="1" applyFill="1" applyAlignment="1" applyProtection="1">
      <alignment horizontal="right" vertical="center"/>
      <protection hidden="1"/>
    </xf>
    <xf numFmtId="0" fontId="61" fillId="122" borderId="0" xfId="0" applyFont="1" applyFill="1" applyAlignment="1" applyProtection="1">
      <alignment vertical="center"/>
      <protection hidden="1"/>
    </xf>
    <xf numFmtId="0" fontId="61" fillId="5" borderId="0" xfId="0" applyFont="1" applyFill="1" applyBorder="1" applyAlignment="1" applyProtection="1">
      <alignment horizontal="center" vertical="center"/>
      <protection hidden="1"/>
    </xf>
    <xf numFmtId="0" fontId="61" fillId="5" borderId="0" xfId="0" applyFont="1" applyFill="1" applyAlignment="1" applyProtection="1">
      <alignment vertical="center"/>
      <protection hidden="1"/>
    </xf>
    <xf numFmtId="0" fontId="61" fillId="145" borderId="0" xfId="0" applyFont="1" applyFill="1" applyAlignment="1" applyProtection="1">
      <alignment horizontal="left" vertical="center"/>
      <protection hidden="1"/>
    </xf>
    <xf numFmtId="0" fontId="61" fillId="146" borderId="0" xfId="0" applyFont="1" applyFill="1" applyBorder="1" applyAlignment="1" applyProtection="1">
      <alignment horizontal="center" vertical="center"/>
      <protection hidden="1"/>
    </xf>
    <xf numFmtId="0" fontId="61" fillId="96" borderId="0" xfId="0" applyFont="1" applyFill="1" applyBorder="1" applyAlignment="1" applyProtection="1">
      <alignment horizontal="center" vertical="center"/>
      <protection hidden="1"/>
    </xf>
    <xf numFmtId="0" fontId="61" fillId="96" borderId="0" xfId="0" applyFont="1" applyFill="1" applyProtection="1">
      <protection hidden="1"/>
    </xf>
    <xf numFmtId="0" fontId="42" fillId="26" borderId="0" xfId="0" applyFont="1" applyFill="1" applyAlignment="1" applyProtection="1">
      <alignment vertical="center"/>
      <protection hidden="1"/>
    </xf>
    <xf numFmtId="0" fontId="89" fillId="26" borderId="0" xfId="0" applyFont="1" applyFill="1" applyAlignment="1" applyProtection="1">
      <alignment vertical="center"/>
      <protection hidden="1"/>
    </xf>
    <xf numFmtId="165" fontId="9" fillId="5" borderId="0" xfId="7" applyFont="1" applyFill="1" applyBorder="1" applyProtection="1">
      <alignment horizontal="center" vertical="center"/>
      <protection hidden="1"/>
    </xf>
    <xf numFmtId="0" fontId="9" fillId="5" borderId="1" xfId="1" applyFont="1" applyFill="1" applyBorder="1" applyAlignment="1" applyProtection="1">
      <alignment horizontal="center" vertical="center"/>
      <protection locked="0"/>
    </xf>
    <xf numFmtId="0" fontId="0" fillId="5" borderId="0" xfId="0" applyFill="1" applyAlignment="1">
      <alignment vertical="top"/>
    </xf>
    <xf numFmtId="0" fontId="0" fillId="5" borderId="0" xfId="0" applyFill="1" applyAlignment="1">
      <alignment vertical="top" wrapText="1"/>
    </xf>
    <xf numFmtId="0" fontId="0" fillId="5" borderId="0" xfId="0" applyFill="1" applyAlignment="1">
      <alignment horizontal="left" vertical="top" wrapText="1"/>
    </xf>
    <xf numFmtId="0" fontId="8" fillId="5" borderId="0" xfId="0" applyFont="1" applyFill="1" applyAlignment="1">
      <alignment horizontal="right" vertical="top"/>
    </xf>
    <xf numFmtId="0" fontId="6" fillId="5" borderId="0" xfId="0" applyFont="1" applyFill="1" applyAlignment="1">
      <alignment vertical="top"/>
    </xf>
    <xf numFmtId="0" fontId="6" fillId="5" borderId="0" xfId="0" applyFont="1" applyFill="1" applyAlignment="1">
      <alignment horizontal="right" vertical="top"/>
    </xf>
    <xf numFmtId="0" fontId="0" fillId="5" borderId="0" xfId="0" applyFill="1" applyAlignment="1">
      <alignment horizontal="right" vertical="top"/>
    </xf>
    <xf numFmtId="0" fontId="6" fillId="5" borderId="0" xfId="0" applyFont="1" applyFill="1" applyAlignment="1">
      <alignment vertical="top" wrapText="1"/>
    </xf>
    <xf numFmtId="0" fontId="0" fillId="5" borderId="0" xfId="0" applyFill="1" applyBorder="1" applyAlignment="1">
      <alignment vertical="top"/>
    </xf>
    <xf numFmtId="0" fontId="0" fillId="5" borderId="0" xfId="0" applyFill="1" applyBorder="1" applyAlignment="1">
      <alignment horizontal="left" vertical="top" wrapText="1"/>
    </xf>
    <xf numFmtId="0" fontId="0" fillId="5" borderId="0" xfId="0" applyFill="1" applyAlignment="1">
      <alignment horizontal="left" vertical="top"/>
    </xf>
    <xf numFmtId="0" fontId="0" fillId="39" borderId="0" xfId="0" applyFill="1" applyAlignment="1">
      <alignment horizontal="center" vertical="center"/>
    </xf>
    <xf numFmtId="0" fontId="0" fillId="5" borderId="0" xfId="0" applyFill="1" applyAlignment="1">
      <alignment horizontal="center" vertical="center"/>
    </xf>
    <xf numFmtId="0" fontId="6" fillId="149" borderId="0" xfId="0" applyFont="1" applyFill="1" applyAlignment="1">
      <alignment vertical="top"/>
    </xf>
    <xf numFmtId="0" fontId="6" fillId="148" borderId="0" xfId="0" applyFont="1" applyFill="1" applyAlignment="1">
      <alignment vertical="top"/>
    </xf>
    <xf numFmtId="0" fontId="6" fillId="147" borderId="0" xfId="0" applyFont="1" applyFill="1" applyAlignment="1">
      <alignment vertical="top"/>
    </xf>
    <xf numFmtId="4" fontId="0" fillId="5" borderId="0" xfId="0" applyNumberFormat="1" applyFill="1" applyAlignment="1">
      <alignment horizontal="center" vertical="center"/>
    </xf>
    <xf numFmtId="4" fontId="0" fillId="5" borderId="0" xfId="0" applyNumberFormat="1" applyFill="1" applyBorder="1" applyAlignment="1">
      <alignment horizontal="center" vertical="center"/>
    </xf>
    <xf numFmtId="4" fontId="0" fillId="5" borderId="0" xfId="0" applyNumberFormat="1" applyFill="1" applyAlignment="1">
      <alignment horizontal="center" vertical="center" wrapText="1"/>
    </xf>
    <xf numFmtId="0" fontId="0" fillId="5" borderId="0" xfId="0" applyFill="1" applyAlignment="1">
      <alignment horizontal="center" vertical="center" wrapText="1"/>
    </xf>
    <xf numFmtId="165" fontId="9" fillId="6" borderId="6" xfId="0" applyNumberFormat="1" applyFont="1" applyFill="1" applyBorder="1" applyAlignment="1" applyProtection="1">
      <alignment horizontal="center" vertical="center"/>
      <protection hidden="1"/>
    </xf>
    <xf numFmtId="0" fontId="13" fillId="11" borderId="52" xfId="0" applyFont="1" applyFill="1" applyBorder="1" applyAlignment="1" applyProtection="1">
      <alignment horizontal="center" vertical="center" wrapText="1"/>
      <protection hidden="1"/>
    </xf>
    <xf numFmtId="0" fontId="13" fillId="11" borderId="9" xfId="0" applyFont="1" applyFill="1" applyBorder="1" applyAlignment="1" applyProtection="1">
      <alignment horizontal="center" vertical="center" wrapText="1"/>
      <protection hidden="1"/>
    </xf>
    <xf numFmtId="0" fontId="9" fillId="6" borderId="6"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top" wrapText="1"/>
      <protection hidden="1"/>
    </xf>
    <xf numFmtId="0" fontId="9" fillId="21" borderId="0" xfId="0" applyFont="1" applyFill="1" applyBorder="1" applyAlignment="1" applyProtection="1">
      <alignment horizontal="left" vertical="center" wrapText="1"/>
      <protection hidden="1"/>
    </xf>
    <xf numFmtId="0" fontId="13" fillId="17" borderId="52" xfId="0" applyFont="1" applyFill="1" applyBorder="1" applyAlignment="1" applyProtection="1">
      <alignment horizontal="center" vertical="top" wrapText="1"/>
      <protection hidden="1"/>
    </xf>
    <xf numFmtId="0" fontId="9" fillId="17" borderId="0" xfId="0" applyFont="1" applyFill="1" applyBorder="1" applyAlignment="1" applyProtection="1">
      <alignment horizontal="left" vertical="center" wrapText="1"/>
      <protection hidden="1"/>
    </xf>
    <xf numFmtId="0" fontId="9" fillId="21" borderId="0" xfId="0" applyFont="1" applyFill="1" applyBorder="1" applyAlignment="1" applyProtection="1">
      <alignment horizontal="left" vertical="center"/>
      <protection hidden="1"/>
    </xf>
    <xf numFmtId="0" fontId="9" fillId="6" borderId="2" xfId="0" applyFont="1" applyFill="1" applyBorder="1" applyAlignment="1" applyProtection="1">
      <alignment horizontal="center" vertical="center"/>
      <protection hidden="1"/>
    </xf>
    <xf numFmtId="0" fontId="0" fillId="5" borderId="0" xfId="0" applyFill="1" applyAlignment="1"/>
    <xf numFmtId="0" fontId="0" fillId="5" borderId="0" xfId="0" applyFill="1" applyAlignment="1">
      <alignment horizontal="left"/>
    </xf>
    <xf numFmtId="0" fontId="0" fillId="5" borderId="0" xfId="0" applyFill="1" applyAlignment="1">
      <alignment wrapText="1"/>
    </xf>
    <xf numFmtId="0" fontId="0" fillId="5" borderId="0" xfId="0" applyFill="1" applyAlignment="1">
      <alignment horizontal="right"/>
    </xf>
    <xf numFmtId="0" fontId="6" fillId="5" borderId="0" xfId="0" applyFont="1" applyFill="1" applyAlignment="1"/>
    <xf numFmtId="0" fontId="6" fillId="5" borderId="0" xfId="0" applyFont="1" applyFill="1" applyAlignment="1">
      <alignment horizontal="right"/>
    </xf>
    <xf numFmtId="0" fontId="0" fillId="5" borderId="0" xfId="0" applyFill="1" applyAlignment="1">
      <alignment vertical="center"/>
    </xf>
    <xf numFmtId="0" fontId="0" fillId="5" borderId="0" xfId="0" applyFont="1" applyFill="1" applyAlignment="1">
      <alignment horizontal="right" vertical="top"/>
    </xf>
    <xf numFmtId="0" fontId="0" fillId="21" borderId="0" xfId="0" applyFill="1" applyAlignment="1">
      <alignment horizontal="right" vertical="top"/>
    </xf>
    <xf numFmtId="4" fontId="0" fillId="150" borderId="0" xfId="0" applyNumberFormat="1" applyFill="1" applyAlignment="1">
      <alignment horizontal="right" vertical="top"/>
    </xf>
    <xf numFmtId="4" fontId="0" fillId="150" borderId="0" xfId="0" applyNumberFormat="1" applyFill="1" applyBorder="1" applyAlignment="1">
      <alignment vertical="top"/>
    </xf>
    <xf numFmtId="4" fontId="0" fillId="150" borderId="0" xfId="0" applyNumberFormat="1" applyFill="1" applyAlignment="1">
      <alignment horizontal="right" vertical="top" wrapText="1"/>
    </xf>
    <xf numFmtId="0" fontId="0" fillId="6" borderId="0" xfId="0" applyFill="1" applyBorder="1" applyAlignment="1">
      <alignment vertical="top"/>
    </xf>
    <xf numFmtId="0" fontId="0" fillId="6" borderId="0" xfId="0" applyFill="1" applyAlignment="1">
      <alignment vertical="top"/>
    </xf>
    <xf numFmtId="0" fontId="9" fillId="151" borderId="77" xfId="0" applyFont="1" applyFill="1" applyBorder="1" applyAlignment="1" applyProtection="1">
      <alignment horizontal="left" vertical="center"/>
      <protection hidden="1"/>
    </xf>
    <xf numFmtId="0" fontId="9" fillId="151" borderId="78" xfId="0" applyFont="1" applyFill="1" applyBorder="1" applyAlignment="1" applyProtection="1">
      <alignment horizontal="right" vertical="center"/>
      <protection hidden="1"/>
    </xf>
    <xf numFmtId="0" fontId="9" fillId="151" borderId="78" xfId="0" applyFont="1" applyFill="1" applyBorder="1" applyAlignment="1" applyProtection="1">
      <alignment horizontal="left" vertical="center"/>
      <protection hidden="1"/>
    </xf>
    <xf numFmtId="0" fontId="9" fillId="151" borderId="79" xfId="0" applyFont="1" applyFill="1" applyBorder="1" applyAlignment="1" applyProtection="1">
      <alignment horizontal="right" vertical="center"/>
      <protection hidden="1"/>
    </xf>
    <xf numFmtId="0" fontId="9" fillId="151" borderId="0" xfId="0" applyFont="1" applyFill="1" applyBorder="1" applyAlignment="1" applyProtection="1">
      <alignment horizontal="center" vertical="center"/>
      <protection hidden="1"/>
    </xf>
    <xf numFmtId="0" fontId="9" fillId="151" borderId="0" xfId="0" applyFont="1" applyFill="1" applyBorder="1" applyAlignment="1" applyProtection="1">
      <alignment horizontal="left" vertical="center"/>
      <protection hidden="1"/>
    </xf>
    <xf numFmtId="0" fontId="9" fillId="151" borderId="76" xfId="0" applyFont="1" applyFill="1" applyBorder="1" applyAlignment="1" applyProtection="1">
      <alignment horizontal="center" vertical="center"/>
      <protection hidden="1"/>
    </xf>
    <xf numFmtId="0" fontId="9" fillId="151" borderId="75" xfId="0" applyFont="1" applyFill="1" applyBorder="1" applyAlignment="1" applyProtection="1">
      <alignment horizontal="left" vertical="center"/>
      <protection hidden="1"/>
    </xf>
    <xf numFmtId="1" fontId="9" fillId="151" borderId="0" xfId="0" applyNumberFormat="1" applyFont="1" applyFill="1" applyBorder="1" applyAlignment="1" applyProtection="1">
      <alignment horizontal="center" vertical="center"/>
      <protection hidden="1"/>
    </xf>
    <xf numFmtId="0" fontId="12" fillId="151" borderId="75" xfId="0" applyFont="1" applyFill="1" applyBorder="1" applyAlignment="1" applyProtection="1">
      <alignment horizontal="left" vertical="center"/>
      <protection hidden="1"/>
    </xf>
    <xf numFmtId="2" fontId="9" fillId="151" borderId="0" xfId="0" applyNumberFormat="1" applyFont="1" applyFill="1" applyBorder="1" applyAlignment="1" applyProtection="1">
      <alignment horizontal="center" vertical="center"/>
      <protection hidden="1"/>
    </xf>
    <xf numFmtId="0" fontId="9" fillId="151" borderId="72" xfId="0" applyFont="1" applyFill="1" applyBorder="1" applyAlignment="1" applyProtection="1">
      <alignment horizontal="left" vertical="center"/>
      <protection hidden="1"/>
    </xf>
    <xf numFmtId="1" fontId="9" fillId="151" borderId="73" xfId="0" applyNumberFormat="1" applyFont="1" applyFill="1" applyBorder="1" applyAlignment="1" applyProtection="1">
      <alignment horizontal="center" vertical="center"/>
      <protection hidden="1"/>
    </xf>
    <xf numFmtId="0" fontId="9" fillId="151" borderId="73" xfId="0" applyFont="1" applyFill="1" applyBorder="1" applyAlignment="1" applyProtection="1">
      <alignment horizontal="center" vertical="center"/>
      <protection hidden="1"/>
    </xf>
    <xf numFmtId="0" fontId="9" fillId="151" borderId="73" xfId="0" applyFont="1" applyFill="1" applyBorder="1" applyAlignment="1" applyProtection="1">
      <alignment horizontal="left" vertical="center"/>
      <protection hidden="1"/>
    </xf>
    <xf numFmtId="0" fontId="9" fillId="151" borderId="74" xfId="0" applyFont="1" applyFill="1" applyBorder="1" applyAlignment="1" applyProtection="1">
      <alignment horizontal="center" vertical="center"/>
      <protection hidden="1"/>
    </xf>
    <xf numFmtId="1" fontId="9" fillId="151" borderId="78" xfId="0" applyNumberFormat="1" applyFont="1" applyFill="1" applyBorder="1" applyAlignment="1" applyProtection="1">
      <alignment horizontal="center" vertical="center"/>
      <protection hidden="1"/>
    </xf>
    <xf numFmtId="0" fontId="9" fillId="151" borderId="78" xfId="0" applyFont="1" applyFill="1" applyBorder="1" applyAlignment="1" applyProtection="1">
      <alignment horizontal="center" vertical="center"/>
      <protection hidden="1"/>
    </xf>
    <xf numFmtId="0" fontId="9" fillId="151" borderId="79" xfId="0" applyFont="1" applyFill="1" applyBorder="1" applyAlignment="1" applyProtection="1">
      <alignment horizontal="center" vertical="center"/>
      <protection hidden="1"/>
    </xf>
    <xf numFmtId="0" fontId="9" fillId="153" borderId="0" xfId="0" applyFont="1" applyFill="1" applyBorder="1" applyAlignment="1" applyProtection="1">
      <alignment horizontal="right" vertical="center"/>
      <protection hidden="1"/>
    </xf>
    <xf numFmtId="0" fontId="9" fillId="153" borderId="0" xfId="0" applyFont="1" applyFill="1" applyBorder="1" applyAlignment="1" applyProtection="1">
      <alignment horizontal="left" vertical="center"/>
      <protection hidden="1"/>
    </xf>
    <xf numFmtId="0" fontId="9" fillId="155" borderId="77" xfId="0" applyFont="1" applyFill="1" applyBorder="1" applyAlignment="1" applyProtection="1">
      <alignment horizontal="center" vertical="center"/>
      <protection hidden="1"/>
    </xf>
    <xf numFmtId="1" fontId="12" fillId="155" borderId="78" xfId="2" applyNumberFormat="1" applyFont="1" applyFill="1" applyBorder="1" applyAlignment="1" applyProtection="1">
      <alignment horizontal="center" vertical="center"/>
      <protection hidden="1"/>
    </xf>
    <xf numFmtId="0" fontId="9" fillId="155" borderId="78" xfId="0" applyFont="1" applyFill="1" applyBorder="1" applyAlignment="1" applyProtection="1">
      <alignment horizontal="center" vertical="center"/>
      <protection hidden="1"/>
    </xf>
    <xf numFmtId="0" fontId="9" fillId="155" borderId="78" xfId="0" applyFont="1" applyFill="1" applyBorder="1" applyAlignment="1" applyProtection="1">
      <alignment horizontal="left" vertical="center"/>
      <protection hidden="1"/>
    </xf>
    <xf numFmtId="0" fontId="9" fillId="155" borderId="79" xfId="0" applyFont="1" applyFill="1" applyBorder="1" applyAlignment="1" applyProtection="1">
      <alignment horizontal="center" vertical="center"/>
      <protection hidden="1"/>
    </xf>
    <xf numFmtId="0" fontId="9" fillId="155" borderId="0" xfId="0" applyFont="1" applyFill="1" applyBorder="1" applyAlignment="1" applyProtection="1">
      <alignment horizontal="center" vertical="center"/>
      <protection hidden="1"/>
    </xf>
    <xf numFmtId="0" fontId="9" fillId="155" borderId="0" xfId="0" applyFont="1" applyFill="1" applyBorder="1" applyAlignment="1" applyProtection="1">
      <alignment horizontal="left" vertical="center"/>
      <protection hidden="1"/>
    </xf>
    <xf numFmtId="0" fontId="9" fillId="155" borderId="76" xfId="0" applyFont="1" applyFill="1" applyBorder="1" applyAlignment="1" applyProtection="1">
      <alignment horizontal="center" vertical="center"/>
      <protection hidden="1"/>
    </xf>
    <xf numFmtId="0" fontId="9" fillId="155" borderId="75" xfId="0" applyFont="1" applyFill="1" applyBorder="1" applyAlignment="1" applyProtection="1">
      <alignment horizontal="center" vertical="center"/>
      <protection hidden="1"/>
    </xf>
    <xf numFmtId="1" fontId="11" fillId="155" borderId="0" xfId="0" applyNumberFormat="1" applyFont="1" applyFill="1" applyBorder="1" applyAlignment="1" applyProtection="1">
      <alignment vertical="center"/>
      <protection hidden="1"/>
    </xf>
    <xf numFmtId="0" fontId="9" fillId="155" borderId="72" xfId="0" applyFont="1" applyFill="1" applyBorder="1" applyAlignment="1" applyProtection="1">
      <alignment horizontal="center" vertical="center"/>
      <protection hidden="1"/>
    </xf>
    <xf numFmtId="1" fontId="9" fillId="155" borderId="73" xfId="0" applyNumberFormat="1" applyFont="1" applyFill="1" applyBorder="1" applyAlignment="1" applyProtection="1">
      <alignment horizontal="center" vertical="center"/>
      <protection hidden="1"/>
    </xf>
    <xf numFmtId="0" fontId="9" fillId="155" borderId="73" xfId="0" applyFont="1" applyFill="1" applyBorder="1" applyAlignment="1" applyProtection="1">
      <alignment horizontal="center" vertical="center"/>
      <protection hidden="1"/>
    </xf>
    <xf numFmtId="0" fontId="9" fillId="155" borderId="73" xfId="0" applyFont="1" applyFill="1" applyBorder="1" applyAlignment="1" applyProtection="1">
      <alignment horizontal="left" vertical="center"/>
      <protection hidden="1"/>
    </xf>
    <xf numFmtId="0" fontId="9" fillId="155" borderId="74" xfId="0" applyFont="1" applyFill="1" applyBorder="1" applyAlignment="1" applyProtection="1">
      <alignment horizontal="center" vertical="center"/>
      <protection hidden="1"/>
    </xf>
    <xf numFmtId="1" fontId="9" fillId="155" borderId="78" xfId="0" applyNumberFormat="1" applyFont="1" applyFill="1" applyBorder="1" applyAlignment="1" applyProtection="1">
      <alignment horizontal="center" vertical="center"/>
      <protection hidden="1"/>
    </xf>
    <xf numFmtId="1" fontId="9" fillId="155" borderId="0" xfId="0" applyNumberFormat="1" applyFont="1" applyFill="1" applyBorder="1" applyAlignment="1" applyProtection="1">
      <alignment horizontal="center" vertical="center"/>
      <protection hidden="1"/>
    </xf>
    <xf numFmtId="0" fontId="9" fillId="156" borderId="77" xfId="0" applyFont="1" applyFill="1" applyBorder="1" applyAlignment="1" applyProtection="1">
      <alignment horizontal="left" vertical="center"/>
      <protection hidden="1"/>
    </xf>
    <xf numFmtId="0" fontId="9" fillId="156" borderId="78" xfId="0" applyFont="1" applyFill="1" applyBorder="1" applyAlignment="1" applyProtection="1">
      <alignment horizontal="left" vertical="center"/>
      <protection hidden="1"/>
    </xf>
    <xf numFmtId="0" fontId="9" fillId="156" borderId="79" xfId="0" applyFont="1" applyFill="1" applyBorder="1" applyAlignment="1" applyProtection="1">
      <alignment horizontal="left" vertical="center"/>
      <protection hidden="1"/>
    </xf>
    <xf numFmtId="0" fontId="9" fillId="156" borderId="0" xfId="0" applyFont="1" applyFill="1" applyBorder="1" applyAlignment="1" applyProtection="1">
      <alignment horizontal="center" vertical="center"/>
      <protection hidden="1"/>
    </xf>
    <xf numFmtId="0" fontId="9" fillId="156" borderId="0" xfId="0" applyFont="1" applyFill="1" applyBorder="1" applyAlignment="1" applyProtection="1">
      <alignment horizontal="left" vertical="center"/>
      <protection hidden="1"/>
    </xf>
    <xf numFmtId="0" fontId="9" fillId="156" borderId="76" xfId="0" applyFont="1" applyFill="1" applyBorder="1" applyAlignment="1" applyProtection="1">
      <alignment horizontal="center" vertical="center"/>
      <protection hidden="1"/>
    </xf>
    <xf numFmtId="0" fontId="23" fillId="156" borderId="75" xfId="0" applyFont="1" applyFill="1" applyBorder="1" applyAlignment="1" applyProtection="1">
      <alignment horizontal="center" vertical="center"/>
      <protection hidden="1"/>
    </xf>
    <xf numFmtId="0" fontId="19" fillId="156" borderId="72" xfId="0" applyFont="1" applyFill="1" applyBorder="1" applyAlignment="1" applyProtection="1">
      <alignment horizontal="center" vertical="center"/>
      <protection hidden="1"/>
    </xf>
    <xf numFmtId="1" fontId="9" fillId="156" borderId="73" xfId="0" applyNumberFormat="1" applyFont="1" applyFill="1" applyBorder="1" applyAlignment="1" applyProtection="1">
      <alignment horizontal="center" vertical="center"/>
      <protection hidden="1"/>
    </xf>
    <xf numFmtId="0" fontId="9" fillId="156" borderId="73" xfId="0" applyFont="1" applyFill="1" applyBorder="1" applyAlignment="1" applyProtection="1">
      <alignment horizontal="center" vertical="center"/>
      <protection hidden="1"/>
    </xf>
    <xf numFmtId="0" fontId="9" fillId="156" borderId="73" xfId="0" applyFont="1" applyFill="1" applyBorder="1" applyAlignment="1" applyProtection="1">
      <alignment horizontal="left" vertical="center"/>
      <protection hidden="1"/>
    </xf>
    <xf numFmtId="0" fontId="9" fillId="156" borderId="74" xfId="0" applyFont="1" applyFill="1" applyBorder="1" applyAlignment="1" applyProtection="1">
      <alignment horizontal="center" vertical="center"/>
      <protection hidden="1"/>
    </xf>
    <xf numFmtId="0" fontId="19" fillId="156" borderId="75" xfId="0" applyFont="1" applyFill="1" applyBorder="1" applyAlignment="1" applyProtection="1">
      <alignment horizontal="center" vertical="center"/>
      <protection hidden="1"/>
    </xf>
    <xf numFmtId="1" fontId="9" fillId="156" borderId="0" xfId="0" applyNumberFormat="1" applyFont="1" applyFill="1" applyBorder="1" applyAlignment="1" applyProtection="1">
      <alignment horizontal="center" vertical="center"/>
      <protection hidden="1"/>
    </xf>
    <xf numFmtId="0" fontId="19" fillId="156" borderId="77" xfId="0" applyFont="1" applyFill="1" applyBorder="1" applyAlignment="1" applyProtection="1">
      <alignment horizontal="center" vertical="center"/>
      <protection hidden="1"/>
    </xf>
    <xf numFmtId="1" fontId="9" fillId="156" borderId="78" xfId="0" applyNumberFormat="1" applyFont="1" applyFill="1" applyBorder="1" applyAlignment="1" applyProtection="1">
      <alignment horizontal="center" vertical="center"/>
      <protection hidden="1"/>
    </xf>
    <xf numFmtId="0" fontId="9" fillId="156" borderId="78" xfId="0" applyFont="1" applyFill="1" applyBorder="1" applyAlignment="1" applyProtection="1">
      <alignment horizontal="center" vertical="center"/>
      <protection hidden="1"/>
    </xf>
    <xf numFmtId="0" fontId="9" fillId="156" borderId="79" xfId="0" applyFont="1" applyFill="1" applyBorder="1" applyAlignment="1" applyProtection="1">
      <alignment horizontal="center" vertical="center"/>
      <protection hidden="1"/>
    </xf>
    <xf numFmtId="0" fontId="9" fillId="156" borderId="77" xfId="0" applyFont="1" applyFill="1" applyBorder="1" applyAlignment="1" applyProtection="1">
      <alignment horizontal="right" vertical="center"/>
      <protection hidden="1"/>
    </xf>
    <xf numFmtId="0" fontId="9" fillId="156" borderId="78" xfId="0" applyFont="1" applyFill="1" applyBorder="1" applyAlignment="1" applyProtection="1">
      <alignment horizontal="right" vertical="center"/>
      <protection hidden="1"/>
    </xf>
    <xf numFmtId="0" fontId="9" fillId="156" borderId="79" xfId="0" applyFont="1" applyFill="1" applyBorder="1" applyAlignment="1" applyProtection="1">
      <alignment horizontal="right" vertical="center"/>
      <protection hidden="1"/>
    </xf>
    <xf numFmtId="0" fontId="23" fillId="156" borderId="77" xfId="0" applyFont="1" applyFill="1" applyBorder="1" applyAlignment="1" applyProtection="1">
      <alignment horizontal="center" vertical="center"/>
      <protection hidden="1"/>
    </xf>
    <xf numFmtId="0" fontId="23" fillId="156" borderId="76" xfId="0" applyFont="1" applyFill="1" applyBorder="1" applyAlignment="1" applyProtection="1">
      <alignment horizontal="center" vertical="center"/>
      <protection hidden="1"/>
    </xf>
    <xf numFmtId="0" fontId="23" fillId="156" borderId="0" xfId="0" applyFont="1" applyFill="1" applyBorder="1" applyAlignment="1" applyProtection="1">
      <alignment horizontal="center" vertical="center"/>
      <protection hidden="1"/>
    </xf>
    <xf numFmtId="0" fontId="23" fillId="156" borderId="0" xfId="0" applyFont="1" applyFill="1" applyBorder="1" applyAlignment="1" applyProtection="1">
      <alignment horizontal="left" vertical="center"/>
      <protection hidden="1"/>
    </xf>
    <xf numFmtId="165" fontId="9" fillId="156" borderId="0" xfId="0" applyNumberFormat="1" applyFont="1" applyFill="1" applyAlignment="1" applyProtection="1">
      <alignment horizontal="left" vertical="center"/>
      <protection hidden="1"/>
    </xf>
    <xf numFmtId="164" fontId="12" fillId="23" borderId="5" xfId="0" applyNumberFormat="1" applyFont="1" applyFill="1" applyBorder="1" applyAlignment="1" applyProtection="1">
      <alignment horizontal="center" vertical="center"/>
      <protection hidden="1"/>
    </xf>
    <xf numFmtId="0" fontId="87" fillId="143" borderId="0" xfId="0" applyFont="1" applyFill="1" applyBorder="1" applyAlignment="1" applyProtection="1">
      <alignment vertical="center"/>
      <protection hidden="1"/>
    </xf>
    <xf numFmtId="0" fontId="9" fillId="143" borderId="35" xfId="0" applyFont="1" applyFill="1" applyBorder="1" applyAlignment="1" applyProtection="1">
      <alignment horizontal="right" vertical="center"/>
      <protection hidden="1"/>
    </xf>
    <xf numFmtId="0" fontId="9" fillId="143" borderId="36" xfId="0" applyFont="1" applyFill="1" applyBorder="1" applyAlignment="1" applyProtection="1">
      <alignment vertical="center"/>
      <protection hidden="1"/>
    </xf>
    <xf numFmtId="0" fontId="9" fillId="143" borderId="36" xfId="0" applyFont="1" applyFill="1" applyBorder="1" applyAlignment="1" applyProtection="1">
      <alignment horizontal="center" vertical="center"/>
      <protection hidden="1"/>
    </xf>
    <xf numFmtId="0" fontId="9" fillId="143" borderId="36" xfId="0" applyFont="1" applyFill="1" applyBorder="1" applyAlignment="1" applyProtection="1">
      <alignment horizontal="left" vertical="center"/>
      <protection hidden="1"/>
    </xf>
    <xf numFmtId="0" fontId="9" fillId="143" borderId="47" xfId="0" applyFont="1" applyFill="1" applyBorder="1" applyAlignment="1" applyProtection="1">
      <alignment horizontal="right" vertical="center"/>
      <protection hidden="1"/>
    </xf>
    <xf numFmtId="0" fontId="39" fillId="143" borderId="0" xfId="0" applyFont="1" applyFill="1" applyBorder="1" applyAlignment="1" applyProtection="1">
      <alignment vertical="center"/>
      <protection hidden="1"/>
    </xf>
    <xf numFmtId="0" fontId="0" fillId="143" borderId="37" xfId="0" applyFill="1" applyBorder="1" applyAlignment="1" applyProtection="1">
      <alignment vertical="center"/>
      <protection hidden="1"/>
    </xf>
    <xf numFmtId="0" fontId="0" fillId="143" borderId="48" xfId="0" applyFill="1" applyBorder="1" applyAlignment="1" applyProtection="1">
      <alignment vertical="center"/>
      <protection hidden="1"/>
    </xf>
    <xf numFmtId="0" fontId="9" fillId="143" borderId="38" xfId="0" applyFont="1" applyFill="1" applyBorder="1" applyAlignment="1" applyProtection="1">
      <alignment horizontal="right" vertical="center"/>
      <protection hidden="1"/>
    </xf>
    <xf numFmtId="0" fontId="87" fillId="143" borderId="23" xfId="0" applyFont="1" applyFill="1" applyBorder="1" applyAlignment="1" applyProtection="1">
      <alignment horizontal="left" vertical="top" wrapText="1"/>
      <protection hidden="1"/>
    </xf>
    <xf numFmtId="0" fontId="87" fillId="143" borderId="23" xfId="0" applyFont="1" applyFill="1" applyBorder="1" applyAlignment="1" applyProtection="1">
      <alignment horizontal="center" vertical="top" wrapText="1"/>
      <protection hidden="1"/>
    </xf>
    <xf numFmtId="0" fontId="39" fillId="143" borderId="23" xfId="0" applyFont="1" applyFill="1" applyBorder="1" applyAlignment="1" applyProtection="1">
      <alignment vertical="center"/>
      <protection hidden="1"/>
    </xf>
    <xf numFmtId="0" fontId="0" fillId="143" borderId="39" xfId="0" applyFill="1" applyBorder="1" applyAlignment="1" applyProtection="1">
      <alignment vertical="center"/>
      <protection hidden="1"/>
    </xf>
    <xf numFmtId="0" fontId="9" fillId="157" borderId="6" xfId="0" applyFont="1" applyFill="1" applyBorder="1" applyAlignment="1" applyProtection="1">
      <alignment vertical="center"/>
      <protection hidden="1"/>
    </xf>
    <xf numFmtId="0" fontId="9" fillId="157" borderId="3" xfId="0" applyFont="1" applyFill="1" applyBorder="1" applyAlignment="1" applyProtection="1">
      <alignment vertical="center"/>
      <protection hidden="1"/>
    </xf>
    <xf numFmtId="0" fontId="9" fillId="157" borderId="6" xfId="0" applyFont="1" applyFill="1" applyBorder="1" applyAlignment="1" applyProtection="1">
      <alignment horizontal="center" vertical="center"/>
      <protection hidden="1"/>
    </xf>
    <xf numFmtId="0" fontId="9" fillId="157" borderId="6" xfId="0" applyFont="1" applyFill="1" applyBorder="1" applyAlignment="1" applyProtection="1">
      <alignment horizontal="left" vertical="center"/>
      <protection hidden="1"/>
    </xf>
    <xf numFmtId="0" fontId="9" fillId="157" borderId="2" xfId="0" applyFont="1" applyFill="1" applyBorder="1" applyAlignment="1" applyProtection="1">
      <alignment vertical="center"/>
      <protection hidden="1"/>
    </xf>
    <xf numFmtId="0" fontId="9" fillId="25" borderId="47" xfId="0" applyFont="1" applyFill="1" applyBorder="1" applyAlignment="1" applyProtection="1">
      <alignment horizontal="right" vertical="center"/>
      <protection hidden="1"/>
    </xf>
    <xf numFmtId="0" fontId="9" fillId="25" borderId="35" xfId="0" applyFont="1" applyFill="1" applyBorder="1" applyAlignment="1" applyProtection="1">
      <alignment horizontal="right" vertical="center"/>
      <protection hidden="1"/>
    </xf>
    <xf numFmtId="0" fontId="9" fillId="25" borderId="36" xfId="0" applyFont="1" applyFill="1" applyBorder="1" applyAlignment="1" applyProtection="1">
      <alignment horizontal="left" vertical="center"/>
      <protection hidden="1"/>
    </xf>
    <xf numFmtId="0" fontId="9" fillId="25" borderId="36" xfId="0" applyFont="1" applyFill="1" applyBorder="1" applyAlignment="1" applyProtection="1">
      <alignment horizontal="center" vertical="center"/>
      <protection hidden="1"/>
    </xf>
    <xf numFmtId="0" fontId="9" fillId="25" borderId="37" xfId="0" applyFont="1" applyFill="1" applyBorder="1" applyAlignment="1" applyProtection="1">
      <alignment horizontal="center" vertical="center"/>
      <protection hidden="1"/>
    </xf>
    <xf numFmtId="0" fontId="9" fillId="25" borderId="48" xfId="0" applyFont="1" applyFill="1" applyBorder="1" applyAlignment="1" applyProtection="1">
      <alignment horizontal="center" vertical="center"/>
      <protection hidden="1"/>
    </xf>
    <xf numFmtId="0" fontId="9" fillId="25" borderId="38" xfId="0" applyFont="1" applyFill="1" applyBorder="1" applyAlignment="1" applyProtection="1">
      <alignment horizontal="right" vertical="center"/>
      <protection hidden="1"/>
    </xf>
    <xf numFmtId="0" fontId="37" fillId="25" borderId="23" xfId="0" quotePrefix="1" applyFont="1" applyFill="1" applyBorder="1" applyAlignment="1" applyProtection="1">
      <alignment horizontal="left" vertical="center"/>
      <protection hidden="1"/>
    </xf>
    <xf numFmtId="0" fontId="37" fillId="25" borderId="23" xfId="0" applyFont="1" applyFill="1" applyBorder="1" applyAlignment="1" applyProtection="1">
      <alignment horizontal="center" vertical="center"/>
      <protection hidden="1"/>
    </xf>
    <xf numFmtId="0" fontId="37" fillId="25" borderId="23" xfId="0" applyFont="1" applyFill="1" applyBorder="1" applyAlignment="1" applyProtection="1">
      <alignment horizontal="left" vertical="center"/>
      <protection hidden="1"/>
    </xf>
    <xf numFmtId="0" fontId="9" fillId="25" borderId="23" xfId="0" applyFont="1" applyFill="1" applyBorder="1" applyAlignment="1" applyProtection="1">
      <alignment horizontal="left" vertical="center"/>
      <protection hidden="1"/>
    </xf>
    <xf numFmtId="0" fontId="9" fillId="25" borderId="23" xfId="0" applyFont="1" applyFill="1" applyBorder="1" applyAlignment="1" applyProtection="1">
      <alignment vertical="center"/>
      <protection hidden="1"/>
    </xf>
    <xf numFmtId="0" fontId="37" fillId="25" borderId="23" xfId="0" applyFont="1" applyFill="1" applyBorder="1" applyAlignment="1" applyProtection="1">
      <alignment vertical="center"/>
      <protection hidden="1"/>
    </xf>
    <xf numFmtId="0" fontId="9" fillId="25" borderId="39" xfId="0" applyFont="1" applyFill="1" applyBorder="1" applyAlignment="1" applyProtection="1">
      <alignment horizontal="center" vertical="center"/>
      <protection hidden="1"/>
    </xf>
    <xf numFmtId="165" fontId="9" fillId="5" borderId="1" xfId="3" applyNumberFormat="1" applyProtection="1">
      <alignment horizontal="center" vertical="center"/>
      <protection locked="0"/>
    </xf>
    <xf numFmtId="165" fontId="9" fillId="5" borderId="1" xfId="3" applyNumberFormat="1" applyFont="1" applyBorder="1" applyProtection="1">
      <alignment horizontal="center" vertical="center"/>
      <protection locked="0"/>
    </xf>
    <xf numFmtId="0" fontId="0" fillId="157" borderId="6" xfId="0" applyFill="1" applyBorder="1" applyProtection="1">
      <protection hidden="1"/>
    </xf>
    <xf numFmtId="0" fontId="0" fillId="143" borderId="36" xfId="0" applyFill="1" applyBorder="1" applyProtection="1">
      <protection hidden="1"/>
    </xf>
    <xf numFmtId="0" fontId="0" fillId="143" borderId="0" xfId="0" applyFill="1" applyBorder="1" applyProtection="1">
      <protection hidden="1"/>
    </xf>
    <xf numFmtId="0" fontId="0" fillId="143" borderId="23" xfId="0" applyFill="1" applyBorder="1" applyProtection="1">
      <protection hidden="1"/>
    </xf>
    <xf numFmtId="0" fontId="0" fillId="25" borderId="36" xfId="0" applyFill="1" applyBorder="1" applyProtection="1">
      <protection hidden="1"/>
    </xf>
    <xf numFmtId="165" fontId="9" fillId="6" borderId="80" xfId="0" applyNumberFormat="1" applyFont="1" applyFill="1" applyBorder="1" applyAlignment="1" applyProtection="1">
      <alignment horizontal="left" vertical="center"/>
      <protection hidden="1"/>
    </xf>
    <xf numFmtId="165" fontId="9" fillId="6" borderId="81" xfId="0" applyNumberFormat="1" applyFont="1" applyFill="1" applyBorder="1" applyAlignment="1" applyProtection="1">
      <alignment horizontal="center" vertical="center"/>
      <protection hidden="1"/>
    </xf>
    <xf numFmtId="165" fontId="9" fillId="6" borderId="81" xfId="0" applyNumberFormat="1" applyFont="1" applyFill="1" applyBorder="1" applyAlignment="1" applyProtection="1">
      <alignment horizontal="left" vertical="center"/>
      <protection hidden="1"/>
    </xf>
    <xf numFmtId="0" fontId="9" fillId="6" borderId="82" xfId="0" applyFont="1" applyFill="1" applyBorder="1" applyAlignment="1" applyProtection="1">
      <alignment horizontal="center" vertical="center"/>
      <protection hidden="1"/>
    </xf>
    <xf numFmtId="165" fontId="9" fillId="158" borderId="0" xfId="0" applyNumberFormat="1" applyFont="1" applyFill="1" applyAlignment="1" applyProtection="1">
      <alignment horizontal="center" vertical="center"/>
      <protection hidden="1"/>
    </xf>
    <xf numFmtId="0" fontId="9" fillId="158" borderId="0" xfId="0" applyFont="1" applyFill="1" applyBorder="1" applyAlignment="1" applyProtection="1">
      <alignment horizontal="center" vertical="center"/>
      <protection hidden="1"/>
    </xf>
    <xf numFmtId="0" fontId="19" fillId="158" borderId="0" xfId="0" applyFont="1" applyFill="1" applyAlignment="1" applyProtection="1">
      <alignment horizontal="center" vertical="center"/>
      <protection hidden="1"/>
    </xf>
    <xf numFmtId="0" fontId="11" fillId="158" borderId="0" xfId="0" applyFont="1" applyFill="1" applyAlignment="1" applyProtection="1">
      <alignment vertical="center"/>
      <protection hidden="1"/>
    </xf>
    <xf numFmtId="0" fontId="0" fillId="158" borderId="0" xfId="0" applyFill="1" applyAlignment="1" applyProtection="1">
      <alignment vertical="center"/>
      <protection hidden="1"/>
    </xf>
    <xf numFmtId="0" fontId="9" fillId="158" borderId="0" xfId="0" applyFont="1" applyFill="1" applyProtection="1">
      <protection hidden="1"/>
    </xf>
    <xf numFmtId="0" fontId="9" fillId="158" borderId="0" xfId="0" applyFont="1" applyFill="1" applyAlignment="1" applyProtection="1">
      <alignment vertical="center"/>
      <protection hidden="1"/>
    </xf>
    <xf numFmtId="164" fontId="32" fillId="31" borderId="0" xfId="0" applyNumberFormat="1" applyFont="1" applyFill="1" applyBorder="1" applyAlignment="1" applyProtection="1">
      <alignment vertical="center"/>
      <protection hidden="1"/>
    </xf>
    <xf numFmtId="164" fontId="51" fillId="31" borderId="0" xfId="0" applyNumberFormat="1" applyFont="1" applyFill="1" applyBorder="1" applyAlignment="1" applyProtection="1">
      <alignment vertical="center" wrapText="1"/>
      <protection hidden="1"/>
    </xf>
    <xf numFmtId="0" fontId="37" fillId="5" borderId="0" xfId="0" applyFont="1" applyFill="1" applyBorder="1" applyProtection="1">
      <protection hidden="1"/>
    </xf>
    <xf numFmtId="0" fontId="37" fillId="31" borderId="35" xfId="0" applyFont="1" applyFill="1" applyBorder="1" applyProtection="1">
      <protection hidden="1"/>
    </xf>
    <xf numFmtId="0" fontId="37" fillId="31" borderId="36" xfId="0" applyFont="1" applyFill="1" applyBorder="1" applyProtection="1">
      <protection hidden="1"/>
    </xf>
    <xf numFmtId="165" fontId="14" fillId="31" borderId="36" xfId="7" applyFont="1" applyFill="1" applyBorder="1" applyAlignment="1" applyProtection="1">
      <alignment vertical="center"/>
      <protection hidden="1"/>
    </xf>
    <xf numFmtId="164" fontId="14" fillId="31" borderId="36" xfId="0" applyNumberFormat="1" applyFont="1" applyFill="1" applyBorder="1" applyAlignment="1" applyProtection="1">
      <alignment vertical="center" wrapText="1"/>
      <protection hidden="1"/>
    </xf>
    <xf numFmtId="0" fontId="98" fillId="31" borderId="36" xfId="0" applyFont="1" applyFill="1" applyBorder="1" applyAlignment="1" applyProtection="1">
      <alignment vertical="center"/>
      <protection hidden="1"/>
    </xf>
    <xf numFmtId="164" fontId="14" fillId="31" borderId="37" xfId="0" applyNumberFormat="1" applyFont="1" applyFill="1" applyBorder="1" applyAlignment="1" applyProtection="1">
      <alignment vertical="center" wrapText="1"/>
      <protection hidden="1"/>
    </xf>
    <xf numFmtId="0" fontId="37" fillId="159" borderId="0" xfId="0" applyFont="1" applyFill="1" applyBorder="1" applyAlignment="1" applyProtection="1">
      <alignment horizontal="right" vertical="center"/>
      <protection hidden="1"/>
    </xf>
    <xf numFmtId="165" fontId="9" fillId="6" borderId="6" xfId="0" applyNumberFormat="1" applyFont="1" applyFill="1" applyBorder="1" applyAlignment="1" applyProtection="1">
      <alignment horizontal="center" vertical="center"/>
      <protection hidden="1"/>
    </xf>
    <xf numFmtId="0" fontId="9" fillId="5" borderId="1" xfId="3" applyProtection="1">
      <alignment horizontal="center" vertical="center"/>
      <protection locked="0"/>
    </xf>
    <xf numFmtId="0" fontId="9" fillId="6" borderId="2" xfId="0" applyFont="1" applyFill="1" applyBorder="1" applyAlignment="1" applyProtection="1">
      <alignment horizontal="center" vertical="center"/>
      <protection hidden="1"/>
    </xf>
    <xf numFmtId="4" fontId="0" fillId="5" borderId="0" xfId="0" applyNumberFormat="1" applyFill="1" applyBorder="1" applyAlignment="1">
      <alignment horizontal="center" vertical="top"/>
    </xf>
    <xf numFmtId="0" fontId="0" fillId="5" borderId="0" xfId="0" applyFill="1" applyAlignment="1">
      <alignment horizontal="center" vertical="top"/>
    </xf>
    <xf numFmtId="0" fontId="6" fillId="5" borderId="0" xfId="0" applyFont="1" applyFill="1" applyAlignment="1">
      <alignment horizontal="center" vertical="top"/>
    </xf>
    <xf numFmtId="0" fontId="0" fillId="4" borderId="0" xfId="0" applyFill="1" applyAlignment="1">
      <alignment horizontal="center" vertical="top"/>
    </xf>
    <xf numFmtId="0" fontId="31" fillId="160" borderId="1" xfId="0" applyFont="1" applyFill="1" applyBorder="1" applyAlignment="1" applyProtection="1">
      <alignment horizontal="center" vertical="center"/>
      <protection hidden="1"/>
    </xf>
    <xf numFmtId="2" fontId="12" fillId="5" borderId="0" xfId="4" applyFont="1" applyFill="1" applyBorder="1" applyAlignment="1" applyProtection="1">
      <alignment vertical="center"/>
      <protection hidden="1"/>
    </xf>
    <xf numFmtId="1" fontId="9" fillId="107" borderId="3" xfId="0" applyNumberFormat="1" applyFont="1" applyFill="1" applyBorder="1" applyAlignment="1" applyProtection="1">
      <alignment horizontal="center" vertical="center"/>
      <protection hidden="1"/>
    </xf>
    <xf numFmtId="1" fontId="9" fillId="107" borderId="6" xfId="0" applyNumberFormat="1" applyFont="1" applyFill="1" applyBorder="1" applyAlignment="1" applyProtection="1">
      <alignment horizontal="center" vertical="center"/>
      <protection hidden="1"/>
    </xf>
    <xf numFmtId="1" fontId="9" fillId="107" borderId="2" xfId="0" applyNumberFormat="1" applyFont="1" applyFill="1" applyBorder="1" applyAlignment="1" applyProtection="1">
      <alignment horizontal="center" vertical="center"/>
      <protection hidden="1"/>
    </xf>
    <xf numFmtId="1" fontId="9" fillId="107" borderId="1" xfId="0" applyNumberFormat="1" applyFont="1" applyFill="1" applyBorder="1" applyAlignment="1" applyProtection="1">
      <alignment horizontal="center" vertical="center"/>
      <protection hidden="1"/>
    </xf>
    <xf numFmtId="0" fontId="88" fillId="110" borderId="1" xfId="0" applyFont="1" applyFill="1" applyBorder="1" applyAlignment="1" applyProtection="1">
      <alignment horizontal="center"/>
      <protection hidden="1"/>
    </xf>
    <xf numFmtId="0" fontId="88" fillId="110" borderId="3" xfId="0" applyFont="1" applyFill="1" applyBorder="1" applyAlignment="1" applyProtection="1">
      <alignment horizontal="center"/>
      <protection hidden="1"/>
    </xf>
    <xf numFmtId="0" fontId="88" fillId="110" borderId="6" xfId="0" applyFont="1" applyFill="1" applyBorder="1" applyAlignment="1" applyProtection="1">
      <alignment horizontal="center"/>
      <protection hidden="1"/>
    </xf>
    <xf numFmtId="0" fontId="88" fillId="110" borderId="2" xfId="0" applyFont="1" applyFill="1" applyBorder="1" applyAlignment="1" applyProtection="1">
      <alignment horizontal="center"/>
      <protection hidden="1"/>
    </xf>
    <xf numFmtId="0" fontId="88" fillId="113" borderId="1" xfId="0" applyFont="1" applyFill="1" applyBorder="1" applyAlignment="1" applyProtection="1">
      <alignment horizontal="center"/>
      <protection hidden="1"/>
    </xf>
    <xf numFmtId="0" fontId="88" fillId="113" borderId="3" xfId="0" applyFont="1" applyFill="1" applyBorder="1" applyAlignment="1" applyProtection="1">
      <alignment horizontal="center"/>
      <protection hidden="1"/>
    </xf>
    <xf numFmtId="0" fontId="88" fillId="113" borderId="6" xfId="0" applyFont="1" applyFill="1" applyBorder="1" applyAlignment="1" applyProtection="1">
      <alignment horizontal="center"/>
      <protection hidden="1"/>
    </xf>
    <xf numFmtId="0" fontId="88" fillId="113" borderId="2" xfId="0" applyFont="1" applyFill="1" applyBorder="1" applyAlignment="1" applyProtection="1">
      <alignment horizontal="center"/>
      <protection hidden="1"/>
    </xf>
    <xf numFmtId="164" fontId="9" fillId="5" borderId="28" xfId="0" applyNumberFormat="1" applyFont="1" applyFill="1" applyBorder="1" applyAlignment="1" applyProtection="1">
      <alignment vertical="center"/>
      <protection hidden="1"/>
    </xf>
    <xf numFmtId="164" fontId="9" fillId="5" borderId="49" xfId="0" applyNumberFormat="1" applyFont="1" applyFill="1" applyBorder="1" applyAlignment="1" applyProtection="1">
      <alignment vertical="center"/>
      <protection hidden="1"/>
    </xf>
    <xf numFmtId="0" fontId="19" fillId="163" borderId="23" xfId="0" applyFont="1" applyFill="1" applyBorder="1" applyAlignment="1" applyProtection="1">
      <alignment horizontal="center" vertical="center"/>
      <protection hidden="1"/>
    </xf>
    <xf numFmtId="164" fontId="35" fillId="163" borderId="83" xfId="0" applyNumberFormat="1" applyFont="1" applyFill="1" applyBorder="1" applyAlignment="1" applyProtection="1">
      <alignment horizontal="center" vertical="center"/>
      <protection hidden="1"/>
    </xf>
    <xf numFmtId="0" fontId="19" fillId="163" borderId="36" xfId="0" applyFont="1" applyFill="1" applyBorder="1" applyAlignment="1" applyProtection="1">
      <alignment horizontal="center" vertical="center"/>
      <protection hidden="1"/>
    </xf>
    <xf numFmtId="0" fontId="9" fillId="164" borderId="38" xfId="0" applyFont="1" applyFill="1" applyBorder="1" applyAlignment="1" applyProtection="1">
      <alignment horizontal="center" vertical="center"/>
      <protection hidden="1"/>
    </xf>
    <xf numFmtId="165" fontId="9" fillId="164" borderId="23" xfId="0" applyNumberFormat="1" applyFont="1" applyFill="1" applyBorder="1" applyAlignment="1" applyProtection="1">
      <alignment horizontal="center" vertical="center"/>
      <protection hidden="1"/>
    </xf>
    <xf numFmtId="0" fontId="19" fillId="164" borderId="39" xfId="0" applyFont="1" applyFill="1" applyBorder="1" applyAlignment="1" applyProtection="1">
      <alignment horizontal="center" vertical="center"/>
      <protection hidden="1"/>
    </xf>
    <xf numFmtId="0" fontId="9" fillId="164" borderId="0" xfId="9" applyFill="1" applyBorder="1" applyAlignment="1" applyProtection="1">
      <alignment vertical="center"/>
      <protection hidden="1"/>
    </xf>
    <xf numFmtId="0" fontId="19" fillId="164" borderId="48" xfId="0" applyFont="1" applyFill="1" applyBorder="1" applyAlignment="1" applyProtection="1">
      <alignment horizontal="center" vertical="center"/>
      <protection hidden="1"/>
    </xf>
    <xf numFmtId="0" fontId="9" fillId="164" borderId="47" xfId="0" applyFont="1" applyFill="1" applyBorder="1" applyAlignment="1" applyProtection="1">
      <alignment horizontal="center" vertical="center"/>
      <protection hidden="1"/>
    </xf>
    <xf numFmtId="0" fontId="9" fillId="164" borderId="35" xfId="0" applyFont="1" applyFill="1" applyBorder="1" applyAlignment="1" applyProtection="1">
      <alignment horizontal="center" vertical="center"/>
      <protection hidden="1"/>
    </xf>
    <xf numFmtId="165" fontId="9" fillId="164" borderId="36" xfId="0" applyNumberFormat="1" applyFont="1" applyFill="1" applyBorder="1" applyAlignment="1" applyProtection="1">
      <alignment horizontal="center" vertical="center"/>
      <protection hidden="1"/>
    </xf>
    <xf numFmtId="0" fontId="19" fillId="164" borderId="37" xfId="0" applyFont="1" applyFill="1" applyBorder="1" applyAlignment="1" applyProtection="1">
      <alignment horizontal="center" vertical="center"/>
      <protection hidden="1"/>
    </xf>
    <xf numFmtId="0" fontId="9" fillId="166" borderId="77" xfId="0" applyFont="1" applyFill="1" applyBorder="1" applyAlignment="1" applyProtection="1">
      <alignment horizontal="center" vertical="center"/>
      <protection hidden="1"/>
    </xf>
    <xf numFmtId="165" fontId="9" fillId="166" borderId="78" xfId="0" applyNumberFormat="1" applyFont="1" applyFill="1" applyBorder="1" applyAlignment="1" applyProtection="1">
      <alignment horizontal="center" vertical="center"/>
      <protection hidden="1"/>
    </xf>
    <xf numFmtId="0" fontId="19" fillId="166" borderId="79" xfId="0" applyFont="1" applyFill="1" applyBorder="1" applyAlignment="1" applyProtection="1">
      <alignment horizontal="center" vertical="center"/>
      <protection hidden="1"/>
    </xf>
    <xf numFmtId="0" fontId="9" fillId="166" borderId="0" xfId="9" applyFill="1" applyBorder="1" applyAlignment="1" applyProtection="1">
      <alignment vertical="center"/>
      <protection hidden="1"/>
    </xf>
    <xf numFmtId="0" fontId="19" fillId="166" borderId="76" xfId="0" applyFont="1" applyFill="1" applyBorder="1" applyAlignment="1" applyProtection="1">
      <alignment horizontal="center" vertical="center"/>
      <protection hidden="1"/>
    </xf>
    <xf numFmtId="0" fontId="9" fillId="166" borderId="75" xfId="0" applyFont="1" applyFill="1" applyBorder="1" applyAlignment="1" applyProtection="1">
      <alignment horizontal="center" vertical="center"/>
      <protection hidden="1"/>
    </xf>
    <xf numFmtId="0" fontId="9" fillId="166" borderId="72" xfId="0" applyFont="1" applyFill="1" applyBorder="1" applyAlignment="1" applyProtection="1">
      <alignment horizontal="center" vertical="center"/>
      <protection hidden="1"/>
    </xf>
    <xf numFmtId="165" fontId="9" fillId="166" borderId="73" xfId="0" applyNumberFormat="1" applyFont="1" applyFill="1" applyBorder="1" applyAlignment="1" applyProtection="1">
      <alignment horizontal="center" vertical="center"/>
      <protection hidden="1"/>
    </xf>
    <xf numFmtId="0" fontId="19" fillId="166" borderId="74" xfId="0" applyFont="1" applyFill="1" applyBorder="1" applyAlignment="1" applyProtection="1">
      <alignment horizontal="center" vertical="center"/>
      <protection hidden="1"/>
    </xf>
    <xf numFmtId="0" fontId="0" fillId="163" borderId="8" xfId="0" applyFill="1" applyBorder="1" applyProtection="1">
      <protection hidden="1"/>
    </xf>
    <xf numFmtId="0" fontId="0" fillId="163" borderId="35" xfId="0" applyFill="1" applyBorder="1" applyProtection="1">
      <protection hidden="1"/>
    </xf>
    <xf numFmtId="0" fontId="0" fillId="163" borderId="36" xfId="0" applyFill="1" applyBorder="1" applyProtection="1">
      <protection hidden="1"/>
    </xf>
    <xf numFmtId="0" fontId="0" fillId="163" borderId="37" xfId="0" applyFill="1" applyBorder="1" applyProtection="1">
      <protection hidden="1"/>
    </xf>
    <xf numFmtId="0" fontId="13" fillId="163" borderId="52" xfId="0" applyFont="1" applyFill="1" applyBorder="1" applyAlignment="1" applyProtection="1">
      <alignment horizontal="center" vertical="center"/>
      <protection hidden="1"/>
    </xf>
    <xf numFmtId="0" fontId="0" fillId="163" borderId="47" xfId="0" applyFill="1" applyBorder="1" applyProtection="1">
      <protection hidden="1"/>
    </xf>
    <xf numFmtId="0" fontId="9" fillId="163" borderId="0" xfId="0" applyFont="1" applyFill="1" applyBorder="1" applyAlignment="1" applyProtection="1">
      <alignment vertical="center"/>
      <protection hidden="1"/>
    </xf>
    <xf numFmtId="0" fontId="0" fillId="163" borderId="0" xfId="0" applyFill="1" applyBorder="1" applyProtection="1">
      <protection hidden="1"/>
    </xf>
    <xf numFmtId="0" fontId="49" fillId="163" borderId="0" xfId="0" applyFont="1" applyFill="1" applyBorder="1" applyAlignment="1" applyProtection="1">
      <alignment horizontal="center" vertical="center"/>
      <protection hidden="1"/>
    </xf>
    <xf numFmtId="0" fontId="0" fillId="163" borderId="48" xfId="0" applyFill="1" applyBorder="1" applyProtection="1">
      <protection hidden="1"/>
    </xf>
    <xf numFmtId="0" fontId="12" fillId="165" borderId="84" xfId="9" applyFont="1" applyFill="1" applyBorder="1" applyProtection="1">
      <alignment horizontal="center" vertical="center"/>
      <protection hidden="1"/>
    </xf>
    <xf numFmtId="0" fontId="0" fillId="163" borderId="9" xfId="0" applyFill="1" applyBorder="1" applyProtection="1">
      <protection hidden="1"/>
    </xf>
    <xf numFmtId="0" fontId="0" fillId="163" borderId="38" xfId="0" applyFill="1" applyBorder="1" applyProtection="1">
      <protection hidden="1"/>
    </xf>
    <xf numFmtId="0" fontId="0" fillId="163" borderId="23" xfId="0" applyFill="1" applyBorder="1" applyProtection="1">
      <protection hidden="1"/>
    </xf>
    <xf numFmtId="0" fontId="0" fillId="163" borderId="39" xfId="0" applyFill="1" applyBorder="1" applyProtection="1">
      <protection hidden="1"/>
    </xf>
    <xf numFmtId="0" fontId="9" fillId="169" borderId="3" xfId="0" applyFont="1" applyFill="1" applyBorder="1" applyAlignment="1" applyProtection="1">
      <alignment horizontal="center" vertical="center"/>
      <protection hidden="1"/>
    </xf>
    <xf numFmtId="0" fontId="9" fillId="169" borderId="6" xfId="0" applyFont="1" applyFill="1" applyBorder="1" applyAlignment="1" applyProtection="1">
      <alignment horizontal="right" vertical="center"/>
      <protection hidden="1"/>
    </xf>
    <xf numFmtId="0" fontId="9" fillId="169" borderId="6" xfId="0" applyFont="1" applyFill="1" applyBorder="1" applyAlignment="1" applyProtection="1">
      <alignment vertical="center"/>
      <protection hidden="1"/>
    </xf>
    <xf numFmtId="0" fontId="9" fillId="169" borderId="6" xfId="0" applyFont="1" applyFill="1" applyBorder="1" applyAlignment="1" applyProtection="1">
      <alignment horizontal="center" vertical="center"/>
      <protection hidden="1"/>
    </xf>
    <xf numFmtId="0" fontId="9" fillId="169" borderId="6" xfId="0" applyFont="1" applyFill="1" applyBorder="1" applyAlignment="1" applyProtection="1">
      <alignment horizontal="left" vertical="center"/>
      <protection hidden="1"/>
    </xf>
    <xf numFmtId="0" fontId="0" fillId="169" borderId="6" xfId="0" applyFill="1" applyBorder="1" applyAlignment="1" applyProtection="1">
      <alignment vertical="center"/>
      <protection hidden="1"/>
    </xf>
    <xf numFmtId="0" fontId="0" fillId="169" borderId="6" xfId="0" applyFill="1" applyBorder="1" applyProtection="1">
      <protection hidden="1"/>
    </xf>
    <xf numFmtId="0" fontId="0" fillId="169" borderId="2" xfId="0" applyFill="1" applyBorder="1" applyAlignment="1" applyProtection="1">
      <alignment vertical="center"/>
      <protection hidden="1"/>
    </xf>
    <xf numFmtId="0" fontId="9" fillId="161" borderId="3" xfId="0" applyFont="1" applyFill="1" applyBorder="1" applyAlignment="1" applyProtection="1">
      <alignment horizontal="center" vertical="center"/>
      <protection hidden="1"/>
    </xf>
    <xf numFmtId="0" fontId="9" fillId="161" borderId="6" xfId="0" applyFont="1" applyFill="1" applyBorder="1" applyAlignment="1" applyProtection="1">
      <alignment horizontal="right" vertical="center"/>
      <protection hidden="1"/>
    </xf>
    <xf numFmtId="0" fontId="9" fillId="161" borderId="6" xfId="0" applyFont="1" applyFill="1" applyBorder="1" applyAlignment="1" applyProtection="1">
      <alignment vertical="center"/>
      <protection hidden="1"/>
    </xf>
    <xf numFmtId="0" fontId="9" fillId="161" borderId="6" xfId="0" applyFont="1" applyFill="1" applyBorder="1" applyAlignment="1" applyProtection="1">
      <alignment horizontal="center" vertical="center"/>
      <protection hidden="1"/>
    </xf>
    <xf numFmtId="0" fontId="9" fillId="161" borderId="6" xfId="0" applyFont="1" applyFill="1" applyBorder="1" applyAlignment="1" applyProtection="1">
      <alignment horizontal="left" vertical="center"/>
      <protection hidden="1"/>
    </xf>
    <xf numFmtId="0" fontId="0" fillId="161" borderId="6" xfId="0" applyFill="1" applyBorder="1" applyAlignment="1" applyProtection="1">
      <alignment vertical="center"/>
      <protection hidden="1"/>
    </xf>
    <xf numFmtId="0" fontId="0" fillId="161" borderId="6" xfId="0" applyFill="1" applyBorder="1" applyProtection="1">
      <protection hidden="1"/>
    </xf>
    <xf numFmtId="0" fontId="0" fillId="161" borderId="2" xfId="0" applyFill="1" applyBorder="1" applyAlignment="1" applyProtection="1">
      <alignment vertical="center"/>
      <protection hidden="1"/>
    </xf>
    <xf numFmtId="0" fontId="9" fillId="132" borderId="0" xfId="0" applyFont="1" applyFill="1" applyBorder="1" applyAlignment="1" applyProtection="1">
      <alignment horizontal="center" vertical="center"/>
      <protection hidden="1"/>
    </xf>
    <xf numFmtId="0" fontId="9" fillId="132" borderId="0" xfId="0" applyFont="1" applyFill="1" applyBorder="1" applyAlignment="1" applyProtection="1">
      <alignment horizontal="right" vertical="center"/>
      <protection hidden="1"/>
    </xf>
    <xf numFmtId="0" fontId="9" fillId="132" borderId="0" xfId="0" applyFont="1" applyFill="1" applyBorder="1" applyAlignment="1" applyProtection="1">
      <alignment vertical="center"/>
      <protection hidden="1"/>
    </xf>
    <xf numFmtId="0" fontId="0" fillId="132" borderId="0" xfId="0" applyFill="1" applyBorder="1" applyAlignment="1" applyProtection="1">
      <alignment vertical="center"/>
      <protection hidden="1"/>
    </xf>
    <xf numFmtId="0" fontId="0" fillId="132" borderId="0" xfId="0" applyFill="1" applyBorder="1" applyProtection="1">
      <protection hidden="1"/>
    </xf>
    <xf numFmtId="0" fontId="0" fillId="170" borderId="0" xfId="0" applyFill="1" applyAlignment="1" applyProtection="1">
      <alignment vertical="center"/>
      <protection hidden="1"/>
    </xf>
    <xf numFmtId="0" fontId="9" fillId="171" borderId="3" xfId="0" applyFont="1" applyFill="1" applyBorder="1" applyAlignment="1" applyProtection="1">
      <alignment horizontal="center" vertical="center"/>
      <protection hidden="1"/>
    </xf>
    <xf numFmtId="0" fontId="9" fillId="171" borderId="6" xfId="0" applyFont="1" applyFill="1" applyBorder="1" applyAlignment="1" applyProtection="1">
      <alignment horizontal="right" vertical="center"/>
      <protection hidden="1"/>
    </xf>
    <xf numFmtId="0" fontId="9" fillId="171" borderId="6" xfId="0" applyFont="1" applyFill="1" applyBorder="1" applyAlignment="1" applyProtection="1">
      <alignment vertical="center"/>
      <protection hidden="1"/>
    </xf>
    <xf numFmtId="0" fontId="9" fillId="171" borderId="6" xfId="0" applyFont="1" applyFill="1" applyBorder="1" applyAlignment="1" applyProtection="1">
      <alignment horizontal="center" vertical="center"/>
      <protection hidden="1"/>
    </xf>
    <xf numFmtId="0" fontId="9" fillId="171" borderId="6" xfId="0" applyFont="1" applyFill="1" applyBorder="1" applyAlignment="1" applyProtection="1">
      <alignment horizontal="left" vertical="center"/>
      <protection hidden="1"/>
    </xf>
    <xf numFmtId="0" fontId="0" fillId="171" borderId="6" xfId="0" applyFill="1" applyBorder="1" applyAlignment="1" applyProtection="1">
      <alignment vertical="center"/>
      <protection hidden="1"/>
    </xf>
    <xf numFmtId="0" fontId="0" fillId="171" borderId="6" xfId="0" applyFill="1" applyBorder="1" applyProtection="1">
      <protection hidden="1"/>
    </xf>
    <xf numFmtId="0" fontId="0" fillId="171" borderId="2" xfId="0" applyFill="1" applyBorder="1" applyAlignment="1" applyProtection="1">
      <alignment vertical="center"/>
      <protection hidden="1"/>
    </xf>
    <xf numFmtId="0" fontId="88" fillId="164" borderId="1" xfId="0" applyFont="1" applyFill="1" applyBorder="1" applyAlignment="1" applyProtection="1">
      <alignment horizontal="center"/>
      <protection hidden="1"/>
    </xf>
    <xf numFmtId="0" fontId="88" fillId="164" borderId="3" xfId="0" applyFont="1" applyFill="1" applyBorder="1" applyAlignment="1" applyProtection="1">
      <alignment horizontal="center"/>
      <protection hidden="1"/>
    </xf>
    <xf numFmtId="0" fontId="88" fillId="164" borderId="6" xfId="0" applyFont="1" applyFill="1" applyBorder="1" applyAlignment="1" applyProtection="1">
      <alignment horizontal="center"/>
      <protection hidden="1"/>
    </xf>
    <xf numFmtId="0" fontId="88" fillId="164" borderId="2" xfId="0" applyFont="1" applyFill="1" applyBorder="1" applyAlignment="1" applyProtection="1">
      <alignment horizontal="center"/>
      <protection hidden="1"/>
    </xf>
    <xf numFmtId="0" fontId="19" fillId="18" borderId="2" xfId="0" applyFont="1" applyFill="1" applyBorder="1" applyAlignment="1" applyProtection="1">
      <alignment horizontal="center" vertical="center"/>
      <protection hidden="1"/>
    </xf>
    <xf numFmtId="0" fontId="9" fillId="172" borderId="80" xfId="0" applyFont="1" applyFill="1" applyBorder="1" applyAlignment="1" applyProtection="1">
      <alignment horizontal="center" vertical="center"/>
      <protection hidden="1"/>
    </xf>
    <xf numFmtId="0" fontId="9" fillId="172" borderId="81" xfId="0" applyFont="1" applyFill="1" applyBorder="1" applyAlignment="1" applyProtection="1">
      <alignment horizontal="center" vertical="center"/>
      <protection hidden="1"/>
    </xf>
    <xf numFmtId="165" fontId="9" fillId="172" borderId="81" xfId="0" applyNumberFormat="1" applyFont="1" applyFill="1" applyBorder="1" applyAlignment="1" applyProtection="1">
      <alignment horizontal="center" vertical="center"/>
      <protection hidden="1"/>
    </xf>
    <xf numFmtId="0" fontId="19" fillId="172" borderId="82" xfId="0" applyFont="1" applyFill="1" applyBorder="1" applyAlignment="1" applyProtection="1">
      <alignment horizontal="center" vertical="center"/>
      <protection hidden="1"/>
    </xf>
    <xf numFmtId="0" fontId="9" fillId="173" borderId="80" xfId="0" applyFont="1" applyFill="1" applyBorder="1" applyAlignment="1" applyProtection="1">
      <alignment vertical="center"/>
      <protection hidden="1"/>
    </xf>
    <xf numFmtId="0" fontId="9" fillId="173" borderId="81" xfId="0" applyFont="1" applyFill="1" applyBorder="1" applyAlignment="1" applyProtection="1">
      <alignment vertical="center"/>
      <protection hidden="1"/>
    </xf>
    <xf numFmtId="0" fontId="9" fillId="173" borderId="82" xfId="0" applyFont="1" applyFill="1" applyBorder="1" applyAlignment="1" applyProtection="1">
      <alignment vertical="center"/>
      <protection hidden="1"/>
    </xf>
    <xf numFmtId="0" fontId="87" fillId="10" borderId="0" xfId="0" applyFont="1" applyFill="1" applyBorder="1" applyAlignment="1" applyProtection="1">
      <alignment vertical="center"/>
      <protection hidden="1"/>
    </xf>
    <xf numFmtId="0" fontId="9" fillId="12" borderId="2" xfId="0" applyFont="1" applyFill="1" applyBorder="1" applyAlignment="1" applyProtection="1">
      <alignment vertical="center"/>
      <protection hidden="1"/>
    </xf>
    <xf numFmtId="0" fontId="9" fillId="174" borderId="80" xfId="0" applyFont="1" applyFill="1" applyBorder="1" applyAlignment="1" applyProtection="1">
      <alignment vertical="center"/>
      <protection hidden="1"/>
    </xf>
    <xf numFmtId="0" fontId="9" fillId="174" borderId="81" xfId="0" applyFont="1" applyFill="1" applyBorder="1" applyAlignment="1" applyProtection="1">
      <alignment vertical="center"/>
      <protection hidden="1"/>
    </xf>
    <xf numFmtId="0" fontId="9" fillId="174" borderId="82" xfId="0" applyFont="1" applyFill="1" applyBorder="1" applyAlignment="1" applyProtection="1">
      <alignment vertical="center"/>
      <protection hidden="1"/>
    </xf>
    <xf numFmtId="4" fontId="9" fillId="5" borderId="1" xfId="3" applyNumberFormat="1" applyProtection="1">
      <alignment horizontal="center" vertical="center"/>
      <protection locked="0"/>
    </xf>
    <xf numFmtId="164" fontId="9" fillId="5" borderId="15" xfId="0" applyNumberFormat="1" applyFont="1" applyFill="1" applyBorder="1" applyAlignment="1" applyProtection="1">
      <alignment horizontal="right" vertical="center"/>
      <protection hidden="1"/>
    </xf>
    <xf numFmtId="0" fontId="13" fillId="11" borderId="52" xfId="0" applyFont="1" applyFill="1" applyBorder="1" applyAlignment="1" applyProtection="1">
      <alignment horizontal="center" vertical="center" wrapText="1"/>
      <protection hidden="1"/>
    </xf>
    <xf numFmtId="0" fontId="13" fillId="11" borderId="9" xfId="0" applyFont="1" applyFill="1" applyBorder="1" applyAlignment="1" applyProtection="1">
      <alignment horizontal="center" vertical="center" wrapText="1"/>
      <protection hidden="1"/>
    </xf>
    <xf numFmtId="0" fontId="9" fillId="5" borderId="0" xfId="0" applyFont="1" applyFill="1"/>
    <xf numFmtId="0" fontId="9" fillId="0" borderId="0" xfId="0" applyFont="1"/>
    <xf numFmtId="0" fontId="9" fillId="70" borderId="0" xfId="0" applyFont="1" applyFill="1" applyBorder="1" applyAlignment="1" applyProtection="1">
      <alignment vertical="center" wrapText="1"/>
      <protection hidden="1"/>
    </xf>
    <xf numFmtId="0" fontId="13" fillId="11" borderId="9" xfId="0" applyFont="1" applyFill="1" applyBorder="1" applyAlignment="1" applyProtection="1">
      <alignment vertical="center" wrapText="1"/>
      <protection hidden="1"/>
    </xf>
    <xf numFmtId="0" fontId="81" fillId="0" borderId="0" xfId="0" applyFont="1" applyFill="1"/>
    <xf numFmtId="0" fontId="9" fillId="5" borderId="0" xfId="0" applyFont="1" applyFill="1" applyAlignment="1">
      <alignment horizontal="right"/>
    </xf>
    <xf numFmtId="0" fontId="11" fillId="5" borderId="0" xfId="0" applyFont="1" applyFill="1" applyAlignment="1">
      <alignment horizontal="right"/>
    </xf>
    <xf numFmtId="0" fontId="9" fillId="5" borderId="0" xfId="0" applyFont="1" applyFill="1" applyAlignment="1">
      <alignment horizontal="right" vertical="top" wrapText="1"/>
    </xf>
    <xf numFmtId="0" fontId="9" fillId="5" borderId="0" xfId="0" applyFont="1" applyFill="1" applyAlignment="1">
      <alignment vertical="center"/>
    </xf>
    <xf numFmtId="0" fontId="9" fillId="5" borderId="0" xfId="0" applyFont="1" applyFill="1" applyAlignment="1">
      <alignment horizontal="right" vertical="center"/>
    </xf>
    <xf numFmtId="0" fontId="77" fillId="177" borderId="0" xfId="0" applyFont="1" applyFill="1" applyBorder="1" applyAlignment="1">
      <alignment vertical="center"/>
    </xf>
    <xf numFmtId="0" fontId="9" fillId="177" borderId="0" xfId="0" applyFont="1" applyFill="1"/>
    <xf numFmtId="0" fontId="47" fillId="5" borderId="28" xfId="0" applyFont="1" applyFill="1" applyBorder="1"/>
    <xf numFmtId="0" fontId="47" fillId="2" borderId="15" xfId="0" applyFont="1" applyFill="1" applyBorder="1"/>
    <xf numFmtId="0" fontId="47" fillId="5" borderId="16" xfId="0" applyFont="1" applyFill="1" applyBorder="1"/>
    <xf numFmtId="164" fontId="47" fillId="5" borderId="28" xfId="0" applyNumberFormat="1" applyFont="1" applyFill="1" applyBorder="1"/>
    <xf numFmtId="0" fontId="47" fillId="5" borderId="16" xfId="0" applyFont="1" applyFill="1" applyBorder="1" applyAlignment="1">
      <alignment horizontal="right"/>
    </xf>
    <xf numFmtId="164" fontId="47" fillId="5" borderId="31" xfId="0" applyNumberFormat="1" applyFont="1" applyFill="1" applyBorder="1" applyAlignment="1">
      <alignment vertical="center"/>
    </xf>
    <xf numFmtId="0" fontId="47" fillId="5" borderId="27" xfId="0" applyFont="1" applyFill="1" applyBorder="1"/>
    <xf numFmtId="0" fontId="47" fillId="5" borderId="27" xfId="0" applyFont="1" applyFill="1" applyBorder="1" applyAlignment="1">
      <alignment horizontal="right" vertical="center"/>
    </xf>
    <xf numFmtId="0" fontId="47" fillId="5" borderId="22" xfId="0" applyFont="1" applyFill="1" applyBorder="1" applyAlignment="1">
      <alignment horizontal="left"/>
    </xf>
    <xf numFmtId="0" fontId="47" fillId="5" borderId="29" xfId="0" applyFont="1" applyFill="1" applyBorder="1" applyAlignment="1">
      <alignment horizontal="left"/>
    </xf>
    <xf numFmtId="0" fontId="9" fillId="5" borderId="0" xfId="0" applyFont="1" applyFill="1" applyAlignment="1">
      <alignment horizontal="left" vertical="center"/>
    </xf>
    <xf numFmtId="0" fontId="9" fillId="5" borderId="16" xfId="0" applyFont="1" applyFill="1" applyBorder="1" applyAlignment="1">
      <alignment vertical="center"/>
    </xf>
    <xf numFmtId="0" fontId="11" fillId="5" borderId="0" xfId="0" applyFont="1" applyFill="1" applyAlignment="1">
      <alignment horizontal="center" vertical="center"/>
    </xf>
    <xf numFmtId="0" fontId="9" fillId="5" borderId="0" xfId="0" applyFont="1" applyFill="1" applyAlignment="1">
      <alignment horizontal="center" vertical="center" wrapText="1"/>
    </xf>
    <xf numFmtId="165" fontId="34" fillId="178" borderId="58" xfId="0" applyNumberFormat="1" applyFont="1" applyFill="1" applyBorder="1" applyAlignment="1" applyProtection="1">
      <alignment horizontal="center" vertical="center"/>
      <protection hidden="1"/>
    </xf>
    <xf numFmtId="0" fontId="9" fillId="179" borderId="3" xfId="0" applyFont="1" applyFill="1" applyBorder="1" applyAlignment="1" applyProtection="1">
      <alignment horizontal="center" vertical="center"/>
      <protection hidden="1"/>
    </xf>
    <xf numFmtId="0" fontId="9" fillId="179" borderId="6" xfId="0" applyFont="1" applyFill="1" applyBorder="1" applyAlignment="1" applyProtection="1">
      <alignment horizontal="center" vertical="center"/>
      <protection hidden="1"/>
    </xf>
    <xf numFmtId="165" fontId="9" fillId="179" borderId="6" xfId="0" applyNumberFormat="1" applyFont="1" applyFill="1" applyBorder="1" applyAlignment="1" applyProtection="1">
      <alignment horizontal="center" vertical="center"/>
      <protection hidden="1"/>
    </xf>
    <xf numFmtId="0" fontId="19" fillId="179" borderId="6" xfId="0" applyFont="1" applyFill="1" applyBorder="1" applyAlignment="1" applyProtection="1">
      <alignment horizontal="center" vertical="center"/>
      <protection hidden="1"/>
    </xf>
    <xf numFmtId="0" fontId="9" fillId="179" borderId="6" xfId="0" applyFont="1" applyFill="1" applyBorder="1" applyAlignment="1" applyProtection="1">
      <alignment vertical="center"/>
      <protection hidden="1"/>
    </xf>
    <xf numFmtId="0" fontId="9" fillId="179" borderId="2" xfId="0" applyFont="1" applyFill="1" applyBorder="1" applyAlignment="1" applyProtection="1">
      <alignment vertical="center"/>
      <protection hidden="1"/>
    </xf>
    <xf numFmtId="0" fontId="9" fillId="179" borderId="35" xfId="0" applyFont="1" applyFill="1" applyBorder="1" applyAlignment="1" applyProtection="1">
      <alignment horizontal="left" vertical="center"/>
      <protection hidden="1"/>
    </xf>
    <xf numFmtId="0" fontId="9" fillId="179" borderId="37" xfId="0" applyFont="1" applyFill="1" applyBorder="1" applyAlignment="1" applyProtection="1">
      <alignment horizontal="left" vertical="center"/>
      <protection hidden="1"/>
    </xf>
    <xf numFmtId="0" fontId="9" fillId="179" borderId="38" xfId="0" applyFont="1" applyFill="1" applyBorder="1" applyAlignment="1" applyProtection="1">
      <alignment horizontal="left" vertical="center"/>
      <protection hidden="1"/>
    </xf>
    <xf numFmtId="0" fontId="9" fillId="179" borderId="39" xfId="0" applyFont="1" applyFill="1" applyBorder="1" applyAlignment="1" applyProtection="1">
      <alignment horizontal="left" vertical="center"/>
      <protection hidden="1"/>
    </xf>
    <xf numFmtId="0" fontId="9" fillId="180" borderId="35" xfId="0" applyFont="1" applyFill="1" applyBorder="1" applyAlignment="1" applyProtection="1">
      <alignment horizontal="right" vertical="center"/>
      <protection hidden="1"/>
    </xf>
    <xf numFmtId="0" fontId="9" fillId="180" borderId="36" xfId="0" applyFont="1" applyFill="1" applyBorder="1" applyAlignment="1" applyProtection="1">
      <alignment horizontal="left" vertical="center"/>
      <protection hidden="1"/>
    </xf>
    <xf numFmtId="0" fontId="9" fillId="180" borderId="36" xfId="0" applyFont="1" applyFill="1" applyBorder="1" applyAlignment="1" applyProtection="1">
      <alignment horizontal="center" vertical="center"/>
      <protection hidden="1"/>
    </xf>
    <xf numFmtId="0" fontId="11" fillId="180" borderId="36" xfId="0" applyFont="1" applyFill="1" applyBorder="1" applyAlignment="1" applyProtection="1">
      <alignment vertical="center"/>
      <protection hidden="1"/>
    </xf>
    <xf numFmtId="0" fontId="9" fillId="180" borderId="37" xfId="0" applyFont="1" applyFill="1" applyBorder="1" applyAlignment="1" applyProtection="1">
      <alignment horizontal="left" vertical="center"/>
      <protection hidden="1"/>
    </xf>
    <xf numFmtId="0" fontId="9" fillId="180" borderId="47" xfId="0" applyFont="1" applyFill="1" applyBorder="1" applyAlignment="1" applyProtection="1">
      <alignment horizontal="right" vertical="center"/>
      <protection hidden="1"/>
    </xf>
    <xf numFmtId="0" fontId="9" fillId="180" borderId="0" xfId="0" applyFont="1" applyFill="1" applyBorder="1" applyAlignment="1" applyProtection="1">
      <alignment horizontal="left" vertical="center"/>
      <protection hidden="1"/>
    </xf>
    <xf numFmtId="0" fontId="9" fillId="180" borderId="0" xfId="0" applyFont="1" applyFill="1" applyBorder="1" applyAlignment="1" applyProtection="1">
      <alignment horizontal="center" vertical="center"/>
      <protection hidden="1"/>
    </xf>
    <xf numFmtId="0" fontId="11" fillId="180" borderId="0" xfId="0" applyFont="1" applyFill="1" applyBorder="1" applyAlignment="1" applyProtection="1">
      <alignment vertical="center"/>
      <protection hidden="1"/>
    </xf>
    <xf numFmtId="0" fontId="9" fillId="180" borderId="48" xfId="0" applyFont="1" applyFill="1" applyBorder="1" applyAlignment="1" applyProtection="1">
      <alignment horizontal="left" vertical="center"/>
      <protection hidden="1"/>
    </xf>
    <xf numFmtId="0" fontId="9" fillId="180" borderId="38" xfId="0" applyFont="1" applyFill="1" applyBorder="1" applyAlignment="1" applyProtection="1">
      <alignment horizontal="right" vertical="center"/>
      <protection hidden="1"/>
    </xf>
    <xf numFmtId="0" fontId="9" fillId="180" borderId="23" xfId="0" applyFont="1" applyFill="1" applyBorder="1" applyAlignment="1" applyProtection="1">
      <alignment horizontal="left" vertical="center"/>
      <protection hidden="1"/>
    </xf>
    <xf numFmtId="0" fontId="9" fillId="180" borderId="23" xfId="0" applyFont="1" applyFill="1" applyBorder="1" applyAlignment="1" applyProtection="1">
      <alignment horizontal="center" vertical="center"/>
      <protection hidden="1"/>
    </xf>
    <xf numFmtId="0" fontId="11" fillId="180" borderId="23" xfId="0" applyFont="1" applyFill="1" applyBorder="1" applyAlignment="1" applyProtection="1">
      <alignment vertical="center"/>
      <protection hidden="1"/>
    </xf>
    <xf numFmtId="0" fontId="9" fillId="180" borderId="39" xfId="0" applyFont="1" applyFill="1" applyBorder="1" applyAlignment="1" applyProtection="1">
      <alignment horizontal="left" vertical="center"/>
      <protection hidden="1"/>
    </xf>
    <xf numFmtId="0" fontId="9" fillId="180" borderId="35" xfId="0" applyFont="1" applyFill="1" applyBorder="1" applyAlignment="1" applyProtection="1">
      <alignment horizontal="left" vertical="center"/>
      <protection hidden="1"/>
    </xf>
    <xf numFmtId="165" fontId="9" fillId="180" borderId="36" xfId="0" applyNumberFormat="1" applyFont="1" applyFill="1" applyBorder="1" applyAlignment="1" applyProtection="1">
      <alignment horizontal="left" vertical="center"/>
      <protection hidden="1"/>
    </xf>
    <xf numFmtId="0" fontId="19" fillId="180" borderId="36" xfId="0" applyFont="1" applyFill="1" applyBorder="1" applyAlignment="1" applyProtection="1">
      <alignment horizontal="center" vertical="center"/>
      <protection hidden="1"/>
    </xf>
    <xf numFmtId="0" fontId="9" fillId="180" borderId="36" xfId="0" applyFont="1" applyFill="1" applyBorder="1" applyAlignment="1" applyProtection="1">
      <alignment vertical="center"/>
      <protection hidden="1"/>
    </xf>
    <xf numFmtId="0" fontId="9" fillId="180" borderId="37" xfId="0" applyFont="1" applyFill="1" applyBorder="1" applyAlignment="1" applyProtection="1">
      <alignment vertical="center"/>
      <protection hidden="1"/>
    </xf>
    <xf numFmtId="0" fontId="9" fillId="180" borderId="47" xfId="0" applyFont="1" applyFill="1" applyBorder="1" applyAlignment="1" applyProtection="1">
      <alignment horizontal="center" vertical="center"/>
      <protection hidden="1"/>
    </xf>
    <xf numFmtId="0" fontId="9" fillId="180" borderId="48" xfId="0" applyFont="1" applyFill="1" applyBorder="1" applyAlignment="1" applyProtection="1">
      <alignment horizontal="center" vertical="center"/>
      <protection hidden="1"/>
    </xf>
    <xf numFmtId="0" fontId="19" fillId="180" borderId="23" xfId="0" applyFont="1" applyFill="1" applyBorder="1" applyAlignment="1" applyProtection="1">
      <alignment horizontal="center" vertical="center"/>
      <protection hidden="1"/>
    </xf>
    <xf numFmtId="0" fontId="9" fillId="180" borderId="23" xfId="0" applyFont="1" applyFill="1" applyBorder="1" applyAlignment="1" applyProtection="1">
      <alignment vertical="center"/>
      <protection hidden="1"/>
    </xf>
    <xf numFmtId="0" fontId="9" fillId="180" borderId="39" xfId="0" applyFont="1" applyFill="1" applyBorder="1" applyAlignment="1" applyProtection="1">
      <alignment vertical="center"/>
      <protection hidden="1"/>
    </xf>
    <xf numFmtId="0" fontId="11" fillId="5" borderId="15" xfId="0" applyFont="1" applyFill="1" applyBorder="1" applyAlignment="1">
      <alignment horizontal="right"/>
    </xf>
    <xf numFmtId="0" fontId="9" fillId="5" borderId="15" xfId="0" applyFont="1" applyFill="1" applyBorder="1" applyAlignment="1">
      <alignment horizontal="right" vertical="top" wrapText="1"/>
    </xf>
    <xf numFmtId="0" fontId="9" fillId="2" borderId="15" xfId="0" applyFont="1" applyFill="1" applyBorder="1" applyAlignment="1">
      <alignment horizontal="right"/>
    </xf>
    <xf numFmtId="0" fontId="9" fillId="38" borderId="15" xfId="0" applyFont="1" applyFill="1" applyBorder="1" applyAlignment="1">
      <alignment horizontal="right"/>
    </xf>
    <xf numFmtId="0" fontId="11" fillId="5" borderId="15" xfId="0" applyFont="1" applyFill="1" applyBorder="1" applyAlignment="1">
      <alignment horizontal="right" wrapText="1"/>
    </xf>
    <xf numFmtId="0" fontId="9" fillId="5" borderId="0" xfId="0" applyFont="1" applyFill="1" applyBorder="1" applyAlignment="1">
      <alignment horizontal="right" vertical="top" wrapText="1"/>
    </xf>
    <xf numFmtId="0" fontId="9" fillId="5" borderId="0" xfId="0" applyFont="1" applyFill="1" applyAlignment="1">
      <alignment vertical="center" wrapText="1"/>
    </xf>
    <xf numFmtId="0" fontId="9" fillId="5" borderId="0" xfId="0" applyFont="1" applyFill="1" applyAlignment="1">
      <alignment wrapText="1"/>
    </xf>
    <xf numFmtId="0" fontId="11" fillId="5" borderId="0" xfId="0" applyFont="1" applyFill="1" applyAlignment="1">
      <alignment horizontal="right" wrapText="1"/>
    </xf>
    <xf numFmtId="0" fontId="9" fillId="5" borderId="0" xfId="0" applyFont="1" applyFill="1" applyAlignment="1">
      <alignment horizontal="right" wrapText="1"/>
    </xf>
    <xf numFmtId="0" fontId="9" fillId="5" borderId="0" xfId="0" applyFont="1" applyFill="1" applyAlignment="1">
      <alignment horizontal="right" vertical="center" wrapText="1"/>
    </xf>
    <xf numFmtId="0" fontId="9" fillId="5" borderId="15" xfId="0" applyFont="1" applyFill="1" applyBorder="1" applyAlignment="1">
      <alignment horizontal="right" vertical="center" wrapText="1"/>
    </xf>
    <xf numFmtId="0" fontId="9" fillId="5" borderId="15" xfId="0" applyFont="1" applyFill="1" applyBorder="1" applyAlignment="1">
      <alignment vertical="center" wrapText="1"/>
    </xf>
    <xf numFmtId="0" fontId="9" fillId="5" borderId="15" xfId="0" applyFont="1" applyFill="1" applyBorder="1" applyAlignment="1">
      <alignment horizontal="right" wrapText="1"/>
    </xf>
    <xf numFmtId="0" fontId="13" fillId="5" borderId="0" xfId="0" applyFont="1" applyFill="1" applyAlignment="1">
      <alignment vertical="center" wrapText="1"/>
    </xf>
    <xf numFmtId="0" fontId="24" fillId="5" borderId="0" xfId="0" applyFont="1" applyFill="1" applyBorder="1" applyAlignment="1" applyProtection="1">
      <alignment vertical="center"/>
      <protection hidden="1"/>
    </xf>
    <xf numFmtId="0" fontId="0" fillId="25" borderId="37" xfId="0" applyFill="1" applyBorder="1" applyProtection="1">
      <protection hidden="1"/>
    </xf>
    <xf numFmtId="0" fontId="37" fillId="25" borderId="48" xfId="0" quotePrefix="1" applyFont="1" applyFill="1" applyBorder="1" applyAlignment="1" applyProtection="1">
      <alignment vertical="center" wrapText="1"/>
      <protection hidden="1"/>
    </xf>
    <xf numFmtId="0" fontId="48" fillId="180" borderId="0" xfId="0" applyFont="1" applyFill="1" applyBorder="1" applyAlignment="1" applyProtection="1">
      <alignment horizontal="center" vertical="center"/>
      <protection hidden="1"/>
    </xf>
    <xf numFmtId="0" fontId="9" fillId="179" borderId="0" xfId="0" applyFont="1" applyFill="1" applyAlignment="1" applyProtection="1">
      <alignment vertical="center"/>
      <protection hidden="1"/>
    </xf>
    <xf numFmtId="165" fontId="9" fillId="180" borderId="0" xfId="0" applyNumberFormat="1" applyFont="1" applyFill="1" applyAlignment="1" applyProtection="1">
      <alignment horizontal="left" vertical="center"/>
      <protection hidden="1"/>
    </xf>
    <xf numFmtId="0" fontId="19" fillId="180" borderId="0" xfId="0" applyFont="1" applyFill="1" applyAlignment="1" applyProtection="1">
      <alignment horizontal="center" vertical="center"/>
      <protection hidden="1"/>
    </xf>
    <xf numFmtId="0" fontId="9" fillId="180" borderId="0" xfId="0" applyFont="1" applyFill="1" applyAlignment="1" applyProtection="1">
      <alignment vertical="center"/>
      <protection hidden="1"/>
    </xf>
    <xf numFmtId="0" fontId="9" fillId="180" borderId="0" xfId="0" applyFont="1" applyFill="1" applyBorder="1" applyAlignment="1" applyProtection="1">
      <alignment vertical="center"/>
      <protection hidden="1"/>
    </xf>
    <xf numFmtId="0" fontId="9" fillId="180" borderId="48" xfId="0" applyFont="1" applyFill="1" applyBorder="1" applyAlignment="1" applyProtection="1">
      <alignment vertical="center"/>
      <protection hidden="1"/>
    </xf>
    <xf numFmtId="0" fontId="9" fillId="179" borderId="3" xfId="0" applyFont="1" applyFill="1" applyBorder="1" applyAlignment="1" applyProtection="1">
      <alignment horizontal="left" vertical="center"/>
      <protection hidden="1"/>
    </xf>
    <xf numFmtId="0" fontId="9" fillId="179" borderId="6" xfId="0" applyFont="1" applyFill="1" applyBorder="1" applyAlignment="1" applyProtection="1">
      <alignment horizontal="left" vertical="center"/>
      <protection hidden="1"/>
    </xf>
    <xf numFmtId="165" fontId="9" fillId="179" borderId="6" xfId="0" applyNumberFormat="1" applyFont="1" applyFill="1" applyBorder="1" applyAlignment="1" applyProtection="1">
      <alignment horizontal="left" vertical="center"/>
      <protection hidden="1"/>
    </xf>
    <xf numFmtId="0" fontId="0" fillId="180" borderId="0" xfId="0" applyFill="1" applyAlignment="1" applyProtection="1">
      <alignment vertical="center"/>
      <protection hidden="1"/>
    </xf>
    <xf numFmtId="165" fontId="0" fillId="180" borderId="0" xfId="0" applyNumberFormat="1" applyFill="1" applyAlignment="1" applyProtection="1">
      <alignment vertical="center"/>
      <protection hidden="1"/>
    </xf>
    <xf numFmtId="0" fontId="9" fillId="180" borderId="0" xfId="0" applyFont="1" applyFill="1" applyAlignment="1" applyProtection="1">
      <alignment horizontal="right" vertical="center"/>
      <protection hidden="1"/>
    </xf>
    <xf numFmtId="0" fontId="9" fillId="180" borderId="0" xfId="0" applyFont="1" applyFill="1" applyAlignment="1" applyProtection="1">
      <alignment horizontal="left" vertical="center"/>
      <protection hidden="1"/>
    </xf>
    <xf numFmtId="0" fontId="11" fillId="180" borderId="0" xfId="0" applyFont="1" applyFill="1" applyAlignment="1" applyProtection="1">
      <alignment vertical="center"/>
      <protection hidden="1"/>
    </xf>
    <xf numFmtId="0" fontId="9" fillId="79" borderId="0" xfId="0" applyFont="1" applyFill="1" applyAlignment="1">
      <alignment horizontal="left" vertical="top" wrapText="1"/>
    </xf>
    <xf numFmtId="0" fontId="9" fillId="76" borderId="0" xfId="0" applyFont="1" applyFill="1" applyAlignment="1">
      <alignment horizontal="left" vertical="top" wrapText="1"/>
    </xf>
    <xf numFmtId="0" fontId="47" fillId="38" borderId="15" xfId="0" applyFont="1" applyFill="1" applyBorder="1" applyAlignment="1">
      <alignment horizontal="right" wrapText="1"/>
    </xf>
    <xf numFmtId="0" fontId="47" fillId="38" borderId="15" xfId="0" applyFont="1" applyFill="1" applyBorder="1" applyAlignment="1">
      <alignment vertical="center"/>
    </xf>
    <xf numFmtId="0" fontId="47" fillId="38" borderId="15" xfId="0" applyFont="1" applyFill="1" applyBorder="1" applyAlignment="1">
      <alignment horizontal="right"/>
    </xf>
    <xf numFmtId="0" fontId="119" fillId="38" borderId="15" xfId="0" applyFont="1" applyFill="1" applyBorder="1" applyAlignment="1">
      <alignment horizontal="left" vertical="center"/>
    </xf>
    <xf numFmtId="0" fontId="119" fillId="38" borderId="15" xfId="0" applyFont="1" applyFill="1" applyBorder="1" applyAlignment="1">
      <alignment horizontal="left" vertical="center" wrapText="1"/>
    </xf>
    <xf numFmtId="0" fontId="9" fillId="38" borderId="0" xfId="0" applyFont="1" applyFill="1" applyAlignment="1">
      <alignment horizontal="left" vertical="top" wrapText="1"/>
    </xf>
    <xf numFmtId="0" fontId="0" fillId="5" borderId="0" xfId="0" applyFill="1" applyBorder="1"/>
    <xf numFmtId="0" fontId="120" fillId="181" borderId="0" xfId="0" applyFont="1" applyFill="1"/>
    <xf numFmtId="0" fontId="121" fillId="181" borderId="0" xfId="0" applyFont="1" applyFill="1"/>
    <xf numFmtId="0" fontId="9" fillId="183" borderId="8" xfId="0" applyFont="1" applyFill="1" applyBorder="1" applyAlignment="1" applyProtection="1">
      <alignment horizontal="center" vertical="center"/>
      <protection hidden="1"/>
    </xf>
    <xf numFmtId="0" fontId="9" fillId="183" borderId="52" xfId="0" applyFont="1" applyFill="1" applyBorder="1" applyAlignment="1" applyProtection="1">
      <alignment vertical="center"/>
      <protection hidden="1"/>
    </xf>
    <xf numFmtId="0" fontId="13" fillId="183" borderId="52" xfId="0" applyFont="1" applyFill="1" applyBorder="1" applyAlignment="1" applyProtection="1">
      <alignment vertical="top" wrapText="1"/>
      <protection hidden="1"/>
    </xf>
    <xf numFmtId="0" fontId="9" fillId="183" borderId="52" xfId="0" applyFont="1" applyFill="1" applyBorder="1" applyAlignment="1" applyProtection="1">
      <alignment horizontal="center" vertical="center"/>
      <protection hidden="1"/>
    </xf>
    <xf numFmtId="0" fontId="9" fillId="183" borderId="52" xfId="0" applyFont="1" applyFill="1" applyBorder="1" applyProtection="1">
      <protection hidden="1"/>
    </xf>
    <xf numFmtId="0" fontId="13" fillId="183" borderId="9" xfId="0" applyFont="1" applyFill="1" applyBorder="1" applyAlignment="1" applyProtection="1">
      <alignment vertical="top" wrapText="1"/>
      <protection hidden="1"/>
    </xf>
    <xf numFmtId="0" fontId="9" fillId="185" borderId="0" xfId="0" applyFont="1" applyFill="1" applyBorder="1" applyAlignment="1" applyProtection="1">
      <alignment horizontal="center" vertical="center"/>
      <protection hidden="1"/>
    </xf>
    <xf numFmtId="0" fontId="9" fillId="185" borderId="3" xfId="0" applyFont="1" applyFill="1" applyBorder="1" applyAlignment="1" applyProtection="1">
      <alignment horizontal="center" vertical="center"/>
      <protection hidden="1"/>
    </xf>
    <xf numFmtId="0" fontId="9" fillId="185" borderId="6" xfId="0" applyFont="1" applyFill="1" applyBorder="1" applyAlignment="1" applyProtection="1">
      <alignment horizontal="center" vertical="center"/>
      <protection hidden="1"/>
    </xf>
    <xf numFmtId="0" fontId="9" fillId="185" borderId="2" xfId="0" applyFont="1" applyFill="1" applyBorder="1" applyAlignment="1" applyProtection="1">
      <alignment horizontal="center" vertical="center"/>
      <protection hidden="1"/>
    </xf>
    <xf numFmtId="0" fontId="9" fillId="186" borderId="3" xfId="0" applyFont="1" applyFill="1" applyBorder="1" applyAlignment="1" applyProtection="1">
      <alignment horizontal="left" vertical="center"/>
      <protection hidden="1"/>
    </xf>
    <xf numFmtId="0" fontId="9" fillId="186" borderId="6" xfId="0" applyFont="1" applyFill="1" applyBorder="1" applyAlignment="1" applyProtection="1">
      <alignment horizontal="left" vertical="center"/>
      <protection hidden="1"/>
    </xf>
    <xf numFmtId="0" fontId="9" fillId="186" borderId="2" xfId="0" applyFont="1" applyFill="1" applyBorder="1" applyAlignment="1" applyProtection="1">
      <alignment horizontal="left" vertical="center"/>
      <protection hidden="1"/>
    </xf>
    <xf numFmtId="0" fontId="9" fillId="186" borderId="1" xfId="0" applyFont="1" applyFill="1" applyBorder="1" applyAlignment="1" applyProtection="1">
      <alignment horizontal="left" vertical="center"/>
      <protection hidden="1"/>
    </xf>
    <xf numFmtId="0" fontId="9" fillId="5" borderId="0" xfId="0" applyFont="1" applyFill="1" applyAlignment="1">
      <alignment horizontal="center" vertical="center"/>
    </xf>
    <xf numFmtId="0" fontId="9" fillId="180" borderId="38" xfId="0" applyFont="1" applyFill="1" applyBorder="1" applyAlignment="1" applyProtection="1">
      <alignment horizontal="center" vertical="center"/>
      <protection hidden="1"/>
    </xf>
    <xf numFmtId="165" fontId="9" fillId="180" borderId="23" xfId="0" applyNumberFormat="1" applyFont="1" applyFill="1" applyBorder="1" applyAlignment="1" applyProtection="1">
      <alignment horizontal="center" vertical="center"/>
      <protection hidden="1"/>
    </xf>
    <xf numFmtId="0" fontId="9" fillId="180" borderId="39" xfId="0" applyFont="1" applyFill="1" applyBorder="1" applyAlignment="1" applyProtection="1">
      <alignment horizontal="center" vertical="center"/>
      <protection hidden="1"/>
    </xf>
    <xf numFmtId="0" fontId="9" fillId="187" borderId="38" xfId="0" applyFont="1" applyFill="1" applyBorder="1" applyAlignment="1" applyProtection="1">
      <alignment horizontal="left" vertical="center"/>
      <protection hidden="1"/>
    </xf>
    <xf numFmtId="0" fontId="9" fillId="187" borderId="23" xfId="0" applyFont="1" applyFill="1" applyBorder="1" applyAlignment="1" applyProtection="1">
      <alignment horizontal="left" vertical="center"/>
      <protection hidden="1"/>
    </xf>
    <xf numFmtId="165" fontId="9" fillId="187" borderId="23" xfId="0" applyNumberFormat="1" applyFont="1" applyFill="1" applyBorder="1" applyAlignment="1" applyProtection="1">
      <alignment horizontal="left" vertical="center"/>
      <protection hidden="1"/>
    </xf>
    <xf numFmtId="0" fontId="9" fillId="187" borderId="23" xfId="0" applyFont="1" applyFill="1" applyBorder="1" applyAlignment="1" applyProtection="1">
      <alignment horizontal="center" vertical="center"/>
      <protection hidden="1"/>
    </xf>
    <xf numFmtId="0" fontId="19" fillId="187" borderId="23" xfId="0" applyFont="1" applyFill="1" applyBorder="1" applyAlignment="1" applyProtection="1">
      <alignment horizontal="center" vertical="center"/>
      <protection hidden="1"/>
    </xf>
    <xf numFmtId="0" fontId="9" fillId="187" borderId="23" xfId="0" applyFont="1" applyFill="1" applyBorder="1" applyAlignment="1" applyProtection="1">
      <alignment vertical="center"/>
      <protection hidden="1"/>
    </xf>
    <xf numFmtId="0" fontId="9" fillId="187" borderId="39" xfId="0" applyFont="1" applyFill="1" applyBorder="1" applyAlignment="1" applyProtection="1">
      <alignment vertical="center"/>
      <protection hidden="1"/>
    </xf>
    <xf numFmtId="0" fontId="9" fillId="187" borderId="0" xfId="0" applyFont="1" applyFill="1" applyBorder="1" applyAlignment="1" applyProtection="1">
      <alignment horizontal="center" vertical="center"/>
      <protection hidden="1"/>
    </xf>
    <xf numFmtId="0" fontId="9" fillId="187" borderId="0" xfId="0" applyFont="1" applyFill="1" applyBorder="1" applyAlignment="1" applyProtection="1">
      <alignment vertical="center"/>
      <protection hidden="1"/>
    </xf>
    <xf numFmtId="0" fontId="9" fillId="187" borderId="48" xfId="0" applyFont="1" applyFill="1" applyBorder="1" applyAlignment="1" applyProtection="1">
      <alignment vertical="center"/>
      <protection hidden="1"/>
    </xf>
    <xf numFmtId="0" fontId="9" fillId="187" borderId="47" xfId="0" applyFont="1" applyFill="1" applyBorder="1" applyAlignment="1" applyProtection="1">
      <alignment horizontal="center" vertical="center"/>
      <protection hidden="1"/>
    </xf>
    <xf numFmtId="0" fontId="9" fillId="187" borderId="35" xfId="0" applyFont="1" applyFill="1" applyBorder="1" applyAlignment="1" applyProtection="1">
      <alignment horizontal="center" vertical="center"/>
      <protection hidden="1"/>
    </xf>
    <xf numFmtId="0" fontId="9" fillId="187" borderId="36" xfId="0" applyFont="1" applyFill="1" applyBorder="1" applyAlignment="1" applyProtection="1">
      <alignment horizontal="center" vertical="center"/>
      <protection hidden="1"/>
    </xf>
    <xf numFmtId="165" fontId="9" fillId="187" borderId="36" xfId="0" applyNumberFormat="1" applyFont="1" applyFill="1" applyBorder="1" applyAlignment="1" applyProtection="1">
      <alignment horizontal="center" vertical="center"/>
      <protection hidden="1"/>
    </xf>
    <xf numFmtId="0" fontId="19" fillId="187" borderId="36" xfId="0" applyFont="1" applyFill="1" applyBorder="1" applyAlignment="1" applyProtection="1">
      <alignment horizontal="center" vertical="center"/>
      <protection hidden="1"/>
    </xf>
    <xf numFmtId="0" fontId="9" fillId="187" borderId="36" xfId="0" applyFont="1" applyFill="1" applyBorder="1" applyAlignment="1" applyProtection="1">
      <alignment vertical="center"/>
      <protection hidden="1"/>
    </xf>
    <xf numFmtId="0" fontId="9" fillId="187" borderId="37" xfId="0" applyFont="1" applyFill="1" applyBorder="1" applyAlignment="1" applyProtection="1">
      <alignment vertical="center"/>
      <protection hidden="1"/>
    </xf>
    <xf numFmtId="0" fontId="9" fillId="187" borderId="48" xfId="0" applyFont="1" applyFill="1" applyBorder="1" applyAlignment="1" applyProtection="1">
      <alignment horizontal="center" vertical="center"/>
      <protection hidden="1"/>
    </xf>
    <xf numFmtId="0" fontId="9" fillId="187" borderId="37" xfId="0" applyFont="1" applyFill="1" applyBorder="1" applyAlignment="1" applyProtection="1">
      <alignment horizontal="center" vertical="center"/>
      <protection hidden="1"/>
    </xf>
    <xf numFmtId="0" fontId="9" fillId="187" borderId="35" xfId="0" applyFont="1" applyFill="1" applyBorder="1" applyAlignment="1" applyProtection="1">
      <alignment horizontal="right" vertical="center"/>
      <protection hidden="1"/>
    </xf>
    <xf numFmtId="0" fontId="9" fillId="187" borderId="36" xfId="0" applyFont="1" applyFill="1" applyBorder="1" applyAlignment="1" applyProtection="1">
      <alignment horizontal="left" vertical="center"/>
      <protection hidden="1"/>
    </xf>
    <xf numFmtId="0" fontId="11" fillId="187" borderId="36" xfId="0" applyFont="1" applyFill="1" applyBorder="1" applyAlignment="1" applyProtection="1">
      <alignment vertical="center"/>
      <protection hidden="1"/>
    </xf>
    <xf numFmtId="0" fontId="9" fillId="187" borderId="37" xfId="0" applyFont="1" applyFill="1" applyBorder="1" applyAlignment="1" applyProtection="1">
      <alignment horizontal="left" vertical="center"/>
      <protection hidden="1"/>
    </xf>
    <xf numFmtId="0" fontId="9" fillId="187" borderId="47" xfId="0" applyFont="1" applyFill="1" applyBorder="1" applyAlignment="1" applyProtection="1">
      <alignment horizontal="right" vertical="center"/>
      <protection hidden="1"/>
    </xf>
    <xf numFmtId="0" fontId="9" fillId="187" borderId="0" xfId="0" applyFont="1" applyFill="1" applyBorder="1" applyAlignment="1" applyProtection="1">
      <alignment horizontal="left" vertical="center"/>
      <protection hidden="1"/>
    </xf>
    <xf numFmtId="0" fontId="48" fillId="187" borderId="0" xfId="0" applyFont="1" applyFill="1" applyBorder="1" applyAlignment="1" applyProtection="1">
      <alignment horizontal="center" vertical="center"/>
      <protection hidden="1"/>
    </xf>
    <xf numFmtId="0" fontId="11" fillId="187" borderId="0" xfId="0" applyFont="1" applyFill="1" applyBorder="1" applyAlignment="1" applyProtection="1">
      <alignment vertical="center"/>
      <protection hidden="1"/>
    </xf>
    <xf numFmtId="0" fontId="9" fillId="187" borderId="48" xfId="0" applyFont="1" applyFill="1" applyBorder="1" applyAlignment="1" applyProtection="1">
      <alignment horizontal="left" vertical="center"/>
      <protection hidden="1"/>
    </xf>
    <xf numFmtId="0" fontId="9" fillId="187" borderId="38" xfId="0" applyFont="1" applyFill="1" applyBorder="1" applyAlignment="1" applyProtection="1">
      <alignment horizontal="right" vertical="center"/>
      <protection hidden="1"/>
    </xf>
    <xf numFmtId="0" fontId="11" fillId="187" borderId="23" xfId="0" applyFont="1" applyFill="1" applyBorder="1" applyAlignment="1" applyProtection="1">
      <alignment vertical="center"/>
      <protection hidden="1"/>
    </xf>
    <xf numFmtId="0" fontId="9" fillId="187" borderId="39" xfId="0" applyFont="1" applyFill="1" applyBorder="1" applyAlignment="1" applyProtection="1">
      <alignment horizontal="left" vertical="center"/>
      <protection hidden="1"/>
    </xf>
    <xf numFmtId="0" fontId="9" fillId="4" borderId="0" xfId="0" applyFont="1" applyFill="1" applyAlignment="1">
      <alignment horizontal="left"/>
    </xf>
    <xf numFmtId="0" fontId="9" fillId="21" borderId="0" xfId="0" applyFont="1" applyFill="1" applyBorder="1" applyAlignment="1">
      <alignment horizontal="center" vertical="center"/>
    </xf>
    <xf numFmtId="2" fontId="9" fillId="21" borderId="0" xfId="0" applyNumberFormat="1" applyFont="1" applyFill="1" applyBorder="1" applyAlignment="1">
      <alignment horizontal="center" vertical="center"/>
    </xf>
    <xf numFmtId="2" fontId="9" fillId="6" borderId="0" xfId="0" applyNumberFormat="1" applyFont="1" applyFill="1" applyBorder="1" applyAlignment="1">
      <alignment horizontal="center" vertical="center"/>
    </xf>
    <xf numFmtId="0" fontId="77" fillId="2" borderId="0" xfId="0" applyFont="1" applyFill="1" applyBorder="1" applyAlignment="1">
      <alignment vertical="center"/>
    </xf>
    <xf numFmtId="0" fontId="9" fillId="2" borderId="0" xfId="0" applyFont="1" applyFill="1" applyAlignment="1">
      <alignment horizontal="right"/>
    </xf>
    <xf numFmtId="0" fontId="9" fillId="76" borderId="15" xfId="0" applyFont="1" applyFill="1" applyBorder="1" applyAlignment="1">
      <alignment horizontal="left" vertical="top" wrapText="1"/>
    </xf>
    <xf numFmtId="168" fontId="47" fillId="38" borderId="15" xfId="0" applyNumberFormat="1" applyFont="1" applyFill="1" applyBorder="1" applyAlignment="1">
      <alignment horizontal="right" wrapText="1"/>
    </xf>
    <xf numFmtId="168" fontId="47" fillId="38" borderId="15" xfId="0" applyNumberFormat="1" applyFont="1" applyFill="1" applyBorder="1" applyAlignment="1">
      <alignment vertical="center"/>
    </xf>
    <xf numFmtId="10" fontId="9" fillId="6" borderId="0" xfId="0" applyNumberFormat="1" applyFont="1" applyFill="1" applyBorder="1" applyAlignment="1">
      <alignment horizontal="center" vertical="center"/>
    </xf>
    <xf numFmtId="168" fontId="9" fillId="150" borderId="0" xfId="0" applyNumberFormat="1" applyFont="1" applyFill="1" applyBorder="1" applyAlignment="1">
      <alignment horizontal="center" vertical="center"/>
    </xf>
    <xf numFmtId="0" fontId="39" fillId="9" borderId="3" xfId="0" applyFont="1" applyFill="1" applyBorder="1" applyAlignment="1" applyProtection="1">
      <alignment vertical="center"/>
      <protection hidden="1"/>
    </xf>
    <xf numFmtId="0" fontId="39" fillId="9" borderId="2" xfId="0" applyFont="1" applyFill="1" applyBorder="1" applyAlignment="1" applyProtection="1">
      <alignment vertical="center"/>
      <protection hidden="1"/>
    </xf>
    <xf numFmtId="0" fontId="9" fillId="186" borderId="35" xfId="0" applyFont="1" applyFill="1" applyBorder="1" applyAlignment="1" applyProtection="1">
      <alignment vertical="center"/>
      <protection hidden="1"/>
    </xf>
    <xf numFmtId="0" fontId="9" fillId="186" borderId="36" xfId="0" applyFont="1" applyFill="1" applyBorder="1" applyAlignment="1" applyProtection="1">
      <alignment vertical="center"/>
      <protection hidden="1"/>
    </xf>
    <xf numFmtId="0" fontId="9" fillId="186" borderId="47" xfId="0" applyFont="1" applyFill="1" applyBorder="1" applyAlignment="1" applyProtection="1">
      <alignment vertical="center"/>
      <protection hidden="1"/>
    </xf>
    <xf numFmtId="0" fontId="9" fillId="186" borderId="0" xfId="0" applyFont="1" applyFill="1" applyBorder="1" applyAlignment="1" applyProtection="1">
      <alignment vertical="center"/>
      <protection hidden="1"/>
    </xf>
    <xf numFmtId="0" fontId="9" fillId="186" borderId="38" xfId="0" applyFont="1" applyFill="1" applyBorder="1" applyAlignment="1" applyProtection="1">
      <alignment vertical="center"/>
      <protection hidden="1"/>
    </xf>
    <xf numFmtId="0" fontId="9" fillId="186" borderId="23" xfId="0" applyFont="1" applyFill="1" applyBorder="1" applyAlignment="1" applyProtection="1">
      <alignment vertical="center"/>
      <protection hidden="1"/>
    </xf>
    <xf numFmtId="0" fontId="0" fillId="183" borderId="52" xfId="0" applyFill="1" applyBorder="1" applyAlignment="1" applyProtection="1">
      <alignment vertical="center"/>
      <protection hidden="1"/>
    </xf>
    <xf numFmtId="1" fontId="9" fillId="184" borderId="1" xfId="0" applyNumberFormat="1" applyFont="1" applyFill="1" applyBorder="1" applyAlignment="1" applyProtection="1">
      <alignment horizontal="center" vertical="center"/>
      <protection hidden="1"/>
    </xf>
    <xf numFmtId="0" fontId="0" fillId="183" borderId="52" xfId="0" applyFill="1" applyBorder="1"/>
    <xf numFmtId="9" fontId="9" fillId="5" borderId="15" xfId="0" applyNumberFormat="1" applyFont="1" applyFill="1" applyBorder="1"/>
    <xf numFmtId="168" fontId="9" fillId="38" borderId="15" xfId="0" applyNumberFormat="1" applyFont="1" applyFill="1" applyBorder="1" applyAlignment="1">
      <alignment horizontal="left" vertical="top" wrapText="1"/>
    </xf>
    <xf numFmtId="0" fontId="9" fillId="188" borderId="15" xfId="0" applyFont="1" applyFill="1" applyBorder="1"/>
    <xf numFmtId="0" fontId="0" fillId="170" borderId="0" xfId="0" applyFill="1"/>
    <xf numFmtId="0" fontId="9" fillId="170" borderId="0" xfId="0" applyFont="1" applyFill="1" applyBorder="1" applyAlignment="1" applyProtection="1">
      <alignment horizontal="center" vertical="center"/>
      <protection hidden="1"/>
    </xf>
    <xf numFmtId="0" fontId="0" fillId="170" borderId="0" xfId="0" applyFill="1" applyProtection="1">
      <protection hidden="1"/>
    </xf>
    <xf numFmtId="0" fontId="17" fillId="170" borderId="0" xfId="0" applyFont="1" applyFill="1" applyBorder="1" applyAlignment="1" applyProtection="1">
      <alignment horizontal="center" vertical="center" wrapText="1"/>
      <protection hidden="1"/>
    </xf>
    <xf numFmtId="0" fontId="17" fillId="170" borderId="0" xfId="0" applyFont="1" applyFill="1" applyBorder="1" applyAlignment="1" applyProtection="1">
      <alignment horizontal="left" vertical="center"/>
      <protection hidden="1"/>
    </xf>
    <xf numFmtId="2" fontId="14" fillId="170" borderId="0" xfId="4" applyFont="1" applyFill="1" applyBorder="1" applyAlignment="1" applyProtection="1">
      <alignment horizontal="left" vertical="center"/>
      <protection hidden="1"/>
    </xf>
    <xf numFmtId="2" fontId="14" fillId="170" borderId="0" xfId="4" applyFont="1" applyFill="1" applyBorder="1" applyAlignment="1" applyProtection="1">
      <alignment vertical="center"/>
      <protection hidden="1"/>
    </xf>
    <xf numFmtId="0" fontId="0" fillId="170" borderId="0" xfId="0" applyFill="1" applyAlignment="1" applyProtection="1">
      <alignment horizontal="left"/>
      <protection hidden="1"/>
    </xf>
    <xf numFmtId="0" fontId="0" fillId="183" borderId="8" xfId="0" applyFill="1" applyBorder="1"/>
    <xf numFmtId="0" fontId="13" fillId="123" borderId="52" xfId="0" applyFont="1" applyFill="1" applyBorder="1" applyAlignment="1" applyProtection="1">
      <alignment vertical="center"/>
      <protection hidden="1"/>
    </xf>
    <xf numFmtId="0" fontId="87" fillId="143" borderId="23" xfId="0" applyFont="1" applyFill="1" applyBorder="1" applyAlignment="1" applyProtection="1">
      <alignment horizontal="left" vertical="center" wrapText="1"/>
      <protection hidden="1"/>
    </xf>
    <xf numFmtId="0" fontId="87" fillId="143" borderId="23" xfId="0" applyFont="1" applyFill="1" applyBorder="1" applyAlignment="1" applyProtection="1">
      <alignment horizontal="center" vertical="center" wrapText="1"/>
      <protection hidden="1"/>
    </xf>
    <xf numFmtId="0" fontId="0" fillId="5" borderId="0" xfId="0" applyFill="1" applyBorder="1" applyAlignment="1">
      <alignment vertical="center"/>
    </xf>
    <xf numFmtId="0" fontId="0" fillId="5" borderId="0" xfId="0" applyFill="1" applyBorder="1" applyAlignment="1">
      <alignment horizontal="center" vertical="center"/>
    </xf>
    <xf numFmtId="0" fontId="121" fillId="181" borderId="0" xfId="0" applyFont="1" applyFill="1" applyAlignment="1">
      <alignment horizontal="right"/>
    </xf>
    <xf numFmtId="0" fontId="77" fillId="190" borderId="0" xfId="0" applyFont="1" applyFill="1" applyBorder="1" applyAlignment="1">
      <alignment vertical="center"/>
    </xf>
    <xf numFmtId="0" fontId="9" fillId="190" borderId="0" xfId="0" applyFont="1" applyFill="1"/>
    <xf numFmtId="0" fontId="9" fillId="38" borderId="15" xfId="0" applyFont="1" applyFill="1" applyBorder="1" applyAlignment="1">
      <alignment horizontal="left"/>
    </xf>
    <xf numFmtId="0" fontId="9" fillId="36" borderId="15" xfId="0" applyFont="1" applyFill="1" applyBorder="1" applyAlignment="1">
      <alignment horizontal="right"/>
    </xf>
    <xf numFmtId="0" fontId="9" fillId="5" borderId="0" xfId="0" applyFont="1" applyFill="1" applyBorder="1" applyAlignment="1">
      <alignment horizontal="center" vertical="center"/>
    </xf>
    <xf numFmtId="0" fontId="13" fillId="5" borderId="0" xfId="0" applyFont="1" applyFill="1" applyAlignment="1">
      <alignment horizontal="center" vertical="center" wrapText="1"/>
    </xf>
    <xf numFmtId="0" fontId="12" fillId="197" borderId="38" xfId="0" applyFont="1" applyFill="1" applyBorder="1" applyAlignment="1" applyProtection="1">
      <alignment horizontal="left" vertical="center"/>
      <protection hidden="1"/>
    </xf>
    <xf numFmtId="1" fontId="9" fillId="197" borderId="23" xfId="0" applyNumberFormat="1" applyFont="1" applyFill="1" applyBorder="1" applyAlignment="1" applyProtection="1">
      <alignment horizontal="center" vertical="center"/>
      <protection hidden="1"/>
    </xf>
    <xf numFmtId="0" fontId="9" fillId="197" borderId="39" xfId="0" applyFont="1" applyFill="1" applyBorder="1" applyAlignment="1" applyProtection="1">
      <alignment horizontal="center" vertical="center"/>
      <protection hidden="1"/>
    </xf>
    <xf numFmtId="0" fontId="9" fillId="197" borderId="35" xfId="0" applyFont="1" applyFill="1" applyBorder="1" applyAlignment="1" applyProtection="1">
      <alignment horizontal="left" vertical="center"/>
      <protection hidden="1"/>
    </xf>
    <xf numFmtId="1" fontId="9" fillId="197" borderId="36" xfId="0" applyNumberFormat="1" applyFont="1" applyFill="1" applyBorder="1" applyAlignment="1" applyProtection="1">
      <alignment horizontal="center" vertical="center"/>
      <protection hidden="1"/>
    </xf>
    <xf numFmtId="0" fontId="9" fillId="197" borderId="37" xfId="0" applyFont="1" applyFill="1" applyBorder="1" applyAlignment="1" applyProtection="1">
      <alignment horizontal="center" vertical="center"/>
      <protection hidden="1"/>
    </xf>
    <xf numFmtId="0" fontId="12" fillId="201" borderId="38" xfId="0" applyFont="1" applyFill="1" applyBorder="1" applyAlignment="1" applyProtection="1">
      <alignment horizontal="left" vertical="center"/>
      <protection hidden="1"/>
    </xf>
    <xf numFmtId="1" fontId="9" fillId="201" borderId="23" xfId="0" applyNumberFormat="1" applyFont="1" applyFill="1" applyBorder="1" applyAlignment="1" applyProtection="1">
      <alignment horizontal="center" vertical="center"/>
      <protection hidden="1"/>
    </xf>
    <xf numFmtId="0" fontId="9" fillId="201" borderId="39" xfId="0" applyFont="1" applyFill="1" applyBorder="1" applyAlignment="1" applyProtection="1">
      <alignment horizontal="center" vertical="center"/>
      <protection hidden="1"/>
    </xf>
    <xf numFmtId="0" fontId="9" fillId="201" borderId="35" xfId="0" applyFont="1" applyFill="1" applyBorder="1" applyAlignment="1" applyProtection="1">
      <alignment horizontal="left" vertical="center"/>
      <protection hidden="1"/>
    </xf>
    <xf numFmtId="1" fontId="9" fillId="201" borderId="36" xfId="0" applyNumberFormat="1" applyFont="1" applyFill="1" applyBorder="1" applyAlignment="1" applyProtection="1">
      <alignment horizontal="center" vertical="center"/>
      <protection hidden="1"/>
    </xf>
    <xf numFmtId="0" fontId="9" fillId="201" borderId="37" xfId="0" applyFont="1" applyFill="1" applyBorder="1" applyAlignment="1" applyProtection="1">
      <alignment horizontal="center" vertical="center"/>
      <protection hidden="1"/>
    </xf>
    <xf numFmtId="0" fontId="9" fillId="205" borderId="36" xfId="0" applyFont="1" applyFill="1" applyBorder="1" applyAlignment="1" applyProtection="1">
      <alignment vertical="center"/>
      <protection hidden="1"/>
    </xf>
    <xf numFmtId="0" fontId="9" fillId="205" borderId="36" xfId="0" applyFont="1" applyFill="1" applyBorder="1" applyAlignment="1" applyProtection="1">
      <alignment horizontal="center" vertical="center"/>
      <protection hidden="1"/>
    </xf>
    <xf numFmtId="0" fontId="19" fillId="205" borderId="36" xfId="0" applyFont="1" applyFill="1" applyBorder="1" applyAlignment="1" applyProtection="1">
      <alignment horizontal="center" vertical="center"/>
      <protection hidden="1"/>
    </xf>
    <xf numFmtId="0" fontId="9" fillId="205" borderId="36" xfId="0" applyFont="1" applyFill="1" applyBorder="1" applyAlignment="1" applyProtection="1">
      <alignment horizontal="left" vertical="center"/>
      <protection hidden="1"/>
    </xf>
    <xf numFmtId="0" fontId="9" fillId="205" borderId="0" xfId="0" applyFont="1" applyFill="1" applyBorder="1" applyAlignment="1" applyProtection="1">
      <alignment horizontal="left" vertical="center"/>
      <protection hidden="1"/>
    </xf>
    <xf numFmtId="0" fontId="9" fillId="205" borderId="0" xfId="0" applyFont="1" applyFill="1" applyBorder="1" applyAlignment="1" applyProtection="1">
      <alignment horizontal="center" vertical="center"/>
      <protection hidden="1"/>
    </xf>
    <xf numFmtId="0" fontId="23" fillId="205" borderId="0" xfId="0" applyFont="1" applyFill="1" applyBorder="1" applyAlignment="1" applyProtection="1">
      <alignment horizontal="center" vertical="center"/>
      <protection hidden="1"/>
    </xf>
    <xf numFmtId="0" fontId="9" fillId="205" borderId="0" xfId="0" applyFont="1" applyFill="1" applyBorder="1" applyAlignment="1" applyProtection="1">
      <alignment vertical="center"/>
      <protection hidden="1"/>
    </xf>
    <xf numFmtId="0" fontId="19" fillId="205" borderId="0" xfId="0" applyFont="1" applyFill="1" applyBorder="1" applyAlignment="1" applyProtection="1">
      <alignment horizontal="center" vertical="center"/>
      <protection hidden="1"/>
    </xf>
    <xf numFmtId="0" fontId="9" fillId="205" borderId="23" xfId="0" applyFont="1" applyFill="1" applyBorder="1" applyAlignment="1" applyProtection="1">
      <alignment horizontal="left" vertical="center"/>
      <protection hidden="1"/>
    </xf>
    <xf numFmtId="0" fontId="9" fillId="206" borderId="35" xfId="0" applyFont="1" applyFill="1" applyBorder="1" applyAlignment="1" applyProtection="1">
      <alignment horizontal="left" vertical="center"/>
      <protection hidden="1"/>
    </xf>
    <xf numFmtId="0" fontId="9" fillId="206" borderId="37" xfId="0" applyFont="1" applyFill="1" applyBorder="1" applyAlignment="1" applyProtection="1">
      <alignment horizontal="left" vertical="center"/>
      <protection hidden="1"/>
    </xf>
    <xf numFmtId="0" fontId="9" fillId="206" borderId="38" xfId="0" applyFont="1" applyFill="1" applyBorder="1" applyAlignment="1" applyProtection="1">
      <alignment horizontal="left" vertical="center"/>
      <protection hidden="1"/>
    </xf>
    <xf numFmtId="0" fontId="9" fillId="206" borderId="39" xfId="0" applyFont="1" applyFill="1" applyBorder="1" applyAlignment="1" applyProtection="1">
      <alignment horizontal="left" vertical="center"/>
      <protection hidden="1"/>
    </xf>
    <xf numFmtId="0" fontId="9" fillId="208" borderId="35" xfId="0" applyFont="1" applyFill="1" applyBorder="1" applyAlignment="1" applyProtection="1">
      <alignment horizontal="left" vertical="center"/>
      <protection hidden="1"/>
    </xf>
    <xf numFmtId="0" fontId="9" fillId="208" borderId="37" xfId="0" applyFont="1" applyFill="1" applyBorder="1" applyAlignment="1" applyProtection="1">
      <alignment horizontal="left" vertical="center"/>
      <protection hidden="1"/>
    </xf>
    <xf numFmtId="0" fontId="9" fillId="208" borderId="38" xfId="0" applyFont="1" applyFill="1" applyBorder="1" applyAlignment="1" applyProtection="1">
      <alignment horizontal="left" vertical="center"/>
      <protection hidden="1"/>
    </xf>
    <xf numFmtId="0" fontId="9" fillId="208" borderId="39" xfId="0" applyFont="1" applyFill="1" applyBorder="1" applyAlignment="1" applyProtection="1">
      <alignment horizontal="left" vertical="center"/>
      <protection hidden="1"/>
    </xf>
    <xf numFmtId="0" fontId="9" fillId="208" borderId="36" xfId="0" applyFont="1" applyFill="1" applyBorder="1" applyAlignment="1" applyProtection="1">
      <alignment vertical="center"/>
      <protection hidden="1"/>
    </xf>
    <xf numFmtId="0" fontId="9" fillId="208" borderId="36" xfId="0" applyFont="1" applyFill="1" applyBorder="1" applyAlignment="1" applyProtection="1">
      <alignment horizontal="center" vertical="center"/>
      <protection hidden="1"/>
    </xf>
    <xf numFmtId="0" fontId="19" fillId="208" borderId="36" xfId="0" applyFont="1" applyFill="1" applyBorder="1" applyAlignment="1" applyProtection="1">
      <alignment horizontal="center" vertical="center"/>
      <protection hidden="1"/>
    </xf>
    <xf numFmtId="0" fontId="9" fillId="208" borderId="36" xfId="0" applyFont="1" applyFill="1" applyBorder="1" applyAlignment="1" applyProtection="1">
      <alignment horizontal="left" vertical="center"/>
      <protection hidden="1"/>
    </xf>
    <xf numFmtId="0" fontId="12" fillId="208" borderId="47" xfId="0" applyFont="1" applyFill="1" applyBorder="1" applyAlignment="1" applyProtection="1">
      <alignment horizontal="left" vertical="center"/>
      <protection hidden="1"/>
    </xf>
    <xf numFmtId="0" fontId="9" fillId="208" borderId="0" xfId="0" applyFont="1" applyFill="1" applyBorder="1" applyAlignment="1" applyProtection="1">
      <alignment horizontal="left" vertical="center"/>
      <protection hidden="1"/>
    </xf>
    <xf numFmtId="0" fontId="9" fillId="208" borderId="0" xfId="0" applyFont="1" applyFill="1" applyBorder="1" applyAlignment="1" applyProtection="1">
      <alignment horizontal="center" vertical="center"/>
      <protection hidden="1"/>
    </xf>
    <xf numFmtId="0" fontId="23" fillId="208" borderId="0" xfId="0" applyFont="1" applyFill="1" applyBorder="1" applyAlignment="1" applyProtection="1">
      <alignment horizontal="center" vertical="center"/>
      <protection hidden="1"/>
    </xf>
    <xf numFmtId="0" fontId="9" fillId="208" borderId="48" xfId="0" applyFont="1" applyFill="1" applyBorder="1" applyAlignment="1" applyProtection="1">
      <alignment horizontal="left" vertical="center"/>
      <protection hidden="1"/>
    </xf>
    <xf numFmtId="0" fontId="9" fillId="208" borderId="23" xfId="0" applyFont="1" applyFill="1" applyBorder="1" applyAlignment="1" applyProtection="1">
      <alignment horizontal="left" vertical="center"/>
      <protection hidden="1"/>
    </xf>
    <xf numFmtId="0" fontId="9" fillId="209" borderId="35" xfId="0" applyFont="1" applyFill="1" applyBorder="1" applyAlignment="1" applyProtection="1">
      <alignment horizontal="left" vertical="center"/>
      <protection hidden="1"/>
    </xf>
    <xf numFmtId="0" fontId="9" fillId="209" borderId="37" xfId="0" applyFont="1" applyFill="1" applyBorder="1" applyAlignment="1" applyProtection="1">
      <alignment horizontal="left" vertical="center"/>
      <protection hidden="1"/>
    </xf>
    <xf numFmtId="0" fontId="9" fillId="209" borderId="38" xfId="0" applyFont="1" applyFill="1" applyBorder="1" applyAlignment="1" applyProtection="1">
      <alignment horizontal="left" vertical="center"/>
      <protection hidden="1"/>
    </xf>
    <xf numFmtId="0" fontId="9" fillId="209" borderId="39" xfId="0" applyFont="1" applyFill="1" applyBorder="1" applyAlignment="1" applyProtection="1">
      <alignment horizontal="left" vertical="center"/>
      <protection hidden="1"/>
    </xf>
    <xf numFmtId="0" fontId="9" fillId="209" borderId="36" xfId="0" applyFont="1" applyFill="1" applyBorder="1" applyAlignment="1" applyProtection="1">
      <alignment vertical="center"/>
      <protection hidden="1"/>
    </xf>
    <xf numFmtId="0" fontId="9" fillId="209" borderId="36" xfId="0" applyFont="1" applyFill="1" applyBorder="1" applyAlignment="1" applyProtection="1">
      <alignment horizontal="center" vertical="center"/>
      <protection hidden="1"/>
    </xf>
    <xf numFmtId="0" fontId="19" fillId="209" borderId="36" xfId="0" applyFont="1" applyFill="1" applyBorder="1" applyAlignment="1" applyProtection="1">
      <alignment horizontal="center" vertical="center"/>
      <protection hidden="1"/>
    </xf>
    <xf numFmtId="0" fontId="9" fillId="209" borderId="36" xfId="0" applyFont="1" applyFill="1" applyBorder="1" applyAlignment="1" applyProtection="1">
      <alignment horizontal="left" vertical="center"/>
      <protection hidden="1"/>
    </xf>
    <xf numFmtId="0" fontId="12" fillId="209" borderId="47" xfId="0" applyFont="1" applyFill="1" applyBorder="1" applyAlignment="1" applyProtection="1">
      <alignment horizontal="left" vertical="center"/>
      <protection hidden="1"/>
    </xf>
    <xf numFmtId="0" fontId="9" fillId="209" borderId="0" xfId="0" applyFont="1" applyFill="1" applyBorder="1" applyAlignment="1" applyProtection="1">
      <alignment horizontal="left" vertical="center"/>
      <protection hidden="1"/>
    </xf>
    <xf numFmtId="0" fontId="9" fillId="209" borderId="0" xfId="0" applyFont="1" applyFill="1" applyBorder="1" applyAlignment="1" applyProtection="1">
      <alignment horizontal="center" vertical="center"/>
      <protection hidden="1"/>
    </xf>
    <xf numFmtId="0" fontId="23" fillId="209" borderId="0" xfId="0" applyFont="1" applyFill="1" applyBorder="1" applyAlignment="1" applyProtection="1">
      <alignment horizontal="center" vertical="center"/>
      <protection hidden="1"/>
    </xf>
    <xf numFmtId="0" fontId="9" fillId="209" borderId="48" xfId="0" applyFont="1" applyFill="1" applyBorder="1" applyAlignment="1" applyProtection="1">
      <alignment horizontal="left" vertical="center"/>
      <protection hidden="1"/>
    </xf>
    <xf numFmtId="0" fontId="9" fillId="209" borderId="23" xfId="0" applyFont="1" applyFill="1" applyBorder="1" applyAlignment="1" applyProtection="1">
      <alignment horizontal="left" vertical="center"/>
      <protection hidden="1"/>
    </xf>
    <xf numFmtId="0" fontId="9" fillId="210" borderId="36" xfId="0" applyFont="1" applyFill="1" applyBorder="1" applyAlignment="1" applyProtection="1">
      <alignment vertical="center"/>
      <protection hidden="1"/>
    </xf>
    <xf numFmtId="0" fontId="9" fillId="210" borderId="36" xfId="0" applyFont="1" applyFill="1" applyBorder="1" applyAlignment="1" applyProtection="1">
      <alignment horizontal="center" vertical="center"/>
      <protection hidden="1"/>
    </xf>
    <xf numFmtId="0" fontId="19" fillId="210" borderId="36" xfId="0" applyFont="1" applyFill="1" applyBorder="1" applyAlignment="1" applyProtection="1">
      <alignment horizontal="center" vertical="center"/>
      <protection hidden="1"/>
    </xf>
    <xf numFmtId="0" fontId="9" fillId="210" borderId="36" xfId="0" applyFont="1" applyFill="1" applyBorder="1" applyAlignment="1" applyProtection="1">
      <alignment horizontal="left" vertical="center"/>
      <protection hidden="1"/>
    </xf>
    <xf numFmtId="0" fontId="9" fillId="210" borderId="0" xfId="0" applyFont="1" applyFill="1" applyBorder="1" applyAlignment="1" applyProtection="1">
      <alignment horizontal="left" vertical="center"/>
      <protection hidden="1"/>
    </xf>
    <xf numFmtId="0" fontId="9" fillId="210" borderId="0" xfId="0" applyFont="1" applyFill="1" applyBorder="1" applyAlignment="1" applyProtection="1">
      <alignment horizontal="center" vertical="center"/>
      <protection hidden="1"/>
    </xf>
    <xf numFmtId="0" fontId="23" fillId="210" borderId="0" xfId="0" applyFont="1" applyFill="1" applyBorder="1" applyAlignment="1" applyProtection="1">
      <alignment horizontal="center" vertical="center"/>
      <protection hidden="1"/>
    </xf>
    <xf numFmtId="0" fontId="9" fillId="210" borderId="23" xfId="0" applyFont="1" applyFill="1" applyBorder="1" applyAlignment="1" applyProtection="1">
      <alignment horizontal="left" vertical="center"/>
      <protection hidden="1"/>
    </xf>
    <xf numFmtId="0" fontId="9" fillId="211" borderId="36" xfId="0" applyFont="1" applyFill="1" applyBorder="1" applyAlignment="1" applyProtection="1">
      <alignment vertical="center"/>
      <protection hidden="1"/>
    </xf>
    <xf numFmtId="0" fontId="9" fillId="211" borderId="36" xfId="0" applyFont="1" applyFill="1" applyBorder="1" applyAlignment="1" applyProtection="1">
      <alignment horizontal="center" vertical="center"/>
      <protection hidden="1"/>
    </xf>
    <xf numFmtId="0" fontId="19" fillId="211" borderId="36" xfId="0" applyFont="1" applyFill="1" applyBorder="1" applyAlignment="1" applyProtection="1">
      <alignment horizontal="center" vertical="center"/>
      <protection hidden="1"/>
    </xf>
    <xf numFmtId="0" fontId="9" fillId="211" borderId="36" xfId="0" applyFont="1" applyFill="1" applyBorder="1" applyAlignment="1" applyProtection="1">
      <alignment horizontal="left" vertical="center"/>
      <protection hidden="1"/>
    </xf>
    <xf numFmtId="0" fontId="9" fillId="211" borderId="0" xfId="0" applyFont="1" applyFill="1" applyBorder="1" applyAlignment="1" applyProtection="1">
      <alignment horizontal="left" vertical="center"/>
      <protection hidden="1"/>
    </xf>
    <xf numFmtId="0" fontId="9" fillId="211" borderId="0" xfId="0" applyFont="1" applyFill="1" applyBorder="1" applyAlignment="1" applyProtection="1">
      <alignment horizontal="center" vertical="center"/>
      <protection hidden="1"/>
    </xf>
    <xf numFmtId="0" fontId="23" fillId="211" borderId="0" xfId="0" applyFont="1" applyFill="1" applyBorder="1" applyAlignment="1" applyProtection="1">
      <alignment horizontal="center" vertical="center"/>
      <protection hidden="1"/>
    </xf>
    <xf numFmtId="0" fontId="9" fillId="211" borderId="23" xfId="0" applyFont="1" applyFill="1" applyBorder="1" applyAlignment="1" applyProtection="1">
      <alignment horizontal="left" vertical="center"/>
      <protection hidden="1"/>
    </xf>
    <xf numFmtId="0" fontId="9" fillId="212" borderId="36" xfId="0" applyFont="1" applyFill="1" applyBorder="1" applyAlignment="1" applyProtection="1">
      <alignment vertical="center"/>
      <protection hidden="1"/>
    </xf>
    <xf numFmtId="0" fontId="9" fillId="212" borderId="36" xfId="0" applyFont="1" applyFill="1" applyBorder="1" applyAlignment="1" applyProtection="1">
      <alignment horizontal="center" vertical="center"/>
      <protection hidden="1"/>
    </xf>
    <xf numFmtId="0" fontId="19" fillId="212" borderId="36" xfId="0" applyFont="1" applyFill="1" applyBorder="1" applyAlignment="1" applyProtection="1">
      <alignment horizontal="center" vertical="center"/>
      <protection hidden="1"/>
    </xf>
    <xf numFmtId="0" fontId="9" fillId="212" borderId="36" xfId="0" applyFont="1" applyFill="1" applyBorder="1" applyAlignment="1" applyProtection="1">
      <alignment horizontal="left" vertical="center"/>
      <protection hidden="1"/>
    </xf>
    <xf numFmtId="0" fontId="9" fillId="212" borderId="0" xfId="0" applyFont="1" applyFill="1" applyBorder="1" applyAlignment="1" applyProtection="1">
      <alignment horizontal="left" vertical="center"/>
      <protection hidden="1"/>
    </xf>
    <xf numFmtId="0" fontId="9" fillId="212" borderId="0" xfId="0" applyFont="1" applyFill="1" applyBorder="1" applyAlignment="1" applyProtection="1">
      <alignment horizontal="center" vertical="center"/>
      <protection hidden="1"/>
    </xf>
    <xf numFmtId="0" fontId="23" fillId="212" borderId="0" xfId="0" applyFont="1" applyFill="1" applyBorder="1" applyAlignment="1" applyProtection="1">
      <alignment horizontal="center" vertical="center"/>
      <protection hidden="1"/>
    </xf>
    <xf numFmtId="0" fontId="9" fillId="212" borderId="0" xfId="0" applyFont="1" applyFill="1" applyBorder="1" applyAlignment="1" applyProtection="1">
      <alignment vertical="center"/>
      <protection hidden="1"/>
    </xf>
    <xf numFmtId="0" fontId="19" fillId="212" borderId="0" xfId="0" applyFont="1" applyFill="1" applyBorder="1" applyAlignment="1" applyProtection="1">
      <alignment horizontal="center" vertical="center"/>
      <protection hidden="1"/>
    </xf>
    <xf numFmtId="0" fontId="9" fillId="212" borderId="23" xfId="0" applyFont="1" applyFill="1" applyBorder="1" applyAlignment="1" applyProtection="1">
      <alignment horizontal="left" vertical="center"/>
      <protection hidden="1"/>
    </xf>
    <xf numFmtId="0" fontId="9" fillId="207" borderId="36" xfId="0" applyFont="1" applyFill="1" applyBorder="1" applyAlignment="1" applyProtection="1">
      <alignment vertical="center"/>
      <protection hidden="1"/>
    </xf>
    <xf numFmtId="0" fontId="9" fillId="207" borderId="36" xfId="0" applyFont="1" applyFill="1" applyBorder="1" applyAlignment="1" applyProtection="1">
      <alignment horizontal="center" vertical="center"/>
      <protection hidden="1"/>
    </xf>
    <xf numFmtId="0" fontId="19" fillId="207" borderId="36" xfId="0" applyFont="1" applyFill="1" applyBorder="1" applyAlignment="1" applyProtection="1">
      <alignment horizontal="center" vertical="center"/>
      <protection hidden="1"/>
    </xf>
    <xf numFmtId="0" fontId="9" fillId="207" borderId="36" xfId="0" applyFont="1" applyFill="1" applyBorder="1" applyAlignment="1" applyProtection="1">
      <alignment horizontal="left" vertical="center"/>
      <protection hidden="1"/>
    </xf>
    <xf numFmtId="0" fontId="9" fillId="207" borderId="0" xfId="0" applyFont="1" applyFill="1" applyBorder="1" applyAlignment="1" applyProtection="1">
      <alignment horizontal="left" vertical="center"/>
      <protection hidden="1"/>
    </xf>
    <xf numFmtId="0" fontId="9" fillId="207" borderId="0" xfId="0" applyFont="1" applyFill="1" applyBorder="1" applyAlignment="1" applyProtection="1">
      <alignment horizontal="center" vertical="center"/>
      <protection hidden="1"/>
    </xf>
    <xf numFmtId="0" fontId="23" fillId="207" borderId="0" xfId="0" applyFont="1" applyFill="1" applyBorder="1" applyAlignment="1" applyProtection="1">
      <alignment horizontal="center" vertical="center"/>
      <protection hidden="1"/>
    </xf>
    <xf numFmtId="0" fontId="9" fillId="207" borderId="23" xfId="0" applyFont="1" applyFill="1" applyBorder="1" applyAlignment="1" applyProtection="1">
      <alignment horizontal="left" vertical="center"/>
      <protection hidden="1"/>
    </xf>
    <xf numFmtId="0" fontId="9" fillId="213" borderId="35" xfId="0" applyFont="1" applyFill="1" applyBorder="1" applyAlignment="1" applyProtection="1">
      <alignment horizontal="left" vertical="center"/>
      <protection hidden="1"/>
    </xf>
    <xf numFmtId="0" fontId="9" fillId="213" borderId="37" xfId="0" applyFont="1" applyFill="1" applyBorder="1" applyAlignment="1" applyProtection="1">
      <alignment horizontal="left" vertical="center"/>
      <protection hidden="1"/>
    </xf>
    <xf numFmtId="0" fontId="9" fillId="213" borderId="38" xfId="0" applyFont="1" applyFill="1" applyBorder="1" applyAlignment="1" applyProtection="1">
      <alignment horizontal="left" vertical="center"/>
      <protection hidden="1"/>
    </xf>
    <xf numFmtId="0" fontId="9" fillId="213" borderId="39" xfId="0" applyFont="1" applyFill="1" applyBorder="1" applyAlignment="1" applyProtection="1">
      <alignment horizontal="left" vertical="center"/>
      <protection hidden="1"/>
    </xf>
    <xf numFmtId="0" fontId="9" fillId="213" borderId="36" xfId="0" applyFont="1" applyFill="1" applyBorder="1" applyAlignment="1" applyProtection="1">
      <alignment vertical="center"/>
      <protection hidden="1"/>
    </xf>
    <xf numFmtId="0" fontId="9" fillId="213" borderId="36" xfId="0" applyFont="1" applyFill="1" applyBorder="1" applyAlignment="1" applyProtection="1">
      <alignment horizontal="center" vertical="center"/>
      <protection hidden="1"/>
    </xf>
    <xf numFmtId="0" fontId="19" fillId="213" borderId="36" xfId="0" applyFont="1" applyFill="1" applyBorder="1" applyAlignment="1" applyProtection="1">
      <alignment horizontal="center" vertical="center"/>
      <protection hidden="1"/>
    </xf>
    <xf numFmtId="0" fontId="9" fillId="213" borderId="36" xfId="0" applyFont="1" applyFill="1" applyBorder="1" applyAlignment="1" applyProtection="1">
      <alignment horizontal="left" vertical="center"/>
      <protection hidden="1"/>
    </xf>
    <xf numFmtId="0" fontId="12" fillId="213" borderId="47" xfId="0" applyFont="1" applyFill="1" applyBorder="1" applyAlignment="1" applyProtection="1">
      <alignment horizontal="left" vertical="center"/>
      <protection hidden="1"/>
    </xf>
    <xf numFmtId="0" fontId="9" fillId="213" borderId="0" xfId="0" applyFont="1" applyFill="1" applyBorder="1" applyAlignment="1" applyProtection="1">
      <alignment horizontal="left" vertical="center"/>
      <protection hidden="1"/>
    </xf>
    <xf numFmtId="0" fontId="9" fillId="213" borderId="0" xfId="0" applyFont="1" applyFill="1" applyBorder="1" applyAlignment="1" applyProtection="1">
      <alignment horizontal="center" vertical="center"/>
      <protection hidden="1"/>
    </xf>
    <xf numFmtId="0" fontId="23" fillId="213" borderId="0" xfId="0" applyFont="1" applyFill="1" applyBorder="1" applyAlignment="1" applyProtection="1">
      <alignment horizontal="center" vertical="center"/>
      <protection hidden="1"/>
    </xf>
    <xf numFmtId="0" fontId="9" fillId="213" borderId="48" xfId="0" applyFont="1" applyFill="1" applyBorder="1" applyAlignment="1" applyProtection="1">
      <alignment horizontal="left" vertical="center"/>
      <protection hidden="1"/>
    </xf>
    <xf numFmtId="0" fontId="9" fillId="213" borderId="47" xfId="0" applyFont="1" applyFill="1" applyBorder="1" applyAlignment="1" applyProtection="1">
      <alignment horizontal="left" vertical="center"/>
      <protection hidden="1"/>
    </xf>
    <xf numFmtId="0" fontId="9" fillId="213" borderId="0" xfId="0" applyFont="1" applyFill="1" applyBorder="1" applyAlignment="1" applyProtection="1">
      <alignment vertical="center"/>
      <protection hidden="1"/>
    </xf>
    <xf numFmtId="0" fontId="19" fillId="213" borderId="0" xfId="0" applyFont="1" applyFill="1" applyBorder="1" applyAlignment="1" applyProtection="1">
      <alignment horizontal="center" vertical="center"/>
      <protection hidden="1"/>
    </xf>
    <xf numFmtId="0" fontId="9" fillId="213" borderId="23" xfId="0" applyFont="1" applyFill="1" applyBorder="1" applyAlignment="1" applyProtection="1">
      <alignment horizontal="left" vertical="center"/>
      <protection hidden="1"/>
    </xf>
    <xf numFmtId="0" fontId="9" fillId="206" borderId="36" xfId="0" applyFont="1" applyFill="1" applyBorder="1" applyAlignment="1" applyProtection="1">
      <alignment vertical="center"/>
      <protection hidden="1"/>
    </xf>
    <xf numFmtId="0" fontId="9" fillId="206" borderId="36" xfId="0" applyFont="1" applyFill="1" applyBorder="1" applyAlignment="1" applyProtection="1">
      <alignment horizontal="center" vertical="center"/>
      <protection hidden="1"/>
    </xf>
    <xf numFmtId="0" fontId="19" fillId="206" borderId="36" xfId="0" applyFont="1" applyFill="1" applyBorder="1" applyAlignment="1" applyProtection="1">
      <alignment horizontal="center" vertical="center"/>
      <protection hidden="1"/>
    </xf>
    <xf numFmtId="0" fontId="9" fillId="206" borderId="36" xfId="0" applyFont="1" applyFill="1" applyBorder="1" applyAlignment="1" applyProtection="1">
      <alignment horizontal="left" vertical="center"/>
      <protection hidden="1"/>
    </xf>
    <xf numFmtId="0" fontId="12" fillId="206" borderId="47" xfId="0" applyFont="1" applyFill="1" applyBorder="1" applyAlignment="1" applyProtection="1">
      <alignment horizontal="left" vertical="center"/>
      <protection hidden="1"/>
    </xf>
    <xf numFmtId="0" fontId="9" fillId="206" borderId="0" xfId="0" applyFont="1" applyFill="1" applyBorder="1" applyAlignment="1" applyProtection="1">
      <alignment horizontal="left" vertical="center"/>
      <protection hidden="1"/>
    </xf>
    <xf numFmtId="0" fontId="9" fillId="206" borderId="0" xfId="0" applyFont="1" applyFill="1" applyBorder="1" applyAlignment="1" applyProtection="1">
      <alignment horizontal="center" vertical="center"/>
      <protection hidden="1"/>
    </xf>
    <xf numFmtId="0" fontId="23" fillId="206" borderId="0" xfId="0" applyFont="1" applyFill="1" applyBorder="1" applyAlignment="1" applyProtection="1">
      <alignment horizontal="center" vertical="center"/>
      <protection hidden="1"/>
    </xf>
    <xf numFmtId="0" fontId="9" fillId="206" borderId="48" xfId="0" applyFont="1" applyFill="1" applyBorder="1" applyAlignment="1" applyProtection="1">
      <alignment horizontal="left" vertical="center"/>
      <protection hidden="1"/>
    </xf>
    <xf numFmtId="0" fontId="9" fillId="206" borderId="23" xfId="0" applyFont="1" applyFill="1" applyBorder="1" applyAlignment="1" applyProtection="1">
      <alignment horizontal="left" vertical="center"/>
      <protection hidden="1"/>
    </xf>
    <xf numFmtId="0" fontId="9" fillId="214" borderId="35" xfId="0" applyFont="1" applyFill="1" applyBorder="1" applyAlignment="1" applyProtection="1">
      <alignment horizontal="left" vertical="center"/>
      <protection hidden="1"/>
    </xf>
    <xf numFmtId="0" fontId="9" fillId="214" borderId="37" xfId="0" applyFont="1" applyFill="1" applyBorder="1" applyAlignment="1" applyProtection="1">
      <alignment horizontal="left" vertical="center"/>
      <protection hidden="1"/>
    </xf>
    <xf numFmtId="0" fontId="9" fillId="214" borderId="38" xfId="0" applyFont="1" applyFill="1" applyBorder="1" applyAlignment="1" applyProtection="1">
      <alignment horizontal="left" vertical="center"/>
      <protection hidden="1"/>
    </xf>
    <xf numFmtId="0" fontId="47" fillId="214" borderId="39" xfId="0" applyFont="1" applyFill="1" applyBorder="1" applyAlignment="1" applyProtection="1">
      <alignment horizontal="left" vertical="center"/>
      <protection hidden="1"/>
    </xf>
    <xf numFmtId="0" fontId="9" fillId="214" borderId="36" xfId="0" applyFont="1" applyFill="1" applyBorder="1" applyAlignment="1" applyProtection="1">
      <alignment vertical="center"/>
      <protection hidden="1"/>
    </xf>
    <xf numFmtId="0" fontId="9" fillId="214" borderId="36" xfId="0" applyFont="1" applyFill="1" applyBorder="1" applyAlignment="1" applyProtection="1">
      <alignment horizontal="center" vertical="center"/>
      <protection hidden="1"/>
    </xf>
    <xf numFmtId="0" fontId="19" fillId="214" borderId="36" xfId="0" applyFont="1" applyFill="1" applyBorder="1" applyAlignment="1" applyProtection="1">
      <alignment horizontal="center" vertical="center"/>
      <protection hidden="1"/>
    </xf>
    <xf numFmtId="0" fontId="9" fillId="214" borderId="36" xfId="0" applyFont="1" applyFill="1" applyBorder="1" applyAlignment="1" applyProtection="1">
      <alignment horizontal="left" vertical="center"/>
      <protection hidden="1"/>
    </xf>
    <xf numFmtId="0" fontId="12" fillId="214" borderId="47" xfId="0" applyFont="1" applyFill="1" applyBorder="1" applyAlignment="1" applyProtection="1">
      <alignment horizontal="left" vertical="center"/>
      <protection hidden="1"/>
    </xf>
    <xf numFmtId="0" fontId="9" fillId="214" borderId="0" xfId="0" applyFont="1" applyFill="1" applyBorder="1" applyAlignment="1" applyProtection="1">
      <alignment horizontal="left" vertical="center"/>
      <protection hidden="1"/>
    </xf>
    <xf numFmtId="0" fontId="9" fillId="214" borderId="0" xfId="0" applyFont="1" applyFill="1" applyBorder="1" applyAlignment="1" applyProtection="1">
      <alignment horizontal="center" vertical="center"/>
      <protection hidden="1"/>
    </xf>
    <xf numFmtId="0" fontId="23" fillId="214" borderId="0" xfId="0" applyFont="1" applyFill="1" applyBorder="1" applyAlignment="1" applyProtection="1">
      <alignment horizontal="center" vertical="center"/>
      <protection hidden="1"/>
    </xf>
    <xf numFmtId="0" fontId="9" fillId="214" borderId="48" xfId="0" applyFont="1" applyFill="1" applyBorder="1" applyAlignment="1" applyProtection="1">
      <alignment horizontal="left" vertical="center"/>
      <protection hidden="1"/>
    </xf>
    <xf numFmtId="0" fontId="9" fillId="214" borderId="47" xfId="0" applyFont="1" applyFill="1" applyBorder="1" applyAlignment="1" applyProtection="1">
      <alignment horizontal="left" vertical="center"/>
      <protection hidden="1"/>
    </xf>
    <xf numFmtId="0" fontId="9" fillId="214" borderId="0" xfId="0" applyFont="1" applyFill="1" applyBorder="1" applyAlignment="1" applyProtection="1">
      <alignment vertical="center"/>
      <protection hidden="1"/>
    </xf>
    <xf numFmtId="0" fontId="19" fillId="214" borderId="0" xfId="0" applyFont="1" applyFill="1" applyBorder="1" applyAlignment="1" applyProtection="1">
      <alignment horizontal="center" vertical="center"/>
      <protection hidden="1"/>
    </xf>
    <xf numFmtId="0" fontId="9" fillId="214" borderId="23" xfId="0" applyFont="1" applyFill="1" applyBorder="1" applyAlignment="1" applyProtection="1">
      <alignment horizontal="left" vertical="center"/>
      <protection hidden="1"/>
    </xf>
    <xf numFmtId="0" fontId="9" fillId="214" borderId="39" xfId="0" applyFont="1" applyFill="1" applyBorder="1" applyAlignment="1" applyProtection="1">
      <alignment horizontal="left" vertical="center"/>
      <protection hidden="1"/>
    </xf>
    <xf numFmtId="0" fontId="9" fillId="215" borderId="35" xfId="0" applyFont="1" applyFill="1" applyBorder="1" applyAlignment="1" applyProtection="1">
      <alignment horizontal="left" vertical="center"/>
      <protection hidden="1"/>
    </xf>
    <xf numFmtId="0" fontId="9" fillId="215" borderId="37" xfId="0" applyFont="1" applyFill="1" applyBorder="1" applyAlignment="1" applyProtection="1">
      <alignment horizontal="left" vertical="center"/>
      <protection hidden="1"/>
    </xf>
    <xf numFmtId="0" fontId="9" fillId="215" borderId="38" xfId="0" applyFont="1" applyFill="1" applyBorder="1" applyAlignment="1" applyProtection="1">
      <alignment horizontal="left" vertical="center"/>
      <protection hidden="1"/>
    </xf>
    <xf numFmtId="0" fontId="9" fillId="215" borderId="39" xfId="0" applyFont="1" applyFill="1" applyBorder="1" applyAlignment="1" applyProtection="1">
      <alignment horizontal="left" vertical="center"/>
      <protection hidden="1"/>
    </xf>
    <xf numFmtId="0" fontId="9" fillId="215" borderId="36" xfId="0" applyFont="1" applyFill="1" applyBorder="1" applyAlignment="1" applyProtection="1">
      <alignment vertical="center"/>
      <protection hidden="1"/>
    </xf>
    <xf numFmtId="0" fontId="9" fillId="215" borderId="36" xfId="0" applyFont="1" applyFill="1" applyBorder="1" applyAlignment="1" applyProtection="1">
      <alignment horizontal="center" vertical="center"/>
      <protection hidden="1"/>
    </xf>
    <xf numFmtId="0" fontId="19" fillId="215" borderId="36" xfId="0" applyFont="1" applyFill="1" applyBorder="1" applyAlignment="1" applyProtection="1">
      <alignment horizontal="center" vertical="center"/>
      <protection hidden="1"/>
    </xf>
    <xf numFmtId="0" fontId="9" fillId="215" borderId="36" xfId="0" applyFont="1" applyFill="1" applyBorder="1" applyAlignment="1" applyProtection="1">
      <alignment horizontal="left" vertical="center"/>
      <protection hidden="1"/>
    </xf>
    <xf numFmtId="0" fontId="12" fillId="215" borderId="47" xfId="0" applyFont="1" applyFill="1" applyBorder="1" applyAlignment="1" applyProtection="1">
      <alignment horizontal="left" vertical="center"/>
      <protection hidden="1"/>
    </xf>
    <xf numFmtId="0" fontId="9" fillId="215" borderId="0" xfId="0" applyFont="1" applyFill="1" applyBorder="1" applyAlignment="1" applyProtection="1">
      <alignment horizontal="left" vertical="center"/>
      <protection hidden="1"/>
    </xf>
    <xf numFmtId="0" fontId="9" fillId="215" borderId="0" xfId="0" applyFont="1" applyFill="1" applyBorder="1" applyAlignment="1" applyProtection="1">
      <alignment horizontal="center" vertical="center"/>
      <protection hidden="1"/>
    </xf>
    <xf numFmtId="0" fontId="23" fillId="215" borderId="0" xfId="0" applyFont="1" applyFill="1" applyBorder="1" applyAlignment="1" applyProtection="1">
      <alignment horizontal="center" vertical="center"/>
      <protection hidden="1"/>
    </xf>
    <xf numFmtId="0" fontId="9" fillId="215" borderId="48" xfId="0" applyFont="1" applyFill="1" applyBorder="1" applyAlignment="1" applyProtection="1">
      <alignment horizontal="left" vertical="center"/>
      <protection hidden="1"/>
    </xf>
    <xf numFmtId="0" fontId="9" fillId="215" borderId="23" xfId="0" applyFont="1" applyFill="1" applyBorder="1" applyAlignment="1" applyProtection="1">
      <alignment horizontal="left" vertical="center"/>
      <protection hidden="1"/>
    </xf>
    <xf numFmtId="0" fontId="9" fillId="216" borderId="36" xfId="0" applyFont="1" applyFill="1" applyBorder="1" applyAlignment="1" applyProtection="1">
      <alignment vertical="center"/>
      <protection hidden="1"/>
    </xf>
    <xf numFmtId="0" fontId="9" fillId="216" borderId="36" xfId="0" applyFont="1" applyFill="1" applyBorder="1" applyAlignment="1" applyProtection="1">
      <alignment horizontal="center" vertical="center"/>
      <protection hidden="1"/>
    </xf>
    <xf numFmtId="0" fontId="19" fillId="216" borderId="36" xfId="0" applyFont="1" applyFill="1" applyBorder="1" applyAlignment="1" applyProtection="1">
      <alignment horizontal="center" vertical="center"/>
      <protection hidden="1"/>
    </xf>
    <xf numFmtId="0" fontId="9" fillId="216" borderId="36" xfId="0" applyFont="1" applyFill="1" applyBorder="1" applyAlignment="1" applyProtection="1">
      <alignment horizontal="left" vertical="center"/>
      <protection hidden="1"/>
    </xf>
    <xf numFmtId="0" fontId="12" fillId="4" borderId="15" xfId="0" applyFont="1" applyFill="1" applyBorder="1"/>
    <xf numFmtId="0" fontId="71" fillId="5" borderId="0" xfId="8" applyFont="1"/>
    <xf numFmtId="0" fontId="71" fillId="5" borderId="15" xfId="8" applyFont="1" applyBorder="1" applyAlignment="1">
      <alignment horizontal="right" vertical="top" wrapText="1"/>
    </xf>
    <xf numFmtId="0" fontId="126" fillId="176" borderId="15" xfId="13" quotePrefix="1" applyFont="1" applyBorder="1" applyAlignment="1">
      <alignment horizontal="right" wrapText="1"/>
    </xf>
    <xf numFmtId="0" fontId="125" fillId="175" borderId="15" xfId="12" applyFont="1" applyBorder="1" applyAlignment="1">
      <alignment vertical="center" wrapText="1"/>
    </xf>
    <xf numFmtId="0" fontId="125" fillId="175" borderId="15" xfId="12" quotePrefix="1" applyFont="1" applyBorder="1" applyAlignment="1">
      <alignment horizontal="right" wrapText="1"/>
    </xf>
    <xf numFmtId="0" fontId="126" fillId="5" borderId="15" xfId="13" quotePrefix="1" applyFont="1" applyFill="1" applyBorder="1" applyAlignment="1">
      <alignment horizontal="right" wrapText="1"/>
    </xf>
    <xf numFmtId="0" fontId="125" fillId="175" borderId="15" xfId="12" applyFont="1" applyBorder="1" applyAlignment="1">
      <alignment horizontal="right" wrapText="1"/>
    </xf>
    <xf numFmtId="0" fontId="125" fillId="175" borderId="15" xfId="12" applyFont="1" applyBorder="1" applyAlignment="1">
      <alignment horizontal="right" vertical="center" wrapText="1"/>
    </xf>
    <xf numFmtId="16" fontId="126" fillId="176" borderId="15" xfId="13" quotePrefix="1" applyNumberFormat="1" applyFont="1" applyBorder="1" applyAlignment="1">
      <alignment horizontal="right" wrapText="1"/>
    </xf>
    <xf numFmtId="0" fontId="126" fillId="176" borderId="15" xfId="13" applyFont="1" applyBorder="1" applyAlignment="1">
      <alignment horizontal="right" wrapText="1"/>
    </xf>
    <xf numFmtId="0" fontId="71" fillId="5" borderId="0" xfId="8" applyFont="1" applyFill="1" applyAlignment="1">
      <alignment horizontal="left"/>
    </xf>
    <xf numFmtId="0" fontId="9" fillId="5" borderId="0" xfId="0" applyFont="1" applyFill="1" applyAlignment="1">
      <alignment horizontal="left"/>
    </xf>
    <xf numFmtId="0" fontId="57" fillId="5" borderId="0" xfId="0" applyFont="1" applyFill="1" applyAlignment="1">
      <alignment horizontal="left"/>
    </xf>
    <xf numFmtId="4" fontId="9" fillId="150" borderId="0" xfId="0" applyNumberFormat="1" applyFont="1" applyFill="1" applyBorder="1" applyAlignment="1">
      <alignment horizontal="center" vertical="center"/>
    </xf>
    <xf numFmtId="0" fontId="9" fillId="7" borderId="0" xfId="0" applyFont="1" applyFill="1" applyAlignment="1">
      <alignment vertical="center"/>
    </xf>
    <xf numFmtId="4" fontId="47" fillId="5" borderId="15" xfId="0" applyNumberFormat="1" applyFont="1" applyFill="1" applyBorder="1" applyAlignment="1">
      <alignment horizontal="right"/>
    </xf>
    <xf numFmtId="164" fontId="47" fillId="5" borderId="28" xfId="0" applyNumberFormat="1" applyFont="1" applyFill="1" applyBorder="1" applyAlignment="1">
      <alignment horizontal="left" vertical="center"/>
    </xf>
    <xf numFmtId="0" fontId="77" fillId="218" borderId="0" xfId="0" applyFont="1" applyFill="1" applyBorder="1" applyAlignment="1">
      <alignment vertical="center"/>
    </xf>
    <xf numFmtId="0" fontId="9" fillId="218" borderId="0" xfId="0" applyFont="1" applyFill="1"/>
    <xf numFmtId="0" fontId="9" fillId="5" borderId="0" xfId="0" applyFont="1" applyFill="1" applyBorder="1" applyAlignment="1">
      <alignment horizontal="center" vertical="center"/>
    </xf>
    <xf numFmtId="0" fontId="13" fillId="183" borderId="8" xfId="0" applyFont="1" applyFill="1" applyBorder="1" applyAlignment="1" applyProtection="1">
      <alignment vertical="top" wrapText="1"/>
      <protection hidden="1"/>
    </xf>
    <xf numFmtId="0" fontId="118" fillId="86" borderId="0" xfId="0" applyFont="1" applyFill="1"/>
    <xf numFmtId="0" fontId="115" fillId="86" borderId="0" xfId="0" applyFont="1" applyFill="1"/>
    <xf numFmtId="168" fontId="9" fillId="5" borderId="0" xfId="0" applyNumberFormat="1" applyFont="1" applyFill="1" applyAlignment="1">
      <alignment horizontal="right"/>
    </xf>
    <xf numFmtId="0" fontId="9" fillId="36" borderId="15" xfId="0" applyFont="1" applyFill="1" applyBorder="1" applyAlignment="1">
      <alignment horizontal="left" vertical="top" wrapText="1"/>
    </xf>
    <xf numFmtId="0" fontId="47" fillId="36" borderId="15" xfId="0" applyFont="1" applyFill="1" applyBorder="1" applyAlignment="1">
      <alignment vertical="center"/>
    </xf>
    <xf numFmtId="0" fontId="28" fillId="5" borderId="0" xfId="0" applyFont="1" applyFill="1" applyBorder="1" applyAlignment="1">
      <alignment horizontal="center" vertical="center"/>
    </xf>
    <xf numFmtId="0" fontId="28" fillId="220" borderId="0" xfId="0" applyFont="1" applyFill="1" applyBorder="1" applyAlignment="1">
      <alignment horizontal="center" vertical="center"/>
    </xf>
    <xf numFmtId="0" fontId="28" fillId="221" borderId="0" xfId="0" applyFont="1" applyFill="1" applyBorder="1" applyAlignment="1">
      <alignment horizontal="center" vertical="center"/>
    </xf>
    <xf numFmtId="0" fontId="9" fillId="53" borderId="15" xfId="0" applyFont="1" applyFill="1" applyBorder="1" applyAlignment="1">
      <alignment horizontal="right"/>
    </xf>
    <xf numFmtId="0" fontId="9" fillId="217" borderId="15" xfId="0" applyFont="1" applyFill="1" applyBorder="1" applyAlignment="1">
      <alignment horizontal="right"/>
    </xf>
    <xf numFmtId="0" fontId="9" fillId="222" borderId="15" xfId="0" applyFont="1" applyFill="1" applyBorder="1" applyAlignment="1">
      <alignment horizontal="right"/>
    </xf>
    <xf numFmtId="0" fontId="9" fillId="13" borderId="15" xfId="0" applyFont="1" applyFill="1" applyBorder="1" applyAlignment="1">
      <alignment horizontal="right"/>
    </xf>
    <xf numFmtId="168" fontId="47" fillId="38" borderId="15" xfId="0" applyNumberFormat="1" applyFont="1" applyFill="1" applyBorder="1" applyAlignment="1">
      <alignment horizontal="right" vertical="center" wrapText="1"/>
    </xf>
    <xf numFmtId="0" fontId="47" fillId="38" borderId="15" xfId="0" applyFont="1" applyFill="1" applyBorder="1" applyAlignment="1">
      <alignment horizontal="right" vertical="center" wrapText="1"/>
    </xf>
    <xf numFmtId="168" fontId="9" fillId="5" borderId="0" xfId="0" applyNumberFormat="1" applyFont="1" applyFill="1" applyAlignment="1">
      <alignment horizontal="right" vertical="center"/>
    </xf>
    <xf numFmtId="168" fontId="9" fillId="38" borderId="15" xfId="0" applyNumberFormat="1" applyFont="1" applyFill="1" applyBorder="1" applyAlignment="1">
      <alignment horizontal="left" vertical="center" wrapText="1"/>
    </xf>
    <xf numFmtId="0" fontId="11" fillId="5" borderId="15" xfId="0" applyFont="1" applyFill="1" applyBorder="1" applyAlignment="1">
      <alignment horizontal="right" vertical="center" wrapText="1"/>
    </xf>
    <xf numFmtId="0" fontId="125" fillId="175" borderId="0" xfId="12" applyFont="1" applyAlignment="1">
      <alignment vertical="center"/>
    </xf>
    <xf numFmtId="0" fontId="126" fillId="176" borderId="0" xfId="13" applyFont="1" applyAlignment="1">
      <alignment horizontal="right" vertical="center" wrapText="1"/>
    </xf>
    <xf numFmtId="4" fontId="9" fillId="6" borderId="0" xfId="0" applyNumberFormat="1" applyFont="1" applyFill="1" applyBorder="1" applyAlignment="1">
      <alignment horizontal="center" vertical="center"/>
    </xf>
    <xf numFmtId="4" fontId="9" fillId="21" borderId="0" xfId="0" applyNumberFormat="1" applyFont="1" applyFill="1" applyBorder="1" applyAlignment="1">
      <alignment horizontal="center" vertical="center"/>
    </xf>
    <xf numFmtId="0" fontId="9" fillId="226" borderId="35" xfId="0" applyFont="1" applyFill="1" applyBorder="1" applyAlignment="1" applyProtection="1">
      <alignment horizontal="left" vertical="center"/>
      <protection hidden="1"/>
    </xf>
    <xf numFmtId="0" fontId="9" fillId="226" borderId="37" xfId="0" applyFont="1" applyFill="1" applyBorder="1" applyAlignment="1" applyProtection="1">
      <alignment horizontal="left" vertical="center"/>
      <protection hidden="1"/>
    </xf>
    <xf numFmtId="0" fontId="9" fillId="226" borderId="38" xfId="0" applyFont="1" applyFill="1" applyBorder="1" applyAlignment="1" applyProtection="1">
      <alignment horizontal="left" vertical="center"/>
      <protection hidden="1"/>
    </xf>
    <xf numFmtId="0" fontId="9" fillId="226" borderId="39" xfId="0" applyFont="1" applyFill="1" applyBorder="1" applyAlignment="1" applyProtection="1">
      <alignment horizontal="left" vertical="center"/>
      <protection hidden="1"/>
    </xf>
    <xf numFmtId="0" fontId="9" fillId="230" borderId="35" xfId="0" applyFont="1" applyFill="1" applyBorder="1" applyAlignment="1" applyProtection="1">
      <alignment horizontal="left" vertical="center"/>
      <protection hidden="1"/>
    </xf>
    <xf numFmtId="0" fontId="9" fillId="230" borderId="37" xfId="0" applyFont="1" applyFill="1" applyBorder="1" applyAlignment="1" applyProtection="1">
      <alignment horizontal="left" vertical="center"/>
      <protection hidden="1"/>
    </xf>
    <xf numFmtId="0" fontId="9" fillId="230" borderId="38" xfId="0" applyFont="1" applyFill="1" applyBorder="1" applyAlignment="1" applyProtection="1">
      <alignment horizontal="left" vertical="center"/>
      <protection hidden="1"/>
    </xf>
    <xf numFmtId="0" fontId="9" fillId="230" borderId="39" xfId="0" applyFont="1" applyFill="1" applyBorder="1" applyAlignment="1" applyProtection="1">
      <alignment horizontal="left" vertical="center"/>
      <protection hidden="1"/>
    </xf>
    <xf numFmtId="0" fontId="9" fillId="231" borderId="35" xfId="0" applyFont="1" applyFill="1" applyBorder="1" applyAlignment="1" applyProtection="1">
      <alignment horizontal="left" vertical="center"/>
      <protection hidden="1"/>
    </xf>
    <xf numFmtId="0" fontId="9" fillId="231" borderId="37" xfId="0" applyFont="1" applyFill="1" applyBorder="1" applyAlignment="1" applyProtection="1">
      <alignment horizontal="left" vertical="center"/>
      <protection hidden="1"/>
    </xf>
    <xf numFmtId="0" fontId="9" fillId="231" borderId="38" xfId="0" applyFont="1" applyFill="1" applyBorder="1" applyAlignment="1" applyProtection="1">
      <alignment horizontal="left" vertical="center"/>
      <protection hidden="1"/>
    </xf>
    <xf numFmtId="0" fontId="47" fillId="231" borderId="39" xfId="0" applyFont="1" applyFill="1" applyBorder="1" applyAlignment="1" applyProtection="1">
      <alignment horizontal="left" vertical="center"/>
      <protection hidden="1"/>
    </xf>
    <xf numFmtId="0" fontId="9" fillId="213" borderId="0" xfId="0" applyFont="1" applyFill="1" applyAlignment="1" applyProtection="1">
      <alignment vertical="center"/>
      <protection hidden="1"/>
    </xf>
    <xf numFmtId="0" fontId="9" fillId="213" borderId="3" xfId="0" applyFont="1" applyFill="1" applyBorder="1" applyAlignment="1" applyProtection="1">
      <alignment horizontal="center" vertical="center"/>
      <protection hidden="1"/>
    </xf>
    <xf numFmtId="0" fontId="9" fillId="213" borderId="6" xfId="0" applyFont="1" applyFill="1" applyBorder="1" applyAlignment="1" applyProtection="1">
      <alignment horizontal="center" vertical="center"/>
      <protection hidden="1"/>
    </xf>
    <xf numFmtId="165" fontId="9" fillId="213" borderId="6" xfId="0" applyNumberFormat="1" applyFont="1" applyFill="1" applyBorder="1" applyAlignment="1" applyProtection="1">
      <alignment horizontal="center" vertical="center"/>
      <protection hidden="1"/>
    </xf>
    <xf numFmtId="0" fontId="19" fillId="213" borderId="6" xfId="0" applyFont="1" applyFill="1" applyBorder="1" applyAlignment="1" applyProtection="1">
      <alignment horizontal="center" vertical="center"/>
      <protection hidden="1"/>
    </xf>
    <xf numFmtId="0" fontId="9" fillId="213" borderId="6" xfId="0" applyFont="1" applyFill="1" applyBorder="1" applyAlignment="1" applyProtection="1">
      <alignment vertical="center"/>
      <protection hidden="1"/>
    </xf>
    <xf numFmtId="0" fontId="9" fillId="213" borderId="2" xfId="0" applyFont="1" applyFill="1" applyBorder="1" applyAlignment="1" applyProtection="1">
      <alignment vertical="center"/>
      <protection hidden="1"/>
    </xf>
    <xf numFmtId="0" fontId="9" fillId="230" borderId="0" xfId="0" applyFont="1" applyFill="1" applyAlignment="1" applyProtection="1">
      <alignment vertical="center"/>
      <protection hidden="1"/>
    </xf>
    <xf numFmtId="0" fontId="9" fillId="230" borderId="3" xfId="0" applyFont="1" applyFill="1" applyBorder="1" applyAlignment="1" applyProtection="1">
      <alignment horizontal="center" vertical="center"/>
      <protection hidden="1"/>
    </xf>
    <xf numFmtId="0" fontId="9" fillId="230" borderId="6" xfId="0" applyFont="1" applyFill="1" applyBorder="1" applyAlignment="1" applyProtection="1">
      <alignment horizontal="center" vertical="center"/>
      <protection hidden="1"/>
    </xf>
    <xf numFmtId="165" fontId="9" fillId="230" borderId="6" xfId="0" applyNumberFormat="1" applyFont="1" applyFill="1" applyBorder="1" applyAlignment="1" applyProtection="1">
      <alignment horizontal="center" vertical="center"/>
      <protection hidden="1"/>
    </xf>
    <xf numFmtId="0" fontId="19" fillId="230" borderId="6" xfId="0" applyFont="1" applyFill="1" applyBorder="1" applyAlignment="1" applyProtection="1">
      <alignment horizontal="center" vertical="center"/>
      <protection hidden="1"/>
    </xf>
    <xf numFmtId="0" fontId="9" fillId="230" borderId="6" xfId="0" applyFont="1" applyFill="1" applyBorder="1" applyAlignment="1" applyProtection="1">
      <alignment vertical="center"/>
      <protection hidden="1"/>
    </xf>
    <xf numFmtId="0" fontId="9" fillId="230" borderId="2" xfId="0" applyFont="1" applyFill="1" applyBorder="1" applyAlignment="1" applyProtection="1">
      <alignment vertical="center"/>
      <protection hidden="1"/>
    </xf>
    <xf numFmtId="0" fontId="9" fillId="232" borderId="35" xfId="0" applyFont="1" applyFill="1" applyBorder="1" applyAlignment="1" applyProtection="1">
      <alignment horizontal="left" vertical="center"/>
      <protection hidden="1"/>
    </xf>
    <xf numFmtId="0" fontId="9" fillId="232" borderId="36" xfId="0" applyFont="1" applyFill="1" applyBorder="1" applyAlignment="1" applyProtection="1">
      <alignment vertical="center"/>
      <protection hidden="1"/>
    </xf>
    <xf numFmtId="0" fontId="9" fillId="232" borderId="36" xfId="0" applyFont="1" applyFill="1" applyBorder="1" applyAlignment="1" applyProtection="1">
      <alignment horizontal="center" vertical="center"/>
      <protection hidden="1"/>
    </xf>
    <xf numFmtId="0" fontId="19" fillId="232" borderId="36" xfId="0" applyFont="1" applyFill="1" applyBorder="1" applyAlignment="1" applyProtection="1">
      <alignment horizontal="center" vertical="center"/>
      <protection hidden="1"/>
    </xf>
    <xf numFmtId="0" fontId="9" fillId="232" borderId="36" xfId="0" applyFont="1" applyFill="1" applyBorder="1" applyAlignment="1" applyProtection="1">
      <alignment horizontal="left" vertical="center"/>
      <protection hidden="1"/>
    </xf>
    <xf numFmtId="0" fontId="9" fillId="232" borderId="37" xfId="0" applyFont="1" applyFill="1" applyBorder="1" applyAlignment="1" applyProtection="1">
      <alignment horizontal="left" vertical="center"/>
      <protection hidden="1"/>
    </xf>
    <xf numFmtId="0" fontId="12" fillId="232" borderId="47" xfId="0" applyFont="1" applyFill="1" applyBorder="1" applyAlignment="1" applyProtection="1">
      <alignment horizontal="left" vertical="center"/>
      <protection hidden="1"/>
    </xf>
    <xf numFmtId="0" fontId="9" fillId="232" borderId="0" xfId="0" applyFont="1" applyFill="1" applyBorder="1" applyAlignment="1" applyProtection="1">
      <alignment horizontal="left" vertical="center"/>
      <protection hidden="1"/>
    </xf>
    <xf numFmtId="0" fontId="9" fillId="232" borderId="0" xfId="0" applyFont="1" applyFill="1" applyBorder="1" applyAlignment="1" applyProtection="1">
      <alignment horizontal="center" vertical="center"/>
      <protection hidden="1"/>
    </xf>
    <xf numFmtId="0" fontId="23" fillId="232" borderId="0" xfId="0" applyFont="1" applyFill="1" applyBorder="1" applyAlignment="1" applyProtection="1">
      <alignment horizontal="center" vertical="center"/>
      <protection hidden="1"/>
    </xf>
    <xf numFmtId="0" fontId="9" fillId="232" borderId="48" xfId="0" applyFont="1" applyFill="1" applyBorder="1" applyAlignment="1" applyProtection="1">
      <alignment horizontal="left" vertical="center"/>
      <protection hidden="1"/>
    </xf>
    <xf numFmtId="0" fontId="9" fillId="232" borderId="47" xfId="0" applyFont="1" applyFill="1" applyBorder="1" applyAlignment="1" applyProtection="1">
      <alignment horizontal="left" vertical="center"/>
      <protection hidden="1"/>
    </xf>
    <xf numFmtId="0" fontId="9" fillId="232" borderId="0" xfId="0" applyFont="1" applyFill="1" applyBorder="1" applyAlignment="1" applyProtection="1">
      <alignment vertical="center"/>
      <protection hidden="1"/>
    </xf>
    <xf numFmtId="0" fontId="19" fillId="232" borderId="0" xfId="0" applyFont="1" applyFill="1" applyBorder="1" applyAlignment="1" applyProtection="1">
      <alignment horizontal="center" vertical="center"/>
      <protection hidden="1"/>
    </xf>
    <xf numFmtId="0" fontId="9" fillId="232" borderId="38" xfId="0" applyFont="1" applyFill="1" applyBorder="1" applyAlignment="1" applyProtection="1">
      <alignment horizontal="left" vertical="center"/>
      <protection hidden="1"/>
    </xf>
    <xf numFmtId="0" fontId="9" fillId="232" borderId="23" xfId="0" applyFont="1" applyFill="1" applyBorder="1" applyAlignment="1" applyProtection="1">
      <alignment horizontal="left" vertical="center"/>
      <protection hidden="1"/>
    </xf>
    <xf numFmtId="0" fontId="9" fillId="232" borderId="39" xfId="0" applyFont="1" applyFill="1" applyBorder="1" applyAlignment="1" applyProtection="1">
      <alignment horizontal="left" vertical="center"/>
      <protection hidden="1"/>
    </xf>
    <xf numFmtId="0" fontId="23" fillId="233" borderId="0" xfId="0" applyFont="1" applyFill="1" applyAlignment="1" applyProtection="1">
      <alignment horizontal="center" vertical="center"/>
      <protection hidden="1"/>
    </xf>
    <xf numFmtId="0" fontId="9" fillId="233" borderId="38" xfId="0" applyFont="1" applyFill="1" applyBorder="1" applyAlignment="1" applyProtection="1">
      <alignment horizontal="left" vertical="center"/>
      <protection hidden="1"/>
    </xf>
    <xf numFmtId="0" fontId="9" fillId="233" borderId="23" xfId="0" applyFont="1" applyFill="1" applyBorder="1" applyAlignment="1" applyProtection="1">
      <alignment horizontal="left" vertical="center"/>
      <protection hidden="1"/>
    </xf>
    <xf numFmtId="165" fontId="9" fillId="233" borderId="23" xfId="0" applyNumberFormat="1" applyFont="1" applyFill="1" applyBorder="1" applyAlignment="1" applyProtection="1">
      <alignment horizontal="left" vertical="center"/>
      <protection hidden="1"/>
    </xf>
    <xf numFmtId="0" fontId="23" fillId="233" borderId="23" xfId="0" applyFont="1" applyFill="1" applyBorder="1" applyAlignment="1" applyProtection="1">
      <alignment horizontal="center" vertical="center"/>
      <protection hidden="1"/>
    </xf>
    <xf numFmtId="0" fontId="23" fillId="233" borderId="39" xfId="0" applyFont="1" applyFill="1" applyBorder="1" applyAlignment="1" applyProtection="1">
      <alignment horizontal="center" vertical="center"/>
      <protection hidden="1"/>
    </xf>
    <xf numFmtId="0" fontId="9" fillId="233" borderId="0" xfId="0" applyFont="1" applyFill="1" applyBorder="1" applyAlignment="1" applyProtection="1">
      <alignment horizontal="center" vertical="center"/>
      <protection hidden="1"/>
    </xf>
    <xf numFmtId="0" fontId="23" fillId="233" borderId="0" xfId="0" applyFont="1" applyFill="1" applyBorder="1" applyAlignment="1" applyProtection="1">
      <alignment horizontal="center" vertical="center"/>
      <protection hidden="1"/>
    </xf>
    <xf numFmtId="0" fontId="23" fillId="233" borderId="48" xfId="0" applyFont="1" applyFill="1" applyBorder="1" applyAlignment="1" applyProtection="1">
      <alignment horizontal="center" vertical="center"/>
      <protection hidden="1"/>
    </xf>
    <xf numFmtId="0" fontId="9" fillId="233" borderId="47" xfId="0" applyFont="1" applyFill="1" applyBorder="1" applyAlignment="1" applyProtection="1">
      <alignment horizontal="center" vertical="center"/>
      <protection hidden="1"/>
    </xf>
    <xf numFmtId="165" fontId="9" fillId="233" borderId="36" xfId="0" applyNumberFormat="1" applyFont="1" applyFill="1" applyBorder="1" applyAlignment="1" applyProtection="1">
      <alignment horizontal="center" vertical="center"/>
      <protection hidden="1"/>
    </xf>
    <xf numFmtId="0" fontId="19" fillId="233" borderId="0" xfId="0" applyFont="1" applyFill="1" applyBorder="1" applyAlignment="1" applyProtection="1">
      <alignment horizontal="center" vertical="center"/>
      <protection hidden="1"/>
    </xf>
    <xf numFmtId="0" fontId="9" fillId="233" borderId="35" xfId="0" applyFont="1" applyFill="1" applyBorder="1" applyAlignment="1" applyProtection="1">
      <alignment horizontal="center" vertical="center"/>
      <protection hidden="1"/>
    </xf>
    <xf numFmtId="0" fontId="9" fillId="233" borderId="36" xfId="0" applyFont="1" applyFill="1" applyBorder="1" applyAlignment="1" applyProtection="1">
      <alignment horizontal="center" vertical="center"/>
      <protection hidden="1"/>
    </xf>
    <xf numFmtId="0" fontId="19" fillId="233" borderId="36" xfId="0" applyFont="1" applyFill="1" applyBorder="1" applyAlignment="1" applyProtection="1">
      <alignment horizontal="center" vertical="center"/>
      <protection hidden="1"/>
    </xf>
    <xf numFmtId="0" fontId="23" fillId="233" borderId="36" xfId="0" applyFont="1" applyFill="1" applyBorder="1" applyAlignment="1" applyProtection="1">
      <alignment horizontal="center" vertical="center"/>
      <protection hidden="1"/>
    </xf>
    <xf numFmtId="0" fontId="23" fillId="233" borderId="37" xfId="0" applyFont="1" applyFill="1" applyBorder="1" applyAlignment="1" applyProtection="1">
      <alignment horizontal="center" vertical="center"/>
      <protection hidden="1"/>
    </xf>
    <xf numFmtId="0" fontId="9" fillId="234" borderId="35" xfId="0" applyFont="1" applyFill="1" applyBorder="1" applyAlignment="1" applyProtection="1">
      <alignment horizontal="left" vertical="center"/>
      <protection hidden="1"/>
    </xf>
    <xf numFmtId="0" fontId="9" fillId="234" borderId="36" xfId="0" applyFont="1" applyFill="1" applyBorder="1" applyAlignment="1" applyProtection="1">
      <alignment vertical="center"/>
      <protection hidden="1"/>
    </xf>
    <xf numFmtId="0" fontId="9" fillId="234" borderId="36" xfId="0" applyFont="1" applyFill="1" applyBorder="1" applyAlignment="1" applyProtection="1">
      <alignment horizontal="center" vertical="center"/>
      <protection hidden="1"/>
    </xf>
    <xf numFmtId="0" fontId="19" fillId="234" borderId="36" xfId="0" applyFont="1" applyFill="1" applyBorder="1" applyAlignment="1" applyProtection="1">
      <alignment horizontal="center" vertical="center"/>
      <protection hidden="1"/>
    </xf>
    <xf numFmtId="0" fontId="9" fillId="234" borderId="36" xfId="0" applyFont="1" applyFill="1" applyBorder="1" applyAlignment="1" applyProtection="1">
      <alignment horizontal="left" vertical="center"/>
      <protection hidden="1"/>
    </xf>
    <xf numFmtId="0" fontId="9" fillId="234" borderId="37" xfId="0" applyFont="1" applyFill="1" applyBorder="1" applyAlignment="1" applyProtection="1">
      <alignment horizontal="left" vertical="center"/>
      <protection hidden="1"/>
    </xf>
    <xf numFmtId="0" fontId="12" fillId="234" borderId="47" xfId="0" applyFont="1" applyFill="1" applyBorder="1" applyAlignment="1" applyProtection="1">
      <alignment horizontal="left" vertical="center"/>
      <protection hidden="1"/>
    </xf>
    <xf numFmtId="0" fontId="9" fillId="234" borderId="0" xfId="0" applyFont="1" applyFill="1" applyBorder="1" applyAlignment="1" applyProtection="1">
      <alignment horizontal="left" vertical="center"/>
      <protection hidden="1"/>
    </xf>
    <xf numFmtId="0" fontId="9" fillId="234" borderId="0" xfId="0" applyFont="1" applyFill="1" applyBorder="1" applyAlignment="1" applyProtection="1">
      <alignment horizontal="center" vertical="center"/>
      <protection hidden="1"/>
    </xf>
    <xf numFmtId="0" fontId="23" fillId="234" borderId="0" xfId="0" applyFont="1" applyFill="1" applyBorder="1" applyAlignment="1" applyProtection="1">
      <alignment horizontal="center" vertical="center"/>
      <protection hidden="1"/>
    </xf>
    <xf numFmtId="0" fontId="9" fillId="234" borderId="48" xfId="0" applyFont="1" applyFill="1" applyBorder="1" applyAlignment="1" applyProtection="1">
      <alignment horizontal="left" vertical="center"/>
      <protection hidden="1"/>
    </xf>
    <xf numFmtId="0" fontId="9" fillId="234" borderId="38" xfId="0" applyFont="1" applyFill="1" applyBorder="1" applyAlignment="1" applyProtection="1">
      <alignment horizontal="left" vertical="center"/>
      <protection hidden="1"/>
    </xf>
    <xf numFmtId="0" fontId="9" fillId="234" borderId="23" xfId="0" applyFont="1" applyFill="1" applyBorder="1" applyAlignment="1" applyProtection="1">
      <alignment horizontal="left" vertical="center"/>
      <protection hidden="1"/>
    </xf>
    <xf numFmtId="0" fontId="9" fillId="234" borderId="39" xfId="0" applyFont="1" applyFill="1" applyBorder="1" applyAlignment="1" applyProtection="1">
      <alignment horizontal="left" vertical="center"/>
      <protection hidden="1"/>
    </xf>
    <xf numFmtId="0" fontId="23" fillId="234" borderId="0" xfId="0" applyFont="1" applyFill="1" applyAlignment="1" applyProtection="1">
      <alignment horizontal="center" vertical="center"/>
      <protection hidden="1"/>
    </xf>
    <xf numFmtId="165" fontId="9" fillId="234" borderId="23" xfId="0" applyNumberFormat="1" applyFont="1" applyFill="1" applyBorder="1" applyAlignment="1" applyProtection="1">
      <alignment horizontal="left" vertical="center"/>
      <protection hidden="1"/>
    </xf>
    <xf numFmtId="0" fontId="23" fillId="234" borderId="23" xfId="0" applyFont="1" applyFill="1" applyBorder="1" applyAlignment="1" applyProtection="1">
      <alignment horizontal="center" vertical="center"/>
      <protection hidden="1"/>
    </xf>
    <xf numFmtId="0" fontId="23" fillId="234" borderId="39" xfId="0" applyFont="1" applyFill="1" applyBorder="1" applyAlignment="1" applyProtection="1">
      <alignment horizontal="center" vertical="center"/>
      <protection hidden="1"/>
    </xf>
    <xf numFmtId="0" fontId="23" fillId="234" borderId="48" xfId="0" applyFont="1" applyFill="1" applyBorder="1" applyAlignment="1" applyProtection="1">
      <alignment horizontal="center" vertical="center"/>
      <protection hidden="1"/>
    </xf>
    <xf numFmtId="0" fontId="9" fillId="234" borderId="47" xfId="0" applyFont="1" applyFill="1" applyBorder="1" applyAlignment="1" applyProtection="1">
      <alignment horizontal="center" vertical="center"/>
      <protection hidden="1"/>
    </xf>
    <xf numFmtId="0" fontId="9" fillId="234" borderId="35" xfId="0" applyFont="1" applyFill="1" applyBorder="1" applyAlignment="1" applyProtection="1">
      <alignment horizontal="center" vertical="center"/>
      <protection hidden="1"/>
    </xf>
    <xf numFmtId="165" fontId="9" fillId="234" borderId="36" xfId="0" applyNumberFormat="1" applyFont="1" applyFill="1" applyBorder="1" applyAlignment="1" applyProtection="1">
      <alignment horizontal="center" vertical="center"/>
      <protection hidden="1"/>
    </xf>
    <xf numFmtId="0" fontId="23" fillId="234" borderId="36" xfId="0" applyFont="1" applyFill="1" applyBorder="1" applyAlignment="1" applyProtection="1">
      <alignment horizontal="center" vertical="center"/>
      <protection hidden="1"/>
    </xf>
    <xf numFmtId="0" fontId="23" fillId="234" borderId="37" xfId="0" applyFont="1" applyFill="1" applyBorder="1" applyAlignment="1" applyProtection="1">
      <alignment horizontal="center" vertical="center"/>
      <protection hidden="1"/>
    </xf>
    <xf numFmtId="0" fontId="9" fillId="235" borderId="35" xfId="0" applyFont="1" applyFill="1" applyBorder="1" applyAlignment="1" applyProtection="1">
      <alignment horizontal="left" vertical="center"/>
      <protection hidden="1"/>
    </xf>
    <xf numFmtId="0" fontId="9" fillId="235" borderId="36" xfId="0" applyFont="1" applyFill="1" applyBorder="1" applyAlignment="1" applyProtection="1">
      <alignment vertical="center"/>
      <protection hidden="1"/>
    </xf>
    <xf numFmtId="0" fontId="9" fillId="235" borderId="36" xfId="0" applyFont="1" applyFill="1" applyBorder="1" applyAlignment="1" applyProtection="1">
      <alignment horizontal="center" vertical="center"/>
      <protection hidden="1"/>
    </xf>
    <xf numFmtId="0" fontId="19" fillId="235" borderId="36" xfId="0" applyFont="1" applyFill="1" applyBorder="1" applyAlignment="1" applyProtection="1">
      <alignment horizontal="center" vertical="center"/>
      <protection hidden="1"/>
    </xf>
    <xf numFmtId="0" fontId="9" fillId="235" borderId="36" xfId="0" applyFont="1" applyFill="1" applyBorder="1" applyAlignment="1" applyProtection="1">
      <alignment horizontal="left" vertical="center"/>
      <protection hidden="1"/>
    </xf>
    <xf numFmtId="0" fontId="9" fillId="235" borderId="37" xfId="0" applyFont="1" applyFill="1" applyBorder="1" applyAlignment="1" applyProtection="1">
      <alignment horizontal="left" vertical="center"/>
      <protection hidden="1"/>
    </xf>
    <xf numFmtId="0" fontId="12" fillId="235" borderId="47" xfId="0" applyFont="1" applyFill="1" applyBorder="1" applyAlignment="1" applyProtection="1">
      <alignment horizontal="left" vertical="center"/>
      <protection hidden="1"/>
    </xf>
    <xf numFmtId="0" fontId="9" fillId="235" borderId="0" xfId="0" applyFont="1" applyFill="1" applyBorder="1" applyAlignment="1" applyProtection="1">
      <alignment horizontal="left" vertical="center"/>
      <protection hidden="1"/>
    </xf>
    <xf numFmtId="0" fontId="9" fillId="235" borderId="0" xfId="0" applyFont="1" applyFill="1" applyBorder="1" applyAlignment="1" applyProtection="1">
      <alignment horizontal="center" vertical="center"/>
      <protection hidden="1"/>
    </xf>
    <xf numFmtId="0" fontId="23" fillId="235" borderId="0" xfId="0" applyFont="1" applyFill="1" applyBorder="1" applyAlignment="1" applyProtection="1">
      <alignment horizontal="center" vertical="center"/>
      <protection hidden="1"/>
    </xf>
    <xf numFmtId="0" fontId="9" fillId="235" borderId="48" xfId="0" applyFont="1" applyFill="1" applyBorder="1" applyAlignment="1" applyProtection="1">
      <alignment horizontal="left" vertical="center"/>
      <protection hidden="1"/>
    </xf>
    <xf numFmtId="0" fontId="9" fillId="235" borderId="38" xfId="0" applyFont="1" applyFill="1" applyBorder="1" applyAlignment="1" applyProtection="1">
      <alignment horizontal="left" vertical="center"/>
      <protection hidden="1"/>
    </xf>
    <xf numFmtId="0" fontId="9" fillId="235" borderId="23" xfId="0" applyFont="1" applyFill="1" applyBorder="1" applyAlignment="1" applyProtection="1">
      <alignment horizontal="left" vertical="center"/>
      <protection hidden="1"/>
    </xf>
    <xf numFmtId="0" fontId="9" fillId="235" borderId="39" xfId="0" applyFont="1" applyFill="1" applyBorder="1" applyAlignment="1" applyProtection="1">
      <alignment horizontal="left" vertical="center"/>
      <protection hidden="1"/>
    </xf>
    <xf numFmtId="0" fontId="23" fillId="235" borderId="0" xfId="0" applyFont="1" applyFill="1" applyAlignment="1" applyProtection="1">
      <alignment horizontal="center" vertical="center"/>
      <protection hidden="1"/>
    </xf>
    <xf numFmtId="165" fontId="9" fillId="235" borderId="23" xfId="0" applyNumberFormat="1" applyFont="1" applyFill="1" applyBorder="1" applyAlignment="1" applyProtection="1">
      <alignment horizontal="left" vertical="center"/>
      <protection hidden="1"/>
    </xf>
    <xf numFmtId="0" fontId="23" fillId="235" borderId="23" xfId="0" applyFont="1" applyFill="1" applyBorder="1" applyAlignment="1" applyProtection="1">
      <alignment horizontal="center" vertical="center"/>
      <protection hidden="1"/>
    </xf>
    <xf numFmtId="0" fontId="23" fillId="235" borderId="39" xfId="0" applyFont="1" applyFill="1" applyBorder="1" applyAlignment="1" applyProtection="1">
      <alignment horizontal="center" vertical="center"/>
      <protection hidden="1"/>
    </xf>
    <xf numFmtId="0" fontId="23" fillId="235" borderId="48" xfId="0" applyFont="1" applyFill="1" applyBorder="1" applyAlignment="1" applyProtection="1">
      <alignment horizontal="center" vertical="center"/>
      <protection hidden="1"/>
    </xf>
    <xf numFmtId="0" fontId="9" fillId="235" borderId="47" xfId="0" applyFont="1" applyFill="1" applyBorder="1" applyAlignment="1" applyProtection="1">
      <alignment horizontal="center" vertical="center"/>
      <protection hidden="1"/>
    </xf>
    <xf numFmtId="0" fontId="9" fillId="235" borderId="35" xfId="0" applyFont="1" applyFill="1" applyBorder="1" applyAlignment="1" applyProtection="1">
      <alignment horizontal="center" vertical="center"/>
      <protection hidden="1"/>
    </xf>
    <xf numFmtId="165" fontId="9" fillId="235" borderId="36" xfId="0" applyNumberFormat="1" applyFont="1" applyFill="1" applyBorder="1" applyAlignment="1" applyProtection="1">
      <alignment horizontal="center" vertical="center"/>
      <protection hidden="1"/>
    </xf>
    <xf numFmtId="0" fontId="23" fillId="235" borderId="36" xfId="0" applyFont="1" applyFill="1" applyBorder="1" applyAlignment="1" applyProtection="1">
      <alignment horizontal="center" vertical="center"/>
      <protection hidden="1"/>
    </xf>
    <xf numFmtId="0" fontId="23" fillId="235" borderId="37" xfId="0" applyFont="1" applyFill="1" applyBorder="1" applyAlignment="1" applyProtection="1">
      <alignment horizontal="center" vertical="center"/>
      <protection hidden="1"/>
    </xf>
    <xf numFmtId="0" fontId="9" fillId="226" borderId="0" xfId="0" applyFont="1" applyFill="1" applyAlignment="1" applyProtection="1">
      <alignment vertical="center"/>
      <protection hidden="1"/>
    </xf>
    <xf numFmtId="0" fontId="9" fillId="226" borderId="3" xfId="0" applyFont="1" applyFill="1" applyBorder="1" applyAlignment="1" applyProtection="1">
      <alignment horizontal="center" vertical="center"/>
      <protection hidden="1"/>
    </xf>
    <xf numFmtId="0" fontId="9" fillId="226" borderId="6" xfId="0" applyFont="1" applyFill="1" applyBorder="1" applyAlignment="1" applyProtection="1">
      <alignment horizontal="center" vertical="center"/>
      <protection hidden="1"/>
    </xf>
    <xf numFmtId="165" fontId="9" fillId="226" borderId="6" xfId="0" applyNumberFormat="1" applyFont="1" applyFill="1" applyBorder="1" applyAlignment="1" applyProtection="1">
      <alignment horizontal="center" vertical="center"/>
      <protection hidden="1"/>
    </xf>
    <xf numFmtId="0" fontId="19" fillId="226" borderId="6" xfId="0" applyFont="1" applyFill="1" applyBorder="1" applyAlignment="1" applyProtection="1">
      <alignment horizontal="center" vertical="center"/>
      <protection hidden="1"/>
    </xf>
    <xf numFmtId="0" fontId="9" fillId="226" borderId="6" xfId="0" applyFont="1" applyFill="1" applyBorder="1" applyAlignment="1" applyProtection="1">
      <alignment vertical="center"/>
      <protection hidden="1"/>
    </xf>
    <xf numFmtId="0" fontId="9" fillId="226" borderId="2" xfId="0" applyFont="1" applyFill="1" applyBorder="1" applyAlignment="1" applyProtection="1">
      <alignment vertical="center"/>
      <protection hidden="1"/>
    </xf>
    <xf numFmtId="0" fontId="9" fillId="231" borderId="3" xfId="0" applyFont="1" applyFill="1" applyBorder="1" applyAlignment="1" applyProtection="1">
      <alignment horizontal="center" vertical="center"/>
      <protection hidden="1"/>
    </xf>
    <xf numFmtId="0" fontId="9" fillId="231" borderId="6" xfId="0" applyFont="1" applyFill="1" applyBorder="1" applyAlignment="1" applyProtection="1">
      <alignment horizontal="center" vertical="center"/>
      <protection hidden="1"/>
    </xf>
    <xf numFmtId="165" fontId="9" fillId="231" borderId="6" xfId="0" applyNumberFormat="1" applyFont="1" applyFill="1" applyBorder="1" applyAlignment="1" applyProtection="1">
      <alignment horizontal="center" vertical="center"/>
      <protection hidden="1"/>
    </xf>
    <xf numFmtId="0" fontId="19" fillId="231" borderId="6" xfId="0" applyFont="1" applyFill="1" applyBorder="1" applyAlignment="1" applyProtection="1">
      <alignment horizontal="center" vertical="center"/>
      <protection hidden="1"/>
    </xf>
    <xf numFmtId="0" fontId="9" fillId="231" borderId="6" xfId="0" applyFont="1" applyFill="1" applyBorder="1" applyAlignment="1" applyProtection="1">
      <alignment vertical="center"/>
      <protection hidden="1"/>
    </xf>
    <xf numFmtId="0" fontId="9" fillId="231" borderId="2" xfId="0" applyFont="1" applyFill="1" applyBorder="1" applyAlignment="1" applyProtection="1">
      <alignment vertical="center"/>
      <protection hidden="1"/>
    </xf>
    <xf numFmtId="0" fontId="9" fillId="231" borderId="0" xfId="0" applyFont="1" applyFill="1" applyAlignment="1" applyProtection="1">
      <alignment vertical="center"/>
      <protection hidden="1"/>
    </xf>
    <xf numFmtId="0" fontId="9" fillId="236" borderId="35" xfId="0" applyFont="1" applyFill="1" applyBorder="1" applyAlignment="1" applyProtection="1">
      <alignment horizontal="left" vertical="center"/>
      <protection hidden="1"/>
    </xf>
    <xf numFmtId="0" fontId="9" fillId="236" borderId="36" xfId="0" applyFont="1" applyFill="1" applyBorder="1" applyAlignment="1" applyProtection="1">
      <alignment vertical="center"/>
      <protection hidden="1"/>
    </xf>
    <xf numFmtId="0" fontId="9" fillId="236" borderId="36" xfId="0" applyFont="1" applyFill="1" applyBorder="1" applyAlignment="1" applyProtection="1">
      <alignment horizontal="center" vertical="center"/>
      <protection hidden="1"/>
    </xf>
    <xf numFmtId="0" fontId="19" fillId="236" borderId="36" xfId="0" applyFont="1" applyFill="1" applyBorder="1" applyAlignment="1" applyProtection="1">
      <alignment horizontal="center" vertical="center"/>
      <protection hidden="1"/>
    </xf>
    <xf numFmtId="0" fontId="9" fillId="236" borderId="36" xfId="0" applyFont="1" applyFill="1" applyBorder="1" applyAlignment="1" applyProtection="1">
      <alignment horizontal="left" vertical="center"/>
      <protection hidden="1"/>
    </xf>
    <xf numFmtId="0" fontId="9" fillId="236" borderId="37" xfId="0" applyFont="1" applyFill="1" applyBorder="1" applyAlignment="1" applyProtection="1">
      <alignment horizontal="left" vertical="center"/>
      <protection hidden="1"/>
    </xf>
    <xf numFmtId="0" fontId="12" fillId="236" borderId="47" xfId="0" applyFont="1" applyFill="1" applyBorder="1" applyAlignment="1" applyProtection="1">
      <alignment horizontal="left" vertical="center"/>
      <protection hidden="1"/>
    </xf>
    <xf numFmtId="0" fontId="9" fillId="236" borderId="0" xfId="0" applyFont="1" applyFill="1" applyBorder="1" applyAlignment="1" applyProtection="1">
      <alignment horizontal="left" vertical="center"/>
      <protection hidden="1"/>
    </xf>
    <xf numFmtId="0" fontId="9" fillId="236" borderId="0" xfId="0" applyFont="1" applyFill="1" applyBorder="1" applyAlignment="1" applyProtection="1">
      <alignment horizontal="center" vertical="center"/>
      <protection hidden="1"/>
    </xf>
    <xf numFmtId="0" fontId="23" fillId="236" borderId="0" xfId="0" applyFont="1" applyFill="1" applyBorder="1" applyAlignment="1" applyProtection="1">
      <alignment horizontal="center" vertical="center"/>
      <protection hidden="1"/>
    </xf>
    <xf numFmtId="0" fontId="9" fillId="236" borderId="48" xfId="0" applyFont="1" applyFill="1" applyBorder="1" applyAlignment="1" applyProtection="1">
      <alignment horizontal="left" vertical="center"/>
      <protection hidden="1"/>
    </xf>
    <xf numFmtId="0" fontId="9" fillId="236" borderId="47" xfId="0" applyFont="1" applyFill="1" applyBorder="1" applyAlignment="1" applyProtection="1">
      <alignment horizontal="left" vertical="center"/>
      <protection hidden="1"/>
    </xf>
    <xf numFmtId="0" fontId="9" fillId="236" borderId="0" xfId="0" applyFont="1" applyFill="1" applyBorder="1" applyAlignment="1" applyProtection="1">
      <alignment vertical="center"/>
      <protection hidden="1"/>
    </xf>
    <xf numFmtId="0" fontId="19" fillId="236" borderId="0" xfId="0" applyFont="1" applyFill="1" applyBorder="1" applyAlignment="1" applyProtection="1">
      <alignment horizontal="center" vertical="center"/>
      <protection hidden="1"/>
    </xf>
    <xf numFmtId="0" fontId="9" fillId="236" borderId="38" xfId="0" applyFont="1" applyFill="1" applyBorder="1" applyAlignment="1" applyProtection="1">
      <alignment horizontal="left" vertical="center"/>
      <protection hidden="1"/>
    </xf>
    <xf numFmtId="0" fontId="9" fillId="236" borderId="23" xfId="0" applyFont="1" applyFill="1" applyBorder="1" applyAlignment="1" applyProtection="1">
      <alignment horizontal="left" vertical="center"/>
      <protection hidden="1"/>
    </xf>
    <xf numFmtId="0" fontId="9" fillId="236" borderId="39" xfId="0" applyFont="1" applyFill="1" applyBorder="1" applyAlignment="1" applyProtection="1">
      <alignment horizontal="left" vertical="center"/>
      <protection hidden="1"/>
    </xf>
    <xf numFmtId="165" fontId="9" fillId="236" borderId="23" xfId="0" applyNumberFormat="1" applyFont="1" applyFill="1" applyBorder="1" applyAlignment="1" applyProtection="1">
      <alignment horizontal="left" vertical="center"/>
      <protection hidden="1"/>
    </xf>
    <xf numFmtId="0" fontId="23" fillId="236" borderId="23" xfId="0" applyFont="1" applyFill="1" applyBorder="1" applyAlignment="1" applyProtection="1">
      <alignment horizontal="center" vertical="center"/>
      <protection hidden="1"/>
    </xf>
    <xf numFmtId="0" fontId="23" fillId="236" borderId="39" xfId="0" applyFont="1" applyFill="1" applyBorder="1" applyAlignment="1" applyProtection="1">
      <alignment horizontal="center" vertical="center"/>
      <protection hidden="1"/>
    </xf>
    <xf numFmtId="0" fontId="23" fillId="236" borderId="0" xfId="0" applyFont="1" applyFill="1" applyAlignment="1" applyProtection="1">
      <alignment horizontal="center" vertical="center"/>
      <protection hidden="1"/>
    </xf>
    <xf numFmtId="0" fontId="23" fillId="236" borderId="48" xfId="0" applyFont="1" applyFill="1" applyBorder="1" applyAlignment="1" applyProtection="1">
      <alignment horizontal="center" vertical="center"/>
      <protection hidden="1"/>
    </xf>
    <xf numFmtId="0" fontId="9" fillId="236" borderId="47" xfId="0" applyFont="1" applyFill="1" applyBorder="1" applyAlignment="1" applyProtection="1">
      <alignment horizontal="center" vertical="center"/>
      <protection hidden="1"/>
    </xf>
    <xf numFmtId="165" fontId="9" fillId="236" borderId="36" xfId="0" applyNumberFormat="1" applyFont="1" applyFill="1" applyBorder="1" applyAlignment="1" applyProtection="1">
      <alignment horizontal="center" vertical="center"/>
      <protection hidden="1"/>
    </xf>
    <xf numFmtId="0" fontId="9" fillId="236" borderId="35" xfId="0" applyFont="1" applyFill="1" applyBorder="1" applyAlignment="1" applyProtection="1">
      <alignment horizontal="center" vertical="center"/>
      <protection hidden="1"/>
    </xf>
    <xf numFmtId="0" fontId="23" fillId="236" borderId="36" xfId="0" applyFont="1" applyFill="1" applyBorder="1" applyAlignment="1" applyProtection="1">
      <alignment horizontal="center" vertical="center"/>
      <protection hidden="1"/>
    </xf>
    <xf numFmtId="0" fontId="23" fillId="236" borderId="37" xfId="0" applyFont="1" applyFill="1" applyBorder="1" applyAlignment="1" applyProtection="1">
      <alignment horizontal="center" vertical="center"/>
      <protection hidden="1"/>
    </xf>
    <xf numFmtId="0" fontId="9" fillId="208" borderId="3" xfId="0" applyFont="1" applyFill="1" applyBorder="1" applyAlignment="1" applyProtection="1">
      <alignment horizontal="center" vertical="center"/>
      <protection hidden="1"/>
    </xf>
    <xf numFmtId="0" fontId="9" fillId="208" borderId="6" xfId="0" applyFont="1" applyFill="1" applyBorder="1" applyAlignment="1" applyProtection="1">
      <alignment horizontal="center" vertical="center"/>
      <protection hidden="1"/>
    </xf>
    <xf numFmtId="165" fontId="9" fillId="208" borderId="6" xfId="0" applyNumberFormat="1" applyFont="1" applyFill="1" applyBorder="1" applyAlignment="1" applyProtection="1">
      <alignment horizontal="center" vertical="center"/>
      <protection hidden="1"/>
    </xf>
    <xf numFmtId="0" fontId="19" fillId="208" borderId="6" xfId="0" applyFont="1" applyFill="1" applyBorder="1" applyAlignment="1" applyProtection="1">
      <alignment horizontal="center" vertical="center"/>
      <protection hidden="1"/>
    </xf>
    <xf numFmtId="0" fontId="9" fillId="208" borderId="6" xfId="0" applyFont="1" applyFill="1" applyBorder="1" applyAlignment="1" applyProtection="1">
      <alignment vertical="center"/>
      <protection hidden="1"/>
    </xf>
    <xf numFmtId="0" fontId="9" fillId="208" borderId="2" xfId="0" applyFont="1" applyFill="1" applyBorder="1" applyAlignment="1" applyProtection="1">
      <alignment vertical="center"/>
      <protection hidden="1"/>
    </xf>
    <xf numFmtId="0" fontId="9" fillId="208" borderId="0" xfId="0" applyFont="1" applyFill="1" applyAlignment="1" applyProtection="1">
      <alignment vertical="center"/>
      <protection hidden="1"/>
    </xf>
    <xf numFmtId="0" fontId="9" fillId="237" borderId="35" xfId="0" applyFont="1" applyFill="1" applyBorder="1" applyAlignment="1" applyProtection="1">
      <alignment horizontal="left" vertical="center"/>
      <protection hidden="1"/>
    </xf>
    <xf numFmtId="0" fontId="9" fillId="237" borderId="36" xfId="0" applyFont="1" applyFill="1" applyBorder="1" applyAlignment="1" applyProtection="1">
      <alignment vertical="center"/>
      <protection hidden="1"/>
    </xf>
    <xf numFmtId="0" fontId="9" fillId="237" borderId="36" xfId="0" applyFont="1" applyFill="1" applyBorder="1" applyAlignment="1" applyProtection="1">
      <alignment horizontal="center" vertical="center"/>
      <protection hidden="1"/>
    </xf>
    <xf numFmtId="0" fontId="19" fillId="237" borderId="36" xfId="0" applyFont="1" applyFill="1" applyBorder="1" applyAlignment="1" applyProtection="1">
      <alignment horizontal="center" vertical="center"/>
      <protection hidden="1"/>
    </xf>
    <xf numFmtId="0" fontId="9" fillId="237" borderId="36" xfId="0" applyFont="1" applyFill="1" applyBorder="1" applyAlignment="1" applyProtection="1">
      <alignment horizontal="left" vertical="center"/>
      <protection hidden="1"/>
    </xf>
    <xf numFmtId="0" fontId="9" fillId="237" borderId="37" xfId="0" applyFont="1" applyFill="1" applyBorder="1" applyAlignment="1" applyProtection="1">
      <alignment horizontal="left" vertical="center"/>
      <protection hidden="1"/>
    </xf>
    <xf numFmtId="0" fontId="12" fillId="237" borderId="47" xfId="0" applyFont="1" applyFill="1" applyBorder="1" applyAlignment="1" applyProtection="1">
      <alignment horizontal="left" vertical="center"/>
      <protection hidden="1"/>
    </xf>
    <xf numFmtId="0" fontId="9" fillId="237" borderId="0" xfId="0" applyFont="1" applyFill="1" applyBorder="1" applyAlignment="1" applyProtection="1">
      <alignment horizontal="left" vertical="center"/>
      <protection hidden="1"/>
    </xf>
    <xf numFmtId="0" fontId="9" fillId="237" borderId="0" xfId="0" applyFont="1" applyFill="1" applyBorder="1" applyAlignment="1" applyProtection="1">
      <alignment horizontal="center" vertical="center"/>
      <protection hidden="1"/>
    </xf>
    <xf numFmtId="0" fontId="23" fillId="237" borderId="0" xfId="0" applyFont="1" applyFill="1" applyBorder="1" applyAlignment="1" applyProtection="1">
      <alignment horizontal="center" vertical="center"/>
      <protection hidden="1"/>
    </xf>
    <xf numFmtId="0" fontId="9" fillId="237" borderId="48" xfId="0" applyFont="1" applyFill="1" applyBorder="1" applyAlignment="1" applyProtection="1">
      <alignment horizontal="left" vertical="center"/>
      <protection hidden="1"/>
    </xf>
    <xf numFmtId="0" fontId="9" fillId="237" borderId="38" xfId="0" applyFont="1" applyFill="1" applyBorder="1" applyAlignment="1" applyProtection="1">
      <alignment horizontal="left" vertical="center"/>
      <protection hidden="1"/>
    </xf>
    <xf numFmtId="0" fontId="9" fillId="237" borderId="23" xfId="0" applyFont="1" applyFill="1" applyBorder="1" applyAlignment="1" applyProtection="1">
      <alignment horizontal="left" vertical="center"/>
      <protection hidden="1"/>
    </xf>
    <xf numFmtId="0" fontId="9" fillId="237" borderId="39" xfId="0" applyFont="1" applyFill="1" applyBorder="1" applyAlignment="1" applyProtection="1">
      <alignment horizontal="left" vertical="center"/>
      <protection hidden="1"/>
    </xf>
    <xf numFmtId="165" fontId="9" fillId="237" borderId="23" xfId="0" applyNumberFormat="1" applyFont="1" applyFill="1" applyBorder="1" applyAlignment="1" applyProtection="1">
      <alignment horizontal="left" vertical="center"/>
      <protection hidden="1"/>
    </xf>
    <xf numFmtId="0" fontId="23" fillId="237" borderId="23" xfId="0" applyFont="1" applyFill="1" applyBorder="1" applyAlignment="1" applyProtection="1">
      <alignment horizontal="center" vertical="center"/>
      <protection hidden="1"/>
    </xf>
    <xf numFmtId="0" fontId="23" fillId="237" borderId="39" xfId="0" applyFont="1" applyFill="1" applyBorder="1" applyAlignment="1" applyProtection="1">
      <alignment horizontal="center" vertical="center"/>
      <protection hidden="1"/>
    </xf>
    <xf numFmtId="0" fontId="23" fillId="237" borderId="0" xfId="0" applyFont="1" applyFill="1" applyAlignment="1" applyProtection="1">
      <alignment horizontal="center" vertical="center"/>
      <protection hidden="1"/>
    </xf>
    <xf numFmtId="0" fontId="23" fillId="237" borderId="48" xfId="0" applyFont="1" applyFill="1" applyBorder="1" applyAlignment="1" applyProtection="1">
      <alignment horizontal="center" vertical="center"/>
      <protection hidden="1"/>
    </xf>
    <xf numFmtId="0" fontId="9" fillId="237" borderId="47" xfId="0" applyFont="1" applyFill="1" applyBorder="1" applyAlignment="1" applyProtection="1">
      <alignment horizontal="center" vertical="center"/>
      <protection hidden="1"/>
    </xf>
    <xf numFmtId="0" fontId="9" fillId="237" borderId="35" xfId="0" applyFont="1" applyFill="1" applyBorder="1" applyAlignment="1" applyProtection="1">
      <alignment horizontal="center" vertical="center"/>
      <protection hidden="1"/>
    </xf>
    <xf numFmtId="165" fontId="9" fillId="237" borderId="36" xfId="0" applyNumberFormat="1" applyFont="1" applyFill="1" applyBorder="1" applyAlignment="1" applyProtection="1">
      <alignment horizontal="center" vertical="center"/>
      <protection hidden="1"/>
    </xf>
    <xf numFmtId="0" fontId="23" fillId="237" borderId="36" xfId="0" applyFont="1" applyFill="1" applyBorder="1" applyAlignment="1" applyProtection="1">
      <alignment horizontal="center" vertical="center"/>
      <protection hidden="1"/>
    </xf>
    <xf numFmtId="0" fontId="23" fillId="237" borderId="37" xfId="0" applyFont="1" applyFill="1" applyBorder="1" applyAlignment="1" applyProtection="1">
      <alignment horizontal="center" vertical="center"/>
      <protection hidden="1"/>
    </xf>
    <xf numFmtId="0" fontId="9" fillId="238" borderId="35" xfId="0" applyFont="1" applyFill="1" applyBorder="1" applyAlignment="1" applyProtection="1">
      <alignment horizontal="left" vertical="center"/>
      <protection hidden="1"/>
    </xf>
    <xf numFmtId="0" fontId="9" fillId="238" borderId="36" xfId="0" applyFont="1" applyFill="1" applyBorder="1" applyAlignment="1" applyProtection="1">
      <alignment vertical="center"/>
      <protection hidden="1"/>
    </xf>
    <xf numFmtId="0" fontId="9" fillId="238" borderId="36" xfId="0" applyFont="1" applyFill="1" applyBorder="1" applyAlignment="1" applyProtection="1">
      <alignment horizontal="center" vertical="center"/>
      <protection hidden="1"/>
    </xf>
    <xf numFmtId="0" fontId="19" fillId="238" borderId="36" xfId="0" applyFont="1" applyFill="1" applyBorder="1" applyAlignment="1" applyProtection="1">
      <alignment horizontal="center" vertical="center"/>
      <protection hidden="1"/>
    </xf>
    <xf numFmtId="0" fontId="9" fillId="238" borderId="36" xfId="0" applyFont="1" applyFill="1" applyBorder="1" applyAlignment="1" applyProtection="1">
      <alignment horizontal="left" vertical="center"/>
      <protection hidden="1"/>
    </xf>
    <xf numFmtId="0" fontId="9" fillId="238" borderId="37" xfId="0" applyFont="1" applyFill="1" applyBorder="1" applyAlignment="1" applyProtection="1">
      <alignment horizontal="left" vertical="center"/>
      <protection hidden="1"/>
    </xf>
    <xf numFmtId="0" fontId="12" fillId="238" borderId="47" xfId="0" applyFont="1" applyFill="1" applyBorder="1" applyAlignment="1" applyProtection="1">
      <alignment horizontal="left" vertical="center"/>
      <protection hidden="1"/>
    </xf>
    <xf numFmtId="0" fontId="9" fillId="238" borderId="0" xfId="0" applyFont="1" applyFill="1" applyBorder="1" applyAlignment="1" applyProtection="1">
      <alignment horizontal="left" vertical="center"/>
      <protection hidden="1"/>
    </xf>
    <xf numFmtId="0" fontId="9" fillId="238" borderId="0" xfId="0" applyFont="1" applyFill="1" applyBorder="1" applyAlignment="1" applyProtection="1">
      <alignment horizontal="center" vertical="center"/>
      <protection hidden="1"/>
    </xf>
    <xf numFmtId="0" fontId="23" fillId="238" borderId="0" xfId="0" applyFont="1" applyFill="1" applyBorder="1" applyAlignment="1" applyProtection="1">
      <alignment horizontal="center" vertical="center"/>
      <protection hidden="1"/>
    </xf>
    <xf numFmtId="0" fontId="9" fillId="238" borderId="48" xfId="0" applyFont="1" applyFill="1" applyBorder="1" applyAlignment="1" applyProtection="1">
      <alignment horizontal="left" vertical="center"/>
      <protection hidden="1"/>
    </xf>
    <xf numFmtId="0" fontId="9" fillId="238" borderId="38" xfId="0" applyFont="1" applyFill="1" applyBorder="1" applyAlignment="1" applyProtection="1">
      <alignment horizontal="left" vertical="center"/>
      <protection hidden="1"/>
    </xf>
    <xf numFmtId="0" fontId="9" fillId="238" borderId="23" xfId="0" applyFont="1" applyFill="1" applyBorder="1" applyAlignment="1" applyProtection="1">
      <alignment horizontal="left" vertical="center"/>
      <protection hidden="1"/>
    </xf>
    <xf numFmtId="0" fontId="9" fillId="238" borderId="39" xfId="0" applyFont="1" applyFill="1" applyBorder="1" applyAlignment="1" applyProtection="1">
      <alignment horizontal="left" vertical="center"/>
      <protection hidden="1"/>
    </xf>
    <xf numFmtId="165" fontId="9" fillId="238" borderId="23" xfId="0" applyNumberFormat="1" applyFont="1" applyFill="1" applyBorder="1" applyAlignment="1" applyProtection="1">
      <alignment horizontal="left" vertical="center"/>
      <protection hidden="1"/>
    </xf>
    <xf numFmtId="0" fontId="23" fillId="238" borderId="23" xfId="0" applyFont="1" applyFill="1" applyBorder="1" applyAlignment="1" applyProtection="1">
      <alignment horizontal="center" vertical="center"/>
      <protection hidden="1"/>
    </xf>
    <xf numFmtId="0" fontId="23" fillId="238" borderId="39" xfId="0" applyFont="1" applyFill="1" applyBorder="1" applyAlignment="1" applyProtection="1">
      <alignment horizontal="center" vertical="center"/>
      <protection hidden="1"/>
    </xf>
    <xf numFmtId="0" fontId="23" fillId="238" borderId="0" xfId="0" applyFont="1" applyFill="1" applyAlignment="1" applyProtection="1">
      <alignment horizontal="center" vertical="center"/>
      <protection hidden="1"/>
    </xf>
    <xf numFmtId="0" fontId="23" fillId="238" borderId="48" xfId="0" applyFont="1" applyFill="1" applyBorder="1" applyAlignment="1" applyProtection="1">
      <alignment horizontal="center" vertical="center"/>
      <protection hidden="1"/>
    </xf>
    <xf numFmtId="0" fontId="9" fillId="238" borderId="47" xfId="0" applyFont="1" applyFill="1" applyBorder="1" applyAlignment="1" applyProtection="1">
      <alignment horizontal="center" vertical="center"/>
      <protection hidden="1"/>
    </xf>
    <xf numFmtId="0" fontId="9" fillId="238" borderId="35" xfId="0" applyFont="1" applyFill="1" applyBorder="1" applyAlignment="1" applyProtection="1">
      <alignment horizontal="center" vertical="center"/>
      <protection hidden="1"/>
    </xf>
    <xf numFmtId="165" fontId="9" fillId="238" borderId="36" xfId="0" applyNumberFormat="1" applyFont="1" applyFill="1" applyBorder="1" applyAlignment="1" applyProtection="1">
      <alignment horizontal="center" vertical="center"/>
      <protection hidden="1"/>
    </xf>
    <xf numFmtId="0" fontId="23" fillId="238" borderId="36" xfId="0" applyFont="1" applyFill="1" applyBorder="1" applyAlignment="1" applyProtection="1">
      <alignment horizontal="center" vertical="center"/>
      <protection hidden="1"/>
    </xf>
    <xf numFmtId="0" fontId="23" fillId="238" borderId="37" xfId="0" applyFont="1" applyFill="1" applyBorder="1" applyAlignment="1" applyProtection="1">
      <alignment horizontal="center" vertical="center"/>
      <protection hidden="1"/>
    </xf>
    <xf numFmtId="0" fontId="9" fillId="209" borderId="3" xfId="0" applyFont="1" applyFill="1" applyBorder="1" applyAlignment="1" applyProtection="1">
      <alignment horizontal="center" vertical="center"/>
      <protection hidden="1"/>
    </xf>
    <xf numFmtId="0" fontId="9" fillId="209" borderId="6" xfId="0" applyFont="1" applyFill="1" applyBorder="1" applyAlignment="1" applyProtection="1">
      <alignment horizontal="center" vertical="center"/>
      <protection hidden="1"/>
    </xf>
    <xf numFmtId="165" fontId="9" fillId="209" borderId="6" xfId="0" applyNumberFormat="1" applyFont="1" applyFill="1" applyBorder="1" applyAlignment="1" applyProtection="1">
      <alignment horizontal="center" vertical="center"/>
      <protection hidden="1"/>
    </xf>
    <xf numFmtId="0" fontId="19" fillId="209" borderId="6" xfId="0" applyFont="1" applyFill="1" applyBorder="1" applyAlignment="1" applyProtection="1">
      <alignment horizontal="center" vertical="center"/>
      <protection hidden="1"/>
    </xf>
    <xf numFmtId="0" fontId="9" fillId="209" borderId="6" xfId="0" applyFont="1" applyFill="1" applyBorder="1" applyAlignment="1" applyProtection="1">
      <alignment vertical="center"/>
      <protection hidden="1"/>
    </xf>
    <xf numFmtId="0" fontId="9" fillId="209" borderId="2" xfId="0" applyFont="1" applyFill="1" applyBorder="1" applyAlignment="1" applyProtection="1">
      <alignment vertical="center"/>
      <protection hidden="1"/>
    </xf>
    <xf numFmtId="0" fontId="9" fillId="209" borderId="0" xfId="0" applyFont="1" applyFill="1" applyAlignment="1" applyProtection="1">
      <alignment vertical="center"/>
      <protection hidden="1"/>
    </xf>
    <xf numFmtId="0" fontId="0" fillId="180" borderId="35" xfId="0" applyFill="1" applyBorder="1" applyProtection="1">
      <protection hidden="1"/>
    </xf>
    <xf numFmtId="0" fontId="0" fillId="180" borderId="36" xfId="0" applyFill="1" applyBorder="1" applyProtection="1">
      <protection hidden="1"/>
    </xf>
    <xf numFmtId="0" fontId="9" fillId="239" borderId="36" xfId="0" applyFont="1" applyFill="1" applyBorder="1" applyAlignment="1" applyProtection="1">
      <alignment horizontal="center" vertical="center"/>
      <protection hidden="1"/>
    </xf>
    <xf numFmtId="0" fontId="0" fillId="180" borderId="36" xfId="0" applyFill="1" applyBorder="1" applyAlignment="1" applyProtection="1">
      <alignment vertical="center"/>
      <protection hidden="1"/>
    </xf>
    <xf numFmtId="0" fontId="0" fillId="180" borderId="37" xfId="0" applyFill="1" applyBorder="1" applyAlignment="1" applyProtection="1">
      <alignment vertical="center"/>
      <protection hidden="1"/>
    </xf>
    <xf numFmtId="0" fontId="0" fillId="180" borderId="47" xfId="0" applyFill="1" applyBorder="1" applyProtection="1">
      <protection hidden="1"/>
    </xf>
    <xf numFmtId="0" fontId="37" fillId="180" borderId="0" xfId="0" applyFont="1" applyFill="1" applyBorder="1" applyAlignment="1" applyProtection="1">
      <alignment horizontal="left" vertical="center"/>
      <protection hidden="1"/>
    </xf>
    <xf numFmtId="0" fontId="37" fillId="239" borderId="0" xfId="0" applyFont="1" applyFill="1" applyBorder="1" applyAlignment="1" applyProtection="1">
      <alignment horizontal="center" vertical="center"/>
      <protection hidden="1"/>
    </xf>
    <xf numFmtId="0" fontId="0" fillId="180" borderId="0" xfId="0" applyFill="1" applyBorder="1" applyAlignment="1" applyProtection="1">
      <alignment vertical="center"/>
      <protection hidden="1"/>
    </xf>
    <xf numFmtId="0" fontId="0" fillId="180" borderId="48" xfId="0" applyFill="1" applyBorder="1" applyAlignment="1" applyProtection="1">
      <alignment vertical="center"/>
      <protection hidden="1"/>
    </xf>
    <xf numFmtId="0" fontId="0" fillId="180" borderId="0" xfId="0" applyFill="1" applyBorder="1" applyProtection="1">
      <protection hidden="1"/>
    </xf>
    <xf numFmtId="0" fontId="9" fillId="239" borderId="0" xfId="0" applyFont="1" applyFill="1" applyBorder="1" applyAlignment="1" applyProtection="1">
      <alignment horizontal="center" vertical="center"/>
      <protection hidden="1"/>
    </xf>
    <xf numFmtId="0" fontId="0" fillId="180" borderId="38" xfId="0" applyFill="1" applyBorder="1" applyProtection="1">
      <protection hidden="1"/>
    </xf>
    <xf numFmtId="0" fontId="0" fillId="180" borderId="23" xfId="0" applyFill="1" applyBorder="1" applyProtection="1">
      <protection hidden="1"/>
    </xf>
    <xf numFmtId="0" fontId="9" fillId="239" borderId="23" xfId="0" applyFont="1" applyFill="1" applyBorder="1" applyAlignment="1" applyProtection="1">
      <alignment horizontal="center" vertical="center"/>
      <protection hidden="1"/>
    </xf>
    <xf numFmtId="0" fontId="0" fillId="180" borderId="23" xfId="0" applyFill="1" applyBorder="1" applyAlignment="1" applyProtection="1">
      <alignment vertical="center"/>
      <protection hidden="1"/>
    </xf>
    <xf numFmtId="0" fontId="0" fillId="180" borderId="39" xfId="0" applyFill="1" applyBorder="1" applyAlignment="1" applyProtection="1">
      <alignment vertical="center"/>
      <protection hidden="1"/>
    </xf>
    <xf numFmtId="0" fontId="13" fillId="179" borderId="8" xfId="0" applyFont="1" applyFill="1" applyBorder="1" applyAlignment="1" applyProtection="1">
      <alignment vertical="center"/>
      <protection hidden="1"/>
    </xf>
    <xf numFmtId="0" fontId="13" fillId="179" borderId="9" xfId="0" applyFont="1" applyFill="1" applyBorder="1" applyAlignment="1" applyProtection="1">
      <alignment vertical="center"/>
      <protection hidden="1"/>
    </xf>
    <xf numFmtId="165" fontId="15" fillId="9" borderId="48" xfId="7" applyFont="1" applyBorder="1" applyProtection="1">
      <alignment horizontal="center" vertical="center"/>
      <protection hidden="1"/>
    </xf>
    <xf numFmtId="165" fontId="0" fillId="31" borderId="0" xfId="0" applyNumberFormat="1" applyFill="1" applyBorder="1" applyAlignment="1" applyProtection="1">
      <alignment horizontal="center" vertical="center"/>
      <protection hidden="1"/>
    </xf>
    <xf numFmtId="0" fontId="12" fillId="213" borderId="0" xfId="0" applyFont="1" applyFill="1" applyBorder="1" applyAlignment="1" applyProtection="1">
      <alignment horizontal="left" vertical="center"/>
      <protection hidden="1"/>
    </xf>
    <xf numFmtId="0" fontId="12" fillId="215" borderId="0" xfId="0" applyFont="1" applyFill="1" applyBorder="1" applyAlignment="1" applyProtection="1">
      <alignment horizontal="left" vertical="center"/>
      <protection hidden="1"/>
    </xf>
    <xf numFmtId="0" fontId="12" fillId="214" borderId="0" xfId="0" applyFont="1" applyFill="1" applyBorder="1" applyAlignment="1" applyProtection="1">
      <alignment horizontal="left" vertical="center"/>
      <protection hidden="1"/>
    </xf>
    <xf numFmtId="0" fontId="12" fillId="208" borderId="0" xfId="0" applyFont="1" applyFill="1" applyBorder="1" applyAlignment="1" applyProtection="1">
      <alignment horizontal="left" vertical="center"/>
      <protection hidden="1"/>
    </xf>
    <xf numFmtId="0" fontId="12" fillId="209" borderId="0" xfId="0" applyFont="1" applyFill="1" applyBorder="1" applyAlignment="1" applyProtection="1">
      <alignment horizontal="left" vertical="center"/>
      <protection hidden="1"/>
    </xf>
    <xf numFmtId="165" fontId="9" fillId="239" borderId="0" xfId="0" applyNumberFormat="1" applyFont="1" applyFill="1" applyBorder="1" applyAlignment="1" applyProtection="1">
      <alignment horizontal="center" vertical="center"/>
      <protection hidden="1"/>
    </xf>
    <xf numFmtId="0" fontId="19" fillId="239" borderId="0" xfId="0" applyFont="1" applyFill="1" applyBorder="1" applyAlignment="1" applyProtection="1">
      <alignment horizontal="center" vertical="center"/>
      <protection hidden="1"/>
    </xf>
    <xf numFmtId="0" fontId="37" fillId="180" borderId="0" xfId="3" applyFont="1" applyFill="1" applyBorder="1" applyAlignment="1" applyProtection="1">
      <alignment vertical="center"/>
      <protection hidden="1"/>
    </xf>
    <xf numFmtId="165" fontId="9" fillId="239" borderId="36" xfId="0" applyNumberFormat="1" applyFont="1" applyFill="1" applyBorder="1" applyAlignment="1" applyProtection="1">
      <alignment horizontal="center" vertical="center"/>
      <protection hidden="1"/>
    </xf>
    <xf numFmtId="0" fontId="19" fillId="239" borderId="36" xfId="0" applyFont="1" applyFill="1" applyBorder="1" applyAlignment="1" applyProtection="1">
      <alignment horizontal="center" vertical="center"/>
      <protection hidden="1"/>
    </xf>
    <xf numFmtId="0" fontId="37" fillId="180" borderId="48" xfId="3" applyFont="1" applyFill="1" applyBorder="1" applyAlignment="1" applyProtection="1">
      <alignment vertical="center"/>
      <protection hidden="1"/>
    </xf>
    <xf numFmtId="165" fontId="9" fillId="239" borderId="23" xfId="0" applyNumberFormat="1" applyFont="1" applyFill="1" applyBorder="1" applyAlignment="1" applyProtection="1">
      <alignment horizontal="center" vertical="center"/>
      <protection hidden="1"/>
    </xf>
    <xf numFmtId="0" fontId="19" fillId="239" borderId="23" xfId="0" applyFont="1" applyFill="1" applyBorder="1" applyAlignment="1" applyProtection="1">
      <alignment horizontal="center" vertical="center"/>
      <protection hidden="1"/>
    </xf>
    <xf numFmtId="164" fontId="35" fillId="0" borderId="0" xfId="0" applyNumberFormat="1" applyFont="1" applyFill="1" applyBorder="1" applyAlignment="1" applyProtection="1">
      <alignment horizontal="center" vertical="center"/>
      <protection hidden="1"/>
    </xf>
    <xf numFmtId="0" fontId="9" fillId="240" borderId="3" xfId="0" applyFont="1" applyFill="1" applyBorder="1" applyAlignment="1" applyProtection="1">
      <alignment horizontal="left" vertical="center"/>
      <protection hidden="1"/>
    </xf>
    <xf numFmtId="0" fontId="26" fillId="240" borderId="6" xfId="0" applyFont="1" applyFill="1" applyBorder="1" applyAlignment="1" applyProtection="1">
      <alignment horizontal="left" vertical="center"/>
      <protection hidden="1"/>
    </xf>
    <xf numFmtId="0" fontId="9" fillId="240" borderId="6" xfId="0" applyFont="1" applyFill="1" applyBorder="1" applyAlignment="1" applyProtection="1">
      <alignment horizontal="left" vertical="center"/>
      <protection hidden="1"/>
    </xf>
    <xf numFmtId="0" fontId="9" fillId="240" borderId="6" xfId="0" applyFont="1" applyFill="1" applyBorder="1" applyAlignment="1" applyProtection="1">
      <alignment horizontal="center" vertical="center"/>
      <protection hidden="1"/>
    </xf>
    <xf numFmtId="0" fontId="9" fillId="240" borderId="6" xfId="0" applyFont="1" applyFill="1" applyBorder="1" applyProtection="1">
      <protection hidden="1"/>
    </xf>
    <xf numFmtId="0" fontId="9" fillId="240" borderId="2" xfId="0" applyFont="1" applyFill="1" applyBorder="1" applyAlignment="1" applyProtection="1">
      <alignment vertical="center"/>
      <protection hidden="1"/>
    </xf>
    <xf numFmtId="0" fontId="9" fillId="240" borderId="1" xfId="0" applyFont="1" applyFill="1" applyBorder="1" applyAlignment="1" applyProtection="1">
      <alignment horizontal="center" vertical="center"/>
      <protection hidden="1"/>
    </xf>
    <xf numFmtId="0" fontId="12" fillId="232" borderId="38" xfId="0" applyFont="1" applyFill="1" applyBorder="1" applyAlignment="1" applyProtection="1">
      <alignment horizontal="left" vertical="center"/>
      <protection hidden="1"/>
    </xf>
    <xf numFmtId="1" fontId="9" fillId="232" borderId="23" xfId="0" applyNumberFormat="1" applyFont="1" applyFill="1" applyBorder="1" applyAlignment="1" applyProtection="1">
      <alignment horizontal="center" vertical="center"/>
      <protection hidden="1"/>
    </xf>
    <xf numFmtId="0" fontId="9" fillId="232" borderId="39" xfId="0" applyFont="1" applyFill="1" applyBorder="1" applyAlignment="1" applyProtection="1">
      <alignment horizontal="center" vertical="center"/>
      <protection hidden="1"/>
    </xf>
    <xf numFmtId="1" fontId="9" fillId="232" borderId="36" xfId="0" applyNumberFormat="1" applyFont="1" applyFill="1" applyBorder="1" applyAlignment="1" applyProtection="1">
      <alignment horizontal="center" vertical="center"/>
      <protection hidden="1"/>
    </xf>
    <xf numFmtId="0" fontId="9" fillId="232" borderId="37" xfId="0" applyFont="1" applyFill="1" applyBorder="1" applyAlignment="1" applyProtection="1">
      <alignment horizontal="center" vertical="center"/>
      <protection hidden="1"/>
    </xf>
    <xf numFmtId="0" fontId="12" fillId="242" borderId="38" xfId="0" applyFont="1" applyFill="1" applyBorder="1" applyAlignment="1" applyProtection="1">
      <alignment horizontal="left" vertical="center"/>
      <protection hidden="1"/>
    </xf>
    <xf numFmtId="1" fontId="9" fillId="242" borderId="23" xfId="0" applyNumberFormat="1" applyFont="1" applyFill="1" applyBorder="1" applyAlignment="1" applyProtection="1">
      <alignment horizontal="center" vertical="center"/>
      <protection hidden="1"/>
    </xf>
    <xf numFmtId="0" fontId="9" fillId="242" borderId="39" xfId="0" applyFont="1" applyFill="1" applyBorder="1" applyAlignment="1" applyProtection="1">
      <alignment horizontal="center" vertical="center"/>
      <protection hidden="1"/>
    </xf>
    <xf numFmtId="1" fontId="9" fillId="242" borderId="36" xfId="0" applyNumberFormat="1" applyFont="1" applyFill="1" applyBorder="1" applyAlignment="1" applyProtection="1">
      <alignment horizontal="center" vertical="center"/>
      <protection hidden="1"/>
    </xf>
    <xf numFmtId="0" fontId="9" fillId="242" borderId="35" xfId="0" applyFont="1" applyFill="1" applyBorder="1" applyAlignment="1" applyProtection="1">
      <alignment horizontal="left" vertical="center"/>
      <protection hidden="1"/>
    </xf>
    <xf numFmtId="0" fontId="9" fillId="242" borderId="37" xfId="0" applyFont="1" applyFill="1" applyBorder="1" applyAlignment="1" applyProtection="1">
      <alignment horizontal="center" vertical="center"/>
      <protection hidden="1"/>
    </xf>
    <xf numFmtId="0" fontId="12" fillId="244" borderId="38" xfId="0" applyFont="1" applyFill="1" applyBorder="1" applyAlignment="1" applyProtection="1">
      <alignment horizontal="left" vertical="center"/>
      <protection hidden="1"/>
    </xf>
    <xf numFmtId="1" fontId="9" fillId="244" borderId="23" xfId="0" applyNumberFormat="1" applyFont="1" applyFill="1" applyBorder="1" applyAlignment="1" applyProtection="1">
      <alignment horizontal="center" vertical="center"/>
      <protection hidden="1"/>
    </xf>
    <xf numFmtId="0" fontId="9" fillId="244" borderId="39" xfId="0" applyFont="1" applyFill="1" applyBorder="1" applyAlignment="1" applyProtection="1">
      <alignment horizontal="center" vertical="center"/>
      <protection hidden="1"/>
    </xf>
    <xf numFmtId="1" fontId="9" fillId="244" borderId="36" xfId="0" applyNumberFormat="1" applyFont="1" applyFill="1" applyBorder="1" applyAlignment="1" applyProtection="1">
      <alignment horizontal="center" vertical="center"/>
      <protection hidden="1"/>
    </xf>
    <xf numFmtId="0" fontId="9" fillId="244" borderId="35" xfId="0" applyFont="1" applyFill="1" applyBorder="1" applyAlignment="1" applyProtection="1">
      <alignment horizontal="left" vertical="center"/>
      <protection hidden="1"/>
    </xf>
    <xf numFmtId="0" fontId="9" fillId="244" borderId="37" xfId="0" applyFont="1" applyFill="1" applyBorder="1" applyAlignment="1" applyProtection="1">
      <alignment horizontal="center" vertical="center"/>
      <protection hidden="1"/>
    </xf>
    <xf numFmtId="0" fontId="12" fillId="247" borderId="38" xfId="0" applyFont="1" applyFill="1" applyBorder="1" applyAlignment="1" applyProtection="1">
      <alignment horizontal="left" vertical="center"/>
      <protection hidden="1"/>
    </xf>
    <xf numFmtId="1" fontId="9" fillId="247" borderId="23" xfId="0" applyNumberFormat="1" applyFont="1" applyFill="1" applyBorder="1" applyAlignment="1" applyProtection="1">
      <alignment horizontal="center" vertical="center"/>
      <protection hidden="1"/>
    </xf>
    <xf numFmtId="0" fontId="9" fillId="247" borderId="39" xfId="0" applyFont="1" applyFill="1" applyBorder="1" applyAlignment="1" applyProtection="1">
      <alignment horizontal="center" vertical="center"/>
      <protection hidden="1"/>
    </xf>
    <xf numFmtId="1" fontId="9" fillId="247" borderId="36" xfId="0" applyNumberFormat="1" applyFont="1" applyFill="1" applyBorder="1" applyAlignment="1" applyProtection="1">
      <alignment horizontal="center" vertical="center"/>
      <protection hidden="1"/>
    </xf>
    <xf numFmtId="0" fontId="9" fillId="247" borderId="35" xfId="0" applyFont="1" applyFill="1" applyBorder="1" applyAlignment="1" applyProtection="1">
      <alignment horizontal="left" vertical="center"/>
      <protection hidden="1"/>
    </xf>
    <xf numFmtId="0" fontId="9" fillId="247" borderId="37" xfId="0" applyFont="1" applyFill="1" applyBorder="1" applyAlignment="1" applyProtection="1">
      <alignment horizontal="center" vertical="center"/>
      <protection hidden="1"/>
    </xf>
    <xf numFmtId="0" fontId="12" fillId="249" borderId="38" xfId="0" applyFont="1" applyFill="1" applyBorder="1" applyAlignment="1" applyProtection="1">
      <alignment horizontal="left" vertical="center"/>
      <protection hidden="1"/>
    </xf>
    <xf numFmtId="1" fontId="9" fillId="249" borderId="23" xfId="0" applyNumberFormat="1" applyFont="1" applyFill="1" applyBorder="1" applyAlignment="1" applyProtection="1">
      <alignment horizontal="center" vertical="center"/>
      <protection hidden="1"/>
    </xf>
    <xf numFmtId="0" fontId="9" fillId="249" borderId="39" xfId="0" applyFont="1" applyFill="1" applyBorder="1" applyAlignment="1" applyProtection="1">
      <alignment horizontal="center" vertical="center"/>
      <protection hidden="1"/>
    </xf>
    <xf numFmtId="1" fontId="9" fillId="249" borderId="36" xfId="0" applyNumberFormat="1" applyFont="1" applyFill="1" applyBorder="1" applyAlignment="1" applyProtection="1">
      <alignment horizontal="center" vertical="center"/>
      <protection hidden="1"/>
    </xf>
    <xf numFmtId="0" fontId="9" fillId="249" borderId="35" xfId="0" applyFont="1" applyFill="1" applyBorder="1" applyAlignment="1" applyProtection="1">
      <alignment horizontal="left" vertical="center"/>
      <protection hidden="1"/>
    </xf>
    <xf numFmtId="0" fontId="9" fillId="249" borderId="37" xfId="0" applyFont="1" applyFill="1" applyBorder="1" applyAlignment="1" applyProtection="1">
      <alignment horizontal="center" vertical="center"/>
      <protection hidden="1"/>
    </xf>
    <xf numFmtId="0" fontId="12" fillId="251" borderId="38" xfId="0" applyFont="1" applyFill="1" applyBorder="1" applyAlignment="1" applyProtection="1">
      <alignment horizontal="left" vertical="center"/>
      <protection hidden="1"/>
    </xf>
    <xf numFmtId="1" fontId="9" fillId="251" borderId="23" xfId="0" applyNumberFormat="1" applyFont="1" applyFill="1" applyBorder="1" applyAlignment="1" applyProtection="1">
      <alignment horizontal="center" vertical="center"/>
      <protection hidden="1"/>
    </xf>
    <xf numFmtId="0" fontId="9" fillId="251" borderId="39" xfId="0" applyFont="1" applyFill="1" applyBorder="1" applyAlignment="1" applyProtection="1">
      <alignment horizontal="center" vertical="center"/>
      <protection hidden="1"/>
    </xf>
    <xf numFmtId="1" fontId="9" fillId="251" borderId="36" xfId="0" applyNumberFormat="1" applyFont="1" applyFill="1" applyBorder="1" applyAlignment="1" applyProtection="1">
      <alignment horizontal="center" vertical="center"/>
      <protection hidden="1"/>
    </xf>
    <xf numFmtId="0" fontId="9" fillId="251" borderId="35" xfId="0" applyFont="1" applyFill="1" applyBorder="1" applyAlignment="1" applyProtection="1">
      <alignment horizontal="left" vertical="center"/>
      <protection hidden="1"/>
    </xf>
    <xf numFmtId="0" fontId="9" fillId="251" borderId="37" xfId="0" applyFont="1" applyFill="1" applyBorder="1" applyAlignment="1" applyProtection="1">
      <alignment horizontal="center" vertical="center"/>
      <protection hidden="1"/>
    </xf>
    <xf numFmtId="0" fontId="32" fillId="5" borderId="15" xfId="0" applyFont="1" applyFill="1" applyBorder="1" applyAlignment="1">
      <alignment horizontal="left"/>
    </xf>
    <xf numFmtId="0" fontId="12" fillId="5" borderId="15" xfId="0" applyFont="1" applyFill="1" applyBorder="1" applyAlignment="1">
      <alignment horizontal="center"/>
    </xf>
    <xf numFmtId="0" fontId="32" fillId="5" borderId="15" xfId="0" applyFont="1" applyFill="1" applyBorder="1" applyAlignment="1">
      <alignment horizontal="left" vertical="center"/>
    </xf>
    <xf numFmtId="0" fontId="61" fillId="5" borderId="15" xfId="0" applyFont="1" applyFill="1" applyBorder="1" applyAlignment="1">
      <alignment horizontal="right" vertical="center"/>
    </xf>
    <xf numFmtId="0" fontId="6" fillId="5" borderId="0" xfId="0" applyFont="1" applyFill="1"/>
    <xf numFmtId="0" fontId="6" fillId="170" borderId="0" xfId="0" applyFont="1" applyFill="1"/>
    <xf numFmtId="0" fontId="6" fillId="170" borderId="0" xfId="0" applyFont="1" applyFill="1" applyAlignment="1" applyProtection="1">
      <alignment vertical="center"/>
      <protection hidden="1"/>
    </xf>
    <xf numFmtId="0" fontId="16" fillId="170" borderId="0" xfId="0" applyFont="1" applyFill="1" applyBorder="1" applyAlignment="1" applyProtection="1">
      <alignment horizontal="left" vertical="center"/>
      <protection hidden="1"/>
    </xf>
    <xf numFmtId="0" fontId="6" fillId="170" borderId="0" xfId="0" applyFont="1" applyFill="1" applyProtection="1">
      <protection hidden="1"/>
    </xf>
    <xf numFmtId="0" fontId="13" fillId="183" borderId="9" xfId="0" applyFont="1" applyFill="1" applyBorder="1" applyAlignment="1" applyProtection="1">
      <alignment horizontal="center" vertical="top" wrapText="1"/>
      <protection hidden="1"/>
    </xf>
    <xf numFmtId="0" fontId="0" fillId="255" borderId="0" xfId="0" applyFill="1" applyBorder="1"/>
    <xf numFmtId="0" fontId="9" fillId="186" borderId="37" xfId="0" applyFont="1" applyFill="1" applyBorder="1" applyAlignment="1" applyProtection="1">
      <alignment vertical="center"/>
      <protection hidden="1"/>
    </xf>
    <xf numFmtId="0" fontId="9" fillId="186" borderId="48" xfId="0" applyFont="1" applyFill="1" applyBorder="1" applyAlignment="1" applyProtection="1">
      <alignment vertical="center"/>
      <protection hidden="1"/>
    </xf>
    <xf numFmtId="0" fontId="9" fillId="186" borderId="39" xfId="0" applyFont="1" applyFill="1" applyBorder="1" applyAlignment="1" applyProtection="1">
      <alignment vertical="center"/>
      <protection hidden="1"/>
    </xf>
    <xf numFmtId="0" fontId="9" fillId="186" borderId="8" xfId="0" applyFont="1" applyFill="1" applyBorder="1" applyAlignment="1" applyProtection="1">
      <alignment vertical="center"/>
      <protection hidden="1"/>
    </xf>
    <xf numFmtId="0" fontId="9" fillId="186" borderId="52" xfId="0" applyFont="1" applyFill="1" applyBorder="1" applyAlignment="1" applyProtection="1">
      <alignment vertical="center"/>
      <protection hidden="1"/>
    </xf>
    <xf numFmtId="0" fontId="9" fillId="186" borderId="9" xfId="0" applyFont="1" applyFill="1" applyBorder="1" applyAlignment="1" applyProtection="1">
      <alignment vertical="center"/>
      <protection hidden="1"/>
    </xf>
    <xf numFmtId="0" fontId="9" fillId="256" borderId="0" xfId="0" applyFont="1" applyFill="1" applyBorder="1" applyAlignment="1" applyProtection="1">
      <alignment vertical="center"/>
      <protection hidden="1"/>
    </xf>
    <xf numFmtId="0" fontId="9" fillId="5" borderId="0" xfId="0" applyFont="1" applyFill="1" applyBorder="1" applyAlignment="1">
      <alignment horizontal="center" vertical="center"/>
    </xf>
    <xf numFmtId="0" fontId="9" fillId="150" borderId="0" xfId="0" applyFont="1" applyFill="1" applyBorder="1" applyAlignment="1">
      <alignment horizontal="center" vertical="center"/>
    </xf>
    <xf numFmtId="0" fontId="9" fillId="188" borderId="15" xfId="0" applyFont="1" applyFill="1" applyBorder="1" applyAlignment="1">
      <alignment horizontal="left"/>
    </xf>
    <xf numFmtId="0" fontId="9" fillId="257" borderId="38" xfId="0" applyFont="1" applyFill="1" applyBorder="1" applyAlignment="1" applyProtection="1">
      <alignment horizontal="right" vertical="center"/>
      <protection hidden="1"/>
    </xf>
    <xf numFmtId="0" fontId="9" fillId="257" borderId="23" xfId="0" applyFont="1" applyFill="1" applyBorder="1" applyAlignment="1" applyProtection="1">
      <alignment vertical="center"/>
      <protection hidden="1"/>
    </xf>
    <xf numFmtId="0" fontId="9" fillId="257" borderId="23" xfId="0" applyFont="1" applyFill="1" applyBorder="1" applyAlignment="1" applyProtection="1">
      <alignment horizontal="center" vertical="center"/>
      <protection hidden="1"/>
    </xf>
    <xf numFmtId="0" fontId="12" fillId="257" borderId="23" xfId="0" applyFont="1" applyFill="1" applyBorder="1" applyAlignment="1" applyProtection="1">
      <alignment horizontal="left" vertical="center"/>
      <protection hidden="1"/>
    </xf>
    <xf numFmtId="0" fontId="9" fillId="257" borderId="0" xfId="0" applyFont="1" applyFill="1" applyBorder="1" applyAlignment="1" applyProtection="1">
      <alignment horizontal="center" vertical="center"/>
      <protection hidden="1"/>
    </xf>
    <xf numFmtId="0" fontId="9" fillId="257" borderId="47" xfId="0" applyFont="1" applyFill="1" applyBorder="1" applyAlignment="1" applyProtection="1">
      <alignment horizontal="right" vertical="center"/>
      <protection hidden="1"/>
    </xf>
    <xf numFmtId="0" fontId="48" fillId="257" borderId="0" xfId="0" applyFont="1" applyFill="1" applyBorder="1" applyAlignment="1" applyProtection="1">
      <alignment horizontal="center" vertical="center"/>
      <protection hidden="1"/>
    </xf>
    <xf numFmtId="0" fontId="9" fillId="257" borderId="0" xfId="0" applyFont="1" applyFill="1" applyBorder="1" applyAlignment="1" applyProtection="1">
      <alignment vertical="center"/>
      <protection hidden="1"/>
    </xf>
    <xf numFmtId="0" fontId="9" fillId="257" borderId="35" xfId="0" applyFont="1" applyFill="1" applyBorder="1" applyAlignment="1" applyProtection="1">
      <alignment horizontal="right" vertical="center"/>
      <protection hidden="1"/>
    </xf>
    <xf numFmtId="0" fontId="9" fillId="257" borderId="36" xfId="0" applyFont="1" applyFill="1" applyBorder="1" applyAlignment="1" applyProtection="1">
      <alignment vertical="center"/>
      <protection hidden="1"/>
    </xf>
    <xf numFmtId="0" fontId="9" fillId="257" borderId="36" xfId="0" applyFont="1" applyFill="1" applyBorder="1" applyAlignment="1" applyProtection="1">
      <alignment horizontal="center" vertical="center"/>
      <protection hidden="1"/>
    </xf>
    <xf numFmtId="0" fontId="9" fillId="257" borderId="36" xfId="0" applyFont="1" applyFill="1" applyBorder="1" applyAlignment="1" applyProtection="1">
      <alignment horizontal="left" vertical="center"/>
      <protection hidden="1"/>
    </xf>
    <xf numFmtId="0" fontId="48" fillId="183" borderId="23" xfId="0" applyFont="1" applyFill="1" applyBorder="1" applyAlignment="1" applyProtection="1">
      <alignment horizontal="center" vertical="center"/>
      <protection hidden="1"/>
    </xf>
    <xf numFmtId="0" fontId="12" fillId="257" borderId="0" xfId="0" applyFont="1" applyFill="1" applyBorder="1" applyAlignment="1" applyProtection="1">
      <alignment horizontal="left" vertical="center"/>
      <protection hidden="1"/>
    </xf>
    <xf numFmtId="0" fontId="55" fillId="258" borderId="35" xfId="0" applyFont="1" applyFill="1" applyBorder="1" applyAlignment="1" applyProtection="1">
      <alignment horizontal="right" vertical="center"/>
      <protection hidden="1"/>
    </xf>
    <xf numFmtId="0" fontId="55" fillId="258" borderId="38" xfId="0" applyFont="1" applyFill="1" applyBorder="1" applyAlignment="1" applyProtection="1">
      <alignment horizontal="right" vertical="center"/>
      <protection hidden="1"/>
    </xf>
    <xf numFmtId="0" fontId="60" fillId="5" borderId="22" xfId="0" applyFont="1" applyFill="1" applyBorder="1"/>
    <xf numFmtId="0" fontId="60" fillId="5" borderId="0" xfId="0" applyFont="1" applyFill="1" applyAlignment="1">
      <alignment horizontal="right"/>
    </xf>
    <xf numFmtId="0" fontId="60" fillId="5" borderId="0" xfId="0" applyFont="1" applyFill="1"/>
    <xf numFmtId="165" fontId="9" fillId="5" borderId="1" xfId="3" applyNumberFormat="1" applyFont="1" applyBorder="1" applyProtection="1">
      <alignment horizontal="center" vertical="center"/>
      <protection hidden="1"/>
    </xf>
    <xf numFmtId="165" fontId="0" fillId="5" borderId="0" xfId="0" applyNumberFormat="1" applyFill="1" applyBorder="1"/>
    <xf numFmtId="165" fontId="9" fillId="38" borderId="50" xfId="0" applyNumberFormat="1" applyFont="1" applyFill="1" applyBorder="1" applyAlignment="1">
      <alignment horizontal="right"/>
    </xf>
    <xf numFmtId="165" fontId="9" fillId="2" borderId="57" xfId="0" applyNumberFormat="1" applyFont="1" applyFill="1" applyBorder="1" applyAlignment="1">
      <alignment horizontal="right"/>
    </xf>
    <xf numFmtId="165" fontId="9" fillId="36" borderId="57" xfId="0" applyNumberFormat="1" applyFont="1" applyFill="1" applyBorder="1" applyAlignment="1">
      <alignment horizontal="right"/>
    </xf>
    <xf numFmtId="165" fontId="9" fillId="79" borderId="68" xfId="0" applyNumberFormat="1" applyFont="1" applyFill="1" applyBorder="1" applyAlignment="1">
      <alignment horizontal="right"/>
    </xf>
    <xf numFmtId="165" fontId="47" fillId="79" borderId="68" xfId="0" applyNumberFormat="1" applyFont="1" applyFill="1" applyBorder="1" applyAlignment="1">
      <alignment horizontal="right" vertical="center"/>
    </xf>
    <xf numFmtId="165" fontId="9" fillId="81" borderId="50" xfId="0" applyNumberFormat="1" applyFont="1" applyFill="1" applyBorder="1" applyAlignment="1">
      <alignment horizontal="right"/>
    </xf>
    <xf numFmtId="0" fontId="47" fillId="63" borderId="22" xfId="0" applyFont="1" applyFill="1" applyBorder="1" applyAlignment="1">
      <alignment horizontal="left"/>
    </xf>
    <xf numFmtId="165" fontId="9" fillId="261" borderId="22" xfId="0" applyNumberFormat="1" applyFont="1" applyFill="1" applyBorder="1" applyAlignment="1">
      <alignment horizontal="right"/>
    </xf>
    <xf numFmtId="0" fontId="0" fillId="0" borderId="0" xfId="0" applyBorder="1"/>
    <xf numFmtId="0" fontId="15" fillId="4" borderId="47" xfId="0" applyFont="1" applyFill="1" applyBorder="1" applyAlignment="1">
      <alignment horizontal="left" vertical="center"/>
    </xf>
    <xf numFmtId="0" fontId="15" fillId="4" borderId="0" xfId="0" applyFont="1" applyFill="1" applyBorder="1" applyAlignment="1">
      <alignment horizontal="left" vertical="center"/>
    </xf>
    <xf numFmtId="0" fontId="9" fillId="5" borderId="48" xfId="0" applyFont="1" applyFill="1" applyBorder="1" applyAlignment="1">
      <alignment horizontal="center" vertical="center"/>
    </xf>
    <xf numFmtId="0" fontId="9" fillId="5" borderId="47" xfId="0" applyFont="1" applyFill="1" applyBorder="1" applyAlignment="1">
      <alignment horizontal="center" vertical="center"/>
    </xf>
    <xf numFmtId="0" fontId="9" fillId="5" borderId="47" xfId="0" applyFont="1" applyFill="1" applyBorder="1" applyAlignment="1">
      <alignment horizontal="left" vertical="center"/>
    </xf>
    <xf numFmtId="0" fontId="0" fillId="5" borderId="47" xfId="0" applyFill="1" applyBorder="1"/>
    <xf numFmtId="0" fontId="9" fillId="5" borderId="38" xfId="0" applyFont="1" applyFill="1" applyBorder="1" applyAlignment="1">
      <alignment horizontal="center" vertical="center"/>
    </xf>
    <xf numFmtId="0" fontId="9" fillId="5" borderId="23" xfId="0" applyFont="1" applyFill="1" applyBorder="1" applyAlignment="1">
      <alignment horizontal="center" vertical="center"/>
    </xf>
    <xf numFmtId="4" fontId="9" fillId="150" borderId="23" xfId="0" applyNumberFormat="1" applyFont="1" applyFill="1" applyBorder="1" applyAlignment="1">
      <alignment horizontal="center" vertical="center"/>
    </xf>
    <xf numFmtId="0" fontId="9" fillId="21" borderId="23" xfId="0" applyFont="1" applyFill="1" applyBorder="1" applyAlignment="1">
      <alignment horizontal="center" vertical="center"/>
    </xf>
    <xf numFmtId="4" fontId="9" fillId="6" borderId="23" xfId="0" applyNumberFormat="1" applyFont="1" applyFill="1" applyBorder="1" applyAlignment="1">
      <alignment horizontal="center" vertical="center"/>
    </xf>
    <xf numFmtId="0" fontId="9" fillId="36" borderId="37" xfId="0" applyFont="1" applyFill="1" applyBorder="1" applyAlignment="1">
      <alignment horizontal="center" vertical="center"/>
    </xf>
    <xf numFmtId="0" fontId="9" fillId="4" borderId="0" xfId="0" applyFont="1" applyFill="1" applyBorder="1" applyAlignment="1">
      <alignment horizontal="center" vertical="center"/>
    </xf>
    <xf numFmtId="0" fontId="15" fillId="76" borderId="0" xfId="0" applyFont="1" applyFill="1" applyBorder="1" applyAlignment="1">
      <alignment horizontal="left" vertical="center"/>
    </xf>
    <xf numFmtId="0" fontId="9" fillId="76" borderId="0" xfId="0" applyFont="1" applyFill="1" applyBorder="1" applyAlignment="1">
      <alignment horizontal="left" vertical="center"/>
    </xf>
    <xf numFmtId="0" fontId="71" fillId="5" borderId="0" xfId="8" applyFont="1" applyBorder="1" applyAlignment="1">
      <alignment horizontal="left"/>
    </xf>
    <xf numFmtId="0" fontId="122" fillId="5" borderId="0" xfId="8" applyFont="1" applyBorder="1"/>
    <xf numFmtId="10" fontId="9" fillId="6" borderId="48" xfId="0" applyNumberFormat="1" applyFont="1" applyFill="1" applyBorder="1" applyAlignment="1">
      <alignment horizontal="center" vertical="center"/>
    </xf>
    <xf numFmtId="168" fontId="9" fillId="150" borderId="23" xfId="0" applyNumberFormat="1" applyFont="1" applyFill="1" applyBorder="1" applyAlignment="1">
      <alignment horizontal="center" vertical="center"/>
    </xf>
    <xf numFmtId="2" fontId="9" fillId="21" borderId="23" xfId="0" applyNumberFormat="1" applyFont="1" applyFill="1" applyBorder="1" applyAlignment="1">
      <alignment horizontal="center" vertical="center"/>
    </xf>
    <xf numFmtId="2" fontId="9" fillId="6" borderId="23" xfId="0" applyNumberFormat="1" applyFont="1" applyFill="1" applyBorder="1" applyAlignment="1">
      <alignment horizontal="center" vertical="center"/>
    </xf>
    <xf numFmtId="10" fontId="9" fillId="6" borderId="23" xfId="0" applyNumberFormat="1" applyFont="1" applyFill="1" applyBorder="1" applyAlignment="1">
      <alignment horizontal="center" vertical="center"/>
    </xf>
    <xf numFmtId="10" fontId="9" fillId="6" borderId="39" xfId="0" applyNumberFormat="1" applyFont="1" applyFill="1" applyBorder="1" applyAlignment="1">
      <alignment horizontal="center" vertical="center"/>
    </xf>
    <xf numFmtId="0" fontId="9" fillId="150" borderId="23" xfId="0" applyFont="1" applyFill="1" applyBorder="1" applyAlignment="1">
      <alignment horizontal="center" vertical="center"/>
    </xf>
    <xf numFmtId="4" fontId="9" fillId="21" borderId="23"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6" borderId="39" xfId="0" applyNumberFormat="1" applyFont="1" applyFill="1" applyBorder="1" applyAlignment="1">
      <alignment horizontal="center" vertical="center"/>
    </xf>
    <xf numFmtId="0" fontId="122" fillId="5" borderId="47" xfId="8" applyFont="1" applyBorder="1"/>
    <xf numFmtId="0" fontId="9" fillId="5" borderId="48" xfId="0" applyFont="1" applyFill="1" applyBorder="1" applyAlignment="1">
      <alignment horizontal="left" vertical="center"/>
    </xf>
    <xf numFmtId="0" fontId="13" fillId="11" borderId="8" xfId="0" applyFont="1" applyFill="1" applyBorder="1" applyAlignment="1" applyProtection="1">
      <alignment vertical="center" wrapText="1"/>
      <protection hidden="1"/>
    </xf>
    <xf numFmtId="0" fontId="37" fillId="11" borderId="0" xfId="3" applyFont="1" applyFill="1" applyBorder="1" applyAlignment="1" applyProtection="1">
      <alignment horizontal="center" vertical="center"/>
      <protection hidden="1"/>
    </xf>
    <xf numFmtId="0" fontId="97" fillId="10" borderId="0" xfId="0" applyFont="1" applyFill="1" applyBorder="1" applyAlignment="1" applyProtection="1">
      <alignment vertical="center"/>
      <protection hidden="1"/>
    </xf>
    <xf numFmtId="0" fontId="9" fillId="10" borderId="52" xfId="0" applyFont="1" applyFill="1" applyBorder="1" applyAlignment="1" applyProtection="1">
      <protection hidden="1"/>
    </xf>
    <xf numFmtId="0" fontId="9" fillId="10" borderId="47" xfId="0" applyFont="1" applyFill="1" applyBorder="1" applyAlignment="1" applyProtection="1">
      <alignment horizontal="right"/>
      <protection hidden="1"/>
    </xf>
    <xf numFmtId="0" fontId="9" fillId="10" borderId="0" xfId="0" applyFont="1" applyFill="1" applyBorder="1" applyAlignment="1" applyProtection="1">
      <alignment horizontal="center"/>
      <protection hidden="1"/>
    </xf>
    <xf numFmtId="0" fontId="9" fillId="10" borderId="48" xfId="0" applyFont="1" applyFill="1" applyBorder="1" applyAlignment="1" applyProtection="1">
      <alignment horizontal="center"/>
      <protection hidden="1"/>
    </xf>
    <xf numFmtId="165" fontId="9" fillId="158" borderId="0" xfId="0" applyNumberFormat="1" applyFont="1" applyFill="1" applyAlignment="1" applyProtection="1">
      <alignment horizontal="center"/>
      <protection hidden="1"/>
    </xf>
    <xf numFmtId="0" fontId="9" fillId="158" borderId="0" xfId="0" applyFont="1" applyFill="1" applyBorder="1" applyAlignment="1" applyProtection="1">
      <alignment horizontal="center"/>
      <protection hidden="1"/>
    </xf>
    <xf numFmtId="0" fontId="19" fillId="158" borderId="0" xfId="0" applyFont="1" applyFill="1" applyAlignment="1" applyProtection="1">
      <alignment horizontal="center"/>
      <protection hidden="1"/>
    </xf>
    <xf numFmtId="0" fontId="11" fillId="158" borderId="0" xfId="0" applyFont="1" applyFill="1" applyAlignment="1" applyProtection="1">
      <protection hidden="1"/>
    </xf>
    <xf numFmtId="0" fontId="0" fillId="158" borderId="0" xfId="0" applyFill="1" applyAlignment="1" applyProtection="1">
      <protection hidden="1"/>
    </xf>
    <xf numFmtId="0" fontId="11" fillId="5" borderId="0" xfId="0" applyFont="1" applyFill="1" applyAlignment="1" applyProtection="1">
      <protection hidden="1"/>
    </xf>
    <xf numFmtId="165" fontId="9" fillId="5" borderId="0" xfId="0" applyNumberFormat="1" applyFont="1" applyFill="1" applyAlignment="1" applyProtection="1">
      <alignment horizontal="center"/>
      <protection hidden="1"/>
    </xf>
    <xf numFmtId="0" fontId="0" fillId="5" borderId="0" xfId="0" applyFill="1" applyBorder="1" applyAlignment="1" applyProtection="1">
      <alignment vertical="center" wrapText="1"/>
      <protection hidden="1"/>
    </xf>
    <xf numFmtId="0" fontId="127" fillId="5" borderId="0" xfId="0" applyFont="1" applyFill="1" applyBorder="1" applyAlignment="1" applyProtection="1">
      <alignment vertical="center"/>
      <protection hidden="1"/>
    </xf>
    <xf numFmtId="0" fontId="9" fillId="5" borderId="0" xfId="0" applyFont="1" applyFill="1" applyBorder="1" applyAlignment="1">
      <alignment horizontal="center" vertical="center"/>
    </xf>
    <xf numFmtId="0" fontId="71" fillId="5" borderId="0" xfId="8" applyFont="1" applyAlignment="1">
      <alignment horizontal="left"/>
    </xf>
    <xf numFmtId="0" fontId="47" fillId="5" borderId="0" xfId="0" applyFont="1" applyFill="1" applyAlignment="1"/>
    <xf numFmtId="0" fontId="47" fillId="5" borderId="0" xfId="0" applyFont="1" applyFill="1" applyAlignment="1">
      <alignment wrapText="1"/>
    </xf>
    <xf numFmtId="0" fontId="47" fillId="5" borderId="0" xfId="0" applyFont="1" applyFill="1" applyAlignment="1">
      <alignment horizontal="center"/>
    </xf>
    <xf numFmtId="0" fontId="9" fillId="36" borderId="0" xfId="0" applyFont="1" applyFill="1"/>
    <xf numFmtId="0" fontId="9" fillId="4" borderId="0" xfId="0" applyFont="1" applyFill="1"/>
    <xf numFmtId="0" fontId="9" fillId="5" borderId="15" xfId="0" applyFont="1" applyFill="1" applyBorder="1" applyAlignment="1">
      <alignment horizontal="left" vertical="center" wrapText="1"/>
    </xf>
    <xf numFmtId="0" fontId="128" fillId="5" borderId="15" xfId="0" applyFont="1" applyFill="1" applyBorder="1" applyAlignment="1">
      <alignment horizontal="left" vertical="center" wrapText="1"/>
    </xf>
    <xf numFmtId="0" fontId="12" fillId="5" borderId="15" xfId="0" applyFont="1" applyFill="1" applyBorder="1" applyAlignment="1">
      <alignment horizontal="left" vertical="center" wrapText="1"/>
    </xf>
    <xf numFmtId="2" fontId="9" fillId="5" borderId="0" xfId="0" applyNumberFormat="1" applyFont="1" applyFill="1" applyBorder="1" applyAlignment="1">
      <alignment horizontal="left"/>
    </xf>
    <xf numFmtId="0" fontId="9" fillId="262" borderId="15" xfId="0" applyFont="1" applyFill="1" applyBorder="1"/>
    <xf numFmtId="0" fontId="9" fillId="5" borderId="22" xfId="0" applyFont="1" applyFill="1" applyBorder="1" applyAlignment="1">
      <alignment vertical="center"/>
    </xf>
    <xf numFmtId="0" fontId="9" fillId="263" borderId="15" xfId="0" applyFont="1" applyFill="1" applyBorder="1" applyAlignment="1">
      <alignment vertical="center"/>
    </xf>
    <xf numFmtId="0" fontId="9" fillId="263" borderId="15" xfId="0" applyFont="1" applyFill="1" applyBorder="1" applyAlignment="1">
      <alignment horizontal="right" vertical="center" wrapText="1"/>
    </xf>
    <xf numFmtId="0" fontId="9" fillId="264" borderId="15" xfId="0" applyFont="1" applyFill="1" applyBorder="1" applyAlignment="1">
      <alignment horizontal="left" vertical="top" wrapText="1"/>
    </xf>
    <xf numFmtId="0" fontId="9" fillId="265" borderId="15" xfId="0" applyFont="1" applyFill="1" applyBorder="1" applyAlignment="1">
      <alignment horizontal="left" vertical="top" wrapText="1"/>
    </xf>
    <xf numFmtId="0" fontId="9" fillId="266" borderId="15" xfId="0" applyFont="1" applyFill="1" applyBorder="1" applyAlignment="1">
      <alignment horizontal="left" vertical="top" wrapText="1"/>
    </xf>
    <xf numFmtId="0" fontId="9" fillId="267" borderId="15" xfId="0" applyFont="1" applyFill="1" applyBorder="1"/>
    <xf numFmtId="0" fontId="9" fillId="267" borderId="15" xfId="0" applyFont="1" applyFill="1" applyBorder="1" applyAlignment="1">
      <alignment vertical="center"/>
    </xf>
    <xf numFmtId="0" fontId="47" fillId="267" borderId="15" xfId="0" applyFont="1" applyFill="1" applyBorder="1" applyAlignment="1">
      <alignment horizontal="right" wrapText="1"/>
    </xf>
    <xf numFmtId="0" fontId="47" fillId="267" borderId="15" xfId="0" applyFont="1" applyFill="1" applyBorder="1" applyAlignment="1">
      <alignment horizontal="right"/>
    </xf>
    <xf numFmtId="0" fontId="47" fillId="267" borderId="15" xfId="0" applyFont="1" applyFill="1" applyBorder="1" applyAlignment="1">
      <alignment horizontal="right" vertical="center" wrapText="1"/>
    </xf>
    <xf numFmtId="0" fontId="47" fillId="267" borderId="15" xfId="0" applyFont="1" applyFill="1" applyBorder="1" applyAlignment="1">
      <alignment vertical="center"/>
    </xf>
    <xf numFmtId="0" fontId="129" fillId="264" borderId="15" xfId="0" applyFont="1" applyFill="1" applyBorder="1" applyAlignment="1">
      <alignment horizontal="left" vertical="center"/>
    </xf>
    <xf numFmtId="0" fontId="129" fillId="264" borderId="15" xfId="0" applyFont="1" applyFill="1" applyBorder="1" applyAlignment="1">
      <alignment horizontal="left" vertical="center" wrapText="1"/>
    </xf>
    <xf numFmtId="0" fontId="9" fillId="265" borderId="15" xfId="0" applyFont="1" applyFill="1" applyBorder="1" applyAlignment="1">
      <alignment horizontal="left" vertical="center" wrapText="1"/>
    </xf>
    <xf numFmtId="0" fontId="9" fillId="262" borderId="15" xfId="0" applyFont="1" applyFill="1" applyBorder="1" applyAlignment="1">
      <alignment horizontal="right"/>
    </xf>
    <xf numFmtId="0" fontId="47" fillId="264" borderId="15" xfId="0" applyFont="1" applyFill="1" applyBorder="1" applyAlignment="1">
      <alignment vertical="center"/>
    </xf>
    <xf numFmtId="0" fontId="9" fillId="265" borderId="15" xfId="0" applyFont="1" applyFill="1" applyBorder="1" applyAlignment="1">
      <alignment horizontal="right" vertical="center" wrapText="1"/>
    </xf>
    <xf numFmtId="0" fontId="9" fillId="262" borderId="15" xfId="0" applyFont="1" applyFill="1" applyBorder="1" applyAlignment="1">
      <alignment horizontal="right" vertical="center"/>
    </xf>
    <xf numFmtId="0" fontId="0" fillId="264" borderId="15" xfId="0" applyFill="1" applyBorder="1"/>
    <xf numFmtId="0" fontId="28" fillId="5" borderId="0" xfId="0" applyFont="1" applyFill="1" applyBorder="1" applyAlignment="1">
      <alignment vertical="center" wrapText="1"/>
    </xf>
    <xf numFmtId="0" fontId="47" fillId="259" borderId="15" xfId="0" applyFont="1" applyFill="1" applyBorder="1" applyAlignment="1">
      <alignment wrapText="1"/>
    </xf>
    <xf numFmtId="0" fontId="37" fillId="5" borderId="15" xfId="0" applyFont="1" applyFill="1" applyBorder="1"/>
    <xf numFmtId="0" fontId="37" fillId="5" borderId="15" xfId="0" applyFont="1" applyFill="1" applyBorder="1" applyAlignment="1">
      <alignment vertical="center"/>
    </xf>
    <xf numFmtId="0" fontId="37" fillId="5" borderId="0" xfId="0" applyFont="1" applyFill="1" applyAlignment="1">
      <alignment horizontal="right"/>
    </xf>
    <xf numFmtId="0" fontId="37" fillId="5" borderId="15" xfId="0" applyFont="1" applyFill="1" applyBorder="1" applyAlignment="1">
      <alignment horizontal="right"/>
    </xf>
    <xf numFmtId="0" fontId="37" fillId="5" borderId="0" xfId="0" applyFont="1" applyFill="1"/>
    <xf numFmtId="0" fontId="5" fillId="5" borderId="0" xfId="0" applyFont="1" applyFill="1"/>
    <xf numFmtId="0" fontId="37" fillId="5" borderId="0" xfId="0" applyFont="1" applyFill="1" applyAlignment="1">
      <alignment vertical="center"/>
    </xf>
    <xf numFmtId="0" fontId="37" fillId="5" borderId="0" xfId="0" applyFont="1" applyFill="1" applyAlignment="1">
      <alignment horizontal="right" vertical="center"/>
    </xf>
    <xf numFmtId="0" fontId="37" fillId="5" borderId="15" xfId="0" applyFont="1" applyFill="1" applyBorder="1" applyAlignment="1">
      <alignment horizontal="left" vertical="center" wrapText="1"/>
    </xf>
    <xf numFmtId="0" fontId="37" fillId="5" borderId="0" xfId="0" applyFont="1" applyFill="1" applyBorder="1"/>
    <xf numFmtId="0" fontId="37" fillId="5" borderId="15" xfId="0" applyFont="1" applyFill="1" applyBorder="1" applyAlignment="1">
      <alignment horizontal="right" vertical="center"/>
    </xf>
    <xf numFmtId="0" fontId="10" fillId="5" borderId="0" xfId="0" applyFont="1" applyFill="1" applyAlignment="1">
      <alignment horizontal="right"/>
    </xf>
    <xf numFmtId="0" fontId="10" fillId="5" borderId="0" xfId="0" applyFont="1" applyFill="1"/>
    <xf numFmtId="0" fontId="9" fillId="5" borderId="15" xfId="0" applyFont="1" applyFill="1" applyBorder="1" applyAlignment="1"/>
    <xf numFmtId="0" fontId="11" fillId="5" borderId="0" xfId="0" applyFont="1" applyFill="1" applyAlignment="1">
      <alignment horizontal="right" vertical="center"/>
    </xf>
    <xf numFmtId="0" fontId="71" fillId="5" borderId="0" xfId="8" applyFont="1" applyAlignment="1">
      <alignment vertical="center"/>
    </xf>
    <xf numFmtId="4" fontId="37" fillId="4" borderId="15" xfId="0" applyNumberFormat="1" applyFont="1" applyFill="1" applyBorder="1"/>
    <xf numFmtId="4" fontId="37" fillId="36" borderId="15" xfId="0" applyNumberFormat="1" applyFont="1" applyFill="1" applyBorder="1" applyAlignment="1">
      <alignment horizontal="right"/>
    </xf>
    <xf numFmtId="0" fontId="9" fillId="5" borderId="97" xfId="0" applyFont="1" applyFill="1" applyBorder="1" applyAlignment="1">
      <alignment horizontal="right" vertical="center"/>
    </xf>
    <xf numFmtId="0" fontId="37" fillId="5" borderId="16" xfId="0" applyFont="1" applyFill="1" applyBorder="1"/>
    <xf numFmtId="0" fontId="37" fillId="5" borderId="16" xfId="0" applyFont="1" applyFill="1" applyBorder="1" applyAlignment="1">
      <alignment horizontal="right" vertical="center"/>
    </xf>
    <xf numFmtId="0" fontId="37" fillId="36" borderId="15" xfId="0" applyFont="1" applyFill="1" applyBorder="1" applyAlignment="1">
      <alignment vertical="center"/>
    </xf>
    <xf numFmtId="0" fontId="37" fillId="5" borderId="16" xfId="0" applyFont="1" applyFill="1" applyBorder="1" applyAlignment="1">
      <alignment horizontal="right"/>
    </xf>
    <xf numFmtId="4" fontId="9" fillId="5" borderId="15" xfId="0" applyNumberFormat="1" applyFont="1" applyFill="1" applyBorder="1" applyAlignment="1">
      <alignment horizontal="right" vertical="center"/>
    </xf>
    <xf numFmtId="0" fontId="12" fillId="5" borderId="15" xfId="0" applyFont="1" applyFill="1" applyBorder="1" applyAlignment="1">
      <alignment horizontal="left" vertical="center"/>
    </xf>
    <xf numFmtId="0" fontId="9" fillId="5" borderId="97" xfId="0" applyFont="1" applyFill="1" applyBorder="1" applyAlignment="1">
      <alignment horizontal="right"/>
    </xf>
    <xf numFmtId="0" fontId="77" fillId="5" borderId="0" xfId="0" applyFont="1" applyFill="1" applyAlignment="1">
      <alignment horizontal="left" vertical="center"/>
    </xf>
    <xf numFmtId="0" fontId="37" fillId="15" borderId="0" xfId="0" applyFont="1" applyFill="1" applyBorder="1" applyAlignment="1" applyProtection="1">
      <alignment horizontal="center" vertical="center"/>
      <protection hidden="1"/>
    </xf>
    <xf numFmtId="0" fontId="47" fillId="5" borderId="0" xfId="0" applyFont="1" applyFill="1" applyAlignment="1">
      <alignment horizontal="left" vertical="center"/>
    </xf>
    <xf numFmtId="0" fontId="104" fillId="5" borderId="0" xfId="0" applyFont="1" applyFill="1" applyAlignment="1">
      <alignment horizontal="left" vertical="center"/>
    </xf>
    <xf numFmtId="0" fontId="9" fillId="5" borderId="0" xfId="0" applyFont="1" applyFill="1" applyAlignment="1">
      <alignment horizontal="center"/>
    </xf>
    <xf numFmtId="0" fontId="12" fillId="5" borderId="0" xfId="0" applyFont="1" applyFill="1"/>
    <xf numFmtId="0" fontId="12" fillId="5" borderId="0" xfId="0" applyFont="1" applyFill="1" applyBorder="1"/>
    <xf numFmtId="165" fontId="12" fillId="12" borderId="5" xfId="2" applyNumberFormat="1" applyFont="1" applyFill="1" applyBorder="1" applyAlignment="1" applyProtection="1">
      <alignment horizontal="center" vertical="center"/>
      <protection hidden="1"/>
    </xf>
    <xf numFmtId="164" fontId="35" fillId="17" borderId="0" xfId="0" applyNumberFormat="1" applyFont="1" applyFill="1" applyBorder="1" applyAlignment="1" applyProtection="1">
      <alignment horizontal="center" vertical="center"/>
      <protection hidden="1"/>
    </xf>
    <xf numFmtId="0" fontId="37" fillId="5" borderId="0" xfId="1" applyFont="1" applyFill="1" applyAlignment="1" applyProtection="1">
      <alignment horizontal="right"/>
      <protection hidden="1"/>
    </xf>
    <xf numFmtId="165" fontId="37" fillId="5" borderId="0" xfId="1" applyNumberFormat="1" applyFont="1" applyFill="1" applyAlignment="1" applyProtection="1">
      <alignment horizontal="right"/>
      <protection hidden="1"/>
    </xf>
    <xf numFmtId="0" fontId="47" fillId="5" borderId="1" xfId="0" applyFont="1" applyFill="1" applyBorder="1" applyAlignment="1" applyProtection="1">
      <alignment horizontal="right" vertical="center"/>
      <protection hidden="1"/>
    </xf>
    <xf numFmtId="0" fontId="9" fillId="5" borderId="1" xfId="0" applyFont="1" applyFill="1" applyBorder="1" applyAlignment="1" applyProtection="1">
      <alignment horizontal="right" vertical="center"/>
      <protection hidden="1"/>
    </xf>
    <xf numFmtId="2" fontId="9" fillId="5" borderId="0" xfId="4" applyFont="1" applyFill="1" applyBorder="1" applyAlignment="1" applyProtection="1">
      <alignment horizontal="right" vertical="center"/>
      <protection hidden="1"/>
    </xf>
    <xf numFmtId="0" fontId="9" fillId="6" borderId="35" xfId="0" applyFont="1" applyFill="1" applyBorder="1" applyAlignment="1" applyProtection="1">
      <alignment horizontal="center" vertical="center" wrapText="1"/>
      <protection hidden="1"/>
    </xf>
    <xf numFmtId="0" fontId="0" fillId="5" borderId="52" xfId="0" applyFill="1" applyBorder="1" applyProtection="1">
      <protection hidden="1"/>
    </xf>
    <xf numFmtId="0" fontId="0" fillId="5" borderId="47" xfId="0" applyFill="1" applyBorder="1" applyProtection="1">
      <protection hidden="1"/>
    </xf>
    <xf numFmtId="0" fontId="37" fillId="6" borderId="52" xfId="1" applyFont="1" applyFill="1" applyBorder="1" applyProtection="1">
      <protection hidden="1"/>
    </xf>
    <xf numFmtId="0" fontId="118" fillId="0" borderId="0" xfId="0" applyFont="1"/>
    <xf numFmtId="0" fontId="9" fillId="5" borderId="0" xfId="0" quotePrefix="1" applyFont="1" applyFill="1" applyAlignment="1" applyProtection="1">
      <alignment horizontal="left" vertical="center"/>
      <protection hidden="1"/>
    </xf>
    <xf numFmtId="0" fontId="0" fillId="5" borderId="0" xfId="0" applyFont="1" applyFill="1" applyBorder="1" applyProtection="1">
      <protection hidden="1"/>
    </xf>
    <xf numFmtId="0" fontId="0" fillId="6" borderId="0" xfId="0" applyFill="1" applyBorder="1"/>
    <xf numFmtId="0" fontId="37" fillId="6" borderId="47" xfId="1" applyFont="1" applyFill="1" applyBorder="1" applyProtection="1">
      <protection hidden="1"/>
    </xf>
    <xf numFmtId="0" fontId="9" fillId="6" borderId="0" xfId="1" applyFont="1" applyFill="1" applyBorder="1" applyAlignment="1" applyProtection="1">
      <alignment horizontal="left" vertical="center"/>
      <protection hidden="1"/>
    </xf>
    <xf numFmtId="0" fontId="9" fillId="6" borderId="0" xfId="1" applyFont="1" applyFill="1" applyBorder="1" applyProtection="1">
      <protection hidden="1"/>
    </xf>
    <xf numFmtId="0" fontId="9" fillId="6" borderId="0" xfId="1" applyFont="1" applyFill="1" applyBorder="1" applyAlignment="1" applyProtection="1">
      <alignment horizontal="center" vertical="center"/>
      <protection hidden="1"/>
    </xf>
    <xf numFmtId="0" fontId="9" fillId="6" borderId="0" xfId="1" applyFont="1" applyFill="1" applyBorder="1" applyAlignment="1" applyProtection="1">
      <alignment horizontal="left"/>
      <protection hidden="1"/>
    </xf>
    <xf numFmtId="0" fontId="9" fillId="6" borderId="48" xfId="1" applyFont="1" applyFill="1" applyBorder="1" applyAlignment="1" applyProtection="1">
      <protection hidden="1"/>
    </xf>
    <xf numFmtId="0" fontId="9" fillId="6" borderId="47" xfId="1" applyFont="1" applyFill="1" applyBorder="1" applyProtection="1">
      <protection hidden="1"/>
    </xf>
    <xf numFmtId="0" fontId="37" fillId="6" borderId="48" xfId="1" applyFont="1" applyFill="1" applyBorder="1" applyProtection="1">
      <protection hidden="1"/>
    </xf>
    <xf numFmtId="0" fontId="12" fillId="6" borderId="0" xfId="0" applyFont="1" applyFill="1" applyBorder="1" applyAlignment="1" applyProtection="1">
      <alignment horizontal="left" vertical="center"/>
      <protection hidden="1"/>
    </xf>
    <xf numFmtId="0" fontId="32" fillId="5" borderId="0" xfId="0" applyFont="1" applyFill="1" applyBorder="1" applyProtection="1">
      <protection hidden="1"/>
    </xf>
    <xf numFmtId="0" fontId="14" fillId="5" borderId="36" xfId="0" applyFont="1" applyFill="1" applyBorder="1" applyAlignment="1" applyProtection="1">
      <alignment vertical="center"/>
      <protection hidden="1"/>
    </xf>
    <xf numFmtId="0" fontId="14" fillId="5" borderId="0" xfId="0" applyFont="1" applyFill="1" applyBorder="1" applyAlignment="1" applyProtection="1">
      <alignment vertical="center"/>
      <protection hidden="1"/>
    </xf>
    <xf numFmtId="0" fontId="14" fillId="5" borderId="23" xfId="0" applyFont="1" applyFill="1" applyBorder="1" applyAlignment="1" applyProtection="1">
      <alignment vertical="center"/>
      <protection hidden="1"/>
    </xf>
    <xf numFmtId="165" fontId="32" fillId="5" borderId="0" xfId="0" applyNumberFormat="1" applyFont="1" applyFill="1" applyBorder="1" applyAlignment="1" applyProtection="1">
      <alignment vertical="center"/>
      <protection hidden="1"/>
    </xf>
    <xf numFmtId="165" fontId="32" fillId="5" borderId="0" xfId="0" applyNumberFormat="1" applyFont="1" applyFill="1" applyBorder="1" applyAlignment="1" applyProtection="1">
      <alignment vertical="top"/>
      <protection hidden="1"/>
    </xf>
    <xf numFmtId="0" fontId="59" fillId="5" borderId="0" xfId="0" applyFont="1" applyFill="1" applyProtection="1">
      <protection hidden="1"/>
    </xf>
    <xf numFmtId="0" fontId="137" fillId="5" borderId="0" xfId="0" applyFont="1" applyFill="1" applyBorder="1" applyAlignment="1" applyProtection="1">
      <alignment vertical="center" wrapText="1"/>
      <protection hidden="1"/>
    </xf>
    <xf numFmtId="165" fontId="9" fillId="6" borderId="23" xfId="0" applyNumberFormat="1" applyFont="1" applyFill="1" applyBorder="1" applyAlignment="1" applyProtection="1">
      <alignment horizontal="right" vertical="center"/>
      <protection hidden="1"/>
    </xf>
    <xf numFmtId="0" fontId="39" fillId="5" borderId="0" xfId="0" applyFont="1" applyFill="1" applyBorder="1" applyAlignment="1" applyProtection="1">
      <alignment horizontal="left" vertical="center" wrapText="1"/>
      <protection hidden="1"/>
    </xf>
    <xf numFmtId="0" fontId="39" fillId="5" borderId="0" xfId="0" applyFont="1" applyFill="1" applyBorder="1" applyAlignment="1" applyProtection="1">
      <alignment horizontal="center" vertical="center" wrapText="1"/>
      <protection hidden="1"/>
    </xf>
    <xf numFmtId="0" fontId="9" fillId="269" borderId="35" xfId="0" applyFont="1" applyFill="1" applyBorder="1" applyAlignment="1" applyProtection="1">
      <alignment horizontal="center" vertical="center"/>
      <protection hidden="1"/>
    </xf>
    <xf numFmtId="0" fontId="9" fillId="269" borderId="36" xfId="0" applyFont="1" applyFill="1" applyBorder="1" applyAlignment="1" applyProtection="1">
      <alignment horizontal="center" vertical="center"/>
      <protection hidden="1"/>
    </xf>
    <xf numFmtId="165" fontId="9" fillId="269" borderId="36" xfId="0" applyNumberFormat="1" applyFont="1" applyFill="1" applyBorder="1" applyAlignment="1" applyProtection="1">
      <alignment horizontal="center" vertical="center"/>
      <protection hidden="1"/>
    </xf>
    <xf numFmtId="0" fontId="9" fillId="269" borderId="36" xfId="0" applyFont="1" applyFill="1" applyBorder="1" applyAlignment="1" applyProtection="1">
      <alignment horizontal="left" vertical="center"/>
      <protection hidden="1"/>
    </xf>
    <xf numFmtId="165" fontId="9" fillId="269" borderId="37" xfId="0" applyNumberFormat="1" applyFont="1" applyFill="1" applyBorder="1" applyAlignment="1" applyProtection="1">
      <alignment horizontal="center" vertical="center"/>
      <protection hidden="1"/>
    </xf>
    <xf numFmtId="0" fontId="9" fillId="269" borderId="47" xfId="0" applyFont="1" applyFill="1" applyBorder="1" applyAlignment="1" applyProtection="1">
      <alignment vertical="center"/>
      <protection hidden="1"/>
    </xf>
    <xf numFmtId="0" fontId="9" fillId="269" borderId="0" xfId="0" applyFont="1" applyFill="1" applyBorder="1" applyAlignment="1" applyProtection="1">
      <alignment vertical="center"/>
      <protection hidden="1"/>
    </xf>
    <xf numFmtId="0" fontId="48" fillId="269" borderId="0" xfId="0" applyFont="1" applyFill="1" applyBorder="1" applyAlignment="1" applyProtection="1">
      <alignment horizontal="center" vertical="center"/>
      <protection hidden="1"/>
    </xf>
    <xf numFmtId="0" fontId="9" fillId="269" borderId="0" xfId="0" applyFont="1" applyFill="1" applyBorder="1" applyAlignment="1" applyProtection="1">
      <alignment horizontal="left" vertical="center"/>
      <protection hidden="1"/>
    </xf>
    <xf numFmtId="0" fontId="9" fillId="269" borderId="48" xfId="0" applyFont="1" applyFill="1" applyBorder="1" applyAlignment="1" applyProtection="1">
      <alignment vertical="center"/>
      <protection hidden="1"/>
    </xf>
    <xf numFmtId="0" fontId="9" fillId="269" borderId="38" xfId="0" applyFont="1" applyFill="1" applyBorder="1" applyAlignment="1" applyProtection="1">
      <alignment vertical="center"/>
      <protection hidden="1"/>
    </xf>
    <xf numFmtId="0" fontId="9" fillId="269" borderId="23" xfId="0" applyFont="1" applyFill="1" applyBorder="1" applyAlignment="1" applyProtection="1">
      <alignment vertical="center"/>
      <protection hidden="1"/>
    </xf>
    <xf numFmtId="0" fontId="9" fillId="269" borderId="39" xfId="0" applyFont="1" applyFill="1" applyBorder="1" applyAlignment="1" applyProtection="1">
      <alignment vertical="center"/>
      <protection hidden="1"/>
    </xf>
    <xf numFmtId="0" fontId="9" fillId="269" borderId="0" xfId="0" applyFont="1" applyFill="1" applyBorder="1" applyProtection="1">
      <protection hidden="1"/>
    </xf>
    <xf numFmtId="0" fontId="9" fillId="269" borderId="48" xfId="0" applyFont="1" applyFill="1" applyBorder="1" applyProtection="1">
      <protection hidden="1"/>
    </xf>
    <xf numFmtId="0" fontId="9" fillId="269" borderId="47" xfId="0" applyFont="1" applyFill="1" applyBorder="1" applyProtection="1">
      <protection hidden="1"/>
    </xf>
    <xf numFmtId="0" fontId="9" fillId="269" borderId="35" xfId="0" applyFont="1" applyFill="1" applyBorder="1" applyProtection="1">
      <protection hidden="1"/>
    </xf>
    <xf numFmtId="0" fontId="9" fillId="269" borderId="36" xfId="0" applyFont="1" applyFill="1" applyBorder="1" applyProtection="1">
      <protection hidden="1"/>
    </xf>
    <xf numFmtId="0" fontId="9" fillId="269" borderId="37" xfId="0" applyFont="1" applyFill="1" applyBorder="1" applyProtection="1">
      <protection hidden="1"/>
    </xf>
    <xf numFmtId="0" fontId="9" fillId="269" borderId="23" xfId="0" applyFont="1" applyFill="1" applyBorder="1" applyAlignment="1" applyProtection="1">
      <alignment horizontal="center" vertical="center"/>
      <protection hidden="1"/>
    </xf>
    <xf numFmtId="0" fontId="9" fillId="269" borderId="23" xfId="0" applyFont="1" applyFill="1" applyBorder="1" applyAlignment="1" applyProtection="1">
      <alignment horizontal="left" vertical="center"/>
      <protection hidden="1"/>
    </xf>
    <xf numFmtId="164" fontId="37" fillId="5" borderId="27" xfId="0" applyNumberFormat="1" applyFont="1" applyFill="1" applyBorder="1" applyAlignment="1">
      <alignment horizontal="right"/>
    </xf>
    <xf numFmtId="164" fontId="37" fillId="5" borderId="15" xfId="0" applyNumberFormat="1" applyFont="1" applyFill="1" applyBorder="1" applyAlignment="1">
      <alignment horizontal="right"/>
    </xf>
    <xf numFmtId="165" fontId="9" fillId="5" borderId="0" xfId="0" applyNumberFormat="1" applyFont="1" applyFill="1" applyAlignment="1">
      <alignment horizontal="right"/>
    </xf>
    <xf numFmtId="0" fontId="37" fillId="15" borderId="0" xfId="0" applyFont="1" applyFill="1" applyBorder="1" applyAlignment="1" applyProtection="1">
      <alignment horizontal="left" vertical="center"/>
      <protection hidden="1"/>
    </xf>
    <xf numFmtId="0" fontId="9" fillId="5" borderId="31" xfId="0" applyFont="1" applyFill="1" applyBorder="1" applyAlignment="1" applyProtection="1">
      <alignment vertical="center"/>
      <protection hidden="1"/>
    </xf>
    <xf numFmtId="165" fontId="0" fillId="0" borderId="15" xfId="0" applyNumberFormat="1" applyBorder="1" applyAlignment="1">
      <alignment vertical="center"/>
    </xf>
    <xf numFmtId="4" fontId="37" fillId="5" borderId="15" xfId="0" applyNumberFormat="1" applyFont="1" applyFill="1" applyBorder="1" applyAlignment="1">
      <alignment horizontal="right"/>
    </xf>
    <xf numFmtId="0" fontId="111" fillId="5" borderId="15" xfId="0" applyFont="1" applyFill="1" applyBorder="1" applyAlignment="1">
      <alignment horizontal="right"/>
    </xf>
    <xf numFmtId="0" fontId="111" fillId="5" borderId="15" xfId="0" applyFont="1" applyFill="1" applyBorder="1" applyAlignment="1">
      <alignment vertical="center"/>
    </xf>
    <xf numFmtId="0" fontId="111" fillId="5" borderId="15" xfId="0" applyFont="1" applyFill="1" applyBorder="1" applyAlignment="1">
      <alignment horizontal="right" vertical="center"/>
    </xf>
    <xf numFmtId="0" fontId="111" fillId="5" borderId="15" xfId="0" applyFont="1" applyFill="1" applyBorder="1" applyAlignment="1">
      <alignment horizontal="right" vertical="center" wrapText="1"/>
    </xf>
    <xf numFmtId="0" fontId="37" fillId="5" borderId="28" xfId="0" applyFont="1" applyFill="1" applyBorder="1"/>
    <xf numFmtId="0" fontId="37" fillId="5" borderId="28" xfId="0" applyFont="1" applyFill="1" applyBorder="1" applyAlignment="1">
      <alignment vertical="center"/>
    </xf>
    <xf numFmtId="0" fontId="37" fillId="5" borderId="28" xfId="0" applyFont="1" applyFill="1" applyBorder="1" applyAlignment="1">
      <alignment horizontal="right"/>
    </xf>
    <xf numFmtId="0" fontId="37" fillId="5" borderId="31" xfId="0" applyFont="1" applyFill="1" applyBorder="1" applyAlignment="1">
      <alignment horizontal="right" vertical="center"/>
    </xf>
    <xf numFmtId="0" fontId="37" fillId="5" borderId="27" xfId="0" applyFont="1" applyFill="1" applyBorder="1" applyAlignment="1">
      <alignment horizontal="right" vertical="center"/>
    </xf>
    <xf numFmtId="4" fontId="37" fillId="36" borderId="27" xfId="0" applyNumberFormat="1" applyFont="1" applyFill="1" applyBorder="1" applyAlignment="1">
      <alignment horizontal="right" vertical="center"/>
    </xf>
    <xf numFmtId="0" fontId="37" fillId="36" borderId="27" xfId="0" applyFont="1" applyFill="1" applyBorder="1" applyAlignment="1">
      <alignment vertical="center"/>
    </xf>
    <xf numFmtId="0" fontId="37" fillId="5" borderId="27" xfId="0" applyFont="1" applyFill="1" applyBorder="1" applyAlignment="1">
      <alignment vertical="center"/>
    </xf>
    <xf numFmtId="4" fontId="37" fillId="5" borderId="27" xfId="0" applyNumberFormat="1" applyFont="1" applyFill="1" applyBorder="1" applyAlignment="1">
      <alignment horizontal="right"/>
    </xf>
    <xf numFmtId="0" fontId="37" fillId="5" borderId="30" xfId="0" applyFont="1" applyFill="1" applyBorder="1" applyAlignment="1">
      <alignment vertical="center"/>
    </xf>
    <xf numFmtId="168" fontId="37" fillId="5" borderId="0" xfId="0" applyNumberFormat="1" applyFont="1" applyFill="1"/>
    <xf numFmtId="4" fontId="37" fillId="0" borderId="15" xfId="0" applyNumberFormat="1" applyFont="1" applyBorder="1"/>
    <xf numFmtId="168" fontId="37" fillId="0" borderId="15" xfId="0" applyNumberFormat="1" applyFont="1" applyBorder="1"/>
    <xf numFmtId="168" fontId="37" fillId="0" borderId="16" xfId="0" applyNumberFormat="1" applyFont="1" applyBorder="1"/>
    <xf numFmtId="4" fontId="37" fillId="0" borderId="27" xfId="0" applyNumberFormat="1" applyFont="1" applyBorder="1"/>
    <xf numFmtId="168" fontId="37" fillId="0" borderId="27" xfId="0" applyNumberFormat="1" applyFont="1" applyBorder="1"/>
    <xf numFmtId="168" fontId="37" fillId="0" borderId="30" xfId="0" applyNumberFormat="1" applyFont="1" applyBorder="1"/>
    <xf numFmtId="168" fontId="9" fillId="21" borderId="0" xfId="0" applyNumberFormat="1" applyFont="1" applyFill="1" applyBorder="1" applyAlignment="1">
      <alignment horizontal="center" vertical="center"/>
    </xf>
    <xf numFmtId="168" fontId="9" fillId="21" borderId="23" xfId="0" applyNumberFormat="1" applyFont="1" applyFill="1" applyBorder="1" applyAlignment="1">
      <alignment horizontal="center" vertical="center"/>
    </xf>
    <xf numFmtId="168" fontId="37" fillId="5" borderId="0" xfId="0" applyNumberFormat="1" applyFont="1" applyFill="1" applyBorder="1"/>
    <xf numFmtId="0" fontId="9" fillId="38" borderId="17" xfId="0" applyFont="1" applyFill="1" applyBorder="1"/>
    <xf numFmtId="165" fontId="9" fillId="5" borderId="18" xfId="0" applyNumberFormat="1" applyFont="1" applyFill="1" applyBorder="1"/>
    <xf numFmtId="0" fontId="9" fillId="38" borderId="97" xfId="0" applyFont="1" applyFill="1" applyBorder="1"/>
    <xf numFmtId="165" fontId="9" fillId="5" borderId="19" xfId="0" applyNumberFormat="1" applyFont="1" applyFill="1" applyBorder="1"/>
    <xf numFmtId="0" fontId="9" fillId="5" borderId="20" xfId="0" applyFont="1" applyFill="1" applyBorder="1"/>
    <xf numFmtId="165" fontId="9" fillId="5" borderId="21" xfId="0" applyNumberFormat="1" applyFont="1" applyFill="1" applyBorder="1"/>
    <xf numFmtId="0" fontId="47" fillId="5" borderId="13" xfId="0" applyFont="1" applyFill="1" applyBorder="1"/>
    <xf numFmtId="0" fontId="47" fillId="5" borderId="22" xfId="0" applyFont="1" applyFill="1" applyBorder="1"/>
    <xf numFmtId="0" fontId="47" fillId="5" borderId="31" xfId="0" applyFont="1" applyFill="1" applyBorder="1"/>
    <xf numFmtId="0" fontId="47" fillId="5" borderId="30" xfId="0" applyFont="1" applyFill="1" applyBorder="1"/>
    <xf numFmtId="4" fontId="47" fillId="5" borderId="22" xfId="0" applyNumberFormat="1" applyFont="1" applyFill="1" applyBorder="1"/>
    <xf numFmtId="0" fontId="47" fillId="5" borderId="15" xfId="0" quotePrefix="1" applyFont="1" applyFill="1" applyBorder="1" applyAlignment="1">
      <alignment horizontal="right"/>
    </xf>
    <xf numFmtId="4" fontId="47" fillId="5" borderId="27" xfId="0" applyNumberFormat="1" applyFont="1" applyFill="1" applyBorder="1" applyAlignment="1">
      <alignment horizontal="right"/>
    </xf>
    <xf numFmtId="4" fontId="47" fillId="5" borderId="16" xfId="0" applyNumberFormat="1" applyFont="1" applyFill="1" applyBorder="1" applyAlignment="1">
      <alignment horizontal="right"/>
    </xf>
    <xf numFmtId="4" fontId="47" fillId="5" borderId="30" xfId="0" applyNumberFormat="1" applyFont="1" applyFill="1" applyBorder="1" applyAlignment="1">
      <alignment horizontal="right"/>
    </xf>
    <xf numFmtId="4" fontId="47" fillId="5" borderId="15" xfId="0" quotePrefix="1" applyNumberFormat="1" applyFont="1" applyFill="1" applyBorder="1" applyAlignment="1">
      <alignment horizontal="right"/>
    </xf>
    <xf numFmtId="4" fontId="47" fillId="5" borderId="22" xfId="0" applyNumberFormat="1" applyFont="1" applyFill="1" applyBorder="1" applyAlignment="1">
      <alignment horizontal="right"/>
    </xf>
    <xf numFmtId="0" fontId="99" fillId="5" borderId="22" xfId="0" applyFont="1" applyFill="1" applyBorder="1"/>
    <xf numFmtId="0" fontId="0" fillId="5" borderId="16" xfId="0" applyFill="1" applyBorder="1" applyAlignment="1">
      <alignment horizontal="right"/>
    </xf>
    <xf numFmtId="0" fontId="0" fillId="5" borderId="30" xfId="0" applyFill="1" applyBorder="1" applyAlignment="1">
      <alignment horizontal="right"/>
    </xf>
    <xf numFmtId="0" fontId="47" fillId="5" borderId="22" xfId="0" quotePrefix="1" applyFont="1" applyFill="1" applyBorder="1" applyAlignment="1">
      <alignment horizontal="right"/>
    </xf>
    <xf numFmtId="44" fontId="47" fillId="5" borderId="13" xfId="0" applyNumberFormat="1" applyFont="1" applyFill="1" applyBorder="1"/>
    <xf numFmtId="44" fontId="47" fillId="5" borderId="22" xfId="0" applyNumberFormat="1" applyFont="1" applyFill="1" applyBorder="1"/>
    <xf numFmtId="44" fontId="99" fillId="5" borderId="22" xfId="0" applyNumberFormat="1" applyFont="1" applyFill="1" applyBorder="1"/>
    <xf numFmtId="44" fontId="99" fillId="5" borderId="29" xfId="0" applyNumberFormat="1" applyFont="1" applyFill="1" applyBorder="1"/>
    <xf numFmtId="44" fontId="47" fillId="5" borderId="28" xfId="0" applyNumberFormat="1" applyFont="1" applyFill="1" applyBorder="1"/>
    <xf numFmtId="44" fontId="47" fillId="5" borderId="31" xfId="0" applyNumberFormat="1" applyFont="1" applyFill="1" applyBorder="1"/>
    <xf numFmtId="0" fontId="13" fillId="6" borderId="52" xfId="0" applyFont="1" applyFill="1" applyBorder="1" applyAlignment="1" applyProtection="1">
      <alignment horizontal="center" vertical="top" wrapText="1"/>
      <protection hidden="1"/>
    </xf>
    <xf numFmtId="0" fontId="13" fillId="183" borderId="52" xfId="0" applyFont="1" applyFill="1" applyBorder="1" applyAlignment="1" applyProtection="1">
      <alignment horizontal="center" vertical="top" wrapText="1"/>
      <protection hidden="1"/>
    </xf>
    <xf numFmtId="0" fontId="9" fillId="257" borderId="0" xfId="0" applyFont="1" applyFill="1" applyBorder="1" applyAlignment="1" applyProtection="1">
      <alignment horizontal="left" vertical="center"/>
      <protection hidden="1"/>
    </xf>
    <xf numFmtId="0" fontId="13" fillId="183" borderId="52" xfId="0" applyFont="1" applyFill="1" applyBorder="1" applyAlignment="1" applyProtection="1">
      <alignment horizontal="center" vertical="center" wrapText="1"/>
      <protection hidden="1"/>
    </xf>
    <xf numFmtId="0" fontId="9" fillId="5" borderId="47" xfId="0" applyFont="1" applyFill="1" applyBorder="1" applyAlignment="1">
      <alignment horizontal="center" vertical="center"/>
    </xf>
    <xf numFmtId="0" fontId="9" fillId="5" borderId="0" xfId="0" applyFont="1" applyFill="1" applyBorder="1" applyAlignment="1">
      <alignment horizontal="center" vertical="center"/>
    </xf>
    <xf numFmtId="0" fontId="9" fillId="36" borderId="35" xfId="0" applyFont="1" applyFill="1" applyBorder="1" applyAlignment="1">
      <alignment horizontal="center" vertical="center"/>
    </xf>
    <xf numFmtId="0" fontId="9" fillId="36" borderId="36" xfId="0" applyFont="1" applyFill="1" applyBorder="1" applyAlignment="1">
      <alignment horizontal="center" vertical="center"/>
    </xf>
    <xf numFmtId="0" fontId="9" fillId="5" borderId="48" xfId="0" applyFont="1" applyFill="1" applyBorder="1" applyAlignment="1">
      <alignment horizontal="center" vertical="center"/>
    </xf>
    <xf numFmtId="0" fontId="9" fillId="170" borderId="0" xfId="0" applyFont="1" applyFill="1" applyBorder="1" applyAlignment="1" applyProtection="1">
      <alignment horizontal="left" vertical="center"/>
      <protection hidden="1"/>
    </xf>
    <xf numFmtId="0" fontId="9" fillId="5" borderId="0" xfId="0" applyFont="1" applyFill="1" applyBorder="1" applyAlignment="1">
      <alignment horizontal="center" vertical="center"/>
    </xf>
    <xf numFmtId="0" fontId="9" fillId="5" borderId="48" xfId="0" applyFont="1" applyFill="1" applyBorder="1" applyAlignment="1">
      <alignment horizontal="center" vertical="center"/>
    </xf>
    <xf numFmtId="0" fontId="9" fillId="5" borderId="47" xfId="0" applyFont="1" applyFill="1" applyBorder="1" applyAlignment="1">
      <alignment horizontal="center" vertical="center"/>
    </xf>
    <xf numFmtId="0" fontId="9" fillId="36" borderId="36" xfId="0" applyFont="1" applyFill="1" applyBorder="1" applyAlignment="1">
      <alignment horizontal="center" vertical="center"/>
    </xf>
    <xf numFmtId="0" fontId="37" fillId="5" borderId="27" xfId="0" applyFont="1" applyFill="1" applyBorder="1" applyAlignment="1">
      <alignment horizontal="right"/>
    </xf>
    <xf numFmtId="4" fontId="4" fillId="0" borderId="0" xfId="0" applyNumberFormat="1" applyFont="1"/>
    <xf numFmtId="2" fontId="4" fillId="0" borderId="0" xfId="0" applyNumberFormat="1" applyFont="1"/>
    <xf numFmtId="0" fontId="47" fillId="5" borderId="0" xfId="0" applyFont="1" applyFill="1" applyAlignment="1">
      <alignment horizontal="left" vertical="center" wrapText="1"/>
    </xf>
    <xf numFmtId="0" fontId="37" fillId="5" borderId="28" xfId="0" applyFont="1" applyFill="1" applyBorder="1" applyAlignment="1">
      <alignment horizontal="left"/>
    </xf>
    <xf numFmtId="0" fontId="37" fillId="5" borderId="28" xfId="0" applyFont="1" applyFill="1" applyBorder="1" applyAlignment="1">
      <alignment horizontal="left" vertical="center"/>
    </xf>
    <xf numFmtId="0" fontId="37" fillId="5" borderId="31" xfId="0" applyFont="1" applyFill="1" applyBorder="1" applyAlignment="1">
      <alignment horizontal="left" vertical="center"/>
    </xf>
    <xf numFmtId="0" fontId="37" fillId="5" borderId="31" xfId="0" applyFont="1" applyFill="1" applyBorder="1"/>
    <xf numFmtId="4" fontId="37" fillId="4" borderId="27" xfId="0" applyNumberFormat="1" applyFont="1" applyFill="1" applyBorder="1"/>
    <xf numFmtId="0" fontId="37" fillId="5" borderId="27" xfId="0" applyFont="1" applyFill="1" applyBorder="1"/>
    <xf numFmtId="0" fontId="111" fillId="5" borderId="27" xfId="0" applyFont="1" applyFill="1" applyBorder="1" applyAlignment="1">
      <alignment vertical="center"/>
    </xf>
    <xf numFmtId="0" fontId="37" fillId="5" borderId="30" xfId="0" applyFont="1" applyFill="1" applyBorder="1"/>
    <xf numFmtId="0" fontId="37" fillId="5" borderId="108" xfId="0" applyFont="1" applyFill="1" applyBorder="1" applyAlignment="1">
      <alignment horizontal="right"/>
    </xf>
    <xf numFmtId="0" fontId="37" fillId="5" borderId="108" xfId="0" applyFont="1" applyFill="1" applyBorder="1"/>
    <xf numFmtId="0" fontId="37" fillId="5" borderId="109" xfId="0" applyFont="1" applyFill="1" applyBorder="1" applyAlignment="1">
      <alignment horizontal="right"/>
    </xf>
    <xf numFmtId="4" fontId="37" fillId="36" borderId="109" xfId="0" applyNumberFormat="1" applyFont="1" applyFill="1" applyBorder="1" applyAlignment="1">
      <alignment horizontal="right"/>
    </xf>
    <xf numFmtId="0" fontId="37" fillId="36" borderId="109" xfId="0" applyFont="1" applyFill="1" applyBorder="1" applyAlignment="1">
      <alignment vertical="center"/>
    </xf>
    <xf numFmtId="4" fontId="37" fillId="5" borderId="109" xfId="0" applyNumberFormat="1" applyFont="1" applyFill="1" applyBorder="1" applyAlignment="1">
      <alignment horizontal="right"/>
    </xf>
    <xf numFmtId="0" fontId="37" fillId="5" borderId="110" xfId="0" applyFont="1" applyFill="1" applyBorder="1"/>
    <xf numFmtId="0" fontId="9" fillId="5" borderId="0" xfId="0" applyFont="1" applyFill="1" applyAlignment="1">
      <alignment horizontal="right" vertical="top"/>
    </xf>
    <xf numFmtId="0" fontId="37" fillId="3" borderId="109" xfId="0" applyFont="1" applyFill="1" applyBorder="1" applyAlignment="1">
      <alignment vertical="center"/>
    </xf>
    <xf numFmtId="0" fontId="37" fillId="3" borderId="15" xfId="0" applyFont="1" applyFill="1" applyBorder="1" applyAlignment="1">
      <alignment vertical="center"/>
    </xf>
    <xf numFmtId="0" fontId="37" fillId="5" borderId="13" xfId="0" applyFont="1" applyFill="1" applyBorder="1" applyAlignment="1">
      <alignment horizontal="left"/>
    </xf>
    <xf numFmtId="0" fontId="37" fillId="5" borderId="22" xfId="0" applyFont="1" applyFill="1" applyBorder="1" applyAlignment="1">
      <alignment horizontal="left"/>
    </xf>
    <xf numFmtId="0" fontId="37" fillId="5" borderId="22" xfId="0" applyFont="1" applyFill="1" applyBorder="1" applyAlignment="1">
      <alignment horizontal="left" wrapText="1"/>
    </xf>
    <xf numFmtId="0" fontId="37" fillId="5" borderId="29" xfId="0" applyFont="1" applyFill="1" applyBorder="1" applyAlignment="1">
      <alignment horizontal="left"/>
    </xf>
    <xf numFmtId="4" fontId="9" fillId="4" borderId="15" xfId="0" applyNumberFormat="1" applyFont="1" applyFill="1" applyBorder="1"/>
    <xf numFmtId="0" fontId="0" fillId="5" borderId="48" xfId="0" applyFill="1" applyBorder="1"/>
    <xf numFmtId="0" fontId="9" fillId="5" borderId="39" xfId="0" applyFont="1" applyFill="1" applyBorder="1" applyAlignment="1">
      <alignment horizontal="center" vertical="center"/>
    </xf>
    <xf numFmtId="165" fontId="0" fillId="0" borderId="16" xfId="0" applyNumberFormat="1" applyBorder="1" applyAlignment="1">
      <alignment vertical="center"/>
    </xf>
    <xf numFmtId="165" fontId="0" fillId="0" borderId="27" xfId="0" applyNumberFormat="1" applyBorder="1" applyAlignment="1">
      <alignment vertical="center"/>
    </xf>
    <xf numFmtId="165" fontId="0" fillId="0" borderId="30" xfId="0" applyNumberFormat="1" applyBorder="1" applyAlignment="1">
      <alignment vertical="center"/>
    </xf>
    <xf numFmtId="0" fontId="141" fillId="5" borderId="0" xfId="0" applyFont="1" applyFill="1"/>
    <xf numFmtId="165" fontId="9" fillId="21" borderId="0" xfId="0" applyNumberFormat="1" applyFont="1" applyFill="1" applyBorder="1" applyAlignment="1">
      <alignment horizontal="center" vertical="center"/>
    </xf>
    <xf numFmtId="165" fontId="9" fillId="21" borderId="23" xfId="0" applyNumberFormat="1" applyFont="1" applyFill="1" applyBorder="1" applyAlignment="1">
      <alignment horizontal="center" vertical="center"/>
    </xf>
    <xf numFmtId="0" fontId="9" fillId="257" borderId="37" xfId="0" applyFont="1" applyFill="1" applyBorder="1" applyAlignment="1" applyProtection="1">
      <alignment horizontal="left" vertical="center"/>
      <protection hidden="1"/>
    </xf>
    <xf numFmtId="0" fontId="9" fillId="257" borderId="48" xfId="0" applyFont="1" applyFill="1" applyBorder="1" applyAlignment="1" applyProtection="1">
      <alignment horizontal="left" vertical="center"/>
      <protection hidden="1"/>
    </xf>
    <xf numFmtId="0" fontId="12" fillId="257" borderId="39" xfId="0" applyFont="1" applyFill="1" applyBorder="1" applyAlignment="1" applyProtection="1">
      <alignment horizontal="left" vertical="center"/>
      <protection hidden="1"/>
    </xf>
    <xf numFmtId="0" fontId="9" fillId="79" borderId="0" xfId="0" applyFont="1" applyFill="1" applyAlignment="1">
      <alignment vertical="center"/>
    </xf>
    <xf numFmtId="0" fontId="9" fillId="36" borderId="35" xfId="0" applyFont="1" applyFill="1" applyBorder="1" applyAlignment="1">
      <alignment vertical="center"/>
    </xf>
    <xf numFmtId="0" fontId="9" fillId="36" borderId="36" xfId="0" applyFont="1" applyFill="1" applyBorder="1" applyAlignment="1">
      <alignment vertical="center"/>
    </xf>
    <xf numFmtId="0" fontId="9" fillId="5" borderId="47" xfId="0" applyFont="1" applyFill="1" applyBorder="1" applyAlignment="1">
      <alignment vertical="center"/>
    </xf>
    <xf numFmtId="0" fontId="99" fillId="257" borderId="38" xfId="0" applyFont="1" applyFill="1" applyBorder="1" applyAlignment="1">
      <alignment vertical="center"/>
    </xf>
    <xf numFmtId="0" fontId="99" fillId="257" borderId="39" xfId="0" applyFont="1" applyFill="1" applyBorder="1" applyAlignment="1">
      <alignment vertical="center"/>
    </xf>
    <xf numFmtId="0" fontId="0" fillId="257" borderId="47" xfId="0" applyFill="1" applyBorder="1" applyAlignment="1">
      <alignment vertical="center"/>
    </xf>
    <xf numFmtId="0" fontId="0" fillId="257" borderId="48" xfId="0" applyFill="1" applyBorder="1" applyAlignment="1">
      <alignment vertical="center"/>
    </xf>
    <xf numFmtId="0" fontId="9" fillId="36" borderId="36" xfId="0" applyFont="1" applyFill="1" applyBorder="1" applyAlignment="1">
      <alignment horizontal="left" vertical="center"/>
    </xf>
    <xf numFmtId="0" fontId="9" fillId="271" borderId="36" xfId="0" applyFont="1" applyFill="1" applyBorder="1" applyAlignment="1">
      <alignment horizontal="center" vertical="center"/>
    </xf>
    <xf numFmtId="0" fontId="9" fillId="271" borderId="37" xfId="0" applyFont="1" applyFill="1" applyBorder="1" applyAlignment="1">
      <alignment horizontal="center" vertical="center"/>
    </xf>
    <xf numFmtId="0" fontId="9" fillId="271" borderId="35" xfId="0" applyFont="1" applyFill="1" applyBorder="1" applyAlignment="1">
      <alignment horizontal="center" vertical="center"/>
    </xf>
    <xf numFmtId="0" fontId="9" fillId="272" borderId="37" xfId="0" applyFont="1" applyFill="1" applyBorder="1" applyAlignment="1">
      <alignment horizontal="center" vertical="center"/>
    </xf>
    <xf numFmtId="0" fontId="9" fillId="5" borderId="52" xfId="0" applyFont="1" applyFill="1" applyBorder="1" applyAlignment="1">
      <alignment horizontal="center" vertical="center"/>
    </xf>
    <xf numFmtId="10" fontId="9" fillId="5" borderId="52" xfId="0" applyNumberFormat="1" applyFont="1" applyFill="1" applyBorder="1" applyAlignment="1">
      <alignment horizontal="center" vertical="center"/>
    </xf>
    <xf numFmtId="0" fontId="9" fillId="271" borderId="35" xfId="0" applyFont="1" applyFill="1" applyBorder="1" applyAlignment="1">
      <alignment vertical="center"/>
    </xf>
    <xf numFmtId="0" fontId="9" fillId="271" borderId="36" xfId="0" applyFont="1" applyFill="1" applyBorder="1" applyAlignment="1">
      <alignment vertical="center"/>
    </xf>
    <xf numFmtId="0" fontId="55" fillId="273" borderId="35" xfId="0" applyFont="1" applyFill="1" applyBorder="1" applyAlignment="1" applyProtection="1">
      <alignment horizontal="right" vertical="center"/>
      <protection hidden="1"/>
    </xf>
    <xf numFmtId="0" fontId="79" fillId="273" borderId="37" xfId="0" applyFont="1" applyFill="1" applyBorder="1" applyAlignment="1" applyProtection="1">
      <alignment vertical="center"/>
      <protection hidden="1"/>
    </xf>
    <xf numFmtId="0" fontId="55" fillId="273" borderId="38" xfId="0" applyFont="1" applyFill="1" applyBorder="1" applyAlignment="1" applyProtection="1">
      <alignment horizontal="right" vertical="center"/>
      <protection hidden="1"/>
    </xf>
    <xf numFmtId="0" fontId="79" fillId="273" borderId="39" xfId="0" applyFont="1" applyFill="1" applyBorder="1" applyAlignment="1" applyProtection="1">
      <alignment vertical="center"/>
      <protection hidden="1"/>
    </xf>
    <xf numFmtId="0" fontId="9" fillId="253" borderId="8" xfId="0" applyFont="1" applyFill="1" applyBorder="1" applyProtection="1">
      <protection hidden="1"/>
    </xf>
    <xf numFmtId="0" fontId="13" fillId="253" borderId="52" xfId="0" applyFont="1" applyFill="1" applyBorder="1" applyAlignment="1" applyProtection="1">
      <alignment vertical="top" wrapText="1"/>
      <protection hidden="1"/>
    </xf>
    <xf numFmtId="0" fontId="13" fillId="253" borderId="9" xfId="0" applyFont="1" applyFill="1" applyBorder="1" applyAlignment="1" applyProtection="1">
      <alignment vertical="top" wrapText="1"/>
      <protection hidden="1"/>
    </xf>
    <xf numFmtId="0" fontId="79" fillId="258" borderId="37" xfId="0" applyFont="1" applyFill="1" applyBorder="1" applyAlignment="1" applyProtection="1">
      <alignment vertical="center"/>
      <protection hidden="1"/>
    </xf>
    <xf numFmtId="0" fontId="79" fillId="258" borderId="39" xfId="0" applyFont="1" applyFill="1" applyBorder="1" applyAlignment="1" applyProtection="1">
      <alignment vertical="center"/>
      <protection hidden="1"/>
    </xf>
    <xf numFmtId="0" fontId="0" fillId="183" borderId="47" xfId="0" applyFill="1" applyBorder="1" applyAlignment="1" applyProtection="1">
      <alignment vertical="center"/>
      <protection hidden="1"/>
    </xf>
    <xf numFmtId="0" fontId="0" fillId="183" borderId="48" xfId="0" applyFill="1" applyBorder="1" applyAlignment="1" applyProtection="1">
      <alignment vertical="center"/>
      <protection hidden="1"/>
    </xf>
    <xf numFmtId="0" fontId="0" fillId="183" borderId="47" xfId="0" applyFill="1" applyBorder="1" applyAlignment="1" applyProtection="1">
      <alignment horizontal="center" vertical="center"/>
      <protection hidden="1"/>
    </xf>
    <xf numFmtId="0" fontId="0" fillId="183" borderId="48" xfId="0" applyFill="1" applyBorder="1" applyAlignment="1" applyProtection="1">
      <alignment horizontal="center" vertical="center"/>
      <protection hidden="1"/>
    </xf>
    <xf numFmtId="0" fontId="39" fillId="9" borderId="6" xfId="0" applyFont="1" applyFill="1" applyBorder="1" applyAlignment="1" applyProtection="1">
      <alignment vertical="center"/>
      <protection hidden="1"/>
    </xf>
    <xf numFmtId="0" fontId="79" fillId="5" borderId="0" xfId="0" applyFont="1" applyFill="1" applyBorder="1" applyAlignment="1" applyProtection="1">
      <alignment horizontal="center" vertical="center"/>
      <protection hidden="1"/>
    </xf>
    <xf numFmtId="0" fontId="87" fillId="143" borderId="0" xfId="0" applyFont="1" applyFill="1" applyBorder="1" applyAlignment="1" applyProtection="1">
      <alignment horizontal="left" vertical="center"/>
      <protection hidden="1"/>
    </xf>
    <xf numFmtId="0" fontId="9" fillId="186" borderId="36" xfId="0" applyFont="1" applyFill="1" applyBorder="1" applyAlignment="1" applyProtection="1">
      <alignment horizontal="left" vertical="center"/>
      <protection hidden="1"/>
    </xf>
    <xf numFmtId="0" fontId="9" fillId="186" borderId="0" xfId="0" applyFont="1" applyFill="1" applyBorder="1" applyAlignment="1" applyProtection="1">
      <alignment horizontal="left" vertical="center"/>
      <protection hidden="1"/>
    </xf>
    <xf numFmtId="0" fontId="9" fillId="186" borderId="23" xfId="0" applyFont="1" applyFill="1" applyBorder="1" applyAlignment="1" applyProtection="1">
      <alignment horizontal="left" vertical="center"/>
      <protection hidden="1"/>
    </xf>
    <xf numFmtId="0" fontId="9" fillId="256" borderId="0" xfId="0" applyFont="1" applyFill="1" applyBorder="1" applyAlignment="1" applyProtection="1">
      <alignment horizontal="left" vertical="center"/>
      <protection hidden="1"/>
    </xf>
    <xf numFmtId="0" fontId="39" fillId="9" borderId="6" xfId="0" applyFont="1" applyFill="1" applyBorder="1" applyAlignment="1" applyProtection="1">
      <alignment horizontal="left" vertical="center"/>
      <protection hidden="1"/>
    </xf>
    <xf numFmtId="0" fontId="17" fillId="5" borderId="0" xfId="0" applyFont="1" applyFill="1" applyBorder="1" applyAlignment="1" applyProtection="1">
      <alignment horizontal="left" vertical="center" wrapText="1"/>
      <protection hidden="1"/>
    </xf>
    <xf numFmtId="0" fontId="12" fillId="257" borderId="48" xfId="0" applyFont="1" applyFill="1" applyBorder="1" applyAlignment="1" applyProtection="1">
      <alignment horizontal="left" vertical="center"/>
      <protection hidden="1"/>
    </xf>
    <xf numFmtId="0" fontId="0" fillId="257" borderId="38" xfId="0" applyFill="1" applyBorder="1" applyAlignment="1">
      <alignment vertical="center"/>
    </xf>
    <xf numFmtId="0" fontId="0" fillId="257" borderId="39" xfId="0" applyFill="1" applyBorder="1" applyAlignment="1">
      <alignment vertical="center"/>
    </xf>
    <xf numFmtId="0" fontId="13" fillId="276" borderId="8" xfId="0" applyFont="1" applyFill="1" applyBorder="1" applyAlignment="1" applyProtection="1">
      <alignment vertical="top" wrapText="1"/>
      <protection hidden="1"/>
    </xf>
    <xf numFmtId="0" fontId="13" fillId="276" borderId="52" xfId="0" applyFont="1" applyFill="1" applyBorder="1" applyAlignment="1" applyProtection="1">
      <alignment vertical="top" wrapText="1"/>
      <protection hidden="1"/>
    </xf>
    <xf numFmtId="0" fontId="13" fillId="276" borderId="9" xfId="0" applyFont="1" applyFill="1" applyBorder="1" applyAlignment="1" applyProtection="1">
      <alignment vertical="top" wrapText="1"/>
      <protection hidden="1"/>
    </xf>
    <xf numFmtId="165" fontId="9" fillId="6" borderId="6" xfId="0" applyNumberFormat="1" applyFont="1" applyFill="1" applyBorder="1" applyAlignment="1" applyProtection="1">
      <alignment horizontal="center" vertical="center"/>
      <protection hidden="1"/>
    </xf>
    <xf numFmtId="0" fontId="9" fillId="5" borderId="0" xfId="0" applyFont="1" applyFill="1" applyBorder="1" applyAlignment="1">
      <alignment horizontal="center" vertical="center"/>
    </xf>
    <xf numFmtId="0" fontId="9" fillId="5" borderId="48" xfId="0" applyFont="1" applyFill="1" applyBorder="1" applyAlignment="1">
      <alignment horizontal="center" vertical="center"/>
    </xf>
    <xf numFmtId="0" fontId="9" fillId="5" borderId="47" xfId="0" applyFont="1" applyFill="1" applyBorder="1" applyAlignment="1">
      <alignment horizontal="center" vertical="center"/>
    </xf>
    <xf numFmtId="0" fontId="9" fillId="272" borderId="36" xfId="0" applyFont="1" applyFill="1" applyBorder="1" applyAlignment="1">
      <alignment horizontal="center" vertical="center"/>
    </xf>
    <xf numFmtId="0" fontId="138" fillId="5" borderId="15" xfId="0" applyFont="1" applyFill="1" applyBorder="1" applyAlignment="1">
      <alignment horizontal="right" vertical="center"/>
    </xf>
    <xf numFmtId="0" fontId="40" fillId="5" borderId="15" xfId="6" applyFill="1" applyBorder="1" applyAlignment="1">
      <alignment horizontal="left" vertical="center"/>
    </xf>
    <xf numFmtId="0" fontId="47" fillId="5" borderId="15" xfId="0" applyFont="1" applyFill="1" applyBorder="1" applyAlignment="1">
      <alignment horizontal="left" vertical="center" wrapText="1"/>
    </xf>
    <xf numFmtId="0" fontId="9" fillId="143" borderId="37" xfId="0" applyFont="1" applyFill="1" applyBorder="1" applyAlignment="1" applyProtection="1">
      <alignment horizontal="center" vertical="center"/>
      <protection hidden="1"/>
    </xf>
    <xf numFmtId="0" fontId="87" fillId="143" borderId="48" xfId="0" applyFont="1" applyFill="1" applyBorder="1" applyAlignment="1" applyProtection="1">
      <alignment vertical="center"/>
      <protection hidden="1"/>
    </xf>
    <xf numFmtId="0" fontId="87" fillId="143" borderId="39" xfId="0" applyFont="1" applyFill="1" applyBorder="1" applyAlignment="1" applyProtection="1">
      <alignment horizontal="left" vertical="center" wrapText="1"/>
      <protection hidden="1"/>
    </xf>
    <xf numFmtId="0" fontId="9" fillId="25" borderId="48" xfId="0" quotePrefix="1" applyFont="1" applyFill="1" applyBorder="1" applyAlignment="1" applyProtection="1">
      <alignment vertical="center" wrapText="1"/>
      <protection hidden="1"/>
    </xf>
    <xf numFmtId="0" fontId="37" fillId="25" borderId="39" xfId="0" applyFont="1" applyFill="1" applyBorder="1" applyAlignment="1" applyProtection="1">
      <alignment vertical="center"/>
      <protection hidden="1"/>
    </xf>
    <xf numFmtId="0" fontId="96" fillId="4" borderId="3" xfId="0" applyFont="1" applyFill="1" applyBorder="1"/>
    <xf numFmtId="0" fontId="96" fillId="4" borderId="1" xfId="0" applyFont="1" applyFill="1" applyBorder="1"/>
    <xf numFmtId="0" fontId="9" fillId="80" borderId="0" xfId="0" applyFont="1" applyFill="1"/>
    <xf numFmtId="0" fontId="9" fillId="109" borderId="0" xfId="0" applyFont="1" applyFill="1"/>
    <xf numFmtId="0" fontId="9" fillId="0" borderId="13" xfId="0" applyFont="1" applyBorder="1"/>
    <xf numFmtId="0" fontId="9" fillId="0" borderId="22" xfId="0" applyFont="1" applyBorder="1"/>
    <xf numFmtId="0" fontId="9" fillId="0" borderId="29" xfId="0" applyFont="1" applyBorder="1"/>
    <xf numFmtId="0" fontId="9" fillId="0" borderId="28" xfId="0" applyFont="1" applyBorder="1"/>
    <xf numFmtId="0" fontId="9" fillId="0" borderId="15" xfId="0" applyFont="1" applyBorder="1"/>
    <xf numFmtId="0" fontId="9" fillId="0" borderId="16" xfId="0" applyFont="1" applyBorder="1"/>
    <xf numFmtId="0" fontId="9" fillId="0" borderId="31" xfId="0" applyFont="1" applyBorder="1"/>
    <xf numFmtId="0" fontId="9" fillId="0" borderId="27" xfId="0" applyFont="1" applyBorder="1"/>
    <xf numFmtId="0" fontId="9" fillId="0" borderId="30" xfId="0" applyFont="1" applyBorder="1"/>
    <xf numFmtId="0" fontId="47" fillId="4" borderId="15" xfId="0" applyFont="1" applyFill="1" applyBorder="1" applyAlignment="1">
      <alignment horizontal="right"/>
    </xf>
    <xf numFmtId="0" fontId="9" fillId="81" borderId="0" xfId="0" applyFont="1" applyFill="1"/>
    <xf numFmtId="0" fontId="9" fillId="72" borderId="0" xfId="0" applyFont="1" applyFill="1" applyBorder="1" applyAlignment="1">
      <alignment horizontal="left"/>
    </xf>
    <xf numFmtId="165" fontId="9" fillId="2" borderId="15" xfId="0" applyNumberFormat="1" applyFont="1" applyFill="1" applyBorder="1" applyAlignment="1">
      <alignment horizontal="right"/>
    </xf>
    <xf numFmtId="0" fontId="9" fillId="72" borderId="0" xfId="0" applyFont="1" applyFill="1"/>
    <xf numFmtId="165" fontId="9" fillId="2" borderId="50" xfId="0" applyNumberFormat="1" applyFont="1" applyFill="1" applyBorder="1" applyAlignment="1">
      <alignment horizontal="right"/>
    </xf>
    <xf numFmtId="0" fontId="9" fillId="257" borderId="48" xfId="0" applyFont="1" applyFill="1" applyBorder="1" applyAlignment="1" applyProtection="1">
      <alignment horizontal="center" vertical="center"/>
      <protection hidden="1"/>
    </xf>
    <xf numFmtId="0" fontId="0" fillId="183" borderId="52" xfId="0" applyFill="1" applyBorder="1" applyAlignment="1" applyProtection="1">
      <alignment horizontal="center" vertical="center"/>
      <protection hidden="1"/>
    </xf>
    <xf numFmtId="0" fontId="9" fillId="257" borderId="47" xfId="0" applyFont="1" applyFill="1" applyBorder="1" applyAlignment="1" applyProtection="1">
      <alignment horizontal="center" vertical="center"/>
      <protection hidden="1"/>
    </xf>
    <xf numFmtId="2" fontId="9" fillId="5" borderId="48" xfId="0" applyNumberFormat="1" applyFont="1" applyFill="1" applyBorder="1" applyAlignment="1">
      <alignment horizontal="center" vertical="center"/>
    </xf>
    <xf numFmtId="2" fontId="9" fillId="5" borderId="39" xfId="0" applyNumberFormat="1" applyFont="1" applyFill="1" applyBorder="1" applyAlignment="1">
      <alignment horizontal="center" vertical="center"/>
    </xf>
    <xf numFmtId="0" fontId="116" fillId="175" borderId="0" xfId="12" applyAlignment="1">
      <alignment horizontal="center" vertical="center"/>
    </xf>
    <xf numFmtId="10" fontId="9" fillId="150" borderId="0" xfId="0" applyNumberFormat="1" applyFont="1" applyFill="1" applyBorder="1" applyAlignment="1">
      <alignment horizontal="center" vertical="center"/>
    </xf>
    <xf numFmtId="10" fontId="9" fillId="150" borderId="23" xfId="0" applyNumberFormat="1" applyFont="1" applyFill="1" applyBorder="1" applyAlignment="1">
      <alignment horizontal="center" vertical="center"/>
    </xf>
    <xf numFmtId="0" fontId="116" fillId="175" borderId="0" xfId="12" applyAlignment="1">
      <alignment vertical="center"/>
    </xf>
    <xf numFmtId="3" fontId="9" fillId="150" borderId="0" xfId="0" applyNumberFormat="1" applyFont="1" applyFill="1" applyBorder="1" applyAlignment="1">
      <alignment horizontal="center" vertical="center"/>
    </xf>
    <xf numFmtId="3" fontId="9" fillId="150" borderId="23" xfId="0" applyNumberFormat="1" applyFont="1" applyFill="1" applyBorder="1" applyAlignment="1">
      <alignment horizontal="center" vertical="center"/>
    </xf>
    <xf numFmtId="3" fontId="9" fillId="21" borderId="0" xfId="0" applyNumberFormat="1" applyFont="1" applyFill="1" applyBorder="1" applyAlignment="1">
      <alignment horizontal="center" vertical="center"/>
    </xf>
    <xf numFmtId="3" fontId="9" fillId="21" borderId="23" xfId="0" applyNumberFormat="1" applyFont="1" applyFill="1" applyBorder="1" applyAlignment="1">
      <alignment horizontal="center" vertical="center"/>
    </xf>
    <xf numFmtId="3" fontId="9" fillId="6" borderId="0" xfId="0" applyNumberFormat="1" applyFont="1" applyFill="1" applyBorder="1" applyAlignment="1">
      <alignment horizontal="center" vertical="center"/>
    </xf>
    <xf numFmtId="3" fontId="9" fillId="6" borderId="23" xfId="0" applyNumberFormat="1" applyFont="1" applyFill="1" applyBorder="1" applyAlignment="1">
      <alignment horizontal="center" vertical="center"/>
    </xf>
    <xf numFmtId="0" fontId="9" fillId="280" borderId="35" xfId="0" applyFont="1" applyFill="1" applyBorder="1" applyAlignment="1">
      <alignment horizontal="center" vertical="center"/>
    </xf>
    <xf numFmtId="0" fontId="9" fillId="280" borderId="36" xfId="0" applyFont="1" applyFill="1" applyBorder="1" applyAlignment="1">
      <alignment horizontal="center" vertical="center"/>
    </xf>
    <xf numFmtId="0" fontId="9" fillId="280" borderId="37" xfId="0" applyFont="1" applyFill="1" applyBorder="1" applyAlignment="1">
      <alignment horizontal="center" vertical="center"/>
    </xf>
    <xf numFmtId="0" fontId="9" fillId="257" borderId="35" xfId="0" applyFont="1" applyFill="1" applyBorder="1" applyAlignment="1" applyProtection="1">
      <alignment horizontal="center" vertical="center"/>
      <protection hidden="1"/>
    </xf>
    <xf numFmtId="0" fontId="9" fillId="257" borderId="37" xfId="0" applyFont="1" applyFill="1" applyBorder="1" applyAlignment="1" applyProtection="1">
      <alignment horizontal="center" vertical="center"/>
      <protection hidden="1"/>
    </xf>
    <xf numFmtId="0" fontId="0" fillId="257" borderId="47" xfId="0" applyFill="1" applyBorder="1" applyAlignment="1" applyProtection="1">
      <alignment horizontal="center" vertical="center"/>
      <protection hidden="1"/>
    </xf>
    <xf numFmtId="0" fontId="12" fillId="257" borderId="48" xfId="0" applyFont="1" applyFill="1" applyBorder="1" applyAlignment="1" applyProtection="1">
      <alignment horizontal="center" vertical="center"/>
      <protection hidden="1"/>
    </xf>
    <xf numFmtId="0" fontId="12" fillId="170" borderId="0" xfId="0" applyFont="1" applyFill="1" applyBorder="1" applyAlignment="1" applyProtection="1">
      <alignment horizontal="center" vertical="center"/>
      <protection hidden="1"/>
    </xf>
    <xf numFmtId="0" fontId="0" fillId="257" borderId="38" xfId="0" applyFill="1" applyBorder="1" applyAlignment="1" applyProtection="1">
      <alignment horizontal="center" vertical="center"/>
      <protection hidden="1"/>
    </xf>
    <xf numFmtId="0" fontId="9" fillId="183" borderId="23" xfId="0" applyFont="1" applyFill="1" applyBorder="1" applyAlignment="1" applyProtection="1">
      <alignment horizontal="center" vertical="center"/>
      <protection hidden="1"/>
    </xf>
    <xf numFmtId="0" fontId="12" fillId="257" borderId="23" xfId="0" applyFont="1" applyFill="1" applyBorder="1" applyAlignment="1" applyProtection="1">
      <alignment horizontal="center" vertical="center"/>
      <protection hidden="1"/>
    </xf>
    <xf numFmtId="0" fontId="12" fillId="257" borderId="39" xfId="0" applyFont="1" applyFill="1" applyBorder="1" applyAlignment="1" applyProtection="1">
      <alignment horizontal="center" vertical="center"/>
      <protection hidden="1"/>
    </xf>
    <xf numFmtId="0" fontId="0" fillId="257" borderId="47" xfId="0" applyFill="1" applyBorder="1" applyAlignment="1">
      <alignment horizontal="center" vertical="center"/>
    </xf>
    <xf numFmtId="0" fontId="0" fillId="257" borderId="48" xfId="0" applyFill="1" applyBorder="1" applyAlignment="1">
      <alignment horizontal="center" vertical="center"/>
    </xf>
    <xf numFmtId="0" fontId="99" fillId="170" borderId="0" xfId="0" applyFont="1" applyFill="1" applyAlignment="1">
      <alignment horizontal="center" vertical="center"/>
    </xf>
    <xf numFmtId="0" fontId="99" fillId="257" borderId="35" xfId="0" applyFont="1" applyFill="1" applyBorder="1" applyAlignment="1">
      <alignment horizontal="center" vertical="center"/>
    </xf>
    <xf numFmtId="0" fontId="99" fillId="257" borderId="37" xfId="0" applyFont="1" applyFill="1" applyBorder="1" applyAlignment="1">
      <alignment horizontal="center" vertical="center"/>
    </xf>
    <xf numFmtId="0" fontId="99" fillId="257" borderId="47" xfId="0" applyFont="1" applyFill="1" applyBorder="1" applyAlignment="1">
      <alignment horizontal="center" vertical="center"/>
    </xf>
    <xf numFmtId="0" fontId="99" fillId="257" borderId="48" xfId="0" applyFont="1" applyFill="1" applyBorder="1" applyAlignment="1">
      <alignment horizontal="center" vertical="center"/>
    </xf>
    <xf numFmtId="0" fontId="0" fillId="183" borderId="52" xfId="0" applyFill="1" applyBorder="1" applyAlignment="1">
      <alignment horizontal="center" vertical="center"/>
    </xf>
    <xf numFmtId="0" fontId="9" fillId="257" borderId="38" xfId="0" applyFont="1" applyFill="1" applyBorder="1" applyAlignment="1" applyProtection="1">
      <alignment horizontal="center" vertical="center"/>
      <protection hidden="1"/>
    </xf>
    <xf numFmtId="0" fontId="99" fillId="257" borderId="38" xfId="0" applyFont="1" applyFill="1" applyBorder="1" applyAlignment="1">
      <alignment horizontal="center" vertical="center"/>
    </xf>
    <xf numFmtId="0" fontId="99" fillId="257" borderId="39" xfId="0" applyFont="1" applyFill="1" applyBorder="1" applyAlignment="1">
      <alignment horizontal="center" vertical="center"/>
    </xf>
    <xf numFmtId="0" fontId="55" fillId="258" borderId="35" xfId="0" applyFont="1" applyFill="1" applyBorder="1" applyAlignment="1" applyProtection="1">
      <alignment horizontal="center" vertical="center"/>
      <protection hidden="1"/>
    </xf>
    <xf numFmtId="0" fontId="79" fillId="258" borderId="37" xfId="0" applyFont="1" applyFill="1" applyBorder="1" applyAlignment="1" applyProtection="1">
      <alignment horizontal="center" vertical="center"/>
      <protection hidden="1"/>
    </xf>
    <xf numFmtId="0" fontId="55" fillId="258" borderId="38" xfId="0" applyFont="1" applyFill="1" applyBorder="1" applyAlignment="1" applyProtection="1">
      <alignment horizontal="center" vertical="center"/>
      <protection hidden="1"/>
    </xf>
    <xf numFmtId="0" fontId="79" fillId="258" borderId="39" xfId="0" applyFont="1" applyFill="1" applyBorder="1" applyAlignment="1" applyProtection="1">
      <alignment horizontal="center" vertical="center"/>
      <protection hidden="1"/>
    </xf>
    <xf numFmtId="0" fontId="13" fillId="183" borderId="52" xfId="0" applyFont="1" applyFill="1" applyBorder="1" applyAlignment="1" applyProtection="1">
      <alignment horizontal="center" vertical="center" wrapText="1"/>
      <protection hidden="1"/>
    </xf>
    <xf numFmtId="170" fontId="47" fillId="5" borderId="22" xfId="0" applyNumberFormat="1" applyFont="1" applyFill="1" applyBorder="1" applyAlignment="1">
      <alignment horizontal="right"/>
    </xf>
    <xf numFmtId="170" fontId="47" fillId="5" borderId="15" xfId="0" applyNumberFormat="1" applyFont="1" applyFill="1" applyBorder="1" applyAlignment="1">
      <alignment horizontal="right"/>
    </xf>
    <xf numFmtId="170" fontId="47" fillId="5" borderId="27" xfId="0" applyNumberFormat="1" applyFont="1" applyFill="1" applyBorder="1" applyAlignment="1">
      <alignment horizontal="right"/>
    </xf>
    <xf numFmtId="0" fontId="9" fillId="271" borderId="37" xfId="0" applyFont="1" applyFill="1" applyBorder="1" applyAlignment="1">
      <alignment vertical="center"/>
    </xf>
    <xf numFmtId="0" fontId="9" fillId="5" borderId="48" xfId="0" applyFont="1" applyFill="1" applyBorder="1" applyAlignment="1">
      <alignment horizontal="right"/>
    </xf>
    <xf numFmtId="0" fontId="9" fillId="5" borderId="39" xfId="0" applyFont="1" applyFill="1" applyBorder="1" applyAlignment="1">
      <alignment horizontal="right"/>
    </xf>
    <xf numFmtId="0" fontId="0" fillId="5" borderId="0" xfId="0" applyNumberFormat="1" applyFill="1" applyAlignment="1" applyProtection="1">
      <alignment horizontal="center" vertical="center"/>
      <protection hidden="1"/>
    </xf>
    <xf numFmtId="0" fontId="13" fillId="183" borderId="52" xfId="0" applyNumberFormat="1" applyFont="1" applyFill="1" applyBorder="1" applyAlignment="1" applyProtection="1">
      <alignment horizontal="center" vertical="center" wrapText="1"/>
      <protection hidden="1"/>
    </xf>
    <xf numFmtId="0" fontId="0" fillId="5" borderId="0" xfId="0" applyNumberFormat="1" applyFill="1" applyAlignment="1">
      <alignment horizontal="center" vertical="center"/>
    </xf>
    <xf numFmtId="0" fontId="0" fillId="257" borderId="47" xfId="0" applyNumberFormat="1" applyFill="1" applyBorder="1" applyAlignment="1" applyProtection="1">
      <alignment horizontal="center" vertical="center"/>
      <protection hidden="1"/>
    </xf>
    <xf numFmtId="0" fontId="12" fillId="257" borderId="48" xfId="0" applyNumberFormat="1" applyFont="1" applyFill="1" applyBorder="1" applyAlignment="1" applyProtection="1">
      <alignment horizontal="center" vertical="center"/>
      <protection hidden="1"/>
    </xf>
    <xf numFmtId="0" fontId="12" fillId="170" borderId="0" xfId="0" applyNumberFormat="1" applyFont="1" applyFill="1" applyBorder="1" applyAlignment="1" applyProtection="1">
      <alignment horizontal="center" vertical="center"/>
      <protection hidden="1"/>
    </xf>
    <xf numFmtId="0" fontId="9" fillId="257" borderId="48" xfId="0" applyNumberFormat="1" applyFont="1" applyFill="1" applyBorder="1" applyAlignment="1" applyProtection="1">
      <alignment horizontal="center" vertical="center"/>
      <protection hidden="1"/>
    </xf>
    <xf numFmtId="0" fontId="9" fillId="170" borderId="0" xfId="0" applyNumberFormat="1" applyFont="1" applyFill="1" applyBorder="1" applyAlignment="1" applyProtection="1">
      <alignment horizontal="center" vertical="center"/>
      <protection hidden="1"/>
    </xf>
    <xf numFmtId="0" fontId="9" fillId="257" borderId="47" xfId="0" applyNumberFormat="1" applyFont="1" applyFill="1" applyBorder="1" applyAlignment="1" applyProtection="1">
      <alignment horizontal="center" vertical="center"/>
      <protection hidden="1"/>
    </xf>
    <xf numFmtId="0" fontId="0" fillId="183" borderId="8" xfId="0" applyFill="1" applyBorder="1" applyAlignment="1">
      <alignment horizontal="center" vertical="center"/>
    </xf>
    <xf numFmtId="0" fontId="142" fillId="183" borderId="52" xfId="0" applyFont="1" applyFill="1" applyBorder="1" applyAlignment="1" applyProtection="1">
      <alignment horizontal="center" vertical="top" wrapText="1"/>
      <protection hidden="1"/>
    </xf>
    <xf numFmtId="0" fontId="122" fillId="279" borderId="0" xfId="8" applyFont="1" applyFill="1" applyBorder="1"/>
    <xf numFmtId="0" fontId="9" fillId="43" borderId="35" xfId="0" applyFont="1" applyFill="1" applyBorder="1" applyAlignment="1">
      <alignment vertical="center"/>
    </xf>
    <xf numFmtId="0" fontId="9" fillId="43" borderId="36" xfId="0" applyFont="1" applyFill="1" applyBorder="1" applyAlignment="1">
      <alignment vertical="center"/>
    </xf>
    <xf numFmtId="0" fontId="9" fillId="43" borderId="37" xfId="0" applyFont="1" applyFill="1" applyBorder="1" applyAlignment="1">
      <alignment vertical="center"/>
    </xf>
    <xf numFmtId="0" fontId="9" fillId="36" borderId="0" xfId="0" applyFont="1" applyFill="1" applyAlignment="1">
      <alignment horizontal="center" vertical="center"/>
    </xf>
    <xf numFmtId="0" fontId="9" fillId="36" borderId="0" xfId="0" applyFont="1" applyFill="1" applyAlignment="1">
      <alignment horizontal="right"/>
    </xf>
    <xf numFmtId="0" fontId="87" fillId="143" borderId="0" xfId="0" applyFont="1" applyFill="1" applyBorder="1" applyAlignment="1" applyProtection="1">
      <alignment horizontal="center" vertical="center"/>
      <protection hidden="1"/>
    </xf>
    <xf numFmtId="0" fontId="37" fillId="25" borderId="23" xfId="0" quotePrefix="1" applyFont="1" applyFill="1" applyBorder="1" applyAlignment="1" applyProtection="1">
      <alignment horizontal="center" vertical="center"/>
      <protection hidden="1"/>
    </xf>
    <xf numFmtId="0" fontId="39" fillId="5" borderId="0" xfId="0" applyFont="1" applyFill="1" applyBorder="1" applyAlignment="1" applyProtection="1">
      <alignment horizontal="center" vertical="center"/>
      <protection hidden="1"/>
    </xf>
    <xf numFmtId="0" fontId="139" fillId="5" borderId="0" xfId="0" applyFont="1" applyFill="1" applyBorder="1" applyAlignment="1" applyProtection="1">
      <alignment horizontal="left" vertical="center"/>
      <protection hidden="1"/>
    </xf>
    <xf numFmtId="0" fontId="75" fillId="5" borderId="0" xfId="0" applyFont="1" applyFill="1" applyAlignment="1" applyProtection="1">
      <alignment horizontal="center" vertical="center"/>
      <protection hidden="1"/>
    </xf>
    <xf numFmtId="165" fontId="15" fillId="31" borderId="23" xfId="7" applyFont="1" applyFill="1" applyBorder="1" applyProtection="1">
      <alignment horizontal="center" vertical="center"/>
      <protection hidden="1"/>
    </xf>
    <xf numFmtId="165" fontId="9" fillId="17" borderId="23" xfId="3" applyNumberFormat="1" applyFont="1" applyFill="1" applyBorder="1" applyProtection="1">
      <alignment horizontal="center" vertical="center"/>
      <protection hidden="1"/>
    </xf>
    <xf numFmtId="0" fontId="13" fillId="5" borderId="0" xfId="0" applyFont="1" applyFill="1" applyBorder="1" applyAlignment="1" applyProtection="1">
      <alignment vertical="top" wrapText="1"/>
      <protection hidden="1"/>
    </xf>
    <xf numFmtId="0" fontId="13" fillId="10" borderId="0" xfId="0" applyFont="1" applyFill="1" applyBorder="1" applyAlignment="1" applyProtection="1">
      <alignment vertical="top" wrapText="1"/>
      <protection hidden="1"/>
    </xf>
    <xf numFmtId="0" fontId="9" fillId="10" borderId="0" xfId="0" applyFont="1" applyFill="1" applyBorder="1" applyAlignment="1" applyProtection="1">
      <alignment horizontal="right" vertical="center"/>
      <protection hidden="1"/>
    </xf>
    <xf numFmtId="0" fontId="9" fillId="281" borderId="0" xfId="0" applyFont="1" applyFill="1" applyBorder="1" applyAlignment="1" applyProtection="1">
      <alignment horizontal="right" vertical="center"/>
      <protection hidden="1"/>
    </xf>
    <xf numFmtId="0" fontId="9" fillId="281" borderId="0" xfId="0" applyFont="1" applyFill="1" applyBorder="1" applyAlignment="1" applyProtection="1">
      <alignment horizontal="left" vertical="center"/>
      <protection hidden="1"/>
    </xf>
    <xf numFmtId="0" fontId="9" fillId="281" borderId="0" xfId="0" applyFont="1" applyFill="1" applyBorder="1" applyAlignment="1" applyProtection="1">
      <alignment vertical="center"/>
      <protection hidden="1"/>
    </xf>
    <xf numFmtId="0" fontId="48" fillId="281" borderId="0" xfId="0" applyFont="1" applyFill="1" applyBorder="1" applyAlignment="1" applyProtection="1">
      <alignment horizontal="center" vertical="center"/>
      <protection hidden="1"/>
    </xf>
    <xf numFmtId="0" fontId="9" fillId="281" borderId="0" xfId="0" applyFont="1" applyFill="1" applyBorder="1" applyAlignment="1" applyProtection="1">
      <alignment horizontal="center" vertical="center"/>
      <protection hidden="1"/>
    </xf>
    <xf numFmtId="0" fontId="0" fillId="10" borderId="0" xfId="0" applyFill="1" applyBorder="1"/>
    <xf numFmtId="0" fontId="0" fillId="10" borderId="0" xfId="0" applyFill="1" applyBorder="1" applyAlignment="1" applyProtection="1">
      <alignment vertical="center"/>
      <protection hidden="1"/>
    </xf>
    <xf numFmtId="164" fontId="35" fillId="281" borderId="0" xfId="0" applyNumberFormat="1" applyFont="1" applyFill="1" applyBorder="1" applyAlignment="1" applyProtection="1">
      <alignment horizontal="center" vertical="center"/>
      <protection hidden="1"/>
    </xf>
    <xf numFmtId="0" fontId="9" fillId="255" borderId="0" xfId="0" applyFont="1" applyFill="1" applyBorder="1"/>
    <xf numFmtId="0" fontId="9" fillId="257" borderId="0" xfId="0" applyFont="1" applyFill="1" applyBorder="1" applyAlignment="1">
      <alignment horizontal="left" vertical="center"/>
    </xf>
    <xf numFmtId="0" fontId="9" fillId="257" borderId="0" xfId="0" applyFont="1" applyFill="1" applyBorder="1" applyAlignment="1">
      <alignment horizontal="center" vertical="center"/>
    </xf>
    <xf numFmtId="0" fontId="47" fillId="170" borderId="0" xfId="0" applyFont="1" applyFill="1" applyAlignment="1">
      <alignment horizontal="center" vertical="center"/>
    </xf>
    <xf numFmtId="0" fontId="47" fillId="257" borderId="36" xfId="0" applyFont="1" applyFill="1" applyBorder="1" applyAlignment="1">
      <alignment horizontal="center" vertical="center"/>
    </xf>
    <xf numFmtId="0" fontId="47" fillId="257" borderId="23" xfId="0" applyFont="1" applyFill="1" applyBorder="1" applyAlignment="1">
      <alignment horizontal="center" vertical="center"/>
    </xf>
    <xf numFmtId="0" fontId="47" fillId="257" borderId="23" xfId="0" applyFont="1" applyFill="1" applyBorder="1" applyAlignment="1">
      <alignment vertical="center"/>
    </xf>
    <xf numFmtId="0" fontId="47" fillId="257" borderId="23" xfId="0" applyFont="1" applyFill="1" applyBorder="1" applyAlignment="1">
      <alignment horizontal="left" vertical="center"/>
    </xf>
    <xf numFmtId="0" fontId="9" fillId="257" borderId="0" xfId="0" applyFont="1" applyFill="1" applyBorder="1" applyAlignment="1">
      <alignment vertical="center"/>
    </xf>
    <xf numFmtId="0" fontId="9" fillId="257" borderId="23" xfId="0" applyFont="1" applyFill="1" applyBorder="1" applyAlignment="1">
      <alignment vertical="center"/>
    </xf>
    <xf numFmtId="0" fontId="9" fillId="257" borderId="23" xfId="0" applyFont="1" applyFill="1" applyBorder="1" applyAlignment="1">
      <alignment horizontal="left" vertical="center"/>
    </xf>
    <xf numFmtId="0" fontId="116" fillId="5" borderId="0" xfId="12" applyFill="1" applyAlignment="1">
      <alignment horizontal="center" vertical="center"/>
    </xf>
    <xf numFmtId="169" fontId="47" fillId="5" borderId="22" xfId="0" applyNumberFormat="1" applyFont="1" applyFill="1" applyBorder="1" applyAlignment="1">
      <alignment horizontal="right"/>
    </xf>
    <xf numFmtId="169" fontId="47" fillId="5" borderId="15" xfId="0" applyNumberFormat="1" applyFont="1" applyFill="1" applyBorder="1" applyAlignment="1">
      <alignment horizontal="right"/>
    </xf>
    <xf numFmtId="169" fontId="47" fillId="5" borderId="27" xfId="0" applyNumberFormat="1" applyFont="1" applyFill="1" applyBorder="1" applyAlignment="1">
      <alignment horizontal="right"/>
    </xf>
    <xf numFmtId="0" fontId="47" fillId="170" borderId="0" xfId="0" applyFont="1" applyFill="1" applyAlignment="1">
      <alignment horizontal="left" vertical="center"/>
    </xf>
    <xf numFmtId="0" fontId="47" fillId="257" borderId="36" xfId="0" applyFont="1" applyFill="1" applyBorder="1" applyAlignment="1">
      <alignment horizontal="left" vertical="center"/>
    </xf>
    <xf numFmtId="0" fontId="9" fillId="6" borderId="15" xfId="0" applyFont="1" applyFill="1" applyBorder="1" applyAlignment="1">
      <alignment vertical="center"/>
    </xf>
    <xf numFmtId="0" fontId="9" fillId="132" borderId="0" xfId="0" applyFont="1" applyFill="1" applyBorder="1" applyAlignment="1">
      <alignment horizontal="center" vertical="center"/>
    </xf>
    <xf numFmtId="0" fontId="9" fillId="170" borderId="0" xfId="0" applyFont="1" applyFill="1" applyBorder="1" applyAlignment="1">
      <alignment horizontal="center" vertical="center"/>
    </xf>
    <xf numFmtId="0" fontId="47" fillId="170" borderId="0" xfId="0" applyFont="1" applyFill="1" applyBorder="1" applyAlignment="1">
      <alignment horizontal="center" vertical="center"/>
    </xf>
    <xf numFmtId="0" fontId="9" fillId="5" borderId="47" xfId="0" applyFont="1" applyFill="1" applyBorder="1" applyAlignment="1">
      <alignment horizontal="right"/>
    </xf>
    <xf numFmtId="0" fontId="9" fillId="5" borderId="48" xfId="0" applyFont="1" applyFill="1" applyBorder="1" applyAlignment="1">
      <alignment horizontal="right" vertical="center"/>
    </xf>
    <xf numFmtId="0" fontId="9" fillId="5" borderId="38" xfId="0" applyFont="1" applyFill="1" applyBorder="1" applyAlignment="1">
      <alignment horizontal="right"/>
    </xf>
    <xf numFmtId="0" fontId="55" fillId="282" borderId="0" xfId="0" applyFont="1" applyFill="1" applyBorder="1" applyAlignment="1" applyProtection="1">
      <alignment horizontal="right" vertical="center"/>
      <protection hidden="1"/>
    </xf>
    <xf numFmtId="0" fontId="79" fillId="282" borderId="0" xfId="0" applyFont="1" applyFill="1" applyBorder="1" applyAlignment="1" applyProtection="1">
      <alignment vertical="center"/>
      <protection hidden="1"/>
    </xf>
    <xf numFmtId="0" fontId="47" fillId="5" borderId="22" xfId="0" quotePrefix="1" applyFont="1" applyFill="1" applyBorder="1"/>
    <xf numFmtId="0" fontId="116" fillId="36" borderId="0" xfId="12" applyFill="1"/>
    <xf numFmtId="165" fontId="32" fillId="283" borderId="23" xfId="0" applyNumberFormat="1" applyFont="1" applyFill="1" applyBorder="1" applyAlignment="1" applyProtection="1">
      <alignment vertical="top"/>
      <protection hidden="1"/>
    </xf>
    <xf numFmtId="0" fontId="9" fillId="6" borderId="35" xfId="0" applyFont="1" applyFill="1" applyBorder="1" applyAlignment="1" applyProtection="1">
      <alignment vertical="center"/>
      <protection hidden="1"/>
    </xf>
    <xf numFmtId="0" fontId="12" fillId="6" borderId="36" xfId="0" applyFont="1" applyFill="1" applyBorder="1" applyAlignment="1" applyProtection="1">
      <alignment horizontal="center" vertical="center"/>
      <protection hidden="1"/>
    </xf>
    <xf numFmtId="0" fontId="9" fillId="6" borderId="36" xfId="0" applyFont="1" applyFill="1" applyBorder="1" applyProtection="1">
      <protection hidden="1"/>
    </xf>
    <xf numFmtId="165" fontId="9" fillId="6" borderId="38" xfId="0" applyNumberFormat="1" applyFont="1" applyFill="1" applyBorder="1" applyAlignment="1" applyProtection="1">
      <alignment vertical="center"/>
      <protection hidden="1"/>
    </xf>
    <xf numFmtId="165" fontId="9" fillId="6" borderId="23" xfId="0" applyNumberFormat="1" applyFont="1" applyFill="1" applyBorder="1" applyAlignment="1" applyProtection="1">
      <alignment vertical="center"/>
      <protection hidden="1"/>
    </xf>
    <xf numFmtId="0" fontId="19" fillId="283" borderId="35" xfId="0" applyFont="1" applyFill="1" applyBorder="1" applyAlignment="1" applyProtection="1">
      <alignment horizontal="center" vertical="center"/>
      <protection hidden="1"/>
    </xf>
    <xf numFmtId="0" fontId="11" fillId="283" borderId="36" xfId="0" applyFont="1" applyFill="1" applyBorder="1" applyAlignment="1" applyProtection="1">
      <alignment vertical="center"/>
      <protection hidden="1"/>
    </xf>
    <xf numFmtId="0" fontId="9" fillId="283" borderId="36" xfId="0" applyFont="1" applyFill="1" applyBorder="1" applyAlignment="1" applyProtection="1">
      <alignment horizontal="center" vertical="center"/>
      <protection hidden="1"/>
    </xf>
    <xf numFmtId="165" fontId="9" fillId="283" borderId="36" xfId="0" applyNumberFormat="1" applyFont="1" applyFill="1" applyBorder="1" applyAlignment="1" applyProtection="1">
      <alignment horizontal="center" vertical="center"/>
      <protection hidden="1"/>
    </xf>
    <xf numFmtId="0" fontId="19" fillId="283" borderId="36" xfId="0" applyFont="1" applyFill="1" applyBorder="1" applyAlignment="1" applyProtection="1">
      <alignment horizontal="center" vertical="center"/>
      <protection hidden="1"/>
    </xf>
    <xf numFmtId="0" fontId="69" fillId="5" borderId="0" xfId="0" applyFont="1" applyFill="1" applyBorder="1" applyAlignment="1" applyProtection="1">
      <protection hidden="1"/>
    </xf>
    <xf numFmtId="165" fontId="32" fillId="283" borderId="38" xfId="0" applyNumberFormat="1" applyFont="1" applyFill="1" applyBorder="1" applyAlignment="1" applyProtection="1">
      <alignment vertical="top"/>
      <protection hidden="1"/>
    </xf>
    <xf numFmtId="165" fontId="32" fillId="283" borderId="39" xfId="0" applyNumberFormat="1" applyFont="1" applyFill="1" applyBorder="1" applyAlignment="1" applyProtection="1">
      <alignment vertical="top"/>
      <protection hidden="1"/>
    </xf>
    <xf numFmtId="0" fontId="13" fillId="16" borderId="52" xfId="0" applyFont="1" applyFill="1" applyBorder="1" applyAlignment="1" applyProtection="1">
      <alignment vertical="top" wrapText="1"/>
      <protection hidden="1"/>
    </xf>
    <xf numFmtId="0" fontId="47" fillId="5" borderId="27" xfId="0" applyFont="1" applyFill="1" applyBorder="1" applyAlignment="1">
      <alignment horizontal="left"/>
    </xf>
    <xf numFmtId="0" fontId="47" fillId="5" borderId="28" xfId="0" applyFont="1" applyFill="1" applyBorder="1" applyAlignment="1">
      <alignment horizontal="right"/>
    </xf>
    <xf numFmtId="0" fontId="9" fillId="4" borderId="15" xfId="0" applyFont="1" applyFill="1" applyBorder="1" applyAlignment="1">
      <alignment horizontal="right"/>
    </xf>
    <xf numFmtId="0" fontId="9" fillId="38" borderId="22" xfId="0" applyFont="1" applyFill="1" applyBorder="1" applyAlignment="1">
      <alignment horizontal="left"/>
    </xf>
    <xf numFmtId="0" fontId="9" fillId="2" borderId="22" xfId="0" applyFont="1" applyFill="1" applyBorder="1" applyAlignment="1">
      <alignment horizontal="left"/>
    </xf>
    <xf numFmtId="0" fontId="47" fillId="36" borderId="22" xfId="0" applyFont="1" applyFill="1" applyBorder="1" applyAlignment="1">
      <alignment horizontal="left" vertical="center"/>
    </xf>
    <xf numFmtId="0" fontId="47" fillId="79" borderId="29" xfId="0" applyFont="1" applyFill="1" applyBorder="1" applyAlignment="1">
      <alignment horizontal="left" vertical="center"/>
    </xf>
    <xf numFmtId="0" fontId="47" fillId="81" borderId="22" xfId="0" applyFont="1" applyFill="1" applyBorder="1" applyAlignment="1">
      <alignment horizontal="left" vertical="center"/>
    </xf>
    <xf numFmtId="0" fontId="47" fillId="5" borderId="67" xfId="0" applyFont="1" applyFill="1" applyBorder="1" applyAlignment="1">
      <alignment horizontal="left" vertical="center"/>
    </xf>
    <xf numFmtId="0" fontId="47" fillId="5" borderId="12" xfId="0" applyFont="1" applyFill="1" applyBorder="1" applyAlignment="1">
      <alignment horizontal="left" vertical="center"/>
    </xf>
    <xf numFmtId="0" fontId="47" fillId="44" borderId="12" xfId="0" applyFont="1" applyFill="1" applyBorder="1" applyAlignment="1">
      <alignment horizontal="left" vertical="center"/>
    </xf>
    <xf numFmtId="0" fontId="47" fillId="125" borderId="13" xfId="0" applyFont="1" applyFill="1" applyBorder="1" applyAlignment="1">
      <alignment horizontal="left" vertical="center"/>
    </xf>
    <xf numFmtId="0" fontId="47" fillId="134" borderId="22" xfId="0" applyFont="1" applyFill="1" applyBorder="1" applyAlignment="1">
      <alignment horizontal="left" vertical="center"/>
    </xf>
    <xf numFmtId="0" fontId="0" fillId="5" borderId="15" xfId="0" applyFill="1" applyBorder="1" applyAlignment="1">
      <alignment horizontal="center" vertical="top"/>
    </xf>
    <xf numFmtId="0" fontId="0" fillId="4" borderId="15" xfId="0" applyFill="1" applyBorder="1" applyAlignment="1">
      <alignment horizontal="center" vertical="top"/>
    </xf>
    <xf numFmtId="0" fontId="47" fillId="36" borderId="62" xfId="0" applyFont="1" applyFill="1" applyBorder="1" applyAlignment="1">
      <alignment horizontal="left" vertical="center"/>
    </xf>
    <xf numFmtId="0" fontId="9" fillId="5" borderId="17" xfId="0" applyFont="1" applyFill="1" applyBorder="1" applyAlignment="1">
      <alignment horizontal="right"/>
    </xf>
    <xf numFmtId="9" fontId="9" fillId="15" borderId="18" xfId="0" applyNumberFormat="1" applyFont="1" applyFill="1" applyBorder="1" applyAlignment="1">
      <alignment horizontal="right"/>
    </xf>
    <xf numFmtId="9" fontId="9" fillId="15" borderId="19" xfId="0" applyNumberFormat="1" applyFont="1" applyFill="1" applyBorder="1" applyAlignment="1">
      <alignment horizontal="right"/>
    </xf>
    <xf numFmtId="0" fontId="9" fillId="5" borderId="20" xfId="0" applyFont="1" applyFill="1" applyBorder="1" applyAlignment="1">
      <alignment horizontal="right" vertical="center"/>
    </xf>
    <xf numFmtId="9" fontId="9" fillId="15" borderId="21" xfId="0" applyNumberFormat="1" applyFont="1" applyFill="1" applyBorder="1" applyAlignment="1">
      <alignment horizontal="right"/>
    </xf>
    <xf numFmtId="0" fontId="9" fillId="16" borderId="23" xfId="0" applyFont="1" applyFill="1" applyBorder="1" applyProtection="1">
      <protection hidden="1"/>
    </xf>
    <xf numFmtId="0" fontId="9" fillId="16" borderId="39" xfId="0" applyFont="1" applyFill="1" applyBorder="1" applyProtection="1">
      <protection hidden="1"/>
    </xf>
    <xf numFmtId="0" fontId="12" fillId="16" borderId="23" xfId="0" applyFont="1" applyFill="1" applyBorder="1" applyAlignment="1" applyProtection="1">
      <alignment horizontal="left" vertical="center"/>
      <protection hidden="1"/>
    </xf>
    <xf numFmtId="0" fontId="13" fillId="16" borderId="47" xfId="0" applyFont="1" applyFill="1" applyBorder="1" applyAlignment="1" applyProtection="1">
      <alignment vertical="top" wrapText="1"/>
      <protection hidden="1"/>
    </xf>
    <xf numFmtId="0" fontId="13" fillId="16" borderId="0" xfId="0" applyFont="1" applyFill="1" applyBorder="1" applyAlignment="1" applyProtection="1">
      <alignment vertical="top" wrapText="1"/>
      <protection hidden="1"/>
    </xf>
    <xf numFmtId="0" fontId="13" fillId="16" borderId="48" xfId="0" applyFont="1" applyFill="1" applyBorder="1" applyAlignment="1" applyProtection="1">
      <alignment vertical="top" wrapText="1"/>
      <protection hidden="1"/>
    </xf>
    <xf numFmtId="0" fontId="9" fillId="5" borderId="0" xfId="0" applyFont="1" applyFill="1" applyBorder="1" applyAlignment="1">
      <alignment horizontal="center" vertical="center"/>
    </xf>
    <xf numFmtId="0" fontId="9" fillId="5" borderId="15" xfId="0" applyFont="1" applyFill="1" applyBorder="1" applyAlignment="1">
      <alignment horizontal="center" vertical="center"/>
    </xf>
    <xf numFmtId="0" fontId="77" fillId="88" borderId="0" xfId="0" applyFont="1" applyFill="1" applyBorder="1" applyAlignment="1">
      <alignment horizontal="left" vertical="center"/>
    </xf>
    <xf numFmtId="0" fontId="12" fillId="9" borderId="15" xfId="0" applyFont="1" applyFill="1" applyBorder="1" applyAlignment="1">
      <alignment horizontal="left"/>
    </xf>
    <xf numFmtId="0" fontId="12" fillId="38" borderId="15" xfId="0" applyFont="1" applyFill="1" applyBorder="1" applyAlignment="1">
      <alignment horizontal="left"/>
    </xf>
    <xf numFmtId="0" fontId="47" fillId="44" borderId="22" xfId="0" applyFont="1" applyFill="1" applyBorder="1" applyAlignment="1">
      <alignment horizontal="left" vertical="center"/>
    </xf>
    <xf numFmtId="0" fontId="71" fillId="5" borderId="0" xfId="8" applyFont="1" applyAlignment="1">
      <alignment wrapText="1"/>
    </xf>
    <xf numFmtId="0" fontId="14" fillId="53" borderId="15" xfId="0" applyFont="1" applyFill="1" applyBorder="1" applyAlignment="1">
      <alignment horizontal="left"/>
    </xf>
    <xf numFmtId="0" fontId="14" fillId="53" borderId="15" xfId="0" applyFont="1" applyFill="1" applyBorder="1" applyAlignment="1">
      <alignment horizontal="center"/>
    </xf>
    <xf numFmtId="0" fontId="14" fillId="28" borderId="15" xfId="0" applyFont="1" applyFill="1" applyBorder="1" applyAlignment="1">
      <alignment horizontal="left" vertical="center"/>
    </xf>
    <xf numFmtId="0" fontId="12" fillId="28" borderId="15" xfId="0" applyFont="1" applyFill="1" applyBorder="1" applyAlignment="1">
      <alignment horizontal="left" vertical="center"/>
    </xf>
    <xf numFmtId="0" fontId="12" fillId="28" borderId="15" xfId="0" applyFont="1" applyFill="1" applyBorder="1" applyAlignment="1">
      <alignment horizontal="right" vertical="center"/>
    </xf>
    <xf numFmtId="0" fontId="31" fillId="107" borderId="0" xfId="0" applyFont="1" applyFill="1" applyBorder="1" applyAlignment="1" applyProtection="1">
      <alignment horizontal="center" vertical="center"/>
      <protection hidden="1"/>
    </xf>
    <xf numFmtId="0" fontId="23" fillId="5" borderId="0" xfId="0" applyFont="1" applyFill="1" applyBorder="1" applyAlignment="1" applyProtection="1">
      <alignment horizontal="center" vertical="center"/>
      <protection hidden="1"/>
    </xf>
    <xf numFmtId="0" fontId="9" fillId="106" borderId="0" xfId="0" applyFont="1" applyFill="1" applyBorder="1" applyProtection="1">
      <protection hidden="1"/>
    </xf>
    <xf numFmtId="0" fontId="19" fillId="132" borderId="0" xfId="0" applyFont="1" applyFill="1" applyBorder="1" applyAlignment="1" applyProtection="1">
      <alignment horizontal="center" vertical="center"/>
      <protection hidden="1"/>
    </xf>
    <xf numFmtId="1" fontId="9" fillId="132" borderId="0" xfId="0" applyNumberFormat="1" applyFont="1" applyFill="1" applyBorder="1" applyAlignment="1" applyProtection="1">
      <alignment horizontal="center" vertical="center"/>
      <protection hidden="1"/>
    </xf>
    <xf numFmtId="0" fontId="9" fillId="17" borderId="0" xfId="0" applyFont="1" applyFill="1" applyBorder="1" applyAlignment="1" applyProtection="1">
      <alignment vertical="top" wrapText="1"/>
      <protection hidden="1"/>
    </xf>
    <xf numFmtId="3" fontId="35" fillId="0" borderId="7" xfId="0" applyNumberFormat="1" applyFont="1" applyFill="1" applyBorder="1" applyAlignment="1" applyProtection="1">
      <alignment horizontal="center" vertical="center"/>
      <protection hidden="1"/>
    </xf>
    <xf numFmtId="0" fontId="47" fillId="5" borderId="0" xfId="0" applyFont="1" applyFill="1" applyBorder="1" applyProtection="1">
      <protection hidden="1"/>
    </xf>
    <xf numFmtId="165" fontId="47" fillId="5" borderId="0" xfId="0" applyNumberFormat="1" applyFont="1" applyFill="1" applyBorder="1" applyAlignment="1" applyProtection="1">
      <alignment horizontal="center" vertical="center"/>
      <protection hidden="1"/>
    </xf>
    <xf numFmtId="0" fontId="47" fillId="5" borderId="0" xfId="0" applyFont="1" applyFill="1" applyAlignment="1" applyProtection="1">
      <alignment vertical="center"/>
      <protection hidden="1"/>
    </xf>
    <xf numFmtId="0" fontId="9" fillId="4" borderId="15" xfId="0" applyFont="1" applyFill="1" applyBorder="1" applyAlignment="1">
      <alignment horizontal="center" vertical="center"/>
    </xf>
    <xf numFmtId="0" fontId="47" fillId="5" borderId="0" xfId="0" applyFont="1" applyFill="1" applyAlignment="1" applyProtection="1">
      <alignment horizontal="right" vertical="center"/>
      <protection hidden="1"/>
    </xf>
    <xf numFmtId="165" fontId="35" fillId="0" borderId="7" xfId="0" applyNumberFormat="1" applyFont="1" applyFill="1" applyBorder="1" applyAlignment="1" applyProtection="1">
      <alignment horizontal="center" vertical="center"/>
      <protection hidden="1"/>
    </xf>
    <xf numFmtId="165" fontId="15" fillId="9" borderId="1" xfId="7" applyNumberFormat="1" applyFont="1" applyBorder="1" applyProtection="1">
      <alignment horizontal="center" vertical="center"/>
      <protection hidden="1"/>
    </xf>
    <xf numFmtId="165" fontId="9" fillId="5" borderId="0" xfId="0" applyNumberFormat="1" applyFont="1" applyFill="1"/>
    <xf numFmtId="165" fontId="9" fillId="44" borderId="28" xfId="0" applyNumberFormat="1" applyFont="1" applyFill="1" applyBorder="1" applyAlignment="1">
      <alignment horizontal="right"/>
    </xf>
    <xf numFmtId="0" fontId="37" fillId="92" borderId="36" xfId="0" applyFont="1" applyFill="1" applyBorder="1" applyAlignment="1" applyProtection="1">
      <alignment horizontal="left" vertical="center"/>
      <protection hidden="1"/>
    </xf>
    <xf numFmtId="0" fontId="37" fillId="92" borderId="23" xfId="0" applyFont="1" applyFill="1" applyBorder="1" applyAlignment="1" applyProtection="1">
      <alignment horizontal="left" vertical="center"/>
      <protection hidden="1"/>
    </xf>
    <xf numFmtId="0" fontId="29" fillId="5" borderId="0" xfId="1" applyFont="1" applyFill="1" applyProtection="1">
      <protection hidden="1"/>
    </xf>
    <xf numFmtId="0" fontId="138" fillId="21" borderId="0" xfId="0" applyFont="1" applyFill="1" applyBorder="1" applyAlignment="1" applyProtection="1">
      <alignment vertical="center"/>
      <protection hidden="1"/>
    </xf>
    <xf numFmtId="165" fontId="9" fillId="106" borderId="0" xfId="0" applyNumberFormat="1" applyFont="1" applyFill="1" applyBorder="1" applyAlignment="1" applyProtection="1">
      <alignment horizontal="left" vertical="center"/>
      <protection hidden="1"/>
    </xf>
    <xf numFmtId="0" fontId="23" fillId="106" borderId="0" xfId="0" applyFont="1" applyFill="1" applyBorder="1" applyAlignment="1" applyProtection="1">
      <alignment horizontal="center" vertical="center"/>
      <protection hidden="1"/>
    </xf>
    <xf numFmtId="0" fontId="9" fillId="109" borderId="0" xfId="0" applyFont="1" applyFill="1" applyAlignment="1" applyProtection="1">
      <alignment horizontal="center" vertical="center"/>
      <protection hidden="1"/>
    </xf>
    <xf numFmtId="4" fontId="9" fillId="5" borderId="1" xfId="3" applyNumberFormat="1" applyFont="1" applyAlignment="1" applyProtection="1">
      <alignment horizontal="right" vertical="center"/>
      <protection hidden="1"/>
    </xf>
    <xf numFmtId="0" fontId="9" fillId="17" borderId="38" xfId="0" applyFont="1" applyFill="1" applyBorder="1" applyProtection="1">
      <protection hidden="1"/>
    </xf>
    <xf numFmtId="0" fontId="9" fillId="17" borderId="23" xfId="0" applyFont="1" applyFill="1" applyBorder="1" applyAlignment="1" applyProtection="1">
      <alignment vertical="top" wrapText="1"/>
      <protection hidden="1"/>
    </xf>
    <xf numFmtId="0" fontId="0" fillId="0" borderId="0" xfId="0" quotePrefix="1"/>
    <xf numFmtId="0" fontId="37" fillId="25" borderId="0" xfId="0" applyFont="1" applyFill="1" applyBorder="1" applyAlignment="1" applyProtection="1">
      <alignment horizontal="left" vertical="center"/>
      <protection hidden="1"/>
    </xf>
    <xf numFmtId="0" fontId="47" fillId="9" borderId="0" xfId="0" applyFont="1" applyFill="1" applyBorder="1" applyProtection="1">
      <protection hidden="1"/>
    </xf>
    <xf numFmtId="0" fontId="47" fillId="9" borderId="0" xfId="0" applyFont="1" applyFill="1" applyBorder="1" applyAlignment="1" applyProtection="1">
      <alignment horizontal="left" vertical="center"/>
      <protection hidden="1"/>
    </xf>
    <xf numFmtId="165" fontId="47" fillId="9" borderId="0" xfId="0" applyNumberFormat="1" applyFont="1" applyFill="1" applyBorder="1" applyAlignment="1" applyProtection="1">
      <alignment horizontal="center" vertical="center"/>
      <protection hidden="1"/>
    </xf>
    <xf numFmtId="2" fontId="9" fillId="9" borderId="0" xfId="0" applyNumberFormat="1" applyFont="1" applyFill="1" applyAlignment="1" applyProtection="1">
      <alignment vertical="center"/>
      <protection hidden="1"/>
    </xf>
    <xf numFmtId="0" fontId="9" fillId="9" borderId="0" xfId="0" applyFont="1" applyFill="1" applyProtection="1">
      <protection hidden="1"/>
    </xf>
    <xf numFmtId="0" fontId="9" fillId="9" borderId="0" xfId="0" applyFont="1" applyFill="1" applyBorder="1" applyProtection="1">
      <protection hidden="1"/>
    </xf>
    <xf numFmtId="0" fontId="9" fillId="9" borderId="0" xfId="0" applyFont="1" applyFill="1" applyBorder="1" applyAlignment="1" applyProtection="1">
      <alignment horizontal="left"/>
      <protection hidden="1"/>
    </xf>
    <xf numFmtId="0" fontId="9" fillId="9" borderId="0" xfId="0" applyFont="1" applyFill="1" applyAlignment="1" applyProtection="1">
      <alignment vertical="center"/>
      <protection hidden="1"/>
    </xf>
    <xf numFmtId="0" fontId="47" fillId="26" borderId="0" xfId="0" applyFont="1" applyFill="1" applyProtection="1">
      <protection hidden="1"/>
    </xf>
    <xf numFmtId="0" fontId="9" fillId="10" borderId="8" xfId="0" applyFont="1" applyFill="1" applyBorder="1" applyAlignment="1" applyProtection="1">
      <alignment horizontal="center" vertical="center"/>
      <protection hidden="1"/>
    </xf>
    <xf numFmtId="0" fontId="9" fillId="10" borderId="52" xfId="0" applyFont="1" applyFill="1" applyBorder="1" applyAlignment="1" applyProtection="1">
      <alignment horizontal="center" vertical="center"/>
      <protection hidden="1"/>
    </xf>
    <xf numFmtId="165" fontId="9" fillId="5" borderId="1" xfId="0" applyNumberFormat="1" applyFont="1" applyFill="1" applyBorder="1" applyAlignment="1" applyProtection="1">
      <alignment horizontal="center" vertical="center"/>
      <protection locked="0"/>
    </xf>
    <xf numFmtId="165" fontId="9" fillId="6" borderId="6" xfId="0" applyNumberFormat="1" applyFont="1" applyFill="1" applyBorder="1" applyAlignment="1" applyProtection="1">
      <alignment horizontal="center" vertical="center"/>
      <protection hidden="1"/>
    </xf>
    <xf numFmtId="0" fontId="28" fillId="5" borderId="0" xfId="0" applyFont="1" applyFill="1" applyBorder="1" applyAlignment="1" applyProtection="1">
      <alignment horizontal="left" vertical="center"/>
      <protection hidden="1"/>
    </xf>
    <xf numFmtId="0" fontId="28" fillId="5" borderId="0" xfId="0" applyFont="1" applyFill="1" applyBorder="1" applyAlignment="1" applyProtection="1">
      <alignment horizontal="right" vertical="center"/>
      <protection hidden="1"/>
    </xf>
    <xf numFmtId="0" fontId="87" fillId="10" borderId="0" xfId="0" applyFont="1" applyFill="1" applyBorder="1" applyAlignment="1" applyProtection="1">
      <alignment horizontal="left" vertical="center"/>
      <protection hidden="1"/>
    </xf>
    <xf numFmtId="0" fontId="9" fillId="6" borderId="36" xfId="0" applyFont="1" applyFill="1" applyBorder="1" applyAlignment="1" applyProtection="1">
      <alignment horizontal="center" vertical="center"/>
      <protection hidden="1"/>
    </xf>
    <xf numFmtId="0" fontId="9" fillId="6" borderId="23" xfId="0" applyFont="1" applyFill="1" applyBorder="1" applyAlignment="1" applyProtection="1">
      <alignment horizontal="center" vertical="center"/>
      <protection hidden="1"/>
    </xf>
    <xf numFmtId="0" fontId="9" fillId="6" borderId="36" xfId="0" applyFont="1" applyFill="1" applyBorder="1" applyAlignment="1" applyProtection="1">
      <alignment horizontal="left" vertical="center"/>
      <protection hidden="1"/>
    </xf>
    <xf numFmtId="0" fontId="9" fillId="6" borderId="23" xfId="0" applyFont="1" applyFill="1" applyBorder="1" applyAlignment="1" applyProtection="1">
      <alignment horizontal="left" vertical="center"/>
      <protection hidden="1"/>
    </xf>
    <xf numFmtId="165" fontId="65" fillId="28" borderId="6" xfId="0" applyNumberFormat="1" applyFont="1" applyFill="1" applyBorder="1" applyAlignment="1" applyProtection="1">
      <alignment horizontal="center" vertical="center"/>
      <protection hidden="1"/>
    </xf>
    <xf numFmtId="0" fontId="9" fillId="34" borderId="6" xfId="0" applyFont="1" applyFill="1" applyBorder="1" applyAlignment="1" applyProtection="1">
      <alignment horizontal="center" vertical="center"/>
      <protection hidden="1"/>
    </xf>
    <xf numFmtId="165" fontId="25" fillId="30" borderId="2" xfId="0" applyNumberFormat="1"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top" wrapText="1"/>
      <protection hidden="1"/>
    </xf>
    <xf numFmtId="0" fontId="24" fillId="21" borderId="0" xfId="0" applyFont="1" applyFill="1" applyBorder="1" applyAlignment="1" applyProtection="1">
      <alignment horizontal="left" vertical="center"/>
      <protection hidden="1"/>
    </xf>
    <xf numFmtId="165" fontId="65" fillId="130" borderId="6" xfId="0" applyNumberFormat="1" applyFont="1" applyFill="1" applyBorder="1" applyAlignment="1" applyProtection="1">
      <alignment horizontal="center" vertical="center"/>
      <protection hidden="1"/>
    </xf>
    <xf numFmtId="0" fontId="39" fillId="77" borderId="6" xfId="0" applyFont="1" applyFill="1" applyBorder="1" applyAlignment="1" applyProtection="1">
      <alignment horizontal="center" vertical="center"/>
      <protection hidden="1"/>
    </xf>
    <xf numFmtId="0" fontId="13" fillId="92" borderId="47" xfId="0" applyFont="1" applyFill="1" applyBorder="1" applyAlignment="1" applyProtection="1">
      <alignment horizontal="center" vertical="top" wrapText="1"/>
      <protection hidden="1"/>
    </xf>
    <xf numFmtId="0" fontId="13" fillId="92" borderId="0" xfId="0" applyFont="1" applyFill="1" applyBorder="1" applyAlignment="1" applyProtection="1">
      <alignment horizontal="center" vertical="top" wrapText="1"/>
      <protection hidden="1"/>
    </xf>
    <xf numFmtId="0" fontId="13" fillId="92" borderId="48" xfId="0" applyFont="1" applyFill="1" applyBorder="1" applyAlignment="1" applyProtection="1">
      <alignment horizontal="center" vertical="top" wrapText="1"/>
      <protection hidden="1"/>
    </xf>
    <xf numFmtId="0" fontId="9" fillId="6" borderId="3"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0" fontId="9" fillId="6" borderId="2" xfId="0" applyFont="1" applyFill="1" applyBorder="1" applyAlignment="1" applyProtection="1">
      <alignment horizontal="center" vertical="center"/>
      <protection hidden="1"/>
    </xf>
    <xf numFmtId="0" fontId="37" fillId="31" borderId="0" xfId="0" applyFont="1" applyFill="1" applyBorder="1" applyAlignment="1" applyProtection="1">
      <alignment horizontal="left" vertical="center"/>
      <protection hidden="1"/>
    </xf>
    <xf numFmtId="0" fontId="9" fillId="21" borderId="0" xfId="0" applyFont="1" applyFill="1" applyBorder="1" applyAlignment="1" applyProtection="1">
      <alignment horizontal="left" vertical="center"/>
      <protection hidden="1"/>
    </xf>
    <xf numFmtId="0" fontId="31" fillId="6" borderId="6"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center" wrapText="1"/>
      <protection hidden="1"/>
    </xf>
    <xf numFmtId="0" fontId="37" fillId="97" borderId="0" xfId="0" applyFont="1" applyFill="1" applyProtection="1">
      <protection hidden="1"/>
    </xf>
    <xf numFmtId="0" fontId="9" fillId="6" borderId="37" xfId="0" applyFont="1" applyFill="1" applyBorder="1" applyProtection="1">
      <protection hidden="1"/>
    </xf>
    <xf numFmtId="0" fontId="9" fillId="25" borderId="38" xfId="0" applyFont="1" applyFill="1" applyBorder="1" applyProtection="1">
      <protection hidden="1"/>
    </xf>
    <xf numFmtId="0" fontId="9" fillId="25" borderId="23" xfId="0" applyFont="1" applyFill="1" applyBorder="1" applyProtection="1">
      <protection hidden="1"/>
    </xf>
    <xf numFmtId="0" fontId="9" fillId="25" borderId="39" xfId="0" applyFont="1" applyFill="1" applyBorder="1" applyProtection="1">
      <protection hidden="1"/>
    </xf>
    <xf numFmtId="0" fontId="10" fillId="102" borderId="3" xfId="0" applyFont="1" applyFill="1" applyBorder="1" applyAlignment="1" applyProtection="1">
      <alignment horizontal="center"/>
      <protection hidden="1"/>
    </xf>
    <xf numFmtId="0" fontId="10" fillId="102" borderId="6" xfId="0" applyFont="1" applyFill="1" applyBorder="1" applyAlignment="1" applyProtection="1">
      <alignment horizontal="center"/>
      <protection hidden="1"/>
    </xf>
    <xf numFmtId="0" fontId="10" fillId="102" borderId="2" xfId="0" applyFont="1" applyFill="1" applyBorder="1" applyAlignment="1" applyProtection="1">
      <alignment horizontal="center"/>
      <protection hidden="1"/>
    </xf>
    <xf numFmtId="0" fontId="10" fillId="5" borderId="0" xfId="0" applyFont="1" applyFill="1" applyAlignment="1" applyProtection="1">
      <alignment horizontal="center" vertical="center"/>
      <protection hidden="1"/>
    </xf>
    <xf numFmtId="0" fontId="10" fillId="77" borderId="0" xfId="0" applyFont="1" applyFill="1" applyAlignment="1" applyProtection="1">
      <alignment horizontal="center"/>
      <protection hidden="1"/>
    </xf>
    <xf numFmtId="0" fontId="10" fillId="5" borderId="0" xfId="0" applyFont="1" applyFill="1" applyAlignment="1" applyProtection="1">
      <alignment horizontal="center"/>
      <protection hidden="1"/>
    </xf>
    <xf numFmtId="0" fontId="9" fillId="25" borderId="3" xfId="0" applyFont="1" applyFill="1" applyBorder="1" applyAlignment="1" applyProtection="1">
      <protection hidden="1"/>
    </xf>
    <xf numFmtId="0" fontId="9" fillId="25" borderId="6" xfId="0" applyFont="1" applyFill="1" applyBorder="1" applyAlignment="1" applyProtection="1">
      <protection hidden="1"/>
    </xf>
    <xf numFmtId="0" fontId="9" fillId="25" borderId="2" xfId="0" applyFont="1" applyFill="1" applyBorder="1" applyAlignment="1" applyProtection="1">
      <protection hidden="1"/>
    </xf>
    <xf numFmtId="0" fontId="9" fillId="14" borderId="6" xfId="0" applyFont="1" applyFill="1" applyBorder="1" applyProtection="1">
      <protection hidden="1"/>
    </xf>
    <xf numFmtId="0" fontId="9" fillId="14" borderId="2" xfId="0" applyFont="1" applyFill="1" applyBorder="1" applyProtection="1">
      <protection hidden="1"/>
    </xf>
    <xf numFmtId="0" fontId="9" fillId="127" borderId="0" xfId="0" applyFont="1" applyFill="1" applyBorder="1" applyProtection="1">
      <protection hidden="1"/>
    </xf>
    <xf numFmtId="0" fontId="9" fillId="127" borderId="0" xfId="0" applyFont="1" applyFill="1" applyAlignment="1" applyProtection="1">
      <alignment vertical="center"/>
      <protection hidden="1"/>
    </xf>
    <xf numFmtId="0" fontId="48" fillId="22" borderId="6" xfId="0" applyFont="1" applyFill="1" applyBorder="1" applyAlignment="1" applyProtection="1">
      <alignment horizontal="center" vertical="center"/>
      <protection hidden="1"/>
    </xf>
    <xf numFmtId="0" fontId="9" fillId="22" borderId="6" xfId="0" applyFont="1" applyFill="1" applyBorder="1" applyProtection="1">
      <protection hidden="1"/>
    </xf>
    <xf numFmtId="0" fontId="9" fillId="22" borderId="2" xfId="0" applyFont="1" applyFill="1" applyBorder="1" applyProtection="1">
      <protection hidden="1"/>
    </xf>
    <xf numFmtId="0" fontId="9" fillId="22" borderId="0" xfId="0" applyFont="1" applyFill="1" applyProtection="1">
      <protection hidden="1"/>
    </xf>
    <xf numFmtId="0" fontId="12" fillId="5" borderId="0" xfId="0" applyFont="1" applyFill="1" applyProtection="1">
      <protection hidden="1"/>
    </xf>
    <xf numFmtId="0" fontId="9" fillId="98" borderId="35" xfId="0" applyFont="1" applyFill="1" applyBorder="1" applyAlignment="1" applyProtection="1">
      <alignment vertical="center"/>
      <protection hidden="1"/>
    </xf>
    <xf numFmtId="165" fontId="9" fillId="9" borderId="1" xfId="7" applyFont="1" applyFill="1" applyBorder="1" applyProtection="1">
      <alignment horizontal="center" vertical="center"/>
      <protection hidden="1"/>
    </xf>
    <xf numFmtId="0" fontId="9" fillId="98" borderId="0" xfId="0" applyFont="1" applyFill="1" applyBorder="1" applyAlignment="1" applyProtection="1">
      <alignment vertical="center"/>
      <protection hidden="1"/>
    </xf>
    <xf numFmtId="0" fontId="9" fillId="98" borderId="48" xfId="0" applyFont="1" applyFill="1" applyBorder="1" applyAlignment="1" applyProtection="1">
      <alignment vertical="center"/>
      <protection hidden="1"/>
    </xf>
    <xf numFmtId="0" fontId="9" fillId="98" borderId="0" xfId="0" applyFont="1" applyFill="1" applyAlignment="1" applyProtection="1">
      <alignment vertical="center"/>
      <protection hidden="1"/>
    </xf>
    <xf numFmtId="0" fontId="9" fillId="98" borderId="38" xfId="0" applyFont="1" applyFill="1" applyBorder="1" applyAlignment="1" applyProtection="1">
      <alignment vertical="center"/>
      <protection hidden="1"/>
    </xf>
    <xf numFmtId="0" fontId="9" fillId="92" borderId="3" xfId="0" applyFont="1" applyFill="1" applyBorder="1" applyAlignment="1" applyProtection="1">
      <protection hidden="1"/>
    </xf>
    <xf numFmtId="0" fontId="9" fillId="92" borderId="6" xfId="0" applyFont="1" applyFill="1" applyBorder="1" applyAlignment="1" applyProtection="1">
      <protection hidden="1"/>
    </xf>
    <xf numFmtId="0" fontId="9" fillId="92" borderId="2" xfId="0" applyFont="1" applyFill="1" applyBorder="1" applyAlignment="1" applyProtection="1">
      <protection hidden="1"/>
    </xf>
    <xf numFmtId="165" fontId="9" fillId="6" borderId="1" xfId="7" applyFont="1" applyFill="1" applyBorder="1" applyProtection="1">
      <alignment horizontal="center" vertical="center"/>
      <protection hidden="1"/>
    </xf>
    <xf numFmtId="164" fontId="9" fillId="5" borderId="0" xfId="0" applyNumberFormat="1" applyFont="1" applyFill="1" applyProtection="1">
      <protection hidden="1"/>
    </xf>
    <xf numFmtId="0" fontId="9" fillId="13" borderId="0" xfId="0" applyFont="1" applyFill="1" applyAlignment="1" applyProtection="1">
      <alignment horizontal="center" vertical="center"/>
      <protection hidden="1"/>
    </xf>
    <xf numFmtId="0" fontId="9" fillId="13" borderId="0" xfId="0" applyFont="1" applyFill="1" applyProtection="1">
      <protection hidden="1"/>
    </xf>
    <xf numFmtId="0" fontId="55" fillId="5" borderId="0" xfId="0" applyFont="1" applyFill="1" applyProtection="1">
      <protection hidden="1"/>
    </xf>
    <xf numFmtId="0" fontId="10" fillId="13" borderId="6" xfId="0" applyFont="1" applyFill="1" applyBorder="1" applyAlignment="1" applyProtection="1">
      <alignment horizontal="center" vertical="center"/>
      <protection hidden="1"/>
    </xf>
    <xf numFmtId="0" fontId="10" fillId="77" borderId="0" xfId="0" applyFont="1" applyFill="1" applyAlignment="1" applyProtection="1">
      <alignment horizontal="center" vertical="center"/>
      <protection hidden="1"/>
    </xf>
    <xf numFmtId="0" fontId="9" fillId="128" borderId="0" xfId="0" quotePrefix="1" applyFont="1" applyFill="1" applyBorder="1" applyAlignment="1" applyProtection="1">
      <alignment horizontal="left"/>
      <protection hidden="1"/>
    </xf>
    <xf numFmtId="0" fontId="9" fillId="137" borderId="1" xfId="3" applyFont="1" applyFill="1" applyBorder="1" applyAlignment="1" applyProtection="1">
      <alignment horizontal="center" vertical="center" wrapText="1"/>
      <protection locked="0"/>
    </xf>
    <xf numFmtId="0" fontId="9" fillId="129" borderId="0" xfId="0" applyFont="1" applyFill="1" applyProtection="1">
      <protection hidden="1"/>
    </xf>
    <xf numFmtId="0" fontId="9" fillId="129" borderId="0" xfId="0" applyFont="1" applyFill="1" applyAlignment="1" applyProtection="1">
      <alignment horizontal="left" vertical="center"/>
      <protection hidden="1"/>
    </xf>
    <xf numFmtId="0" fontId="9" fillId="129" borderId="0" xfId="0" applyFont="1" applyFill="1" applyAlignment="1" applyProtection="1">
      <alignment horizontal="center" vertical="center"/>
      <protection hidden="1"/>
    </xf>
    <xf numFmtId="0" fontId="9" fillId="5" borderId="1" xfId="3" applyFont="1" applyAlignment="1" applyProtection="1">
      <alignment horizontal="center" vertical="center" wrapText="1"/>
      <protection locked="0"/>
    </xf>
    <xf numFmtId="165" fontId="9" fillId="16" borderId="23" xfId="0" applyNumberFormat="1" applyFont="1" applyFill="1" applyBorder="1" applyProtection="1">
      <protection hidden="1"/>
    </xf>
    <xf numFmtId="0" fontId="9" fillId="137" borderId="1" xfId="3" applyFont="1" applyFill="1" applyBorder="1" applyProtection="1">
      <alignment horizontal="center" vertical="center"/>
      <protection locked="0"/>
    </xf>
    <xf numFmtId="0" fontId="37" fillId="129" borderId="0" xfId="0" applyFont="1" applyFill="1" applyAlignment="1" applyProtection="1">
      <alignment horizontal="left" vertical="center"/>
      <protection hidden="1"/>
    </xf>
    <xf numFmtId="0" fontId="37" fillId="129" borderId="0" xfId="0" applyFont="1" applyFill="1" applyProtection="1">
      <protection hidden="1"/>
    </xf>
    <xf numFmtId="0" fontId="9" fillId="3" borderId="0" xfId="0" applyFont="1" applyFill="1" applyBorder="1" applyAlignment="1" applyProtection="1">
      <alignment vertical="center"/>
      <protection hidden="1"/>
    </xf>
    <xf numFmtId="0" fontId="9" fillId="109" borderId="38" xfId="0" applyFont="1" applyFill="1" applyBorder="1" applyAlignment="1" applyProtection="1">
      <alignment horizontal="left" vertical="center"/>
      <protection hidden="1"/>
    </xf>
    <xf numFmtId="0" fontId="9" fillId="28" borderId="3" xfId="0" applyFont="1" applyFill="1" applyBorder="1" applyProtection="1">
      <protection hidden="1"/>
    </xf>
    <xf numFmtId="0" fontId="68" fillId="5" borderId="0" xfId="0" applyFont="1" applyFill="1" applyAlignment="1" applyProtection="1">
      <alignment horizontal="center" vertical="center"/>
      <protection hidden="1"/>
    </xf>
    <xf numFmtId="165" fontId="9" fillId="30" borderId="35" xfId="0" applyNumberFormat="1" applyFont="1" applyFill="1" applyBorder="1" applyProtection="1">
      <protection hidden="1"/>
    </xf>
    <xf numFmtId="165" fontId="9" fillId="30" borderId="36" xfId="0" applyNumberFormat="1" applyFont="1" applyFill="1" applyBorder="1" applyAlignment="1" applyProtection="1">
      <alignment horizontal="left" vertical="center"/>
      <protection hidden="1"/>
    </xf>
    <xf numFmtId="165" fontId="9" fillId="30" borderId="37" xfId="0" applyNumberFormat="1" applyFont="1" applyFill="1" applyBorder="1" applyAlignment="1" applyProtection="1">
      <alignment horizontal="left" vertical="center"/>
      <protection hidden="1"/>
    </xf>
    <xf numFmtId="165" fontId="9" fillId="30" borderId="47" xfId="0" applyNumberFormat="1" applyFont="1" applyFill="1" applyBorder="1" applyProtection="1">
      <protection hidden="1"/>
    </xf>
    <xf numFmtId="165" fontId="9" fillId="9" borderId="1" xfId="7" applyFont="1" applyBorder="1" applyProtection="1">
      <alignment horizontal="center" vertical="center"/>
      <protection hidden="1"/>
    </xf>
    <xf numFmtId="0" fontId="9" fillId="21" borderId="52" xfId="0" applyFont="1" applyFill="1" applyBorder="1" applyAlignment="1" applyProtection="1">
      <alignment vertical="center"/>
      <protection hidden="1"/>
    </xf>
    <xf numFmtId="165" fontId="9" fillId="30" borderId="0" xfId="0" applyNumberFormat="1" applyFont="1" applyFill="1" applyBorder="1" applyAlignment="1" applyProtection="1">
      <alignment horizontal="left" vertical="center"/>
      <protection hidden="1"/>
    </xf>
    <xf numFmtId="165" fontId="9" fillId="30" borderId="48" xfId="0" applyNumberFormat="1" applyFont="1" applyFill="1" applyBorder="1" applyAlignment="1" applyProtection="1">
      <alignment horizontal="left" vertical="center"/>
      <protection hidden="1"/>
    </xf>
    <xf numFmtId="165" fontId="9" fillId="21" borderId="0" xfId="7" applyFont="1" applyFill="1" applyBorder="1" applyProtection="1">
      <alignment horizontal="center" vertical="center"/>
      <protection hidden="1"/>
    </xf>
    <xf numFmtId="0" fontId="9" fillId="30" borderId="47" xfId="0" applyFont="1" applyFill="1" applyBorder="1" applyProtection="1">
      <protection hidden="1"/>
    </xf>
    <xf numFmtId="0" fontId="9" fillId="30" borderId="38" xfId="0" applyFont="1" applyFill="1" applyBorder="1" applyProtection="1">
      <protection hidden="1"/>
    </xf>
    <xf numFmtId="165" fontId="9" fillId="30" borderId="23" xfId="0" applyNumberFormat="1" applyFont="1" applyFill="1" applyBorder="1" applyAlignment="1" applyProtection="1">
      <alignment horizontal="left" vertical="center"/>
      <protection hidden="1"/>
    </xf>
    <xf numFmtId="165" fontId="9" fillId="30" borderId="39" xfId="0" applyNumberFormat="1" applyFont="1" applyFill="1" applyBorder="1" applyAlignment="1" applyProtection="1">
      <alignment horizontal="left" vertical="center"/>
      <protection hidden="1"/>
    </xf>
    <xf numFmtId="0" fontId="9" fillId="103" borderId="0" xfId="0" applyFont="1" applyFill="1" applyAlignment="1" applyProtection="1">
      <alignment vertical="center"/>
      <protection hidden="1"/>
    </xf>
    <xf numFmtId="165" fontId="9" fillId="31" borderId="3" xfId="0" applyNumberFormat="1" applyFont="1" applyFill="1" applyBorder="1" applyProtection="1">
      <protection hidden="1"/>
    </xf>
    <xf numFmtId="165" fontId="9" fillId="31" borderId="6" xfId="0" applyNumberFormat="1" applyFont="1" applyFill="1" applyBorder="1" applyAlignment="1" applyProtection="1">
      <alignment horizontal="left" vertical="center"/>
      <protection hidden="1"/>
    </xf>
    <xf numFmtId="0" fontId="9" fillId="31" borderId="6" xfId="0" applyFont="1" applyFill="1" applyBorder="1" applyAlignment="1" applyProtection="1">
      <alignment vertical="center"/>
      <protection hidden="1"/>
    </xf>
    <xf numFmtId="165" fontId="9" fillId="31" borderId="2" xfId="0" applyNumberFormat="1" applyFont="1" applyFill="1" applyBorder="1" applyAlignment="1" applyProtection="1">
      <alignment horizontal="left" vertical="center"/>
      <protection hidden="1"/>
    </xf>
    <xf numFmtId="2" fontId="9" fillId="30" borderId="35" xfId="4" applyFont="1" applyFill="1" applyBorder="1" applyAlignment="1" applyProtection="1">
      <alignment horizontal="left" vertical="center"/>
      <protection hidden="1"/>
    </xf>
    <xf numFmtId="2" fontId="9" fillId="30" borderId="47" xfId="4" applyFont="1" applyFill="1" applyBorder="1" applyAlignment="1" applyProtection="1">
      <alignment horizontal="left" vertical="center"/>
      <protection hidden="1"/>
    </xf>
    <xf numFmtId="2" fontId="9" fillId="30" borderId="38" xfId="4" applyFont="1" applyFill="1" applyBorder="1" applyAlignment="1" applyProtection="1">
      <alignment horizontal="left" vertical="center"/>
      <protection hidden="1"/>
    </xf>
    <xf numFmtId="0" fontId="9" fillId="5" borderId="0" xfId="0" applyFont="1" applyFill="1" applyBorder="1" applyAlignment="1" applyProtection="1">
      <protection hidden="1"/>
    </xf>
    <xf numFmtId="0" fontId="68" fillId="37" borderId="0" xfId="0" applyFont="1" applyFill="1" applyAlignment="1" applyProtection="1">
      <alignment horizontal="center"/>
      <protection hidden="1"/>
    </xf>
    <xf numFmtId="165" fontId="9" fillId="30" borderId="1" xfId="0" applyNumberFormat="1" applyFont="1" applyFill="1" applyBorder="1" applyProtection="1">
      <protection hidden="1"/>
    </xf>
    <xf numFmtId="165" fontId="9" fillId="30" borderId="3" xfId="0" applyNumberFormat="1" applyFont="1" applyFill="1" applyBorder="1" applyProtection="1">
      <protection hidden="1"/>
    </xf>
    <xf numFmtId="165" fontId="9" fillId="30" borderId="6" xfId="0" applyNumberFormat="1" applyFont="1" applyFill="1" applyBorder="1" applyProtection="1">
      <protection hidden="1"/>
    </xf>
    <xf numFmtId="165" fontId="9" fillId="30" borderId="2" xfId="0" applyNumberFormat="1" applyFont="1" applyFill="1" applyBorder="1" applyProtection="1">
      <protection hidden="1"/>
    </xf>
    <xf numFmtId="0" fontId="9" fillId="31" borderId="35" xfId="0" applyFont="1" applyFill="1" applyBorder="1" applyProtection="1">
      <protection hidden="1"/>
    </xf>
    <xf numFmtId="0" fontId="14" fillId="5" borderId="0" xfId="0" applyFont="1" applyFill="1" applyAlignment="1" applyProtection="1">
      <alignment horizontal="center"/>
      <protection hidden="1"/>
    </xf>
    <xf numFmtId="0" fontId="9" fillId="30" borderId="35" xfId="0" applyFont="1" applyFill="1" applyBorder="1" applyAlignment="1" applyProtection="1">
      <alignment vertical="center"/>
      <protection hidden="1"/>
    </xf>
    <xf numFmtId="165" fontId="9" fillId="30" borderId="36" xfId="0" applyNumberFormat="1" applyFont="1" applyFill="1" applyBorder="1" applyProtection="1">
      <protection hidden="1"/>
    </xf>
    <xf numFmtId="165" fontId="9" fillId="30" borderId="37" xfId="0" applyNumberFormat="1" applyFont="1" applyFill="1" applyBorder="1" applyProtection="1">
      <protection hidden="1"/>
    </xf>
    <xf numFmtId="0" fontId="9" fillId="30" borderId="47" xfId="0" applyFont="1" applyFill="1" applyBorder="1" applyAlignment="1" applyProtection="1">
      <alignment vertical="center"/>
      <protection hidden="1"/>
    </xf>
    <xf numFmtId="0" fontId="9" fillId="30" borderId="35" xfId="0" applyFont="1" applyFill="1" applyBorder="1" applyProtection="1">
      <protection hidden="1"/>
    </xf>
    <xf numFmtId="0" fontId="9" fillId="112" borderId="0" xfId="0" applyFont="1" applyFill="1" applyProtection="1">
      <protection hidden="1"/>
    </xf>
    <xf numFmtId="0" fontId="9" fillId="112" borderId="0" xfId="0" applyFont="1" applyFill="1" applyAlignment="1" applyProtection="1">
      <alignment horizontal="left"/>
      <protection hidden="1"/>
    </xf>
    <xf numFmtId="0" fontId="9" fillId="101" borderId="0" xfId="0" applyFont="1" applyFill="1" applyProtection="1">
      <protection hidden="1"/>
    </xf>
    <xf numFmtId="165" fontId="9" fillId="9" borderId="1" xfId="7" applyNumberFormat="1" applyFont="1" applyBorder="1" applyProtection="1">
      <alignment horizontal="center" vertical="center"/>
      <protection hidden="1"/>
    </xf>
    <xf numFmtId="165" fontId="9" fillId="30" borderId="38" xfId="0" applyNumberFormat="1" applyFont="1" applyFill="1" applyBorder="1" applyProtection="1">
      <protection hidden="1"/>
    </xf>
    <xf numFmtId="165" fontId="9" fillId="30" borderId="3" xfId="0" applyNumberFormat="1" applyFont="1" applyFill="1" applyBorder="1" applyAlignment="1" applyProtection="1">
      <protection hidden="1"/>
    </xf>
    <xf numFmtId="165" fontId="9" fillId="30" borderId="6" xfId="0" applyNumberFormat="1" applyFont="1" applyFill="1" applyBorder="1" applyAlignment="1" applyProtection="1">
      <protection hidden="1"/>
    </xf>
    <xf numFmtId="165" fontId="9" fillId="30" borderId="2" xfId="0" applyNumberFormat="1" applyFont="1" applyFill="1" applyBorder="1" applyAlignment="1" applyProtection="1">
      <protection hidden="1"/>
    </xf>
    <xf numFmtId="0" fontId="37" fillId="31" borderId="37" xfId="0" applyFont="1" applyFill="1" applyBorder="1" applyProtection="1">
      <protection hidden="1"/>
    </xf>
    <xf numFmtId="0" fontId="9" fillId="31" borderId="39" xfId="0" applyFont="1" applyFill="1" applyBorder="1" applyProtection="1">
      <protection hidden="1"/>
    </xf>
    <xf numFmtId="0" fontId="9" fillId="30" borderId="37" xfId="0" applyFont="1" applyFill="1" applyBorder="1" applyAlignment="1" applyProtection="1">
      <alignment vertical="center"/>
      <protection hidden="1"/>
    </xf>
    <xf numFmtId="0" fontId="9" fillId="30" borderId="48" xfId="0" applyFont="1" applyFill="1" applyBorder="1" applyAlignment="1" applyProtection="1">
      <alignment vertical="center"/>
      <protection hidden="1"/>
    </xf>
    <xf numFmtId="0" fontId="9" fillId="30" borderId="38" xfId="0" applyFont="1" applyFill="1" applyBorder="1" applyAlignment="1" applyProtection="1">
      <alignment vertical="center"/>
      <protection hidden="1"/>
    </xf>
    <xf numFmtId="0" fontId="9" fillId="30" borderId="39" xfId="0" applyFont="1" applyFill="1" applyBorder="1" applyAlignment="1" applyProtection="1">
      <alignment vertical="center"/>
      <protection hidden="1"/>
    </xf>
    <xf numFmtId="0" fontId="9" fillId="5" borderId="56" xfId="0" applyFont="1" applyFill="1" applyBorder="1" applyAlignment="1" applyProtection="1">
      <alignment horizontal="left"/>
      <protection hidden="1"/>
    </xf>
    <xf numFmtId="0" fontId="9" fillId="70" borderId="23" xfId="3" applyFont="1" applyFill="1" applyBorder="1" applyProtection="1">
      <alignment horizontal="center" vertical="center"/>
      <protection hidden="1"/>
    </xf>
    <xf numFmtId="0" fontId="9" fillId="70" borderId="36" xfId="3" applyFont="1" applyFill="1" applyBorder="1" applyAlignment="1" applyProtection="1">
      <alignment vertical="center"/>
      <protection hidden="1"/>
    </xf>
    <xf numFmtId="0" fontId="45" fillId="5" borderId="0" xfId="6" quotePrefix="1" applyFont="1" applyFill="1" applyProtection="1">
      <protection hidden="1"/>
    </xf>
    <xf numFmtId="0" fontId="71" fillId="5" borderId="0" xfId="8" applyFont="1" applyProtection="1">
      <protection hidden="1"/>
    </xf>
    <xf numFmtId="0" fontId="9" fillId="39" borderId="35" xfId="0" applyFont="1" applyFill="1" applyBorder="1" applyProtection="1">
      <protection hidden="1"/>
    </xf>
    <xf numFmtId="0" fontId="9" fillId="39" borderId="36" xfId="0" applyFont="1" applyFill="1" applyBorder="1" applyAlignment="1" applyProtection="1">
      <alignment horizontal="center" vertical="center"/>
      <protection hidden="1"/>
    </xf>
    <xf numFmtId="0" fontId="9" fillId="39" borderId="37" xfId="0" applyFont="1" applyFill="1" applyBorder="1" applyProtection="1">
      <protection hidden="1"/>
    </xf>
    <xf numFmtId="0" fontId="9" fillId="39" borderId="0" xfId="0" applyFont="1" applyFill="1" applyProtection="1">
      <protection hidden="1"/>
    </xf>
    <xf numFmtId="0" fontId="9" fillId="36" borderId="15" xfId="0" applyFont="1" applyFill="1" applyBorder="1" applyAlignment="1" applyProtection="1">
      <alignment vertical="center"/>
      <protection hidden="1"/>
    </xf>
    <xf numFmtId="0" fontId="9" fillId="39" borderId="23" xfId="0" applyFont="1" applyFill="1" applyBorder="1" applyAlignment="1" applyProtection="1">
      <alignment horizontal="center" vertical="center"/>
      <protection hidden="1"/>
    </xf>
    <xf numFmtId="0" fontId="9" fillId="39" borderId="39" xfId="0" applyFont="1" applyFill="1" applyBorder="1" applyAlignment="1" applyProtection="1">
      <alignment vertical="center"/>
      <protection hidden="1"/>
    </xf>
    <xf numFmtId="0" fontId="9" fillId="139" borderId="38" xfId="0" applyFont="1" applyFill="1" applyBorder="1"/>
    <xf numFmtId="0" fontId="9" fillId="139" borderId="35" xfId="0" applyFont="1" applyFill="1" applyBorder="1"/>
    <xf numFmtId="0" fontId="71" fillId="5" borderId="0" xfId="8" applyFont="1" applyBorder="1" applyAlignment="1" applyProtection="1">
      <alignment vertical="center"/>
      <protection hidden="1"/>
    </xf>
    <xf numFmtId="0" fontId="9" fillId="283" borderId="36" xfId="0" applyFont="1" applyFill="1" applyBorder="1" applyAlignment="1" applyProtection="1">
      <alignment vertical="center"/>
      <protection hidden="1"/>
    </xf>
    <xf numFmtId="0" fontId="9" fillId="283" borderId="37" xfId="0" applyFont="1" applyFill="1" applyBorder="1" applyAlignment="1" applyProtection="1">
      <alignment vertical="center"/>
      <protection hidden="1"/>
    </xf>
    <xf numFmtId="0" fontId="62" fillId="5" borderId="0" xfId="0" applyFont="1" applyFill="1" applyBorder="1" applyAlignment="1" applyProtection="1">
      <alignment horizontal="right" vertical="center"/>
      <protection hidden="1"/>
    </xf>
    <xf numFmtId="0" fontId="62" fillId="5" borderId="0" xfId="0" applyFont="1" applyFill="1" applyBorder="1" applyAlignment="1" applyProtection="1">
      <alignment horizontal="center" vertical="center"/>
      <protection hidden="1"/>
    </xf>
    <xf numFmtId="0" fontId="62" fillId="5" borderId="0" xfId="0" applyFont="1" applyFill="1" applyBorder="1" applyAlignment="1" applyProtection="1">
      <alignment horizontal="left" vertical="center"/>
      <protection hidden="1"/>
    </xf>
    <xf numFmtId="0" fontId="133" fillId="5" borderId="0" xfId="0" applyFont="1" applyFill="1" applyBorder="1" applyAlignment="1" applyProtection="1">
      <alignment vertical="center"/>
      <protection hidden="1"/>
    </xf>
    <xf numFmtId="0" fontId="9" fillId="5" borderId="1" xfId="3" applyFont="1" applyBorder="1" applyProtection="1">
      <alignment horizontal="center" vertical="center"/>
      <protection locked="0"/>
    </xf>
    <xf numFmtId="0" fontId="9" fillId="109" borderId="38" xfId="0" applyFont="1" applyFill="1" applyBorder="1" applyAlignment="1" applyProtection="1">
      <alignment vertical="center"/>
      <protection hidden="1"/>
    </xf>
    <xf numFmtId="0" fontId="9" fillId="109" borderId="23" xfId="0" applyFont="1" applyFill="1" applyBorder="1" applyAlignment="1" applyProtection="1">
      <alignment vertical="center"/>
      <protection hidden="1"/>
    </xf>
    <xf numFmtId="0" fontId="9" fillId="104" borderId="3" xfId="0" applyFont="1" applyFill="1" applyBorder="1" applyAlignment="1" applyProtection="1">
      <alignment vertical="center"/>
      <protection hidden="1"/>
    </xf>
    <xf numFmtId="165" fontId="9" fillId="104" borderId="6" xfId="0" applyNumberFormat="1" applyFont="1" applyFill="1" applyBorder="1" applyAlignment="1" applyProtection="1">
      <alignment vertical="center"/>
      <protection hidden="1"/>
    </xf>
    <xf numFmtId="0" fontId="9" fillId="104" borderId="2" xfId="0" applyFont="1" applyFill="1" applyBorder="1" applyAlignment="1" applyProtection="1">
      <alignment vertical="center"/>
      <protection hidden="1"/>
    </xf>
    <xf numFmtId="165" fontId="9" fillId="31" borderId="35" xfId="0" applyNumberFormat="1" applyFont="1" applyFill="1" applyBorder="1" applyAlignment="1" applyProtection="1">
      <alignment horizontal="center" vertical="center"/>
      <protection hidden="1"/>
    </xf>
    <xf numFmtId="165" fontId="9" fillId="31" borderId="36" xfId="0" applyNumberFormat="1" applyFont="1" applyFill="1" applyBorder="1" applyAlignment="1" applyProtection="1">
      <alignment horizontal="center" vertical="center"/>
      <protection hidden="1"/>
    </xf>
    <xf numFmtId="165" fontId="9" fillId="31" borderId="37" xfId="0" applyNumberFormat="1" applyFont="1" applyFill="1" applyBorder="1" applyAlignment="1" applyProtection="1">
      <alignment horizontal="center" vertical="center"/>
      <protection hidden="1"/>
    </xf>
    <xf numFmtId="165" fontId="9" fillId="31" borderId="47" xfId="0" applyNumberFormat="1" applyFont="1" applyFill="1" applyBorder="1" applyAlignment="1" applyProtection="1">
      <alignment horizontal="center" vertical="center"/>
      <protection hidden="1"/>
    </xf>
    <xf numFmtId="165" fontId="9" fillId="31" borderId="48" xfId="0" applyNumberFormat="1" applyFont="1" applyFill="1" applyBorder="1" applyAlignment="1" applyProtection="1">
      <alignment horizontal="center" vertical="center"/>
      <protection hidden="1"/>
    </xf>
    <xf numFmtId="165" fontId="9" fillId="31" borderId="38" xfId="0" applyNumberFormat="1" applyFont="1" applyFill="1" applyBorder="1" applyAlignment="1" applyProtection="1">
      <alignment horizontal="center" vertical="center"/>
      <protection hidden="1"/>
    </xf>
    <xf numFmtId="165" fontId="15" fillId="31" borderId="23" xfId="0" applyNumberFormat="1" applyFont="1" applyFill="1" applyBorder="1" applyAlignment="1" applyProtection="1">
      <alignment horizontal="center" vertical="center"/>
      <protection hidden="1"/>
    </xf>
    <xf numFmtId="165" fontId="9" fillId="31" borderId="39" xfId="0" applyNumberFormat="1" applyFont="1" applyFill="1" applyBorder="1" applyAlignment="1" applyProtection="1">
      <alignment horizontal="center" vertical="center"/>
      <protection hidden="1"/>
    </xf>
    <xf numFmtId="165" fontId="15" fillId="31" borderId="36" xfId="0" applyNumberFormat="1" applyFont="1" applyFill="1" applyBorder="1" applyAlignment="1" applyProtection="1">
      <alignment horizontal="center" vertical="center"/>
      <protection hidden="1"/>
    </xf>
    <xf numFmtId="165" fontId="15" fillId="103" borderId="0" xfId="0" applyNumberFormat="1" applyFont="1" applyFill="1" applyAlignment="1" applyProtection="1">
      <alignment vertical="center"/>
      <protection hidden="1"/>
    </xf>
    <xf numFmtId="0" fontId="15" fillId="5" borderId="0" xfId="0" applyFont="1" applyFill="1" applyAlignment="1" applyProtection="1">
      <alignment vertical="center"/>
      <protection hidden="1"/>
    </xf>
    <xf numFmtId="164" fontId="9" fillId="31" borderId="35" xfId="0" applyNumberFormat="1" applyFont="1" applyFill="1" applyBorder="1" applyAlignment="1" applyProtection="1">
      <alignment horizontal="center" vertical="center"/>
      <protection hidden="1"/>
    </xf>
    <xf numFmtId="164" fontId="9" fillId="31" borderId="37" xfId="0" applyNumberFormat="1" applyFont="1" applyFill="1" applyBorder="1" applyAlignment="1" applyProtection="1">
      <alignment horizontal="center" vertical="center"/>
      <protection hidden="1"/>
    </xf>
    <xf numFmtId="0" fontId="9" fillId="31" borderId="47" xfId="0" applyFont="1" applyFill="1" applyBorder="1" applyProtection="1">
      <protection hidden="1"/>
    </xf>
    <xf numFmtId="0" fontId="9" fillId="31" borderId="48" xfId="0" applyFont="1" applyFill="1" applyBorder="1" applyProtection="1">
      <protection hidden="1"/>
    </xf>
    <xf numFmtId="165" fontId="9" fillId="5" borderId="1" xfId="3" applyNumberFormat="1" applyFont="1" applyProtection="1">
      <alignment horizontal="center" vertical="center"/>
      <protection locked="0"/>
    </xf>
    <xf numFmtId="164" fontId="9" fillId="31" borderId="47" xfId="0" applyNumberFormat="1" applyFont="1" applyFill="1" applyBorder="1" applyAlignment="1" applyProtection="1">
      <alignment horizontal="center" vertical="center"/>
      <protection hidden="1"/>
    </xf>
    <xf numFmtId="165" fontId="15" fillId="31" borderId="0" xfId="0" applyNumberFormat="1" applyFont="1" applyFill="1" applyBorder="1" applyAlignment="1" applyProtection="1">
      <alignment horizontal="center" vertical="center"/>
      <protection hidden="1"/>
    </xf>
    <xf numFmtId="164" fontId="9" fillId="31" borderId="48" xfId="0" applyNumberFormat="1" applyFont="1" applyFill="1" applyBorder="1" applyAlignment="1" applyProtection="1">
      <alignment horizontal="center" vertical="center"/>
      <protection hidden="1"/>
    </xf>
    <xf numFmtId="165" fontId="15" fillId="31" borderId="0" xfId="0" applyNumberFormat="1" applyFont="1" applyFill="1" applyBorder="1" applyProtection="1">
      <protection hidden="1"/>
    </xf>
    <xf numFmtId="0" fontId="9" fillId="31" borderId="38" xfId="0" applyFont="1" applyFill="1" applyBorder="1" applyProtection="1">
      <protection hidden="1"/>
    </xf>
    <xf numFmtId="165" fontId="15" fillId="31" borderId="23" xfId="0" applyNumberFormat="1" applyFont="1" applyFill="1" applyBorder="1" applyProtection="1">
      <protection hidden="1"/>
    </xf>
    <xf numFmtId="165" fontId="15" fillId="5" borderId="0" xfId="0" applyNumberFormat="1" applyFont="1" applyFill="1" applyBorder="1" applyProtection="1">
      <protection hidden="1"/>
    </xf>
    <xf numFmtId="165" fontId="15" fillId="5" borderId="0" xfId="0" applyNumberFormat="1" applyFont="1" applyFill="1" applyBorder="1" applyAlignment="1" applyProtection="1">
      <alignment horizontal="center" vertical="center"/>
      <protection hidden="1"/>
    </xf>
    <xf numFmtId="165" fontId="15" fillId="104" borderId="6" xfId="0" applyNumberFormat="1" applyFont="1" applyFill="1" applyBorder="1" applyAlignment="1" applyProtection="1">
      <alignment vertical="center"/>
      <protection hidden="1"/>
    </xf>
    <xf numFmtId="165" fontId="9" fillId="5" borderId="1" xfId="3" applyNumberFormat="1" applyFont="1" applyFill="1" applyBorder="1" applyProtection="1">
      <alignment horizontal="center" vertical="center"/>
      <protection locked="0"/>
    </xf>
    <xf numFmtId="165" fontId="9" fillId="31" borderId="23" xfId="0" applyNumberFormat="1" applyFont="1" applyFill="1" applyBorder="1" applyProtection="1">
      <protection hidden="1"/>
    </xf>
    <xf numFmtId="165" fontId="9" fillId="30" borderId="6" xfId="0" applyNumberFormat="1" applyFont="1" applyFill="1" applyBorder="1" applyAlignment="1" applyProtection="1">
      <alignment horizontal="left" vertical="center"/>
      <protection hidden="1"/>
    </xf>
    <xf numFmtId="165" fontId="9" fillId="30" borderId="0" xfId="0" applyNumberFormat="1" applyFont="1" applyFill="1" applyBorder="1" applyProtection="1">
      <protection hidden="1"/>
    </xf>
    <xf numFmtId="165" fontId="9" fillId="104" borderId="3" xfId="0" applyNumberFormat="1" applyFont="1" applyFill="1" applyBorder="1" applyProtection="1">
      <protection hidden="1"/>
    </xf>
    <xf numFmtId="165" fontId="9" fillId="104" borderId="6" xfId="0" applyNumberFormat="1" applyFont="1" applyFill="1" applyBorder="1" applyProtection="1">
      <protection hidden="1"/>
    </xf>
    <xf numFmtId="165" fontId="9" fillId="104" borderId="2" xfId="0" applyNumberFormat="1" applyFont="1" applyFill="1" applyBorder="1" applyProtection="1">
      <protection hidden="1"/>
    </xf>
    <xf numFmtId="165" fontId="15" fillId="5" borderId="0" xfId="0" applyNumberFormat="1" applyFont="1" applyFill="1" applyProtection="1">
      <protection hidden="1"/>
    </xf>
    <xf numFmtId="165" fontId="9" fillId="5" borderId="1" xfId="3" applyNumberFormat="1" applyFont="1" applyFill="1" applyBorder="1" applyAlignment="1" applyProtection="1">
      <alignment horizontal="center" vertical="center"/>
      <protection locked="0"/>
    </xf>
    <xf numFmtId="165" fontId="9" fillId="11" borderId="23" xfId="0" applyNumberFormat="1" applyFont="1" applyFill="1" applyBorder="1" applyAlignment="1" applyProtection="1">
      <alignment vertical="center"/>
      <protection hidden="1"/>
    </xf>
    <xf numFmtId="165" fontId="9" fillId="5" borderId="0" xfId="4" applyNumberFormat="1" applyFont="1" applyFill="1" applyBorder="1" applyAlignment="1" applyProtection="1">
      <alignment horizontal="left" vertical="center"/>
      <protection hidden="1"/>
    </xf>
    <xf numFmtId="165" fontId="15" fillId="5" borderId="0" xfId="0" applyNumberFormat="1" applyFont="1" applyFill="1" applyAlignment="1" applyProtection="1">
      <alignment vertical="center"/>
      <protection hidden="1"/>
    </xf>
    <xf numFmtId="0" fontId="9" fillId="101" borderId="0" xfId="0" applyFont="1" applyFill="1" applyAlignment="1" applyProtection="1">
      <alignment vertical="center"/>
      <protection hidden="1"/>
    </xf>
    <xf numFmtId="165" fontId="9" fillId="31" borderId="23" xfId="0" applyNumberFormat="1" applyFont="1" applyFill="1" applyBorder="1" applyAlignment="1" applyProtection="1">
      <alignment horizontal="center" vertical="center"/>
      <protection hidden="1"/>
    </xf>
    <xf numFmtId="0" fontId="9" fillId="158" borderId="0" xfId="0" applyFont="1" applyFill="1" applyAlignment="1" applyProtection="1">
      <protection hidden="1"/>
    </xf>
    <xf numFmtId="1" fontId="9" fillId="31" borderId="47" xfId="0" applyNumberFormat="1" applyFont="1" applyFill="1" applyBorder="1" applyAlignment="1" applyProtection="1">
      <alignment horizontal="center" vertical="center"/>
      <protection hidden="1"/>
    </xf>
    <xf numFmtId="3" fontId="9" fillId="31" borderId="48" xfId="0" applyNumberFormat="1" applyFont="1" applyFill="1" applyBorder="1" applyAlignment="1" applyProtection="1">
      <alignment horizontal="center" vertical="center"/>
      <protection hidden="1"/>
    </xf>
    <xf numFmtId="3" fontId="9" fillId="31" borderId="23" xfId="0" applyNumberFormat="1" applyFont="1" applyFill="1" applyBorder="1" applyAlignment="1" applyProtection="1">
      <alignment horizontal="center" vertical="center"/>
      <protection hidden="1"/>
    </xf>
    <xf numFmtId="165" fontId="9" fillId="286" borderId="0" xfId="0" applyNumberFormat="1" applyFont="1" applyFill="1" applyBorder="1" applyAlignment="1" applyProtection="1">
      <alignment horizontal="center" vertical="center"/>
      <protection hidden="1"/>
    </xf>
    <xf numFmtId="0" fontId="64" fillId="5" borderId="0" xfId="0" applyFont="1" applyFill="1" applyBorder="1" applyProtection="1">
      <protection hidden="1"/>
    </xf>
    <xf numFmtId="0" fontId="87" fillId="10" borderId="0" xfId="0" applyFont="1" applyFill="1" applyBorder="1" applyAlignment="1" applyProtection="1">
      <alignment horizontal="left" vertical="center"/>
      <protection hidden="1"/>
    </xf>
    <xf numFmtId="0" fontId="0" fillId="97" borderId="0" xfId="0" applyFill="1" applyProtection="1">
      <protection hidden="1"/>
    </xf>
    <xf numFmtId="0" fontId="0" fillId="97" borderId="0" xfId="0" applyFill="1" applyAlignment="1" applyProtection="1">
      <alignment horizontal="left" vertical="center"/>
      <protection hidden="1"/>
    </xf>
    <xf numFmtId="0" fontId="0" fillId="97" borderId="0" xfId="0" applyFill="1" applyAlignment="1" applyProtection="1">
      <alignment horizontal="center" vertical="center"/>
      <protection hidden="1"/>
    </xf>
    <xf numFmtId="0" fontId="0" fillId="97" borderId="0" xfId="0" applyFill="1" applyAlignment="1" applyProtection="1">
      <alignment horizontal="left"/>
      <protection hidden="1"/>
    </xf>
    <xf numFmtId="0" fontId="0" fillId="97" borderId="0" xfId="0" applyFill="1" applyAlignment="1" applyProtection="1">
      <alignment vertical="center"/>
      <protection hidden="1"/>
    </xf>
    <xf numFmtId="0" fontId="13" fillId="16" borderId="9" xfId="0" applyFont="1" applyFill="1" applyBorder="1" applyAlignment="1" applyProtection="1">
      <alignment vertical="center" wrapText="1"/>
      <protection hidden="1"/>
    </xf>
    <xf numFmtId="165" fontId="9" fillId="145" borderId="0" xfId="0" applyNumberFormat="1" applyFont="1" applyFill="1" applyAlignment="1" applyProtection="1">
      <alignment vertical="center"/>
      <protection hidden="1"/>
    </xf>
    <xf numFmtId="0" fontId="9" fillId="145" borderId="0" xfId="0" applyFont="1" applyFill="1" applyBorder="1" applyProtection="1">
      <protection hidden="1"/>
    </xf>
    <xf numFmtId="164" fontId="51" fillId="31" borderId="0" xfId="0" applyNumberFormat="1" applyFont="1" applyFill="1" applyBorder="1" applyAlignment="1" applyProtection="1">
      <alignment horizontal="center" vertical="center" wrapText="1"/>
      <protection hidden="1"/>
    </xf>
    <xf numFmtId="0" fontId="9" fillId="34" borderId="6"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0" fontId="48" fillId="17" borderId="0" xfId="0" applyFont="1" applyFill="1" applyBorder="1" applyAlignment="1" applyProtection="1">
      <alignment horizontal="center" vertical="center"/>
      <protection hidden="1"/>
    </xf>
    <xf numFmtId="0" fontId="13" fillId="183" borderId="52" xfId="0" applyFont="1" applyFill="1" applyBorder="1" applyAlignment="1" applyProtection="1">
      <alignment horizontal="center" vertical="center" wrapText="1"/>
      <protection hidden="1"/>
    </xf>
    <xf numFmtId="0" fontId="9" fillId="5" borderId="0" xfId="0" applyFont="1" applyFill="1" applyBorder="1" applyAlignment="1">
      <alignment horizontal="center" vertical="center"/>
    </xf>
    <xf numFmtId="0" fontId="9" fillId="5" borderId="47" xfId="0" applyFont="1" applyFill="1" applyBorder="1" applyAlignment="1">
      <alignment horizontal="center" vertical="center"/>
    </xf>
    <xf numFmtId="0" fontId="9" fillId="113" borderId="47" xfId="0" applyFont="1" applyFill="1" applyBorder="1" applyAlignment="1" applyProtection="1">
      <alignment horizontal="left" vertical="center"/>
      <protection hidden="1"/>
    </xf>
    <xf numFmtId="0" fontId="9" fillId="113" borderId="48" xfId="0" applyFont="1" applyFill="1" applyBorder="1" applyAlignment="1" applyProtection="1">
      <alignment horizontal="left" vertical="center"/>
      <protection hidden="1"/>
    </xf>
    <xf numFmtId="0" fontId="9" fillId="156" borderId="75" xfId="0" applyFont="1" applyFill="1" applyBorder="1" applyAlignment="1" applyProtection="1">
      <alignment horizontal="left" vertical="center"/>
      <protection hidden="1"/>
    </xf>
    <xf numFmtId="0" fontId="9" fillId="156" borderId="76" xfId="0" applyFont="1" applyFill="1" applyBorder="1" applyAlignment="1" applyProtection="1">
      <alignment horizontal="left" vertical="center"/>
      <protection hidden="1"/>
    </xf>
    <xf numFmtId="0" fontId="19" fillId="170" borderId="0" xfId="0" applyFont="1" applyFill="1" applyBorder="1" applyAlignment="1" applyProtection="1">
      <alignment horizontal="center" vertical="center"/>
      <protection hidden="1"/>
    </xf>
    <xf numFmtId="1" fontId="9" fillId="170" borderId="0" xfId="0" applyNumberFormat="1" applyFont="1" applyFill="1" applyBorder="1" applyAlignment="1" applyProtection="1">
      <alignment horizontal="center" vertical="center"/>
      <protection hidden="1"/>
    </xf>
    <xf numFmtId="0" fontId="9" fillId="170" borderId="73" xfId="0" applyFont="1" applyFill="1" applyBorder="1" applyAlignment="1" applyProtection="1">
      <alignment horizontal="center" vertical="center"/>
      <protection hidden="1"/>
    </xf>
    <xf numFmtId="165" fontId="9" fillId="106" borderId="0" xfId="0" applyNumberFormat="1" applyFont="1" applyFill="1" applyBorder="1" applyAlignment="1" applyProtection="1">
      <alignment horizontal="center" vertical="center"/>
      <protection hidden="1"/>
    </xf>
    <xf numFmtId="0" fontId="19" fillId="106" borderId="0" xfId="0" applyFont="1" applyFill="1" applyBorder="1" applyAlignment="1" applyProtection="1">
      <alignment horizontal="center" vertical="center"/>
      <protection hidden="1"/>
    </xf>
    <xf numFmtId="0" fontId="11" fillId="5" borderId="0" xfId="0" applyFont="1" applyFill="1" applyBorder="1" applyAlignment="1">
      <alignment horizontal="center" vertical="center"/>
    </xf>
    <xf numFmtId="0" fontId="9" fillId="5" borderId="0" xfId="0" applyFont="1" applyFill="1" applyBorder="1" applyAlignment="1">
      <alignment horizontal="center" vertical="center" wrapText="1"/>
    </xf>
    <xf numFmtId="0" fontId="116" fillId="36" borderId="0" xfId="12" applyFill="1" applyBorder="1"/>
    <xf numFmtId="168" fontId="47" fillId="5" borderId="28" xfId="0" applyNumberFormat="1" applyFont="1" applyFill="1" applyBorder="1"/>
    <xf numFmtId="168" fontId="47" fillId="5" borderId="31" xfId="0" applyNumberFormat="1" applyFont="1" applyFill="1" applyBorder="1"/>
    <xf numFmtId="168" fontId="9" fillId="6" borderId="0" xfId="0" applyNumberFormat="1" applyFont="1" applyFill="1" applyBorder="1" applyAlignment="1">
      <alignment horizontal="center" vertical="center"/>
    </xf>
    <xf numFmtId="168" fontId="9" fillId="6" borderId="23" xfId="0" applyNumberFormat="1" applyFont="1" applyFill="1" applyBorder="1" applyAlignment="1">
      <alignment horizontal="center" vertical="center"/>
    </xf>
    <xf numFmtId="0" fontId="9" fillId="21" borderId="0" xfId="0" applyFont="1" applyFill="1" applyBorder="1" applyAlignment="1" applyProtection="1">
      <alignment horizontal="left" vertical="center"/>
      <protection hidden="1"/>
    </xf>
    <xf numFmtId="165" fontId="47" fillId="5" borderId="15" xfId="0" applyNumberFormat="1" applyFont="1" applyFill="1" applyBorder="1" applyAlignment="1">
      <alignment horizontal="right"/>
    </xf>
    <xf numFmtId="1" fontId="9" fillId="5" borderId="15" xfId="0" applyNumberFormat="1" applyFont="1" applyFill="1" applyBorder="1" applyAlignment="1">
      <alignment horizontal="right" vertical="center" wrapText="1"/>
    </xf>
    <xf numFmtId="9" fontId="9" fillId="5" borderId="15" xfId="0" applyNumberFormat="1" applyFont="1" applyFill="1" applyBorder="1" applyAlignment="1">
      <alignment horizontal="right" vertical="center"/>
    </xf>
    <xf numFmtId="3" fontId="9" fillId="5" borderId="15" xfId="0" applyNumberFormat="1" applyFont="1" applyFill="1" applyBorder="1" applyAlignment="1">
      <alignment horizontal="right" vertical="center" wrapText="1"/>
    </xf>
    <xf numFmtId="0" fontId="144" fillId="5" borderId="0" xfId="0" applyFont="1" applyFill="1" applyAlignment="1">
      <alignment vertical="top"/>
    </xf>
    <xf numFmtId="0" fontId="0" fillId="5" borderId="23" xfId="0" applyFill="1" applyBorder="1" applyAlignment="1"/>
    <xf numFmtId="0" fontId="0" fillId="5" borderId="23" xfId="0" applyFill="1" applyBorder="1" applyAlignment="1">
      <alignment horizontal="left"/>
    </xf>
    <xf numFmtId="0" fontId="0" fillId="5" borderId="23" xfId="0" applyFill="1" applyBorder="1" applyAlignment="1">
      <alignment wrapText="1"/>
    </xf>
    <xf numFmtId="0" fontId="0" fillId="5" borderId="23" xfId="0" applyFill="1" applyBorder="1" applyAlignment="1">
      <alignment horizontal="center"/>
    </xf>
    <xf numFmtId="0" fontId="0" fillId="5" borderId="23" xfId="0" applyFill="1" applyBorder="1" applyAlignment="1">
      <alignment horizontal="right"/>
    </xf>
    <xf numFmtId="0" fontId="0" fillId="5" borderId="23" xfId="0" applyFont="1" applyFill="1" applyBorder="1" applyAlignment="1">
      <alignment horizontal="right" wrapText="1"/>
    </xf>
    <xf numFmtId="0" fontId="6" fillId="5" borderId="23" xfId="0" applyFont="1" applyFill="1" applyBorder="1" applyAlignment="1"/>
    <xf numFmtId="0" fontId="6" fillId="5" borderId="23" xfId="0" applyFont="1" applyFill="1" applyBorder="1" applyAlignment="1">
      <alignment horizontal="center"/>
    </xf>
    <xf numFmtId="0" fontId="6" fillId="5" borderId="23" xfId="0" applyFont="1" applyFill="1" applyBorder="1" applyAlignment="1">
      <alignment horizontal="right"/>
    </xf>
    <xf numFmtId="0" fontId="146" fillId="147" borderId="0" xfId="0" applyFont="1" applyFill="1" applyAlignment="1">
      <alignment vertical="top"/>
    </xf>
    <xf numFmtId="0" fontId="143" fillId="5" borderId="0" xfId="0" applyFont="1" applyFill="1" applyAlignment="1">
      <alignment vertical="top"/>
    </xf>
    <xf numFmtId="0" fontId="143" fillId="39" borderId="0" xfId="0" applyFont="1" applyFill="1" applyAlignment="1">
      <alignment horizontal="center" vertical="center"/>
    </xf>
    <xf numFmtId="0" fontId="143" fillId="5" borderId="0" xfId="0" applyFont="1" applyFill="1"/>
    <xf numFmtId="0" fontId="143" fillId="5" borderId="0" xfId="0" applyFont="1" applyFill="1" applyAlignment="1">
      <alignment horizontal="left" vertical="top"/>
    </xf>
    <xf numFmtId="0" fontId="143" fillId="5" borderId="0" xfId="0" applyFont="1" applyFill="1" applyAlignment="1">
      <alignment vertical="top" wrapText="1"/>
    </xf>
    <xf numFmtId="4" fontId="143" fillId="5" borderId="0" xfId="0" applyNumberFormat="1" applyFont="1" applyFill="1" applyAlignment="1">
      <alignment horizontal="center" vertical="center"/>
    </xf>
    <xf numFmtId="4" fontId="143" fillId="150" borderId="0" xfId="0" applyNumberFormat="1" applyFont="1" applyFill="1" applyAlignment="1">
      <alignment horizontal="right" vertical="top"/>
    </xf>
    <xf numFmtId="0" fontId="143" fillId="21" borderId="0" xfId="0" applyFont="1" applyFill="1" applyAlignment="1">
      <alignment horizontal="right" vertical="top"/>
    </xf>
    <xf numFmtId="0" fontId="143" fillId="6" borderId="0" xfId="0" applyFont="1" applyFill="1" applyBorder="1" applyAlignment="1">
      <alignment vertical="top"/>
    </xf>
    <xf numFmtId="0" fontId="143" fillId="4" borderId="0" xfId="0" applyFont="1" applyFill="1" applyAlignment="1">
      <alignment horizontal="center" vertical="top"/>
    </xf>
    <xf numFmtId="0" fontId="146" fillId="5" borderId="0" xfId="0" applyFont="1" applyFill="1" applyAlignment="1">
      <alignment vertical="top" wrapText="1"/>
    </xf>
    <xf numFmtId="0" fontId="143" fillId="6" borderId="0" xfId="0" applyFont="1" applyFill="1" applyAlignment="1">
      <alignment vertical="top"/>
    </xf>
    <xf numFmtId="0" fontId="143" fillId="5" borderId="0" xfId="0" applyFont="1" applyFill="1" applyAlignment="1">
      <alignment horizontal="left" vertical="top" wrapText="1"/>
    </xf>
    <xf numFmtId="0" fontId="146" fillId="148" borderId="0" xfId="0" applyFont="1" applyFill="1" applyAlignment="1">
      <alignment vertical="top"/>
    </xf>
    <xf numFmtId="0" fontId="143" fillId="5" borderId="0" xfId="0" applyFont="1" applyFill="1" applyBorder="1" applyAlignment="1">
      <alignment vertical="top"/>
    </xf>
    <xf numFmtId="0" fontId="143" fillId="5" borderId="0" xfId="0" applyFont="1" applyFill="1" applyBorder="1" applyAlignment="1">
      <alignment horizontal="left" vertical="top" wrapText="1"/>
    </xf>
    <xf numFmtId="4" fontId="143" fillId="5" borderId="0" xfId="0" applyNumberFormat="1" applyFont="1" applyFill="1" applyBorder="1" applyAlignment="1">
      <alignment horizontal="center" vertical="top"/>
    </xf>
    <xf numFmtId="4" fontId="143" fillId="150" borderId="0" xfId="0" applyNumberFormat="1" applyFont="1" applyFill="1" applyBorder="1" applyAlignment="1">
      <alignment vertical="top"/>
    </xf>
    <xf numFmtId="0" fontId="143" fillId="21" borderId="0" xfId="0" applyFont="1" applyFill="1" applyBorder="1" applyAlignment="1">
      <alignment horizontal="right" vertical="top"/>
    </xf>
    <xf numFmtId="4" fontId="143" fillId="5" borderId="0" xfId="0" applyNumberFormat="1" applyFont="1" applyFill="1" applyBorder="1" applyAlignment="1">
      <alignment horizontal="center" vertical="center"/>
    </xf>
    <xf numFmtId="4" fontId="143" fillId="5" borderId="0" xfId="0" applyNumberFormat="1" applyFont="1" applyFill="1" applyAlignment="1">
      <alignment horizontal="center" vertical="center" wrapText="1"/>
    </xf>
    <xf numFmtId="4" fontId="143" fillId="150" borderId="0" xfId="0" applyNumberFormat="1" applyFont="1" applyFill="1" applyAlignment="1">
      <alignment horizontal="right" vertical="top" wrapText="1"/>
    </xf>
    <xf numFmtId="0" fontId="0" fillId="2" borderId="0" xfId="0" applyFill="1" applyAlignment="1">
      <alignment vertical="top"/>
    </xf>
    <xf numFmtId="0" fontId="147" fillId="2" borderId="0" xfId="0" applyFont="1" applyFill="1" applyAlignment="1">
      <alignment vertical="top"/>
    </xf>
    <xf numFmtId="0" fontId="6" fillId="2" borderId="0" xfId="0" applyFont="1" applyFill="1" applyAlignment="1">
      <alignment vertical="top"/>
    </xf>
    <xf numFmtId="0" fontId="0" fillId="2" borderId="0" xfId="0" applyFill="1" applyAlignment="1">
      <alignment horizontal="center" vertical="center"/>
    </xf>
    <xf numFmtId="0" fontId="0" fillId="2" borderId="0" xfId="0" applyFill="1" applyAlignment="1">
      <alignment horizontal="right" vertical="top"/>
    </xf>
    <xf numFmtId="0" fontId="0" fillId="2" borderId="0" xfId="0" applyFill="1" applyAlignment="1">
      <alignment horizontal="center" vertical="top"/>
    </xf>
    <xf numFmtId="0" fontId="9" fillId="4" borderId="3" xfId="0" applyFont="1" applyFill="1" applyBorder="1"/>
    <xf numFmtId="0" fontId="9" fillId="4" borderId="2" xfId="0" applyFont="1" applyFill="1" applyBorder="1"/>
    <xf numFmtId="0" fontId="15" fillId="4" borderId="6" xfId="0" applyFont="1" applyFill="1" applyBorder="1" applyAlignment="1">
      <alignment horizontal="left"/>
    </xf>
    <xf numFmtId="0" fontId="15" fillId="17" borderId="0" xfId="0" applyFont="1" applyFill="1" applyBorder="1" applyAlignment="1" applyProtection="1">
      <alignment horizontal="left" vertical="center"/>
      <protection hidden="1"/>
    </xf>
    <xf numFmtId="165" fontId="9" fillId="17" borderId="0" xfId="0" applyNumberFormat="1" applyFont="1" applyFill="1" applyBorder="1" applyAlignment="1" applyProtection="1">
      <alignment horizontal="left" vertical="center"/>
      <protection hidden="1"/>
    </xf>
    <xf numFmtId="165" fontId="9" fillId="6" borderId="6" xfId="0" applyNumberFormat="1" applyFont="1" applyFill="1" applyBorder="1" applyAlignment="1" applyProtection="1">
      <alignment horizontal="center" vertical="center"/>
      <protection hidden="1"/>
    </xf>
    <xf numFmtId="0" fontId="39" fillId="9" borderId="6" xfId="0" applyFont="1" applyFill="1" applyBorder="1" applyAlignment="1" applyProtection="1">
      <alignment horizontal="center" vertical="center"/>
      <protection hidden="1"/>
    </xf>
    <xf numFmtId="0" fontId="47" fillId="5" borderId="13" xfId="0" applyFont="1" applyFill="1" applyBorder="1" applyAlignment="1">
      <alignment vertical="top"/>
    </xf>
    <xf numFmtId="0" fontId="47" fillId="5" borderId="22" xfId="0" applyFont="1" applyFill="1" applyBorder="1" applyAlignment="1">
      <alignment horizontal="left" vertical="top"/>
    </xf>
    <xf numFmtId="0" fontId="9" fillId="5" borderId="22" xfId="0" applyFont="1" applyFill="1" applyBorder="1" applyAlignment="1">
      <alignment horizontal="left" vertical="top" wrapText="1"/>
    </xf>
    <xf numFmtId="0" fontId="0" fillId="5" borderId="28" xfId="0" applyFill="1" applyBorder="1"/>
    <xf numFmtId="0" fontId="0" fillId="4" borderId="31" xfId="0" applyFill="1" applyBorder="1"/>
    <xf numFmtId="0" fontId="0" fillId="5" borderId="27" xfId="0" applyFill="1" applyBorder="1"/>
    <xf numFmtId="165" fontId="9" fillId="5" borderId="0" xfId="0" applyNumberFormat="1" applyFont="1" applyFill="1" applyBorder="1" applyAlignment="1">
      <alignment horizontal="right" vertical="center"/>
    </xf>
    <xf numFmtId="0" fontId="71" fillId="5" borderId="0" xfId="8" applyAlignment="1">
      <alignment horizontal="right"/>
    </xf>
    <xf numFmtId="0" fontId="99" fillId="5" borderId="0" xfId="0" applyFont="1" applyFill="1" applyBorder="1" applyAlignment="1" applyProtection="1">
      <alignment vertical="center"/>
      <protection hidden="1"/>
    </xf>
    <xf numFmtId="0" fontId="47" fillId="5" borderId="0" xfId="0" applyFont="1" applyFill="1" applyProtection="1">
      <protection hidden="1"/>
    </xf>
    <xf numFmtId="0" fontId="99" fillId="5" borderId="0" xfId="0" applyFont="1" applyFill="1" applyAlignment="1" applyProtection="1">
      <alignment vertical="center"/>
      <protection hidden="1"/>
    </xf>
    <xf numFmtId="0" fontId="99" fillId="5" borderId="0" xfId="0" applyFont="1" applyFill="1" applyProtection="1">
      <protection hidden="1"/>
    </xf>
    <xf numFmtId="0" fontId="99" fillId="5" borderId="0" xfId="0" applyFont="1" applyFill="1"/>
    <xf numFmtId="0" fontId="99" fillId="5" borderId="0" xfId="0" applyFont="1" applyFill="1" applyBorder="1"/>
    <xf numFmtId="0" fontId="99" fillId="5" borderId="0" xfId="0" applyFont="1" applyFill="1" applyAlignment="1" applyProtection="1">
      <alignment horizontal="center" vertical="center"/>
      <protection hidden="1"/>
    </xf>
    <xf numFmtId="0" fontId="99" fillId="5" borderId="0" xfId="0" applyFont="1" applyFill="1" applyAlignment="1">
      <alignment horizontal="center" vertical="center"/>
    </xf>
    <xf numFmtId="0" fontId="99" fillId="5" borderId="0" xfId="0" applyNumberFormat="1" applyFont="1" applyFill="1" applyAlignment="1" applyProtection="1">
      <alignment horizontal="center" vertical="center"/>
      <protection hidden="1"/>
    </xf>
    <xf numFmtId="0" fontId="99" fillId="5" borderId="0" xfId="0" applyFont="1" applyFill="1" applyBorder="1" applyAlignment="1">
      <alignment horizontal="left"/>
    </xf>
    <xf numFmtId="0" fontId="99" fillId="5" borderId="0" xfId="0" applyFont="1" applyFill="1" applyAlignment="1">
      <alignment horizontal="left"/>
    </xf>
    <xf numFmtId="0" fontId="99" fillId="5" borderId="0" xfId="0" applyFont="1" applyFill="1" applyAlignment="1" applyProtection="1">
      <alignment horizontal="left" vertical="center"/>
      <protection hidden="1"/>
    </xf>
    <xf numFmtId="0" fontId="99" fillId="5" borderId="0" xfId="0" applyFont="1" applyFill="1" applyAlignment="1">
      <alignment horizontal="left" vertical="center"/>
    </xf>
    <xf numFmtId="0" fontId="99" fillId="5" borderId="0" xfId="0" applyNumberFormat="1" applyFont="1" applyFill="1" applyAlignment="1" applyProtection="1">
      <alignment horizontal="left" vertical="center"/>
      <protection hidden="1"/>
    </xf>
    <xf numFmtId="0" fontId="9" fillId="186" borderId="36" xfId="0" applyFont="1" applyFill="1" applyBorder="1" applyAlignment="1" applyProtection="1">
      <alignment horizontal="center" vertical="center"/>
      <protection hidden="1"/>
    </xf>
    <xf numFmtId="0" fontId="9" fillId="186" borderId="0" xfId="0" applyFont="1" applyFill="1" applyBorder="1" applyAlignment="1" applyProtection="1">
      <alignment horizontal="center" vertical="center"/>
      <protection hidden="1"/>
    </xf>
    <xf numFmtId="0" fontId="9" fillId="186" borderId="23" xfId="0" applyFont="1" applyFill="1" applyBorder="1" applyAlignment="1" applyProtection="1">
      <alignment horizontal="center" vertical="center"/>
      <protection hidden="1"/>
    </xf>
    <xf numFmtId="0" fontId="9" fillId="256" borderId="0" xfId="0" applyFont="1" applyFill="1" applyBorder="1" applyAlignment="1" applyProtection="1">
      <alignment horizontal="center" vertical="center"/>
      <protection hidden="1"/>
    </xf>
    <xf numFmtId="0" fontId="9" fillId="255" borderId="0" xfId="0" applyFont="1" applyFill="1" applyBorder="1" applyAlignment="1">
      <alignment horizontal="center"/>
    </xf>
    <xf numFmtId="0" fontId="9" fillId="257" borderId="23" xfId="0" applyFont="1" applyFill="1" applyBorder="1" applyAlignment="1">
      <alignment horizontal="center" vertical="center"/>
    </xf>
    <xf numFmtId="0" fontId="0" fillId="255" borderId="0" xfId="0" applyFill="1" applyBorder="1" applyAlignment="1">
      <alignment horizontal="center"/>
    </xf>
    <xf numFmtId="0" fontId="9" fillId="255" borderId="0" xfId="0" applyFont="1" applyFill="1" applyBorder="1" applyAlignment="1">
      <alignment horizontal="left" vertical="center"/>
    </xf>
    <xf numFmtId="0" fontId="0" fillId="255" borderId="0" xfId="0" applyFill="1" applyBorder="1" applyAlignment="1">
      <alignment horizontal="left" vertical="center"/>
    </xf>
    <xf numFmtId="0" fontId="78" fillId="17" borderId="0" xfId="0" applyFont="1" applyFill="1" applyBorder="1" applyAlignment="1" applyProtection="1">
      <alignment horizontal="left" vertical="center"/>
      <protection hidden="1"/>
    </xf>
    <xf numFmtId="164" fontId="9" fillId="5" borderId="1" xfId="3" applyNumberFormat="1" applyFont="1" applyBorder="1" applyProtection="1">
      <alignment horizontal="center" vertical="center"/>
      <protection hidden="1"/>
    </xf>
    <xf numFmtId="165" fontId="9" fillId="11" borderId="15" xfId="0" applyNumberFormat="1" applyFont="1" applyFill="1" applyBorder="1" applyAlignment="1">
      <alignment horizontal="right"/>
    </xf>
    <xf numFmtId="165" fontId="9" fillId="5" borderId="15" xfId="0" applyNumberFormat="1" applyFont="1" applyFill="1" applyBorder="1" applyAlignment="1">
      <alignment horizontal="center"/>
    </xf>
    <xf numFmtId="165" fontId="9" fillId="5" borderId="22" xfId="0" applyNumberFormat="1" applyFont="1" applyFill="1" applyBorder="1" applyAlignment="1">
      <alignment horizontal="center"/>
    </xf>
    <xf numFmtId="0" fontId="47" fillId="63" borderId="15" xfId="0" applyFont="1" applyFill="1" applyBorder="1" applyAlignment="1">
      <alignment horizontal="left"/>
    </xf>
    <xf numFmtId="165" fontId="9" fillId="11" borderId="50" xfId="0" applyNumberFormat="1" applyFont="1" applyFill="1" applyBorder="1" applyAlignment="1">
      <alignment horizontal="right"/>
    </xf>
    <xf numFmtId="0" fontId="9" fillId="289" borderId="0" xfId="0" applyFont="1" applyFill="1" applyBorder="1" applyAlignment="1">
      <alignment horizontal="center"/>
    </xf>
    <xf numFmtId="165" fontId="9" fillId="5" borderId="131" xfId="0" applyNumberFormat="1" applyFont="1" applyFill="1" applyBorder="1" applyAlignment="1">
      <alignment horizontal="right"/>
    </xf>
    <xf numFmtId="0" fontId="6" fillId="5" borderId="15" xfId="0" applyFont="1" applyFill="1" applyBorder="1" applyAlignment="1">
      <alignment horizontal="center" vertical="center"/>
    </xf>
    <xf numFmtId="0" fontId="140" fillId="5" borderId="0" xfId="0" applyFont="1" applyFill="1" applyAlignment="1">
      <alignment horizontal="left" vertical="top"/>
    </xf>
    <xf numFmtId="0" fontId="0" fillId="5" borderId="14" xfId="0" applyFill="1" applyBorder="1" applyAlignment="1">
      <alignment vertical="top"/>
    </xf>
    <xf numFmtId="0" fontId="0" fillId="5" borderId="14" xfId="0" applyFill="1" applyBorder="1"/>
    <xf numFmtId="0" fontId="0" fillId="5" borderId="14" xfId="0" applyFill="1" applyBorder="1" applyAlignment="1">
      <alignment horizontal="left" vertical="top"/>
    </xf>
    <xf numFmtId="0" fontId="0" fillId="5" borderId="14" xfId="0" applyFill="1" applyBorder="1" applyAlignment="1">
      <alignment horizontal="left" vertical="top" wrapText="1"/>
    </xf>
    <xf numFmtId="4" fontId="0" fillId="5" borderId="14" xfId="0" applyNumberFormat="1" applyFill="1" applyBorder="1" applyAlignment="1">
      <alignment horizontal="center" vertical="center"/>
    </xf>
    <xf numFmtId="4" fontId="0" fillId="150" borderId="14" xfId="0" applyNumberFormat="1" applyFill="1" applyBorder="1" applyAlignment="1">
      <alignment horizontal="right" vertical="top"/>
    </xf>
    <xf numFmtId="0" fontId="0" fillId="21" borderId="14" xfId="0" applyFill="1" applyBorder="1" applyAlignment="1">
      <alignment horizontal="right" vertical="top"/>
    </xf>
    <xf numFmtId="0" fontId="0" fillId="6" borderId="14" xfId="0" applyFill="1" applyBorder="1" applyAlignment="1">
      <alignment vertical="top"/>
    </xf>
    <xf numFmtId="0" fontId="0" fillId="4" borderId="14" xfId="0" applyFill="1" applyBorder="1" applyAlignment="1">
      <alignment horizontal="center" vertical="top"/>
    </xf>
    <xf numFmtId="4" fontId="0" fillId="270" borderId="0" xfId="0" applyNumberFormat="1" applyFill="1" applyAlignment="1">
      <alignment horizontal="center" vertical="center"/>
    </xf>
    <xf numFmtId="0" fontId="148" fillId="5" borderId="0" xfId="0" applyFont="1" applyFill="1" applyAlignment="1">
      <alignment horizontal="left" vertical="top"/>
    </xf>
    <xf numFmtId="165" fontId="0" fillId="5" borderId="15" xfId="0" applyNumberFormat="1" applyFill="1" applyBorder="1"/>
    <xf numFmtId="168" fontId="0" fillId="5" borderId="15" xfId="0" applyNumberFormat="1" applyFill="1" applyBorder="1"/>
    <xf numFmtId="0" fontId="0" fillId="5" borderId="13" xfId="0" applyFill="1" applyBorder="1"/>
    <xf numFmtId="0" fontId="0" fillId="5" borderId="31" xfId="0" applyFill="1" applyBorder="1"/>
    <xf numFmtId="168" fontId="0" fillId="5" borderId="27" xfId="0" applyNumberFormat="1" applyFill="1" applyBorder="1"/>
    <xf numFmtId="0" fontId="149" fillId="5" borderId="0" xfId="0" applyFont="1" applyFill="1" applyAlignment="1">
      <alignment horizontal="left" vertical="center"/>
    </xf>
    <xf numFmtId="0" fontId="100" fillId="216" borderId="0" xfId="0" applyFont="1" applyFill="1" applyAlignment="1">
      <alignment vertical="center"/>
    </xf>
    <xf numFmtId="0" fontId="58" fillId="216" borderId="0" xfId="0" applyFont="1" applyFill="1" applyAlignment="1">
      <alignment horizontal="center" vertical="center"/>
    </xf>
    <xf numFmtId="0" fontId="58" fillId="216" borderId="0" xfId="0" applyFont="1" applyFill="1" applyBorder="1" applyAlignment="1">
      <alignment horizontal="center" vertical="center"/>
    </xf>
    <xf numFmtId="0" fontId="58" fillId="5" borderId="0" xfId="0" applyFont="1" applyFill="1" applyAlignment="1">
      <alignment horizontal="center" vertical="center"/>
    </xf>
    <xf numFmtId="0" fontId="9" fillId="154" borderId="15" xfId="0" applyFont="1" applyFill="1" applyBorder="1" applyAlignment="1">
      <alignment vertical="center"/>
    </xf>
    <xf numFmtId="170" fontId="0" fillId="5" borderId="15" xfId="0" applyNumberFormat="1" applyFill="1" applyBorder="1"/>
    <xf numFmtId="170" fontId="0" fillId="5" borderId="16" xfId="0" applyNumberFormat="1" applyFill="1" applyBorder="1"/>
    <xf numFmtId="170" fontId="0" fillId="5" borderId="27" xfId="0" applyNumberFormat="1" applyFill="1" applyBorder="1"/>
    <xf numFmtId="170" fontId="0" fillId="5" borderId="22" xfId="0" applyNumberFormat="1" applyFill="1" applyBorder="1"/>
    <xf numFmtId="0" fontId="0" fillId="5" borderId="8" xfId="0" applyFill="1" applyBorder="1"/>
    <xf numFmtId="0" fontId="9" fillId="5" borderId="8" xfId="0" applyFont="1" applyFill="1" applyBorder="1"/>
    <xf numFmtId="170" fontId="9" fillId="5" borderId="15" xfId="0" applyNumberFormat="1" applyFont="1" applyFill="1" applyBorder="1"/>
    <xf numFmtId="170" fontId="9" fillId="5" borderId="22" xfId="0" applyNumberFormat="1" applyFont="1" applyFill="1" applyBorder="1"/>
    <xf numFmtId="170" fontId="9" fillId="5" borderId="27" xfId="0" applyNumberFormat="1" applyFont="1" applyFill="1" applyBorder="1"/>
    <xf numFmtId="0" fontId="9" fillId="123" borderId="35" xfId="0" applyFont="1" applyFill="1" applyBorder="1" applyAlignment="1" applyProtection="1">
      <alignment horizontal="right" vertical="center"/>
      <protection hidden="1"/>
    </xf>
    <xf numFmtId="0" fontId="9" fillId="123" borderId="36" xfId="0" applyFont="1" applyFill="1" applyBorder="1" applyAlignment="1" applyProtection="1">
      <alignment vertical="center"/>
      <protection hidden="1"/>
    </xf>
    <xf numFmtId="0" fontId="9" fillId="123" borderId="36" xfId="0" applyFont="1" applyFill="1" applyBorder="1" applyAlignment="1" applyProtection="1">
      <alignment horizontal="center" vertical="center"/>
      <protection hidden="1"/>
    </xf>
    <xf numFmtId="0" fontId="9" fillId="123" borderId="36" xfId="0" applyFont="1" applyFill="1" applyBorder="1" applyAlignment="1" applyProtection="1">
      <alignment horizontal="left" vertical="center"/>
      <protection hidden="1"/>
    </xf>
    <xf numFmtId="0" fontId="9" fillId="123" borderId="37" xfId="0" applyFont="1" applyFill="1" applyBorder="1" applyAlignment="1" applyProtection="1">
      <alignment horizontal="left" vertical="center"/>
      <protection hidden="1"/>
    </xf>
    <xf numFmtId="0" fontId="9" fillId="123" borderId="38" xfId="0" applyFont="1" applyFill="1" applyBorder="1" applyAlignment="1" applyProtection="1">
      <alignment horizontal="right" vertical="center"/>
      <protection hidden="1"/>
    </xf>
    <xf numFmtId="0" fontId="9" fillId="123" borderId="23" xfId="0" applyFont="1" applyFill="1" applyBorder="1" applyAlignment="1" applyProtection="1">
      <alignment vertical="center"/>
      <protection hidden="1"/>
    </xf>
    <xf numFmtId="0" fontId="9" fillId="123" borderId="23" xfId="0" applyFont="1" applyFill="1" applyBorder="1" applyAlignment="1" applyProtection="1">
      <alignment horizontal="center" vertical="center"/>
      <protection hidden="1"/>
    </xf>
    <xf numFmtId="0" fontId="12" fillId="123" borderId="23" xfId="0" applyFont="1" applyFill="1" applyBorder="1" applyAlignment="1" applyProtection="1">
      <alignment horizontal="left" vertical="center"/>
      <protection hidden="1"/>
    </xf>
    <xf numFmtId="0" fontId="12" fillId="123" borderId="39" xfId="0" applyFont="1" applyFill="1" applyBorder="1" applyAlignment="1" applyProtection="1">
      <alignment horizontal="left" vertical="center"/>
      <protection hidden="1"/>
    </xf>
    <xf numFmtId="170" fontId="9" fillId="5" borderId="0" xfId="0" applyNumberFormat="1" applyFont="1" applyFill="1"/>
    <xf numFmtId="0" fontId="153" fillId="5" borderId="0" xfId="0" applyFont="1" applyFill="1" applyAlignment="1" applyProtection="1">
      <alignment vertical="center"/>
      <protection hidden="1"/>
    </xf>
    <xf numFmtId="0" fontId="154" fillId="5" borderId="0" xfId="0" applyFont="1" applyFill="1" applyAlignment="1" applyProtection="1">
      <alignment vertical="center"/>
      <protection hidden="1"/>
    </xf>
    <xf numFmtId="2" fontId="59" fillId="5" borderId="0" xfId="4" applyFont="1" applyFill="1" applyBorder="1" applyAlignment="1" applyProtection="1">
      <alignment horizontal="left" vertical="center"/>
      <protection hidden="1"/>
    </xf>
    <xf numFmtId="0" fontId="59" fillId="123" borderId="47" xfId="0" applyFont="1" applyFill="1" applyBorder="1" applyAlignment="1" applyProtection="1">
      <alignment horizontal="right" vertical="center"/>
      <protection hidden="1"/>
    </xf>
    <xf numFmtId="0" fontId="59" fillId="123" borderId="48" xfId="0" applyFont="1" applyFill="1" applyBorder="1" applyAlignment="1" applyProtection="1">
      <alignment horizontal="left" vertical="center"/>
      <protection hidden="1"/>
    </xf>
    <xf numFmtId="0" fontId="59" fillId="170" borderId="0" xfId="0" applyFont="1" applyFill="1" applyBorder="1" applyAlignment="1" applyProtection="1">
      <alignment horizontal="center" vertical="center"/>
      <protection hidden="1"/>
    </xf>
    <xf numFmtId="0" fontId="59" fillId="232" borderId="47" xfId="0" applyFont="1" applyFill="1" applyBorder="1" applyAlignment="1" applyProtection="1">
      <alignment horizontal="left" vertical="center"/>
      <protection hidden="1"/>
    </xf>
    <xf numFmtId="0" fontId="154" fillId="170" borderId="0" xfId="0" applyFont="1" applyFill="1" applyAlignment="1" applyProtection="1">
      <alignment vertical="center"/>
      <protection hidden="1"/>
    </xf>
    <xf numFmtId="0" fontId="59" fillId="242" borderId="47" xfId="0" applyFont="1" applyFill="1" applyBorder="1" applyAlignment="1" applyProtection="1">
      <alignment horizontal="left" vertical="center"/>
      <protection hidden="1"/>
    </xf>
    <xf numFmtId="0" fontId="59" fillId="242" borderId="48" xfId="0" applyFont="1" applyFill="1" applyBorder="1" applyAlignment="1" applyProtection="1">
      <alignment horizontal="center" vertical="center"/>
      <protection hidden="1"/>
    </xf>
    <xf numFmtId="0" fontId="154" fillId="5" borderId="0" xfId="0" applyFont="1" applyFill="1"/>
    <xf numFmtId="0" fontId="59" fillId="244" borderId="47" xfId="0" applyFont="1" applyFill="1" applyBorder="1" applyAlignment="1" applyProtection="1">
      <alignment horizontal="left" vertical="center"/>
      <protection hidden="1"/>
    </xf>
    <xf numFmtId="0" fontId="59" fillId="244" borderId="48" xfId="0" applyFont="1" applyFill="1" applyBorder="1" applyAlignment="1" applyProtection="1">
      <alignment horizontal="center" vertical="center"/>
      <protection hidden="1"/>
    </xf>
    <xf numFmtId="0" fontId="59" fillId="197" borderId="47" xfId="0" applyFont="1" applyFill="1" applyBorder="1" applyAlignment="1" applyProtection="1">
      <alignment horizontal="left" vertical="center"/>
      <protection hidden="1"/>
    </xf>
    <xf numFmtId="0" fontId="59" fillId="197" borderId="48" xfId="0" applyFont="1" applyFill="1" applyBorder="1" applyAlignment="1" applyProtection="1">
      <alignment horizontal="center" vertical="center"/>
      <protection hidden="1"/>
    </xf>
    <xf numFmtId="0" fontId="59" fillId="201" borderId="47" xfId="0" applyFont="1" applyFill="1" applyBorder="1" applyAlignment="1" applyProtection="1">
      <alignment horizontal="left" vertical="center"/>
      <protection hidden="1"/>
    </xf>
    <xf numFmtId="0" fontId="59" fillId="201" borderId="48" xfId="0" applyFont="1" applyFill="1" applyBorder="1" applyAlignment="1" applyProtection="1">
      <alignment horizontal="center" vertical="center"/>
      <protection hidden="1"/>
    </xf>
    <xf numFmtId="0" fontId="59" fillId="247" borderId="47" xfId="0" applyFont="1" applyFill="1" applyBorder="1" applyAlignment="1" applyProtection="1">
      <alignment horizontal="left" vertical="center"/>
      <protection hidden="1"/>
    </xf>
    <xf numFmtId="0" fontId="59" fillId="247" borderId="48" xfId="0" applyFont="1" applyFill="1" applyBorder="1" applyAlignment="1" applyProtection="1">
      <alignment horizontal="center" vertical="center"/>
      <protection hidden="1"/>
    </xf>
    <xf numFmtId="0" fontId="59" fillId="249" borderId="47" xfId="0" applyFont="1" applyFill="1" applyBorder="1" applyAlignment="1" applyProtection="1">
      <alignment horizontal="left" vertical="center"/>
      <protection hidden="1"/>
    </xf>
    <xf numFmtId="0" fontId="59" fillId="249" borderId="48" xfId="0" applyFont="1" applyFill="1" applyBorder="1" applyAlignment="1" applyProtection="1">
      <alignment horizontal="center" vertical="center"/>
      <protection hidden="1"/>
    </xf>
    <xf numFmtId="0" fontId="59" fillId="251" borderId="47" xfId="0" applyFont="1" applyFill="1" applyBorder="1" applyAlignment="1" applyProtection="1">
      <alignment horizontal="left" vertical="center"/>
      <protection hidden="1"/>
    </xf>
    <xf numFmtId="0" fontId="59" fillId="251" borderId="48" xfId="0" applyFont="1" applyFill="1" applyBorder="1" applyAlignment="1" applyProtection="1">
      <alignment horizontal="center" vertical="center"/>
      <protection hidden="1"/>
    </xf>
    <xf numFmtId="0" fontId="0" fillId="232" borderId="36" xfId="0" applyFill="1" applyBorder="1" applyProtection="1">
      <protection hidden="1"/>
    </xf>
    <xf numFmtId="1" fontId="12" fillId="232" borderId="36" xfId="0" applyNumberFormat="1" applyFont="1" applyFill="1" applyBorder="1" applyAlignment="1" applyProtection="1">
      <alignment horizontal="center" vertical="center"/>
      <protection hidden="1"/>
    </xf>
    <xf numFmtId="0" fontId="59" fillId="232" borderId="48" xfId="0" applyFont="1" applyFill="1" applyBorder="1" applyAlignment="1" applyProtection="1">
      <alignment horizontal="center" vertical="center"/>
      <protection hidden="1"/>
    </xf>
    <xf numFmtId="0" fontId="9" fillId="232" borderId="23" xfId="0" applyFont="1" applyFill="1" applyBorder="1" applyAlignment="1" applyProtection="1">
      <alignment horizontal="center" vertical="center"/>
      <protection hidden="1"/>
    </xf>
    <xf numFmtId="0" fontId="0" fillId="232" borderId="23" xfId="0" applyFill="1" applyBorder="1" applyProtection="1">
      <protection hidden="1"/>
    </xf>
    <xf numFmtId="0" fontId="12" fillId="232" borderId="23" xfId="0" applyFont="1" applyFill="1" applyBorder="1" applyAlignment="1" applyProtection="1">
      <alignment horizontal="left" vertical="center"/>
      <protection hidden="1"/>
    </xf>
    <xf numFmtId="1" fontId="12" fillId="232" borderId="23" xfId="0" applyNumberFormat="1" applyFont="1" applyFill="1" applyBorder="1" applyAlignment="1" applyProtection="1">
      <alignment horizontal="center" vertical="center"/>
      <protection hidden="1"/>
    </xf>
    <xf numFmtId="0" fontId="37" fillId="123" borderId="0" xfId="0" applyFont="1" applyFill="1" applyBorder="1" applyAlignment="1" applyProtection="1">
      <alignment horizontal="left" vertical="center"/>
      <protection hidden="1"/>
    </xf>
    <xf numFmtId="0" fontId="37" fillId="123" borderId="0" xfId="0" applyFont="1" applyFill="1" applyBorder="1" applyAlignment="1" applyProtection="1">
      <alignment vertical="center"/>
      <protection hidden="1"/>
    </xf>
    <xf numFmtId="0" fontId="51" fillId="123" borderId="0" xfId="0" applyFont="1" applyFill="1" applyBorder="1" applyAlignment="1" applyProtection="1">
      <alignment horizontal="center" vertical="center"/>
      <protection hidden="1"/>
    </xf>
    <xf numFmtId="0" fontId="9" fillId="242" borderId="36" xfId="0" applyFont="1" applyFill="1" applyBorder="1" applyAlignment="1" applyProtection="1">
      <alignment horizontal="center" vertical="center"/>
      <protection hidden="1"/>
    </xf>
    <xf numFmtId="0" fontId="0" fillId="242" borderId="36" xfId="0" applyFill="1" applyBorder="1" applyProtection="1">
      <protection hidden="1"/>
    </xf>
    <xf numFmtId="0" fontId="9" fillId="242" borderId="36" xfId="0" applyFont="1" applyFill="1" applyBorder="1" applyAlignment="1" applyProtection="1">
      <alignment horizontal="left" vertical="center"/>
      <protection hidden="1"/>
    </xf>
    <xf numFmtId="1" fontId="12" fillId="242" borderId="36" xfId="0" applyNumberFormat="1" applyFont="1" applyFill="1" applyBorder="1" applyAlignment="1" applyProtection="1">
      <alignment horizontal="center" vertical="center"/>
      <protection hidden="1"/>
    </xf>
    <xf numFmtId="0" fontId="9" fillId="242" borderId="23" xfId="0" applyFont="1" applyFill="1" applyBorder="1" applyAlignment="1" applyProtection="1">
      <alignment horizontal="center" vertical="center"/>
      <protection hidden="1"/>
    </xf>
    <xf numFmtId="0" fontId="0" fillId="242" borderId="23" xfId="0" applyFill="1" applyBorder="1" applyProtection="1">
      <protection hidden="1"/>
    </xf>
    <xf numFmtId="0" fontId="12" fillId="242" borderId="23" xfId="0" applyFont="1" applyFill="1" applyBorder="1" applyAlignment="1" applyProtection="1">
      <alignment horizontal="left" vertical="center"/>
      <protection hidden="1"/>
    </xf>
    <xf numFmtId="1" fontId="12" fillId="242" borderId="23" xfId="0" applyNumberFormat="1" applyFont="1" applyFill="1" applyBorder="1" applyAlignment="1" applyProtection="1">
      <alignment horizontal="center" vertical="center"/>
      <protection hidden="1"/>
    </xf>
    <xf numFmtId="0" fontId="0" fillId="170" borderId="0" xfId="0" applyFill="1" applyBorder="1" applyAlignment="1" applyProtection="1">
      <alignment vertical="center"/>
      <protection hidden="1"/>
    </xf>
    <xf numFmtId="0" fontId="154" fillId="170" borderId="0" xfId="0" applyFont="1" applyFill="1" applyBorder="1" applyAlignment="1" applyProtection="1">
      <alignment vertical="center"/>
      <protection hidden="1"/>
    </xf>
    <xf numFmtId="0" fontId="154" fillId="5" borderId="0" xfId="0" applyFont="1" applyFill="1" applyBorder="1" applyAlignment="1" applyProtection="1">
      <alignment vertical="center"/>
      <protection hidden="1"/>
    </xf>
    <xf numFmtId="0" fontId="9" fillId="251" borderId="23" xfId="0" applyFont="1" applyFill="1" applyBorder="1" applyAlignment="1" applyProtection="1">
      <alignment horizontal="center" vertical="center"/>
      <protection hidden="1"/>
    </xf>
    <xf numFmtId="0" fontId="0" fillId="251" borderId="23" xfId="0" applyFill="1" applyBorder="1" applyProtection="1">
      <protection hidden="1"/>
    </xf>
    <xf numFmtId="0" fontId="12" fillId="251" borderId="23" xfId="0" applyFont="1" applyFill="1" applyBorder="1" applyAlignment="1" applyProtection="1">
      <alignment horizontal="left" vertical="center"/>
      <protection hidden="1"/>
    </xf>
    <xf numFmtId="1" fontId="12" fillId="251" borderId="23" xfId="0" applyNumberFormat="1" applyFont="1" applyFill="1" applyBorder="1" applyAlignment="1" applyProtection="1">
      <alignment horizontal="center" vertical="center"/>
      <protection hidden="1"/>
    </xf>
    <xf numFmtId="0" fontId="9" fillId="249" borderId="23" xfId="0" applyFont="1" applyFill="1" applyBorder="1" applyAlignment="1" applyProtection="1">
      <alignment horizontal="center" vertical="center"/>
      <protection hidden="1"/>
    </xf>
    <xf numFmtId="0" fontId="0" fillId="249" borderId="23" xfId="0" applyFill="1" applyBorder="1" applyProtection="1">
      <protection hidden="1"/>
    </xf>
    <xf numFmtId="0" fontId="12" fillId="249" borderId="23" xfId="0" applyFont="1" applyFill="1" applyBorder="1" applyAlignment="1" applyProtection="1">
      <alignment horizontal="left" vertical="center"/>
      <protection hidden="1"/>
    </xf>
    <xf numFmtId="1" fontId="12" fillId="249" borderId="23" xfId="0" applyNumberFormat="1" applyFont="1" applyFill="1" applyBorder="1" applyAlignment="1" applyProtection="1">
      <alignment horizontal="center" vertical="center"/>
      <protection hidden="1"/>
    </xf>
    <xf numFmtId="0" fontId="9" fillId="247" borderId="23" xfId="0" applyFont="1" applyFill="1" applyBorder="1" applyAlignment="1" applyProtection="1">
      <alignment horizontal="center" vertical="center"/>
      <protection hidden="1"/>
    </xf>
    <xf numFmtId="0" fontId="0" fillId="247" borderId="23" xfId="0" applyFill="1" applyBorder="1" applyProtection="1">
      <protection hidden="1"/>
    </xf>
    <xf numFmtId="0" fontId="12" fillId="247" borderId="23" xfId="0" applyFont="1" applyFill="1" applyBorder="1" applyAlignment="1" applyProtection="1">
      <alignment horizontal="left" vertical="center"/>
      <protection hidden="1"/>
    </xf>
    <xf numFmtId="1" fontId="12" fillId="247" borderId="23" xfId="0" applyNumberFormat="1" applyFont="1" applyFill="1" applyBorder="1" applyAlignment="1" applyProtection="1">
      <alignment horizontal="center" vertical="center"/>
      <protection hidden="1"/>
    </xf>
    <xf numFmtId="0" fontId="9" fillId="201" borderId="23" xfId="0" applyFont="1" applyFill="1" applyBorder="1" applyAlignment="1" applyProtection="1">
      <alignment horizontal="center" vertical="center"/>
      <protection hidden="1"/>
    </xf>
    <xf numFmtId="0" fontId="0" fillId="201" borderId="23" xfId="0" applyFill="1" applyBorder="1" applyProtection="1">
      <protection hidden="1"/>
    </xf>
    <xf numFmtId="0" fontId="12" fillId="201" borderId="23" xfId="0" applyFont="1" applyFill="1" applyBorder="1" applyAlignment="1" applyProtection="1">
      <alignment horizontal="left" vertical="center"/>
      <protection hidden="1"/>
    </xf>
    <xf numFmtId="1" fontId="12" fillId="201" borderId="23" xfId="0" applyNumberFormat="1" applyFont="1" applyFill="1" applyBorder="1" applyAlignment="1" applyProtection="1">
      <alignment horizontal="center" vertical="center"/>
      <protection hidden="1"/>
    </xf>
    <xf numFmtId="0" fontId="9" fillId="197" borderId="23" xfId="0" applyFont="1" applyFill="1" applyBorder="1" applyAlignment="1" applyProtection="1">
      <alignment horizontal="center" vertical="center"/>
      <protection hidden="1"/>
    </xf>
    <xf numFmtId="0" fontId="0" fillId="197" borderId="23" xfId="0" applyFill="1" applyBorder="1" applyProtection="1">
      <protection hidden="1"/>
    </xf>
    <xf numFmtId="0" fontId="12" fillId="197" borderId="23" xfId="0" applyFont="1" applyFill="1" applyBorder="1" applyAlignment="1" applyProtection="1">
      <alignment horizontal="left" vertical="center"/>
      <protection hidden="1"/>
    </xf>
    <xf numFmtId="1" fontId="12" fillId="197" borderId="23" xfId="0" applyNumberFormat="1" applyFont="1" applyFill="1" applyBorder="1" applyAlignment="1" applyProtection="1">
      <alignment horizontal="center" vertical="center"/>
      <protection hidden="1"/>
    </xf>
    <xf numFmtId="0" fontId="9" fillId="244" borderId="23" xfId="0" applyFont="1" applyFill="1" applyBorder="1" applyAlignment="1" applyProtection="1">
      <alignment horizontal="center" vertical="center"/>
      <protection hidden="1"/>
    </xf>
    <xf numFmtId="0" fontId="0" fillId="244" borderId="23" xfId="0" applyFill="1" applyBorder="1" applyProtection="1">
      <protection hidden="1"/>
    </xf>
    <xf numFmtId="0" fontId="12" fillId="244" borderId="23" xfId="0" applyFont="1" applyFill="1" applyBorder="1" applyAlignment="1" applyProtection="1">
      <alignment horizontal="left" vertical="center"/>
      <protection hidden="1"/>
    </xf>
    <xf numFmtId="1" fontId="12" fillId="244" borderId="23" xfId="0" applyNumberFormat="1" applyFont="1" applyFill="1" applyBorder="1" applyAlignment="1" applyProtection="1">
      <alignment horizontal="center" vertical="center"/>
      <protection hidden="1"/>
    </xf>
    <xf numFmtId="0" fontId="9" fillId="244" borderId="36" xfId="0" applyFont="1" applyFill="1" applyBorder="1" applyAlignment="1" applyProtection="1">
      <alignment horizontal="center" vertical="center"/>
      <protection hidden="1"/>
    </xf>
    <xf numFmtId="0" fontId="0" fillId="244" borderId="36" xfId="0" applyFill="1" applyBorder="1" applyProtection="1">
      <protection hidden="1"/>
    </xf>
    <xf numFmtId="0" fontId="9" fillId="244" borderId="36" xfId="0" applyFont="1" applyFill="1" applyBorder="1" applyAlignment="1" applyProtection="1">
      <alignment horizontal="left" vertical="center"/>
      <protection hidden="1"/>
    </xf>
    <xf numFmtId="1" fontId="12" fillId="244" borderId="36" xfId="0" applyNumberFormat="1" applyFont="1" applyFill="1" applyBorder="1" applyAlignment="1" applyProtection="1">
      <alignment horizontal="center" vertical="center"/>
      <protection hidden="1"/>
    </xf>
    <xf numFmtId="0" fontId="9" fillId="197" borderId="36" xfId="0" applyFont="1" applyFill="1" applyBorder="1" applyAlignment="1" applyProtection="1">
      <alignment horizontal="center" vertical="center"/>
      <protection hidden="1"/>
    </xf>
    <xf numFmtId="0" fontId="0" fillId="197" borderId="36" xfId="0" applyFill="1" applyBorder="1" applyProtection="1">
      <protection hidden="1"/>
    </xf>
    <xf numFmtId="0" fontId="9" fillId="197" borderId="36" xfId="0" applyFont="1" applyFill="1" applyBorder="1" applyAlignment="1" applyProtection="1">
      <alignment horizontal="left" vertical="center"/>
      <protection hidden="1"/>
    </xf>
    <xf numFmtId="1" fontId="12" fillId="197" borderId="36" xfId="0" applyNumberFormat="1" applyFont="1" applyFill="1" applyBorder="1" applyAlignment="1" applyProtection="1">
      <alignment horizontal="center" vertical="center"/>
      <protection hidden="1"/>
    </xf>
    <xf numFmtId="0" fontId="9" fillId="201" borderId="36" xfId="0" applyFont="1" applyFill="1" applyBorder="1" applyAlignment="1" applyProtection="1">
      <alignment horizontal="center" vertical="center"/>
      <protection hidden="1"/>
    </xf>
    <xf numFmtId="0" fontId="0" fillId="201" borderId="36" xfId="0" applyFill="1" applyBorder="1" applyProtection="1">
      <protection hidden="1"/>
    </xf>
    <xf numFmtId="0" fontId="9" fillId="201" borderId="36" xfId="0" applyFont="1" applyFill="1" applyBorder="1" applyAlignment="1" applyProtection="1">
      <alignment horizontal="left" vertical="center"/>
      <protection hidden="1"/>
    </xf>
    <xf numFmtId="1" fontId="12" fillId="201" borderId="36" xfId="0" applyNumberFormat="1" applyFont="1" applyFill="1" applyBorder="1" applyAlignment="1" applyProtection="1">
      <alignment horizontal="center" vertical="center"/>
      <protection hidden="1"/>
    </xf>
    <xf numFmtId="0" fontId="9" fillId="247" borderId="36" xfId="0" applyFont="1" applyFill="1" applyBorder="1" applyAlignment="1" applyProtection="1">
      <alignment horizontal="center" vertical="center"/>
      <protection hidden="1"/>
    </xf>
    <xf numFmtId="0" fontId="0" fillId="247" borderId="36" xfId="0" applyFill="1" applyBorder="1" applyProtection="1">
      <protection hidden="1"/>
    </xf>
    <xf numFmtId="0" fontId="9" fillId="247" borderId="36" xfId="0" applyFont="1" applyFill="1" applyBorder="1" applyAlignment="1" applyProtection="1">
      <alignment horizontal="left" vertical="center"/>
      <protection hidden="1"/>
    </xf>
    <xf numFmtId="1" fontId="12" fillId="247" borderId="36" xfId="0" applyNumberFormat="1" applyFont="1" applyFill="1" applyBorder="1" applyAlignment="1" applyProtection="1">
      <alignment horizontal="center" vertical="center"/>
      <protection hidden="1"/>
    </xf>
    <xf numFmtId="0" fontId="9" fillId="249" borderId="36" xfId="0" applyFont="1" applyFill="1" applyBorder="1" applyAlignment="1" applyProtection="1">
      <alignment horizontal="center" vertical="center"/>
      <protection hidden="1"/>
    </xf>
    <xf numFmtId="0" fontId="0" fillId="249" borderId="36" xfId="0" applyFill="1" applyBorder="1" applyProtection="1">
      <protection hidden="1"/>
    </xf>
    <xf numFmtId="0" fontId="9" fillId="249" borderId="36" xfId="0" applyFont="1" applyFill="1" applyBorder="1" applyAlignment="1" applyProtection="1">
      <alignment horizontal="left" vertical="center"/>
      <protection hidden="1"/>
    </xf>
    <xf numFmtId="1" fontId="12" fillId="249" borderId="36" xfId="0" applyNumberFormat="1" applyFont="1" applyFill="1" applyBorder="1" applyAlignment="1" applyProtection="1">
      <alignment horizontal="center" vertical="center"/>
      <protection hidden="1"/>
    </xf>
    <xf numFmtId="0" fontId="9" fillId="251" borderId="36" xfId="0" applyFont="1" applyFill="1" applyBorder="1" applyAlignment="1" applyProtection="1">
      <alignment horizontal="center" vertical="center"/>
      <protection hidden="1"/>
    </xf>
    <xf numFmtId="0" fontId="0" fillId="251" borderId="36" xfId="0" applyFill="1" applyBorder="1" applyProtection="1">
      <protection hidden="1"/>
    </xf>
    <xf numFmtId="0" fontId="9" fillId="251" borderId="36" xfId="0" applyFont="1" applyFill="1" applyBorder="1" applyAlignment="1" applyProtection="1">
      <alignment horizontal="left" vertical="center"/>
      <protection hidden="1"/>
    </xf>
    <xf numFmtId="1" fontId="12" fillId="251" borderId="36" xfId="0" applyNumberFormat="1" applyFont="1" applyFill="1" applyBorder="1" applyAlignment="1" applyProtection="1">
      <alignment horizontal="center" vertical="center"/>
      <protection hidden="1"/>
    </xf>
    <xf numFmtId="0" fontId="0" fillId="290" borderId="0" xfId="0" applyFill="1" applyAlignment="1" applyProtection="1">
      <alignment horizontal="left"/>
      <protection hidden="1"/>
    </xf>
    <xf numFmtId="0" fontId="0" fillId="290" borderId="0" xfId="0" applyFill="1" applyProtection="1">
      <protection hidden="1"/>
    </xf>
    <xf numFmtId="0" fontId="6" fillId="290" borderId="0" xfId="0" applyFont="1" applyFill="1" applyProtection="1">
      <protection hidden="1"/>
    </xf>
    <xf numFmtId="0" fontId="0" fillId="97" borderId="0" xfId="0" applyFill="1" applyBorder="1" applyProtection="1">
      <protection hidden="1"/>
    </xf>
    <xf numFmtId="0" fontId="9" fillId="291" borderId="0" xfId="0" applyFont="1" applyFill="1" applyBorder="1" applyAlignment="1" applyProtection="1">
      <alignment vertical="center"/>
      <protection hidden="1"/>
    </xf>
    <xf numFmtId="0" fontId="59" fillId="291" borderId="0" xfId="0" applyFont="1" applyFill="1" applyBorder="1" applyAlignment="1" applyProtection="1">
      <alignment vertical="center"/>
      <protection hidden="1"/>
    </xf>
    <xf numFmtId="0" fontId="9" fillId="291" borderId="0" xfId="0" applyFont="1" applyFill="1" applyBorder="1" applyAlignment="1" applyProtection="1">
      <alignment horizontal="center" vertical="center"/>
      <protection hidden="1"/>
    </xf>
    <xf numFmtId="0" fontId="9" fillId="291" borderId="0" xfId="0" applyNumberFormat="1" applyFont="1" applyFill="1" applyBorder="1" applyAlignment="1" applyProtection="1">
      <alignment horizontal="center" vertical="center"/>
      <protection hidden="1"/>
    </xf>
    <xf numFmtId="0" fontId="37" fillId="257" borderId="0" xfId="0" applyFont="1" applyFill="1" applyBorder="1" applyAlignment="1" applyProtection="1">
      <alignment vertical="center"/>
      <protection hidden="1"/>
    </xf>
    <xf numFmtId="0" fontId="37" fillId="257" borderId="23" xfId="0" applyFont="1" applyFill="1" applyBorder="1" applyAlignment="1" applyProtection="1">
      <alignment vertical="center"/>
      <protection hidden="1"/>
    </xf>
    <xf numFmtId="0" fontId="37" fillId="257" borderId="36" xfId="0" applyFont="1" applyFill="1" applyBorder="1" applyAlignment="1" applyProtection="1">
      <alignment vertical="center"/>
      <protection hidden="1"/>
    </xf>
    <xf numFmtId="0" fontId="37" fillId="257" borderId="0" xfId="0" applyFont="1" applyFill="1" applyBorder="1" applyAlignment="1">
      <alignment vertical="center"/>
    </xf>
    <xf numFmtId="0" fontId="37" fillId="254" borderId="0" xfId="0" applyFont="1" applyFill="1" applyBorder="1" applyAlignment="1" applyProtection="1">
      <alignment horizontal="left" vertical="center"/>
      <protection hidden="1"/>
    </xf>
    <xf numFmtId="0" fontId="37" fillId="254" borderId="0" xfId="0" applyFont="1" applyFill="1" applyBorder="1" applyAlignment="1" applyProtection="1">
      <alignment vertical="center"/>
      <protection hidden="1"/>
    </xf>
    <xf numFmtId="0" fontId="51" fillId="254" borderId="0" xfId="0" applyFont="1" applyFill="1" applyBorder="1" applyAlignment="1" applyProtection="1">
      <alignment horizontal="center" vertical="center"/>
      <protection hidden="1"/>
    </xf>
    <xf numFmtId="0" fontId="37" fillId="254" borderId="0" xfId="0" applyFont="1" applyFill="1" applyBorder="1" applyAlignment="1" applyProtection="1">
      <alignment horizontal="center" vertical="center"/>
      <protection hidden="1"/>
    </xf>
    <xf numFmtId="0" fontId="37" fillId="254" borderId="23" xfId="0" applyFont="1" applyFill="1" applyBorder="1" applyAlignment="1" applyProtection="1">
      <alignment horizontal="left" vertical="center"/>
      <protection hidden="1"/>
    </xf>
    <xf numFmtId="0" fontId="37" fillId="254" borderId="23" xfId="0" applyFont="1" applyFill="1" applyBorder="1" applyAlignment="1" applyProtection="1">
      <alignment vertical="center"/>
      <protection hidden="1"/>
    </xf>
    <xf numFmtId="0" fontId="51" fillId="254" borderId="23" xfId="0" applyFont="1" applyFill="1" applyBorder="1" applyAlignment="1" applyProtection="1">
      <alignment horizontal="center" vertical="center"/>
      <protection hidden="1"/>
    </xf>
    <xf numFmtId="0" fontId="37" fillId="170" borderId="0" xfId="0" applyFont="1" applyFill="1" applyBorder="1" applyAlignment="1" applyProtection="1">
      <alignment horizontal="left" vertical="center"/>
      <protection hidden="1"/>
    </xf>
    <xf numFmtId="0" fontId="37" fillId="170" borderId="0" xfId="0" applyFont="1" applyFill="1" applyBorder="1" applyAlignment="1" applyProtection="1">
      <alignment vertical="center"/>
      <protection hidden="1"/>
    </xf>
    <xf numFmtId="0" fontId="51" fillId="170" borderId="0" xfId="0" applyFont="1" applyFill="1" applyBorder="1" applyAlignment="1" applyProtection="1">
      <alignment horizontal="center" vertical="center"/>
      <protection hidden="1"/>
    </xf>
    <xf numFmtId="0" fontId="37" fillId="96" borderId="0" xfId="0" applyFont="1" applyFill="1" applyBorder="1" applyAlignment="1" applyProtection="1">
      <alignment horizontal="left" vertical="center"/>
      <protection hidden="1"/>
    </xf>
    <xf numFmtId="0" fontId="37" fillId="96" borderId="0" xfId="0" applyFont="1" applyFill="1" applyBorder="1" applyAlignment="1" applyProtection="1">
      <alignment vertical="center"/>
      <protection hidden="1"/>
    </xf>
    <xf numFmtId="0" fontId="51" fillId="96" borderId="0" xfId="0" applyFont="1" applyFill="1" applyBorder="1" applyAlignment="1" applyProtection="1">
      <alignment horizontal="center" vertical="center"/>
      <protection hidden="1"/>
    </xf>
    <xf numFmtId="0" fontId="37" fillId="275" borderId="36" xfId="0" applyFont="1" applyFill="1" applyBorder="1" applyAlignment="1" applyProtection="1">
      <alignment horizontal="left" vertical="center"/>
      <protection hidden="1"/>
    </xf>
    <xf numFmtId="0" fontId="37" fillId="275" borderId="36" xfId="0" applyFont="1" applyFill="1" applyBorder="1" applyAlignment="1" applyProtection="1">
      <alignment vertical="center"/>
      <protection hidden="1"/>
    </xf>
    <xf numFmtId="0" fontId="51" fillId="275" borderId="36" xfId="0" applyFont="1" applyFill="1" applyBorder="1" applyAlignment="1" applyProtection="1">
      <alignment horizontal="center" vertical="center"/>
      <protection hidden="1"/>
    </xf>
    <xf numFmtId="0" fontId="37" fillId="275" borderId="0" xfId="0" applyFont="1" applyFill="1" applyBorder="1" applyAlignment="1" applyProtection="1">
      <alignment vertical="center"/>
      <protection hidden="1"/>
    </xf>
    <xf numFmtId="0" fontId="37" fillId="275" borderId="0" xfId="0" applyFont="1" applyFill="1" applyBorder="1" applyAlignment="1" applyProtection="1">
      <alignment vertical="top"/>
      <protection hidden="1"/>
    </xf>
    <xf numFmtId="0" fontId="37" fillId="275" borderId="0" xfId="0" applyFont="1" applyFill="1" applyBorder="1" applyAlignment="1" applyProtection="1">
      <alignment horizontal="left" vertical="center"/>
      <protection hidden="1"/>
    </xf>
    <xf numFmtId="0" fontId="51" fillId="275" borderId="0" xfId="0" applyFont="1" applyFill="1" applyBorder="1" applyAlignment="1" applyProtection="1">
      <alignment horizontal="center" vertical="top"/>
      <protection hidden="1"/>
    </xf>
    <xf numFmtId="0" fontId="37" fillId="275" borderId="0" xfId="0" applyFont="1" applyFill="1" applyBorder="1" applyAlignment="1" applyProtection="1">
      <alignment horizontal="left" vertical="top"/>
      <protection hidden="1"/>
    </xf>
    <xf numFmtId="0" fontId="37" fillId="275" borderId="23" xfId="0" applyFont="1" applyFill="1" applyBorder="1" applyAlignment="1" applyProtection="1">
      <alignment horizontal="left" vertical="top"/>
      <protection hidden="1"/>
    </xf>
    <xf numFmtId="0" fontId="37" fillId="275" borderId="23" xfId="0" applyFont="1" applyFill="1" applyBorder="1" applyAlignment="1" applyProtection="1">
      <alignment horizontal="left" vertical="center"/>
      <protection hidden="1"/>
    </xf>
    <xf numFmtId="0" fontId="37" fillId="275" borderId="23" xfId="0" applyFont="1" applyFill="1" applyBorder="1" applyAlignment="1" applyProtection="1">
      <alignment vertical="center"/>
      <protection hidden="1"/>
    </xf>
    <xf numFmtId="0" fontId="51" fillId="275" borderId="23" xfId="0" applyFont="1" applyFill="1" applyBorder="1" applyAlignment="1" applyProtection="1">
      <alignment horizontal="center" vertical="top"/>
      <protection hidden="1"/>
    </xf>
    <xf numFmtId="0" fontId="37" fillId="170" borderId="0" xfId="0" applyFont="1" applyFill="1" applyBorder="1" applyAlignment="1" applyProtection="1">
      <alignment horizontal="left" vertical="top"/>
      <protection hidden="1"/>
    </xf>
    <xf numFmtId="0" fontId="51" fillId="170" borderId="0" xfId="0" applyFont="1" applyFill="1" applyBorder="1" applyAlignment="1" applyProtection="1">
      <alignment horizontal="center" vertical="top"/>
      <protection hidden="1"/>
    </xf>
    <xf numFmtId="0" fontId="37" fillId="274" borderId="36" xfId="0" applyFont="1" applyFill="1" applyBorder="1" applyAlignment="1" applyProtection="1">
      <alignment horizontal="left" vertical="top"/>
      <protection hidden="1"/>
    </xf>
    <xf numFmtId="0" fontId="37" fillId="274" borderId="36" xfId="0" applyFont="1" applyFill="1" applyBorder="1" applyAlignment="1" applyProtection="1">
      <alignment horizontal="left" vertical="center"/>
      <protection hidden="1"/>
    </xf>
    <xf numFmtId="0" fontId="37" fillId="274" borderId="36" xfId="0" applyFont="1" applyFill="1" applyBorder="1" applyAlignment="1" applyProtection="1">
      <alignment vertical="center"/>
      <protection hidden="1"/>
    </xf>
    <xf numFmtId="0" fontId="51" fillId="274" borderId="36" xfId="0" applyFont="1" applyFill="1" applyBorder="1" applyAlignment="1" applyProtection="1">
      <alignment horizontal="center" vertical="top"/>
      <protection hidden="1"/>
    </xf>
    <xf numFmtId="0" fontId="37" fillId="274" borderId="0" xfId="0" applyFont="1" applyFill="1" applyBorder="1" applyAlignment="1" applyProtection="1">
      <alignment horizontal="left" vertical="top"/>
      <protection hidden="1"/>
    </xf>
    <xf numFmtId="0" fontId="37" fillId="274" borderId="0" xfId="0" applyFont="1" applyFill="1" applyBorder="1" applyAlignment="1" applyProtection="1">
      <alignment horizontal="left" vertical="center"/>
      <protection hidden="1"/>
    </xf>
    <xf numFmtId="0" fontId="51" fillId="274" borderId="0" xfId="0" applyFont="1" applyFill="1" applyBorder="1" applyAlignment="1" applyProtection="1">
      <alignment horizontal="center" vertical="top"/>
      <protection hidden="1"/>
    </xf>
    <xf numFmtId="0" fontId="37" fillId="274" borderId="23" xfId="0" applyFont="1" applyFill="1" applyBorder="1" applyAlignment="1" applyProtection="1">
      <alignment vertical="top"/>
      <protection hidden="1"/>
    </xf>
    <xf numFmtId="0" fontId="37" fillId="274" borderId="23" xfId="0" applyFont="1" applyFill="1" applyBorder="1" applyAlignment="1" applyProtection="1">
      <alignment vertical="center"/>
      <protection hidden="1"/>
    </xf>
    <xf numFmtId="0" fontId="37" fillId="274" borderId="23" xfId="0" applyFont="1" applyFill="1" applyBorder="1" applyAlignment="1" applyProtection="1">
      <alignment horizontal="center" vertical="top"/>
      <protection hidden="1"/>
    </xf>
    <xf numFmtId="0" fontId="14" fillId="274" borderId="23" xfId="0" applyFont="1" applyFill="1" applyBorder="1" applyAlignment="1" applyProtection="1">
      <alignment horizontal="left" vertical="top"/>
      <protection hidden="1"/>
    </xf>
    <xf numFmtId="0" fontId="37" fillId="278" borderId="36" xfId="0" applyFont="1" applyFill="1" applyBorder="1" applyAlignment="1" applyProtection="1">
      <alignment vertical="top"/>
      <protection hidden="1"/>
    </xf>
    <xf numFmtId="0" fontId="37" fillId="278" borderId="36" xfId="0" applyFont="1" applyFill="1" applyBorder="1" applyAlignment="1" applyProtection="1">
      <alignment vertical="center"/>
      <protection hidden="1"/>
    </xf>
    <xf numFmtId="0" fontId="37" fillId="278" borderId="36" xfId="0" applyFont="1" applyFill="1" applyBorder="1" applyAlignment="1" applyProtection="1">
      <alignment horizontal="center" vertical="top"/>
      <protection hidden="1"/>
    </xf>
    <xf numFmtId="0" fontId="14" fillId="278" borderId="36" xfId="0" applyFont="1" applyFill="1" applyBorder="1" applyAlignment="1" applyProtection="1">
      <alignment horizontal="left" vertical="top"/>
      <protection hidden="1"/>
    </xf>
    <xf numFmtId="0" fontId="37" fillId="278" borderId="0" xfId="0" applyFont="1" applyFill="1" applyBorder="1" applyAlignment="1" applyProtection="1">
      <alignment horizontal="left" vertical="top"/>
      <protection hidden="1"/>
    </xf>
    <xf numFmtId="0" fontId="37" fillId="278" borderId="0" xfId="0" applyFont="1" applyFill="1" applyBorder="1" applyAlignment="1" applyProtection="1">
      <alignment horizontal="left" vertical="center"/>
      <protection hidden="1"/>
    </xf>
    <xf numFmtId="0" fontId="51" fillId="278" borderId="0" xfId="0" applyFont="1" applyFill="1" applyBorder="1" applyAlignment="1" applyProtection="1">
      <alignment horizontal="center" vertical="top"/>
      <protection hidden="1"/>
    </xf>
    <xf numFmtId="1" fontId="37" fillId="254" borderId="0" xfId="0" applyNumberFormat="1" applyFont="1" applyFill="1" applyBorder="1" applyAlignment="1" applyProtection="1">
      <alignment horizontal="center" vertical="center"/>
      <protection hidden="1"/>
    </xf>
    <xf numFmtId="164" fontId="98" fillId="253" borderId="7" xfId="0" applyNumberFormat="1" applyFont="1" applyFill="1" applyBorder="1" applyAlignment="1" applyProtection="1">
      <alignment horizontal="center" vertical="center"/>
      <protection hidden="1"/>
    </xf>
    <xf numFmtId="164" fontId="98" fillId="254" borderId="120" xfId="0" applyNumberFormat="1" applyFont="1" applyFill="1" applyBorder="1" applyAlignment="1" applyProtection="1">
      <alignment horizontal="center" vertical="center"/>
      <protection hidden="1"/>
    </xf>
    <xf numFmtId="164" fontId="98" fillId="254" borderId="36" xfId="0" applyNumberFormat="1" applyFont="1" applyFill="1" applyBorder="1" applyAlignment="1" applyProtection="1">
      <alignment horizontal="center" vertical="center"/>
      <protection hidden="1"/>
    </xf>
    <xf numFmtId="164" fontId="98" fillId="254" borderId="23" xfId="0" applyNumberFormat="1" applyFont="1" applyFill="1" applyBorder="1" applyAlignment="1" applyProtection="1">
      <alignment horizontal="center" vertical="center"/>
      <protection hidden="1"/>
    </xf>
    <xf numFmtId="164" fontId="98" fillId="274" borderId="36" xfId="0" applyNumberFormat="1" applyFont="1" applyFill="1" applyBorder="1" applyAlignment="1" applyProtection="1">
      <alignment horizontal="center" vertical="center"/>
      <protection hidden="1"/>
    </xf>
    <xf numFmtId="164" fontId="98" fillId="0" borderId="7" xfId="0" applyNumberFormat="1" applyFont="1" applyFill="1" applyBorder="1" applyAlignment="1" applyProtection="1">
      <alignment horizontal="center" vertical="center"/>
      <protection hidden="1"/>
    </xf>
    <xf numFmtId="0" fontId="37" fillId="274" borderId="23" xfId="0" applyFont="1" applyFill="1" applyBorder="1" applyAlignment="1" applyProtection="1">
      <alignment horizontal="center" vertical="center"/>
      <protection hidden="1"/>
    </xf>
    <xf numFmtId="0" fontId="37" fillId="278" borderId="36" xfId="0" applyFont="1" applyFill="1" applyBorder="1" applyAlignment="1" applyProtection="1">
      <alignment horizontal="center" vertical="center"/>
      <protection hidden="1"/>
    </xf>
    <xf numFmtId="0" fontId="37" fillId="254" borderId="35" xfId="0" applyFont="1" applyFill="1" applyBorder="1" applyAlignment="1" applyProtection="1">
      <alignment horizontal="right" vertical="center"/>
      <protection hidden="1"/>
    </xf>
    <xf numFmtId="0" fontId="37" fillId="254" borderId="36" xfId="0" applyFont="1" applyFill="1" applyBorder="1" applyAlignment="1" applyProtection="1">
      <alignment horizontal="left" vertical="center"/>
      <protection hidden="1"/>
    </xf>
    <xf numFmtId="0" fontId="37" fillId="254" borderId="36" xfId="0" applyFont="1" applyFill="1" applyBorder="1" applyAlignment="1" applyProtection="1">
      <alignment vertical="center"/>
      <protection hidden="1"/>
    </xf>
    <xf numFmtId="0" fontId="51" fillId="254" borderId="36" xfId="0" applyFont="1" applyFill="1" applyBorder="1" applyAlignment="1" applyProtection="1">
      <alignment horizontal="center" vertical="center"/>
      <protection hidden="1"/>
    </xf>
    <xf numFmtId="0" fontId="37" fillId="254" borderId="37" xfId="0" applyFont="1" applyFill="1" applyBorder="1" applyAlignment="1" applyProtection="1">
      <alignment horizontal="left" vertical="center"/>
      <protection hidden="1"/>
    </xf>
    <xf numFmtId="0" fontId="37" fillId="170" borderId="0" xfId="0" applyFont="1" applyFill="1" applyBorder="1" applyAlignment="1" applyProtection="1">
      <alignment horizontal="center" vertical="center"/>
      <protection hidden="1"/>
    </xf>
    <xf numFmtId="0" fontId="37" fillId="254" borderId="114" xfId="0" applyFont="1" applyFill="1" applyBorder="1" applyAlignment="1" applyProtection="1">
      <alignment horizontal="left" vertical="center"/>
      <protection hidden="1"/>
    </xf>
    <xf numFmtId="0" fontId="37" fillId="254" borderId="115" xfId="0" applyFont="1" applyFill="1" applyBorder="1" applyAlignment="1" applyProtection="1">
      <alignment horizontal="left" vertical="center"/>
      <protection hidden="1"/>
    </xf>
    <xf numFmtId="164" fontId="98" fillId="254" borderId="115" xfId="0" applyNumberFormat="1" applyFont="1" applyFill="1" applyBorder="1" applyAlignment="1" applyProtection="1">
      <alignment horizontal="center" vertical="center"/>
      <protection hidden="1"/>
    </xf>
    <xf numFmtId="0" fontId="37" fillId="254" borderId="116" xfId="0" applyFont="1" applyFill="1" applyBorder="1" applyAlignment="1" applyProtection="1">
      <alignment horizontal="center" vertical="center"/>
      <protection hidden="1"/>
    </xf>
    <xf numFmtId="0" fontId="5" fillId="5" borderId="0" xfId="0" applyFont="1" applyFill="1" applyAlignment="1" applyProtection="1">
      <alignment vertical="center"/>
      <protection hidden="1"/>
    </xf>
    <xf numFmtId="0" fontId="37" fillId="254" borderId="47" xfId="0" applyFont="1" applyFill="1" applyBorder="1" applyAlignment="1" applyProtection="1">
      <alignment horizontal="right" vertical="center"/>
      <protection hidden="1"/>
    </xf>
    <xf numFmtId="0" fontId="37" fillId="254" borderId="48" xfId="0" applyFont="1" applyFill="1" applyBorder="1" applyAlignment="1" applyProtection="1">
      <alignment horizontal="left" vertical="center"/>
      <protection hidden="1"/>
    </xf>
    <xf numFmtId="0" fontId="37" fillId="254" borderId="117" xfId="0" applyFont="1" applyFill="1" applyBorder="1" applyAlignment="1" applyProtection="1">
      <alignment horizontal="left" vertical="center"/>
      <protection hidden="1"/>
    </xf>
    <xf numFmtId="0" fontId="37" fillId="253" borderId="0" xfId="9" applyFont="1" applyFill="1" applyBorder="1" applyAlignment="1">
      <alignment horizontal="center" vertical="center"/>
    </xf>
    <xf numFmtId="0" fontId="37" fillId="254" borderId="118" xfId="0" applyFont="1" applyFill="1" applyBorder="1" applyAlignment="1" applyProtection="1">
      <alignment horizontal="center" vertical="center"/>
      <protection hidden="1"/>
    </xf>
    <xf numFmtId="0" fontId="37" fillId="254" borderId="117" xfId="0" applyFont="1" applyFill="1" applyBorder="1" applyAlignment="1" applyProtection="1">
      <alignment vertical="center"/>
      <protection hidden="1"/>
    </xf>
    <xf numFmtId="4" fontId="37" fillId="253" borderId="0" xfId="9" applyNumberFormat="1" applyFont="1" applyFill="1" applyBorder="1" applyAlignment="1">
      <alignment horizontal="center" vertical="center"/>
    </xf>
    <xf numFmtId="0" fontId="37" fillId="254" borderId="38" xfId="0" applyFont="1" applyFill="1" applyBorder="1" applyAlignment="1" applyProtection="1">
      <alignment horizontal="right" vertical="center"/>
      <protection hidden="1"/>
    </xf>
    <xf numFmtId="0" fontId="37" fillId="254" borderId="39" xfId="0" applyFont="1" applyFill="1" applyBorder="1" applyAlignment="1" applyProtection="1">
      <alignment horizontal="left" vertical="center"/>
      <protection hidden="1"/>
    </xf>
    <xf numFmtId="0" fontId="37" fillId="254" borderId="119" xfId="0" applyFont="1" applyFill="1" applyBorder="1" applyAlignment="1" applyProtection="1">
      <alignment horizontal="left" vertical="center"/>
      <protection hidden="1"/>
    </xf>
    <xf numFmtId="0" fontId="37" fillId="254" borderId="120" xfId="0" applyFont="1" applyFill="1" applyBorder="1" applyAlignment="1" applyProtection="1">
      <alignment horizontal="left" vertical="center"/>
      <protection hidden="1"/>
    </xf>
    <xf numFmtId="0" fontId="37" fillId="254" borderId="121" xfId="0" applyFont="1" applyFill="1" applyBorder="1" applyAlignment="1" applyProtection="1">
      <alignment horizontal="center" vertical="center"/>
      <protection hidden="1"/>
    </xf>
    <xf numFmtId="0" fontId="37" fillId="170" borderId="0" xfId="0" applyFont="1" applyFill="1" applyBorder="1" applyAlignment="1" applyProtection="1">
      <alignment horizontal="right" vertical="center"/>
      <protection hidden="1"/>
    </xf>
    <xf numFmtId="0" fontId="37" fillId="96" borderId="0" xfId="0" applyFont="1" applyFill="1" applyBorder="1" applyAlignment="1" applyProtection="1">
      <alignment horizontal="right" vertical="center"/>
      <protection hidden="1"/>
    </xf>
    <xf numFmtId="0" fontId="37" fillId="96" borderId="0" xfId="0" applyFont="1" applyFill="1" applyBorder="1" applyAlignment="1" applyProtection="1">
      <alignment horizontal="center" vertical="center"/>
      <protection hidden="1"/>
    </xf>
    <xf numFmtId="0" fontId="37" fillId="275" borderId="35" xfId="0" applyFont="1" applyFill="1" applyBorder="1" applyAlignment="1" applyProtection="1">
      <alignment horizontal="right" vertical="center"/>
      <protection hidden="1"/>
    </xf>
    <xf numFmtId="0" fontId="37" fillId="275" borderId="37" xfId="0" applyFont="1" applyFill="1" applyBorder="1" applyAlignment="1" applyProtection="1">
      <alignment horizontal="left" vertical="center"/>
      <protection hidden="1"/>
    </xf>
    <xf numFmtId="0" fontId="37" fillId="254" borderId="37" xfId="0" applyFont="1" applyFill="1" applyBorder="1" applyAlignment="1" applyProtection="1">
      <alignment horizontal="center" vertical="center"/>
      <protection hidden="1"/>
    </xf>
    <xf numFmtId="0" fontId="37" fillId="5" borderId="0" xfId="0" applyFont="1" applyFill="1" applyBorder="1" applyAlignment="1">
      <alignment horizontal="center"/>
    </xf>
    <xf numFmtId="0" fontId="69" fillId="254" borderId="0" xfId="0" applyFont="1" applyFill="1" applyBorder="1" applyAlignment="1" applyProtection="1">
      <alignment vertical="center"/>
      <protection hidden="1"/>
    </xf>
    <xf numFmtId="0" fontId="37" fillId="275" borderId="47" xfId="0" applyFont="1" applyFill="1" applyBorder="1" applyAlignment="1" applyProtection="1">
      <alignment horizontal="right" vertical="center"/>
      <protection hidden="1"/>
    </xf>
    <xf numFmtId="0" fontId="37" fillId="275" borderId="48" xfId="0" applyFont="1" applyFill="1" applyBorder="1" applyAlignment="1" applyProtection="1">
      <alignment horizontal="left" vertical="center"/>
      <protection hidden="1"/>
    </xf>
    <xf numFmtId="4" fontId="37" fillId="253" borderId="0" xfId="3" applyNumberFormat="1" applyFont="1" applyFill="1" applyBorder="1" applyAlignment="1" applyProtection="1">
      <alignment horizontal="center" vertical="center"/>
      <protection hidden="1"/>
    </xf>
    <xf numFmtId="4" fontId="14" fillId="253" borderId="0" xfId="9" applyNumberFormat="1" applyFont="1" applyFill="1" applyBorder="1" applyAlignment="1">
      <alignment horizontal="center" vertical="center"/>
    </xf>
    <xf numFmtId="0" fontId="37" fillId="254" borderId="48" xfId="0" applyFont="1" applyFill="1" applyBorder="1" applyAlignment="1" applyProtection="1">
      <alignment horizontal="center" vertical="center"/>
      <protection hidden="1"/>
    </xf>
    <xf numFmtId="0" fontId="37" fillId="275" borderId="38" xfId="0" applyFont="1" applyFill="1" applyBorder="1" applyAlignment="1" applyProtection="1">
      <alignment horizontal="right" vertical="center"/>
      <protection hidden="1"/>
    </xf>
    <xf numFmtId="0" fontId="37" fillId="275" borderId="39" xfId="0" applyFont="1" applyFill="1" applyBorder="1" applyAlignment="1" applyProtection="1">
      <alignment horizontal="left" vertical="center"/>
      <protection hidden="1"/>
    </xf>
    <xf numFmtId="0" fontId="37" fillId="254" borderId="23" xfId="0" applyFont="1" applyFill="1" applyBorder="1" applyAlignment="1" applyProtection="1">
      <alignment horizontal="center" vertical="center"/>
      <protection hidden="1"/>
    </xf>
    <xf numFmtId="0" fontId="37" fillId="254" borderId="39" xfId="0" applyFont="1" applyFill="1" applyBorder="1" applyAlignment="1" applyProtection="1">
      <alignment horizontal="center" vertical="center"/>
      <protection hidden="1"/>
    </xf>
    <xf numFmtId="0" fontId="37" fillId="274" borderId="35" xfId="0" applyFont="1" applyFill="1" applyBorder="1" applyAlignment="1" applyProtection="1">
      <alignment horizontal="right" vertical="center"/>
      <protection hidden="1"/>
    </xf>
    <xf numFmtId="0" fontId="37" fillId="274" borderId="37" xfId="0" applyFont="1" applyFill="1" applyBorder="1" applyAlignment="1" applyProtection="1">
      <alignment horizontal="left" vertical="center"/>
      <protection hidden="1"/>
    </xf>
    <xf numFmtId="0" fontId="37" fillId="274" borderId="36" xfId="0" applyFont="1" applyFill="1" applyBorder="1" applyAlignment="1" applyProtection="1">
      <alignment horizontal="center" vertical="center"/>
      <protection hidden="1"/>
    </xf>
    <xf numFmtId="0" fontId="37" fillId="274" borderId="37" xfId="0" applyFont="1" applyFill="1" applyBorder="1" applyAlignment="1" applyProtection="1">
      <alignment horizontal="center" vertical="center"/>
      <protection hidden="1"/>
    </xf>
    <xf numFmtId="0" fontId="69" fillId="274" borderId="0" xfId="0" applyFont="1" applyFill="1" applyBorder="1" applyAlignment="1" applyProtection="1">
      <alignment vertical="center"/>
      <protection hidden="1"/>
    </xf>
    <xf numFmtId="0" fontId="37" fillId="274" borderId="47" xfId="0" applyFont="1" applyFill="1" applyBorder="1" applyAlignment="1" applyProtection="1">
      <alignment horizontal="right" vertical="center"/>
      <protection hidden="1"/>
    </xf>
    <xf numFmtId="4" fontId="37" fillId="154" borderId="0" xfId="3" applyNumberFormat="1" applyFont="1" applyFill="1" applyBorder="1" applyAlignment="1" applyProtection="1">
      <alignment horizontal="center" vertical="center"/>
      <protection hidden="1"/>
    </xf>
    <xf numFmtId="4" fontId="14" fillId="154" borderId="0" xfId="9" applyNumberFormat="1" applyFont="1" applyFill="1" applyBorder="1" applyAlignment="1">
      <alignment horizontal="center" vertical="center"/>
    </xf>
    <xf numFmtId="0" fontId="37" fillId="274" borderId="48" xfId="0" applyFont="1" applyFill="1" applyBorder="1" applyAlignment="1" applyProtection="1">
      <alignment horizontal="center" vertical="center"/>
      <protection hidden="1"/>
    </xf>
    <xf numFmtId="0" fontId="37" fillId="274" borderId="38" xfId="0" applyFont="1" applyFill="1" applyBorder="1" applyAlignment="1" applyProtection="1">
      <alignment horizontal="right" vertical="center"/>
      <protection hidden="1"/>
    </xf>
    <xf numFmtId="0" fontId="14" fillId="274" borderId="39" xfId="0" applyFont="1" applyFill="1" applyBorder="1" applyAlignment="1" applyProtection="1">
      <alignment horizontal="left" vertical="center"/>
      <protection hidden="1"/>
    </xf>
    <xf numFmtId="0" fontId="14" fillId="170" borderId="0" xfId="0" applyFont="1" applyFill="1" applyBorder="1" applyAlignment="1" applyProtection="1">
      <alignment horizontal="center" vertical="center"/>
      <protection hidden="1"/>
    </xf>
    <xf numFmtId="1" fontId="37" fillId="274" borderId="23" xfId="0" applyNumberFormat="1" applyFont="1" applyFill="1" applyBorder="1" applyAlignment="1" applyProtection="1">
      <alignment horizontal="center" vertical="center"/>
      <protection hidden="1"/>
    </xf>
    <xf numFmtId="0" fontId="37" fillId="274" borderId="39" xfId="0" applyFont="1" applyFill="1" applyBorder="1" applyAlignment="1" applyProtection="1">
      <alignment horizontal="center" vertical="center"/>
      <protection hidden="1"/>
    </xf>
    <xf numFmtId="0" fontId="5" fillId="170" borderId="0" xfId="0" applyFont="1" applyFill="1"/>
    <xf numFmtId="0" fontId="37" fillId="278" borderId="35" xfId="0" applyFont="1" applyFill="1" applyBorder="1" applyAlignment="1" applyProtection="1">
      <alignment horizontal="right" vertical="center"/>
      <protection hidden="1"/>
    </xf>
    <xf numFmtId="0" fontId="14" fillId="278" borderId="37" xfId="0" applyFont="1" applyFill="1" applyBorder="1" applyAlignment="1" applyProtection="1">
      <alignment horizontal="left" vertical="center"/>
      <protection hidden="1"/>
    </xf>
    <xf numFmtId="1" fontId="37" fillId="278" borderId="36" xfId="0" applyNumberFormat="1" applyFont="1" applyFill="1" applyBorder="1" applyAlignment="1" applyProtection="1">
      <alignment horizontal="center" vertical="center"/>
      <protection hidden="1"/>
    </xf>
    <xf numFmtId="0" fontId="37" fillId="278" borderId="37" xfId="0" applyFont="1" applyFill="1" applyBorder="1" applyAlignment="1" applyProtection="1">
      <alignment horizontal="center" vertical="center"/>
      <protection hidden="1"/>
    </xf>
    <xf numFmtId="0" fontId="69" fillId="278" borderId="0" xfId="0" applyFont="1" applyFill="1" applyBorder="1" applyAlignment="1" applyProtection="1">
      <alignment vertical="center"/>
      <protection hidden="1"/>
    </xf>
    <xf numFmtId="0" fontId="37" fillId="278" borderId="47" xfId="0" applyFont="1" applyFill="1" applyBorder="1" applyAlignment="1" applyProtection="1">
      <alignment horizontal="right" vertical="center"/>
      <protection hidden="1"/>
    </xf>
    <xf numFmtId="0" fontId="37" fillId="278" borderId="48" xfId="0" applyFont="1" applyFill="1" applyBorder="1" applyAlignment="1" applyProtection="1">
      <alignment horizontal="left" vertical="center"/>
      <protection hidden="1"/>
    </xf>
    <xf numFmtId="4" fontId="14" fillId="277" borderId="0" xfId="9" applyNumberFormat="1" applyFont="1" applyFill="1" applyBorder="1" applyAlignment="1">
      <alignment horizontal="center" vertical="center"/>
    </xf>
    <xf numFmtId="0" fontId="37" fillId="278" borderId="48" xfId="0" applyFont="1" applyFill="1" applyBorder="1" applyAlignment="1" applyProtection="1">
      <alignment horizontal="center" vertical="center"/>
      <protection hidden="1"/>
    </xf>
    <xf numFmtId="0" fontId="37" fillId="278" borderId="38" xfId="0" applyFont="1" applyFill="1" applyBorder="1" applyAlignment="1" applyProtection="1">
      <alignment horizontal="right" vertical="center"/>
      <protection hidden="1"/>
    </xf>
    <xf numFmtId="0" fontId="37" fillId="278" borderId="23" xfId="0" applyFont="1" applyFill="1" applyBorder="1" applyAlignment="1" applyProtection="1">
      <alignment horizontal="left" vertical="center"/>
      <protection hidden="1"/>
    </xf>
    <xf numFmtId="0" fontId="37" fillId="278" borderId="23" xfId="0" applyFont="1" applyFill="1" applyBorder="1" applyAlignment="1" applyProtection="1">
      <alignment vertical="center"/>
      <protection hidden="1"/>
    </xf>
    <xf numFmtId="0" fontId="51" fillId="278" borderId="23" xfId="0" applyFont="1" applyFill="1" applyBorder="1" applyAlignment="1" applyProtection="1">
      <alignment horizontal="center" vertical="center"/>
      <protection hidden="1"/>
    </xf>
    <xf numFmtId="0" fontId="37" fillId="278" borderId="39" xfId="0" applyFont="1" applyFill="1" applyBorder="1" applyAlignment="1" applyProtection="1">
      <alignment horizontal="left" vertical="center"/>
      <protection hidden="1"/>
    </xf>
    <xf numFmtId="0" fontId="37" fillId="278" borderId="23" xfId="0" applyFont="1" applyFill="1" applyBorder="1" applyAlignment="1" applyProtection="1">
      <alignment horizontal="center" vertical="center"/>
      <protection hidden="1"/>
    </xf>
    <xf numFmtId="164" fontId="98" fillId="278" borderId="23" xfId="0" applyNumberFormat="1" applyFont="1" applyFill="1" applyBorder="1" applyAlignment="1" applyProtection="1">
      <alignment horizontal="center" vertical="center"/>
      <protection hidden="1"/>
    </xf>
    <xf numFmtId="0" fontId="37" fillId="278" borderId="39" xfId="0" applyFont="1" applyFill="1" applyBorder="1" applyAlignment="1" applyProtection="1">
      <alignment horizontal="center" vertical="center"/>
      <protection hidden="1"/>
    </xf>
    <xf numFmtId="164" fontId="98" fillId="170" borderId="0" xfId="0" applyNumberFormat="1" applyFont="1" applyFill="1" applyBorder="1" applyAlignment="1" applyProtection="1">
      <alignment horizontal="center" vertical="center"/>
      <protection hidden="1"/>
    </xf>
    <xf numFmtId="0" fontId="37" fillId="253" borderId="115" xfId="0" applyFont="1" applyFill="1" applyBorder="1"/>
    <xf numFmtId="0" fontId="37" fillId="253" borderId="115" xfId="0" applyFont="1" applyFill="1" applyBorder="1" applyAlignment="1" applyProtection="1">
      <alignment vertical="center"/>
      <protection hidden="1"/>
    </xf>
    <xf numFmtId="0" fontId="37" fillId="253" borderId="0" xfId="0" applyFont="1" applyFill="1" applyBorder="1" applyAlignment="1" applyProtection="1">
      <alignment vertical="center"/>
      <protection hidden="1"/>
    </xf>
    <xf numFmtId="0" fontId="37" fillId="253" borderId="120" xfId="0" applyFont="1" applyFill="1" applyBorder="1"/>
    <xf numFmtId="0" fontId="37" fillId="253" borderId="120" xfId="0" applyFont="1" applyFill="1" applyBorder="1" applyAlignment="1" applyProtection="1">
      <alignment vertical="center"/>
      <protection hidden="1"/>
    </xf>
    <xf numFmtId="0" fontId="37" fillId="6" borderId="0" xfId="0" applyFont="1" applyFill="1" applyBorder="1"/>
    <xf numFmtId="0" fontId="37" fillId="6" borderId="0" xfId="0" applyFont="1" applyFill="1"/>
    <xf numFmtId="0" fontId="37" fillId="253" borderId="35" xfId="0" applyFont="1" applyFill="1" applyBorder="1"/>
    <xf numFmtId="0" fontId="37" fillId="253" borderId="36" xfId="0" applyFont="1" applyFill="1" applyBorder="1"/>
    <xf numFmtId="0" fontId="37" fillId="253" borderId="36" xfId="0" applyFont="1" applyFill="1" applyBorder="1" applyAlignment="1" applyProtection="1">
      <alignment vertical="center"/>
      <protection hidden="1"/>
    </xf>
    <xf numFmtId="0" fontId="37" fillId="276" borderId="47" xfId="0" applyFont="1" applyFill="1" applyBorder="1"/>
    <xf numFmtId="0" fontId="37" fillId="276" borderId="0" xfId="0" applyFont="1" applyFill="1" applyBorder="1"/>
    <xf numFmtId="0" fontId="37" fillId="276" borderId="0" xfId="0" applyFont="1" applyFill="1" applyBorder="1" applyAlignment="1">
      <alignment horizontal="center"/>
    </xf>
    <xf numFmtId="0" fontId="37" fillId="276" borderId="0" xfId="0" applyFont="1" applyFill="1" applyBorder="1" applyAlignment="1">
      <alignment horizontal="left" vertical="center"/>
    </xf>
    <xf numFmtId="0" fontId="37" fillId="276" borderId="48" xfId="0" applyFont="1" applyFill="1" applyBorder="1"/>
    <xf numFmtId="0" fontId="37" fillId="253" borderId="47" xfId="0" applyFont="1" applyFill="1" applyBorder="1"/>
    <xf numFmtId="0" fontId="37" fillId="253" borderId="0" xfId="0" applyFont="1" applyFill="1" applyBorder="1"/>
    <xf numFmtId="0" fontId="37" fillId="253" borderId="48" xfId="0" applyFont="1" applyFill="1" applyBorder="1"/>
    <xf numFmtId="0" fontId="37" fillId="253" borderId="38" xfId="0" applyFont="1" applyFill="1" applyBorder="1"/>
    <xf numFmtId="0" fontId="37" fillId="253" borderId="23" xfId="0" applyFont="1" applyFill="1" applyBorder="1"/>
    <xf numFmtId="0" fontId="37" fillId="253" borderId="23" xfId="0" applyFont="1" applyFill="1" applyBorder="1" applyAlignment="1" applyProtection="1">
      <alignment vertical="center"/>
      <protection hidden="1"/>
    </xf>
    <xf numFmtId="0" fontId="37" fillId="154" borderId="35" xfId="0" applyFont="1" applyFill="1" applyBorder="1"/>
    <xf numFmtId="0" fontId="37" fillId="154" borderId="36" xfId="0" applyFont="1" applyFill="1" applyBorder="1"/>
    <xf numFmtId="0" fontId="37" fillId="154" borderId="36" xfId="0" applyFont="1" applyFill="1" applyBorder="1" applyAlignment="1" applyProtection="1">
      <alignment vertical="center"/>
      <protection hidden="1"/>
    </xf>
    <xf numFmtId="0" fontId="37" fillId="154" borderId="47" xfId="0" applyFont="1" applyFill="1" applyBorder="1"/>
    <xf numFmtId="0" fontId="37" fillId="154" borderId="0" xfId="0" applyFont="1" applyFill="1" applyBorder="1" applyAlignment="1">
      <alignment vertical="top"/>
    </xf>
    <xf numFmtId="0" fontId="37" fillId="154" borderId="0" xfId="0" applyFont="1" applyFill="1" applyBorder="1"/>
    <xf numFmtId="0" fontId="37" fillId="154" borderId="0" xfId="0" applyFont="1" applyFill="1" applyBorder="1" applyAlignment="1">
      <alignment horizontal="center" vertical="top"/>
    </xf>
    <xf numFmtId="0" fontId="37" fillId="154" borderId="0" xfId="0" applyFont="1" applyFill="1" applyBorder="1" applyAlignment="1">
      <alignment horizontal="left" vertical="top"/>
    </xf>
    <xf numFmtId="0" fontId="37" fillId="154" borderId="48" xfId="0" applyFont="1" applyFill="1" applyBorder="1"/>
    <xf numFmtId="0" fontId="37" fillId="154" borderId="0" xfId="0" applyFont="1" applyFill="1" applyBorder="1" applyAlignment="1" applyProtection="1">
      <alignment vertical="center"/>
      <protection hidden="1"/>
    </xf>
    <xf numFmtId="0" fontId="37" fillId="154" borderId="48" xfId="0" applyFont="1" applyFill="1" applyBorder="1" applyAlignment="1" applyProtection="1">
      <alignment vertical="center"/>
      <protection hidden="1"/>
    </xf>
    <xf numFmtId="0" fontId="37" fillId="154" borderId="38" xfId="0" applyFont="1" applyFill="1" applyBorder="1"/>
    <xf numFmtId="0" fontId="37" fillId="154" borderId="23" xfId="0" applyFont="1" applyFill="1" applyBorder="1"/>
    <xf numFmtId="0" fontId="37" fillId="154" borderId="23" xfId="0" applyFont="1" applyFill="1" applyBorder="1" applyAlignment="1" applyProtection="1">
      <alignment vertical="center"/>
      <protection hidden="1"/>
    </xf>
    <xf numFmtId="0" fontId="37" fillId="170" borderId="0" xfId="0" applyFont="1" applyFill="1"/>
    <xf numFmtId="0" fontId="37" fillId="277" borderId="35" xfId="0" applyFont="1" applyFill="1" applyBorder="1"/>
    <xf numFmtId="0" fontId="37" fillId="277" borderId="36" xfId="0" applyFont="1" applyFill="1" applyBorder="1"/>
    <xf numFmtId="0" fontId="37" fillId="277" borderId="36" xfId="0" applyFont="1" applyFill="1" applyBorder="1" applyAlignment="1" applyProtection="1">
      <alignment vertical="center"/>
      <protection hidden="1"/>
    </xf>
    <xf numFmtId="0" fontId="37" fillId="277" borderId="47" xfId="0" applyFont="1" applyFill="1" applyBorder="1"/>
    <xf numFmtId="0" fontId="37" fillId="277" borderId="0" xfId="0" applyFont="1" applyFill="1" applyBorder="1" applyAlignment="1">
      <alignment vertical="top"/>
    </xf>
    <xf numFmtId="0" fontId="37" fillId="277" borderId="0" xfId="0" applyFont="1" applyFill="1" applyBorder="1"/>
    <xf numFmtId="0" fontId="37" fillId="277" borderId="0" xfId="0" applyFont="1" applyFill="1" applyBorder="1" applyAlignment="1">
      <alignment horizontal="center" vertical="top"/>
    </xf>
    <xf numFmtId="0" fontId="37" fillId="277" borderId="0" xfId="0" applyFont="1" applyFill="1" applyBorder="1" applyAlignment="1">
      <alignment horizontal="left" vertical="top"/>
    </xf>
    <xf numFmtId="0" fontId="37" fillId="277" borderId="48" xfId="0" applyFont="1" applyFill="1" applyBorder="1"/>
    <xf numFmtId="0" fontId="37" fillId="277" borderId="0" xfId="0" applyFont="1" applyFill="1" applyBorder="1" applyAlignment="1" applyProtection="1">
      <alignment vertical="center"/>
      <protection hidden="1"/>
    </xf>
    <xf numFmtId="0" fontId="37" fillId="277" borderId="38" xfId="0" applyFont="1" applyFill="1" applyBorder="1"/>
    <xf numFmtId="0" fontId="37" fillId="277" borderId="23" xfId="0" applyFont="1" applyFill="1" applyBorder="1"/>
    <xf numFmtId="0" fontId="37" fillId="277" borderId="23" xfId="0" applyFont="1" applyFill="1" applyBorder="1" applyAlignment="1" applyProtection="1">
      <alignment vertical="center"/>
      <protection hidden="1"/>
    </xf>
    <xf numFmtId="0" fontId="37" fillId="6" borderId="1" xfId="0" applyFont="1" applyFill="1" applyBorder="1" applyAlignment="1" applyProtection="1">
      <alignment horizontal="center" vertical="center"/>
      <protection hidden="1"/>
    </xf>
    <xf numFmtId="0" fontId="37" fillId="6" borderId="3" xfId="0" applyFont="1" applyFill="1" applyBorder="1" applyAlignment="1" applyProtection="1">
      <alignment horizontal="left" vertical="center"/>
      <protection hidden="1"/>
    </xf>
    <xf numFmtId="0" fontId="37" fillId="6" borderId="6" xfId="0" applyFont="1" applyFill="1" applyBorder="1" applyAlignment="1" applyProtection="1">
      <alignment horizontal="left" vertical="center"/>
      <protection hidden="1"/>
    </xf>
    <xf numFmtId="165" fontId="37" fillId="6" borderId="6" xfId="0" applyNumberFormat="1" applyFont="1" applyFill="1" applyBorder="1" applyAlignment="1" applyProtection="1">
      <alignment horizontal="center" vertical="center"/>
      <protection hidden="1"/>
    </xf>
    <xf numFmtId="165" fontId="37" fillId="6" borderId="6" xfId="0" applyNumberFormat="1" applyFont="1" applyFill="1" applyBorder="1" applyAlignment="1" applyProtection="1">
      <alignment horizontal="left" vertical="center"/>
      <protection hidden="1"/>
    </xf>
    <xf numFmtId="165" fontId="37" fillId="6" borderId="2" xfId="0" applyNumberFormat="1" applyFont="1" applyFill="1" applyBorder="1" applyAlignment="1" applyProtection="1">
      <alignment horizontal="left" vertical="center"/>
      <protection hidden="1"/>
    </xf>
    <xf numFmtId="165" fontId="37" fillId="5" borderId="0" xfId="0" applyNumberFormat="1" applyFont="1" applyFill="1" applyBorder="1" applyAlignment="1" applyProtection="1">
      <alignment horizontal="center" vertical="center"/>
      <protection hidden="1"/>
    </xf>
    <xf numFmtId="0" fontId="37" fillId="291" borderId="0" xfId="0" applyFont="1" applyFill="1" applyBorder="1" applyAlignment="1" applyProtection="1">
      <alignment vertical="center"/>
      <protection hidden="1"/>
    </xf>
    <xf numFmtId="165" fontId="37" fillId="96" borderId="3" xfId="0" applyNumberFormat="1" applyFont="1" applyFill="1" applyBorder="1" applyAlignment="1" applyProtection="1">
      <alignment horizontal="left" vertical="center"/>
      <protection hidden="1"/>
    </xf>
    <xf numFmtId="165" fontId="37" fillId="96" borderId="6" xfId="0" applyNumberFormat="1" applyFont="1" applyFill="1" applyBorder="1" applyAlignment="1" applyProtection="1">
      <alignment horizontal="center" vertical="center"/>
      <protection hidden="1"/>
    </xf>
    <xf numFmtId="0" fontId="37" fillId="96" borderId="2" xfId="0" applyFont="1" applyFill="1" applyBorder="1" applyAlignment="1" applyProtection="1">
      <alignment horizontal="center" vertical="center"/>
      <protection hidden="1"/>
    </xf>
    <xf numFmtId="0" fontId="5" fillId="170" borderId="0" xfId="0" applyFont="1" applyFill="1" applyAlignment="1" applyProtection="1">
      <alignment vertical="center"/>
      <protection hidden="1"/>
    </xf>
    <xf numFmtId="165" fontId="37" fillId="96" borderId="80" xfId="0" applyNumberFormat="1" applyFont="1" applyFill="1" applyBorder="1" applyAlignment="1" applyProtection="1">
      <alignment horizontal="left" vertical="center"/>
      <protection hidden="1"/>
    </xf>
    <xf numFmtId="0" fontId="37" fillId="96" borderId="82" xfId="0" applyFont="1" applyFill="1" applyBorder="1" applyAlignment="1" applyProtection="1">
      <alignment horizontal="center" vertical="center"/>
      <protection hidden="1"/>
    </xf>
    <xf numFmtId="165" fontId="37" fillId="96" borderId="81" xfId="0" applyNumberFormat="1" applyFont="1" applyFill="1" applyBorder="1" applyAlignment="1" applyProtection="1">
      <alignment horizontal="center" vertical="center"/>
      <protection hidden="1"/>
    </xf>
    <xf numFmtId="0" fontId="111" fillId="5" borderId="0" xfId="0" applyFont="1" applyFill="1" applyAlignment="1" applyProtection="1">
      <alignment vertical="center"/>
      <protection hidden="1"/>
    </xf>
    <xf numFmtId="0" fontId="37" fillId="170" borderId="0" xfId="0" applyFont="1" applyFill="1" applyAlignment="1" applyProtection="1">
      <alignment vertical="center"/>
      <protection hidden="1"/>
    </xf>
    <xf numFmtId="0" fontId="37" fillId="170" borderId="0" xfId="0" applyFont="1" applyFill="1" applyAlignment="1" applyProtection="1">
      <alignment horizontal="left" vertical="center"/>
      <protection hidden="1"/>
    </xf>
    <xf numFmtId="0" fontId="5" fillId="170" borderId="0" xfId="0" applyFont="1" applyFill="1" applyProtection="1">
      <protection hidden="1"/>
    </xf>
    <xf numFmtId="0" fontId="14" fillId="170" borderId="0" xfId="0" applyFont="1" applyFill="1" applyAlignment="1" applyProtection="1">
      <alignment horizontal="left" vertical="center"/>
      <protection hidden="1"/>
    </xf>
    <xf numFmtId="0" fontId="37" fillId="228" borderId="3" xfId="0" applyFont="1" applyFill="1" applyBorder="1" applyAlignment="1" applyProtection="1">
      <alignment vertical="center"/>
      <protection hidden="1"/>
    </xf>
    <xf numFmtId="0" fontId="37" fillId="228" borderId="6" xfId="0" applyFont="1" applyFill="1" applyBorder="1" applyAlignment="1" applyProtection="1">
      <alignment vertical="center"/>
      <protection hidden="1"/>
    </xf>
    <xf numFmtId="0" fontId="37" fillId="228" borderId="2" xfId="0" applyFont="1" applyFill="1" applyBorder="1" applyAlignment="1" applyProtection="1">
      <alignment vertical="center"/>
      <protection hidden="1"/>
    </xf>
    <xf numFmtId="0" fontId="37" fillId="232" borderId="80" xfId="0" applyFont="1" applyFill="1" applyBorder="1" applyAlignment="1" applyProtection="1">
      <alignment vertical="center"/>
      <protection hidden="1"/>
    </xf>
    <xf numFmtId="0" fontId="14" fillId="232" borderId="81" xfId="0" applyFont="1" applyFill="1" applyBorder="1" applyAlignment="1" applyProtection="1">
      <alignment vertical="center"/>
      <protection hidden="1"/>
    </xf>
    <xf numFmtId="0" fontId="37" fillId="232" borderId="82" xfId="0" applyFont="1" applyFill="1" applyBorder="1" applyAlignment="1" applyProtection="1">
      <alignment vertical="center"/>
      <protection hidden="1"/>
    </xf>
    <xf numFmtId="0" fontId="37" fillId="225" borderId="3" xfId="0" applyFont="1" applyFill="1" applyBorder="1" applyAlignment="1" applyProtection="1">
      <alignment vertical="center"/>
      <protection hidden="1"/>
    </xf>
    <xf numFmtId="0" fontId="37" fillId="225" borderId="6" xfId="0" applyFont="1" applyFill="1" applyBorder="1" applyAlignment="1" applyProtection="1">
      <alignment vertical="center"/>
      <protection hidden="1"/>
    </xf>
    <xf numFmtId="0" fontId="37" fillId="225" borderId="2" xfId="0" applyFont="1" applyFill="1" applyBorder="1" applyAlignment="1" applyProtection="1">
      <alignment vertical="center"/>
      <protection hidden="1"/>
    </xf>
    <xf numFmtId="0" fontId="37" fillId="225" borderId="80" xfId="0" applyFont="1" applyFill="1" applyBorder="1" applyAlignment="1" applyProtection="1">
      <alignment vertical="center"/>
      <protection hidden="1"/>
    </xf>
    <xf numFmtId="0" fontId="14" fillId="225" borderId="81" xfId="0" applyFont="1" applyFill="1" applyBorder="1" applyAlignment="1" applyProtection="1">
      <alignment vertical="center"/>
      <protection hidden="1"/>
    </xf>
    <xf numFmtId="0" fontId="37" fillId="225" borderId="82" xfId="0" applyFont="1" applyFill="1" applyBorder="1" applyAlignment="1" applyProtection="1">
      <alignment vertical="center"/>
      <protection hidden="1"/>
    </xf>
    <xf numFmtId="0" fontId="37" fillId="223" borderId="3" xfId="0" applyFont="1" applyFill="1" applyBorder="1" applyAlignment="1" applyProtection="1">
      <alignment vertical="center"/>
      <protection hidden="1"/>
    </xf>
    <xf numFmtId="0" fontId="37" fillId="223" borderId="6" xfId="0" applyFont="1" applyFill="1" applyBorder="1" applyAlignment="1" applyProtection="1">
      <alignment vertical="center"/>
      <protection hidden="1"/>
    </xf>
    <xf numFmtId="0" fontId="37" fillId="223" borderId="2" xfId="0" applyFont="1" applyFill="1" applyBorder="1" applyAlignment="1" applyProtection="1">
      <alignment vertical="center"/>
      <protection hidden="1"/>
    </xf>
    <xf numFmtId="0" fontId="37" fillId="244" borderId="80" xfId="0" applyFont="1" applyFill="1" applyBorder="1" applyAlignment="1" applyProtection="1">
      <alignment vertical="center"/>
      <protection hidden="1"/>
    </xf>
    <xf numFmtId="0" fontId="14" fillId="244" borderId="81" xfId="0" applyFont="1" applyFill="1" applyBorder="1" applyAlignment="1" applyProtection="1">
      <alignment vertical="center"/>
      <protection hidden="1"/>
    </xf>
    <xf numFmtId="0" fontId="37" fillId="244" borderId="82" xfId="0" applyFont="1" applyFill="1" applyBorder="1" applyAlignment="1" applyProtection="1">
      <alignment vertical="center"/>
      <protection hidden="1"/>
    </xf>
    <xf numFmtId="0" fontId="37" fillId="192" borderId="3" xfId="0" applyFont="1" applyFill="1" applyBorder="1" applyAlignment="1" applyProtection="1">
      <alignment vertical="center"/>
      <protection hidden="1"/>
    </xf>
    <xf numFmtId="0" fontId="37" fillId="192" borderId="6" xfId="0" applyFont="1" applyFill="1" applyBorder="1" applyAlignment="1" applyProtection="1">
      <alignment vertical="center"/>
      <protection hidden="1"/>
    </xf>
    <xf numFmtId="0" fontId="37" fillId="192" borderId="2" xfId="0" applyFont="1" applyFill="1" applyBorder="1" applyAlignment="1" applyProtection="1">
      <alignment vertical="center"/>
      <protection hidden="1"/>
    </xf>
    <xf numFmtId="0" fontId="37" fillId="199" borderId="80" xfId="0" applyFont="1" applyFill="1" applyBorder="1" applyAlignment="1" applyProtection="1">
      <alignment vertical="center"/>
      <protection hidden="1"/>
    </xf>
    <xf numFmtId="0" fontId="14" fillId="199" borderId="81" xfId="0" applyFont="1" applyFill="1" applyBorder="1" applyAlignment="1" applyProtection="1">
      <alignment vertical="center"/>
      <protection hidden="1"/>
    </xf>
    <xf numFmtId="0" fontId="37" fillId="199" borderId="82" xfId="0" applyFont="1" applyFill="1" applyBorder="1" applyAlignment="1" applyProtection="1">
      <alignment vertical="center"/>
      <protection hidden="1"/>
    </xf>
    <xf numFmtId="0" fontId="37" fillId="193" borderId="3" xfId="0" applyFont="1" applyFill="1" applyBorder="1" applyAlignment="1" applyProtection="1">
      <alignment vertical="center"/>
      <protection hidden="1"/>
    </xf>
    <xf numFmtId="0" fontId="37" fillId="193" borderId="6" xfId="0" applyFont="1" applyFill="1" applyBorder="1" applyAlignment="1" applyProtection="1">
      <alignment vertical="center"/>
      <protection hidden="1"/>
    </xf>
    <xf numFmtId="0" fontId="37" fillId="193" borderId="2" xfId="0" applyFont="1" applyFill="1" applyBorder="1" applyAlignment="1" applyProtection="1">
      <alignment vertical="center"/>
      <protection hidden="1"/>
    </xf>
    <xf numFmtId="0" fontId="37" fillId="201" borderId="80" xfId="0" applyFont="1" applyFill="1" applyBorder="1" applyAlignment="1" applyProtection="1">
      <alignment vertical="center"/>
      <protection hidden="1"/>
    </xf>
    <xf numFmtId="0" fontId="14" fillId="201" borderId="81" xfId="0" applyFont="1" applyFill="1" applyBorder="1" applyAlignment="1" applyProtection="1">
      <alignment vertical="center"/>
      <protection hidden="1"/>
    </xf>
    <xf numFmtId="0" fontId="37" fillId="201" borderId="82" xfId="0" applyFont="1" applyFill="1" applyBorder="1" applyAlignment="1" applyProtection="1">
      <alignment vertical="center"/>
      <protection hidden="1"/>
    </xf>
    <xf numFmtId="0" fontId="37" fillId="191" borderId="3" xfId="0" applyFont="1" applyFill="1" applyBorder="1" applyAlignment="1" applyProtection="1">
      <alignment vertical="center"/>
      <protection hidden="1"/>
    </xf>
    <xf numFmtId="0" fontId="37" fillId="191" borderId="6" xfId="0" applyFont="1" applyFill="1" applyBorder="1" applyAlignment="1" applyProtection="1">
      <alignment vertical="center"/>
      <protection hidden="1"/>
    </xf>
    <xf numFmtId="0" fontId="37" fillId="191" borderId="2" xfId="0" applyFont="1" applyFill="1" applyBorder="1" applyAlignment="1" applyProtection="1">
      <alignment vertical="center"/>
      <protection hidden="1"/>
    </xf>
    <xf numFmtId="0" fontId="37" fillId="247" borderId="80" xfId="0" applyFont="1" applyFill="1" applyBorder="1" applyAlignment="1" applyProtection="1">
      <alignment vertical="center"/>
      <protection hidden="1"/>
    </xf>
    <xf numFmtId="0" fontId="14" fillId="247" borderId="81" xfId="0" applyFont="1" applyFill="1" applyBorder="1" applyAlignment="1" applyProtection="1">
      <alignment vertical="center"/>
      <protection hidden="1"/>
    </xf>
    <xf numFmtId="0" fontId="37" fillId="247" borderId="82" xfId="0" applyFont="1" applyFill="1" applyBorder="1" applyAlignment="1" applyProtection="1">
      <alignment vertical="center"/>
      <protection hidden="1"/>
    </xf>
    <xf numFmtId="0" fontId="37" fillId="194" borderId="3" xfId="0" applyFont="1" applyFill="1" applyBorder="1" applyAlignment="1" applyProtection="1">
      <alignment vertical="center"/>
      <protection hidden="1"/>
    </xf>
    <xf numFmtId="0" fontId="37" fillId="194" borderId="6" xfId="0" applyFont="1" applyFill="1" applyBorder="1" applyAlignment="1" applyProtection="1">
      <alignment vertical="center"/>
      <protection hidden="1"/>
    </xf>
    <xf numFmtId="0" fontId="37" fillId="194" borderId="2" xfId="0" applyFont="1" applyFill="1" applyBorder="1" applyAlignment="1" applyProtection="1">
      <alignment vertical="center"/>
      <protection hidden="1"/>
    </xf>
    <xf numFmtId="0" fontId="37" fillId="249" borderId="80" xfId="0" applyFont="1" applyFill="1" applyBorder="1" applyAlignment="1" applyProtection="1">
      <alignment vertical="center"/>
      <protection hidden="1"/>
    </xf>
    <xf numFmtId="0" fontId="14" fillId="249" borderId="81" xfId="0" applyFont="1" applyFill="1" applyBorder="1" applyAlignment="1" applyProtection="1">
      <alignment vertical="center"/>
      <protection hidden="1"/>
    </xf>
    <xf numFmtId="0" fontId="37" fillId="249" borderId="82" xfId="0" applyFont="1" applyFill="1" applyBorder="1" applyAlignment="1" applyProtection="1">
      <alignment vertical="center"/>
      <protection hidden="1"/>
    </xf>
    <xf numFmtId="0" fontId="37" fillId="200" borderId="3" xfId="0" applyFont="1" applyFill="1" applyBorder="1" applyAlignment="1" applyProtection="1">
      <alignment vertical="center"/>
      <protection hidden="1"/>
    </xf>
    <xf numFmtId="0" fontId="37" fillId="200" borderId="6" xfId="0" applyFont="1" applyFill="1" applyBorder="1" applyAlignment="1" applyProtection="1">
      <alignment vertical="center"/>
      <protection hidden="1"/>
    </xf>
    <xf numFmtId="0" fontId="37" fillId="200" borderId="2" xfId="0" applyFont="1" applyFill="1" applyBorder="1" applyAlignment="1" applyProtection="1">
      <alignment vertical="center"/>
      <protection hidden="1"/>
    </xf>
    <xf numFmtId="0" fontId="37" fillId="251" borderId="80" xfId="0" applyFont="1" applyFill="1" applyBorder="1" applyAlignment="1" applyProtection="1">
      <alignment vertical="center"/>
      <protection hidden="1"/>
    </xf>
    <xf numFmtId="0" fontId="14" fillId="251" borderId="81" xfId="0" applyFont="1" applyFill="1" applyBorder="1" applyAlignment="1" applyProtection="1">
      <alignment vertical="center"/>
      <protection hidden="1"/>
    </xf>
    <xf numFmtId="0" fontId="37" fillId="251" borderId="82" xfId="0" applyFont="1" applyFill="1" applyBorder="1" applyAlignment="1" applyProtection="1">
      <alignment vertical="center"/>
      <protection hidden="1"/>
    </xf>
    <xf numFmtId="1" fontId="37" fillId="170" borderId="0" xfId="0" applyNumberFormat="1" applyFont="1" applyFill="1" applyAlignment="1" applyProtection="1">
      <alignment horizontal="center" vertical="center"/>
      <protection hidden="1"/>
    </xf>
    <xf numFmtId="0" fontId="37" fillId="170" borderId="0" xfId="0" applyFont="1" applyFill="1" applyAlignment="1" applyProtection="1">
      <alignment horizontal="center" vertical="center"/>
      <protection hidden="1"/>
    </xf>
    <xf numFmtId="1" fontId="14" fillId="170" borderId="0" xfId="0" applyNumberFormat="1" applyFont="1" applyFill="1" applyAlignment="1" applyProtection="1">
      <alignment horizontal="center" vertical="center"/>
      <protection hidden="1"/>
    </xf>
    <xf numFmtId="0" fontId="37" fillId="232" borderId="35" xfId="0" applyFont="1" applyFill="1" applyBorder="1" applyAlignment="1" applyProtection="1">
      <alignment horizontal="left" vertical="center"/>
      <protection hidden="1"/>
    </xf>
    <xf numFmtId="1" fontId="37" fillId="232" borderId="36" xfId="0" applyNumberFormat="1" applyFont="1" applyFill="1" applyBorder="1" applyAlignment="1" applyProtection="1">
      <alignment horizontal="center" vertical="center"/>
      <protection hidden="1"/>
    </xf>
    <xf numFmtId="0" fontId="37" fillId="232" borderId="37" xfId="0" applyFont="1" applyFill="1" applyBorder="1" applyAlignment="1" applyProtection="1">
      <alignment horizontal="center" vertical="center"/>
      <protection hidden="1"/>
    </xf>
    <xf numFmtId="0" fontId="37" fillId="241" borderId="72" xfId="0" applyFont="1" applyFill="1" applyBorder="1" applyAlignment="1" applyProtection="1">
      <alignment horizontal="left" vertical="center"/>
      <protection hidden="1"/>
    </xf>
    <xf numFmtId="1" fontId="14" fillId="241" borderId="73" xfId="0" applyNumberFormat="1" applyFont="1" applyFill="1" applyBorder="1" applyAlignment="1" applyProtection="1">
      <alignment horizontal="center" vertical="center"/>
      <protection hidden="1"/>
    </xf>
    <xf numFmtId="0" fontId="37" fillId="241" borderId="74" xfId="0" applyFont="1" applyFill="1" applyBorder="1" applyAlignment="1" applyProtection="1">
      <alignment horizontal="center" vertical="center"/>
      <protection hidden="1"/>
    </xf>
    <xf numFmtId="0" fontId="37" fillId="242" borderId="35" xfId="0" applyFont="1" applyFill="1" applyBorder="1" applyAlignment="1" applyProtection="1">
      <alignment horizontal="left" vertical="center"/>
      <protection hidden="1"/>
    </xf>
    <xf numFmtId="1" fontId="37" fillId="242" borderId="36" xfId="0" applyNumberFormat="1" applyFont="1" applyFill="1" applyBorder="1" applyAlignment="1" applyProtection="1">
      <alignment horizontal="center" vertical="center"/>
      <protection hidden="1"/>
    </xf>
    <xf numFmtId="0" fontId="37" fillId="242" borderId="37" xfId="0" applyFont="1" applyFill="1" applyBorder="1" applyAlignment="1" applyProtection="1">
      <alignment horizontal="center" vertical="center"/>
      <protection hidden="1"/>
    </xf>
    <xf numFmtId="0" fontId="37" fillId="243" borderId="72" xfId="0" applyFont="1" applyFill="1" applyBorder="1" applyAlignment="1" applyProtection="1">
      <alignment horizontal="left" vertical="center"/>
      <protection hidden="1"/>
    </xf>
    <xf numFmtId="1" fontId="14" fillId="243" borderId="73" xfId="0" applyNumberFormat="1" applyFont="1" applyFill="1" applyBorder="1" applyAlignment="1" applyProtection="1">
      <alignment horizontal="center" vertical="center"/>
      <protection hidden="1"/>
    </xf>
    <xf numFmtId="0" fontId="37" fillId="243" borderId="74" xfId="0" applyFont="1" applyFill="1" applyBorder="1" applyAlignment="1" applyProtection="1">
      <alignment horizontal="center" vertical="center"/>
      <protection hidden="1"/>
    </xf>
    <xf numFmtId="0" fontId="37" fillId="244" borderId="35" xfId="0" applyFont="1" applyFill="1" applyBorder="1" applyAlignment="1" applyProtection="1">
      <alignment horizontal="left" vertical="center"/>
      <protection hidden="1"/>
    </xf>
    <xf numFmtId="1" fontId="37" fillId="244" borderId="36" xfId="0" applyNumberFormat="1" applyFont="1" applyFill="1" applyBorder="1" applyAlignment="1" applyProtection="1">
      <alignment horizontal="center" vertical="center"/>
      <protection hidden="1"/>
    </xf>
    <xf numFmtId="0" fontId="37" fillId="244" borderId="37" xfId="0" applyFont="1" applyFill="1" applyBorder="1" applyAlignment="1" applyProtection="1">
      <alignment horizontal="center" vertical="center"/>
      <protection hidden="1"/>
    </xf>
    <xf numFmtId="0" fontId="37" fillId="245" borderId="72" xfId="0" applyFont="1" applyFill="1" applyBorder="1" applyAlignment="1" applyProtection="1">
      <alignment horizontal="left" vertical="center"/>
      <protection hidden="1"/>
    </xf>
    <xf numFmtId="1" fontId="14" fillId="245" borderId="73" xfId="0" applyNumberFormat="1" applyFont="1" applyFill="1" applyBorder="1" applyAlignment="1" applyProtection="1">
      <alignment horizontal="center" vertical="center"/>
      <protection hidden="1"/>
    </xf>
    <xf numFmtId="0" fontId="37" fillId="245" borderId="74" xfId="0" applyFont="1" applyFill="1" applyBorder="1" applyAlignment="1" applyProtection="1">
      <alignment horizontal="center" vertical="center"/>
      <protection hidden="1"/>
    </xf>
    <xf numFmtId="0" fontId="37" fillId="197" borderId="35" xfId="0" applyFont="1" applyFill="1" applyBorder="1" applyAlignment="1" applyProtection="1">
      <alignment horizontal="left" vertical="center"/>
      <protection hidden="1"/>
    </xf>
    <xf numFmtId="1" fontId="37" fillId="197" borderId="36" xfId="0" applyNumberFormat="1" applyFont="1" applyFill="1" applyBorder="1" applyAlignment="1" applyProtection="1">
      <alignment horizontal="center" vertical="center"/>
      <protection hidden="1"/>
    </xf>
    <xf numFmtId="0" fontId="37" fillId="197" borderId="37" xfId="0" applyFont="1" applyFill="1" applyBorder="1" applyAlignment="1" applyProtection="1">
      <alignment horizontal="center" vertical="center"/>
      <protection hidden="1"/>
    </xf>
    <xf numFmtId="0" fontId="37" fillId="198" borderId="72" xfId="0" applyFont="1" applyFill="1" applyBorder="1" applyAlignment="1" applyProtection="1">
      <alignment horizontal="left" vertical="center"/>
      <protection hidden="1"/>
    </xf>
    <xf numFmtId="1" fontId="14" fillId="198" borderId="73" xfId="0" applyNumberFormat="1" applyFont="1" applyFill="1" applyBorder="1" applyAlignment="1" applyProtection="1">
      <alignment horizontal="center" vertical="center"/>
      <protection hidden="1"/>
    </xf>
    <xf numFmtId="0" fontId="37" fillId="198" borderId="74" xfId="0" applyFont="1" applyFill="1" applyBorder="1" applyAlignment="1" applyProtection="1">
      <alignment horizontal="center" vertical="center"/>
      <protection hidden="1"/>
    </xf>
    <xf numFmtId="0" fontId="37" fillId="201" borderId="35" xfId="0" applyFont="1" applyFill="1" applyBorder="1" applyAlignment="1" applyProtection="1">
      <alignment horizontal="left" vertical="center"/>
      <protection hidden="1"/>
    </xf>
    <xf numFmtId="1" fontId="37" fillId="201" borderId="36" xfId="0" applyNumberFormat="1" applyFont="1" applyFill="1" applyBorder="1" applyAlignment="1" applyProtection="1">
      <alignment horizontal="center" vertical="center"/>
      <protection hidden="1"/>
    </xf>
    <xf numFmtId="0" fontId="37" fillId="201" borderId="37" xfId="0" applyFont="1" applyFill="1" applyBorder="1" applyAlignment="1" applyProtection="1">
      <alignment horizontal="center" vertical="center"/>
      <protection hidden="1"/>
    </xf>
    <xf numFmtId="0" fontId="37" fillId="202" borderId="72" xfId="0" applyFont="1" applyFill="1" applyBorder="1" applyAlignment="1" applyProtection="1">
      <alignment horizontal="left" vertical="center"/>
      <protection hidden="1"/>
    </xf>
    <xf numFmtId="1" fontId="14" fillId="202" borderId="73" xfId="0" applyNumberFormat="1" applyFont="1" applyFill="1" applyBorder="1" applyAlignment="1" applyProtection="1">
      <alignment horizontal="center" vertical="center"/>
      <protection hidden="1"/>
    </xf>
    <xf numFmtId="0" fontId="37" fillId="202" borderId="74" xfId="0" applyFont="1" applyFill="1" applyBorder="1" applyAlignment="1" applyProtection="1">
      <alignment horizontal="center" vertical="center"/>
      <protection hidden="1"/>
    </xf>
    <xf numFmtId="0" fontId="37" fillId="247" borderId="35" xfId="0" applyFont="1" applyFill="1" applyBorder="1" applyAlignment="1" applyProtection="1">
      <alignment horizontal="left" vertical="center"/>
      <protection hidden="1"/>
    </xf>
    <xf numFmtId="1" fontId="37" fillId="247" borderId="36" xfId="0" applyNumberFormat="1" applyFont="1" applyFill="1" applyBorder="1" applyAlignment="1" applyProtection="1">
      <alignment horizontal="center" vertical="center"/>
      <protection hidden="1"/>
    </xf>
    <xf numFmtId="0" fontId="37" fillId="247" borderId="37" xfId="0" applyFont="1" applyFill="1" applyBorder="1" applyAlignment="1" applyProtection="1">
      <alignment horizontal="center" vertical="center"/>
      <protection hidden="1"/>
    </xf>
    <xf numFmtId="0" fontId="37" fillId="248" borderId="72" xfId="0" applyFont="1" applyFill="1" applyBorder="1" applyAlignment="1" applyProtection="1">
      <alignment horizontal="left" vertical="center"/>
      <protection hidden="1"/>
    </xf>
    <xf numFmtId="1" fontId="14" fillId="248" borderId="73" xfId="0" applyNumberFormat="1" applyFont="1" applyFill="1" applyBorder="1" applyAlignment="1" applyProtection="1">
      <alignment horizontal="center" vertical="center"/>
      <protection hidden="1"/>
    </xf>
    <xf numFmtId="0" fontId="37" fillId="248" borderId="74" xfId="0" applyFont="1" applyFill="1" applyBorder="1" applyAlignment="1" applyProtection="1">
      <alignment horizontal="center" vertical="center"/>
      <protection hidden="1"/>
    </xf>
    <xf numFmtId="0" fontId="37" fillId="249" borderId="35" xfId="0" applyFont="1" applyFill="1" applyBorder="1" applyAlignment="1" applyProtection="1">
      <alignment horizontal="left" vertical="center"/>
      <protection hidden="1"/>
    </xf>
    <xf numFmtId="1" fontId="37" fillId="249" borderId="36" xfId="0" applyNumberFormat="1" applyFont="1" applyFill="1" applyBorder="1" applyAlignment="1" applyProtection="1">
      <alignment horizontal="center" vertical="center"/>
      <protection hidden="1"/>
    </xf>
    <xf numFmtId="0" fontId="37" fillId="249" borderId="37" xfId="0" applyFont="1" applyFill="1" applyBorder="1" applyAlignment="1" applyProtection="1">
      <alignment horizontal="center" vertical="center"/>
      <protection hidden="1"/>
    </xf>
    <xf numFmtId="0" fontId="37" fillId="250" borderId="72" xfId="0" applyFont="1" applyFill="1" applyBorder="1" applyAlignment="1" applyProtection="1">
      <alignment horizontal="left" vertical="center"/>
      <protection hidden="1"/>
    </xf>
    <xf numFmtId="1" fontId="14" fillId="250" borderId="73" xfId="0" applyNumberFormat="1" applyFont="1" applyFill="1" applyBorder="1" applyAlignment="1" applyProtection="1">
      <alignment horizontal="center" vertical="center"/>
      <protection hidden="1"/>
    </xf>
    <xf numFmtId="0" fontId="37" fillId="250" borderId="74" xfId="0" applyFont="1" applyFill="1" applyBorder="1" applyAlignment="1" applyProtection="1">
      <alignment horizontal="center" vertical="center"/>
      <protection hidden="1"/>
    </xf>
    <xf numFmtId="0" fontId="37" fillId="251" borderId="35" xfId="0" applyFont="1" applyFill="1" applyBorder="1" applyAlignment="1" applyProtection="1">
      <alignment horizontal="left" vertical="center"/>
      <protection hidden="1"/>
    </xf>
    <xf numFmtId="1" fontId="37" fillId="251" borderId="36" xfId="0" applyNumberFormat="1" applyFont="1" applyFill="1" applyBorder="1" applyAlignment="1" applyProtection="1">
      <alignment horizontal="center" vertical="center"/>
      <protection hidden="1"/>
    </xf>
    <xf numFmtId="0" fontId="37" fillId="251" borderId="37" xfId="0" applyFont="1" applyFill="1" applyBorder="1" applyAlignment="1" applyProtection="1">
      <alignment horizontal="center" vertical="center"/>
      <protection hidden="1"/>
    </xf>
    <xf numFmtId="0" fontId="37" fillId="252" borderId="72" xfId="0" applyFont="1" applyFill="1" applyBorder="1" applyAlignment="1" applyProtection="1">
      <alignment horizontal="left" vertical="center"/>
      <protection hidden="1"/>
    </xf>
    <xf numFmtId="1" fontId="14" fillId="252" borderId="73" xfId="0" applyNumberFormat="1" applyFont="1" applyFill="1" applyBorder="1" applyAlignment="1" applyProtection="1">
      <alignment horizontal="center" vertical="center"/>
      <protection hidden="1"/>
    </xf>
    <xf numFmtId="0" fontId="37" fillId="252" borderId="74" xfId="0" applyFont="1" applyFill="1" applyBorder="1" applyAlignment="1" applyProtection="1">
      <alignment horizontal="center" vertical="center"/>
      <protection hidden="1"/>
    </xf>
    <xf numFmtId="0" fontId="37" fillId="232" borderId="47" xfId="0" applyFont="1" applyFill="1" applyBorder="1" applyAlignment="1" applyProtection="1">
      <alignment horizontal="left" vertical="center"/>
      <protection hidden="1"/>
    </xf>
    <xf numFmtId="4" fontId="37" fillId="232" borderId="48" xfId="0" applyNumberFormat="1" applyFont="1" applyFill="1" applyBorder="1" applyAlignment="1" applyProtection="1">
      <alignment horizontal="center" vertical="center"/>
      <protection hidden="1"/>
    </xf>
    <xf numFmtId="4" fontId="5" fillId="170" borderId="0" xfId="0" applyNumberFormat="1" applyFont="1" applyFill="1" applyProtection="1">
      <protection hidden="1"/>
    </xf>
    <xf numFmtId="4" fontId="37" fillId="241" borderId="75" xfId="0" applyNumberFormat="1" applyFont="1" applyFill="1" applyBorder="1" applyAlignment="1" applyProtection="1">
      <alignment horizontal="left" vertical="center"/>
      <protection hidden="1"/>
    </xf>
    <xf numFmtId="4" fontId="37" fillId="241" borderId="76" xfId="0" applyNumberFormat="1" applyFont="1" applyFill="1" applyBorder="1" applyAlignment="1" applyProtection="1">
      <alignment horizontal="center" vertical="center"/>
      <protection hidden="1"/>
    </xf>
    <xf numFmtId="4" fontId="5" fillId="170" borderId="0" xfId="0" applyNumberFormat="1" applyFont="1" applyFill="1" applyAlignment="1" applyProtection="1">
      <alignment vertical="center"/>
      <protection hidden="1"/>
    </xf>
    <xf numFmtId="4" fontId="37" fillId="242" borderId="47" xfId="0" applyNumberFormat="1" applyFont="1" applyFill="1" applyBorder="1" applyAlignment="1" applyProtection="1">
      <alignment horizontal="left" vertical="center"/>
      <protection hidden="1"/>
    </xf>
    <xf numFmtId="4" fontId="37" fillId="170" borderId="1" xfId="3" applyNumberFormat="1" applyFont="1" applyFill="1" applyBorder="1" applyProtection="1">
      <alignment horizontal="center" vertical="center"/>
      <protection locked="0"/>
    </xf>
    <xf numFmtId="4" fontId="37" fillId="242" borderId="48" xfId="0" applyNumberFormat="1" applyFont="1" applyFill="1" applyBorder="1" applyAlignment="1" applyProtection="1">
      <alignment horizontal="center" vertical="center"/>
      <protection hidden="1"/>
    </xf>
    <xf numFmtId="4" fontId="37" fillId="243" borderId="75" xfId="0" applyNumberFormat="1" applyFont="1" applyFill="1" applyBorder="1" applyAlignment="1" applyProtection="1">
      <alignment horizontal="left" vertical="center"/>
      <protection hidden="1"/>
    </xf>
    <xf numFmtId="4" fontId="14" fillId="189" borderId="43" xfId="9" applyNumberFormat="1" applyFont="1" applyFill="1" applyBorder="1">
      <alignment horizontal="center" vertical="center"/>
    </xf>
    <xf numFmtId="4" fontId="37" fillId="243" borderId="76" xfId="0" applyNumberFormat="1" applyFont="1" applyFill="1" applyBorder="1" applyAlignment="1" applyProtection="1">
      <alignment horizontal="center" vertical="center"/>
      <protection hidden="1"/>
    </xf>
    <xf numFmtId="4" fontId="5" fillId="5" borderId="0" xfId="0" applyNumberFormat="1" applyFont="1" applyFill="1"/>
    <xf numFmtId="4" fontId="37" fillId="244" borderId="47" xfId="0" applyNumberFormat="1" applyFont="1" applyFill="1" applyBorder="1" applyAlignment="1" applyProtection="1">
      <alignment horizontal="left" vertical="center"/>
      <protection hidden="1"/>
    </xf>
    <xf numFmtId="4" fontId="37" fillId="244" borderId="48" xfId="0" applyNumberFormat="1" applyFont="1" applyFill="1" applyBorder="1" applyAlignment="1" applyProtection="1">
      <alignment horizontal="center" vertical="center"/>
      <protection hidden="1"/>
    </xf>
    <xf numFmtId="4" fontId="37" fillId="245" borderId="75" xfId="0" applyNumberFormat="1" applyFont="1" applyFill="1" applyBorder="1" applyAlignment="1" applyProtection="1">
      <alignment horizontal="left" vertical="center"/>
      <protection hidden="1"/>
    </xf>
    <xf numFmtId="4" fontId="37" fillId="245" borderId="76" xfId="0" applyNumberFormat="1" applyFont="1" applyFill="1" applyBorder="1" applyAlignment="1" applyProtection="1">
      <alignment horizontal="center" vertical="center"/>
      <protection hidden="1"/>
    </xf>
    <xf numFmtId="4" fontId="37" fillId="197" borderId="47" xfId="0" applyNumberFormat="1" applyFont="1" applyFill="1" applyBorder="1" applyAlignment="1" applyProtection="1">
      <alignment horizontal="left" vertical="center"/>
      <protection hidden="1"/>
    </xf>
    <xf numFmtId="4" fontId="37" fillId="197" borderId="48" xfId="0" applyNumberFormat="1" applyFont="1" applyFill="1" applyBorder="1" applyAlignment="1" applyProtection="1">
      <alignment horizontal="center" vertical="center"/>
      <protection hidden="1"/>
    </xf>
    <xf numFmtId="4" fontId="37" fillId="198" borderId="75" xfId="0" applyNumberFormat="1" applyFont="1" applyFill="1" applyBorder="1" applyAlignment="1" applyProtection="1">
      <alignment horizontal="left" vertical="center"/>
      <protection hidden="1"/>
    </xf>
    <xf numFmtId="4" fontId="37" fillId="198" borderId="76" xfId="0" applyNumberFormat="1" applyFont="1" applyFill="1" applyBorder="1" applyAlignment="1" applyProtection="1">
      <alignment horizontal="center" vertical="center"/>
      <protection hidden="1"/>
    </xf>
    <xf numFmtId="4" fontId="5" fillId="5" borderId="0" xfId="0" applyNumberFormat="1" applyFont="1" applyFill="1" applyAlignment="1" applyProtection="1">
      <alignment vertical="center"/>
      <protection hidden="1"/>
    </xf>
    <xf numFmtId="4" fontId="37" fillId="201" borderId="47" xfId="0" applyNumberFormat="1" applyFont="1" applyFill="1" applyBorder="1" applyAlignment="1" applyProtection="1">
      <alignment horizontal="left" vertical="center"/>
      <protection hidden="1"/>
    </xf>
    <xf numFmtId="4" fontId="37" fillId="201" borderId="48" xfId="0" applyNumberFormat="1" applyFont="1" applyFill="1" applyBorder="1" applyAlignment="1" applyProtection="1">
      <alignment horizontal="center" vertical="center"/>
      <protection hidden="1"/>
    </xf>
    <xf numFmtId="4" fontId="37" fillId="202" borderId="75" xfId="0" applyNumberFormat="1" applyFont="1" applyFill="1" applyBorder="1" applyAlignment="1" applyProtection="1">
      <alignment horizontal="left" vertical="center"/>
      <protection hidden="1"/>
    </xf>
    <xf numFmtId="4" fontId="37" fillId="202" borderId="76" xfId="0" applyNumberFormat="1" applyFont="1" applyFill="1" applyBorder="1" applyAlignment="1" applyProtection="1">
      <alignment horizontal="center" vertical="center"/>
      <protection hidden="1"/>
    </xf>
    <xf numFmtId="4" fontId="37" fillId="247" borderId="47" xfId="0" applyNumberFormat="1" applyFont="1" applyFill="1" applyBorder="1" applyAlignment="1" applyProtection="1">
      <alignment horizontal="left" vertical="center"/>
      <protection hidden="1"/>
    </xf>
    <xf numFmtId="4" fontId="37" fillId="247" borderId="48" xfId="0" applyNumberFormat="1" applyFont="1" applyFill="1" applyBorder="1" applyAlignment="1" applyProtection="1">
      <alignment horizontal="center" vertical="center"/>
      <protection hidden="1"/>
    </xf>
    <xf numFmtId="4" fontId="37" fillId="248" borderId="75" xfId="0" applyNumberFormat="1" applyFont="1" applyFill="1" applyBorder="1" applyAlignment="1" applyProtection="1">
      <alignment horizontal="left" vertical="center"/>
      <protection hidden="1"/>
    </xf>
    <xf numFmtId="4" fontId="37" fillId="248" borderId="76" xfId="0" applyNumberFormat="1" applyFont="1" applyFill="1" applyBorder="1" applyAlignment="1" applyProtection="1">
      <alignment horizontal="center" vertical="center"/>
      <protection hidden="1"/>
    </xf>
    <xf numFmtId="4" fontId="37" fillId="249" borderId="47" xfId="0" applyNumberFormat="1" applyFont="1" applyFill="1" applyBorder="1" applyAlignment="1" applyProtection="1">
      <alignment horizontal="left" vertical="center"/>
      <protection hidden="1"/>
    </xf>
    <xf numFmtId="4" fontId="37" fillId="249" borderId="48" xfId="0" applyNumberFormat="1" applyFont="1" applyFill="1" applyBorder="1" applyAlignment="1" applyProtection="1">
      <alignment horizontal="center" vertical="center"/>
      <protection hidden="1"/>
    </xf>
    <xf numFmtId="4" fontId="37" fillId="250" borderId="75" xfId="0" applyNumberFormat="1" applyFont="1" applyFill="1" applyBorder="1" applyAlignment="1" applyProtection="1">
      <alignment horizontal="left" vertical="center"/>
      <protection hidden="1"/>
    </xf>
    <xf numFmtId="4" fontId="37" fillId="250" borderId="76" xfId="0" applyNumberFormat="1" applyFont="1" applyFill="1" applyBorder="1" applyAlignment="1" applyProtection="1">
      <alignment horizontal="center" vertical="center"/>
      <protection hidden="1"/>
    </xf>
    <xf numFmtId="4" fontId="37" fillId="251" borderId="47" xfId="0" applyNumberFormat="1" applyFont="1" applyFill="1" applyBorder="1" applyAlignment="1" applyProtection="1">
      <alignment horizontal="left" vertical="center"/>
      <protection hidden="1"/>
    </xf>
    <xf numFmtId="4" fontId="37" fillId="251" borderId="48" xfId="0" applyNumberFormat="1" applyFont="1" applyFill="1" applyBorder="1" applyAlignment="1" applyProtection="1">
      <alignment horizontal="center" vertical="center"/>
      <protection hidden="1"/>
    </xf>
    <xf numFmtId="4" fontId="37" fillId="252" borderId="75" xfId="0" applyNumberFormat="1" applyFont="1" applyFill="1" applyBorder="1" applyAlignment="1" applyProtection="1">
      <alignment horizontal="left" vertical="center"/>
      <protection hidden="1"/>
    </xf>
    <xf numFmtId="0" fontId="37" fillId="252" borderId="76" xfId="0" applyFont="1" applyFill="1" applyBorder="1" applyAlignment="1" applyProtection="1">
      <alignment horizontal="center" vertical="center"/>
      <protection hidden="1"/>
    </xf>
    <xf numFmtId="0" fontId="14" fillId="232" borderId="38" xfId="0" applyFont="1" applyFill="1" applyBorder="1" applyAlignment="1" applyProtection="1">
      <alignment horizontal="left" vertical="center"/>
      <protection hidden="1"/>
    </xf>
    <xf numFmtId="1" fontId="37" fillId="232" borderId="23" xfId="0" applyNumberFormat="1" applyFont="1" applyFill="1" applyBorder="1" applyAlignment="1" applyProtection="1">
      <alignment horizontal="center" vertical="center"/>
      <protection hidden="1"/>
    </xf>
    <xf numFmtId="0" fontId="37" fillId="232" borderId="39" xfId="0" applyFont="1" applyFill="1" applyBorder="1" applyAlignment="1" applyProtection="1">
      <alignment horizontal="center" vertical="center"/>
      <protection hidden="1"/>
    </xf>
    <xf numFmtId="0" fontId="14" fillId="241" borderId="85" xfId="0" applyFont="1" applyFill="1" applyBorder="1" applyAlignment="1" applyProtection="1">
      <alignment horizontal="left" vertical="center"/>
      <protection hidden="1"/>
    </xf>
    <xf numFmtId="1" fontId="14" fillId="241" borderId="86" xfId="0" applyNumberFormat="1" applyFont="1" applyFill="1" applyBorder="1" applyAlignment="1" applyProtection="1">
      <alignment horizontal="center" vertical="center"/>
      <protection hidden="1"/>
    </xf>
    <xf numFmtId="0" fontId="37" fillId="241" borderId="87" xfId="0" applyFont="1" applyFill="1" applyBorder="1" applyAlignment="1" applyProtection="1">
      <alignment horizontal="center" vertical="center"/>
      <protection hidden="1"/>
    </xf>
    <xf numFmtId="0" fontId="14" fillId="242" borderId="38" xfId="0" applyFont="1" applyFill="1" applyBorder="1" applyAlignment="1" applyProtection="1">
      <alignment horizontal="left" vertical="center"/>
      <protection hidden="1"/>
    </xf>
    <xf numFmtId="1" fontId="37" fillId="242" borderId="23" xfId="0" applyNumberFormat="1" applyFont="1" applyFill="1" applyBorder="1" applyAlignment="1" applyProtection="1">
      <alignment horizontal="center" vertical="center"/>
      <protection hidden="1"/>
    </xf>
    <xf numFmtId="0" fontId="37" fillId="242" borderId="39" xfId="0" applyFont="1" applyFill="1" applyBorder="1" applyAlignment="1" applyProtection="1">
      <alignment horizontal="center" vertical="center"/>
      <protection hidden="1"/>
    </xf>
    <xf numFmtId="0" fontId="14" fillId="243" borderId="85" xfId="0" applyFont="1" applyFill="1" applyBorder="1" applyAlignment="1" applyProtection="1">
      <alignment horizontal="left" vertical="center"/>
      <protection hidden="1"/>
    </xf>
    <xf numFmtId="1" fontId="14" fillId="243" borderId="86" xfId="0" applyNumberFormat="1" applyFont="1" applyFill="1" applyBorder="1" applyAlignment="1" applyProtection="1">
      <alignment horizontal="center" vertical="center"/>
      <protection hidden="1"/>
    </xf>
    <xf numFmtId="0" fontId="37" fillId="243" borderId="87" xfId="0" applyFont="1" applyFill="1" applyBorder="1" applyAlignment="1" applyProtection="1">
      <alignment horizontal="center" vertical="center"/>
      <protection hidden="1"/>
    </xf>
    <xf numFmtId="0" fontId="14" fillId="244" borderId="38" xfId="0" applyFont="1" applyFill="1" applyBorder="1" applyAlignment="1" applyProtection="1">
      <alignment horizontal="left" vertical="center"/>
      <protection hidden="1"/>
    </xf>
    <xf numFmtId="1" fontId="37" fillId="244" borderId="23" xfId="0" applyNumberFormat="1" applyFont="1" applyFill="1" applyBorder="1" applyAlignment="1" applyProtection="1">
      <alignment horizontal="center" vertical="center"/>
      <protection hidden="1"/>
    </xf>
    <xf numFmtId="0" fontId="37" fillId="244" borderId="39" xfId="0" applyFont="1" applyFill="1" applyBorder="1" applyAlignment="1" applyProtection="1">
      <alignment horizontal="center" vertical="center"/>
      <protection hidden="1"/>
    </xf>
    <xf numFmtId="0" fontId="14" fillId="245" borderId="85" xfId="0" applyFont="1" applyFill="1" applyBorder="1" applyAlignment="1" applyProtection="1">
      <alignment horizontal="left" vertical="center"/>
      <protection hidden="1"/>
    </xf>
    <xf numFmtId="1" fontId="14" fillId="245" borderId="86" xfId="0" applyNumberFormat="1" applyFont="1" applyFill="1" applyBorder="1" applyAlignment="1" applyProtection="1">
      <alignment horizontal="center" vertical="center"/>
      <protection hidden="1"/>
    </xf>
    <xf numFmtId="0" fontId="37" fillId="245" borderId="87" xfId="0" applyFont="1" applyFill="1" applyBorder="1" applyAlignment="1" applyProtection="1">
      <alignment horizontal="center" vertical="center"/>
      <protection hidden="1"/>
    </xf>
    <xf numFmtId="0" fontId="14" fillId="197" borderId="38" xfId="0" applyFont="1" applyFill="1" applyBorder="1" applyAlignment="1" applyProtection="1">
      <alignment horizontal="left" vertical="center"/>
      <protection hidden="1"/>
    </xf>
    <xf numFmtId="1" fontId="37" fillId="197" borderId="23" xfId="0" applyNumberFormat="1" applyFont="1" applyFill="1" applyBorder="1" applyAlignment="1" applyProtection="1">
      <alignment horizontal="center" vertical="center"/>
      <protection hidden="1"/>
    </xf>
    <xf numFmtId="0" fontId="37" fillId="197" borderId="39" xfId="0" applyFont="1" applyFill="1" applyBorder="1" applyAlignment="1" applyProtection="1">
      <alignment horizontal="center" vertical="center"/>
      <protection hidden="1"/>
    </xf>
    <xf numFmtId="0" fontId="14" fillId="198" borderId="85" xfId="0" applyFont="1" applyFill="1" applyBorder="1" applyAlignment="1" applyProtection="1">
      <alignment horizontal="left" vertical="center"/>
      <protection hidden="1"/>
    </xf>
    <xf numFmtId="1" fontId="14" fillId="198" borderId="86" xfId="0" applyNumberFormat="1" applyFont="1" applyFill="1" applyBorder="1" applyAlignment="1" applyProtection="1">
      <alignment horizontal="center" vertical="center"/>
      <protection hidden="1"/>
    </xf>
    <xf numFmtId="0" fontId="37" fillId="198" borderId="87" xfId="0" applyFont="1" applyFill="1" applyBorder="1" applyAlignment="1" applyProtection="1">
      <alignment horizontal="center" vertical="center"/>
      <protection hidden="1"/>
    </xf>
    <xf numFmtId="0" fontId="14" fillId="201" borderId="38" xfId="0" applyFont="1" applyFill="1" applyBorder="1" applyAlignment="1" applyProtection="1">
      <alignment horizontal="left" vertical="center"/>
      <protection hidden="1"/>
    </xf>
    <xf numFmtId="1" fontId="37" fillId="201" borderId="23" xfId="0" applyNumberFormat="1" applyFont="1" applyFill="1" applyBorder="1" applyAlignment="1" applyProtection="1">
      <alignment horizontal="center" vertical="center"/>
      <protection hidden="1"/>
    </xf>
    <xf numFmtId="0" fontId="37" fillId="201" borderId="39" xfId="0" applyFont="1" applyFill="1" applyBorder="1" applyAlignment="1" applyProtection="1">
      <alignment horizontal="center" vertical="center"/>
      <protection hidden="1"/>
    </xf>
    <xf numFmtId="0" fontId="14" fillId="202" borderId="85" xfId="0" applyFont="1" applyFill="1" applyBorder="1" applyAlignment="1" applyProtection="1">
      <alignment horizontal="left" vertical="center"/>
      <protection hidden="1"/>
    </xf>
    <xf numFmtId="1" fontId="14" fillId="202" borderId="86" xfId="0" applyNumberFormat="1" applyFont="1" applyFill="1" applyBorder="1" applyAlignment="1" applyProtection="1">
      <alignment horizontal="center" vertical="center"/>
      <protection hidden="1"/>
    </xf>
    <xf numFmtId="0" fontId="37" fillId="202" borderId="87" xfId="0" applyFont="1" applyFill="1" applyBorder="1" applyAlignment="1" applyProtection="1">
      <alignment horizontal="center" vertical="center"/>
      <protection hidden="1"/>
    </xf>
    <xf numFmtId="0" fontId="14" fillId="247" borderId="38" xfId="0" applyFont="1" applyFill="1" applyBorder="1" applyAlignment="1" applyProtection="1">
      <alignment horizontal="left" vertical="center"/>
      <protection hidden="1"/>
    </xf>
    <xf numFmtId="1" fontId="37" fillId="247" borderId="23" xfId="0" applyNumberFormat="1" applyFont="1" applyFill="1" applyBorder="1" applyAlignment="1" applyProtection="1">
      <alignment horizontal="center" vertical="center"/>
      <protection hidden="1"/>
    </xf>
    <xf numFmtId="0" fontId="37" fillId="247" borderId="39" xfId="0" applyFont="1" applyFill="1" applyBorder="1" applyAlignment="1" applyProtection="1">
      <alignment horizontal="center" vertical="center"/>
      <protection hidden="1"/>
    </xf>
    <xf numFmtId="0" fontId="14" fillId="248" borderId="85" xfId="0" applyFont="1" applyFill="1" applyBorder="1" applyAlignment="1" applyProtection="1">
      <alignment horizontal="left" vertical="center"/>
      <protection hidden="1"/>
    </xf>
    <xf numFmtId="1" fontId="14" fillId="248" borderId="86" xfId="0" applyNumberFormat="1" applyFont="1" applyFill="1" applyBorder="1" applyAlignment="1" applyProtection="1">
      <alignment horizontal="center" vertical="center"/>
      <protection hidden="1"/>
    </xf>
    <xf numFmtId="0" fontId="37" fillId="248" borderId="87" xfId="0" applyFont="1" applyFill="1" applyBorder="1" applyAlignment="1" applyProtection="1">
      <alignment horizontal="center" vertical="center"/>
      <protection hidden="1"/>
    </xf>
    <xf numFmtId="0" fontId="14" fillId="249" borderId="38" xfId="0" applyFont="1" applyFill="1" applyBorder="1" applyAlignment="1" applyProtection="1">
      <alignment horizontal="left" vertical="center"/>
      <protection hidden="1"/>
    </xf>
    <xf numFmtId="1" fontId="37" fillId="249" borderId="23" xfId="0" applyNumberFormat="1" applyFont="1" applyFill="1" applyBorder="1" applyAlignment="1" applyProtection="1">
      <alignment horizontal="center" vertical="center"/>
      <protection hidden="1"/>
    </xf>
    <xf numFmtId="0" fontId="37" fillId="249" borderId="39" xfId="0" applyFont="1" applyFill="1" applyBorder="1" applyAlignment="1" applyProtection="1">
      <alignment horizontal="center" vertical="center"/>
      <protection hidden="1"/>
    </xf>
    <xf numFmtId="0" fontId="14" fillId="250" borderId="85" xfId="0" applyFont="1" applyFill="1" applyBorder="1" applyAlignment="1" applyProtection="1">
      <alignment horizontal="left" vertical="center"/>
      <protection hidden="1"/>
    </xf>
    <xf numFmtId="1" fontId="14" fillId="250" borderId="86" xfId="0" applyNumberFormat="1" applyFont="1" applyFill="1" applyBorder="1" applyAlignment="1" applyProtection="1">
      <alignment horizontal="center" vertical="center"/>
      <protection hidden="1"/>
    </xf>
    <xf numFmtId="0" fontId="37" fillId="250" borderId="87" xfId="0" applyFont="1" applyFill="1" applyBorder="1" applyAlignment="1" applyProtection="1">
      <alignment horizontal="center" vertical="center"/>
      <protection hidden="1"/>
    </xf>
    <xf numFmtId="0" fontId="14" fillId="251" borderId="38" xfId="0" applyFont="1" applyFill="1" applyBorder="1" applyAlignment="1" applyProtection="1">
      <alignment horizontal="left" vertical="center"/>
      <protection hidden="1"/>
    </xf>
    <xf numFmtId="1" fontId="37" fillId="251" borderId="23" xfId="0" applyNumberFormat="1" applyFont="1" applyFill="1" applyBorder="1" applyAlignment="1" applyProtection="1">
      <alignment horizontal="center" vertical="center"/>
      <protection hidden="1"/>
    </xf>
    <xf numFmtId="0" fontId="37" fillId="251" borderId="39" xfId="0" applyFont="1" applyFill="1" applyBorder="1" applyAlignment="1" applyProtection="1">
      <alignment horizontal="center" vertical="center"/>
      <protection hidden="1"/>
    </xf>
    <xf numFmtId="0" fontId="14" fillId="252" borderId="85" xfId="0" applyFont="1" applyFill="1" applyBorder="1" applyAlignment="1" applyProtection="1">
      <alignment horizontal="left" vertical="center"/>
      <protection hidden="1"/>
    </xf>
    <xf numFmtId="1" fontId="14" fillId="252" borderId="86" xfId="0" applyNumberFormat="1" applyFont="1" applyFill="1" applyBorder="1" applyAlignment="1" applyProtection="1">
      <alignment horizontal="center" vertical="center"/>
      <protection hidden="1"/>
    </xf>
    <xf numFmtId="0" fontId="37" fillId="252" borderId="87" xfId="0" applyFont="1" applyFill="1" applyBorder="1" applyAlignment="1" applyProtection="1">
      <alignment horizontal="center" vertical="center"/>
      <protection hidden="1"/>
    </xf>
    <xf numFmtId="0" fontId="103" fillId="5" borderId="0" xfId="0" applyFont="1" applyFill="1"/>
    <xf numFmtId="0" fontId="5" fillId="255" borderId="0" xfId="0" applyFont="1" applyFill="1" applyBorder="1"/>
    <xf numFmtId="0" fontId="103" fillId="255" borderId="0" xfId="0" applyFont="1" applyFill="1" applyBorder="1"/>
    <xf numFmtId="0" fontId="103" fillId="5" borderId="0" xfId="0" applyFont="1" applyFill="1" applyAlignment="1" applyProtection="1">
      <alignment vertical="center"/>
      <protection hidden="1"/>
    </xf>
    <xf numFmtId="0" fontId="103" fillId="170" borderId="0" xfId="0" applyFont="1" applyFill="1"/>
    <xf numFmtId="0" fontId="5" fillId="170" borderId="0" xfId="0" applyFont="1" applyFill="1" applyBorder="1" applyProtection="1">
      <protection hidden="1"/>
    </xf>
    <xf numFmtId="0" fontId="37" fillId="232" borderId="47" xfId="0" applyFont="1" applyFill="1" applyBorder="1" applyAlignment="1" applyProtection="1">
      <alignment horizontal="center" vertical="center"/>
      <protection hidden="1"/>
    </xf>
    <xf numFmtId="0" fontId="14" fillId="241" borderId="77" xfId="0" applyFont="1" applyFill="1" applyBorder="1" applyAlignment="1" applyProtection="1">
      <alignment horizontal="left" vertical="center"/>
      <protection hidden="1"/>
    </xf>
    <xf numFmtId="1" fontId="14" fillId="241" borderId="78" xfId="0" applyNumberFormat="1" applyFont="1" applyFill="1" applyBorder="1" applyAlignment="1" applyProtection="1">
      <alignment horizontal="center" vertical="center"/>
      <protection hidden="1"/>
    </xf>
    <xf numFmtId="0" fontId="37" fillId="241" borderId="79" xfId="0" applyFont="1" applyFill="1" applyBorder="1" applyAlignment="1" applyProtection="1">
      <alignment horizontal="center" vertical="center"/>
      <protection hidden="1"/>
    </xf>
    <xf numFmtId="0" fontId="14" fillId="243" borderId="77" xfId="0" applyFont="1" applyFill="1" applyBorder="1" applyAlignment="1" applyProtection="1">
      <alignment horizontal="left" vertical="center"/>
      <protection hidden="1"/>
    </xf>
    <xf numFmtId="1" fontId="14" fillId="243" borderId="78" xfId="0" applyNumberFormat="1" applyFont="1" applyFill="1" applyBorder="1" applyAlignment="1" applyProtection="1">
      <alignment horizontal="center" vertical="center"/>
      <protection hidden="1"/>
    </xf>
    <xf numFmtId="0" fontId="37" fillId="243" borderId="79" xfId="0" applyFont="1" applyFill="1" applyBorder="1" applyAlignment="1" applyProtection="1">
      <alignment horizontal="center" vertical="center"/>
      <protection hidden="1"/>
    </xf>
    <xf numFmtId="0" fontId="14" fillId="245" borderId="77" xfId="0" applyFont="1" applyFill="1" applyBorder="1" applyAlignment="1" applyProtection="1">
      <alignment horizontal="left" vertical="center"/>
      <protection hidden="1"/>
    </xf>
    <xf numFmtId="1" fontId="14" fillId="245" borderId="78" xfId="0" applyNumberFormat="1" applyFont="1" applyFill="1" applyBorder="1" applyAlignment="1" applyProtection="1">
      <alignment horizontal="center" vertical="center"/>
      <protection hidden="1"/>
    </xf>
    <xf numFmtId="0" fontId="37" fillId="245" borderId="79" xfId="0" applyFont="1" applyFill="1" applyBorder="1" applyAlignment="1" applyProtection="1">
      <alignment horizontal="center" vertical="center"/>
      <protection hidden="1"/>
    </xf>
    <xf numFmtId="0" fontId="14" fillId="198" borderId="77" xfId="0" applyFont="1" applyFill="1" applyBorder="1" applyAlignment="1" applyProtection="1">
      <alignment horizontal="left" vertical="center"/>
      <protection hidden="1"/>
    </xf>
    <xf numFmtId="1" fontId="14" fillId="198" borderId="78" xfId="0" applyNumberFormat="1" applyFont="1" applyFill="1" applyBorder="1" applyAlignment="1" applyProtection="1">
      <alignment horizontal="center" vertical="center"/>
      <protection hidden="1"/>
    </xf>
    <xf numFmtId="0" fontId="37" fillId="198" borderId="79" xfId="0" applyFont="1" applyFill="1" applyBorder="1" applyAlignment="1" applyProtection="1">
      <alignment horizontal="center" vertical="center"/>
      <protection hidden="1"/>
    </xf>
    <xf numFmtId="0" fontId="14" fillId="202" borderId="77" xfId="0" applyFont="1" applyFill="1" applyBorder="1" applyAlignment="1" applyProtection="1">
      <alignment horizontal="left" vertical="center"/>
      <protection hidden="1"/>
    </xf>
    <xf numFmtId="1" fontId="14" fillId="202" borderId="78" xfId="0" applyNumberFormat="1" applyFont="1" applyFill="1" applyBorder="1" applyAlignment="1" applyProtection="1">
      <alignment horizontal="center" vertical="center"/>
      <protection hidden="1"/>
    </xf>
    <xf numFmtId="0" fontId="37" fillId="202" borderId="79" xfId="0" applyFont="1" applyFill="1" applyBorder="1" applyAlignment="1" applyProtection="1">
      <alignment horizontal="center" vertical="center"/>
      <protection hidden="1"/>
    </xf>
    <xf numFmtId="0" fontId="14" fillId="248" borderId="77" xfId="0" applyFont="1" applyFill="1" applyBorder="1" applyAlignment="1" applyProtection="1">
      <alignment horizontal="left" vertical="center"/>
      <protection hidden="1"/>
    </xf>
    <xf numFmtId="1" fontId="14" fillId="248" borderId="78" xfId="0" applyNumberFormat="1" applyFont="1" applyFill="1" applyBorder="1" applyAlignment="1" applyProtection="1">
      <alignment horizontal="center" vertical="center"/>
      <protection hidden="1"/>
    </xf>
    <xf numFmtId="0" fontId="37" fillId="248" borderId="79" xfId="0" applyFont="1" applyFill="1" applyBorder="1" applyAlignment="1" applyProtection="1">
      <alignment horizontal="center" vertical="center"/>
      <protection hidden="1"/>
    </xf>
    <xf numFmtId="0" fontId="14" fillId="250" borderId="77" xfId="0" applyFont="1" applyFill="1" applyBorder="1" applyAlignment="1" applyProtection="1">
      <alignment horizontal="left" vertical="center"/>
      <protection hidden="1"/>
    </xf>
    <xf numFmtId="1" fontId="14" fillId="250" borderId="78" xfId="0" applyNumberFormat="1" applyFont="1" applyFill="1" applyBorder="1" applyAlignment="1" applyProtection="1">
      <alignment horizontal="center" vertical="center"/>
      <protection hidden="1"/>
    </xf>
    <xf numFmtId="0" fontId="37" fillId="250" borderId="79" xfId="0" applyFont="1" applyFill="1" applyBorder="1" applyAlignment="1" applyProtection="1">
      <alignment horizontal="center" vertical="center"/>
      <protection hidden="1"/>
    </xf>
    <xf numFmtId="0" fontId="14" fillId="252" borderId="77" xfId="0" applyFont="1" applyFill="1" applyBorder="1" applyAlignment="1" applyProtection="1">
      <alignment horizontal="left" vertical="center"/>
      <protection hidden="1"/>
    </xf>
    <xf numFmtId="1" fontId="14" fillId="252" borderId="78" xfId="0" applyNumberFormat="1" applyFont="1" applyFill="1" applyBorder="1" applyAlignment="1" applyProtection="1">
      <alignment horizontal="center" vertical="center"/>
      <protection hidden="1"/>
    </xf>
    <xf numFmtId="0" fontId="37" fillId="252" borderId="79" xfId="0" applyFont="1" applyFill="1" applyBorder="1" applyAlignment="1" applyProtection="1">
      <alignment horizontal="center" vertical="center"/>
      <protection hidden="1"/>
    </xf>
    <xf numFmtId="0" fontId="37" fillId="170" borderId="0" xfId="0" applyFont="1" applyFill="1" applyAlignment="1" applyProtection="1">
      <alignment horizontal="right" vertical="center"/>
      <protection hidden="1"/>
    </xf>
    <xf numFmtId="0" fontId="14" fillId="170" borderId="0" xfId="0" applyFont="1" applyFill="1" applyAlignment="1" applyProtection="1">
      <alignment horizontal="right" vertical="center"/>
      <protection hidden="1"/>
    </xf>
    <xf numFmtId="168" fontId="37" fillId="232" borderId="48" xfId="0" applyNumberFormat="1" applyFont="1" applyFill="1" applyBorder="1" applyAlignment="1" applyProtection="1">
      <alignment horizontal="center" vertical="center"/>
      <protection hidden="1"/>
    </xf>
    <xf numFmtId="168" fontId="5" fillId="170" borderId="0" xfId="0" applyNumberFormat="1" applyFont="1" applyFill="1" applyProtection="1">
      <protection hidden="1"/>
    </xf>
    <xf numFmtId="168" fontId="37" fillId="241" borderId="75" xfId="0" applyNumberFormat="1" applyFont="1" applyFill="1" applyBorder="1" applyAlignment="1" applyProtection="1">
      <alignment horizontal="left" vertical="center"/>
      <protection hidden="1"/>
    </xf>
    <xf numFmtId="168" fontId="37" fillId="241" borderId="76" xfId="0" applyNumberFormat="1" applyFont="1" applyFill="1" applyBorder="1" applyAlignment="1" applyProtection="1">
      <alignment horizontal="center" vertical="center"/>
      <protection hidden="1"/>
    </xf>
    <xf numFmtId="168" fontId="5" fillId="170" borderId="0" xfId="0" applyNumberFormat="1" applyFont="1" applyFill="1" applyAlignment="1" applyProtection="1">
      <alignment vertical="center"/>
      <protection hidden="1"/>
    </xf>
    <xf numFmtId="168" fontId="37" fillId="242" borderId="47" xfId="0" applyNumberFormat="1" applyFont="1" applyFill="1" applyBorder="1" applyAlignment="1" applyProtection="1">
      <alignment horizontal="left" vertical="center"/>
      <protection hidden="1"/>
    </xf>
    <xf numFmtId="168" fontId="37" fillId="170" borderId="1" xfId="3" applyNumberFormat="1" applyFont="1" applyFill="1" applyBorder="1" applyProtection="1">
      <alignment horizontal="center" vertical="center"/>
      <protection locked="0"/>
    </xf>
    <xf numFmtId="168" fontId="37" fillId="242" borderId="48" xfId="0" applyNumberFormat="1" applyFont="1" applyFill="1" applyBorder="1" applyAlignment="1" applyProtection="1">
      <alignment horizontal="center" vertical="center"/>
      <protection hidden="1"/>
    </xf>
    <xf numFmtId="168" fontId="37" fillId="243" borderId="75" xfId="0" applyNumberFormat="1" applyFont="1" applyFill="1" applyBorder="1" applyAlignment="1" applyProtection="1">
      <alignment horizontal="left" vertical="center"/>
      <protection hidden="1"/>
    </xf>
    <xf numFmtId="168" fontId="14" fillId="189" borderId="43" xfId="9" applyNumberFormat="1" applyFont="1" applyFill="1" applyBorder="1">
      <alignment horizontal="center" vertical="center"/>
    </xf>
    <xf numFmtId="168" fontId="37" fillId="243" borderId="76" xfId="0" applyNumberFormat="1" applyFont="1" applyFill="1" applyBorder="1" applyAlignment="1" applyProtection="1">
      <alignment horizontal="center" vertical="center"/>
      <protection hidden="1"/>
    </xf>
    <xf numFmtId="168" fontId="5" fillId="5" borderId="0" xfId="0" applyNumberFormat="1" applyFont="1" applyFill="1"/>
    <xf numFmtId="168" fontId="37" fillId="244" borderId="47" xfId="0" applyNumberFormat="1" applyFont="1" applyFill="1" applyBorder="1" applyAlignment="1" applyProtection="1">
      <alignment horizontal="left" vertical="center"/>
      <protection hidden="1"/>
    </xf>
    <xf numFmtId="168" fontId="37" fillId="244" borderId="48" xfId="0" applyNumberFormat="1" applyFont="1" applyFill="1" applyBorder="1" applyAlignment="1" applyProtection="1">
      <alignment horizontal="center" vertical="center"/>
      <protection hidden="1"/>
    </xf>
    <xf numFmtId="168" fontId="37" fillId="245" borderId="75" xfId="0" applyNumberFormat="1" applyFont="1" applyFill="1" applyBorder="1" applyAlignment="1" applyProtection="1">
      <alignment horizontal="left" vertical="center"/>
      <protection hidden="1"/>
    </xf>
    <xf numFmtId="168" fontId="37" fillId="245" borderId="76" xfId="0" applyNumberFormat="1" applyFont="1" applyFill="1" applyBorder="1" applyAlignment="1" applyProtection="1">
      <alignment horizontal="center" vertical="center"/>
      <protection hidden="1"/>
    </xf>
    <xf numFmtId="168" fontId="37" fillId="197" borderId="47" xfId="0" applyNumberFormat="1" applyFont="1" applyFill="1" applyBorder="1" applyAlignment="1" applyProtection="1">
      <alignment horizontal="left" vertical="center"/>
      <protection hidden="1"/>
    </xf>
    <xf numFmtId="168" fontId="37" fillId="197" borderId="48" xfId="0" applyNumberFormat="1" applyFont="1" applyFill="1" applyBorder="1" applyAlignment="1" applyProtection="1">
      <alignment horizontal="center" vertical="center"/>
      <protection hidden="1"/>
    </xf>
    <xf numFmtId="168" fontId="37" fillId="198" borderId="75" xfId="0" applyNumberFormat="1" applyFont="1" applyFill="1" applyBorder="1" applyAlignment="1" applyProtection="1">
      <alignment horizontal="left" vertical="center"/>
      <protection hidden="1"/>
    </xf>
    <xf numFmtId="168" fontId="37" fillId="198" borderId="76" xfId="0" applyNumberFormat="1" applyFont="1" applyFill="1" applyBorder="1" applyAlignment="1" applyProtection="1">
      <alignment horizontal="center" vertical="center"/>
      <protection hidden="1"/>
    </xf>
    <xf numFmtId="168" fontId="5" fillId="5" borderId="0" xfId="0" applyNumberFormat="1" applyFont="1" applyFill="1" applyAlignment="1" applyProtection="1">
      <alignment vertical="center"/>
      <protection hidden="1"/>
    </xf>
    <xf numFmtId="168" fontId="37" fillId="201" borderId="47" xfId="0" applyNumberFormat="1" applyFont="1" applyFill="1" applyBorder="1" applyAlignment="1" applyProtection="1">
      <alignment horizontal="left" vertical="center"/>
      <protection hidden="1"/>
    </xf>
    <xf numFmtId="168" fontId="37" fillId="201" borderId="48" xfId="0" applyNumberFormat="1" applyFont="1" applyFill="1" applyBorder="1" applyAlignment="1" applyProtection="1">
      <alignment horizontal="center" vertical="center"/>
      <protection hidden="1"/>
    </xf>
    <xf numFmtId="168" fontId="37" fillId="202" borderId="75" xfId="0" applyNumberFormat="1" applyFont="1" applyFill="1" applyBorder="1" applyAlignment="1" applyProtection="1">
      <alignment horizontal="left" vertical="center"/>
      <protection hidden="1"/>
    </xf>
    <xf numFmtId="168" fontId="37" fillId="202" borderId="76" xfId="0" applyNumberFormat="1" applyFont="1" applyFill="1" applyBorder="1" applyAlignment="1" applyProtection="1">
      <alignment horizontal="center" vertical="center"/>
      <protection hidden="1"/>
    </xf>
    <xf numFmtId="168" fontId="37" fillId="247" borderId="47" xfId="0" applyNumberFormat="1" applyFont="1" applyFill="1" applyBorder="1" applyAlignment="1" applyProtection="1">
      <alignment horizontal="left" vertical="center"/>
      <protection hidden="1"/>
    </xf>
    <xf numFmtId="168" fontId="37" fillId="247" borderId="48" xfId="0" applyNumberFormat="1" applyFont="1" applyFill="1" applyBorder="1" applyAlignment="1" applyProtection="1">
      <alignment horizontal="center" vertical="center"/>
      <protection hidden="1"/>
    </xf>
    <xf numFmtId="168" fontId="37" fillId="248" borderId="75" xfId="0" applyNumberFormat="1" applyFont="1" applyFill="1" applyBorder="1" applyAlignment="1" applyProtection="1">
      <alignment horizontal="left" vertical="center"/>
      <protection hidden="1"/>
    </xf>
    <xf numFmtId="168" fontId="37" fillId="248" borderId="76" xfId="0" applyNumberFormat="1" applyFont="1" applyFill="1" applyBorder="1" applyAlignment="1" applyProtection="1">
      <alignment horizontal="center" vertical="center"/>
      <protection hidden="1"/>
    </xf>
    <xf numFmtId="168" fontId="37" fillId="249" borderId="47" xfId="0" applyNumberFormat="1" applyFont="1" applyFill="1" applyBorder="1" applyAlignment="1" applyProtection="1">
      <alignment horizontal="left" vertical="center"/>
      <protection hidden="1"/>
    </xf>
    <xf numFmtId="168" fontId="37" fillId="249" borderId="48" xfId="0" applyNumberFormat="1" applyFont="1" applyFill="1" applyBorder="1" applyAlignment="1" applyProtection="1">
      <alignment horizontal="center" vertical="center"/>
      <protection hidden="1"/>
    </xf>
    <xf numFmtId="168" fontId="37" fillId="250" borderId="75" xfId="0" applyNumberFormat="1" applyFont="1" applyFill="1" applyBorder="1" applyAlignment="1" applyProtection="1">
      <alignment horizontal="left" vertical="center"/>
      <protection hidden="1"/>
    </xf>
    <xf numFmtId="168" fontId="37" fillId="250" borderId="76" xfId="0" applyNumberFormat="1" applyFont="1" applyFill="1" applyBorder="1" applyAlignment="1" applyProtection="1">
      <alignment horizontal="center" vertical="center"/>
      <protection hidden="1"/>
    </xf>
    <xf numFmtId="168" fontId="37" fillId="251" borderId="47" xfId="0" applyNumberFormat="1" applyFont="1" applyFill="1" applyBorder="1" applyAlignment="1" applyProtection="1">
      <alignment horizontal="left" vertical="center"/>
      <protection hidden="1"/>
    </xf>
    <xf numFmtId="168" fontId="37" fillId="251" borderId="48" xfId="0" applyNumberFormat="1" applyFont="1" applyFill="1" applyBorder="1" applyAlignment="1" applyProtection="1">
      <alignment horizontal="center" vertical="center"/>
      <protection hidden="1"/>
    </xf>
    <xf numFmtId="168" fontId="37" fillId="252" borderId="75" xfId="0" applyNumberFormat="1" applyFont="1" applyFill="1" applyBorder="1" applyAlignment="1" applyProtection="1">
      <alignment horizontal="left" vertical="center"/>
      <protection hidden="1"/>
    </xf>
    <xf numFmtId="1" fontId="37" fillId="232" borderId="0" xfId="0" applyNumberFormat="1" applyFont="1" applyFill="1" applyBorder="1" applyAlignment="1" applyProtection="1">
      <alignment horizontal="center" vertical="center"/>
      <protection hidden="1"/>
    </xf>
    <xf numFmtId="0" fontId="37" fillId="232" borderId="48" xfId="0" applyFont="1" applyFill="1" applyBorder="1" applyAlignment="1" applyProtection="1">
      <alignment horizontal="center" vertical="center"/>
      <protection hidden="1"/>
    </xf>
    <xf numFmtId="0" fontId="37" fillId="241" borderId="75" xfId="0" applyFont="1" applyFill="1" applyBorder="1" applyAlignment="1" applyProtection="1">
      <alignment horizontal="left" vertical="center"/>
      <protection hidden="1"/>
    </xf>
    <xf numFmtId="1" fontId="14" fillId="241" borderId="0" xfId="0" applyNumberFormat="1" applyFont="1" applyFill="1" applyBorder="1" applyAlignment="1" applyProtection="1">
      <alignment horizontal="center" vertical="center"/>
      <protection hidden="1"/>
    </xf>
    <xf numFmtId="0" fontId="37" fillId="241" borderId="76" xfId="0" applyFont="1" applyFill="1" applyBorder="1" applyAlignment="1" applyProtection="1">
      <alignment horizontal="center" vertical="center"/>
      <protection hidden="1"/>
    </xf>
    <xf numFmtId="0" fontId="37" fillId="242" borderId="47" xfId="0" applyFont="1" applyFill="1" applyBorder="1" applyAlignment="1" applyProtection="1">
      <alignment horizontal="left" vertical="center"/>
      <protection hidden="1"/>
    </xf>
    <xf numFmtId="0" fontId="37" fillId="242" borderId="48" xfId="0" applyFont="1" applyFill="1" applyBorder="1" applyAlignment="1" applyProtection="1">
      <alignment horizontal="center" vertical="center"/>
      <protection hidden="1"/>
    </xf>
    <xf numFmtId="0" fontId="37" fillId="243" borderId="75" xfId="0" applyFont="1" applyFill="1" applyBorder="1" applyAlignment="1" applyProtection="1">
      <alignment horizontal="left" vertical="center"/>
      <protection hidden="1"/>
    </xf>
    <xf numFmtId="1" fontId="14" fillId="243" borderId="0" xfId="0" applyNumberFormat="1" applyFont="1" applyFill="1" applyBorder="1" applyAlignment="1" applyProtection="1">
      <alignment horizontal="center" vertical="center"/>
      <protection hidden="1"/>
    </xf>
    <xf numFmtId="0" fontId="37" fillId="243" borderId="76" xfId="0" applyFont="1" applyFill="1" applyBorder="1" applyAlignment="1" applyProtection="1">
      <alignment horizontal="center" vertical="center"/>
      <protection hidden="1"/>
    </xf>
    <xf numFmtId="0" fontId="37" fillId="244" borderId="47" xfId="0" applyFont="1" applyFill="1" applyBorder="1" applyAlignment="1" applyProtection="1">
      <alignment horizontal="left" vertical="center"/>
      <protection hidden="1"/>
    </xf>
    <xf numFmtId="0" fontId="37" fillId="244" borderId="48" xfId="0" applyFont="1" applyFill="1" applyBorder="1" applyAlignment="1" applyProtection="1">
      <alignment horizontal="center" vertical="center"/>
      <protection hidden="1"/>
    </xf>
    <xf numFmtId="0" fontId="37" fillId="245" borderId="75" xfId="0" applyFont="1" applyFill="1" applyBorder="1" applyAlignment="1" applyProtection="1">
      <alignment horizontal="left" vertical="center"/>
      <protection hidden="1"/>
    </xf>
    <xf numFmtId="1" fontId="14" fillId="245" borderId="0" xfId="0" applyNumberFormat="1" applyFont="1" applyFill="1" applyBorder="1" applyAlignment="1" applyProtection="1">
      <alignment horizontal="center" vertical="center"/>
      <protection hidden="1"/>
    </xf>
    <xf numFmtId="0" fontId="37" fillId="245" borderId="76" xfId="0" applyFont="1" applyFill="1" applyBorder="1" applyAlignment="1" applyProtection="1">
      <alignment horizontal="center" vertical="center"/>
      <protection hidden="1"/>
    </xf>
    <xf numFmtId="0" fontId="37" fillId="197" borderId="47" xfId="0" applyFont="1" applyFill="1" applyBorder="1" applyAlignment="1" applyProtection="1">
      <alignment horizontal="left" vertical="center"/>
      <protection hidden="1"/>
    </xf>
    <xf numFmtId="0" fontId="37" fillId="197" borderId="48" xfId="0" applyFont="1" applyFill="1" applyBorder="1" applyAlignment="1" applyProtection="1">
      <alignment horizontal="center" vertical="center"/>
      <protection hidden="1"/>
    </xf>
    <xf numFmtId="0" fontId="37" fillId="198" borderId="75" xfId="0" applyFont="1" applyFill="1" applyBorder="1" applyAlignment="1" applyProtection="1">
      <alignment horizontal="left" vertical="center"/>
      <protection hidden="1"/>
    </xf>
    <xf numFmtId="1" fontId="14" fillId="198" borderId="0" xfId="0" applyNumberFormat="1" applyFont="1" applyFill="1" applyBorder="1" applyAlignment="1" applyProtection="1">
      <alignment horizontal="center" vertical="center"/>
      <protection hidden="1"/>
    </xf>
    <xf numFmtId="0" fontId="37" fillId="198" borderId="76" xfId="0" applyFont="1" applyFill="1" applyBorder="1" applyAlignment="1" applyProtection="1">
      <alignment horizontal="center" vertical="center"/>
      <protection hidden="1"/>
    </xf>
    <xf numFmtId="0" fontId="37" fillId="201" borderId="47" xfId="0" applyFont="1" applyFill="1" applyBorder="1" applyAlignment="1" applyProtection="1">
      <alignment horizontal="left" vertical="center"/>
      <protection hidden="1"/>
    </xf>
    <xf numFmtId="0" fontId="37" fillId="201" borderId="48" xfId="0" applyFont="1" applyFill="1" applyBorder="1" applyAlignment="1" applyProtection="1">
      <alignment horizontal="center" vertical="center"/>
      <protection hidden="1"/>
    </xf>
    <xf numFmtId="0" fontId="37" fillId="202" borderId="75" xfId="0" applyFont="1" applyFill="1" applyBorder="1" applyAlignment="1" applyProtection="1">
      <alignment horizontal="left" vertical="center"/>
      <protection hidden="1"/>
    </xf>
    <xf numFmtId="1" fontId="14" fillId="202" borderId="0" xfId="0" applyNumberFormat="1" applyFont="1" applyFill="1" applyBorder="1" applyAlignment="1" applyProtection="1">
      <alignment horizontal="center" vertical="center"/>
      <protection hidden="1"/>
    </xf>
    <xf numFmtId="0" fontId="37" fillId="202" borderId="76" xfId="0" applyFont="1" applyFill="1" applyBorder="1" applyAlignment="1" applyProtection="1">
      <alignment horizontal="center" vertical="center"/>
      <protection hidden="1"/>
    </xf>
    <xf numFmtId="0" fontId="37" fillId="247" borderId="47" xfId="0" applyFont="1" applyFill="1" applyBorder="1" applyAlignment="1" applyProtection="1">
      <alignment horizontal="left" vertical="center"/>
      <protection hidden="1"/>
    </xf>
    <xf numFmtId="0" fontId="37" fillId="247" borderId="48" xfId="0" applyFont="1" applyFill="1" applyBorder="1" applyAlignment="1" applyProtection="1">
      <alignment horizontal="center" vertical="center"/>
      <protection hidden="1"/>
    </xf>
    <xf numFmtId="0" fontId="37" fillId="248" borderId="75" xfId="0" applyFont="1" applyFill="1" applyBorder="1" applyAlignment="1" applyProtection="1">
      <alignment horizontal="left" vertical="center"/>
      <protection hidden="1"/>
    </xf>
    <xf numFmtId="1" fontId="14" fillId="248" borderId="0" xfId="0" applyNumberFormat="1" applyFont="1" applyFill="1" applyBorder="1" applyAlignment="1" applyProtection="1">
      <alignment horizontal="center" vertical="center"/>
      <protection hidden="1"/>
    </xf>
    <xf numFmtId="0" fontId="37" fillId="248" borderId="76" xfId="0" applyFont="1" applyFill="1" applyBorder="1" applyAlignment="1" applyProtection="1">
      <alignment horizontal="center" vertical="center"/>
      <protection hidden="1"/>
    </xf>
    <xf numFmtId="0" fontId="37" fillId="249" borderId="47" xfId="0" applyFont="1" applyFill="1" applyBorder="1" applyAlignment="1" applyProtection="1">
      <alignment horizontal="left" vertical="center"/>
      <protection hidden="1"/>
    </xf>
    <xf numFmtId="0" fontId="37" fillId="249" borderId="48" xfId="0" applyFont="1" applyFill="1" applyBorder="1" applyAlignment="1" applyProtection="1">
      <alignment horizontal="center" vertical="center"/>
      <protection hidden="1"/>
    </xf>
    <xf numFmtId="0" fontId="37" fillId="250" borderId="75" xfId="0" applyFont="1" applyFill="1" applyBorder="1" applyAlignment="1" applyProtection="1">
      <alignment horizontal="left" vertical="center"/>
      <protection hidden="1"/>
    </xf>
    <xf numFmtId="1" fontId="14" fillId="250" borderId="0" xfId="0" applyNumberFormat="1" applyFont="1" applyFill="1" applyBorder="1" applyAlignment="1" applyProtection="1">
      <alignment horizontal="center" vertical="center"/>
      <protection hidden="1"/>
    </xf>
    <xf numFmtId="0" fontId="37" fillId="250" borderId="76" xfId="0" applyFont="1" applyFill="1" applyBorder="1" applyAlignment="1" applyProtection="1">
      <alignment horizontal="center" vertical="center"/>
      <protection hidden="1"/>
    </xf>
    <xf numFmtId="0" fontId="37" fillId="251" borderId="47" xfId="0" applyFont="1" applyFill="1" applyBorder="1" applyAlignment="1" applyProtection="1">
      <alignment horizontal="left" vertical="center"/>
      <protection hidden="1"/>
    </xf>
    <xf numFmtId="0" fontId="37" fillId="251" borderId="48" xfId="0" applyFont="1" applyFill="1" applyBorder="1" applyAlignment="1" applyProtection="1">
      <alignment horizontal="center" vertical="center"/>
      <protection hidden="1"/>
    </xf>
    <xf numFmtId="0" fontId="37" fillId="252" borderId="75" xfId="0" applyFont="1" applyFill="1" applyBorder="1" applyAlignment="1" applyProtection="1">
      <alignment horizontal="left" vertical="center"/>
      <protection hidden="1"/>
    </xf>
    <xf numFmtId="1" fontId="14" fillId="252" borderId="0" xfId="0" applyNumberFormat="1" applyFont="1" applyFill="1" applyBorder="1" applyAlignment="1" applyProtection="1">
      <alignment horizontal="center" vertical="center"/>
      <protection hidden="1"/>
    </xf>
    <xf numFmtId="0" fontId="5" fillId="170" borderId="0" xfId="0" applyFont="1" applyFill="1" applyAlignment="1" applyProtection="1">
      <alignment horizontal="center" vertical="center"/>
      <protection hidden="1"/>
    </xf>
    <xf numFmtId="0" fontId="37" fillId="241" borderId="75" xfId="0" applyFont="1" applyFill="1" applyBorder="1" applyAlignment="1" applyProtection="1">
      <alignment horizontal="center" vertical="center"/>
      <protection hidden="1"/>
    </xf>
    <xf numFmtId="0" fontId="37" fillId="242" borderId="47" xfId="0" applyFont="1" applyFill="1" applyBorder="1" applyAlignment="1" applyProtection="1">
      <alignment horizontal="center" vertical="center"/>
      <protection hidden="1"/>
    </xf>
    <xf numFmtId="168" fontId="14" fillId="189" borderId="122" xfId="9" applyNumberFormat="1" applyFont="1" applyFill="1" applyBorder="1" applyAlignment="1">
      <alignment horizontal="center" vertical="center"/>
    </xf>
    <xf numFmtId="0" fontId="37" fillId="243" borderId="75" xfId="0" applyFont="1" applyFill="1" applyBorder="1" applyAlignment="1" applyProtection="1">
      <alignment horizontal="center" vertical="center"/>
      <protection hidden="1"/>
    </xf>
    <xf numFmtId="0" fontId="5" fillId="5" borderId="0" xfId="0" applyFont="1" applyFill="1" applyAlignment="1">
      <alignment horizontal="center" vertical="center"/>
    </xf>
    <xf numFmtId="0" fontId="37" fillId="244" borderId="47" xfId="0" applyFont="1" applyFill="1" applyBorder="1" applyAlignment="1" applyProtection="1">
      <alignment horizontal="center" vertical="center"/>
      <protection hidden="1"/>
    </xf>
    <xf numFmtId="0" fontId="37" fillId="245" borderId="75" xfId="0" applyFont="1" applyFill="1" applyBorder="1" applyAlignment="1" applyProtection="1">
      <alignment horizontal="center" vertical="center"/>
      <protection hidden="1"/>
    </xf>
    <xf numFmtId="0" fontId="37" fillId="197" borderId="47" xfId="0" applyFont="1" applyFill="1" applyBorder="1" applyAlignment="1" applyProtection="1">
      <alignment horizontal="center" vertical="center"/>
      <protection hidden="1"/>
    </xf>
    <xf numFmtId="0" fontId="37" fillId="198" borderId="75" xfId="0" applyFont="1" applyFill="1" applyBorder="1" applyAlignment="1" applyProtection="1">
      <alignment horizontal="center" vertical="center"/>
      <protection hidden="1"/>
    </xf>
    <xf numFmtId="0" fontId="5" fillId="5" borderId="0" xfId="0" applyFont="1" applyFill="1" applyAlignment="1" applyProtection="1">
      <alignment horizontal="center" vertical="center"/>
      <protection hidden="1"/>
    </xf>
    <xf numFmtId="0" fontId="37" fillId="201" borderId="47" xfId="0" applyFont="1" applyFill="1" applyBorder="1" applyAlignment="1" applyProtection="1">
      <alignment horizontal="center" vertical="center"/>
      <protection hidden="1"/>
    </xf>
    <xf numFmtId="0" fontId="37" fillId="202" borderId="75" xfId="0" applyFont="1" applyFill="1" applyBorder="1" applyAlignment="1" applyProtection="1">
      <alignment horizontal="center" vertical="center"/>
      <protection hidden="1"/>
    </xf>
    <xf numFmtId="0" fontId="37" fillId="247" borderId="47" xfId="0" applyFont="1" applyFill="1" applyBorder="1" applyAlignment="1" applyProtection="1">
      <alignment horizontal="center" vertical="center"/>
      <protection hidden="1"/>
    </xf>
    <xf numFmtId="0" fontId="37" fillId="248" borderId="75" xfId="0" applyFont="1" applyFill="1" applyBorder="1" applyAlignment="1" applyProtection="1">
      <alignment horizontal="center" vertical="center"/>
      <protection hidden="1"/>
    </xf>
    <xf numFmtId="0" fontId="37" fillId="249" borderId="47" xfId="0" applyFont="1" applyFill="1" applyBorder="1" applyAlignment="1" applyProtection="1">
      <alignment horizontal="center" vertical="center"/>
      <protection hidden="1"/>
    </xf>
    <xf numFmtId="0" fontId="37" fillId="250" borderId="75" xfId="0" applyFont="1" applyFill="1" applyBorder="1" applyAlignment="1" applyProtection="1">
      <alignment horizontal="center" vertical="center"/>
      <protection hidden="1"/>
    </xf>
    <xf numFmtId="0" fontId="37" fillId="251" borderId="47" xfId="0" applyFont="1" applyFill="1" applyBorder="1" applyAlignment="1" applyProtection="1">
      <alignment horizontal="center" vertical="center"/>
      <protection hidden="1"/>
    </xf>
    <xf numFmtId="0" fontId="37" fillId="252" borderId="75" xfId="0" applyFont="1" applyFill="1" applyBorder="1" applyAlignment="1" applyProtection="1">
      <alignment horizontal="center" vertical="center"/>
      <protection hidden="1"/>
    </xf>
    <xf numFmtId="0" fontId="37" fillId="241" borderId="90" xfId="0" applyFont="1" applyFill="1" applyBorder="1" applyAlignment="1" applyProtection="1">
      <alignment horizontal="left" vertical="center"/>
      <protection hidden="1"/>
    </xf>
    <xf numFmtId="1" fontId="14" fillId="241" borderId="91" xfId="0" applyNumberFormat="1" applyFont="1" applyFill="1" applyBorder="1" applyAlignment="1" applyProtection="1">
      <alignment horizontal="center" vertical="center"/>
      <protection hidden="1"/>
    </xf>
    <xf numFmtId="0" fontId="37" fillId="241" borderId="92" xfId="0" applyFont="1" applyFill="1" applyBorder="1" applyAlignment="1" applyProtection="1">
      <alignment horizontal="center" vertical="center"/>
      <protection hidden="1"/>
    </xf>
    <xf numFmtId="0" fontId="37" fillId="243" borderId="90" xfId="0" applyFont="1" applyFill="1" applyBorder="1" applyAlignment="1" applyProtection="1">
      <alignment horizontal="left" vertical="center"/>
      <protection hidden="1"/>
    </xf>
    <xf numFmtId="1" fontId="14" fillId="243" borderId="91" xfId="0" applyNumberFormat="1" applyFont="1" applyFill="1" applyBorder="1" applyAlignment="1" applyProtection="1">
      <alignment horizontal="center" vertical="center"/>
      <protection hidden="1"/>
    </xf>
    <xf numFmtId="0" fontId="37" fillId="243" borderId="92" xfId="0" applyFont="1" applyFill="1" applyBorder="1" applyAlignment="1" applyProtection="1">
      <alignment horizontal="center" vertical="center"/>
      <protection hidden="1"/>
    </xf>
    <xf numFmtId="0" fontId="37" fillId="245" borderId="90" xfId="0" applyFont="1" applyFill="1" applyBorder="1" applyAlignment="1" applyProtection="1">
      <alignment horizontal="left" vertical="center"/>
      <protection hidden="1"/>
    </xf>
    <xf numFmtId="1" fontId="14" fillId="245" borderId="91" xfId="0" applyNumberFormat="1" applyFont="1" applyFill="1" applyBorder="1" applyAlignment="1" applyProtection="1">
      <alignment horizontal="center" vertical="center"/>
      <protection hidden="1"/>
    </xf>
    <xf numFmtId="0" fontId="37" fillId="245" borderId="92" xfId="0" applyFont="1" applyFill="1" applyBorder="1" applyAlignment="1" applyProtection="1">
      <alignment horizontal="center" vertical="center"/>
      <protection hidden="1"/>
    </xf>
    <xf numFmtId="0" fontId="37" fillId="198" borderId="90" xfId="0" applyFont="1" applyFill="1" applyBorder="1" applyAlignment="1" applyProtection="1">
      <alignment horizontal="left" vertical="center"/>
      <protection hidden="1"/>
    </xf>
    <xf numFmtId="1" fontId="14" fillId="198" borderId="91" xfId="0" applyNumberFormat="1" applyFont="1" applyFill="1" applyBorder="1" applyAlignment="1" applyProtection="1">
      <alignment horizontal="center" vertical="center"/>
      <protection hidden="1"/>
    </xf>
    <xf numFmtId="0" fontId="37" fillId="198" borderId="92" xfId="0" applyFont="1" applyFill="1" applyBorder="1" applyAlignment="1" applyProtection="1">
      <alignment horizontal="center" vertical="center"/>
      <protection hidden="1"/>
    </xf>
    <xf numFmtId="0" fontId="37" fillId="202" borderId="90" xfId="0" applyFont="1" applyFill="1" applyBorder="1" applyAlignment="1" applyProtection="1">
      <alignment horizontal="left" vertical="center"/>
      <protection hidden="1"/>
    </xf>
    <xf numFmtId="1" fontId="14" fillId="202" borderId="91" xfId="0" applyNumberFormat="1" applyFont="1" applyFill="1" applyBorder="1" applyAlignment="1" applyProtection="1">
      <alignment horizontal="center" vertical="center"/>
      <protection hidden="1"/>
    </xf>
    <xf numFmtId="0" fontId="37" fillId="202" borderId="92" xfId="0" applyFont="1" applyFill="1" applyBorder="1" applyAlignment="1" applyProtection="1">
      <alignment horizontal="center" vertical="center"/>
      <protection hidden="1"/>
    </xf>
    <xf numFmtId="0" fontId="37" fillId="248" borderId="90" xfId="0" applyFont="1" applyFill="1" applyBorder="1" applyAlignment="1" applyProtection="1">
      <alignment horizontal="left" vertical="center"/>
      <protection hidden="1"/>
    </xf>
    <xf numFmtId="1" fontId="14" fillId="248" borderId="91" xfId="0" applyNumberFormat="1" applyFont="1" applyFill="1" applyBorder="1" applyAlignment="1" applyProtection="1">
      <alignment horizontal="center" vertical="center"/>
      <protection hidden="1"/>
    </xf>
    <xf numFmtId="0" fontId="37" fillId="248" borderId="92" xfId="0" applyFont="1" applyFill="1" applyBorder="1" applyAlignment="1" applyProtection="1">
      <alignment horizontal="center" vertical="center"/>
      <protection hidden="1"/>
    </xf>
    <xf numFmtId="0" fontId="37" fillId="250" borderId="90" xfId="0" applyFont="1" applyFill="1" applyBorder="1" applyAlignment="1" applyProtection="1">
      <alignment horizontal="left" vertical="center"/>
      <protection hidden="1"/>
    </xf>
    <xf numFmtId="1" fontId="14" fillId="250" borderId="91" xfId="0" applyNumberFormat="1" applyFont="1" applyFill="1" applyBorder="1" applyAlignment="1" applyProtection="1">
      <alignment horizontal="center" vertical="center"/>
      <protection hidden="1"/>
    </xf>
    <xf numFmtId="0" fontId="37" fillId="250" borderId="92" xfId="0" applyFont="1" applyFill="1" applyBorder="1" applyAlignment="1" applyProtection="1">
      <alignment horizontal="center" vertical="center"/>
      <protection hidden="1"/>
    </xf>
    <xf numFmtId="0" fontId="37" fillId="252" borderId="90" xfId="0" applyFont="1" applyFill="1" applyBorder="1" applyAlignment="1" applyProtection="1">
      <alignment horizontal="left" vertical="center"/>
      <protection hidden="1"/>
    </xf>
    <xf numFmtId="1" fontId="14" fillId="252" borderId="91" xfId="0" applyNumberFormat="1" applyFont="1" applyFill="1" applyBorder="1" applyAlignment="1" applyProtection="1">
      <alignment horizontal="center" vertical="center"/>
      <protection hidden="1"/>
    </xf>
    <xf numFmtId="0" fontId="37" fillId="252" borderId="92" xfId="0" applyFont="1" applyFill="1" applyBorder="1" applyAlignment="1" applyProtection="1">
      <alignment horizontal="center" vertical="center"/>
      <protection hidden="1"/>
    </xf>
    <xf numFmtId="0" fontId="37" fillId="252" borderId="94" xfId="0" applyFont="1" applyFill="1" applyBorder="1" applyAlignment="1" applyProtection="1">
      <alignment horizontal="center" vertical="center"/>
      <protection hidden="1"/>
    </xf>
    <xf numFmtId="0" fontId="37" fillId="232" borderId="38" xfId="0" applyFont="1" applyFill="1" applyBorder="1" applyAlignment="1" applyProtection="1">
      <alignment horizontal="left" vertical="center"/>
      <protection hidden="1"/>
    </xf>
    <xf numFmtId="1" fontId="37" fillId="232" borderId="6" xfId="0" applyNumberFormat="1" applyFont="1" applyFill="1" applyBorder="1" applyAlignment="1" applyProtection="1">
      <alignment horizontal="center" vertical="center"/>
      <protection hidden="1"/>
    </xf>
    <xf numFmtId="0" fontId="37" fillId="241" borderId="95" xfId="0" applyFont="1" applyFill="1" applyBorder="1" applyAlignment="1" applyProtection="1">
      <alignment horizontal="left" vertical="center"/>
      <protection hidden="1"/>
    </xf>
    <xf numFmtId="0" fontId="37" fillId="241" borderId="96" xfId="0" applyFont="1" applyFill="1" applyBorder="1" applyAlignment="1" applyProtection="1">
      <alignment horizontal="center" vertical="center"/>
      <protection hidden="1"/>
    </xf>
    <xf numFmtId="0" fontId="37" fillId="242" borderId="38" xfId="0" applyFont="1" applyFill="1" applyBorder="1" applyAlignment="1" applyProtection="1">
      <alignment horizontal="left" vertical="center"/>
      <protection hidden="1"/>
    </xf>
    <xf numFmtId="1" fontId="37" fillId="242" borderId="6" xfId="0" applyNumberFormat="1" applyFont="1" applyFill="1" applyBorder="1" applyAlignment="1" applyProtection="1">
      <alignment horizontal="center" vertical="center"/>
      <protection hidden="1"/>
    </xf>
    <xf numFmtId="0" fontId="37" fillId="243" borderId="95" xfId="0" applyFont="1" applyFill="1" applyBorder="1" applyAlignment="1" applyProtection="1">
      <alignment horizontal="left" vertical="center"/>
      <protection hidden="1"/>
    </xf>
    <xf numFmtId="0" fontId="37" fillId="243" borderId="96" xfId="0" applyFont="1" applyFill="1" applyBorder="1" applyAlignment="1" applyProtection="1">
      <alignment horizontal="center" vertical="center"/>
      <protection hidden="1"/>
    </xf>
    <xf numFmtId="0" fontId="37" fillId="244" borderId="38" xfId="0" applyFont="1" applyFill="1" applyBorder="1" applyAlignment="1" applyProtection="1">
      <alignment horizontal="left" vertical="center"/>
      <protection hidden="1"/>
    </xf>
    <xf numFmtId="1" fontId="37" fillId="244" borderId="6" xfId="0" applyNumberFormat="1" applyFont="1" applyFill="1" applyBorder="1" applyAlignment="1" applyProtection="1">
      <alignment horizontal="center" vertical="center"/>
      <protection hidden="1"/>
    </xf>
    <xf numFmtId="0" fontId="37" fillId="245" borderId="95" xfId="0" applyFont="1" applyFill="1" applyBorder="1" applyAlignment="1" applyProtection="1">
      <alignment horizontal="left" vertical="center"/>
      <protection hidden="1"/>
    </xf>
    <xf numFmtId="0" fontId="37" fillId="245" borderId="96" xfId="0" applyFont="1" applyFill="1" applyBorder="1" applyAlignment="1" applyProtection="1">
      <alignment horizontal="center" vertical="center"/>
      <protection hidden="1"/>
    </xf>
    <xf numFmtId="0" fontId="37" fillId="197" borderId="38" xfId="0" applyFont="1" applyFill="1" applyBorder="1" applyAlignment="1" applyProtection="1">
      <alignment horizontal="left" vertical="center"/>
      <protection hidden="1"/>
    </xf>
    <xf numFmtId="1" fontId="37" fillId="197" borderId="6" xfId="0" applyNumberFormat="1" applyFont="1" applyFill="1" applyBorder="1" applyAlignment="1" applyProtection="1">
      <alignment horizontal="center" vertical="center"/>
      <protection hidden="1"/>
    </xf>
    <xf numFmtId="0" fontId="37" fillId="198" borderId="95" xfId="0" applyFont="1" applyFill="1" applyBorder="1" applyAlignment="1" applyProtection="1">
      <alignment horizontal="left" vertical="center"/>
      <protection hidden="1"/>
    </xf>
    <xf numFmtId="0" fontId="37" fillId="198" borderId="96" xfId="0" applyFont="1" applyFill="1" applyBorder="1" applyAlignment="1" applyProtection="1">
      <alignment horizontal="center" vertical="center"/>
      <protection hidden="1"/>
    </xf>
    <xf numFmtId="0" fontId="37" fillId="201" borderId="38" xfId="0" applyFont="1" applyFill="1" applyBorder="1" applyAlignment="1" applyProtection="1">
      <alignment horizontal="left" vertical="center"/>
      <protection hidden="1"/>
    </xf>
    <xf numFmtId="1" fontId="37" fillId="201" borderId="6" xfId="0" applyNumberFormat="1" applyFont="1" applyFill="1" applyBorder="1" applyAlignment="1" applyProtection="1">
      <alignment horizontal="center" vertical="center"/>
      <protection hidden="1"/>
    </xf>
    <xf numFmtId="0" fontId="37" fillId="202" borderId="95" xfId="0" applyFont="1" applyFill="1" applyBorder="1" applyAlignment="1" applyProtection="1">
      <alignment horizontal="left" vertical="center"/>
      <protection hidden="1"/>
    </xf>
    <xf numFmtId="0" fontId="37" fillId="202" borderId="96" xfId="0" applyFont="1" applyFill="1" applyBorder="1" applyAlignment="1" applyProtection="1">
      <alignment horizontal="center" vertical="center"/>
      <protection hidden="1"/>
    </xf>
    <xf numFmtId="0" fontId="37" fillId="247" borderId="38" xfId="0" applyFont="1" applyFill="1" applyBorder="1" applyAlignment="1" applyProtection="1">
      <alignment horizontal="left" vertical="center"/>
      <protection hidden="1"/>
    </xf>
    <xf numFmtId="1" fontId="37" fillId="247" borderId="6" xfId="0" applyNumberFormat="1" applyFont="1" applyFill="1" applyBorder="1" applyAlignment="1" applyProtection="1">
      <alignment horizontal="center" vertical="center"/>
      <protection hidden="1"/>
    </xf>
    <xf numFmtId="0" fontId="37" fillId="248" borderId="95" xfId="0" applyFont="1" applyFill="1" applyBorder="1" applyAlignment="1" applyProtection="1">
      <alignment horizontal="left" vertical="center"/>
      <protection hidden="1"/>
    </xf>
    <xf numFmtId="0" fontId="37" fillId="248" borderId="96" xfId="0" applyFont="1" applyFill="1" applyBorder="1" applyAlignment="1" applyProtection="1">
      <alignment horizontal="center" vertical="center"/>
      <protection hidden="1"/>
    </xf>
    <xf numFmtId="0" fontId="37" fillId="249" borderId="38" xfId="0" applyFont="1" applyFill="1" applyBorder="1" applyAlignment="1" applyProtection="1">
      <alignment horizontal="left" vertical="center"/>
      <protection hidden="1"/>
    </xf>
    <xf numFmtId="1" fontId="37" fillId="249" borderId="6" xfId="0" applyNumberFormat="1" applyFont="1" applyFill="1" applyBorder="1" applyAlignment="1" applyProtection="1">
      <alignment horizontal="center" vertical="center"/>
      <protection hidden="1"/>
    </xf>
    <xf numFmtId="0" fontId="37" fillId="250" borderId="95" xfId="0" applyFont="1" applyFill="1" applyBorder="1" applyAlignment="1" applyProtection="1">
      <alignment horizontal="left" vertical="center"/>
      <protection hidden="1"/>
    </xf>
    <xf numFmtId="0" fontId="37" fillId="250" borderId="96" xfId="0" applyFont="1" applyFill="1" applyBorder="1" applyAlignment="1" applyProtection="1">
      <alignment horizontal="center" vertical="center"/>
      <protection hidden="1"/>
    </xf>
    <xf numFmtId="0" fontId="37" fillId="251" borderId="38" xfId="0" applyFont="1" applyFill="1" applyBorder="1" applyAlignment="1" applyProtection="1">
      <alignment horizontal="left" vertical="center"/>
      <protection hidden="1"/>
    </xf>
    <xf numFmtId="1" fontId="37" fillId="251" borderId="6" xfId="0" applyNumberFormat="1" applyFont="1" applyFill="1" applyBorder="1" applyAlignment="1" applyProtection="1">
      <alignment horizontal="center" vertical="center"/>
      <protection hidden="1"/>
    </xf>
    <xf numFmtId="0" fontId="37" fillId="252" borderId="95" xfId="0" applyFont="1" applyFill="1" applyBorder="1" applyAlignment="1" applyProtection="1">
      <alignment horizontal="left" vertical="center"/>
      <protection hidden="1"/>
    </xf>
    <xf numFmtId="0" fontId="37" fillId="252" borderId="96" xfId="0" applyFont="1" applyFill="1" applyBorder="1" applyAlignment="1" applyProtection="1">
      <alignment horizontal="center" vertical="center"/>
      <protection hidden="1"/>
    </xf>
    <xf numFmtId="0" fontId="37" fillId="232" borderId="35" xfId="0" applyFont="1" applyFill="1" applyBorder="1" applyAlignment="1" applyProtection="1">
      <alignment horizontal="center" vertical="center"/>
      <protection hidden="1"/>
    </xf>
    <xf numFmtId="0" fontId="37" fillId="241" borderId="90" xfId="0" applyFont="1" applyFill="1" applyBorder="1" applyAlignment="1" applyProtection="1">
      <alignment horizontal="center" vertical="center"/>
      <protection hidden="1"/>
    </xf>
    <xf numFmtId="0" fontId="37" fillId="242" borderId="35" xfId="0" applyFont="1" applyFill="1" applyBorder="1" applyAlignment="1" applyProtection="1">
      <alignment horizontal="center" vertical="center"/>
      <protection hidden="1"/>
    </xf>
    <xf numFmtId="0" fontId="37" fillId="243" borderId="90" xfId="0" applyFont="1" applyFill="1" applyBorder="1" applyAlignment="1" applyProtection="1">
      <alignment horizontal="center" vertical="center"/>
      <protection hidden="1"/>
    </xf>
    <xf numFmtId="0" fontId="37" fillId="244" borderId="35" xfId="0" applyFont="1" applyFill="1" applyBorder="1" applyAlignment="1" applyProtection="1">
      <alignment horizontal="center" vertical="center"/>
      <protection hidden="1"/>
    </xf>
    <xf numFmtId="0" fontId="37" fillId="245" borderId="90" xfId="0" applyFont="1" applyFill="1" applyBorder="1" applyAlignment="1" applyProtection="1">
      <alignment horizontal="center" vertical="center"/>
      <protection hidden="1"/>
    </xf>
    <xf numFmtId="0" fontId="37" fillId="197" borderId="35" xfId="0" applyFont="1" applyFill="1" applyBorder="1" applyAlignment="1" applyProtection="1">
      <alignment horizontal="center" vertical="center"/>
      <protection hidden="1"/>
    </xf>
    <xf numFmtId="0" fontId="37" fillId="198" borderId="90" xfId="0" applyFont="1" applyFill="1" applyBorder="1" applyAlignment="1" applyProtection="1">
      <alignment horizontal="center" vertical="center"/>
      <protection hidden="1"/>
    </xf>
    <xf numFmtId="0" fontId="37" fillId="201" borderId="35" xfId="0" applyFont="1" applyFill="1" applyBorder="1" applyAlignment="1" applyProtection="1">
      <alignment horizontal="center" vertical="center"/>
      <protection hidden="1"/>
    </xf>
    <xf numFmtId="0" fontId="37" fillId="202" borderId="90" xfId="0" applyFont="1" applyFill="1" applyBorder="1" applyAlignment="1" applyProtection="1">
      <alignment horizontal="center" vertical="center"/>
      <protection hidden="1"/>
    </xf>
    <xf numFmtId="0" fontId="37" fillId="247" borderId="35" xfId="0" applyFont="1" applyFill="1" applyBorder="1" applyAlignment="1" applyProtection="1">
      <alignment horizontal="center" vertical="center"/>
      <protection hidden="1"/>
    </xf>
    <xf numFmtId="0" fontId="37" fillId="248" borderId="90" xfId="0" applyFont="1" applyFill="1" applyBorder="1" applyAlignment="1" applyProtection="1">
      <alignment horizontal="center" vertical="center"/>
      <protection hidden="1"/>
    </xf>
    <xf numFmtId="0" fontId="37" fillId="249" borderId="35" xfId="0" applyFont="1" applyFill="1" applyBorder="1" applyAlignment="1" applyProtection="1">
      <alignment horizontal="center" vertical="center"/>
      <protection hidden="1"/>
    </xf>
    <xf numFmtId="0" fontId="37" fillId="250" borderId="90" xfId="0" applyFont="1" applyFill="1" applyBorder="1" applyAlignment="1" applyProtection="1">
      <alignment horizontal="center" vertical="center"/>
      <protection hidden="1"/>
    </xf>
    <xf numFmtId="0" fontId="37" fillId="251" borderId="35" xfId="0" applyFont="1" applyFill="1" applyBorder="1" applyAlignment="1" applyProtection="1">
      <alignment horizontal="center" vertical="center"/>
      <protection hidden="1"/>
    </xf>
    <xf numFmtId="0" fontId="37" fillId="252" borderId="90" xfId="0" applyFont="1" applyFill="1" applyBorder="1" applyAlignment="1" applyProtection="1">
      <alignment horizontal="center" vertical="center"/>
      <protection hidden="1"/>
    </xf>
    <xf numFmtId="0" fontId="37" fillId="241" borderId="93" xfId="0" applyFont="1" applyFill="1" applyBorder="1" applyAlignment="1" applyProtection="1">
      <alignment horizontal="center" vertical="center"/>
      <protection hidden="1"/>
    </xf>
    <xf numFmtId="0" fontId="37" fillId="241" borderId="94" xfId="0" applyFont="1" applyFill="1" applyBorder="1" applyAlignment="1" applyProtection="1">
      <alignment horizontal="center" vertical="center"/>
      <protection hidden="1"/>
    </xf>
    <xf numFmtId="0" fontId="37" fillId="243" borderId="93" xfId="0" applyFont="1" applyFill="1" applyBorder="1" applyAlignment="1" applyProtection="1">
      <alignment horizontal="center" vertical="center"/>
      <protection hidden="1"/>
    </xf>
    <xf numFmtId="0" fontId="37" fillId="243" borderId="94" xfId="0" applyFont="1" applyFill="1" applyBorder="1" applyAlignment="1" applyProtection="1">
      <alignment horizontal="center" vertical="center"/>
      <protection hidden="1"/>
    </xf>
    <xf numFmtId="0" fontId="37" fillId="245" borderId="93" xfId="0" applyFont="1" applyFill="1" applyBorder="1" applyAlignment="1" applyProtection="1">
      <alignment horizontal="center" vertical="center"/>
      <protection hidden="1"/>
    </xf>
    <xf numFmtId="0" fontId="37" fillId="245" borderId="94" xfId="0" applyFont="1" applyFill="1" applyBorder="1" applyAlignment="1" applyProtection="1">
      <alignment horizontal="center" vertical="center"/>
      <protection hidden="1"/>
    </xf>
    <xf numFmtId="0" fontId="37" fillId="198" borderId="93" xfId="0" applyFont="1" applyFill="1" applyBorder="1" applyAlignment="1" applyProtection="1">
      <alignment horizontal="center" vertical="center"/>
      <protection hidden="1"/>
    </xf>
    <xf numFmtId="0" fontId="37" fillId="198" borderId="94" xfId="0" applyFont="1" applyFill="1" applyBorder="1" applyAlignment="1" applyProtection="1">
      <alignment horizontal="center" vertical="center"/>
      <protection hidden="1"/>
    </xf>
    <xf numFmtId="0" fontId="37" fillId="202" borderId="93" xfId="0" applyFont="1" applyFill="1" applyBorder="1" applyAlignment="1" applyProtection="1">
      <alignment horizontal="center" vertical="center"/>
      <protection hidden="1"/>
    </xf>
    <xf numFmtId="0" fontId="37" fillId="202" borderId="94" xfId="0" applyFont="1" applyFill="1" applyBorder="1" applyAlignment="1" applyProtection="1">
      <alignment horizontal="center" vertical="center"/>
      <protection hidden="1"/>
    </xf>
    <xf numFmtId="0" fontId="37" fillId="248" borderId="93" xfId="0" applyFont="1" applyFill="1" applyBorder="1" applyAlignment="1" applyProtection="1">
      <alignment horizontal="center" vertical="center"/>
      <protection hidden="1"/>
    </xf>
    <xf numFmtId="0" fontId="37" fillId="248" borderId="94" xfId="0" applyFont="1" applyFill="1" applyBorder="1" applyAlignment="1" applyProtection="1">
      <alignment horizontal="center" vertical="center"/>
      <protection hidden="1"/>
    </xf>
    <xf numFmtId="0" fontId="37" fillId="250" borderId="93" xfId="0" applyFont="1" applyFill="1" applyBorder="1" applyAlignment="1" applyProtection="1">
      <alignment horizontal="center" vertical="center"/>
      <protection hidden="1"/>
    </xf>
    <xf numFmtId="0" fontId="37" fillId="250" borderId="94" xfId="0" applyFont="1" applyFill="1" applyBorder="1" applyAlignment="1" applyProtection="1">
      <alignment horizontal="center" vertical="center"/>
      <protection hidden="1"/>
    </xf>
    <xf numFmtId="0" fontId="37" fillId="252" borderId="93" xfId="0" applyFont="1" applyFill="1" applyBorder="1" applyAlignment="1" applyProtection="1">
      <alignment horizontal="center" vertical="center"/>
      <protection hidden="1"/>
    </xf>
    <xf numFmtId="0" fontId="37" fillId="232" borderId="38" xfId="0" applyFont="1" applyFill="1" applyBorder="1" applyAlignment="1" applyProtection="1">
      <alignment horizontal="center" vertical="center"/>
      <protection hidden="1"/>
    </xf>
    <xf numFmtId="0" fontId="37" fillId="241" borderId="95" xfId="0" applyFont="1" applyFill="1" applyBorder="1" applyAlignment="1" applyProtection="1">
      <alignment horizontal="center" vertical="center"/>
      <protection hidden="1"/>
    </xf>
    <xf numFmtId="0" fontId="37" fillId="242" borderId="38" xfId="0" applyFont="1" applyFill="1" applyBorder="1" applyAlignment="1" applyProtection="1">
      <alignment horizontal="center" vertical="center"/>
      <protection hidden="1"/>
    </xf>
    <xf numFmtId="0" fontId="37" fillId="243" borderId="95" xfId="0" applyFont="1" applyFill="1" applyBorder="1" applyAlignment="1" applyProtection="1">
      <alignment horizontal="center" vertical="center"/>
      <protection hidden="1"/>
    </xf>
    <xf numFmtId="0" fontId="37" fillId="244" borderId="38" xfId="0" applyFont="1" applyFill="1" applyBorder="1" applyAlignment="1" applyProtection="1">
      <alignment horizontal="center" vertical="center"/>
      <protection hidden="1"/>
    </xf>
    <xf numFmtId="0" fontId="37" fillId="245" borderId="95" xfId="0" applyFont="1" applyFill="1" applyBorder="1" applyAlignment="1" applyProtection="1">
      <alignment horizontal="center" vertical="center"/>
      <protection hidden="1"/>
    </xf>
    <xf numFmtId="0" fontId="37" fillId="197" borderId="38" xfId="0" applyFont="1" applyFill="1" applyBorder="1" applyAlignment="1" applyProtection="1">
      <alignment horizontal="center" vertical="center"/>
      <protection hidden="1"/>
    </xf>
    <xf numFmtId="0" fontId="37" fillId="198" borderId="95" xfId="0" applyFont="1" applyFill="1" applyBorder="1" applyAlignment="1" applyProtection="1">
      <alignment horizontal="center" vertical="center"/>
      <protection hidden="1"/>
    </xf>
    <xf numFmtId="0" fontId="37" fillId="201" borderId="38" xfId="0" applyFont="1" applyFill="1" applyBorder="1" applyAlignment="1" applyProtection="1">
      <alignment horizontal="center" vertical="center"/>
      <protection hidden="1"/>
    </xf>
    <xf numFmtId="0" fontId="37" fillId="202" borderId="95" xfId="0" applyFont="1" applyFill="1" applyBorder="1" applyAlignment="1" applyProtection="1">
      <alignment horizontal="center" vertical="center"/>
      <protection hidden="1"/>
    </xf>
    <xf numFmtId="0" fontId="37" fillId="247" borderId="38" xfId="0" applyFont="1" applyFill="1" applyBorder="1" applyAlignment="1" applyProtection="1">
      <alignment horizontal="center" vertical="center"/>
      <protection hidden="1"/>
    </xf>
    <xf numFmtId="0" fontId="37" fillId="248" borderId="95" xfId="0" applyFont="1" applyFill="1" applyBorder="1" applyAlignment="1" applyProtection="1">
      <alignment horizontal="center" vertical="center"/>
      <protection hidden="1"/>
    </xf>
    <xf numFmtId="0" fontId="37" fillId="249" borderId="38" xfId="0" applyFont="1" applyFill="1" applyBorder="1" applyAlignment="1" applyProtection="1">
      <alignment horizontal="center" vertical="center"/>
      <protection hidden="1"/>
    </xf>
    <xf numFmtId="0" fontId="37" fillId="250" borderId="95" xfId="0" applyFont="1" applyFill="1" applyBorder="1" applyAlignment="1" applyProtection="1">
      <alignment horizontal="center" vertical="center"/>
      <protection hidden="1"/>
    </xf>
    <xf numFmtId="0" fontId="37" fillId="251" borderId="38" xfId="0" applyFont="1" applyFill="1" applyBorder="1" applyAlignment="1" applyProtection="1">
      <alignment horizontal="center" vertical="center"/>
      <protection hidden="1"/>
    </xf>
    <xf numFmtId="0" fontId="37" fillId="252" borderId="95" xfId="0" applyFont="1" applyFill="1" applyBorder="1" applyAlignment="1" applyProtection="1">
      <alignment horizontal="center" vertical="center"/>
      <protection hidden="1"/>
    </xf>
    <xf numFmtId="0" fontId="14" fillId="170" borderId="0" xfId="0" applyFont="1" applyFill="1" applyAlignment="1" applyProtection="1">
      <alignment horizontal="center" vertical="center"/>
      <protection hidden="1"/>
    </xf>
    <xf numFmtId="0" fontId="5" fillId="170" borderId="0" xfId="0" applyFont="1" applyFill="1" applyBorder="1" applyAlignment="1" applyProtection="1">
      <alignment horizontal="center" vertical="center"/>
      <protection hidden="1"/>
    </xf>
    <xf numFmtId="0" fontId="37" fillId="241" borderId="72" xfId="0" applyFont="1" applyFill="1" applyBorder="1" applyAlignment="1" applyProtection="1">
      <alignment horizontal="center" vertical="center"/>
      <protection hidden="1"/>
    </xf>
    <xf numFmtId="0" fontId="37" fillId="243" borderId="72" xfId="0" applyFont="1" applyFill="1" applyBorder="1" applyAlignment="1" applyProtection="1">
      <alignment horizontal="center" vertical="center"/>
      <protection hidden="1"/>
    </xf>
    <xf numFmtId="0" fontId="37" fillId="245" borderId="72" xfId="0" applyFont="1" applyFill="1" applyBorder="1" applyAlignment="1" applyProtection="1">
      <alignment horizontal="center" vertical="center"/>
      <protection hidden="1"/>
    </xf>
    <xf numFmtId="0" fontId="37" fillId="198" borderId="72" xfId="0" applyFont="1" applyFill="1" applyBorder="1" applyAlignment="1" applyProtection="1">
      <alignment horizontal="center" vertical="center"/>
      <protection hidden="1"/>
    </xf>
    <xf numFmtId="0" fontId="37" fillId="202" borderId="72" xfId="0" applyFont="1" applyFill="1" applyBorder="1" applyAlignment="1" applyProtection="1">
      <alignment horizontal="center" vertical="center"/>
      <protection hidden="1"/>
    </xf>
    <xf numFmtId="0" fontId="37" fillId="248" borderId="72" xfId="0" applyFont="1" applyFill="1" applyBorder="1" applyAlignment="1" applyProtection="1">
      <alignment horizontal="center" vertical="center"/>
      <protection hidden="1"/>
    </xf>
    <xf numFmtId="0" fontId="37" fillId="250" borderId="72" xfId="0" applyFont="1" applyFill="1" applyBorder="1" applyAlignment="1" applyProtection="1">
      <alignment horizontal="center" vertical="center"/>
      <protection hidden="1"/>
    </xf>
    <xf numFmtId="0" fontId="37" fillId="252" borderId="72" xfId="0" applyFont="1" applyFill="1" applyBorder="1" applyAlignment="1" applyProtection="1">
      <alignment horizontal="center" vertical="center"/>
      <protection hidden="1"/>
    </xf>
    <xf numFmtId="0" fontId="14" fillId="232" borderId="38" xfId="0" applyFont="1" applyFill="1" applyBorder="1" applyAlignment="1" applyProtection="1">
      <alignment horizontal="center" vertical="center"/>
      <protection hidden="1"/>
    </xf>
    <xf numFmtId="0" fontId="14" fillId="241" borderId="77" xfId="0" applyFont="1" applyFill="1" applyBorder="1" applyAlignment="1" applyProtection="1">
      <alignment horizontal="center" vertical="center"/>
      <protection hidden="1"/>
    </xf>
    <xf numFmtId="0" fontId="14" fillId="242" borderId="38" xfId="0" applyFont="1" applyFill="1" applyBorder="1" applyAlignment="1" applyProtection="1">
      <alignment horizontal="center" vertical="center"/>
      <protection hidden="1"/>
    </xf>
    <xf numFmtId="0" fontId="14" fillId="243" borderId="77" xfId="0" applyFont="1" applyFill="1" applyBorder="1" applyAlignment="1" applyProtection="1">
      <alignment horizontal="center" vertical="center"/>
      <protection hidden="1"/>
    </xf>
    <xf numFmtId="0" fontId="14" fillId="244" borderId="38" xfId="0" applyFont="1" applyFill="1" applyBorder="1" applyAlignment="1" applyProtection="1">
      <alignment horizontal="center" vertical="center"/>
      <protection hidden="1"/>
    </xf>
    <xf numFmtId="0" fontId="14" fillId="245" borderId="77" xfId="0" applyFont="1" applyFill="1" applyBorder="1" applyAlignment="1" applyProtection="1">
      <alignment horizontal="center" vertical="center"/>
      <protection hidden="1"/>
    </xf>
    <xf numFmtId="0" fontId="14" fillId="197" borderId="38" xfId="0" applyFont="1" applyFill="1" applyBorder="1" applyAlignment="1" applyProtection="1">
      <alignment horizontal="center" vertical="center"/>
      <protection hidden="1"/>
    </xf>
    <xf numFmtId="0" fontId="14" fillId="198" borderId="77" xfId="0" applyFont="1" applyFill="1" applyBorder="1" applyAlignment="1" applyProtection="1">
      <alignment horizontal="center" vertical="center"/>
      <protection hidden="1"/>
    </xf>
    <xf numFmtId="0" fontId="14" fillId="201" borderId="38" xfId="0" applyFont="1" applyFill="1" applyBorder="1" applyAlignment="1" applyProtection="1">
      <alignment horizontal="center" vertical="center"/>
      <protection hidden="1"/>
    </xf>
    <xf numFmtId="0" fontId="14" fillId="202" borderId="77" xfId="0" applyFont="1" applyFill="1" applyBorder="1" applyAlignment="1" applyProtection="1">
      <alignment horizontal="center" vertical="center"/>
      <protection hidden="1"/>
    </xf>
    <xf numFmtId="0" fontId="14" fillId="247" borderId="38" xfId="0" applyFont="1" applyFill="1" applyBorder="1" applyAlignment="1" applyProtection="1">
      <alignment horizontal="center" vertical="center"/>
      <protection hidden="1"/>
    </xf>
    <xf numFmtId="0" fontId="14" fillId="248" borderId="77" xfId="0" applyFont="1" applyFill="1" applyBorder="1" applyAlignment="1" applyProtection="1">
      <alignment horizontal="center" vertical="center"/>
      <protection hidden="1"/>
    </xf>
    <xf numFmtId="0" fontId="14" fillId="249" borderId="38" xfId="0" applyFont="1" applyFill="1" applyBorder="1" applyAlignment="1" applyProtection="1">
      <alignment horizontal="center" vertical="center"/>
      <protection hidden="1"/>
    </xf>
    <xf numFmtId="0" fontId="14" fillId="250" borderId="77" xfId="0" applyFont="1" applyFill="1" applyBorder="1" applyAlignment="1" applyProtection="1">
      <alignment horizontal="center" vertical="center"/>
      <protection hidden="1"/>
    </xf>
    <xf numFmtId="0" fontId="14" fillId="251" borderId="38" xfId="0" applyFont="1" applyFill="1" applyBorder="1" applyAlignment="1" applyProtection="1">
      <alignment horizontal="center" vertical="center"/>
      <protection hidden="1"/>
    </xf>
    <xf numFmtId="0" fontId="14" fillId="252" borderId="77" xfId="0" applyFont="1" applyFill="1" applyBorder="1" applyAlignment="1" applyProtection="1">
      <alignment horizontal="center" vertical="center"/>
      <protection hidden="1"/>
    </xf>
    <xf numFmtId="0" fontId="5" fillId="170" borderId="0" xfId="0" applyFont="1" applyFill="1" applyAlignment="1">
      <alignment horizontal="center" vertical="center"/>
    </xf>
    <xf numFmtId="0" fontId="103" fillId="170" borderId="0" xfId="0" applyFont="1" applyFill="1" applyAlignment="1">
      <alignment horizontal="center" vertical="center"/>
    </xf>
    <xf numFmtId="0" fontId="103" fillId="5" borderId="0" xfId="0" applyFont="1" applyFill="1" applyAlignment="1">
      <alignment horizontal="center" vertical="center"/>
    </xf>
    <xf numFmtId="0" fontId="37" fillId="228" borderId="3" xfId="0" applyFont="1" applyFill="1" applyBorder="1" applyAlignment="1" applyProtection="1">
      <alignment horizontal="center" vertical="center"/>
      <protection hidden="1"/>
    </xf>
    <xf numFmtId="0" fontId="37" fillId="228" borderId="6" xfId="0" applyFont="1" applyFill="1" applyBorder="1" applyAlignment="1" applyProtection="1">
      <alignment horizontal="center" vertical="center"/>
      <protection hidden="1"/>
    </xf>
    <xf numFmtId="0" fontId="37" fillId="228" borderId="2" xfId="0" applyFont="1" applyFill="1" applyBorder="1" applyAlignment="1" applyProtection="1">
      <alignment horizontal="center" vertical="center"/>
      <protection hidden="1"/>
    </xf>
    <xf numFmtId="0" fontId="37" fillId="232" borderId="80" xfId="0" applyFont="1" applyFill="1" applyBorder="1" applyAlignment="1" applyProtection="1">
      <alignment horizontal="center" vertical="center"/>
      <protection hidden="1"/>
    </xf>
    <xf numFmtId="0" fontId="14" fillId="232" borderId="81" xfId="0" applyFont="1" applyFill="1" applyBorder="1" applyAlignment="1" applyProtection="1">
      <alignment horizontal="center" vertical="center"/>
      <protection hidden="1"/>
    </xf>
    <xf numFmtId="0" fontId="37" fillId="232" borderId="82" xfId="0" applyFont="1" applyFill="1" applyBorder="1" applyAlignment="1" applyProtection="1">
      <alignment horizontal="center" vertical="center"/>
      <protection hidden="1"/>
    </xf>
    <xf numFmtId="0" fontId="37" fillId="225" borderId="3" xfId="0" applyFont="1" applyFill="1" applyBorder="1" applyAlignment="1" applyProtection="1">
      <alignment horizontal="center" vertical="center"/>
      <protection hidden="1"/>
    </xf>
    <xf numFmtId="0" fontId="37" fillId="225" borderId="6" xfId="0" applyFont="1" applyFill="1" applyBorder="1" applyAlignment="1" applyProtection="1">
      <alignment horizontal="center" vertical="center"/>
      <protection hidden="1"/>
    </xf>
    <xf numFmtId="0" fontId="37" fillId="225" borderId="2" xfId="0" applyFont="1" applyFill="1" applyBorder="1" applyAlignment="1" applyProtection="1">
      <alignment horizontal="center" vertical="center"/>
      <protection hidden="1"/>
    </xf>
    <xf numFmtId="0" fontId="37" fillId="225" borderId="80" xfId="0" applyFont="1" applyFill="1" applyBorder="1" applyAlignment="1" applyProtection="1">
      <alignment horizontal="center" vertical="center"/>
      <protection hidden="1"/>
    </xf>
    <xf numFmtId="0" fontId="14" fillId="225" borderId="81" xfId="0" applyFont="1" applyFill="1" applyBorder="1" applyAlignment="1" applyProtection="1">
      <alignment horizontal="center" vertical="center"/>
      <protection hidden="1"/>
    </xf>
    <xf numFmtId="0" fontId="37" fillId="225" borderId="82" xfId="0" applyFont="1" applyFill="1" applyBorder="1" applyAlignment="1" applyProtection="1">
      <alignment horizontal="center" vertical="center"/>
      <protection hidden="1"/>
    </xf>
    <xf numFmtId="0" fontId="37" fillId="223" borderId="3" xfId="0" applyFont="1" applyFill="1" applyBorder="1" applyAlignment="1" applyProtection="1">
      <alignment horizontal="center" vertical="center"/>
      <protection hidden="1"/>
    </xf>
    <xf numFmtId="0" fontId="37" fillId="223" borderId="6" xfId="0" applyFont="1" applyFill="1" applyBorder="1" applyAlignment="1" applyProtection="1">
      <alignment horizontal="center" vertical="center"/>
      <protection hidden="1"/>
    </xf>
    <xf numFmtId="0" fontId="37" fillId="223" borderId="2" xfId="0" applyFont="1" applyFill="1" applyBorder="1" applyAlignment="1" applyProtection="1">
      <alignment horizontal="center" vertical="center"/>
      <protection hidden="1"/>
    </xf>
    <xf numFmtId="0" fontId="37" fillId="244" borderId="80" xfId="0" applyFont="1" applyFill="1" applyBorder="1" applyAlignment="1" applyProtection="1">
      <alignment horizontal="center" vertical="center"/>
      <protection hidden="1"/>
    </xf>
    <xf numFmtId="0" fontId="14" fillId="244" borderId="81" xfId="0" applyFont="1" applyFill="1" applyBorder="1" applyAlignment="1" applyProtection="1">
      <alignment horizontal="center" vertical="center"/>
      <protection hidden="1"/>
    </xf>
    <xf numFmtId="0" fontId="37" fillId="244" borderId="82" xfId="0" applyFont="1" applyFill="1" applyBorder="1" applyAlignment="1" applyProtection="1">
      <alignment horizontal="center" vertical="center"/>
      <protection hidden="1"/>
    </xf>
    <xf numFmtId="0" fontId="37" fillId="192" borderId="3" xfId="0" applyFont="1" applyFill="1" applyBorder="1" applyAlignment="1" applyProtection="1">
      <alignment horizontal="center" vertical="center"/>
      <protection hidden="1"/>
    </xf>
    <xf numFmtId="0" fontId="37" fillId="192" borderId="6" xfId="0" applyFont="1" applyFill="1" applyBorder="1" applyAlignment="1" applyProtection="1">
      <alignment horizontal="center" vertical="center"/>
      <protection hidden="1"/>
    </xf>
    <xf numFmtId="0" fontId="37" fillId="192" borderId="2" xfId="0" applyFont="1" applyFill="1" applyBorder="1" applyAlignment="1" applyProtection="1">
      <alignment horizontal="center" vertical="center"/>
      <protection hidden="1"/>
    </xf>
    <xf numFmtId="0" fontId="37" fillId="199" borderId="80" xfId="0" applyFont="1" applyFill="1" applyBorder="1" applyAlignment="1" applyProtection="1">
      <alignment horizontal="center" vertical="center"/>
      <protection hidden="1"/>
    </xf>
    <xf numFmtId="0" fontId="14" fillId="199" borderId="81" xfId="0" applyFont="1" applyFill="1" applyBorder="1" applyAlignment="1" applyProtection="1">
      <alignment horizontal="center" vertical="center"/>
      <protection hidden="1"/>
    </xf>
    <xf numFmtId="0" fontId="37" fillId="199" borderId="82" xfId="0" applyFont="1" applyFill="1" applyBorder="1" applyAlignment="1" applyProtection="1">
      <alignment horizontal="center" vertical="center"/>
      <protection hidden="1"/>
    </xf>
    <xf numFmtId="0" fontId="37" fillId="193" borderId="3" xfId="0" applyFont="1" applyFill="1" applyBorder="1" applyAlignment="1" applyProtection="1">
      <alignment horizontal="center" vertical="center"/>
      <protection hidden="1"/>
    </xf>
    <xf numFmtId="0" fontId="37" fillId="193" borderId="6" xfId="0" applyFont="1" applyFill="1" applyBorder="1" applyAlignment="1" applyProtection="1">
      <alignment horizontal="center" vertical="center"/>
      <protection hidden="1"/>
    </xf>
    <xf numFmtId="0" fontId="37" fillId="193" borderId="2" xfId="0" applyFont="1" applyFill="1" applyBorder="1" applyAlignment="1" applyProtection="1">
      <alignment horizontal="center" vertical="center"/>
      <protection hidden="1"/>
    </xf>
    <xf numFmtId="0" fontId="37" fillId="201" borderId="80" xfId="0" applyFont="1" applyFill="1" applyBorder="1" applyAlignment="1" applyProtection="1">
      <alignment horizontal="center" vertical="center"/>
      <protection hidden="1"/>
    </xf>
    <xf numFmtId="0" fontId="14" fillId="201" borderId="81" xfId="0" applyFont="1" applyFill="1" applyBorder="1" applyAlignment="1" applyProtection="1">
      <alignment horizontal="center" vertical="center"/>
      <protection hidden="1"/>
    </xf>
    <xf numFmtId="0" fontId="37" fillId="201" borderId="82" xfId="0" applyFont="1" applyFill="1" applyBorder="1" applyAlignment="1" applyProtection="1">
      <alignment horizontal="center" vertical="center"/>
      <protection hidden="1"/>
    </xf>
    <xf numFmtId="0" fontId="37" fillId="191" borderId="3" xfId="0" applyFont="1" applyFill="1" applyBorder="1" applyAlignment="1" applyProtection="1">
      <alignment horizontal="center" vertical="center"/>
      <protection hidden="1"/>
    </xf>
    <xf numFmtId="0" fontId="37" fillId="191" borderId="6" xfId="0" applyFont="1" applyFill="1" applyBorder="1" applyAlignment="1" applyProtection="1">
      <alignment horizontal="center" vertical="center"/>
      <protection hidden="1"/>
    </xf>
    <xf numFmtId="0" fontId="37" fillId="191" borderId="2" xfId="0" applyFont="1" applyFill="1" applyBorder="1" applyAlignment="1" applyProtection="1">
      <alignment horizontal="center" vertical="center"/>
      <protection hidden="1"/>
    </xf>
    <xf numFmtId="0" fontId="37" fillId="247" borderId="80" xfId="0" applyFont="1" applyFill="1" applyBorder="1" applyAlignment="1" applyProtection="1">
      <alignment horizontal="center" vertical="center"/>
      <protection hidden="1"/>
    </xf>
    <xf numFmtId="0" fontId="14" fillId="247" borderId="81" xfId="0" applyFont="1" applyFill="1" applyBorder="1" applyAlignment="1" applyProtection="1">
      <alignment horizontal="center" vertical="center"/>
      <protection hidden="1"/>
    </xf>
    <xf numFmtId="0" fontId="37" fillId="247" borderId="82" xfId="0" applyFont="1" applyFill="1" applyBorder="1" applyAlignment="1" applyProtection="1">
      <alignment horizontal="center" vertical="center"/>
      <protection hidden="1"/>
    </xf>
    <xf numFmtId="0" fontId="37" fillId="194" borderId="3" xfId="0" applyFont="1" applyFill="1" applyBorder="1" applyAlignment="1" applyProtection="1">
      <alignment horizontal="center" vertical="center"/>
      <protection hidden="1"/>
    </xf>
    <xf numFmtId="0" fontId="37" fillId="194" borderId="6" xfId="0" applyFont="1" applyFill="1" applyBorder="1" applyAlignment="1" applyProtection="1">
      <alignment horizontal="center" vertical="center"/>
      <protection hidden="1"/>
    </xf>
    <xf numFmtId="0" fontId="37" fillId="194" borderId="2" xfId="0" applyFont="1" applyFill="1" applyBorder="1" applyAlignment="1" applyProtection="1">
      <alignment horizontal="center" vertical="center"/>
      <protection hidden="1"/>
    </xf>
    <xf numFmtId="0" fontId="37" fillId="249" borderId="80" xfId="0" applyFont="1" applyFill="1" applyBorder="1" applyAlignment="1" applyProtection="1">
      <alignment horizontal="center" vertical="center"/>
      <protection hidden="1"/>
    </xf>
    <xf numFmtId="0" fontId="14" fillId="249" borderId="81" xfId="0" applyFont="1" applyFill="1" applyBorder="1" applyAlignment="1" applyProtection="1">
      <alignment horizontal="center" vertical="center"/>
      <protection hidden="1"/>
    </xf>
    <xf numFmtId="0" fontId="37" fillId="249" borderId="82" xfId="0" applyFont="1" applyFill="1" applyBorder="1" applyAlignment="1" applyProtection="1">
      <alignment horizontal="center" vertical="center"/>
      <protection hidden="1"/>
    </xf>
    <xf numFmtId="0" fontId="37" fillId="200" borderId="3" xfId="0" applyFont="1" applyFill="1" applyBorder="1" applyAlignment="1" applyProtection="1">
      <alignment horizontal="center" vertical="center"/>
      <protection hidden="1"/>
    </xf>
    <xf numFmtId="0" fontId="37" fillId="200" borderId="6" xfId="0" applyFont="1" applyFill="1" applyBorder="1" applyAlignment="1" applyProtection="1">
      <alignment horizontal="center" vertical="center"/>
      <protection hidden="1"/>
    </xf>
    <xf numFmtId="0" fontId="37" fillId="200" borderId="2" xfId="0" applyFont="1" applyFill="1" applyBorder="1" applyAlignment="1" applyProtection="1">
      <alignment horizontal="center" vertical="center"/>
      <protection hidden="1"/>
    </xf>
    <xf numFmtId="0" fontId="37" fillId="251" borderId="80" xfId="0" applyFont="1" applyFill="1" applyBorder="1" applyAlignment="1" applyProtection="1">
      <alignment horizontal="center" vertical="center"/>
      <protection hidden="1"/>
    </xf>
    <xf numFmtId="0" fontId="14" fillId="251" borderId="81" xfId="0" applyFont="1" applyFill="1" applyBorder="1" applyAlignment="1" applyProtection="1">
      <alignment horizontal="center" vertical="center"/>
      <protection hidden="1"/>
    </xf>
    <xf numFmtId="0" fontId="37" fillId="251" borderId="82" xfId="0" applyFont="1" applyFill="1" applyBorder="1" applyAlignment="1" applyProtection="1">
      <alignment horizontal="center" vertical="center"/>
      <protection hidden="1"/>
    </xf>
    <xf numFmtId="2" fontId="14" fillId="189" borderId="43" xfId="9" applyNumberFormat="1" applyFont="1" applyFill="1" applyBorder="1">
      <alignment horizontal="center" vertical="center"/>
    </xf>
    <xf numFmtId="1" fontId="37" fillId="242" borderId="0" xfId="0" applyNumberFormat="1" applyFont="1" applyFill="1" applyBorder="1" applyAlignment="1" applyProtection="1">
      <alignment horizontal="center" vertical="center"/>
      <protection hidden="1"/>
    </xf>
    <xf numFmtId="1" fontId="37" fillId="244" borderId="0" xfId="0" applyNumberFormat="1" applyFont="1" applyFill="1" applyBorder="1" applyAlignment="1" applyProtection="1">
      <alignment horizontal="center" vertical="center"/>
      <protection hidden="1"/>
    </xf>
    <xf numFmtId="1" fontId="37" fillId="197" borderId="0" xfId="0" applyNumberFormat="1" applyFont="1" applyFill="1" applyBorder="1" applyAlignment="1" applyProtection="1">
      <alignment horizontal="center" vertical="center"/>
      <protection hidden="1"/>
    </xf>
    <xf numFmtId="1" fontId="37" fillId="201" borderId="0" xfId="0" applyNumberFormat="1" applyFont="1" applyFill="1" applyBorder="1" applyAlignment="1" applyProtection="1">
      <alignment horizontal="center" vertical="center"/>
      <protection hidden="1"/>
    </xf>
    <xf numFmtId="1" fontId="37" fillId="247" borderId="0" xfId="0" applyNumberFormat="1" applyFont="1" applyFill="1" applyBorder="1" applyAlignment="1" applyProtection="1">
      <alignment horizontal="center" vertical="center"/>
      <protection hidden="1"/>
    </xf>
    <xf numFmtId="1" fontId="37" fillId="249" borderId="0" xfId="0" applyNumberFormat="1" applyFont="1" applyFill="1" applyBorder="1" applyAlignment="1" applyProtection="1">
      <alignment horizontal="center" vertical="center"/>
      <protection hidden="1"/>
    </xf>
    <xf numFmtId="1" fontId="37" fillId="251" borderId="0" xfId="0" applyNumberFormat="1" applyFont="1" applyFill="1" applyBorder="1" applyAlignment="1" applyProtection="1">
      <alignment horizontal="center" vertical="center"/>
      <protection hidden="1"/>
    </xf>
    <xf numFmtId="168" fontId="37" fillId="232" borderId="0" xfId="9" applyNumberFormat="1" applyFont="1" applyFill="1" applyBorder="1">
      <alignment horizontal="center" vertical="center"/>
    </xf>
    <xf numFmtId="168" fontId="14" fillId="241" borderId="0" xfId="9" applyNumberFormat="1" applyFont="1" applyFill="1" applyBorder="1">
      <alignment horizontal="center" vertical="center"/>
    </xf>
    <xf numFmtId="168" fontId="37" fillId="242" borderId="0" xfId="9" applyNumberFormat="1" applyFont="1" applyFill="1" applyBorder="1">
      <alignment horizontal="center" vertical="center"/>
    </xf>
    <xf numFmtId="168" fontId="14" fillId="243" borderId="0" xfId="9" applyNumberFormat="1" applyFont="1" applyFill="1" applyBorder="1">
      <alignment horizontal="center" vertical="center"/>
    </xf>
    <xf numFmtId="168" fontId="37" fillId="244" borderId="0" xfId="9" applyNumberFormat="1" applyFont="1" applyFill="1" applyBorder="1">
      <alignment horizontal="center" vertical="center"/>
    </xf>
    <xf numFmtId="168" fontId="14" fillId="245" borderId="0" xfId="9" applyNumberFormat="1" applyFont="1" applyFill="1" applyBorder="1">
      <alignment horizontal="center" vertical="center"/>
    </xf>
    <xf numFmtId="168" fontId="37" fillId="197" borderId="0" xfId="9" applyNumberFormat="1" applyFont="1" applyFill="1" applyBorder="1">
      <alignment horizontal="center" vertical="center"/>
    </xf>
    <xf numFmtId="168" fontId="14" fillId="198" borderId="0" xfId="9" applyNumberFormat="1" applyFont="1" applyFill="1" applyBorder="1">
      <alignment horizontal="center" vertical="center"/>
    </xf>
    <xf numFmtId="168" fontId="37" fillId="201" borderId="0" xfId="9" applyNumberFormat="1" applyFont="1" applyFill="1" applyBorder="1">
      <alignment horizontal="center" vertical="center"/>
    </xf>
    <xf numFmtId="168" fontId="14" fillId="202" borderId="0" xfId="9" applyNumberFormat="1" applyFont="1" applyFill="1" applyBorder="1">
      <alignment horizontal="center" vertical="center"/>
    </xf>
    <xf numFmtId="168" fontId="37" fillId="247" borderId="0" xfId="9" applyNumberFormat="1" applyFont="1" applyFill="1" applyBorder="1">
      <alignment horizontal="center" vertical="center"/>
    </xf>
    <xf numFmtId="168" fontId="14" fillId="248" borderId="0" xfId="9" applyNumberFormat="1" applyFont="1" applyFill="1" applyBorder="1">
      <alignment horizontal="center" vertical="center"/>
    </xf>
    <xf numFmtId="168" fontId="37" fillId="249" borderId="0" xfId="9" applyNumberFormat="1" applyFont="1" applyFill="1" applyBorder="1">
      <alignment horizontal="center" vertical="center"/>
    </xf>
    <xf numFmtId="168" fontId="14" fillId="250" borderId="0" xfId="9" applyNumberFormat="1" applyFont="1" applyFill="1" applyBorder="1">
      <alignment horizontal="center" vertical="center"/>
    </xf>
    <xf numFmtId="168" fontId="37" fillId="251" borderId="0" xfId="9" applyNumberFormat="1" applyFont="1" applyFill="1" applyBorder="1">
      <alignment horizontal="center" vertical="center"/>
    </xf>
    <xf numFmtId="168" fontId="14" fillId="252" borderId="0" xfId="9" applyNumberFormat="1" applyFont="1" applyFill="1" applyBorder="1">
      <alignment horizontal="center" vertical="center"/>
    </xf>
    <xf numFmtId="2" fontId="37" fillId="170" borderId="0" xfId="4" applyFont="1" applyFill="1" applyBorder="1" applyAlignment="1" applyProtection="1">
      <alignment horizontal="left" vertical="center"/>
      <protection hidden="1"/>
    </xf>
    <xf numFmtId="0" fontId="51" fillId="257" borderId="0" xfId="0" applyFont="1" applyFill="1" applyBorder="1" applyAlignment="1" applyProtection="1">
      <alignment horizontal="center" vertical="center"/>
      <protection hidden="1"/>
    </xf>
    <xf numFmtId="0" fontId="37" fillId="257" borderId="0" xfId="0" applyFont="1" applyFill="1" applyBorder="1" applyAlignment="1" applyProtection="1">
      <alignment horizontal="left" vertical="center"/>
      <protection hidden="1"/>
    </xf>
    <xf numFmtId="0" fontId="37" fillId="257" borderId="48" xfId="0" applyFont="1" applyFill="1" applyBorder="1" applyAlignment="1" applyProtection="1">
      <alignment horizontal="left" vertical="center"/>
      <protection hidden="1"/>
    </xf>
    <xf numFmtId="0" fontId="37" fillId="257" borderId="0" xfId="0" applyFont="1" applyFill="1" applyBorder="1" applyAlignment="1" applyProtection="1">
      <alignment horizontal="center" vertical="center"/>
      <protection hidden="1"/>
    </xf>
    <xf numFmtId="0" fontId="37" fillId="257" borderId="23" xfId="0" applyFont="1" applyFill="1" applyBorder="1" applyAlignment="1" applyProtection="1">
      <alignment horizontal="center" vertical="center"/>
      <protection hidden="1"/>
    </xf>
    <xf numFmtId="0" fontId="14" fillId="257" borderId="23" xfId="0" applyFont="1" applyFill="1" applyBorder="1" applyAlignment="1" applyProtection="1">
      <alignment horizontal="left" vertical="center"/>
      <protection hidden="1"/>
    </xf>
    <xf numFmtId="0" fontId="37" fillId="5" borderId="0" xfId="0" applyFont="1" applyFill="1" applyAlignment="1" applyProtection="1">
      <alignment vertical="center" wrapText="1"/>
      <protection hidden="1"/>
    </xf>
    <xf numFmtId="0" fontId="37" fillId="257" borderId="36" xfId="0" applyFont="1" applyFill="1" applyBorder="1" applyAlignment="1" applyProtection="1">
      <alignment horizontal="center" vertical="center"/>
      <protection hidden="1"/>
    </xf>
    <xf numFmtId="0" fontId="37" fillId="257" borderId="36" xfId="0" applyFont="1" applyFill="1" applyBorder="1" applyAlignment="1" applyProtection="1">
      <alignment horizontal="left" vertical="center"/>
      <protection hidden="1"/>
    </xf>
    <xf numFmtId="0" fontId="37" fillId="183" borderId="0" xfId="0" applyFont="1" applyFill="1" applyBorder="1" applyAlignment="1" applyProtection="1">
      <alignment vertical="center"/>
      <protection hidden="1"/>
    </xf>
    <xf numFmtId="0" fontId="37" fillId="183" borderId="0" xfId="0" applyFont="1" applyFill="1" applyBorder="1" applyAlignment="1" applyProtection="1">
      <alignment horizontal="center" vertical="center"/>
      <protection hidden="1"/>
    </xf>
    <xf numFmtId="0" fontId="14" fillId="257" borderId="0" xfId="0" applyFont="1" applyFill="1" applyBorder="1" applyAlignment="1" applyProtection="1">
      <alignment horizontal="center" vertical="center"/>
      <protection hidden="1"/>
    </xf>
    <xf numFmtId="0" fontId="14" fillId="257" borderId="0" xfId="0" applyFont="1" applyFill="1" applyBorder="1" applyAlignment="1" applyProtection="1">
      <alignment horizontal="left" vertical="center"/>
      <protection hidden="1"/>
    </xf>
    <xf numFmtId="0" fontId="37" fillId="257" borderId="0" xfId="0" applyFont="1" applyFill="1" applyBorder="1" applyAlignment="1">
      <alignment horizontal="left" vertical="center"/>
    </xf>
    <xf numFmtId="0" fontId="37" fillId="257" borderId="0" xfId="0" applyFont="1" applyFill="1" applyBorder="1" applyAlignment="1">
      <alignment horizontal="center" vertical="center"/>
    </xf>
    <xf numFmtId="0" fontId="111" fillId="257" borderId="0" xfId="0" applyFont="1" applyFill="1" applyBorder="1" applyAlignment="1">
      <alignment horizontal="left" vertical="center"/>
    </xf>
    <xf numFmtId="0" fontId="111" fillId="257" borderId="0" xfId="0" applyFont="1" applyFill="1" applyBorder="1" applyAlignment="1">
      <alignment horizontal="center" vertical="center"/>
    </xf>
    <xf numFmtId="0" fontId="111" fillId="257" borderId="0" xfId="0" applyFont="1" applyFill="1" applyBorder="1" applyAlignment="1">
      <alignment vertical="center"/>
    </xf>
    <xf numFmtId="0" fontId="37" fillId="257" borderId="0" xfId="0" applyNumberFormat="1" applyFont="1" applyFill="1" applyBorder="1" applyAlignment="1" applyProtection="1">
      <alignment horizontal="center" vertical="center"/>
      <protection hidden="1"/>
    </xf>
    <xf numFmtId="0" fontId="37" fillId="257" borderId="0" xfId="0" applyNumberFormat="1" applyFont="1" applyFill="1" applyBorder="1" applyAlignment="1" applyProtection="1">
      <alignment horizontal="left" vertical="center"/>
      <protection hidden="1"/>
    </xf>
    <xf numFmtId="0" fontId="14" fillId="257" borderId="0" xfId="0" applyNumberFormat="1" applyFont="1" applyFill="1" applyBorder="1" applyAlignment="1" applyProtection="1">
      <alignment horizontal="center" vertical="center"/>
      <protection hidden="1"/>
    </xf>
    <xf numFmtId="0" fontId="14" fillId="257" borderId="0" xfId="0" applyNumberFormat="1" applyFont="1" applyFill="1" applyBorder="1" applyAlignment="1" applyProtection="1">
      <alignment horizontal="left" vertical="center"/>
      <protection hidden="1"/>
    </xf>
    <xf numFmtId="0" fontId="37" fillId="183" borderId="23" xfId="0" applyFont="1" applyFill="1" applyBorder="1" applyAlignment="1" applyProtection="1">
      <alignment horizontal="center" vertical="center"/>
      <protection hidden="1"/>
    </xf>
    <xf numFmtId="0" fontId="51" fillId="183" borderId="23" xfId="0" applyFont="1" applyFill="1" applyBorder="1" applyAlignment="1" applyProtection="1">
      <alignment horizontal="center" vertical="center"/>
      <protection hidden="1"/>
    </xf>
    <xf numFmtId="0" fontId="14" fillId="257" borderId="23" xfId="0" applyFont="1" applyFill="1" applyBorder="1" applyAlignment="1" applyProtection="1">
      <alignment horizontal="center" vertical="center"/>
      <protection hidden="1"/>
    </xf>
    <xf numFmtId="0" fontId="37" fillId="5" borderId="0" xfId="0" applyFont="1" applyFill="1" applyAlignment="1">
      <alignment horizontal="center" vertical="center"/>
    </xf>
    <xf numFmtId="0" fontId="37" fillId="5" borderId="0" xfId="0" applyFont="1" applyFill="1" applyAlignment="1">
      <alignment horizontal="left" vertical="center"/>
    </xf>
    <xf numFmtId="0" fontId="37" fillId="257" borderId="47" xfId="0" applyFont="1" applyFill="1" applyBorder="1" applyAlignment="1" applyProtection="1">
      <alignment horizontal="center" vertical="center"/>
      <protection hidden="1"/>
    </xf>
    <xf numFmtId="0" fontId="37" fillId="257" borderId="38" xfId="0" applyFont="1" applyFill="1" applyBorder="1" applyAlignment="1" applyProtection="1">
      <alignment horizontal="center" vertical="center"/>
      <protection hidden="1"/>
    </xf>
    <xf numFmtId="0" fontId="155" fillId="170" borderId="0" xfId="0" applyFont="1" applyFill="1" applyAlignment="1">
      <alignment horizontal="center" vertical="center"/>
    </xf>
    <xf numFmtId="0" fontId="111" fillId="170" borderId="0" xfId="0" applyFont="1" applyFill="1" applyAlignment="1">
      <alignment horizontal="center" vertical="center"/>
    </xf>
    <xf numFmtId="0" fontId="111" fillId="170" borderId="0" xfId="0" applyFont="1" applyFill="1" applyAlignment="1">
      <alignment horizontal="left" vertical="center"/>
    </xf>
    <xf numFmtId="0" fontId="155" fillId="257" borderId="35" xfId="0" applyFont="1" applyFill="1" applyBorder="1" applyAlignment="1">
      <alignment horizontal="center" vertical="center"/>
    </xf>
    <xf numFmtId="0" fontId="111" fillId="257" borderId="36" xfId="0" applyFont="1" applyFill="1" applyBorder="1" applyAlignment="1">
      <alignment horizontal="center" vertical="center"/>
    </xf>
    <xf numFmtId="0" fontId="111" fillId="257" borderId="36" xfId="0" applyFont="1" applyFill="1" applyBorder="1" applyAlignment="1">
      <alignment horizontal="left" vertical="center"/>
    </xf>
    <xf numFmtId="0" fontId="155" fillId="257" borderId="47" xfId="0" applyFont="1" applyFill="1" applyBorder="1" applyAlignment="1">
      <alignment horizontal="center" vertical="center"/>
    </xf>
    <xf numFmtId="0" fontId="155" fillId="257" borderId="38" xfId="0" applyFont="1" applyFill="1" applyBorder="1" applyAlignment="1">
      <alignment horizontal="center" vertical="center"/>
    </xf>
    <xf numFmtId="0" fontId="111" fillId="257" borderId="23" xfId="0" applyFont="1" applyFill="1" applyBorder="1" applyAlignment="1">
      <alignment horizontal="center" vertical="center"/>
    </xf>
    <xf numFmtId="0" fontId="111" fillId="257" borderId="23" xfId="0" applyFont="1" applyFill="1" applyBorder="1" applyAlignment="1">
      <alignment horizontal="left" vertical="center"/>
    </xf>
    <xf numFmtId="0" fontId="79" fillId="123" borderId="0" xfId="0" applyFont="1" applyFill="1" applyBorder="1" applyAlignment="1" applyProtection="1">
      <alignment vertical="center"/>
      <protection hidden="1"/>
    </xf>
    <xf numFmtId="0" fontId="157" fillId="123" borderId="0" xfId="0" applyFont="1" applyFill="1" applyBorder="1" applyAlignment="1" applyProtection="1">
      <alignment horizontal="left" vertical="center"/>
      <protection hidden="1"/>
    </xf>
    <xf numFmtId="0" fontId="9" fillId="292" borderId="0" xfId="0" applyFont="1" applyFill="1" applyBorder="1" applyAlignment="1" applyProtection="1">
      <alignment horizontal="right" vertical="center"/>
      <protection hidden="1"/>
    </xf>
    <xf numFmtId="0" fontId="160" fillId="170" borderId="0" xfId="0" applyFont="1" applyFill="1" applyProtection="1">
      <protection hidden="1"/>
    </xf>
    <xf numFmtId="0" fontId="160" fillId="5" borderId="0" xfId="0" applyFont="1" applyFill="1"/>
    <xf numFmtId="0" fontId="160" fillId="5" borderId="0" xfId="0" applyFont="1" applyFill="1" applyProtection="1">
      <protection hidden="1"/>
    </xf>
    <xf numFmtId="0" fontId="51" fillId="257" borderId="0" xfId="0" applyFont="1" applyFill="1" applyBorder="1" applyAlignment="1" applyProtection="1">
      <alignment horizontal="center" vertical="center"/>
      <protection hidden="1"/>
    </xf>
    <xf numFmtId="0" fontId="13" fillId="183" borderId="52" xfId="0" applyFont="1" applyFill="1" applyBorder="1" applyAlignment="1" applyProtection="1">
      <alignment horizontal="center" vertical="center" wrapText="1"/>
      <protection hidden="1"/>
    </xf>
    <xf numFmtId="0" fontId="9" fillId="5" borderId="0" xfId="0" applyFont="1" applyFill="1" applyBorder="1" applyAlignment="1">
      <alignment horizontal="center" vertical="center"/>
    </xf>
    <xf numFmtId="0" fontId="9" fillId="35" borderId="36" xfId="0" applyFont="1" applyFill="1" applyBorder="1" applyAlignment="1">
      <alignment horizontal="center" vertical="center"/>
    </xf>
    <xf numFmtId="0" fontId="9" fillId="35" borderId="37" xfId="0" applyFont="1" applyFill="1" applyBorder="1" applyAlignment="1">
      <alignment horizontal="center" vertical="center"/>
    </xf>
    <xf numFmtId="0" fontId="9" fillId="5" borderId="47" xfId="0" applyFont="1" applyFill="1" applyBorder="1" applyAlignment="1">
      <alignment horizontal="center" vertical="center"/>
    </xf>
    <xf numFmtId="0" fontId="9" fillId="5" borderId="48" xfId="0" applyFont="1" applyFill="1" applyBorder="1" applyAlignment="1">
      <alignment horizontal="center" vertical="center"/>
    </xf>
    <xf numFmtId="0" fontId="9" fillId="78" borderId="0" xfId="0" applyFont="1" applyFill="1" applyAlignment="1">
      <alignment vertical="center"/>
    </xf>
    <xf numFmtId="0" fontId="77" fillId="293" borderId="0" xfId="0" applyFont="1" applyFill="1" applyBorder="1" applyAlignment="1">
      <alignment vertical="center"/>
    </xf>
    <xf numFmtId="0" fontId="9" fillId="293" borderId="0" xfId="0" applyFont="1" applyFill="1" applyBorder="1"/>
    <xf numFmtId="0" fontId="9" fillId="293" borderId="0" xfId="0" applyFont="1" applyFill="1"/>
    <xf numFmtId="0" fontId="9" fillId="35" borderId="36" xfId="0" applyFont="1" applyFill="1" applyBorder="1" applyAlignment="1">
      <alignment vertical="center"/>
    </xf>
    <xf numFmtId="2" fontId="9" fillId="5" borderId="0" xfId="0" applyNumberFormat="1" applyFont="1" applyFill="1" applyBorder="1" applyAlignment="1">
      <alignment horizontal="center" vertical="center"/>
    </xf>
    <xf numFmtId="0" fontId="161" fillId="5" borderId="0" xfId="0" applyFont="1" applyFill="1" applyAlignment="1" applyProtection="1">
      <alignment horizontal="right" vertical="center"/>
      <protection hidden="1"/>
    </xf>
    <xf numFmtId="4" fontId="99" fillId="5" borderId="15" xfId="0" applyNumberFormat="1" applyFont="1" applyFill="1" applyBorder="1" applyAlignment="1">
      <alignment horizontal="right"/>
    </xf>
    <xf numFmtId="4" fontId="99" fillId="5" borderId="16" xfId="0" applyNumberFormat="1" applyFont="1" applyFill="1" applyBorder="1" applyAlignment="1">
      <alignment horizontal="right"/>
    </xf>
    <xf numFmtId="4" fontId="99" fillId="5" borderId="27" xfId="0" applyNumberFormat="1" applyFont="1" applyFill="1" applyBorder="1" applyAlignment="1">
      <alignment horizontal="right"/>
    </xf>
    <xf numFmtId="4" fontId="99" fillId="5" borderId="30" xfId="0" applyNumberFormat="1" applyFont="1" applyFill="1" applyBorder="1" applyAlignment="1">
      <alignment horizontal="right"/>
    </xf>
    <xf numFmtId="10" fontId="99" fillId="5" borderId="15" xfId="0" applyNumberFormat="1" applyFont="1" applyFill="1" applyBorder="1" applyAlignment="1">
      <alignment horizontal="right"/>
    </xf>
    <xf numFmtId="10" fontId="99" fillId="5" borderId="27" xfId="0" applyNumberFormat="1" applyFont="1" applyFill="1" applyBorder="1" applyAlignment="1">
      <alignment horizontal="right"/>
    </xf>
    <xf numFmtId="0" fontId="51" fillId="257" borderId="0" xfId="0" applyFont="1" applyFill="1" applyBorder="1" applyAlignment="1" applyProtection="1">
      <alignment horizontal="center" vertical="center"/>
      <protection hidden="1"/>
    </xf>
    <xf numFmtId="0" fontId="13" fillId="183" borderId="52" xfId="0" applyFont="1" applyFill="1" applyBorder="1" applyAlignment="1" applyProtection="1">
      <alignment horizontal="center" vertical="center" wrapText="1"/>
      <protection hidden="1"/>
    </xf>
    <xf numFmtId="0" fontId="9" fillId="5" borderId="0" xfId="0" applyFont="1" applyFill="1" applyBorder="1" applyAlignment="1">
      <alignment horizontal="center" vertical="center"/>
    </xf>
    <xf numFmtId="0" fontId="9" fillId="38" borderId="15" xfId="0" applyFont="1" applyFill="1" applyBorder="1" applyAlignment="1">
      <alignment horizontal="center" vertical="center"/>
    </xf>
    <xf numFmtId="0" fontId="162" fillId="257" borderId="0" xfId="0" applyFont="1" applyFill="1" applyBorder="1" applyAlignment="1">
      <alignment horizontal="right" vertical="center"/>
    </xf>
    <xf numFmtId="165" fontId="9" fillId="6" borderId="0" xfId="0" applyNumberFormat="1" applyFont="1" applyFill="1" applyBorder="1" applyAlignment="1">
      <alignment horizontal="center" vertical="center"/>
    </xf>
    <xf numFmtId="165" fontId="9" fillId="6" borderId="23" xfId="0" applyNumberFormat="1" applyFont="1" applyFill="1" applyBorder="1" applyAlignment="1">
      <alignment horizontal="center" vertical="center"/>
    </xf>
    <xf numFmtId="165" fontId="14" fillId="189" borderId="122" xfId="9" applyNumberFormat="1" applyFont="1" applyFill="1" applyBorder="1" applyAlignment="1">
      <alignment horizontal="center" vertical="center"/>
    </xf>
    <xf numFmtId="165" fontId="14" fillId="189" borderId="43" xfId="9" applyNumberFormat="1" applyFont="1" applyFill="1" applyBorder="1">
      <alignment horizontal="center" vertical="center"/>
    </xf>
    <xf numFmtId="168" fontId="47" fillId="5" borderId="15" xfId="0" applyNumberFormat="1" applyFont="1" applyFill="1" applyBorder="1" applyAlignment="1">
      <alignment horizontal="right"/>
    </xf>
    <xf numFmtId="168" fontId="47" fillId="5" borderId="27" xfId="0" applyNumberFormat="1" applyFont="1" applyFill="1" applyBorder="1" applyAlignment="1">
      <alignment horizontal="right"/>
    </xf>
    <xf numFmtId="0" fontId="9" fillId="39" borderId="35" xfId="0" applyFont="1" applyFill="1" applyBorder="1" applyAlignment="1" applyProtection="1">
      <alignment vertical="center"/>
      <protection hidden="1"/>
    </xf>
    <xf numFmtId="0" fontId="9" fillId="39" borderId="36" xfId="0" applyFont="1" applyFill="1" applyBorder="1" applyAlignment="1" applyProtection="1">
      <alignment vertical="center"/>
      <protection hidden="1"/>
    </xf>
    <xf numFmtId="0" fontId="9" fillId="39" borderId="37" xfId="0" applyFont="1" applyFill="1" applyBorder="1" applyAlignment="1" applyProtection="1">
      <alignment vertical="center"/>
      <protection hidden="1"/>
    </xf>
    <xf numFmtId="0" fontId="9" fillId="39" borderId="36" xfId="0" applyFont="1" applyFill="1" applyBorder="1" applyAlignment="1" applyProtection="1">
      <alignment horizontal="right" vertical="center"/>
      <protection hidden="1"/>
    </xf>
    <xf numFmtId="0" fontId="9" fillId="39" borderId="47" xfId="3" applyFill="1" applyBorder="1" applyProtection="1">
      <alignment horizontal="center" vertical="center"/>
      <protection hidden="1"/>
    </xf>
    <xf numFmtId="0" fontId="46" fillId="5" borderId="0" xfId="0" applyFont="1" applyFill="1" applyAlignment="1" applyProtection="1">
      <alignment vertical="center"/>
      <protection hidden="1"/>
    </xf>
    <xf numFmtId="0" fontId="46" fillId="5" borderId="0" xfId="0" applyFont="1" applyFill="1" applyAlignment="1" applyProtection="1">
      <alignment horizontal="right" vertical="center"/>
      <protection hidden="1"/>
    </xf>
    <xf numFmtId="0" fontId="163" fillId="41" borderId="52" xfId="0" applyFont="1" applyFill="1" applyBorder="1" applyAlignment="1" applyProtection="1">
      <alignment vertical="center" wrapText="1"/>
      <protection hidden="1"/>
    </xf>
    <xf numFmtId="0" fontId="46" fillId="39" borderId="47" xfId="0" applyFont="1" applyFill="1" applyBorder="1" applyAlignment="1" applyProtection="1">
      <alignment vertical="center"/>
      <protection hidden="1"/>
    </xf>
    <xf numFmtId="0" fontId="46" fillId="39" borderId="0" xfId="0" applyFont="1" applyFill="1" applyBorder="1" applyAlignment="1" applyProtection="1">
      <alignment vertical="center"/>
      <protection hidden="1"/>
    </xf>
    <xf numFmtId="0" fontId="46" fillId="39" borderId="48" xfId="0" applyFont="1" applyFill="1" applyBorder="1" applyAlignment="1" applyProtection="1">
      <alignment vertical="center"/>
      <protection hidden="1"/>
    </xf>
    <xf numFmtId="0" fontId="46" fillId="39" borderId="0" xfId="0" applyFont="1" applyFill="1" applyAlignment="1" applyProtection="1">
      <alignment vertical="center"/>
      <protection hidden="1"/>
    </xf>
    <xf numFmtId="0" fontId="46" fillId="5" borderId="0" xfId="0" applyFont="1" applyFill="1" applyAlignment="1" applyProtection="1">
      <alignment horizontal="center" vertical="center"/>
      <protection hidden="1"/>
    </xf>
    <xf numFmtId="0" fontId="46" fillId="5" borderId="0" xfId="0" applyFont="1" applyFill="1" applyBorder="1" applyAlignment="1" applyProtection="1">
      <alignment vertical="center"/>
      <protection hidden="1"/>
    </xf>
    <xf numFmtId="0" fontId="75" fillId="170" borderId="0" xfId="0" applyFont="1" applyFill="1" applyBorder="1" applyAlignment="1" applyProtection="1">
      <alignment horizontal="center" vertical="center"/>
      <protection hidden="1"/>
    </xf>
    <xf numFmtId="0" fontId="46" fillId="49" borderId="35" xfId="0" applyFont="1" applyFill="1" applyBorder="1" applyAlignment="1" applyProtection="1">
      <alignment vertical="center"/>
      <protection hidden="1"/>
    </xf>
    <xf numFmtId="0" fontId="46" fillId="49" borderId="36" xfId="0" applyFont="1" applyFill="1" applyBorder="1" applyAlignment="1" applyProtection="1">
      <alignment vertical="center"/>
      <protection hidden="1"/>
    </xf>
    <xf numFmtId="0" fontId="46" fillId="49" borderId="36" xfId="0" applyFont="1" applyFill="1" applyBorder="1" applyAlignment="1" applyProtection="1">
      <alignment horizontal="center" vertical="center"/>
      <protection hidden="1"/>
    </xf>
    <xf numFmtId="0" fontId="46" fillId="49" borderId="36" xfId="0" applyFont="1" applyFill="1" applyBorder="1" applyAlignment="1" applyProtection="1">
      <alignment horizontal="left" vertical="center"/>
      <protection hidden="1"/>
    </xf>
    <xf numFmtId="0" fontId="46" fillId="49" borderId="37" xfId="0" applyFont="1" applyFill="1" applyBorder="1" applyAlignment="1" applyProtection="1">
      <alignment horizontal="left" vertical="center"/>
      <protection hidden="1"/>
    </xf>
    <xf numFmtId="0" fontId="47" fillId="5" borderId="0" xfId="0" applyFont="1" applyFill="1" applyBorder="1" applyAlignment="1" applyProtection="1">
      <alignment horizontal="right" vertical="center"/>
      <protection hidden="1"/>
    </xf>
    <xf numFmtId="0" fontId="9" fillId="25" borderId="47" xfId="0" applyFont="1" applyFill="1" applyBorder="1" applyAlignment="1" applyProtection="1">
      <alignment horizontal="center" vertical="center" wrapText="1"/>
      <protection hidden="1"/>
    </xf>
    <xf numFmtId="0" fontId="9" fillId="25" borderId="0" xfId="0" applyFont="1" applyFill="1" applyBorder="1" applyAlignment="1" applyProtection="1">
      <alignment horizontal="right" vertical="center"/>
      <protection hidden="1"/>
    </xf>
    <xf numFmtId="0" fontId="19" fillId="25" borderId="0" xfId="0" applyFont="1" applyFill="1" applyBorder="1" applyAlignment="1" applyProtection="1">
      <alignment horizontal="center" vertical="center"/>
      <protection hidden="1"/>
    </xf>
    <xf numFmtId="164" fontId="35" fillId="25" borderId="0" xfId="0" applyNumberFormat="1" applyFont="1" applyFill="1" applyBorder="1" applyAlignment="1" applyProtection="1">
      <alignment horizontal="center" vertical="center"/>
      <protection hidden="1"/>
    </xf>
    <xf numFmtId="4" fontId="15" fillId="25" borderId="0" xfId="0" applyNumberFormat="1" applyFont="1" applyFill="1" applyBorder="1" applyAlignment="1" applyProtection="1">
      <alignment horizontal="center" vertical="center"/>
      <protection hidden="1"/>
    </xf>
    <xf numFmtId="165" fontId="9" fillId="5" borderId="15" xfId="0" applyNumberFormat="1" applyFont="1" applyFill="1" applyBorder="1" applyAlignment="1">
      <alignment horizontal="center" vertical="center"/>
    </xf>
    <xf numFmtId="0" fontId="82" fillId="5" borderId="0" xfId="0" applyFont="1" applyFill="1" applyBorder="1" applyProtection="1">
      <protection hidden="1"/>
    </xf>
    <xf numFmtId="0" fontId="82" fillId="44" borderId="0" xfId="0" applyFont="1" applyFill="1" applyBorder="1" applyProtection="1">
      <protection hidden="1"/>
    </xf>
    <xf numFmtId="4" fontId="9" fillId="5" borderId="1" xfId="1" applyNumberFormat="1" applyFont="1" applyFill="1" applyBorder="1" applyAlignment="1" applyProtection="1">
      <alignment horizontal="center" vertical="center"/>
      <protection locked="0"/>
    </xf>
    <xf numFmtId="2" fontId="75" fillId="5" borderId="0" xfId="4" applyFont="1" applyFill="1" applyBorder="1" applyAlignment="1" applyProtection="1">
      <alignment horizontal="left" vertical="center"/>
      <protection hidden="1"/>
    </xf>
    <xf numFmtId="0" fontId="62" fillId="5" borderId="0" xfId="0" applyFont="1" applyFill="1" applyBorder="1" applyAlignment="1">
      <alignment horizontal="left" vertical="center"/>
    </xf>
    <xf numFmtId="0" fontId="9" fillId="39" borderId="23" xfId="0" applyFont="1" applyFill="1" applyBorder="1" applyAlignment="1" applyProtection="1">
      <alignment horizontal="right" vertical="center"/>
      <protection hidden="1"/>
    </xf>
    <xf numFmtId="0" fontId="9" fillId="5" borderId="52" xfId="0" applyFont="1" applyFill="1" applyBorder="1" applyAlignment="1" applyProtection="1">
      <alignment vertical="center"/>
      <protection hidden="1"/>
    </xf>
    <xf numFmtId="0" fontId="9" fillId="5" borderId="15" xfId="0" applyFont="1" applyFill="1" applyBorder="1" applyAlignment="1">
      <alignment horizontal="center" vertical="center"/>
    </xf>
    <xf numFmtId="0" fontId="164" fillId="39" borderId="0" xfId="0" applyFont="1" applyFill="1" applyBorder="1" applyAlignment="1" applyProtection="1">
      <alignment vertical="center"/>
      <protection hidden="1"/>
    </xf>
    <xf numFmtId="0" fontId="164" fillId="39" borderId="0" xfId="0" applyFont="1" applyFill="1" applyBorder="1" applyAlignment="1" applyProtection="1">
      <alignment horizontal="center" vertical="center"/>
      <protection hidden="1"/>
    </xf>
    <xf numFmtId="0" fontId="164" fillId="39" borderId="48" xfId="0" applyFont="1" applyFill="1" applyBorder="1" applyAlignment="1" applyProtection="1">
      <alignment vertical="center"/>
      <protection hidden="1"/>
    </xf>
    <xf numFmtId="0" fontId="164" fillId="5" borderId="0" xfId="0" applyFont="1" applyFill="1" applyAlignment="1" applyProtection="1">
      <alignment vertical="center"/>
      <protection hidden="1"/>
    </xf>
    <xf numFmtId="0" fontId="164" fillId="39" borderId="47" xfId="0" applyFont="1" applyFill="1" applyBorder="1" applyAlignment="1" applyProtection="1">
      <alignment vertical="center"/>
      <protection hidden="1"/>
    </xf>
    <xf numFmtId="0" fontId="164" fillId="70" borderId="0" xfId="0" applyFont="1" applyFill="1" applyBorder="1" applyAlignment="1" applyProtection="1">
      <alignment vertical="center"/>
      <protection hidden="1"/>
    </xf>
    <xf numFmtId="0" fontId="164" fillId="5" borderId="0" xfId="0" applyFont="1" applyFill="1" applyAlignment="1" applyProtection="1">
      <alignment horizontal="center" vertical="center"/>
      <protection hidden="1"/>
    </xf>
    <xf numFmtId="0" fontId="9" fillId="5" borderId="22" xfId="0" applyFont="1" applyFill="1" applyBorder="1" applyAlignment="1" applyProtection="1">
      <alignment vertical="center"/>
      <protection hidden="1"/>
    </xf>
    <xf numFmtId="0" fontId="9" fillId="2" borderId="0" xfId="0" applyFont="1" applyFill="1" applyBorder="1" applyAlignment="1" applyProtection="1">
      <alignment horizontal="right" vertical="center"/>
      <protection hidden="1"/>
    </xf>
    <xf numFmtId="0" fontId="9" fillId="5" borderId="27" xfId="0" applyFont="1" applyFill="1" applyBorder="1" applyAlignment="1" applyProtection="1">
      <alignment vertical="center"/>
      <protection hidden="1"/>
    </xf>
    <xf numFmtId="0" fontId="164" fillId="40" borderId="47" xfId="0" applyFont="1" applyFill="1" applyBorder="1" applyAlignment="1" applyProtection="1">
      <alignment vertical="center"/>
      <protection hidden="1"/>
    </xf>
    <xf numFmtId="0" fontId="164" fillId="40" borderId="0" xfId="0" applyFont="1" applyFill="1" applyBorder="1" applyAlignment="1" applyProtection="1">
      <alignment vertical="center"/>
      <protection hidden="1"/>
    </xf>
    <xf numFmtId="0" fontId="164" fillId="40" borderId="0" xfId="0" applyFont="1" applyFill="1" applyBorder="1" applyAlignment="1" applyProtection="1">
      <alignment horizontal="center" vertical="center"/>
      <protection hidden="1"/>
    </xf>
    <xf numFmtId="0" fontId="164" fillId="40" borderId="48" xfId="0" applyFont="1" applyFill="1" applyBorder="1" applyAlignment="1" applyProtection="1">
      <alignment horizontal="center" vertical="center"/>
      <protection hidden="1"/>
    </xf>
    <xf numFmtId="0" fontId="164" fillId="40" borderId="47" xfId="0" applyFont="1" applyFill="1" applyBorder="1" applyAlignment="1" applyProtection="1">
      <alignment horizontal="center" vertical="center"/>
      <protection hidden="1"/>
    </xf>
    <xf numFmtId="0" fontId="78" fillId="5" borderId="0" xfId="0" applyFont="1" applyFill="1" applyAlignment="1" applyProtection="1">
      <alignment vertical="center"/>
      <protection hidden="1"/>
    </xf>
    <xf numFmtId="0" fontId="9" fillId="40" borderId="0" xfId="9" applyFont="1" applyFill="1" applyBorder="1" applyAlignment="1" applyProtection="1">
      <alignment vertical="center"/>
      <protection hidden="1"/>
    </xf>
    <xf numFmtId="165" fontId="9" fillId="5" borderId="15" xfId="0" applyNumberFormat="1" applyFont="1" applyFill="1" applyBorder="1" applyAlignment="1">
      <alignment horizontal="right" wrapText="1"/>
    </xf>
    <xf numFmtId="165" fontId="9" fillId="5" borderId="15" xfId="0" applyNumberFormat="1" applyFont="1" applyFill="1" applyBorder="1" applyAlignment="1" applyProtection="1">
      <alignment horizontal="right" vertical="center"/>
      <protection hidden="1"/>
    </xf>
    <xf numFmtId="3" fontId="9" fillId="5" borderId="28" xfId="0" applyNumberFormat="1" applyFont="1" applyFill="1" applyBorder="1"/>
    <xf numFmtId="3" fontId="9" fillId="5" borderId="16" xfId="0" applyNumberFormat="1" applyFont="1" applyFill="1" applyBorder="1"/>
    <xf numFmtId="3" fontId="9" fillId="5" borderId="28" xfId="0" applyNumberFormat="1" applyFont="1" applyFill="1" applyBorder="1" applyAlignment="1" applyProtection="1">
      <alignment vertical="center"/>
      <protection hidden="1"/>
    </xf>
    <xf numFmtId="3" fontId="9" fillId="5" borderId="16" xfId="0" applyNumberFormat="1" applyFont="1" applyFill="1" applyBorder="1" applyAlignment="1" applyProtection="1">
      <alignment vertical="center"/>
      <protection hidden="1"/>
    </xf>
    <xf numFmtId="3" fontId="9" fillId="5" borderId="31" xfId="0" applyNumberFormat="1" applyFont="1" applyFill="1" applyBorder="1"/>
    <xf numFmtId="3" fontId="9" fillId="5" borderId="30" xfId="0" applyNumberFormat="1" applyFont="1" applyFill="1" applyBorder="1"/>
    <xf numFmtId="3" fontId="9" fillId="5" borderId="0" xfId="0" applyNumberFormat="1" applyFont="1" applyFill="1" applyAlignment="1">
      <alignment horizontal="right"/>
    </xf>
    <xf numFmtId="0" fontId="72" fillId="5" borderId="0" xfId="8" applyFont="1"/>
    <xf numFmtId="3" fontId="9" fillId="5" borderId="22" xfId="0" applyNumberFormat="1" applyFont="1" applyFill="1" applyBorder="1" applyAlignment="1">
      <alignment horizontal="center" vertical="center"/>
    </xf>
    <xf numFmtId="3" fontId="9" fillId="5" borderId="29" xfId="0" applyNumberFormat="1" applyFont="1" applyFill="1" applyBorder="1" applyAlignment="1">
      <alignment horizontal="center" vertical="center"/>
    </xf>
    <xf numFmtId="3" fontId="9" fillId="5" borderId="15" xfId="0" applyNumberFormat="1" applyFont="1" applyFill="1" applyBorder="1" applyAlignment="1">
      <alignment horizontal="center" vertical="center"/>
    </xf>
    <xf numFmtId="3" fontId="9" fillId="5" borderId="16" xfId="0" applyNumberFormat="1" applyFont="1" applyFill="1" applyBorder="1" applyAlignment="1">
      <alignment horizontal="center" vertical="center"/>
    </xf>
    <xf numFmtId="3" fontId="9" fillId="5" borderId="27" xfId="0" applyNumberFormat="1" applyFont="1" applyFill="1" applyBorder="1" applyAlignment="1">
      <alignment horizontal="center" vertical="center"/>
    </xf>
    <xf numFmtId="3" fontId="9" fillId="5" borderId="30" xfId="0" applyNumberFormat="1" applyFont="1" applyFill="1" applyBorder="1" applyAlignment="1">
      <alignment horizontal="center" vertical="center"/>
    </xf>
    <xf numFmtId="3" fontId="9" fillId="5" borderId="137" xfId="0" applyNumberFormat="1" applyFont="1" applyFill="1" applyBorder="1" applyAlignment="1">
      <alignment horizontal="center" vertical="center"/>
    </xf>
    <xf numFmtId="3" fontId="9" fillId="5" borderId="138" xfId="0" applyNumberFormat="1" applyFont="1" applyFill="1" applyBorder="1" applyAlignment="1">
      <alignment horizontal="center" vertical="center"/>
    </xf>
    <xf numFmtId="0" fontId="167" fillId="5" borderId="0" xfId="0" applyFont="1" applyFill="1" applyBorder="1"/>
    <xf numFmtId="0" fontId="168" fillId="5" borderId="0" xfId="0" applyFont="1" applyFill="1"/>
    <xf numFmtId="0" fontId="9" fillId="5" borderId="136" xfId="0" applyFont="1" applyFill="1" applyBorder="1" applyAlignment="1">
      <alignment vertical="center"/>
    </xf>
    <xf numFmtId="0" fontId="9" fillId="5" borderId="13" xfId="0" applyFont="1" applyFill="1" applyBorder="1" applyAlignment="1">
      <alignment horizontal="left" vertical="center"/>
    </xf>
    <xf numFmtId="0" fontId="9" fillId="5" borderId="28" xfId="0" applyFont="1" applyFill="1" applyBorder="1" applyAlignment="1">
      <alignment horizontal="left" vertical="center"/>
    </xf>
    <xf numFmtId="0" fontId="9" fillId="5" borderId="31" xfId="0" applyFont="1" applyFill="1" applyBorder="1" applyAlignment="1">
      <alignment horizontal="left" vertical="center"/>
    </xf>
    <xf numFmtId="0" fontId="71" fillId="5" borderId="0" xfId="8" applyAlignment="1">
      <alignment vertical="top"/>
    </xf>
    <xf numFmtId="165" fontId="9" fillId="9" borderId="43" xfId="9" applyNumberFormat="1" applyFont="1">
      <alignment horizontal="center" vertical="center"/>
    </xf>
    <xf numFmtId="165" fontId="9" fillId="9" borderId="122" xfId="9" applyNumberFormat="1" applyFont="1" applyBorder="1">
      <alignment horizontal="center" vertical="center"/>
    </xf>
    <xf numFmtId="0" fontId="9" fillId="5" borderId="15" xfId="0" applyFont="1" applyFill="1" applyBorder="1" applyAlignment="1">
      <alignment horizontal="center" vertical="center"/>
    </xf>
    <xf numFmtId="0" fontId="62" fillId="285" borderId="0" xfId="0" applyFont="1" applyFill="1" applyAlignment="1">
      <alignment horizontal="left" vertical="center"/>
    </xf>
    <xf numFmtId="0" fontId="62" fillId="5" borderId="0" xfId="0" applyFont="1" applyFill="1" applyAlignment="1">
      <alignment horizontal="left" vertical="center"/>
    </xf>
    <xf numFmtId="0" fontId="62" fillId="80" borderId="0" xfId="0" applyFont="1" applyFill="1" applyBorder="1" applyAlignment="1">
      <alignment horizontal="left" vertical="center"/>
    </xf>
    <xf numFmtId="0" fontId="62" fillId="31" borderId="0" xfId="0" applyFont="1" applyFill="1" applyBorder="1" applyAlignment="1">
      <alignment horizontal="left" vertical="center"/>
    </xf>
    <xf numFmtId="0" fontId="62" fillId="109" borderId="0" xfId="0" applyFont="1" applyFill="1" applyBorder="1" applyAlignment="1">
      <alignment horizontal="left" vertical="center"/>
    </xf>
    <xf numFmtId="165" fontId="62" fillId="5" borderId="0" xfId="0" applyNumberFormat="1" applyFont="1" applyFill="1" applyBorder="1" applyAlignment="1">
      <alignment horizontal="left" vertical="center"/>
    </xf>
    <xf numFmtId="0" fontId="144" fillId="5" borderId="0" xfId="0" applyFont="1" applyFill="1" applyAlignment="1">
      <alignment horizontal="left" vertical="center"/>
    </xf>
    <xf numFmtId="0" fontId="39" fillId="68" borderId="0" xfId="0" applyFont="1" applyFill="1" applyBorder="1" applyAlignment="1">
      <alignment horizontal="left" vertical="center"/>
    </xf>
    <xf numFmtId="0" fontId="10" fillId="68" borderId="0" xfId="0" applyFont="1" applyFill="1" applyBorder="1"/>
    <xf numFmtId="0" fontId="10" fillId="5" borderId="0" xfId="0" applyFont="1" applyFill="1" applyBorder="1"/>
    <xf numFmtId="0" fontId="170" fillId="68" borderId="0" xfId="0" applyFont="1" applyFill="1" applyBorder="1"/>
    <xf numFmtId="0" fontId="67" fillId="294" borderId="0" xfId="0" applyFont="1" applyFill="1" applyBorder="1" applyAlignment="1">
      <alignment horizontal="left" vertical="center"/>
    </xf>
    <xf numFmtId="0" fontId="9" fillId="294" borderId="0" xfId="0" applyFont="1" applyFill="1"/>
    <xf numFmtId="0" fontId="45" fillId="5" borderId="15" xfId="6" applyFont="1" applyFill="1" applyBorder="1" applyAlignment="1">
      <alignment horizontal="right"/>
    </xf>
    <xf numFmtId="165" fontId="9" fillId="5" borderId="30" xfId="0" applyNumberFormat="1" applyFont="1" applyFill="1" applyBorder="1"/>
    <xf numFmtId="0" fontId="9" fillId="5" borderId="12" xfId="0" applyFont="1" applyFill="1" applyBorder="1" applyAlignment="1"/>
    <xf numFmtId="0" fontId="9" fillId="68" borderId="22" xfId="0" applyFont="1" applyFill="1" applyBorder="1"/>
    <xf numFmtId="4" fontId="9" fillId="5" borderId="0" xfId="0" applyNumberFormat="1" applyFont="1" applyFill="1" applyBorder="1"/>
    <xf numFmtId="4" fontId="9" fillId="5" borderId="22" xfId="0" applyNumberFormat="1" applyFont="1" applyFill="1" applyBorder="1" applyAlignment="1">
      <alignment horizontal="left"/>
    </xf>
    <xf numFmtId="0" fontId="9" fillId="98" borderId="47" xfId="0" applyFont="1" applyFill="1" applyBorder="1" applyAlignment="1" applyProtection="1">
      <alignment vertical="center"/>
      <protection hidden="1"/>
    </xf>
    <xf numFmtId="0" fontId="13" fillId="98" borderId="0" xfId="0" applyFont="1" applyFill="1" applyBorder="1" applyAlignment="1" applyProtection="1">
      <alignment vertical="center" wrapText="1"/>
      <protection hidden="1"/>
    </xf>
    <xf numFmtId="0" fontId="13" fillId="98" borderId="48" xfId="0" applyFont="1" applyFill="1" applyBorder="1" applyAlignment="1" applyProtection="1">
      <alignment vertical="center" wrapText="1"/>
      <protection hidden="1"/>
    </xf>
    <xf numFmtId="0" fontId="37" fillId="98" borderId="0" xfId="0" applyFont="1" applyFill="1" applyBorder="1" applyAlignment="1" applyProtection="1">
      <alignment horizontal="right" vertical="center"/>
      <protection hidden="1"/>
    </xf>
    <xf numFmtId="0" fontId="9" fillId="98" borderId="0" xfId="0" applyFont="1" applyFill="1" applyBorder="1" applyAlignment="1" applyProtection="1">
      <alignment horizontal="center" vertical="center"/>
      <protection hidden="1"/>
    </xf>
    <xf numFmtId="0" fontId="62" fillId="295" borderId="0" xfId="0" applyFont="1" applyFill="1" applyBorder="1" applyAlignment="1">
      <alignment horizontal="left" vertical="center"/>
    </xf>
    <xf numFmtId="168" fontId="9" fillId="5" borderId="22" xfId="0" applyNumberFormat="1" applyFont="1" applyFill="1" applyBorder="1" applyAlignment="1">
      <alignment horizontal="right"/>
    </xf>
    <xf numFmtId="0" fontId="172" fillId="68" borderId="0" xfId="0" applyFont="1" applyFill="1" applyBorder="1"/>
    <xf numFmtId="0" fontId="47" fillId="68" borderId="0" xfId="0" applyFont="1" applyFill="1"/>
    <xf numFmtId="164" fontId="9" fillId="5" borderId="31" xfId="0" applyNumberFormat="1" applyFont="1" applyFill="1" applyBorder="1" applyAlignment="1">
      <alignment horizontal="left"/>
    </xf>
    <xf numFmtId="0" fontId="9" fillId="5" borderId="27" xfId="0" applyFont="1" applyFill="1" applyBorder="1" applyAlignment="1">
      <alignment horizontal="center" vertical="center"/>
    </xf>
    <xf numFmtId="1" fontId="9" fillId="5" borderId="28" xfId="0" applyNumberFormat="1" applyFont="1" applyFill="1" applyBorder="1" applyAlignment="1"/>
    <xf numFmtId="1" fontId="9" fillId="5" borderId="31" xfId="0" applyNumberFormat="1" applyFont="1" applyFill="1" applyBorder="1" applyAlignment="1"/>
    <xf numFmtId="4" fontId="9" fillId="5" borderId="50" xfId="0" applyNumberFormat="1" applyFont="1" applyFill="1" applyBorder="1" applyAlignment="1">
      <alignment horizontal="left"/>
    </xf>
    <xf numFmtId="0" fontId="173" fillId="5" borderId="0" xfId="0" applyFont="1" applyFill="1" applyAlignment="1">
      <alignment horizontal="right"/>
    </xf>
    <xf numFmtId="165" fontId="9" fillId="5" borderId="27" xfId="0" applyNumberFormat="1" applyFont="1" applyFill="1" applyBorder="1" applyAlignment="1">
      <alignment horizontal="left" vertical="center"/>
    </xf>
    <xf numFmtId="0" fontId="9" fillId="6" borderId="29" xfId="0" applyFont="1" applyFill="1" applyBorder="1" applyAlignment="1">
      <alignment horizontal="left"/>
    </xf>
    <xf numFmtId="0" fontId="9" fillId="6" borderId="16" xfId="0" applyFont="1" applyFill="1" applyBorder="1" applyAlignment="1">
      <alignment horizontal="right"/>
    </xf>
    <xf numFmtId="165" fontId="9" fillId="4" borderId="22" xfId="0" applyNumberFormat="1" applyFont="1" applyFill="1" applyBorder="1" applyAlignment="1">
      <alignment horizontal="right"/>
    </xf>
    <xf numFmtId="164" fontId="57" fillId="5" borderId="27" xfId="0" applyNumberFormat="1" applyFont="1" applyFill="1" applyBorder="1" applyAlignment="1">
      <alignment horizontal="right" vertical="center"/>
    </xf>
    <xf numFmtId="0" fontId="72" fillId="5" borderId="0" xfId="8" applyFont="1" applyAlignment="1">
      <alignment vertical="center"/>
    </xf>
    <xf numFmtId="0" fontId="174" fillId="5" borderId="0" xfId="8" applyFont="1"/>
    <xf numFmtId="0" fontId="174" fillId="5" borderId="0" xfId="16"/>
    <xf numFmtId="0" fontId="174" fillId="5" borderId="0" xfId="16" applyAlignment="1">
      <alignment horizontal="right"/>
    </xf>
    <xf numFmtId="165" fontId="9" fillId="98" borderId="23" xfId="0" applyNumberFormat="1" applyFont="1" applyFill="1" applyBorder="1" applyAlignment="1" applyProtection="1">
      <alignment horizontal="center" vertical="center"/>
      <protection hidden="1"/>
    </xf>
    <xf numFmtId="164" fontId="35" fillId="98" borderId="23" xfId="0" applyNumberFormat="1" applyFont="1" applyFill="1" applyBorder="1" applyAlignment="1" applyProtection="1">
      <alignment horizontal="center" vertical="center"/>
      <protection hidden="1"/>
    </xf>
    <xf numFmtId="0" fontId="37" fillId="98" borderId="23" xfId="0" applyFont="1" applyFill="1" applyBorder="1" applyAlignment="1" applyProtection="1">
      <alignment horizontal="left" vertical="center"/>
      <protection hidden="1"/>
    </xf>
    <xf numFmtId="0" fontId="48" fillId="98" borderId="23" xfId="0" applyFont="1" applyFill="1" applyBorder="1" applyAlignment="1" applyProtection="1">
      <alignment horizontal="center" vertical="center"/>
      <protection hidden="1"/>
    </xf>
    <xf numFmtId="0" fontId="13" fillId="98" borderId="47" xfId="0" applyFont="1" applyFill="1" applyBorder="1" applyAlignment="1" applyProtection="1">
      <alignment vertical="top" wrapText="1"/>
      <protection hidden="1"/>
    </xf>
    <xf numFmtId="0" fontId="13" fillId="98" borderId="0" xfId="0" applyFont="1" applyFill="1" applyBorder="1" applyAlignment="1" applyProtection="1">
      <alignment vertical="top" wrapText="1"/>
      <protection hidden="1"/>
    </xf>
    <xf numFmtId="0" fontId="13" fillId="98" borderId="48" xfId="0" applyFont="1" applyFill="1" applyBorder="1" applyAlignment="1" applyProtection="1">
      <alignment vertical="top" wrapText="1"/>
      <protection hidden="1"/>
    </xf>
    <xf numFmtId="0" fontId="9" fillId="296" borderId="0" xfId="0" applyFont="1" applyFill="1" applyAlignment="1" applyProtection="1">
      <alignment horizontal="right" vertical="center"/>
      <protection hidden="1"/>
    </xf>
    <xf numFmtId="0" fontId="9" fillId="296" borderId="0" xfId="0" applyFont="1" applyFill="1" applyBorder="1" applyAlignment="1" applyProtection="1">
      <alignment horizontal="center" vertical="center"/>
      <protection hidden="1"/>
    </xf>
    <xf numFmtId="165" fontId="9" fillId="296" borderId="0" xfId="0" applyNumberFormat="1" applyFont="1" applyFill="1" applyBorder="1" applyAlignment="1" applyProtection="1">
      <alignment horizontal="center" vertical="center"/>
      <protection hidden="1"/>
    </xf>
    <xf numFmtId="0" fontId="9" fillId="296" borderId="0" xfId="0" applyFont="1" applyFill="1" applyBorder="1" applyAlignment="1" applyProtection="1">
      <alignment horizontal="left" vertical="center"/>
      <protection hidden="1"/>
    </xf>
    <xf numFmtId="0" fontId="9" fillId="296" borderId="0" xfId="0" applyFont="1" applyFill="1" applyBorder="1" applyAlignment="1" applyProtection="1">
      <alignment horizontal="right" vertical="center"/>
      <protection hidden="1"/>
    </xf>
    <xf numFmtId="165" fontId="9" fillId="98" borderId="36" xfId="0" applyNumberFormat="1" applyFont="1" applyFill="1" applyBorder="1" applyAlignment="1" applyProtection="1">
      <alignment horizontal="center" vertical="center"/>
      <protection hidden="1"/>
    </xf>
    <xf numFmtId="164" fontId="35" fillId="98" borderId="36" xfId="0" applyNumberFormat="1" applyFont="1" applyFill="1" applyBorder="1" applyAlignment="1" applyProtection="1">
      <alignment horizontal="center" vertical="center"/>
      <protection hidden="1"/>
    </xf>
    <xf numFmtId="0" fontId="37" fillId="98" borderId="36" xfId="0" applyFont="1" applyFill="1" applyBorder="1" applyAlignment="1" applyProtection="1">
      <alignment horizontal="left" vertical="center"/>
      <protection hidden="1"/>
    </xf>
    <xf numFmtId="0" fontId="48" fillId="98" borderId="36" xfId="0" applyFont="1" applyFill="1" applyBorder="1" applyAlignment="1" applyProtection="1">
      <alignment horizontal="center" vertical="center"/>
      <protection hidden="1"/>
    </xf>
    <xf numFmtId="4" fontId="9" fillId="5" borderId="16" xfId="0" applyNumberFormat="1" applyFont="1" applyFill="1" applyBorder="1"/>
    <xf numFmtId="165" fontId="12" fillId="9" borderId="1" xfId="7" applyFont="1" applyFill="1" applyBorder="1" applyProtection="1">
      <alignment horizontal="center" vertical="center"/>
      <protection hidden="1"/>
    </xf>
    <xf numFmtId="2" fontId="164" fillId="5" borderId="0" xfId="4" applyFont="1" applyFill="1" applyBorder="1" applyAlignment="1" applyProtection="1">
      <alignment horizontal="center" vertical="center"/>
      <protection hidden="1"/>
    </xf>
    <xf numFmtId="0" fontId="164" fillId="5" borderId="0" xfId="0" applyFont="1" applyFill="1" applyBorder="1" applyAlignment="1" applyProtection="1">
      <alignment horizontal="center" vertical="center"/>
      <protection hidden="1"/>
    </xf>
    <xf numFmtId="0" fontId="164" fillId="98" borderId="47" xfId="0" applyFont="1" applyFill="1" applyBorder="1" applyAlignment="1" applyProtection="1">
      <alignment horizontal="center" vertical="center"/>
      <protection hidden="1"/>
    </xf>
    <xf numFmtId="0" fontId="165" fillId="98" borderId="0" xfId="0" applyFont="1" applyFill="1" applyBorder="1" applyAlignment="1" applyProtection="1">
      <alignment horizontal="center" vertical="center" wrapText="1"/>
      <protection hidden="1"/>
    </xf>
    <xf numFmtId="0" fontId="165" fillId="98" borderId="48" xfId="0" applyFont="1" applyFill="1" applyBorder="1" applyAlignment="1" applyProtection="1">
      <alignment horizontal="center" vertical="center" wrapText="1"/>
      <protection hidden="1"/>
    </xf>
    <xf numFmtId="0" fontId="165" fillId="98" borderId="0" xfId="0" applyFont="1" applyFill="1" applyBorder="1" applyAlignment="1" applyProtection="1">
      <alignment vertical="center"/>
      <protection hidden="1"/>
    </xf>
    <xf numFmtId="0" fontId="164" fillId="98" borderId="0" xfId="0" applyFont="1" applyFill="1" applyBorder="1" applyAlignment="1" applyProtection="1">
      <alignment horizontal="center" vertical="center"/>
      <protection hidden="1"/>
    </xf>
    <xf numFmtId="0" fontId="165" fillId="98" borderId="0" xfId="0" applyFont="1" applyFill="1" applyBorder="1" applyAlignment="1" applyProtection="1">
      <alignment horizontal="center" vertical="center"/>
      <protection hidden="1"/>
    </xf>
    <xf numFmtId="0" fontId="164" fillId="98" borderId="48" xfId="0" applyFont="1" applyFill="1" applyBorder="1" applyAlignment="1" applyProtection="1">
      <alignment horizontal="center" vertical="center"/>
      <protection hidden="1"/>
    </xf>
    <xf numFmtId="0" fontId="82" fillId="5" borderId="0" xfId="0" applyFont="1" applyFill="1" applyAlignment="1" applyProtection="1">
      <alignment vertical="center"/>
      <protection hidden="1"/>
    </xf>
    <xf numFmtId="0" fontId="175" fillId="98" borderId="0" xfId="0" applyFont="1" applyFill="1" applyBorder="1" applyAlignment="1" applyProtection="1">
      <alignment horizontal="center" vertical="center"/>
      <protection hidden="1"/>
    </xf>
    <xf numFmtId="0" fontId="164" fillId="98" borderId="0" xfId="0" applyFont="1" applyFill="1" applyAlignment="1" applyProtection="1">
      <alignment horizontal="center" vertical="center"/>
      <protection hidden="1"/>
    </xf>
    <xf numFmtId="165" fontId="164" fillId="98" borderId="0" xfId="0" applyNumberFormat="1" applyFont="1" applyFill="1" applyBorder="1" applyAlignment="1" applyProtection="1">
      <alignment horizontal="center" vertical="center"/>
      <protection hidden="1"/>
    </xf>
    <xf numFmtId="164" fontId="166" fillId="98" borderId="0" xfId="0" applyNumberFormat="1" applyFont="1" applyFill="1" applyBorder="1" applyAlignment="1" applyProtection="1">
      <alignment horizontal="center" vertical="center"/>
      <protection hidden="1"/>
    </xf>
    <xf numFmtId="0" fontId="13" fillId="297" borderId="0" xfId="0" applyFont="1" applyFill="1" applyAlignment="1" applyProtection="1">
      <alignment vertical="center" wrapText="1"/>
      <protection hidden="1"/>
    </xf>
    <xf numFmtId="0" fontId="9" fillId="25" borderId="0" xfId="0" applyFont="1" applyFill="1" applyBorder="1" applyAlignment="1" applyProtection="1">
      <alignment vertical="center"/>
      <protection hidden="1"/>
    </xf>
    <xf numFmtId="0" fontId="13" fillId="25" borderId="0" xfId="0" applyFont="1" applyFill="1" applyBorder="1" applyAlignment="1" applyProtection="1">
      <alignment vertical="center" wrapText="1"/>
      <protection hidden="1"/>
    </xf>
    <xf numFmtId="0" fontId="37" fillId="25" borderId="0" xfId="0" applyFont="1" applyFill="1" applyBorder="1" applyAlignment="1" applyProtection="1">
      <alignment horizontal="right" vertical="center"/>
      <protection hidden="1"/>
    </xf>
    <xf numFmtId="0" fontId="9" fillId="25" borderId="0" xfId="0" applyFont="1" applyFill="1" applyBorder="1" applyAlignment="1" applyProtection="1">
      <alignment horizontal="center" vertical="center"/>
      <protection hidden="1"/>
    </xf>
    <xf numFmtId="0" fontId="12" fillId="25" borderId="0" xfId="0" applyFont="1" applyFill="1" applyBorder="1" applyAlignment="1" applyProtection="1">
      <alignment horizontal="left" vertical="center"/>
      <protection hidden="1"/>
    </xf>
    <xf numFmtId="0" fontId="9" fillId="25" borderId="0" xfId="0" applyFont="1" applyFill="1" applyAlignment="1" applyProtection="1">
      <alignment horizontal="right" vertical="center"/>
      <protection hidden="1"/>
    </xf>
    <xf numFmtId="0" fontId="9" fillId="25" borderId="0" xfId="0" applyFont="1" applyFill="1" applyBorder="1" applyAlignment="1" applyProtection="1">
      <alignment horizontal="left" vertical="center"/>
      <protection hidden="1"/>
    </xf>
    <xf numFmtId="0" fontId="9" fillId="25" borderId="0" xfId="0" applyFont="1" applyFill="1" applyProtection="1">
      <protection hidden="1"/>
    </xf>
    <xf numFmtId="164" fontId="35" fillId="15" borderId="0" xfId="0" applyNumberFormat="1" applyFont="1" applyFill="1" applyBorder="1" applyAlignment="1" applyProtection="1">
      <alignment horizontal="center" vertical="center"/>
      <protection hidden="1"/>
    </xf>
    <xf numFmtId="0" fontId="28" fillId="5" borderId="0" xfId="0" applyFont="1" applyFill="1" applyBorder="1" applyAlignment="1" applyProtection="1">
      <alignment horizontal="left" vertical="center"/>
      <protection hidden="1"/>
    </xf>
    <xf numFmtId="164" fontId="15" fillId="15" borderId="0" xfId="9" applyNumberFormat="1" applyFont="1" applyFill="1" applyBorder="1" applyAlignment="1" applyProtection="1">
      <alignment vertical="top" wrapText="1"/>
      <protection hidden="1"/>
    </xf>
    <xf numFmtId="0" fontId="71" fillId="5" borderId="0" xfId="8" applyAlignment="1">
      <alignment horizontal="left"/>
    </xf>
    <xf numFmtId="0" fontId="13" fillId="98" borderId="47" xfId="0" applyFont="1" applyFill="1" applyBorder="1" applyAlignment="1" applyProtection="1">
      <alignment horizontal="center" vertical="top" wrapText="1"/>
      <protection hidden="1"/>
    </xf>
    <xf numFmtId="0" fontId="13" fillId="98" borderId="0" xfId="0" applyFont="1" applyFill="1" applyBorder="1" applyAlignment="1" applyProtection="1">
      <alignment horizontal="center" vertical="top" wrapText="1"/>
      <protection hidden="1"/>
    </xf>
    <xf numFmtId="0" fontId="13" fillId="98" borderId="48" xfId="0" applyFont="1" applyFill="1" applyBorder="1" applyAlignment="1" applyProtection="1">
      <alignment horizontal="center" vertical="top" wrapText="1"/>
      <protection hidden="1"/>
    </xf>
    <xf numFmtId="165" fontId="9" fillId="9" borderId="15" xfId="0" applyNumberFormat="1" applyFont="1" applyFill="1" applyBorder="1"/>
    <xf numFmtId="4" fontId="9" fillId="9" borderId="15" xfId="0" applyNumberFormat="1" applyFont="1" applyFill="1" applyBorder="1"/>
    <xf numFmtId="165" fontId="9" fillId="9" borderId="16" xfId="0" applyNumberFormat="1" applyFont="1" applyFill="1" applyBorder="1"/>
    <xf numFmtId="165" fontId="9" fillId="10" borderId="15" xfId="0" applyNumberFormat="1" applyFont="1" applyFill="1" applyBorder="1"/>
    <xf numFmtId="4" fontId="9" fillId="10" borderId="15" xfId="0" applyNumberFormat="1" applyFont="1" applyFill="1" applyBorder="1"/>
    <xf numFmtId="165" fontId="9" fillId="10" borderId="16" xfId="0" applyNumberFormat="1" applyFont="1" applyFill="1" applyBorder="1"/>
    <xf numFmtId="4" fontId="9" fillId="68" borderId="15" xfId="0" applyNumberFormat="1" applyFont="1" applyFill="1" applyBorder="1"/>
    <xf numFmtId="165" fontId="12" fillId="98" borderId="0" xfId="7" applyFont="1" applyFill="1" applyBorder="1" applyProtection="1">
      <alignment horizontal="center" vertical="center"/>
      <protection hidden="1"/>
    </xf>
    <xf numFmtId="4" fontId="9" fillId="9" borderId="1" xfId="7" applyNumberFormat="1" applyFont="1" applyFill="1" applyBorder="1" applyProtection="1">
      <alignment horizontal="center" vertical="center"/>
      <protection hidden="1"/>
    </xf>
    <xf numFmtId="0" fontId="37" fillId="98" borderId="0" xfId="0" applyFont="1" applyFill="1" applyBorder="1" applyAlignment="1" applyProtection="1">
      <alignment vertical="center" wrapText="1"/>
      <protection hidden="1"/>
    </xf>
    <xf numFmtId="0" fontId="13" fillId="98" borderId="47" xfId="0" applyFont="1" applyFill="1" applyBorder="1" applyAlignment="1" applyProtection="1">
      <alignment horizontal="center" vertical="top" wrapText="1"/>
      <protection hidden="1"/>
    </xf>
    <xf numFmtId="0" fontId="13" fillId="98" borderId="0" xfId="0" applyFont="1" applyFill="1" applyBorder="1" applyAlignment="1" applyProtection="1">
      <alignment horizontal="center" vertical="top" wrapText="1"/>
      <protection hidden="1"/>
    </xf>
    <xf numFmtId="0" fontId="13" fillId="98" borderId="48" xfId="0" applyFont="1" applyFill="1" applyBorder="1" applyAlignment="1" applyProtection="1">
      <alignment horizontal="center" vertical="top" wrapText="1"/>
      <protection hidden="1"/>
    </xf>
    <xf numFmtId="0" fontId="13" fillId="98" borderId="47" xfId="0" applyFont="1" applyFill="1" applyBorder="1" applyAlignment="1" applyProtection="1">
      <alignment horizontal="center" vertical="top" wrapText="1"/>
      <protection hidden="1"/>
    </xf>
    <xf numFmtId="0" fontId="13" fillId="98" borderId="0" xfId="0" applyFont="1" applyFill="1" applyBorder="1" applyAlignment="1" applyProtection="1">
      <alignment horizontal="center" vertical="top" wrapText="1"/>
      <protection hidden="1"/>
    </xf>
    <xf numFmtId="0" fontId="13" fillId="98" borderId="48" xfId="0" applyFont="1" applyFill="1" applyBorder="1" applyAlignment="1" applyProtection="1">
      <alignment horizontal="center" vertical="top" wrapText="1"/>
      <protection hidden="1"/>
    </xf>
    <xf numFmtId="0" fontId="75" fillId="5" borderId="0" xfId="0" applyFont="1" applyFill="1" applyBorder="1" applyAlignment="1" applyProtection="1">
      <alignment horizontal="right" vertical="center"/>
      <protection hidden="1"/>
    </xf>
    <xf numFmtId="0" fontId="37" fillId="98" borderId="0" xfId="0" applyFont="1" applyFill="1" applyBorder="1" applyAlignment="1" applyProtection="1">
      <alignment horizontal="left" vertical="center" wrapText="1"/>
      <protection hidden="1"/>
    </xf>
    <xf numFmtId="0" fontId="9" fillId="40" borderId="135" xfId="9" applyFont="1" applyFill="1" applyBorder="1" applyAlignment="1" applyProtection="1">
      <alignment vertical="center"/>
      <protection hidden="1"/>
    </xf>
    <xf numFmtId="2" fontId="9" fillId="70" borderId="0" xfId="4" applyFont="1" applyFill="1" applyBorder="1" applyAlignment="1" applyProtection="1">
      <alignment horizontal="left" vertical="center" wrapText="1"/>
      <protection hidden="1"/>
    </xf>
    <xf numFmtId="0" fontId="9" fillId="5" borderId="15" xfId="0" applyFont="1" applyFill="1" applyBorder="1" applyAlignment="1">
      <alignment horizontal="center" vertical="center"/>
    </xf>
    <xf numFmtId="0" fontId="9" fillId="5" borderId="26" xfId="0" applyFont="1" applyFill="1" applyBorder="1" applyAlignment="1">
      <alignment horizontal="left"/>
    </xf>
    <xf numFmtId="0" fontId="14" fillId="72" borderId="16" xfId="0" applyFont="1" applyFill="1" applyBorder="1"/>
    <xf numFmtId="0" fontId="37" fillId="147" borderId="15" xfId="0" applyFont="1" applyFill="1" applyBorder="1" applyAlignment="1">
      <alignment horizontal="left"/>
    </xf>
    <xf numFmtId="165" fontId="37" fillId="147" borderId="15" xfId="0" applyNumberFormat="1" applyFont="1" applyFill="1" applyBorder="1" applyAlignment="1">
      <alignment horizontal="right"/>
    </xf>
    <xf numFmtId="165" fontId="37" fillId="5" borderId="15" xfId="0" applyNumberFormat="1" applyFont="1" applyFill="1" applyBorder="1" applyAlignment="1">
      <alignment vertical="center"/>
    </xf>
    <xf numFmtId="165" fontId="37" fillId="5" borderId="15" xfId="0" applyNumberFormat="1" applyFont="1" applyFill="1" applyBorder="1" applyAlignment="1">
      <alignment horizontal="left" vertical="center"/>
    </xf>
    <xf numFmtId="165" fontId="37" fillId="5" borderId="15" xfId="0" applyNumberFormat="1" applyFont="1" applyFill="1" applyBorder="1" applyAlignment="1">
      <alignment horizontal="right"/>
    </xf>
    <xf numFmtId="0" fontId="9" fillId="5" borderId="0" xfId="0" applyFont="1" applyFill="1" applyBorder="1" applyAlignment="1"/>
    <xf numFmtId="0" fontId="71" fillId="5" borderId="0" xfId="8" applyAlignment="1"/>
    <xf numFmtId="0" fontId="9" fillId="5" borderId="0" xfId="0" applyFont="1" applyFill="1" applyAlignment="1"/>
    <xf numFmtId="0" fontId="37" fillId="5" borderId="0" xfId="0" applyFont="1" applyFill="1" applyAlignment="1"/>
    <xf numFmtId="0" fontId="10" fillId="5" borderId="0" xfId="0" applyFont="1" applyFill="1" applyAlignment="1"/>
    <xf numFmtId="0" fontId="5" fillId="5" borderId="0" xfId="0" applyFont="1" applyFill="1" applyAlignment="1"/>
    <xf numFmtId="0" fontId="37" fillId="5" borderId="27"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15" xfId="0" applyFont="1" applyFill="1" applyBorder="1" applyAlignment="1">
      <alignment vertical="center"/>
    </xf>
    <xf numFmtId="4" fontId="37" fillId="5" borderId="15" xfId="0" applyNumberFormat="1" applyFont="1" applyFill="1" applyBorder="1" applyAlignment="1">
      <alignment vertical="center"/>
    </xf>
    <xf numFmtId="0" fontId="5" fillId="5" borderId="0" xfId="0" applyFont="1" applyFill="1" applyAlignment="1">
      <alignment vertical="center"/>
    </xf>
    <xf numFmtId="0" fontId="37" fillId="5" borderId="15" xfId="0" applyFont="1" applyFill="1" applyBorder="1" applyAlignment="1">
      <alignment horizontal="center" vertical="center"/>
    </xf>
    <xf numFmtId="165" fontId="37" fillId="5" borderId="15" xfId="0" applyNumberFormat="1" applyFont="1" applyFill="1" applyBorder="1" applyAlignment="1">
      <alignment horizontal="right" vertical="center"/>
    </xf>
    <xf numFmtId="165" fontId="0" fillId="21" borderId="0" xfId="0" applyNumberFormat="1" applyFill="1" applyBorder="1" applyAlignment="1">
      <alignment horizontal="right" vertical="top"/>
    </xf>
    <xf numFmtId="165" fontId="0" fillId="5" borderId="0" xfId="0" applyNumberFormat="1" applyFill="1" applyBorder="1" applyAlignment="1">
      <alignment vertical="top"/>
    </xf>
    <xf numFmtId="165" fontId="0" fillId="6" borderId="0" xfId="0" applyNumberFormat="1" applyFill="1" applyBorder="1" applyAlignment="1">
      <alignment vertical="top"/>
    </xf>
    <xf numFmtId="165" fontId="0" fillId="21" borderId="0" xfId="0" applyNumberFormat="1" applyFill="1" applyAlignment="1">
      <alignment horizontal="right" vertical="top"/>
    </xf>
    <xf numFmtId="165" fontId="0" fillId="5" borderId="0" xfId="0" applyNumberFormat="1" applyFill="1" applyAlignment="1">
      <alignment vertical="top"/>
    </xf>
    <xf numFmtId="165" fontId="0" fillId="6" borderId="0" xfId="0" applyNumberFormat="1" applyFill="1" applyAlignment="1">
      <alignment vertical="top"/>
    </xf>
    <xf numFmtId="0" fontId="9" fillId="5" borderId="0" xfId="0" quotePrefix="1" applyFont="1" applyFill="1" applyBorder="1"/>
    <xf numFmtId="2" fontId="119" fillId="70" borderId="0" xfId="4" quotePrefix="1" applyFont="1" applyFill="1" applyBorder="1" applyAlignment="1" applyProtection="1">
      <alignment horizontal="left" vertical="center"/>
      <protection hidden="1"/>
    </xf>
    <xf numFmtId="0" fontId="177" fillId="5" borderId="0" xfId="0" applyFont="1" applyFill="1" applyBorder="1" applyAlignment="1" applyProtection="1">
      <alignment vertical="center"/>
      <protection hidden="1"/>
    </xf>
    <xf numFmtId="0" fontId="59" fillId="5" borderId="0" xfId="0" applyFont="1" applyFill="1" applyBorder="1" applyAlignment="1">
      <alignment horizontal="left"/>
    </xf>
    <xf numFmtId="0" fontId="178" fillId="5" borderId="0" xfId="0" applyFont="1" applyFill="1" applyBorder="1" applyAlignment="1" applyProtection="1">
      <alignment vertical="center"/>
      <protection hidden="1"/>
    </xf>
    <xf numFmtId="0" fontId="9" fillId="298" borderId="0" xfId="0" applyFont="1" applyFill="1" applyBorder="1" applyAlignment="1" applyProtection="1">
      <alignment horizontal="left" vertical="center"/>
      <protection hidden="1"/>
    </xf>
    <xf numFmtId="0" fontId="48" fillId="298" borderId="0" xfId="0" applyFont="1" applyFill="1" applyBorder="1" applyAlignment="1" applyProtection="1">
      <alignment horizontal="center" vertical="center"/>
      <protection hidden="1"/>
    </xf>
    <xf numFmtId="0" fontId="9" fillId="298" borderId="0" xfId="0" applyFont="1" applyFill="1" applyBorder="1" applyAlignment="1" applyProtection="1">
      <alignment horizontal="center" vertical="center"/>
      <protection hidden="1"/>
    </xf>
    <xf numFmtId="0" fontId="11" fillId="298" borderId="0" xfId="0" applyFont="1" applyFill="1" applyBorder="1" applyAlignment="1" applyProtection="1">
      <alignment vertical="center"/>
      <protection hidden="1"/>
    </xf>
    <xf numFmtId="0" fontId="9" fillId="298" borderId="47" xfId="0" applyFont="1" applyFill="1" applyBorder="1" applyAlignment="1" applyProtection="1">
      <alignment horizontal="right" vertical="center"/>
      <protection hidden="1"/>
    </xf>
    <xf numFmtId="0" fontId="9" fillId="298" borderId="48" xfId="0" applyFont="1" applyFill="1" applyBorder="1" applyAlignment="1" applyProtection="1">
      <alignment horizontal="center" vertical="center"/>
      <protection hidden="1"/>
    </xf>
    <xf numFmtId="0" fontId="37" fillId="298" borderId="23" xfId="0" applyFont="1" applyFill="1" applyBorder="1" applyAlignment="1" applyProtection="1">
      <alignment horizontal="left" vertical="center"/>
      <protection hidden="1"/>
    </xf>
    <xf numFmtId="164" fontId="35" fillId="105" borderId="0" xfId="0" applyNumberFormat="1" applyFont="1" applyFill="1" applyBorder="1" applyAlignment="1" applyProtection="1">
      <alignment horizontal="center" vertical="center"/>
      <protection hidden="1"/>
    </xf>
    <xf numFmtId="0" fontId="9" fillId="105" borderId="0" xfId="0" applyFont="1" applyFill="1" applyBorder="1" applyAlignment="1" applyProtection="1">
      <alignment horizontal="center" vertical="center"/>
      <protection hidden="1"/>
    </xf>
    <xf numFmtId="165" fontId="34" fillId="105" borderId="0" xfId="0" applyNumberFormat="1" applyFont="1" applyFill="1" applyBorder="1" applyAlignment="1" applyProtection="1">
      <alignment horizontal="center" vertical="center"/>
      <protection hidden="1"/>
    </xf>
    <xf numFmtId="0" fontId="11" fillId="105" borderId="0" xfId="0" applyFont="1" applyFill="1" applyBorder="1" applyAlignment="1" applyProtection="1">
      <alignment vertical="center"/>
      <protection hidden="1"/>
    </xf>
    <xf numFmtId="164" fontId="35" fillId="70" borderId="23" xfId="0" applyNumberFormat="1" applyFont="1" applyFill="1" applyBorder="1" applyAlignment="1" applyProtection="1">
      <alignment horizontal="center" vertical="center"/>
      <protection hidden="1"/>
    </xf>
    <xf numFmtId="2" fontId="48" fillId="70" borderId="23" xfId="4" applyFont="1" applyFill="1" applyBorder="1" applyAlignment="1" applyProtection="1">
      <alignment horizontal="center" vertical="center"/>
      <protection hidden="1"/>
    </xf>
    <xf numFmtId="2" fontId="48" fillId="70" borderId="23" xfId="4" applyFont="1" applyFill="1" applyBorder="1" applyAlignment="1" applyProtection="1">
      <alignment horizontal="left" vertical="center"/>
      <protection hidden="1"/>
    </xf>
    <xf numFmtId="2" fontId="48" fillId="70" borderId="23" xfId="4" quotePrefix="1" applyFont="1" applyFill="1" applyBorder="1" applyAlignment="1" applyProtection="1">
      <alignment horizontal="left" vertical="center"/>
      <protection hidden="1"/>
    </xf>
    <xf numFmtId="2" fontId="48" fillId="70" borderId="39" xfId="4" applyFont="1" applyFill="1" applyBorder="1" applyAlignment="1" applyProtection="1">
      <alignment horizontal="left" vertical="center"/>
      <protection hidden="1"/>
    </xf>
    <xf numFmtId="2" fontId="48" fillId="5" borderId="0" xfId="4" applyFont="1" applyFill="1" applyBorder="1" applyAlignment="1" applyProtection="1">
      <alignment horizontal="center" vertical="center"/>
      <protection hidden="1"/>
    </xf>
    <xf numFmtId="2" fontId="48" fillId="5" borderId="0" xfId="4" applyFont="1" applyFill="1" applyBorder="1" applyAlignment="1" applyProtection="1">
      <alignment horizontal="left" vertical="center"/>
      <protection hidden="1"/>
    </xf>
    <xf numFmtId="2" fontId="48" fillId="5" borderId="0" xfId="4" quotePrefix="1" applyFont="1" applyFill="1" applyBorder="1" applyAlignment="1" applyProtection="1">
      <alignment horizontal="left" vertical="center"/>
      <protection hidden="1"/>
    </xf>
    <xf numFmtId="0" fontId="9" fillId="5" borderId="6" xfId="0" applyFont="1" applyFill="1" applyBorder="1" applyProtection="1">
      <protection hidden="1"/>
    </xf>
    <xf numFmtId="2" fontId="9" fillId="5" borderId="6" xfId="4" applyFont="1" applyFill="1" applyBorder="1" applyAlignment="1" applyProtection="1">
      <alignment horizontal="left" vertical="center" wrapText="1"/>
      <protection hidden="1"/>
    </xf>
    <xf numFmtId="2" fontId="9" fillId="5" borderId="6" xfId="4" applyFont="1" applyFill="1" applyBorder="1" applyAlignment="1" applyProtection="1">
      <alignment horizontal="left" vertical="center"/>
      <protection hidden="1"/>
    </xf>
    <xf numFmtId="2" fontId="9" fillId="5" borderId="6" xfId="4" applyFont="1" applyFill="1" applyBorder="1" applyAlignment="1" applyProtection="1">
      <alignment horizontal="center" vertical="center"/>
      <protection hidden="1"/>
    </xf>
    <xf numFmtId="2" fontId="9" fillId="5" borderId="6" xfId="4" applyFont="1" applyFill="1" applyBorder="1" applyAlignment="1" applyProtection="1">
      <alignment vertical="center"/>
      <protection hidden="1"/>
    </xf>
    <xf numFmtId="0" fontId="9" fillId="5" borderId="6" xfId="0" applyFont="1" applyFill="1" applyBorder="1" applyAlignment="1" applyProtection="1">
      <alignment vertical="center"/>
      <protection hidden="1"/>
    </xf>
    <xf numFmtId="0" fontId="9" fillId="5" borderId="6" xfId="0" applyFont="1" applyFill="1" applyBorder="1" applyAlignment="1" applyProtection="1">
      <alignment horizontal="center" vertical="center"/>
      <protection hidden="1"/>
    </xf>
    <xf numFmtId="2" fontId="48" fillId="70" borderId="36" xfId="4" applyFont="1" applyFill="1" applyBorder="1" applyAlignment="1" applyProtection="1">
      <alignment horizontal="center" vertical="center"/>
      <protection hidden="1"/>
    </xf>
    <xf numFmtId="2" fontId="48" fillId="70" borderId="36" xfId="4" applyFont="1" applyFill="1" applyBorder="1" applyAlignment="1" applyProtection="1">
      <alignment horizontal="left" vertical="center"/>
      <protection hidden="1"/>
    </xf>
    <xf numFmtId="2" fontId="48" fillId="70" borderId="36" xfId="4" quotePrefix="1" applyFont="1" applyFill="1" applyBorder="1" applyAlignment="1" applyProtection="1">
      <alignment horizontal="left" vertical="center"/>
      <protection hidden="1"/>
    </xf>
    <xf numFmtId="2" fontId="48" fillId="70" borderId="37" xfId="4" applyFont="1" applyFill="1" applyBorder="1" applyAlignment="1" applyProtection="1">
      <alignment horizontal="left" vertical="center"/>
      <protection hidden="1"/>
    </xf>
    <xf numFmtId="164" fontId="35" fillId="70" borderId="36" xfId="0" applyNumberFormat="1" applyFont="1" applyFill="1" applyBorder="1" applyAlignment="1" applyProtection="1">
      <alignment horizontal="center" vertical="center"/>
      <protection hidden="1"/>
    </xf>
    <xf numFmtId="0" fontId="9" fillId="139" borderId="35" xfId="0" applyFont="1" applyFill="1" applyBorder="1" applyAlignment="1" applyProtection="1">
      <protection hidden="1"/>
    </xf>
    <xf numFmtId="0" fontId="132" fillId="5" borderId="0" xfId="0" applyFont="1" applyFill="1" applyBorder="1" applyAlignment="1" applyProtection="1">
      <alignment vertical="center"/>
      <protection hidden="1"/>
    </xf>
    <xf numFmtId="0" fontId="61" fillId="5" borderId="0" xfId="0" applyFont="1" applyFill="1" applyBorder="1" applyAlignment="1" applyProtection="1">
      <alignment vertical="center"/>
      <protection hidden="1"/>
    </xf>
    <xf numFmtId="0" fontId="9" fillId="139" borderId="38" xfId="0" applyFont="1" applyFill="1" applyBorder="1" applyAlignment="1"/>
    <xf numFmtId="0" fontId="9" fillId="299" borderId="0" xfId="0" applyFont="1" applyFill="1" applyBorder="1" applyAlignment="1" applyProtection="1">
      <protection hidden="1"/>
    </xf>
    <xf numFmtId="0" fontId="9" fillId="140" borderId="3" xfId="0" applyFont="1" applyFill="1" applyBorder="1" applyAlignment="1" applyProtection="1">
      <protection hidden="1"/>
    </xf>
    <xf numFmtId="0" fontId="9" fillId="140" borderId="6" xfId="0" applyFont="1" applyFill="1" applyBorder="1" applyAlignment="1" applyProtection="1">
      <protection hidden="1"/>
    </xf>
    <xf numFmtId="0" fontId="9" fillId="140" borderId="2" xfId="0" applyFont="1" applyFill="1" applyBorder="1" applyAlignment="1" applyProtection="1">
      <protection hidden="1"/>
    </xf>
    <xf numFmtId="0" fontId="9" fillId="5" borderId="2" xfId="0" quotePrefix="1" applyFont="1" applyFill="1" applyBorder="1" applyAlignment="1">
      <alignment horizontal="center" vertical="center"/>
    </xf>
    <xf numFmtId="0" fontId="71" fillId="5" borderId="3" xfId="8" applyBorder="1" applyAlignment="1">
      <alignment horizontal="center" vertical="center"/>
    </xf>
    <xf numFmtId="0" fontId="69" fillId="9" borderId="0" xfId="0" applyFont="1" applyFill="1" applyBorder="1" applyAlignment="1" applyProtection="1">
      <alignment vertical="top" wrapText="1"/>
      <protection hidden="1"/>
    </xf>
    <xf numFmtId="0" fontId="32" fillId="5" borderId="0" xfId="0" applyFont="1" applyFill="1" applyAlignment="1">
      <alignment vertical="center"/>
    </xf>
    <xf numFmtId="0" fontId="37" fillId="5" borderId="15" xfId="0" applyFont="1" applyFill="1" applyBorder="1" applyAlignment="1">
      <alignment horizontal="left"/>
    </xf>
    <xf numFmtId="0" fontId="32" fillId="53" borderId="0" xfId="0" applyFont="1" applyFill="1" applyBorder="1" applyAlignment="1">
      <alignment horizontal="left"/>
    </xf>
    <xf numFmtId="0" fontId="32" fillId="53" borderId="0" xfId="0" applyFont="1" applyFill="1" applyBorder="1" applyAlignment="1">
      <alignment horizontal="center"/>
    </xf>
    <xf numFmtId="0" fontId="9" fillId="112" borderId="0" xfId="0" applyFont="1" applyFill="1" applyBorder="1" applyAlignment="1" applyProtection="1">
      <alignment horizontal="right" vertical="center"/>
      <protection hidden="1"/>
    </xf>
    <xf numFmtId="0" fontId="9" fillId="107" borderId="35" xfId="0" applyFont="1" applyFill="1" applyBorder="1" applyAlignment="1" applyProtection="1">
      <alignment horizontal="center" vertical="center"/>
      <protection hidden="1"/>
    </xf>
    <xf numFmtId="0" fontId="9" fillId="107" borderId="47" xfId="0" applyFont="1" applyFill="1" applyBorder="1" applyAlignment="1" applyProtection="1">
      <alignment horizontal="center" vertical="center"/>
      <protection hidden="1"/>
    </xf>
    <xf numFmtId="0" fontId="9" fillId="107" borderId="38" xfId="0" applyFont="1" applyFill="1" applyBorder="1" applyAlignment="1" applyProtection="1">
      <alignment horizontal="right" vertical="center"/>
      <protection hidden="1"/>
    </xf>
    <xf numFmtId="0" fontId="9" fillId="132" borderId="47" xfId="0" applyFont="1" applyFill="1" applyBorder="1" applyAlignment="1" applyProtection="1">
      <alignment horizontal="center" vertical="center"/>
      <protection hidden="1"/>
    </xf>
    <xf numFmtId="0" fontId="9" fillId="107" borderId="38" xfId="0" applyFont="1" applyFill="1" applyBorder="1" applyAlignment="1" applyProtection="1">
      <alignment horizontal="center" vertical="center"/>
      <protection hidden="1"/>
    </xf>
    <xf numFmtId="0" fontId="9" fillId="10" borderId="8" xfId="0" applyFont="1" applyFill="1" applyBorder="1" applyAlignment="1" applyProtection="1">
      <alignment horizontal="center" vertical="center"/>
      <protection hidden="1"/>
    </xf>
    <xf numFmtId="0" fontId="9" fillId="10" borderId="52" xfId="0" applyFont="1" applyFill="1" applyBorder="1" applyAlignment="1" applyProtection="1">
      <alignment horizontal="center" vertical="center"/>
      <protection hidden="1"/>
    </xf>
    <xf numFmtId="165" fontId="9" fillId="6" borderId="6" xfId="0" applyNumberFormat="1" applyFont="1" applyFill="1" applyBorder="1" applyAlignment="1" applyProtection="1">
      <alignment horizontal="center" vertical="center"/>
      <protection hidden="1"/>
    </xf>
    <xf numFmtId="0" fontId="87" fillId="10" borderId="0" xfId="0" applyFont="1" applyFill="1" applyBorder="1" applyAlignment="1" applyProtection="1">
      <alignment horizontal="left" vertical="center"/>
      <protection hidden="1"/>
    </xf>
    <xf numFmtId="0" fontId="9" fillId="34" borderId="6" xfId="0"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center" wrapText="1"/>
      <protection hidden="1"/>
    </xf>
    <xf numFmtId="0" fontId="13" fillId="17" borderId="52" xfId="0" applyFont="1" applyFill="1" applyBorder="1" applyAlignment="1" applyProtection="1">
      <alignment horizontal="center" vertical="top" wrapText="1"/>
      <protection hidden="1"/>
    </xf>
    <xf numFmtId="0" fontId="9" fillId="128" borderId="0" xfId="0" applyFont="1" applyFill="1" applyBorder="1" applyAlignment="1" applyProtection="1">
      <alignment horizontal="left" vertical="center"/>
      <protection hidden="1"/>
    </xf>
    <xf numFmtId="0" fontId="9" fillId="30" borderId="3"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protection hidden="1"/>
    </xf>
    <xf numFmtId="0" fontId="48" fillId="17" borderId="0" xfId="0" applyFont="1" applyFill="1" applyBorder="1" applyAlignment="1" applyProtection="1">
      <alignment horizontal="center" vertical="center"/>
      <protection hidden="1"/>
    </xf>
    <xf numFmtId="0" fontId="31" fillId="6" borderId="6" xfId="0" applyFont="1" applyFill="1" applyBorder="1" applyAlignment="1" applyProtection="1">
      <alignment horizontal="center" vertical="center"/>
      <protection hidden="1"/>
    </xf>
    <xf numFmtId="0" fontId="9" fillId="70" borderId="23" xfId="3" applyFont="1" applyFill="1" applyBorder="1" applyAlignment="1" applyProtection="1">
      <alignment horizontal="center" vertical="center"/>
      <protection hidden="1"/>
    </xf>
    <xf numFmtId="0" fontId="9" fillId="5" borderId="0" xfId="3" applyFont="1" applyFill="1" applyBorder="1" applyAlignment="1" applyProtection="1">
      <alignment horizontal="center" vertical="center"/>
      <protection hidden="1"/>
    </xf>
    <xf numFmtId="0" fontId="9" fillId="25" borderId="0" xfId="1" applyFont="1" applyFill="1" applyBorder="1" applyAlignment="1" applyProtection="1">
      <alignment horizontal="center" vertical="center"/>
      <protection hidden="1"/>
    </xf>
    <xf numFmtId="0" fontId="15" fillId="5" borderId="0" xfId="0" applyFont="1" applyFill="1" applyBorder="1" applyProtection="1">
      <protection hidden="1"/>
    </xf>
    <xf numFmtId="0" fontId="9" fillId="132" borderId="0" xfId="0" applyFont="1" applyFill="1" applyBorder="1" applyProtection="1">
      <protection hidden="1"/>
    </xf>
    <xf numFmtId="0" fontId="9" fillId="132" borderId="0" xfId="0" applyFont="1" applyFill="1" applyBorder="1" applyAlignment="1" applyProtection="1">
      <alignment horizontal="right"/>
      <protection hidden="1"/>
    </xf>
    <xf numFmtId="0" fontId="97" fillId="132" borderId="0" xfId="0" applyFont="1" applyFill="1" applyBorder="1" applyAlignment="1" applyProtection="1">
      <alignment vertical="center"/>
      <protection hidden="1"/>
    </xf>
    <xf numFmtId="0" fontId="86" fillId="132" borderId="0" xfId="0" applyFont="1" applyFill="1" applyBorder="1" applyAlignment="1" applyProtection="1">
      <alignment vertical="center" wrapText="1"/>
      <protection hidden="1"/>
    </xf>
    <xf numFmtId="0" fontId="9" fillId="10" borderId="52" xfId="0" applyFont="1" applyFill="1" applyBorder="1" applyProtection="1">
      <protection hidden="1"/>
    </xf>
    <xf numFmtId="0" fontId="69" fillId="5" borderId="0" xfId="0" applyFont="1" applyFill="1" applyBorder="1" applyProtection="1">
      <protection hidden="1"/>
    </xf>
    <xf numFmtId="0" fontId="69" fillId="5" borderId="0" xfId="0" applyFont="1" applyFill="1" applyBorder="1" applyAlignment="1" applyProtection="1">
      <alignment horizontal="center" vertical="center"/>
      <protection hidden="1"/>
    </xf>
    <xf numFmtId="0" fontId="69" fillId="5" borderId="0" xfId="0" applyFont="1" applyFill="1" applyBorder="1" applyAlignment="1" applyProtection="1">
      <alignment horizontal="center"/>
      <protection hidden="1"/>
    </xf>
    <xf numFmtId="0" fontId="28" fillId="98" borderId="0" xfId="0" applyFont="1" applyFill="1" applyBorder="1" applyAlignment="1" applyProtection="1">
      <alignment vertical="center" wrapText="1"/>
      <protection hidden="1"/>
    </xf>
    <xf numFmtId="0" fontId="78" fillId="5" borderId="0" xfId="0" applyFont="1" applyFill="1" applyBorder="1"/>
    <xf numFmtId="164" fontId="9" fillId="2" borderId="32" xfId="0" applyNumberFormat="1" applyFont="1" applyFill="1" applyBorder="1" applyAlignment="1">
      <alignment horizontal="right" vertical="center"/>
    </xf>
    <xf numFmtId="0" fontId="9" fillId="5" borderId="32" xfId="0" applyFont="1" applyFill="1" applyBorder="1" applyAlignment="1">
      <alignment horizontal="right" vertical="center"/>
    </xf>
    <xf numFmtId="0" fontId="9" fillId="5" borderId="32" xfId="0" applyFont="1" applyFill="1" applyBorder="1" applyAlignment="1">
      <alignment horizontal="right"/>
    </xf>
    <xf numFmtId="0" fontId="9" fillId="5" borderId="50" xfId="0" applyFont="1" applyFill="1" applyBorder="1" applyAlignment="1">
      <alignment horizontal="right" vertical="center"/>
    </xf>
    <xf numFmtId="165" fontId="9" fillId="6" borderId="6" xfId="0" applyNumberFormat="1"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center" wrapText="1"/>
      <protection hidden="1"/>
    </xf>
    <xf numFmtId="0" fontId="9" fillId="5" borderId="15" xfId="0" applyFont="1" applyFill="1" applyBorder="1" applyAlignment="1">
      <alignment horizontal="center" vertical="center"/>
    </xf>
    <xf numFmtId="0" fontId="28" fillId="36" borderId="0" xfId="0" applyFont="1" applyFill="1" applyBorder="1" applyAlignment="1">
      <alignment horizontal="left" vertical="center"/>
    </xf>
    <xf numFmtId="0" fontId="28" fillId="12" borderId="0" xfId="0" applyFont="1" applyFill="1" applyBorder="1" applyAlignment="1">
      <alignment horizontal="left" vertical="center"/>
    </xf>
    <xf numFmtId="0" fontId="28" fillId="119" borderId="0" xfId="0" applyFont="1" applyFill="1" applyBorder="1" applyAlignment="1">
      <alignment horizontal="left" vertical="center"/>
    </xf>
    <xf numFmtId="0" fontId="42" fillId="5" borderId="0" xfId="0" applyFont="1" applyFill="1" applyBorder="1"/>
    <xf numFmtId="0" fontId="42" fillId="5" borderId="0" xfId="0" applyFont="1" applyFill="1" applyBorder="1" applyProtection="1">
      <protection hidden="1"/>
    </xf>
    <xf numFmtId="0" fontId="42" fillId="112" borderId="0" xfId="0" applyFont="1" applyFill="1" applyBorder="1" applyProtection="1">
      <protection hidden="1"/>
    </xf>
    <xf numFmtId="0" fontId="42" fillId="112" borderId="0" xfId="0" applyFont="1" applyFill="1" applyBorder="1"/>
    <xf numFmtId="0" fontId="9" fillId="143" borderId="0" xfId="0" applyFont="1" applyFill="1" applyProtection="1">
      <protection hidden="1"/>
    </xf>
    <xf numFmtId="0" fontId="67" fillId="143" borderId="47" xfId="0" applyFont="1" applyFill="1" applyBorder="1" applyAlignment="1" applyProtection="1">
      <alignment vertical="center" wrapText="1"/>
      <protection hidden="1"/>
    </xf>
    <xf numFmtId="165" fontId="9" fillId="109" borderId="36" xfId="0" applyNumberFormat="1" applyFont="1" applyFill="1" applyBorder="1" applyAlignment="1" applyProtection="1">
      <alignment vertical="center"/>
      <protection hidden="1"/>
    </xf>
    <xf numFmtId="0" fontId="9" fillId="109" borderId="37" xfId="0" applyFont="1" applyFill="1" applyBorder="1" applyAlignment="1" applyProtection="1">
      <alignment vertical="center"/>
      <protection hidden="1"/>
    </xf>
    <xf numFmtId="0" fontId="9" fillId="109" borderId="0" xfId="0" applyFont="1" applyFill="1" applyBorder="1" applyAlignment="1" applyProtection="1">
      <alignment vertical="center"/>
      <protection hidden="1"/>
    </xf>
    <xf numFmtId="165" fontId="9" fillId="109" borderId="0" xfId="0" applyNumberFormat="1" applyFont="1" applyFill="1" applyBorder="1" applyAlignment="1" applyProtection="1">
      <alignment vertical="center"/>
      <protection hidden="1"/>
    </xf>
    <xf numFmtId="0" fontId="9" fillId="109" borderId="48" xfId="0" applyFont="1" applyFill="1" applyBorder="1" applyAlignment="1" applyProtection="1">
      <alignment vertical="center"/>
      <protection hidden="1"/>
    </xf>
    <xf numFmtId="0" fontId="9" fillId="109" borderId="38" xfId="0" applyFont="1" applyFill="1" applyBorder="1" applyAlignment="1" applyProtection="1">
      <alignment horizontal="right" vertical="center"/>
      <protection hidden="1"/>
    </xf>
    <xf numFmtId="165" fontId="9" fillId="109" borderId="23" xfId="0" applyNumberFormat="1" applyFont="1" applyFill="1" applyBorder="1" applyAlignment="1" applyProtection="1">
      <alignment vertical="center"/>
      <protection hidden="1"/>
    </xf>
    <xf numFmtId="0" fontId="9" fillId="109" borderId="39" xfId="0" applyFont="1" applyFill="1" applyBorder="1" applyAlignment="1" applyProtection="1">
      <alignment vertical="center"/>
      <protection hidden="1"/>
    </xf>
    <xf numFmtId="0" fontId="9" fillId="5" borderId="47" xfId="0" applyFont="1" applyFill="1" applyBorder="1" applyAlignment="1" applyProtection="1">
      <alignment horizontal="right" vertical="center"/>
      <protection hidden="1"/>
    </xf>
    <xf numFmtId="0" fontId="9" fillId="5" borderId="48" xfId="0" applyFont="1" applyFill="1" applyBorder="1" applyAlignment="1" applyProtection="1">
      <alignment vertical="center"/>
      <protection hidden="1"/>
    </xf>
    <xf numFmtId="0" fontId="11" fillId="10" borderId="0" xfId="0" applyFont="1" applyFill="1" applyBorder="1" applyAlignment="1" applyProtection="1">
      <alignment vertical="center"/>
      <protection hidden="1"/>
    </xf>
    <xf numFmtId="0" fontId="9" fillId="10" borderId="0" xfId="0" applyFont="1" applyFill="1" applyBorder="1" applyAlignment="1" applyProtection="1">
      <alignment horizontal="left"/>
      <protection hidden="1"/>
    </xf>
    <xf numFmtId="0" fontId="12" fillId="17" borderId="0" xfId="0" applyFont="1" applyFill="1" applyBorder="1" applyAlignment="1" applyProtection="1">
      <alignment horizontal="center" vertical="center"/>
      <protection hidden="1"/>
    </xf>
    <xf numFmtId="0" fontId="37" fillId="109" borderId="0" xfId="0" applyFont="1" applyFill="1" applyBorder="1" applyAlignment="1" applyProtection="1">
      <alignment vertical="center"/>
      <protection hidden="1"/>
    </xf>
    <xf numFmtId="0" fontId="37" fillId="109" borderId="23" xfId="0" applyFont="1" applyFill="1" applyBorder="1" applyAlignment="1" applyProtection="1">
      <alignment vertical="center"/>
      <protection hidden="1"/>
    </xf>
    <xf numFmtId="0" fontId="31" fillId="109" borderId="0" xfId="0" applyFont="1" applyFill="1" applyBorder="1" applyAlignment="1" applyProtection="1">
      <alignment horizontal="left" vertical="center"/>
      <protection hidden="1"/>
    </xf>
    <xf numFmtId="0" fontId="31" fillId="109" borderId="0" xfId="0" applyFont="1" applyFill="1" applyBorder="1" applyAlignment="1" applyProtection="1">
      <alignment horizontal="center" vertical="center"/>
      <protection hidden="1"/>
    </xf>
    <xf numFmtId="0" fontId="24" fillId="109" borderId="23" xfId="0" applyFont="1" applyFill="1" applyBorder="1" applyAlignment="1" applyProtection="1">
      <alignment horizontal="center" vertical="center"/>
      <protection hidden="1"/>
    </xf>
    <xf numFmtId="0" fontId="185" fillId="109" borderId="23" xfId="0" applyFont="1" applyFill="1" applyBorder="1" applyAlignment="1" applyProtection="1">
      <alignment vertical="center"/>
      <protection hidden="1"/>
    </xf>
    <xf numFmtId="0" fontId="24" fillId="109" borderId="23" xfId="0" applyFont="1" applyFill="1" applyBorder="1" applyAlignment="1" applyProtection="1">
      <alignment horizontal="left"/>
      <protection hidden="1"/>
    </xf>
    <xf numFmtId="0" fontId="24" fillId="5" borderId="0" xfId="0" applyFont="1" applyFill="1" applyBorder="1" applyAlignment="1" applyProtection="1">
      <alignment horizontal="center" vertical="center"/>
      <protection hidden="1"/>
    </xf>
    <xf numFmtId="0" fontId="185" fillId="5" borderId="0" xfId="0" applyFont="1" applyFill="1" applyBorder="1" applyAlignment="1" applyProtection="1">
      <alignment vertical="center"/>
      <protection hidden="1"/>
    </xf>
    <xf numFmtId="0" fontId="24" fillId="5" borderId="0" xfId="0" applyFont="1" applyFill="1" applyBorder="1" applyAlignment="1" applyProtection="1">
      <alignment horizontal="left"/>
      <protection hidden="1"/>
    </xf>
    <xf numFmtId="0" fontId="9" fillId="5" borderId="50" xfId="0" applyFont="1" applyFill="1" applyBorder="1" applyAlignment="1">
      <alignment horizontal="right"/>
    </xf>
    <xf numFmtId="0" fontId="9" fillId="5" borderId="131" xfId="0" applyFont="1" applyFill="1" applyBorder="1" applyAlignment="1">
      <alignment horizontal="right"/>
    </xf>
    <xf numFmtId="0" fontId="72" fillId="5" borderId="0" xfId="8" applyFont="1" applyAlignment="1">
      <alignment horizontal="right"/>
    </xf>
    <xf numFmtId="0" fontId="0" fillId="158" borderId="0" xfId="0" applyFill="1"/>
    <xf numFmtId="0" fontId="19" fillId="17" borderId="36" xfId="0" quotePrefix="1" applyFont="1" applyFill="1" applyBorder="1" applyAlignment="1" applyProtection="1">
      <alignment horizontal="center" vertical="center"/>
      <protection hidden="1"/>
    </xf>
    <xf numFmtId="0" fontId="51" fillId="257" borderId="0" xfId="0" applyFont="1" applyFill="1" applyBorder="1" applyAlignment="1" applyProtection="1">
      <alignment horizontal="center" vertical="center"/>
      <protection hidden="1"/>
    </xf>
    <xf numFmtId="0" fontId="9" fillId="5" borderId="0" xfId="0" applyFont="1" applyFill="1" applyBorder="1" applyAlignment="1">
      <alignment horizontal="center" vertical="center"/>
    </xf>
    <xf numFmtId="0" fontId="9" fillId="5" borderId="47" xfId="0" applyFont="1" applyFill="1" applyBorder="1" applyAlignment="1">
      <alignment horizontal="center" vertical="center"/>
    </xf>
    <xf numFmtId="0" fontId="9" fillId="5" borderId="48" xfId="0" applyFont="1" applyFill="1" applyBorder="1" applyAlignment="1">
      <alignment horizontal="center" vertical="center"/>
    </xf>
    <xf numFmtId="0" fontId="10" fillId="143" borderId="0" xfId="0" applyFont="1" applyFill="1"/>
    <xf numFmtId="0" fontId="10" fillId="10" borderId="48" xfId="0" applyFont="1" applyFill="1" applyBorder="1" applyAlignment="1" applyProtection="1">
      <alignment horizontal="center" vertical="center"/>
      <protection hidden="1"/>
    </xf>
    <xf numFmtId="0" fontId="10" fillId="10" borderId="48" xfId="0" applyFont="1" applyFill="1" applyBorder="1" applyAlignment="1" applyProtection="1">
      <alignment horizontal="center"/>
      <protection hidden="1"/>
    </xf>
    <xf numFmtId="0" fontId="39" fillId="10" borderId="0" xfId="0" applyFont="1" applyFill="1" applyBorder="1" applyAlignment="1" applyProtection="1">
      <alignment horizontal="left" vertical="top"/>
      <protection hidden="1"/>
    </xf>
    <xf numFmtId="0" fontId="10" fillId="10" borderId="0" xfId="0" applyFont="1" applyFill="1" applyProtection="1">
      <protection hidden="1"/>
    </xf>
    <xf numFmtId="0" fontId="9" fillId="17" borderId="0" xfId="0" applyFont="1" applyFill="1" applyAlignment="1" applyProtection="1">
      <alignment horizontal="center" vertical="center"/>
      <protection hidden="1"/>
    </xf>
    <xf numFmtId="0" fontId="37" fillId="17" borderId="36" xfId="0" applyFont="1" applyFill="1" applyBorder="1" applyAlignment="1" applyProtection="1">
      <alignment horizontal="center" vertical="center"/>
      <protection hidden="1"/>
    </xf>
    <xf numFmtId="0" fontId="9" fillId="17" borderId="37" xfId="0" applyFont="1" applyFill="1" applyBorder="1" applyAlignment="1" applyProtection="1">
      <alignment horizontal="center" vertical="center"/>
      <protection hidden="1"/>
    </xf>
    <xf numFmtId="0" fontId="37" fillId="17" borderId="0" xfId="0" applyFont="1" applyFill="1" applyBorder="1" applyAlignment="1" applyProtection="1">
      <alignment horizontal="center" vertical="center"/>
      <protection hidden="1"/>
    </xf>
    <xf numFmtId="0" fontId="9" fillId="17" borderId="48" xfId="0" applyFont="1" applyFill="1" applyBorder="1" applyAlignment="1" applyProtection="1">
      <alignment horizontal="center" vertical="center"/>
      <protection hidden="1"/>
    </xf>
    <xf numFmtId="0" fontId="9" fillId="17" borderId="38" xfId="0" applyFont="1" applyFill="1" applyBorder="1" applyAlignment="1" applyProtection="1">
      <alignment horizontal="center" vertical="center"/>
      <protection hidden="1"/>
    </xf>
    <xf numFmtId="0" fontId="37" fillId="17" borderId="23" xfId="0" applyFont="1" applyFill="1" applyBorder="1" applyAlignment="1" applyProtection="1">
      <alignment horizontal="center" vertical="center"/>
      <protection hidden="1"/>
    </xf>
    <xf numFmtId="0" fontId="48" fillId="17" borderId="23" xfId="0" applyFont="1" applyFill="1" applyBorder="1" applyAlignment="1" applyProtection="1">
      <alignment horizontal="center" vertical="center"/>
      <protection hidden="1"/>
    </xf>
    <xf numFmtId="0" fontId="12" fillId="17" borderId="23" xfId="0" applyFont="1" applyFill="1" applyBorder="1" applyAlignment="1" applyProtection="1">
      <alignment horizontal="left" vertical="center"/>
      <protection hidden="1"/>
    </xf>
    <xf numFmtId="0" fontId="9" fillId="17" borderId="39" xfId="0" applyFont="1" applyFill="1" applyBorder="1" applyAlignment="1" applyProtection="1">
      <alignment horizontal="center" vertical="center"/>
      <protection hidden="1"/>
    </xf>
    <xf numFmtId="0" fontId="37" fillId="17" borderId="0" xfId="0" applyFont="1" applyFill="1" applyBorder="1" applyAlignment="1" applyProtection="1">
      <alignment horizontal="left" vertical="center"/>
      <protection hidden="1"/>
    </xf>
    <xf numFmtId="0" fontId="9" fillId="9" borderId="1" xfId="0" applyFont="1" applyFill="1" applyBorder="1" applyAlignment="1" applyProtection="1">
      <alignment horizontal="center" vertical="center"/>
      <protection hidden="1"/>
    </xf>
    <xf numFmtId="0" fontId="0" fillId="143" borderId="0" xfId="0" applyFill="1" applyBorder="1"/>
    <xf numFmtId="0" fontId="0" fillId="109" borderId="0" xfId="0" applyFill="1" applyBorder="1" applyAlignment="1" applyProtection="1">
      <alignment vertical="center"/>
      <protection hidden="1"/>
    </xf>
    <xf numFmtId="0" fontId="11" fillId="109" borderId="0" xfId="0" applyFont="1" applyFill="1" applyBorder="1" applyAlignment="1" applyProtection="1">
      <alignment vertical="center"/>
      <protection hidden="1"/>
    </xf>
    <xf numFmtId="0" fontId="0" fillId="109" borderId="47" xfId="0" applyFill="1" applyBorder="1" applyAlignment="1" applyProtection="1">
      <alignment vertical="center"/>
      <protection hidden="1"/>
    </xf>
    <xf numFmtId="0" fontId="0" fillId="240" borderId="6" xfId="0" applyFill="1" applyBorder="1" applyProtection="1">
      <protection hidden="1"/>
    </xf>
    <xf numFmtId="165" fontId="9" fillId="9" borderId="43" xfId="9" applyNumberFormat="1" applyBorder="1" applyProtection="1">
      <alignment horizontal="center" vertical="center"/>
      <protection hidden="1"/>
    </xf>
    <xf numFmtId="164" fontId="35" fillId="5" borderId="7" xfId="0" applyNumberFormat="1" applyFont="1" applyFill="1" applyBorder="1" applyAlignment="1" applyProtection="1">
      <alignment horizontal="center" vertical="center"/>
      <protection hidden="1"/>
    </xf>
    <xf numFmtId="0" fontId="186" fillId="5" borderId="0" xfId="0" applyFont="1" applyFill="1" applyAlignment="1" applyProtection="1">
      <alignment vertical="center"/>
      <protection hidden="1"/>
    </xf>
    <xf numFmtId="0" fontId="13" fillId="183" borderId="52" xfId="0" applyFont="1" applyFill="1" applyBorder="1" applyAlignment="1" applyProtection="1">
      <alignment horizontal="center" vertical="top" wrapText="1"/>
      <protection hidden="1"/>
    </xf>
    <xf numFmtId="0" fontId="12" fillId="5" borderId="15" xfId="0" applyFont="1" applyFill="1" applyBorder="1" applyAlignment="1">
      <alignment horizontal="center" vertical="center"/>
    </xf>
    <xf numFmtId="0" fontId="71" fillId="5" borderId="0" xfId="8" applyFont="1" applyAlignment="1">
      <alignment horizontal="center"/>
    </xf>
    <xf numFmtId="10" fontId="9" fillId="5" borderId="0" xfId="0" applyNumberFormat="1" applyFont="1" applyFill="1" applyBorder="1" applyAlignment="1">
      <alignment horizontal="center" vertical="center"/>
    </xf>
    <xf numFmtId="0" fontId="0" fillId="5" borderId="16" xfId="0" applyFill="1" applyBorder="1"/>
    <xf numFmtId="0" fontId="0" fillId="5" borderId="30" xfId="0" applyFill="1" applyBorder="1"/>
    <xf numFmtId="165" fontId="15" fillId="5" borderId="0" xfId="7" applyFont="1" applyFill="1" applyBorder="1" applyProtection="1">
      <alignment horizontal="center" vertical="center"/>
      <protection hidden="1"/>
    </xf>
    <xf numFmtId="165" fontId="0" fillId="31" borderId="6" xfId="0" applyNumberFormat="1" applyFill="1" applyBorder="1" applyAlignment="1" applyProtection="1">
      <alignment horizontal="center" vertical="center"/>
      <protection hidden="1"/>
    </xf>
    <xf numFmtId="0" fontId="9" fillId="17" borderId="23" xfId="0" applyFont="1" applyFill="1" applyBorder="1" applyAlignment="1" applyProtection="1">
      <alignment vertical="center"/>
      <protection hidden="1"/>
    </xf>
    <xf numFmtId="0" fontId="12" fillId="17" borderId="23" xfId="0" applyFont="1" applyFill="1" applyBorder="1" applyAlignment="1" applyProtection="1">
      <alignment horizontal="center" vertical="center"/>
      <protection hidden="1"/>
    </xf>
    <xf numFmtId="0" fontId="19" fillId="17" borderId="0" xfId="0" quotePrefix="1" applyFont="1" applyFill="1" applyBorder="1" applyAlignment="1" applyProtection="1">
      <alignment horizontal="center" vertical="center"/>
      <protection hidden="1"/>
    </xf>
    <xf numFmtId="165" fontId="15" fillId="31" borderId="23" xfId="7" applyNumberFormat="1" applyFont="1" applyFill="1" applyBorder="1" applyProtection="1">
      <alignment horizontal="center" vertical="center"/>
      <protection hidden="1"/>
    </xf>
    <xf numFmtId="0" fontId="47" fillId="5" borderId="22" xfId="0" applyFont="1" applyFill="1" applyBorder="1" applyAlignment="1">
      <alignment horizontal="center" vertical="center"/>
    </xf>
    <xf numFmtId="0" fontId="47" fillId="2" borderId="15" xfId="0" applyFont="1" applyFill="1" applyBorder="1" applyAlignment="1">
      <alignment horizontal="center" vertical="center"/>
    </xf>
    <xf numFmtId="0" fontId="47" fillId="5" borderId="15" xfId="0" applyFont="1" applyFill="1" applyBorder="1" applyAlignment="1">
      <alignment horizontal="center" vertical="center"/>
    </xf>
    <xf numFmtId="0" fontId="0" fillId="5" borderId="27" xfId="0" applyFill="1" applyBorder="1" applyAlignment="1">
      <alignment horizontal="center" vertical="center"/>
    </xf>
    <xf numFmtId="0" fontId="9" fillId="5" borderId="0" xfId="0" applyFont="1" applyFill="1" applyBorder="1" applyAlignment="1">
      <alignment horizontal="center" vertical="center"/>
    </xf>
    <xf numFmtId="0" fontId="12" fillId="6" borderId="15" xfId="0" applyFont="1" applyFill="1" applyBorder="1" applyAlignment="1">
      <alignment horizontal="center" vertical="center"/>
    </xf>
    <xf numFmtId="0" fontId="71" fillId="5" borderId="15" xfId="8" applyBorder="1" applyAlignment="1">
      <alignment wrapText="1"/>
    </xf>
    <xf numFmtId="0" fontId="187" fillId="5" borderId="15" xfId="0" applyFont="1" applyFill="1" applyBorder="1"/>
    <xf numFmtId="0" fontId="187" fillId="5" borderId="15" xfId="0" applyFont="1" applyFill="1" applyBorder="1" applyAlignment="1">
      <alignment vertical="center"/>
    </xf>
    <xf numFmtId="0" fontId="187" fillId="5" borderId="15" xfId="0" applyFont="1" applyFill="1" applyBorder="1" applyAlignment="1">
      <alignment vertical="center" wrapText="1"/>
    </xf>
    <xf numFmtId="0" fontId="187" fillId="5" borderId="0" xfId="0" applyFont="1" applyFill="1" applyBorder="1"/>
    <xf numFmtId="0" fontId="187" fillId="5" borderId="0" xfId="0" applyFont="1" applyFill="1" applyBorder="1" applyAlignment="1">
      <alignment vertical="center"/>
    </xf>
    <xf numFmtId="0" fontId="30" fillId="303" borderId="0" xfId="0" applyFont="1" applyFill="1" applyAlignment="1">
      <alignment vertical="center"/>
    </xf>
    <xf numFmtId="0" fontId="9" fillId="303" borderId="0" xfId="0" applyFont="1" applyFill="1" applyAlignment="1">
      <alignment vertical="center"/>
    </xf>
    <xf numFmtId="0" fontId="0" fillId="183" borderId="9" xfId="0" applyFill="1" applyBorder="1"/>
    <xf numFmtId="0" fontId="47" fillId="9" borderId="22" xfId="0" applyFont="1" applyFill="1" applyBorder="1" applyAlignment="1">
      <alignment horizontal="left"/>
    </xf>
    <xf numFmtId="0" fontId="47" fillId="9" borderId="29" xfId="0" applyFont="1" applyFill="1" applyBorder="1" applyAlignment="1">
      <alignment horizontal="left"/>
    </xf>
    <xf numFmtId="0" fontId="47" fillId="9" borderId="15" xfId="0" applyFont="1" applyFill="1" applyBorder="1" applyAlignment="1">
      <alignment horizontal="right"/>
    </xf>
    <xf numFmtId="0" fontId="47" fillId="9" borderId="16" xfId="0" applyFont="1" applyFill="1" applyBorder="1" applyAlignment="1">
      <alignment horizontal="right"/>
    </xf>
    <xf numFmtId="0" fontId="47" fillId="9" borderId="15" xfId="0" applyFont="1" applyFill="1" applyBorder="1"/>
    <xf numFmtId="0" fontId="47" fillId="9" borderId="16" xfId="0" applyFont="1" applyFill="1" applyBorder="1"/>
    <xf numFmtId="0" fontId="47" fillId="9" borderId="27" xfId="0" applyFont="1" applyFill="1" applyBorder="1" applyAlignment="1">
      <alignment horizontal="right"/>
    </xf>
    <xf numFmtId="0" fontId="47" fillId="9" borderId="30" xfId="0" applyFont="1" applyFill="1" applyBorder="1" applyAlignment="1">
      <alignment horizontal="right"/>
    </xf>
    <xf numFmtId="0" fontId="188" fillId="36" borderId="0" xfId="0" applyFont="1" applyFill="1" applyBorder="1" applyAlignment="1">
      <alignment vertical="center"/>
    </xf>
    <xf numFmtId="0" fontId="9" fillId="9" borderId="15" xfId="0" applyFont="1" applyFill="1" applyBorder="1"/>
    <xf numFmtId="0" fontId="62" fillId="10" borderId="0" xfId="0" applyFont="1" applyFill="1" applyBorder="1" applyAlignment="1">
      <alignment vertical="center"/>
    </xf>
    <xf numFmtId="0" fontId="77" fillId="10" borderId="0" xfId="0" applyFont="1" applyFill="1" applyBorder="1" applyAlignment="1">
      <alignment vertical="center"/>
    </xf>
    <xf numFmtId="0" fontId="9" fillId="10" borderId="0" xfId="0" applyFont="1" applyFill="1"/>
    <xf numFmtId="0" fontId="47" fillId="5" borderId="47" xfId="0" applyFont="1" applyFill="1" applyBorder="1" applyAlignment="1">
      <alignment horizontal="left" vertical="center"/>
    </xf>
    <xf numFmtId="0" fontId="47" fillId="5" borderId="0" xfId="0" applyFont="1" applyFill="1" applyAlignment="1">
      <alignment vertical="top" wrapText="1"/>
    </xf>
    <xf numFmtId="0" fontId="92" fillId="9" borderId="0" xfId="0" applyFont="1" applyFill="1" applyBorder="1" applyAlignment="1">
      <alignment vertical="top"/>
    </xf>
    <xf numFmtId="0" fontId="151" fillId="181" borderId="0" xfId="0" applyFont="1" applyFill="1" applyAlignment="1">
      <alignment vertical="center"/>
    </xf>
    <xf numFmtId="0" fontId="58" fillId="5" borderId="0" xfId="0" applyFont="1" applyFill="1" applyAlignment="1">
      <alignment vertical="center"/>
    </xf>
    <xf numFmtId="0" fontId="58" fillId="5" borderId="0" xfId="0" applyFont="1" applyFill="1" applyAlignment="1">
      <alignment horizontal="right" vertical="center" wrapText="1"/>
    </xf>
    <xf numFmtId="0" fontId="58" fillId="5" borderId="0" xfId="0" applyFont="1" applyFill="1" applyAlignment="1">
      <alignment vertical="center" wrapText="1"/>
    </xf>
    <xf numFmtId="0" fontId="58" fillId="5" borderId="0" xfId="0" applyFont="1" applyFill="1" applyAlignment="1">
      <alignment horizontal="right" vertical="center"/>
    </xf>
    <xf numFmtId="0" fontId="152" fillId="5" borderId="0" xfId="0" applyFont="1" applyFill="1" applyAlignment="1">
      <alignment vertical="center"/>
    </xf>
    <xf numFmtId="0" fontId="152" fillId="216" borderId="0" xfId="0" applyFont="1" applyFill="1" applyAlignment="1">
      <alignment vertical="center"/>
    </xf>
    <xf numFmtId="0" fontId="58" fillId="216" borderId="0" xfId="0" applyFont="1" applyFill="1" applyAlignment="1">
      <alignment horizontal="right" vertical="center"/>
    </xf>
    <xf numFmtId="0" fontId="100" fillId="5" borderId="0" xfId="0" applyFont="1" applyFill="1" applyAlignment="1">
      <alignment horizontal="left" vertical="center" wrapText="1"/>
    </xf>
    <xf numFmtId="0" fontId="150" fillId="181" borderId="0" xfId="0" applyFont="1" applyFill="1" applyAlignment="1">
      <alignment vertical="center"/>
    </xf>
    <xf numFmtId="0" fontId="77" fillId="5" borderId="0" xfId="0" applyFont="1" applyFill="1" applyBorder="1" applyAlignment="1">
      <alignment vertical="center" wrapText="1"/>
    </xf>
    <xf numFmtId="0" fontId="9" fillId="5" borderId="0" xfId="0" applyFont="1" applyFill="1" applyBorder="1" applyAlignment="1">
      <alignment horizontal="right" wrapText="1"/>
    </xf>
    <xf numFmtId="0" fontId="9" fillId="9" borderId="0" xfId="0" applyFont="1" applyFill="1" applyBorder="1" applyAlignment="1">
      <alignment vertical="center"/>
    </xf>
    <xf numFmtId="0" fontId="136" fillId="305" borderId="0" xfId="0" applyFont="1" applyFill="1" applyAlignment="1">
      <alignment horizontal="left" vertical="center"/>
    </xf>
    <xf numFmtId="0" fontId="136" fillId="305" borderId="0" xfId="0" applyFont="1" applyFill="1" applyAlignment="1">
      <alignment horizontal="left" vertical="center" wrapText="1"/>
    </xf>
    <xf numFmtId="0" fontId="136" fillId="305" borderId="0" xfId="0" applyFont="1" applyFill="1" applyAlignment="1">
      <alignment horizontal="center" vertical="center" wrapText="1"/>
    </xf>
    <xf numFmtId="0" fontId="136" fillId="305" borderId="0" xfId="0" applyFont="1" applyFill="1" applyAlignment="1">
      <alignment horizontal="right" vertical="center"/>
    </xf>
    <xf numFmtId="0" fontId="9" fillId="5" borderId="0" xfId="0" applyFont="1" applyFill="1" applyAlignment="1">
      <alignment horizontal="left" wrapText="1"/>
    </xf>
    <xf numFmtId="0" fontId="9" fillId="9" borderId="0" xfId="0" applyFont="1" applyFill="1" applyAlignment="1">
      <alignment vertical="center"/>
    </xf>
    <xf numFmtId="0" fontId="12" fillId="5" borderId="23" xfId="0" applyFont="1" applyFill="1" applyBorder="1" applyAlignment="1">
      <alignment vertical="center"/>
    </xf>
    <xf numFmtId="0" fontId="12" fillId="5" borderId="23" xfId="0" applyFont="1" applyFill="1" applyBorder="1" applyAlignment="1">
      <alignment horizontal="right" vertical="center"/>
    </xf>
    <xf numFmtId="0" fontId="15" fillId="5" borderId="0" xfId="0" applyFont="1" applyFill="1" applyBorder="1" applyAlignment="1">
      <alignment horizontal="right" vertical="center" wrapText="1"/>
    </xf>
    <xf numFmtId="0" fontId="15" fillId="5" borderId="0" xfId="0" applyFont="1" applyFill="1" applyAlignment="1">
      <alignment vertical="center"/>
    </xf>
    <xf numFmtId="0" fontId="15" fillId="5" borderId="0" xfId="0" applyFont="1" applyFill="1" applyAlignment="1">
      <alignment horizontal="right" vertical="center" wrapText="1"/>
    </xf>
    <xf numFmtId="0" fontId="15" fillId="5" borderId="0" xfId="0" applyFont="1" applyFill="1" applyAlignment="1">
      <alignment horizontal="right" vertical="center"/>
    </xf>
    <xf numFmtId="0" fontId="136" fillId="307" borderId="0" xfId="0" applyFont="1" applyFill="1" applyAlignment="1">
      <alignment horizontal="left" vertical="center"/>
    </xf>
    <xf numFmtId="0" fontId="136" fillId="307" borderId="0" xfId="0" applyFont="1" applyFill="1" applyAlignment="1">
      <alignment horizontal="right" vertical="center"/>
    </xf>
    <xf numFmtId="0" fontId="136" fillId="307" borderId="0" xfId="0" applyFont="1" applyFill="1" applyAlignment="1">
      <alignment horizontal="left" vertical="center" wrapText="1"/>
    </xf>
    <xf numFmtId="0" fontId="136" fillId="307" borderId="0" xfId="0" applyFont="1" applyFill="1" applyAlignment="1">
      <alignment horizontal="center" vertical="center" wrapText="1"/>
    </xf>
    <xf numFmtId="4" fontId="9" fillId="5" borderId="27" xfId="0" applyNumberFormat="1" applyFont="1" applyFill="1" applyBorder="1" applyAlignment="1">
      <alignment horizontal="right" vertical="center"/>
    </xf>
    <xf numFmtId="4" fontId="9" fillId="309" borderId="15" xfId="0" applyNumberFormat="1" applyFont="1" applyFill="1" applyBorder="1" applyAlignment="1">
      <alignment horizontal="right" vertical="center"/>
    </xf>
    <xf numFmtId="4" fontId="9" fillId="5" borderId="22" xfId="0" applyNumberFormat="1" applyFont="1" applyFill="1" applyBorder="1" applyAlignment="1">
      <alignment horizontal="left" vertical="top" wrapText="1"/>
    </xf>
    <xf numFmtId="4" fontId="9" fillId="5" borderId="15" xfId="0" applyNumberFormat="1" applyFont="1" applyFill="1" applyBorder="1" applyAlignment="1">
      <alignment horizontal="right"/>
    </xf>
    <xf numFmtId="4" fontId="9" fillId="5" borderId="27" xfId="0" applyNumberFormat="1" applyFont="1" applyFill="1" applyBorder="1" applyAlignment="1">
      <alignment horizontal="right"/>
    </xf>
    <xf numFmtId="4" fontId="0" fillId="5" borderId="27" xfId="0" applyNumberFormat="1" applyFill="1" applyBorder="1" applyAlignment="1">
      <alignment horizontal="right"/>
    </xf>
    <xf numFmtId="4" fontId="9" fillId="309" borderId="22" xfId="0" applyNumberFormat="1" applyFont="1" applyFill="1" applyBorder="1" applyAlignment="1">
      <alignment horizontal="left" vertical="top" wrapText="1"/>
    </xf>
    <xf numFmtId="4" fontId="0" fillId="309" borderId="27" xfId="0" applyNumberFormat="1" applyFill="1" applyBorder="1" applyAlignment="1">
      <alignment horizontal="right"/>
    </xf>
    <xf numFmtId="4" fontId="9" fillId="310" borderId="22" xfId="0" applyNumberFormat="1" applyFont="1" applyFill="1" applyBorder="1" applyAlignment="1">
      <alignment horizontal="left" vertical="top" wrapText="1"/>
    </xf>
    <xf numFmtId="4" fontId="9" fillId="310" borderId="15" xfId="0" applyNumberFormat="1" applyFont="1" applyFill="1" applyBorder="1" applyAlignment="1">
      <alignment horizontal="right" vertical="center"/>
    </xf>
    <xf numFmtId="0" fontId="9" fillId="219" borderId="35" xfId="0" applyFont="1" applyFill="1" applyBorder="1" applyAlignment="1">
      <alignment vertical="center"/>
    </xf>
    <xf numFmtId="0" fontId="9" fillId="219" borderId="36" xfId="0" applyFont="1" applyFill="1" applyBorder="1" applyAlignment="1">
      <alignment vertical="center"/>
    </xf>
    <xf numFmtId="0" fontId="9" fillId="219" borderId="37" xfId="0" applyFont="1" applyFill="1" applyBorder="1" applyAlignment="1">
      <alignment horizontal="center" vertical="center"/>
    </xf>
    <xf numFmtId="0" fontId="9" fillId="219" borderId="37" xfId="0" applyFont="1" applyFill="1" applyBorder="1" applyAlignment="1">
      <alignment vertical="center"/>
    </xf>
    <xf numFmtId="0" fontId="9" fillId="219" borderId="35" xfId="0" applyFont="1" applyFill="1" applyBorder="1" applyAlignment="1">
      <alignment horizontal="center" vertical="center"/>
    </xf>
    <xf numFmtId="0" fontId="9" fillId="219" borderId="36" xfId="0" applyFont="1" applyFill="1" applyBorder="1" applyAlignment="1">
      <alignment horizontal="center" vertical="center"/>
    </xf>
    <xf numFmtId="0" fontId="9" fillId="219" borderId="37" xfId="0" applyFont="1" applyFill="1" applyBorder="1" applyAlignment="1">
      <alignment horizontal="right"/>
    </xf>
    <xf numFmtId="0" fontId="136" fillId="312" borderId="0" xfId="0" applyFont="1" applyFill="1" applyAlignment="1">
      <alignment horizontal="left" vertical="center"/>
    </xf>
    <xf numFmtId="0" fontId="136" fillId="304" borderId="0" xfId="0" applyFont="1" applyFill="1" applyBorder="1" applyAlignment="1">
      <alignment horizontal="left" vertical="center"/>
    </xf>
    <xf numFmtId="0" fontId="136" fillId="304" borderId="0" xfId="0" applyFont="1" applyFill="1" applyAlignment="1">
      <alignment horizontal="right" vertical="center"/>
    </xf>
    <xf numFmtId="0" fontId="136" fillId="306" borderId="0" xfId="0" applyFont="1" applyFill="1" applyAlignment="1">
      <alignment horizontal="left" vertical="center"/>
    </xf>
    <xf numFmtId="0" fontId="136" fillId="304" borderId="0" xfId="0" applyFont="1" applyFill="1" applyAlignment="1">
      <alignment horizontal="center" vertical="center"/>
    </xf>
    <xf numFmtId="0" fontId="136" fillId="271" borderId="0" xfId="0" applyFont="1" applyFill="1" applyBorder="1" applyAlignment="1">
      <alignment horizontal="left" vertical="center"/>
    </xf>
    <xf numFmtId="0" fontId="136" fillId="271" borderId="0" xfId="0" applyFont="1" applyFill="1" applyBorder="1" applyAlignment="1">
      <alignment horizontal="right" vertical="center"/>
    </xf>
    <xf numFmtId="0" fontId="136" fillId="5" borderId="0" xfId="0" applyFont="1" applyFill="1" applyBorder="1" applyAlignment="1">
      <alignment horizontal="right" vertical="center"/>
    </xf>
    <xf numFmtId="0" fontId="136" fillId="79" borderId="0" xfId="0" applyFont="1" applyFill="1" applyAlignment="1">
      <alignment horizontal="left" vertical="center"/>
    </xf>
    <xf numFmtId="0" fontId="136" fillId="79" borderId="0" xfId="0" applyFont="1" applyFill="1" applyAlignment="1">
      <alignment horizontal="left" vertical="center" wrapText="1"/>
    </xf>
    <xf numFmtId="0" fontId="136" fillId="79" borderId="0" xfId="0" applyFont="1" applyFill="1" applyAlignment="1">
      <alignment horizontal="right" vertical="center"/>
    </xf>
    <xf numFmtId="0" fontId="136" fillId="219" borderId="0" xfId="0" applyFont="1" applyFill="1" applyAlignment="1">
      <alignment horizontal="left" vertical="center"/>
    </xf>
    <xf numFmtId="0" fontId="193" fillId="36" borderId="0" xfId="0" applyFont="1" applyFill="1" applyAlignment="1">
      <alignment horizontal="left" vertical="center"/>
    </xf>
    <xf numFmtId="0" fontId="136" fillId="287" borderId="0" xfId="0" applyFont="1" applyFill="1" applyAlignment="1">
      <alignment horizontal="right" vertical="center" wrapText="1"/>
    </xf>
    <xf numFmtId="0" fontId="136" fillId="287" borderId="0" xfId="0" applyFont="1" applyFill="1" applyAlignment="1">
      <alignment horizontal="left" vertical="center" wrapText="1"/>
    </xf>
    <xf numFmtId="0" fontId="136" fillId="306" borderId="0" xfId="0" applyFont="1" applyFill="1" applyAlignment="1">
      <alignment horizontal="left" vertical="center" wrapText="1"/>
    </xf>
    <xf numFmtId="0" fontId="136" fillId="219" borderId="0" xfId="0" applyFont="1" applyFill="1" applyAlignment="1">
      <alignment horizontal="left" vertical="center" wrapText="1"/>
    </xf>
    <xf numFmtId="0" fontId="136" fillId="312" borderId="0" xfId="0" applyFont="1" applyFill="1" applyAlignment="1">
      <alignment horizontal="left" vertical="center" wrapText="1"/>
    </xf>
    <xf numFmtId="0" fontId="136" fillId="38" borderId="0" xfId="0" applyFont="1" applyFill="1" applyAlignment="1">
      <alignment horizontal="left" vertical="center"/>
    </xf>
    <xf numFmtId="0" fontId="136" fillId="38" borderId="0" xfId="0" applyFont="1" applyFill="1" applyAlignment="1">
      <alignment horizontal="left" vertical="center" wrapText="1"/>
    </xf>
    <xf numFmtId="0" fontId="136" fillId="38" borderId="0" xfId="0" applyFont="1" applyFill="1" applyAlignment="1">
      <alignment horizontal="right" vertical="center"/>
    </xf>
    <xf numFmtId="0" fontId="136" fillId="5" borderId="0" xfId="0" applyFont="1" applyFill="1" applyAlignment="1">
      <alignment horizontal="right" vertical="center"/>
    </xf>
    <xf numFmtId="0" fontId="136" fillId="306" borderId="0" xfId="0" applyFont="1" applyFill="1" applyAlignment="1">
      <alignment horizontal="right" vertical="center"/>
    </xf>
    <xf numFmtId="0" fontId="136" fillId="219" borderId="0" xfId="0" applyFont="1" applyFill="1" applyAlignment="1">
      <alignment horizontal="right" vertical="center"/>
    </xf>
    <xf numFmtId="0" fontId="136" fillId="312" borderId="0" xfId="0" applyFont="1" applyFill="1" applyAlignment="1">
      <alignment horizontal="right" vertical="center"/>
    </xf>
    <xf numFmtId="0" fontId="136" fillId="36" borderId="0" xfId="0" applyFont="1" applyFill="1" applyAlignment="1">
      <alignment horizontal="right" vertical="center" wrapText="1"/>
    </xf>
    <xf numFmtId="0" fontId="136" fillId="304" borderId="0" xfId="0" applyFont="1" applyFill="1" applyAlignment="1">
      <alignment horizontal="right" vertical="center" wrapText="1"/>
    </xf>
    <xf numFmtId="0" fontId="136" fillId="306" borderId="0" xfId="0" applyFont="1" applyFill="1" applyAlignment="1">
      <alignment vertical="center" wrapText="1"/>
    </xf>
    <xf numFmtId="0" fontId="136" fillId="219" borderId="0" xfId="0" applyFont="1" applyFill="1" applyAlignment="1">
      <alignment horizontal="right" vertical="center" wrapText="1"/>
    </xf>
    <xf numFmtId="0" fontId="136" fillId="312" borderId="0" xfId="0" applyFont="1" applyFill="1" applyAlignment="1">
      <alignment horizontal="right" vertical="center" wrapText="1"/>
    </xf>
    <xf numFmtId="0" fontId="136" fillId="38" borderId="0" xfId="0" applyFont="1" applyFill="1" applyAlignment="1">
      <alignment horizontal="right" vertical="center" wrapText="1"/>
    </xf>
    <xf numFmtId="0" fontId="136" fillId="271" borderId="0" xfId="0" applyFont="1" applyFill="1" applyAlignment="1">
      <alignment horizontal="right" vertical="center" wrapText="1"/>
    </xf>
    <xf numFmtId="0" fontId="136" fillId="5" borderId="0" xfId="0" applyFont="1" applyFill="1" applyAlignment="1">
      <alignment horizontal="right" vertical="center" wrapText="1"/>
    </xf>
    <xf numFmtId="0" fontId="136" fillId="10" borderId="0" xfId="0" applyFont="1" applyFill="1" applyAlignment="1">
      <alignment horizontal="right" vertical="center"/>
    </xf>
    <xf numFmtId="0" fontId="136" fillId="10" borderId="0" xfId="0" applyFont="1" applyFill="1" applyAlignment="1">
      <alignment vertical="center"/>
    </xf>
    <xf numFmtId="0" fontId="136" fillId="10" borderId="0" xfId="0" applyFont="1" applyFill="1" applyAlignment="1">
      <alignment horizontal="right" vertical="center" wrapText="1"/>
    </xf>
    <xf numFmtId="0" fontId="136" fillId="313" borderId="0" xfId="0" applyFont="1" applyFill="1" applyAlignment="1">
      <alignment horizontal="right" vertical="center"/>
    </xf>
    <xf numFmtId="0" fontId="136" fillId="313" borderId="0" xfId="0" applyFont="1" applyFill="1" applyAlignment="1">
      <alignment vertical="center"/>
    </xf>
    <xf numFmtId="0" fontId="136" fillId="313" borderId="0" xfId="0" applyFont="1" applyFill="1" applyAlignment="1">
      <alignment horizontal="left" vertical="center"/>
    </xf>
    <xf numFmtId="4" fontId="9" fillId="6" borderId="22" xfId="0" applyNumberFormat="1" applyFont="1" applyFill="1" applyBorder="1" applyAlignment="1">
      <alignment horizontal="left" vertical="top" wrapText="1"/>
    </xf>
    <xf numFmtId="4" fontId="9" fillId="38" borderId="22" xfId="0" applyNumberFormat="1" applyFont="1" applyFill="1" applyBorder="1" applyAlignment="1">
      <alignment horizontal="left" vertical="top" wrapText="1"/>
    </xf>
    <xf numFmtId="4" fontId="9" fillId="79" borderId="22" xfId="0" applyNumberFormat="1" applyFont="1" applyFill="1" applyBorder="1" applyAlignment="1">
      <alignment horizontal="left" vertical="top" wrapText="1"/>
    </xf>
    <xf numFmtId="4" fontId="9" fillId="5" borderId="22" xfId="0" applyNumberFormat="1" applyFont="1" applyFill="1" applyBorder="1" applyAlignment="1">
      <alignment horizontal="left" vertical="top"/>
    </xf>
    <xf numFmtId="4" fontId="9" fillId="5" borderId="22" xfId="0" applyNumberFormat="1" applyFont="1" applyFill="1" applyBorder="1" applyAlignment="1">
      <alignment horizontal="right" vertical="top" wrapText="1"/>
    </xf>
    <xf numFmtId="4" fontId="9" fillId="17" borderId="22" xfId="0" applyNumberFormat="1" applyFont="1" applyFill="1" applyBorder="1" applyAlignment="1">
      <alignment horizontal="right" vertical="top" wrapText="1"/>
    </xf>
    <xf numFmtId="4" fontId="9" fillId="6" borderId="22" xfId="0" applyNumberFormat="1" applyFont="1" applyFill="1" applyBorder="1" applyAlignment="1">
      <alignment horizontal="right" vertical="top" wrapText="1"/>
    </xf>
    <xf numFmtId="4" fontId="9" fillId="5" borderId="15" xfId="0" applyNumberFormat="1" applyFont="1" applyFill="1" applyBorder="1" applyAlignment="1">
      <alignment horizontal="right" vertical="top" wrapText="1"/>
    </xf>
    <xf numFmtId="4" fontId="9" fillId="304" borderId="22" xfId="0" applyNumberFormat="1" applyFont="1" applyFill="1" applyBorder="1" applyAlignment="1">
      <alignment horizontal="right" vertical="top" wrapText="1"/>
    </xf>
    <xf numFmtId="4" fontId="9" fillId="305" borderId="22" xfId="0" applyNumberFormat="1" applyFont="1" applyFill="1" applyBorder="1" applyAlignment="1">
      <alignment horizontal="right" vertical="top" wrapText="1"/>
    </xf>
    <xf numFmtId="4" fontId="9" fillId="2" borderId="22" xfId="0" applyNumberFormat="1" applyFont="1" applyFill="1" applyBorder="1" applyAlignment="1">
      <alignment horizontal="left" vertical="top" wrapText="1"/>
    </xf>
    <xf numFmtId="4" fontId="9" fillId="9" borderId="22" xfId="0" applyNumberFormat="1" applyFont="1" applyFill="1" applyBorder="1" applyAlignment="1">
      <alignment horizontal="left" vertical="top" wrapText="1"/>
    </xf>
    <xf numFmtId="4" fontId="9" fillId="300" borderId="22" xfId="0" applyNumberFormat="1" applyFont="1" applyFill="1" applyBorder="1" applyAlignment="1">
      <alignment horizontal="left" vertical="top" wrapText="1"/>
    </xf>
    <xf numFmtId="4" fontId="9" fillId="301" borderId="22" xfId="0" applyNumberFormat="1" applyFont="1" applyFill="1" applyBorder="1" applyAlignment="1">
      <alignment horizontal="left" vertical="top" wrapText="1"/>
    </xf>
    <xf numFmtId="4" fontId="9" fillId="302" borderId="22" xfId="0" applyNumberFormat="1" applyFont="1" applyFill="1" applyBorder="1" applyAlignment="1">
      <alignment horizontal="left" vertical="top" wrapText="1"/>
    </xf>
    <xf numFmtId="4" fontId="9" fillId="303" borderId="22" xfId="0" applyNumberFormat="1" applyFont="1" applyFill="1" applyBorder="1" applyAlignment="1">
      <alignment horizontal="left" vertical="top" wrapText="1"/>
    </xf>
    <xf numFmtId="4" fontId="9" fillId="304" borderId="22" xfId="0" applyNumberFormat="1" applyFont="1" applyFill="1" applyBorder="1" applyAlignment="1">
      <alignment horizontal="left" vertical="top" wrapText="1"/>
    </xf>
    <xf numFmtId="4" fontId="9" fillId="308" borderId="22" xfId="0" applyNumberFormat="1" applyFont="1" applyFill="1" applyBorder="1" applyAlignment="1">
      <alignment horizontal="left" vertical="top" wrapText="1"/>
    </xf>
    <xf numFmtId="4" fontId="9" fillId="307" borderId="22" xfId="0" applyNumberFormat="1" applyFont="1" applyFill="1" applyBorder="1" applyAlignment="1">
      <alignment horizontal="left" vertical="top" wrapText="1"/>
    </xf>
    <xf numFmtId="4" fontId="9" fillId="311" borderId="22" xfId="0" applyNumberFormat="1" applyFont="1" applyFill="1" applyBorder="1" applyAlignment="1">
      <alignment horizontal="left" vertical="top" wrapText="1"/>
    </xf>
    <xf numFmtId="4" fontId="9" fillId="289" borderId="22" xfId="0" applyNumberFormat="1" applyFont="1" applyFill="1" applyBorder="1" applyAlignment="1">
      <alignment horizontal="left" vertical="top" wrapText="1"/>
    </xf>
    <xf numFmtId="4" fontId="9" fillId="219" borderId="22" xfId="0" applyNumberFormat="1" applyFont="1" applyFill="1" applyBorder="1" applyAlignment="1">
      <alignment horizontal="left" vertical="top" wrapText="1"/>
    </xf>
    <xf numFmtId="4" fontId="12" fillId="11" borderId="22" xfId="0" applyNumberFormat="1" applyFont="1" applyFill="1" applyBorder="1" applyAlignment="1">
      <alignment horizontal="left" vertical="top" wrapText="1"/>
    </xf>
    <xf numFmtId="4" fontId="9" fillId="288" borderId="22" xfId="0" applyNumberFormat="1" applyFont="1" applyFill="1" applyBorder="1" applyAlignment="1">
      <alignment horizontal="right" vertical="top" wrapText="1"/>
    </xf>
    <xf numFmtId="4" fontId="9" fillId="5" borderId="29" xfId="0" applyNumberFormat="1" applyFont="1" applyFill="1" applyBorder="1" applyAlignment="1">
      <alignment horizontal="left" vertical="top" wrapText="1"/>
    </xf>
    <xf numFmtId="4" fontId="9" fillId="79" borderId="15" xfId="0" applyNumberFormat="1" applyFont="1" applyFill="1" applyBorder="1" applyAlignment="1">
      <alignment horizontal="right" vertical="center"/>
    </xf>
    <xf numFmtId="4" fontId="9" fillId="5" borderId="22" xfId="0" applyNumberFormat="1" applyFont="1" applyFill="1" applyBorder="1" applyAlignment="1">
      <alignment horizontal="right"/>
    </xf>
    <xf numFmtId="4" fontId="9" fillId="17" borderId="22" xfId="0" applyNumberFormat="1" applyFont="1" applyFill="1" applyBorder="1" applyAlignment="1">
      <alignment horizontal="right"/>
    </xf>
    <xf numFmtId="4" fontId="9" fillId="6" borderId="22" xfId="0" applyNumberFormat="1" applyFont="1" applyFill="1" applyBorder="1" applyAlignment="1">
      <alignment horizontal="right"/>
    </xf>
    <xf numFmtId="4" fontId="9" fillId="2" borderId="15" xfId="0" applyNumberFormat="1" applyFont="1" applyFill="1" applyBorder="1" applyAlignment="1">
      <alignment horizontal="right" vertical="center"/>
    </xf>
    <xf numFmtId="4" fontId="9" fillId="9" borderId="15" xfId="0" applyNumberFormat="1" applyFont="1" applyFill="1" applyBorder="1" applyAlignment="1">
      <alignment horizontal="right" vertical="center"/>
    </xf>
    <xf numFmtId="4" fontId="9" fillId="300" borderId="15" xfId="0" applyNumberFormat="1" applyFont="1" applyFill="1" applyBorder="1" applyAlignment="1">
      <alignment horizontal="right" vertical="center"/>
    </xf>
    <xf numFmtId="4" fontId="9" fillId="301" borderId="15" xfId="0" applyNumberFormat="1" applyFont="1" applyFill="1" applyBorder="1" applyAlignment="1">
      <alignment horizontal="right" vertical="center"/>
    </xf>
    <xf numFmtId="4" fontId="9" fillId="302" borderId="15" xfId="0" applyNumberFormat="1" applyFont="1" applyFill="1" applyBorder="1" applyAlignment="1">
      <alignment horizontal="right" vertical="center"/>
    </xf>
    <xf numFmtId="4" fontId="9" fillId="303" borderId="15" xfId="0" applyNumberFormat="1" applyFont="1" applyFill="1" applyBorder="1" applyAlignment="1">
      <alignment horizontal="right" vertical="center"/>
    </xf>
    <xf numFmtId="4" fontId="9" fillId="304" borderId="15" xfId="0" applyNumberFormat="1" applyFont="1" applyFill="1" applyBorder="1" applyAlignment="1">
      <alignment horizontal="right" vertical="center"/>
    </xf>
    <xf numFmtId="4" fontId="9" fillId="307" borderId="15" xfId="0" applyNumberFormat="1" applyFont="1" applyFill="1" applyBorder="1" applyAlignment="1">
      <alignment horizontal="right" vertical="center"/>
    </xf>
    <xf numFmtId="4" fontId="9" fillId="311" borderId="15" xfId="0" applyNumberFormat="1" applyFont="1" applyFill="1" applyBorder="1" applyAlignment="1">
      <alignment horizontal="right" vertical="center"/>
    </xf>
    <xf numFmtId="4" fontId="9" fillId="289" borderId="15" xfId="0" applyNumberFormat="1" applyFont="1" applyFill="1" applyBorder="1" applyAlignment="1">
      <alignment horizontal="right" vertical="center"/>
    </xf>
    <xf numFmtId="4" fontId="9" fillId="6" borderId="15" xfId="0" applyNumberFormat="1" applyFont="1" applyFill="1" applyBorder="1" applyAlignment="1">
      <alignment horizontal="right" vertical="center"/>
    </xf>
    <xf numFmtId="4" fontId="9" fillId="219" borderId="15" xfId="0" applyNumberFormat="1" applyFont="1" applyFill="1" applyBorder="1" applyAlignment="1">
      <alignment horizontal="right" vertical="center"/>
    </xf>
    <xf numFmtId="4" fontId="9" fillId="260" borderId="15" xfId="0" applyNumberFormat="1" applyFont="1" applyFill="1" applyBorder="1" applyAlignment="1">
      <alignment horizontal="right" vertical="center"/>
    </xf>
    <xf numFmtId="4" fontId="9" fillId="11" borderId="15" xfId="0" applyNumberFormat="1" applyFont="1" applyFill="1" applyBorder="1" applyAlignment="1">
      <alignment horizontal="right" vertical="center"/>
    </xf>
    <xf numFmtId="4" fontId="9" fillId="4" borderId="15" xfId="0" applyNumberFormat="1" applyFont="1" applyFill="1" applyBorder="1" applyAlignment="1">
      <alignment horizontal="right"/>
    </xf>
    <xf numFmtId="4" fontId="9" fillId="220" borderId="15" xfId="0" applyNumberFormat="1" applyFont="1" applyFill="1" applyBorder="1" applyAlignment="1">
      <alignment horizontal="right" vertical="center"/>
    </xf>
    <xf numFmtId="4" fontId="9" fillId="35" borderId="15" xfId="0" applyNumberFormat="1" applyFont="1" applyFill="1" applyBorder="1" applyAlignment="1">
      <alignment horizontal="right" vertical="center"/>
    </xf>
    <xf numFmtId="4" fontId="9" fillId="36" borderId="15" xfId="0" applyNumberFormat="1" applyFont="1" applyFill="1" applyBorder="1" applyAlignment="1">
      <alignment horizontal="right" vertical="center"/>
    </xf>
    <xf numFmtId="4" fontId="9" fillId="308" borderId="15" xfId="0" applyNumberFormat="1" applyFont="1" applyFill="1" applyBorder="1" applyAlignment="1">
      <alignment horizontal="right" vertical="center"/>
    </xf>
    <xf numFmtId="4" fontId="9" fillId="6" borderId="15" xfId="0" applyNumberFormat="1" applyFont="1" applyFill="1" applyBorder="1" applyAlignment="1">
      <alignment horizontal="right" vertical="center" wrapText="1"/>
    </xf>
    <xf numFmtId="4" fontId="9" fillId="38" borderId="15" xfId="0" applyNumberFormat="1" applyFont="1" applyFill="1" applyBorder="1" applyAlignment="1">
      <alignment horizontal="right" vertical="center"/>
    </xf>
    <xf numFmtId="4" fontId="9" fillId="4" borderId="15" xfId="0" applyNumberFormat="1" applyFont="1" applyFill="1" applyBorder="1" applyAlignment="1">
      <alignment horizontal="right" vertical="center"/>
    </xf>
    <xf numFmtId="4" fontId="9" fillId="6" borderId="27" xfId="0" applyNumberFormat="1" applyFont="1" applyFill="1" applyBorder="1" applyAlignment="1">
      <alignment horizontal="right"/>
    </xf>
    <xf numFmtId="4" fontId="9" fillId="17" borderId="27" xfId="0" applyNumberFormat="1" applyFont="1" applyFill="1" applyBorder="1" applyAlignment="1">
      <alignment horizontal="right"/>
    </xf>
    <xf numFmtId="4" fontId="9" fillId="5" borderId="30" xfId="0" applyNumberFormat="1" applyFont="1" applyFill="1" applyBorder="1" applyAlignment="1">
      <alignment horizontal="right"/>
    </xf>
    <xf numFmtId="4" fontId="0" fillId="315" borderId="27" xfId="0" applyNumberFormat="1" applyFill="1" applyBorder="1" applyAlignment="1">
      <alignment horizontal="right"/>
    </xf>
    <xf numFmtId="4" fontId="0" fillId="9" borderId="27" xfId="0" applyNumberFormat="1" applyFill="1" applyBorder="1" applyAlignment="1">
      <alignment horizontal="right"/>
    </xf>
    <xf numFmtId="4" fontId="0" fillId="308" borderId="27" xfId="0" applyNumberFormat="1" applyFill="1" applyBorder="1" applyAlignment="1">
      <alignment horizontal="right"/>
    </xf>
    <xf numFmtId="4" fontId="0" fillId="311" borderId="27" xfId="0" applyNumberFormat="1" applyFill="1" applyBorder="1" applyAlignment="1">
      <alignment horizontal="right"/>
    </xf>
    <xf numFmtId="0" fontId="136" fillId="316" borderId="0" xfId="0" applyFont="1" applyFill="1" applyAlignment="1">
      <alignment horizontal="right" vertical="center"/>
    </xf>
    <xf numFmtId="0" fontId="136" fillId="316" borderId="0" xfId="0" applyFont="1" applyFill="1" applyAlignment="1">
      <alignment horizontal="left" vertical="center"/>
    </xf>
    <xf numFmtId="0" fontId="136" fillId="316" borderId="0" xfId="0" applyFont="1" applyFill="1" applyAlignment="1">
      <alignment horizontal="right" vertical="center" wrapText="1"/>
    </xf>
    <xf numFmtId="0" fontId="194" fillId="5" borderId="0" xfId="0" applyFont="1" applyFill="1" applyBorder="1"/>
    <xf numFmtId="165" fontId="9" fillId="6" borderId="6" xfId="0" applyNumberFormat="1" applyFont="1" applyFill="1" applyBorder="1" applyAlignment="1" applyProtection="1">
      <alignment horizontal="center" vertical="center"/>
      <protection hidden="1"/>
    </xf>
    <xf numFmtId="0" fontId="13" fillId="17" borderId="52" xfId="0" applyFont="1" applyFill="1" applyBorder="1" applyAlignment="1" applyProtection="1">
      <alignment horizontal="center" vertical="top" wrapText="1"/>
      <protection hidden="1"/>
    </xf>
    <xf numFmtId="0" fontId="9" fillId="17" borderId="0" xfId="0" applyFont="1" applyFill="1" applyBorder="1" applyAlignment="1" applyProtection="1">
      <alignment horizontal="left" vertical="center" wrapText="1"/>
      <protection hidden="1"/>
    </xf>
    <xf numFmtId="0" fontId="48" fillId="17" borderId="0" xfId="0" applyFont="1" applyFill="1" applyBorder="1" applyAlignment="1" applyProtection="1">
      <alignment horizontal="center" vertical="center"/>
      <protection hidden="1"/>
    </xf>
    <xf numFmtId="0" fontId="31" fillId="6" borderId="6"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center"/>
      <protection hidden="1"/>
    </xf>
    <xf numFmtId="0" fontId="9" fillId="21" borderId="0" xfId="0" applyFont="1" applyFill="1" applyBorder="1" applyAlignment="1" applyProtection="1">
      <alignment horizontal="left" vertical="center" wrapText="1"/>
      <protection hidden="1"/>
    </xf>
    <xf numFmtId="165" fontId="9" fillId="6" borderId="6" xfId="0" applyNumberFormat="1" applyFont="1" applyFill="1" applyBorder="1" applyAlignment="1" applyProtection="1">
      <alignment horizontal="center" vertical="center"/>
      <protection hidden="1"/>
    </xf>
    <xf numFmtId="0" fontId="9" fillId="34" borderId="6"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center" wrapText="1"/>
      <protection hidden="1"/>
    </xf>
    <xf numFmtId="0" fontId="9" fillId="6" borderId="6"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top" wrapText="1"/>
      <protection hidden="1"/>
    </xf>
    <xf numFmtId="0" fontId="9" fillId="21" borderId="0" xfId="0" applyFont="1" applyFill="1" applyBorder="1" applyAlignment="1" applyProtection="1">
      <alignment horizontal="left" vertical="center"/>
      <protection hidden="1"/>
    </xf>
    <xf numFmtId="0" fontId="13" fillId="21" borderId="52" xfId="0" applyFont="1" applyFill="1" applyBorder="1" applyAlignment="1" applyProtection="1">
      <alignment horizontal="center" vertical="center" wrapText="1"/>
      <protection hidden="1"/>
    </xf>
    <xf numFmtId="0" fontId="9" fillId="6" borderId="15" xfId="0" applyFont="1" applyFill="1" applyBorder="1" applyAlignment="1">
      <alignment vertical="center" wrapText="1"/>
    </xf>
    <xf numFmtId="0" fontId="13" fillId="21" borderId="52" xfId="0" applyFont="1" applyFill="1" applyBorder="1" applyAlignment="1" applyProtection="1">
      <alignment vertical="top" wrapText="1"/>
      <protection hidden="1"/>
    </xf>
    <xf numFmtId="0" fontId="0" fillId="6" borderId="0" xfId="0" applyFill="1" applyBorder="1" applyProtection="1">
      <protection hidden="1"/>
    </xf>
    <xf numFmtId="0" fontId="0" fillId="6" borderId="0" xfId="0" applyFill="1" applyBorder="1" applyAlignment="1" applyProtection="1">
      <alignment horizontal="center"/>
      <protection hidden="1"/>
    </xf>
    <xf numFmtId="165" fontId="0" fillId="6" borderId="0" xfId="0" applyNumberFormat="1" applyFill="1" applyBorder="1" applyAlignment="1" applyProtection="1">
      <alignment vertical="center"/>
      <protection hidden="1"/>
    </xf>
    <xf numFmtId="0" fontId="0" fillId="6" borderId="0" xfId="0" applyFill="1" applyBorder="1" applyAlignment="1" applyProtection="1">
      <protection hidden="1"/>
    </xf>
    <xf numFmtId="0" fontId="0" fillId="6" borderId="0" xfId="0" applyFill="1" applyBorder="1" applyAlignment="1" applyProtection="1">
      <alignment horizontal="left"/>
      <protection hidden="1"/>
    </xf>
    <xf numFmtId="0" fontId="0" fillId="6" borderId="0" xfId="0" applyFill="1" applyProtection="1">
      <protection hidden="1"/>
    </xf>
    <xf numFmtId="0" fontId="16" fillId="5" borderId="0" xfId="0" applyFont="1" applyFill="1" applyBorder="1" applyAlignment="1" applyProtection="1">
      <alignment vertical="center" wrapText="1"/>
      <protection hidden="1"/>
    </xf>
    <xf numFmtId="0" fontId="16" fillId="5" borderId="0" xfId="0" applyFont="1" applyFill="1" applyBorder="1" applyAlignment="1" applyProtection="1">
      <alignment vertical="center"/>
      <protection hidden="1"/>
    </xf>
    <xf numFmtId="0" fontId="87" fillId="10" borderId="0" xfId="0" applyFont="1" applyFill="1" applyBorder="1" applyAlignment="1" applyProtection="1">
      <alignment horizontal="center" vertical="center"/>
      <protection hidden="1"/>
    </xf>
    <xf numFmtId="0" fontId="24" fillId="109" borderId="0" xfId="0" applyFont="1" applyFill="1" applyBorder="1" applyAlignment="1" applyProtection="1">
      <alignment horizontal="center" vertical="center"/>
      <protection hidden="1"/>
    </xf>
    <xf numFmtId="2" fontId="12" fillId="5" borderId="0" xfId="4" applyFont="1" applyFill="1" applyBorder="1" applyAlignment="1" applyProtection="1">
      <alignment horizontal="center" vertical="center"/>
      <protection hidden="1"/>
    </xf>
    <xf numFmtId="0" fontId="87" fillId="10" borderId="0" xfId="0" applyFont="1" applyFill="1" applyBorder="1" applyAlignment="1" applyProtection="1">
      <alignment horizontal="center" vertical="center" wrapText="1"/>
      <protection hidden="1"/>
    </xf>
    <xf numFmtId="0" fontId="6" fillId="9" borderId="0" xfId="0" applyFont="1" applyFill="1" applyAlignment="1">
      <alignment vertical="top"/>
    </xf>
    <xf numFmtId="0" fontId="6" fillId="9" borderId="0" xfId="0" applyFont="1" applyFill="1"/>
    <xf numFmtId="0" fontId="6" fillId="9" borderId="0" xfId="0" applyFont="1" applyFill="1" applyAlignment="1">
      <alignment horizontal="left" vertical="top"/>
    </xf>
    <xf numFmtId="0" fontId="6" fillId="9" borderId="0" xfId="0" applyFont="1" applyFill="1" applyAlignment="1">
      <alignment vertical="top" wrapText="1"/>
    </xf>
    <xf numFmtId="4" fontId="6" fillId="9" borderId="0" xfId="0" applyNumberFormat="1" applyFont="1" applyFill="1" applyAlignment="1">
      <alignment horizontal="center" vertical="center"/>
    </xf>
    <xf numFmtId="165" fontId="12" fillId="152" borderId="5" xfId="0" applyNumberFormat="1" applyFont="1" applyFill="1" applyBorder="1" applyAlignment="1" applyProtection="1">
      <alignment horizontal="center" vertical="center"/>
      <protection hidden="1"/>
    </xf>
    <xf numFmtId="0" fontId="9" fillId="107" borderId="48" xfId="0" applyFont="1" applyFill="1" applyBorder="1" applyAlignment="1" applyProtection="1">
      <alignment horizontal="left" vertical="center"/>
      <protection hidden="1"/>
    </xf>
    <xf numFmtId="0" fontId="9" fillId="132" borderId="47" xfId="0" applyFont="1" applyFill="1" applyBorder="1" applyAlignment="1" applyProtection="1">
      <alignment horizontal="right" vertical="center"/>
      <protection hidden="1"/>
    </xf>
    <xf numFmtId="0" fontId="16" fillId="5" borderId="0" xfId="0" applyFont="1" applyFill="1" applyBorder="1" applyAlignment="1" applyProtection="1">
      <alignment horizontal="center" vertical="center"/>
      <protection hidden="1"/>
    </xf>
    <xf numFmtId="0" fontId="9" fillId="107" borderId="37" xfId="0" applyFont="1" applyFill="1" applyBorder="1" applyAlignment="1" applyProtection="1">
      <alignment horizontal="left" vertical="center"/>
      <protection hidden="1"/>
    </xf>
    <xf numFmtId="0" fontId="9" fillId="107" borderId="39" xfId="0" applyFont="1" applyFill="1" applyBorder="1" applyAlignment="1" applyProtection="1">
      <alignment horizontal="left" vertical="center"/>
      <protection hidden="1"/>
    </xf>
    <xf numFmtId="0" fontId="9" fillId="109" borderId="37" xfId="0" applyFont="1" applyFill="1" applyBorder="1" applyAlignment="1" applyProtection="1">
      <alignment horizontal="left" vertical="center"/>
      <protection hidden="1"/>
    </xf>
    <xf numFmtId="0" fontId="24" fillId="109" borderId="48" xfId="0" applyFont="1" applyFill="1" applyBorder="1" applyAlignment="1" applyProtection="1">
      <alignment horizontal="left" vertical="center"/>
      <protection hidden="1"/>
    </xf>
    <xf numFmtId="0" fontId="9" fillId="109" borderId="39" xfId="0" applyFont="1" applyFill="1" applyBorder="1" applyAlignment="1" applyProtection="1">
      <alignment horizontal="left" vertical="center"/>
      <protection hidden="1"/>
    </xf>
    <xf numFmtId="0" fontId="9" fillId="10" borderId="37" xfId="0" applyFont="1" applyFill="1" applyBorder="1" applyAlignment="1" applyProtection="1">
      <alignment horizontal="left" vertical="center"/>
      <protection hidden="1"/>
    </xf>
    <xf numFmtId="0" fontId="87" fillId="10" borderId="48" xfId="0" applyFont="1" applyFill="1" applyBorder="1" applyAlignment="1" applyProtection="1">
      <alignment vertical="center"/>
      <protection hidden="1"/>
    </xf>
    <xf numFmtId="0" fontId="87" fillId="10" borderId="48" xfId="0" applyFont="1" applyFill="1" applyBorder="1" applyAlignment="1" applyProtection="1">
      <alignment horizontal="left" vertical="top" wrapText="1"/>
      <protection hidden="1"/>
    </xf>
    <xf numFmtId="0" fontId="9" fillId="10" borderId="39" xfId="0" applyFont="1" applyFill="1" applyBorder="1" applyAlignment="1" applyProtection="1">
      <alignment horizontal="left" vertical="center"/>
      <protection hidden="1"/>
    </xf>
    <xf numFmtId="0" fontId="9" fillId="34" borderId="2" xfId="0" applyFont="1" applyFill="1" applyBorder="1" applyAlignment="1" applyProtection="1">
      <alignment horizontal="left" vertical="center"/>
      <protection hidden="1"/>
    </xf>
    <xf numFmtId="165" fontId="9" fillId="6" borderId="6" xfId="0" applyNumberFormat="1"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0" fontId="9" fillId="6" borderId="2" xfId="0" applyFont="1" applyFill="1" applyBorder="1" applyAlignment="1" applyProtection="1">
      <alignment horizontal="center" vertical="center"/>
      <protection hidden="1"/>
    </xf>
    <xf numFmtId="0" fontId="0" fillId="5" borderId="0" xfId="0" applyFill="1" applyBorder="1" applyAlignment="1">
      <alignment horizontal="center" vertical="top"/>
    </xf>
    <xf numFmtId="0" fontId="0" fillId="5" borderId="0" xfId="0" applyFill="1" applyBorder="1" applyAlignment="1">
      <alignment horizontal="right" vertical="top"/>
    </xf>
    <xf numFmtId="0" fontId="0" fillId="5" borderId="1" xfId="0" applyFill="1" applyBorder="1" applyAlignment="1">
      <alignment horizontal="center" vertical="center"/>
    </xf>
    <xf numFmtId="0" fontId="9" fillId="5" borderId="0"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47" xfId="0" applyFont="1" applyFill="1" applyBorder="1" applyAlignment="1">
      <alignment horizontal="center" vertical="center"/>
    </xf>
    <xf numFmtId="0" fontId="9" fillId="5" borderId="48" xfId="0" applyFont="1" applyFill="1" applyBorder="1" applyAlignment="1">
      <alignment horizontal="center" vertical="center"/>
    </xf>
    <xf numFmtId="0" fontId="13" fillId="318" borderId="0" xfId="0" applyFont="1" applyFill="1" applyAlignment="1">
      <alignment vertical="center"/>
    </xf>
    <xf numFmtId="0" fontId="9" fillId="318" borderId="0" xfId="0" applyFont="1" applyFill="1" applyAlignment="1">
      <alignment vertical="center"/>
    </xf>
    <xf numFmtId="0" fontId="9" fillId="318" borderId="0" xfId="0" applyFont="1" applyFill="1" applyAlignment="1">
      <alignment horizontal="center" vertical="center"/>
    </xf>
    <xf numFmtId="0" fontId="9" fillId="318" borderId="0" xfId="0" applyFont="1" applyFill="1" applyBorder="1" applyAlignment="1">
      <alignment horizontal="right" vertical="center"/>
    </xf>
    <xf numFmtId="0" fontId="9" fillId="318" borderId="0" xfId="0" applyFont="1" applyFill="1" applyBorder="1" applyAlignment="1">
      <alignment horizontal="center" vertical="center"/>
    </xf>
    <xf numFmtId="0" fontId="9" fillId="5" borderId="0" xfId="0" applyFont="1" applyFill="1" applyBorder="1" applyAlignment="1">
      <alignment horizontal="center" vertical="center"/>
    </xf>
    <xf numFmtId="0" fontId="9" fillId="272" borderId="36" xfId="0" applyFont="1" applyFill="1" applyBorder="1" applyAlignment="1">
      <alignment horizontal="center" vertical="center"/>
    </xf>
    <xf numFmtId="0" fontId="9" fillId="5" borderId="48" xfId="0" applyFont="1" applyFill="1" applyBorder="1" applyAlignment="1">
      <alignment horizontal="center" vertical="center"/>
    </xf>
    <xf numFmtId="0" fontId="9" fillId="5" borderId="47" xfId="0" applyFont="1" applyFill="1" applyBorder="1" applyAlignment="1">
      <alignment horizontal="center" vertical="center"/>
    </xf>
    <xf numFmtId="0" fontId="9" fillId="35" borderId="36" xfId="0" applyFont="1" applyFill="1" applyBorder="1" applyAlignment="1">
      <alignment horizontal="center" vertical="center"/>
    </xf>
    <xf numFmtId="0" fontId="9" fillId="35" borderId="37" xfId="0" applyFont="1" applyFill="1" applyBorder="1" applyAlignment="1">
      <alignment horizontal="center" vertical="center"/>
    </xf>
    <xf numFmtId="0" fontId="9" fillId="76" borderId="35" xfId="0" applyFont="1" applyFill="1" applyBorder="1" applyAlignment="1">
      <alignment vertical="center"/>
    </xf>
    <xf numFmtId="0" fontId="9" fillId="76" borderId="36" xfId="0" applyFont="1" applyFill="1" applyBorder="1" applyAlignment="1">
      <alignment vertical="center"/>
    </xf>
    <xf numFmtId="0" fontId="9" fillId="76" borderId="37" xfId="0" applyFont="1" applyFill="1" applyBorder="1" applyAlignment="1">
      <alignment vertical="center"/>
    </xf>
    <xf numFmtId="0" fontId="0" fillId="5" borderId="37" xfId="0" applyFill="1" applyBorder="1"/>
    <xf numFmtId="0" fontId="9" fillId="5" borderId="48" xfId="0" applyFont="1" applyFill="1" applyBorder="1" applyAlignment="1">
      <alignment vertical="center"/>
    </xf>
    <xf numFmtId="0" fontId="9" fillId="5" borderId="47" xfId="0" applyFont="1" applyFill="1" applyBorder="1" applyAlignment="1">
      <alignment horizontal="right" vertical="center"/>
    </xf>
    <xf numFmtId="10" fontId="9" fillId="5" borderId="48" xfId="0" applyNumberFormat="1" applyFont="1" applyFill="1" applyBorder="1" applyAlignment="1">
      <alignment horizontal="center" vertical="center"/>
    </xf>
    <xf numFmtId="10" fontId="9" fillId="5" borderId="39" xfId="0" applyNumberFormat="1" applyFont="1" applyFill="1" applyBorder="1" applyAlignment="1">
      <alignment horizontal="center" vertical="center"/>
    </xf>
    <xf numFmtId="0" fontId="47" fillId="5" borderId="0" xfId="0" applyFont="1" applyFill="1" applyAlignment="1">
      <alignment horizontal="right" vertical="center"/>
    </xf>
    <xf numFmtId="164" fontId="47" fillId="5" borderId="15" xfId="0" applyNumberFormat="1" applyFont="1" applyFill="1" applyBorder="1" applyAlignment="1">
      <alignment horizontal="left" vertical="center"/>
    </xf>
    <xf numFmtId="0" fontId="0" fillId="0" borderId="22" xfId="0" applyFill="1" applyBorder="1" applyAlignment="1">
      <alignment horizontal="center" vertical="center"/>
    </xf>
    <xf numFmtId="4" fontId="0" fillId="5" borderId="22" xfId="0" applyNumberFormat="1" applyFill="1" applyBorder="1" applyAlignment="1">
      <alignment horizontal="right"/>
    </xf>
    <xf numFmtId="4" fontId="0" fillId="9" borderId="22" xfId="0" applyNumberFormat="1" applyFill="1" applyBorder="1" applyAlignment="1">
      <alignment horizontal="right"/>
    </xf>
    <xf numFmtId="4" fontId="0" fillId="308" borderId="22" xfId="0" applyNumberFormat="1" applyFill="1" applyBorder="1" applyAlignment="1">
      <alignment horizontal="right"/>
    </xf>
    <xf numFmtId="4" fontId="0" fillId="309" borderId="22" xfId="0" applyNumberFormat="1" applyFill="1" applyBorder="1" applyAlignment="1">
      <alignment horizontal="right"/>
    </xf>
    <xf numFmtId="4" fontId="0" fillId="311" borderId="22" xfId="0" applyNumberFormat="1" applyFill="1" applyBorder="1" applyAlignment="1">
      <alignment horizontal="right"/>
    </xf>
    <xf numFmtId="4" fontId="9" fillId="5" borderId="22" xfId="0" applyNumberFormat="1" applyFont="1" applyFill="1" applyBorder="1" applyAlignment="1">
      <alignment horizontal="right" vertical="center"/>
    </xf>
    <xf numFmtId="164" fontId="47" fillId="5" borderId="146" xfId="0" applyNumberFormat="1" applyFont="1" applyFill="1" applyBorder="1" applyAlignment="1">
      <alignment horizontal="left" vertical="center"/>
    </xf>
    <xf numFmtId="0" fontId="47" fillId="5" borderId="146" xfId="0" applyFont="1" applyFill="1" applyBorder="1" applyAlignment="1">
      <alignment horizontal="center" vertical="center"/>
    </xf>
    <xf numFmtId="0" fontId="47" fillId="5" borderId="146" xfId="0" applyFont="1" applyFill="1" applyBorder="1" applyAlignment="1">
      <alignment horizontal="left" vertical="center"/>
    </xf>
    <xf numFmtId="0" fontId="47" fillId="5" borderId="146" xfId="0" applyFont="1" applyFill="1" applyBorder="1" applyAlignment="1">
      <alignment horizontal="right" vertical="center"/>
    </xf>
    <xf numFmtId="4" fontId="9" fillId="5" borderId="146" xfId="0" applyNumberFormat="1" applyFont="1" applyFill="1" applyBorder="1" applyAlignment="1">
      <alignment horizontal="right" vertical="center"/>
    </xf>
    <xf numFmtId="4" fontId="9" fillId="2" borderId="146" xfId="0" applyNumberFormat="1" applyFont="1" applyFill="1" applyBorder="1" applyAlignment="1">
      <alignment horizontal="right" vertical="center"/>
    </xf>
    <xf numFmtId="4" fontId="9" fillId="9" borderId="146" xfId="0" applyNumberFormat="1" applyFont="1" applyFill="1" applyBorder="1" applyAlignment="1">
      <alignment horizontal="right" vertical="center"/>
    </xf>
    <xf numFmtId="4" fontId="9" fillId="300" borderId="146" xfId="0" applyNumberFormat="1" applyFont="1" applyFill="1" applyBorder="1" applyAlignment="1">
      <alignment horizontal="right" vertical="center"/>
    </xf>
    <xf numFmtId="4" fontId="9" fillId="307" borderId="146" xfId="0" applyNumberFormat="1" applyFont="1" applyFill="1" applyBorder="1" applyAlignment="1">
      <alignment horizontal="right" vertical="center"/>
    </xf>
    <xf numFmtId="4" fontId="9" fillId="309" borderId="146" xfId="0" applyNumberFormat="1" applyFont="1" applyFill="1" applyBorder="1" applyAlignment="1">
      <alignment horizontal="right" vertical="center"/>
    </xf>
    <xf numFmtId="4" fontId="9" fillId="310" borderId="146" xfId="0" applyNumberFormat="1" applyFont="1" applyFill="1" applyBorder="1" applyAlignment="1">
      <alignment horizontal="right" vertical="center"/>
    </xf>
    <xf numFmtId="4" fontId="9" fillId="311" borderId="146" xfId="0" applyNumberFormat="1" applyFont="1" applyFill="1" applyBorder="1" applyAlignment="1">
      <alignment horizontal="right" vertical="center"/>
    </xf>
    <xf numFmtId="4" fontId="9" fillId="289" borderId="146" xfId="0" applyNumberFormat="1" applyFont="1" applyFill="1" applyBorder="1" applyAlignment="1">
      <alignment horizontal="right" vertical="center"/>
    </xf>
    <xf numFmtId="4" fontId="9" fillId="6" borderId="146" xfId="0" applyNumberFormat="1" applyFont="1" applyFill="1" applyBorder="1" applyAlignment="1">
      <alignment horizontal="right" vertical="center"/>
    </xf>
    <xf numFmtId="4" fontId="9" fillId="219" borderId="146" xfId="0" applyNumberFormat="1" applyFont="1" applyFill="1" applyBorder="1" applyAlignment="1">
      <alignment horizontal="right" vertical="center"/>
    </xf>
    <xf numFmtId="4" fontId="9" fillId="260" borderId="146" xfId="0" applyNumberFormat="1" applyFont="1" applyFill="1" applyBorder="1" applyAlignment="1">
      <alignment horizontal="right" vertical="center"/>
    </xf>
    <xf numFmtId="4" fontId="9" fillId="11" borderId="146" xfId="0" applyNumberFormat="1" applyFont="1" applyFill="1" applyBorder="1" applyAlignment="1">
      <alignment horizontal="right" vertical="center"/>
    </xf>
    <xf numFmtId="4" fontId="9" fillId="220" borderId="146" xfId="0" applyNumberFormat="1" applyFont="1" applyFill="1" applyBorder="1" applyAlignment="1">
      <alignment horizontal="right" vertical="center"/>
    </xf>
    <xf numFmtId="4" fontId="9" fillId="35" borderId="146" xfId="0" applyNumberFormat="1" applyFont="1" applyFill="1" applyBorder="1" applyAlignment="1">
      <alignment horizontal="right" vertical="center"/>
    </xf>
    <xf numFmtId="4" fontId="9" fillId="36" borderId="146" xfId="0" applyNumberFormat="1" applyFont="1" applyFill="1" applyBorder="1" applyAlignment="1">
      <alignment horizontal="right" vertical="center"/>
    </xf>
    <xf numFmtId="0" fontId="116" fillId="5" borderId="0" xfId="12" applyFill="1" applyAlignment="1">
      <alignment vertical="center"/>
    </xf>
    <xf numFmtId="0" fontId="116" fillId="5" borderId="0" xfId="12" applyFill="1"/>
    <xf numFmtId="0" fontId="116" fillId="5" borderId="0" xfId="12" applyFill="1" applyBorder="1"/>
    <xf numFmtId="0" fontId="122" fillId="5" borderId="0" xfId="8" applyFont="1" applyFill="1" applyBorder="1"/>
    <xf numFmtId="0" fontId="9" fillId="5" borderId="15" xfId="0" applyFont="1" applyFill="1" applyBorder="1" applyAlignment="1">
      <alignment horizontal="center" vertical="center"/>
    </xf>
    <xf numFmtId="0" fontId="9" fillId="154" borderId="15" xfId="0" applyFont="1" applyFill="1" applyBorder="1" applyAlignment="1"/>
    <xf numFmtId="0" fontId="9" fillId="154" borderId="15" xfId="0" applyFont="1" applyFill="1" applyBorder="1" applyAlignment="1">
      <alignment horizontal="right"/>
    </xf>
    <xf numFmtId="4" fontId="9" fillId="36" borderId="22" xfId="0" applyNumberFormat="1" applyFont="1" applyFill="1" applyBorder="1" applyAlignment="1">
      <alignment horizontal="left" vertical="top" wrapText="1"/>
    </xf>
    <xf numFmtId="4" fontId="9" fillId="79" borderId="146" xfId="0" applyNumberFormat="1" applyFont="1" applyFill="1" applyBorder="1" applyAlignment="1">
      <alignment horizontal="right" vertical="center"/>
    </xf>
    <xf numFmtId="0" fontId="0" fillId="5" borderId="22" xfId="0" applyFill="1" applyBorder="1" applyAlignment="1">
      <alignment horizontal="center" vertical="center"/>
    </xf>
    <xf numFmtId="4" fontId="9" fillId="5" borderId="29" xfId="0" applyNumberFormat="1" applyFont="1" applyFill="1" applyBorder="1" applyAlignment="1">
      <alignment horizontal="right"/>
    </xf>
    <xf numFmtId="0" fontId="0" fillId="0" borderId="22" xfId="0" applyFill="1" applyBorder="1" applyAlignment="1">
      <alignment vertical="center"/>
    </xf>
    <xf numFmtId="0" fontId="0" fillId="5" borderId="15" xfId="0" applyFill="1" applyBorder="1" applyAlignment="1">
      <alignment vertical="center"/>
    </xf>
    <xf numFmtId="0" fontId="9" fillId="5" borderId="146" xfId="0" applyFont="1" applyFill="1" applyBorder="1" applyAlignment="1">
      <alignment vertical="center"/>
    </xf>
    <xf numFmtId="4" fontId="9" fillId="287" borderId="15" xfId="0" applyNumberFormat="1" applyFont="1" applyFill="1" applyBorder="1" applyAlignment="1">
      <alignment horizontal="right" vertical="center"/>
    </xf>
    <xf numFmtId="4" fontId="9" fillId="17" borderId="22" xfId="0" applyNumberFormat="1" applyFont="1" applyFill="1" applyBorder="1" applyAlignment="1">
      <alignment horizontal="right" vertical="center"/>
    </xf>
    <xf numFmtId="4" fontId="9" fillId="6" borderId="22" xfId="0" applyNumberFormat="1" applyFont="1" applyFill="1" applyBorder="1" applyAlignment="1">
      <alignment horizontal="right" vertical="center"/>
    </xf>
    <xf numFmtId="4" fontId="9" fillId="304" borderId="22" xfId="0" applyNumberFormat="1" applyFont="1" applyFill="1" applyBorder="1" applyAlignment="1">
      <alignment horizontal="right" vertical="center"/>
    </xf>
    <xf numFmtId="4" fontId="9" fillId="305" borderId="22" xfId="0" applyNumberFormat="1" applyFont="1" applyFill="1" applyBorder="1" applyAlignment="1">
      <alignment horizontal="right" vertical="center"/>
    </xf>
    <xf numFmtId="4" fontId="9" fillId="288" borderId="15" xfId="0" applyNumberFormat="1" applyFont="1" applyFill="1" applyBorder="1" applyAlignment="1">
      <alignment horizontal="right" vertical="center"/>
    </xf>
    <xf numFmtId="4" fontId="9" fillId="289" borderId="22" xfId="0" applyNumberFormat="1" applyFont="1" applyFill="1" applyBorder="1" applyAlignment="1">
      <alignment horizontal="right" vertical="center"/>
    </xf>
    <xf numFmtId="4" fontId="9" fillId="17" borderId="15" xfId="0" applyNumberFormat="1" applyFont="1" applyFill="1" applyBorder="1" applyAlignment="1">
      <alignment horizontal="right" vertical="center"/>
    </xf>
    <xf numFmtId="4" fontId="9" fillId="305" borderId="15" xfId="0" applyNumberFormat="1" applyFont="1" applyFill="1" applyBorder="1" applyAlignment="1">
      <alignment horizontal="right" vertical="center"/>
    </xf>
    <xf numFmtId="4" fontId="9" fillId="38" borderId="146" xfId="0" applyNumberFormat="1" applyFont="1" applyFill="1" applyBorder="1" applyAlignment="1">
      <alignment horizontal="right" vertical="center"/>
    </xf>
    <xf numFmtId="4" fontId="9" fillId="287" borderId="146" xfId="0" applyNumberFormat="1" applyFont="1" applyFill="1" applyBorder="1" applyAlignment="1">
      <alignment horizontal="right" vertical="center"/>
    </xf>
    <xf numFmtId="4" fontId="9" fillId="17" borderId="146" xfId="0" applyNumberFormat="1" applyFont="1" applyFill="1" applyBorder="1" applyAlignment="1">
      <alignment horizontal="right" vertical="center"/>
    </xf>
    <xf numFmtId="4" fontId="9" fillId="304" borderId="146" xfId="0" applyNumberFormat="1" applyFont="1" applyFill="1" applyBorder="1" applyAlignment="1">
      <alignment horizontal="right" vertical="center"/>
    </xf>
    <xf numFmtId="4" fontId="9" fillId="305" borderId="146" xfId="0" applyNumberFormat="1" applyFont="1" applyFill="1" applyBorder="1" applyAlignment="1">
      <alignment horizontal="right" vertical="center"/>
    </xf>
    <xf numFmtId="4" fontId="9" fillId="308" borderId="146" xfId="0" applyNumberFormat="1" applyFont="1" applyFill="1" applyBorder="1" applyAlignment="1">
      <alignment horizontal="right" vertical="center"/>
    </xf>
    <xf numFmtId="4" fontId="9" fillId="6" borderId="146" xfId="0" applyNumberFormat="1" applyFont="1" applyFill="1" applyBorder="1" applyAlignment="1">
      <alignment horizontal="right" vertical="center" wrapText="1"/>
    </xf>
    <xf numFmtId="4" fontId="9" fillId="4" borderId="146" xfId="0" applyNumberFormat="1" applyFont="1" applyFill="1" applyBorder="1" applyAlignment="1">
      <alignment horizontal="right" vertical="center"/>
    </xf>
    <xf numFmtId="4" fontId="0" fillId="0" borderId="22" xfId="0" applyNumberFormat="1" applyFill="1" applyBorder="1" applyAlignment="1">
      <alignment horizontal="right" vertical="center"/>
    </xf>
    <xf numFmtId="4" fontId="0" fillId="5" borderId="22" xfId="0" applyNumberFormat="1" applyFill="1" applyBorder="1" applyAlignment="1">
      <alignment horizontal="right" vertical="center"/>
    </xf>
    <xf numFmtId="4" fontId="0" fillId="9" borderId="22" xfId="0" applyNumberFormat="1" applyFill="1" applyBorder="1" applyAlignment="1">
      <alignment horizontal="right" vertical="center"/>
    </xf>
    <xf numFmtId="4" fontId="0" fillId="308" borderId="22" xfId="0" applyNumberFormat="1" applyFill="1" applyBorder="1" applyAlignment="1">
      <alignment horizontal="right" vertical="center"/>
    </xf>
    <xf numFmtId="4" fontId="0" fillId="307" borderId="22" xfId="0" applyNumberFormat="1" applyFill="1" applyBorder="1" applyAlignment="1">
      <alignment horizontal="right" vertical="center"/>
    </xf>
    <xf numFmtId="4" fontId="0" fillId="309" borderId="22" xfId="0" applyNumberFormat="1" applyFill="1" applyBorder="1" applyAlignment="1">
      <alignment horizontal="right" vertical="center"/>
    </xf>
    <xf numFmtId="4" fontId="0" fillId="310" borderId="22" xfId="0" applyNumberFormat="1" applyFill="1" applyBorder="1" applyAlignment="1">
      <alignment horizontal="right" vertical="center"/>
    </xf>
    <xf numFmtId="4" fontId="0" fillId="311" borderId="22" xfId="0" applyNumberFormat="1" applyFill="1" applyBorder="1" applyAlignment="1">
      <alignment horizontal="right" vertical="center"/>
    </xf>
    <xf numFmtId="4" fontId="0" fillId="289" borderId="22" xfId="0" applyNumberFormat="1" applyFill="1" applyBorder="1" applyAlignment="1">
      <alignment horizontal="right" vertical="center"/>
    </xf>
    <xf numFmtId="4" fontId="0" fillId="11" borderId="22" xfId="0" applyNumberFormat="1" applyFill="1" applyBorder="1" applyAlignment="1">
      <alignment horizontal="right" vertical="center"/>
    </xf>
    <xf numFmtId="4" fontId="9" fillId="314" borderId="15" xfId="0" applyNumberFormat="1" applyFont="1" applyFill="1" applyBorder="1" applyAlignment="1">
      <alignment horizontal="right" vertical="center"/>
    </xf>
    <xf numFmtId="4" fontId="9" fillId="314" borderId="146" xfId="0" applyNumberFormat="1" applyFont="1" applyFill="1" applyBorder="1" applyAlignment="1">
      <alignment horizontal="right" vertical="center"/>
    </xf>
    <xf numFmtId="0" fontId="9" fillId="5" borderId="146" xfId="0" applyFont="1" applyFill="1" applyBorder="1" applyAlignment="1">
      <alignment horizontal="right" vertical="center"/>
    </xf>
    <xf numFmtId="0" fontId="0" fillId="0" borderId="22" xfId="0" applyFill="1" applyBorder="1" applyAlignment="1">
      <alignment horizontal="right" vertical="center"/>
    </xf>
    <xf numFmtId="4" fontId="9" fillId="5" borderId="0" xfId="0" applyNumberFormat="1" applyFont="1" applyFill="1" applyAlignment="1">
      <alignment horizontal="right" wrapText="1"/>
    </xf>
    <xf numFmtId="0" fontId="31" fillId="70" borderId="0" xfId="0" applyFont="1" applyFill="1" applyBorder="1" applyAlignment="1" applyProtection="1">
      <alignment horizontal="center" vertical="center"/>
      <protection hidden="1"/>
    </xf>
    <xf numFmtId="0" fontId="9" fillId="5" borderId="31" xfId="0" applyNumberFormat="1" applyFont="1" applyFill="1" applyBorder="1" applyAlignment="1">
      <alignment horizontal="left"/>
    </xf>
    <xf numFmtId="0" fontId="9" fillId="5" borderId="28" xfId="0" applyNumberFormat="1" applyFont="1" applyFill="1" applyBorder="1" applyAlignment="1">
      <alignment horizontal="left"/>
    </xf>
    <xf numFmtId="0" fontId="26" fillId="5" borderId="0" xfId="0" applyFont="1" applyFill="1" applyBorder="1" applyAlignment="1" applyProtection="1">
      <alignment horizontal="center" vertical="center"/>
      <protection hidden="1"/>
    </xf>
    <xf numFmtId="0" fontId="26" fillId="16" borderId="0" xfId="0" applyFont="1" applyFill="1" applyBorder="1" applyAlignment="1" applyProtection="1">
      <alignment horizontal="left" vertical="center"/>
      <protection hidden="1"/>
    </xf>
    <xf numFmtId="0" fontId="26" fillId="16" borderId="0" xfId="0" applyFont="1" applyFill="1" applyBorder="1" applyAlignment="1" applyProtection="1">
      <alignment horizontal="center" vertical="center"/>
      <protection hidden="1"/>
    </xf>
    <xf numFmtId="4" fontId="9" fillId="5" borderId="1" xfId="0" applyNumberFormat="1" applyFont="1" applyFill="1" applyBorder="1" applyAlignment="1" applyProtection="1">
      <alignment horizontal="center" vertical="center"/>
      <protection hidden="1"/>
    </xf>
    <xf numFmtId="0" fontId="26" fillId="16" borderId="35" xfId="0" applyFont="1" applyFill="1" applyBorder="1" applyAlignment="1" applyProtection="1">
      <alignment horizontal="left" vertical="center"/>
      <protection hidden="1"/>
    </xf>
    <xf numFmtId="0" fontId="26" fillId="16" borderId="36" xfId="0" applyFont="1" applyFill="1" applyBorder="1" applyAlignment="1" applyProtection="1">
      <alignment horizontal="left" vertical="center"/>
      <protection hidden="1"/>
    </xf>
    <xf numFmtId="0" fontId="26" fillId="16" borderId="36" xfId="0" applyFont="1" applyFill="1" applyBorder="1" applyAlignment="1" applyProtection="1">
      <alignment horizontal="center" vertical="center"/>
      <protection hidden="1"/>
    </xf>
    <xf numFmtId="0" fontId="26" fillId="16" borderId="47" xfId="0" applyFont="1" applyFill="1" applyBorder="1" applyAlignment="1" applyProtection="1">
      <alignment horizontal="left" vertical="center"/>
      <protection hidden="1"/>
    </xf>
    <xf numFmtId="0" fontId="26" fillId="16" borderId="38" xfId="0" applyFont="1" applyFill="1" applyBorder="1" applyAlignment="1" applyProtection="1">
      <alignment horizontal="left" vertical="center"/>
      <protection hidden="1"/>
    </xf>
    <xf numFmtId="0" fontId="26" fillId="16" borderId="23" xfId="0" applyFont="1" applyFill="1" applyBorder="1" applyAlignment="1" applyProtection="1">
      <alignment horizontal="left" vertical="center"/>
      <protection hidden="1"/>
    </xf>
    <xf numFmtId="0" fontId="9" fillId="16" borderId="23" xfId="0" applyFont="1" applyFill="1" applyBorder="1" applyAlignment="1" applyProtection="1">
      <alignment horizontal="right" vertical="center"/>
      <protection hidden="1"/>
    </xf>
    <xf numFmtId="0" fontId="9" fillId="16" borderId="39" xfId="0" applyFont="1" applyFill="1" applyBorder="1" applyAlignment="1" applyProtection="1">
      <alignment horizontal="right" vertical="center"/>
      <protection hidden="1"/>
    </xf>
    <xf numFmtId="2" fontId="46" fillId="5" borderId="0" xfId="4" applyFont="1" applyFill="1" applyBorder="1" applyAlignment="1" applyProtection="1">
      <alignment horizontal="left" vertical="center"/>
      <protection hidden="1"/>
    </xf>
    <xf numFmtId="0" fontId="46" fillId="5" borderId="0" xfId="0" applyFont="1" applyFill="1" applyBorder="1" applyAlignment="1" applyProtection="1">
      <alignment horizontal="center" vertical="center"/>
      <protection hidden="1"/>
    </xf>
    <xf numFmtId="0" fontId="46" fillId="5" borderId="0" xfId="0" applyFont="1" applyFill="1" applyBorder="1" applyAlignment="1" applyProtection="1">
      <alignment horizontal="right" vertical="center"/>
      <protection hidden="1"/>
    </xf>
    <xf numFmtId="0" fontId="196" fillId="5" borderId="0" xfId="0" applyFont="1" applyFill="1" applyAlignment="1" applyProtection="1">
      <alignment horizontal="left" vertical="center"/>
      <protection hidden="1"/>
    </xf>
    <xf numFmtId="0" fontId="46" fillId="5" borderId="0" xfId="0" applyFont="1" applyFill="1" applyBorder="1" applyAlignment="1" applyProtection="1">
      <alignment horizontal="left" vertical="center"/>
      <protection hidden="1"/>
    </xf>
    <xf numFmtId="0" fontId="196" fillId="16" borderId="0" xfId="0" applyFont="1" applyFill="1" applyBorder="1" applyAlignment="1" applyProtection="1">
      <alignment horizontal="left" vertical="center"/>
      <protection hidden="1"/>
    </xf>
    <xf numFmtId="0" fontId="46" fillId="16" borderId="0" xfId="0" applyFont="1" applyFill="1" applyBorder="1" applyAlignment="1" applyProtection="1">
      <alignment horizontal="center" vertical="center"/>
      <protection hidden="1"/>
    </xf>
    <xf numFmtId="0" fontId="196" fillId="16" borderId="0" xfId="0" applyFont="1" applyFill="1" applyBorder="1" applyAlignment="1" applyProtection="1">
      <alignment horizontal="center" vertical="center"/>
      <protection hidden="1"/>
    </xf>
    <xf numFmtId="0" fontId="196" fillId="16" borderId="47" xfId="0" applyFont="1" applyFill="1" applyBorder="1" applyAlignment="1" applyProtection="1">
      <alignment horizontal="left" vertical="center"/>
      <protection hidden="1"/>
    </xf>
    <xf numFmtId="0" fontId="46" fillId="16" borderId="48" xfId="0" applyFont="1" applyFill="1" applyBorder="1" applyAlignment="1" applyProtection="1">
      <alignment horizontal="center" vertical="center"/>
      <protection hidden="1"/>
    </xf>
    <xf numFmtId="0" fontId="9" fillId="128" borderId="0" xfId="0" applyFont="1" applyFill="1" applyBorder="1" applyAlignment="1" applyProtection="1">
      <alignment horizontal="left" vertical="center"/>
      <protection hidden="1"/>
    </xf>
    <xf numFmtId="164" fontId="36" fillId="5" borderId="7" xfId="0" applyNumberFormat="1" applyFont="1" applyFill="1" applyBorder="1" applyAlignment="1" applyProtection="1">
      <alignment horizontal="center" vertical="center"/>
      <protection hidden="1"/>
    </xf>
    <xf numFmtId="0" fontId="26" fillId="16" borderId="23" xfId="0" applyFont="1" applyFill="1" applyBorder="1" applyAlignment="1" applyProtection="1">
      <alignment horizontal="center" vertical="center"/>
      <protection hidden="1"/>
    </xf>
    <xf numFmtId="0" fontId="13" fillId="16" borderId="52" xfId="0" applyFont="1" applyFill="1" applyBorder="1" applyAlignment="1" applyProtection="1">
      <alignment horizontal="center" vertical="top" wrapText="1"/>
      <protection hidden="1"/>
    </xf>
    <xf numFmtId="0" fontId="26" fillId="5" borderId="0" xfId="0" applyFont="1" applyFill="1" applyAlignment="1" applyProtection="1">
      <alignment horizontal="center" vertical="center"/>
      <protection hidden="1"/>
    </xf>
    <xf numFmtId="0" fontId="196" fillId="5" borderId="0" xfId="0" applyFont="1" applyFill="1" applyAlignment="1" applyProtection="1">
      <alignment horizontal="center" vertical="center"/>
      <protection hidden="1"/>
    </xf>
    <xf numFmtId="0" fontId="9" fillId="16" borderId="0" xfId="0" applyFont="1" applyFill="1" applyBorder="1" applyAlignment="1" applyProtection="1">
      <alignment horizontal="right" vertical="center"/>
      <protection hidden="1"/>
    </xf>
    <xf numFmtId="2" fontId="46" fillId="5" borderId="0" xfId="4" applyFont="1" applyFill="1" applyBorder="1" applyAlignment="1" applyProtection="1">
      <alignment horizontal="center" vertical="center"/>
      <protection hidden="1"/>
    </xf>
    <xf numFmtId="4" fontId="12" fillId="9" borderId="122" xfId="0" applyNumberFormat="1" applyFont="1" applyFill="1" applyBorder="1" applyAlignment="1" applyProtection="1">
      <alignment horizontal="center" vertical="center"/>
      <protection hidden="1"/>
    </xf>
    <xf numFmtId="0" fontId="163" fillId="16" borderId="0" xfId="0" applyFont="1" applyFill="1" applyBorder="1" applyAlignment="1" applyProtection="1">
      <alignment horizontal="center" vertical="center"/>
      <protection hidden="1"/>
    </xf>
    <xf numFmtId="0" fontId="9" fillId="5" borderId="1" xfId="0" applyFont="1" applyFill="1" applyBorder="1" applyAlignment="1" applyProtection="1">
      <alignment horizontal="center" vertical="center" wrapText="1"/>
      <protection hidden="1"/>
    </xf>
    <xf numFmtId="0" fontId="9" fillId="16" borderId="36" xfId="0" applyFont="1" applyFill="1" applyBorder="1" applyAlignment="1" applyProtection="1">
      <alignment horizontal="right" vertical="center"/>
      <protection hidden="1"/>
    </xf>
    <xf numFmtId="0" fontId="9" fillId="16" borderId="37" xfId="0" applyFont="1" applyFill="1" applyBorder="1" applyAlignment="1" applyProtection="1">
      <alignment horizontal="right" vertical="center"/>
      <protection hidden="1"/>
    </xf>
    <xf numFmtId="0" fontId="196" fillId="16" borderId="47" xfId="0" applyFont="1" applyFill="1" applyBorder="1" applyAlignment="1" applyProtection="1">
      <alignment horizontal="center" vertical="center"/>
      <protection hidden="1"/>
    </xf>
    <xf numFmtId="0" fontId="9" fillId="16" borderId="48" xfId="0" applyFont="1" applyFill="1" applyBorder="1" applyAlignment="1" applyProtection="1">
      <alignment horizontal="right" vertical="center"/>
      <protection hidden="1"/>
    </xf>
    <xf numFmtId="0" fontId="26" fillId="16" borderId="47" xfId="0" applyFont="1" applyFill="1" applyBorder="1" applyAlignment="1" applyProtection="1">
      <alignment horizontal="center" vertical="center"/>
      <protection hidden="1"/>
    </xf>
    <xf numFmtId="0" fontId="197" fillId="16" borderId="0" xfId="0" applyFont="1" applyFill="1" applyBorder="1" applyAlignment="1" applyProtection="1">
      <alignment horizontal="center" vertical="center"/>
      <protection hidden="1"/>
    </xf>
    <xf numFmtId="0" fontId="46" fillId="128" borderId="0" xfId="0" applyFont="1" applyFill="1" applyBorder="1" applyAlignment="1" applyProtection="1">
      <alignment horizontal="left" vertical="center"/>
      <protection hidden="1"/>
    </xf>
    <xf numFmtId="0" fontId="9" fillId="128" borderId="35" xfId="0" applyFont="1" applyFill="1" applyBorder="1" applyAlignment="1" applyProtection="1">
      <alignment horizontal="left" vertical="center"/>
      <protection hidden="1"/>
    </xf>
    <xf numFmtId="0" fontId="9" fillId="128" borderId="37" xfId="0" applyFont="1" applyFill="1" applyBorder="1" applyAlignment="1" applyProtection="1">
      <alignment horizontal="left" vertical="center"/>
      <protection hidden="1"/>
    </xf>
    <xf numFmtId="0" fontId="46" fillId="128" borderId="47" xfId="0" applyFont="1" applyFill="1" applyBorder="1" applyAlignment="1" applyProtection="1">
      <alignment horizontal="left" vertical="center"/>
      <protection hidden="1"/>
    </xf>
    <xf numFmtId="0" fontId="46" fillId="128" borderId="48" xfId="0" applyFont="1" applyFill="1" applyBorder="1" applyAlignment="1" applyProtection="1">
      <alignment horizontal="left" vertical="center"/>
      <protection hidden="1"/>
    </xf>
    <xf numFmtId="0" fontId="9" fillId="128" borderId="47" xfId="0" applyFont="1" applyFill="1" applyBorder="1" applyAlignment="1" applyProtection="1">
      <alignment horizontal="left" vertical="center"/>
      <protection hidden="1"/>
    </xf>
    <xf numFmtId="0" fontId="9" fillId="128" borderId="48" xfId="0" applyFont="1" applyFill="1" applyBorder="1" applyAlignment="1" applyProtection="1">
      <alignment horizontal="left" vertical="center"/>
      <protection hidden="1"/>
    </xf>
    <xf numFmtId="0" fontId="9" fillId="128" borderId="38" xfId="0" applyFont="1" applyFill="1" applyBorder="1" applyAlignment="1" applyProtection="1">
      <alignment horizontal="left" vertical="center"/>
      <protection hidden="1"/>
    </xf>
    <xf numFmtId="0" fontId="9" fillId="128" borderId="23" xfId="0" applyFont="1" applyFill="1" applyBorder="1" applyProtection="1">
      <protection hidden="1"/>
    </xf>
    <xf numFmtId="0" fontId="9" fillId="128" borderId="39" xfId="0" applyFont="1" applyFill="1" applyBorder="1" applyAlignment="1" applyProtection="1">
      <alignment horizontal="left" vertical="center"/>
      <protection hidden="1"/>
    </xf>
    <xf numFmtId="0" fontId="36" fillId="5" borderId="7" xfId="0" applyFont="1" applyFill="1" applyBorder="1" applyAlignment="1" applyProtection="1">
      <alignment horizontal="center" vertical="center"/>
      <protection hidden="1"/>
    </xf>
    <xf numFmtId="0" fontId="9" fillId="9" borderId="122" xfId="0" applyFont="1" applyFill="1" applyBorder="1" applyAlignment="1" applyProtection="1">
      <alignment horizontal="center" vertical="center"/>
      <protection hidden="1"/>
    </xf>
    <xf numFmtId="0" fontId="9" fillId="129" borderId="0" xfId="0" applyFont="1" applyFill="1" applyAlignment="1" applyProtection="1">
      <alignment vertical="center"/>
      <protection hidden="1"/>
    </xf>
    <xf numFmtId="0" fontId="46" fillId="16" borderId="0" xfId="0" applyFont="1" applyFill="1" applyBorder="1" applyAlignment="1" applyProtection="1">
      <alignment horizontal="right" vertical="center"/>
      <protection hidden="1"/>
    </xf>
    <xf numFmtId="0" fontId="9" fillId="5" borderId="15" xfId="0" applyNumberFormat="1" applyFont="1" applyFill="1" applyBorder="1"/>
    <xf numFmtId="0" fontId="9" fillId="5" borderId="15" xfId="0" applyNumberFormat="1" applyFont="1" applyFill="1" applyBorder="1" applyAlignment="1">
      <alignment horizontal="right"/>
    </xf>
    <xf numFmtId="4" fontId="47" fillId="5" borderId="28" xfId="0" applyNumberFormat="1" applyFont="1" applyFill="1" applyBorder="1" applyAlignment="1">
      <alignment horizontal="left"/>
    </xf>
    <xf numFmtId="0" fontId="96" fillId="16" borderId="52" xfId="0" applyFont="1" applyFill="1" applyBorder="1" applyAlignment="1" applyProtection="1">
      <alignment vertical="top" wrapText="1"/>
      <protection hidden="1"/>
    </xf>
    <xf numFmtId="0" fontId="13" fillId="16" borderId="9" xfId="0" applyFont="1" applyFill="1" applyBorder="1" applyAlignment="1" applyProtection="1">
      <alignment vertical="top" wrapText="1"/>
      <protection hidden="1"/>
    </xf>
    <xf numFmtId="0" fontId="13" fillId="16" borderId="8" xfId="0" applyFont="1" applyFill="1" applyBorder="1" applyAlignment="1" applyProtection="1">
      <alignment vertical="top" wrapText="1"/>
      <protection hidden="1"/>
    </xf>
    <xf numFmtId="168" fontId="9" fillId="5" borderId="15" xfId="0" applyNumberFormat="1" applyFont="1" applyFill="1" applyBorder="1" applyAlignment="1">
      <alignment horizontal="right"/>
    </xf>
    <xf numFmtId="4" fontId="9" fillId="9" borderId="22" xfId="0" applyNumberFormat="1" applyFont="1" applyFill="1" applyBorder="1"/>
    <xf numFmtId="165" fontId="9" fillId="9" borderId="22" xfId="0" applyNumberFormat="1" applyFont="1" applyFill="1" applyBorder="1"/>
    <xf numFmtId="165" fontId="9" fillId="9" borderId="29" xfId="0" applyNumberFormat="1" applyFont="1" applyFill="1" applyBorder="1"/>
    <xf numFmtId="0" fontId="9" fillId="5" borderId="148" xfId="0" applyFont="1" applyFill="1" applyBorder="1" applyAlignment="1">
      <alignment horizontal="left"/>
    </xf>
    <xf numFmtId="164" fontId="9" fillId="5" borderId="146" xfId="0" applyNumberFormat="1" applyFont="1" applyFill="1" applyBorder="1"/>
    <xf numFmtId="168" fontId="9" fillId="5" borderId="146" xfId="0" applyNumberFormat="1" applyFont="1" applyFill="1" applyBorder="1" applyAlignment="1">
      <alignment horizontal="right"/>
    </xf>
    <xf numFmtId="165" fontId="9" fillId="5" borderId="146" xfId="0" applyNumberFormat="1" applyFont="1" applyFill="1" applyBorder="1"/>
    <xf numFmtId="165" fontId="9" fillId="5" borderId="146" xfId="0" applyNumberFormat="1" applyFont="1" applyFill="1" applyBorder="1" applyAlignment="1">
      <alignment horizontal="right"/>
    </xf>
    <xf numFmtId="4" fontId="9" fillId="10" borderId="146" xfId="0" applyNumberFormat="1" applyFont="1" applyFill="1" applyBorder="1"/>
    <xf numFmtId="165" fontId="9" fillId="10" borderId="146" xfId="0" applyNumberFormat="1" applyFont="1" applyFill="1" applyBorder="1"/>
    <xf numFmtId="165" fontId="9" fillId="10" borderId="149" xfId="0" applyNumberFormat="1" applyFont="1" applyFill="1" applyBorder="1"/>
    <xf numFmtId="0" fontId="9" fillId="5" borderId="147" xfId="0" applyFont="1" applyFill="1" applyBorder="1"/>
    <xf numFmtId="4" fontId="9" fillId="68" borderId="22" xfId="0" applyNumberFormat="1" applyFont="1" applyFill="1" applyBorder="1"/>
    <xf numFmtId="4" fontId="9" fillId="5" borderId="22" xfId="0" applyNumberFormat="1" applyFont="1" applyFill="1" applyBorder="1"/>
    <xf numFmtId="165" fontId="9" fillId="5" borderId="29" xfId="0" applyNumberFormat="1" applyFont="1" applyFill="1" applyBorder="1"/>
    <xf numFmtId="4" fontId="9" fillId="9" borderId="146" xfId="0" applyNumberFormat="1" applyFont="1" applyFill="1" applyBorder="1"/>
    <xf numFmtId="165" fontId="9" fillId="9" borderId="146" xfId="0" applyNumberFormat="1" applyFont="1" applyFill="1" applyBorder="1"/>
    <xf numFmtId="165" fontId="9" fillId="9" borderId="149" xfId="0" applyNumberFormat="1" applyFont="1" applyFill="1" applyBorder="1"/>
    <xf numFmtId="4" fontId="9" fillId="6" borderId="22" xfId="0" applyNumberFormat="1" applyFont="1" applyFill="1" applyBorder="1"/>
    <xf numFmtId="4" fontId="9" fillId="6" borderId="15" xfId="0" applyNumberFormat="1" applyFont="1" applyFill="1" applyBorder="1"/>
    <xf numFmtId="4" fontId="9" fillId="6" borderId="146" xfId="0" applyNumberFormat="1" applyFont="1" applyFill="1" applyBorder="1"/>
    <xf numFmtId="0" fontId="9" fillId="128" borderId="0" xfId="0" applyFont="1" applyFill="1" applyBorder="1" applyAlignment="1" applyProtection="1">
      <alignment vertical="center" wrapText="1"/>
      <protection hidden="1"/>
    </xf>
    <xf numFmtId="0" fontId="198" fillId="5" borderId="0" xfId="0" applyFont="1" applyFill="1" applyAlignment="1" applyProtection="1">
      <alignment horizontal="left" vertical="center"/>
      <protection hidden="1"/>
    </xf>
    <xf numFmtId="0" fontId="44" fillId="26" borderId="0" xfId="0" applyFont="1" applyFill="1" applyAlignment="1" applyProtection="1">
      <alignment horizontal="left" vertical="center"/>
      <protection hidden="1"/>
    </xf>
    <xf numFmtId="164" fontId="14" fillId="31" borderId="35" xfId="0" applyNumberFormat="1" applyFont="1" applyFill="1" applyBorder="1" applyAlignment="1" applyProtection="1">
      <alignment vertical="center" wrapText="1"/>
      <protection hidden="1"/>
    </xf>
    <xf numFmtId="164" fontId="32" fillId="31" borderId="36" xfId="0" applyNumberFormat="1" applyFont="1" applyFill="1" applyBorder="1" applyAlignment="1" applyProtection="1">
      <alignment vertical="center"/>
      <protection hidden="1"/>
    </xf>
    <xf numFmtId="164" fontId="51" fillId="31" borderId="36" xfId="0" applyNumberFormat="1" applyFont="1" applyFill="1" applyBorder="1" applyAlignment="1" applyProtection="1">
      <alignment vertical="center" wrapText="1"/>
      <protection hidden="1"/>
    </xf>
    <xf numFmtId="164" fontId="14" fillId="31" borderId="36" xfId="0" applyNumberFormat="1" applyFont="1" applyFill="1" applyBorder="1" applyAlignment="1" applyProtection="1">
      <alignment vertical="center"/>
      <protection hidden="1"/>
    </xf>
    <xf numFmtId="0" fontId="13" fillId="123" borderId="8" xfId="0" applyFont="1" applyFill="1" applyBorder="1" applyAlignment="1" applyProtection="1">
      <alignment vertical="center"/>
      <protection hidden="1"/>
    </xf>
    <xf numFmtId="4" fontId="59" fillId="72" borderId="0" xfId="0" applyNumberFormat="1" applyFont="1" applyFill="1" applyBorder="1" applyAlignment="1" applyProtection="1">
      <alignment vertical="center" wrapText="1"/>
      <protection hidden="1"/>
    </xf>
    <xf numFmtId="0" fontId="59" fillId="73" borderId="0" xfId="0" applyFont="1" applyFill="1" applyBorder="1" applyAlignment="1" applyProtection="1">
      <alignment vertical="center" wrapText="1"/>
      <protection hidden="1"/>
    </xf>
    <xf numFmtId="0" fontId="9" fillId="3" borderId="0" xfId="0" applyFont="1" applyFill="1" applyBorder="1" applyAlignment="1" applyProtection="1">
      <alignment horizontal="right" vertical="center"/>
      <protection hidden="1"/>
    </xf>
    <xf numFmtId="0" fontId="28" fillId="98" borderId="36" xfId="0" applyFont="1" applyFill="1" applyBorder="1" applyAlignment="1" applyProtection="1">
      <alignment vertical="center" wrapText="1"/>
      <protection hidden="1"/>
    </xf>
    <xf numFmtId="0" fontId="37" fillId="98" borderId="23" xfId="0" applyFont="1" applyFill="1" applyBorder="1" applyAlignment="1" applyProtection="1">
      <alignment vertical="center" wrapText="1"/>
      <protection hidden="1"/>
    </xf>
    <xf numFmtId="164" fontId="32" fillId="31" borderId="0" xfId="0" applyNumberFormat="1" applyFont="1" applyFill="1" applyBorder="1" applyAlignment="1" applyProtection="1">
      <alignment vertical="top" wrapText="1"/>
      <protection hidden="1"/>
    </xf>
    <xf numFmtId="0" fontId="24" fillId="109" borderId="150" xfId="0" applyFont="1" applyFill="1" applyBorder="1" applyAlignment="1" applyProtection="1">
      <alignment vertical="center"/>
      <protection hidden="1"/>
    </xf>
    <xf numFmtId="164" fontId="32" fillId="31" borderId="23" xfId="0" applyNumberFormat="1" applyFont="1" applyFill="1" applyBorder="1" applyAlignment="1" applyProtection="1">
      <alignment vertical="top" wrapText="1"/>
      <protection hidden="1"/>
    </xf>
    <xf numFmtId="0" fontId="9" fillId="5" borderId="102" xfId="0" applyFont="1" applyFill="1" applyBorder="1"/>
    <xf numFmtId="0" fontId="9" fillId="5" borderId="101" xfId="0" applyFont="1" applyFill="1" applyBorder="1"/>
    <xf numFmtId="0" fontId="9" fillId="5" borderId="98" xfId="0" applyFont="1" applyFill="1" applyBorder="1" applyAlignment="1">
      <alignment horizontal="center" vertical="center"/>
    </xf>
    <xf numFmtId="0" fontId="9" fillId="5" borderId="99" xfId="0" applyFont="1" applyFill="1" applyBorder="1" applyAlignment="1">
      <alignment horizontal="center" vertical="center"/>
    </xf>
    <xf numFmtId="0" fontId="9" fillId="5" borderId="100" xfId="0" applyFont="1" applyFill="1" applyBorder="1" applyAlignment="1">
      <alignment horizontal="center" vertical="center"/>
    </xf>
    <xf numFmtId="0" fontId="9" fillId="25" borderId="6" xfId="0" applyFont="1" applyFill="1" applyBorder="1" applyAlignment="1" applyProtection="1">
      <alignment horizontal="left" vertical="center"/>
      <protection hidden="1"/>
    </xf>
    <xf numFmtId="0" fontId="9" fillId="70" borderId="0" xfId="0" applyFont="1" applyFill="1" applyBorder="1" applyAlignment="1" applyProtection="1">
      <alignment vertical="top" wrapText="1"/>
      <protection hidden="1"/>
    </xf>
    <xf numFmtId="0" fontId="9" fillId="9" borderId="122" xfId="0" applyFont="1" applyFill="1" applyBorder="1" applyAlignment="1" applyProtection="1">
      <alignment horizontal="center" vertical="center" wrapText="1"/>
      <protection hidden="1"/>
    </xf>
    <xf numFmtId="4" fontId="9" fillId="9" borderId="122" xfId="0" applyNumberFormat="1" applyFont="1" applyFill="1" applyBorder="1" applyAlignment="1" applyProtection="1">
      <alignment horizontal="center" vertical="center"/>
      <protection hidden="1"/>
    </xf>
    <xf numFmtId="0" fontId="9" fillId="128" borderId="0" xfId="0" applyFont="1" applyFill="1" applyBorder="1" applyAlignment="1" applyProtection="1">
      <alignment horizontal="left" vertical="center"/>
      <protection hidden="1"/>
    </xf>
    <xf numFmtId="0" fontId="12" fillId="5" borderId="15" xfId="0" applyFont="1" applyFill="1" applyBorder="1" applyAlignment="1">
      <alignment horizontal="left"/>
    </xf>
    <xf numFmtId="0" fontId="9" fillId="9" borderId="15" xfId="0" applyFont="1" applyFill="1" applyBorder="1" applyAlignment="1">
      <alignment horizontal="right"/>
    </xf>
    <xf numFmtId="0" fontId="9" fillId="4" borderId="15" xfId="0" applyFont="1" applyFill="1" applyBorder="1" applyAlignment="1">
      <alignment horizontal="left" vertical="center"/>
    </xf>
    <xf numFmtId="0" fontId="12" fillId="5" borderId="15" xfId="0" applyFont="1" applyFill="1" applyBorder="1" applyAlignment="1">
      <alignment horizontal="right" vertical="center"/>
    </xf>
    <xf numFmtId="0" fontId="9" fillId="9" borderId="15" xfId="0" applyFont="1" applyFill="1" applyBorder="1" applyAlignment="1">
      <alignment horizontal="left" vertical="center"/>
    </xf>
    <xf numFmtId="0" fontId="12" fillId="5" borderId="22" xfId="0" applyFont="1" applyFill="1" applyBorder="1" applyAlignment="1">
      <alignment horizontal="left" vertical="center"/>
    </xf>
    <xf numFmtId="0" fontId="9" fillId="5" borderId="60" xfId="0" applyFont="1" applyFill="1" applyBorder="1" applyAlignment="1">
      <alignment horizontal="left" vertical="center"/>
    </xf>
    <xf numFmtId="0" fontId="12" fillId="5" borderId="60" xfId="0" applyFont="1" applyFill="1" applyBorder="1" applyAlignment="1">
      <alignment horizontal="right" vertical="center"/>
    </xf>
    <xf numFmtId="0" fontId="9" fillId="5" borderId="60" xfId="0" applyFont="1" applyFill="1" applyBorder="1" applyAlignment="1">
      <alignment horizontal="right" vertical="center"/>
    </xf>
    <xf numFmtId="0" fontId="42" fillId="26" borderId="0" xfId="0" applyFont="1" applyFill="1" applyAlignment="1" applyProtection="1">
      <alignment horizontal="left" vertical="center"/>
      <protection hidden="1"/>
    </xf>
    <xf numFmtId="0" fontId="44" fillId="26" borderId="0" xfId="0" applyFont="1" applyFill="1" applyAlignment="1" applyProtection="1">
      <alignment vertical="center"/>
      <protection hidden="1"/>
    </xf>
    <xf numFmtId="0" fontId="43" fillId="26" borderId="0" xfId="0" applyFont="1" applyFill="1" applyAlignment="1" applyProtection="1">
      <alignment vertical="center"/>
      <protection hidden="1"/>
    </xf>
    <xf numFmtId="0" fontId="62" fillId="69" borderId="0" xfId="0" applyFont="1" applyFill="1" applyBorder="1" applyAlignment="1">
      <alignment horizontal="left" vertical="center" wrapText="1"/>
    </xf>
    <xf numFmtId="0" fontId="9" fillId="5" borderId="0" xfId="0" applyFont="1" applyFill="1" applyBorder="1" applyAlignment="1">
      <alignment wrapText="1"/>
    </xf>
    <xf numFmtId="0" fontId="9" fillId="5" borderId="0" xfId="0" applyFont="1" applyFill="1" applyBorder="1" applyAlignment="1">
      <alignment vertical="center" wrapText="1"/>
    </xf>
    <xf numFmtId="0" fontId="9" fillId="5" borderId="0" xfId="0" applyFont="1" applyFill="1" applyBorder="1" applyAlignment="1">
      <alignment horizontal="center" wrapText="1"/>
    </xf>
    <xf numFmtId="0" fontId="62" fillId="81" borderId="0" xfId="0" applyFont="1" applyFill="1" applyBorder="1" applyAlignment="1">
      <alignment horizontal="left" vertical="center"/>
    </xf>
    <xf numFmtId="0" fontId="62" fillId="285" borderId="0" xfId="0" applyFont="1" applyFill="1" applyBorder="1" applyAlignment="1">
      <alignment horizontal="left" vertical="center"/>
    </xf>
    <xf numFmtId="0" fontId="9" fillId="25" borderId="0" xfId="0" applyFont="1" applyFill="1" applyBorder="1" applyAlignment="1" applyProtection="1">
      <alignment vertical="top"/>
      <protection hidden="1"/>
    </xf>
    <xf numFmtId="0" fontId="37" fillId="5" borderId="35" xfId="0" applyFont="1" applyFill="1" applyBorder="1" applyAlignment="1" applyProtection="1">
      <alignment vertical="center"/>
      <protection hidden="1"/>
    </xf>
    <xf numFmtId="0" fontId="37" fillId="5" borderId="36" xfId="0" applyFont="1" applyFill="1" applyBorder="1" applyAlignment="1" applyProtection="1">
      <alignment vertical="center"/>
      <protection hidden="1"/>
    </xf>
    <xf numFmtId="0" fontId="37" fillId="5" borderId="37" xfId="0" applyFont="1" applyFill="1" applyBorder="1" applyAlignment="1" applyProtection="1">
      <alignment vertical="center"/>
      <protection hidden="1"/>
    </xf>
    <xf numFmtId="0" fontId="202" fillId="5" borderId="47" xfId="0" applyFont="1" applyFill="1" applyBorder="1" applyAlignment="1" applyProtection="1">
      <alignment vertical="center"/>
      <protection hidden="1"/>
    </xf>
    <xf numFmtId="0" fontId="202" fillId="9" borderId="3" xfId="0" applyFont="1" applyFill="1" applyBorder="1" applyAlignment="1" applyProtection="1">
      <alignment vertical="center"/>
      <protection hidden="1"/>
    </xf>
    <xf numFmtId="0" fontId="202" fillId="9" borderId="2" xfId="0" applyFont="1" applyFill="1" applyBorder="1" applyAlignment="1" applyProtection="1">
      <alignment vertical="center"/>
      <protection hidden="1"/>
    </xf>
    <xf numFmtId="0" fontId="202" fillId="5" borderId="0" xfId="0" applyFont="1" applyFill="1" applyBorder="1" applyAlignment="1" applyProtection="1">
      <alignment vertical="center"/>
      <protection hidden="1"/>
    </xf>
    <xf numFmtId="0" fontId="202" fillId="6" borderId="3" xfId="0" applyFont="1" applyFill="1" applyBorder="1" applyAlignment="1" applyProtection="1">
      <alignment vertical="center"/>
      <protection hidden="1"/>
    </xf>
    <xf numFmtId="0" fontId="202" fillId="6" borderId="6" xfId="0" applyFont="1" applyFill="1" applyBorder="1" applyAlignment="1" applyProtection="1">
      <alignment horizontal="left" vertical="center"/>
      <protection hidden="1"/>
    </xf>
    <xf numFmtId="0" fontId="202" fillId="6" borderId="6" xfId="0" applyFont="1" applyFill="1" applyBorder="1" applyAlignment="1" applyProtection="1">
      <alignment vertical="center"/>
      <protection hidden="1"/>
    </xf>
    <xf numFmtId="0" fontId="202" fillId="6" borderId="2" xfId="0" applyFont="1" applyFill="1" applyBorder="1" applyAlignment="1" applyProtection="1">
      <alignment vertical="center"/>
      <protection hidden="1"/>
    </xf>
    <xf numFmtId="0" fontId="202" fillId="5" borderId="48" xfId="0" applyFont="1" applyFill="1" applyBorder="1" applyAlignment="1" applyProtection="1">
      <alignment vertical="center"/>
      <protection hidden="1"/>
    </xf>
    <xf numFmtId="0" fontId="202" fillId="5" borderId="0" xfId="0" applyFont="1" applyFill="1" applyAlignment="1" applyProtection="1">
      <alignment vertical="center"/>
      <protection hidden="1"/>
    </xf>
    <xf numFmtId="0" fontId="37" fillId="5" borderId="47" xfId="0" applyFont="1" applyFill="1" applyBorder="1" applyAlignment="1" applyProtection="1">
      <alignment vertical="center"/>
      <protection hidden="1"/>
    </xf>
    <xf numFmtId="0" fontId="37" fillId="5" borderId="48" xfId="0" applyFont="1" applyFill="1" applyBorder="1" applyAlignment="1" applyProtection="1">
      <alignment vertical="center"/>
      <protection hidden="1"/>
    </xf>
    <xf numFmtId="0" fontId="205" fillId="9" borderId="2" xfId="0" applyFont="1" applyFill="1" applyBorder="1" applyAlignment="1" applyProtection="1">
      <alignment vertical="center"/>
      <protection hidden="1"/>
    </xf>
    <xf numFmtId="0" fontId="202" fillId="5" borderId="0" xfId="0" applyFont="1" applyFill="1" applyAlignment="1" applyProtection="1">
      <alignment vertical="top"/>
      <protection hidden="1"/>
    </xf>
    <xf numFmtId="0" fontId="204" fillId="5" borderId="0" xfId="0" applyFont="1" applyFill="1" applyBorder="1" applyAlignment="1" applyProtection="1">
      <alignment vertical="center"/>
      <protection hidden="1"/>
    </xf>
    <xf numFmtId="0" fontId="204" fillId="5" borderId="0" xfId="0" applyFont="1" applyFill="1" applyBorder="1" applyAlignment="1" applyProtection="1">
      <alignment vertical="center" wrapText="1"/>
      <protection hidden="1"/>
    </xf>
    <xf numFmtId="0" fontId="204" fillId="6" borderId="35" xfId="0" applyFont="1" applyFill="1" applyBorder="1" applyAlignment="1" applyProtection="1">
      <alignment vertical="center" wrapText="1"/>
      <protection hidden="1"/>
    </xf>
    <xf numFmtId="0" fontId="14" fillId="6" borderId="37" xfId="0" applyFont="1" applyFill="1" applyBorder="1" applyAlignment="1" applyProtection="1">
      <alignment vertical="center"/>
      <protection hidden="1"/>
    </xf>
    <xf numFmtId="0" fontId="82" fillId="5" borderId="47" xfId="0" applyFont="1" applyFill="1" applyBorder="1" applyAlignment="1" applyProtection="1">
      <alignment vertical="center"/>
      <protection hidden="1"/>
    </xf>
    <xf numFmtId="0" fontId="204" fillId="6" borderId="47" xfId="0" applyFont="1" applyFill="1" applyBorder="1" applyAlignment="1" applyProtection="1">
      <alignment vertical="center" wrapText="1"/>
      <protection hidden="1"/>
    </xf>
    <xf numFmtId="0" fontId="204" fillId="6" borderId="48" xfId="0" applyFont="1" applyFill="1" applyBorder="1" applyAlignment="1" applyProtection="1">
      <alignment vertical="center" wrapText="1"/>
      <protection hidden="1"/>
    </xf>
    <xf numFmtId="0" fontId="82" fillId="5" borderId="48" xfId="0" applyFont="1" applyFill="1" applyBorder="1" applyAlignment="1" applyProtection="1">
      <alignment vertical="center"/>
      <protection hidden="1"/>
    </xf>
    <xf numFmtId="0" fontId="9" fillId="5" borderId="47" xfId="0" applyFont="1" applyFill="1" applyBorder="1" applyAlignment="1" applyProtection="1">
      <alignment vertical="top"/>
      <protection hidden="1"/>
    </xf>
    <xf numFmtId="0" fontId="204" fillId="6" borderId="38" xfId="0" applyFont="1" applyFill="1" applyBorder="1" applyAlignment="1" applyProtection="1">
      <alignment vertical="center" wrapText="1"/>
      <protection hidden="1"/>
    </xf>
    <xf numFmtId="0" fontId="9" fillId="6" borderId="39" xfId="0" applyFont="1" applyFill="1" applyBorder="1" applyAlignment="1" applyProtection="1">
      <alignment vertical="top"/>
      <protection hidden="1"/>
    </xf>
    <xf numFmtId="0" fontId="9" fillId="5" borderId="48" xfId="0" applyFont="1" applyFill="1" applyBorder="1" applyAlignment="1" applyProtection="1">
      <alignment vertical="top"/>
      <protection hidden="1"/>
    </xf>
    <xf numFmtId="0" fontId="9" fillId="5" borderId="38" xfId="0" applyFont="1" applyFill="1" applyBorder="1" applyAlignment="1" applyProtection="1">
      <alignment vertical="top"/>
      <protection hidden="1"/>
    </xf>
    <xf numFmtId="0" fontId="204" fillId="5" borderId="23" xfId="0" applyFont="1" applyFill="1" applyBorder="1" applyAlignment="1" applyProtection="1">
      <alignment vertical="center"/>
      <protection hidden="1"/>
    </xf>
    <xf numFmtId="0" fontId="9" fillId="5" borderId="23" xfId="0" applyFont="1" applyFill="1" applyBorder="1" applyAlignment="1" applyProtection="1">
      <alignment vertical="top"/>
      <protection hidden="1"/>
    </xf>
    <xf numFmtId="0" fontId="204" fillId="5" borderId="23" xfId="0" applyFont="1" applyFill="1" applyBorder="1" applyAlignment="1" applyProtection="1">
      <alignment horizontal="left" vertical="center" wrapText="1"/>
      <protection hidden="1"/>
    </xf>
    <xf numFmtId="0" fontId="9" fillId="5" borderId="39" xfId="0" applyFont="1" applyFill="1" applyBorder="1" applyAlignment="1" applyProtection="1">
      <alignment vertical="top"/>
      <protection hidden="1"/>
    </xf>
    <xf numFmtId="0" fontId="9" fillId="320" borderId="35" xfId="0" applyFont="1" applyFill="1" applyBorder="1" applyAlignment="1" applyProtection="1">
      <alignment vertical="top"/>
      <protection hidden="1"/>
    </xf>
    <xf numFmtId="0" fontId="9" fillId="320" borderId="36" xfId="0" applyFont="1" applyFill="1" applyBorder="1" applyAlignment="1" applyProtection="1">
      <alignment vertical="top"/>
      <protection hidden="1"/>
    </xf>
    <xf numFmtId="0" fontId="9" fillId="320" borderId="36" xfId="0" applyFont="1" applyFill="1" applyBorder="1" applyAlignment="1" applyProtection="1">
      <alignment horizontal="left" vertical="top"/>
      <protection hidden="1"/>
    </xf>
    <xf numFmtId="0" fontId="9" fillId="320" borderId="37" xfId="0" applyFont="1" applyFill="1" applyBorder="1" applyAlignment="1" applyProtection="1">
      <alignment vertical="top"/>
      <protection hidden="1"/>
    </xf>
    <xf numFmtId="0" fontId="9" fillId="320" borderId="47" xfId="0" applyFont="1" applyFill="1" applyBorder="1" applyAlignment="1" applyProtection="1">
      <alignment vertical="center"/>
      <protection hidden="1"/>
    </xf>
    <xf numFmtId="0" fontId="9" fillId="320" borderId="48" xfId="0" applyFont="1" applyFill="1" applyBorder="1" applyAlignment="1" applyProtection="1">
      <alignment vertical="center"/>
      <protection hidden="1"/>
    </xf>
    <xf numFmtId="0" fontId="9" fillId="320" borderId="47" xfId="0" applyFont="1" applyFill="1" applyBorder="1" applyAlignment="1" applyProtection="1">
      <alignment vertical="top"/>
      <protection hidden="1"/>
    </xf>
    <xf numFmtId="0" fontId="9" fillId="320" borderId="0" xfId="0" applyFont="1" applyFill="1" applyBorder="1" applyAlignment="1" applyProtection="1">
      <alignment vertical="top"/>
      <protection hidden="1"/>
    </xf>
    <xf numFmtId="0" fontId="9" fillId="320" borderId="0" xfId="0" applyFont="1" applyFill="1" applyBorder="1" applyAlignment="1" applyProtection="1">
      <alignment horizontal="left" vertical="top"/>
      <protection hidden="1"/>
    </xf>
    <xf numFmtId="0" fontId="9" fillId="320" borderId="48" xfId="0" applyFont="1" applyFill="1" applyBorder="1" applyAlignment="1" applyProtection="1">
      <alignment vertical="top"/>
      <protection hidden="1"/>
    </xf>
    <xf numFmtId="0" fontId="201" fillId="320" borderId="47" xfId="0" applyFont="1" applyFill="1" applyBorder="1" applyAlignment="1" applyProtection="1">
      <alignment horizontal="left"/>
      <protection hidden="1"/>
    </xf>
    <xf numFmtId="0" fontId="201" fillId="320" borderId="0" xfId="0" applyFont="1" applyFill="1" applyBorder="1" applyAlignment="1" applyProtection="1">
      <alignment horizontal="left"/>
      <protection hidden="1"/>
    </xf>
    <xf numFmtId="0" fontId="0" fillId="320" borderId="0" xfId="0" applyFill="1" applyBorder="1" applyProtection="1">
      <protection hidden="1"/>
    </xf>
    <xf numFmtId="0" fontId="201" fillId="320" borderId="48" xfId="0" applyFont="1" applyFill="1" applyBorder="1" applyAlignment="1" applyProtection="1">
      <alignment horizontal="left"/>
      <protection hidden="1"/>
    </xf>
    <xf numFmtId="0" fontId="201" fillId="5" borderId="0" xfId="0" applyFont="1" applyFill="1" applyAlignment="1" applyProtection="1">
      <alignment horizontal="left"/>
      <protection hidden="1"/>
    </xf>
    <xf numFmtId="0" fontId="17" fillId="320" borderId="47" xfId="0" applyFont="1" applyFill="1" applyBorder="1" applyAlignment="1" applyProtection="1">
      <alignment vertical="center"/>
      <protection hidden="1"/>
    </xf>
    <xf numFmtId="0" fontId="17" fillId="321" borderId="3" xfId="0" applyFont="1" applyFill="1" applyBorder="1" applyAlignment="1" applyProtection="1">
      <alignment vertical="center"/>
      <protection hidden="1"/>
    </xf>
    <xf numFmtId="0" fontId="16" fillId="321" borderId="2" xfId="0" applyFont="1" applyFill="1" applyBorder="1" applyAlignment="1" applyProtection="1">
      <alignment vertical="center"/>
      <protection hidden="1"/>
    </xf>
    <xf numFmtId="0" fontId="17" fillId="320" borderId="0" xfId="0" applyFont="1" applyFill="1" applyBorder="1" applyAlignment="1" applyProtection="1">
      <alignment horizontal="left" vertical="center"/>
      <protection hidden="1"/>
    </xf>
    <xf numFmtId="0" fontId="17" fillId="320" borderId="0" xfId="0" applyFont="1" applyFill="1" applyBorder="1" applyAlignment="1" applyProtection="1">
      <alignment vertical="center"/>
      <protection hidden="1"/>
    </xf>
    <xf numFmtId="0" fontId="16" fillId="320" borderId="48" xfId="0" applyFont="1" applyFill="1" applyBorder="1" applyAlignment="1" applyProtection="1">
      <alignment vertical="center"/>
      <protection hidden="1"/>
    </xf>
    <xf numFmtId="0" fontId="17" fillId="5" borderId="0" xfId="0" applyFont="1" applyFill="1" applyAlignment="1" applyProtection="1">
      <alignment vertical="center"/>
      <protection hidden="1"/>
    </xf>
    <xf numFmtId="0" fontId="202" fillId="320" borderId="47" xfId="0" applyFont="1" applyFill="1" applyBorder="1" applyAlignment="1" applyProtection="1">
      <alignment horizontal="left"/>
      <protection hidden="1"/>
    </xf>
    <xf numFmtId="0" fontId="202" fillId="320" borderId="0" xfId="0" applyFont="1" applyFill="1" applyBorder="1" applyAlignment="1" applyProtection="1">
      <alignment horizontal="left"/>
      <protection hidden="1"/>
    </xf>
    <xf numFmtId="0" fontId="201" fillId="320" borderId="0" xfId="0" applyFont="1" applyFill="1" applyBorder="1" applyAlignment="1" applyProtection="1">
      <protection hidden="1"/>
    </xf>
    <xf numFmtId="0" fontId="202" fillId="320" borderId="48" xfId="0" applyFont="1" applyFill="1" applyBorder="1" applyAlignment="1" applyProtection="1">
      <alignment horizontal="left"/>
      <protection hidden="1"/>
    </xf>
    <xf numFmtId="0" fontId="202" fillId="5" borderId="0" xfId="0" applyFont="1" applyFill="1" applyAlignment="1" applyProtection="1">
      <alignment horizontal="left"/>
      <protection hidden="1"/>
    </xf>
    <xf numFmtId="0" fontId="9" fillId="5" borderId="3" xfId="0" applyFont="1" applyFill="1" applyBorder="1" applyAlignment="1" applyProtection="1">
      <alignment vertical="top"/>
      <protection hidden="1"/>
    </xf>
    <xf numFmtId="0" fontId="82" fillId="5" borderId="2" xfId="0" applyFont="1" applyFill="1" applyBorder="1" applyAlignment="1" applyProtection="1">
      <alignment vertical="top"/>
      <protection hidden="1"/>
    </xf>
    <xf numFmtId="0" fontId="82" fillId="320" borderId="0" xfId="0" applyFont="1" applyFill="1" applyBorder="1" applyAlignment="1" applyProtection="1">
      <alignment vertical="top"/>
      <protection hidden="1"/>
    </xf>
    <xf numFmtId="0" fontId="82" fillId="5" borderId="3" xfId="0" applyFont="1" applyFill="1" applyBorder="1" applyAlignment="1" applyProtection="1">
      <alignment vertical="top"/>
      <protection hidden="1"/>
    </xf>
    <xf numFmtId="4" fontId="16" fillId="5" borderId="2" xfId="0" applyNumberFormat="1" applyFont="1" applyFill="1" applyBorder="1" applyAlignment="1" applyProtection="1">
      <alignment vertical="center"/>
      <protection hidden="1"/>
    </xf>
    <xf numFmtId="0" fontId="9" fillId="320" borderId="0" xfId="0" applyFont="1" applyFill="1" applyBorder="1" applyAlignment="1" applyProtection="1">
      <alignment horizontal="center" vertical="center"/>
      <protection hidden="1"/>
    </xf>
    <xf numFmtId="0" fontId="9" fillId="5" borderId="35" xfId="0" applyFont="1" applyFill="1" applyBorder="1" applyAlignment="1" applyProtection="1">
      <alignment vertical="top"/>
      <protection hidden="1"/>
    </xf>
    <xf numFmtId="0" fontId="9" fillId="5" borderId="36" xfId="0" applyFont="1" applyFill="1" applyBorder="1" applyAlignment="1" applyProtection="1">
      <alignment vertical="top"/>
      <protection hidden="1"/>
    </xf>
    <xf numFmtId="0" fontId="9" fillId="5" borderId="37" xfId="0" applyFont="1" applyFill="1" applyBorder="1" applyAlignment="1" applyProtection="1">
      <alignment vertical="top"/>
      <protection hidden="1"/>
    </xf>
    <xf numFmtId="0" fontId="9" fillId="5" borderId="48" xfId="0" applyFont="1" applyFill="1" applyBorder="1" applyAlignment="1" applyProtection="1">
      <alignment vertical="top" wrapText="1"/>
      <protection hidden="1"/>
    </xf>
    <xf numFmtId="0" fontId="9" fillId="5" borderId="23" xfId="0" applyFont="1" applyFill="1" applyBorder="1" applyAlignment="1" applyProtection="1">
      <alignment vertical="top" wrapText="1"/>
      <protection hidden="1"/>
    </xf>
    <xf numFmtId="0" fontId="9" fillId="320" borderId="38" xfId="0" applyFont="1" applyFill="1" applyBorder="1" applyAlignment="1" applyProtection="1">
      <alignment vertical="top"/>
      <protection hidden="1"/>
    </xf>
    <xf numFmtId="0" fontId="9" fillId="320" borderId="23" xfId="0" applyFont="1" applyFill="1" applyBorder="1" applyAlignment="1" applyProtection="1">
      <alignment vertical="top"/>
      <protection hidden="1"/>
    </xf>
    <xf numFmtId="0" fontId="9" fillId="320" borderId="39" xfId="0" applyFont="1" applyFill="1" applyBorder="1" applyAlignment="1" applyProtection="1">
      <alignment vertical="top"/>
      <protection hidden="1"/>
    </xf>
    <xf numFmtId="0" fontId="9" fillId="25" borderId="0" xfId="0" applyFont="1" applyFill="1" applyAlignment="1" applyProtection="1">
      <alignment vertical="top"/>
      <protection hidden="1"/>
    </xf>
    <xf numFmtId="0" fontId="62" fillId="5" borderId="0" xfId="0" applyFont="1" applyFill="1" applyAlignment="1" applyProtection="1">
      <alignment vertical="top"/>
      <protection hidden="1"/>
    </xf>
    <xf numFmtId="0" fontId="203" fillId="320" borderId="0" xfId="0" applyFont="1" applyFill="1" applyBorder="1" applyAlignment="1" applyProtection="1">
      <alignment horizontal="left"/>
      <protection hidden="1"/>
    </xf>
    <xf numFmtId="0" fontId="17" fillId="130" borderId="3" xfId="0" applyFont="1" applyFill="1" applyBorder="1" applyAlignment="1" applyProtection="1">
      <alignment vertical="center"/>
      <protection hidden="1"/>
    </xf>
    <xf numFmtId="0" fontId="16" fillId="130" borderId="2" xfId="0" applyFont="1" applyFill="1" applyBorder="1" applyAlignment="1" applyProtection="1">
      <alignment vertical="center"/>
      <protection hidden="1"/>
    </xf>
    <xf numFmtId="0" fontId="200" fillId="320" borderId="0" xfId="0" applyFont="1" applyFill="1" applyBorder="1" applyProtection="1">
      <protection hidden="1"/>
    </xf>
    <xf numFmtId="0" fontId="9" fillId="319" borderId="3" xfId="0" applyFont="1" applyFill="1" applyBorder="1" applyAlignment="1" applyProtection="1">
      <alignment vertical="top"/>
      <protection hidden="1"/>
    </xf>
    <xf numFmtId="4" fontId="17" fillId="319" borderId="2" xfId="0" applyNumberFormat="1" applyFont="1" applyFill="1" applyBorder="1" applyAlignment="1" applyProtection="1">
      <alignment horizontal="left" vertical="center"/>
      <protection hidden="1"/>
    </xf>
    <xf numFmtId="0" fontId="17" fillId="320" borderId="48" xfId="0" applyFont="1" applyFill="1" applyBorder="1" applyAlignment="1" applyProtection="1">
      <alignment vertical="center"/>
      <protection hidden="1"/>
    </xf>
    <xf numFmtId="0" fontId="202" fillId="320" borderId="0" xfId="0" applyFont="1" applyFill="1" applyAlignment="1" applyProtection="1">
      <alignment horizontal="left"/>
      <protection hidden="1"/>
    </xf>
    <xf numFmtId="0" fontId="9" fillId="320" borderId="0" xfId="0" applyFont="1" applyFill="1" applyAlignment="1" applyProtection="1">
      <alignment vertical="top"/>
      <protection hidden="1"/>
    </xf>
    <xf numFmtId="0" fontId="17" fillId="320" borderId="0" xfId="0" applyFont="1" applyFill="1" applyAlignment="1" applyProtection="1">
      <alignment vertical="center"/>
      <protection hidden="1"/>
    </xf>
    <xf numFmtId="0" fontId="200" fillId="320" borderId="0" xfId="0" applyFont="1" applyFill="1" applyBorder="1" applyAlignment="1" applyProtection="1">
      <alignment vertical="center"/>
      <protection hidden="1"/>
    </xf>
    <xf numFmtId="0" fontId="0" fillId="320" borderId="0" xfId="0" applyFill="1" applyBorder="1" applyAlignment="1" applyProtection="1">
      <alignment vertical="center"/>
      <protection hidden="1"/>
    </xf>
    <xf numFmtId="0" fontId="9" fillId="319" borderId="3" xfId="0" applyFont="1" applyFill="1" applyBorder="1" applyAlignment="1" applyProtection="1">
      <alignment vertical="center"/>
      <protection hidden="1"/>
    </xf>
    <xf numFmtId="0" fontId="37" fillId="269" borderId="0" xfId="0" applyFont="1" applyFill="1" applyBorder="1" applyAlignment="1" applyProtection="1">
      <alignment vertical="center"/>
      <protection hidden="1"/>
    </xf>
    <xf numFmtId="0" fontId="40" fillId="5" borderId="15" xfId="6" applyFill="1" applyBorder="1" applyAlignment="1">
      <alignment horizontal="right"/>
    </xf>
    <xf numFmtId="0" fontId="14" fillId="31" borderId="0" xfId="0" applyFont="1" applyFill="1" applyBorder="1" applyAlignment="1" applyProtection="1">
      <alignment horizontal="left" vertical="center"/>
      <protection hidden="1"/>
    </xf>
    <xf numFmtId="0" fontId="2" fillId="0" borderId="0" xfId="0" applyFont="1"/>
    <xf numFmtId="165" fontId="9" fillId="25" borderId="23" xfId="0" applyNumberFormat="1" applyFont="1" applyFill="1" applyBorder="1" applyAlignment="1" applyProtection="1">
      <alignment horizontal="center" vertical="center"/>
      <protection hidden="1"/>
    </xf>
    <xf numFmtId="0" fontId="1" fillId="0" borderId="0" xfId="0" applyFont="1"/>
    <xf numFmtId="0" fontId="9" fillId="5" borderId="15" xfId="0" applyFont="1" applyFill="1" applyBorder="1" applyAlignment="1">
      <alignment horizontal="center" vertical="center"/>
    </xf>
    <xf numFmtId="0" fontId="104" fillId="74" borderId="0" xfId="0" applyFont="1" applyFill="1" applyBorder="1" applyAlignment="1">
      <alignment horizontal="left" vertical="center"/>
    </xf>
    <xf numFmtId="0" fontId="104" fillId="74" borderId="0" xfId="0" applyFont="1" applyFill="1" applyBorder="1" applyAlignment="1">
      <alignment horizontal="right" vertical="center"/>
    </xf>
    <xf numFmtId="0" fontId="47" fillId="0" borderId="0" xfId="0" applyFont="1" applyFill="1" applyBorder="1" applyAlignment="1">
      <alignment horizontal="right" vertical="center"/>
    </xf>
    <xf numFmtId="0" fontId="104" fillId="79" borderId="0" xfId="0" applyFont="1" applyFill="1" applyBorder="1" applyAlignment="1">
      <alignment vertical="center"/>
    </xf>
    <xf numFmtId="0" fontId="104" fillId="79" borderId="0" xfId="0" applyFont="1" applyFill="1" applyBorder="1" applyAlignment="1">
      <alignment horizontal="right" vertical="center"/>
    </xf>
    <xf numFmtId="0" fontId="104" fillId="79" borderId="0" xfId="0" applyFont="1" applyFill="1" applyBorder="1" applyAlignment="1">
      <alignment horizontal="center" vertical="center"/>
    </xf>
    <xf numFmtId="0" fontId="9" fillId="76" borderId="0" xfId="0" applyFont="1" applyFill="1" applyBorder="1" applyAlignment="1">
      <alignment horizontal="left"/>
    </xf>
    <xf numFmtId="0" fontId="12" fillId="72" borderId="0" xfId="0" applyFont="1" applyFill="1" applyBorder="1" applyAlignment="1">
      <alignment horizontal="left" vertical="center"/>
    </xf>
    <xf numFmtId="0" fontId="12" fillId="76" borderId="0" xfId="0" applyFont="1" applyFill="1" applyBorder="1" applyAlignment="1">
      <alignment horizontal="left" vertical="center"/>
    </xf>
    <xf numFmtId="0" fontId="9" fillId="125" borderId="0" xfId="0" applyFont="1" applyFill="1" applyBorder="1" applyAlignment="1">
      <alignment vertical="center"/>
    </xf>
    <xf numFmtId="0" fontId="71" fillId="5" borderId="0" xfId="8" applyFont="1" applyAlignment="1">
      <alignment horizontal="right" vertical="center"/>
    </xf>
    <xf numFmtId="0" fontId="9" fillId="44" borderId="0" xfId="0" applyFont="1" applyFill="1" applyBorder="1" applyAlignment="1">
      <alignment vertical="center"/>
    </xf>
    <xf numFmtId="0" fontId="12" fillId="125" borderId="0" xfId="0" applyFont="1" applyFill="1" applyBorder="1" applyAlignment="1">
      <alignment vertical="center"/>
    </xf>
    <xf numFmtId="1" fontId="104" fillId="5" borderId="28" xfId="0" applyNumberFormat="1" applyFont="1" applyFill="1" applyBorder="1" applyAlignment="1">
      <alignment horizontal="center"/>
    </xf>
    <xf numFmtId="0" fontId="47" fillId="5" borderId="29" xfId="0" applyFont="1" applyFill="1" applyBorder="1"/>
    <xf numFmtId="1" fontId="104" fillId="5" borderId="31" xfId="0" applyNumberFormat="1" applyFont="1" applyFill="1" applyBorder="1" applyAlignment="1">
      <alignment horizontal="center"/>
    </xf>
    <xf numFmtId="0" fontId="9" fillId="5" borderId="131" xfId="0" applyFont="1" applyFill="1" applyBorder="1" applyAlignment="1">
      <alignment horizontal="right" vertical="center"/>
    </xf>
    <xf numFmtId="0" fontId="9" fillId="6" borderId="23" xfId="0" applyFont="1" applyFill="1" applyBorder="1" applyAlignment="1" applyProtection="1">
      <alignment horizontal="center" vertical="center"/>
      <protection hidden="1"/>
    </xf>
    <xf numFmtId="0" fontId="62" fillId="285" borderId="0" xfId="0" applyFont="1" applyFill="1" applyBorder="1" applyAlignment="1">
      <alignment horizontal="left" vertical="center"/>
    </xf>
    <xf numFmtId="0" fontId="9" fillId="5" borderId="0" xfId="0" applyFont="1" applyFill="1" applyBorder="1" applyAlignment="1">
      <alignment horizontal="center" vertical="center"/>
    </xf>
    <xf numFmtId="0" fontId="9" fillId="5" borderId="15" xfId="0" applyFont="1" applyFill="1" applyBorder="1" applyAlignment="1">
      <alignment horizontal="center" vertical="center" wrapText="1"/>
    </xf>
    <xf numFmtId="0" fontId="9" fillId="5" borderId="15" xfId="0" applyFont="1" applyFill="1" applyBorder="1" applyAlignment="1">
      <alignment horizontal="center" vertical="center"/>
    </xf>
    <xf numFmtId="0" fontId="9" fillId="6" borderId="36" xfId="0" applyFont="1" applyFill="1" applyBorder="1" applyAlignment="1" applyProtection="1">
      <alignment horizontal="center" vertical="center"/>
      <protection hidden="1"/>
    </xf>
    <xf numFmtId="0" fontId="9" fillId="6" borderId="23" xfId="0" applyFont="1" applyFill="1" applyBorder="1" applyAlignment="1" applyProtection="1">
      <alignment horizontal="center" vertical="center"/>
      <protection hidden="1"/>
    </xf>
    <xf numFmtId="165" fontId="31" fillId="30" borderId="6" xfId="0" applyNumberFormat="1" applyFont="1" applyFill="1" applyBorder="1" applyAlignment="1" applyProtection="1">
      <alignment horizontal="center" vertical="center"/>
      <protection hidden="1"/>
    </xf>
    <xf numFmtId="0" fontId="9" fillId="34" borderId="6" xfId="0" applyFont="1" applyFill="1" applyBorder="1" applyAlignment="1" applyProtection="1">
      <alignment horizontal="center" vertical="center"/>
      <protection hidden="1"/>
    </xf>
    <xf numFmtId="0" fontId="37" fillId="31" borderId="0" xfId="0" applyFont="1" applyFill="1" applyBorder="1" applyAlignment="1" applyProtection="1">
      <alignment horizontal="left" vertical="center"/>
      <protection hidden="1"/>
    </xf>
    <xf numFmtId="0" fontId="9" fillId="6" borderId="6" xfId="0" applyFont="1" applyFill="1" applyBorder="1" applyAlignment="1" applyProtection="1">
      <alignment horizontal="center" vertical="center"/>
      <protection hidden="1"/>
    </xf>
    <xf numFmtId="0" fontId="9" fillId="30" borderId="3" xfId="0" applyFont="1" applyFill="1" applyBorder="1" applyAlignment="1" applyProtection="1">
      <alignment horizontal="center" vertical="center"/>
      <protection hidden="1"/>
    </xf>
    <xf numFmtId="0" fontId="9" fillId="30" borderId="6" xfId="0" applyFont="1" applyFill="1" applyBorder="1" applyAlignment="1" applyProtection="1">
      <alignment horizontal="center" vertical="center"/>
      <protection hidden="1"/>
    </xf>
    <xf numFmtId="0" fontId="48" fillId="17" borderId="0" xfId="0" applyFont="1" applyFill="1" applyBorder="1" applyAlignment="1" applyProtection="1">
      <alignment horizontal="center" vertical="center"/>
      <protection hidden="1"/>
    </xf>
    <xf numFmtId="0" fontId="71" fillId="5" borderId="0" xfId="8" applyFont="1" applyAlignment="1">
      <alignment horizontal="left" vertical="center" wrapText="1"/>
    </xf>
    <xf numFmtId="0" fontId="12" fillId="5" borderId="0" xfId="0" applyFont="1" applyFill="1" applyBorder="1" applyAlignment="1">
      <alignment horizontal="right"/>
    </xf>
    <xf numFmtId="0" fontId="45" fillId="5" borderId="0" xfId="6" applyFont="1" applyFill="1" applyBorder="1" applyAlignment="1">
      <alignment horizontal="right"/>
    </xf>
    <xf numFmtId="0" fontId="40" fillId="5" borderId="0" xfId="6" applyFill="1" applyBorder="1" applyAlignment="1">
      <alignment horizontal="right"/>
    </xf>
    <xf numFmtId="0" fontId="12" fillId="5" borderId="15" xfId="0" applyFont="1" applyFill="1" applyBorder="1" applyAlignment="1">
      <alignment horizontal="right" wrapText="1"/>
    </xf>
    <xf numFmtId="0" fontId="15" fillId="9" borderId="15" xfId="0" applyFont="1" applyFill="1" applyBorder="1" applyAlignment="1">
      <alignment horizontal="right" wrapText="1"/>
    </xf>
    <xf numFmtId="14" fontId="15" fillId="9" borderId="15" xfId="0" applyNumberFormat="1" applyFont="1" applyFill="1" applyBorder="1" applyAlignment="1">
      <alignment horizontal="right" wrapText="1"/>
    </xf>
    <xf numFmtId="0" fontId="15" fillId="9" borderId="15" xfId="0" applyFont="1" applyFill="1" applyBorder="1" applyAlignment="1">
      <alignment wrapText="1"/>
    </xf>
    <xf numFmtId="0" fontId="46" fillId="6" borderId="23" xfId="0" applyFont="1" applyFill="1" applyBorder="1" applyAlignment="1" applyProtection="1">
      <alignment horizontal="center"/>
      <protection hidden="1"/>
    </xf>
    <xf numFmtId="0" fontId="17" fillId="6" borderId="23" xfId="0" applyFont="1" applyFill="1" applyBorder="1" applyAlignment="1" applyProtection="1">
      <alignment horizontal="center"/>
      <protection hidden="1"/>
    </xf>
    <xf numFmtId="164" fontId="199" fillId="31" borderId="23" xfId="0" applyNumberFormat="1" applyFont="1" applyFill="1" applyBorder="1" applyAlignment="1" applyProtection="1">
      <alignment vertical="center" wrapText="1"/>
      <protection hidden="1"/>
    </xf>
    <xf numFmtId="164" fontId="32" fillId="5" borderId="0" xfId="0" applyNumberFormat="1" applyFont="1" applyFill="1" applyBorder="1" applyAlignment="1" applyProtection="1">
      <alignment vertical="center" wrapText="1"/>
      <protection hidden="1"/>
    </xf>
    <xf numFmtId="164" fontId="199" fillId="5" borderId="0" xfId="0" applyNumberFormat="1" applyFont="1" applyFill="1" applyBorder="1" applyAlignment="1" applyProtection="1">
      <alignment vertical="center" wrapText="1"/>
      <protection hidden="1"/>
    </xf>
    <xf numFmtId="164" fontId="32" fillId="5" borderId="0" xfId="0" applyNumberFormat="1" applyFont="1" applyFill="1" applyBorder="1" applyAlignment="1" applyProtection="1">
      <alignment vertical="top" wrapText="1"/>
      <protection hidden="1"/>
    </xf>
    <xf numFmtId="164" fontId="199" fillId="323" borderId="0" xfId="0" applyNumberFormat="1" applyFont="1" applyFill="1" applyBorder="1" applyAlignment="1" applyProtection="1">
      <alignment vertical="center" wrapText="1"/>
      <protection hidden="1"/>
    </xf>
    <xf numFmtId="0" fontId="9" fillId="324" borderId="0" xfId="0" applyFont="1" applyFill="1" applyBorder="1" applyAlignment="1" applyProtection="1">
      <alignment horizontal="center" vertical="center"/>
      <protection hidden="1"/>
    </xf>
    <xf numFmtId="164" fontId="79" fillId="5" borderId="0" xfId="0" applyNumberFormat="1" applyFont="1" applyFill="1" applyBorder="1" applyAlignment="1" applyProtection="1">
      <alignment vertical="center" wrapText="1"/>
      <protection hidden="1"/>
    </xf>
    <xf numFmtId="164" fontId="79" fillId="31" borderId="23" xfId="0" applyNumberFormat="1" applyFont="1" applyFill="1" applyBorder="1" applyAlignment="1" applyProtection="1">
      <alignment vertical="center" wrapText="1"/>
      <protection hidden="1"/>
    </xf>
    <xf numFmtId="0" fontId="37" fillId="31" borderId="39" xfId="0" applyFont="1" applyFill="1" applyBorder="1" applyProtection="1">
      <protection hidden="1"/>
    </xf>
    <xf numFmtId="164" fontId="32" fillId="286" borderId="0" xfId="0" applyNumberFormat="1" applyFont="1" applyFill="1" applyBorder="1" applyAlignment="1" applyProtection="1">
      <alignment vertical="center" wrapText="1"/>
      <protection hidden="1"/>
    </xf>
    <xf numFmtId="164" fontId="32" fillId="112" borderId="0" xfId="0" applyNumberFormat="1" applyFont="1" applyFill="1" applyBorder="1" applyAlignment="1" applyProtection="1">
      <alignment vertical="center" wrapText="1"/>
      <protection hidden="1"/>
    </xf>
    <xf numFmtId="0" fontId="32" fillId="31" borderId="23" xfId="0" applyFont="1" applyFill="1" applyBorder="1" applyAlignment="1" applyProtection="1">
      <alignment vertical="center" wrapText="1"/>
      <protection hidden="1"/>
    </xf>
    <xf numFmtId="0" fontId="32" fillId="5" borderId="0" xfId="0" applyFont="1" applyFill="1" applyBorder="1" applyAlignment="1" applyProtection="1">
      <alignment vertical="center" wrapText="1"/>
      <protection hidden="1"/>
    </xf>
    <xf numFmtId="0" fontId="9" fillId="30" borderId="3" xfId="0" applyFont="1" applyFill="1" applyBorder="1" applyAlignment="1" applyProtection="1">
      <alignment vertical="center"/>
      <protection hidden="1"/>
    </xf>
    <xf numFmtId="0" fontId="9" fillId="30" borderId="6" xfId="0" applyFont="1" applyFill="1" applyBorder="1" applyAlignment="1" applyProtection="1">
      <alignment vertical="center"/>
      <protection hidden="1"/>
    </xf>
    <xf numFmtId="0" fontId="9" fillId="30" borderId="2" xfId="0" applyFont="1" applyFill="1" applyBorder="1" applyAlignment="1" applyProtection="1">
      <alignment vertical="center"/>
      <protection hidden="1"/>
    </xf>
    <xf numFmtId="165" fontId="65" fillId="136" borderId="0" xfId="0" applyNumberFormat="1" applyFont="1" applyFill="1" applyBorder="1" applyAlignment="1" applyProtection="1">
      <alignment vertical="center"/>
      <protection hidden="1"/>
    </xf>
    <xf numFmtId="165" fontId="65" fillId="299" borderId="0" xfId="0" applyNumberFormat="1" applyFont="1" applyFill="1" applyBorder="1" applyAlignment="1" applyProtection="1">
      <alignment vertical="center"/>
      <protection hidden="1"/>
    </xf>
    <xf numFmtId="0" fontId="19" fillId="97" borderId="0" xfId="10" applyFont="1" applyAlignment="1">
      <alignment horizontal="center"/>
      <protection hidden="1"/>
    </xf>
    <xf numFmtId="0" fontId="9" fillId="97" borderId="0" xfId="10" applyFont="1" applyAlignment="1">
      <alignment horizontal="left" vertical="center"/>
      <protection hidden="1"/>
    </xf>
    <xf numFmtId="0" fontId="9" fillId="5" borderId="0" xfId="10" applyFont="1" applyFill="1" applyBorder="1" applyAlignment="1" applyProtection="1">
      <alignment horizontal="left" vertical="center"/>
      <protection hidden="1"/>
    </xf>
    <xf numFmtId="164" fontId="32" fillId="31" borderId="48" xfId="0" applyNumberFormat="1" applyFont="1" applyFill="1" applyBorder="1" applyAlignment="1" applyProtection="1">
      <alignment vertical="top" wrapText="1"/>
      <protection hidden="1"/>
    </xf>
    <xf numFmtId="0" fontId="68" fillId="9" borderId="0" xfId="0" applyFont="1" applyFill="1" applyAlignment="1" applyProtection="1">
      <alignment horizontal="center"/>
      <protection hidden="1"/>
    </xf>
    <xf numFmtId="165" fontId="9" fillId="170" borderId="0" xfId="0" applyNumberFormat="1" applyFont="1" applyFill="1" applyAlignment="1" applyProtection="1">
      <alignment vertical="center"/>
      <protection hidden="1"/>
    </xf>
    <xf numFmtId="165" fontId="9" fillId="170" borderId="0" xfId="0" applyNumberFormat="1" applyFont="1" applyFill="1" applyBorder="1" applyAlignment="1" applyProtection="1">
      <alignment horizontal="left" vertical="center"/>
      <protection hidden="1"/>
    </xf>
    <xf numFmtId="0" fontId="9" fillId="5" borderId="0" xfId="10" applyFont="1" applyFill="1" applyAlignment="1" applyProtection="1">
      <alignment horizontal="left" vertical="center"/>
      <protection hidden="1"/>
    </xf>
    <xf numFmtId="164" fontId="32" fillId="31" borderId="48" xfId="0" applyNumberFormat="1" applyFont="1" applyFill="1" applyBorder="1" applyAlignment="1" applyProtection="1">
      <alignment vertical="center" wrapText="1"/>
      <protection hidden="1"/>
    </xf>
    <xf numFmtId="4" fontId="9" fillId="10" borderId="1" xfId="0" applyNumberFormat="1" applyFont="1" applyFill="1" applyBorder="1" applyAlignment="1" applyProtection="1">
      <alignment horizontal="center" vertical="center"/>
      <protection hidden="1"/>
    </xf>
    <xf numFmtId="2" fontId="9" fillId="101" borderId="0" xfId="0" applyNumberFormat="1" applyFont="1" applyFill="1" applyAlignment="1" applyProtection="1">
      <alignment vertical="center"/>
      <protection hidden="1"/>
    </xf>
    <xf numFmtId="0" fontId="12" fillId="42" borderId="0" xfId="0" applyFont="1" applyFill="1" applyBorder="1" applyAlignment="1" applyProtection="1">
      <alignment horizontal="left" vertical="center"/>
      <protection hidden="1"/>
    </xf>
    <xf numFmtId="0" fontId="57" fillId="5" borderId="0" xfId="0" applyFont="1" applyFill="1" applyBorder="1" applyAlignment="1" applyProtection="1">
      <alignment vertical="center"/>
      <protection hidden="1"/>
    </xf>
    <xf numFmtId="0" fontId="110" fillId="5" borderId="0" xfId="0" applyFont="1" applyFill="1" applyBorder="1" applyAlignment="1" applyProtection="1">
      <alignment vertical="center"/>
      <protection hidden="1"/>
    </xf>
    <xf numFmtId="4" fontId="9" fillId="5" borderId="1" xfId="0" applyNumberFormat="1" applyFont="1" applyFill="1" applyBorder="1" applyAlignment="1" applyProtection="1">
      <alignment horizontal="center" vertical="center"/>
      <protection locked="0"/>
    </xf>
    <xf numFmtId="0" fontId="9" fillId="5" borderId="1" xfId="0" applyFont="1" applyFill="1" applyBorder="1" applyAlignment="1" applyProtection="1">
      <alignment horizontal="center" vertical="center" wrapText="1"/>
      <protection locked="0"/>
    </xf>
    <xf numFmtId="4" fontId="12" fillId="5" borderId="1" xfId="0" applyNumberFormat="1" applyFont="1" applyFill="1" applyBorder="1" applyAlignment="1" applyProtection="1">
      <alignment horizontal="center" vertical="center"/>
      <protection locked="0"/>
    </xf>
    <xf numFmtId="0" fontId="9" fillId="328" borderId="0" xfId="0" applyFont="1" applyFill="1" applyBorder="1" applyAlignment="1" applyProtection="1">
      <alignment horizontal="right" vertical="center"/>
      <protection hidden="1"/>
    </xf>
    <xf numFmtId="0" fontId="26" fillId="328" borderId="0" xfId="0" applyFont="1" applyFill="1" applyBorder="1" applyAlignment="1" applyProtection="1">
      <alignment horizontal="left" vertical="center"/>
      <protection hidden="1"/>
    </xf>
    <xf numFmtId="0" fontId="9" fillId="328" borderId="0" xfId="0" applyFont="1" applyFill="1" applyBorder="1" applyAlignment="1" applyProtection="1">
      <alignment horizontal="center" vertical="center"/>
      <protection hidden="1"/>
    </xf>
    <xf numFmtId="0" fontId="26" fillId="328" borderId="0" xfId="0" applyFont="1" applyFill="1" applyAlignment="1" applyProtection="1">
      <alignment horizontal="left" vertical="center"/>
      <protection hidden="1"/>
    </xf>
    <xf numFmtId="0" fontId="9" fillId="328" borderId="0" xfId="0" applyFont="1" applyFill="1" applyBorder="1" applyAlignment="1" applyProtection="1">
      <alignment horizontal="left" vertical="center"/>
      <protection hidden="1"/>
    </xf>
    <xf numFmtId="165" fontId="12" fillId="154" borderId="5" xfId="2" applyNumberFormat="1" applyFont="1" applyFill="1" applyBorder="1" applyAlignment="1" applyProtection="1">
      <alignment horizontal="center" vertical="center"/>
      <protection hidden="1"/>
    </xf>
    <xf numFmtId="165" fontId="12" fillId="20" borderId="5" xfId="0" applyNumberFormat="1" applyFont="1" applyFill="1" applyBorder="1" applyAlignment="1" applyProtection="1">
      <alignment horizontal="center" vertical="center"/>
      <protection hidden="1"/>
    </xf>
    <xf numFmtId="165" fontId="9" fillId="5" borderId="1" xfId="0" applyNumberFormat="1" applyFont="1" applyFill="1" applyBorder="1" applyAlignment="1" applyProtection="1">
      <alignment horizontal="center" vertical="center"/>
      <protection locked="0"/>
    </xf>
    <xf numFmtId="0" fontId="9" fillId="128" borderId="0" xfId="0" applyFont="1" applyFill="1" applyBorder="1" applyAlignment="1" applyProtection="1">
      <alignment horizontal="left" vertical="center"/>
      <protection hidden="1"/>
    </xf>
    <xf numFmtId="0" fontId="208" fillId="15" borderId="47" xfId="0" applyFont="1" applyFill="1" applyBorder="1" applyProtection="1">
      <protection hidden="1"/>
    </xf>
    <xf numFmtId="0" fontId="208" fillId="15" borderId="0" xfId="0" applyFont="1" applyFill="1" applyBorder="1" applyProtection="1">
      <protection hidden="1"/>
    </xf>
    <xf numFmtId="165" fontId="207" fillId="15" borderId="0" xfId="0" applyNumberFormat="1" applyFont="1" applyFill="1" applyBorder="1" applyAlignment="1" applyProtection="1">
      <alignment horizontal="center" vertical="center"/>
      <protection hidden="1"/>
    </xf>
    <xf numFmtId="0" fontId="208" fillId="15" borderId="0" xfId="0" applyFont="1" applyFill="1" applyBorder="1" applyAlignment="1" applyProtection="1">
      <alignment vertical="center"/>
      <protection hidden="1"/>
    </xf>
    <xf numFmtId="164" fontId="209" fillId="15" borderId="0" xfId="0" applyNumberFormat="1" applyFont="1" applyFill="1" applyBorder="1" applyAlignment="1" applyProtection="1">
      <alignment horizontal="center" vertical="center"/>
      <protection hidden="1"/>
    </xf>
    <xf numFmtId="0" fontId="208" fillId="15" borderId="48" xfId="0" applyFont="1" applyFill="1" applyBorder="1" applyAlignment="1" applyProtection="1">
      <alignment vertical="center"/>
      <protection hidden="1"/>
    </xf>
    <xf numFmtId="0" fontId="9" fillId="5" borderId="104" xfId="0" applyFont="1" applyFill="1" applyBorder="1" applyAlignment="1">
      <alignment horizontal="center" vertical="center"/>
    </xf>
    <xf numFmtId="0" fontId="9" fillId="5" borderId="103" xfId="0" applyFont="1" applyFill="1" applyBorder="1" applyAlignment="1">
      <alignment horizontal="center" vertical="center"/>
    </xf>
    <xf numFmtId="0" fontId="47" fillId="5" borderId="15" xfId="0" applyFont="1" applyFill="1" applyBorder="1" applyAlignment="1">
      <alignment horizontal="center"/>
    </xf>
    <xf numFmtId="0" fontId="48" fillId="17" borderId="0" xfId="0" applyFont="1" applyFill="1" applyBorder="1" applyAlignment="1" applyProtection="1">
      <alignment horizontal="center" vertical="center"/>
      <protection hidden="1"/>
    </xf>
    <xf numFmtId="0" fontId="9" fillId="6" borderId="36" xfId="0" applyFont="1" applyFill="1" applyBorder="1" applyAlignment="1" applyProtection="1">
      <alignment horizontal="left" vertical="center"/>
      <protection hidden="1"/>
    </xf>
    <xf numFmtId="0" fontId="9" fillId="6" borderId="23" xfId="0" applyFont="1" applyFill="1" applyBorder="1" applyAlignment="1" applyProtection="1">
      <alignment horizontal="left" vertical="center"/>
      <protection hidden="1"/>
    </xf>
    <xf numFmtId="0" fontId="12" fillId="6" borderId="0" xfId="0" applyFont="1" applyFill="1" applyBorder="1" applyAlignment="1" applyProtection="1">
      <alignment horizontal="left" vertical="center"/>
      <protection hidden="1"/>
    </xf>
    <xf numFmtId="0" fontId="111" fillId="130" borderId="0" xfId="0" applyFont="1" applyFill="1" applyBorder="1" applyAlignment="1" applyProtection="1">
      <alignment vertical="center" wrapText="1"/>
      <protection hidden="1"/>
    </xf>
    <xf numFmtId="0" fontId="32" fillId="31" borderId="39" xfId="0" applyFont="1" applyFill="1" applyBorder="1" applyAlignment="1" applyProtection="1">
      <alignment vertical="center" wrapText="1"/>
      <protection hidden="1"/>
    </xf>
    <xf numFmtId="0" fontId="32" fillId="5" borderId="0" xfId="0" applyFont="1" applyFill="1" applyBorder="1" applyAlignment="1" applyProtection="1">
      <alignment horizontal="left" vertical="top" wrapText="1"/>
      <protection hidden="1"/>
    </xf>
    <xf numFmtId="0" fontId="9" fillId="31" borderId="35" xfId="0" applyFont="1" applyFill="1" applyBorder="1" applyAlignment="1" applyProtection="1">
      <alignment horizontal="center" vertical="center"/>
      <protection hidden="1"/>
    </xf>
    <xf numFmtId="0" fontId="199" fillId="31" borderId="47" xfId="0" applyFont="1" applyFill="1" applyBorder="1" applyAlignment="1" applyProtection="1">
      <alignment vertical="center"/>
      <protection hidden="1"/>
    </xf>
    <xf numFmtId="0" fontId="28" fillId="98" borderId="23" xfId="0" applyFont="1" applyFill="1" applyBorder="1" applyAlignment="1" applyProtection="1">
      <alignment vertical="center" wrapText="1"/>
      <protection hidden="1"/>
    </xf>
    <xf numFmtId="0" fontId="37" fillId="98" borderId="37" xfId="0" applyFont="1" applyFill="1" applyBorder="1" applyAlignment="1" applyProtection="1">
      <alignment horizontal="right" vertical="center"/>
      <protection hidden="1"/>
    </xf>
    <xf numFmtId="0" fontId="28" fillId="98" borderId="39" xfId="0" applyFont="1" applyFill="1" applyBorder="1" applyAlignment="1" applyProtection="1">
      <alignment vertical="center" wrapText="1"/>
      <protection hidden="1"/>
    </xf>
    <xf numFmtId="0" fontId="37" fillId="5" borderId="47" xfId="0" applyFont="1" applyFill="1" applyBorder="1" applyAlignment="1" applyProtection="1">
      <alignment horizontal="right" vertical="center"/>
      <protection hidden="1"/>
    </xf>
    <xf numFmtId="0" fontId="9" fillId="98" borderId="35" xfId="0" applyFont="1" applyFill="1" applyBorder="1" applyAlignment="1" applyProtection="1">
      <alignment horizontal="center" vertical="center"/>
      <protection hidden="1"/>
    </xf>
    <xf numFmtId="0" fontId="48" fillId="98" borderId="47" xfId="0" applyFont="1" applyFill="1" applyBorder="1" applyAlignment="1" applyProtection="1">
      <alignment horizontal="center" vertical="center"/>
      <protection hidden="1"/>
    </xf>
    <xf numFmtId="0" fontId="48" fillId="98" borderId="38" xfId="0" applyFont="1" applyFill="1" applyBorder="1" applyAlignment="1" applyProtection="1">
      <alignment horizontal="center" vertical="center"/>
      <protection hidden="1"/>
    </xf>
    <xf numFmtId="0" fontId="28" fillId="296" borderId="0" xfId="0" applyFont="1" applyFill="1" applyBorder="1" applyAlignment="1" applyProtection="1">
      <alignment vertical="center" wrapText="1"/>
      <protection hidden="1"/>
    </xf>
    <xf numFmtId="0" fontId="37" fillId="296" borderId="0" xfId="0" applyFont="1" applyFill="1" applyBorder="1" applyAlignment="1" applyProtection="1">
      <alignment vertical="center" wrapText="1"/>
      <protection hidden="1"/>
    </xf>
    <xf numFmtId="0" fontId="37" fillId="296" borderId="0" xfId="0" applyFont="1" applyFill="1" applyBorder="1" applyAlignment="1" applyProtection="1">
      <alignment horizontal="left" vertical="center"/>
      <protection hidden="1"/>
    </xf>
    <xf numFmtId="0" fontId="32" fillId="6" borderId="23" xfId="0" applyFont="1" applyFill="1" applyBorder="1" applyAlignment="1" applyProtection="1">
      <alignment vertical="center" wrapText="1"/>
      <protection hidden="1"/>
    </xf>
    <xf numFmtId="0" fontId="14" fillId="6" borderId="23" xfId="0" applyFont="1" applyFill="1" applyBorder="1" applyAlignment="1" applyProtection="1">
      <alignment vertical="top"/>
      <protection hidden="1"/>
    </xf>
    <xf numFmtId="0" fontId="37" fillId="5" borderId="0" xfId="0" applyFont="1" applyFill="1" applyBorder="1" applyAlignment="1" applyProtection="1">
      <alignment horizontal="left" vertical="top"/>
      <protection hidden="1"/>
    </xf>
    <xf numFmtId="0" fontId="37" fillId="5" borderId="0" xfId="0" applyFont="1" applyFill="1" applyBorder="1" applyAlignment="1" applyProtection="1">
      <alignment horizontal="left" vertical="top" wrapText="1"/>
      <protection hidden="1"/>
    </xf>
    <xf numFmtId="0" fontId="14" fillId="5" borderId="0" xfId="0" applyFont="1" applyFill="1" applyBorder="1" applyAlignment="1" applyProtection="1">
      <alignment vertical="top"/>
      <protection hidden="1"/>
    </xf>
    <xf numFmtId="0" fontId="37" fillId="6" borderId="37" xfId="0" applyFont="1" applyFill="1" applyBorder="1" applyAlignment="1" applyProtection="1">
      <alignment horizontal="right" vertical="center"/>
      <protection hidden="1"/>
    </xf>
    <xf numFmtId="0" fontId="14" fillId="6" borderId="39" xfId="0" applyFont="1" applyFill="1" applyBorder="1" applyAlignment="1" applyProtection="1">
      <alignment vertical="top"/>
      <protection hidden="1"/>
    </xf>
    <xf numFmtId="0" fontId="48" fillId="6" borderId="47" xfId="0" applyFont="1" applyFill="1" applyBorder="1" applyAlignment="1" applyProtection="1">
      <alignment horizontal="center" vertical="center"/>
      <protection hidden="1"/>
    </xf>
    <xf numFmtId="0" fontId="9" fillId="329" borderId="0" xfId="0" applyFont="1" applyFill="1" applyBorder="1" applyAlignment="1" applyProtection="1">
      <alignment horizontal="right" vertical="center"/>
      <protection hidden="1"/>
    </xf>
    <xf numFmtId="0" fontId="32" fillId="329" borderId="0" xfId="0" applyFont="1" applyFill="1" applyBorder="1" applyAlignment="1" applyProtection="1">
      <alignment vertical="center" wrapText="1"/>
      <protection hidden="1"/>
    </xf>
    <xf numFmtId="0" fontId="37" fillId="329" borderId="0" xfId="0" applyFont="1" applyFill="1" applyBorder="1" applyAlignment="1" applyProtection="1">
      <alignment horizontal="left" vertical="top"/>
      <protection hidden="1"/>
    </xf>
    <xf numFmtId="0" fontId="37" fillId="329" borderId="0" xfId="0" applyFont="1" applyFill="1" applyBorder="1" applyAlignment="1" applyProtection="1">
      <alignment horizontal="right" vertical="center"/>
      <protection hidden="1"/>
    </xf>
    <xf numFmtId="14" fontId="0" fillId="5" borderId="0" xfId="0" applyNumberFormat="1" applyFill="1"/>
    <xf numFmtId="0" fontId="0" fillId="5" borderId="0" xfId="0" applyFont="1" applyFill="1"/>
    <xf numFmtId="0" fontId="47" fillId="21" borderId="0" xfId="0" applyFont="1" applyFill="1" applyBorder="1" applyAlignment="1" applyProtection="1">
      <alignment horizontal="left" vertical="center"/>
      <protection hidden="1"/>
    </xf>
    <xf numFmtId="0" fontId="24" fillId="21" borderId="0" xfId="0" applyFont="1" applyFill="1" applyBorder="1" applyAlignment="1" applyProtection="1">
      <alignment horizontal="left" vertical="center"/>
      <protection hidden="1"/>
    </xf>
    <xf numFmtId="0" fontId="48" fillId="17" borderId="0" xfId="0" applyFont="1" applyFill="1" applyBorder="1" applyAlignment="1" applyProtection="1">
      <alignment horizontal="center" vertical="center"/>
      <protection hidden="1"/>
    </xf>
    <xf numFmtId="0" fontId="15" fillId="5" borderId="15" xfId="0" applyFont="1" applyFill="1" applyBorder="1" applyAlignment="1">
      <alignment horizontal="right"/>
    </xf>
    <xf numFmtId="0" fontId="9" fillId="5" borderId="0" xfId="0" quotePrefix="1" applyFont="1" applyFill="1" applyAlignment="1">
      <alignment horizontal="center"/>
    </xf>
    <xf numFmtId="0" fontId="75" fillId="130" borderId="36" xfId="0" applyFont="1" applyFill="1" applyBorder="1" applyAlignment="1" applyProtection="1">
      <alignment horizontal="left" vertical="center"/>
      <protection hidden="1"/>
    </xf>
    <xf numFmtId="49" fontId="9" fillId="5" borderId="15" xfId="0" applyNumberFormat="1" applyFont="1" applyFill="1" applyBorder="1" applyAlignment="1">
      <alignment vertical="center"/>
    </xf>
    <xf numFmtId="165" fontId="9" fillId="6" borderId="6" xfId="0" applyNumberFormat="1" applyFont="1" applyFill="1" applyBorder="1" applyAlignment="1" applyProtection="1">
      <alignment horizontal="center" vertical="center"/>
      <protection hidden="1"/>
    </xf>
    <xf numFmtId="0" fontId="87" fillId="10" borderId="0" xfId="0" applyFont="1" applyFill="1" applyBorder="1" applyAlignment="1" applyProtection="1">
      <alignment horizontal="left" vertical="center"/>
      <protection hidden="1"/>
    </xf>
    <xf numFmtId="0" fontId="9" fillId="34" borderId="6" xfId="0" applyFont="1" applyFill="1" applyBorder="1" applyAlignment="1" applyProtection="1">
      <alignment horizontal="center" vertical="center"/>
      <protection hidden="1"/>
    </xf>
    <xf numFmtId="0" fontId="13" fillId="17" borderId="52" xfId="0" applyFont="1" applyFill="1" applyBorder="1" applyAlignment="1" applyProtection="1">
      <alignment horizontal="center" vertical="top" wrapText="1"/>
      <protection hidden="1"/>
    </xf>
    <xf numFmtId="0" fontId="37" fillId="31" borderId="0" xfId="0" applyFont="1" applyFill="1" applyBorder="1" applyAlignment="1" applyProtection="1">
      <alignment horizontal="left" vertical="center"/>
      <protection hidden="1"/>
    </xf>
    <xf numFmtId="0" fontId="9" fillId="6" borderId="6" xfId="0" applyFont="1" applyFill="1" applyBorder="1" applyAlignment="1" applyProtection="1">
      <alignment horizontal="center" vertical="center"/>
      <protection hidden="1"/>
    </xf>
    <xf numFmtId="0" fontId="9" fillId="6" borderId="2" xfId="0" applyFont="1" applyFill="1" applyBorder="1" applyAlignment="1" applyProtection="1">
      <alignment horizontal="center" vertical="center"/>
      <protection hidden="1"/>
    </xf>
    <xf numFmtId="0" fontId="48" fillId="17" borderId="0" xfId="0"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top" wrapText="1"/>
      <protection hidden="1"/>
    </xf>
    <xf numFmtId="0" fontId="0" fillId="0" borderId="0" xfId="0" applyFill="1" applyProtection="1">
      <protection hidden="1"/>
    </xf>
    <xf numFmtId="0" fontId="48" fillId="17" borderId="0" xfId="0" applyFont="1" applyFill="1" applyBorder="1" applyAlignment="1" applyProtection="1">
      <alignment horizontal="center" vertical="center"/>
      <protection hidden="1"/>
    </xf>
    <xf numFmtId="165" fontId="37" fillId="38" borderId="15" xfId="0" applyNumberFormat="1" applyFont="1" applyFill="1" applyBorder="1" applyAlignment="1">
      <alignment horizontal="center" vertical="center"/>
    </xf>
    <xf numFmtId="0" fontId="210" fillId="5" borderId="158" xfId="0" applyFont="1" applyFill="1" applyBorder="1" applyAlignment="1">
      <alignment horizontal="left" vertical="center"/>
    </xf>
    <xf numFmtId="0" fontId="47" fillId="5" borderId="158" xfId="0" applyFont="1" applyFill="1" applyBorder="1" applyAlignment="1">
      <alignment horizontal="left" vertical="center"/>
    </xf>
    <xf numFmtId="0" fontId="15" fillId="9" borderId="15" xfId="0" applyNumberFormat="1" applyFont="1" applyFill="1" applyBorder="1" applyAlignment="1">
      <alignment horizontal="right" wrapText="1"/>
    </xf>
    <xf numFmtId="0" fontId="9" fillId="6" borderId="0" xfId="0" applyNumberFormat="1" applyFont="1" applyFill="1" applyBorder="1" applyAlignment="1" applyProtection="1">
      <alignment horizontal="center" vertical="center"/>
      <protection hidden="1"/>
    </xf>
    <xf numFmtId="0" fontId="40" fillId="5" borderId="0" xfId="6" applyFill="1"/>
    <xf numFmtId="0" fontId="17" fillId="15" borderId="0" xfId="0" applyFont="1" applyFill="1" applyBorder="1" applyAlignment="1" applyProtection="1">
      <alignment horizontal="left" vertical="center" wrapText="1"/>
      <protection hidden="1"/>
    </xf>
    <xf numFmtId="0" fontId="211" fillId="5" borderId="7" xfId="0" applyFont="1" applyFill="1" applyBorder="1" applyAlignment="1" applyProtection="1">
      <alignment horizontal="center" vertical="center"/>
      <protection hidden="1"/>
    </xf>
    <xf numFmtId="0" fontId="211" fillId="5" borderId="7" xfId="0" applyFont="1" applyFill="1" applyBorder="1" applyAlignment="1" applyProtection="1">
      <alignment horizontal="center" vertical="center" wrapText="1"/>
      <protection hidden="1"/>
    </xf>
    <xf numFmtId="0" fontId="212" fillId="72" borderId="159" xfId="0" applyFont="1" applyFill="1" applyBorder="1" applyAlignment="1" applyProtection="1">
      <alignment horizontal="center" vertical="center"/>
      <protection hidden="1"/>
    </xf>
    <xf numFmtId="0" fontId="212" fillId="73" borderId="159" xfId="0" applyFont="1" applyFill="1" applyBorder="1" applyAlignment="1" applyProtection="1">
      <alignment horizontal="center" vertical="center"/>
      <protection hidden="1"/>
    </xf>
    <xf numFmtId="0" fontId="213" fillId="5" borderId="0" xfId="0" applyFont="1" applyFill="1"/>
    <xf numFmtId="0" fontId="213" fillId="5" borderId="0" xfId="0" applyFont="1" applyFill="1" applyAlignment="1" applyProtection="1">
      <alignment horizontal="right"/>
      <protection hidden="1"/>
    </xf>
    <xf numFmtId="0" fontId="214" fillId="5" borderId="0" xfId="0" applyFont="1" applyFill="1" applyAlignment="1" applyProtection="1">
      <alignment horizontal="right" vertical="top"/>
      <protection hidden="1"/>
    </xf>
    <xf numFmtId="0" fontId="214" fillId="5" borderId="0" xfId="0" applyFont="1" applyFill="1" applyAlignment="1" applyProtection="1">
      <alignment horizontal="left" vertical="top"/>
      <protection hidden="1"/>
    </xf>
    <xf numFmtId="0" fontId="213" fillId="5" borderId="0" xfId="0" applyFont="1" applyFill="1" applyBorder="1" applyAlignment="1" applyProtection="1">
      <alignment horizontal="right"/>
      <protection hidden="1"/>
    </xf>
    <xf numFmtId="0" fontId="213" fillId="299" borderId="0" xfId="0" applyFont="1" applyFill="1" applyBorder="1" applyAlignment="1" applyProtection="1">
      <alignment horizontal="right"/>
      <protection hidden="1"/>
    </xf>
    <xf numFmtId="0" fontId="213" fillId="299" borderId="0" xfId="0" applyFont="1" applyFill="1" applyBorder="1" applyAlignment="1" applyProtection="1">
      <protection hidden="1"/>
    </xf>
    <xf numFmtId="2" fontId="213" fillId="5" borderId="0" xfId="4" applyFont="1" applyFill="1" applyBorder="1" applyAlignment="1" applyProtection="1">
      <alignment horizontal="right" vertical="center" textRotation="90"/>
      <protection hidden="1"/>
    </xf>
    <xf numFmtId="0" fontId="180" fillId="26" borderId="0" xfId="0" applyFont="1" applyFill="1" applyAlignment="1" applyProtection="1">
      <alignment horizontal="left"/>
      <protection hidden="1"/>
    </xf>
    <xf numFmtId="0" fontId="180" fillId="26" borderId="0" xfId="0" applyFont="1" applyFill="1" applyProtection="1">
      <protection hidden="1"/>
    </xf>
    <xf numFmtId="0" fontId="37" fillId="297" borderId="0" xfId="0" applyFont="1" applyFill="1" applyAlignment="1" applyProtection="1">
      <alignment vertical="center"/>
      <protection hidden="1"/>
    </xf>
    <xf numFmtId="0" fontId="217" fillId="5" borderId="0" xfId="0" applyFont="1" applyFill="1" applyAlignment="1" applyProtection="1">
      <alignment horizontal="right"/>
      <protection hidden="1"/>
    </xf>
    <xf numFmtId="0" fontId="215" fillId="5" borderId="0" xfId="0" applyFont="1" applyFill="1" applyAlignment="1" applyProtection="1">
      <alignment horizontal="right"/>
      <protection hidden="1"/>
    </xf>
    <xf numFmtId="0" fontId="42" fillId="5" borderId="0" xfId="0" applyFont="1" applyFill="1" applyAlignment="1" applyProtection="1">
      <alignment vertical="center"/>
      <protection hidden="1"/>
    </xf>
    <xf numFmtId="0" fontId="216" fillId="0" borderId="0" xfId="0" applyFont="1" applyFill="1" applyAlignment="1" applyProtection="1">
      <alignment vertical="center"/>
      <protection hidden="1"/>
    </xf>
    <xf numFmtId="0" fontId="216" fillId="5" borderId="0" xfId="0" applyFont="1" applyFill="1" applyBorder="1" applyAlignment="1" applyProtection="1">
      <alignment horizontal="center" vertical="center"/>
      <protection hidden="1"/>
    </xf>
    <xf numFmtId="0" fontId="216" fillId="5" borderId="0" xfId="0" applyFont="1" applyFill="1" applyProtection="1">
      <protection hidden="1"/>
    </xf>
    <xf numFmtId="0" fontId="216" fillId="5" borderId="0" xfId="0" applyFont="1" applyFill="1" applyAlignment="1" applyProtection="1">
      <alignment vertical="center"/>
      <protection hidden="1"/>
    </xf>
    <xf numFmtId="0" fontId="219" fillId="122" borderId="0" xfId="0" applyFont="1" applyFill="1" applyBorder="1" applyAlignment="1" applyProtection="1">
      <alignment horizontal="center" vertical="center"/>
      <protection hidden="1"/>
    </xf>
    <xf numFmtId="0" fontId="9" fillId="330" borderId="23" xfId="0" applyFont="1" applyFill="1" applyBorder="1" applyProtection="1">
      <protection hidden="1"/>
    </xf>
    <xf numFmtId="0" fontId="9" fillId="330" borderId="38" xfId="0" applyFont="1" applyFill="1" applyBorder="1" applyProtection="1">
      <protection hidden="1"/>
    </xf>
    <xf numFmtId="0" fontId="9" fillId="330" borderId="39" xfId="0" applyFont="1" applyFill="1" applyBorder="1" applyProtection="1">
      <protection hidden="1"/>
    </xf>
    <xf numFmtId="0" fontId="79" fillId="130" borderId="0" xfId="0" applyFont="1" applyFill="1" applyBorder="1" applyAlignment="1" applyProtection="1">
      <alignment vertical="center"/>
      <protection hidden="1"/>
    </xf>
    <xf numFmtId="0" fontId="79" fillId="130" borderId="35" xfId="0" applyFont="1" applyFill="1" applyBorder="1" applyAlignment="1" applyProtection="1">
      <alignment vertical="center"/>
      <protection hidden="1"/>
    </xf>
    <xf numFmtId="0" fontId="79" fillId="130" borderId="36" xfId="0" applyFont="1" applyFill="1" applyBorder="1" applyAlignment="1" applyProtection="1">
      <alignment vertical="center"/>
      <protection hidden="1"/>
    </xf>
    <xf numFmtId="0" fontId="79" fillId="130" borderId="37" xfId="0" applyFont="1" applyFill="1" applyBorder="1" applyAlignment="1" applyProtection="1">
      <alignment vertical="center"/>
      <protection hidden="1"/>
    </xf>
    <xf numFmtId="0" fontId="79" fillId="130" borderId="47" xfId="0" applyFont="1" applyFill="1" applyBorder="1" applyAlignment="1" applyProtection="1">
      <alignment vertical="center"/>
      <protection hidden="1"/>
    </xf>
    <xf numFmtId="0" fontId="79" fillId="130" borderId="48" xfId="0" applyFont="1" applyFill="1" applyBorder="1" applyAlignment="1" applyProtection="1">
      <alignment vertical="center"/>
      <protection hidden="1"/>
    </xf>
    <xf numFmtId="0" fontId="48" fillId="17" borderId="0" xfId="0" applyFont="1" applyFill="1" applyBorder="1" applyAlignment="1" applyProtection="1">
      <alignment horizontal="center" vertical="center"/>
      <protection hidden="1"/>
    </xf>
    <xf numFmtId="0" fontId="9" fillId="17" borderId="23" xfId="0" applyFont="1" applyFill="1" applyBorder="1" applyAlignment="1" applyProtection="1">
      <alignment vertical="center" wrapText="1"/>
      <protection hidden="1"/>
    </xf>
    <xf numFmtId="0" fontId="9" fillId="6" borderId="36" xfId="0" applyFont="1" applyFill="1" applyBorder="1" applyAlignment="1" applyProtection="1">
      <alignment horizontal="center" vertical="center"/>
      <protection hidden="1"/>
    </xf>
    <xf numFmtId="0" fontId="9" fillId="6" borderId="23" xfId="0" applyFont="1" applyFill="1" applyBorder="1" applyAlignment="1" applyProtection="1">
      <alignment horizontal="center" vertical="center"/>
      <protection hidden="1"/>
    </xf>
    <xf numFmtId="0" fontId="9" fillId="6" borderId="36" xfId="0" applyFont="1" applyFill="1" applyBorder="1" applyAlignment="1" applyProtection="1">
      <alignment horizontal="left" vertical="center"/>
      <protection hidden="1"/>
    </xf>
    <xf numFmtId="0" fontId="9" fillId="6" borderId="23" xfId="0" applyFont="1" applyFill="1" applyBorder="1" applyAlignment="1" applyProtection="1">
      <alignment horizontal="left" vertical="center"/>
      <protection hidden="1"/>
    </xf>
    <xf numFmtId="0" fontId="9" fillId="5" borderId="0" xfId="9" applyFill="1" applyBorder="1" applyAlignment="1" applyProtection="1">
      <alignment horizontal="left" vertical="center"/>
      <protection hidden="1"/>
    </xf>
    <xf numFmtId="0" fontId="9" fillId="5" borderId="0" xfId="9" applyFill="1" applyBorder="1" applyProtection="1">
      <alignment horizontal="center" vertical="center"/>
      <protection hidden="1"/>
    </xf>
    <xf numFmtId="0" fontId="9" fillId="5" borderId="0" xfId="9" applyFill="1" applyBorder="1" applyAlignment="1" applyProtection="1">
      <alignment vertical="center"/>
      <protection hidden="1"/>
    </xf>
    <xf numFmtId="0" fontId="48" fillId="6" borderId="23" xfId="0" applyFont="1" applyFill="1" applyBorder="1" applyAlignment="1" applyProtection="1">
      <alignment horizontal="center" vertical="center" wrapText="1"/>
      <protection hidden="1"/>
    </xf>
    <xf numFmtId="0" fontId="9" fillId="6" borderId="23" xfId="9" applyFill="1" applyBorder="1" applyAlignment="1" applyProtection="1">
      <alignment horizontal="left" vertical="center"/>
      <protection hidden="1"/>
    </xf>
    <xf numFmtId="0" fontId="9" fillId="6" borderId="39" xfId="9" applyFill="1" applyBorder="1" applyAlignment="1" applyProtection="1">
      <alignment vertical="center"/>
      <protection hidden="1"/>
    </xf>
    <xf numFmtId="0" fontId="9" fillId="6" borderId="23" xfId="9" applyFill="1" applyBorder="1" applyProtection="1">
      <alignment horizontal="center" vertical="center"/>
      <protection hidden="1"/>
    </xf>
    <xf numFmtId="164" fontId="35" fillId="6" borderId="23" xfId="0" applyNumberFormat="1" applyFont="1" applyFill="1" applyBorder="1" applyAlignment="1" applyProtection="1">
      <alignment horizontal="center" vertical="center"/>
      <protection hidden="1"/>
    </xf>
    <xf numFmtId="0" fontId="9" fillId="331" borderId="0" xfId="0" applyFont="1" applyFill="1" applyBorder="1" applyAlignment="1" applyProtection="1">
      <alignment horizontal="right" vertical="center"/>
      <protection hidden="1"/>
    </xf>
    <xf numFmtId="0" fontId="9" fillId="331" borderId="0" xfId="0" applyFont="1" applyFill="1" applyBorder="1" applyAlignment="1" applyProtection="1">
      <alignment horizontal="left" vertical="center"/>
      <protection hidden="1"/>
    </xf>
    <xf numFmtId="0" fontId="9" fillId="331" borderId="0" xfId="0" applyFont="1" applyFill="1" applyBorder="1" applyAlignment="1" applyProtection="1">
      <alignment vertical="center"/>
      <protection hidden="1"/>
    </xf>
    <xf numFmtId="0" fontId="9" fillId="331" borderId="0" xfId="0" applyFont="1" applyFill="1" applyBorder="1" applyAlignment="1" applyProtection="1">
      <alignment horizontal="center" vertical="center"/>
      <protection hidden="1"/>
    </xf>
    <xf numFmtId="165" fontId="9" fillId="331" borderId="0" xfId="0" applyNumberFormat="1" applyFont="1" applyFill="1" applyBorder="1" applyAlignment="1" applyProtection="1">
      <alignment horizontal="center" vertical="center"/>
      <protection hidden="1"/>
    </xf>
    <xf numFmtId="0" fontId="19" fillId="331" borderId="0" xfId="0" applyFont="1" applyFill="1" applyBorder="1" applyAlignment="1" applyProtection="1">
      <alignment horizontal="center" vertical="center"/>
      <protection hidden="1"/>
    </xf>
    <xf numFmtId="0" fontId="11" fillId="6" borderId="0" xfId="0" applyFont="1" applyFill="1" applyBorder="1" applyAlignment="1" applyProtection="1">
      <alignment horizontal="center" vertical="center"/>
      <protection hidden="1"/>
    </xf>
    <xf numFmtId="0" fontId="218" fillId="5" borderId="0" xfId="0" applyFont="1" applyFill="1" applyAlignment="1" applyProtection="1">
      <alignment horizontal="right"/>
    </xf>
    <xf numFmtId="0" fontId="42" fillId="26" borderId="0" xfId="0" applyFont="1" applyFill="1" applyAlignment="1" applyProtection="1">
      <alignment horizontal="right"/>
      <protection hidden="1"/>
    </xf>
    <xf numFmtId="0" fontId="220" fillId="26" borderId="0" xfId="0" applyFont="1" applyFill="1" applyAlignment="1" applyProtection="1">
      <alignment horizontal="right"/>
    </xf>
    <xf numFmtId="0" fontId="218" fillId="5" borderId="0" xfId="0" applyFont="1" applyFill="1" applyAlignment="1" applyProtection="1">
      <alignment horizontal="left"/>
    </xf>
    <xf numFmtId="0" fontId="41" fillId="26" borderId="0" xfId="0" applyFont="1" applyFill="1" applyAlignment="1" applyProtection="1">
      <alignment horizontal="left"/>
      <protection hidden="1"/>
    </xf>
    <xf numFmtId="0" fontId="43" fillId="26" borderId="0" xfId="0" applyFont="1" applyFill="1" applyAlignment="1" applyProtection="1">
      <alignment horizontal="left"/>
      <protection hidden="1"/>
    </xf>
    <xf numFmtId="0" fontId="9" fillId="5" borderId="3" xfId="3" applyBorder="1" applyAlignment="1" applyProtection="1">
      <alignment horizontal="center" vertical="center"/>
      <protection locked="0"/>
    </xf>
    <xf numFmtId="0" fontId="9" fillId="5" borderId="6" xfId="3" applyBorder="1" applyAlignment="1" applyProtection="1">
      <alignment horizontal="center" vertical="center"/>
      <protection locked="0"/>
    </xf>
    <xf numFmtId="0" fontId="9" fillId="5" borderId="2" xfId="3" applyBorder="1" applyAlignment="1" applyProtection="1">
      <alignment horizontal="center" vertical="center"/>
      <protection locked="0"/>
    </xf>
    <xf numFmtId="14" fontId="9" fillId="5" borderId="3" xfId="3" applyNumberFormat="1" applyBorder="1" applyAlignment="1" applyProtection="1">
      <alignment horizontal="center" vertical="center"/>
      <protection locked="0"/>
    </xf>
    <xf numFmtId="14" fontId="9" fillId="5" borderId="6" xfId="3" applyNumberFormat="1" applyBorder="1" applyAlignment="1" applyProtection="1">
      <alignment horizontal="center" vertical="center"/>
      <protection locked="0"/>
    </xf>
    <xf numFmtId="14" fontId="9" fillId="5" borderId="2" xfId="3" applyNumberFormat="1" applyBorder="1" applyAlignment="1" applyProtection="1">
      <alignment horizontal="center" vertical="center"/>
      <protection locked="0"/>
    </xf>
    <xf numFmtId="165" fontId="9" fillId="5" borderId="3" xfId="0" applyNumberFormat="1" applyFont="1" applyFill="1" applyBorder="1" applyAlignment="1" applyProtection="1">
      <alignment horizontal="center" vertical="center"/>
      <protection locked="0"/>
    </xf>
    <xf numFmtId="165" fontId="9" fillId="5" borderId="6" xfId="0" applyNumberFormat="1" applyFont="1" applyFill="1" applyBorder="1" applyAlignment="1" applyProtection="1">
      <alignment horizontal="center" vertical="center"/>
      <protection locked="0"/>
    </xf>
    <xf numFmtId="165" fontId="9" fillId="5" borderId="2" xfId="0" applyNumberFormat="1" applyFont="1" applyFill="1" applyBorder="1" applyAlignment="1" applyProtection="1">
      <alignment horizontal="center" vertical="center"/>
      <protection locked="0"/>
    </xf>
    <xf numFmtId="0" fontId="13" fillId="6" borderId="52" xfId="0" applyFont="1" applyFill="1" applyBorder="1" applyAlignment="1" applyProtection="1">
      <alignment horizontal="center" vertical="top"/>
      <protection hidden="1"/>
    </xf>
    <xf numFmtId="164" fontId="9" fillId="325" borderId="155" xfId="9" applyNumberFormat="1" applyFill="1" applyBorder="1" applyProtection="1">
      <alignment horizontal="center" vertical="center"/>
      <protection hidden="1"/>
    </xf>
    <xf numFmtId="164" fontId="9" fillId="325" borderId="156" xfId="9" applyNumberFormat="1" applyFill="1" applyBorder="1" applyProtection="1">
      <alignment horizontal="center" vertical="center"/>
      <protection hidden="1"/>
    </xf>
    <xf numFmtId="164" fontId="9" fillId="325" borderId="157" xfId="9" applyNumberFormat="1" applyFill="1" applyBorder="1" applyProtection="1">
      <alignment horizontal="center" vertical="center"/>
      <protection hidden="1"/>
    </xf>
    <xf numFmtId="49" fontId="9" fillId="5" borderId="1" xfId="0" applyNumberFormat="1" applyFont="1" applyFill="1" applyBorder="1" applyAlignment="1" applyProtection="1">
      <alignment horizontal="center" vertical="center"/>
      <protection locked="0"/>
    </xf>
    <xf numFmtId="0" fontId="12" fillId="6" borderId="0" xfId="0" applyFont="1" applyFill="1" applyBorder="1" applyAlignment="1" applyProtection="1">
      <alignment horizontal="center" vertical="center"/>
      <protection hidden="1"/>
    </xf>
    <xf numFmtId="0" fontId="9" fillId="6" borderId="0" xfId="0" applyFont="1" applyFill="1" applyBorder="1" applyAlignment="1" applyProtection="1">
      <alignment horizontal="left" vertical="top" wrapText="1"/>
      <protection hidden="1"/>
    </xf>
    <xf numFmtId="4" fontId="9" fillId="325" borderId="70" xfId="0" applyNumberFormat="1" applyFont="1" applyFill="1" applyBorder="1" applyAlignment="1" applyProtection="1">
      <alignment horizontal="center" vertical="center"/>
      <protection hidden="1"/>
    </xf>
    <xf numFmtId="4" fontId="9" fillId="325" borderId="154" xfId="0" applyNumberFormat="1" applyFont="1" applyFill="1" applyBorder="1" applyAlignment="1" applyProtection="1">
      <alignment horizontal="center" vertical="center"/>
      <protection hidden="1"/>
    </xf>
    <xf numFmtId="4" fontId="9" fillId="325" borderId="71" xfId="0" applyNumberFormat="1" applyFont="1" applyFill="1" applyBorder="1" applyAlignment="1" applyProtection="1">
      <alignment horizontal="center" vertical="center"/>
      <protection hidden="1"/>
    </xf>
    <xf numFmtId="0" fontId="87" fillId="10" borderId="0" xfId="0" applyFont="1" applyFill="1" applyBorder="1" applyAlignment="1" applyProtection="1">
      <alignment horizontal="left" vertical="center"/>
      <protection hidden="1"/>
    </xf>
    <xf numFmtId="0" fontId="13" fillId="6" borderId="8" xfId="0" applyFont="1" applyFill="1" applyBorder="1" applyAlignment="1" applyProtection="1">
      <alignment horizontal="center" vertical="center" wrapText="1"/>
      <protection hidden="1"/>
    </xf>
    <xf numFmtId="0" fontId="13" fillId="6" borderId="52" xfId="0" applyFont="1" applyFill="1" applyBorder="1" applyAlignment="1" applyProtection="1">
      <alignment horizontal="center" vertical="center" wrapText="1"/>
      <protection hidden="1"/>
    </xf>
    <xf numFmtId="0" fontId="13" fillId="6" borderId="9" xfId="0" applyFont="1" applyFill="1" applyBorder="1" applyAlignment="1" applyProtection="1">
      <alignment horizontal="center" vertical="center" wrapText="1"/>
      <protection hidden="1"/>
    </xf>
    <xf numFmtId="0" fontId="9" fillId="10" borderId="8" xfId="0" applyFont="1" applyFill="1" applyBorder="1" applyAlignment="1" applyProtection="1">
      <alignment horizontal="center" vertical="center"/>
      <protection hidden="1"/>
    </xf>
    <xf numFmtId="0" fontId="9" fillId="10" borderId="52" xfId="0" applyFont="1" applyFill="1" applyBorder="1" applyAlignment="1" applyProtection="1">
      <alignment horizontal="center" vertical="center"/>
      <protection hidden="1"/>
    </xf>
    <xf numFmtId="0" fontId="9" fillId="10" borderId="9" xfId="0" applyFont="1" applyFill="1" applyBorder="1" applyAlignment="1" applyProtection="1">
      <alignment horizontal="center" vertical="center"/>
      <protection hidden="1"/>
    </xf>
    <xf numFmtId="0" fontId="13" fillId="6" borderId="52" xfId="0" applyFont="1" applyFill="1" applyBorder="1" applyAlignment="1" applyProtection="1">
      <alignment horizontal="center" vertical="top" wrapText="1"/>
      <protection hidden="1"/>
    </xf>
    <xf numFmtId="165" fontId="9" fillId="5" borderId="1" xfId="3" applyNumberFormat="1" applyBorder="1" applyProtection="1">
      <alignment horizontal="center" vertical="center"/>
      <protection locked="0"/>
    </xf>
    <xf numFmtId="165" fontId="9" fillId="5" borderId="3" xfId="0" applyNumberFormat="1" applyFont="1" applyFill="1" applyBorder="1" applyAlignment="1" applyProtection="1">
      <alignment horizontal="center" vertical="center" wrapText="1"/>
      <protection locked="0"/>
    </xf>
    <xf numFmtId="165" fontId="9" fillId="5" borderId="6" xfId="0" applyNumberFormat="1" applyFont="1" applyFill="1" applyBorder="1" applyAlignment="1" applyProtection="1">
      <alignment horizontal="center" vertical="center" wrapText="1"/>
      <protection locked="0"/>
    </xf>
    <xf numFmtId="165" fontId="9" fillId="5" borderId="2" xfId="0" applyNumberFormat="1" applyFont="1" applyFill="1" applyBorder="1" applyAlignment="1" applyProtection="1">
      <alignment horizontal="center" vertical="center" wrapText="1"/>
      <protection locked="0"/>
    </xf>
    <xf numFmtId="0" fontId="9" fillId="5" borderId="1" xfId="0" applyNumberFormat="1" applyFont="1" applyFill="1" applyBorder="1" applyAlignment="1" applyProtection="1">
      <alignment horizontal="center" vertical="center"/>
      <protection locked="0"/>
    </xf>
    <xf numFmtId="0" fontId="9" fillId="5" borderId="3" xfId="0" applyNumberFormat="1" applyFont="1" applyFill="1" applyBorder="1" applyAlignment="1" applyProtection="1">
      <alignment horizontal="center" vertical="center"/>
      <protection locked="0"/>
    </xf>
    <xf numFmtId="0" fontId="9" fillId="5" borderId="6" xfId="0" applyNumberFormat="1" applyFont="1" applyFill="1" applyBorder="1" applyAlignment="1" applyProtection="1">
      <alignment horizontal="center" vertical="center"/>
      <protection locked="0"/>
    </xf>
    <xf numFmtId="0" fontId="9" fillId="5" borderId="2" xfId="0" applyNumberFormat="1" applyFont="1" applyFill="1" applyBorder="1" applyAlignment="1" applyProtection="1">
      <alignment horizontal="center" vertical="center"/>
      <protection locked="0"/>
    </xf>
    <xf numFmtId="165" fontId="9" fillId="325" borderId="70" xfId="0" applyNumberFormat="1" applyFont="1" applyFill="1" applyBorder="1" applyAlignment="1" applyProtection="1">
      <alignment horizontal="center" vertical="center"/>
      <protection hidden="1"/>
    </xf>
    <xf numFmtId="165" fontId="9" fillId="325" borderId="154" xfId="0" applyNumberFormat="1" applyFont="1" applyFill="1" applyBorder="1" applyAlignment="1" applyProtection="1">
      <alignment horizontal="center" vertical="center"/>
      <protection hidden="1"/>
    </xf>
    <xf numFmtId="165" fontId="9" fillId="325" borderId="71" xfId="0" applyNumberFormat="1" applyFont="1" applyFill="1" applyBorder="1" applyAlignment="1" applyProtection="1">
      <alignment horizontal="center" vertical="center"/>
      <protection hidden="1"/>
    </xf>
    <xf numFmtId="165" fontId="9" fillId="6" borderId="6" xfId="0" applyNumberFormat="1" applyFont="1" applyFill="1" applyBorder="1" applyAlignment="1" applyProtection="1">
      <alignment horizontal="center" vertical="center"/>
      <protection hidden="1"/>
    </xf>
    <xf numFmtId="0" fontId="164" fillId="39" borderId="0" xfId="0" applyFont="1" applyFill="1" applyBorder="1" applyAlignment="1" applyProtection="1">
      <alignment horizontal="center" vertical="center"/>
      <protection hidden="1"/>
    </xf>
    <xf numFmtId="165" fontId="9" fillId="9" borderId="123" xfId="0" applyNumberFormat="1" applyFont="1" applyFill="1" applyBorder="1" applyAlignment="1" applyProtection="1">
      <alignment horizontal="center" vertical="center"/>
      <protection hidden="1"/>
    </xf>
    <xf numFmtId="165" fontId="9" fillId="9" borderId="124" xfId="0" applyNumberFormat="1" applyFont="1" applyFill="1" applyBorder="1" applyAlignment="1" applyProtection="1">
      <alignment horizontal="center" vertical="center"/>
      <protection hidden="1"/>
    </xf>
    <xf numFmtId="0" fontId="164" fillId="40" borderId="0" xfId="0" applyFont="1" applyFill="1" applyBorder="1" applyAlignment="1" applyProtection="1">
      <alignment horizontal="center" vertical="center"/>
      <protection hidden="1"/>
    </xf>
    <xf numFmtId="0" fontId="9" fillId="9" borderId="43" xfId="9">
      <alignment horizontal="center" vertical="center"/>
    </xf>
    <xf numFmtId="0" fontId="61" fillId="73" borderId="0" xfId="0" applyFont="1" applyFill="1" applyBorder="1" applyAlignment="1" applyProtection="1">
      <alignment horizontal="center" vertical="center"/>
      <protection hidden="1"/>
    </xf>
    <xf numFmtId="165" fontId="9" fillId="9" borderId="40" xfId="3" applyNumberFormat="1" applyFill="1" applyBorder="1" applyProtection="1">
      <alignment horizontal="center" vertical="center"/>
      <protection hidden="1"/>
    </xf>
    <xf numFmtId="165" fontId="9" fillId="9" borderId="142" xfId="3" applyNumberFormat="1" applyFill="1" applyBorder="1" applyProtection="1">
      <alignment horizontal="center" vertical="center"/>
      <protection hidden="1"/>
    </xf>
    <xf numFmtId="165" fontId="9" fillId="9" borderId="41" xfId="3" applyNumberFormat="1" applyFill="1" applyBorder="1" applyProtection="1">
      <alignment horizontal="center" vertical="center"/>
      <protection hidden="1"/>
    </xf>
    <xf numFmtId="165" fontId="9" fillId="9" borderId="139" xfId="9" applyNumberFormat="1" applyFont="1" applyBorder="1">
      <alignment horizontal="center" vertical="center"/>
    </xf>
    <xf numFmtId="165" fontId="9" fillId="9" borderId="140" xfId="9" applyNumberFormat="1" applyFont="1" applyBorder="1">
      <alignment horizontal="center" vertical="center"/>
    </xf>
    <xf numFmtId="165" fontId="9" fillId="9" borderId="141" xfId="9" applyNumberFormat="1" applyFont="1" applyBorder="1">
      <alignment horizontal="center" vertical="center"/>
    </xf>
    <xf numFmtId="165" fontId="9" fillId="9" borderId="43" xfId="9" applyNumberFormat="1" applyFont="1">
      <alignment horizontal="center" vertical="center"/>
    </xf>
    <xf numFmtId="164" fontId="9" fillId="5" borderId="1" xfId="3" applyNumberFormat="1" applyFont="1" applyBorder="1" applyAlignment="1" applyProtection="1">
      <alignment horizontal="center" vertical="center"/>
      <protection locked="0"/>
    </xf>
    <xf numFmtId="165" fontId="9" fillId="9" borderId="24" xfId="9" applyNumberFormat="1" applyFont="1" applyBorder="1" applyAlignment="1" applyProtection="1">
      <alignment horizontal="center" vertical="center"/>
      <protection hidden="1"/>
    </xf>
    <xf numFmtId="165" fontId="9" fillId="9" borderId="42" xfId="9" applyNumberFormat="1" applyFont="1" applyBorder="1" applyAlignment="1" applyProtection="1">
      <alignment horizontal="center" vertical="center"/>
      <protection hidden="1"/>
    </xf>
    <xf numFmtId="165" fontId="9" fillId="9" borderId="25" xfId="9" applyNumberFormat="1" applyFont="1" applyBorder="1" applyAlignment="1" applyProtection="1">
      <alignment horizontal="center" vertical="center"/>
      <protection hidden="1"/>
    </xf>
    <xf numFmtId="49" fontId="9" fillId="5" borderId="1" xfId="3" applyNumberFormat="1" applyFont="1" applyBorder="1" applyAlignment="1" applyProtection="1">
      <alignment horizontal="center" vertical="center"/>
      <protection locked="0"/>
    </xf>
    <xf numFmtId="165" fontId="9" fillId="5" borderId="3" xfId="3" applyNumberFormat="1" applyFont="1" applyBorder="1" applyAlignment="1" applyProtection="1">
      <alignment horizontal="center" vertical="center"/>
      <protection locked="0"/>
    </xf>
    <xf numFmtId="165" fontId="9" fillId="5" borderId="6" xfId="3" applyNumberFormat="1" applyFont="1" applyBorder="1" applyAlignment="1" applyProtection="1">
      <alignment horizontal="center" vertical="center"/>
      <protection locked="0"/>
    </xf>
    <xf numFmtId="165" fontId="9" fillId="5" borderId="2" xfId="3" applyNumberFormat="1" applyFont="1" applyBorder="1" applyAlignment="1" applyProtection="1">
      <alignment horizontal="center" vertical="center"/>
      <protection locked="0"/>
    </xf>
    <xf numFmtId="0" fontId="61" fillId="72" borderId="0" xfId="0" applyFont="1" applyFill="1" applyBorder="1" applyAlignment="1" applyProtection="1">
      <alignment horizontal="center" vertical="center"/>
      <protection hidden="1"/>
    </xf>
    <xf numFmtId="164" fontId="9" fillId="5" borderId="3" xfId="3" applyNumberFormat="1" applyFont="1" applyBorder="1" applyAlignment="1" applyProtection="1">
      <alignment horizontal="center" vertical="center"/>
      <protection locked="0"/>
    </xf>
    <xf numFmtId="164" fontId="9" fillId="5" borderId="6" xfId="3" applyNumberFormat="1" applyFont="1" applyBorder="1" applyAlignment="1" applyProtection="1">
      <alignment horizontal="center" vertical="center"/>
      <protection locked="0"/>
    </xf>
    <xf numFmtId="164" fontId="9" fillId="5" borderId="2" xfId="3" applyNumberFormat="1" applyFont="1" applyBorder="1" applyAlignment="1" applyProtection="1">
      <alignment horizontal="center" vertical="center"/>
      <protection locked="0"/>
    </xf>
    <xf numFmtId="0" fontId="9" fillId="9" borderId="43" xfId="9" applyFont="1" applyBorder="1" applyAlignment="1" applyProtection="1">
      <alignment horizontal="center" vertical="center"/>
      <protection hidden="1"/>
    </xf>
    <xf numFmtId="0" fontId="9" fillId="5" borderId="1" xfId="3" applyFont="1" applyBorder="1" applyAlignment="1" applyProtection="1">
      <alignment horizontal="center" vertical="center"/>
      <protection locked="0"/>
    </xf>
    <xf numFmtId="165" fontId="9" fillId="5" borderId="1" xfId="3" applyNumberFormat="1" applyFont="1" applyBorder="1" applyAlignment="1" applyProtection="1">
      <alignment horizontal="center" vertical="center"/>
      <protection locked="0"/>
    </xf>
    <xf numFmtId="0" fontId="9" fillId="9" borderId="105" xfId="9" applyFont="1" applyBorder="1" applyAlignment="1" applyProtection="1">
      <alignment horizontal="center" vertical="center"/>
      <protection hidden="1"/>
    </xf>
    <xf numFmtId="0" fontId="9" fillId="9" borderId="106" xfId="9" applyFont="1" applyBorder="1" applyAlignment="1" applyProtection="1">
      <alignment horizontal="center" vertical="center"/>
      <protection hidden="1"/>
    </xf>
    <xf numFmtId="0" fontId="9" fillId="9" borderId="107" xfId="9" applyFont="1" applyBorder="1" applyAlignment="1" applyProtection="1">
      <alignment horizontal="center" vertical="center"/>
      <protection hidden="1"/>
    </xf>
    <xf numFmtId="0" fontId="9" fillId="5" borderId="3" xfId="3" applyFont="1" applyBorder="1" applyAlignment="1" applyProtection="1">
      <alignment horizontal="center" vertical="center"/>
      <protection locked="0"/>
    </xf>
    <xf numFmtId="0" fontId="9" fillId="5" borderId="6" xfId="3" applyFont="1" applyBorder="1" applyAlignment="1" applyProtection="1">
      <alignment horizontal="center" vertical="center"/>
      <protection locked="0"/>
    </xf>
    <xf numFmtId="0" fontId="9" fillId="5" borderId="2" xfId="3" applyFont="1" applyBorder="1" applyAlignment="1" applyProtection="1">
      <alignment horizontal="center" vertical="center"/>
      <protection locked="0"/>
    </xf>
    <xf numFmtId="165" fontId="9" fillId="5" borderId="1" xfId="3" applyNumberFormat="1" applyProtection="1">
      <alignment horizontal="center" vertical="center"/>
      <protection locked="0"/>
    </xf>
    <xf numFmtId="0" fontId="28" fillId="5" borderId="0" xfId="0" applyFont="1" applyFill="1" applyBorder="1" applyAlignment="1" applyProtection="1">
      <alignment horizontal="right" vertical="center"/>
      <protection hidden="1"/>
    </xf>
    <xf numFmtId="165" fontId="9" fillId="5" borderId="3" xfId="3" applyNumberFormat="1" applyBorder="1" applyAlignment="1" applyProtection="1">
      <alignment horizontal="center" vertical="center"/>
      <protection locked="0"/>
    </xf>
    <xf numFmtId="165" fontId="9" fillId="5" borderId="6" xfId="3" applyNumberFormat="1" applyBorder="1" applyAlignment="1" applyProtection="1">
      <alignment horizontal="center" vertical="center"/>
      <protection locked="0"/>
    </xf>
    <xf numFmtId="165" fontId="9" fillId="5" borderId="2" xfId="3" applyNumberFormat="1" applyBorder="1" applyAlignment="1" applyProtection="1">
      <alignment horizontal="center" vertical="center"/>
      <protection locked="0"/>
    </xf>
    <xf numFmtId="0" fontId="69" fillId="38" borderId="35" xfId="0" applyFont="1" applyFill="1" applyBorder="1" applyAlignment="1" applyProtection="1">
      <alignment horizontal="center"/>
      <protection hidden="1"/>
    </xf>
    <xf numFmtId="0" fontId="69" fillId="38" borderId="37" xfId="0" applyFont="1" applyFill="1" applyBorder="1" applyAlignment="1" applyProtection="1">
      <alignment horizontal="center"/>
      <protection hidden="1"/>
    </xf>
    <xf numFmtId="0" fontId="69" fillId="38" borderId="38" xfId="0" applyFont="1" applyFill="1" applyBorder="1" applyAlignment="1" applyProtection="1">
      <alignment horizontal="center"/>
      <protection hidden="1"/>
    </xf>
    <xf numFmtId="0" fontId="69" fillId="38" borderId="39" xfId="0" applyFont="1" applyFill="1" applyBorder="1" applyAlignment="1" applyProtection="1">
      <alignment horizontal="center"/>
      <protection hidden="1"/>
    </xf>
    <xf numFmtId="0" fontId="13" fillId="15" borderId="52" xfId="0" applyFont="1" applyFill="1" applyBorder="1" applyAlignment="1" applyProtection="1">
      <alignment horizontal="center" vertical="top" wrapText="1"/>
      <protection hidden="1"/>
    </xf>
    <xf numFmtId="0" fontId="13" fillId="70" borderId="52" xfId="0" applyFont="1" applyFill="1" applyBorder="1" applyAlignment="1" applyProtection="1">
      <alignment horizontal="center" vertical="top" wrapText="1"/>
      <protection hidden="1"/>
    </xf>
    <xf numFmtId="0" fontId="9" fillId="5" borderId="1" xfId="3" applyFont="1" applyProtection="1">
      <alignment horizontal="center" vertical="center"/>
      <protection locked="0"/>
    </xf>
    <xf numFmtId="0" fontId="13" fillId="11" borderId="52" xfId="0" applyFont="1" applyFill="1" applyBorder="1" applyAlignment="1" applyProtection="1">
      <alignment horizontal="center" vertical="top" wrapText="1"/>
      <protection hidden="1"/>
    </xf>
    <xf numFmtId="0" fontId="14" fillId="38" borderId="35" xfId="0" applyNumberFormat="1" applyFont="1" applyFill="1" applyBorder="1" applyAlignment="1" applyProtection="1">
      <alignment horizontal="center" vertical="center"/>
      <protection hidden="1"/>
    </xf>
    <xf numFmtId="0" fontId="14" fillId="38" borderId="36" xfId="0" applyNumberFormat="1" applyFont="1" applyFill="1" applyBorder="1" applyAlignment="1" applyProtection="1">
      <alignment horizontal="center" vertical="center"/>
      <protection hidden="1"/>
    </xf>
    <xf numFmtId="0" fontId="14" fillId="38" borderId="37" xfId="0" applyNumberFormat="1" applyFont="1" applyFill="1" applyBorder="1" applyAlignment="1" applyProtection="1">
      <alignment horizontal="center" vertical="center"/>
      <protection hidden="1"/>
    </xf>
    <xf numFmtId="0" fontId="14" fillId="38" borderId="47" xfId="0" applyNumberFormat="1" applyFont="1" applyFill="1" applyBorder="1" applyAlignment="1" applyProtection="1">
      <alignment horizontal="center" vertical="center"/>
      <protection hidden="1"/>
    </xf>
    <xf numFmtId="0" fontId="14" fillId="38" borderId="0" xfId="0" applyNumberFormat="1" applyFont="1" applyFill="1" applyBorder="1" applyAlignment="1" applyProtection="1">
      <alignment horizontal="center" vertical="center"/>
      <protection hidden="1"/>
    </xf>
    <xf numFmtId="0" fontId="14" fillId="38" borderId="48" xfId="0" applyNumberFormat="1" applyFont="1" applyFill="1" applyBorder="1" applyAlignment="1" applyProtection="1">
      <alignment horizontal="center" vertical="center"/>
      <protection hidden="1"/>
    </xf>
    <xf numFmtId="0" fontId="14" fillId="38" borderId="38" xfId="0" applyNumberFormat="1" applyFont="1" applyFill="1" applyBorder="1" applyAlignment="1" applyProtection="1">
      <alignment horizontal="center" vertical="center"/>
      <protection hidden="1"/>
    </xf>
    <xf numFmtId="0" fontId="14" fillId="38" borderId="23" xfId="0" applyNumberFormat="1" applyFont="1" applyFill="1" applyBorder="1" applyAlignment="1" applyProtection="1">
      <alignment horizontal="center" vertical="center"/>
      <protection hidden="1"/>
    </xf>
    <xf numFmtId="0" fontId="14" fillId="38" borderId="39" xfId="0" applyNumberFormat="1" applyFont="1" applyFill="1" applyBorder="1" applyAlignment="1" applyProtection="1">
      <alignment horizontal="center" vertical="center"/>
      <protection hidden="1"/>
    </xf>
    <xf numFmtId="0" fontId="164" fillId="70" borderId="0" xfId="0" applyFont="1" applyFill="1" applyBorder="1" applyAlignment="1" applyProtection="1">
      <alignment horizontal="center" vertical="center"/>
      <protection hidden="1"/>
    </xf>
    <xf numFmtId="0" fontId="165" fillId="70" borderId="0" xfId="0" applyFont="1" applyFill="1" applyBorder="1" applyAlignment="1" applyProtection="1">
      <alignment horizontal="center" vertical="center"/>
      <protection hidden="1"/>
    </xf>
    <xf numFmtId="0" fontId="12" fillId="10" borderId="70" xfId="9" applyFont="1" applyFill="1" applyBorder="1" applyProtection="1">
      <alignment horizontal="center" vertical="center"/>
      <protection hidden="1"/>
    </xf>
    <xf numFmtId="0" fontId="12" fillId="10" borderId="71" xfId="9" applyFont="1" applyFill="1" applyBorder="1" applyProtection="1">
      <alignment horizontal="center" vertical="center"/>
      <protection hidden="1"/>
    </xf>
    <xf numFmtId="0" fontId="17" fillId="15" borderId="0" xfId="0" applyFont="1" applyFill="1" applyBorder="1" applyAlignment="1" applyProtection="1">
      <alignment horizontal="left" vertical="center" wrapText="1"/>
      <protection hidden="1"/>
    </xf>
    <xf numFmtId="0" fontId="9" fillId="5" borderId="1" xfId="3" applyFont="1" applyBorder="1" applyProtection="1">
      <alignment horizontal="center" vertical="center"/>
      <protection hidden="1"/>
    </xf>
    <xf numFmtId="0" fontId="9" fillId="9" borderId="24" xfId="9" applyFont="1" applyBorder="1" applyProtection="1">
      <alignment horizontal="center" vertical="center"/>
      <protection hidden="1"/>
    </xf>
    <xf numFmtId="0" fontId="9" fillId="9" borderId="42" xfId="9" applyFont="1" applyBorder="1" applyProtection="1">
      <alignment horizontal="center" vertical="center"/>
      <protection hidden="1"/>
    </xf>
    <xf numFmtId="0" fontId="9" fillId="9" borderId="25" xfId="9" applyFont="1" applyBorder="1" applyProtection="1">
      <alignment horizontal="center" vertical="center"/>
      <protection hidden="1"/>
    </xf>
    <xf numFmtId="0" fontId="9" fillId="9" borderId="40" xfId="3" applyFont="1" applyFill="1" applyBorder="1" applyProtection="1">
      <alignment horizontal="center" vertical="center"/>
      <protection hidden="1"/>
    </xf>
    <xf numFmtId="0" fontId="9" fillId="9" borderId="45" xfId="3" applyFont="1" applyFill="1" applyBorder="1" applyProtection="1">
      <alignment horizontal="center" vertical="center"/>
      <protection hidden="1"/>
    </xf>
    <xf numFmtId="0" fontId="9" fillId="9" borderId="41" xfId="3" applyFont="1" applyFill="1" applyBorder="1" applyProtection="1">
      <alignment horizontal="center" vertical="center"/>
      <protection hidden="1"/>
    </xf>
    <xf numFmtId="0" fontId="9" fillId="5" borderId="3" xfId="3" applyFont="1" applyBorder="1" applyProtection="1">
      <alignment horizontal="center" vertical="center"/>
      <protection locked="0"/>
    </xf>
    <xf numFmtId="0" fontId="9" fillId="5" borderId="6" xfId="3" applyFont="1" applyBorder="1" applyProtection="1">
      <alignment horizontal="center" vertical="center"/>
      <protection locked="0"/>
    </xf>
    <xf numFmtId="0" fontId="9" fillId="5" borderId="2" xfId="3" applyFont="1" applyBorder="1" applyProtection="1">
      <alignment horizontal="center" vertical="center"/>
      <protection locked="0"/>
    </xf>
    <xf numFmtId="0" fontId="32" fillId="284" borderId="47" xfId="0" applyNumberFormat="1" applyFont="1" applyFill="1" applyBorder="1" applyAlignment="1" applyProtection="1">
      <alignment horizontal="center" vertical="top"/>
      <protection hidden="1"/>
    </xf>
    <xf numFmtId="0" fontId="32" fillId="284" borderId="0" xfId="0" applyNumberFormat="1" applyFont="1" applyFill="1" applyBorder="1" applyAlignment="1" applyProtection="1">
      <alignment horizontal="center" vertical="top"/>
      <protection hidden="1"/>
    </xf>
    <xf numFmtId="0" fontId="32" fillId="284" borderId="48" xfId="0" applyNumberFormat="1" applyFont="1" applyFill="1" applyBorder="1" applyAlignment="1" applyProtection="1">
      <alignment horizontal="center" vertical="top"/>
      <protection hidden="1"/>
    </xf>
    <xf numFmtId="0" fontId="32" fillId="284" borderId="38" xfId="0" applyNumberFormat="1" applyFont="1" applyFill="1" applyBorder="1" applyAlignment="1" applyProtection="1">
      <alignment horizontal="center" vertical="top"/>
      <protection hidden="1"/>
    </xf>
    <xf numFmtId="0" fontId="32" fillId="284" borderId="23" xfId="0" applyNumberFormat="1" applyFont="1" applyFill="1" applyBorder="1" applyAlignment="1" applyProtection="1">
      <alignment horizontal="center" vertical="top"/>
      <protection hidden="1"/>
    </xf>
    <xf numFmtId="0" fontId="32" fillId="284" borderId="39" xfId="0" applyNumberFormat="1" applyFont="1" applyFill="1" applyBorder="1" applyAlignment="1" applyProtection="1">
      <alignment horizontal="center" vertical="top"/>
      <protection hidden="1"/>
    </xf>
    <xf numFmtId="0" fontId="63" fillId="5" borderId="0" xfId="0" applyFont="1" applyFill="1" applyBorder="1" applyAlignment="1" applyProtection="1">
      <alignment horizontal="center" vertical="center"/>
      <protection hidden="1"/>
    </xf>
    <xf numFmtId="0" fontId="105" fillId="121" borderId="0" xfId="0" applyFont="1" applyFill="1" applyAlignment="1" applyProtection="1">
      <alignment horizontal="center" vertical="center"/>
      <protection hidden="1"/>
    </xf>
    <xf numFmtId="0" fontId="69" fillId="38" borderId="36" xfId="0" applyFont="1" applyFill="1" applyBorder="1" applyAlignment="1" applyProtection="1">
      <alignment horizontal="center"/>
      <protection hidden="1"/>
    </xf>
    <xf numFmtId="0" fontId="69" fillId="38" borderId="23" xfId="0" applyFont="1" applyFill="1" applyBorder="1" applyAlignment="1" applyProtection="1">
      <alignment horizontal="center"/>
      <protection hidden="1"/>
    </xf>
    <xf numFmtId="0" fontId="9" fillId="298" borderId="123" xfId="9" applyFill="1" applyBorder="1" applyAlignment="1">
      <alignment horizontal="center" vertical="center"/>
    </xf>
    <xf numFmtId="0" fontId="9" fillId="298" borderId="45" xfId="9" applyFill="1" applyBorder="1" applyAlignment="1">
      <alignment horizontal="center" vertical="center"/>
    </xf>
    <xf numFmtId="0" fontId="9" fillId="298" borderId="124" xfId="9" applyFill="1" applyBorder="1" applyAlignment="1">
      <alignment horizontal="center" vertical="center"/>
    </xf>
    <xf numFmtId="164" fontId="15" fillId="15" borderId="0" xfId="9" applyNumberFormat="1" applyFont="1" applyFill="1" applyBorder="1" applyAlignment="1" applyProtection="1">
      <alignment horizontal="center" vertical="center" wrapText="1"/>
      <protection hidden="1"/>
    </xf>
    <xf numFmtId="164" fontId="15" fillId="15" borderId="0" xfId="9" applyNumberFormat="1" applyFont="1" applyFill="1" applyBorder="1" applyAlignment="1" applyProtection="1">
      <alignment horizontal="center" vertical="top"/>
      <protection hidden="1"/>
    </xf>
    <xf numFmtId="0" fontId="83" fillId="5" borderId="0" xfId="0" applyFont="1" applyFill="1" applyBorder="1" applyAlignment="1" applyProtection="1">
      <alignment horizontal="center"/>
      <protection hidden="1"/>
    </xf>
    <xf numFmtId="0" fontId="69" fillId="284" borderId="35" xfId="0" applyFont="1" applyFill="1" applyBorder="1" applyAlignment="1" applyProtection="1">
      <alignment horizontal="center"/>
      <protection hidden="1"/>
    </xf>
    <xf numFmtId="0" fontId="69" fillId="284" borderId="36" xfId="0" applyFont="1" applyFill="1" applyBorder="1" applyAlignment="1" applyProtection="1">
      <alignment horizontal="center"/>
      <protection hidden="1"/>
    </xf>
    <xf numFmtId="0" fontId="69" fillId="284" borderId="37" xfId="0" applyFont="1" applyFill="1" applyBorder="1" applyAlignment="1" applyProtection="1">
      <alignment horizontal="center"/>
      <protection hidden="1"/>
    </xf>
    <xf numFmtId="0" fontId="69" fillId="284" borderId="47" xfId="0" applyFont="1" applyFill="1" applyBorder="1" applyAlignment="1" applyProtection="1">
      <alignment horizontal="center"/>
      <protection hidden="1"/>
    </xf>
    <xf numFmtId="0" fontId="69" fillId="284" borderId="0" xfId="0" applyFont="1" applyFill="1" applyBorder="1" applyAlignment="1" applyProtection="1">
      <alignment horizontal="center"/>
      <protection hidden="1"/>
    </xf>
    <xf numFmtId="0" fontId="69" fillId="284" borderId="48" xfId="0" applyFont="1" applyFill="1" applyBorder="1" applyAlignment="1" applyProtection="1">
      <alignment horizontal="center"/>
      <protection hidden="1"/>
    </xf>
    <xf numFmtId="0" fontId="63" fillId="5" borderId="0" xfId="0" applyFont="1" applyFill="1" applyBorder="1" applyAlignment="1" applyProtection="1">
      <alignment horizontal="left" vertical="center"/>
      <protection hidden="1"/>
    </xf>
    <xf numFmtId="0" fontId="63" fillId="5" borderId="0" xfId="0" applyFont="1" applyFill="1" applyBorder="1" applyAlignment="1" applyProtection="1">
      <alignment horizontal="right" vertical="center"/>
      <protection hidden="1"/>
    </xf>
    <xf numFmtId="0" fontId="28" fillId="5" borderId="0" xfId="0" applyFont="1" applyFill="1" applyBorder="1" applyAlignment="1" applyProtection="1">
      <alignment horizontal="left" vertical="center"/>
      <protection hidden="1"/>
    </xf>
    <xf numFmtId="0" fontId="32" fillId="5" borderId="0" xfId="0" applyFont="1" applyFill="1" applyBorder="1" applyAlignment="1" applyProtection="1">
      <alignment horizontal="center"/>
      <protection hidden="1"/>
    </xf>
    <xf numFmtId="0" fontId="97" fillId="132" borderId="0" xfId="0" applyFont="1" applyFill="1" applyBorder="1" applyAlignment="1" applyProtection="1">
      <alignment horizontal="center" vertical="center"/>
      <protection hidden="1"/>
    </xf>
    <xf numFmtId="0" fontId="29" fillId="5" borderId="0" xfId="0" applyFont="1" applyFill="1" applyBorder="1" applyAlignment="1" applyProtection="1">
      <alignment horizontal="center" vertical="center"/>
      <protection hidden="1"/>
    </xf>
    <xf numFmtId="0" fontId="69" fillId="283" borderId="47" xfId="0" applyFont="1" applyFill="1" applyBorder="1" applyAlignment="1" applyProtection="1">
      <alignment horizontal="center" vertical="center"/>
      <protection hidden="1"/>
    </xf>
    <xf numFmtId="0" fontId="69" fillId="283" borderId="0" xfId="0" applyFont="1" applyFill="1" applyBorder="1" applyAlignment="1" applyProtection="1">
      <alignment horizontal="center" vertical="center"/>
      <protection hidden="1"/>
    </xf>
    <xf numFmtId="0" fontId="69" fillId="283" borderId="48" xfId="0" applyFont="1" applyFill="1" applyBorder="1" applyAlignment="1" applyProtection="1">
      <alignment horizontal="center" vertical="center"/>
      <protection hidden="1"/>
    </xf>
    <xf numFmtId="0" fontId="32" fillId="283" borderId="47" xfId="0" applyNumberFormat="1" applyFont="1" applyFill="1" applyBorder="1" applyAlignment="1" applyProtection="1">
      <alignment horizontal="center" vertical="center"/>
      <protection hidden="1"/>
    </xf>
    <xf numFmtId="0" fontId="32" fillId="283" borderId="0" xfId="0" applyNumberFormat="1" applyFont="1" applyFill="1" applyBorder="1" applyAlignment="1" applyProtection="1">
      <alignment horizontal="center" vertical="center"/>
      <protection hidden="1"/>
    </xf>
    <xf numFmtId="0" fontId="32" fillId="283" borderId="48" xfId="0" applyNumberFormat="1" applyFont="1" applyFill="1" applyBorder="1" applyAlignment="1" applyProtection="1">
      <alignment horizontal="center" vertical="center"/>
      <protection hidden="1"/>
    </xf>
    <xf numFmtId="0" fontId="69" fillId="268" borderId="35" xfId="0" applyFont="1" applyFill="1" applyBorder="1" applyAlignment="1" applyProtection="1">
      <alignment horizontal="center" vertical="center"/>
      <protection hidden="1"/>
    </xf>
    <xf numFmtId="0" fontId="69" fillId="268" borderId="36" xfId="0" applyFont="1" applyFill="1" applyBorder="1" applyAlignment="1" applyProtection="1">
      <alignment horizontal="center" vertical="center"/>
      <protection hidden="1"/>
    </xf>
    <xf numFmtId="0" fontId="69" fillId="268" borderId="37" xfId="0" applyFont="1" applyFill="1" applyBorder="1" applyAlignment="1" applyProtection="1">
      <alignment horizontal="center" vertical="center"/>
      <protection hidden="1"/>
    </xf>
    <xf numFmtId="0" fontId="69" fillId="268" borderId="47" xfId="0" applyFont="1" applyFill="1" applyBorder="1" applyAlignment="1" applyProtection="1">
      <alignment horizontal="center" vertical="center"/>
      <protection hidden="1"/>
    </xf>
    <xf numFmtId="0" fontId="69" fillId="268" borderId="0" xfId="0" applyFont="1" applyFill="1" applyBorder="1" applyAlignment="1" applyProtection="1">
      <alignment horizontal="center" vertical="center"/>
      <protection hidden="1"/>
    </xf>
    <xf numFmtId="0" fontId="69" fillId="268" borderId="48" xfId="0" applyFont="1" applyFill="1" applyBorder="1" applyAlignment="1" applyProtection="1">
      <alignment horizontal="center" vertical="center"/>
      <protection hidden="1"/>
    </xf>
    <xf numFmtId="0" fontId="69" fillId="268" borderId="38" xfId="0" applyFont="1" applyFill="1" applyBorder="1" applyAlignment="1" applyProtection="1">
      <alignment horizontal="center" vertical="center"/>
      <protection hidden="1"/>
    </xf>
    <xf numFmtId="0" fontId="69" fillId="268" borderId="23" xfId="0" applyFont="1" applyFill="1" applyBorder="1" applyAlignment="1" applyProtection="1">
      <alignment horizontal="center" vertical="center"/>
      <protection hidden="1"/>
    </xf>
    <xf numFmtId="0" fontId="69" fillId="268" borderId="39" xfId="0" applyFont="1" applyFill="1" applyBorder="1" applyAlignment="1" applyProtection="1">
      <alignment horizontal="center" vertical="center"/>
      <protection hidden="1"/>
    </xf>
    <xf numFmtId="0" fontId="28" fillId="2" borderId="47" xfId="0" applyNumberFormat="1" applyFont="1" applyFill="1" applyBorder="1" applyAlignment="1" applyProtection="1">
      <alignment horizontal="center" vertical="center"/>
      <protection hidden="1"/>
    </xf>
    <xf numFmtId="0" fontId="28" fillId="2" borderId="48" xfId="0" applyNumberFormat="1" applyFont="1" applyFill="1" applyBorder="1" applyAlignment="1" applyProtection="1">
      <alignment horizontal="center" vertical="center"/>
      <protection hidden="1"/>
    </xf>
    <xf numFmtId="0" fontId="28" fillId="2" borderId="38" xfId="0" applyNumberFormat="1" applyFont="1" applyFill="1" applyBorder="1" applyAlignment="1" applyProtection="1">
      <alignment horizontal="center" vertical="center"/>
      <protection hidden="1"/>
    </xf>
    <xf numFmtId="0" fontId="28" fillId="2" borderId="39" xfId="0" applyNumberFormat="1" applyFont="1" applyFill="1" applyBorder="1" applyAlignment="1" applyProtection="1">
      <alignment horizontal="center" vertical="center"/>
      <protection hidden="1"/>
    </xf>
    <xf numFmtId="0" fontId="83" fillId="5" borderId="0" xfId="0" applyFont="1" applyFill="1" applyBorder="1" applyAlignment="1" applyProtection="1">
      <alignment horizontal="center" vertical="top"/>
      <protection hidden="1"/>
    </xf>
    <xf numFmtId="0" fontId="28" fillId="2" borderId="0" xfId="0" applyNumberFormat="1" applyFont="1" applyFill="1" applyBorder="1" applyAlignment="1" applyProtection="1">
      <alignment horizontal="center" vertical="center"/>
      <protection hidden="1"/>
    </xf>
    <xf numFmtId="0" fontId="28" fillId="2" borderId="23" xfId="0" applyNumberFormat="1" applyFont="1" applyFill="1" applyBorder="1" applyAlignment="1" applyProtection="1">
      <alignment horizontal="center" vertical="center"/>
      <protection hidden="1"/>
    </xf>
    <xf numFmtId="0" fontId="69" fillId="2" borderId="35" xfId="0" applyFont="1" applyFill="1" applyBorder="1" applyAlignment="1" applyProtection="1">
      <alignment horizontal="center"/>
      <protection hidden="1"/>
    </xf>
    <xf numFmtId="0" fontId="69" fillId="2" borderId="36" xfId="0" applyFont="1" applyFill="1" applyBorder="1" applyAlignment="1" applyProtection="1">
      <alignment horizontal="center"/>
      <protection hidden="1"/>
    </xf>
    <xf numFmtId="0" fontId="69" fillId="2" borderId="37" xfId="0" applyFont="1" applyFill="1" applyBorder="1" applyAlignment="1" applyProtection="1">
      <alignment horizontal="center"/>
      <protection hidden="1"/>
    </xf>
    <xf numFmtId="0" fontId="69" fillId="2" borderId="47" xfId="0" applyFont="1" applyFill="1" applyBorder="1" applyAlignment="1" applyProtection="1">
      <alignment horizontal="center"/>
      <protection hidden="1"/>
    </xf>
    <xf numFmtId="0" fontId="69" fillId="2" borderId="0" xfId="0" applyFont="1" applyFill="1" applyBorder="1" applyAlignment="1" applyProtection="1">
      <alignment horizontal="center"/>
      <protection hidden="1"/>
    </xf>
    <xf numFmtId="0" fontId="69" fillId="2" borderId="48" xfId="0" applyFont="1" applyFill="1" applyBorder="1" applyAlignment="1" applyProtection="1">
      <alignment horizontal="center"/>
      <protection hidden="1"/>
    </xf>
    <xf numFmtId="0" fontId="14" fillId="268" borderId="47" xfId="0" applyNumberFormat="1" applyFont="1" applyFill="1" applyBorder="1" applyAlignment="1" applyProtection="1">
      <alignment horizontal="center" vertical="top"/>
      <protection hidden="1"/>
    </xf>
    <xf numFmtId="0" fontId="14" fillId="268" borderId="48" xfId="0" applyNumberFormat="1" applyFont="1" applyFill="1" applyBorder="1" applyAlignment="1" applyProtection="1">
      <alignment horizontal="center" vertical="top"/>
      <protection hidden="1"/>
    </xf>
    <xf numFmtId="0" fontId="14" fillId="268" borderId="38" xfId="0" applyNumberFormat="1" applyFont="1" applyFill="1" applyBorder="1" applyAlignment="1" applyProtection="1">
      <alignment horizontal="center" vertical="top"/>
      <protection hidden="1"/>
    </xf>
    <xf numFmtId="0" fontId="14" fillId="268" borderId="39" xfId="0" applyNumberFormat="1" applyFont="1" applyFill="1" applyBorder="1" applyAlignment="1" applyProtection="1">
      <alignment horizontal="center" vertical="top"/>
      <protection hidden="1"/>
    </xf>
    <xf numFmtId="0" fontId="9" fillId="6" borderId="8" xfId="0" applyFont="1" applyFill="1" applyBorder="1" applyAlignment="1" applyProtection="1">
      <alignment horizontal="center" vertical="center"/>
      <protection hidden="1"/>
    </xf>
    <xf numFmtId="0" fontId="9" fillId="6" borderId="9" xfId="0" applyFont="1" applyFill="1" applyBorder="1" applyAlignment="1" applyProtection="1">
      <alignment horizontal="center" vertical="center"/>
      <protection hidden="1"/>
    </xf>
    <xf numFmtId="0" fontId="9" fillId="6" borderId="36" xfId="0" applyFont="1" applyFill="1" applyBorder="1" applyAlignment="1" applyProtection="1">
      <alignment horizontal="center" vertical="center"/>
      <protection hidden="1"/>
    </xf>
    <xf numFmtId="0" fontId="9" fillId="6" borderId="23" xfId="0" applyFont="1" applyFill="1" applyBorder="1" applyAlignment="1" applyProtection="1">
      <alignment horizontal="center" vertical="center"/>
      <protection hidden="1"/>
    </xf>
    <xf numFmtId="49" fontId="9" fillId="5" borderId="3" xfId="3" applyNumberFormat="1" applyFont="1" applyBorder="1" applyAlignment="1" applyProtection="1">
      <alignment horizontal="center" vertical="center"/>
      <protection locked="0"/>
    </xf>
    <xf numFmtId="49" fontId="9" fillId="5" borderId="6" xfId="3" applyNumberFormat="1" applyFont="1" applyBorder="1" applyAlignment="1" applyProtection="1">
      <alignment horizontal="center" vertical="center"/>
      <protection locked="0"/>
    </xf>
    <xf numFmtId="49" fontId="9" fillId="5" borderId="2" xfId="3" applyNumberFormat="1" applyFont="1" applyBorder="1" applyAlignment="1" applyProtection="1">
      <alignment horizontal="center" vertical="center"/>
      <protection locked="0"/>
    </xf>
    <xf numFmtId="4" fontId="9" fillId="5" borderId="3" xfId="3" applyNumberFormat="1" applyFont="1" applyBorder="1" applyProtection="1">
      <alignment horizontal="center" vertical="center"/>
      <protection locked="0"/>
    </xf>
    <xf numFmtId="4" fontId="9" fillId="5" borderId="2" xfId="3" applyNumberFormat="1" applyFont="1" applyBorder="1" applyProtection="1">
      <alignment horizontal="center" vertical="center"/>
      <protection locked="0"/>
    </xf>
    <xf numFmtId="0" fontId="9" fillId="298" borderId="123" xfId="3" applyFont="1" applyFill="1" applyBorder="1" applyAlignment="1" applyProtection="1">
      <alignment horizontal="center" vertical="center"/>
      <protection hidden="1"/>
    </xf>
    <xf numFmtId="0" fontId="9" fillId="298" borderId="45" xfId="3" applyFont="1" applyFill="1" applyBorder="1" applyAlignment="1" applyProtection="1">
      <alignment horizontal="center" vertical="center"/>
      <protection hidden="1"/>
    </xf>
    <xf numFmtId="0" fontId="9" fillId="298" borderId="124" xfId="3" applyFont="1" applyFill="1" applyBorder="1" applyAlignment="1" applyProtection="1">
      <alignment horizontal="center" vertical="center"/>
      <protection hidden="1"/>
    </xf>
    <xf numFmtId="0" fontId="14" fillId="268" borderId="0" xfId="0" applyNumberFormat="1" applyFont="1" applyFill="1" applyBorder="1" applyAlignment="1" applyProtection="1">
      <alignment horizontal="center" vertical="top"/>
      <protection hidden="1"/>
    </xf>
    <xf numFmtId="0" fontId="14" fillId="268" borderId="23" xfId="0" applyNumberFormat="1" applyFont="1" applyFill="1" applyBorder="1" applyAlignment="1" applyProtection="1">
      <alignment horizontal="center" vertical="top"/>
      <protection hidden="1"/>
    </xf>
    <xf numFmtId="0" fontId="13" fillId="41" borderId="52" xfId="0" applyFont="1" applyFill="1" applyBorder="1" applyAlignment="1" applyProtection="1">
      <alignment horizontal="center" vertical="center" wrapText="1"/>
      <protection hidden="1"/>
    </xf>
    <xf numFmtId="0" fontId="13" fillId="72" borderId="47" xfId="0" applyFont="1" applyFill="1" applyBorder="1" applyAlignment="1" applyProtection="1">
      <alignment horizontal="center"/>
      <protection hidden="1"/>
    </xf>
    <xf numFmtId="0" fontId="13" fillId="72" borderId="0" xfId="0" applyFont="1" applyFill="1" applyBorder="1" applyAlignment="1" applyProtection="1">
      <alignment horizontal="center"/>
      <protection hidden="1"/>
    </xf>
    <xf numFmtId="0" fontId="9" fillId="70" borderId="0" xfId="0" applyFont="1" applyFill="1" applyBorder="1" applyAlignment="1" applyProtection="1">
      <alignment horizontal="left" vertical="top" wrapText="1"/>
      <protection hidden="1"/>
    </xf>
    <xf numFmtId="0" fontId="132" fillId="139" borderId="36" xfId="0" applyFont="1" applyFill="1" applyBorder="1" applyAlignment="1" applyProtection="1">
      <alignment horizontal="left" vertical="center"/>
      <protection hidden="1"/>
    </xf>
    <xf numFmtId="0" fontId="132" fillId="139" borderId="37" xfId="0" applyFont="1" applyFill="1" applyBorder="1" applyAlignment="1" applyProtection="1">
      <alignment horizontal="left" vertical="center"/>
      <protection hidden="1"/>
    </xf>
    <xf numFmtId="0" fontId="132" fillId="139" borderId="23" xfId="0" applyFont="1" applyFill="1" applyBorder="1" applyAlignment="1" applyProtection="1">
      <alignment horizontal="left" vertical="center"/>
      <protection hidden="1"/>
    </xf>
    <xf numFmtId="0" fontId="132" fillId="139" borderId="39" xfId="0" applyFont="1" applyFill="1" applyBorder="1" applyAlignment="1" applyProtection="1">
      <alignment horizontal="left" vertical="center"/>
      <protection hidden="1"/>
    </xf>
    <xf numFmtId="0" fontId="137" fillId="141" borderId="35" xfId="0" applyFont="1" applyFill="1" applyBorder="1" applyAlignment="1" applyProtection="1">
      <alignment horizontal="center" vertical="center" wrapText="1"/>
      <protection hidden="1"/>
    </xf>
    <xf numFmtId="0" fontId="137" fillId="141" borderId="36" xfId="0" applyFont="1" applyFill="1" applyBorder="1" applyAlignment="1" applyProtection="1">
      <alignment horizontal="center" vertical="center" wrapText="1"/>
      <protection hidden="1"/>
    </xf>
    <xf numFmtId="0" fontId="137" fillId="141" borderId="37" xfId="0" applyFont="1" applyFill="1" applyBorder="1" applyAlignment="1" applyProtection="1">
      <alignment horizontal="center" vertical="center" wrapText="1"/>
      <protection hidden="1"/>
    </xf>
    <xf numFmtId="0" fontId="137" fillId="141" borderId="38" xfId="0" applyFont="1" applyFill="1" applyBorder="1" applyAlignment="1" applyProtection="1">
      <alignment horizontal="center" vertical="center" wrapText="1"/>
      <protection hidden="1"/>
    </xf>
    <xf numFmtId="0" fontId="137" fillId="141" borderId="23" xfId="0" applyFont="1" applyFill="1" applyBorder="1" applyAlignment="1" applyProtection="1">
      <alignment horizontal="center" vertical="center" wrapText="1"/>
      <protection hidden="1"/>
    </xf>
    <xf numFmtId="0" fontId="137" fillId="141" borderId="39" xfId="0" applyFont="1" applyFill="1" applyBorder="1" applyAlignment="1" applyProtection="1">
      <alignment horizontal="center" vertical="center" wrapText="1"/>
      <protection hidden="1"/>
    </xf>
    <xf numFmtId="0" fontId="61" fillId="141" borderId="35" xfId="0" applyFont="1" applyFill="1" applyBorder="1" applyAlignment="1" applyProtection="1">
      <alignment horizontal="center" vertical="center"/>
      <protection hidden="1"/>
    </xf>
    <xf numFmtId="0" fontId="61" fillId="141" borderId="36" xfId="0" applyFont="1" applyFill="1" applyBorder="1" applyAlignment="1" applyProtection="1">
      <alignment horizontal="center" vertical="center"/>
      <protection hidden="1"/>
    </xf>
    <xf numFmtId="0" fontId="61" fillId="141" borderId="37" xfId="0" applyFont="1" applyFill="1" applyBorder="1" applyAlignment="1" applyProtection="1">
      <alignment horizontal="center" vertical="center"/>
      <protection hidden="1"/>
    </xf>
    <xf numFmtId="0" fontId="61" fillId="141" borderId="38" xfId="0" applyFont="1" applyFill="1" applyBorder="1" applyAlignment="1" applyProtection="1">
      <alignment horizontal="center" vertical="center"/>
      <protection hidden="1"/>
    </xf>
    <xf numFmtId="0" fontId="61" fillId="141" borderId="23" xfId="0" applyFont="1" applyFill="1" applyBorder="1" applyAlignment="1" applyProtection="1">
      <alignment horizontal="center" vertical="center"/>
      <protection hidden="1"/>
    </xf>
    <xf numFmtId="0" fontId="61" fillId="141" borderId="39" xfId="0" applyFont="1" applyFill="1" applyBorder="1" applyAlignment="1" applyProtection="1">
      <alignment horizontal="center" vertical="center"/>
      <protection hidden="1"/>
    </xf>
    <xf numFmtId="0" fontId="9" fillId="6" borderId="36" xfId="0" applyFont="1" applyFill="1" applyBorder="1" applyAlignment="1" applyProtection="1">
      <alignment horizontal="left" vertical="center"/>
      <protection hidden="1"/>
    </xf>
    <xf numFmtId="0" fontId="9" fillId="6" borderId="23" xfId="0" applyFont="1" applyFill="1" applyBorder="1" applyAlignment="1" applyProtection="1">
      <alignment horizontal="left" vertical="center"/>
      <protection hidden="1"/>
    </xf>
    <xf numFmtId="0" fontId="61" fillId="138" borderId="35" xfId="0" applyFont="1" applyFill="1" applyBorder="1" applyAlignment="1" applyProtection="1">
      <alignment horizontal="center" vertical="center"/>
      <protection hidden="1"/>
    </xf>
    <xf numFmtId="0" fontId="61" fillId="138" borderId="36" xfId="0" applyFont="1" applyFill="1" applyBorder="1" applyAlignment="1" applyProtection="1">
      <alignment horizontal="center" vertical="center"/>
      <protection hidden="1"/>
    </xf>
    <xf numFmtId="0" fontId="61" fillId="138" borderId="37" xfId="0" applyFont="1" applyFill="1" applyBorder="1" applyAlignment="1" applyProtection="1">
      <alignment horizontal="center" vertical="center"/>
      <protection hidden="1"/>
    </xf>
    <xf numFmtId="0" fontId="61" fillId="138" borderId="38" xfId="0" applyFont="1" applyFill="1" applyBorder="1" applyAlignment="1" applyProtection="1">
      <alignment horizontal="center" vertical="center"/>
      <protection hidden="1"/>
    </xf>
    <xf numFmtId="0" fontId="61" fillId="138" borderId="23" xfId="0" applyFont="1" applyFill="1" applyBorder="1" applyAlignment="1" applyProtection="1">
      <alignment horizontal="center" vertical="center"/>
      <protection hidden="1"/>
    </xf>
    <xf numFmtId="0" fontId="61" fillId="138" borderId="39" xfId="0" applyFont="1" applyFill="1" applyBorder="1" applyAlignment="1" applyProtection="1">
      <alignment horizontal="center" vertical="center"/>
      <protection hidden="1"/>
    </xf>
    <xf numFmtId="0" fontId="14" fillId="139" borderId="36" xfId="0" applyFont="1" applyFill="1" applyBorder="1" applyAlignment="1" applyProtection="1">
      <alignment horizontal="left" vertical="center"/>
      <protection hidden="1"/>
    </xf>
    <xf numFmtId="0" fontId="14" fillId="139" borderId="37" xfId="0" applyFont="1" applyFill="1" applyBorder="1" applyAlignment="1" applyProtection="1">
      <alignment horizontal="left" vertical="center"/>
      <protection hidden="1"/>
    </xf>
    <xf numFmtId="0" fontId="14" fillId="139" borderId="23" xfId="0" applyFont="1" applyFill="1" applyBorder="1" applyAlignment="1" applyProtection="1">
      <alignment horizontal="left" vertical="center"/>
      <protection hidden="1"/>
    </xf>
    <xf numFmtId="0" fontId="14" fillId="139" borderId="39" xfId="0" applyFont="1" applyFill="1" applyBorder="1" applyAlignment="1" applyProtection="1">
      <alignment horizontal="left" vertical="center"/>
      <protection hidden="1"/>
    </xf>
    <xf numFmtId="2" fontId="9" fillId="70" borderId="0" xfId="4" applyFont="1" applyFill="1" applyBorder="1" applyAlignment="1" applyProtection="1">
      <alignment horizontal="left" vertical="top" wrapText="1"/>
      <protection hidden="1"/>
    </xf>
    <xf numFmtId="0" fontId="212" fillId="72" borderId="0" xfId="0" applyFont="1" applyFill="1" applyAlignment="1">
      <alignment horizontal="right" vertical="center"/>
    </xf>
    <xf numFmtId="0" fontId="13" fillId="73" borderId="47" xfId="0" applyFont="1" applyFill="1" applyBorder="1" applyAlignment="1" applyProtection="1">
      <alignment horizontal="center"/>
      <protection hidden="1"/>
    </xf>
    <xf numFmtId="0" fontId="13" fillId="73" borderId="0" xfId="0" applyFont="1" applyFill="1" applyBorder="1" applyAlignment="1" applyProtection="1">
      <alignment horizontal="center"/>
      <protection hidden="1"/>
    </xf>
    <xf numFmtId="0" fontId="59" fillId="73" borderId="0" xfId="0" applyFont="1" applyFill="1" applyAlignment="1">
      <alignment horizontal="right" vertical="center"/>
    </xf>
    <xf numFmtId="165" fontId="9" fillId="5" borderId="3" xfId="3" applyNumberFormat="1" applyFont="1" applyBorder="1" applyProtection="1">
      <alignment horizontal="center" vertical="center"/>
      <protection locked="0"/>
    </xf>
    <xf numFmtId="165" fontId="9" fillId="5" borderId="6" xfId="3" applyNumberFormat="1" applyFont="1" applyBorder="1" applyProtection="1">
      <alignment horizontal="center" vertical="center"/>
      <protection locked="0"/>
    </xf>
    <xf numFmtId="165" fontId="9" fillId="5" borderId="2" xfId="3" applyNumberFormat="1" applyFont="1" applyBorder="1" applyProtection="1">
      <alignment horizontal="center" vertical="center"/>
      <protection locked="0"/>
    </xf>
    <xf numFmtId="165" fontId="65" fillId="15" borderId="6" xfId="0" applyNumberFormat="1" applyFont="1" applyFill="1" applyBorder="1" applyAlignment="1" applyProtection="1">
      <alignment horizontal="center" vertical="center"/>
      <protection hidden="1"/>
    </xf>
    <xf numFmtId="44" fontId="98" fillId="0" borderId="53" xfId="11" applyFont="1" applyFill="1" applyBorder="1" applyAlignment="1" applyProtection="1">
      <alignment horizontal="center" vertical="center"/>
      <protection hidden="1"/>
    </xf>
    <xf numFmtId="44" fontId="98" fillId="0" borderId="54" xfId="11" applyFont="1" applyFill="1" applyBorder="1" applyAlignment="1" applyProtection="1">
      <alignment horizontal="center" vertical="center"/>
      <protection hidden="1"/>
    </xf>
    <xf numFmtId="165" fontId="14" fillId="9" borderId="8" xfId="7" applyFont="1" applyBorder="1" applyAlignment="1" applyProtection="1">
      <alignment horizontal="center" vertical="center"/>
      <protection hidden="1"/>
    </xf>
    <xf numFmtId="165" fontId="14" fillId="9" borderId="9" xfId="7" applyFont="1" applyBorder="1" applyAlignment="1" applyProtection="1">
      <alignment horizontal="center" vertical="center"/>
      <protection hidden="1"/>
    </xf>
    <xf numFmtId="0" fontId="98" fillId="0" borderId="53" xfId="0" applyFont="1" applyFill="1" applyBorder="1" applyAlignment="1" applyProtection="1">
      <alignment horizontal="center" vertical="center"/>
      <protection hidden="1"/>
    </xf>
    <xf numFmtId="0" fontId="98" fillId="0" borderId="54" xfId="0" applyFont="1" applyFill="1" applyBorder="1" applyAlignment="1" applyProtection="1">
      <alignment horizontal="center" vertical="center"/>
      <protection hidden="1"/>
    </xf>
    <xf numFmtId="165" fontId="14" fillId="9" borderId="8" xfId="7" applyFont="1" applyFill="1" applyBorder="1" applyAlignment="1" applyProtection="1">
      <alignment horizontal="center" vertical="center"/>
      <protection hidden="1"/>
    </xf>
    <xf numFmtId="165" fontId="14" fillId="9" borderId="9" xfId="7" applyFont="1" applyFill="1" applyBorder="1" applyAlignment="1" applyProtection="1">
      <alignment horizontal="center" vertical="center"/>
      <protection hidden="1"/>
    </xf>
    <xf numFmtId="165" fontId="31" fillId="30" borderId="3" xfId="0" applyNumberFormat="1" applyFont="1" applyFill="1" applyBorder="1" applyAlignment="1" applyProtection="1">
      <alignment horizontal="center" vertical="center"/>
      <protection hidden="1"/>
    </xf>
    <xf numFmtId="165" fontId="31" fillId="30" borderId="6" xfId="0" applyNumberFormat="1" applyFont="1" applyFill="1" applyBorder="1" applyAlignment="1" applyProtection="1">
      <alignment horizontal="center" vertical="center"/>
      <protection hidden="1"/>
    </xf>
    <xf numFmtId="165" fontId="31" fillId="30" borderId="2" xfId="0" applyNumberFormat="1" applyFont="1" applyFill="1" applyBorder="1" applyAlignment="1" applyProtection="1">
      <alignment horizontal="center" vertical="center"/>
      <protection hidden="1"/>
    </xf>
    <xf numFmtId="0" fontId="67" fillId="5" borderId="3" xfId="0" applyFont="1" applyFill="1" applyBorder="1" applyAlignment="1" applyProtection="1">
      <alignment horizontal="center" vertical="center" wrapText="1"/>
      <protection hidden="1"/>
    </xf>
    <xf numFmtId="0" fontId="67" fillId="5" borderId="2" xfId="0" applyFont="1" applyFill="1" applyBorder="1" applyAlignment="1" applyProtection="1">
      <alignment horizontal="center" vertical="center" wrapText="1"/>
      <protection hidden="1"/>
    </xf>
    <xf numFmtId="164" fontId="32" fillId="31" borderId="0" xfId="0" applyNumberFormat="1" applyFont="1" applyFill="1" applyBorder="1" applyAlignment="1" applyProtection="1">
      <alignment horizontal="left" vertical="center" wrapText="1"/>
      <protection hidden="1"/>
    </xf>
    <xf numFmtId="164" fontId="51" fillId="31" borderId="0" xfId="0" applyNumberFormat="1" applyFont="1" applyFill="1" applyBorder="1" applyAlignment="1" applyProtection="1">
      <alignment horizontal="center" vertical="center" wrapText="1"/>
      <protection hidden="1"/>
    </xf>
    <xf numFmtId="0" fontId="13" fillId="123" borderId="52" xfId="0" applyFont="1" applyFill="1" applyBorder="1" applyAlignment="1" applyProtection="1">
      <alignment horizontal="center" vertical="top"/>
      <protection hidden="1"/>
    </xf>
    <xf numFmtId="164" fontId="14" fillId="31" borderId="0" xfId="0" applyNumberFormat="1" applyFont="1" applyFill="1" applyBorder="1" applyAlignment="1" applyProtection="1">
      <alignment horizontal="center" vertical="center"/>
      <protection hidden="1"/>
    </xf>
    <xf numFmtId="165" fontId="28" fillId="0" borderId="10" xfId="0" applyNumberFormat="1" applyFont="1" applyBorder="1" applyAlignment="1" applyProtection="1">
      <alignment horizontal="center" vertical="center"/>
      <protection hidden="1"/>
    </xf>
    <xf numFmtId="165" fontId="28" fillId="0" borderId="11" xfId="0" applyNumberFormat="1" applyFont="1" applyBorder="1" applyAlignment="1" applyProtection="1">
      <alignment horizontal="center" vertical="center"/>
      <protection hidden="1"/>
    </xf>
    <xf numFmtId="165" fontId="65" fillId="30" borderId="3" xfId="0" applyNumberFormat="1" applyFont="1" applyFill="1" applyBorder="1" applyAlignment="1" applyProtection="1">
      <alignment horizontal="center" vertical="center"/>
      <protection hidden="1"/>
    </xf>
    <xf numFmtId="165" fontId="65" fillId="30" borderId="6" xfId="0" applyNumberFormat="1" applyFont="1" applyFill="1" applyBorder="1" applyAlignment="1" applyProtection="1">
      <alignment horizontal="center" vertical="center"/>
      <protection hidden="1"/>
    </xf>
    <xf numFmtId="165" fontId="65" fillId="30" borderId="2" xfId="0" applyNumberFormat="1" applyFont="1" applyFill="1" applyBorder="1" applyAlignment="1" applyProtection="1">
      <alignment horizontal="center" vertical="center"/>
      <protection hidden="1"/>
    </xf>
    <xf numFmtId="0" fontId="79" fillId="100" borderId="36" xfId="0" applyFont="1" applyFill="1" applyBorder="1" applyAlignment="1" applyProtection="1">
      <alignment horizontal="center" vertical="center"/>
      <protection hidden="1"/>
    </xf>
    <xf numFmtId="0" fontId="79" fillId="100" borderId="23" xfId="0" applyFont="1" applyFill="1" applyBorder="1" applyAlignment="1" applyProtection="1">
      <alignment horizontal="center" vertical="center"/>
      <protection hidden="1"/>
    </xf>
    <xf numFmtId="165" fontId="25" fillId="30" borderId="0" xfId="0" applyNumberFormat="1" applyFont="1" applyFill="1" applyAlignment="1" applyProtection="1">
      <alignment horizontal="center" vertical="center"/>
      <protection hidden="1"/>
    </xf>
    <xf numFmtId="0" fontId="24" fillId="11" borderId="0" xfId="0" applyFont="1" applyFill="1" applyBorder="1" applyAlignment="1" applyProtection="1">
      <alignment horizontal="left" vertical="center"/>
      <protection hidden="1"/>
    </xf>
    <xf numFmtId="0" fontId="24" fillId="9" borderId="151" xfId="0" applyFont="1" applyFill="1" applyBorder="1" applyAlignment="1" applyProtection="1">
      <alignment horizontal="center" vertical="center"/>
      <protection hidden="1"/>
    </xf>
    <xf numFmtId="0" fontId="24" fillId="9" borderId="152" xfId="0" applyFont="1" applyFill="1" applyBorder="1" applyAlignment="1" applyProtection="1">
      <alignment horizontal="center" vertical="center"/>
      <protection hidden="1"/>
    </xf>
    <xf numFmtId="0" fontId="24" fillId="9" borderId="153" xfId="0" applyFont="1" applyFill="1" applyBorder="1" applyAlignment="1" applyProtection="1">
      <alignment horizontal="center" vertical="center"/>
      <protection hidden="1"/>
    </xf>
    <xf numFmtId="165" fontId="65" fillId="12" borderId="6" xfId="0" applyNumberFormat="1" applyFont="1" applyFill="1" applyBorder="1" applyAlignment="1" applyProtection="1">
      <alignment horizontal="center" vertical="center"/>
      <protection hidden="1"/>
    </xf>
    <xf numFmtId="0" fontId="9" fillId="34" borderId="3" xfId="0" applyFont="1" applyFill="1" applyBorder="1" applyAlignment="1" applyProtection="1">
      <alignment horizontal="center" vertical="center"/>
      <protection hidden="1"/>
    </xf>
    <xf numFmtId="0" fontId="9" fillId="34" borderId="6" xfId="0" applyFont="1" applyFill="1" applyBorder="1" applyAlignment="1" applyProtection="1">
      <alignment horizontal="center" vertical="center"/>
      <protection hidden="1"/>
    </xf>
    <xf numFmtId="0" fontId="9" fillId="34" borderId="2" xfId="0" applyFont="1" applyFill="1" applyBorder="1" applyAlignment="1" applyProtection="1">
      <alignment horizontal="center" vertical="center"/>
      <protection hidden="1"/>
    </xf>
    <xf numFmtId="165" fontId="65" fillId="28" borderId="6" xfId="0" applyNumberFormat="1" applyFont="1" applyFill="1" applyBorder="1" applyAlignment="1" applyProtection="1">
      <alignment horizontal="center" vertical="center"/>
      <protection hidden="1"/>
    </xf>
    <xf numFmtId="0" fontId="13" fillId="21" borderId="52" xfId="0" applyFont="1" applyFill="1" applyBorder="1" applyAlignment="1" applyProtection="1">
      <alignment horizontal="center" vertical="top" wrapText="1"/>
      <protection hidden="1"/>
    </xf>
    <xf numFmtId="0" fontId="37" fillId="9" borderId="0" xfId="0" applyFont="1" applyFill="1" applyBorder="1" applyAlignment="1" applyProtection="1">
      <alignment horizontal="left" vertical="center" wrapText="1"/>
      <protection hidden="1"/>
    </xf>
    <xf numFmtId="165" fontId="14" fillId="9" borderId="1" xfId="7" applyFont="1" applyBorder="1" applyAlignment="1" applyProtection="1">
      <alignment horizontal="center" vertical="center"/>
      <protection hidden="1"/>
    </xf>
    <xf numFmtId="0" fontId="9" fillId="21" borderId="0" xfId="0" applyFont="1" applyFill="1" applyBorder="1" applyAlignment="1" applyProtection="1">
      <alignment horizontal="left" vertical="center" wrapText="1"/>
      <protection hidden="1"/>
    </xf>
    <xf numFmtId="0" fontId="13" fillId="31" borderId="52" xfId="0" applyFont="1" applyFill="1" applyBorder="1" applyAlignment="1" applyProtection="1">
      <alignment horizontal="center" vertical="top" wrapText="1"/>
      <protection hidden="1"/>
    </xf>
    <xf numFmtId="164" fontId="14" fillId="31" borderId="0" xfId="0" applyNumberFormat="1" applyFont="1" applyFill="1" applyBorder="1" applyAlignment="1" applyProtection="1">
      <alignment horizontal="left" vertical="center" wrapText="1"/>
      <protection hidden="1"/>
    </xf>
    <xf numFmtId="164" fontId="32" fillId="31" borderId="0" xfId="0" applyNumberFormat="1" applyFont="1" applyFill="1" applyBorder="1" applyAlignment="1" applyProtection="1">
      <alignment horizontal="center" vertical="center" wrapText="1"/>
      <protection hidden="1"/>
    </xf>
    <xf numFmtId="165" fontId="25" fillId="30" borderId="6" xfId="0" applyNumberFormat="1" applyFont="1" applyFill="1" applyBorder="1" applyAlignment="1" applyProtection="1">
      <alignment horizontal="center" vertical="center"/>
      <protection hidden="1"/>
    </xf>
    <xf numFmtId="165" fontId="25" fillId="30" borderId="3" xfId="0" applyNumberFormat="1" applyFont="1" applyFill="1" applyBorder="1" applyAlignment="1" applyProtection="1">
      <alignment horizontal="center" vertical="center"/>
      <protection hidden="1"/>
    </xf>
    <xf numFmtId="165" fontId="25" fillId="30" borderId="2" xfId="0" applyNumberFormat="1" applyFont="1" applyFill="1" applyBorder="1" applyAlignment="1" applyProtection="1">
      <alignment horizontal="center" vertical="center"/>
      <protection hidden="1"/>
    </xf>
    <xf numFmtId="0" fontId="79" fillId="22" borderId="36" xfId="0" applyFont="1" applyFill="1" applyBorder="1" applyAlignment="1" applyProtection="1">
      <alignment horizontal="center" vertical="center"/>
      <protection hidden="1"/>
    </xf>
    <xf numFmtId="0" fontId="79" fillId="22" borderId="23" xfId="0" applyFont="1" applyFill="1" applyBorder="1" applyAlignment="1" applyProtection="1">
      <alignment horizontal="center" vertical="center"/>
      <protection hidden="1"/>
    </xf>
    <xf numFmtId="0" fontId="24" fillId="21" borderId="0" xfId="0" applyFont="1" applyFill="1" applyBorder="1" applyAlignment="1" applyProtection="1">
      <alignment horizontal="left" vertical="center"/>
      <protection hidden="1"/>
    </xf>
    <xf numFmtId="0" fontId="65" fillId="18" borderId="6" xfId="0"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center" wrapText="1"/>
      <protection hidden="1"/>
    </xf>
    <xf numFmtId="0" fontId="79" fillId="18" borderId="36" xfId="0" applyFont="1" applyFill="1" applyBorder="1" applyAlignment="1" applyProtection="1">
      <alignment horizontal="center" vertical="center"/>
      <protection hidden="1"/>
    </xf>
    <xf numFmtId="0" fontId="79" fillId="18" borderId="23" xfId="0" applyFont="1" applyFill="1" applyBorder="1" applyAlignment="1" applyProtection="1">
      <alignment horizontal="center" vertical="center"/>
      <protection hidden="1"/>
    </xf>
    <xf numFmtId="0" fontId="179" fillId="5" borderId="0" xfId="0" applyFont="1" applyFill="1" applyBorder="1" applyAlignment="1" applyProtection="1">
      <alignment horizontal="center" vertical="center" wrapText="1"/>
      <protection hidden="1"/>
    </xf>
    <xf numFmtId="0" fontId="180" fillId="170" borderId="0" xfId="6" applyFont="1" applyFill="1" applyBorder="1" applyAlignment="1">
      <alignment horizontal="center" vertical="center" wrapText="1"/>
    </xf>
    <xf numFmtId="0" fontId="13" fillId="17" borderId="52" xfId="0" applyFont="1" applyFill="1" applyBorder="1" applyAlignment="1" applyProtection="1">
      <alignment horizontal="center" vertical="top" wrapText="1"/>
      <protection hidden="1"/>
    </xf>
    <xf numFmtId="0" fontId="183" fillId="5" borderId="35" xfId="6" applyFont="1" applyFill="1" applyBorder="1" applyAlignment="1" applyProtection="1">
      <alignment horizontal="center" vertical="center" wrapText="1"/>
      <protection hidden="1"/>
    </xf>
    <xf numFmtId="0" fontId="183" fillId="5" borderId="37" xfId="6" applyFont="1" applyFill="1" applyBorder="1" applyAlignment="1" applyProtection="1">
      <alignment horizontal="center" vertical="center" wrapText="1"/>
      <protection hidden="1"/>
    </xf>
    <xf numFmtId="0" fontId="183" fillId="5" borderId="38" xfId="6" applyFont="1" applyFill="1" applyBorder="1" applyAlignment="1" applyProtection="1">
      <alignment horizontal="center" vertical="center" wrapText="1"/>
      <protection hidden="1"/>
    </xf>
    <xf numFmtId="0" fontId="183" fillId="5" borderId="39" xfId="6" applyFont="1" applyFill="1" applyBorder="1" applyAlignment="1" applyProtection="1">
      <alignment horizontal="center" vertical="center" wrapText="1"/>
      <protection hidden="1"/>
    </xf>
    <xf numFmtId="0" fontId="39" fillId="158" borderId="35" xfId="6" applyFont="1" applyFill="1" applyBorder="1" applyAlignment="1" applyProtection="1">
      <alignment horizontal="left" vertical="center" wrapText="1"/>
      <protection hidden="1"/>
    </xf>
    <xf numFmtId="0" fontId="39" fillId="158" borderId="36" xfId="6" applyFont="1" applyFill="1" applyBorder="1" applyAlignment="1" applyProtection="1">
      <alignment horizontal="left" vertical="center" wrapText="1"/>
      <protection hidden="1"/>
    </xf>
    <xf numFmtId="0" fontId="39" fillId="158" borderId="37" xfId="6" applyFont="1" applyFill="1" applyBorder="1" applyAlignment="1" applyProtection="1">
      <alignment horizontal="left" vertical="center" wrapText="1"/>
      <protection hidden="1"/>
    </xf>
    <xf numFmtId="0" fontId="39" fillId="158" borderId="38" xfId="6" applyFont="1" applyFill="1" applyBorder="1" applyAlignment="1" applyProtection="1">
      <alignment horizontal="left" vertical="center" wrapText="1"/>
      <protection hidden="1"/>
    </xf>
    <xf numFmtId="0" fontId="39" fillId="158" borderId="23" xfId="6" applyFont="1" applyFill="1" applyBorder="1" applyAlignment="1" applyProtection="1">
      <alignment horizontal="left" vertical="center" wrapText="1"/>
      <protection hidden="1"/>
    </xf>
    <xf numFmtId="0" fontId="39" fillId="158" borderId="39" xfId="6" applyFont="1" applyFill="1" applyBorder="1" applyAlignment="1" applyProtection="1">
      <alignment horizontal="left" vertical="center" wrapText="1"/>
      <protection hidden="1"/>
    </xf>
    <xf numFmtId="0" fontId="37" fillId="109" borderId="0" xfId="0" applyFont="1" applyFill="1" applyBorder="1" applyAlignment="1" applyProtection="1">
      <alignment horizontal="center" vertical="center" wrapText="1"/>
      <protection hidden="1"/>
    </xf>
    <xf numFmtId="0" fontId="24" fillId="9" borderId="143" xfId="0" applyFont="1" applyFill="1" applyBorder="1" applyAlignment="1" applyProtection="1">
      <alignment horizontal="center" vertical="center"/>
      <protection hidden="1"/>
    </xf>
    <xf numFmtId="0" fontId="24" fillId="9" borderId="144" xfId="0" applyFont="1" applyFill="1" applyBorder="1" applyAlignment="1" applyProtection="1">
      <alignment horizontal="center" vertical="center"/>
      <protection hidden="1"/>
    </xf>
    <xf numFmtId="0" fontId="24" fillId="9" borderId="145" xfId="0" applyFont="1" applyFill="1" applyBorder="1" applyAlignment="1" applyProtection="1">
      <alignment horizontal="center" vertical="center"/>
      <protection hidden="1"/>
    </xf>
    <xf numFmtId="0" fontId="107" fillId="18" borderId="35" xfId="0" applyFont="1" applyFill="1" applyBorder="1" applyAlignment="1" applyProtection="1">
      <alignment horizontal="center" vertical="center"/>
      <protection hidden="1"/>
    </xf>
    <xf numFmtId="0" fontId="107" fillId="18" borderId="36" xfId="0" applyFont="1" applyFill="1" applyBorder="1" applyAlignment="1" applyProtection="1">
      <alignment horizontal="center" vertical="center"/>
      <protection hidden="1"/>
    </xf>
    <xf numFmtId="0" fontId="107" fillId="18" borderId="37" xfId="0" applyFont="1" applyFill="1" applyBorder="1" applyAlignment="1" applyProtection="1">
      <alignment horizontal="center" vertical="center"/>
      <protection hidden="1"/>
    </xf>
    <xf numFmtId="0" fontId="107" fillId="18" borderId="47" xfId="0" applyFont="1" applyFill="1" applyBorder="1" applyAlignment="1" applyProtection="1">
      <alignment horizontal="center" vertical="center"/>
      <protection hidden="1"/>
    </xf>
    <xf numFmtId="0" fontId="107" fillId="18" borderId="0" xfId="0" applyFont="1" applyFill="1" applyBorder="1" applyAlignment="1" applyProtection="1">
      <alignment horizontal="center" vertical="center"/>
      <protection hidden="1"/>
    </xf>
    <xf numFmtId="0" fontId="107" fillId="18" borderId="48" xfId="0" applyFont="1" applyFill="1" applyBorder="1" applyAlignment="1" applyProtection="1">
      <alignment horizontal="center" vertical="center"/>
      <protection hidden="1"/>
    </xf>
    <xf numFmtId="0" fontId="107" fillId="18" borderId="38" xfId="0" applyFont="1" applyFill="1" applyBorder="1" applyAlignment="1" applyProtection="1">
      <alignment horizontal="center" vertical="center"/>
      <protection hidden="1"/>
    </xf>
    <xf numFmtId="0" fontId="107" fillId="18" borderId="23" xfId="0" applyFont="1" applyFill="1" applyBorder="1" applyAlignment="1" applyProtection="1">
      <alignment horizontal="center" vertical="center"/>
      <protection hidden="1"/>
    </xf>
    <xf numFmtId="0" fontId="107" fillId="18" borderId="39" xfId="0" applyFont="1" applyFill="1" applyBorder="1" applyAlignment="1" applyProtection="1">
      <alignment horizontal="center" vertical="center"/>
      <protection hidden="1"/>
    </xf>
    <xf numFmtId="0" fontId="184" fillId="5" borderId="53" xfId="0" applyFont="1" applyFill="1" applyBorder="1" applyAlignment="1">
      <alignment horizontal="center" vertical="center"/>
    </xf>
    <xf numFmtId="0" fontId="184" fillId="5" borderId="61" xfId="0" applyFont="1" applyFill="1" applyBorder="1" applyAlignment="1">
      <alignment horizontal="center" vertical="center"/>
    </xf>
    <xf numFmtId="0" fontId="184" fillId="5" borderId="54" xfId="0" applyFont="1" applyFill="1" applyBorder="1" applyAlignment="1">
      <alignment horizontal="center" vertical="center"/>
    </xf>
    <xf numFmtId="164" fontId="199" fillId="31" borderId="0" xfId="0" applyNumberFormat="1" applyFont="1" applyFill="1" applyBorder="1" applyAlignment="1" applyProtection="1">
      <alignment horizontal="center" vertical="center" wrapText="1"/>
      <protection hidden="1"/>
    </xf>
    <xf numFmtId="164" fontId="9" fillId="5" borderId="8" xfId="3" applyNumberFormat="1" applyFont="1" applyBorder="1" applyAlignment="1" applyProtection="1">
      <alignment horizontal="center" vertical="center"/>
      <protection locked="0"/>
    </xf>
    <xf numFmtId="164" fontId="9" fillId="5" borderId="9" xfId="3" applyNumberFormat="1" applyFont="1" applyBorder="1" applyAlignment="1" applyProtection="1">
      <alignment horizontal="center" vertical="center"/>
      <protection locked="0"/>
    </xf>
    <xf numFmtId="164" fontId="36" fillId="0" borderId="53" xfId="0" applyNumberFormat="1" applyFont="1" applyFill="1" applyBorder="1" applyAlignment="1" applyProtection="1">
      <alignment horizontal="center" vertical="center"/>
      <protection hidden="1"/>
    </xf>
    <xf numFmtId="164" fontId="36" fillId="0" borderId="54" xfId="0" applyNumberFormat="1" applyFont="1" applyFill="1" applyBorder="1" applyAlignment="1" applyProtection="1">
      <alignment horizontal="center" vertical="center"/>
      <protection hidden="1"/>
    </xf>
    <xf numFmtId="165" fontId="65" fillId="130" borderId="6" xfId="0" applyNumberFormat="1" applyFont="1" applyFill="1" applyBorder="1" applyAlignment="1" applyProtection="1">
      <alignment horizontal="center" vertical="center"/>
      <protection hidden="1"/>
    </xf>
    <xf numFmtId="0" fontId="13" fillId="123" borderId="52" xfId="0" applyFont="1" applyFill="1" applyBorder="1" applyAlignment="1" applyProtection="1">
      <alignment horizontal="center" vertical="center"/>
      <protection hidden="1"/>
    </xf>
    <xf numFmtId="164" fontId="14" fillId="31" borderId="0" xfId="0" applyNumberFormat="1" applyFont="1" applyFill="1" applyBorder="1" applyAlignment="1" applyProtection="1">
      <alignment horizontal="left" vertical="center"/>
      <protection hidden="1"/>
    </xf>
    <xf numFmtId="0" fontId="9" fillId="128" borderId="0" xfId="0" applyFont="1" applyFill="1" applyBorder="1" applyAlignment="1" applyProtection="1">
      <alignment horizontal="left" vertical="center"/>
      <protection hidden="1"/>
    </xf>
    <xf numFmtId="0" fontId="79" fillId="32" borderId="35" xfId="0" applyFont="1" applyFill="1" applyBorder="1" applyAlignment="1" applyProtection="1">
      <alignment horizontal="center" vertical="center"/>
      <protection hidden="1"/>
    </xf>
    <xf numFmtId="0" fontId="79" fillId="32" borderId="36" xfId="0" applyFont="1" applyFill="1" applyBorder="1" applyAlignment="1" applyProtection="1">
      <alignment horizontal="center" vertical="center"/>
      <protection hidden="1"/>
    </xf>
    <xf numFmtId="0" fontId="79" fillId="32" borderId="37" xfId="0" applyFont="1" applyFill="1" applyBorder="1" applyAlignment="1" applyProtection="1">
      <alignment horizontal="center" vertical="center"/>
      <protection hidden="1"/>
    </xf>
    <xf numFmtId="0" fontId="79" fillId="32" borderId="38" xfId="0" applyFont="1" applyFill="1" applyBorder="1" applyAlignment="1" applyProtection="1">
      <alignment horizontal="center" vertical="center"/>
      <protection hidden="1"/>
    </xf>
    <xf numFmtId="0" fontId="79" fillId="32" borderId="23" xfId="0" applyFont="1" applyFill="1" applyBorder="1" applyAlignment="1" applyProtection="1">
      <alignment horizontal="center" vertical="center"/>
      <protection hidden="1"/>
    </xf>
    <xf numFmtId="0" fontId="79" fillId="32" borderId="39" xfId="0" applyFont="1" applyFill="1" applyBorder="1" applyAlignment="1" applyProtection="1">
      <alignment horizontal="center" vertical="center"/>
      <protection hidden="1"/>
    </xf>
    <xf numFmtId="0" fontId="13" fillId="16" borderId="52" xfId="0" applyFont="1" applyFill="1" applyBorder="1" applyAlignment="1" applyProtection="1">
      <alignment horizontal="center" vertical="top" wrapText="1"/>
      <protection hidden="1"/>
    </xf>
    <xf numFmtId="0" fontId="9" fillId="128" borderId="0" xfId="0" applyFont="1" applyFill="1" applyBorder="1" applyAlignment="1" applyProtection="1">
      <alignment horizontal="left" vertical="center" wrapText="1"/>
      <protection hidden="1"/>
    </xf>
    <xf numFmtId="164" fontId="35" fillId="0" borderId="53" xfId="0" applyNumberFormat="1" applyFont="1" applyFill="1" applyBorder="1" applyAlignment="1" applyProtection="1">
      <alignment horizontal="center" vertical="center"/>
      <protection hidden="1"/>
    </xf>
    <xf numFmtId="164" fontId="35" fillId="0" borderId="54" xfId="0" applyNumberFormat="1" applyFont="1" applyFill="1" applyBorder="1" applyAlignment="1" applyProtection="1">
      <alignment horizontal="center" vertical="center"/>
      <protection hidden="1"/>
    </xf>
    <xf numFmtId="165" fontId="12" fillId="9" borderId="8" xfId="7" applyFont="1" applyFill="1" applyBorder="1" applyAlignment="1" applyProtection="1">
      <alignment horizontal="center" vertical="center"/>
      <protection hidden="1"/>
    </xf>
    <xf numFmtId="165" fontId="12" fillId="9" borderId="9" xfId="7" applyFont="1" applyFill="1" applyBorder="1" applyAlignment="1" applyProtection="1">
      <alignment horizontal="center" vertical="center"/>
      <protection hidden="1"/>
    </xf>
    <xf numFmtId="0" fontId="12" fillId="98" borderId="0" xfId="0" quotePrefix="1" applyFont="1" applyFill="1" applyBorder="1" applyAlignment="1" applyProtection="1">
      <alignment horizontal="left" vertical="center"/>
      <protection hidden="1"/>
    </xf>
    <xf numFmtId="0" fontId="28" fillId="6" borderId="0" xfId="0" applyFont="1" applyFill="1" applyBorder="1" applyAlignment="1" applyProtection="1">
      <alignment horizontal="left" vertical="center" wrapText="1"/>
      <protection hidden="1"/>
    </xf>
    <xf numFmtId="0" fontId="28" fillId="6" borderId="48" xfId="0" applyFont="1" applyFill="1" applyBorder="1" applyAlignment="1" applyProtection="1">
      <alignment horizontal="left" vertical="center" wrapText="1"/>
      <protection hidden="1"/>
    </xf>
    <xf numFmtId="164" fontId="35" fillId="0" borderId="61" xfId="0" applyNumberFormat="1" applyFont="1" applyFill="1" applyBorder="1" applyAlignment="1" applyProtection="1">
      <alignment horizontal="center" vertical="center"/>
      <protection hidden="1"/>
    </xf>
    <xf numFmtId="165" fontId="12" fillId="5" borderId="8" xfId="7" applyFont="1" applyFill="1" applyBorder="1" applyAlignment="1" applyProtection="1">
      <alignment horizontal="center" vertical="center"/>
      <protection hidden="1"/>
    </xf>
    <xf numFmtId="165" fontId="12" fillId="5" borderId="9" xfId="7" applyFont="1" applyFill="1" applyBorder="1" applyAlignment="1" applyProtection="1">
      <alignment horizontal="center" vertical="center"/>
      <protection hidden="1"/>
    </xf>
    <xf numFmtId="0" fontId="28" fillId="98" borderId="0" xfId="0" applyFont="1" applyFill="1" applyBorder="1" applyAlignment="1" applyProtection="1">
      <alignment horizontal="left" vertical="center" wrapText="1"/>
      <protection hidden="1"/>
    </xf>
    <xf numFmtId="0" fontId="28" fillId="98" borderId="48" xfId="0" applyFont="1" applyFill="1" applyBorder="1" applyAlignment="1" applyProtection="1">
      <alignment horizontal="left" vertical="center" wrapText="1"/>
      <protection hidden="1"/>
    </xf>
    <xf numFmtId="165" fontId="12" fillId="5" borderId="52" xfId="7" applyFont="1" applyFill="1" applyBorder="1" applyAlignment="1" applyProtection="1">
      <alignment horizontal="center" vertical="center"/>
      <protection hidden="1"/>
    </xf>
    <xf numFmtId="0" fontId="36" fillId="0" borderId="53" xfId="0" applyFont="1" applyFill="1" applyBorder="1" applyAlignment="1" applyProtection="1">
      <alignment horizontal="center" vertical="center"/>
      <protection hidden="1"/>
    </xf>
    <xf numFmtId="0" fontId="36" fillId="0" borderId="54" xfId="0" applyFont="1" applyFill="1" applyBorder="1" applyAlignment="1" applyProtection="1">
      <alignment horizontal="center" vertical="center"/>
      <protection hidden="1"/>
    </xf>
    <xf numFmtId="0" fontId="39" fillId="77" borderId="6" xfId="0" applyFont="1" applyFill="1" applyBorder="1" applyAlignment="1" applyProtection="1">
      <alignment horizontal="center" vertical="center"/>
      <protection hidden="1"/>
    </xf>
    <xf numFmtId="165" fontId="28" fillId="9" borderId="1" xfId="7" applyFont="1" applyBorder="1" applyProtection="1">
      <alignment horizontal="center" vertical="center"/>
      <protection hidden="1"/>
    </xf>
    <xf numFmtId="0" fontId="13" fillId="15" borderId="35" xfId="0" applyFont="1" applyFill="1" applyBorder="1" applyAlignment="1" applyProtection="1">
      <alignment horizontal="center" vertical="center" wrapText="1"/>
      <protection hidden="1"/>
    </xf>
    <xf numFmtId="0" fontId="13" fillId="15" borderId="36" xfId="0" applyFont="1" applyFill="1" applyBorder="1" applyAlignment="1" applyProtection="1">
      <alignment horizontal="center" vertical="center" wrapText="1"/>
      <protection hidden="1"/>
    </xf>
    <xf numFmtId="0" fontId="13" fillId="15" borderId="37" xfId="0" applyFont="1" applyFill="1" applyBorder="1" applyAlignment="1" applyProtection="1">
      <alignment horizontal="center" vertical="center" wrapText="1"/>
      <protection hidden="1"/>
    </xf>
    <xf numFmtId="0" fontId="13" fillId="15" borderId="47" xfId="0" applyFont="1" applyFill="1" applyBorder="1" applyAlignment="1" applyProtection="1">
      <alignment horizontal="center" vertical="center" wrapText="1"/>
      <protection hidden="1"/>
    </xf>
    <xf numFmtId="0" fontId="13" fillId="15" borderId="0" xfId="0" applyFont="1" applyFill="1" applyBorder="1" applyAlignment="1" applyProtection="1">
      <alignment horizontal="center" vertical="center" wrapText="1"/>
      <protection hidden="1"/>
    </xf>
    <xf numFmtId="0" fontId="13" fillId="15" borderId="48" xfId="0" applyFont="1" applyFill="1" applyBorder="1" applyAlignment="1" applyProtection="1">
      <alignment horizontal="center" vertical="center" wrapText="1"/>
      <protection hidden="1"/>
    </xf>
    <xf numFmtId="0" fontId="13" fillId="15" borderId="38" xfId="0" applyFont="1" applyFill="1" applyBorder="1" applyAlignment="1" applyProtection="1">
      <alignment horizontal="center" vertical="center" wrapText="1"/>
      <protection hidden="1"/>
    </xf>
    <xf numFmtId="0" fontId="13" fillId="15" borderId="23" xfId="0" applyFont="1" applyFill="1" applyBorder="1" applyAlignment="1" applyProtection="1">
      <alignment horizontal="center" vertical="center" wrapText="1"/>
      <protection hidden="1"/>
    </xf>
    <xf numFmtId="0" fontId="13" fillId="15" borderId="39" xfId="0" applyFont="1" applyFill="1" applyBorder="1" applyAlignment="1" applyProtection="1">
      <alignment horizontal="center" vertical="center" wrapText="1"/>
      <protection hidden="1"/>
    </xf>
    <xf numFmtId="0" fontId="13" fillId="25" borderId="47" xfId="0" applyFont="1" applyFill="1" applyBorder="1" applyAlignment="1" applyProtection="1">
      <alignment horizontal="center" vertical="top" wrapText="1"/>
      <protection hidden="1"/>
    </xf>
    <xf numFmtId="0" fontId="13" fillId="25" borderId="0" xfId="0" applyFont="1" applyFill="1" applyBorder="1" applyAlignment="1" applyProtection="1">
      <alignment horizontal="center" vertical="top" wrapText="1"/>
      <protection hidden="1"/>
    </xf>
    <xf numFmtId="0" fontId="13" fillId="25" borderId="48" xfId="0" applyFont="1" applyFill="1" applyBorder="1" applyAlignment="1" applyProtection="1">
      <alignment horizontal="center" vertical="top" wrapText="1"/>
      <protection hidden="1"/>
    </xf>
    <xf numFmtId="0" fontId="13" fillId="93" borderId="47" xfId="0" applyFont="1" applyFill="1" applyBorder="1" applyAlignment="1" applyProtection="1">
      <alignment horizontal="center" vertical="top" wrapText="1"/>
      <protection hidden="1"/>
    </xf>
    <xf numFmtId="0" fontId="13" fillId="93" borderId="0" xfId="0" applyFont="1" applyFill="1" applyBorder="1" applyAlignment="1" applyProtection="1">
      <alignment horizontal="center" vertical="top" wrapText="1"/>
      <protection hidden="1"/>
    </xf>
    <xf numFmtId="0" fontId="13" fillId="93" borderId="48" xfId="0" applyFont="1" applyFill="1" applyBorder="1" applyAlignment="1" applyProtection="1">
      <alignment horizontal="center" vertical="top" wrapText="1"/>
      <protection hidden="1"/>
    </xf>
    <xf numFmtId="0" fontId="13" fillId="94" borderId="47" xfId="0" applyFont="1" applyFill="1" applyBorder="1" applyAlignment="1" applyProtection="1">
      <alignment horizontal="center" vertical="top" wrapText="1"/>
      <protection hidden="1"/>
    </xf>
    <xf numFmtId="0" fontId="13" fillId="94" borderId="0" xfId="0" applyFont="1" applyFill="1" applyBorder="1" applyAlignment="1" applyProtection="1">
      <alignment horizontal="center" vertical="top" wrapText="1"/>
      <protection hidden="1"/>
    </xf>
    <xf numFmtId="0" fontId="13" fillId="94" borderId="48" xfId="0" applyFont="1" applyFill="1" applyBorder="1" applyAlignment="1" applyProtection="1">
      <alignment horizontal="center" vertical="top" wrapText="1"/>
      <protection hidden="1"/>
    </xf>
    <xf numFmtId="165" fontId="12" fillId="5" borderId="8" xfId="0" applyNumberFormat="1" applyFont="1" applyFill="1" applyBorder="1" applyAlignment="1" applyProtection="1">
      <alignment horizontal="center" vertical="center"/>
      <protection hidden="1"/>
    </xf>
    <xf numFmtId="165" fontId="12" fillId="5" borderId="9" xfId="0" applyNumberFormat="1" applyFont="1" applyFill="1" applyBorder="1" applyAlignment="1" applyProtection="1">
      <alignment horizontal="center" vertical="center"/>
      <protection hidden="1"/>
    </xf>
    <xf numFmtId="0" fontId="87" fillId="87" borderId="6" xfId="0" applyFont="1" applyFill="1" applyBorder="1" applyAlignment="1" applyProtection="1">
      <alignment horizontal="left" vertical="center"/>
      <protection hidden="1"/>
    </xf>
    <xf numFmtId="0" fontId="60" fillId="5" borderId="3" xfId="7" applyNumberFormat="1" applyFont="1" applyFill="1" applyBorder="1" applyAlignment="1" applyProtection="1">
      <alignment horizontal="center" vertical="center"/>
      <protection hidden="1"/>
    </xf>
    <xf numFmtId="0" fontId="60" fillId="5" borderId="6" xfId="7" applyNumberFormat="1" applyFont="1" applyFill="1" applyBorder="1" applyAlignment="1" applyProtection="1">
      <alignment horizontal="center" vertical="center"/>
      <protection hidden="1"/>
    </xf>
    <xf numFmtId="0" fontId="60" fillId="5" borderId="2" xfId="7" applyNumberFormat="1" applyFont="1" applyFill="1" applyBorder="1" applyAlignment="1" applyProtection="1">
      <alignment horizontal="center" vertical="center"/>
      <protection hidden="1"/>
    </xf>
    <xf numFmtId="0" fontId="25" fillId="98" borderId="0" xfId="0" applyFont="1" applyFill="1" applyBorder="1" applyAlignment="1" applyProtection="1">
      <alignment horizontal="left" vertical="top"/>
      <protection hidden="1"/>
    </xf>
    <xf numFmtId="0" fontId="25" fillId="98" borderId="0" xfId="0" applyFont="1" applyFill="1" applyBorder="1" applyAlignment="1" applyProtection="1">
      <alignment horizontal="left" vertical="top" wrapText="1"/>
      <protection hidden="1"/>
    </xf>
    <xf numFmtId="0" fontId="32" fillId="31" borderId="0" xfId="0" applyFont="1" applyFill="1" applyBorder="1" applyAlignment="1" applyProtection="1">
      <alignment horizontal="left" vertical="top" wrapText="1"/>
      <protection hidden="1"/>
    </xf>
    <xf numFmtId="0" fontId="32" fillId="31" borderId="48" xfId="0" applyFont="1" applyFill="1" applyBorder="1" applyAlignment="1" applyProtection="1">
      <alignment horizontal="left" vertical="top" wrapText="1"/>
      <protection hidden="1"/>
    </xf>
    <xf numFmtId="0" fontId="39" fillId="96" borderId="8" xfId="0" applyFont="1" applyFill="1" applyBorder="1" applyAlignment="1" applyProtection="1">
      <alignment horizontal="center" vertical="center" textRotation="90"/>
      <protection hidden="1"/>
    </xf>
    <xf numFmtId="0" fontId="39" fillId="96" borderId="52" xfId="0" applyFont="1" applyFill="1" applyBorder="1" applyAlignment="1" applyProtection="1">
      <alignment horizontal="center" vertical="center" textRotation="90"/>
      <protection hidden="1"/>
    </xf>
    <xf numFmtId="0" fontId="39" fillId="96" borderId="9" xfId="0" applyFont="1" applyFill="1" applyBorder="1" applyAlignment="1" applyProtection="1">
      <alignment horizontal="center" vertical="center" textRotation="90"/>
      <protection hidden="1"/>
    </xf>
    <xf numFmtId="0" fontId="30" fillId="122" borderId="47" xfId="0" applyFont="1" applyFill="1" applyBorder="1" applyAlignment="1" applyProtection="1">
      <alignment horizontal="center" vertical="center" wrapText="1"/>
      <protection hidden="1"/>
    </xf>
    <xf numFmtId="0" fontId="30" fillId="122" borderId="0" xfId="0" applyFont="1" applyFill="1" applyBorder="1" applyAlignment="1" applyProtection="1">
      <alignment horizontal="center" vertical="center" wrapText="1"/>
      <protection hidden="1"/>
    </xf>
    <xf numFmtId="0" fontId="30" fillId="122" borderId="48" xfId="0" applyFont="1" applyFill="1" applyBorder="1" applyAlignment="1" applyProtection="1">
      <alignment horizontal="center" vertical="center" wrapText="1"/>
      <protection hidden="1"/>
    </xf>
    <xf numFmtId="0" fontId="13" fillId="92" borderId="47" xfId="0" applyFont="1" applyFill="1" applyBorder="1" applyAlignment="1" applyProtection="1">
      <alignment horizontal="center" vertical="top" wrapText="1"/>
      <protection hidden="1"/>
    </xf>
    <xf numFmtId="0" fontId="13" fillId="92" borderId="0" xfId="0" applyFont="1" applyFill="1" applyBorder="1" applyAlignment="1" applyProtection="1">
      <alignment horizontal="center" vertical="top" wrapText="1"/>
      <protection hidden="1"/>
    </xf>
    <xf numFmtId="0" fontId="13" fillId="92" borderId="48" xfId="0" applyFont="1" applyFill="1" applyBorder="1" applyAlignment="1" applyProtection="1">
      <alignment horizontal="center" vertical="top" wrapText="1"/>
      <protection hidden="1"/>
    </xf>
    <xf numFmtId="0" fontId="13" fillId="31" borderId="47" xfId="0" applyFont="1" applyFill="1" applyBorder="1" applyAlignment="1" applyProtection="1">
      <alignment horizontal="center" vertical="top" wrapText="1"/>
      <protection hidden="1"/>
    </xf>
    <xf numFmtId="0" fontId="13" fillId="31" borderId="0" xfId="0" applyFont="1" applyFill="1" applyBorder="1" applyAlignment="1" applyProtection="1">
      <alignment horizontal="center" vertical="top"/>
      <protection hidden="1"/>
    </xf>
    <xf numFmtId="0" fontId="13" fillId="31" borderId="48" xfId="0" applyFont="1" applyFill="1" applyBorder="1" applyAlignment="1" applyProtection="1">
      <alignment horizontal="center" vertical="top"/>
      <protection hidden="1"/>
    </xf>
    <xf numFmtId="0" fontId="13" fillId="31" borderId="47" xfId="0" applyFont="1" applyFill="1" applyBorder="1" applyAlignment="1" applyProtection="1">
      <alignment horizontal="center" vertical="top"/>
      <protection hidden="1"/>
    </xf>
    <xf numFmtId="0" fontId="12" fillId="6" borderId="0" xfId="0" applyFont="1" applyFill="1" applyBorder="1" applyAlignment="1" applyProtection="1">
      <alignment horizontal="left" vertical="center"/>
      <protection hidden="1"/>
    </xf>
    <xf numFmtId="164" fontId="14" fillId="31" borderId="48" xfId="0" applyNumberFormat="1" applyFont="1" applyFill="1" applyBorder="1" applyAlignment="1" applyProtection="1">
      <alignment horizontal="left" vertical="center"/>
      <protection hidden="1"/>
    </xf>
    <xf numFmtId="0" fontId="13" fillId="135" borderId="35" xfId="0" applyFont="1" applyFill="1" applyBorder="1" applyAlignment="1" applyProtection="1">
      <alignment horizontal="center" vertical="center" wrapText="1"/>
      <protection hidden="1"/>
    </xf>
    <xf numFmtId="0" fontId="13" fillId="135" borderId="36" xfId="0" applyFont="1" applyFill="1" applyBorder="1" applyAlignment="1" applyProtection="1">
      <alignment horizontal="center" vertical="center" wrapText="1"/>
      <protection hidden="1"/>
    </xf>
    <xf numFmtId="0" fontId="13" fillId="135" borderId="37" xfId="0" applyFont="1" applyFill="1" applyBorder="1" applyAlignment="1" applyProtection="1">
      <alignment horizontal="center" vertical="center" wrapText="1"/>
      <protection hidden="1"/>
    </xf>
    <xf numFmtId="0" fontId="13" fillId="135" borderId="47" xfId="0" applyFont="1" applyFill="1" applyBorder="1" applyAlignment="1" applyProtection="1">
      <alignment horizontal="center" vertical="center" wrapText="1"/>
      <protection hidden="1"/>
    </xf>
    <xf numFmtId="0" fontId="13" fillId="135" borderId="0" xfId="0" applyFont="1" applyFill="1" applyBorder="1" applyAlignment="1" applyProtection="1">
      <alignment horizontal="center" vertical="center" wrapText="1"/>
      <protection hidden="1"/>
    </xf>
    <xf numFmtId="0" fontId="13" fillId="135" borderId="48" xfId="0" applyFont="1" applyFill="1" applyBorder="1" applyAlignment="1" applyProtection="1">
      <alignment horizontal="center" vertical="center" wrapText="1"/>
      <protection hidden="1"/>
    </xf>
    <xf numFmtId="0" fontId="13" fillId="135" borderId="38" xfId="0" applyFont="1" applyFill="1" applyBorder="1" applyAlignment="1" applyProtection="1">
      <alignment horizontal="center" vertical="center" wrapText="1"/>
      <protection hidden="1"/>
    </xf>
    <xf numFmtId="0" fontId="13" fillId="135" borderId="23" xfId="0" applyFont="1" applyFill="1" applyBorder="1" applyAlignment="1" applyProtection="1">
      <alignment horizontal="center" vertical="center" wrapText="1"/>
      <protection hidden="1"/>
    </xf>
    <xf numFmtId="0" fontId="13" fillId="135" borderId="39" xfId="0" applyFont="1" applyFill="1" applyBorder="1" applyAlignment="1" applyProtection="1">
      <alignment horizontal="center" vertical="center" wrapText="1"/>
      <protection hidden="1"/>
    </xf>
    <xf numFmtId="0" fontId="12" fillId="6" borderId="0" xfId="0" quotePrefix="1" applyFont="1" applyFill="1" applyBorder="1" applyAlignment="1" applyProtection="1">
      <alignment horizontal="left" vertical="center"/>
      <protection hidden="1"/>
    </xf>
    <xf numFmtId="0" fontId="13" fillId="16" borderId="47" xfId="0" applyFont="1" applyFill="1" applyBorder="1" applyAlignment="1" applyProtection="1">
      <alignment horizontal="center" vertical="top" wrapText="1"/>
      <protection hidden="1"/>
    </xf>
    <xf numFmtId="0" fontId="13" fillId="16" borderId="0" xfId="0" applyFont="1" applyFill="1" applyBorder="1" applyAlignment="1" applyProtection="1">
      <alignment horizontal="center" vertical="top" wrapText="1"/>
      <protection hidden="1"/>
    </xf>
    <xf numFmtId="0" fontId="13" fillId="16" borderId="48" xfId="0" applyFont="1" applyFill="1" applyBorder="1" applyAlignment="1" applyProtection="1">
      <alignment horizontal="center" vertical="top" wrapText="1"/>
      <protection hidden="1"/>
    </xf>
    <xf numFmtId="0" fontId="13" fillId="98" borderId="47" xfId="0" applyFont="1" applyFill="1" applyBorder="1" applyAlignment="1" applyProtection="1">
      <alignment horizontal="center" vertical="top" wrapText="1"/>
      <protection hidden="1"/>
    </xf>
    <xf numFmtId="0" fontId="13" fillId="98" borderId="0" xfId="0" applyFont="1" applyFill="1" applyBorder="1" applyAlignment="1" applyProtection="1">
      <alignment horizontal="center" vertical="top" wrapText="1"/>
      <protection hidden="1"/>
    </xf>
    <xf numFmtId="0" fontId="13" fillId="98" borderId="48" xfId="0" applyFont="1" applyFill="1" applyBorder="1" applyAlignment="1" applyProtection="1">
      <alignment horizontal="center" vertical="top" wrapText="1"/>
      <protection hidden="1"/>
    </xf>
    <xf numFmtId="0" fontId="13" fillId="95" borderId="47" xfId="0" applyFont="1" applyFill="1" applyBorder="1" applyAlignment="1" applyProtection="1">
      <alignment horizontal="center" vertical="top" wrapText="1"/>
      <protection hidden="1"/>
    </xf>
    <xf numFmtId="0" fontId="13" fillId="95" borderId="0" xfId="0" applyFont="1" applyFill="1" applyBorder="1" applyAlignment="1" applyProtection="1">
      <alignment horizontal="center" vertical="top" wrapText="1"/>
      <protection hidden="1"/>
    </xf>
    <xf numFmtId="0" fontId="13" fillId="95" borderId="48" xfId="0" applyFont="1" applyFill="1" applyBorder="1" applyAlignment="1" applyProtection="1">
      <alignment horizontal="center" vertical="top" wrapText="1"/>
      <protection hidden="1"/>
    </xf>
    <xf numFmtId="0" fontId="37" fillId="98" borderId="0" xfId="0" applyFont="1" applyFill="1" applyBorder="1" applyAlignment="1" applyProtection="1">
      <alignment horizontal="left" vertical="center" wrapText="1"/>
      <protection hidden="1"/>
    </xf>
    <xf numFmtId="165" fontId="61" fillId="144" borderId="3" xfId="0" applyNumberFormat="1" applyFont="1" applyFill="1" applyBorder="1" applyAlignment="1" applyProtection="1">
      <alignment horizontal="center" vertical="center"/>
      <protection hidden="1"/>
    </xf>
    <xf numFmtId="165" fontId="61" fillId="144" borderId="6" xfId="0" applyNumberFormat="1" applyFont="1" applyFill="1" applyBorder="1" applyAlignment="1" applyProtection="1">
      <alignment horizontal="center" vertical="center"/>
      <protection hidden="1"/>
    </xf>
    <xf numFmtId="165" fontId="61" fillId="144" borderId="2" xfId="0" applyNumberFormat="1" applyFont="1" applyFill="1" applyBorder="1" applyAlignment="1" applyProtection="1">
      <alignment horizontal="center" vertical="center"/>
      <protection hidden="1"/>
    </xf>
    <xf numFmtId="165" fontId="9" fillId="327" borderId="0" xfId="0" applyNumberFormat="1" applyFont="1" applyFill="1" applyAlignment="1" applyProtection="1">
      <alignment horizontal="center" vertical="center"/>
      <protection hidden="1"/>
    </xf>
    <xf numFmtId="165" fontId="93" fillId="31" borderId="3" xfId="0" applyNumberFormat="1" applyFont="1" applyFill="1" applyBorder="1" applyAlignment="1" applyProtection="1">
      <alignment horizontal="center" vertical="center" wrapText="1"/>
      <protection hidden="1"/>
    </xf>
    <xf numFmtId="165" fontId="93" fillId="31" borderId="6" xfId="0" applyNumberFormat="1" applyFont="1" applyFill="1" applyBorder="1" applyAlignment="1" applyProtection="1">
      <alignment horizontal="center" vertical="center" wrapText="1"/>
      <protection hidden="1"/>
    </xf>
    <xf numFmtId="165" fontId="93" fillId="31" borderId="2" xfId="0" applyNumberFormat="1" applyFont="1" applyFill="1" applyBorder="1" applyAlignment="1" applyProtection="1">
      <alignment horizontal="center" vertical="center" wrapText="1"/>
      <protection hidden="1"/>
    </xf>
    <xf numFmtId="0" fontId="9" fillId="6" borderId="3"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0" fontId="9" fillId="6" borderId="2" xfId="0" applyFont="1" applyFill="1" applyBorder="1" applyAlignment="1" applyProtection="1">
      <alignment horizontal="center" vertical="center"/>
      <protection hidden="1"/>
    </xf>
    <xf numFmtId="0" fontId="61" fillId="111" borderId="8" xfId="0" applyFont="1" applyFill="1" applyBorder="1" applyAlignment="1" applyProtection="1">
      <alignment horizontal="center" vertical="center" textRotation="90"/>
      <protection hidden="1"/>
    </xf>
    <xf numFmtId="0" fontId="61" fillId="111" borderId="52" xfId="0" applyFont="1" applyFill="1" applyBorder="1" applyAlignment="1" applyProtection="1">
      <alignment horizontal="center" vertical="center" textRotation="90"/>
      <protection hidden="1"/>
    </xf>
    <xf numFmtId="0" fontId="61" fillId="111" borderId="9" xfId="0" applyFont="1" applyFill="1" applyBorder="1" applyAlignment="1" applyProtection="1">
      <alignment horizontal="center" vertical="center" textRotation="90"/>
      <protection hidden="1"/>
    </xf>
    <xf numFmtId="0" fontId="9" fillId="30" borderId="0" xfId="0" applyFont="1" applyFill="1" applyBorder="1" applyAlignment="1" applyProtection="1">
      <alignment horizontal="left" vertical="center"/>
      <protection hidden="1"/>
    </xf>
    <xf numFmtId="0" fontId="79" fillId="100" borderId="36" xfId="0" applyNumberFormat="1" applyFont="1" applyFill="1" applyBorder="1" applyAlignment="1" applyProtection="1">
      <alignment horizontal="center" vertical="center"/>
      <protection hidden="1"/>
    </xf>
    <xf numFmtId="0" fontId="79" fillId="100" borderId="23" xfId="0" applyNumberFormat="1" applyFont="1" applyFill="1" applyBorder="1" applyAlignment="1" applyProtection="1">
      <alignment horizontal="center" vertical="center"/>
      <protection hidden="1"/>
    </xf>
    <xf numFmtId="0" fontId="24" fillId="11" borderId="0" xfId="0" applyFont="1" applyFill="1" applyBorder="1" applyAlignment="1" applyProtection="1">
      <alignment horizontal="left" vertical="top"/>
      <protection hidden="1"/>
    </xf>
    <xf numFmtId="0" fontId="67" fillId="5" borderId="6" xfId="0" applyFont="1" applyFill="1" applyBorder="1" applyAlignment="1" applyProtection="1">
      <alignment horizontal="center" vertical="center" wrapText="1"/>
      <protection hidden="1"/>
    </xf>
    <xf numFmtId="165" fontId="61" fillId="12" borderId="3" xfId="0" applyNumberFormat="1" applyFont="1" applyFill="1" applyBorder="1" applyAlignment="1" applyProtection="1">
      <alignment horizontal="center" vertical="center"/>
      <protection hidden="1"/>
    </xf>
    <xf numFmtId="165" fontId="61" fillId="12" borderId="6" xfId="0" applyNumberFormat="1" applyFont="1" applyFill="1" applyBorder="1" applyAlignment="1" applyProtection="1">
      <alignment horizontal="center" vertical="center"/>
      <protection hidden="1"/>
    </xf>
    <xf numFmtId="165" fontId="61" fillId="12" borderId="2" xfId="0" applyNumberFormat="1" applyFont="1" applyFill="1" applyBorder="1" applyAlignment="1" applyProtection="1">
      <alignment horizontal="center" vertical="center"/>
      <protection hidden="1"/>
    </xf>
    <xf numFmtId="0" fontId="13" fillId="31" borderId="52" xfId="0" applyFont="1" applyFill="1" applyBorder="1" applyAlignment="1" applyProtection="1">
      <alignment horizontal="center" vertical="top"/>
      <protection hidden="1"/>
    </xf>
    <xf numFmtId="0" fontId="37" fillId="31" borderId="0" xfId="0" applyFont="1" applyFill="1" applyBorder="1" applyAlignment="1" applyProtection="1">
      <alignment horizontal="left" vertical="center"/>
      <protection hidden="1"/>
    </xf>
    <xf numFmtId="164" fontId="32" fillId="31" borderId="0" xfId="0" applyNumberFormat="1" applyFont="1" applyFill="1" applyBorder="1" applyAlignment="1" applyProtection="1">
      <alignment horizontal="left" vertical="top" wrapText="1"/>
      <protection hidden="1"/>
    </xf>
    <xf numFmtId="164" fontId="79" fillId="31" borderId="0" xfId="0" applyNumberFormat="1" applyFont="1" applyFill="1" applyBorder="1" applyAlignment="1" applyProtection="1">
      <alignment horizontal="center" vertical="top" wrapText="1"/>
      <protection hidden="1"/>
    </xf>
    <xf numFmtId="165" fontId="37" fillId="327" borderId="0" xfId="0" applyNumberFormat="1" applyFont="1" applyFill="1" applyAlignment="1" applyProtection="1">
      <alignment horizontal="center" vertical="center"/>
      <protection hidden="1"/>
    </xf>
    <xf numFmtId="0" fontId="9" fillId="326" borderId="0" xfId="0" applyFont="1" applyFill="1" applyBorder="1" applyAlignment="1" applyProtection="1">
      <alignment horizontal="center" vertical="center"/>
      <protection hidden="1"/>
    </xf>
    <xf numFmtId="0" fontId="9" fillId="21" borderId="0" xfId="0" applyFont="1" applyFill="1" applyBorder="1" applyAlignment="1" applyProtection="1">
      <alignment horizontal="left" vertical="top" wrapText="1"/>
      <protection hidden="1"/>
    </xf>
    <xf numFmtId="165" fontId="61" fillId="28" borderId="3" xfId="0" applyNumberFormat="1" applyFont="1" applyFill="1" applyBorder="1" applyAlignment="1" applyProtection="1">
      <alignment horizontal="center" vertical="center"/>
      <protection hidden="1"/>
    </xf>
    <xf numFmtId="165" fontId="61" fillId="28" borderId="6" xfId="0" applyNumberFormat="1" applyFont="1" applyFill="1" applyBorder="1" applyAlignment="1" applyProtection="1">
      <alignment horizontal="center" vertical="center"/>
      <protection hidden="1"/>
    </xf>
    <xf numFmtId="165" fontId="61" fillId="28" borderId="2" xfId="0" applyNumberFormat="1" applyFont="1" applyFill="1" applyBorder="1" applyAlignment="1" applyProtection="1">
      <alignment horizontal="center" vertical="center"/>
      <protection hidden="1"/>
    </xf>
    <xf numFmtId="0" fontId="16" fillId="21" borderId="3" xfId="0" applyFont="1" applyFill="1" applyBorder="1" applyAlignment="1" applyProtection="1">
      <alignment horizontal="center" vertical="center" wrapText="1"/>
      <protection hidden="1"/>
    </xf>
    <xf numFmtId="0" fontId="16" fillId="21" borderId="6" xfId="0" applyFont="1" applyFill="1" applyBorder="1" applyAlignment="1" applyProtection="1">
      <alignment horizontal="center" vertical="center" wrapText="1"/>
      <protection hidden="1"/>
    </xf>
    <xf numFmtId="0" fontId="16" fillId="21" borderId="2" xfId="0" applyFont="1" applyFill="1" applyBorder="1" applyAlignment="1" applyProtection="1">
      <alignment horizontal="center" vertical="center" wrapText="1"/>
      <protection hidden="1"/>
    </xf>
    <xf numFmtId="164" fontId="199" fillId="31" borderId="0" xfId="0" applyNumberFormat="1" applyFont="1" applyFill="1" applyBorder="1" applyAlignment="1" applyProtection="1">
      <alignment horizontal="center" vertical="top" wrapText="1"/>
      <protection hidden="1"/>
    </xf>
    <xf numFmtId="0" fontId="9" fillId="21" borderId="0" xfId="0" applyFont="1" applyFill="1" applyBorder="1" applyAlignment="1" applyProtection="1">
      <alignment horizontal="left" vertical="center"/>
      <protection hidden="1"/>
    </xf>
    <xf numFmtId="0" fontId="16" fillId="21" borderId="3" xfId="0" applyFont="1" applyFill="1" applyBorder="1" applyAlignment="1" applyProtection="1">
      <alignment horizontal="center" vertical="center"/>
      <protection hidden="1"/>
    </xf>
    <xf numFmtId="0" fontId="16" fillId="21" borderId="6" xfId="0" applyFont="1" applyFill="1" applyBorder="1" applyAlignment="1" applyProtection="1">
      <alignment horizontal="center" vertical="center"/>
      <protection hidden="1"/>
    </xf>
    <xf numFmtId="0" fontId="16" fillId="21" borderId="2" xfId="0" applyFont="1" applyFill="1" applyBorder="1" applyAlignment="1" applyProtection="1">
      <alignment horizontal="center" vertical="center"/>
      <protection hidden="1"/>
    </xf>
    <xf numFmtId="165" fontId="9" fillId="326" borderId="0" xfId="0" applyNumberFormat="1" applyFont="1" applyFill="1" applyAlignment="1" applyProtection="1">
      <alignment horizontal="center" vertical="center"/>
      <protection hidden="1"/>
    </xf>
    <xf numFmtId="0" fontId="61" fillId="108" borderId="8" xfId="0" applyFont="1" applyFill="1" applyBorder="1" applyAlignment="1" applyProtection="1">
      <alignment horizontal="center" vertical="center" textRotation="90"/>
      <protection hidden="1"/>
    </xf>
    <xf numFmtId="0" fontId="61" fillId="108" borderId="52" xfId="0" applyFont="1" applyFill="1" applyBorder="1" applyAlignment="1" applyProtection="1">
      <alignment horizontal="center" vertical="center" textRotation="90"/>
      <protection hidden="1"/>
    </xf>
    <xf numFmtId="0" fontId="61" fillId="108" borderId="9" xfId="0" applyFont="1" applyFill="1" applyBorder="1" applyAlignment="1" applyProtection="1">
      <alignment horizontal="center" vertical="center" textRotation="90"/>
      <protection hidden="1"/>
    </xf>
    <xf numFmtId="0" fontId="79" fillId="22" borderId="36" xfId="0" applyFont="1" applyFill="1" applyBorder="1" applyAlignment="1" applyProtection="1">
      <alignment horizontal="center" vertical="center" wrapText="1"/>
      <protection hidden="1"/>
    </xf>
    <xf numFmtId="0" fontId="79" fillId="22" borderId="23" xfId="0" applyFont="1" applyFill="1" applyBorder="1" applyAlignment="1" applyProtection="1">
      <alignment horizontal="center" vertical="center" wrapText="1"/>
      <protection hidden="1"/>
    </xf>
    <xf numFmtId="164" fontId="199" fillId="326" borderId="0" xfId="0" applyNumberFormat="1" applyFont="1" applyFill="1" applyBorder="1" applyAlignment="1" applyProtection="1">
      <alignment horizontal="center" vertical="center" wrapText="1"/>
      <protection hidden="1"/>
    </xf>
    <xf numFmtId="165" fontId="65" fillId="18" borderId="6" xfId="0" applyNumberFormat="1" applyFont="1" applyFill="1" applyBorder="1" applyAlignment="1" applyProtection="1">
      <alignment horizontal="center" vertical="center"/>
      <protection hidden="1"/>
    </xf>
    <xf numFmtId="0" fontId="61" fillId="114" borderId="8" xfId="0" applyFont="1" applyFill="1" applyBorder="1" applyAlignment="1" applyProtection="1">
      <alignment horizontal="center" vertical="center" textRotation="90"/>
      <protection hidden="1"/>
    </xf>
    <xf numFmtId="0" fontId="61" fillId="114" borderId="52" xfId="0" applyFont="1" applyFill="1" applyBorder="1" applyAlignment="1" applyProtection="1">
      <alignment horizontal="center" vertical="center" textRotation="90"/>
      <protection hidden="1"/>
    </xf>
    <xf numFmtId="0" fontId="61" fillId="114" borderId="9" xfId="0" applyFont="1" applyFill="1" applyBorder="1" applyAlignment="1" applyProtection="1">
      <alignment horizontal="center" vertical="center" textRotation="90"/>
      <protection hidden="1"/>
    </xf>
    <xf numFmtId="165" fontId="61" fillId="18" borderId="3" xfId="0" applyNumberFormat="1" applyFont="1" applyFill="1" applyBorder="1" applyAlignment="1" applyProtection="1">
      <alignment horizontal="center" vertical="center"/>
      <protection hidden="1"/>
    </xf>
    <xf numFmtId="165" fontId="61" fillId="18" borderId="6" xfId="0" applyNumberFormat="1" applyFont="1" applyFill="1" applyBorder="1" applyAlignment="1" applyProtection="1">
      <alignment horizontal="center" vertical="center"/>
      <protection hidden="1"/>
    </xf>
    <xf numFmtId="165" fontId="61" fillId="18" borderId="2" xfId="0" applyNumberFormat="1" applyFont="1" applyFill="1" applyBorder="1" applyAlignment="1" applyProtection="1">
      <alignment horizontal="center" vertical="center"/>
      <protection hidden="1"/>
    </xf>
    <xf numFmtId="0" fontId="201" fillId="9" borderId="6" xfId="0" applyFont="1" applyFill="1" applyBorder="1" applyAlignment="1" applyProtection="1">
      <alignment horizontal="left" vertical="center"/>
      <protection hidden="1"/>
    </xf>
    <xf numFmtId="0" fontId="205" fillId="9" borderId="6" xfId="0" applyFont="1" applyFill="1" applyBorder="1" applyAlignment="1" applyProtection="1">
      <alignment horizontal="left" vertical="center"/>
      <protection hidden="1"/>
    </xf>
    <xf numFmtId="4" fontId="17" fillId="319" borderId="6" xfId="0" applyNumberFormat="1" applyFont="1" applyFill="1" applyBorder="1" applyAlignment="1" applyProtection="1">
      <alignment horizontal="left" vertical="center"/>
      <protection hidden="1"/>
    </xf>
    <xf numFmtId="4" fontId="17" fillId="5" borderId="6" xfId="0" applyNumberFormat="1" applyFont="1" applyFill="1" applyBorder="1" applyAlignment="1" applyProtection="1">
      <alignment horizontal="left" vertical="center" wrapText="1"/>
      <protection hidden="1"/>
    </xf>
    <xf numFmtId="0" fontId="17" fillId="5" borderId="0" xfId="0" applyFont="1" applyFill="1" applyBorder="1" applyAlignment="1" applyProtection="1">
      <alignment horizontal="left" vertical="top" wrapText="1"/>
      <protection hidden="1"/>
    </xf>
    <xf numFmtId="0" fontId="14" fillId="320" borderId="0" xfId="0" applyFont="1" applyFill="1" applyBorder="1" applyAlignment="1" applyProtection="1">
      <alignment horizontal="center" vertical="center"/>
      <protection hidden="1"/>
    </xf>
    <xf numFmtId="0" fontId="16" fillId="130" borderId="6" xfId="0" applyFont="1" applyFill="1" applyBorder="1" applyAlignment="1" applyProtection="1">
      <alignment horizontal="left" vertical="center"/>
      <protection hidden="1"/>
    </xf>
    <xf numFmtId="0" fontId="14" fillId="5" borderId="0" xfId="0" applyFont="1" applyFill="1" applyBorder="1" applyAlignment="1" applyProtection="1">
      <alignment horizontal="left" vertical="center"/>
      <protection hidden="1"/>
    </xf>
    <xf numFmtId="0" fontId="204" fillId="6" borderId="36" xfId="0" applyFont="1" applyFill="1" applyBorder="1" applyAlignment="1" applyProtection="1">
      <alignment horizontal="center" vertical="center" wrapText="1"/>
      <protection hidden="1"/>
    </xf>
    <xf numFmtId="0" fontId="204" fillId="6" borderId="0" xfId="0" applyFont="1" applyFill="1" applyBorder="1" applyAlignment="1" applyProtection="1">
      <alignment horizontal="center" vertical="center" wrapText="1"/>
      <protection hidden="1"/>
    </xf>
    <xf numFmtId="0" fontId="204" fillId="6" borderId="23" xfId="0" applyFont="1" applyFill="1" applyBorder="1" applyAlignment="1" applyProtection="1">
      <alignment horizontal="center" vertical="center" wrapText="1"/>
      <protection hidden="1"/>
    </xf>
    <xf numFmtId="0" fontId="82" fillId="321" borderId="6" xfId="0" applyFont="1" applyFill="1" applyBorder="1" applyAlignment="1" applyProtection="1">
      <alignment horizontal="left" vertical="center"/>
      <protection hidden="1"/>
    </xf>
    <xf numFmtId="0" fontId="201" fillId="320" borderId="0" xfId="0" applyFont="1" applyFill="1" applyBorder="1" applyAlignment="1" applyProtection="1">
      <alignment horizontal="left"/>
      <protection hidden="1"/>
    </xf>
    <xf numFmtId="4" fontId="82" fillId="5" borderId="6" xfId="0" applyNumberFormat="1" applyFont="1" applyFill="1" applyBorder="1" applyAlignment="1" applyProtection="1">
      <alignment horizontal="left" vertical="center"/>
      <protection hidden="1"/>
    </xf>
    <xf numFmtId="4" fontId="82" fillId="5" borderId="6" xfId="0" applyNumberFormat="1" applyFont="1" applyFill="1" applyBorder="1" applyAlignment="1" applyProtection="1">
      <alignment horizontal="left" vertical="center" wrapText="1"/>
      <protection hidden="1"/>
    </xf>
    <xf numFmtId="0" fontId="82" fillId="5" borderId="0" xfId="0" applyFont="1" applyFill="1" applyBorder="1" applyAlignment="1" applyProtection="1">
      <alignment horizontal="left" vertical="top" wrapText="1"/>
      <protection hidden="1"/>
    </xf>
    <xf numFmtId="0" fontId="13" fillId="183" borderId="52" xfId="0" applyFont="1" applyFill="1" applyBorder="1" applyAlignment="1" applyProtection="1">
      <alignment horizontal="center" vertical="top"/>
      <protection hidden="1"/>
    </xf>
    <xf numFmtId="0" fontId="13" fillId="183" borderId="52" xfId="0" applyFont="1" applyFill="1" applyBorder="1" applyAlignment="1" applyProtection="1">
      <alignment horizontal="center" vertical="top" wrapText="1"/>
      <protection hidden="1"/>
    </xf>
    <xf numFmtId="0" fontId="51" fillId="257" borderId="0" xfId="0" applyFont="1" applyFill="1" applyBorder="1" applyAlignment="1" applyProtection="1">
      <alignment horizontal="center" vertical="center"/>
      <protection hidden="1"/>
    </xf>
    <xf numFmtId="0" fontId="111" fillId="257" borderId="0" xfId="0" applyFont="1" applyFill="1" applyBorder="1" applyAlignment="1" applyProtection="1">
      <alignment vertical="center"/>
      <protection hidden="1"/>
    </xf>
    <xf numFmtId="0" fontId="79" fillId="258" borderId="36" xfId="0" applyFont="1" applyFill="1" applyBorder="1" applyAlignment="1" applyProtection="1">
      <alignment horizontal="center" vertical="center"/>
      <protection hidden="1"/>
    </xf>
    <xf numFmtId="0" fontId="79" fillId="258" borderId="23" xfId="0" applyFont="1" applyFill="1" applyBorder="1" applyAlignment="1" applyProtection="1">
      <alignment horizontal="center" vertical="center"/>
      <protection hidden="1"/>
    </xf>
    <xf numFmtId="165" fontId="14" fillId="189" borderId="123" xfId="9" applyNumberFormat="1" applyFont="1" applyFill="1" applyBorder="1" applyAlignment="1">
      <alignment horizontal="center" vertical="center"/>
    </xf>
    <xf numFmtId="165" fontId="14" fillId="189" borderId="45" xfId="9" applyNumberFormat="1" applyFont="1" applyFill="1" applyBorder="1" applyAlignment="1">
      <alignment horizontal="center" vertical="center"/>
    </xf>
    <xf numFmtId="165" fontId="14" fillId="189" borderId="124" xfId="9" applyNumberFormat="1" applyFont="1" applyFill="1" applyBorder="1" applyAlignment="1">
      <alignment horizontal="center" vertical="center"/>
    </xf>
    <xf numFmtId="168" fontId="37" fillId="170" borderId="3" xfId="3" applyNumberFormat="1" applyFont="1" applyFill="1" applyBorder="1" applyAlignment="1" applyProtection="1">
      <alignment horizontal="center" vertical="center"/>
      <protection locked="0"/>
    </xf>
    <xf numFmtId="168" fontId="37" fillId="170" borderId="2" xfId="3" applyNumberFormat="1" applyFont="1" applyFill="1" applyBorder="1" applyAlignment="1" applyProtection="1">
      <alignment horizontal="center" vertical="center"/>
      <protection locked="0"/>
    </xf>
    <xf numFmtId="168" fontId="14" fillId="189" borderId="123" xfId="9" applyNumberFormat="1" applyFont="1" applyFill="1" applyBorder="1" applyAlignment="1">
      <alignment horizontal="center" vertical="center"/>
    </xf>
    <xf numFmtId="168" fontId="14" fillId="189" borderId="45" xfId="9" applyNumberFormat="1" applyFont="1" applyFill="1" applyBorder="1" applyAlignment="1">
      <alignment horizontal="center" vertical="center"/>
    </xf>
    <xf numFmtId="168" fontId="14" fillId="189" borderId="124" xfId="9" applyNumberFormat="1" applyFont="1" applyFill="1" applyBorder="1" applyAlignment="1">
      <alignment horizontal="center" vertical="center"/>
    </xf>
    <xf numFmtId="4" fontId="37" fillId="170" borderId="3" xfId="3" applyNumberFormat="1" applyFont="1" applyFill="1" applyBorder="1" applyAlignment="1" applyProtection="1">
      <alignment horizontal="center" vertical="center"/>
      <protection locked="0"/>
    </xf>
    <xf numFmtId="4" fontId="37" fillId="170" borderId="2" xfId="3" applyNumberFormat="1" applyFont="1" applyFill="1" applyBorder="1" applyAlignment="1" applyProtection="1">
      <alignment horizontal="center" vertical="center"/>
      <protection locked="0"/>
    </xf>
    <xf numFmtId="4" fontId="14" fillId="189" borderId="123" xfId="9" applyNumberFormat="1" applyFont="1" applyFill="1" applyBorder="1" applyAlignment="1">
      <alignment horizontal="center" vertical="center"/>
    </xf>
    <xf numFmtId="4" fontId="14" fillId="189" borderId="45" xfId="9" applyNumberFormat="1" applyFont="1" applyFill="1" applyBorder="1" applyAlignment="1">
      <alignment horizontal="center" vertical="center"/>
    </xf>
    <xf numFmtId="4" fontId="14" fillId="189" borderId="124" xfId="9" applyNumberFormat="1" applyFont="1" applyFill="1" applyBorder="1" applyAlignment="1">
      <alignment horizontal="center" vertical="center"/>
    </xf>
    <xf numFmtId="0" fontId="69" fillId="254" borderId="0" xfId="0" applyFont="1" applyFill="1" applyBorder="1" applyAlignment="1" applyProtection="1">
      <alignment horizontal="center" vertical="center"/>
      <protection hidden="1"/>
    </xf>
    <xf numFmtId="0" fontId="79" fillId="282" borderId="0" xfId="0" applyFont="1" applyFill="1" applyBorder="1" applyAlignment="1" applyProtection="1">
      <alignment horizontal="center" vertical="center"/>
      <protection hidden="1"/>
    </xf>
    <xf numFmtId="4" fontId="37" fillId="5" borderId="3" xfId="3" applyNumberFormat="1" applyFont="1" applyBorder="1" applyAlignment="1" applyProtection="1">
      <alignment horizontal="center" vertical="center"/>
      <protection hidden="1"/>
    </xf>
    <xf numFmtId="4" fontId="37" fillId="5" borderId="6" xfId="3" applyNumberFormat="1" applyFont="1" applyBorder="1" applyAlignment="1" applyProtection="1">
      <alignment horizontal="center" vertical="center"/>
      <protection hidden="1"/>
    </xf>
    <xf numFmtId="4" fontId="37" fillId="5" borderId="2" xfId="3" applyNumberFormat="1" applyFont="1" applyBorder="1" applyAlignment="1" applyProtection="1">
      <alignment horizontal="center" vertical="center"/>
      <protection hidden="1"/>
    </xf>
    <xf numFmtId="0" fontId="69" fillId="274" borderId="0" xfId="0" applyFont="1" applyFill="1" applyBorder="1" applyAlignment="1" applyProtection="1">
      <alignment horizontal="center" vertical="center"/>
      <protection hidden="1"/>
    </xf>
    <xf numFmtId="0" fontId="37" fillId="170" borderId="35" xfId="3" applyNumberFormat="1" applyFont="1" applyFill="1" applyBorder="1" applyAlignment="1" applyProtection="1">
      <alignment horizontal="center" vertical="center" wrapText="1"/>
      <protection locked="0"/>
    </xf>
    <xf numFmtId="0" fontId="37" fillId="170" borderId="37" xfId="3" applyNumberFormat="1" applyFont="1" applyFill="1" applyBorder="1" applyAlignment="1" applyProtection="1">
      <alignment horizontal="center" vertical="center" wrapText="1"/>
      <protection locked="0"/>
    </xf>
    <xf numFmtId="0" fontId="37" fillId="170" borderId="38" xfId="3" applyNumberFormat="1" applyFont="1" applyFill="1" applyBorder="1" applyAlignment="1" applyProtection="1">
      <alignment horizontal="center" vertical="center" wrapText="1"/>
      <protection locked="0"/>
    </xf>
    <xf numFmtId="0" fontId="37" fillId="170" borderId="39" xfId="3" applyNumberFormat="1" applyFont="1" applyFill="1" applyBorder="1" applyAlignment="1" applyProtection="1">
      <alignment horizontal="center" vertical="center" wrapText="1"/>
      <protection locked="0"/>
    </xf>
    <xf numFmtId="0" fontId="87" fillId="223" borderId="35" xfId="0" applyFont="1" applyFill="1" applyBorder="1" applyAlignment="1" applyProtection="1">
      <alignment horizontal="center" vertical="center"/>
      <protection hidden="1"/>
    </xf>
    <xf numFmtId="0" fontId="87" fillId="223" borderId="36" xfId="0" applyFont="1" applyFill="1" applyBorder="1" applyAlignment="1" applyProtection="1">
      <alignment horizontal="center" vertical="center"/>
      <protection hidden="1"/>
    </xf>
    <xf numFmtId="0" fontId="87" fillId="223" borderId="37" xfId="0" applyFont="1" applyFill="1" applyBorder="1" applyAlignment="1" applyProtection="1">
      <alignment horizontal="center" vertical="center"/>
      <protection hidden="1"/>
    </xf>
    <xf numFmtId="0" fontId="87" fillId="223" borderId="47" xfId="0" applyFont="1" applyFill="1" applyBorder="1" applyAlignment="1" applyProtection="1">
      <alignment horizontal="center" vertical="center"/>
      <protection hidden="1"/>
    </xf>
    <xf numFmtId="0" fontId="87" fillId="223" borderId="0" xfId="0" applyFont="1" applyFill="1" applyBorder="1" applyAlignment="1" applyProtection="1">
      <alignment horizontal="center" vertical="center"/>
      <protection hidden="1"/>
    </xf>
    <xf numFmtId="0" fontId="87" fillId="223" borderId="48" xfId="0" applyFont="1" applyFill="1" applyBorder="1" applyAlignment="1" applyProtection="1">
      <alignment horizontal="center" vertical="center"/>
      <protection hidden="1"/>
    </xf>
    <xf numFmtId="0" fontId="87" fillId="223" borderId="38" xfId="0" applyFont="1" applyFill="1" applyBorder="1" applyAlignment="1" applyProtection="1">
      <alignment horizontal="center" vertical="center"/>
      <protection hidden="1"/>
    </xf>
    <xf numFmtId="0" fontId="87" fillId="223" borderId="23" xfId="0" applyFont="1" applyFill="1" applyBorder="1" applyAlignment="1" applyProtection="1">
      <alignment horizontal="center" vertical="center"/>
      <protection hidden="1"/>
    </xf>
    <xf numFmtId="0" fontId="87" fillId="223" borderId="39" xfId="0" applyFont="1" applyFill="1" applyBorder="1" applyAlignment="1" applyProtection="1">
      <alignment horizontal="center" vertical="center"/>
      <protection hidden="1"/>
    </xf>
    <xf numFmtId="0" fontId="87" fillId="192" borderId="35" xfId="0" applyFont="1" applyFill="1" applyBorder="1" applyAlignment="1" applyProtection="1">
      <alignment horizontal="center" vertical="center"/>
      <protection hidden="1"/>
    </xf>
    <xf numFmtId="0" fontId="87" fillId="192" borderId="36" xfId="0" applyFont="1" applyFill="1" applyBorder="1" applyAlignment="1" applyProtection="1">
      <alignment horizontal="center" vertical="center"/>
      <protection hidden="1"/>
    </xf>
    <xf numFmtId="0" fontId="87" fillId="192" borderId="37" xfId="0" applyFont="1" applyFill="1" applyBorder="1" applyAlignment="1" applyProtection="1">
      <alignment horizontal="center" vertical="center"/>
      <protection hidden="1"/>
    </xf>
    <xf numFmtId="0" fontId="87" fillId="192" borderId="47" xfId="0" applyFont="1" applyFill="1" applyBorder="1" applyAlignment="1" applyProtection="1">
      <alignment horizontal="center" vertical="center"/>
      <protection hidden="1"/>
    </xf>
    <xf numFmtId="0" fontId="87" fillId="192" borderId="0" xfId="0" applyFont="1" applyFill="1" applyBorder="1" applyAlignment="1" applyProtection="1">
      <alignment horizontal="center" vertical="center"/>
      <protection hidden="1"/>
    </xf>
    <xf numFmtId="0" fontId="87" fillId="192" borderId="48" xfId="0" applyFont="1" applyFill="1" applyBorder="1" applyAlignment="1" applyProtection="1">
      <alignment horizontal="center" vertical="center"/>
      <protection hidden="1"/>
    </xf>
    <xf numFmtId="0" fontId="87" fillId="192" borderId="38" xfId="0" applyFont="1" applyFill="1" applyBorder="1" applyAlignment="1" applyProtection="1">
      <alignment horizontal="center" vertical="center"/>
      <protection hidden="1"/>
    </xf>
    <xf numFmtId="0" fontId="87" fillId="192" borderId="23" xfId="0" applyFont="1" applyFill="1" applyBorder="1" applyAlignment="1" applyProtection="1">
      <alignment horizontal="center" vertical="center"/>
      <protection hidden="1"/>
    </xf>
    <xf numFmtId="0" fontId="87" fillId="192" borderId="39" xfId="0" applyFont="1" applyFill="1" applyBorder="1" applyAlignment="1" applyProtection="1">
      <alignment horizontal="center" vertical="center"/>
      <protection hidden="1"/>
    </xf>
    <xf numFmtId="0" fontId="87" fillId="224" borderId="35" xfId="0" applyFont="1" applyFill="1" applyBorder="1" applyAlignment="1" applyProtection="1">
      <alignment horizontal="center" vertical="center"/>
      <protection hidden="1"/>
    </xf>
    <xf numFmtId="0" fontId="87" fillId="224" borderId="36" xfId="0" applyFont="1" applyFill="1" applyBorder="1" applyAlignment="1" applyProtection="1">
      <alignment horizontal="center" vertical="center"/>
      <protection hidden="1"/>
    </xf>
    <xf numFmtId="0" fontId="87" fillId="224" borderId="37" xfId="0" applyFont="1" applyFill="1" applyBorder="1" applyAlignment="1" applyProtection="1">
      <alignment horizontal="center" vertical="center"/>
      <protection hidden="1"/>
    </xf>
    <xf numFmtId="0" fontId="87" fillId="224" borderId="47" xfId="0" applyFont="1" applyFill="1" applyBorder="1" applyAlignment="1" applyProtection="1">
      <alignment horizontal="center" vertical="center"/>
      <protection hidden="1"/>
    </xf>
    <xf numFmtId="0" fontId="87" fillId="224" borderId="0" xfId="0" applyFont="1" applyFill="1" applyBorder="1" applyAlignment="1" applyProtection="1">
      <alignment horizontal="center" vertical="center"/>
      <protection hidden="1"/>
    </xf>
    <xf numFmtId="0" fontId="87" fillId="224" borderId="48" xfId="0" applyFont="1" applyFill="1" applyBorder="1" applyAlignment="1" applyProtection="1">
      <alignment horizontal="center" vertical="center"/>
      <protection hidden="1"/>
    </xf>
    <xf numFmtId="0" fontId="87" fillId="224" borderId="38" xfId="0" applyFont="1" applyFill="1" applyBorder="1" applyAlignment="1" applyProtection="1">
      <alignment horizontal="center" vertical="center"/>
      <protection hidden="1"/>
    </xf>
    <xf numFmtId="0" fontId="87" fillId="224" borderId="23" xfId="0" applyFont="1" applyFill="1" applyBorder="1" applyAlignment="1" applyProtection="1">
      <alignment horizontal="center" vertical="center"/>
      <protection hidden="1"/>
    </xf>
    <xf numFmtId="0" fontId="87" fillId="224" borderId="39" xfId="0" applyFont="1" applyFill="1" applyBorder="1" applyAlignment="1" applyProtection="1">
      <alignment horizontal="center" vertical="center"/>
      <protection hidden="1"/>
    </xf>
    <xf numFmtId="0" fontId="87" fillId="197" borderId="35" xfId="0" applyFont="1" applyFill="1" applyBorder="1" applyAlignment="1" applyProtection="1">
      <alignment horizontal="center" vertical="center"/>
      <protection hidden="1"/>
    </xf>
    <xf numFmtId="0" fontId="87" fillId="197" borderId="36" xfId="0" applyFont="1" applyFill="1" applyBorder="1" applyAlignment="1" applyProtection="1">
      <alignment horizontal="center" vertical="center"/>
      <protection hidden="1"/>
    </xf>
    <xf numFmtId="0" fontId="87" fillId="197" borderId="37" xfId="0" applyFont="1" applyFill="1" applyBorder="1" applyAlignment="1" applyProtection="1">
      <alignment horizontal="center" vertical="center"/>
      <protection hidden="1"/>
    </xf>
    <xf numFmtId="0" fontId="87" fillId="197" borderId="47" xfId="0" applyFont="1" applyFill="1" applyBorder="1" applyAlignment="1" applyProtection="1">
      <alignment horizontal="center" vertical="center"/>
      <protection hidden="1"/>
    </xf>
    <xf numFmtId="0" fontId="87" fillId="197" borderId="0" xfId="0" applyFont="1" applyFill="1" applyBorder="1" applyAlignment="1" applyProtection="1">
      <alignment horizontal="center" vertical="center"/>
      <protection hidden="1"/>
    </xf>
    <xf numFmtId="0" fontId="87" fillId="197" borderId="48" xfId="0" applyFont="1" applyFill="1" applyBorder="1" applyAlignment="1" applyProtection="1">
      <alignment horizontal="center" vertical="center"/>
      <protection hidden="1"/>
    </xf>
    <xf numFmtId="0" fontId="87" fillId="197" borderId="38" xfId="0" applyFont="1" applyFill="1" applyBorder="1" applyAlignment="1" applyProtection="1">
      <alignment horizontal="center" vertical="center"/>
      <protection hidden="1"/>
    </xf>
    <xf numFmtId="0" fontId="87" fillId="197" borderId="23" xfId="0" applyFont="1" applyFill="1" applyBorder="1" applyAlignment="1" applyProtection="1">
      <alignment horizontal="center" vertical="center"/>
      <protection hidden="1"/>
    </xf>
    <xf numFmtId="0" fontId="87" fillId="197" borderId="39" xfId="0" applyFont="1" applyFill="1" applyBorder="1" applyAlignment="1" applyProtection="1">
      <alignment horizontal="center" vertical="center"/>
      <protection hidden="1"/>
    </xf>
    <xf numFmtId="0" fontId="13" fillId="183" borderId="52" xfId="0" applyFont="1" applyFill="1" applyBorder="1" applyAlignment="1" applyProtection="1">
      <alignment horizontal="center" vertical="center" wrapText="1"/>
      <protection hidden="1"/>
    </xf>
    <xf numFmtId="0" fontId="159" fillId="189" borderId="3" xfId="0" applyFont="1" applyFill="1" applyBorder="1" applyAlignment="1" applyProtection="1">
      <alignment horizontal="center" vertical="center"/>
      <protection hidden="1"/>
    </xf>
    <xf numFmtId="0" fontId="159" fillId="189" borderId="6" xfId="0" applyFont="1" applyFill="1" applyBorder="1" applyAlignment="1" applyProtection="1">
      <alignment horizontal="center" vertical="center"/>
      <protection hidden="1"/>
    </xf>
    <xf numFmtId="0" fontId="159" fillId="189" borderId="2" xfId="0" applyFont="1" applyFill="1" applyBorder="1" applyAlignment="1" applyProtection="1">
      <alignment horizontal="center" vertical="center"/>
      <protection hidden="1"/>
    </xf>
    <xf numFmtId="0" fontId="159" fillId="246" borderId="80" xfId="0" applyFont="1" applyFill="1" applyBorder="1" applyAlignment="1" applyProtection="1">
      <alignment horizontal="center" vertical="center"/>
      <protection hidden="1"/>
    </xf>
    <xf numFmtId="0" fontId="159" fillId="246" borderId="81" xfId="0" applyFont="1" applyFill="1" applyBorder="1" applyAlignment="1" applyProtection="1">
      <alignment horizontal="center" vertical="center"/>
      <protection hidden="1"/>
    </xf>
    <xf numFmtId="0" fontId="159" fillId="246" borderId="82" xfId="0" applyFont="1" applyFill="1" applyBorder="1" applyAlignment="1" applyProtection="1">
      <alignment horizontal="center" vertical="center"/>
      <protection hidden="1"/>
    </xf>
    <xf numFmtId="0" fontId="159" fillId="202" borderId="80" xfId="0" applyFont="1" applyFill="1" applyBorder="1" applyAlignment="1" applyProtection="1">
      <alignment horizontal="center" vertical="center"/>
      <protection hidden="1"/>
    </xf>
    <xf numFmtId="0" fontId="159" fillId="202" borderId="81" xfId="0" applyFont="1" applyFill="1" applyBorder="1" applyAlignment="1" applyProtection="1">
      <alignment horizontal="center" vertical="center"/>
      <protection hidden="1"/>
    </xf>
    <xf numFmtId="0" fontId="159" fillId="202" borderId="82" xfId="0" applyFont="1" applyFill="1" applyBorder="1" applyAlignment="1" applyProtection="1">
      <alignment horizontal="center" vertical="center"/>
      <protection hidden="1"/>
    </xf>
    <xf numFmtId="0" fontId="87" fillId="200" borderId="35" xfId="0" applyFont="1" applyFill="1" applyBorder="1" applyAlignment="1" applyProtection="1">
      <alignment horizontal="center" vertical="center"/>
      <protection hidden="1"/>
    </xf>
    <xf numFmtId="0" fontId="87" fillId="200" borderId="36" xfId="0" applyFont="1" applyFill="1" applyBorder="1" applyAlignment="1" applyProtection="1">
      <alignment horizontal="center" vertical="center"/>
      <protection hidden="1"/>
    </xf>
    <xf numFmtId="0" fontId="87" fillId="200" borderId="37" xfId="0" applyFont="1" applyFill="1" applyBorder="1" applyAlignment="1" applyProtection="1">
      <alignment horizontal="center" vertical="center"/>
      <protection hidden="1"/>
    </xf>
    <xf numFmtId="0" fontId="87" fillId="200" borderId="47" xfId="0" applyFont="1" applyFill="1" applyBorder="1" applyAlignment="1" applyProtection="1">
      <alignment horizontal="center" vertical="center"/>
      <protection hidden="1"/>
    </xf>
    <xf numFmtId="0" fontId="87" fillId="200" borderId="0" xfId="0" applyFont="1" applyFill="1" applyBorder="1" applyAlignment="1" applyProtection="1">
      <alignment horizontal="center" vertical="center"/>
      <protection hidden="1"/>
    </xf>
    <xf numFmtId="0" fontId="87" fillId="200" borderId="48" xfId="0" applyFont="1" applyFill="1" applyBorder="1" applyAlignment="1" applyProtection="1">
      <alignment horizontal="center" vertical="center"/>
      <protection hidden="1"/>
    </xf>
    <xf numFmtId="0" fontId="87" fillId="200" borderId="38" xfId="0" applyFont="1" applyFill="1" applyBorder="1" applyAlignment="1" applyProtection="1">
      <alignment horizontal="center" vertical="center"/>
      <protection hidden="1"/>
    </xf>
    <xf numFmtId="0" fontId="87" fillId="200" borderId="23" xfId="0" applyFont="1" applyFill="1" applyBorder="1" applyAlignment="1" applyProtection="1">
      <alignment horizontal="center" vertical="center"/>
      <protection hidden="1"/>
    </xf>
    <xf numFmtId="0" fontId="87" fillId="200" borderId="39" xfId="0" applyFont="1" applyFill="1" applyBorder="1" applyAlignment="1" applyProtection="1">
      <alignment horizontal="center" vertical="center"/>
      <protection hidden="1"/>
    </xf>
    <xf numFmtId="0" fontId="114" fillId="251" borderId="35" xfId="0" applyFont="1" applyFill="1" applyBorder="1" applyAlignment="1" applyProtection="1">
      <alignment horizontal="center" vertical="center"/>
      <protection hidden="1"/>
    </xf>
    <xf numFmtId="0" fontId="114" fillId="251" borderId="36" xfId="0" applyFont="1" applyFill="1" applyBorder="1" applyAlignment="1" applyProtection="1">
      <alignment horizontal="center" vertical="center"/>
      <protection hidden="1"/>
    </xf>
    <xf numFmtId="0" fontId="114" fillId="251" borderId="37" xfId="0" applyFont="1" applyFill="1" applyBorder="1" applyAlignment="1" applyProtection="1">
      <alignment horizontal="center" vertical="center"/>
      <protection hidden="1"/>
    </xf>
    <xf numFmtId="0" fontId="114" fillId="251" borderId="47" xfId="0" applyFont="1" applyFill="1" applyBorder="1" applyAlignment="1" applyProtection="1">
      <alignment horizontal="center" vertical="center"/>
      <protection hidden="1"/>
    </xf>
    <xf numFmtId="0" fontId="114" fillId="251" borderId="0" xfId="0" applyFont="1" applyFill="1" applyBorder="1" applyAlignment="1" applyProtection="1">
      <alignment horizontal="center" vertical="center"/>
      <protection hidden="1"/>
    </xf>
    <xf numFmtId="0" fontId="114" fillId="251" borderId="48" xfId="0" applyFont="1" applyFill="1" applyBorder="1" applyAlignment="1" applyProtection="1">
      <alignment horizontal="center" vertical="center"/>
      <protection hidden="1"/>
    </xf>
    <xf numFmtId="0" fontId="114" fillId="251" borderId="38" xfId="0" applyFont="1" applyFill="1" applyBorder="1" applyAlignment="1" applyProtection="1">
      <alignment horizontal="center" vertical="center"/>
      <protection hidden="1"/>
    </xf>
    <xf numFmtId="0" fontId="114" fillId="251" borderId="23" xfId="0" applyFont="1" applyFill="1" applyBorder="1" applyAlignment="1" applyProtection="1">
      <alignment horizontal="center" vertical="center"/>
      <protection hidden="1"/>
    </xf>
    <xf numFmtId="0" fontId="114" fillId="251" borderId="39" xfId="0" applyFont="1" applyFill="1" applyBorder="1" applyAlignment="1" applyProtection="1">
      <alignment horizontal="center" vertical="center"/>
      <protection hidden="1"/>
    </xf>
    <xf numFmtId="0" fontId="159" fillId="252" borderId="80" xfId="0" applyFont="1" applyFill="1" applyBorder="1" applyAlignment="1" applyProtection="1">
      <alignment horizontal="center" vertical="center"/>
      <protection hidden="1"/>
    </xf>
    <xf numFmtId="0" fontId="159" fillId="252" borderId="81" xfId="0" applyFont="1" applyFill="1" applyBorder="1" applyAlignment="1" applyProtection="1">
      <alignment horizontal="center" vertical="center"/>
      <protection hidden="1"/>
    </xf>
    <xf numFmtId="0" fontId="159" fillId="252" borderId="82" xfId="0" applyFont="1" applyFill="1" applyBorder="1" applyAlignment="1" applyProtection="1">
      <alignment horizontal="center" vertical="center"/>
      <protection hidden="1"/>
    </xf>
    <xf numFmtId="0" fontId="114" fillId="227" borderId="35" xfId="0" applyFont="1" applyFill="1" applyBorder="1" applyAlignment="1" applyProtection="1">
      <alignment horizontal="center" vertical="center"/>
      <protection hidden="1"/>
    </xf>
    <xf numFmtId="0" fontId="114" fillId="227" borderId="36" xfId="0" applyFont="1" applyFill="1" applyBorder="1" applyAlignment="1" applyProtection="1">
      <alignment horizontal="center" vertical="center"/>
      <protection hidden="1"/>
    </xf>
    <xf numFmtId="0" fontId="114" fillId="227" borderId="37" xfId="0" applyFont="1" applyFill="1" applyBorder="1" applyAlignment="1" applyProtection="1">
      <alignment horizontal="center" vertical="center"/>
      <protection hidden="1"/>
    </xf>
    <xf numFmtId="0" fontId="114" fillId="227" borderId="47" xfId="0" applyFont="1" applyFill="1" applyBorder="1" applyAlignment="1" applyProtection="1">
      <alignment horizontal="center" vertical="center"/>
      <protection hidden="1"/>
    </xf>
    <xf numFmtId="0" fontId="114" fillId="227" borderId="0" xfId="0" applyFont="1" applyFill="1" applyBorder="1" applyAlignment="1" applyProtection="1">
      <alignment horizontal="center" vertical="center"/>
      <protection hidden="1"/>
    </xf>
    <xf numFmtId="0" fontId="114" fillId="227" borderId="48" xfId="0" applyFont="1" applyFill="1" applyBorder="1" applyAlignment="1" applyProtection="1">
      <alignment horizontal="center" vertical="center"/>
      <protection hidden="1"/>
    </xf>
    <xf numFmtId="0" fontId="114" fillId="227" borderId="38" xfId="0" applyFont="1" applyFill="1" applyBorder="1" applyAlignment="1" applyProtection="1">
      <alignment horizontal="center" vertical="center"/>
      <protection hidden="1"/>
    </xf>
    <xf numFmtId="0" fontId="114" fillId="227" borderId="23" xfId="0" applyFont="1" applyFill="1" applyBorder="1" applyAlignment="1" applyProtection="1">
      <alignment horizontal="center" vertical="center"/>
      <protection hidden="1"/>
    </xf>
    <xf numFmtId="0" fontId="114" fillId="227" borderId="39" xfId="0" applyFont="1" applyFill="1" applyBorder="1" applyAlignment="1" applyProtection="1">
      <alignment horizontal="center" vertical="center"/>
      <protection hidden="1"/>
    </xf>
    <xf numFmtId="0" fontId="87" fillId="191" borderId="35" xfId="0" applyFont="1" applyFill="1" applyBorder="1" applyAlignment="1" applyProtection="1">
      <alignment horizontal="center" vertical="center"/>
      <protection hidden="1"/>
    </xf>
    <xf numFmtId="0" fontId="87" fillId="191" borderId="36" xfId="0" applyFont="1" applyFill="1" applyBorder="1" applyAlignment="1" applyProtection="1">
      <alignment horizontal="center" vertical="center"/>
      <protection hidden="1"/>
    </xf>
    <xf numFmtId="0" fontId="87" fillId="191" borderId="37" xfId="0" applyFont="1" applyFill="1" applyBorder="1" applyAlignment="1" applyProtection="1">
      <alignment horizontal="center" vertical="center"/>
      <protection hidden="1"/>
    </xf>
    <xf numFmtId="0" fontId="87" fillId="191" borderId="47" xfId="0" applyFont="1" applyFill="1" applyBorder="1" applyAlignment="1" applyProtection="1">
      <alignment horizontal="center" vertical="center"/>
      <protection hidden="1"/>
    </xf>
    <xf numFmtId="0" fontId="87" fillId="191" borderId="0" xfId="0" applyFont="1" applyFill="1" applyBorder="1" applyAlignment="1" applyProtection="1">
      <alignment horizontal="center" vertical="center"/>
      <protection hidden="1"/>
    </xf>
    <xf numFmtId="0" fontId="87" fillId="191" borderId="48" xfId="0" applyFont="1" applyFill="1" applyBorder="1" applyAlignment="1" applyProtection="1">
      <alignment horizontal="center" vertical="center"/>
      <protection hidden="1"/>
    </xf>
    <xf numFmtId="0" fontId="87" fillId="191" borderId="38" xfId="0" applyFont="1" applyFill="1" applyBorder="1" applyAlignment="1" applyProtection="1">
      <alignment horizontal="center" vertical="center"/>
      <protection hidden="1"/>
    </xf>
    <xf numFmtId="0" fontId="87" fillId="191" borderId="23" xfId="0" applyFont="1" applyFill="1" applyBorder="1" applyAlignment="1" applyProtection="1">
      <alignment horizontal="center" vertical="center"/>
      <protection hidden="1"/>
    </xf>
    <xf numFmtId="0" fontId="87" fillId="191" borderId="39" xfId="0" applyFont="1" applyFill="1" applyBorder="1" applyAlignment="1" applyProtection="1">
      <alignment horizontal="center" vertical="center"/>
      <protection hidden="1"/>
    </xf>
    <xf numFmtId="0" fontId="159" fillId="248" borderId="80" xfId="0" applyFont="1" applyFill="1" applyBorder="1" applyAlignment="1" applyProtection="1">
      <alignment horizontal="center" vertical="center"/>
      <protection hidden="1"/>
    </xf>
    <xf numFmtId="0" fontId="159" fillId="248" borderId="81" xfId="0" applyFont="1" applyFill="1" applyBorder="1" applyAlignment="1" applyProtection="1">
      <alignment horizontal="center" vertical="center"/>
      <protection hidden="1"/>
    </xf>
    <xf numFmtId="0" fontId="159" fillId="248" borderId="82" xfId="0" applyFont="1" applyFill="1" applyBorder="1" applyAlignment="1" applyProtection="1">
      <alignment horizontal="center" vertical="center"/>
      <protection hidden="1"/>
    </xf>
    <xf numFmtId="0" fontId="87" fillId="193" borderId="35" xfId="0" applyFont="1" applyFill="1" applyBorder="1" applyAlignment="1" applyProtection="1">
      <alignment horizontal="center" vertical="center"/>
      <protection hidden="1"/>
    </xf>
    <xf numFmtId="0" fontId="87" fillId="193" borderId="36" xfId="0" applyFont="1" applyFill="1" applyBorder="1" applyAlignment="1" applyProtection="1">
      <alignment horizontal="center" vertical="center"/>
      <protection hidden="1"/>
    </xf>
    <xf numFmtId="0" fontId="87" fillId="193" borderId="37" xfId="0" applyFont="1" applyFill="1" applyBorder="1" applyAlignment="1" applyProtection="1">
      <alignment horizontal="center" vertical="center"/>
      <protection hidden="1"/>
    </xf>
    <xf numFmtId="0" fontId="87" fillId="193" borderId="47" xfId="0" applyFont="1" applyFill="1" applyBorder="1" applyAlignment="1" applyProtection="1">
      <alignment horizontal="center" vertical="center"/>
      <protection hidden="1"/>
    </xf>
    <xf numFmtId="0" fontId="87" fillId="193" borderId="0" xfId="0" applyFont="1" applyFill="1" applyBorder="1" applyAlignment="1" applyProtection="1">
      <alignment horizontal="center" vertical="center"/>
      <protection hidden="1"/>
    </xf>
    <xf numFmtId="0" fontId="87" fillId="193" borderId="48" xfId="0" applyFont="1" applyFill="1" applyBorder="1" applyAlignment="1" applyProtection="1">
      <alignment horizontal="center" vertical="center"/>
      <protection hidden="1"/>
    </xf>
    <xf numFmtId="0" fontId="87" fillId="193" borderId="38" xfId="0" applyFont="1" applyFill="1" applyBorder="1" applyAlignment="1" applyProtection="1">
      <alignment horizontal="center" vertical="center"/>
      <protection hidden="1"/>
    </xf>
    <xf numFmtId="0" fontId="87" fillId="193" borderId="23" xfId="0" applyFont="1" applyFill="1" applyBorder="1" applyAlignment="1" applyProtection="1">
      <alignment horizontal="center" vertical="center"/>
      <protection hidden="1"/>
    </xf>
    <xf numFmtId="0" fontId="87" fillId="193" borderId="39" xfId="0" applyFont="1" applyFill="1" applyBorder="1" applyAlignment="1" applyProtection="1">
      <alignment horizontal="center" vertical="center"/>
      <protection hidden="1"/>
    </xf>
    <xf numFmtId="0" fontId="87" fillId="194" borderId="35" xfId="0" applyFont="1" applyFill="1" applyBorder="1" applyAlignment="1" applyProtection="1">
      <alignment horizontal="center" vertical="center"/>
      <protection hidden="1"/>
    </xf>
    <xf numFmtId="0" fontId="87" fillId="194" borderId="36" xfId="0" applyFont="1" applyFill="1" applyBorder="1" applyAlignment="1" applyProtection="1">
      <alignment horizontal="center" vertical="center"/>
      <protection hidden="1"/>
    </xf>
    <xf numFmtId="0" fontId="87" fillId="194" borderId="37" xfId="0" applyFont="1" applyFill="1" applyBorder="1" applyAlignment="1" applyProtection="1">
      <alignment horizontal="center" vertical="center"/>
      <protection hidden="1"/>
    </xf>
    <xf numFmtId="0" fontId="87" fillId="194" borderId="47" xfId="0" applyFont="1" applyFill="1" applyBorder="1" applyAlignment="1" applyProtection="1">
      <alignment horizontal="center" vertical="center"/>
      <protection hidden="1"/>
    </xf>
    <xf numFmtId="0" fontId="87" fillId="194" borderId="0" xfId="0" applyFont="1" applyFill="1" applyBorder="1" applyAlignment="1" applyProtection="1">
      <alignment horizontal="center" vertical="center"/>
      <protection hidden="1"/>
    </xf>
    <xf numFmtId="0" fontId="87" fillId="194" borderId="48" xfId="0" applyFont="1" applyFill="1" applyBorder="1" applyAlignment="1" applyProtection="1">
      <alignment horizontal="center" vertical="center"/>
      <protection hidden="1"/>
    </xf>
    <xf numFmtId="0" fontId="87" fillId="194" borderId="38" xfId="0" applyFont="1" applyFill="1" applyBorder="1" applyAlignment="1" applyProtection="1">
      <alignment horizontal="center" vertical="center"/>
      <protection hidden="1"/>
    </xf>
    <xf numFmtId="0" fontId="87" fillId="194" borderId="23" xfId="0" applyFont="1" applyFill="1" applyBorder="1" applyAlignment="1" applyProtection="1">
      <alignment horizontal="center" vertical="center"/>
      <protection hidden="1"/>
    </xf>
    <xf numFmtId="0" fontId="87" fillId="194" borderId="39" xfId="0" applyFont="1" applyFill="1" applyBorder="1" applyAlignment="1" applyProtection="1">
      <alignment horizontal="center" vertical="center"/>
      <protection hidden="1"/>
    </xf>
    <xf numFmtId="0" fontId="114" fillId="249" borderId="35" xfId="0" applyFont="1" applyFill="1" applyBorder="1" applyAlignment="1" applyProtection="1">
      <alignment horizontal="center" vertical="center"/>
      <protection hidden="1"/>
    </xf>
    <xf numFmtId="0" fontId="114" fillId="249" borderId="36" xfId="0" applyFont="1" applyFill="1" applyBorder="1" applyAlignment="1" applyProtection="1">
      <alignment horizontal="center" vertical="center"/>
      <protection hidden="1"/>
    </xf>
    <xf numFmtId="0" fontId="114" fillId="249" borderId="37" xfId="0" applyFont="1" applyFill="1" applyBorder="1" applyAlignment="1" applyProtection="1">
      <alignment horizontal="center" vertical="center"/>
      <protection hidden="1"/>
    </xf>
    <xf numFmtId="0" fontId="114" fillId="249" borderId="47" xfId="0" applyFont="1" applyFill="1" applyBorder="1" applyAlignment="1" applyProtection="1">
      <alignment horizontal="center" vertical="center"/>
      <protection hidden="1"/>
    </xf>
    <xf numFmtId="0" fontId="114" fillId="249" borderId="0" xfId="0" applyFont="1" applyFill="1" applyBorder="1" applyAlignment="1" applyProtection="1">
      <alignment horizontal="center" vertical="center"/>
      <protection hidden="1"/>
    </xf>
    <xf numFmtId="0" fontId="114" fillId="249" borderId="48" xfId="0" applyFont="1" applyFill="1" applyBorder="1" applyAlignment="1" applyProtection="1">
      <alignment horizontal="center" vertical="center"/>
      <protection hidden="1"/>
    </xf>
    <xf numFmtId="0" fontId="114" fillId="249" borderId="38" xfId="0" applyFont="1" applyFill="1" applyBorder="1" applyAlignment="1" applyProtection="1">
      <alignment horizontal="center" vertical="center"/>
      <protection hidden="1"/>
    </xf>
    <xf numFmtId="0" fontId="114" fillId="249" borderId="23" xfId="0" applyFont="1" applyFill="1" applyBorder="1" applyAlignment="1" applyProtection="1">
      <alignment horizontal="center" vertical="center"/>
      <protection hidden="1"/>
    </xf>
    <xf numFmtId="0" fontId="114" fillId="249" borderId="39" xfId="0" applyFont="1" applyFill="1" applyBorder="1" applyAlignment="1" applyProtection="1">
      <alignment horizontal="center" vertical="center"/>
      <protection hidden="1"/>
    </xf>
    <xf numFmtId="0" fontId="159" fillId="250" borderId="80" xfId="0" applyFont="1" applyFill="1" applyBorder="1" applyAlignment="1" applyProtection="1">
      <alignment horizontal="center" vertical="center"/>
      <protection hidden="1"/>
    </xf>
    <xf numFmtId="0" fontId="159" fillId="250" borderId="81" xfId="0" applyFont="1" applyFill="1" applyBorder="1" applyAlignment="1" applyProtection="1">
      <alignment horizontal="center" vertical="center"/>
      <protection hidden="1"/>
    </xf>
    <xf numFmtId="0" fontId="159" fillId="250" borderId="82" xfId="0" applyFont="1" applyFill="1" applyBorder="1" applyAlignment="1" applyProtection="1">
      <alignment horizontal="center" vertical="center"/>
      <protection hidden="1"/>
    </xf>
    <xf numFmtId="0" fontId="87" fillId="225" borderId="35" xfId="0" applyFont="1" applyFill="1" applyBorder="1" applyAlignment="1" applyProtection="1">
      <alignment horizontal="center" vertical="center"/>
      <protection hidden="1"/>
    </xf>
    <xf numFmtId="0" fontId="87" fillId="225" borderId="36" xfId="0" applyFont="1" applyFill="1" applyBorder="1" applyAlignment="1" applyProtection="1">
      <alignment horizontal="center" vertical="center"/>
      <protection hidden="1"/>
    </xf>
    <xf numFmtId="0" fontId="87" fillId="225" borderId="37" xfId="0" applyFont="1" applyFill="1" applyBorder="1" applyAlignment="1" applyProtection="1">
      <alignment horizontal="center" vertical="center"/>
      <protection hidden="1"/>
    </xf>
    <xf numFmtId="0" fontId="87" fillId="225" borderId="47" xfId="0" applyFont="1" applyFill="1" applyBorder="1" applyAlignment="1" applyProtection="1">
      <alignment horizontal="center" vertical="center"/>
      <protection hidden="1"/>
    </xf>
    <xf numFmtId="0" fontId="87" fillId="225" borderId="0" xfId="0" applyFont="1" applyFill="1" applyBorder="1" applyAlignment="1" applyProtection="1">
      <alignment horizontal="center" vertical="center"/>
      <protection hidden="1"/>
    </xf>
    <xf numFmtId="0" fontId="87" fillId="225" borderId="48" xfId="0" applyFont="1" applyFill="1" applyBorder="1" applyAlignment="1" applyProtection="1">
      <alignment horizontal="center" vertical="center"/>
      <protection hidden="1"/>
    </xf>
    <xf numFmtId="0" fontId="87" fillId="225" borderId="38" xfId="0" applyFont="1" applyFill="1" applyBorder="1" applyAlignment="1" applyProtection="1">
      <alignment horizontal="center" vertical="center"/>
      <protection hidden="1"/>
    </xf>
    <xf numFmtId="0" fontId="87" fillId="225" borderId="23" xfId="0" applyFont="1" applyFill="1" applyBorder="1" applyAlignment="1" applyProtection="1">
      <alignment horizontal="center" vertical="center"/>
      <protection hidden="1"/>
    </xf>
    <xf numFmtId="0" fontId="87" fillId="225" borderId="39" xfId="0" applyFont="1" applyFill="1" applyBorder="1" applyAlignment="1" applyProtection="1">
      <alignment horizontal="center" vertical="center"/>
      <protection hidden="1"/>
    </xf>
    <xf numFmtId="0" fontId="159" fillId="243" borderId="80" xfId="0" applyFont="1" applyFill="1" applyBorder="1" applyAlignment="1" applyProtection="1">
      <alignment horizontal="center" vertical="center"/>
      <protection hidden="1"/>
    </xf>
    <xf numFmtId="0" fontId="159" fillId="243" borderId="81" xfId="0" applyFont="1" applyFill="1" applyBorder="1" applyAlignment="1" applyProtection="1">
      <alignment horizontal="center" vertical="center"/>
      <protection hidden="1"/>
    </xf>
    <xf numFmtId="0" fontId="159" fillId="243" borderId="82" xfId="0" applyFont="1" applyFill="1" applyBorder="1" applyAlignment="1" applyProtection="1">
      <alignment horizontal="center" vertical="center"/>
      <protection hidden="1"/>
    </xf>
    <xf numFmtId="168" fontId="14" fillId="189" borderId="125" xfId="9" applyNumberFormat="1" applyFont="1" applyFill="1" applyBorder="1" applyAlignment="1">
      <alignment horizontal="center" vertical="center" wrapText="1"/>
    </xf>
    <xf numFmtId="168" fontId="14" fillId="189" borderId="126" xfId="9" applyNumberFormat="1" applyFont="1" applyFill="1" applyBorder="1" applyAlignment="1">
      <alignment horizontal="center" vertical="center" wrapText="1"/>
    </xf>
    <xf numFmtId="168" fontId="14" fillId="189" borderId="127" xfId="9" applyNumberFormat="1" applyFont="1" applyFill="1" applyBorder="1" applyAlignment="1">
      <alignment horizontal="center" vertical="center" wrapText="1"/>
    </xf>
    <xf numFmtId="168" fontId="14" fillId="189" borderId="128" xfId="9" applyNumberFormat="1" applyFont="1" applyFill="1" applyBorder="1" applyAlignment="1">
      <alignment horizontal="center" vertical="center" wrapText="1"/>
    </xf>
    <xf numFmtId="168" fontId="14" fillId="189" borderId="129" xfId="9" applyNumberFormat="1" applyFont="1" applyFill="1" applyBorder="1" applyAlignment="1">
      <alignment horizontal="center" vertical="center" wrapText="1"/>
    </xf>
    <xf numFmtId="168" fontId="14" fillId="189" borderId="130" xfId="9" applyNumberFormat="1" applyFont="1" applyFill="1" applyBorder="1" applyAlignment="1">
      <alignment horizontal="center" vertical="center" wrapText="1"/>
    </xf>
    <xf numFmtId="0" fontId="37" fillId="183" borderId="0" xfId="0" applyNumberFormat="1" applyFont="1" applyFill="1" applyBorder="1" applyAlignment="1" applyProtection="1">
      <alignment horizontal="left" vertical="center"/>
      <protection hidden="1"/>
    </xf>
    <xf numFmtId="0" fontId="51" fillId="257" borderId="0" xfId="0" applyNumberFormat="1" applyFont="1" applyFill="1" applyBorder="1" applyAlignment="1" applyProtection="1">
      <alignment horizontal="center" vertical="center"/>
      <protection hidden="1"/>
    </xf>
    <xf numFmtId="0" fontId="79" fillId="258" borderId="36" xfId="0" applyFont="1" applyFill="1" applyBorder="1" applyAlignment="1" applyProtection="1">
      <alignment horizontal="center" vertical="center" wrapText="1"/>
      <protection hidden="1"/>
    </xf>
    <xf numFmtId="0" fontId="79" fillId="258" borderId="23" xfId="0" applyFont="1" applyFill="1" applyBorder="1" applyAlignment="1" applyProtection="1">
      <alignment horizontal="center" vertical="center" wrapText="1"/>
      <protection hidden="1"/>
    </xf>
    <xf numFmtId="168" fontId="14" fillId="189" borderId="88" xfId="9" applyNumberFormat="1" applyFont="1" applyFill="1" applyBorder="1" applyAlignment="1">
      <alignment horizontal="center" vertical="center" wrapText="1"/>
    </xf>
    <xf numFmtId="168" fontId="14" fillId="189" borderId="89" xfId="9" applyNumberFormat="1" applyFont="1" applyFill="1" applyBorder="1" applyAlignment="1">
      <alignment horizontal="center" vertical="center" wrapText="1"/>
    </xf>
    <xf numFmtId="0" fontId="37" fillId="170" borderId="8" xfId="3" applyNumberFormat="1" applyFont="1" applyFill="1" applyBorder="1" applyAlignment="1" applyProtection="1">
      <alignment horizontal="center" vertical="center" wrapText="1"/>
      <protection locked="0"/>
    </xf>
    <xf numFmtId="0" fontId="37" fillId="170" borderId="9" xfId="3" applyNumberFormat="1" applyFont="1" applyFill="1" applyBorder="1" applyAlignment="1" applyProtection="1">
      <alignment horizontal="center" vertical="center" wrapText="1"/>
      <protection locked="0"/>
    </xf>
    <xf numFmtId="0" fontId="9" fillId="25" borderId="0" xfId="0" quotePrefix="1" applyFont="1" applyFill="1" applyBorder="1" applyAlignment="1" applyProtection="1">
      <alignment horizontal="left" vertical="center" wrapText="1"/>
      <protection hidden="1"/>
    </xf>
    <xf numFmtId="0" fontId="159" fillId="241" borderId="80" xfId="0" applyFont="1" applyFill="1" applyBorder="1" applyAlignment="1" applyProtection="1">
      <alignment horizontal="center" vertical="center"/>
      <protection hidden="1"/>
    </xf>
    <xf numFmtId="0" fontId="159" fillId="241" borderId="81" xfId="0" applyFont="1" applyFill="1" applyBorder="1" applyAlignment="1" applyProtection="1">
      <alignment horizontal="center" vertical="center"/>
      <protection hidden="1"/>
    </xf>
    <xf numFmtId="0" fontId="159" fillId="241" borderId="82" xfId="0" applyFont="1" applyFill="1" applyBorder="1" applyAlignment="1" applyProtection="1">
      <alignment horizontal="center" vertical="center"/>
      <protection hidden="1"/>
    </xf>
    <xf numFmtId="0" fontId="87" fillId="229" borderId="35" xfId="0" applyFont="1" applyFill="1" applyBorder="1" applyAlignment="1" applyProtection="1">
      <alignment horizontal="center" vertical="center"/>
      <protection hidden="1"/>
    </xf>
    <xf numFmtId="0" fontId="87" fillId="229" borderId="36" xfId="0" applyFont="1" applyFill="1" applyBorder="1" applyAlignment="1" applyProtection="1">
      <alignment horizontal="center" vertical="center"/>
      <protection hidden="1"/>
    </xf>
    <xf numFmtId="0" fontId="87" fillId="229" borderId="37" xfId="0" applyFont="1" applyFill="1" applyBorder="1" applyAlignment="1" applyProtection="1">
      <alignment horizontal="center" vertical="center"/>
      <protection hidden="1"/>
    </xf>
    <xf numFmtId="0" fontId="87" fillId="229" borderId="47" xfId="0" applyFont="1" applyFill="1" applyBorder="1" applyAlignment="1" applyProtection="1">
      <alignment horizontal="center" vertical="center"/>
      <protection hidden="1"/>
    </xf>
    <xf numFmtId="0" fontId="87" fillId="229" borderId="0" xfId="0" applyFont="1" applyFill="1" applyBorder="1" applyAlignment="1" applyProtection="1">
      <alignment horizontal="center" vertical="center"/>
      <protection hidden="1"/>
    </xf>
    <xf numFmtId="0" fontId="87" fillId="229" borderId="48" xfId="0" applyFont="1" applyFill="1" applyBorder="1" applyAlignment="1" applyProtection="1">
      <alignment horizontal="center" vertical="center"/>
      <protection hidden="1"/>
    </xf>
    <xf numFmtId="0" fontId="87" fillId="229" borderId="38" xfId="0" applyFont="1" applyFill="1" applyBorder="1" applyAlignment="1" applyProtection="1">
      <alignment horizontal="center" vertical="center"/>
      <protection hidden="1"/>
    </xf>
    <xf numFmtId="0" fontId="87" fillId="229" borderId="23" xfId="0" applyFont="1" applyFill="1" applyBorder="1" applyAlignment="1" applyProtection="1">
      <alignment horizontal="center" vertical="center"/>
      <protection hidden="1"/>
    </xf>
    <xf numFmtId="0" fontId="87" fillId="229" borderId="39" xfId="0" applyFont="1" applyFill="1" applyBorder="1" applyAlignment="1" applyProtection="1">
      <alignment horizontal="center" vertical="center"/>
      <protection hidden="1"/>
    </xf>
    <xf numFmtId="0" fontId="37" fillId="9" borderId="111" xfId="9" applyFont="1" applyBorder="1" applyAlignment="1">
      <alignment horizontal="center" vertical="center"/>
    </xf>
    <xf numFmtId="0" fontId="37" fillId="9" borderId="112" xfId="9" applyFont="1" applyBorder="1" applyAlignment="1">
      <alignment horizontal="center" vertical="center"/>
    </xf>
    <xf numFmtId="0" fontId="37" fillId="9" borderId="113" xfId="9" applyFont="1" applyBorder="1" applyAlignment="1">
      <alignment horizontal="center" vertical="center"/>
    </xf>
    <xf numFmtId="0" fontId="13" fillId="253" borderId="52" xfId="0" applyFont="1" applyFill="1" applyBorder="1" applyAlignment="1" applyProtection="1">
      <alignment horizontal="center" vertical="center" wrapText="1"/>
      <protection hidden="1"/>
    </xf>
    <xf numFmtId="4" fontId="37" fillId="9" borderId="111" xfId="9" applyNumberFormat="1" applyFont="1" applyBorder="1" applyAlignment="1">
      <alignment horizontal="center" vertical="center"/>
    </xf>
    <xf numFmtId="4" fontId="37" fillId="9" borderId="112" xfId="9" applyNumberFormat="1" applyFont="1" applyBorder="1" applyAlignment="1">
      <alignment horizontal="center" vertical="center"/>
    </xf>
    <xf numFmtId="4" fontId="37" fillId="9" borderId="113" xfId="9" applyNumberFormat="1" applyFont="1" applyBorder="1" applyAlignment="1">
      <alignment horizontal="center" vertical="center"/>
    </xf>
    <xf numFmtId="0" fontId="87" fillId="228" borderId="35" xfId="0" applyFont="1" applyFill="1" applyBorder="1" applyAlignment="1" applyProtection="1">
      <alignment horizontal="center" vertical="center"/>
      <protection hidden="1"/>
    </xf>
    <xf numFmtId="0" fontId="87" fillId="228" borderId="36" xfId="0" applyFont="1" applyFill="1" applyBorder="1" applyAlignment="1" applyProtection="1">
      <alignment horizontal="center" vertical="center"/>
      <protection hidden="1"/>
    </xf>
    <xf numFmtId="0" fontId="87" fillId="228" borderId="37" xfId="0" applyFont="1" applyFill="1" applyBorder="1" applyAlignment="1" applyProtection="1">
      <alignment horizontal="center" vertical="center"/>
      <protection hidden="1"/>
    </xf>
    <xf numFmtId="0" fontId="87" fillId="228" borderId="47" xfId="0" applyFont="1" applyFill="1" applyBorder="1" applyAlignment="1" applyProtection="1">
      <alignment horizontal="center" vertical="center"/>
      <protection hidden="1"/>
    </xf>
    <xf numFmtId="0" fontId="87" fillId="228" borderId="0" xfId="0" applyFont="1" applyFill="1" applyBorder="1" applyAlignment="1" applyProtection="1">
      <alignment horizontal="center" vertical="center"/>
      <protection hidden="1"/>
    </xf>
    <xf numFmtId="0" fontId="87" fillId="228" borderId="48" xfId="0" applyFont="1" applyFill="1" applyBorder="1" applyAlignment="1" applyProtection="1">
      <alignment horizontal="center" vertical="center"/>
      <protection hidden="1"/>
    </xf>
    <xf numFmtId="0" fontId="87" fillId="228" borderId="38" xfId="0" applyFont="1" applyFill="1" applyBorder="1" applyAlignment="1" applyProtection="1">
      <alignment horizontal="center" vertical="center"/>
      <protection hidden="1"/>
    </xf>
    <xf numFmtId="0" fontId="87" fillId="228" borderId="23" xfId="0" applyFont="1" applyFill="1" applyBorder="1" applyAlignment="1" applyProtection="1">
      <alignment horizontal="center" vertical="center"/>
      <protection hidden="1"/>
    </xf>
    <xf numFmtId="0" fontId="87" fillId="228" borderId="39" xfId="0" applyFont="1" applyFill="1" applyBorder="1" applyAlignment="1" applyProtection="1">
      <alignment horizontal="center" vertical="center"/>
      <protection hidden="1"/>
    </xf>
    <xf numFmtId="0" fontId="13" fillId="276" borderId="52" xfId="0" applyFont="1" applyFill="1" applyBorder="1" applyAlignment="1" applyProtection="1">
      <alignment horizontal="center" vertical="top" wrapText="1"/>
      <protection hidden="1"/>
    </xf>
    <xf numFmtId="4" fontId="14" fillId="9" borderId="111" xfId="9" applyNumberFormat="1" applyFont="1" applyFill="1" applyBorder="1" applyAlignment="1">
      <alignment horizontal="center" vertical="center"/>
    </xf>
    <xf numFmtId="4" fontId="14" fillId="9" borderId="112" xfId="9" applyNumberFormat="1" applyFont="1" applyFill="1" applyBorder="1" applyAlignment="1">
      <alignment horizontal="center" vertical="center"/>
    </xf>
    <xf numFmtId="4" fontId="14" fillId="9" borderId="113" xfId="9" applyNumberFormat="1" applyFont="1" applyFill="1" applyBorder="1" applyAlignment="1">
      <alignment horizontal="center" vertical="center"/>
    </xf>
    <xf numFmtId="0" fontId="24" fillId="254" borderId="0" xfId="0" applyFont="1" applyFill="1" applyBorder="1" applyAlignment="1" applyProtection="1">
      <alignment horizontal="center" vertical="center"/>
      <protection hidden="1"/>
    </xf>
    <xf numFmtId="0" fontId="24" fillId="274" borderId="0" xfId="0" applyFont="1" applyFill="1" applyBorder="1" applyAlignment="1" applyProtection="1">
      <alignment horizontal="center" vertical="center"/>
      <protection hidden="1"/>
    </xf>
    <xf numFmtId="0" fontId="24" fillId="278" borderId="0" xfId="0" applyFont="1" applyFill="1" applyBorder="1" applyAlignment="1" applyProtection="1">
      <alignment horizontal="center" vertical="center"/>
      <protection hidden="1"/>
    </xf>
    <xf numFmtId="0" fontId="79" fillId="273" borderId="36" xfId="0" applyFont="1" applyFill="1" applyBorder="1" applyAlignment="1" applyProtection="1">
      <alignment horizontal="center" vertical="center"/>
      <protection hidden="1"/>
    </xf>
    <xf numFmtId="0" fontId="79" fillId="273" borderId="23" xfId="0" applyFont="1" applyFill="1" applyBorder="1" applyAlignment="1" applyProtection="1">
      <alignment horizontal="center" vertical="center"/>
      <protection hidden="1"/>
    </xf>
    <xf numFmtId="165" fontId="37" fillId="96" borderId="81" xfId="0" applyNumberFormat="1" applyFont="1" applyFill="1" applyBorder="1" applyAlignment="1" applyProtection="1">
      <alignment horizontal="center" vertical="center"/>
      <protection hidden="1"/>
    </xf>
    <xf numFmtId="0" fontId="37" fillId="183" borderId="0" xfId="0" applyFont="1" applyFill="1" applyBorder="1" applyAlignment="1" applyProtection="1">
      <alignment horizontal="left" vertical="center"/>
      <protection hidden="1"/>
    </xf>
    <xf numFmtId="0" fontId="37" fillId="183" borderId="0" xfId="0" applyFont="1" applyFill="1" applyBorder="1" applyAlignment="1" applyProtection="1">
      <alignment horizontal="left" vertical="center" wrapText="1"/>
      <protection hidden="1"/>
    </xf>
    <xf numFmtId="2" fontId="14" fillId="189" borderId="123" xfId="9" applyNumberFormat="1" applyFont="1" applyFill="1" applyBorder="1" applyAlignment="1">
      <alignment horizontal="center" vertical="center"/>
    </xf>
    <xf numFmtId="2" fontId="14" fillId="189" borderId="45" xfId="9" applyNumberFormat="1" applyFont="1" applyFill="1" applyBorder="1" applyAlignment="1">
      <alignment horizontal="center" vertical="center"/>
    </xf>
    <xf numFmtId="2" fontId="14" fillId="189" borderId="124" xfId="9" applyNumberFormat="1" applyFont="1" applyFill="1" applyBorder="1" applyAlignment="1">
      <alignment horizontal="center" vertical="center"/>
    </xf>
    <xf numFmtId="0" fontId="37" fillId="183" borderId="0" xfId="0" applyFont="1" applyFill="1" applyBorder="1" applyAlignment="1" applyProtection="1">
      <alignment horizontal="left" vertical="top" wrapText="1"/>
      <protection hidden="1"/>
    </xf>
    <xf numFmtId="169" fontId="61" fillId="189" borderId="123" xfId="9" applyNumberFormat="1" applyFont="1" applyFill="1" applyBorder="1" applyAlignment="1">
      <alignment horizontal="center" vertical="center"/>
    </xf>
    <xf numFmtId="169" fontId="61" fillId="189" borderId="45" xfId="9" applyNumberFormat="1" applyFont="1" applyFill="1" applyBorder="1" applyAlignment="1">
      <alignment horizontal="center" vertical="center"/>
    </xf>
    <xf numFmtId="169" fontId="61" fillId="189" borderId="124" xfId="9" applyNumberFormat="1" applyFont="1" applyFill="1" applyBorder="1" applyAlignment="1">
      <alignment horizontal="center" vertical="center"/>
    </xf>
    <xf numFmtId="169" fontId="61" fillId="189" borderId="132" xfId="9" applyNumberFormat="1" applyFont="1" applyFill="1" applyBorder="1" applyAlignment="1">
      <alignment horizontal="center" vertical="center"/>
    </xf>
    <xf numFmtId="169" fontId="61" fillId="189" borderId="133" xfId="9" applyNumberFormat="1" applyFont="1" applyFill="1" applyBorder="1" applyAlignment="1">
      <alignment horizontal="center" vertical="center"/>
    </xf>
    <xf numFmtId="169" fontId="61" fillId="189" borderId="134" xfId="9" applyNumberFormat="1" applyFont="1" applyFill="1" applyBorder="1" applyAlignment="1">
      <alignment horizontal="center" vertical="center"/>
    </xf>
    <xf numFmtId="165" fontId="37" fillId="96" borderId="6" xfId="0" applyNumberFormat="1" applyFont="1" applyFill="1" applyBorder="1" applyAlignment="1" applyProtection="1">
      <alignment horizontal="center" vertical="center"/>
      <protection hidden="1"/>
    </xf>
    <xf numFmtId="167" fontId="79" fillId="100" borderId="36" xfId="0" applyNumberFormat="1" applyFont="1" applyFill="1" applyBorder="1" applyAlignment="1" applyProtection="1">
      <alignment horizontal="center" vertical="center"/>
      <protection hidden="1"/>
    </xf>
    <xf numFmtId="167" fontId="79" fillId="100" borderId="23" xfId="0" applyNumberFormat="1" applyFont="1" applyFill="1" applyBorder="1" applyAlignment="1" applyProtection="1">
      <alignment horizontal="center" vertical="center"/>
      <protection hidden="1"/>
    </xf>
    <xf numFmtId="0" fontId="9" fillId="17" borderId="0" xfId="0" applyFont="1" applyFill="1" applyBorder="1" applyAlignment="1" applyProtection="1">
      <alignment horizontal="left" vertical="top" wrapText="1"/>
      <protection hidden="1"/>
    </xf>
    <xf numFmtId="0" fontId="87" fillId="162" borderId="35" xfId="0" applyFont="1" applyFill="1" applyBorder="1" applyAlignment="1" applyProtection="1">
      <alignment horizontal="center" vertical="center"/>
      <protection hidden="1"/>
    </xf>
    <xf numFmtId="0" fontId="87" fillId="162" borderId="36" xfId="0" applyFont="1" applyFill="1" applyBorder="1" applyAlignment="1" applyProtection="1">
      <alignment horizontal="center" vertical="center"/>
      <protection hidden="1"/>
    </xf>
    <xf numFmtId="0" fontId="87" fillId="162" borderId="37" xfId="0" applyFont="1" applyFill="1" applyBorder="1" applyAlignment="1" applyProtection="1">
      <alignment horizontal="center" vertical="center"/>
      <protection hidden="1"/>
    </xf>
    <xf numFmtId="0" fontId="87" fillId="162" borderId="47" xfId="0" applyFont="1" applyFill="1" applyBorder="1" applyAlignment="1" applyProtection="1">
      <alignment horizontal="center" vertical="center"/>
      <protection hidden="1"/>
    </xf>
    <xf numFmtId="0" fontId="87" fillId="162" borderId="0" xfId="0" applyFont="1" applyFill="1" applyBorder="1" applyAlignment="1" applyProtection="1">
      <alignment horizontal="center" vertical="center"/>
      <protection hidden="1"/>
    </xf>
    <xf numFmtId="0" fontId="87" fillId="162" borderId="48" xfId="0" applyFont="1" applyFill="1" applyBorder="1" applyAlignment="1" applyProtection="1">
      <alignment horizontal="center" vertical="center"/>
      <protection hidden="1"/>
    </xf>
    <xf numFmtId="0" fontId="87" fillId="162" borderId="38" xfId="0" applyFont="1" applyFill="1" applyBorder="1" applyAlignment="1" applyProtection="1">
      <alignment horizontal="center" vertical="center"/>
      <protection hidden="1"/>
    </xf>
    <xf numFmtId="0" fontId="87" fillId="162" borderId="23" xfId="0" applyFont="1" applyFill="1" applyBorder="1" applyAlignment="1" applyProtection="1">
      <alignment horizontal="center" vertical="center"/>
      <protection hidden="1"/>
    </xf>
    <xf numFmtId="0" fontId="87" fillId="162" borderId="39" xfId="0" applyFont="1" applyFill="1" applyBorder="1" applyAlignment="1" applyProtection="1">
      <alignment horizontal="center" vertical="center"/>
      <protection hidden="1"/>
    </xf>
    <xf numFmtId="0" fontId="195" fillId="317" borderId="35" xfId="0" applyFont="1" applyFill="1" applyBorder="1" applyAlignment="1" applyProtection="1">
      <alignment horizontal="center" vertical="center"/>
      <protection hidden="1"/>
    </xf>
    <xf numFmtId="0" fontId="195" fillId="317" borderId="36" xfId="0" applyFont="1" applyFill="1" applyBorder="1" applyAlignment="1" applyProtection="1">
      <alignment horizontal="center" vertical="center"/>
      <protection hidden="1"/>
    </xf>
    <xf numFmtId="0" fontId="195" fillId="317" borderId="37" xfId="0" applyFont="1" applyFill="1" applyBorder="1" applyAlignment="1" applyProtection="1">
      <alignment horizontal="center" vertical="center"/>
      <protection hidden="1"/>
    </xf>
    <xf numFmtId="0" fontId="195" fillId="317" borderId="38" xfId="0" applyFont="1" applyFill="1" applyBorder="1" applyAlignment="1" applyProtection="1">
      <alignment horizontal="center" vertical="center"/>
      <protection hidden="1"/>
    </xf>
    <xf numFmtId="0" fontId="195" fillId="317" borderId="23" xfId="0" applyFont="1" applyFill="1" applyBorder="1" applyAlignment="1" applyProtection="1">
      <alignment horizontal="center" vertical="center"/>
      <protection hidden="1"/>
    </xf>
    <xf numFmtId="0" fontId="195" fillId="317" borderId="39" xfId="0" applyFont="1" applyFill="1" applyBorder="1" applyAlignment="1" applyProtection="1">
      <alignment horizontal="center" vertical="center"/>
      <protection hidden="1"/>
    </xf>
    <xf numFmtId="0" fontId="13" fillId="21" borderId="52" xfId="0" applyFont="1" applyFill="1" applyBorder="1" applyAlignment="1" applyProtection="1">
      <alignment horizontal="center" vertical="center" wrapText="1"/>
      <protection hidden="1"/>
    </xf>
    <xf numFmtId="0" fontId="39" fillId="9" borderId="3" xfId="0" applyFont="1" applyFill="1" applyBorder="1" applyAlignment="1" applyProtection="1">
      <alignment horizontal="center" vertical="center"/>
      <protection hidden="1"/>
    </xf>
    <xf numFmtId="0" fontId="39" fillId="9" borderId="6" xfId="0" applyFont="1" applyFill="1" applyBorder="1" applyAlignment="1" applyProtection="1">
      <alignment horizontal="center" vertical="center"/>
      <protection hidden="1"/>
    </xf>
    <xf numFmtId="0" fontId="39" fillId="9" borderId="2" xfId="0" applyFont="1" applyFill="1" applyBorder="1" applyAlignment="1" applyProtection="1">
      <alignment horizontal="center" vertical="center"/>
      <protection hidden="1"/>
    </xf>
    <xf numFmtId="0" fontId="39" fillId="156" borderId="80" xfId="0" applyFont="1" applyFill="1" applyBorder="1" applyAlignment="1" applyProtection="1">
      <alignment horizontal="center" vertical="center"/>
      <protection hidden="1"/>
    </xf>
    <xf numFmtId="0" fontId="39" fillId="156" borderId="81" xfId="0" applyFont="1" applyFill="1" applyBorder="1" applyAlignment="1" applyProtection="1">
      <alignment horizontal="center" vertical="center"/>
      <protection hidden="1"/>
    </xf>
    <xf numFmtId="0" fontId="39" fillId="156" borderId="82" xfId="0" applyFont="1" applyFill="1" applyBorder="1" applyAlignment="1" applyProtection="1">
      <alignment horizontal="center" vertical="center"/>
      <protection hidden="1"/>
    </xf>
    <xf numFmtId="0" fontId="37" fillId="25" borderId="0" xfId="0" quotePrefix="1" applyFont="1" applyFill="1" applyBorder="1" applyAlignment="1" applyProtection="1">
      <alignment horizontal="left" vertical="center" wrapText="1"/>
      <protection hidden="1"/>
    </xf>
    <xf numFmtId="0" fontId="39" fillId="167" borderId="80" xfId="0" applyFont="1" applyFill="1" applyBorder="1" applyAlignment="1" applyProtection="1">
      <alignment horizontal="center" vertical="center"/>
      <protection hidden="1"/>
    </xf>
    <xf numFmtId="0" fontId="39" fillId="167" borderId="81" xfId="0" applyFont="1" applyFill="1" applyBorder="1" applyAlignment="1" applyProtection="1">
      <alignment horizontal="center" vertical="center"/>
      <protection hidden="1"/>
    </xf>
    <xf numFmtId="0" fontId="39" fillId="167" borderId="82" xfId="0" applyFont="1" applyFill="1" applyBorder="1" applyAlignment="1" applyProtection="1">
      <alignment horizontal="center" vertical="center"/>
      <protection hidden="1"/>
    </xf>
    <xf numFmtId="0" fontId="39" fillId="155" borderId="80" xfId="0" applyFont="1" applyFill="1" applyBorder="1" applyAlignment="1" applyProtection="1">
      <alignment horizontal="center" vertical="center"/>
      <protection hidden="1"/>
    </xf>
    <xf numFmtId="0" fontId="39" fillId="155" borderId="81" xfId="0" applyFont="1" applyFill="1" applyBorder="1" applyAlignment="1" applyProtection="1">
      <alignment horizontal="center" vertical="center"/>
      <protection hidden="1"/>
    </xf>
    <xf numFmtId="0" fontId="39" fillId="155" borderId="82" xfId="0" applyFont="1" applyFill="1" applyBorder="1" applyAlignment="1" applyProtection="1">
      <alignment horizontal="center" vertical="center"/>
      <protection hidden="1"/>
    </xf>
    <xf numFmtId="0" fontId="87" fillId="168" borderId="35" xfId="0" applyFont="1" applyFill="1" applyBorder="1" applyAlignment="1" applyProtection="1">
      <alignment horizontal="center" vertical="center"/>
      <protection hidden="1"/>
    </xf>
    <xf numFmtId="0" fontId="87" fillId="168" borderId="36" xfId="0" applyFont="1" applyFill="1" applyBorder="1" applyAlignment="1" applyProtection="1">
      <alignment horizontal="center" vertical="center"/>
      <protection hidden="1"/>
    </xf>
    <xf numFmtId="0" fontId="87" fillId="168" borderId="37" xfId="0" applyFont="1" applyFill="1" applyBorder="1" applyAlignment="1" applyProtection="1">
      <alignment horizontal="center" vertical="center"/>
      <protection hidden="1"/>
    </xf>
    <xf numFmtId="0" fontId="87" fillId="168" borderId="47" xfId="0" applyFont="1" applyFill="1" applyBorder="1" applyAlignment="1" applyProtection="1">
      <alignment horizontal="center" vertical="center"/>
      <protection hidden="1"/>
    </xf>
    <xf numFmtId="0" fontId="87" fillId="168" borderId="0" xfId="0" applyFont="1" applyFill="1" applyBorder="1" applyAlignment="1" applyProtection="1">
      <alignment horizontal="center" vertical="center"/>
      <protection hidden="1"/>
    </xf>
    <xf numFmtId="0" fontId="87" fillId="168" borderId="48" xfId="0" applyFont="1" applyFill="1" applyBorder="1" applyAlignment="1" applyProtection="1">
      <alignment horizontal="center" vertical="center"/>
      <protection hidden="1"/>
    </xf>
    <xf numFmtId="0" fontId="87" fillId="168" borderId="38" xfId="0" applyFont="1" applyFill="1" applyBorder="1" applyAlignment="1" applyProtection="1">
      <alignment horizontal="center" vertical="center"/>
      <protection hidden="1"/>
    </xf>
    <xf numFmtId="0" fontId="87" fillId="168" borderId="23" xfId="0" applyFont="1" applyFill="1" applyBorder="1" applyAlignment="1" applyProtection="1">
      <alignment horizontal="center" vertical="center"/>
      <protection hidden="1"/>
    </xf>
    <xf numFmtId="0" fontId="87" fillId="168" borderId="39" xfId="0" applyFont="1" applyFill="1" applyBorder="1" applyAlignment="1" applyProtection="1">
      <alignment horizontal="center" vertical="center"/>
      <protection hidden="1"/>
    </xf>
    <xf numFmtId="0" fontId="39" fillId="151" borderId="80" xfId="0" applyFont="1" applyFill="1" applyBorder="1" applyAlignment="1" applyProtection="1">
      <alignment horizontal="center" vertical="center"/>
      <protection hidden="1"/>
    </xf>
    <xf numFmtId="0" fontId="39" fillId="151" borderId="81" xfId="0" applyFont="1" applyFill="1" applyBorder="1" applyAlignment="1" applyProtection="1">
      <alignment horizontal="center" vertical="center"/>
      <protection hidden="1"/>
    </xf>
    <xf numFmtId="0" fontId="39" fillId="151" borderId="82" xfId="0" applyFont="1" applyFill="1" applyBorder="1" applyAlignment="1" applyProtection="1">
      <alignment horizontal="center" vertical="center"/>
      <protection hidden="1"/>
    </xf>
    <xf numFmtId="0" fontId="124" fillId="209" borderId="36" xfId="0" applyFont="1" applyFill="1" applyBorder="1" applyAlignment="1" applyProtection="1">
      <alignment horizontal="center" vertical="center"/>
      <protection hidden="1"/>
    </xf>
    <xf numFmtId="0" fontId="124" fillId="209" borderId="23" xfId="0" applyFont="1" applyFill="1" applyBorder="1" applyAlignment="1" applyProtection="1">
      <alignment horizontal="center" vertical="center"/>
      <protection hidden="1"/>
    </xf>
    <xf numFmtId="0" fontId="79" fillId="208" borderId="36" xfId="0" applyFont="1" applyFill="1" applyBorder="1" applyAlignment="1" applyProtection="1">
      <alignment horizontal="center" vertical="center"/>
      <protection hidden="1"/>
    </xf>
    <xf numFmtId="0" fontId="79" fillId="208" borderId="23" xfId="0" applyFont="1" applyFill="1" applyBorder="1" applyAlignment="1" applyProtection="1">
      <alignment horizontal="center" vertical="center"/>
      <protection hidden="1"/>
    </xf>
    <xf numFmtId="0" fontId="79" fillId="213" borderId="36" xfId="0" applyFont="1" applyFill="1" applyBorder="1" applyAlignment="1" applyProtection="1">
      <alignment horizontal="center" vertical="center"/>
      <protection hidden="1"/>
    </xf>
    <xf numFmtId="0" fontId="79" fillId="213" borderId="23" xfId="0" applyFont="1" applyFill="1" applyBorder="1" applyAlignment="1" applyProtection="1">
      <alignment horizontal="center" vertical="center"/>
      <protection hidden="1"/>
    </xf>
    <xf numFmtId="0" fontId="79" fillId="214" borderId="36" xfId="0" applyFont="1" applyFill="1" applyBorder="1" applyAlignment="1" applyProtection="1">
      <alignment horizontal="center" vertical="center"/>
      <protection hidden="1"/>
    </xf>
    <xf numFmtId="0" fontId="79" fillId="214" borderId="23" xfId="0" applyFont="1" applyFill="1" applyBorder="1" applyAlignment="1" applyProtection="1">
      <alignment horizontal="center" vertical="center"/>
      <protection hidden="1"/>
    </xf>
    <xf numFmtId="0" fontId="79" fillId="204" borderId="36" xfId="0" applyFont="1" applyFill="1" applyBorder="1" applyAlignment="1" applyProtection="1">
      <alignment horizontal="center" vertical="center"/>
      <protection hidden="1"/>
    </xf>
    <xf numFmtId="0" fontId="79" fillId="204" borderId="23" xfId="0" applyFont="1" applyFill="1" applyBorder="1" applyAlignment="1" applyProtection="1">
      <alignment horizontal="center" vertical="center"/>
      <protection hidden="1"/>
    </xf>
    <xf numFmtId="0" fontId="79" fillId="210" borderId="36" xfId="0" applyFont="1" applyFill="1" applyBorder="1" applyAlignment="1" applyProtection="1">
      <alignment horizontal="center" vertical="center"/>
      <protection hidden="1"/>
    </xf>
    <xf numFmtId="0" fontId="79" fillId="210" borderId="23" xfId="0" applyFont="1" applyFill="1" applyBorder="1" applyAlignment="1" applyProtection="1">
      <alignment horizontal="center" vertical="center"/>
      <protection hidden="1"/>
    </xf>
    <xf numFmtId="0" fontId="79" fillId="211" borderId="36" xfId="0" applyFont="1" applyFill="1" applyBorder="1" applyAlignment="1" applyProtection="1">
      <alignment horizontal="center" vertical="center"/>
      <protection hidden="1"/>
    </xf>
    <xf numFmtId="0" fontId="79" fillId="211" borderId="23" xfId="0" applyFont="1" applyFill="1" applyBorder="1" applyAlignment="1" applyProtection="1">
      <alignment horizontal="center" vertical="center"/>
      <protection hidden="1"/>
    </xf>
    <xf numFmtId="0" fontId="79" fillId="212" borderId="36" xfId="0" applyFont="1" applyFill="1" applyBorder="1" applyAlignment="1" applyProtection="1">
      <alignment horizontal="center" vertical="center"/>
      <protection hidden="1"/>
    </xf>
    <xf numFmtId="0" fontId="79" fillId="212" borderId="23" xfId="0" applyFont="1" applyFill="1" applyBorder="1" applyAlignment="1" applyProtection="1">
      <alignment horizontal="center" vertical="center"/>
      <protection hidden="1"/>
    </xf>
    <xf numFmtId="0" fontId="79" fillId="207" borderId="36" xfId="0" applyFont="1" applyFill="1" applyBorder="1" applyAlignment="1" applyProtection="1">
      <alignment horizontal="center" vertical="center"/>
      <protection hidden="1"/>
    </xf>
    <xf numFmtId="0" fontId="79" fillId="207" borderId="23" xfId="0" applyFont="1" applyFill="1" applyBorder="1" applyAlignment="1" applyProtection="1">
      <alignment horizontal="center" vertical="center"/>
      <protection hidden="1"/>
    </xf>
    <xf numFmtId="0" fontId="87" fillId="196" borderId="35" xfId="0" applyFont="1" applyFill="1" applyBorder="1" applyAlignment="1" applyProtection="1">
      <alignment horizontal="center" vertical="center"/>
      <protection hidden="1"/>
    </xf>
    <xf numFmtId="0" fontId="87" fillId="196" borderId="36" xfId="0" applyFont="1" applyFill="1" applyBorder="1" applyAlignment="1" applyProtection="1">
      <alignment horizontal="center" vertical="center"/>
      <protection hidden="1"/>
    </xf>
    <xf numFmtId="0" fontId="87" fillId="196" borderId="37" xfId="0" applyFont="1" applyFill="1" applyBorder="1" applyAlignment="1" applyProtection="1">
      <alignment horizontal="center" vertical="center"/>
      <protection hidden="1"/>
    </xf>
    <xf numFmtId="0" fontId="87" fillId="196" borderId="47" xfId="0" applyFont="1" applyFill="1" applyBorder="1" applyAlignment="1" applyProtection="1">
      <alignment horizontal="center" vertical="center"/>
      <protection hidden="1"/>
    </xf>
    <xf numFmtId="0" fontId="87" fillId="196" borderId="0" xfId="0" applyFont="1" applyFill="1" applyBorder="1" applyAlignment="1" applyProtection="1">
      <alignment horizontal="center" vertical="center"/>
      <protection hidden="1"/>
    </xf>
    <xf numFmtId="0" fontId="87" fillId="196" borderId="48" xfId="0" applyFont="1" applyFill="1" applyBorder="1" applyAlignment="1" applyProtection="1">
      <alignment horizontal="center" vertical="center"/>
      <protection hidden="1"/>
    </xf>
    <xf numFmtId="0" fontId="87" fillId="196" borderId="38" xfId="0" applyFont="1" applyFill="1" applyBorder="1" applyAlignment="1" applyProtection="1">
      <alignment horizontal="center" vertical="center"/>
      <protection hidden="1"/>
    </xf>
    <xf numFmtId="0" fontId="87" fillId="196" borderId="23" xfId="0" applyFont="1" applyFill="1" applyBorder="1" applyAlignment="1" applyProtection="1">
      <alignment horizontal="center" vertical="center"/>
      <protection hidden="1"/>
    </xf>
    <xf numFmtId="0" fontId="87" fillId="196" borderId="39" xfId="0" applyFont="1" applyFill="1" applyBorder="1" applyAlignment="1" applyProtection="1">
      <alignment horizontal="center" vertical="center"/>
      <protection hidden="1"/>
    </xf>
    <xf numFmtId="0" fontId="87" fillId="201" borderId="35" xfId="0" applyFont="1" applyFill="1" applyBorder="1" applyAlignment="1" applyProtection="1">
      <alignment horizontal="center" vertical="center"/>
      <protection hidden="1"/>
    </xf>
    <xf numFmtId="0" fontId="87" fillId="201" borderId="36" xfId="0" applyFont="1" applyFill="1" applyBorder="1" applyAlignment="1" applyProtection="1">
      <alignment horizontal="center" vertical="center"/>
      <protection hidden="1"/>
    </xf>
    <xf numFmtId="0" fontId="87" fillId="201" borderId="37" xfId="0" applyFont="1" applyFill="1" applyBorder="1" applyAlignment="1" applyProtection="1">
      <alignment horizontal="center" vertical="center"/>
      <protection hidden="1"/>
    </xf>
    <xf numFmtId="0" fontId="87" fillId="201" borderId="47" xfId="0" applyFont="1" applyFill="1" applyBorder="1" applyAlignment="1" applyProtection="1">
      <alignment horizontal="center" vertical="center"/>
      <protection hidden="1"/>
    </xf>
    <xf numFmtId="0" fontId="87" fillId="201" borderId="0" xfId="0" applyFont="1" applyFill="1" applyBorder="1" applyAlignment="1" applyProtection="1">
      <alignment horizontal="center" vertical="center"/>
      <protection hidden="1"/>
    </xf>
    <xf numFmtId="0" fontId="87" fillId="201" borderId="48" xfId="0" applyFont="1" applyFill="1" applyBorder="1" applyAlignment="1" applyProtection="1">
      <alignment horizontal="center" vertical="center"/>
      <protection hidden="1"/>
    </xf>
    <xf numFmtId="0" fontId="87" fillId="201" borderId="38" xfId="0" applyFont="1" applyFill="1" applyBorder="1" applyAlignment="1" applyProtection="1">
      <alignment horizontal="center" vertical="center"/>
      <protection hidden="1"/>
    </xf>
    <xf numFmtId="0" fontId="87" fillId="201" borderId="23" xfId="0" applyFont="1" applyFill="1" applyBorder="1" applyAlignment="1" applyProtection="1">
      <alignment horizontal="center" vertical="center"/>
      <protection hidden="1"/>
    </xf>
    <xf numFmtId="0" fontId="87" fillId="201" borderId="39" xfId="0" applyFont="1" applyFill="1" applyBorder="1" applyAlignment="1" applyProtection="1">
      <alignment horizontal="center" vertical="center"/>
      <protection hidden="1"/>
    </xf>
    <xf numFmtId="0" fontId="87" fillId="203" borderId="35" xfId="0" applyFont="1" applyFill="1" applyBorder="1" applyAlignment="1" applyProtection="1">
      <alignment horizontal="center" vertical="center"/>
      <protection hidden="1"/>
    </xf>
    <xf numFmtId="0" fontId="87" fillId="203" borderId="36" xfId="0" applyFont="1" applyFill="1" applyBorder="1" applyAlignment="1" applyProtection="1">
      <alignment horizontal="center" vertical="center"/>
      <protection hidden="1"/>
    </xf>
    <xf numFmtId="0" fontId="87" fillId="203" borderId="37" xfId="0" applyFont="1" applyFill="1" applyBorder="1" applyAlignment="1" applyProtection="1">
      <alignment horizontal="center" vertical="center"/>
      <protection hidden="1"/>
    </xf>
    <xf numFmtId="0" fontId="87" fillId="203" borderId="47" xfId="0" applyFont="1" applyFill="1" applyBorder="1" applyAlignment="1" applyProtection="1">
      <alignment horizontal="center" vertical="center"/>
      <protection hidden="1"/>
    </xf>
    <xf numFmtId="0" fontId="87" fillId="203" borderId="0" xfId="0" applyFont="1" applyFill="1" applyBorder="1" applyAlignment="1" applyProtection="1">
      <alignment horizontal="center" vertical="center"/>
      <protection hidden="1"/>
    </xf>
    <xf numFmtId="0" fontId="87" fillId="203" borderId="48" xfId="0" applyFont="1" applyFill="1" applyBorder="1" applyAlignment="1" applyProtection="1">
      <alignment horizontal="center" vertical="center"/>
      <protection hidden="1"/>
    </xf>
    <xf numFmtId="0" fontId="87" fillId="203" borderId="38" xfId="0" applyFont="1" applyFill="1" applyBorder="1" applyAlignment="1" applyProtection="1">
      <alignment horizontal="center" vertical="center"/>
      <protection hidden="1"/>
    </xf>
    <xf numFmtId="0" fontId="87" fillId="203" borderId="23" xfId="0" applyFont="1" applyFill="1" applyBorder="1" applyAlignment="1" applyProtection="1">
      <alignment horizontal="center" vertical="center"/>
      <protection hidden="1"/>
    </xf>
    <xf numFmtId="0" fontId="87" fillId="203" borderId="39" xfId="0" applyFont="1" applyFill="1" applyBorder="1" applyAlignment="1" applyProtection="1">
      <alignment horizontal="center" vertical="center"/>
      <protection hidden="1"/>
    </xf>
    <xf numFmtId="0" fontId="114" fillId="194" borderId="35" xfId="0" applyFont="1" applyFill="1" applyBorder="1" applyAlignment="1" applyProtection="1">
      <alignment horizontal="center" vertical="center"/>
      <protection hidden="1"/>
    </xf>
    <xf numFmtId="0" fontId="114" fillId="194" borderId="36" xfId="0" applyFont="1" applyFill="1" applyBorder="1" applyAlignment="1" applyProtection="1">
      <alignment horizontal="center" vertical="center"/>
      <protection hidden="1"/>
    </xf>
    <xf numFmtId="0" fontId="114" fillId="194" borderId="37" xfId="0" applyFont="1" applyFill="1" applyBorder="1" applyAlignment="1" applyProtection="1">
      <alignment horizontal="center" vertical="center"/>
      <protection hidden="1"/>
    </xf>
    <xf numFmtId="0" fontId="114" fillId="194" borderId="47" xfId="0" applyFont="1" applyFill="1" applyBorder="1" applyAlignment="1" applyProtection="1">
      <alignment horizontal="center" vertical="center"/>
      <protection hidden="1"/>
    </xf>
    <xf numFmtId="0" fontId="114" fillId="194" borderId="0" xfId="0" applyFont="1" applyFill="1" applyBorder="1" applyAlignment="1" applyProtection="1">
      <alignment horizontal="center" vertical="center"/>
      <protection hidden="1"/>
    </xf>
    <xf numFmtId="0" fontId="114" fillId="194" borderId="48" xfId="0" applyFont="1" applyFill="1" applyBorder="1" applyAlignment="1" applyProtection="1">
      <alignment horizontal="center" vertical="center"/>
      <protection hidden="1"/>
    </xf>
    <xf numFmtId="0" fontId="114" fillId="194" borderId="38" xfId="0" applyFont="1" applyFill="1" applyBorder="1" applyAlignment="1" applyProtection="1">
      <alignment horizontal="center" vertical="center"/>
      <protection hidden="1"/>
    </xf>
    <xf numFmtId="0" fontId="114" fillId="194" borderId="23" xfId="0" applyFont="1" applyFill="1" applyBorder="1" applyAlignment="1" applyProtection="1">
      <alignment horizontal="center" vertical="center"/>
      <protection hidden="1"/>
    </xf>
    <xf numFmtId="0" fontId="114" fillId="194" borderId="39" xfId="0" applyFont="1" applyFill="1" applyBorder="1" applyAlignment="1" applyProtection="1">
      <alignment horizontal="center" vertical="center"/>
      <protection hidden="1"/>
    </xf>
    <xf numFmtId="0" fontId="114" fillId="200" borderId="35" xfId="0" applyFont="1" applyFill="1" applyBorder="1" applyAlignment="1" applyProtection="1">
      <alignment horizontal="center" vertical="center"/>
      <protection hidden="1"/>
    </xf>
    <xf numFmtId="0" fontId="114" fillId="200" borderId="36" xfId="0" applyFont="1" applyFill="1" applyBorder="1" applyAlignment="1" applyProtection="1">
      <alignment horizontal="center" vertical="center"/>
      <protection hidden="1"/>
    </xf>
    <xf numFmtId="0" fontId="114" fillId="200" borderId="37" xfId="0" applyFont="1" applyFill="1" applyBorder="1" applyAlignment="1" applyProtection="1">
      <alignment horizontal="center" vertical="center"/>
      <protection hidden="1"/>
    </xf>
    <xf numFmtId="0" fontId="114" fillId="200" borderId="47" xfId="0" applyFont="1" applyFill="1" applyBorder="1" applyAlignment="1" applyProtection="1">
      <alignment horizontal="center" vertical="center"/>
      <protection hidden="1"/>
    </xf>
    <xf numFmtId="0" fontId="114" fillId="200" borderId="0" xfId="0" applyFont="1" applyFill="1" applyBorder="1" applyAlignment="1" applyProtection="1">
      <alignment horizontal="center" vertical="center"/>
      <protection hidden="1"/>
    </xf>
    <xf numFmtId="0" fontId="114" fillId="200" borderId="48" xfId="0" applyFont="1" applyFill="1" applyBorder="1" applyAlignment="1" applyProtection="1">
      <alignment horizontal="center" vertical="center"/>
      <protection hidden="1"/>
    </xf>
    <xf numFmtId="0" fontId="114" fillId="200" borderId="38" xfId="0" applyFont="1" applyFill="1" applyBorder="1" applyAlignment="1" applyProtection="1">
      <alignment horizontal="center" vertical="center"/>
      <protection hidden="1"/>
    </xf>
    <xf numFmtId="0" fontId="114" fillId="200" borderId="23" xfId="0" applyFont="1" applyFill="1" applyBorder="1" applyAlignment="1" applyProtection="1">
      <alignment horizontal="center" vertical="center"/>
      <protection hidden="1"/>
    </xf>
    <xf numFmtId="0" fontId="114" fillId="200" borderId="39" xfId="0" applyFont="1" applyFill="1" applyBorder="1" applyAlignment="1" applyProtection="1">
      <alignment horizontal="center" vertical="center"/>
      <protection hidden="1"/>
    </xf>
    <xf numFmtId="0" fontId="87" fillId="195" borderId="35" xfId="0" applyFont="1" applyFill="1" applyBorder="1" applyAlignment="1" applyProtection="1">
      <alignment horizontal="center" vertical="center"/>
      <protection hidden="1"/>
    </xf>
    <xf numFmtId="0" fontId="87" fillId="195" borderId="36" xfId="0" applyFont="1" applyFill="1" applyBorder="1" applyAlignment="1" applyProtection="1">
      <alignment horizontal="center" vertical="center"/>
      <protection hidden="1"/>
    </xf>
    <xf numFmtId="0" fontId="87" fillId="195" borderId="37" xfId="0" applyFont="1" applyFill="1" applyBorder="1" applyAlignment="1" applyProtection="1">
      <alignment horizontal="center" vertical="center"/>
      <protection hidden="1"/>
    </xf>
    <xf numFmtId="0" fontId="87" fillId="195" borderId="47" xfId="0" applyFont="1" applyFill="1" applyBorder="1" applyAlignment="1" applyProtection="1">
      <alignment horizontal="center" vertical="center"/>
      <protection hidden="1"/>
    </xf>
    <xf numFmtId="0" fontId="87" fillId="195" borderId="0" xfId="0" applyFont="1" applyFill="1" applyBorder="1" applyAlignment="1" applyProtection="1">
      <alignment horizontal="center" vertical="center"/>
      <protection hidden="1"/>
    </xf>
    <xf numFmtId="0" fontId="87" fillId="195" borderId="48" xfId="0" applyFont="1" applyFill="1" applyBorder="1" applyAlignment="1" applyProtection="1">
      <alignment horizontal="center" vertical="center"/>
      <protection hidden="1"/>
    </xf>
    <xf numFmtId="0" fontId="87" fillId="195" borderId="38" xfId="0" applyFont="1" applyFill="1" applyBorder="1" applyAlignment="1" applyProtection="1">
      <alignment horizontal="center" vertical="center"/>
      <protection hidden="1"/>
    </xf>
    <xf numFmtId="0" fontId="87" fillId="195" borderId="23" xfId="0" applyFont="1" applyFill="1" applyBorder="1" applyAlignment="1" applyProtection="1">
      <alignment horizontal="center" vertical="center"/>
      <protection hidden="1"/>
    </xf>
    <xf numFmtId="0" fontId="87" fillId="195" borderId="39" xfId="0" applyFont="1" applyFill="1" applyBorder="1" applyAlignment="1" applyProtection="1">
      <alignment horizontal="center" vertical="center"/>
      <protection hidden="1"/>
    </xf>
    <xf numFmtId="0" fontId="114" fillId="193" borderId="35" xfId="0" applyFont="1" applyFill="1" applyBorder="1" applyAlignment="1" applyProtection="1">
      <alignment horizontal="center" vertical="center"/>
      <protection hidden="1"/>
    </xf>
    <xf numFmtId="0" fontId="114" fillId="193" borderId="36" xfId="0" applyFont="1" applyFill="1" applyBorder="1" applyAlignment="1" applyProtection="1">
      <alignment horizontal="center" vertical="center"/>
      <protection hidden="1"/>
    </xf>
    <xf numFmtId="0" fontId="114" fillId="193" borderId="37" xfId="0" applyFont="1" applyFill="1" applyBorder="1" applyAlignment="1" applyProtection="1">
      <alignment horizontal="center" vertical="center"/>
      <protection hidden="1"/>
    </xf>
    <xf numFmtId="0" fontId="114" fillId="193" borderId="47" xfId="0" applyFont="1" applyFill="1" applyBorder="1" applyAlignment="1" applyProtection="1">
      <alignment horizontal="center" vertical="center"/>
      <protection hidden="1"/>
    </xf>
    <xf numFmtId="0" fontId="114" fillId="193" borderId="0" xfId="0" applyFont="1" applyFill="1" applyBorder="1" applyAlignment="1" applyProtection="1">
      <alignment horizontal="center" vertical="center"/>
      <protection hidden="1"/>
    </xf>
    <xf numFmtId="0" fontId="114" fillId="193" borderId="48" xfId="0" applyFont="1" applyFill="1" applyBorder="1" applyAlignment="1" applyProtection="1">
      <alignment horizontal="center" vertical="center"/>
      <protection hidden="1"/>
    </xf>
    <xf numFmtId="0" fontId="114" fillId="193" borderId="38" xfId="0" applyFont="1" applyFill="1" applyBorder="1" applyAlignment="1" applyProtection="1">
      <alignment horizontal="center" vertical="center"/>
      <protection hidden="1"/>
    </xf>
    <xf numFmtId="0" fontId="114" fillId="193" borderId="23" xfId="0" applyFont="1" applyFill="1" applyBorder="1" applyAlignment="1" applyProtection="1">
      <alignment horizontal="center" vertical="center"/>
      <protection hidden="1"/>
    </xf>
    <xf numFmtId="0" fontId="114" fillId="193" borderId="39" xfId="0" applyFont="1" applyFill="1" applyBorder="1" applyAlignment="1" applyProtection="1">
      <alignment horizontal="center" vertical="center"/>
      <protection hidden="1"/>
    </xf>
    <xf numFmtId="0" fontId="65" fillId="185" borderId="6" xfId="0" applyFont="1" applyFill="1" applyBorder="1" applyAlignment="1" applyProtection="1">
      <alignment horizontal="center" vertical="center"/>
      <protection hidden="1"/>
    </xf>
    <xf numFmtId="0" fontId="79" fillId="230" borderId="36" xfId="0" applyFont="1" applyFill="1" applyBorder="1" applyAlignment="1" applyProtection="1">
      <alignment horizontal="center" vertical="center"/>
      <protection hidden="1"/>
    </xf>
    <xf numFmtId="0" fontId="79" fillId="230" borderId="23" xfId="0" applyFont="1" applyFill="1" applyBorder="1" applyAlignment="1" applyProtection="1">
      <alignment horizontal="center" vertical="center"/>
      <protection hidden="1"/>
    </xf>
    <xf numFmtId="0" fontId="79" fillId="179" borderId="36" xfId="0" applyFont="1" applyFill="1" applyBorder="1" applyAlignment="1" applyProtection="1">
      <alignment horizontal="center" vertical="center"/>
      <protection hidden="1"/>
    </xf>
    <xf numFmtId="0" fontId="79" fillId="179" borderId="23" xfId="0" applyFont="1" applyFill="1" applyBorder="1" applyAlignment="1" applyProtection="1">
      <alignment horizontal="center" vertical="center"/>
      <protection hidden="1"/>
    </xf>
    <xf numFmtId="0" fontId="79" fillId="231" borderId="36" xfId="0" applyFont="1" applyFill="1" applyBorder="1" applyAlignment="1" applyProtection="1">
      <alignment horizontal="center" vertical="center"/>
      <protection hidden="1"/>
    </xf>
    <xf numFmtId="0" fontId="79" fillId="231" borderId="23" xfId="0" applyFont="1" applyFill="1" applyBorder="1" applyAlignment="1" applyProtection="1">
      <alignment horizontal="center" vertical="center"/>
      <protection hidden="1"/>
    </xf>
    <xf numFmtId="0" fontId="79" fillId="226" borderId="36" xfId="0" applyFont="1" applyFill="1" applyBorder="1" applyAlignment="1" applyProtection="1">
      <alignment horizontal="center" vertical="center"/>
      <protection hidden="1"/>
    </xf>
    <xf numFmtId="0" fontId="79" fillId="226" borderId="23" xfId="0" applyFont="1" applyFill="1" applyBorder="1" applyAlignment="1" applyProtection="1">
      <alignment horizontal="center" vertical="center"/>
      <protection hidden="1"/>
    </xf>
    <xf numFmtId="0" fontId="13" fillId="179" borderId="52" xfId="0" applyFont="1" applyFill="1" applyBorder="1" applyAlignment="1" applyProtection="1">
      <alignment horizontal="center" vertical="top" wrapText="1"/>
      <protection hidden="1"/>
    </xf>
    <xf numFmtId="165" fontId="15" fillId="9" borderId="3" xfId="7" applyFont="1" applyBorder="1" applyAlignment="1" applyProtection="1">
      <alignment horizontal="center" vertical="center"/>
      <protection hidden="1"/>
    </xf>
    <xf numFmtId="165" fontId="15" fillId="9" borderId="6" xfId="7" applyFont="1" applyBorder="1" applyAlignment="1" applyProtection="1">
      <alignment horizontal="center" vertical="center"/>
      <protection hidden="1"/>
    </xf>
    <xf numFmtId="165" fontId="15" fillId="9" borderId="2" xfId="7" applyFont="1" applyBorder="1" applyAlignment="1" applyProtection="1">
      <alignment horizontal="center" vertical="center"/>
      <protection hidden="1"/>
    </xf>
    <xf numFmtId="0" fontId="31" fillId="6" borderId="6" xfId="0" applyFont="1" applyFill="1" applyBorder="1" applyAlignment="1" applyProtection="1">
      <alignment horizontal="center" vertical="center"/>
      <protection hidden="1"/>
    </xf>
    <xf numFmtId="0" fontId="39" fillId="5" borderId="35" xfId="0" applyFont="1" applyFill="1" applyBorder="1" applyAlignment="1" applyProtection="1">
      <alignment horizontal="center" vertical="center" wrapText="1"/>
      <protection hidden="1"/>
    </xf>
    <xf numFmtId="0" fontId="39" fillId="5" borderId="36"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9" fillId="5" borderId="47" xfId="0" applyFont="1" applyFill="1" applyBorder="1" applyAlignment="1" applyProtection="1">
      <alignment horizontal="center" vertical="center" wrapText="1"/>
      <protection hidden="1"/>
    </xf>
    <xf numFmtId="0" fontId="39" fillId="5" borderId="0" xfId="0" applyFont="1" applyFill="1" applyBorder="1" applyAlignment="1" applyProtection="1">
      <alignment horizontal="center" vertical="center" wrapText="1"/>
      <protection hidden="1"/>
    </xf>
    <xf numFmtId="0" fontId="39" fillId="5" borderId="48" xfId="0" applyFont="1" applyFill="1" applyBorder="1" applyAlignment="1" applyProtection="1">
      <alignment horizontal="center" vertical="center" wrapText="1"/>
      <protection hidden="1"/>
    </xf>
    <xf numFmtId="0" fontId="39" fillId="5" borderId="38"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center" vertical="center" wrapText="1"/>
      <protection hidden="1"/>
    </xf>
    <xf numFmtId="0" fontId="39" fillId="5" borderId="39" xfId="0" applyFont="1" applyFill="1" applyBorder="1" applyAlignment="1" applyProtection="1">
      <alignment horizontal="center" vertical="center" wrapText="1"/>
      <protection hidden="1"/>
    </xf>
    <xf numFmtId="0" fontId="67" fillId="5" borderId="35" xfId="6" applyFont="1" applyFill="1" applyBorder="1" applyAlignment="1" applyProtection="1">
      <alignment horizontal="center" vertical="center"/>
      <protection hidden="1"/>
    </xf>
    <xf numFmtId="0" fontId="67" fillId="5" borderId="37" xfId="6" applyFont="1" applyFill="1" applyBorder="1" applyAlignment="1" applyProtection="1">
      <alignment horizontal="center" vertical="center"/>
      <protection hidden="1"/>
    </xf>
    <xf numFmtId="0" fontId="67" fillId="5" borderId="38" xfId="6" applyFont="1" applyFill="1" applyBorder="1" applyAlignment="1" applyProtection="1">
      <alignment horizontal="center" vertical="center"/>
      <protection hidden="1"/>
    </xf>
    <xf numFmtId="0" fontId="67" fillId="5" borderId="39" xfId="6" applyFont="1" applyFill="1" applyBorder="1" applyAlignment="1" applyProtection="1">
      <alignment horizontal="center" vertical="center"/>
      <protection hidden="1"/>
    </xf>
    <xf numFmtId="0" fontId="39" fillId="10" borderId="35" xfId="6" applyFont="1" applyFill="1" applyBorder="1" applyAlignment="1" applyProtection="1">
      <alignment horizontal="center" vertical="center"/>
      <protection hidden="1"/>
    </xf>
    <xf numFmtId="0" fontId="39" fillId="10" borderId="36" xfId="6" applyFont="1" applyFill="1" applyBorder="1" applyAlignment="1" applyProtection="1">
      <alignment horizontal="center" vertical="center"/>
      <protection hidden="1"/>
    </xf>
    <xf numFmtId="0" fontId="39" fillId="10" borderId="37" xfId="6" applyFont="1" applyFill="1" applyBorder="1" applyAlignment="1" applyProtection="1">
      <alignment horizontal="center" vertical="center"/>
      <protection hidden="1"/>
    </xf>
    <xf numFmtId="0" fontId="39" fillId="10" borderId="38" xfId="6" applyFont="1" applyFill="1" applyBorder="1" applyAlignment="1" applyProtection="1">
      <alignment horizontal="center" vertical="center"/>
      <protection hidden="1"/>
    </xf>
    <xf numFmtId="0" fontId="39" fillId="10" borderId="23" xfId="6" applyFont="1" applyFill="1" applyBorder="1" applyAlignment="1" applyProtection="1">
      <alignment horizontal="center" vertical="center"/>
      <protection hidden="1"/>
    </xf>
    <xf numFmtId="0" fontId="39" fillId="10" borderId="39" xfId="6" applyFont="1" applyFill="1" applyBorder="1" applyAlignment="1" applyProtection="1">
      <alignment horizontal="center" vertical="center"/>
      <protection hidden="1"/>
    </xf>
    <xf numFmtId="0" fontId="184" fillId="5" borderId="53" xfId="0" applyFont="1" applyFill="1" applyBorder="1" applyAlignment="1" applyProtection="1">
      <alignment horizontal="center" vertical="center"/>
      <protection hidden="1"/>
    </xf>
    <xf numFmtId="0" fontId="184" fillId="5" borderId="61" xfId="0" applyFont="1" applyFill="1" applyBorder="1" applyAlignment="1" applyProtection="1">
      <alignment horizontal="center" vertical="center"/>
      <protection hidden="1"/>
    </xf>
    <xf numFmtId="0" fontId="184" fillId="5" borderId="54" xfId="0" applyFont="1" applyFill="1" applyBorder="1" applyAlignment="1" applyProtection="1">
      <alignment horizontal="center" vertical="center"/>
      <protection hidden="1"/>
    </xf>
    <xf numFmtId="0" fontId="79" fillId="206" borderId="36" xfId="0" applyFont="1" applyFill="1" applyBorder="1" applyAlignment="1" applyProtection="1">
      <alignment horizontal="center" vertical="center"/>
      <protection hidden="1"/>
    </xf>
    <xf numFmtId="0" fontId="79" fillId="206" borderId="23" xfId="0" applyFont="1" applyFill="1" applyBorder="1" applyAlignment="1" applyProtection="1">
      <alignment horizontal="center" vertical="center"/>
      <protection hidden="1"/>
    </xf>
    <xf numFmtId="0" fontId="79" fillId="216" borderId="36" xfId="0" applyFont="1" applyFill="1" applyBorder="1" applyAlignment="1" applyProtection="1">
      <alignment horizontal="center" vertical="center"/>
      <protection hidden="1"/>
    </xf>
    <xf numFmtId="0" fontId="79" fillId="216" borderId="23" xfId="0" applyFont="1" applyFill="1" applyBorder="1" applyAlignment="1" applyProtection="1">
      <alignment horizontal="center" vertical="center"/>
      <protection hidden="1"/>
    </xf>
    <xf numFmtId="0" fontId="37" fillId="5" borderId="3" xfId="3" applyFont="1" applyBorder="1" applyAlignment="1" applyProtection="1">
      <alignment horizontal="center" vertical="center"/>
      <protection locked="0"/>
    </xf>
    <xf numFmtId="0" fontId="37" fillId="5" borderId="6" xfId="3" applyFont="1" applyBorder="1" applyAlignment="1" applyProtection="1">
      <alignment horizontal="center" vertical="center"/>
      <protection locked="0"/>
    </xf>
    <xf numFmtId="0" fontId="37" fillId="5" borderId="2" xfId="3" applyFont="1" applyBorder="1" applyAlignment="1" applyProtection="1">
      <alignment horizontal="center" vertical="center"/>
      <protection locked="0"/>
    </xf>
    <xf numFmtId="0" fontId="24" fillId="9" borderId="111" xfId="9" applyFont="1" applyBorder="1" applyAlignment="1" applyProtection="1">
      <alignment horizontal="center" vertical="center"/>
      <protection hidden="1"/>
    </xf>
    <xf numFmtId="0" fontId="24" fillId="9" borderId="112" xfId="9" applyFont="1" applyBorder="1" applyAlignment="1" applyProtection="1">
      <alignment horizontal="center" vertical="center"/>
      <protection hidden="1"/>
    </xf>
    <xf numFmtId="0" fontId="24" fillId="9" borderId="113" xfId="9" applyFont="1" applyBorder="1" applyAlignment="1" applyProtection="1">
      <alignment horizontal="center" vertical="center"/>
      <protection hidden="1"/>
    </xf>
    <xf numFmtId="165" fontId="15" fillId="9" borderId="3" xfId="7" applyNumberFormat="1" applyFont="1" applyBorder="1" applyAlignment="1" applyProtection="1">
      <alignment horizontal="center" vertical="center"/>
      <protection hidden="1"/>
    </xf>
    <xf numFmtId="165" fontId="15" fillId="9" borderId="6" xfId="7" applyNumberFormat="1" applyFont="1" applyBorder="1" applyAlignment="1" applyProtection="1">
      <alignment horizontal="center" vertical="center"/>
      <protection hidden="1"/>
    </xf>
    <xf numFmtId="165" fontId="15" fillId="9" borderId="2" xfId="7" applyNumberFormat="1" applyFont="1" applyBorder="1" applyAlignment="1" applyProtection="1">
      <alignment horizontal="center" vertical="center"/>
      <protection hidden="1"/>
    </xf>
    <xf numFmtId="0" fontId="39" fillId="10" borderId="35" xfId="6" applyFont="1" applyFill="1" applyBorder="1" applyAlignment="1" applyProtection="1">
      <alignment horizontal="left" vertical="center"/>
      <protection hidden="1"/>
    </xf>
    <xf numFmtId="0" fontId="39" fillId="10" borderId="36" xfId="6" applyFont="1" applyFill="1" applyBorder="1" applyAlignment="1" applyProtection="1">
      <alignment horizontal="left" vertical="center"/>
      <protection hidden="1"/>
    </xf>
    <xf numFmtId="0" fontId="39" fillId="10" borderId="37" xfId="6" applyFont="1" applyFill="1" applyBorder="1" applyAlignment="1" applyProtection="1">
      <alignment horizontal="left" vertical="center"/>
      <protection hidden="1"/>
    </xf>
    <xf numFmtId="0" fontId="39" fillId="10" borderId="38" xfId="6" applyFont="1" applyFill="1" applyBorder="1" applyAlignment="1" applyProtection="1">
      <alignment horizontal="left" vertical="center"/>
      <protection hidden="1"/>
    </xf>
    <xf numFmtId="0" fontId="39" fillId="10" borderId="23" xfId="6" applyFont="1" applyFill="1" applyBorder="1" applyAlignment="1" applyProtection="1">
      <alignment horizontal="left" vertical="center"/>
      <protection hidden="1"/>
    </xf>
    <xf numFmtId="0" fontId="39" fillId="10" borderId="39" xfId="6" applyFont="1" applyFill="1" applyBorder="1" applyAlignment="1" applyProtection="1">
      <alignment horizontal="left" vertical="center"/>
      <protection hidden="1"/>
    </xf>
    <xf numFmtId="0" fontId="31" fillId="17" borderId="0" xfId="0" applyFont="1" applyFill="1" applyBorder="1" applyAlignment="1" applyProtection="1">
      <alignment horizontal="left" vertical="center"/>
      <protection hidden="1"/>
    </xf>
    <xf numFmtId="0" fontId="39" fillId="5" borderId="35" xfId="0" applyFont="1" applyFill="1" applyBorder="1" applyAlignment="1" applyProtection="1">
      <alignment horizontal="center" vertical="center"/>
      <protection hidden="1"/>
    </xf>
    <xf numFmtId="0" fontId="39" fillId="5" borderId="36" xfId="0" applyFont="1" applyFill="1" applyBorder="1" applyAlignment="1" applyProtection="1">
      <alignment horizontal="center" vertical="center"/>
      <protection hidden="1"/>
    </xf>
    <xf numFmtId="0" fontId="39" fillId="5" borderId="37" xfId="0" applyFont="1" applyFill="1" applyBorder="1" applyAlignment="1" applyProtection="1">
      <alignment horizontal="center" vertical="center"/>
      <protection hidden="1"/>
    </xf>
    <xf numFmtId="0" fontId="39" fillId="5" borderId="47" xfId="0" applyFont="1" applyFill="1" applyBorder="1" applyAlignment="1" applyProtection="1">
      <alignment horizontal="center" vertical="center"/>
      <protection hidden="1"/>
    </xf>
    <xf numFmtId="0" fontId="39" fillId="5" borderId="0" xfId="0" applyFont="1" applyFill="1" applyBorder="1" applyAlignment="1" applyProtection="1">
      <alignment horizontal="center" vertical="center"/>
      <protection hidden="1"/>
    </xf>
    <xf numFmtId="0" fontId="39" fillId="5" borderId="48" xfId="0" applyFont="1" applyFill="1" applyBorder="1" applyAlignment="1" applyProtection="1">
      <alignment horizontal="center" vertical="center"/>
      <protection hidden="1"/>
    </xf>
    <xf numFmtId="0" fontId="39" fillId="5" borderId="38" xfId="0" applyFont="1" applyFill="1" applyBorder="1" applyAlignment="1" applyProtection="1">
      <alignment horizontal="center" vertical="center"/>
      <protection hidden="1"/>
    </xf>
    <xf numFmtId="0" fontId="39" fillId="5" borderId="23" xfId="0" applyFont="1" applyFill="1" applyBorder="1" applyAlignment="1" applyProtection="1">
      <alignment horizontal="center" vertical="center"/>
      <protection hidden="1"/>
    </xf>
    <xf numFmtId="0" fontId="39" fillId="5" borderId="39" xfId="0" applyFont="1" applyFill="1" applyBorder="1" applyAlignment="1" applyProtection="1">
      <alignment horizontal="center" vertical="center"/>
      <protection hidden="1"/>
    </xf>
    <xf numFmtId="0" fontId="67" fillId="5" borderId="36" xfId="6" applyFont="1" applyFill="1" applyBorder="1" applyAlignment="1" applyProtection="1">
      <alignment horizontal="center" vertical="center"/>
      <protection hidden="1"/>
    </xf>
    <xf numFmtId="0" fontId="67" fillId="5" borderId="23" xfId="6" applyFont="1" applyFill="1" applyBorder="1" applyAlignment="1" applyProtection="1">
      <alignment horizontal="center" vertical="center"/>
      <protection hidden="1"/>
    </xf>
    <xf numFmtId="0" fontId="77" fillId="88" borderId="0" xfId="0" applyFont="1" applyFill="1" applyBorder="1" applyAlignment="1">
      <alignment horizontal="left" vertical="center"/>
    </xf>
    <xf numFmtId="0" fontId="100" fillId="4" borderId="0" xfId="0" applyFont="1" applyFill="1" applyBorder="1" applyAlignment="1">
      <alignment horizontal="center"/>
    </xf>
    <xf numFmtId="0" fontId="62" fillId="285" borderId="0" xfId="0" applyFont="1" applyFill="1" applyBorder="1" applyAlignment="1">
      <alignment horizontal="left" vertical="center"/>
    </xf>
    <xf numFmtId="0" fontId="62" fillId="63" borderId="0" xfId="0" applyFont="1" applyFill="1" applyBorder="1" applyAlignment="1">
      <alignment horizontal="left" vertical="center"/>
    </xf>
    <xf numFmtId="0" fontId="62" fillId="51" borderId="0" xfId="0" applyFont="1" applyFill="1" applyBorder="1" applyAlignment="1">
      <alignment horizontal="left" vertical="center"/>
    </xf>
    <xf numFmtId="0" fontId="62" fillId="12" borderId="0" xfId="0" applyFont="1" applyFill="1" applyBorder="1" applyAlignment="1">
      <alignment horizontal="left" vertical="center"/>
    </xf>
    <xf numFmtId="0" fontId="15" fillId="301" borderId="15" xfId="0" applyFont="1" applyFill="1" applyBorder="1" applyAlignment="1">
      <alignment horizontal="center" vertical="center"/>
    </xf>
    <xf numFmtId="0" fontId="15" fillId="9" borderId="15" xfId="0" applyFont="1" applyFill="1" applyBorder="1" applyAlignment="1">
      <alignment horizontal="center" vertical="center"/>
    </xf>
    <xf numFmtId="0" fontId="71" fillId="5" borderId="12" xfId="8" applyFont="1" applyBorder="1" applyAlignment="1">
      <alignment horizontal="left" vertical="center" wrapText="1"/>
    </xf>
    <xf numFmtId="0" fontId="9" fillId="6" borderId="16" xfId="0" applyFont="1" applyFill="1" applyBorder="1" applyAlignment="1">
      <alignment horizontal="center" vertical="center"/>
    </xf>
    <xf numFmtId="0" fontId="9" fillId="6" borderId="34" xfId="0" applyFont="1" applyFill="1" applyBorder="1" applyAlignment="1">
      <alignment horizontal="center" vertical="center"/>
    </xf>
    <xf numFmtId="0" fontId="9" fillId="6" borderId="28" xfId="0" applyFont="1" applyFill="1" applyBorder="1" applyAlignment="1">
      <alignment horizontal="center" vertical="center"/>
    </xf>
    <xf numFmtId="0" fontId="62" fillId="81" borderId="0" xfId="0" applyFont="1" applyFill="1" applyBorder="1" applyAlignment="1">
      <alignment horizontal="left" vertical="center"/>
    </xf>
    <xf numFmtId="0" fontId="62" fillId="82" borderId="0" xfId="0" applyFont="1" applyFill="1" applyBorder="1" applyAlignment="1">
      <alignment horizontal="left" vertical="center"/>
    </xf>
    <xf numFmtId="0" fontId="62" fillId="322" borderId="0" xfId="0" applyFont="1" applyFill="1" applyBorder="1" applyAlignment="1">
      <alignment horizontal="left" vertical="center"/>
    </xf>
    <xf numFmtId="0" fontId="62" fillId="88" borderId="0" xfId="0" applyFont="1" applyFill="1" applyBorder="1" applyAlignment="1">
      <alignment horizontal="left" vertical="center"/>
    </xf>
    <xf numFmtId="0" fontId="12" fillId="5" borderId="15" xfId="0" applyFont="1" applyFill="1" applyBorder="1" applyAlignment="1">
      <alignment horizontal="center" vertical="center"/>
    </xf>
    <xf numFmtId="0" fontId="100" fillId="5" borderId="0" xfId="0" applyFont="1" applyFill="1" applyAlignment="1">
      <alignment horizontal="left" vertical="center" wrapText="1"/>
    </xf>
    <xf numFmtId="0" fontId="77" fillId="10" borderId="0" xfId="0" applyFont="1" applyFill="1" applyBorder="1" applyAlignment="1">
      <alignment horizontal="left" vertical="center" wrapText="1"/>
    </xf>
    <xf numFmtId="0" fontId="190" fillId="9" borderId="0" xfId="0" applyFont="1" applyFill="1" applyBorder="1" applyAlignment="1">
      <alignment horizontal="left" vertical="center"/>
    </xf>
    <xf numFmtId="0" fontId="47" fillId="5" borderId="0" xfId="0" applyFont="1" applyFill="1" applyAlignment="1">
      <alignment horizontal="left" vertical="top" wrapText="1"/>
    </xf>
    <xf numFmtId="0" fontId="191" fillId="9" borderId="0" xfId="0" applyFont="1" applyFill="1" applyBorder="1" applyAlignment="1">
      <alignment horizontal="left" vertical="center"/>
    </xf>
    <xf numFmtId="0" fontId="92" fillId="9" borderId="0" xfId="0" applyFont="1" applyFill="1" applyBorder="1" applyAlignment="1">
      <alignment horizontal="left" vertical="center"/>
    </xf>
    <xf numFmtId="0" fontId="28" fillId="5" borderId="15" xfId="0" applyFont="1" applyFill="1" applyBorder="1" applyAlignment="1">
      <alignment horizontal="center" vertical="center" wrapText="1"/>
    </xf>
    <xf numFmtId="0" fontId="9" fillId="5" borderId="0" xfId="0" applyFont="1" applyFill="1" applyBorder="1" applyAlignment="1">
      <alignment horizontal="center" vertical="center"/>
    </xf>
    <xf numFmtId="0" fontId="9" fillId="307" borderId="35" xfId="0" applyFont="1" applyFill="1" applyBorder="1" applyAlignment="1">
      <alignment horizontal="center" vertical="center"/>
    </xf>
    <xf numFmtId="0" fontId="9" fillId="307" borderId="36" xfId="0" applyFont="1" applyFill="1" applyBorder="1" applyAlignment="1">
      <alignment horizontal="center" vertical="center"/>
    </xf>
    <xf numFmtId="0" fontId="9" fillId="307" borderId="37" xfId="0" applyFont="1" applyFill="1" applyBorder="1" applyAlignment="1">
      <alignment horizontal="center" vertical="center"/>
    </xf>
    <xf numFmtId="0" fontId="9" fillId="5" borderId="47" xfId="0" applyFont="1" applyFill="1" applyBorder="1" applyAlignment="1">
      <alignment horizontal="center" vertical="center"/>
    </xf>
    <xf numFmtId="0" fontId="9" fillId="5" borderId="48" xfId="0" applyFont="1" applyFill="1" applyBorder="1" applyAlignment="1">
      <alignment horizontal="center" vertical="center"/>
    </xf>
    <xf numFmtId="0" fontId="9" fillId="182" borderId="35" xfId="0" applyFont="1" applyFill="1" applyBorder="1" applyAlignment="1">
      <alignment horizontal="center" vertical="center"/>
    </xf>
    <xf numFmtId="0" fontId="9" fillId="182" borderId="36" xfId="0" applyFont="1" applyFill="1" applyBorder="1" applyAlignment="1">
      <alignment horizontal="center" vertical="center"/>
    </xf>
    <xf numFmtId="0" fontId="9" fillId="182" borderId="37" xfId="0" applyFont="1" applyFill="1" applyBorder="1" applyAlignment="1">
      <alignment horizontal="center" vertical="center"/>
    </xf>
    <xf numFmtId="0" fontId="9" fillId="5" borderId="15" xfId="0" applyFont="1" applyFill="1" applyBorder="1" applyAlignment="1">
      <alignment horizontal="center" vertical="center" wrapText="1"/>
    </xf>
    <xf numFmtId="0" fontId="9" fillId="309" borderId="35" xfId="0" applyFont="1" applyFill="1" applyBorder="1" applyAlignment="1">
      <alignment horizontal="center" vertical="center"/>
    </xf>
    <xf numFmtId="0" fontId="9" fillId="309" borderId="36" xfId="0" applyFont="1" applyFill="1" applyBorder="1" applyAlignment="1">
      <alignment horizontal="center" vertical="center"/>
    </xf>
    <xf numFmtId="0" fontId="9" fillId="309" borderId="37" xfId="0" applyFont="1" applyFill="1" applyBorder="1" applyAlignment="1">
      <alignment horizontal="center" vertical="center"/>
    </xf>
    <xf numFmtId="0" fontId="9" fillId="35" borderId="35" xfId="0" applyFont="1" applyFill="1" applyBorder="1" applyAlignment="1">
      <alignment horizontal="center" vertical="center"/>
    </xf>
    <xf numFmtId="0" fontId="9" fillId="35" borderId="36" xfId="0" applyFont="1" applyFill="1" applyBorder="1" applyAlignment="1">
      <alignment horizontal="center" vertical="center"/>
    </xf>
    <xf numFmtId="0" fontId="9" fillId="35" borderId="37" xfId="0" applyFont="1" applyFill="1" applyBorder="1" applyAlignment="1">
      <alignment horizontal="center" vertical="center"/>
    </xf>
    <xf numFmtId="0" fontId="9" fillId="272" borderId="35" xfId="0" applyFont="1" applyFill="1" applyBorder="1" applyAlignment="1">
      <alignment horizontal="center" vertical="center"/>
    </xf>
    <xf numFmtId="0" fontId="9" fillId="272" borderId="36"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28" xfId="0" applyFont="1" applyFill="1" applyBorder="1" applyAlignment="1">
      <alignment horizontal="center" vertical="center"/>
    </xf>
    <xf numFmtId="0" fontId="71" fillId="5" borderId="0" xfId="8" applyAlignment="1">
      <alignment horizontal="left" vertical="top" wrapText="1"/>
    </xf>
    <xf numFmtId="0" fontId="0" fillId="270" borderId="0" xfId="0" applyFill="1" applyAlignment="1">
      <alignment horizontal="center" vertical="center"/>
    </xf>
  </cellXfs>
  <cellStyles count="17">
    <cellStyle name="_Unused" xfId="1" xr:uid="{65164B7C-AE6A-4264-8E54-CDA230AF4059}"/>
    <cellStyle name="Bad" xfId="13" builtinId="27"/>
    <cellStyle name="Border" xfId="4" xr:uid="{CE222AF7-DE65-43F3-B839-A8B0D3F7F6AA}"/>
    <cellStyle name="Comments" xfId="8" xr:uid="{908532D1-51E1-4429-8A3E-FC90651D163A}"/>
    <cellStyle name="Currency" xfId="11" builtinId="4"/>
    <cellStyle name="Foreslåttkap" xfId="2" xr:uid="{50A901F9-9FA4-4F05-BA59-5ECE2214DB12}"/>
    <cellStyle name="Good" xfId="12" builtinId="26"/>
    <cellStyle name="Hyperlink" xfId="6" builtinId="8"/>
    <cellStyle name="Inputcell" xfId="3" xr:uid="{D28A19F6-BA4C-415C-B02B-25140BC0AA77}"/>
    <cellStyle name="Label" xfId="14" xr:uid="{071E6020-CD3D-43C8-9465-1E0CFF878F2E}"/>
    <cellStyle name="Legend" xfId="16" xr:uid="{FCC18E40-31FD-436B-A4BC-CBB0E8D6AF64}"/>
    <cellStyle name="Normal" xfId="0" builtinId="0"/>
    <cellStyle name="Normal 2" xfId="15" xr:uid="{6BF0BC39-9DAE-4C12-980C-5BFB76D0451B}"/>
    <cellStyle name="Oppsum_total_total" xfId="7" xr:uid="{E82357A3-922E-496E-8FD1-3E8BDB4CE5CA}"/>
    <cellStyle name="Sprengning_top" xfId="5" xr:uid="{9C312FD0-DD92-4F9E-9658-76504E91A278}"/>
    <cellStyle name="Total_doublegap" xfId="10" xr:uid="{4625D343-6711-4B3F-901A-11701E5E55DC}"/>
    <cellStyle name="Unchangeable" xfId="9" xr:uid="{8C899564-2AEE-458E-A0AA-E9AAA084654F}"/>
  </cellStyles>
  <dxfs count="5935">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strike val="0"/>
        <condense val="0"/>
        <extend val="0"/>
        <outline val="0"/>
        <shadow val="0"/>
        <u val="none"/>
        <vertAlign val="baseline"/>
        <sz val="11"/>
        <color rgb="FF002060"/>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strike val="0"/>
        <condense val="0"/>
        <extend val="0"/>
        <outline val="0"/>
        <shadow val="0"/>
        <u val="none"/>
        <vertAlign val="baseline"/>
        <sz val="11"/>
        <color rgb="FF002060"/>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strike val="0"/>
        <condense val="0"/>
        <extend val="0"/>
        <outline val="0"/>
        <shadow val="0"/>
        <u val="none"/>
        <vertAlign val="baseline"/>
        <sz val="11"/>
        <color rgb="FF002060"/>
        <name val="Arial"/>
        <family val="2"/>
        <scheme val="none"/>
      </font>
      <fill>
        <patternFill patternType="solid">
          <fgColor indexed="64"/>
          <bgColor rgb="FFCEC2D6"/>
        </patternFill>
      </fil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strike val="0"/>
        <condense val="0"/>
        <extend val="0"/>
        <outline val="0"/>
        <shadow val="0"/>
        <u val="none"/>
        <vertAlign val="baseline"/>
        <sz val="11"/>
        <color rgb="FF002060"/>
        <name val="Arial"/>
        <family val="2"/>
        <scheme val="none"/>
      </font>
      <fill>
        <patternFill patternType="solid">
          <fgColor indexed="64"/>
          <bgColor rgb="FFCEC2D6"/>
        </patternFill>
      </fil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bgColor rgb="FFF7DDE4"/>
        </patternFill>
      </fill>
    </dxf>
    <dxf>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70" formatCode="#,##0.0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ill>
        <patternFill patternType="solid">
          <fgColor indexed="64"/>
          <bgColor theme="0"/>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border diagonalUp="0" diagonalDown="0" outline="0">
        <left style="thin">
          <color auto="1"/>
        </left>
        <right style="thin">
          <color auto="1"/>
        </right>
        <top/>
        <bottom/>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0.0\ %"/>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numFmt numFmtId="165" formatCode="#,##0.0"/>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5" formatCode="#,##0.0"/>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14" formatCode="0.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minor"/>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minor"/>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34" formatCode="_-&quot;kr&quot;\ * #,##0.00_-;\-&quot;kr&quot;\ * #,##0.00_-;_-&quot;kr&quot;\ * &quot;-&quot;??_-;_-@_-"/>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34" formatCode="_-&quot;kr&quot;\ * #,##0.00_-;\-&quot;kr&quot;\ * #,##0.00_-;_-&quot;kr&quot;\ * &quot;-&quot;??_-;_-@_-"/>
    </dxf>
    <dxf>
      <border>
        <bottom style="thin">
          <color indexed="64"/>
        </bottom>
      </border>
    </dxf>
    <dxf>
      <font>
        <strike val="0"/>
        <outline val="0"/>
        <shadow val="0"/>
        <u val="none"/>
        <vertAlign val="baseline"/>
        <sz val="11"/>
        <color auto="1"/>
      </font>
      <numFmt numFmtId="34" formatCode="_-&quot;kr&quot;\ * #,##0.00_-;\-&quot;kr&quot;\ * #,##0.00_-;_-&quot;kr&quot;\ * &quot;-&quot;??_-;_-@_-"/>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69" formatCode="#,##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69" formatCode="#,##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69" formatCode="#,##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70" formatCode="#,##0.0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1"/>
        <color auto="1"/>
        <name val="Georgia Pro"/>
        <family val="1"/>
        <scheme val="none"/>
      </font>
      <numFmt numFmtId="4" formatCode="#,##0.0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168" formatCode="0.0\ %"/>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Georgia Pro"/>
        <family val="1"/>
        <scheme val="none"/>
      </font>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9"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9"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numFmt numFmtId="4" formatCode="#,##0.00"/>
      <fill>
        <patternFill patternType="solid">
          <fgColor indexed="64"/>
          <bgColor theme="9"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indexed="64"/>
        </bottom>
      </border>
    </dxf>
    <dxf>
      <font>
        <b val="0"/>
        <i val="0"/>
        <strike val="0"/>
        <condense val="0"/>
        <extend val="0"/>
        <outline val="0"/>
        <shadow val="0"/>
        <u val="none"/>
        <vertAlign val="baseline"/>
        <sz val="12"/>
        <color theme="1"/>
        <name val="Georgia Pro"/>
        <family val="1"/>
        <scheme val="none"/>
      </font>
      <fill>
        <patternFill patternType="solid">
          <fgColor indexed="64"/>
          <bgColor theme="0"/>
        </patternFill>
      </fill>
      <alignment horizontal="lef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9"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E3ABD3"/>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59999389629810485"/>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E38F8D"/>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top" textRotation="0" wrapText="1"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39997558519241921"/>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6D6F6"/>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center" textRotation="0" wrapText="0" indent="0" justifyLastLine="0" shrinkToFit="0" readingOrder="0"/>
      <border diagonalUp="0" diagonalDown="0">
        <left style="thin">
          <color auto="1"/>
        </left>
        <right style="thin">
          <color auto="1"/>
        </right>
        <top style="thin">
          <color indexed="64"/>
        </top>
        <bottom style="thin">
          <color indexed="64"/>
        </bottom>
      </border>
    </dxf>
    <dxf>
      <numFmt numFmtId="4" formatCode="#,##0.00"/>
      <fill>
        <patternFill>
          <fgColor indexed="64"/>
          <bgColor theme="0"/>
        </patternFill>
      </fill>
      <border>
        <left style="thin">
          <color auto="1"/>
        </lef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dxf>
    <dxf>
      <numFmt numFmtId="4" formatCode="#,##0.00"/>
    </dxf>
    <dxf>
      <numFmt numFmtId="4" formatCode="#,##0.00"/>
      <border>
        <left style="thin">
          <color auto="1"/>
        </left>
      </border>
    </dxf>
    <dxf>
      <numFmt numFmtId="4" formatCode="#,##0.00"/>
      <fill>
        <patternFill patternType="solid">
          <fgColor indexed="64"/>
          <bgColor rgb="FFFFCCCC"/>
        </patternFill>
      </fill>
      <border>
        <left style="thin">
          <color auto="1"/>
        </left>
      </border>
    </dxf>
    <dxf>
      <numFmt numFmtId="4" formatCode="#,##0.00"/>
      <fill>
        <patternFill patternType="solid">
          <fgColor indexed="64"/>
          <bgColor rgb="FFFFB7EC"/>
        </patternFill>
      </fill>
      <border>
        <right style="thin">
          <color auto="1"/>
        </right>
      </border>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dxf>
    <dxf>
      <numFmt numFmtId="4" formatCode="#,##0.00"/>
      <border>
        <left style="thin">
          <color auto="1"/>
        </left>
        <right style="thin">
          <color auto="1"/>
        </right>
      </border>
    </dxf>
    <dxf>
      <numFmt numFmtId="4" formatCode="#,##0.00"/>
      <fill>
        <patternFill patternType="solid">
          <fgColor indexed="64"/>
          <bgColor rgb="FFFFB7EC"/>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E28297"/>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patternType="solid">
          <fgColor indexed="64"/>
          <bgColor rgb="FFF8BAD2"/>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E9A9A9"/>
        </patternFill>
      </fill>
      <alignment horizontal="right" vertical="center"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ACECE"/>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ADB99"/>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numFmt numFmtId="4" formatCode="#,##0.00"/>
      <fill>
        <patternFill>
          <fgColor indexed="64"/>
          <bgColor theme="0"/>
        </patternFill>
      </fill>
      <border>
        <left style="thin">
          <color auto="1"/>
        </lef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left style="thin">
          <color auto="1"/>
        </left>
        <right style="thin">
          <color auto="1"/>
        </right>
      </border>
    </dxf>
    <dxf>
      <numFmt numFmtId="4" formatCode="#,##0.00"/>
      <fill>
        <patternFill>
          <fgColor indexed="64"/>
          <bgColor theme="0"/>
        </patternFill>
      </fill>
      <border>
        <right style="thin">
          <color auto="1"/>
        </right>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7"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tint="-4.9989318521683403E-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5" tint="0.79998168889431442"/>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ABDDB3"/>
        </patternFill>
      </fill>
      <alignment horizontal="right" vertical="bottom" textRotation="0" wrapText="0"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ABDDB3"/>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ADB99"/>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ADB99"/>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C6E1E1"/>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numFmt numFmtId="4" formatCode="#,##0.00"/>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6" tint="0.79998168889431442"/>
        </patternFill>
      </fill>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textRotation="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textRotation="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164" formatCode="0.0"/>
      <fill>
        <patternFill patternType="solid">
          <fgColor indexed="64"/>
          <bgColor theme="0"/>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5" tint="0.79998168889431442"/>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numFmt numFmtId="164" formatCode="0.0"/>
      <fill>
        <patternFill patternType="solid">
          <fgColor indexed="64"/>
          <bgColor theme="0"/>
        </patternFill>
      </fill>
      <border diagonalUp="0" diagonalDown="0">
        <left/>
        <right style="thin">
          <color auto="1"/>
        </right>
        <top style="thin">
          <color auto="1"/>
        </top>
        <bottom style="thin">
          <color auto="1"/>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5"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164" formatCode="0.0"/>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Georgia Pro"/>
        <family val="1"/>
        <scheme val="none"/>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Georgia Pro"/>
        <family val="1"/>
        <scheme val="none"/>
      </font>
    </dxf>
    <dxf>
      <border>
        <bottom style="thin">
          <color indexed="64"/>
        </bottom>
      </border>
    </dxf>
    <dxf>
      <font>
        <strike val="0"/>
        <outline val="0"/>
        <shadow val="0"/>
        <u val="none"/>
        <vertAlign val="baseline"/>
        <sz val="11"/>
        <color auto="1"/>
        <name val="Georgia Pro"/>
        <family val="1"/>
        <scheme val="none"/>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strike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7"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0" formatCode="General"/>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border>
    </dxf>
    <dxf>
      <border outline="0">
        <top style="thin">
          <color auto="1"/>
        </top>
      </border>
    </dxf>
    <dxf>
      <border outline="0">
        <left style="thin">
          <color auto="1"/>
        </left>
        <right style="thin">
          <color auto="1"/>
        </right>
        <top style="thin">
          <color auto="1"/>
        </top>
        <bottom style="thin">
          <color auto="1"/>
        </bottom>
      </border>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theme="0"/>
        </patternFill>
      </fill>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4" formatCode="#,##0.00"/>
      <fill>
        <patternFill patternType="solid">
          <fgColor indexed="64"/>
          <bgColor rgb="FFF4E784"/>
        </patternFill>
      </fill>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8" formatCode="0.0\ %"/>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6" tint="0.79998168889431442"/>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 formatCode="0"/>
      <fill>
        <patternFill patternType="solid">
          <fgColor indexed="64"/>
          <bgColor theme="0"/>
        </patternFill>
      </fill>
      <alignment horizontal="general" vertical="bottom" textRotation="0" wrapText="0" indent="0" justifyLastLine="0" shrinkToFit="0" readingOrder="0"/>
      <border diagonalUp="0" diagonalDown="0">
        <left/>
        <right style="thin">
          <color indexed="64"/>
        </right>
        <top style="thin">
          <color indexed="64"/>
        </top>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rgb="FFD5EFC3"/>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rgb="FFBCE6C4"/>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strike val="0"/>
        <outline val="0"/>
        <shadow val="0"/>
        <vertAlign val="baseline"/>
        <name val="Georgia Pro"/>
        <family val="1"/>
        <scheme val="none"/>
      </font>
      <numFmt numFmtId="164" formatCode="0.0"/>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dxf>
    <dxf>
      <border>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strike val="0"/>
        <outline val="0"/>
        <shadow val="0"/>
        <vertAlign val="baseline"/>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Georgia Pro"/>
        <family val="1"/>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strike val="0"/>
        <outline val="0"/>
        <shadow val="0"/>
        <u val="none"/>
        <vertAlign val="baseline"/>
        <sz val="11"/>
        <color auto="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auto="1"/>
        </top>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vertAlign val="baseline"/>
        <name val="Georgia Pro"/>
        <family val="1"/>
        <scheme val="none"/>
      </font>
      <border diagonalUp="0" diagonalDown="0" outline="0">
        <left style="thin">
          <color indexed="64"/>
        </left>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dxf>
    <dxf>
      <border>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center"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7" tint="0.79998168889431442"/>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7" tint="0.79998168889431442"/>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7" tint="0.79998168889431442"/>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center" textRotation="0" wrapText="0" indent="0" justifyLastLine="0" shrinkToFit="0" readingOrder="0"/>
      <border diagonalUp="0" diagonalDown="0" outline="0">
        <left/>
        <right style="thin">
          <color auto="1"/>
        </right>
        <top style="thin">
          <color auto="1"/>
        </top>
        <bottom style="thin">
          <color auto="1"/>
        </bottom>
      </border>
    </dxf>
    <dxf>
      <font>
        <b/>
        <i val="0"/>
        <strike val="0"/>
        <condense val="0"/>
        <extend val="0"/>
        <outline val="0"/>
        <shadow val="0"/>
        <u val="none"/>
        <vertAlign val="baseline"/>
        <sz val="11"/>
        <color theme="1"/>
        <name val="Georgia Pro"/>
        <family val="1"/>
        <scheme val="none"/>
      </font>
      <numFmt numFmtId="1" formatCode="0"/>
      <fill>
        <patternFill patternType="solid">
          <fgColor indexed="64"/>
          <bgColor theme="0"/>
        </patternFill>
      </fill>
      <alignment horizontal="center"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numFmt numFmtId="164"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strike val="0"/>
        <outline val="0"/>
        <shadow val="0"/>
        <u val="none"/>
        <vertAlign val="baseline"/>
        <sz val="11"/>
        <color auto="1"/>
        <name val="Georgia Pro"/>
        <family val="1"/>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right style="thin">
          <color indexed="64"/>
        </right>
        <top style="thin">
          <color indexed="64"/>
        </top>
        <bottom style="thin">
          <color indexed="64"/>
        </bottom>
      </border>
    </dxf>
    <dxf>
      <font>
        <strike val="0"/>
        <outline val="0"/>
        <shadow val="0"/>
        <vertAlign val="baseline"/>
        <name val="Georgia Pro"/>
        <family val="1"/>
        <scheme val="none"/>
      </font>
    </dxf>
    <dxf>
      <font>
        <strike val="0"/>
        <outline val="0"/>
        <shadow val="0"/>
        <vertAlign val="baseline"/>
        <name val="Georgia Pro"/>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righ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right style="thin">
          <color auto="1"/>
        </right>
        <top style="thin">
          <color auto="1"/>
        </top>
        <bottom style="thin">
          <color auto="1"/>
        </bottom>
      </border>
    </dxf>
    <dxf>
      <border outline="0">
        <left style="thin">
          <color auto="1"/>
        </left>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7" tint="0.5999938962981048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strike val="0"/>
        <outline val="0"/>
        <shadow val="0"/>
        <vertAlign val="baseline"/>
        <name val="Georgia Pro"/>
        <family val="1"/>
        <scheme val="none"/>
      </font>
      <numFmt numFmtId="165"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vertAlign val="baseline"/>
        <name val="Georgia Pro"/>
        <family val="1"/>
        <scheme val="none"/>
      </font>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outline="0">
        <left style="thin">
          <color auto="1"/>
        </left>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E2E8BE"/>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CCCC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CCECFF"/>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CCECFF"/>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CCECFF"/>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medium">
          <color rgb="FFFF0066"/>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ck">
          <color rgb="FFFF0066"/>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textRotation="0" wrapText="0" indent="0" justifyLastLine="0" shrinkToFit="0" readingOrder="0"/>
      <border diagonalUp="0" diagonalDown="0" outline="0">
        <left style="medium">
          <color rgb="FFFF0066"/>
        </left>
        <right style="medium">
          <color rgb="FFFF0066"/>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style="medium">
          <color rgb="FFFF0066"/>
        </left>
        <right style="medium">
          <color rgb="FFFF0066"/>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FFE1E1"/>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FFE1E1"/>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E7E20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59999389629810485"/>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59999389629810485"/>
        </patternFill>
      </fill>
      <alignment horizontal="right"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9"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alignment horizontal="righ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vertAlign val="baseline"/>
        <name val="Georgia Pro"/>
        <family val="1"/>
        <scheme val="none"/>
      </font>
      <numFmt numFmtId="165" formatCode="#,##0.0"/>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8" tint="0.79998168889431442"/>
        </patternFill>
      </fill>
      <alignment horizontal="right"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8" tint="0.79998168889431442"/>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rgb="FFBCE6C4"/>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5" tint="0.79998168889431442"/>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thin">
          <color auto="1"/>
        </left>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5" tint="0.79998168889431442"/>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vertAlign val="baseline"/>
        <name val="Georgia Pro"/>
        <family val="1"/>
        <scheme val="none"/>
      </font>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right style="thin">
          <color auto="1"/>
        </right>
        <top style="thin">
          <color auto="1"/>
        </top>
        <bottom style="thin">
          <color auto="1"/>
        </bottom>
      </border>
    </dxf>
    <dxf>
      <border outline="0">
        <left style="thin">
          <color auto="1"/>
        </left>
        <right style="thin">
          <color auto="1"/>
        </right>
        <top style="thin">
          <color auto="1"/>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165"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indexed="64"/>
        </top>
        <bottom style="thin">
          <color indexed="64"/>
        </bottom>
      </border>
      <protection locked="1" hidden="1"/>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dxf>
    <dxf>
      <font>
        <strike val="0"/>
        <outline val="0"/>
        <shadow val="0"/>
        <vertAlign val="baseline"/>
        <name val="Georgia Pro"/>
        <family val="1"/>
        <scheme val="none"/>
      </font>
    </dxf>
    <dxf>
      <font>
        <strike val="0"/>
        <outline val="0"/>
        <shadow val="0"/>
        <vertAlign val="baseline"/>
        <name val="Georgia Pro"/>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right"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8" tint="0.79998168889431442"/>
        </patternFill>
      </fill>
      <alignment horizontal="righ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Georgia Pro"/>
        <family val="1"/>
        <scheme val="none"/>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EDF76F"/>
        </patternFill>
      </fill>
    </dxf>
    <dxf>
      <font>
        <color rgb="FF006100"/>
      </font>
      <fill>
        <patternFill>
          <bgColor rgb="FFEEFCBA"/>
        </patternFill>
      </fill>
    </dxf>
    <dxf>
      <fill>
        <patternFill>
          <bgColor theme="0" tint="-0.14996795556505021"/>
        </patternFill>
      </fill>
      <border>
        <left/>
        <right/>
        <top/>
        <bottom/>
        <vertical/>
        <horizontal/>
      </border>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0.14996795556505021"/>
      </font>
      <fill>
        <patternFill>
          <bgColor theme="0" tint="-0.14996795556505021"/>
        </patternFill>
      </fill>
    </dxf>
    <dxf>
      <font>
        <color theme="0" tint="-4.9989318521683403E-2"/>
      </font>
    </dxf>
    <dxf>
      <font>
        <color theme="0" tint="-4.9989318521683403E-2"/>
      </font>
    </dxf>
    <dxf>
      <font>
        <color theme="0" tint="-4.9989318521683403E-2"/>
      </font>
      <fill>
        <patternFill>
          <bgColor theme="0" tint="-4.9989318521683403E-2"/>
        </patternFill>
      </fill>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0.14996795556505021"/>
      </font>
      <fill>
        <patternFill>
          <bgColor theme="0" tint="-0.14996795556505021"/>
        </patternFill>
      </fill>
    </dxf>
    <dxf>
      <font>
        <color theme="0" tint="-4.9989318521683403E-2"/>
      </font>
    </dxf>
    <dxf>
      <font>
        <color theme="0" tint="-4.9989318521683403E-2"/>
      </font>
    </dxf>
    <dxf>
      <border>
        <left/>
        <right/>
        <top/>
        <bottom/>
        <vertical/>
        <horizontal/>
      </border>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0.14996795556505021"/>
      </font>
      <fill>
        <patternFill>
          <bgColor theme="0" tint="-0.14996795556505021"/>
        </patternFill>
      </fill>
    </dxf>
    <dxf>
      <font>
        <color theme="0" tint="-4.9989318521683403E-2"/>
      </font>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4.9989318521683403E-2"/>
      </font>
    </dxf>
    <dxf>
      <border>
        <left/>
        <right/>
        <top/>
        <bottom/>
        <vertical/>
        <horizontal/>
      </border>
    </dxf>
    <dxf>
      <border>
        <left/>
        <right/>
        <top/>
        <bottom/>
        <vertical/>
        <horizontal/>
      </border>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0.14996795556505021"/>
      </font>
      <fill>
        <patternFill>
          <bgColor theme="0" tint="-0.14996795556505021"/>
        </patternFill>
      </fill>
    </dxf>
    <dxf>
      <font>
        <color theme="0" tint="-4.9989318521683403E-2"/>
      </font>
    </dxf>
    <dxf>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1"/>
      </font>
      <fill>
        <patternFill>
          <bgColor theme="0" tint="-4.9989318521683403E-2"/>
        </patternFill>
      </fill>
    </dxf>
    <dxf>
      <font>
        <color theme="6" tint="0.79998168889431442"/>
      </font>
    </dxf>
    <dxf>
      <fill>
        <patternFill>
          <bgColor theme="0" tint="-4.9989318521683403E-2"/>
        </patternFill>
      </fill>
    </dxf>
    <dxf>
      <font>
        <color theme="0" tint="-4.9989318521683403E-2"/>
      </font>
      <fill>
        <patternFill>
          <bgColor theme="0" tint="-4.9989318521683403E-2"/>
        </patternFill>
      </fill>
    </dxf>
    <dxf>
      <fill>
        <patternFill>
          <bgColor theme="0" tint="-0.14996795556505021"/>
        </patternFill>
      </fill>
    </dxf>
    <dxf>
      <font>
        <color theme="1"/>
      </font>
      <fill>
        <patternFill>
          <bgColor theme="0" tint="-4.9989318521683403E-2"/>
        </patternFill>
      </fill>
    </dxf>
    <dxf>
      <font>
        <color theme="0" tint="-0.14996795556505021"/>
      </font>
      <fill>
        <patternFill>
          <bgColor theme="0" tint="-0.14996795556505021"/>
        </patternFill>
      </fill>
    </dxf>
    <dxf>
      <border>
        <bottom/>
        <vertical/>
        <horizontal/>
      </border>
    </dxf>
    <dxf>
      <fill>
        <patternFill>
          <bgColor rgb="FFDEDCB8"/>
        </patternFill>
      </fill>
    </dxf>
    <dxf>
      <border>
        <right/>
        <top/>
        <bottom/>
        <vertical/>
        <horizontal/>
      </border>
    </dxf>
    <dxf>
      <font>
        <b/>
        <i val="0"/>
        <u val="double"/>
      </font>
      <border>
        <right/>
        <vertical/>
        <horizontal/>
      </border>
    </dxf>
    <dxf>
      <fill>
        <patternFill>
          <bgColor rgb="FFA5D0CF"/>
        </patternFill>
      </fill>
    </dxf>
    <dxf>
      <fill>
        <patternFill>
          <bgColor theme="0"/>
        </patternFill>
      </fill>
      <border>
        <left/>
        <right/>
        <vertical/>
        <horizontal/>
      </border>
    </dxf>
    <dxf>
      <font>
        <color rgb="FFDFE4E9"/>
      </font>
      <fill>
        <patternFill>
          <bgColor rgb="FFDFE4E9"/>
        </patternFill>
      </fill>
      <border>
        <left/>
        <right/>
        <top/>
        <bottom/>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ill>
        <patternFill>
          <bgColor theme="0" tint="-0.14996795556505021"/>
        </patternFill>
      </fill>
      <border>
        <left/>
        <right/>
        <top/>
        <bottom/>
        <vertical/>
        <horizontal/>
      </border>
    </dxf>
    <dxf>
      <font>
        <b/>
        <i val="0"/>
        <u val="double"/>
      </font>
    </dxf>
    <dxf>
      <fill>
        <patternFill>
          <bgColor rgb="FFA5D0CF"/>
        </patternFill>
      </fill>
    </dxf>
    <dxf>
      <border>
        <left/>
        <vertical/>
        <horizontal/>
      </border>
    </dxf>
    <dxf>
      <border>
        <right/>
        <top/>
        <bottom/>
        <vertical/>
        <horizontal/>
      </border>
    </dxf>
    <dxf>
      <fill>
        <patternFill>
          <bgColor rgb="FFDEDCB8"/>
        </patternFill>
      </fill>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ill>
        <patternFill>
          <bgColor theme="0" tint="-0.14996795556505021"/>
        </patternFill>
      </fill>
    </dxf>
    <dxf>
      <fill>
        <patternFill>
          <bgColor theme="0" tint="-4.9989318521683403E-2"/>
        </patternFill>
      </fill>
    </dxf>
    <dxf>
      <fill>
        <patternFill>
          <bgColor theme="0" tint="-4.9989318521683403E-2"/>
        </patternFill>
      </fill>
    </dxf>
    <dxf>
      <font>
        <color theme="6" tint="0.79998168889431442"/>
      </font>
    </dxf>
    <dxf>
      <fill>
        <patternFill>
          <bgColor theme="0" tint="-0.14996795556505021"/>
        </patternFill>
      </fill>
    </dxf>
    <dxf>
      <fill>
        <patternFill>
          <bgColor theme="0" tint="-4.9989318521683403E-2"/>
        </patternFill>
      </fill>
    </dxf>
    <dxf>
      <font>
        <color theme="0" tint="-0.14996795556505021"/>
      </font>
      <fill>
        <patternFill>
          <bgColor theme="0" tint="-0.14996795556505021"/>
        </patternFill>
      </fill>
    </dxf>
    <dxf>
      <font>
        <color rgb="FFEEF2F2"/>
      </font>
      <fill>
        <patternFill>
          <bgColor rgb="FFEEF2F2"/>
        </patternFill>
      </fill>
      <border>
        <left/>
        <right/>
        <top/>
        <bottom/>
        <vertical/>
        <horizontal/>
      </border>
    </dxf>
    <dxf>
      <fill>
        <patternFill>
          <bgColor theme="0"/>
        </patternFill>
      </fill>
      <border>
        <left/>
        <right/>
      </border>
    </dxf>
    <dxf>
      <border>
        <top/>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font>
        <b/>
        <i/>
      </font>
      <border>
        <left style="thin">
          <color rgb="FFFF0066"/>
        </left>
        <right style="thin">
          <color rgb="FFFF0066"/>
        </right>
        <top style="thin">
          <color rgb="FFFF0066"/>
        </top>
        <bottom style="thin">
          <color rgb="FFFF0066"/>
        </bottom>
      </border>
    </dxf>
    <dxf>
      <font>
        <b/>
        <i val="0"/>
        <color theme="2" tint="-0.749961851863155"/>
      </font>
      <fill>
        <patternFill>
          <bgColor rgb="FFEEF2F2"/>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1"/>
      </font>
      <fill>
        <patternFill>
          <bgColor rgb="FFF5CF9D"/>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F5EFA5"/>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89996032593768116"/>
      </font>
      <fill>
        <patternFill>
          <bgColor rgb="FFDCE9CF"/>
        </patternFill>
      </fill>
      <border>
        <left/>
        <right/>
        <top/>
        <bottom/>
        <vertical/>
        <horizontal/>
      </border>
    </dxf>
    <dxf>
      <font>
        <b/>
        <i val="0"/>
        <color theme="2" tint="-0.749961851863155"/>
      </font>
      <fill>
        <patternFill>
          <bgColor rgb="FFEEF2F2"/>
        </patternFill>
      </fill>
      <border>
        <left/>
        <right/>
        <top/>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F2F8F3"/>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EEF2F2"/>
        </patternFill>
      </fill>
      <border>
        <left/>
        <right/>
        <top/>
        <bottom/>
        <vertical/>
        <horizontal/>
      </border>
    </dxf>
    <dxf>
      <font>
        <b/>
        <i val="0"/>
        <color rgb="FF3F525B"/>
      </font>
      <fill>
        <patternFill>
          <bgColor rgb="FFF2F8F3"/>
        </patternFill>
      </fill>
      <border>
        <left/>
        <right/>
        <top/>
        <bottom/>
        <vertical/>
        <horizontal/>
      </border>
    </dxf>
    <dxf>
      <font>
        <b/>
        <i val="0"/>
        <color theme="1"/>
      </font>
      <fill>
        <patternFill>
          <bgColor rgb="FFC3B5B6"/>
        </patternFill>
      </fill>
      <border>
        <left/>
        <right/>
        <top/>
        <bottom/>
        <vertical/>
        <horizontal/>
      </border>
    </dxf>
    <dxf>
      <font>
        <b/>
        <i val="0"/>
        <color theme="1"/>
      </font>
      <fill>
        <patternFill>
          <bgColor rgb="FFD4B6B6"/>
        </patternFill>
      </fill>
      <border>
        <left/>
        <right/>
        <top/>
        <bottom/>
        <vertical/>
        <horizontal/>
      </border>
    </dxf>
    <dxf>
      <font>
        <b/>
        <i val="0"/>
        <color theme="1"/>
      </font>
      <fill>
        <patternFill>
          <bgColor rgb="FFF1B7AD"/>
        </patternFill>
      </fill>
      <border>
        <left/>
        <right/>
        <top/>
        <bottom/>
        <vertical/>
        <horizontal/>
      </border>
    </dxf>
    <dxf>
      <font>
        <b/>
        <i val="0"/>
        <color theme="1"/>
      </font>
      <fill>
        <patternFill>
          <bgColor rgb="FFF5CF9D"/>
        </patternFill>
      </fill>
      <border>
        <left/>
        <right/>
        <top/>
        <bottom/>
        <vertical/>
        <horizontal/>
      </border>
    </dxf>
    <dxf>
      <font>
        <b/>
        <i val="0"/>
        <color theme="2" tint="-0.89996032593768116"/>
      </font>
      <fill>
        <patternFill>
          <bgColor rgb="FFF5EFA5"/>
        </patternFill>
      </fill>
      <border>
        <left/>
        <right/>
        <top/>
        <bottom/>
        <vertical/>
        <horizontal/>
      </border>
    </dxf>
    <dxf>
      <font>
        <b/>
        <i val="0"/>
        <color rgb="FF3F525B"/>
      </font>
      <fill>
        <patternFill>
          <bgColor rgb="FFEEF2F2"/>
        </patternFill>
      </fill>
      <border>
        <left/>
        <right/>
        <top/>
        <bottom/>
        <vertical/>
        <horizontal/>
      </border>
    </dxf>
    <dxf>
      <font>
        <b/>
        <i val="0"/>
        <color theme="2" tint="-0.89996032593768116"/>
      </font>
      <fill>
        <patternFill>
          <bgColor rgb="FFDCE9CF"/>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font>
    </dxf>
    <dxf>
      <font>
        <b/>
        <i val="0"/>
      </font>
    </dxf>
    <dxf>
      <font>
        <b/>
        <i val="0"/>
      </font>
    </dxf>
    <dxf>
      <font>
        <b/>
        <i val="0"/>
      </font>
    </dxf>
    <dxf>
      <font>
        <b/>
        <i val="0"/>
      </font>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b/>
        <i val="0"/>
      </font>
    </dxf>
    <dxf>
      <font>
        <strike/>
      </font>
      <fill>
        <patternFill patternType="lightGray">
          <fgColor theme="0"/>
          <bgColor rgb="FFEBF5F5"/>
        </patternFill>
      </fill>
      <border>
        <left/>
        <right/>
        <top/>
        <bottom/>
      </border>
    </dxf>
    <dxf>
      <font>
        <b/>
        <i val="0"/>
      </font>
    </dxf>
    <dxf>
      <font>
        <strike/>
      </font>
      <fill>
        <patternFill patternType="lightGray">
          <fgColor theme="0"/>
          <bgColor rgb="FFEBF5F5"/>
        </patternFill>
      </fill>
      <border>
        <left/>
        <right/>
        <top/>
        <bottom/>
      </border>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strike/>
      </font>
      <fill>
        <patternFill>
          <bgColor rgb="FFEFF4D4"/>
        </patternFill>
      </fill>
      <border>
        <left/>
        <right/>
        <top/>
        <bottom/>
        <vertical/>
        <horizontal/>
      </border>
    </dxf>
    <dxf>
      <font>
        <b/>
        <i val="0"/>
        <color theme="1"/>
      </font>
      <fill>
        <patternFill>
          <bgColor theme="6" tint="0.79998168889431442"/>
        </patternFill>
      </fill>
      <border>
        <left/>
        <right/>
        <top/>
        <bottom/>
        <vertical/>
        <horizontal/>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EBF5F5"/>
        </patternFill>
      </fill>
      <border>
        <left/>
        <right/>
        <top/>
        <bottom/>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EFF6FB"/>
        </patternFill>
      </fill>
      <border>
        <left/>
        <right/>
        <top/>
        <bottom/>
        <vertical/>
        <horizontal/>
      </border>
    </dxf>
    <dxf>
      <font>
        <strike/>
      </font>
      <fill>
        <patternFill patternType="lightGray">
          <fgColor theme="0"/>
          <bgColor rgb="FFFFF3F3"/>
        </patternFill>
      </fill>
      <border>
        <left/>
        <right/>
        <top/>
        <bottom/>
        <vertical/>
        <horizontal/>
      </border>
    </dxf>
    <dxf>
      <font>
        <strike/>
      </font>
      <fill>
        <patternFill patternType="lightGray">
          <fgColor theme="0"/>
          <bgColor rgb="FFEFF6FB"/>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b val="0"/>
        <i val="0"/>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b val="0"/>
        <i val="0"/>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ill>
        <patternFill>
          <bgColor rgb="FFDCE9CF"/>
        </patternFill>
      </fill>
      <border>
        <left/>
        <right/>
        <top/>
        <bottom/>
        <vertical/>
        <horizontal/>
      </border>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ill>
        <patternFill>
          <bgColor rgb="FFDCE9CF"/>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DBD3D4"/>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E6EFDD"/>
        </patternFill>
      </fill>
      <border>
        <left/>
        <right/>
        <top/>
        <bottom/>
        <vertical/>
        <horizontal/>
      </border>
    </dxf>
    <dxf>
      <font>
        <b/>
        <i val="0"/>
      </font>
    </dxf>
    <dxf>
      <font>
        <b/>
        <i val="0"/>
      </font>
    </dxf>
    <dxf>
      <font>
        <b/>
        <i val="0"/>
      </font>
    </dxf>
    <dxf>
      <font>
        <b/>
        <i val="0"/>
      </font>
    </dxf>
    <dxf>
      <font>
        <b/>
        <i val="0"/>
      </font>
    </dxf>
    <dxf>
      <font>
        <b/>
        <i val="0"/>
      </font>
    </dxf>
    <dxf>
      <font>
        <b/>
        <i val="0"/>
      </font>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E6EFDD"/>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E6EFDD"/>
        </patternFill>
      </fill>
      <border>
        <left/>
        <right/>
        <top/>
        <bottom/>
        <vertical/>
        <horizontal/>
      </border>
    </dxf>
    <dxf>
      <font>
        <b val="0"/>
        <i val="0"/>
        <strike/>
      </font>
      <fill>
        <patternFill>
          <bgColor rgb="FFF5FADE"/>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val="0"/>
        <i val="0"/>
        <strike/>
      </font>
      <fill>
        <patternFill>
          <bgColor rgb="FFDBD3D4"/>
        </patternFill>
      </fill>
      <border>
        <left/>
        <right/>
        <top/>
        <bottom/>
        <vertical/>
        <horizontal/>
      </border>
    </dxf>
    <dxf>
      <fill>
        <patternFill>
          <bgColor rgb="FFC3B5B6"/>
        </patternFill>
      </fill>
      <border>
        <left/>
        <right/>
        <top/>
        <bottom/>
        <vertical/>
        <horizontal/>
      </border>
    </dxf>
    <dxf>
      <fill>
        <patternFill>
          <bgColor rgb="FFD4B6B6"/>
        </patternFill>
      </fill>
      <border>
        <left/>
        <right/>
        <top/>
        <bottom/>
        <vertical/>
        <horizontal/>
      </border>
    </dxf>
    <dxf>
      <fill>
        <patternFill>
          <bgColor rgb="FFEBC7C7"/>
        </patternFill>
      </fill>
      <border>
        <left/>
        <right/>
        <top/>
        <bottom/>
        <vertical/>
        <horizontal/>
      </border>
    </dxf>
    <dxf>
      <fill>
        <patternFill>
          <bgColor rgb="FFF7D0BF"/>
        </patternFill>
      </fill>
      <border>
        <left/>
        <right/>
        <top/>
        <bottom/>
      </border>
    </dxf>
    <dxf>
      <fill>
        <patternFill>
          <bgColor rgb="FFFAE5CA"/>
        </patternFill>
      </fill>
      <border>
        <left/>
        <right/>
        <top/>
        <bottom/>
        <vertical/>
        <horizontal/>
      </border>
    </dxf>
    <dxf>
      <fill>
        <patternFill>
          <bgColor rgb="FFF7F2B3"/>
        </patternFill>
      </fill>
      <border>
        <left/>
        <right/>
        <top/>
        <bottom/>
        <vertical/>
        <horizontal/>
      </border>
    </dxf>
    <dxf>
      <fill>
        <patternFill>
          <bgColor rgb="FFEDF5C3"/>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ill>
        <patternFill>
          <bgColor rgb="FFDCE9CF"/>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val="0"/>
        <i val="0"/>
        <strike/>
      </font>
      <fill>
        <patternFill>
          <bgColor rgb="FFFBF9D9"/>
        </patternFill>
      </fill>
      <border>
        <left/>
        <right/>
        <top/>
        <bottom/>
        <vertical/>
        <horizontal/>
      </border>
    </dxf>
    <dxf>
      <font>
        <b val="0"/>
        <i val="0"/>
        <strike/>
      </font>
      <fill>
        <patternFill>
          <bgColor rgb="FFFDF4E7"/>
        </patternFill>
      </fill>
      <border>
        <left/>
        <right/>
        <top/>
        <bottom/>
        <vertical/>
        <horizontal/>
      </border>
    </dxf>
    <dxf>
      <font>
        <b val="0"/>
        <i val="0"/>
        <strike/>
      </font>
      <fill>
        <patternFill>
          <bgColor rgb="FFFAE4DA"/>
        </patternFill>
      </fill>
      <border>
        <left/>
        <right/>
        <top/>
        <bottom/>
        <vertical/>
        <horizontal/>
      </border>
    </dxf>
    <dxf>
      <font>
        <b val="0"/>
        <i val="0"/>
        <strike/>
      </font>
      <fill>
        <patternFill>
          <bgColor rgb="FFF4E0E0"/>
        </patternFill>
      </fill>
      <border>
        <left/>
        <right/>
        <top/>
        <bottom/>
        <vertical/>
        <horizontal/>
      </border>
    </dxf>
    <dxf>
      <font>
        <b val="0"/>
        <i val="0"/>
        <strike/>
      </font>
      <fill>
        <patternFill>
          <bgColor rgb="FFE8D8D8"/>
        </patternFill>
      </fill>
      <border>
        <left/>
        <right/>
        <top/>
        <bottom/>
        <vertical/>
        <horizontal/>
      </border>
    </dxf>
    <dxf>
      <font>
        <b/>
        <i val="0"/>
      </font>
    </dxf>
    <dxf>
      <font>
        <b val="0"/>
        <i val="0"/>
        <strike/>
      </font>
      <fill>
        <patternFill>
          <bgColor rgb="FFDBD3D4"/>
        </patternFill>
      </fill>
      <border>
        <left/>
        <right/>
        <top/>
        <bottom/>
        <vertical/>
        <horizontal/>
      </border>
    </dxf>
    <dxf>
      <font>
        <b val="0"/>
        <i val="0"/>
        <strike/>
      </font>
      <fill>
        <patternFill>
          <bgColor rgb="FFF5FADE"/>
        </patternFill>
      </fill>
      <border>
        <left/>
        <right/>
        <top/>
        <bottom/>
        <vertical/>
        <horizontal/>
      </border>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val="0"/>
        <i val="0"/>
        <strike/>
      </font>
      <fill>
        <patternFill>
          <bgColor rgb="FFE6EFDD"/>
        </patternFill>
      </fill>
      <border>
        <left/>
        <right/>
        <top/>
        <bottom/>
        <vertical/>
        <horizontal/>
      </border>
    </dxf>
    <dxf>
      <font>
        <b/>
        <i val="0"/>
      </font>
    </dxf>
    <dxf>
      <font>
        <b val="0"/>
        <i/>
        <color auto="1"/>
      </font>
    </dxf>
    <dxf>
      <font>
        <b val="0"/>
        <i/>
        <color theme="1"/>
      </font>
    </dxf>
    <dxf>
      <font>
        <b val="0"/>
        <i val="0"/>
        <strike/>
        <color theme="1" tint="4.9989318521683403E-2"/>
      </font>
      <fill>
        <patternFill>
          <bgColor rgb="FFFFD9D9"/>
        </patternFill>
      </fill>
      <border>
        <left/>
        <right/>
        <top/>
        <bottom/>
      </border>
    </dxf>
    <dxf>
      <font>
        <b val="0"/>
        <i val="0"/>
        <strike/>
        <color theme="1" tint="4.9989318521683403E-2"/>
      </font>
      <fill>
        <patternFill>
          <bgColor rgb="FFCED4CF"/>
        </patternFill>
      </fill>
      <border>
        <left/>
        <right/>
        <top/>
        <bottom/>
      </border>
    </dxf>
    <dxf>
      <font>
        <b/>
        <i/>
      </font>
    </dxf>
    <dxf>
      <font>
        <b/>
        <i/>
      </font>
    </dxf>
    <dxf>
      <font>
        <b/>
        <i val="0"/>
      </font>
    </dxf>
    <dxf>
      <font>
        <b/>
        <i val="0"/>
        <color theme="2" tint="-0.89996032593768116"/>
      </font>
      <fill>
        <patternFill>
          <bgColor rgb="FFFFD9D9"/>
        </patternFill>
      </fill>
      <border>
        <left/>
        <right/>
        <top/>
        <bottom/>
        <vertical/>
        <horizontal/>
      </border>
    </dxf>
    <dxf>
      <font>
        <b/>
        <i val="0"/>
        <color theme="2" tint="-0.89996032593768116"/>
      </font>
      <fill>
        <patternFill>
          <bgColor rgb="FFCED4CF"/>
        </patternFill>
      </fill>
      <border>
        <left/>
        <right/>
        <top/>
        <bottom/>
        <vertical/>
        <horizontal/>
      </border>
    </dxf>
    <dxf>
      <font>
        <b/>
        <i val="0"/>
        <color theme="2" tint="-0.89996032593768116"/>
      </font>
      <fill>
        <patternFill>
          <bgColor rgb="FFCCEAE9"/>
        </patternFill>
      </fill>
      <border>
        <left/>
        <right/>
        <top/>
        <bottom/>
        <vertical/>
        <horizontal/>
      </border>
    </dxf>
    <dxf>
      <font>
        <b/>
        <i val="0"/>
        <color theme="2" tint="-0.89996032593768116"/>
      </font>
      <fill>
        <patternFill>
          <bgColor rgb="FFE6DBCC"/>
        </patternFill>
      </fill>
      <border>
        <left/>
        <right/>
        <top/>
        <bottom/>
        <vertical/>
        <horizontal/>
      </border>
    </dxf>
    <dxf>
      <font>
        <b/>
        <i val="0"/>
        <color theme="2" tint="-0.89996032593768116"/>
      </font>
      <fill>
        <patternFill>
          <bgColor rgb="FFCED4CF"/>
        </patternFill>
      </fill>
      <border>
        <left/>
        <right/>
        <top/>
        <bottom/>
        <vertical/>
        <horizontal/>
      </border>
    </dxf>
    <dxf>
      <font>
        <b/>
        <i val="0"/>
        <color theme="2" tint="-0.89996032593768116"/>
      </font>
      <fill>
        <patternFill>
          <bgColor rgb="FFCED4CF"/>
        </patternFill>
      </fill>
      <border>
        <left/>
        <right/>
        <top/>
        <bottom/>
        <vertical/>
        <horizontal/>
      </border>
    </dxf>
    <dxf>
      <font>
        <b/>
        <i val="0"/>
        <color theme="2" tint="-0.89996032593768116"/>
      </font>
      <fill>
        <patternFill>
          <bgColor rgb="FFE6DBCC"/>
        </patternFill>
      </fill>
      <border>
        <left/>
        <right/>
        <top/>
        <bottom/>
        <vertical/>
        <horizontal/>
      </border>
    </dxf>
    <dxf>
      <font>
        <b/>
        <i val="0"/>
        <color theme="2" tint="-0.89996032593768116"/>
      </font>
      <fill>
        <patternFill>
          <bgColor rgb="FFCED4CF"/>
        </patternFill>
      </fill>
      <border>
        <left/>
        <right/>
        <top/>
        <bottom/>
        <vertical/>
        <horizontal/>
      </border>
    </dxf>
    <dxf>
      <font>
        <b/>
        <i val="0"/>
        <color theme="2" tint="-0.89996032593768116"/>
      </font>
      <fill>
        <patternFill>
          <bgColor rgb="FFE6DBCC"/>
        </patternFill>
      </fill>
      <border>
        <left/>
        <right/>
        <top/>
        <bottom/>
        <vertical/>
        <horizontal/>
      </border>
    </dxf>
    <dxf>
      <font>
        <b/>
        <i val="0"/>
      </font>
    </dxf>
    <dxf>
      <font>
        <b/>
        <i val="0"/>
      </font>
    </dxf>
    <dxf>
      <font>
        <b/>
        <i val="0"/>
      </font>
    </dxf>
    <dxf>
      <font>
        <b/>
        <i val="0"/>
      </font>
    </dxf>
    <dxf>
      <font>
        <b/>
        <i val="0"/>
        <color theme="2" tint="-0.89996032593768116"/>
      </font>
      <fill>
        <patternFill>
          <bgColor rgb="FFE6DBCC"/>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fill>
        <patternFill>
          <bgColor theme="6" tint="0.79998168889431442"/>
        </patternFill>
      </fill>
    </dxf>
    <dxf>
      <font>
        <b/>
        <i val="0"/>
        <color auto="1"/>
      </font>
      <border>
        <vertical/>
        <horizontal/>
      </border>
    </dxf>
    <dxf>
      <font>
        <b/>
        <i val="0"/>
      </font>
    </dxf>
    <dxf>
      <font>
        <color theme="6" tint="0.79998168889431442"/>
      </font>
      <fill>
        <patternFill>
          <bgColor theme="6" tint="0.79998168889431442"/>
        </patternFill>
      </fill>
    </dxf>
    <dxf>
      <fill>
        <patternFill>
          <bgColor theme="6" tint="0.79998168889431442"/>
        </patternFill>
      </fill>
    </dxf>
    <dxf>
      <fill>
        <patternFill>
          <bgColor theme="6" tint="0.79998168889431442"/>
        </patternFill>
      </fill>
    </dxf>
    <dxf>
      <font>
        <color theme="6" tint="0.79998168889431442"/>
      </font>
      <fill>
        <patternFill>
          <bgColor theme="6" tint="0.79998168889431442"/>
        </patternFill>
      </fill>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b/>
        <i/>
      </font>
    </dxf>
    <dxf>
      <font>
        <b val="0"/>
        <i val="0"/>
      </font>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ill>
        <patternFill patternType="lightGray">
          <fgColor theme="0"/>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ill>
        <patternFill patternType="lightGray">
          <fgColor theme="0"/>
          <bgColor rgb="FFC6E1E1"/>
        </patternFill>
      </fill>
      <border>
        <left/>
        <right/>
        <top/>
        <bottom/>
        <vertical/>
        <horizontal/>
      </border>
    </dxf>
    <dxf>
      <font>
        <color auto="1"/>
      </font>
      <fill>
        <patternFill>
          <bgColor rgb="FFE0D8D8"/>
        </patternFill>
      </fill>
      <border>
        <left/>
        <right/>
        <top/>
        <bottom/>
        <vertical/>
        <horizontal/>
      </border>
    </dxf>
    <dxf>
      <font>
        <b/>
        <i val="0"/>
        <color rgb="FF009999"/>
      </font>
      <fill>
        <patternFill>
          <bgColor rgb="FFC6E1E1"/>
        </patternFill>
      </fill>
      <border>
        <left/>
        <right/>
        <top/>
        <bottom/>
        <vertical/>
        <horizontal/>
      </border>
    </dxf>
    <dxf>
      <font>
        <color auto="1"/>
      </font>
      <fill>
        <patternFill>
          <bgColor rgb="FFE0D8D8"/>
        </patternFill>
      </fill>
      <border>
        <left/>
        <right/>
        <top/>
        <bottom/>
        <vertical/>
        <horizontal/>
      </border>
    </dxf>
    <dxf>
      <font>
        <b/>
        <i val="0"/>
        <color rgb="FF009999"/>
      </font>
      <fill>
        <patternFill>
          <bgColor rgb="FFC6E1E1"/>
        </patternFill>
      </fill>
      <border>
        <left/>
        <right/>
        <top/>
        <bottom/>
        <vertical/>
        <horizontal/>
      </border>
    </dxf>
    <dxf>
      <font>
        <color auto="1"/>
      </font>
      <fill>
        <patternFill>
          <bgColor rgb="FFE0D8D8"/>
        </patternFill>
      </fill>
      <border>
        <left/>
        <right/>
        <top/>
        <bottom/>
        <vertical/>
        <horizontal/>
      </border>
    </dxf>
    <dxf>
      <font>
        <b/>
        <i val="0"/>
        <color rgb="FF009999"/>
      </font>
      <fill>
        <patternFill>
          <bgColor rgb="FFC6E1E1"/>
        </patternFill>
      </fill>
      <border>
        <left/>
        <right/>
        <top/>
        <bottom/>
        <vertical/>
        <horizontal/>
      </border>
    </dxf>
    <dxf>
      <font>
        <color auto="1"/>
      </font>
      <fill>
        <patternFill>
          <bgColor rgb="FFE0D8D8"/>
        </patternFill>
      </fill>
      <border>
        <left/>
        <right/>
        <top/>
        <bottom/>
        <vertical/>
        <horizontal/>
      </border>
    </dxf>
    <dxf>
      <font>
        <b/>
        <i val="0"/>
        <color rgb="FF009999"/>
      </font>
      <fill>
        <patternFill>
          <bgColor rgb="FFC6E1E1"/>
        </patternFill>
      </fill>
      <border>
        <left/>
        <right/>
        <top/>
        <bottom/>
        <vertical/>
        <horizontal/>
      </border>
    </dxf>
    <dxf>
      <fill>
        <patternFill>
          <bgColor theme="0"/>
        </patternFill>
      </fill>
    </dxf>
    <dxf>
      <fill>
        <patternFill>
          <bgColor theme="0"/>
        </patternFill>
      </fill>
    </dxf>
    <dxf>
      <font>
        <color rgb="FFD8E9F4"/>
      </font>
      <fill>
        <patternFill patternType="lightGray">
          <fgColor theme="0"/>
          <bgColor theme="6" tint="0.79998168889431442"/>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font>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i/>
      </font>
    </dxf>
    <dxf>
      <font>
        <b/>
        <i/>
      </font>
    </dxf>
    <dxf>
      <font>
        <b/>
        <i/>
      </font>
    </dxf>
    <dxf>
      <font>
        <b/>
        <i/>
      </font>
    </dxf>
    <dxf>
      <font>
        <b/>
        <i/>
      </font>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b val="0"/>
        <i val="0"/>
      </font>
      <fill>
        <patternFill patternType="lightGray">
          <fgColor theme="0"/>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b/>
        <i/>
      </font>
    </dxf>
    <dxf>
      <font>
        <b val="0"/>
        <i val="0"/>
      </font>
      <fill>
        <patternFill patternType="lightGray">
          <fgColor theme="0"/>
          <bgColor rgb="FFFFE1E1"/>
        </patternFill>
      </fill>
      <border>
        <left/>
        <right/>
        <top/>
        <bottom/>
        <vertical/>
        <horizontal/>
      </border>
    </dxf>
    <dxf>
      <font>
        <color auto="1"/>
      </font>
      <fill>
        <patternFill>
          <bgColor rgb="FFE0D8D8"/>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color auto="1"/>
      </font>
      <fill>
        <patternFill>
          <bgColor rgb="FFE0D8D8"/>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color auto="1"/>
      </font>
      <fill>
        <patternFill>
          <bgColor rgb="FFE0D8D8"/>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FF0066"/>
      </font>
      <numFmt numFmtId="2" formatCode="0.00"/>
    </dxf>
    <dxf>
      <font>
        <b/>
        <i val="0"/>
        <color rgb="FFFF0066"/>
      </font>
    </dxf>
    <dxf>
      <font>
        <color auto="1"/>
      </font>
      <fill>
        <patternFill>
          <bgColor rgb="FFE0D8D8"/>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font>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ill>
        <patternFill>
          <bgColor rgb="FFF2ECDA"/>
        </patternFill>
      </fill>
      <border>
        <left/>
        <right/>
        <top/>
        <bottom/>
        <vertical/>
        <horizontal/>
      </border>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theme="0"/>
      </font>
      <fill>
        <patternFill>
          <bgColor theme="0"/>
        </patternFill>
      </fill>
      <border>
        <left/>
        <right/>
        <top/>
        <bottom/>
        <vertical/>
        <horizontal/>
      </border>
    </dxf>
    <dxf>
      <border>
        <left/>
        <right/>
        <top/>
        <bottom/>
        <vertical/>
        <horizontal/>
      </border>
    </dxf>
    <dxf>
      <font>
        <color theme="0"/>
      </font>
      <fill>
        <patternFill patternType="solid">
          <fgColor theme="0"/>
          <bgColor theme="0"/>
        </patternFill>
      </fill>
      <border>
        <left/>
        <right/>
        <top/>
        <bottom/>
        <vertical/>
        <horizontal/>
      </border>
    </dxf>
    <dxf>
      <border>
        <left/>
        <right/>
        <top/>
        <bottom/>
        <vertical/>
        <horizontal/>
      </border>
    </dxf>
    <dxf>
      <fill>
        <patternFill patternType="solid">
          <fgColor theme="0"/>
        </patternFill>
      </fill>
      <border>
        <left/>
        <right/>
        <top/>
        <bottom/>
        <vertical/>
        <horizontal/>
      </border>
    </dxf>
    <dxf>
      <font>
        <color theme="0"/>
      </font>
      <fill>
        <patternFill patternType="solid">
          <fgColor theme="0"/>
          <bgColor theme="0"/>
        </patternFill>
      </fill>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ont>
        <color theme="0"/>
      </font>
      <fill>
        <patternFill patternType="solid">
          <fgColor theme="0"/>
          <bgColor theme="0"/>
        </patternFill>
      </fill>
      <border>
        <left/>
        <right/>
        <top/>
        <bottom/>
        <vertical/>
        <horizontal/>
      </border>
    </dxf>
    <dxf>
      <font>
        <b val="0"/>
        <i/>
      </font>
      <fill>
        <patternFill>
          <bgColor rgb="FFDED6E2"/>
        </patternFill>
      </fill>
      <border>
        <left/>
        <right/>
        <top/>
        <bottom/>
        <vertical/>
        <horizontal/>
      </border>
    </dxf>
    <dxf>
      <font>
        <b val="0"/>
        <i/>
      </font>
      <fill>
        <patternFill>
          <bgColor rgb="FFDED6E2"/>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vertical/>
        <horizontal/>
      </border>
    </dxf>
    <dxf>
      <font>
        <b val="0"/>
        <i/>
      </font>
      <fill>
        <patternFill>
          <bgColor rgb="FFFCE7D0"/>
        </patternFill>
      </fill>
      <border>
        <left/>
        <right/>
        <top/>
        <bottom/>
      </border>
    </dxf>
    <dxf>
      <font>
        <b val="0"/>
        <i/>
      </font>
      <fill>
        <patternFill>
          <bgColor rgb="FFFCE7D0"/>
        </patternFill>
      </fill>
      <border>
        <left/>
        <right/>
        <top/>
        <bottom/>
        <vertical/>
        <horizontal/>
      </border>
    </dxf>
    <dxf>
      <font>
        <b val="0"/>
        <i/>
      </font>
    </dxf>
    <dxf>
      <font>
        <b val="0"/>
        <i/>
      </font>
      <fill>
        <patternFill>
          <bgColor rgb="FFDED6E2"/>
        </patternFill>
      </fill>
      <border>
        <left/>
        <right/>
        <top/>
        <bottom/>
        <vertical/>
        <horizontal/>
      </border>
    </dxf>
    <dxf>
      <font>
        <b val="0"/>
        <i/>
      </font>
      <fill>
        <patternFill>
          <bgColor rgb="FFDED6E2"/>
        </patternFill>
      </fill>
      <border>
        <left/>
        <right/>
        <top/>
        <bottom/>
        <vertical/>
        <horizontal/>
      </border>
    </dxf>
    <dxf>
      <font>
        <b val="0"/>
        <i/>
      </font>
      <fill>
        <patternFill>
          <bgColor rgb="FFDED6E2"/>
        </patternFill>
      </fill>
      <border>
        <left/>
        <right/>
        <top/>
        <bottom/>
        <vertical/>
        <horizontal/>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ont>
        <b val="0"/>
        <i val="0"/>
        <color auto="1"/>
      </font>
      <fill>
        <patternFill>
          <bgColor rgb="FFFCF0D0"/>
        </patternFill>
      </fill>
      <border>
        <left/>
        <right/>
        <top/>
        <bottom/>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patternType="lightUp">
          <bgColor rgb="FFF6F8B6"/>
        </patternFill>
      </fill>
    </dxf>
    <dxf>
      <fill>
        <patternFill patternType="lightUp">
          <bgColor rgb="FFF6F8B6"/>
        </patternFill>
      </fill>
    </dxf>
    <dxf>
      <fill>
        <patternFill patternType="lightUp">
          <bgColor rgb="FFF6F8B6"/>
        </patternFill>
      </fill>
    </dxf>
    <dxf>
      <fill>
        <patternFill patternType="lightUp">
          <fgColor theme="1"/>
          <bgColor rgb="FFF6F8B6"/>
        </patternFill>
      </fill>
    </dxf>
    <dxf>
      <fill>
        <patternFill patternType="lightUp">
          <fgColor theme="1"/>
          <bgColor rgb="FFF6F8B6"/>
        </patternFill>
      </fill>
    </dxf>
    <dxf>
      <fill>
        <patternFill patternType="lightUp">
          <fgColor theme="1"/>
          <bgColor rgb="FFF6F8B6"/>
        </patternFill>
      </fill>
    </dxf>
    <dxf>
      <fill>
        <patternFill patternType="lightUp">
          <fgColor theme="1"/>
          <bgColor rgb="FFF6F8B6"/>
        </patternFill>
      </fill>
    </dxf>
    <dxf>
      <fill>
        <patternFill patternType="lightUp">
          <fgColor theme="1"/>
          <bgColor rgb="FFF6F8B6"/>
        </patternFill>
      </fill>
    </dxf>
    <dxf>
      <fill>
        <patternFill patternType="lightUp">
          <fgColor auto="1"/>
          <bgColor rgb="FFF6F8B6"/>
        </patternFill>
      </fill>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patternType="gray0625">
          <fgColor theme="0"/>
          <bgColor theme="6" tint="0.79998168889431442"/>
        </patternFill>
      </fill>
      <border>
        <left/>
        <right/>
        <top/>
        <bottom/>
        <vertical/>
        <horizontal/>
      </border>
    </dxf>
    <dxf>
      <fill>
        <patternFill>
          <bgColor rgb="FFF6F8B6"/>
        </patternFill>
      </fill>
    </dxf>
    <dxf>
      <fill>
        <patternFill>
          <bgColor rgb="FFF6F8B6"/>
        </patternFill>
      </fill>
    </dxf>
    <dxf>
      <fill>
        <patternFill>
          <bgColor rgb="FFF6F8B6"/>
        </patternFill>
      </fill>
    </dxf>
    <dxf>
      <fill>
        <patternFill>
          <bgColor rgb="FFF6F8B6"/>
        </patternFill>
      </fill>
    </dxf>
    <dxf>
      <fill>
        <patternFill>
          <bgColor rgb="FFF6F8B6"/>
        </patternFill>
      </fill>
    </dxf>
    <dxf>
      <fill>
        <patternFill>
          <bgColor rgb="FFF6F8B6"/>
        </patternFill>
      </fill>
    </dxf>
    <dxf>
      <fill>
        <patternFill>
          <bgColor rgb="FFF6F8B6"/>
        </patternFill>
      </fill>
    </dxf>
    <dxf>
      <fill>
        <patternFill>
          <bgColor rgb="FFF6F8B6"/>
        </patternFill>
      </fill>
    </dxf>
    <dxf>
      <fill>
        <patternFill patternType="solid">
          <fgColor theme="0"/>
          <bgColor rgb="FFF6F8B6"/>
        </patternFill>
      </fill>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ont>
        <b val="0"/>
        <i val="0"/>
      </font>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ont>
        <b val="0"/>
        <i val="0"/>
      </font>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theme="9" tint="-0.24994659260841701"/>
      </font>
      <fill>
        <patternFill>
          <bgColor rgb="FFF0F3DD"/>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18461"/>
      </font>
      <fill>
        <patternFill>
          <bgColor rgb="FFFCF0D0"/>
        </patternFill>
      </fill>
      <border>
        <left/>
        <right/>
        <top/>
        <bottom/>
        <vertical/>
        <horizontal/>
      </border>
    </dxf>
    <dxf>
      <font>
        <b/>
        <i val="0"/>
        <color rgb="FFD18461"/>
      </font>
      <fill>
        <patternFill>
          <bgColor rgb="FFFCF0D0"/>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color rgb="FF7030A0"/>
      </font>
      <fill>
        <patternFill>
          <bgColor rgb="FFDED6E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rgb="FFD18461"/>
      </font>
      <fill>
        <patternFill>
          <bgColor rgb="FFFCE7D0"/>
        </patternFill>
      </fill>
      <border>
        <left/>
        <right/>
        <top/>
        <bottom/>
        <vertical/>
        <horizontal/>
      </border>
    </dxf>
    <dxf>
      <font>
        <b/>
        <i val="0"/>
        <color theme="1"/>
      </font>
      <fill>
        <patternFill>
          <bgColor theme="6" tint="0.79998168889431442"/>
        </patternFill>
      </fill>
      <border>
        <left/>
        <right/>
        <top/>
        <bottom/>
        <vertical/>
        <horizontal/>
      </border>
    </dxf>
    <dxf>
      <font>
        <b/>
        <i val="0"/>
        <color rgb="FFD18461"/>
      </font>
      <fill>
        <patternFill>
          <bgColor rgb="FFFCE7D0"/>
        </patternFill>
      </fill>
      <border>
        <left/>
        <right/>
        <top/>
        <bottom/>
        <vertical/>
        <horizontal/>
      </border>
    </dxf>
    <dxf>
      <font>
        <b/>
        <i val="0"/>
        <color theme="8" tint="-0.24994659260841701"/>
      </font>
      <fill>
        <patternFill>
          <bgColor rgb="FFC6E1E1"/>
        </patternFill>
      </fill>
      <border>
        <left/>
        <right/>
        <top/>
        <bottom/>
        <vertical/>
        <horizontal/>
      </border>
    </dxf>
    <dxf>
      <font>
        <b/>
        <i val="0"/>
        <color rgb="FF06ADD4"/>
      </font>
      <fill>
        <patternFill>
          <bgColor rgb="FFD8E9F4"/>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b/>
        <i val="0"/>
        <color rgb="FFD87676"/>
      </font>
      <fill>
        <patternFill>
          <bgColor rgb="FFFFE1E1"/>
        </patternFill>
      </fill>
      <border>
        <left/>
        <right/>
        <top/>
        <bottom/>
        <vertical/>
        <horizontal/>
      </border>
    </dxf>
    <dxf>
      <font>
        <b/>
        <i val="0"/>
        <color rgb="FFD2BD80"/>
      </font>
      <fill>
        <patternFill>
          <bgColor rgb="FFF2ECDA"/>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border>
        <bottom/>
        <vertical/>
        <horizontal/>
      </border>
    </dxf>
    <dxf>
      <border>
        <bottom/>
        <vertical/>
        <horizontal/>
      </border>
    </dxf>
    <dxf>
      <border>
        <bottom/>
        <vertical/>
        <horizontal/>
      </border>
    </dxf>
    <dxf>
      <border>
        <bottom/>
        <vertical/>
        <horizontal/>
      </border>
    </dxf>
    <dxf>
      <border>
        <bottom/>
        <vertical/>
        <horizontal/>
      </border>
    </dxf>
    <dxf>
      <border>
        <bottom/>
        <vertical/>
        <horizontal/>
      </border>
    </dxf>
    <dxf>
      <border>
        <bottom/>
        <vertical/>
        <horizontal/>
      </border>
    </dxf>
    <dxf>
      <border>
        <bottom/>
        <vertical/>
        <horizontal/>
      </border>
    </dxf>
    <dxf>
      <fill>
        <patternFill>
          <bgColor rgb="FFC2DBE4"/>
        </patternFill>
      </fill>
    </dxf>
    <dxf>
      <fill>
        <patternFill>
          <bgColor rgb="FFFAF8D2"/>
        </patternFill>
      </fill>
    </dxf>
    <dxf>
      <border>
        <bottom/>
        <vertical/>
        <horizontal/>
      </border>
    </dxf>
    <dxf>
      <font>
        <color theme="0"/>
      </font>
      <fill>
        <patternFill>
          <bgColor theme="0"/>
        </patternFill>
      </fill>
      <border>
        <left/>
        <right/>
        <bottom/>
        <vertical/>
        <horizontal/>
      </border>
    </dxf>
    <dxf>
      <fill>
        <patternFill>
          <bgColor theme="0"/>
        </patternFill>
      </fill>
    </dxf>
    <dxf>
      <fill>
        <patternFill>
          <bgColor theme="0"/>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0"/>
        </patternFill>
      </fill>
    </dxf>
    <dxf>
      <fill>
        <patternFill>
          <bgColor theme="6" tint="0.79998168889431442"/>
        </patternFill>
      </fill>
      <border>
        <left/>
        <right/>
        <top/>
        <bottom/>
        <vertical/>
        <horizontal/>
      </border>
    </dxf>
    <dxf>
      <fill>
        <patternFill>
          <bgColor theme="0"/>
        </patternFill>
      </fill>
      <border>
        <left/>
        <right/>
        <top/>
        <bottom/>
        <vertical/>
        <horizontal/>
      </border>
    </dxf>
    <dxf>
      <fill>
        <patternFill>
          <bgColor theme="6" tint="0.79998168889431442"/>
        </patternFill>
      </fill>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border>
    </dxf>
    <dxf>
      <fill>
        <patternFill>
          <bgColor theme="0"/>
        </patternFill>
      </fill>
      <border>
        <left/>
        <right/>
        <top/>
        <bottom/>
        <vertical/>
        <horizontal/>
      </border>
    </dxf>
    <dxf>
      <fill>
        <patternFill>
          <bgColor theme="0"/>
        </patternFill>
      </fill>
      <border>
        <left/>
        <right/>
        <top/>
        <bottom/>
      </border>
    </dxf>
    <dxf>
      <font>
        <color theme="0"/>
      </font>
      <fill>
        <patternFill>
          <bgColor theme="0"/>
        </patternFill>
      </fill>
      <border>
        <left/>
        <right/>
        <top/>
        <bottom/>
        <vertical/>
        <horizontal/>
      </border>
    </dxf>
    <dxf>
      <fill>
        <patternFill>
          <bgColor theme="6" tint="0.79998168889431442"/>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patternType="solid">
          <fgColor theme="0"/>
          <bgColor theme="6" tint="0.79998168889431442"/>
        </patternFill>
      </fill>
      <border>
        <left/>
        <right/>
        <top/>
        <bottom/>
        <vertical/>
        <horizontal/>
      </border>
    </dxf>
    <dxf>
      <fill>
        <patternFill>
          <bgColor rgb="FFFCE7D0"/>
        </patternFill>
      </fill>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0"/>
      </font>
      <fill>
        <patternFill>
          <bgColor theme="0"/>
        </patternFill>
      </fill>
      <border>
        <left/>
        <right/>
        <top/>
        <bottom/>
        <vertical/>
        <horizontal/>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font>
        <color theme="6" tint="0.79998168889431442"/>
      </font>
      <fill>
        <patternFill>
          <bgColor theme="6" tint="0.79998168889431442"/>
        </patternFill>
      </fill>
      <border>
        <left/>
        <right/>
        <top/>
        <bottom/>
      </border>
    </dxf>
    <dxf>
      <fill>
        <patternFill>
          <bgColor rgb="FFFCE7D0"/>
        </patternFill>
      </fill>
      <border>
        <left/>
        <right/>
        <top/>
        <bottom/>
        <vertical/>
        <horizontal/>
      </border>
    </dxf>
    <dxf>
      <font>
        <color theme="6" tint="0.79998168889431442"/>
      </font>
      <fill>
        <patternFill>
          <bgColor theme="6" tint="0.79998168889431442"/>
        </patternFill>
      </fill>
      <border>
        <left/>
        <right/>
        <top/>
        <bottom/>
      </border>
    </dxf>
    <dxf>
      <border>
        <left/>
        <right/>
        <top/>
        <bottom/>
        <vertical/>
        <horizontal/>
      </border>
    </dxf>
    <dxf>
      <font>
        <b/>
        <i/>
      </font>
    </dxf>
    <dxf>
      <font>
        <color theme="0"/>
      </font>
      <fill>
        <patternFill>
          <bgColor theme="0"/>
        </patternFill>
      </fill>
      <border>
        <left/>
        <right/>
        <top/>
        <bottom/>
        <vertical/>
        <horizontal/>
      </border>
    </dxf>
    <dxf>
      <font>
        <color theme="0"/>
      </font>
      <border>
        <left/>
        <right/>
        <top/>
        <bottom/>
        <vertical/>
        <horizontal/>
      </border>
    </dxf>
    <dxf>
      <font>
        <color theme="0"/>
      </font>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ill>
        <patternFill>
          <bgColor rgb="FFFCE7D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border>
    </dxf>
    <dxf>
      <font>
        <color rgb="FFD18461"/>
      </font>
      <fill>
        <patternFill>
          <bgColor rgb="FFFCE7D0"/>
        </patternFill>
      </fill>
      <border>
        <left/>
        <right/>
        <top/>
        <bottom/>
        <vertical/>
        <horizontal/>
      </border>
    </dxf>
    <dxf>
      <font>
        <color rgb="FFFEF4E8"/>
      </font>
      <fill>
        <patternFill>
          <bgColor rgb="FFFEF4E8"/>
        </patternFill>
      </fill>
      <border>
        <left/>
        <right/>
        <top/>
        <bottom/>
        <vertical/>
        <horizontal/>
      </border>
    </dxf>
    <dxf>
      <font>
        <b/>
        <i/>
      </font>
    </dxf>
    <dxf>
      <font>
        <b val="0"/>
        <i/>
        <color theme="1" tint="0.499984740745262"/>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FCE7D0"/>
        </patternFill>
      </fill>
    </dxf>
    <dxf>
      <fill>
        <patternFill>
          <bgColor rgb="FFFCE7D0"/>
        </patternFill>
      </fill>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theme="0"/>
      </font>
      <fill>
        <patternFill>
          <bgColor theme="0"/>
        </patternFill>
      </fill>
      <border>
        <left/>
        <right/>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theme="0"/>
        </patternFill>
      </fill>
    </dxf>
    <dxf>
      <fill>
        <patternFill>
          <bgColor rgb="FFC2DBE4"/>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ill>
        <patternFill>
          <bgColor rgb="FFC2DBE4"/>
        </patternFill>
      </fill>
    </dxf>
    <dxf>
      <fill>
        <patternFill>
          <bgColor theme="0"/>
        </patternFill>
      </fill>
    </dxf>
    <dxf>
      <fill>
        <patternFill>
          <bgColor rgb="FFC2DBE4"/>
        </patternFill>
      </fill>
    </dxf>
    <dxf>
      <fill>
        <patternFill>
          <bgColor theme="0"/>
        </patternFill>
      </fill>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border>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rgb="FFD18461"/>
      </font>
      <fill>
        <patternFill>
          <bgColor rgb="FFFCE7D0"/>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auto="1"/>
      </font>
      <fill>
        <patternFill>
          <bgColor rgb="FFE0D8D8"/>
        </patternFill>
      </fill>
      <border>
        <left/>
        <right/>
        <top/>
        <bottom/>
        <vertical/>
        <horizontal/>
      </border>
    </dxf>
    <dxf>
      <font>
        <color theme="6" tint="0.79998168889431442"/>
      </font>
    </dxf>
    <dxf>
      <font>
        <b/>
        <i val="0"/>
        <u val="double"/>
      </font>
    </dxf>
    <dxf>
      <border>
        <bottom/>
        <vertical/>
        <horizontal/>
      </border>
    </dxf>
    <dxf>
      <fill>
        <patternFill>
          <bgColor rgb="FFB0BDC8"/>
        </patternFill>
      </fill>
      <border>
        <vertical/>
        <horizontal/>
      </border>
    </dxf>
    <dxf>
      <border>
        <left/>
        <right/>
        <vertical/>
        <horizontal/>
      </border>
    </dxf>
    <dxf>
      <fill>
        <patternFill>
          <bgColor rgb="FFD9D9D9"/>
        </patternFill>
      </fill>
      <border>
        <left/>
        <right/>
        <top/>
        <bottom/>
        <vertical/>
        <horizontal/>
      </border>
    </dxf>
    <dxf>
      <fill>
        <patternFill>
          <bgColor rgb="FFDFE4E9"/>
        </patternFill>
      </fill>
      <border>
        <left/>
        <right/>
        <top/>
        <bottom/>
        <vertical/>
        <horizontal/>
      </border>
    </dxf>
    <dxf>
      <font>
        <color theme="1"/>
      </font>
      <fill>
        <patternFill>
          <bgColor theme="0" tint="-4.9989318521683403E-2"/>
        </patternFill>
      </fill>
    </dxf>
    <dxf>
      <fill>
        <patternFill>
          <bgColor theme="0" tint="-4.9989318521683403E-2"/>
        </patternFill>
      </fill>
    </dxf>
    <dxf>
      <font>
        <color auto="1"/>
      </font>
      <fill>
        <patternFill>
          <bgColor rgb="FFDEDCB8"/>
        </patternFill>
      </fill>
    </dxf>
    <dxf>
      <font>
        <b/>
        <i val="0"/>
      </font>
      <border>
        <left/>
        <vertical/>
        <horizontal/>
      </border>
    </dxf>
    <dxf>
      <fill>
        <patternFill>
          <bgColor rgb="FFD9D9D9"/>
        </patternFill>
      </fill>
      <border>
        <right/>
        <top/>
        <bottom/>
        <vertical/>
        <horizontal/>
      </border>
    </dxf>
    <dxf>
      <font>
        <color theme="0" tint="-4.9989318521683403E-2"/>
      </font>
      <fill>
        <patternFill patternType="solid">
          <bgColor theme="0" tint="-4.9989318521683403E-2"/>
        </patternFill>
      </fill>
    </dxf>
    <dxf>
      <fill>
        <patternFill>
          <bgColor theme="0" tint="-0.14996795556505021"/>
        </patternFill>
      </fill>
    </dxf>
    <dxf>
      <font>
        <color theme="0" tint="-0.14996795556505021"/>
      </font>
      <fill>
        <patternFill>
          <bgColor theme="0" tint="-0.149967955565050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fill>
        <patternFill>
          <bgColor theme="0" tint="-4.9989318521683403E-2"/>
        </patternFill>
      </fill>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b/>
        <i val="0"/>
        <color rgb="FF009999"/>
      </font>
      <fill>
        <patternFill>
          <bgColor rgb="FFC6E1E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color auto="1"/>
      </font>
      <fill>
        <patternFill>
          <bgColor rgb="FFE0D8D8"/>
        </patternFill>
      </fill>
      <border>
        <left/>
        <right/>
        <top/>
        <bottom/>
        <vertical/>
        <horizontal/>
      </border>
    </dxf>
    <dxf>
      <font>
        <b/>
        <i val="0"/>
        <color rgb="FF06ADD4"/>
      </font>
      <fill>
        <patternFill>
          <bgColor rgb="FFD8E9F4"/>
        </patternFill>
      </fill>
      <border>
        <left/>
        <right/>
        <top/>
        <bottom/>
        <vertical/>
        <horizontal/>
      </border>
    </dxf>
    <dxf>
      <font>
        <b/>
        <i val="0"/>
        <color theme="1"/>
      </font>
      <fill>
        <patternFill>
          <bgColor theme="0" tint="-4.9989318521683403E-2"/>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font>
        <b/>
        <i val="0"/>
        <color rgb="FF06ADD4"/>
      </font>
      <fill>
        <patternFill>
          <bgColor rgb="FFD8E9F4"/>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color theme="0" tint="-0.14996795556505021"/>
      </font>
      <fill>
        <patternFill>
          <bgColor theme="0" tint="-0.14996795556505021"/>
        </patternFill>
      </fill>
    </dxf>
    <dxf>
      <font>
        <b/>
        <i/>
      </font>
    </dxf>
    <dxf>
      <font>
        <b/>
        <i/>
      </font>
    </dxf>
    <dxf>
      <font>
        <b/>
        <i/>
      </font>
    </dxf>
    <dxf>
      <font>
        <b/>
        <i/>
      </font>
    </dxf>
    <dxf>
      <font>
        <b/>
        <i/>
      </font>
    </dxf>
    <dxf>
      <font>
        <b/>
        <i/>
      </font>
    </dxf>
    <dxf>
      <font>
        <b/>
        <i/>
      </font>
    </dxf>
    <dxf>
      <font>
        <b/>
        <i/>
      </font>
    </dxf>
    <dxf>
      <font>
        <b/>
        <i/>
      </font>
    </dxf>
    <dxf>
      <font>
        <b/>
        <i/>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fgColor theme="0"/>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border>
        <left/>
        <right/>
        <top/>
        <bottom/>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b/>
        <i val="0"/>
        <color rgb="FFD2BD80"/>
      </font>
      <fill>
        <patternFill>
          <bgColor rgb="FFF2ECDA"/>
        </patternFill>
      </fill>
      <border>
        <left/>
        <right/>
        <top/>
        <bottom/>
        <vertical/>
        <horizontal/>
      </border>
    </dxf>
    <dxf>
      <font>
        <b/>
        <i val="0"/>
        <color rgb="FF9EB393"/>
      </font>
      <fill>
        <patternFill>
          <bgColor rgb="FFE7E7C3"/>
        </patternFill>
      </fill>
      <border>
        <left/>
        <right/>
        <top/>
        <bottom/>
        <vertical/>
        <horizontal/>
      </border>
    </dxf>
    <dxf>
      <font>
        <color auto="1"/>
      </font>
      <fill>
        <patternFill>
          <bgColor rgb="FFE0D8D8"/>
        </patternFill>
      </fill>
      <border>
        <left/>
        <right/>
        <top/>
        <bottom/>
        <vertical/>
        <horizontal/>
      </border>
    </dxf>
    <dxf>
      <font>
        <b/>
        <i val="0"/>
        <color rgb="FFD2BD80"/>
      </font>
      <fill>
        <patternFill>
          <bgColor rgb="FFF2ECDA"/>
        </patternFill>
      </fill>
      <border>
        <left/>
        <right/>
        <top/>
        <bottom/>
        <vertical/>
        <horizontal/>
      </border>
    </dxf>
    <dxf>
      <font>
        <color auto="1"/>
      </font>
      <fill>
        <patternFill>
          <bgColor rgb="FFE0D8D8"/>
        </patternFill>
      </fill>
      <border>
        <left/>
        <right/>
        <top/>
        <bottom/>
        <vertical/>
        <horizontal/>
      </border>
    </dxf>
    <dxf>
      <border>
        <top/>
        <bottom/>
        <vertical/>
        <horizontal/>
      </border>
    </dxf>
    <dxf>
      <font>
        <color rgb="FFDDECEF"/>
      </font>
      <fill>
        <patternFill>
          <bgColor rgb="FFDDECEF"/>
        </patternFill>
      </fill>
      <border>
        <left/>
        <right/>
        <top/>
        <bottom/>
        <vertical/>
        <horizontal/>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vertical/>
        <horizontal/>
      </border>
    </dxf>
    <dxf>
      <font>
        <color rgb="FFDFE8DC"/>
      </font>
      <fill>
        <patternFill>
          <bgColor rgb="FFDFE8DC"/>
        </patternFill>
      </fill>
      <border>
        <left/>
        <right/>
        <top/>
        <bottom/>
        <vertical/>
        <horizontal/>
      </border>
    </dxf>
    <dxf>
      <fill>
        <patternFill>
          <bgColor theme="0"/>
        </patternFill>
      </fill>
      <border>
        <left/>
        <right/>
        <vertical/>
        <horizontal/>
      </border>
    </dxf>
    <dxf>
      <fill>
        <patternFill>
          <bgColor theme="0"/>
        </patternFill>
      </fill>
      <border>
        <left/>
        <right/>
        <vertical/>
        <horizontal/>
      </border>
    </dxf>
    <dxf>
      <fill>
        <patternFill>
          <bgColor theme="0"/>
        </patternFill>
      </fill>
      <border>
        <left/>
        <right/>
        <vertical/>
        <horizontal/>
      </border>
    </dxf>
    <dxf>
      <font>
        <b val="0"/>
        <i val="0"/>
      </font>
      <fill>
        <patternFill>
          <bgColor theme="0" tint="-4.9989318521683403E-2"/>
        </patternFill>
      </fill>
      <border>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fill>
        <patternFill>
          <bgColor theme="0"/>
        </patternFill>
      </fill>
      <border>
        <left/>
        <right/>
        <vertical/>
        <horizontal/>
      </border>
    </dxf>
    <dxf>
      <fill>
        <patternFill>
          <bgColor theme="0"/>
        </patternFill>
      </fill>
      <border>
        <left/>
        <right/>
        <vertical/>
        <horizontal/>
      </border>
    </dxf>
    <dxf>
      <font>
        <color theme="0"/>
      </font>
      <fill>
        <patternFill>
          <bgColor theme="0"/>
        </patternFill>
      </fill>
      <border>
        <left/>
        <right/>
        <top/>
        <bottom/>
        <vertical/>
        <horizontal/>
      </border>
    </dxf>
    <dxf>
      <font>
        <color rgb="FFDE005A"/>
      </font>
    </dxf>
    <dxf>
      <font>
        <color rgb="FFDE005A"/>
      </font>
    </dxf>
    <dxf>
      <font>
        <b val="0"/>
        <i val="0"/>
        <color theme="1"/>
      </font>
      <fill>
        <patternFill>
          <bgColor rgb="FFB0CCC1"/>
        </patternFill>
      </fill>
      <border>
        <left/>
        <right/>
        <top/>
        <bottom/>
        <vertical/>
        <horizontal/>
      </border>
    </dxf>
    <dxf>
      <font>
        <b val="0"/>
        <i val="0"/>
        <color theme="1"/>
      </font>
      <fill>
        <patternFill>
          <bgColor rgb="FFA0CCDC"/>
        </patternFill>
      </fill>
      <border>
        <left/>
        <right/>
        <top/>
        <bottom/>
      </border>
    </dxf>
    <dxf>
      <border>
        <top/>
        <vertical/>
        <horizontal/>
      </border>
    </dxf>
    <dxf>
      <fill>
        <patternFill>
          <bgColor theme="0"/>
        </patternFill>
      </fill>
      <border>
        <left/>
        <right/>
        <vertical/>
        <horizontal/>
      </border>
    </dxf>
    <dxf>
      <font>
        <color rgb="FFE4DCE2"/>
      </font>
      <fill>
        <patternFill>
          <bgColor rgb="FFE4DCE2"/>
        </patternFill>
      </fill>
      <border>
        <left/>
        <right/>
        <top/>
        <bottom/>
        <vertical/>
        <horizontal/>
      </border>
    </dxf>
    <dxf>
      <fill>
        <patternFill>
          <bgColor rgb="FF5C8E7A"/>
        </patternFill>
      </fill>
    </dxf>
    <dxf>
      <fill>
        <patternFill>
          <bgColor rgb="FFA19F4F"/>
        </patternFill>
      </fill>
    </dxf>
    <dxf>
      <fill>
        <patternFill>
          <bgColor rgb="FF5C8E7A"/>
        </patternFill>
      </fill>
    </dxf>
    <dxf>
      <fill>
        <patternFill>
          <bgColor rgb="FFBC688C"/>
        </patternFill>
      </fill>
    </dxf>
    <dxf>
      <fill>
        <patternFill>
          <bgColor rgb="FFA19F4F"/>
        </patternFill>
      </fill>
    </dxf>
    <dxf>
      <fill>
        <patternFill>
          <bgColor rgb="FF44829E"/>
        </patternFill>
      </fill>
    </dxf>
    <dxf>
      <fill>
        <patternFill>
          <bgColor rgb="FF44829E"/>
        </patternFill>
      </fill>
    </dxf>
    <dxf>
      <fill>
        <patternFill>
          <bgColor rgb="FFA19F4F"/>
        </patternFill>
      </fill>
    </dxf>
    <dxf>
      <fill>
        <patternFill>
          <bgColor rgb="FFBC688C"/>
        </patternFill>
      </fill>
    </dxf>
    <dxf>
      <fill>
        <patternFill>
          <bgColor rgb="FF5C8E7A"/>
        </patternFill>
      </fill>
    </dxf>
    <dxf>
      <fill>
        <patternFill>
          <bgColor rgb="FF17A6B9"/>
        </patternFill>
      </fill>
    </dxf>
    <dxf>
      <fill>
        <patternFill>
          <bgColor rgb="FFE87878"/>
        </patternFill>
      </fill>
    </dxf>
    <dxf>
      <fill>
        <patternFill>
          <bgColor rgb="FF44829E"/>
        </patternFill>
      </fill>
    </dxf>
    <dxf>
      <fill>
        <patternFill>
          <bgColor rgb="FFA19F4F"/>
        </patternFill>
      </fill>
    </dxf>
    <dxf>
      <fill>
        <patternFill>
          <bgColor rgb="FF17A6B9"/>
        </patternFill>
      </fill>
    </dxf>
    <dxf>
      <fill>
        <patternFill>
          <bgColor rgb="FFBC688C"/>
        </patternFill>
      </fill>
    </dxf>
    <dxf>
      <fill>
        <patternFill>
          <bgColor rgb="FF5C8E7A"/>
        </patternFill>
      </fill>
    </dxf>
    <dxf>
      <fill>
        <patternFill>
          <bgColor rgb="FF44829E"/>
        </patternFill>
      </fill>
    </dxf>
    <dxf>
      <fill>
        <patternFill>
          <bgColor rgb="FFA19F4F"/>
        </patternFill>
      </fill>
    </dxf>
    <dxf>
      <fill>
        <patternFill>
          <bgColor rgb="FFBC688C"/>
        </patternFill>
      </fill>
    </dxf>
    <dxf>
      <fill>
        <patternFill>
          <bgColor rgb="FFA19F4F"/>
        </patternFill>
      </fill>
    </dxf>
    <dxf>
      <fill>
        <patternFill>
          <bgColor rgb="FF44829E"/>
        </patternFill>
      </fill>
    </dxf>
    <dxf>
      <fill>
        <patternFill>
          <bgColor rgb="FF44829E"/>
        </patternFill>
      </fill>
    </dxf>
    <dxf>
      <fill>
        <patternFill>
          <bgColor rgb="FFA19F4F"/>
        </patternFill>
      </fill>
    </dxf>
    <dxf>
      <fill>
        <patternFill>
          <bgColor rgb="FF44829E"/>
        </patternFill>
      </fill>
    </dxf>
    <dxf>
      <fill>
        <patternFill>
          <bgColor rgb="FF44829E"/>
        </patternFill>
      </fill>
    </dxf>
    <dxf>
      <fill>
        <patternFill>
          <bgColor rgb="FF44829E"/>
        </patternFill>
      </fill>
    </dxf>
    <dxf>
      <fill>
        <patternFill>
          <bgColor rgb="FFBC688C"/>
        </patternFill>
      </fill>
    </dxf>
    <dxf>
      <fill>
        <patternFill>
          <bgColor rgb="FFA19F4F"/>
        </patternFill>
      </fill>
    </dxf>
    <dxf>
      <fill>
        <patternFill>
          <bgColor theme="0"/>
        </patternFill>
      </fill>
    </dxf>
    <dxf>
      <fill>
        <patternFill>
          <bgColor rgb="FFBC688C"/>
        </patternFill>
      </fill>
    </dxf>
    <dxf>
      <fill>
        <patternFill>
          <bgColor rgb="FFBC688C"/>
        </patternFill>
      </fill>
    </dxf>
    <dxf>
      <fill>
        <patternFill>
          <bgColor rgb="FF44829E"/>
        </patternFill>
      </fill>
    </dxf>
    <dxf>
      <fill>
        <patternFill>
          <bgColor rgb="FFBC688C"/>
        </patternFill>
      </fill>
    </dxf>
    <dxf>
      <fill>
        <patternFill>
          <bgColor rgb="FF44829E"/>
        </patternFill>
      </fill>
    </dxf>
    <dxf>
      <fill>
        <patternFill>
          <bgColor rgb="FFA19F4F"/>
        </patternFill>
      </fill>
    </dxf>
    <dxf>
      <fill>
        <patternFill>
          <bgColor rgb="FF44829E"/>
        </patternFill>
      </fill>
    </dxf>
    <dxf>
      <fill>
        <patternFill>
          <bgColor rgb="FFBC688C"/>
        </patternFill>
      </fill>
    </dxf>
    <dxf>
      <fill>
        <patternFill>
          <bgColor rgb="FF44829E"/>
        </patternFill>
      </fill>
    </dxf>
    <dxf>
      <fill>
        <patternFill>
          <bgColor rgb="FFBC688C"/>
        </patternFill>
      </fill>
    </dxf>
    <dxf>
      <fill>
        <patternFill>
          <bgColor rgb="FF44829E"/>
        </patternFill>
      </fill>
    </dxf>
    <dxf>
      <fill>
        <patternFill>
          <bgColor rgb="FFBC688C"/>
        </patternFill>
      </fill>
    </dxf>
    <dxf>
      <fill>
        <patternFill>
          <bgColor rgb="FFA19F4F"/>
        </patternFill>
      </fill>
    </dxf>
    <dxf>
      <fill>
        <patternFill>
          <bgColor rgb="FFA19F4F"/>
        </patternFill>
      </fill>
    </dxf>
    <dxf>
      <fill>
        <patternFill>
          <bgColor rgb="FFBC688C"/>
        </patternFill>
      </fill>
    </dxf>
    <dxf>
      <fill>
        <patternFill>
          <bgColor rgb="FF5C8E7A"/>
        </patternFill>
      </fill>
    </dxf>
    <dxf>
      <fill>
        <patternFill>
          <bgColor rgb="FFE87878"/>
        </patternFill>
      </fill>
    </dxf>
    <dxf>
      <fill>
        <patternFill>
          <bgColor rgb="FF5C8E7A"/>
        </patternFill>
      </fill>
    </dxf>
    <dxf>
      <fill>
        <patternFill>
          <bgColor rgb="FF44829E"/>
        </patternFill>
      </fill>
    </dxf>
    <dxf>
      <fill>
        <patternFill>
          <bgColor rgb="FF17A6B9"/>
        </patternFill>
      </fill>
    </dxf>
    <dxf>
      <fill>
        <patternFill>
          <bgColor rgb="FFA19F4F"/>
        </patternFill>
      </fill>
    </dxf>
    <dxf>
      <fill>
        <patternFill>
          <bgColor rgb="FF17A6B9"/>
        </patternFill>
      </fill>
    </dxf>
    <dxf>
      <fill>
        <patternFill>
          <bgColor rgb="FFA19F4F"/>
        </patternFill>
      </fill>
    </dxf>
    <dxf>
      <fill>
        <patternFill>
          <bgColor rgb="FF44829E"/>
        </patternFill>
      </fill>
    </dxf>
    <dxf>
      <fill>
        <patternFill>
          <bgColor rgb="FF5C8E7A"/>
        </patternFill>
      </fill>
    </dxf>
    <dxf>
      <fill>
        <patternFill>
          <bgColor rgb="FFE87878"/>
        </patternFill>
      </fill>
    </dxf>
    <dxf>
      <fill>
        <patternFill>
          <bgColor rgb="FFA19F4F"/>
        </patternFill>
      </fill>
    </dxf>
    <dxf>
      <fill>
        <patternFill>
          <bgColor rgb="FF5C8E7A"/>
        </patternFill>
      </fill>
    </dxf>
    <dxf>
      <fill>
        <patternFill>
          <bgColor rgb="FF17A6B9"/>
        </patternFill>
      </fill>
    </dxf>
    <dxf>
      <fill>
        <patternFill>
          <bgColor rgb="FF17A6B9"/>
        </patternFill>
      </fill>
    </dxf>
    <dxf>
      <fill>
        <patternFill>
          <bgColor rgb="FFA19F4F"/>
        </patternFill>
      </fill>
    </dxf>
    <dxf>
      <fill>
        <patternFill>
          <bgColor rgb="FF5C8E7A"/>
        </patternFill>
      </fill>
    </dxf>
    <dxf>
      <fill>
        <patternFill>
          <bgColor rgb="FFAE89C5"/>
        </patternFill>
      </fill>
    </dxf>
    <dxf>
      <fill>
        <patternFill>
          <bgColor rgb="FFE87878"/>
        </patternFill>
      </fill>
    </dxf>
    <dxf>
      <fill>
        <patternFill>
          <bgColor rgb="FF17A6B9"/>
        </patternFill>
      </fill>
    </dxf>
    <dxf>
      <fill>
        <patternFill>
          <bgColor rgb="FFE87878"/>
        </patternFill>
      </fill>
    </dxf>
    <dxf>
      <fill>
        <patternFill>
          <bgColor rgb="FFA19F4F"/>
        </patternFill>
      </fill>
    </dxf>
    <dxf>
      <fill>
        <patternFill>
          <bgColor rgb="FF5C8E7A"/>
        </patternFill>
      </fill>
    </dxf>
    <dxf>
      <fill>
        <patternFill>
          <bgColor rgb="FF9EAFB0"/>
        </patternFill>
      </fill>
    </dxf>
    <dxf>
      <fill>
        <patternFill>
          <bgColor rgb="FF5C8E7A"/>
        </patternFill>
      </fill>
    </dxf>
    <dxf>
      <fill>
        <patternFill>
          <bgColor rgb="FF44829E"/>
        </patternFill>
      </fill>
    </dxf>
    <dxf>
      <fill>
        <patternFill>
          <bgColor rgb="FF44829E"/>
        </patternFill>
      </fill>
    </dxf>
    <dxf>
      <fill>
        <patternFill>
          <bgColor rgb="FFA19F4F"/>
        </patternFill>
      </fill>
    </dxf>
    <dxf>
      <fill>
        <patternFill>
          <bgColor rgb="FFBC688C"/>
        </patternFill>
      </fill>
    </dxf>
    <dxf>
      <fill>
        <patternFill>
          <bgColor rgb="FF9EAFB0"/>
        </patternFill>
      </fill>
    </dxf>
    <dxf>
      <fill>
        <patternFill>
          <bgColor rgb="FF17A6B9"/>
        </patternFill>
      </fill>
    </dxf>
    <dxf>
      <fill>
        <patternFill>
          <bgColor rgb="FFA19F4F"/>
        </patternFill>
      </fill>
    </dxf>
    <dxf>
      <fill>
        <patternFill>
          <bgColor rgb="FFE87878"/>
        </patternFill>
      </fill>
    </dxf>
    <dxf>
      <fill>
        <patternFill>
          <bgColor rgb="FFA19F4F"/>
        </patternFill>
      </fill>
    </dxf>
    <dxf>
      <fill>
        <patternFill>
          <bgColor rgb="FF44829E"/>
        </patternFill>
      </fill>
    </dxf>
    <dxf>
      <fill>
        <patternFill>
          <bgColor rgb="FFBC688C"/>
        </patternFill>
      </fill>
    </dxf>
    <dxf>
      <fill>
        <patternFill>
          <bgColor rgb="FF44829E"/>
        </patternFill>
      </fill>
    </dxf>
    <dxf>
      <font>
        <color rgb="FFF2ECDA"/>
      </font>
      <fill>
        <patternFill>
          <bgColor rgb="FFF2ECDA"/>
        </patternFill>
      </fill>
      <border>
        <left/>
        <right/>
        <top/>
        <bottom/>
      </border>
    </dxf>
    <dxf>
      <fill>
        <patternFill>
          <bgColor rgb="FF44829E"/>
        </patternFill>
      </fill>
    </dxf>
    <dxf>
      <fill>
        <patternFill>
          <bgColor rgb="FFBC688C"/>
        </patternFill>
      </fill>
    </dxf>
    <dxf>
      <fill>
        <patternFill>
          <bgColor rgb="FF44829E"/>
        </patternFill>
      </fill>
    </dxf>
    <dxf>
      <fill>
        <patternFill>
          <bgColor rgb="FFA19F4F"/>
        </patternFill>
      </fill>
    </dxf>
    <dxf>
      <fill>
        <patternFill>
          <bgColor rgb="FF44829E"/>
        </patternFill>
      </fill>
    </dxf>
    <dxf>
      <fill>
        <patternFill>
          <bgColor rgb="FFBC688C"/>
        </patternFill>
      </fill>
      <border>
        <vertical/>
        <horizontal/>
      </border>
    </dxf>
    <dxf>
      <fill>
        <patternFill>
          <bgColor rgb="FF44829E"/>
        </patternFill>
      </fill>
    </dxf>
    <dxf>
      <fill>
        <patternFill>
          <bgColor rgb="FFBC688C"/>
        </patternFill>
      </fill>
    </dxf>
    <dxf>
      <fill>
        <patternFill>
          <bgColor rgb="FFBC688C"/>
        </patternFill>
      </fill>
    </dxf>
    <dxf>
      <fill>
        <patternFill>
          <bgColor rgb="FFA19F4F"/>
        </patternFill>
      </fill>
    </dxf>
    <dxf>
      <fill>
        <patternFill>
          <bgColor rgb="FF44829E"/>
        </patternFill>
      </fill>
    </dxf>
    <dxf>
      <fill>
        <patternFill>
          <bgColor rgb="FFBC688C"/>
        </patternFill>
      </fill>
    </dxf>
    <dxf>
      <fill>
        <patternFill>
          <bgColor rgb="FFA19F4F"/>
        </patternFill>
      </fill>
    </dxf>
    <dxf>
      <fill>
        <patternFill>
          <bgColor rgb="FF5C8E7A"/>
        </patternFill>
      </fill>
    </dxf>
    <dxf>
      <fill>
        <patternFill>
          <bgColor theme="0"/>
        </patternFill>
      </fill>
    </dxf>
    <dxf>
      <fill>
        <patternFill>
          <bgColor theme="0"/>
        </patternFill>
      </fill>
    </dxf>
    <dxf>
      <fill>
        <patternFill>
          <bgColor rgb="FFBC688C"/>
        </patternFill>
      </fill>
    </dxf>
    <dxf>
      <fill>
        <patternFill>
          <bgColor theme="0"/>
        </patternFill>
      </fill>
    </dxf>
    <dxf>
      <fill>
        <patternFill>
          <bgColor rgb="FFA19F4F"/>
        </patternFill>
      </fill>
    </dxf>
    <dxf>
      <fill>
        <patternFill>
          <bgColor theme="0"/>
        </patternFill>
      </fill>
    </dxf>
    <dxf>
      <fill>
        <patternFill>
          <bgColor theme="0"/>
        </patternFill>
      </fill>
    </dxf>
    <dxf>
      <fill>
        <patternFill>
          <bgColor rgb="FF5C8E7A"/>
        </patternFill>
      </fill>
    </dxf>
    <dxf>
      <fill>
        <patternFill>
          <bgColor rgb="FF44829E"/>
        </patternFill>
      </fill>
    </dxf>
    <dxf>
      <fill>
        <patternFill>
          <bgColor rgb="FFBC688C"/>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style="thin">
          <color rgb="FFFF0066"/>
        </left>
        <right style="thin">
          <color rgb="FFFF0066"/>
        </right>
        <top style="thin">
          <color rgb="FFFF0066"/>
        </top>
        <bottom style="thin">
          <color rgb="FFFF0066"/>
        </bottom>
        <vertical/>
        <horizontal/>
      </border>
    </dxf>
    <dxf>
      <border>
        <left/>
        <right/>
        <top/>
        <bottom/>
        <vertical/>
        <horizontal/>
      </border>
    </dxf>
    <dxf>
      <fill>
        <patternFill>
          <bgColor theme="0"/>
        </patternFill>
      </fill>
      <border>
        <left/>
        <right/>
        <vertical/>
        <horizontal/>
      </border>
    </dxf>
    <dxf>
      <border>
        <bottom/>
        <vertical/>
        <horizontal/>
      </border>
    </dxf>
    <dxf>
      <border>
        <top/>
        <vertical/>
        <horizontal/>
      </border>
    </dxf>
    <dxf>
      <fill>
        <patternFill>
          <bgColor theme="0"/>
        </patternFill>
      </fill>
      <border>
        <left/>
        <right/>
        <vertical/>
        <horizontal/>
      </border>
    </dxf>
    <dxf>
      <font>
        <color rgb="FFDFE8DC"/>
      </font>
      <fill>
        <patternFill>
          <bgColor rgb="FFDFE8DC"/>
        </patternFill>
      </fill>
      <border>
        <left/>
        <right/>
        <top/>
        <bottom/>
        <vertical/>
        <horizontal/>
      </border>
    </dxf>
    <dxf>
      <font>
        <color rgb="FFDFE8DC"/>
      </font>
      <fill>
        <patternFill>
          <bgColor rgb="FFDFE8DC"/>
        </patternFill>
      </fill>
      <border>
        <left/>
        <right/>
        <top/>
        <bottom/>
        <vertical/>
        <horizontal/>
      </border>
    </dxf>
    <dxf>
      <font>
        <color rgb="FFDFE8DC"/>
      </font>
      <fill>
        <patternFill>
          <bgColor rgb="FFDFE8DC"/>
        </patternFill>
      </fill>
      <border>
        <left/>
        <right/>
        <top/>
        <bottom/>
        <vertical/>
        <horizontal/>
      </border>
    </dxf>
    <dxf>
      <border>
        <top/>
        <vertical/>
        <horizontal/>
      </border>
    </dxf>
    <dxf>
      <fill>
        <patternFill>
          <bgColor theme="0"/>
        </patternFill>
      </fill>
      <border>
        <left/>
        <right/>
        <vertical/>
        <horizontal/>
      </border>
    </dxf>
    <dxf>
      <border>
        <bottom/>
        <vertical/>
        <horizontal/>
      </border>
    </dxf>
    <dxf>
      <border>
        <bottom/>
        <vertical/>
        <horizontal/>
      </border>
    </dxf>
    <dxf>
      <border>
        <bottom/>
        <vertical/>
        <horizontal/>
      </border>
    </dxf>
    <dxf>
      <border>
        <bottom/>
        <vertical/>
        <horizontal/>
      </border>
    </dxf>
    <dxf>
      <font>
        <b/>
        <i/>
      </font>
    </dxf>
    <dxf>
      <font>
        <b/>
        <i val="0"/>
      </font>
    </dxf>
    <dxf>
      <font>
        <b val="0"/>
        <i/>
      </font>
    </dxf>
    <dxf>
      <border>
        <top/>
        <vertical/>
        <horizontal/>
      </border>
    </dxf>
    <dxf>
      <font>
        <color rgb="FFDDECEF"/>
      </font>
      <fill>
        <patternFill>
          <bgColor rgb="FFDDECEF"/>
        </patternFill>
      </fill>
      <border>
        <left/>
        <right/>
        <top/>
        <bottom/>
      </border>
    </dxf>
    <dxf>
      <font>
        <color rgb="FFDDECEF"/>
      </font>
      <fill>
        <patternFill>
          <bgColor rgb="FFDDECEF"/>
        </patternFill>
      </fill>
      <border>
        <left/>
        <right/>
        <top/>
        <bottom/>
        <vertical/>
        <horizontal/>
      </border>
    </dxf>
    <dxf>
      <border>
        <top/>
        <vertical/>
        <horizontal/>
      </border>
    </dxf>
    <dxf>
      <font>
        <color rgb="FFDDECEF"/>
      </font>
      <fill>
        <patternFill>
          <bgColor rgb="FFDDECEF"/>
        </patternFill>
      </fill>
      <border>
        <left/>
        <right/>
        <top/>
        <bottom/>
        <vertical/>
        <horizontal/>
      </border>
    </dxf>
    <dxf>
      <border>
        <top/>
        <vertical/>
        <horizontal/>
      </border>
    </dxf>
    <dxf>
      <border>
        <top/>
        <vertical/>
        <horizontal/>
      </border>
    </dxf>
    <dxf>
      <fill>
        <patternFill>
          <bgColor theme="0"/>
        </patternFill>
      </fill>
      <border>
        <left/>
        <right/>
        <bottom/>
        <vertical/>
        <horizontal/>
      </border>
    </dxf>
    <dxf>
      <font>
        <color rgb="FFDDECEF"/>
      </font>
      <fill>
        <patternFill>
          <bgColor rgb="FFDDECEF"/>
        </patternFill>
      </fill>
      <border>
        <left/>
        <right/>
        <top/>
        <bottom/>
        <vertical/>
        <horizontal/>
      </border>
    </dxf>
    <dxf>
      <border>
        <top/>
        <vertical/>
        <horizontal/>
      </border>
    </dxf>
    <dxf>
      <border>
        <left/>
        <right/>
        <top/>
        <bottom/>
        <vertical/>
        <horizontal/>
      </border>
    </dxf>
    <dxf>
      <fill>
        <patternFill>
          <bgColor theme="0"/>
        </patternFill>
      </fill>
      <border>
        <left/>
        <right/>
        <vertical/>
        <horizontal/>
      </border>
    </dxf>
    <dxf>
      <font>
        <color rgb="FFDDECEF"/>
      </font>
      <fill>
        <patternFill>
          <bgColor rgb="FFDDECEF"/>
        </patternFill>
      </fill>
      <border>
        <left/>
        <right/>
        <top/>
        <bottom/>
        <vertical/>
        <horizontal/>
      </border>
    </dxf>
    <dxf>
      <fill>
        <patternFill>
          <bgColor theme="0"/>
        </patternFill>
      </fill>
      <border>
        <left/>
        <right/>
      </border>
    </dxf>
    <dxf>
      <fill>
        <patternFill>
          <bgColor theme="0"/>
        </patternFill>
      </fill>
      <border>
        <left/>
        <right/>
      </border>
    </dxf>
    <dxf>
      <font>
        <color rgb="FFDDECEF"/>
      </font>
      <fill>
        <patternFill>
          <bgColor rgb="FFDDECEF"/>
        </patternFill>
      </fill>
    </dxf>
    <dxf>
      <border>
        <left/>
        <right/>
        <vertical/>
        <horizontal/>
      </border>
    </dxf>
    <dxf>
      <border>
        <top/>
        <bottom/>
        <vertical/>
        <horizontal/>
      </border>
    </dxf>
    <dxf>
      <fill>
        <patternFill>
          <bgColor theme="0"/>
        </patternFill>
      </fill>
      <border>
        <left/>
        <right/>
        <top/>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0"/>
      </font>
      <fill>
        <patternFill>
          <bgColor theme="0"/>
        </patternFill>
      </fill>
      <border>
        <left/>
        <right/>
        <top/>
        <bottom/>
        <vertical/>
        <horizontal/>
      </border>
    </dxf>
    <dxf>
      <font>
        <color rgb="FFDDECEF"/>
      </font>
      <fill>
        <patternFill>
          <bgColor rgb="FFDDECEF"/>
        </patternFill>
      </fill>
      <border>
        <left/>
        <right/>
        <top/>
        <bottom/>
      </border>
    </dxf>
    <dxf>
      <font>
        <color rgb="FFECECEC"/>
      </font>
    </dxf>
    <dxf>
      <font>
        <color rgb="FFECECEC"/>
      </font>
      <border>
        <left/>
        <right/>
        <top/>
        <bottom/>
      </border>
    </dxf>
    <dxf>
      <font>
        <color rgb="FFDDECEF"/>
      </font>
      <fill>
        <patternFill>
          <bgColor rgb="FFDDECEF"/>
        </patternFill>
      </fill>
      <border>
        <left/>
        <right/>
        <top/>
        <bottom/>
        <vertical/>
        <horizontal/>
      </border>
    </dxf>
    <dxf>
      <font>
        <b/>
        <i val="0"/>
        <color rgb="FFC00000"/>
      </font>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rgb="FFE4DCE2"/>
      </font>
      <fill>
        <patternFill patternType="solid">
          <fgColor theme="0"/>
          <bgColor rgb="FFDFD9DF"/>
        </patternFill>
      </fill>
      <border>
        <left/>
        <right/>
        <top/>
        <bottom/>
      </border>
    </dxf>
    <dxf>
      <fill>
        <patternFill>
          <bgColor theme="0"/>
        </patternFill>
      </fill>
      <border>
        <left/>
        <right/>
        <bottom/>
      </border>
    </dxf>
    <dxf>
      <border>
        <top/>
        <vertical/>
        <horizontal/>
      </border>
    </dxf>
    <dxf>
      <font>
        <b val="0"/>
        <i val="0"/>
      </font>
    </dxf>
    <dxf>
      <font>
        <b/>
        <i val="0"/>
      </font>
      <fill>
        <patternFill>
          <bgColor rgb="FFDDEBF7"/>
        </patternFill>
      </fill>
    </dxf>
    <dxf>
      <fill>
        <patternFill>
          <bgColor theme="0"/>
        </patternFill>
      </fill>
      <border>
        <left/>
        <right/>
        <top/>
        <vertical/>
        <horizontal/>
      </border>
    </dxf>
    <dxf>
      <fill>
        <patternFill>
          <bgColor rgb="FFDDEBF7"/>
        </patternFill>
      </fill>
    </dxf>
    <dxf>
      <border>
        <top/>
        <vertical/>
        <horizontal/>
      </border>
    </dxf>
    <dxf>
      <font>
        <b val="0"/>
        <i val="0"/>
      </font>
    </dxf>
    <dxf>
      <font>
        <b/>
        <i val="0"/>
      </font>
      <fill>
        <patternFill>
          <bgColor rgb="FFDDEBF7"/>
        </patternFill>
      </fill>
    </dxf>
    <dxf>
      <fill>
        <patternFill>
          <bgColor theme="0"/>
        </patternFill>
      </fill>
      <border>
        <left/>
        <right/>
        <bottom/>
        <vertical/>
        <horizontal/>
      </border>
    </dxf>
    <dxf>
      <fill>
        <patternFill>
          <bgColor theme="0"/>
        </patternFill>
      </fill>
      <border>
        <left/>
        <right/>
        <top/>
        <vertical/>
        <horizontal/>
      </border>
    </dxf>
    <dxf>
      <fill>
        <patternFill>
          <bgColor rgb="FFDDEBF7"/>
        </patternFill>
      </fill>
    </dxf>
    <dxf>
      <font>
        <b/>
        <i val="0"/>
        <color rgb="FFD87676"/>
      </font>
      <fill>
        <patternFill>
          <bgColor rgb="FFFFE1E1"/>
        </patternFill>
      </fill>
      <border>
        <left/>
        <right/>
        <top/>
        <bottom/>
        <vertical/>
        <horizontal/>
      </border>
    </dxf>
    <dxf>
      <font>
        <color rgb="FF7030A0"/>
      </font>
      <fill>
        <patternFill>
          <bgColor rgb="FFE4DCE2"/>
        </patternFill>
      </fill>
      <border>
        <left/>
        <right/>
        <top/>
        <bottom/>
        <vertical/>
        <horizontal/>
      </border>
    </dxf>
    <dxf>
      <font>
        <b val="0"/>
        <i val="0"/>
        <strike/>
        <u val="none"/>
        <color theme="1" tint="4.9989318521683403E-2"/>
      </font>
      <fill>
        <patternFill>
          <bgColor rgb="FFE4DCE2"/>
        </patternFill>
      </fill>
      <border>
        <left/>
        <right/>
        <top/>
        <bottom/>
        <vertical/>
        <horizontal/>
      </border>
    </dxf>
    <dxf>
      <fill>
        <patternFill>
          <bgColor theme="0"/>
        </patternFill>
      </fill>
    </dxf>
    <dxf>
      <fill>
        <patternFill>
          <bgColor rgb="FFE2E2E2"/>
        </patternFill>
      </fill>
    </dxf>
    <dxf>
      <fill>
        <patternFill>
          <bgColor rgb="FFE9E7E3"/>
        </patternFill>
      </fill>
    </dxf>
    <dxf>
      <border>
        <bottom/>
        <vertical/>
        <horizontal/>
      </border>
    </dxf>
    <dxf>
      <fill>
        <patternFill>
          <bgColor theme="0"/>
        </patternFill>
      </fill>
      <border>
        <left/>
        <right/>
        <bottom/>
      </border>
    </dxf>
    <dxf>
      <font>
        <color theme="0"/>
      </font>
      <fill>
        <patternFill>
          <bgColor theme="0"/>
        </patternFill>
      </fill>
      <border>
        <left/>
        <right/>
        <top/>
        <bottom/>
        <vertical/>
        <horizontal/>
      </border>
    </dxf>
    <dxf>
      <font>
        <color rgb="FF7030A0"/>
      </font>
      <fill>
        <patternFill>
          <bgColor rgb="FFE4DCE2"/>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9" tint="-0.24994659260841701"/>
      </font>
      <fill>
        <patternFill>
          <bgColor rgb="FFDFE8DC"/>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rgb="FF7030A0"/>
      </font>
      <fill>
        <patternFill>
          <bgColor rgb="FFE4DCE2"/>
        </patternFill>
      </fill>
      <border>
        <left/>
        <right/>
        <top/>
        <bottom/>
        <vertical/>
        <horizontal/>
      </border>
    </dxf>
    <dxf>
      <font>
        <color rgb="FF7030A0"/>
      </font>
      <fill>
        <patternFill>
          <bgColor rgb="FFE4DCE2"/>
        </patternFill>
      </fill>
      <border>
        <left/>
        <right/>
        <top/>
        <bottom/>
        <vertical/>
        <horizontal/>
      </border>
    </dxf>
    <dxf>
      <font>
        <strike/>
      </font>
    </dxf>
    <dxf>
      <font>
        <strike/>
      </font>
    </dxf>
    <dxf>
      <font>
        <strike/>
      </font>
    </dxf>
    <dxf>
      <font>
        <strike/>
      </font>
    </dxf>
    <dxf>
      <font>
        <color rgb="FF7030A0"/>
      </font>
      <border>
        <left/>
        <right/>
        <top/>
        <bottom/>
        <vertical/>
        <horizontal/>
      </border>
    </dxf>
    <dxf>
      <font>
        <color rgb="FF7030A0"/>
      </font>
      <border>
        <left/>
        <right/>
        <top/>
        <bottom/>
        <vertical/>
        <horizontal/>
      </border>
    </dxf>
    <dxf>
      <font>
        <color rgb="FF7030A0"/>
      </font>
      <border>
        <left/>
        <right/>
        <top/>
        <bottom/>
        <vertical/>
        <horizontal/>
      </border>
    </dxf>
    <dxf>
      <font>
        <color rgb="FF7030A0"/>
      </font>
      <border>
        <left/>
        <right/>
        <top/>
        <bottom/>
        <vertical/>
        <horizontal/>
      </border>
    </dxf>
    <dxf>
      <font>
        <b/>
        <i val="0"/>
        <color rgb="FFD87676"/>
      </font>
      <fill>
        <patternFill>
          <bgColor rgb="FFFFE1E1"/>
        </patternFill>
      </fill>
      <border>
        <left/>
        <right/>
        <top/>
        <bottom/>
        <vertical/>
        <horizontal/>
      </border>
    </dxf>
    <dxf>
      <font>
        <b/>
        <i val="0"/>
        <color rgb="FFD87676"/>
      </font>
      <fill>
        <patternFill>
          <bgColor rgb="FFFFE1E1"/>
        </patternFill>
      </fill>
      <border>
        <left/>
        <right/>
        <top/>
        <bottom/>
        <vertical/>
        <horizontal/>
      </border>
    </dxf>
    <dxf>
      <font>
        <color rgb="FF7030A0"/>
      </font>
      <border>
        <left/>
        <right/>
        <top/>
        <bottom/>
        <vertical/>
        <horizontal/>
      </border>
    </dxf>
    <dxf>
      <font>
        <color rgb="FF7030A0"/>
      </font>
      <fill>
        <patternFill>
          <bgColor rgb="FFE4DCE2"/>
        </patternFill>
      </fill>
      <border>
        <left/>
        <right/>
        <top/>
        <bottom/>
        <vertical/>
        <horizontal/>
      </border>
    </dxf>
    <dxf>
      <font>
        <color rgb="FF7030A0"/>
      </font>
      <fill>
        <patternFill>
          <bgColor rgb="FFE4DCE2"/>
        </patternFill>
      </fill>
      <border>
        <left/>
        <right/>
        <top/>
        <bottom/>
        <vertical/>
        <horizontal/>
      </border>
    </dxf>
    <dxf>
      <fill>
        <patternFill>
          <bgColor rgb="FFBC688C"/>
        </patternFill>
      </fill>
    </dxf>
    <dxf>
      <fill>
        <patternFill>
          <bgColor theme="0"/>
        </patternFill>
      </fill>
      <border>
        <vertical/>
        <horizontal/>
      </border>
    </dxf>
    <dxf>
      <border>
        <left/>
        <right/>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bgColor theme="1"/>
        </patternFill>
      </fill>
    </dxf>
    <dxf>
      <fill>
        <patternFill>
          <bgColor theme="1"/>
        </patternFill>
      </fill>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b/>
        <i val="0"/>
        <color rgb="FFD2BD80"/>
      </font>
      <fill>
        <patternFill>
          <bgColor rgb="FFF2ECDA"/>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9" tint="-0.24994659260841701"/>
      </font>
      <fill>
        <patternFill>
          <bgColor rgb="FFDFE8DC"/>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8" tint="-0.499984740745262"/>
      </font>
      <fill>
        <patternFill>
          <bgColor rgb="FFDDECEF"/>
        </patternFill>
      </fill>
      <border>
        <left/>
        <right/>
        <top/>
        <bottom/>
        <vertical/>
        <horizontal/>
      </border>
    </dxf>
    <dxf>
      <font>
        <color theme="0"/>
      </font>
      <fill>
        <patternFill>
          <bgColor theme="0"/>
        </patternFill>
      </fill>
    </dxf>
    <dxf>
      <fill>
        <patternFill>
          <bgColor rgb="FFA19F4F"/>
        </patternFill>
      </fill>
    </dxf>
    <dxf>
      <fill>
        <patternFill>
          <bgColor theme="1"/>
        </patternFill>
      </fill>
    </dxf>
    <dxf>
      <font>
        <color theme="0"/>
      </font>
    </dxf>
    <dxf>
      <font>
        <color theme="0"/>
      </font>
    </dxf>
    <dxf>
      <fill>
        <patternFill>
          <bgColor theme="1"/>
        </patternFill>
      </fill>
    </dxf>
    <dxf>
      <fill>
        <patternFill>
          <bgColor theme="0"/>
        </patternFill>
      </fill>
    </dxf>
    <dxf>
      <font>
        <color theme="0"/>
      </font>
    </dxf>
    <dxf>
      <fill>
        <patternFill>
          <bgColor theme="1"/>
        </patternFill>
      </fill>
    </dxf>
    <dxf>
      <fill>
        <patternFill>
          <bgColor theme="0"/>
        </patternFill>
      </fill>
    </dxf>
    <dxf>
      <fill>
        <patternFill>
          <bgColor theme="0"/>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border>
    </dxf>
    <dxf>
      <border>
        <top/>
        <vertical/>
        <horizontal/>
      </border>
    </dxf>
    <dxf>
      <font>
        <color rgb="FFEDEDED"/>
      </font>
      <fill>
        <patternFill>
          <bgColor rgb="FFEDEDED"/>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font>
    </dxf>
    <dxf>
      <font>
        <b/>
        <i/>
      </font>
    </dxf>
    <dxf>
      <font>
        <b/>
        <i/>
      </font>
    </dxf>
    <dxf>
      <font>
        <strike/>
        <color theme="1" tint="4.9989318521683403E-2"/>
      </font>
      <fill>
        <patternFill>
          <bgColor theme="6" tint="0.79998168889431442"/>
        </patternFill>
      </fill>
      <border>
        <left/>
        <right/>
        <top/>
        <bottom/>
      </border>
    </dxf>
    <dxf>
      <font>
        <color theme="6" tint="0.79998168889431442"/>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color theme="6" tint="0.79998168889431442"/>
      </font>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color theme="6" tint="0.79998168889431442"/>
      </font>
    </dxf>
    <dxf>
      <font>
        <color theme="6" tint="0.79998168889431442"/>
      </font>
    </dxf>
    <dxf>
      <font>
        <b/>
        <i val="0"/>
        <color theme="1"/>
      </font>
      <fill>
        <patternFill>
          <bgColor theme="6" tint="0.79998168889431442"/>
        </patternFill>
      </fill>
      <border>
        <left/>
        <right/>
        <top/>
        <bottom/>
        <vertical/>
        <horizontal/>
      </border>
    </dxf>
    <dxf>
      <border>
        <top/>
        <vertical/>
        <horizontal/>
      </border>
    </dxf>
    <dxf>
      <fill>
        <patternFill>
          <bgColor theme="0"/>
        </patternFill>
      </fill>
      <border>
        <left/>
        <right/>
        <vertical/>
        <horizontal/>
      </border>
    </dxf>
    <dxf>
      <border>
        <left/>
        <right/>
        <top/>
        <bottom/>
        <vertical/>
        <horizontal/>
      </border>
    </dxf>
    <dxf>
      <font>
        <b/>
        <i val="0"/>
        <color theme="1"/>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rgb="FFEDEDED"/>
      </font>
      <fill>
        <patternFill>
          <bgColor rgb="FFEDEDED"/>
        </patternFill>
      </fill>
      <border>
        <left/>
        <right/>
        <top/>
        <bottom/>
        <vertical/>
        <horizontal/>
      </border>
    </dxf>
    <dxf>
      <font>
        <color theme="6" tint="0.79998168889431442"/>
      </font>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theme="6" tint="0.79998168889431442"/>
      </font>
      <fill>
        <patternFill>
          <bgColor theme="6" tint="0.79998168889431442"/>
        </patternFill>
      </fill>
      <border>
        <left/>
        <right/>
        <top/>
        <bottom/>
        <vertical/>
        <horizontal/>
      </border>
    </dxf>
    <dxf>
      <font>
        <color rgb="FFEDEDED"/>
      </font>
      <fill>
        <patternFill>
          <bgColor rgb="FFEDEDED"/>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
      <font>
        <b/>
        <i val="0"/>
        <color theme="1"/>
      </font>
      <fill>
        <patternFill>
          <bgColor theme="6" tint="0.79998168889431442"/>
        </patternFill>
      </fill>
      <border>
        <left/>
        <right/>
        <top/>
        <bottom/>
        <vertical/>
        <horizontal/>
      </border>
    </dxf>
  </dxfs>
  <tableStyles count="0" defaultTableStyle="TableStyleMedium2" defaultPivotStyle="PivotStyleLight16"/>
  <colors>
    <mruColors>
      <color rgb="FFF2E0B4"/>
      <color rgb="FFFFE1E1"/>
      <color rgb="FFF7F7F7"/>
      <color rgb="FFDE005A"/>
      <color rgb="FF9A003E"/>
      <color rgb="FFF1D3B5"/>
      <color rgb="FFFCE7D0"/>
      <color rgb="FFFF0066"/>
      <color rgb="FFEDEDED"/>
      <color rgb="FFB0CC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562184</xdr:colOff>
      <xdr:row>1</xdr:row>
      <xdr:rowOff>102576</xdr:rowOff>
    </xdr:from>
    <xdr:to>
      <xdr:col>24</xdr:col>
      <xdr:colOff>657433</xdr:colOff>
      <xdr:row>34</xdr:row>
      <xdr:rowOff>60724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alphaModFix/>
          <a:extLst>
            <a:ext uri="{28A0092B-C50C-407E-A947-70E740481C1C}">
              <a14:useLocalDpi xmlns:a14="http://schemas.microsoft.com/office/drawing/2010/main" val="0"/>
            </a:ext>
          </a:extLst>
        </a:blip>
        <a:srcRect t="9866"/>
        <a:stretch/>
      </xdr:blipFill>
      <xdr:spPr>
        <a:xfrm>
          <a:off x="8826953" y="285749"/>
          <a:ext cx="8360018" cy="6764860"/>
        </a:xfrm>
        <a:prstGeom prst="rect">
          <a:avLst/>
        </a:prstGeom>
      </xdr:spPr>
    </xdr:pic>
    <xdr:clientData/>
  </xdr:twoCellAnchor>
  <xdr:twoCellAnchor editAs="oneCell">
    <xdr:from>
      <xdr:col>1</xdr:col>
      <xdr:colOff>39565</xdr:colOff>
      <xdr:row>25</xdr:row>
      <xdr:rowOff>148738</xdr:rowOff>
    </xdr:from>
    <xdr:to>
      <xdr:col>9</xdr:col>
      <xdr:colOff>404446</xdr:colOff>
      <xdr:row>29</xdr:row>
      <xdr:rowOff>173302</xdr:rowOff>
    </xdr:to>
    <xdr:pic>
      <xdr:nvPicPr>
        <xdr:cNvPr id="19" name="Picture 18">
          <a:extLst>
            <a:ext uri="{FF2B5EF4-FFF2-40B4-BE49-F238E27FC236}">
              <a16:creationId xmlns:a16="http://schemas.microsoft.com/office/drawing/2014/main" id="{3CB3E8D6-A874-4FED-A7E5-87C30A1BC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296" y="5446103"/>
          <a:ext cx="5874727" cy="757257"/>
        </a:xfrm>
        <a:prstGeom prst="rect">
          <a:avLst/>
        </a:prstGeom>
        <a:ln w="25400">
          <a:solidFill>
            <a:schemeClr val="bg2">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51</xdr:col>
      <xdr:colOff>418353</xdr:colOff>
      <xdr:row>1</xdr:row>
      <xdr:rowOff>20905</xdr:rowOff>
    </xdr:from>
    <xdr:to>
      <xdr:col>76</xdr:col>
      <xdr:colOff>14308</xdr:colOff>
      <xdr:row>47</xdr:row>
      <xdr:rowOff>230896</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10567" y="646834"/>
          <a:ext cx="12686027" cy="950366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namedSheetView name="01" id="{C0F77A7C-87C7-4403-BADD-5EABD028C2FF}">
    <nsvFilter filterId="{C70CCDAD-8103-44B0-B906-EE0525C6E16C}" ref="BE155:BY166" tableId="47"/>
    <nsvFilter filterId="{B6C97998-AE44-40ED-AEFC-3BD0842F6B26}" ref="BB98:BY107" tableId="48"/>
    <nsvFilter filterId="{84067AF9-C3CC-4457-88DA-210DD5C70B50}" ref="DR31:EC40" tableId="49"/>
    <nsvFilter filterId="{5619C253-04BE-4296-87D3-CD5B4D641B8F}" ref="DU50:EG61" tableId="50"/>
    <nsvFilter filterId="{F1FF33CE-EAAA-4F3E-BBD0-3B4727F4F7CC}" ref="BE224:BO235" tableId="51"/>
    <nsvFilter filterId="{29B6A897-7997-4807-B8EB-47DAF495DA00}" ref="NN18:NW27" tableId="52"/>
    <nsvFilter filterId="{A9DAA9F6-1375-46DA-B2EF-09FDDB7C5CEA}" ref="DU102:EK113" tableId="53"/>
    <nsvFilter filterId="{038A88B0-316E-47C7-820F-F020A5F8D517}" ref="ER57:FE66" tableId="54"/>
    <nsvFilter filterId="{B87F7BA7-0350-4590-9994-482BCBC6B0CD}" ref="EU116:FO127" tableId="55"/>
    <nsvFilter filterId="{1EAF9B80-D815-4DA2-AC96-4A05D7D8727C}" ref="QN168:QU186" tableId="56"/>
    <nsvFilter filterId="{B522AC4E-4F52-4C6D-B092-4CDCD4B8B455}" ref="QN136:QV152" tableId="57"/>
    <nsvFilter filterId="{5BB3584B-83AA-4EA1-A85C-4B781F02A542}" ref="NN66:SF98" tableId="58"/>
    <nsvFilter filterId="{59A08C5C-D4DF-4C42-A2D7-8CBD7E6638C7}" ref="GJ66:GR76" tableId="59"/>
    <nsvFilter filterId="{1AF02E23-6AF4-443B-A9D6-AC616061F2DB}" ref="GJ18:GR28" tableId="60"/>
    <nsvFilter filterId="{DFAF9F87-0249-465C-83FD-BE01A292FDFB}" ref="NN115:NW123" tableId="62"/>
    <nsvFilter filterId="{24E01DC6-B3E6-466E-A9F0-7EFCDD3684A6}" ref="NM175:PN184" tableId="63"/>
    <nsvFilter filterId="{E87F2583-DFE6-4A1B-85BE-0E3FAE840518}" ref="NN138:NT147" tableId="74"/>
    <nsvFilter filterId="{29172D9B-88F0-4F43-A96D-AB59B3240B33}" ref="NK205:PV232" tableId="75"/>
    <nsvFilter filterId="{7A2ABEFB-BA84-4EA3-B96A-4176DFC47DC2}" ref="HH70:HO74" tableId="61"/>
    <nsvFilter filterId="{34983B75-BC8B-458A-A9D8-B19E4DC6EC32}" ref="ER72:FG83" tableId="76"/>
    <nsvFilter filterId="{1B2107EC-D50A-4643-80B3-F06147B10E69}" ref="DR167:EA176" tableId="77"/>
    <nsvFilter filterId="{40C3BAF0-B59D-43C5-A9D7-853369B6D505}" ref="HH34:HZ52" tableId="84"/>
    <nsvFilter filterId="{F7948C92-FB6A-4563-ADF0-30C2E9CDD8BF}" ref="NN424:NR434" tableId="78"/>
    <nsvFilter filterId="{47436022-CB26-496E-B720-CDB2D8A3B46F}" ref="NN441:NQ449" tableId="79"/>
    <nsvFilter filterId="{B74084E9-5E44-41EC-B5D5-44547AFCD4BF}" ref="IH56:JQ65" tableId="80"/>
    <nsvFilter filterId="{C81F06A0-AC56-4888-A216-6B4A76B262B3}" ref="IH37:KC46" tableId="81"/>
    <nsvFilter filterId="{7BEB2E67-52F2-4620-8326-707A6D20420D}" ref="GJ87:GL96" tableId="82"/>
    <nsvFilter filterId="{BF144BDC-4260-477C-B257-DBC866EB14A5}" ref="EU182:FU193" tableId="101"/>
    <nsvFilter filterId="{E111B743-322D-4756-9781-5611501BC771}" ref="GJ34:GQ44" tableId="1"/>
    <nsvFilter filterId="{829683DE-7C3D-4B09-9F55-5B9E7AF49B23}" ref="ER158:FU169" tableId="103"/>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4923F5B-21D4-4A15-B773-5FF2F9621F9D}" name="position_stuff" displayName="position_stuff" ref="BE155:BY166" totalsRowShown="0" headerRowDxfId="2263" dataDxfId="2261" headerRowBorderDxfId="2262" tableBorderDxfId="2260" totalsRowBorderDxfId="2259">
  <autoFilter ref="BE155:BY166" xr:uid="{C70CCDAD-8103-44B0-B906-EE0525C6E16C}"/>
  <tableColumns count="21">
    <tableColumn id="1" xr3:uid="{F056F07C-2032-4A41-8332-9709FF143B16}" name="Position" dataDxfId="2258"/>
    <tableColumn id="2" xr3:uid="{5E7A63D4-2DF7-4567-B68C-4732A5D458CE}" name="Name" dataDxfId="2257">
      <calculatedColumnFormula>BB156</calculatedColumnFormula>
    </tableColumn>
    <tableColumn id="3" xr3:uid="{FEE9A19D-CDEB-4F65-AB34-229C8753B6CA}" name="Totalvol" dataDxfId="2256"/>
    <tableColumn id="4" xr3:uid="{CF0F3D77-362C-4EDC-963F-589D69558041}" name="Redusertsalvelengde" dataDxfId="2255">
      <calculatedColumnFormula>IFERROR((INDEX(inputs_spreng[Redusertsalvelengde],MATCH($BE156,inputs_spreng[Position],0))),0)</calculatedColumnFormula>
    </tableColumn>
    <tableColumn id="5" xr3:uid="{7BDC8238-5FEC-422B-8784-C49C0FD2FB2C}" name="Todelttverrsnitt" dataDxfId="2254">
      <calculatedColumnFormula>IFERROR((INDEX(inputs_spreng[Todelttverrsnitt],MATCH($BE156,inputs_spreng[Position],0))),0)</calculatedColumnFormula>
    </tableColumn>
    <tableColumn id="7" xr3:uid="{287B250C-76C9-4C16-9D1D-CAF8A11867D1}" name="Redusertsalvelengdeogtodelttverrsnitt" dataDxfId="2253">
      <calculatedColumnFormula>IFERROR((INDEX(inputs_spreng[Redusertsalvelengdeogtodelttverrsnitt],MATCH($BE156,inputs_spreng[Position],0))),0)</calculatedColumnFormula>
    </tableColumn>
    <tableColumn id="8" xr3:uid="{7C49AEA9-AD1F-4C83-91D2-0C59F7048C3F}" name="Normal" dataDxfId="2252">
      <calculatedColumnFormula>IF(position_stuff[[#This Row],[Position]]&lt;&gt;0,position_stuff[[#This Row],[Totalvol]]-position_stuff[[#This Row],[Redusertsalvelengde]]-position_stuff[[#This Row],[Todelttverrsnitt]]-position_stuff[[#This Row],[Redusertsalvelengdeogtodelttverrsnitt]],0)</calculatedColumnFormula>
    </tableColumn>
    <tableColumn id="21" xr3:uid="{49E02CC4-FF15-4377-B611-162EAF1C06F3}" name="Grøfter" dataDxfId="2251">
      <calculatedColumnFormula>IFERROR((INDEX(inputs_spreng[Grøfter],MATCH(position_stuff[[#This Row],[Position]],inputs_spreng[Position],0))),0)</calculatedColumnFormula>
    </tableColumn>
    <tableColumn id="9" xr3:uid="{4974BFFA-BB05-42D8-9485-509EACB65834}" name="Nisj" dataDxfId="2250">
      <calculatedColumnFormula>IFERROR((INDEX(inputs_spreng[Nisjer],MATCH($BE156,inputs_spreng[Position],0))),0)</calculatedColumnFormula>
    </tableColumn>
    <tableColumn id="10" xr3:uid="{97AE48F5-EF71-46C1-BBAC-E15BD14053DB}" name="Snunisjer" dataDxfId="2249">
      <calculatedColumnFormula>IFERROR((INDEX(inputs_spreng[Snunisjer],MATCH($BE156,inputs_spreng[Position],0))),0)</calculatedColumnFormula>
    </tableColumn>
    <tableColumn id="11" xr3:uid="{C745E292-9531-43DA-83A6-D5253BC8767A}" name="Tverrforbindelser" dataDxfId="2248">
      <calculatedColumnFormula>IFERROR((INDEX(inputs_spreng[Tverrforbindelser],MATCH($BE156,inputs_spreng[Position],0))),0)</calculatedColumnFormula>
    </tableColumn>
    <tableColumn id="12" xr3:uid="{25CEF69B-4C61-4709-B73C-830D5824DA4C}" name="Tekniskerom" dataDxfId="2247">
      <calculatedColumnFormula>IFERROR((INDEX(inputs_spreng[Tekniskerom],MATCH($BE156,inputs_spreng[Position],0))),0)</calculatedColumnFormula>
    </tableColumn>
    <tableColumn id="13" xr3:uid="{12BD6DBD-5765-4444-BAF0-6F939F429AC6}" name="Siktutvidelse" dataDxfId="2246">
      <calculatedColumnFormula>IFERROR((INDEX(inputs_spreng[Siktutvidelse],MATCH($BE156,inputs_spreng[Position],0))),0)</calculatedColumnFormula>
    </tableColumn>
    <tableColumn id="14" xr3:uid="{BD502F81-8759-47B0-AF18-E5B2ABCDC4EF}" name="Utvidelsefortungsikring" dataDxfId="2245">
      <calculatedColumnFormula>IFERROR((INDEX(inputs_spreng[Utvidelsefortungsikring],MATCH($BE156,inputs_spreng[Position],0))),0)</calculatedColumnFormula>
    </tableColumn>
    <tableColumn id="15" xr3:uid="{2A14B04E-978E-4746-B940-1D9CEFD6D6FA}" name="Pumpesump" dataDxfId="2244">
      <calculatedColumnFormula>IFERROR((INDEX(inputs_spreng[Pumpesump],MATCH($BE156,inputs_spreng[Position],0))),0)</calculatedColumnFormula>
    </tableColumn>
    <tableColumn id="20" xr3:uid="{B5F55588-552B-4875-B944-39DE7B768597}" name="Extra_1" dataDxfId="2243"/>
    <tableColumn id="16" xr3:uid="{5FFDB55C-9642-4336-85AF-A74763999D7F}" name="Annet" dataDxfId="2242">
      <calculatedColumnFormula>IFERROR((INDEX(inputs_spreng[Annet],MATCH($BE156,inputs_spreng[Position],0))),0)</calculatedColumnFormula>
    </tableColumn>
    <tableColumn id="6" xr3:uid="{75CF9089-9FE4-4D41-8A1A-12B68607AEDD}" name="total_reduced" dataDxfId="2241">
      <calculatedColumnFormula>position_stuff[[#This Row],[Redusertsalvelengde]]+position_stuff[[#This Row],[Todelttverrsnitt]]+position_stuff[[#This Row],[Redusertsalvelengdeogtodelttverrsnitt]]</calculatedColumnFormula>
    </tableColumn>
    <tableColumn id="17" xr3:uid="{C843AD57-4A14-4EF0-8B76-523D3D3FF9B7}" name="total_nisjer" dataDxfId="2240">
      <calculatedColumnFormula>position_stuff[[#This Row],[Nisj]]+position_stuff[[#This Row],[Snunisjer]]+position_stuff[[#This Row],[Tverrforbindelser]]+position_stuff[[#This Row],[Tekniskerom]]+position_stuff[[#This Row],[Siktutvidelse]]+position_stuff[[#This Row],[Utvidelsefortungsikring]]+position_stuff[[#This Row],[Pumpesump]]+position_stuff[[#This Row],[Annet]]</calculatedColumnFormula>
    </tableColumn>
    <tableColumn id="18" xr3:uid="{B0B6797D-575E-43C3-AB16-3B74F392C549}" name="total_sprengning" dataDxfId="2239">
      <calculatedColumnFormula>IF(position_stuff[[#This Row],[Totalvol]]&gt;=0,position_stuff[[#This Row],[Totalvol]]+position_stuff[[#This Row],[total_nisjer]],"!")</calculatedColumnFormula>
    </tableColumn>
    <tableColumn id="19" xr3:uid="{01CC89FE-4573-47A6-9548-7349F52F5900}" name="Extra_2" dataDxfId="223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306E190-94C8-4E40-B978-169B6627A589}" name="tverr_connection" displayName="tverr_connection" ref="QN168:QU186" totalsRowShown="0" headerRowDxfId="2081" dataDxfId="2079" headerRowBorderDxfId="2080" tableBorderDxfId="2078" totalsRowBorderDxfId="2077">
  <autoFilter ref="QN168:QU186" xr:uid="{1EAF9B80-D815-4DA2-AC96-4A05D7D8727C}"/>
  <tableColumns count="8">
    <tableColumn id="1" xr3:uid="{6AF00B74-2778-4DDA-B743-4B3ECE590D56}" name="løpstuff" dataDxfId="2076"/>
    <tableColumn id="2" xr3:uid="{F9FE87A5-25F0-4F82-BAA1-B08EEBCFE589}" name="config" dataDxfId="2075"/>
    <tableColumn id="3" xr3:uid="{8051BEE4-EDDE-45B1-A088-CECA8B229DCA}" name="config_2" dataDxfId="2074"/>
    <tableColumn id="4" xr3:uid="{DD0791C2-1DF0-4A6F-90D5-67DD38813FB1}" name="tverr_1" dataDxfId="2073"/>
    <tableColumn id="5" xr3:uid="{65641000-551B-4244-A328-C8BD2CE895BD}" name="tverr_2" dataDxfId="2072"/>
    <tableColumn id="6" xr3:uid="{75687CBC-C671-4030-A484-A74D853D9961}" name="tverr_3" dataDxfId="2071"/>
    <tableColumn id="7" xr3:uid="{93E500F9-3DA7-4649-B171-14618F9F950F}" name="tverr_4" dataDxfId="2070"/>
    <tableColumn id="8" xr3:uid="{1E8D672E-A05B-4156-B7DD-2D43CC094FBE}" name="possible" dataDxfId="2069"/>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BD8DA74-8100-4A03-B703-3B9DFF2D3AEA}" name="tverr_conn_28a" displayName="tverr_conn_28a" ref="AD5:AD10" totalsRowShown="0">
  <autoFilter ref="AD5:AD10" xr:uid="{90619BF0-4D23-4EA1-88D0-55F1603294EF}"/>
  <tableColumns count="1">
    <tableColumn id="1" xr3:uid="{E7C97C9B-4FBE-4F85-84BD-D1C54EE288CB}" name="stuff"/>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CC5B167-7FED-44EE-B252-AD1D3563C7D8}" name="Input_metod_SB" displayName="Input_metod_SB" ref="CU5:CU8" totalsRowShown="0" headerRowDxfId="68" dataDxfId="67">
  <autoFilter ref="CU5:CU8" xr:uid="{DAB8AF33-DB96-454B-8EBC-E45881D5073E}"/>
  <tableColumns count="1">
    <tableColumn id="1" xr3:uid="{E77AEDEC-36DA-4B0D-9052-0273C9B8D102}" name="Two_options" dataDxfId="66"/>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D1C6F557-29C4-4006-BBBF-55DF1F9968E4}" name="Klasse_man" displayName="Klasse_man" ref="CX5:CX7" totalsRowShown="0">
  <autoFilter ref="CX5:CX7" xr:uid="{6EA4D152-8002-4348-AA6D-852FABC9A409}"/>
  <tableColumns count="1">
    <tableColumn id="1" xr3:uid="{C14AC874-105B-41CA-982E-BC9C0244FF04}" name="Method">
      <calculatedColumnFormula>_Calcs_Klasse!#REF!</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944108A-AD1A-44A1-A0C2-C2DAF4BE4056}" name="klasse_bolt_method" displayName="klasse_bolt_method" ref="DA5:DA7" totalsRowShown="0" headerRowDxfId="65" dataDxfId="64">
  <autoFilter ref="DA5:DA7" xr:uid="{825609A8-D1BF-4A01-87BF-252384DC058C}"/>
  <tableColumns count="1">
    <tableColumn id="1" xr3:uid="{37AA9476-4F4D-470B-9371-C5BE0BBFE82D}" name="Method" dataDxfId="63"/>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90D34F83-2DAD-4899-90F3-0C232AA4B84F}" name="klasse_bånd" displayName="klasse_bånd" ref="DE5:DE6" totalsRowShown="0" headerRowDxfId="62" dataDxfId="61">
  <autoFilter ref="DE5:DE6" xr:uid="{F1651018-FCD2-4455-ADCD-FE226A705E02}"/>
  <tableColumns count="1">
    <tableColumn id="1" xr3:uid="{110C2609-0167-4492-8ABE-01F7FC7030A4}" name="Method" dataDxfId="60">
      <calculatedColumnFormula>_Calcs_Klasse!AES36</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38EB2EEC-F121-4544-A77C-84D37359237D}" name="klasse_shot" displayName="klasse_shot" ref="DI5:DI7" totalsRowShown="0" headerRowDxfId="59" dataDxfId="58">
  <autoFilter ref="DI5:DI7" xr:uid="{5DB25B15-BC58-41D9-B39F-F82AF94E4C69}"/>
  <tableColumns count="1">
    <tableColumn id="1" xr3:uid="{001E48FD-9152-4369-A695-83935632CB5A}" name="Method" dataDxfId="57">
      <calculatedColumnFormula>_Calcs_Klasse!AHP36</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F1EB8CCB-5C63-49A5-B63F-955E7A877AF5}" name="klasse_net" displayName="klasse_net" ref="DG5:DG6" totalsRowShown="0" headerRowDxfId="56" dataDxfId="55">
  <autoFilter ref="DG5:DG6" xr:uid="{DA8B1E75-97F7-4D9E-ABC3-B8BB026A806D}"/>
  <tableColumns count="1">
    <tableColumn id="1" xr3:uid="{456A5DB9-EBBC-47A9-81DC-C0FE0EED41DE}" name="Method" dataDxfId="54">
      <calculatedColumnFormula>_Calcs_Klasse!AGO36</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64B27A5-DB30-4D15-8144-3799122975DB}" name="klasse_buer" displayName="klasse_buer" ref="DM5:DM6" totalsRowShown="0" headerRowDxfId="53" dataDxfId="52">
  <autoFilter ref="DM5:DM6" xr:uid="{863BB612-7F40-4183-A8FD-14226302E159}"/>
  <tableColumns count="1">
    <tableColumn id="1" xr3:uid="{BB984C31-01FB-4855-8411-475DB6DC6CF6}" name="Method" dataDxfId="51">
      <calculatedColumnFormula>_Calcs_Klasse!$AIU$36</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2BF56C41-3FBE-4D69-B19F-EA82651857F0}" name="klasse_sik_method" displayName="klasse_sik_method" ref="DY5:DY6" totalsRowShown="0" headerRowDxfId="50" dataDxfId="49">
  <autoFilter ref="DY5:DY6" xr:uid="{0580560B-D89E-4D33-ACA8-5CD17B47DE1B}"/>
  <tableColumns count="1">
    <tableColumn id="1" xr3:uid="{45BFB92F-818E-46DD-B7DF-DF1144AFE41C}" name="Method" dataDxfId="48">
      <calculatedColumnFormula>_Calcs_Klasse!ART36</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778B2E67-E7D1-499F-8765-2A0F5E564009}" name="klasse_bolt_del" displayName="klasse_bolt_del" ref="DC5:DC6" totalsRowShown="0" headerRowDxfId="47" dataDxfId="46">
  <autoFilter ref="DC5:DC6" xr:uid="{3B401A82-49B9-4B8F-8DAB-5DFD41D9C3BF}"/>
  <tableColumns count="1">
    <tableColumn id="1" xr3:uid="{7FCE598D-E20D-40F1-97E3-5796684417FF}" name="Partition" dataDxfId="4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97C76B3-7851-43F7-9B1D-030F4EFEC9CA}" name="output_tidstuff" displayName="output_tidstuff" ref="QN136:QV152" totalsRowShown="0" headerRowDxfId="2068" dataDxfId="2066" headerRowBorderDxfId="2067" tableBorderDxfId="2065" totalsRowBorderDxfId="2064">
  <autoFilter ref="QN136:QV152" xr:uid="{B522AC4E-4F52-4C6D-B092-4CDCD4B8B455}"/>
  <tableColumns count="9">
    <tableColumn id="1" xr3:uid="{1C9D006C-107C-493D-931F-4B83879AD18E}" name="lopstuff_distristatus" dataDxfId="2063"/>
    <tableColumn id="2" xr3:uid="{7CF831E1-6E16-4E10-BFCD-23B3046C5A5B}" name="1" dataDxfId="2062">
      <calculatedColumnFormula>$QO$260*$AJ$34</calculatedColumnFormula>
    </tableColumn>
    <tableColumn id="3" xr3:uid="{6CFB9396-9803-4A15-9F0E-EA99084B52D7}" name="2" dataDxfId="2061">
      <calculatedColumnFormula>$QO$260*$AJ$35</calculatedColumnFormula>
    </tableColumn>
    <tableColumn id="4" xr3:uid="{317069AA-C387-4339-9FE4-1B933006EC8B}" name="3" dataDxfId="2060"/>
    <tableColumn id="5" xr3:uid="{2E717BCC-5B88-4036-BCE5-EB395D216ED4}" name="4" dataDxfId="2059"/>
    <tableColumn id="6" xr3:uid="{F69B8D15-E3A1-4566-90BD-3595FDAB0DB8}" name="5" dataDxfId="2058">
      <calculatedColumnFormula>$QP$260*$AJ$38</calculatedColumnFormula>
    </tableColumn>
    <tableColumn id="7" xr3:uid="{B4FF35D8-1854-4DD2-B268-B4EB896FC49B}" name="6" dataDxfId="2057"/>
    <tableColumn id="8" xr3:uid="{25F7E058-294D-45E3-9BB7-8430A96B85D0}" name="7" dataDxfId="2056"/>
    <tableColumn id="9" xr3:uid="{994AA39A-662D-41EC-873B-8362906111C8}" name="8" dataDxfId="2055"/>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3AE59796-60BD-48F8-BACB-C09FCB6FD80D}" name="klasse_sik_del" displayName="klasse_sik_del" ref="EA5:EA6" totalsRowShown="0" headerRowDxfId="44" dataDxfId="43">
  <autoFilter ref="EA5:EA6" xr:uid="{0A9517BA-3B70-44A5-8886-A6D4D421430A}"/>
  <tableColumns count="1">
    <tableColumn id="1" xr3:uid="{8DE324EC-5F14-49A9-8F12-8B8B4CF2ACC4}" name="Partition" dataDxfId="42"/>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C68F40AB-4067-451D-9EC0-AC8E4197BCD5}" name="klasse_shot_faktor" displayName="klasse_shot_faktor" ref="DK4:DK6" totalsRowShown="0" headerRowDxfId="41" dataDxfId="40">
  <autoFilter ref="DK4:DK6" xr:uid="{18128936-32A7-4553-BDE2-345C631FC1C8}"/>
  <tableColumns count="1">
    <tableColumn id="1" xr3:uid="{4B22A1C8-C250-4228-9E93-63951C7E62E9}" name="klasse_shot_faktor" dataDxfId="39"/>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AA072F5-4AA1-4270-B12E-C4BFB28DD501}" name="klasse_buer_del" displayName="klasse_buer_del" ref="DS4:DS6" totalsRowShown="0" headerRowDxfId="38" dataDxfId="37">
  <autoFilter ref="DS4:DS6" xr:uid="{F70EF123-2F24-4431-84B9-4E623384B2E1}"/>
  <tableColumns count="1">
    <tableColumn id="1" xr3:uid="{55AB8700-F161-4095-9A9F-2ABDE0A02121}" name="klasse_buer_del" dataDxfId="36"/>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4459E48C-092C-45A3-BBA1-BFC98D9E078C}" name="klasse_buer_dim" displayName="klasse_buer_dim" ref="DO5:DO8" totalsRowShown="0" headerRowDxfId="35" dataDxfId="34">
  <autoFilter ref="DO5:DO8" xr:uid="{F1CA9569-AF76-49E2-AB95-A31EA67A496C}"/>
  <tableColumns count="1">
    <tableColumn id="1" xr3:uid="{C381D79E-AC6E-48F8-8766-AA1C74839315}" name="Dimensjon" dataDxfId="33"/>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1E9D7AC-7D3B-4ED4-8114-B1000A98F0F6}" name="klasse_buer_bolt" displayName="klasse_buer_bolt" ref="DU5:DU7" totalsRowShown="0" headerRowDxfId="32" dataDxfId="31">
  <autoFilter ref="DU5:DU7" xr:uid="{76E11A51-DD52-4A43-B315-357130731B77}"/>
  <tableColumns count="1">
    <tableColumn id="1" xr3:uid="{6C5B9B5A-7E8E-4B1D-B2CB-58DB8C041EA2}" name="bolt" dataDxfId="30"/>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CE61AC-EAC4-457C-B19D-6F1DB23B4830}" name="tunnelklasse" displayName="tunnelklasse" ref="ED5:ED11" totalsRowShown="0">
  <autoFilter ref="ED5:ED11" xr:uid="{D0E207F5-51C9-4A72-9BE3-B93D002C09C4}"/>
  <tableColumns count="1">
    <tableColumn id="1" xr3:uid="{CF5C28A8-D56C-4430-B29C-95A8239E89F3}" name="Klasse"/>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68BC5E4-89E9-4AD3-A811-493D52725448}" name="vannprofil" displayName="vannprofil" ref="BO5:BT9" totalsRowShown="0" headerRowDxfId="29" dataDxfId="28">
  <autoFilter ref="BO5:BT9" xr:uid="{6F2C2142-8C3D-4AF2-8B1E-028AD988B69C}"/>
  <tableColumns count="6">
    <tableColumn id="1" xr3:uid="{584A5F4C-B811-4C9B-A6A9-0A070363BD74}" name="Name" dataDxfId="27"/>
    <tableColumn id="2" xr3:uid="{53C942BE-7068-468B-BBDD-EA79B76CFE37}" name="Area_s" dataDxfId="26"/>
    <tableColumn id="3" xr3:uid="{70433C94-7763-4F8A-9DDE-D23BB4B09320}" name="Area_n" dataDxfId="25"/>
    <tableColumn id="4" xr3:uid="{9A44E3EB-AF61-460B-BC2F-DEF0B580ED30}" name="Buelendge" dataDxfId="24"/>
    <tableColumn id="5" xr3:uid="{151ECE07-0B64-446F-934A-4E48D4C0D509}" name="bredde" dataDxfId="23"/>
    <tableColumn id="6" xr3:uid="{D70237BA-A23B-465F-A600-082F64590F37}" name="Høyde_bredde" dataDxfId="22"/>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C6D21C1-272A-409E-A977-65BA452B3AF1}" name="jernprofil" displayName="jernprofil" ref="BI5:BM20" totalsRowShown="0" headerRowDxfId="21" dataDxfId="20">
  <autoFilter ref="BI5:BM20" xr:uid="{E2B009ED-5166-4D39-AC05-E951DE3A993E}"/>
  <sortState xmlns:xlrd2="http://schemas.microsoft.com/office/spreadsheetml/2017/richdata2" ref="BI6:BK17">
    <sortCondition ref="BI6:BI17"/>
  </sortState>
  <tableColumns count="5">
    <tableColumn id="1" xr3:uid="{52C2E9C2-3D00-4EC4-985F-5E471890D37A}" name="Name" dataDxfId="19"/>
    <tableColumn id="2" xr3:uid="{20737006-AB8A-473E-9E97-242A5BD2C7F9}" name="Area_s" dataDxfId="18"/>
    <tableColumn id="3" xr3:uid="{C5A7CD37-971C-49C6-A8E1-FC3F656EEB37}" name="Area_n" dataDxfId="17"/>
    <tableColumn id="4" xr3:uid="{9C50FDFE-FE1F-4794-9D42-927651F4095D}" name="Buelendge" dataDxfId="16"/>
    <tableColumn id="5" xr3:uid="{CD9F80F9-2EFC-4452-86C4-9D9663D6EF0E}" name="bredde" dataDxfId="15"/>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076BB51-30DE-4652-8BDD-CD414C172732}" name="klasse_forbotling_område" displayName="klasse_forbotling_område" ref="DQ5:DQ8" totalsRowShown="0" headerRowDxfId="14" dataDxfId="13">
  <autoFilter ref="DQ5:DQ8" xr:uid="{9D772DE9-C818-41F9-B4EB-87A141336044}"/>
  <tableColumns count="1">
    <tableColumn id="1" xr3:uid="{50B34928-D349-44DE-81C8-DC4A1497FEF8}" name="Bueområde" dataDxfId="12"/>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89CEE81-EA9A-451E-86AE-DFF24C36FDA1}" name="justering_svar" displayName="justering_svar" ref="EG5:EG9" totalsRowShown="0">
  <autoFilter ref="EG5:EG9" xr:uid="{0BBAD3DD-A144-4CF1-9D3C-3C62538D3D53}"/>
  <tableColumns count="1">
    <tableColumn id="1" xr3:uid="{DDC23D1E-4B3B-4D5D-B305-76C2EF9F9208}" name="Svar"/>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4206515-DD88-4B38-B216-5111680C0350}" name="outputs_oppsum" displayName="outputs_oppsum" ref="NN66:SF98" totalsRowShown="0" headerRowDxfId="2054" dataDxfId="2052" headerRowBorderDxfId="2053" tableBorderDxfId="2051" totalsRowBorderDxfId="2050">
  <autoFilter ref="NN66:SF98" xr:uid="{5BB3584B-83AA-4EA1-A85C-4B781F02A542}"/>
  <tableColumns count="123">
    <tableColumn id="1" xr3:uid="{1CAF9901-7807-4D1E-9DE0-F059E508F5EE}" name="stuff_id" dataDxfId="2049"/>
    <tableColumn id="2" xr3:uid="{C5314431-AE83-4937-B320-4765964373D8}" name="stuff_navn" dataDxfId="2048"/>
    <tableColumn id="3" xr3:uid="{FDDFE175-E4FD-4DCC-A3B4-DBA54C716F3A}" name="normal" dataDxfId="2047">
      <calculatedColumnFormula>BJ218</calculatedColumnFormula>
    </tableColumn>
    <tableColumn id="4" xr3:uid="{1E3ABD21-A8E7-46A9-889A-2A1A16716424}" name="Redusertsalvelengde" dataDxfId="2046">
      <calculatedColumnFormula>BG218</calculatedColumnFormula>
    </tableColumn>
    <tableColumn id="5" xr3:uid="{1C5B35EC-2CA3-478A-8640-B8EACC0DF224}" name="Todelttverrsnitt" dataDxfId="2045">
      <calculatedColumnFormula>BH218</calculatedColumnFormula>
    </tableColumn>
    <tableColumn id="6" xr3:uid="{31ED8589-E25D-4497-A635-7A972DF93DF9}" name="Redusertsalvelengdeogtodelttverrsnitt" dataDxfId="2044">
      <calculatedColumnFormula>BI218</calculatedColumnFormula>
    </tableColumn>
    <tableColumn id="7" xr3:uid="{49E7EA56-3FB7-40B3-BA5D-021BAEDC2BA0}" name="total_nisj" dataDxfId="2043">
      <calculatedColumnFormula>BK218</calculatedColumnFormula>
    </tableColumn>
    <tableColumn id="8" xr3:uid="{59A5CB96-C2B9-4FDE-9E82-5D62A0B73A78}" name="total_lop" dataDxfId="2042">
      <calculatedColumnFormula>BM218</calculatedColumnFormula>
    </tableColumn>
    <tableColumn id="72" xr3:uid="{9DE4A23E-0D35-4E93-9E37-35DB896B6F31}" name="total_spreng_hr" dataDxfId="2041">
      <calculatedColumnFormula>outputs_oppsum[[#This Row],[total_lop]]+outputs_oppsum[[#This Row],[total_nisj]]</calculatedColumnFormula>
    </tableColumn>
    <tableColumn id="74" xr3:uid="{518947F8-265F-408B-981A-20EE1EC20082}" name="total_spreng_uker" dataDxfId="2040">
      <calculatedColumnFormula>outputs_oppsum[[#This Row],[total_spreng_hr]]/$AI$80</calculatedColumnFormula>
    </tableColumn>
    <tableColumn id="9" xr3:uid="{1DA74DAA-6904-4805-8793-C1F4AEAEFADB}" name="Sonderboring" dataDxfId="2039">
      <calculatedColumnFormula>DW96</calculatedColumnFormula>
    </tableColumn>
    <tableColumn id="10" xr3:uid="{4832FEA7-6EFF-4240-9D9C-784F78328E57}" name="Kjerneboring" dataDxfId="2038">
      <calculatedColumnFormula>DX96</calculatedColumnFormula>
    </tableColumn>
    <tableColumn id="11" xr3:uid="{0631AF0C-DD68-4950-AEE2-65E580996315}" name="Seismikk" dataDxfId="2037">
      <calculatedColumnFormula>DY96</calculatedColumnFormula>
    </tableColumn>
    <tableColumn id="12" xr3:uid="{AB8A9FB0-F0D4-4446-A7AE-1E66BFBB4A7D}" name="sp_Rigg" dataDxfId="2036">
      <calculatedColumnFormula>DZ96</calculatedColumnFormula>
    </tableColumn>
    <tableColumn id="13" xr3:uid="{92E730AA-5ADA-4F84-923D-59C0B5E554C6}" name="sp_Boring" dataDxfId="2035">
      <calculatedColumnFormula>EA96</calculatedColumnFormula>
    </tableColumn>
    <tableColumn id="14" xr3:uid="{DA0FA418-E3BC-4B53-9EEA-018141D572E6}" name="Sp_Injeksjon" dataDxfId="2034">
      <calculatedColumnFormula>EB96</calculatedColumnFormula>
    </tableColumn>
    <tableColumn id="15" xr3:uid="{8FD00646-FE1B-4AA3-9BA3-7E74A87A1497}" name="sp_Kontrollhull" dataDxfId="2033">
      <calculatedColumnFormula>EC96</calculatedColumnFormula>
    </tableColumn>
    <tableColumn id="16" xr3:uid="{F0EDD341-0909-4A44-B390-A82D00ADD5BF}" name="sy_Rigg" dataDxfId="2032">
      <calculatedColumnFormula>ED96</calculatedColumnFormula>
    </tableColumn>
    <tableColumn id="17" xr3:uid="{CC722C05-4A32-4E35-8020-6FAC72495E76}" name="sy_Boring" dataDxfId="2031">
      <calculatedColumnFormula>EE96</calculatedColumnFormula>
    </tableColumn>
    <tableColumn id="18" xr3:uid="{497D96E8-2000-46FB-84BB-FC9E4D5E1C24}" name="sy_Injeksjon" dataDxfId="2030">
      <calculatedColumnFormula>EF96</calculatedColumnFormula>
    </tableColumn>
    <tableColumn id="19" xr3:uid="{D84CCEB2-2C91-4F98-8C95-D80A493123F5}" name="sy_Kontrollhull" dataDxfId="2029">
      <calculatedColumnFormula>EG96</calculatedColumnFormula>
    </tableColumn>
    <tableColumn id="20" xr3:uid="{934E5FDC-B34A-4301-97B6-2158DA8E099F}" name="total_foran_hr" dataDxfId="2028">
      <calculatedColumnFormula>EH96</calculatedColumnFormula>
    </tableColumn>
    <tableColumn id="75" xr3:uid="{602D0A97-3708-4764-8700-E26B71BD3AAF}" name="total_foran_uke" dataDxfId="2027">
      <calculatedColumnFormula>outputs_oppsum[[#This Row],[total_foran_hr]]/$AI$80</calculatedColumnFormula>
    </tableColumn>
    <tableColumn id="21" xr3:uid="{C57A5BE4-2C3A-4519-893F-ED3A3513E12D}" name="total_sonder" dataDxfId="2026">
      <calculatedColumnFormula>EI96</calculatedColumnFormula>
    </tableColumn>
    <tableColumn id="22" xr3:uid="{EDE60A36-7795-4390-8C27-DD3852AE0062}" name="total_inj" dataDxfId="2025">
      <calculatedColumnFormula>EJ96</calculatedColumnFormula>
    </tableColumn>
    <tableColumn id="23" xr3:uid="{E9601952-E5F4-4A74-812F-3D955B4A090C}" name="manuell" dataDxfId="2024">
      <calculatedColumnFormula>EW110</calculatedColumnFormula>
    </tableColumn>
    <tableColumn id="99" xr3:uid="{8E69045F-ED76-46B6-B9D5-FF9BAE1C3F00}" name="kartlegging" dataDxfId="2023"/>
    <tableColumn id="24" xr3:uid="{D9213D31-29EB-4A6E-8092-12A308010E1F}" name="lt4m" dataDxfId="2022">
      <calculatedColumnFormula>EX110</calculatedColumnFormula>
    </tableColumn>
    <tableColumn id="25" xr3:uid="{0F34E64D-A1F2-460E-B9CF-908ED083749A}" name="gt4m" dataDxfId="2021">
      <calculatedColumnFormula>EY110</calculatedColumnFormula>
    </tableColumn>
    <tableColumn id="26" xr3:uid="{8CFFCB76-A46F-4B78-B4E8-8C4232817A4E}" name="bergbånd" dataDxfId="2020">
      <calculatedColumnFormula>EZ110</calculatedColumnFormula>
    </tableColumn>
    <tableColumn id="120" xr3:uid="{254279D4-0664-4FE3-B3B6-CCD5B29BA067}" name="bergbånd_ekstra" dataDxfId="2019"/>
    <tableColumn id="119" xr3:uid="{BBACBE28-6787-49DF-A21E-1ABE8A43E506}" name="festebolter_for_bergbånd" dataDxfId="2018"/>
    <tableColumn id="27" xr3:uid="{730F008C-B2BE-44F4-83BE-FE9FFB167C02}" name="nett" dataDxfId="2017">
      <calculatedColumnFormula>FA110</calculatedColumnFormula>
    </tableColumn>
    <tableColumn id="100" xr3:uid="{9594F152-B5FD-45AB-9377-17CFE25A758E}" name="festebolter_for_nett" dataDxfId="2016"/>
    <tableColumn id="122" xr3:uid="{CB784956-2667-496A-8E5E-016481E92229}" name="sprøytebetong_ved_nett" dataDxfId="2015"/>
    <tableColumn id="123" xr3:uid="{3B02D895-B145-479A-96D3-2B649752D0DA}" name="festebolter_general" dataDxfId="2014"/>
    <tableColumn id="28" xr3:uid="{48EF4258-EC78-489D-BB99-EA7CC4E298EB}" name="sprøytebetong" dataDxfId="2013">
      <calculatedColumnFormula>FB110</calculatedColumnFormula>
    </tableColumn>
    <tableColumn id="29" xr3:uid="{2EA8BE04-FFCF-4B84-97C8-3E56ADB800AA}" name="buer" dataDxfId="2012">
      <calculatedColumnFormula>FC110</calculatedColumnFormula>
    </tableColumn>
    <tableColumn id="30" xr3:uid="{0E73482A-971C-47C3-AAAC-806E618F44BC}" name="sik123" dataDxfId="2011">
      <calculatedColumnFormula>FD110</calculatedColumnFormula>
    </tableColumn>
    <tableColumn id="31" xr3:uid="{6FDF6FEC-2A5B-42ED-82AE-EA17A4A4D06F}" name="sik4" dataDxfId="2010">
      <calculatedColumnFormula>FE110</calculatedColumnFormula>
    </tableColumn>
    <tableColumn id="32" xr3:uid="{4C9A9B7B-7D9C-4816-8805-62446278BD24}" name="total_man" dataDxfId="2009">
      <calculatedColumnFormula>FF110</calculatedColumnFormula>
    </tableColumn>
    <tableColumn id="33" xr3:uid="{699F5D20-8BE4-4F3C-B0A7-17516D24C8F8}" name="total_bolt" dataDxfId="2008">
      <calculatedColumnFormula>FG110</calculatedColumnFormula>
    </tableColumn>
    <tableColumn id="34" xr3:uid="{0326AA40-0236-45A8-B012-F3F7BD381971}" name="total_bånd_og_nett" dataDxfId="2007">
      <calculatedColumnFormula>FH110</calculatedColumnFormula>
    </tableColumn>
    <tableColumn id="35" xr3:uid="{C7139547-27C7-4929-AAA5-85E91260C554}" name="total_shot" dataDxfId="2006">
      <calculatedColumnFormula>FI110</calculatedColumnFormula>
    </tableColumn>
    <tableColumn id="36" xr3:uid="{ADE1C034-BD2F-49B0-A591-96CDFD3177A5}" name="total_buer" dataDxfId="2005">
      <calculatedColumnFormula>FJ110</calculatedColumnFormula>
    </tableColumn>
    <tableColumn id="37" xr3:uid="{8FCC6B8E-477B-498F-880E-B6199124BF9F}" name="total_sik" dataDxfId="2004">
      <calculatedColumnFormula>FK110</calculatedColumnFormula>
    </tableColumn>
    <tableColumn id="38" xr3:uid="{4C88EFDD-43D3-4583-9D21-ACD1365E6D44}" name="total_stab_hr" dataDxfId="2003">
      <calculatedColumnFormula>FL110</calculatedColumnFormula>
    </tableColumn>
    <tableColumn id="76" xr3:uid="{959A5C88-B966-4C30-B7D1-14B539CA96BA}" name="total_stab_uker" dataDxfId="2002">
      <calculatedColumnFormula>outputs_oppsum[[#This Row],[total_stab_hr]]/$AI$80</calculatedColumnFormula>
    </tableColumn>
    <tableColumn id="106" xr3:uid="{C5F15DB1-65FF-4F98-A91C-7A75E688105C}" name="prosjekt_forbe" dataDxfId="2001"/>
    <tableColumn id="104" xr3:uid="{31BA4E86-61F0-4005-8B83-E21E294A9B59}" name="prosjekt_forbe_hr" dataDxfId="2000"/>
    <tableColumn id="39" xr3:uid="{AFBD5480-98BA-42E0-93F1-2BA70F8079AD}" name="Forberedende" dataDxfId="1999">
      <calculatedColumnFormula>PE37</calculatedColumnFormula>
    </tableColumn>
    <tableColumn id="40" xr3:uid="{3120CF4F-C57D-48BA-95A3-FFA0EB1AA44E}" name="Portaler" dataDxfId="1998">
      <calculatedColumnFormula>PF37</calculatedColumnFormula>
    </tableColumn>
    <tableColumn id="41" xr3:uid="{EEEBE4C8-F45D-4A10-AD82-AE7F828566A7}" name="Andrearbeider" dataDxfId="1997">
      <calculatedColumnFormula>PG37</calculatedColumnFormula>
    </tableColumn>
    <tableColumn id="42" xr3:uid="{3D27B72C-9311-4EF4-85DF-07C01EDF2740}" name="total_forbe" dataDxfId="1996">
      <calculatedColumnFormula>PH37</calculatedColumnFormula>
    </tableColumn>
    <tableColumn id="43" xr3:uid="{9A6A32A7-3DB6-4012-A1D6-7045F73B37FC}" name="hr_Forberedende" dataDxfId="1995">
      <calculatedColumnFormula>outputs_oppsum[[#This Row],[Forberedende]]*$AI$80</calculatedColumnFormula>
    </tableColumn>
    <tableColumn id="44" xr3:uid="{0BC2B879-FC23-4281-83A7-47048A4C8856}" name="hr_Portaler" dataDxfId="1994">
      <calculatedColumnFormula>outputs_oppsum[[#This Row],[Portaler]]*$AI$80</calculatedColumnFormula>
    </tableColumn>
    <tableColumn id="45" xr3:uid="{FA4E7EEE-5E87-4582-ADD2-F5178D0A6E35}" name="hr_Andrearbeider" dataDxfId="1993">
      <calculatedColumnFormula>outputs_oppsum[[#This Row],[Andrearbeider]]*$AI$80</calculatedColumnFormula>
    </tableColumn>
    <tableColumn id="46" xr3:uid="{09A7BCAF-0A8B-49F3-8DA5-7F7C9F5F4586}" name="total_forbe_hr" dataDxfId="1992">
      <calculatedColumnFormula>outputs_oppsum[[#This Row],[total_forbe]]*$AI$80</calculatedColumnFormula>
    </tableColumn>
    <tableColumn id="102" xr3:uid="{BEED1EF4-5F55-4E23-A1A7-4698E6357981}" name="total_prosjekt_uke" dataDxfId="1991"/>
    <tableColumn id="47" xr3:uid="{26146674-FF1C-43D0-BBD4-7C6260285CC2}" name="oppsum_drivetid_hr" dataDxfId="1990">
      <calculatedColumnFormula>outputs_oppsum[[#This Row],[total_nisj]]+outputs_oppsum[[#This Row],[total_lop]]+outputs_oppsum[[#This Row],[total_foran_hr]]+outputs_oppsum[[#This Row],[total_sonder]]+outputs_oppsum[[#This Row],[total_inj]]+outputs_oppsum[[#This Row],[total_man]]+outputs_oppsum[[#This Row],[total_bolt]]+outputs_oppsum[[#This Row],[total_bånd_og_nett]]+outputs_oppsum[[#This Row],[total_shot]]+outputs_oppsum[[#This Row],[total_buer]]+outputs_oppsum[[#This Row],[total_sik]]</calculatedColumnFormula>
    </tableColumn>
    <tableColumn id="48" xr3:uid="{469287C4-502F-446C-8CB7-4BCB37CB79A6}" name="oppsum_drivetid_uke" dataDxfId="1989">
      <calculatedColumnFormula>outputs_oppsum[[#This Row],[oppsum_drivetid_hr]]/$AI$80</calculatedColumnFormula>
    </tableColumn>
    <tableColumn id="49" xr3:uid="{9301E295-BEDA-4882-824B-1CEE47C52759}" name="Column3" dataDxfId="1988">
      <calculatedColumnFormula>IF(outputs_oppsum[[#This Row],[stuff_navn]]=$HI$71,"First connection",IF(outputs_oppsum[[#This Row],[stuff_navn]]=HI71,"Secondary connection","Not required"))</calculatedColumnFormula>
    </tableColumn>
    <tableColumn id="73" xr3:uid="{02FAD73C-F191-4827-88A0-D595ECF10A8D}" name="tverrslag_status" dataDxfId="1987">
      <calculatedColumnFormula>INDEX(tverr_connection_2[11],MATCH($BC$28,tverr_connection_2[config],0))</calculatedColumnFormula>
    </tableColumn>
    <tableColumn id="78" xr3:uid="{52E4B0A0-DE3F-4DA9-891E-D07BAA964209}" name="tverrslag_status_oppsum" dataDxfId="1986">
      <calculatedColumnFormula>IF(outputs_oppsum[[#This Row],[tverrslag_status]]=0,"Ikke påvirket",IF(outputs_oppsum[[#This Row],[tverrslag_status]]=1,"Kreves for tilgang","-"))</calculatedColumnFormula>
    </tableColumn>
    <tableColumn id="50" xr3:uid="{A5378799-9A47-499E-A4DE-5AF85A958E92}" name="tverrslag_tid" dataDxfId="1985">
      <calculatedColumnFormula>IF(outputs_oppsum[[#This Row],[Column3]]=$HH$75,"",IF(outputs_oppsum[[#This Row],[Column3]]=$HH$71,$HJ$71,IF(outputs_oppsum[[#This Row],[Column3]]=$HH$72,$HJ$72)))</calculatedColumnFormula>
    </tableColumn>
    <tableColumn id="77" xr3:uid="{2C37D821-2FE4-4DBE-B8B0-48E243E0A75F}" name="tverrslag_tid_new" dataDxfId="1984">
      <calculatedColumnFormula>IF(outputs_oppsum[[#This Row],[tverrslag_status_oppsum]]=$HI$55,$PU$84,"-")</calculatedColumnFormula>
    </tableColumn>
    <tableColumn id="51" xr3:uid="{C89C229F-FFF0-4CDF-9354-FA62C4FCB6BA}" name="kryssområdet_forberedende_uke" dataDxfId="1983">
      <calculatedColumnFormula>IF(outputs_oppsum[[#This Row],[tverrslag_status_oppsum]]=$HI$55,$HI$66,"-")</calculatedColumnFormula>
    </tableColumn>
    <tableColumn id="80" xr3:uid="{0642975F-979E-4A5C-B6D8-D11B1EFE760A}" name="kryssområdet_forberedende_hr" dataDxfId="1982">
      <calculatedColumnFormula>IF(outputs_oppsum[[#This Row],[tverrslag_status_oppsum]]=$HI$55,$HJ$14,"-")</calculatedColumnFormula>
    </tableColumn>
    <tableColumn id="55" xr3:uid="{37F1E924-64F9-40DF-8E16-87FC57818042}" name="extra_forsink_etter_tverrslag_perstuff_uke" dataDxfId="1981">
      <calculatedColumnFormula>IFERROR(INDEX(outputs_tverrslag[forsink_perstuff_uker],MATCH(outputs_oppsum[[#This Row],[stuff_navn]],outputs_tverrslag[name],0)),"-")</calculatedColumnFormula>
    </tableColumn>
    <tableColumn id="52" xr3:uid="{786C233D-948C-4C9E-8F77-D7D7AF404235}" name="extra_forsink_etter_tverrslag_total_uke" dataDxfId="1980">
      <calculatedColumnFormula>IFERROR(INDEX(outputs_tverrslag[forsink_total_uker],MATCH(outputs_oppsum[[#This Row],[stuff_navn]],outputs_tverrslag[name],0)),"-")</calculatedColumnFormula>
    </tableColumn>
    <tableColumn id="53" xr3:uid="{68EA94A4-0667-417B-B602-631C5C435FEE}" name="kryssområdet_forberedende_hr2" dataDxfId="1979">
      <calculatedColumnFormula>IFERROR(INDEX(outputs_tverrslag[Kryssområdet_hr],MATCH(outputs_oppsum[[#This Row],[stuff_navn]],outputs_tverrslag[name],0)),"-")</calculatedColumnFormula>
    </tableColumn>
    <tableColumn id="54" xr3:uid="{93885079-BE3D-4534-ACF7-05D3C35B3065}" name="extra_forsink_etter_tverrslag_total_hr" dataDxfId="1978">
      <calculatedColumnFormula>IFERROR(INDEX(outputs_tverrslag[forsink_total_hr],MATCH(outputs_oppsum[[#This Row],[stuff_navn]],outputs_tverrslag[name],0)),"-")</calculatedColumnFormula>
    </tableColumn>
    <tableColumn id="56" xr3:uid="{57121CC6-6A27-482C-907C-94FD478313C4}" name="extra_sum" dataDxfId="1977">
      <calculatedColumnFormula>SUMIF(outputs_oppsum[[#This Row],[kryssområdet_forberedende_hr2]:[extra_forsink_etter_tverrslag_total_hr]],"&lt;&gt;-")+SUMIF(outputs_oppsum[[#This Row],[tverrslag_tid]],"&lt;&gt;-")</calculatedColumnFormula>
    </tableColumn>
    <tableColumn id="103" xr3:uid="{D4045145-604A-4DFF-96C8-228723EB384A}" name="extra_tverrslag_prosjekt_forarb_uke" dataDxfId="1976"/>
    <tableColumn id="105" xr3:uid="{0330A385-ECD6-4246-A863-C4642621332D}" name="extra_tverrslag_prosjekt_forarb_hr" dataDxfId="1975">
      <calculatedColumnFormula>IFERROR(outputs_oppsum[[#This Row],[extra_tverrslag_prosjekt_forarb_uke]]*$AI$80,0)</calculatedColumnFormula>
    </tableColumn>
    <tableColumn id="91" xr3:uid="{9B1CA38E-89AC-47BE-ACCF-3B719E919DE9}" name="extra_tverrslag_forarb_uke" dataDxfId="1974">
      <calculatedColumnFormula>IF(outputs_oppsum[[#This Row],[tverrslag_status_oppsum]]=$HI$55,$PO$75,"-")</calculatedColumnFormula>
    </tableColumn>
    <tableColumn id="93" xr3:uid="{8135B59C-79ED-4E65-882B-E0D13896DFC3}" name="extra_tverrslag_forarb_hr" dataDxfId="1973">
      <calculatedColumnFormula>outputs_oppsum[[#This Row],[extra_tverrslag_forarb_uke]]*$AI$80</calculatedColumnFormula>
    </tableColumn>
    <tableColumn id="92" xr3:uid="{29B6C4EB-2BA3-4879-A498-554A8492412D}" name="extra_tverrslag_just_uke" dataDxfId="1972">
      <calculatedColumnFormula>IF(outputs_oppsum[[#This Row],[tverrslag_status_oppsum]]=$HI$55,$RA$75,"-")</calculatedColumnFormula>
    </tableColumn>
    <tableColumn id="90" xr3:uid="{977B9343-FDEF-4E2F-8A1F-DEA91E275419}" name="extra_tverrslag_just_hr" dataDxfId="1971">
      <calculatedColumnFormula>outputs_oppsum[[#This Row],[extra_tverrslag_just_uke]]*$AI$80</calculatedColumnFormula>
    </tableColumn>
    <tableColumn id="89" xr3:uid="{2575BC92-F4D4-48BB-927D-969398F66D95}" name="tverrslag_forsinkt_uke" dataDxfId="1970">
      <calculatedColumnFormula>IF(outputs_oppsum[[#This Row],[tverrslag_status_oppsum]]=$HI$55,$GK$96,"-")</calculatedColumnFormula>
    </tableColumn>
    <tableColumn id="88" xr3:uid="{3FA792DC-0ACA-4511-A6DE-31AF7A2F68DC}" name="tverrslag_forsinkt_hr" dataDxfId="1969">
      <calculatedColumnFormula>outputs_oppsum[[#This Row],[tverrslag_forsinkt_uke]]*$AI$80</calculatedColumnFormula>
    </tableColumn>
    <tableColumn id="101" xr3:uid="{E96591F2-B1BB-4EA3-99F4-836413C0B2BC}" name="tverrslag_total_hr" dataDxfId="1968"/>
    <tableColumn id="57" xr3:uid="{5E08D82D-595B-4B72-87CB-2DAFF7B95103}" name="extra_for_tverrslag_sum" dataDxfId="1967">
      <calculatedColumnFormula>IFERROR(outputs_oppsum[[#This Row],[tverrslag_tid_new]]+outputs_oppsum[[#This Row],[kryssområdet_forberedende_hr]]+outputs_oppsum[[#This Row],[extra_tverrslag_forarb_hr]]+outputs_oppsum[[#This Row],[extra_tverrslag_just_hr]]+outputs_oppsum[[#This Row],[tverrslag_forsinkt_hr]],0)</calculatedColumnFormula>
    </tableColumn>
    <tableColumn id="98" xr3:uid="{05D328BE-8247-43AA-A92D-8B807FEF4EE1}" name="just_generell" dataDxfId="1966"/>
    <tableColumn id="87" xr3:uid="{2D3DB006-5FD3-452A-A948-11A7B4A14BB2}" name="just_geo" dataDxfId="1965">
      <calculatedColumnFormula>INDEX(outputs_just[geo_tid],MATCH(outputs_oppsum[[#This Row],[stuff_navn]],outputs_just[Navn],0))</calculatedColumnFormula>
    </tableColumn>
    <tableColumn id="86" xr3:uid="{CFEBDB01-1A90-4DC0-B45B-B389F799ABB1}" name="just_stig" dataDxfId="1964">
      <calculatedColumnFormula>INDEX(outputs_just[stig_tid],MATCH(outputs_oppsum[[#This Row],[stuff_navn]],outputs_just[Navn],0))</calculatedColumnFormula>
    </tableColumn>
    <tableColumn id="85" xr3:uid="{5168286A-DEEB-4911-B773-02E60BBD2EEF}" name="just_arb" dataDxfId="1963">
      <calculatedColumnFormula>INDEX(outputs_just[arb_tid],MATCH(outputs_oppsum[[#This Row],[stuff_navn]],outputs_just[Navn],0))</calculatedColumnFormula>
    </tableColumn>
    <tableColumn id="84" xr3:uid="{79FBD165-59AF-495A-9205-937A557B319C}" name="just_spreng" dataDxfId="1962">
      <calculatedColumnFormula>INDEX(outputs_just[spreng_tid],MATCH(outputs_oppsum[[#This Row],[stuff_navn]],outputs_just[Navn],0))</calculatedColumnFormula>
    </tableColumn>
    <tableColumn id="83" xr3:uid="{DA8B59EF-1DF0-43C8-9F96-028DA2B92836}" name="just_skyte" dataDxfId="1961">
      <calculatedColumnFormula>INDEX(outputs_just[skyte_tid],MATCH(outputs_oppsum[[#This Row],[stuff_navn]],outputs_just[Navn],0))</calculatedColumnFormula>
    </tableColumn>
    <tableColumn id="82" xr3:uid="{BF3EBEB2-C35E-48D5-BD6C-5DF5078330AF}" name="just_støy" dataDxfId="1960">
      <calculatedColumnFormula>INDEX(outputs_just[støy_tid],MATCH(outputs_oppsum[[#This Row],[stuff_navn]],outputs_just[Navn],0))</calculatedColumnFormula>
    </tableColumn>
    <tableColumn id="81" xr3:uid="{EBE6323D-6963-4895-AC29-A8C6ED938167}" name="just_ann" dataDxfId="1959">
      <calculatedColumnFormula>INDEX(outputs_just[ann_tid],MATCH(outputs_oppsum[[#This Row],[stuff_navn]],outputs_just[Navn],0))</calculatedColumnFormula>
    </tableColumn>
    <tableColumn id="79" xr3:uid="{E4E8701F-237E-49C2-9CB7-29634C2F47CC}" name="just_total_uke" dataDxfId="1958">
      <calculatedColumnFormula>SUM(outputs_oppsum[[#This Row],[just_geo]:[just_ann]])</calculatedColumnFormula>
    </tableColumn>
    <tableColumn id="71" xr3:uid="{53D7FC73-5294-49D2-A84A-B3A1E5285792}" name="just_total_hr" dataDxfId="1957">
      <calculatedColumnFormula>outputs_oppsum[[#This Row],[just_total_uke]]*$AI$80</calculatedColumnFormula>
    </tableColumn>
    <tableColumn id="59" xr3:uid="{43C8693F-E798-44F6-A183-0F3D06786FE7}" name="forsinket_uke" dataDxfId="1956">
      <calculatedColumnFormula>INDEX(inputs_forsinket[tid_uke],MATCH(outputs_oppsum[[#This Row],[stuff_navn]],inputs_forsinket[name],0))</calculatedColumnFormula>
    </tableColumn>
    <tableColumn id="60" xr3:uid="{EE43E333-32F4-4151-AE6C-AF6D9750B3DA}" name="forsinket_hr" dataDxfId="1955">
      <calculatedColumnFormula>outputs_oppsum[[#This Row],[forsinket_uke]]*$AI$80</calculatedColumnFormula>
    </tableColumn>
    <tableColumn id="61" xr3:uid="{70B5CBFC-7C5B-42B1-9D89-2BFF463C15B5}" name="kon_metod_no" dataDxfId="1954"/>
    <tableColumn id="62" xr3:uid="{4BBBCB3C-B93B-4F35-8D34-C10ECC7CCDFA}" name="kon_metod" dataDxfId="1953">
      <calculatedColumnFormula>IF(RE67=1,_List!$AW$7,IF(RE67=2,_List!$AW$8,""))</calculatedColumnFormula>
    </tableColumn>
    <tableColumn id="117" xr3:uid="{D698AF19-2290-4C84-A200-97B6F231ABB8}" name="stab-foran_sprengning_ratio" dataDxfId="1952"/>
    <tableColumn id="63" xr3:uid="{D594F17E-E613-4F97-AE62-FB04DCB60659}" name="faktor_beregnet" dataDxfId="1951"/>
    <tableColumn id="121" xr3:uid="{02C49257-9365-48C3-9B08-B19A2927EB10}" name="faktor_bruker_definert" dataDxfId="1950"/>
    <tableColumn id="113" xr3:uid="{C5195EA0-1E63-4F3A-9422-3A1F9F9AC870}" name="faktor_user" dataDxfId="1949"/>
    <tableColumn id="114" xr3:uid="{D339E53F-50CD-4154-8025-887F23745F2B}" name="faktor_final" dataDxfId="1948"/>
    <tableColumn id="107" xr3:uid="{0C8887CF-0F76-4FF3-8C69-100DB3270786}" name="ekstra_drivetid_pga_faktor" dataDxfId="1947"/>
    <tableColumn id="116" xr3:uid="{2DF4B8D8-A7BE-4963-BD5D-B3E1BAFEC614}" name="ekstra_framdrift_tid_oppsum_uke" dataDxfId="1946"/>
    <tableColumn id="115" xr3:uid="{4D141FE2-9857-45EC-8F3B-F867DA612D53}" name="ekstra_framdrift_tid_oppsum_hr" dataDxfId="1945"/>
    <tableColumn id="64" xr3:uid="{42A42D84-8154-4420-A6F3-5B1AA8B1AE6D}" name="drivetid_with_faktor" dataDxfId="1944">
      <calculatedColumnFormula>RH67*outputs_oppsum[[#This Row],[oppsum_drivetid_hr]]</calculatedColumnFormula>
    </tableColumn>
    <tableColumn id="118" xr3:uid="{2DB23299-07BD-4DF4-9E99-992A197ECD23}" name="enstuff_prosent_input" dataDxfId="1943"/>
    <tableColumn id="110" xr3:uid="{0F59681C-9940-4775-AC02-EFBB73A79354}" name="enstuff_prosent" dataDxfId="1942"/>
    <tableColumn id="111" xr3:uid="{93D7154F-B27E-4768-B78C-6C52E50F6DDF}" name="veksel_prosent" dataDxfId="1941"/>
    <tableColumn id="112" xr3:uid="{525CD5A4-36DF-47E6-B9DE-7EB84F0F1CDF}" name="Column10" dataDxfId="1940"/>
    <tableColumn id="108" xr3:uid="{5414E12F-4195-4910-AC5E-31BD46B17CBD}" name="Column6" dataDxfId="1939"/>
    <tableColumn id="109" xr3:uid="{A588961D-8985-47E8-BEC4-5C4EE55DD6FD}" name="Column7" dataDxfId="1938"/>
    <tableColumn id="65" xr3:uid="{B87CB96D-CF84-46F6-A48A-DBAD6C46FFDE}" name="Column2" dataDxfId="1937"/>
    <tableColumn id="66" xr3:uid="{CBDCCAE8-DE69-4359-B247-909561B9395B}" name="oppsum_total_hr" dataDxfId="1936">
      <calculatedColumnFormula>outputs_oppsum[[#This Row],[drivetid_with_faktor]]+outputs_oppsum[[#This Row],[total_forbe_hr]]+outputs_oppsum[[#This Row],[extra_for_tverrslag_sum]]+outputs_oppsum[[#This Row],[just_total_hr]]+outputs_oppsum[[#This Row],[forsinket_hr]]</calculatedColumnFormula>
    </tableColumn>
    <tableColumn id="67" xr3:uid="{5047230B-49E8-4CE8-B096-7434208D415D}" name="oppsum_total_uke" dataDxfId="1935">
      <calculatedColumnFormula>outputs_oppsum[[#This Row],[oppsum_total_hr]]/$AI$80</calculatedColumnFormula>
    </tableColumn>
    <tableColumn id="68" xr3:uid="{9DA5AB08-1C55-4CA1-A12E-70ACCF7EF709}" name="Criticalstuff" dataDxfId="1934"/>
    <tableColumn id="69" xr3:uid="{196A089F-3B3B-48DA-83A6-9772CFBB5009}" name="Crit_message" dataDxfId="1933">
      <calculatedColumnFormula>IF(AND(ISNUMBER(outputs_oppsum[[#This Row],[Criticalstuff]]),$BC$34&lt;&gt;1,outputs_oppsum[[#This Row],[Criticalstuff]]&gt;0),"Kritisk stuff!","")</calculatedColumnFormula>
    </tableColumn>
    <tableColumn id="70" xr3:uid="{76E286D4-4107-4E9B-B5A6-7ADB03830A94}" name="Column5" dataDxfId="1932"/>
    <tableColumn id="58" xr3:uid="{2FD10FD2-8BC3-4CC1-85B4-70BCD4F1A451}" name="Column4" dataDxfId="1931"/>
    <tableColumn id="94" xr3:uid="{6BC99176-EEB5-447A-A7E8-A1D6B83B6A23}" name="Column1" dataDxfId="1930"/>
    <tableColumn id="95" xr3:uid="{ED31E097-91DE-4542-9234-D7C6E26B22EE}" name="Column12" dataDxfId="1929"/>
    <tableColumn id="96" xr3:uid="{BE14F02E-B908-414D-9524-93D7FADBA9F9}" name="Column13" dataDxfId="1928"/>
    <tableColumn id="97" xr3:uid="{37A1DE0F-8088-4322-B04F-17E24FB2B623}" name="Column14" dataDxfId="1927"/>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93B9D7-5FB7-4D83-BF96-C246E88FAC90}" name="ModelVersion" displayName="ModelVersion" ref="G5:G9" totalsRowShown="0" headerRowDxfId="11" dataDxfId="10">
  <autoFilter ref="G5:G9" xr:uid="{B121D912-F5F3-4C80-860C-A4EA79B9F9AC}"/>
  <tableColumns count="1">
    <tableColumn id="1" xr3:uid="{8ABD9F60-CA3A-42F0-8C97-2E959D8B6FB1}" name="Model" dataDxfId="9"/>
  </tableColumns>
  <tableStyleInfo name="TableStyleMedium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923DD086-6894-4D37-A2A8-EB651C5C8F52}" name="tunneltype_MB" displayName="tunneltype_MB" ref="CL5:CL8" totalsRowShown="0" headerRowDxfId="8" dataDxfId="7">
  <autoFilter ref="CL5:CL8" xr:uid="{C429709A-007E-4DFB-8C1C-127210427A8F}"/>
  <tableColumns count="1">
    <tableColumn id="1" xr3:uid="{7C7A92A2-2F70-4CF0-A67E-1EF2DDFFDF8C}" name="Type" dataDxfId="6"/>
  </tableColumns>
  <tableStyleInfo name="TableStyleMedium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AB3E077B-9EF1-4315-BE97-536EAD852ED0}" name="Input_metod_MB" displayName="Input_metod_MB" ref="CV5:CV7" totalsRowShown="0" headerRowDxfId="5" dataDxfId="4">
  <autoFilter ref="CV5:CV7" xr:uid="{FDC77666-AA63-4EE3-A000-CB88F5879ECE}"/>
  <tableColumns count="1">
    <tableColumn id="1" xr3:uid="{FC00831E-9E15-428B-89D9-FE0C0D68B72B}" name="Column1" dataDxfId="3"/>
  </tableColumns>
  <tableStyleInfo name="TableStyleMedium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8FA721A-E785-4615-9245-58869467D228}" name="tunneltype_V1" displayName="tunneltype_V1" ref="CM5:CM7" totalsRowShown="0" headerRowDxfId="2" dataDxfId="1">
  <autoFilter ref="CM5:CM7" xr:uid="{C4F19475-18B5-4323-B358-9C3B1757D8DD}"/>
  <tableColumns count="1">
    <tableColumn id="1" xr3:uid="{80ACEDFB-E972-45A3-97A5-E4E963F0BDAD}" name="Type" dataDxfId="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A5398CC-ABA3-479C-8627-0C7DE94590D6}" name="outputs_forbe" displayName="outputs_forbe" ref="GJ66:GR76" totalsRowShown="0" headerRowDxfId="1926" dataDxfId="1924" headerRowBorderDxfId="1925" tableBorderDxfId="1923" totalsRowBorderDxfId="1922">
  <autoFilter ref="GJ66:GR76" xr:uid="{59A08C5C-D4DF-4C42-A2D7-8CBD7E6638C7}"/>
  <tableColumns count="9">
    <tableColumn id="1" xr3:uid="{51CFFD20-0629-4024-BC6D-738E035AF617}" name="Navn" dataDxfId="1921"/>
    <tableColumn id="2" xr3:uid="{675F3980-29F7-4C71-A1F0-2A079406E350}" name="default position" dataDxfId="1920"/>
    <tableColumn id="3" xr3:uid="{A72A6FAD-97D7-4288-95E6-DC4C5686D777}" name="on/off" dataDxfId="1919"/>
    <tableColumn id="4" xr3:uid="{F25312C1-DB43-477D-9DFF-A391FABF7285}" name="Position" dataDxfId="1918">
      <calculatedColumnFormula>GQ35</calculatedColumnFormula>
    </tableColumn>
    <tableColumn id="5" xr3:uid="{9BA78995-BC2A-4E1D-A1E0-6A10F1C7121F}" name="Name" dataDxfId="1917">
      <calculatedColumnFormula>NO67</calculatedColumnFormula>
    </tableColumn>
    <tableColumn id="6" xr3:uid="{8C3074C4-35F4-4155-825D-B599EE04D9F0}" name="Forberedende" dataDxfId="1916">
      <calculatedColumnFormula>IF(GL35=1,INDEX(inputs_forbe[Forberedende],MATCH(GM67,inputs_forbe[Position],0)))</calculatedColumnFormula>
    </tableColumn>
    <tableColumn id="7" xr3:uid="{3DB4D9A9-E0C7-4F13-9E8F-0C0833BF2693}" name="Portaler" dataDxfId="1915">
      <calculatedColumnFormula>IF(GL35=1,INDEX(inputs_forbe[Portaler],MATCH(outputs_forbe[[#This Row],[Position]],inputs_forbe[Position],0)))</calculatedColumnFormula>
    </tableColumn>
    <tableColumn id="8" xr3:uid="{FD18F9EF-9023-4180-ACF6-131052922733}" name="Andrearbeider" dataDxfId="1914">
      <calculatedColumnFormula>IF(GL35=1,INDEX(inputs_forbe[Andrearbeider],MATCH(outputs_forbe[[#This Row],[Position]],inputs_forbe[Position],0)))</calculatedColumnFormula>
    </tableColumn>
    <tableColumn id="9" xr3:uid="{76B10B3F-5001-4A2D-891F-B34427F03A53}" name="total_forbe" dataDxfId="1913">
      <calculatedColumnFormula>IF(GL35=1,SUM(outputs_forbe[[#This Row],[Forberedende]:[Andrearbeider]]),$GK$11)</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430ACE9-8F03-46A4-B698-4C1B3E2F695B}" name="inputs_forbe" displayName="inputs_forbe" ref="GJ18:GR28" totalsRowShown="0" headerRowDxfId="1912" dataDxfId="1910" headerRowBorderDxfId="1911" tableBorderDxfId="1909" totalsRowBorderDxfId="1908">
  <autoFilter ref="GJ18:GR28" xr:uid="{1AF02E23-6AF4-443B-A9D6-AC616061F2DB}"/>
  <tableColumns count="9">
    <tableColumn id="1" xr3:uid="{0F7DD75B-B8AF-48B7-9E85-959769A29B48}" name="Position" dataDxfId="1907"/>
    <tableColumn id="2" xr3:uid="{AED378DB-10E8-4579-8A6D-B5926BAC0F0E}" name="Forberedende" dataDxfId="1906"/>
    <tableColumn id="3" xr3:uid="{C774922F-63B3-4B45-9B1D-F15BD7839624}" name="Portaler" dataDxfId="1905"/>
    <tableColumn id="4" xr3:uid="{93111F32-5965-45D3-BF5F-CA23923867CD}" name="Andrearbeider" dataDxfId="1904"/>
    <tableColumn id="5" xr3:uid="{E0F29F3D-975A-4F1C-ACE9-0AB5AE0D8065}" name="blank_for" dataDxfId="1903"/>
    <tableColumn id="6" xr3:uid="{03BC2320-74D5-4A29-B49B-36C3DCFB22F1}" name="blank_forsk" dataDxfId="1902"/>
    <tableColumn id="7" xr3:uid="{563FFAC0-74D4-451B-8BEF-C201F51BC9A7}" name="blank_andre" dataDxfId="1901"/>
    <tableColumn id="8" xr3:uid="{75C363FA-7AF6-4F12-952C-79CBFB6387B9}" name="total_forbe" dataDxfId="1900">
      <calculatedColumnFormula>inputs_forbe[[#This Row],[Forberedende]]+inputs_forbe[[#This Row],[Portaler]]+inputs_forbe[[#This Row],[Andrearbeider]]</calculatedColumnFormula>
    </tableColumn>
    <tableColumn id="9" xr3:uid="{0EFFB1AC-7717-4D97-A605-154D13B13266}" name="Column5" dataDxfId="189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8CD625B-3347-40C1-8841-9839A83DBBA1}" name="outputs_position" displayName="outputs_position" ref="NN115:NW123" totalsRowShown="0" headerRowDxfId="1898" dataDxfId="1896" headerRowBorderDxfId="1897" tableBorderDxfId="1895" totalsRowBorderDxfId="1894">
  <autoFilter ref="NN115:NW123" xr:uid="{DFAF9F87-0249-465C-83FD-BE01A292FDFB}"/>
  <tableColumns count="10">
    <tableColumn id="1" xr3:uid="{3DEB4BE6-8B41-47C5-BE73-7486A1E557CC}" name="lopstuff" dataDxfId="1893"/>
    <tableColumn id="2" xr3:uid="{FA263C9E-2170-4AEA-914A-547E5994B5C4}" name="11" dataDxfId="1892"/>
    <tableColumn id="3" xr3:uid="{BE4357EC-2C61-4370-A767-2E1CE92DE2E4}" name="12" dataDxfId="1891"/>
    <tableColumn id="4" xr3:uid="{D4F4A6B4-84F8-40AB-8C30-876E57B84658}" name="13" dataDxfId="1890"/>
    <tableColumn id="5" xr3:uid="{86877873-6A73-492B-86C9-E3FE610BA543}" name="14" dataDxfId="1889"/>
    <tableColumn id="6" xr3:uid="{EA0AFFB7-5C21-410D-BE1E-6678C87E593A}" name="21" dataDxfId="1888"/>
    <tableColumn id="7" xr3:uid="{C3F630AC-B043-4B18-8677-2A3EDCC98638}" name="22" dataDxfId="1887"/>
    <tableColumn id="8" xr3:uid="{682782D5-37A8-4C69-9836-0C36AE39A524}" name="23" dataDxfId="1886"/>
    <tableColumn id="9" xr3:uid="{4FA3AA7D-19D5-4BB8-88C7-2FF50EDAFA53}" name="24" dataDxfId="1885"/>
    <tableColumn id="10" xr3:uid="{DD6EBADC-DCC7-4174-9A2F-174DB75C1209}" name="Tverrslag" dataDxfId="1884">
      <calculatedColumnFormula>IF($BC$36=1,(MAX(NO116:NV116))+1,0)</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76C7022-CB11-4726-B248-869DB4CC1D63}" name="inputs_checks" displayName="inputs_checks" ref="NM175:PN184" totalsRowShown="0" headerRowDxfId="1883" dataDxfId="1881" headerRowBorderDxfId="1882" tableBorderDxfId="1880" totalsRowBorderDxfId="1879">
  <autoFilter ref="NM175:PN184" xr:uid="{24E01DC6-B3E6-466E-A9F0-7EFCDD3684A6}"/>
  <tableColumns count="54">
    <tableColumn id="1" xr3:uid="{66B06076-8206-4CCF-A27C-A02D43849CC5}" name="position" dataDxfId="1878"/>
    <tableColumn id="2" xr3:uid="{BC26745C-A4D3-441A-A0B9-996AA177EC1D}" name="position_inn" dataDxfId="1877"/>
    <tableColumn id="3" xr3:uid="{E8E2C8F1-9809-4E63-B9AF-3A93D5E13CF7}" name="Forberedende arbeider" dataDxfId="1876">
      <calculatedColumnFormula>GL50</calculatedColumnFormula>
    </tableColumn>
    <tableColumn id="4" xr3:uid="{F5E9F096-638B-4146-A2AF-965010A1CD3A}" name="Forskjæring" dataDxfId="1875">
      <calculatedColumnFormula>IF($GN$13=TRUE,1,GM50)</calculatedColumnFormula>
    </tableColumn>
    <tableColumn id="5" xr3:uid="{49B2BC42-9D18-4B0C-9513-7966BD14FC47}" name="Andre arbeider" dataDxfId="1874"/>
    <tableColumn id="6" xr3:uid="{E7A1FCC2-5C28-4982-AFBB-DD511355B8D0}" name="oppsum_forbe" dataDxfId="1873">
      <calculatedColumnFormula>IF($GN$12=2,0,COUNTIF(inputs_checks[[#This Row],[Forberedende arbeider]:[Forskjæring]],1))</calculatedColumnFormula>
    </tableColumn>
    <tableColumn id="7" xr3:uid="{930F80D9-9D0A-4C97-80B7-9F3E8FEE99CA}" name="Teoretisk volum per hele løp" dataDxfId="1872"/>
    <tableColumn id="8" xr3:uid="{0AB611E0-1A24-4125-B3E0-1BCA4A6C6238}" name="Normal salve volum" dataDxfId="1871"/>
    <tableColumn id="9" xr3:uid="{1CC7ABEE-C571-4589-BE6A-D6D90CD2D9E2}" name="Redusert salvelengde" dataDxfId="1870"/>
    <tableColumn id="10" xr3:uid="{03592EFF-8789-4800-8CE5-FC785DD595EB}" name="Todelt tverrsnitt" dataDxfId="1869"/>
    <tableColumn id="11" xr3:uid="{24DC07B7-E27C-43F9-9B4B-EA6E43C49A1D}" name="Redusert salvelengde_x000a_og todelt tverrsnitt" dataDxfId="1868"/>
    <tableColumn id="54" xr3:uid="{22614252-E3FD-4E58-BE3F-95CF682F7A78}" name="grøfter" dataDxfId="1867"/>
    <tableColumn id="12" xr3:uid="{AA476705-0718-4A8F-8730-EC4A1544DCDD}" name="Nisjer" dataDxfId="1866"/>
    <tableColumn id="13" xr3:uid="{5A2D51BC-B70D-4B5E-A0D2-610BAF9857A4}" name="Snunisjer" dataDxfId="1865"/>
    <tableColumn id="14" xr3:uid="{F5385F29-996D-438E-97A9-7D63699FDFCD}" name="Tverrforbindelser" dataDxfId="1864"/>
    <tableColumn id="15" xr3:uid="{007C01DB-6BA4-4C8E-A3EE-8C78C817F9F3}" name="Tekniske rom" dataDxfId="1863"/>
    <tableColumn id="16" xr3:uid="{B65275F4-FFA8-48F2-993B-DFDE417EAC90}" name="Siktutvidelse" dataDxfId="1862"/>
    <tableColumn id="17" xr3:uid="{C9D8935F-2EA9-4AE8-B9CE-4EC06D50A75F}" name="Utvidelse for tung sikring" dataDxfId="1861"/>
    <tableColumn id="18" xr3:uid="{1AF46F9E-DE0A-4362-857D-1CDEA8E0E586}" name="Pumpesump" dataDxfId="1860"/>
    <tableColumn id="19" xr3:uid="{12C138DE-6CD1-479D-BE07-890B126D84E7}" name="Annet" dataDxfId="1859"/>
    <tableColumn id="20" xr3:uid="{8D650BC9-1331-4AF1-9EC4-E05971F2DBE8}" name="oppsum_løp" dataDxfId="1858">
      <calculatedColumnFormula>COUNTIF(inputs_checks[[#This Row],[Normal salve volum]:[Redusert salvelengde
og todelt tverrsnitt]],0)</calculatedColumnFormula>
    </tableColumn>
    <tableColumn id="21" xr3:uid="{AE3C3801-0A9C-4089-966A-9A77B413483B}" name="oppsum_nisj" dataDxfId="1857">
      <calculatedColumnFormula>COUNTIF(inputs_checks[[#This Row],[grøfter]:[Pumpesump]],0)</calculatedColumnFormula>
    </tableColumn>
    <tableColumn id="22" xr3:uid="{A554E8A1-B5D3-4AD1-BCA2-87188C867979}" name="Sonderboring" dataDxfId="1856"/>
    <tableColumn id="23" xr3:uid="{EFE8BE40-6F60-4B96-9785-FBB714AD45CF}" name="Kjerneboring" dataDxfId="1855"/>
    <tableColumn id="24" xr3:uid="{46C3F59D-F207-4546-A512-38DE16F27A91}" name="Seismikk" dataDxfId="1854"/>
    <tableColumn id="25" xr3:uid="{498130C9-9C41-4995-AA90-A807FBD8EF4D}" name="sp_Rigg" dataDxfId="1853"/>
    <tableColumn id="26" xr3:uid="{9EDB43B1-2075-4E02-B114-7E5B6AFE33F8}" name="sp_Boring" dataDxfId="1852"/>
    <tableColumn id="27" xr3:uid="{60AC0507-0518-4BC4-917C-25523118B820}" name="Sp_Injeksjon" dataDxfId="1851"/>
    <tableColumn id="28" xr3:uid="{06151F8A-4063-4E30-A414-AAD0BAF33300}" name="sp_Kontrollhull" dataDxfId="1850"/>
    <tableColumn id="29" xr3:uid="{8EE3C007-9B22-4D19-8855-67B19E50F33A}" name="sy_Rigg" dataDxfId="1849"/>
    <tableColumn id="30" xr3:uid="{E9ADAD54-02AE-48D9-878A-F3F6A267D115}" name="sy_Boring" dataDxfId="1848"/>
    <tableColumn id="31" xr3:uid="{472CD6F2-0B8B-4D4C-BC9B-FDD642C274EE}" name="sy_Injeksjon" dataDxfId="1847"/>
    <tableColumn id="32" xr3:uid="{3237FDC3-E032-4266-B3F3-179F39FEA53F}" name="sy_Kontrollhull" dataDxfId="1846"/>
    <tableColumn id="33" xr3:uid="{FE47D71D-15E0-4059-9697-F5ECB4A8FA04}" name="oppsum_sonder" dataDxfId="1845">
      <calculatedColumnFormula>COUNTIF(OI176:OK176,0)</calculatedColumnFormula>
    </tableColumn>
    <tableColumn id="34" xr3:uid="{74B92FED-14A8-4996-BD47-008F963F7105}" name="oppsum_inj" dataDxfId="1844">
      <calculatedColumnFormula>COUNTIF(OL176:OS176,0)</calculatedColumnFormula>
    </tableColumn>
    <tableColumn id="35" xr3:uid="{0DE63EB4-4BA2-4439-ACDE-6C1754EBFD32}" name="manuell" dataDxfId="1843"/>
    <tableColumn id="50" xr3:uid="{E8D727CF-8C82-453A-A4D5-986683972230}" name="kartlegging" dataDxfId="1842"/>
    <tableColumn id="36" xr3:uid="{F18CE127-3114-450E-A2A9-BA12409FE490}" name="lt4m" dataDxfId="1841"/>
    <tableColumn id="37" xr3:uid="{CE35369C-5481-4E07-ADDC-20167A9F552B}" name="gt4m" dataDxfId="1840"/>
    <tableColumn id="38" xr3:uid="{8A3CE11D-FA18-4625-B1FE-537C1BECC8FC}" name="bånd" dataDxfId="1839"/>
    <tableColumn id="39" xr3:uid="{6163152A-8152-4C8C-9DE6-35E9AE3F21E3}" name="nett" dataDxfId="1838"/>
    <tableColumn id="53" xr3:uid="{4AAB2511-2663-4479-A4E1-42AF3B1D1A4C}" name="festebolter" dataDxfId="1837"/>
    <tableColumn id="40" xr3:uid="{C7FB88B2-A9D3-4E67-9410-F098E103F8B0}" name="shotcrete" dataDxfId="1836"/>
    <tableColumn id="41" xr3:uid="{73783792-596C-4A9B-8D55-66087C9EAD19}" name="buer" dataDxfId="1835"/>
    <tableColumn id="42" xr3:uid="{2154A954-EA2F-4CA9-A3EA-4EB9D884015B}" name="sik123" dataDxfId="1834"/>
    <tableColumn id="43" xr3:uid="{C0DDF309-4377-4011-BC3E-26F21C9DF7C2}" name="sik4" dataDxfId="1833">
      <calculatedColumnFormula>inputs_checks[[#This Row],[sik123]]</calculatedColumnFormula>
    </tableColumn>
    <tableColumn id="44" xr3:uid="{42E66DEE-1126-4298-AB89-DD0F77F4AD16}" name="oppsum_manuell" dataDxfId="1832">
      <calculatedColumnFormula>COUNTIF(inputs_checks[[#This Row],[kartlegging]],0)+COUNTIF(inputs_checks[[#This Row],[manuell]],0)</calculatedColumnFormula>
    </tableColumn>
    <tableColumn id="45" xr3:uid="{371E6187-4B17-4015-87FA-DA94FD8878F8}" name="oppsum_bolter" dataDxfId="1831">
      <calculatedColumnFormula>COUNTIF(OX176:OY176,0)</calculatedColumnFormula>
    </tableColumn>
    <tableColumn id="46" xr3:uid="{92B31B81-336A-469F-B6F2-25E6DB2728E0}" name="oppsum_bånd" dataDxfId="1830">
      <calculatedColumnFormula>COUNTIF(OZ176:PB176,0)</calculatedColumnFormula>
    </tableColumn>
    <tableColumn id="47" xr3:uid="{60E60467-CA01-4DB2-BA42-16AF38C016A4}" name="oppsum_shot" dataDxfId="1829">
      <calculatedColumnFormula>COUNTIF(PC176,0)</calculatedColumnFormula>
    </tableColumn>
    <tableColumn id="48" xr3:uid="{28B5983B-2F9F-47FA-B9A2-5BFD34FC94D6}" name="oppsum_buer" dataDxfId="1828">
      <calculatedColumnFormula>COUNTIF(PD176,0)</calculatedColumnFormula>
    </tableColumn>
    <tableColumn id="49" xr3:uid="{960946F7-930D-457B-B3AC-6E0D6524BCF5}" name="oppsum_sik" dataDxfId="1827">
      <calculatedColumnFormula>COUNTIF(PE176:PF176,0)</calculatedColumnFormula>
    </tableColumn>
    <tableColumn id="51" xr3:uid="{7AF6FDA6-4BA2-49CD-84D7-55A941FF34B1}" name="Column1" dataDxfId="1826"/>
    <tableColumn id="52" xr3:uid="{6F7485B1-197F-439C-918E-71C1BD41BCC8}" name="Column2" dataDxfId="1825"/>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570C1FD-0C6C-4322-A782-9888B651C769}" name="oppsum_checks" displayName="oppsum_checks" ref="NN138:NT147" totalsRowShown="0" headerRowDxfId="1824" dataDxfId="1823" tableBorderDxfId="1822">
  <autoFilter ref="NN138:NT147" xr:uid="{E87F2583-DFE6-4A1B-85BE-0E3FAE840518}"/>
  <tableColumns count="7">
    <tableColumn id="1" xr3:uid="{77860672-B0AB-42AA-99AA-1943EEEE2FF4}" name="Navn" dataDxfId="1821"/>
    <tableColumn id="2" xr3:uid="{156C5EBF-694E-477A-8641-E7264AB59A83}" name="default position" dataDxfId="1820"/>
    <tableColumn id="3" xr3:uid="{66C14374-6D58-496D-8461-16FEC306F39A}" name="on/off" dataDxfId="1819"/>
    <tableColumn id="4" xr3:uid="{ABC7D27D-C860-408A-8292-62F9261D3ADC}" name="Position" dataDxfId="1818"/>
    <tableColumn id="5" xr3:uid="{2DCC2F43-4D04-4AE7-8686-9CC2A6947830}" name="oppsum_forbe" dataDxfId="1817">
      <calculatedColumnFormula>INDEX(inputs_checks[oppsum_forbe],MATCH($NQ139,inputs_checks[position],0))</calculatedColumnFormula>
    </tableColumn>
    <tableColumn id="6" xr3:uid="{4130EB12-5B80-4770-AC9F-B047B70FAA10}" name="forbe_port" dataDxfId="1816">
      <calculatedColumnFormula>INDEX(inputs_checks[Forberedende arbeider],MATCH($NQ139,inputs_checks[position],0))</calculatedColumnFormula>
    </tableColumn>
    <tableColumn id="7" xr3:uid="{621A0D16-4A12-438D-8CC5-C9A63D8E9A7A}" name="forbe_total" dataDxfId="1815">
      <calculatedColumnFormula>IFERROR(INDEX(inputs_checks[Andre arbeider],MATCH($NQ139,inputs_checks[position],0)),0)</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847DD9E-0931-46ED-9FCD-67DAD7C50983}" name="outputs_checks" displayName="outputs_checks" ref="NK205:PV232" totalsRowShown="0" headerRowDxfId="1814" dataDxfId="1812" headerRowBorderDxfId="1813" tableBorderDxfId="1811" totalsRowBorderDxfId="1810">
  <autoFilter ref="NK205:PV232" xr:uid="{29172D9B-88F0-4F43-A96D-AB59B3240B33}"/>
  <tableColumns count="64">
    <tableColumn id="1" xr3:uid="{AB57B4EA-E2EF-4E54-948F-570AA9CE3AB1}" name="Navn" dataDxfId="1809"/>
    <tableColumn id="2" xr3:uid="{9789591B-30D7-4697-8A38-69956C1B1093}" name="stuff_id" dataDxfId="1808"/>
    <tableColumn id="3" xr3:uid="{39C3CAD2-48AC-467A-99CC-C8380BAE08AC}" name="position_input" dataDxfId="1807">
      <calculatedColumnFormula>IF(outputs_checks[[#This Row],[Position]]&lt;&gt;0,VALUE(outputs_checks[[#This Row],[Position]]&amp;$BC$38),0)</calculatedColumnFormula>
    </tableColumn>
    <tableColumn id="4" xr3:uid="{E83298B2-72E1-44F5-A39C-8128AEC9CEA8}" name="Position" dataDxfId="1806"/>
    <tableColumn id="58" xr3:uid="{2BF1BA2C-4B97-4F85-92F2-9D4CB35741BF}" name="prosjekt_forbe" dataDxfId="1805"/>
    <tableColumn id="5" xr3:uid="{DD5EF310-8D25-4D24-BF8F-3FE57B8542D3}" name="Forberedende arbeider byggetid" dataDxfId="1804">
      <calculatedColumnFormula>INDEX(inputs_checks[Forberedende arbeider],MATCH($NN206,inputs_checks[position],0))</calculatedColumnFormula>
    </tableColumn>
    <tableColumn id="6" xr3:uid="{C0A979BC-7EF4-46A1-9DD7-E08237E53E8E}" name="Portaler" dataDxfId="1803">
      <calculatedColumnFormula>INDEX(inputs_checks[Forskjæring],MATCH($NN206,inputs_checks[position],0))</calculatedColumnFormula>
    </tableColumn>
    <tableColumn id="7" xr3:uid="{0D9517A9-96DF-4FF3-BD7E-DD1901B434F7}" name="Andre arbeider" dataDxfId="1802">
      <calculatedColumnFormula>INDEX(inputs_checks[Andre arbeider],MATCH($NN206,inputs_checks[position],0))</calculatedColumnFormula>
    </tableColumn>
    <tableColumn id="8" xr3:uid="{EA93E5F2-FA63-4D65-AA69-D953CFBE1138}" name="oppsum_forbe" dataDxfId="1801">
      <calculatedColumnFormula>INDEX(inputs_checks[oppsum_forbe],MATCH($NN206,inputs_checks[position],0))</calculatedColumnFormula>
    </tableColumn>
    <tableColumn id="9" xr3:uid="{1B19632D-EB97-46D3-B5F1-9572CA2B898A}" name="Teoretisk volum per hele løp" dataDxfId="1800"/>
    <tableColumn id="10" xr3:uid="{1E165650-E317-4F82-96B3-FF63142DC582}" name="Normal salve volum" dataDxfId="1799"/>
    <tableColumn id="11" xr3:uid="{403E0C8E-62F6-414B-85F5-A3ECC1039BA0}" name="Redusert salvelengde" dataDxfId="1798"/>
    <tableColumn id="12" xr3:uid="{E810130E-1F5D-4E3D-B204-93BFA8C36222}" name="Todelt tverrsnitt" dataDxfId="1797"/>
    <tableColumn id="13" xr3:uid="{03DF44A2-CB11-430F-AA05-2D0BB2910D3E}" name="Redusert salvelengde_x000a_og todelt tverrsnitt" dataDxfId="1796"/>
    <tableColumn id="65" xr3:uid="{3B0CB9A4-90C4-4382-A965-AFBC90219A12}" name="grøfter" dataDxfId="1795"/>
    <tableColumn id="14" xr3:uid="{43134283-C27A-4424-B949-C11696DEF299}" name="Nisjer" dataDxfId="1794">
      <calculatedColumnFormula>INDEX(inputs_checks[Nisjer],MATCH($NM206,inputs_checks[position],0))</calculatedColumnFormula>
    </tableColumn>
    <tableColumn id="15" xr3:uid="{8AB27CEE-3738-4AFF-BF5B-E3A7F20B1DEF}" name="Snunisjer" dataDxfId="1793">
      <calculatedColumnFormula>INDEX(inputs_checks[Snunisjer],MATCH($NM206,inputs_checks[position],0))</calculatedColumnFormula>
    </tableColumn>
    <tableColumn id="16" xr3:uid="{85F534FA-8750-4A83-BBDB-D3CA7E07E1ED}" name="Tverrforbindelser" dataDxfId="1792">
      <calculatedColumnFormula>INDEX(inputs_checks[Tverrforbindelser],MATCH($NM206,inputs_checks[position],0))</calculatedColumnFormula>
    </tableColumn>
    <tableColumn id="17" xr3:uid="{18CCC294-D71F-4DE9-9F79-3BD0DA9C6A82}" name="Tekniske rom" dataDxfId="1791">
      <calculatedColumnFormula>INDEX(inputs_checks[Tekniske rom],MATCH($NM206,inputs_checks[position],0))</calculatedColumnFormula>
    </tableColumn>
    <tableColumn id="18" xr3:uid="{A5758093-D4C1-4DD5-A7C6-EEB161F5FC1A}" name="Siktutvidelse" dataDxfId="1790">
      <calculatedColumnFormula>INDEX(inputs_checks[Siktutvidelse],MATCH($NM206,inputs_checks[position],0))</calculatedColumnFormula>
    </tableColumn>
    <tableColumn id="19" xr3:uid="{3CED2020-F7B9-4CFE-854D-ACDDEE530FBD}" name="Utvidelse for tung sikring" dataDxfId="1789">
      <calculatedColumnFormula>INDEX(inputs_checks[Utvidelse for tung sikring],MATCH($NM206,inputs_checks[position],0))</calculatedColumnFormula>
    </tableColumn>
    <tableColumn id="20" xr3:uid="{AA3B8454-3642-4E82-AAF5-9EA5A80D0975}" name="Pumpesump" dataDxfId="1788">
      <calculatedColumnFormula>INDEX(inputs_checks[Pumpesump],MATCH($NM206,inputs_checks[position],0))</calculatedColumnFormula>
    </tableColumn>
    <tableColumn id="21" xr3:uid="{314110D9-7A08-48A2-91D9-B3F9A5E45376}" name="Annet" dataDxfId="1787">
      <calculatedColumnFormula>INDEX(inputs_checks[Annet],MATCH($NM206,inputs_checks[position],0))</calculatedColumnFormula>
    </tableColumn>
    <tableColumn id="22" xr3:uid="{5CD3D807-2A75-415D-9DD7-0590338C33A8}" name="oppsum_løp" dataDxfId="1786">
      <calculatedColumnFormula>INDEX(inputs_checks[oppsum_løp],MATCH($NM206,inputs_checks[position],0))</calculatedColumnFormula>
    </tableColumn>
    <tableColumn id="23" xr3:uid="{40BE278C-AD90-4318-A728-27A522771753}" name="oppsum_nisj" dataDxfId="1785">
      <calculatedColumnFormula>INDEX(inputs_checks[oppsum_nisj],MATCH($NM206,inputs_checks[position],0))</calculatedColumnFormula>
    </tableColumn>
    <tableColumn id="54" xr3:uid="{AFFA1352-5AD2-495D-A749-0AB14CC41A6B}" name="oppsum_sprengning_total" dataDxfId="1784">
      <calculatedColumnFormula>outputs_checks[[#This Row],[oppsum_løp]]+outputs_checks[[#This Row],[oppsum_nisj]]</calculatedColumnFormula>
    </tableColumn>
    <tableColumn id="24" xr3:uid="{5808D75F-B4F4-444D-8A7E-1ED24231FB57}" name="Sonderboring" dataDxfId="1783">
      <calculatedColumnFormula>INDEX(inputs_checks[Sonderboring],MATCH($NM206,inputs_checks[position],0))</calculatedColumnFormula>
    </tableColumn>
    <tableColumn id="25" xr3:uid="{504FB08F-D008-4F0C-9E39-529600148C0C}" name="Kjerneboring" dataDxfId="1782">
      <calculatedColumnFormula>INDEX(inputs_checks[Kjerneboring],MATCH($NM206,inputs_checks[position],0))</calculatedColumnFormula>
    </tableColumn>
    <tableColumn id="26" xr3:uid="{ABD51941-5C43-449D-89A6-9408D7E62AF4}" name="Seismikk" dataDxfId="1781">
      <calculatedColumnFormula>INDEX(inputs_checks[Seismikk],MATCH($NM206,inputs_checks[position],0))</calculatedColumnFormula>
    </tableColumn>
    <tableColumn id="27" xr3:uid="{77A5B23A-B902-4598-9808-9B4C7468042E}" name="sp_Rigg" dataDxfId="1780">
      <calculatedColumnFormula>INDEX(tickcheck_foran[sp_Rigg],MATCH(outputs_checks[[#This Row],[Position]],tickcheck_foran[position],0))</calculatedColumnFormula>
    </tableColumn>
    <tableColumn id="28" xr3:uid="{01D3CBF2-068D-43D7-AD99-BE76F98BD717}" name="sp_Boring" dataDxfId="1779">
      <calculatedColumnFormula>INDEX(tickcheck_foran[sp_Boring],MATCH(outputs_checks[[#This Row],[Position]],tickcheck_foran[position],0))</calculatedColumnFormula>
    </tableColumn>
    <tableColumn id="29" xr3:uid="{4C966B20-C5F4-405F-A1E2-52593D604436}" name="Sp_Injeksjon" dataDxfId="1778">
      <calculatedColumnFormula>INDEX(tickcheck_foran[Sp_Injeksjon],MATCH(outputs_checks[[#This Row],[Position]],tickcheck_foran[position],0))</calculatedColumnFormula>
    </tableColumn>
    <tableColumn id="30" xr3:uid="{A919152E-B7B1-4DBF-8446-602E139C52A0}" name="sp_Kontrollhull" dataDxfId="1777"/>
    <tableColumn id="31" xr3:uid="{3543D669-5344-43CB-B6B7-B4FC4EF7A30E}" name="sy_Rigg" dataDxfId="1776">
      <calculatedColumnFormula>INDEX(tickcheck_foran[sy_Rigg],MATCH(outputs_checks[[#This Row],[Position]],tickcheck_foran[position],0))</calculatedColumnFormula>
    </tableColumn>
    <tableColumn id="32" xr3:uid="{BCCF46A8-5D41-4601-BDD3-A9EE72CFC307}" name="sy_Boring" dataDxfId="1775">
      <calculatedColumnFormula>INDEX(tickcheck_foran[sy_Boring],MATCH(outputs_checks[[#This Row],[Position]],tickcheck_foran[position],0))</calculatedColumnFormula>
    </tableColumn>
    <tableColumn id="33" xr3:uid="{D5D659E8-4830-428E-BB81-27ABBA291E89}" name="sy_Injeksjon" dataDxfId="1774">
      <calculatedColumnFormula>INDEX(tickcheck_foran[sy_Injeksjon],MATCH(outputs_checks[[#This Row],[Position]],tickcheck_foran[position],0))</calculatedColumnFormula>
    </tableColumn>
    <tableColumn id="34" xr3:uid="{EB2BAB22-E2DE-4642-A4D4-7C825D276402}" name="sy_Kontrollhull" dataDxfId="1773"/>
    <tableColumn id="35" xr3:uid="{7E81C7E6-36A7-4DF6-AB7A-BA8220C16C32}" name="oppsum_sonder" dataDxfId="1772">
      <calculatedColumnFormula>COUNTIF(outputs_checks[[#This Row],[Sonderboring]:[Seismikk]],0)</calculatedColumnFormula>
    </tableColumn>
    <tableColumn id="36" xr3:uid="{CFFD29B8-6D04-4229-A1EA-0A77548568E7}" name="oppsum_inj" dataDxfId="1771">
      <calculatedColumnFormula>COUNTIF(outputs_checks[[#This Row],[sp_Rigg]:[sy_Kontrollhull]],0)</calculatedColumnFormula>
    </tableColumn>
    <tableColumn id="55" xr3:uid="{E492C4DF-C5E7-45F1-9D8C-A040B03496AB}" name="oppsum_foran_total" dataDxfId="1770">
      <calculatedColumnFormula>outputs_checks[[#This Row],[oppsum_sonder]]+outputs_checks[[#This Row],[oppsum_inj]]</calculatedColumnFormula>
    </tableColumn>
    <tableColumn id="37" xr3:uid="{986D2204-9002-4820-9F52-399FBD34DE7B}" name="manuell" dataDxfId="1769">
      <calculatedColumnFormula>INDEX(inputs_checks[manuell],MATCH($NM206,inputs_checks[position],0))</calculatedColumnFormula>
    </tableColumn>
    <tableColumn id="59" xr3:uid="{938342F2-1249-4A68-B348-F7148FB054B6}" name="kartlegging" dataDxfId="1768"/>
    <tableColumn id="38" xr3:uid="{7A1EA156-6BA0-44DE-A568-6703883D927A}" name="lt4m" dataDxfId="1767">
      <calculatedColumnFormula>INDEX(inputs_checks[lt4m],MATCH($NM206,inputs_checks[position],0))</calculatedColumnFormula>
    </tableColumn>
    <tableColumn id="39" xr3:uid="{AB6F32A1-6B6F-4D0B-9787-22E7D1D9DECD}" name="gt4m" dataDxfId="1766">
      <calculatedColumnFormula>INDEX(inputs_checks[gt4m],MATCH($NM206,inputs_checks[position],0))</calculatedColumnFormula>
    </tableColumn>
    <tableColumn id="40" xr3:uid="{EF7C7580-D6D6-413B-8466-3BCC62135242}" name="bånd" dataDxfId="1765">
      <calculatedColumnFormula>INDEX(inputs_checks[bånd],MATCH($NM206,inputs_checks[position],0))</calculatedColumnFormula>
    </tableColumn>
    <tableColumn id="41" xr3:uid="{1A69ADE8-B9CE-48FF-8F28-0E587C4F6760}" name="nett" dataDxfId="1764">
      <calculatedColumnFormula>INDEX(inputs_checks[nett],MATCH($NM206,inputs_checks[position],0))</calculatedColumnFormula>
    </tableColumn>
    <tableColumn id="64" xr3:uid="{35493A1A-09FB-4481-8832-0BE354EC6B77}" name="festebolter" dataDxfId="1763"/>
    <tableColumn id="42" xr3:uid="{551DB53E-3096-4414-84EE-C5806E7B9918}" name="shotcrete" dataDxfId="1762">
      <calculatedColumnFormula>INDEX(inputs_checks[shotcrete],MATCH($NM206,inputs_checks[position],0))</calculatedColumnFormula>
    </tableColumn>
    <tableColumn id="43" xr3:uid="{8F9AE6B0-5297-4D00-8DE9-4CCE133209F7}" name="buer" dataDxfId="1761">
      <calculatedColumnFormula>INDEX(inputs_checks[buer],MATCH($NM206,inputs_checks[position],0))</calculatedColumnFormula>
    </tableColumn>
    <tableColumn id="44" xr3:uid="{DCDC7F42-96ED-4D77-9B6E-7B4B47758DBB}" name="sik123" dataDxfId="1760">
      <calculatedColumnFormula>INDEX(inputs_checks[sik123],MATCH($NM206,inputs_checks[position],0))</calculatedColumnFormula>
    </tableColumn>
    <tableColumn id="45" xr3:uid="{897BAB82-999E-44BB-8544-9C0183CE14B7}" name="sik4" dataDxfId="1759">
      <calculatedColumnFormula>INDEX(inputs_checks[sik4],MATCH($NM206,inputs_checks[position],0))</calculatedColumnFormula>
    </tableColumn>
    <tableColumn id="46" xr3:uid="{9DEFA355-DC34-45F2-A73D-995F65E06956}" name="oppsum_manuell" dataDxfId="1758">
      <calculatedColumnFormula>INDEX(inputs_checks[oppsum_manuell],MATCH($NM206,inputs_checks[position],0))</calculatedColumnFormula>
    </tableColumn>
    <tableColumn id="47" xr3:uid="{8356DF1C-29BE-4269-8326-9A0001C29645}" name="oppsum_bolter" dataDxfId="1757">
      <calculatedColumnFormula>INDEX(inputs_checks[oppsum_bolter],MATCH($NM206,inputs_checks[position],0))</calculatedColumnFormula>
    </tableColumn>
    <tableColumn id="48" xr3:uid="{A9AAF06A-909B-425D-B504-68C277574938}" name="oppsum_bånd" dataDxfId="1756">
      <calculatedColumnFormula>INDEX(inputs_checks[oppsum_bånd],MATCH($NM206,inputs_checks[position],0))</calculatedColumnFormula>
    </tableColumn>
    <tableColumn id="49" xr3:uid="{393725D9-C03D-4FA5-A08B-E800B4B65BE2}" name="oppsum_shot" dataDxfId="1755">
      <calculatedColumnFormula>INDEX(inputs_checks[oppsum_shot],MATCH($NM206,inputs_checks[position],0))</calculatedColumnFormula>
    </tableColumn>
    <tableColumn id="50" xr3:uid="{49F75D20-2B92-4FB5-8469-94B9AFB34E43}" name="oppsum_buer" dataDxfId="1754">
      <calculatedColumnFormula>INDEX(inputs_checks[oppsum_buer],MATCH($NM206,inputs_checks[position],0))</calculatedColumnFormula>
    </tableColumn>
    <tableColumn id="51" xr3:uid="{253B5055-4F24-447A-B266-3CBD2FF5D6A8}" name="oppsum_sik" dataDxfId="1753">
      <calculatedColumnFormula>COUNTIF(outputs_checks[[#This Row],[sik123]:[sik4]],0)</calculatedColumnFormula>
    </tableColumn>
    <tableColumn id="56" xr3:uid="{7EFAD497-32DF-4B19-AD11-D72D68BC0F55}" name="oppsum_stab_total" dataDxfId="1752">
      <calculatedColumnFormula>SUM(outputs_checks[[#This Row],[oppsum_manuell]:[oppsum_sik]])</calculatedColumnFormula>
    </tableColumn>
    <tableColumn id="52" xr3:uid="{0AEF2F4A-9934-45DF-8D84-220759BDE74A}" name="oppsum_drive" dataDxfId="1751">
      <calculatedColumnFormula>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calculatedColumnFormula>
    </tableColumn>
    <tableColumn id="53" xr3:uid="{68152D67-EEC6-46B4-A053-B27A1F9AEB1E}" name="hoved_metode_tick" dataDxfId="1750"/>
    <tableColumn id="61" xr3:uid="{0183AB53-0FB1-4833-A49A-D5C8A3F2BEF4}" name="enstuff_metode_tick" dataDxfId="1749"/>
    <tableColumn id="60" xr3:uid="{1EA35A01-12CC-4B5C-A026-04383147EB57}" name="veksel_metode_tick" dataDxfId="1748"/>
    <tableColumn id="57" xr3:uid="{5AD51099-36BF-4684-96C7-493BA096D58B}" name="tverrslag_check" dataDxfId="1747"/>
    <tableColumn id="62" xr3:uid="{F8E4DBF4-E343-4C50-9A79-B2D30CB2849D}" name="beregnet_framdriftfaktor_check" dataDxfId="1746">
      <calculatedColumnFormula>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5ED52889-5968-4219-A24C-25226E387738}" name="outputs_tverrslag" displayName="outputs_tverrslag" ref="HH70:HO74" totalsRowShown="0" headerRowDxfId="1745" dataDxfId="1744">
  <autoFilter ref="HH70:HO74" xr:uid="{7A2ABEFB-BA84-4EA3-B96A-4176DFC47DC2}"/>
  <tableColumns count="8">
    <tableColumn id="1" xr3:uid="{7130E64A-BF46-41D6-8328-B71A24336C42}" name="status" dataDxfId="1743"/>
    <tableColumn id="2" xr3:uid="{4D6E6F97-46CE-4CF5-82E3-242C5164BC31}" name="name" dataDxfId="1742"/>
    <tableColumn id="3" xr3:uid="{B1168D9C-2F2C-4BCC-AD9F-6F4820685C31}" name="Tverrslag construction time" dataDxfId="1741">
      <calculatedColumnFormula>$PU$84</calculatedColumnFormula>
    </tableColumn>
    <tableColumn id="8" xr3:uid="{A7201E74-CA76-41B8-A412-8BC49329A102}" name="forsink_perstuff_uker" dataDxfId="1740">
      <calculatedColumnFormula>$HI$19</calculatedColumnFormula>
    </tableColumn>
    <tableColumn id="4" xr3:uid="{8206D3C5-4695-445E-A5B2-465E382867EA}" name="forsink_total_uker" dataDxfId="1739">
      <calculatedColumnFormula>$HI$22</calculatedColumnFormula>
    </tableColumn>
    <tableColumn id="5" xr3:uid="{BB75B7B7-92A7-4421-82E8-3D739D5411A5}" name="forsink_total_hr" dataDxfId="1738">
      <calculatedColumnFormula>$HJ$22</calculatedColumnFormula>
    </tableColumn>
    <tableColumn id="6" xr3:uid="{28CAD772-1FB0-448D-A614-398A17564681}" name="Kryssområdet_uker" dataDxfId="1737">
      <calculatedColumnFormula>$HI$14</calculatedColumnFormula>
    </tableColumn>
    <tableColumn id="7" xr3:uid="{67EE186C-698F-490E-BCA1-363CA73FBC0A}" name="Kryssområdet_hr" dataDxfId="1736">
      <calculatedColumnFormula>$HJ$14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5CE332B-0710-4A25-A0D4-AFF353BDA274}" name="inputs_spreng" displayName="inputs_spreng" ref="BB98:BY107" totalsRowShown="0" headerRowDxfId="2237" dataDxfId="2236">
  <autoFilter ref="BB98:BY107" xr:uid="{B6C97998-AE44-40ED-AEFC-3BD0842F6B26}"/>
  <tableColumns count="24">
    <tableColumn id="1" xr3:uid="{2C9BD213-18F0-4F7F-B46B-4241C38E2E3F}" name="Position" dataDxfId="2235"/>
    <tableColumn id="2" xr3:uid="{4CDD9E86-79F1-4812-96B5-05D218D2898A}" name="Redusertsalvelengde" dataDxfId="2234"/>
    <tableColumn id="15" xr3:uid="{584EEEED-5E26-4B48-8CBF-638FB5036AA8}" name="Todelttverrsnitt" dataDxfId="2233"/>
    <tableColumn id="16" xr3:uid="{C50935BF-186C-4912-82C3-3C1F37E3BEC0}" name="Redusertsalvelengdeogtodelttverrsnitt" dataDxfId="2232"/>
    <tableColumn id="24" xr3:uid="{78896907-C203-4917-9B45-8839B8A9DC47}" name="Grøfter" dataDxfId="2231"/>
    <tableColumn id="3" xr3:uid="{C5B82A6B-1523-41CC-9D67-5D3AFF543C27}" name="Nisjer" dataDxfId="2230"/>
    <tableColumn id="17" xr3:uid="{3A6AFA03-04A4-4C88-9B53-159AECFA9809}" name="Snunisjer" dataDxfId="2229"/>
    <tableColumn id="18" xr3:uid="{9D8D4455-FA23-43A7-9203-4ED53629C3AE}" name="Tverrforbindelser" dataDxfId="2228"/>
    <tableColumn id="19" xr3:uid="{E50DE33F-9941-4BCB-AAD6-47F8C3832E6F}" name="Tekniskerom" dataDxfId="2227"/>
    <tableColumn id="20" xr3:uid="{25214235-DC31-4E63-9203-693982054FD5}" name="Siktutvidelse" dataDxfId="2226"/>
    <tableColumn id="21" xr3:uid="{5AE2442A-E5D4-4A16-9072-23A58AB55B6A}" name="Utvidelsefortungsikring" dataDxfId="2225"/>
    <tableColumn id="22" xr3:uid="{186AF5CE-D061-4505-BA35-4C8B0E056CB9}" name="Pumpesump" dataDxfId="2224"/>
    <tableColumn id="14" xr3:uid="{269CCC7D-7F4A-48D5-8CA8-7079EFD5D3D6}" name="Column1" dataDxfId="2223"/>
    <tableColumn id="23" xr3:uid="{C3B49313-C009-4552-B55F-8685B58164F7}" name="Annet" dataDxfId="2222"/>
    <tableColumn id="4" xr3:uid="{B07010AE-6223-4F40-9B4C-5032131CB4D8}" name="normal" dataDxfId="2221">
      <calculatedColumnFormula>IFERROR((INDEX(position_stuff[Normal],MATCH(BB99,position_stuff[Position],0))),0)</calculatedColumnFormula>
    </tableColumn>
    <tableColumn id="5" xr3:uid="{96825FFD-0D9A-4413-ABBA-EC0FFEFF9D01}" name="all reduced" dataDxfId="2220">
      <calculatedColumnFormula>inputs_spreng[[#This Row],[Redusertsalvelengde]]+inputs_spreng[[#This Row],[Todelttverrsnitt]]+inputs_spreng[[#This Row],[Redusertsalvelengdeogtodelttverrsnitt]]</calculatedColumnFormula>
    </tableColumn>
    <tableColumn id="6" xr3:uid="{D2AAAEA6-F73D-4B0C-B1FA-4BB4B9AB6E29}" name="total_teor" dataDxfId="2219">
      <calculatedColumnFormula>IFERROR((INDEX(position_stuff[Totalvol],MATCH(BB99,position_stuff[Position],0))),0)</calculatedColumnFormula>
    </tableColumn>
    <tableColumn id="7" xr3:uid="{B7E3946F-BF94-4DA8-AA4B-76B16944C1F7}" name="check" dataDxfId="2218">
      <calculatedColumnFormula>IF(BQ99&gt;=BR99,0,1)</calculatedColumnFormula>
    </tableColumn>
    <tableColumn id="8" xr3:uid="{01A07AE6-1CC0-4C10-88D9-1F855E827972}" name="check_red" dataDxfId="2217"/>
    <tableColumn id="9" xr3:uid="{1ED99445-54ED-4F9B-834C-A4A4076CE16D}" name="check_todel" dataDxfId="2216"/>
    <tableColumn id="10" xr3:uid="{57BDDB9A-6C4E-405B-83C3-72F3B043BDDA}" name="check_redtodel" dataDxfId="2215"/>
    <tableColumn id="11" xr3:uid="{003A79A2-B14F-4969-BDC2-D1436B4A51D1}" name="tick_red" dataDxfId="2214">
      <calculatedColumnFormula>IF(AND(inputs_spreng[[#This Row],[check]]=1,inputs_spreng[[#This Row],[check_red]]=1),1,0)</calculatedColumnFormula>
    </tableColumn>
    <tableColumn id="12" xr3:uid="{C7737738-3A29-4809-BFFB-57E1F22FD709}" name="tick_todel" dataDxfId="2213">
      <calculatedColumnFormula>IF(AND(inputs_spreng[[#This Row],[check]]=1,inputs_spreng[[#This Row],[check_todel]]=1),1,0)</calculatedColumnFormula>
    </tableColumn>
    <tableColumn id="13" xr3:uid="{0C18EA60-3E0A-4D4E-B4D4-6907F2533DD4}" name="tick_redtodel" dataDxfId="2212">
      <calculatedColumnFormula>IF(AND(inputs_spreng[[#This Row],[check]]=1,inputs_spreng[[#This Row],[check_redtodel]]=1),1,0)</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A9CE3C59-A4BF-433D-8059-74B6A8054095}" name="position_stab" displayName="position_stab" ref="ER72:FG83" totalsRowShown="0" headerRowDxfId="1735" dataDxfId="1733" headerRowBorderDxfId="1734" tableBorderDxfId="1732" totalsRowBorderDxfId="1731">
  <autoFilter ref="ER72:FG83" xr:uid="{34983B75-BC8B-458A-A9D8-B19E4DC6EC32}"/>
  <tableColumns count="16">
    <tableColumn id="1" xr3:uid="{CD323266-831C-4E0A-89C0-6F4551B64A57}" name="Navn" dataDxfId="1730"/>
    <tableColumn id="2" xr3:uid="{756DBA76-C196-47E6-852D-3C844BB26D2C}" name="default position" dataDxfId="1729"/>
    <tableColumn id="3" xr3:uid="{200A54E2-0104-425B-946C-EAF5140DB998}" name="on/off" dataDxfId="1728"/>
    <tableColumn id="4" xr3:uid="{1DFAF32C-9523-44A2-A0FC-59DB5B1BB475}" name="Position" dataDxfId="1727"/>
    <tableColumn id="5" xr3:uid="{44E38323-A778-42B6-972D-D3C711FA32D9}" name="Name" dataDxfId="1726"/>
    <tableColumn id="6" xr3:uid="{61F806C0-1930-4F64-8AF8-41C23AB9545B}" name="Manuell" dataDxfId="1725">
      <calculatedColumnFormula>IFERROR(INDEX(inputs_stab[Manuell],MATCH($EU73,inputs_stab[Position],0)),0)</calculatedColumnFormula>
    </tableColumn>
    <tableColumn id="7" xr3:uid="{003C0E69-5DD9-4784-ACBC-D5DA30BB1DEF}" name="lt4m" dataDxfId="1724">
      <calculatedColumnFormula>IFERROR(INDEX(inputs_stab[lt4m],MATCH($EU73,inputs_stab[Position],0)),0)</calculatedColumnFormula>
    </tableColumn>
    <tableColumn id="8" xr3:uid="{14CBD0D6-814E-46DD-913B-5A346D1F4946}" name="gt4m" dataDxfId="1723">
      <calculatedColumnFormula>IFERROR(INDEX(inputs_stab[gt4m],MATCH($EU73,inputs_stab[Position],0)),0)</calculatedColumnFormula>
    </tableColumn>
    <tableColumn id="9" xr3:uid="{F5514C23-592E-4937-96F0-49B3FC13479A}" name="band" dataDxfId="1722">
      <calculatedColumnFormula>IFERROR(INDEX(inputs_stab[band],MATCH($EU73,inputs_stab[Position],0)),0)</calculatedColumnFormula>
    </tableColumn>
    <tableColumn id="10" xr3:uid="{2EA78072-19C7-4E5C-8206-6B2813A6A8CA}" name="net" dataDxfId="1721">
      <calculatedColumnFormula>IFERROR(INDEX(inputs_stab[net],MATCH($EU73,inputs_stab[Position],0)),0)</calculatedColumnFormula>
    </tableColumn>
    <tableColumn id="11" xr3:uid="{1049394C-0C39-4621-BF07-EC96B66F000F}" name="shotcrete" dataDxfId="1720">
      <calculatedColumnFormula>IFERROR(INDEX(inputs_stab[shotcrete],MATCH($EU73,inputs_stab[Position],0)),0)</calculatedColumnFormula>
    </tableColumn>
    <tableColumn id="12" xr3:uid="{159DA030-5BBE-4EFB-ADC7-782180ABA5E9}" name="buer" dataDxfId="1719">
      <calculatedColumnFormula>IFERROR(INDEX(inputs_stab[buer],MATCH($EU73,inputs_stab[Position],0)),0)</calculatedColumnFormula>
    </tableColumn>
    <tableColumn id="13" xr3:uid="{24F7BB9B-A9B7-4436-8003-849795703781}" name="sik_12" dataDxfId="1718">
      <calculatedColumnFormula>IFERROR(INDEX(inputs_stab[sik_12],MATCH($EU73,inputs_stab[Position],0)),0)</calculatedColumnFormula>
    </tableColumn>
    <tableColumn id="14" xr3:uid="{5B39CC27-9D2D-4CB3-83DE-7BC0CCEBACE7}" name="sik_3" dataDxfId="1717">
      <calculatedColumnFormula>IFERROR(INDEX(inputs_stab[sik_3],MATCH($EU73,inputs_stab[Position],0)),0)</calculatedColumnFormula>
    </tableColumn>
    <tableColumn id="15" xr3:uid="{C9DEE507-E590-490E-A7C9-6C6DCDBC142E}" name="kartlegging" dataDxfId="1716"/>
    <tableColumn id="16" xr3:uid="{53A8EC95-E822-4A2A-8DB6-79DAB471D83E}" name="festebolter" dataDxfId="1715">
      <calculatedColumnFormula>IFERROR(INDEX(inputs_stab[kartlegging],MATCH($EU73,inputs_stab[Position],0)),0)</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605031B-C50E-4948-8FAA-98B6825D861F}" name="tickcheck_foran" displayName="tickcheck_foran" ref="DR167:EA176" totalsRowShown="0" headerRowDxfId="1714" dataDxfId="1712" headerRowBorderDxfId="1713" tableBorderDxfId="1711" totalsRowBorderDxfId="1710">
  <autoFilter ref="DR167:EA176" xr:uid="{1B2107EC-D50A-4643-80B3-F06147B10E69}"/>
  <tableColumns count="10">
    <tableColumn id="1" xr3:uid="{467E5E6D-C8A4-4BF8-BD04-50E086F71829}" name="position" dataDxfId="1709"/>
    <tableColumn id="2" xr3:uid="{2DED8B21-9577-4273-B31E-3320D8303D15}" name="sp_Rigg" dataDxfId="1708"/>
    <tableColumn id="3" xr3:uid="{06CCBC2B-75AF-495A-A9DA-EA55EED9A3C1}" name="sp_Boring" dataDxfId="1707"/>
    <tableColumn id="4" xr3:uid="{626036BD-F5C6-45B4-B343-6FCBA3791036}" name="Sp_Injeksjon" dataDxfId="1706"/>
    <tableColumn id="5" xr3:uid="{34982B1B-240A-43CC-9D77-0C86BEA9D527}" name="sp_Kontrollhull" dataDxfId="1705"/>
    <tableColumn id="6" xr3:uid="{5FFFA7E8-60BB-46B5-A176-2CAE5A4E822E}" name="Column1" dataDxfId="1704"/>
    <tableColumn id="7" xr3:uid="{C4215A46-F6E6-4FED-AC14-3F6283A5EA0B}" name="sy_Rigg" dataDxfId="1703"/>
    <tableColumn id="8" xr3:uid="{1D234359-6185-46CB-A49B-72664FC662A7}" name="sy_Boring" dataDxfId="1702"/>
    <tableColumn id="9" xr3:uid="{8BD465DF-E346-4924-9714-E5107C7F2079}" name="sy_Injeksjon" dataDxfId="1701"/>
    <tableColumn id="10" xr3:uid="{DD4286F5-F02F-4551-94F1-AFCFE79F8225}" name="sy_Kontrollhull" dataDxfId="170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CDE6360-A5D2-4C37-8DD6-535170244A0B}" name="tverr_connection_2" displayName="tverr_connection_2" ref="HH34:HZ52" totalsRowShown="0" headerRowDxfId="1699" dataDxfId="1697" headerRowBorderDxfId="1698" tableBorderDxfId="1696" totalsRowBorderDxfId="1695">
  <autoFilter ref="HH34:HZ52" xr:uid="{40C3BAF0-B59D-43C5-A9D7-853369B6D505}"/>
  <tableColumns count="19">
    <tableColumn id="1" xr3:uid="{E03C25E9-CCB5-49CB-B32E-F7592A7D4E3B}" name="config" dataDxfId="1694"/>
    <tableColumn id="2" xr3:uid="{35F3F013-3BA3-49EC-B0A1-7A97F6832277}" name="11" dataDxfId="1693"/>
    <tableColumn id="3" xr3:uid="{8D74C411-F6AD-465D-B76E-1F9CE2CEB319}" name="21" dataDxfId="1692"/>
    <tableColumn id="4" xr3:uid="{0F0A2EA8-C7D9-42A1-BA70-3B2BE3535120}" name="31" dataDxfId="1691"/>
    <tableColumn id="5" xr3:uid="{7FB841FF-AAC8-4CB8-B8B2-57C4187D8663}" name="41" dataDxfId="1690"/>
    <tableColumn id="6" xr3:uid="{3EB98E76-77DB-46D1-96E8-0F3C87E26B7A}" name="51" dataDxfId="1689"/>
    <tableColumn id="7" xr3:uid="{F0585928-8477-43D7-93B2-BE81F637AE3F}" name="61" dataDxfId="1688"/>
    <tableColumn id="8" xr3:uid="{0476A5AE-033F-4FE7-A707-3438E99D4667}" name="71" dataDxfId="1687"/>
    <tableColumn id="9" xr3:uid="{6B0B36FF-26AD-4C8E-A6B0-7A8113AEC30D}" name="81" dataDxfId="1686"/>
    <tableColumn id="10" xr3:uid="{AEDBF51F-1413-4D28-A0F3-F280AAA57569}" name="91" dataDxfId="1685"/>
    <tableColumn id="11" xr3:uid="{4C96BBD3-F93C-4ACC-8DD6-332A8BF11915}" name="12" dataDxfId="1684"/>
    <tableColumn id="12" xr3:uid="{2DD6B329-8819-49CA-AFE1-ABB1E71FC632}" name="22" dataDxfId="1683"/>
    <tableColumn id="13" xr3:uid="{8AF56F0B-C9BC-405F-B144-992C088F0535}" name="32" dataDxfId="1682"/>
    <tableColumn id="14" xr3:uid="{661E8F3A-00E6-4926-B61D-79C33C0716D8}" name="42" dataDxfId="1681"/>
    <tableColumn id="15" xr3:uid="{685E95F7-D90F-435C-B8F1-80EAF56CBCB2}" name="52" dataDxfId="1680"/>
    <tableColumn id="16" xr3:uid="{B37DAED8-F369-431B-A821-5B1C0B5C58F2}" name="62" dataDxfId="1679"/>
    <tableColumn id="17" xr3:uid="{4893F214-1D53-45BF-B07A-D0C4CF383AB4}" name="72" dataDxfId="1678"/>
    <tableColumn id="18" xr3:uid="{E03CDD51-4138-43DF-8CEE-07D236AC5BBC}" name="82" dataDxfId="1677"/>
    <tableColumn id="19" xr3:uid="{A3C6B2A9-FC36-41DA-8EA2-BDFEBABB85B5}" name="92" dataDxfId="167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DEA47B5-8765-474A-B302-C7F2578A0110}" name="checks_sprengning" displayName="checks_sprengning" ref="NN424:NR434" totalsRowShown="0" headerRowDxfId="1675" dataDxfId="1673" headerRowBorderDxfId="1674" tableBorderDxfId="1672">
  <autoFilter ref="NN424:NR434" xr:uid="{F7948C92-FB6A-4563-ADF0-30C2E9CDD8BF}"/>
  <tableColumns count="5">
    <tableColumn id="1" xr3:uid="{9765CE5E-8B07-47AC-8A08-6FDE14190056}" name="name" dataDxfId="1671"/>
    <tableColumn id="2" xr3:uid="{EB771F55-1CB1-4E3E-AE03-1A4AA2BE7C89}" name="length" dataDxfId="1670"/>
    <tableColumn id="3" xr3:uid="{267DCC40-0F8E-4259-BC8C-68E4EC2F5260}" name="area" dataDxfId="1669"/>
    <tableColumn id="4" xr3:uid="{E7EAA128-8124-4622-9C31-0176B1E6376F}" name="length_area_check" dataDxfId="1668"/>
    <tableColumn id="5" xr3:uid="{56F5672E-EEA8-4AD5-AB76-C9AB56D0F28B}" name="total_sprengning" dataDxfId="166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9012FAEC-74BF-4D46-B7B6-3E5BB310B20B}" name="checks_heleløp_sprengning" displayName="checks_heleløp_sprengning" ref="NN441:NQ449" totalsRowShown="0" headerRowDxfId="1666" dataDxfId="1664" headerRowBorderDxfId="1665" tableBorderDxfId="1663" totalsRowBorderDxfId="1662">
  <autoFilter ref="NN441:NQ449" xr:uid="{47436022-CB26-496E-B720-CDB2D8A3B46F}"/>
  <tableColumns count="4">
    <tableColumn id="1" xr3:uid="{BC083E61-214B-4FD1-A53E-D436FC6180DF}" name="config" dataDxfId="1661"/>
    <tableColumn id="2" xr3:uid="{64173C39-02CD-495A-9280-17C0C1F68F52}" name="sum" dataDxfId="1660"/>
    <tableColumn id="3" xr3:uid="{E111F4A6-25D2-4C27-AE27-4E985C0E6031}" name="max" dataDxfId="1659"/>
    <tableColumn id="4" xr3:uid="{E557E048-19E4-4572-98D5-AFF53DC694BD}" name="check" dataDxfId="1658">
      <calculatedColumnFormula>IF(NO442&lt;&gt;NP442,0,IF(NO442=NP442,1,0))</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0F542AB-395B-4260-B731-4D427AAD5778}" name="outputs_just" displayName="outputs_just" ref="IH56:JQ65" totalsRowShown="0" headerRowDxfId="1657" dataDxfId="1655" headerRowBorderDxfId="1656" tableBorderDxfId="1654" totalsRowBorderDxfId="1653">
  <autoFilter ref="IH56:JQ65" xr:uid="{B74084E9-5E44-41EC-B5D5-44547AFCD4BF}"/>
  <tableColumns count="36">
    <tableColumn id="1" xr3:uid="{E258B8FB-DA8E-4B1E-8327-69E8B63D35DF}" name="position" dataDxfId="1652"/>
    <tableColumn id="29" xr3:uid="{EDBE4EB5-FF6D-435A-81CA-C680EB6696FC}" name="Column2" dataDxfId="1651"/>
    <tableColumn id="28" xr3:uid="{5E5D8AE3-D27B-496C-A95D-5374CE0FE40A}" name="vek_faktor_bruker_definert_status" dataDxfId="1650">
      <calculatedColumnFormula>IJ18</calculatedColumnFormula>
    </tableColumn>
    <tableColumn id="30" xr3:uid="{1B4FFB54-627D-41D4-A566-C16D5BFF0BC8}" name="vek_faktor_bruker_verdi" dataDxfId="1649">
      <calculatedColumnFormula>IF(AND(II18=2,IJ18=FALSE),IK18)</calculatedColumnFormula>
    </tableColumn>
    <tableColumn id="36" xr3:uid="{64362322-E217-41E3-BC31-B1431A56AFBB}" name="Column122" dataDxfId="1648"/>
    <tableColumn id="35" xr3:uid="{8B3BAFFC-598C-45AB-9FAD-F05240BA8F8F}" name="Column13" dataDxfId="1647"/>
    <tableColumn id="34" xr3:uid="{64319DF0-1040-4295-B1E7-FD2E0E4F9145}" name="Column4" dataDxfId="1646"/>
    <tableColumn id="33" xr3:uid="{538D8926-320C-4216-94E2-DAE93D3D0E7F}" name="general_svar" dataDxfId="1645">
      <calculatedColumnFormula>IF(IN18="Ja",IO18)</calculatedColumnFormula>
    </tableColumn>
    <tableColumn id="32" xr3:uid="{0D65C808-994A-464D-A381-4F1A01EF66FE}" name="general_tid" dataDxfId="1644">
      <calculatedColumnFormula>IF(IO18=1,IP18,IF(IO18=3,_List!$EG$7))</calculatedColumnFormula>
    </tableColumn>
    <tableColumn id="31" xr3:uid="{B3072DC3-82A0-47D0-8439-542610E55430}" name="general_beg" dataDxfId="1643">
      <calculatedColumnFormula>IF(IP18="Ja",IQ18)</calculatedColumnFormula>
    </tableColumn>
    <tableColumn id="2" xr3:uid="{DD35BCB3-3D1A-4AE4-B9D1-B1EE9217509E}" name="geo_svar" dataDxfId="1642"/>
    <tableColumn id="3" xr3:uid="{7804712B-DEB3-477F-BBAA-B4A45016346F}" name="geo_tid" dataDxfId="1641">
      <calculatedColumnFormula>IF(AND($IO18=2,IR18="Ja"),IS18)</calculatedColumnFormula>
    </tableColumn>
    <tableColumn id="4" xr3:uid="{34C5D87F-490A-4BD1-BBE8-5751B4AC9197}" name="geo_beg" dataDxfId="1640">
      <calculatedColumnFormula>IF(IS18="Ja",IT18)</calculatedColumnFormula>
    </tableColumn>
    <tableColumn id="5" xr3:uid="{E30A6F73-B3B9-4155-B2CB-2477F0BD9ADC}" name="stig_svar" dataDxfId="1639">
      <calculatedColumnFormula>IF(IT18="Ja",IU18)</calculatedColumnFormula>
    </tableColumn>
    <tableColumn id="6" xr3:uid="{658088AB-7794-42C6-9282-AD227C1BA91F}" name="stig_tid" dataDxfId="1638">
      <calculatedColumnFormula>IF(AND($IO18=2,IU18="Ja"),IV18)</calculatedColumnFormula>
    </tableColumn>
    <tableColumn id="7" xr3:uid="{8E59B0FE-DBF4-49B7-A15C-6CC3114B7C6A}" name="stig_beg" dataDxfId="1637">
      <calculatedColumnFormula>IF(IV18="Ja",IW18)</calculatedColumnFormula>
    </tableColumn>
    <tableColumn id="8" xr3:uid="{8FE0C4EB-E7B4-4A5E-80D7-C043F118F054}" name="arb_svar" dataDxfId="1636">
      <calculatedColumnFormula>IF(IW18="Ja",IX18)</calculatedColumnFormula>
    </tableColumn>
    <tableColumn id="9" xr3:uid="{3902BECF-7DD8-438B-A4FA-43AD9E4FAE3C}" name="arb_tid" dataDxfId="1635">
      <calculatedColumnFormula>IF(AND($IO18=2,IX18="Ja"),IY18)</calculatedColumnFormula>
    </tableColumn>
    <tableColumn id="10" xr3:uid="{7BC0FC9C-A89D-4ACE-AB17-D4C548A62B55}" name="arb_beg" dataDxfId="1634">
      <calculatedColumnFormula>IF(IY18="Ja",IZ18)</calculatedColumnFormula>
    </tableColumn>
    <tableColumn id="11" xr3:uid="{0052AFD5-FF63-4200-B39B-B4AC6F0FFF53}" name="spreng_svar" dataDxfId="1633">
      <calculatedColumnFormula>IF(IZ18="Ja",JA18)</calculatedColumnFormula>
    </tableColumn>
    <tableColumn id="12" xr3:uid="{D50CA12D-FE14-4E4F-AA1A-6A1775BD8477}" name="spreng_tid" dataDxfId="1632">
      <calculatedColumnFormula>IF(AND($IO18=2,JA18="Ja"),JB18)</calculatedColumnFormula>
    </tableColumn>
    <tableColumn id="13" xr3:uid="{CD78BD81-3700-4286-9E2A-FFB233EFA32F}" name="spreng_beg" dataDxfId="1631">
      <calculatedColumnFormula>IF(JB18="Ja",JC18)</calculatedColumnFormula>
    </tableColumn>
    <tableColumn id="14" xr3:uid="{EB3216EB-A788-4C66-B721-F0C5CEAAB7E0}" name="skyte_svar" dataDxfId="1630">
      <calculatedColumnFormula>IF(JC18="Ja",JD18)</calculatedColumnFormula>
    </tableColumn>
    <tableColumn id="15" xr3:uid="{38BA6C89-E90D-465C-A2C1-F56371C9B02F}" name="skyte_tid" dataDxfId="1629">
      <calculatedColumnFormula>IF(AND($IO18=2,JD18="Ja"),JE18)</calculatedColumnFormula>
    </tableColumn>
    <tableColumn id="16" xr3:uid="{2487D2A7-FAF5-4CE3-8909-D2583EC780D2}" name="skyte_beg" dataDxfId="1628">
      <calculatedColumnFormula>IF(JE18="Ja",JF18)</calculatedColumnFormula>
    </tableColumn>
    <tableColumn id="17" xr3:uid="{BDD0E674-47E9-4939-88BE-8D440D207F2D}" name="støy_svar" dataDxfId="1627">
      <calculatedColumnFormula>IF(JF18="Ja",JG18)</calculatedColumnFormula>
    </tableColumn>
    <tableColumn id="18" xr3:uid="{A1628949-93E3-4AB5-A031-2F6E11380955}" name="støy_tid" dataDxfId="1626">
      <calculatedColumnFormula>IF(AND($IO18=2,JG18="Ja"),JH18)</calculatedColumnFormula>
    </tableColumn>
    <tableColumn id="19" xr3:uid="{0B1AB3E9-3BB6-49F9-A770-C68302B42427}" name="støy_beg" dataDxfId="1625">
      <calculatedColumnFormula>IF(JH18="Ja",JI18)</calculatedColumnFormula>
    </tableColumn>
    <tableColumn id="20" xr3:uid="{96A4A376-2891-4BA7-A30A-C58CB4C9DEE1}" name="ann_svar" dataDxfId="1624">
      <calculatedColumnFormula>IF(JI18="Ja",JJ18)</calculatedColumnFormula>
    </tableColumn>
    <tableColumn id="21" xr3:uid="{A525F14F-BF28-4DCC-B3F6-4A9B752E8299}" name="ann_tid" dataDxfId="1623">
      <calculatedColumnFormula>IF(AND($IO18=2,JJ18="Ja"),JK18)</calculatedColumnFormula>
    </tableColumn>
    <tableColumn id="22" xr3:uid="{5DB16A37-C6E5-4467-B903-6A0A65FE1B10}" name="ann_beg" dataDxfId="1622">
      <calculatedColumnFormula>IF(JK18="Ja",JL18)</calculatedColumnFormula>
    </tableColumn>
    <tableColumn id="23" xr3:uid="{6E0EE8FC-CE6E-4629-90C7-062F6FFCCB22}" name="total_just_tid" dataDxfId="1621">
      <calculatedColumnFormula>IF(JW38=1,_List!$EG$7,IFERROR(outputs_just[[#This Row],[general_tid]]+outputs_just[[#This Row],[geo_tid]]+outputs_just[[#This Row],[stig_tid]]+outputs_just[[#This Row],[arb_tid]]+outputs_just[[#This Row],[spreng_tid]]+outputs_just[[#This Row],[skyte_tid]]+outputs_just[[#This Row],[støy_tid]]+outputs_just[[#This Row],[ann_tid]],0))</calculatedColumnFormula>
    </tableColumn>
    <tableColumn id="24" xr3:uid="{E37E8D85-A67F-4272-9A34-92D8D65F3DEE}" name="Navn" dataDxfId="1620">
      <calculatedColumnFormula>IFERROR((INDEX(oppsum_position[Name],MATCH(outputs_just[[#This Row],[position]],oppsum_position[Position],0))),"")</calculatedColumnFormula>
    </tableColumn>
    <tableColumn id="25" xr3:uid="{7F793E4C-8425-4CED-9F22-9B12B523872F}" name="default position" dataDxfId="1619"/>
    <tableColumn id="26" xr3:uid="{E6806495-E841-4D26-AE49-A79E4C5ED308}" name="on/off" dataDxfId="1618"/>
    <tableColumn id="27" xr3:uid="{8EF29D9E-6A9B-41D0-BF22-74B3D5F4EF4E}" name="stuff_position" dataDxfId="161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13CC2FD-7BC7-40FE-9067-272CB21C34B9}" name="checks_justeringer" displayName="checks_justeringer" ref="IH37:KC46" totalsRowShown="0" headerRowDxfId="1616" dataDxfId="1614" headerRowBorderDxfId="1615" tableBorderDxfId="1613" totalsRowBorderDxfId="1612">
  <autoFilter ref="IH37:KC46" xr:uid="{C81F06A0-AC56-4888-A216-6B4A76B262B3}"/>
  <tableColumns count="48">
    <tableColumn id="1" xr3:uid="{5AC7DABD-FA67-464A-BD9D-3313DD72DB47}" name="position" dataDxfId="1611"/>
    <tableColumn id="39" xr3:uid="{98961193-7AEA-4490-AD65-97D60390FB9A}" name="metode_check" dataDxfId="1610">
      <calculatedColumnFormula>II18</calculatedColumnFormula>
    </tableColumn>
    <tableColumn id="38" xr3:uid="{98FC1CBD-A0AB-44AC-AE8B-3E5CE5CAC1AF}" name="vek_faktor_bruker" dataDxfId="1609">
      <calculatedColumnFormula>IF(checks_justeringer[[#This Row],[metode_check]]&lt;&gt;2,1,1)</calculatedColumnFormula>
    </tableColumn>
    <tableColumn id="44" xr3:uid="{7CA47FD1-E30A-435E-B474-D638B4DFF593}" name="vek_faktor_beg" dataDxfId="1608">
      <calculatedColumnFormula>IF(AND(checks_justeringer[[#This Row],[metode_check]]=2,IJ18=FALSE,IL18=TRUE),0,1)</calculatedColumnFormula>
    </tableColumn>
    <tableColumn id="47" xr3:uid="{BE2C93A3-86BE-4371-B5BB-695D4D24BCDE}" name="Column24" dataDxfId="1607"/>
    <tableColumn id="46" xr3:uid="{571483B5-61A0-465D-90EA-EC04A0C137E9}" name="Column23" dataDxfId="1606"/>
    <tableColumn id="40" xr3:uid="{8642AF8A-ECE4-4663-8C91-F4F9C476EFB1}" name="Column22" dataDxfId="1605"/>
    <tableColumn id="43" xr3:uid="{E429A325-7B11-4FE6-B54F-49B724055ED1}" name="general_svar" dataDxfId="1604">
      <calculatedColumnFormula>IF(OR(IO18=1,IO18=2,IO18=3),1,0)</calculatedColumnFormula>
    </tableColumn>
    <tableColumn id="42" xr3:uid="{126C25DF-BF1B-4970-8C84-E47ACE6661CA}" name="general_tid" dataDxfId="1603">
      <calculatedColumnFormula>IF(OR(AND($IO18=1,IP18=0),AND($IO18=1,IP18="")),0,1)</calculatedColumnFormula>
    </tableColumn>
    <tableColumn id="41" xr3:uid="{F029AAF4-C34B-4024-847B-B17CFA604BF2}" name="general_beg" dataDxfId="1602">
      <calculatedColumnFormula>IF(OR(AND($IO18=1,IQ18=0),AND($IO18=1,IQ18="")),0,1)</calculatedColumnFormula>
    </tableColumn>
    <tableColumn id="2" xr3:uid="{D43E511C-7396-4E61-842E-73C87AD7A13A}" name="geo_svar" dataDxfId="1601">
      <calculatedColumnFormula>IF(OR(AND($IO18=2,IR18=0),AND($IO18=2,IR18="")),0,1)</calculatedColumnFormula>
    </tableColumn>
    <tableColumn id="3" xr3:uid="{9BB7EF79-F5B5-4A5A-9916-E15CF001E4C9}" name="geo_tid" dataDxfId="1600">
      <calculatedColumnFormula>IF(OR(AND($IO18=2,IR18="Ja",IS18=0),AND($IO18=2,IR18="Ja",IS18="")),0,1)</calculatedColumnFormula>
    </tableColumn>
    <tableColumn id="4" xr3:uid="{F1E56B68-60D0-45C7-90E5-A181AE488A8D}" name="geo_beg" dataDxfId="1599">
      <calculatedColumnFormula>IF(AND($IO18=2,IR18="Ja",IT18=""),0,1)</calculatedColumnFormula>
    </tableColumn>
    <tableColumn id="5" xr3:uid="{103BF58F-8A87-48B0-9026-A06F87583F96}" name="stig_svar" dataDxfId="1598">
      <calculatedColumnFormula>IF(OR(AND($IO18=2,IU18=0),AND($IO18=2,IU18="")),0,1)</calculatedColumnFormula>
    </tableColumn>
    <tableColumn id="6" xr3:uid="{45BE8ED1-A637-4DAB-9F87-6B8583DC8215}" name="stig_tid" dataDxfId="1597">
      <calculatedColumnFormula>IF(OR(AND($IO18=2,IU18="Ja",IV18=0),AND($IO18=2,IU18="Ja",IV18="")),0,1)</calculatedColumnFormula>
    </tableColumn>
    <tableColumn id="7" xr3:uid="{F3427DC8-D501-454E-86E8-6EA1D467E2EE}" name="stig_beg" dataDxfId="1596">
      <calculatedColumnFormula>IF(AND($IO18=2,IU18="Ja",IW18=""),0,1)</calculatedColumnFormula>
    </tableColumn>
    <tableColumn id="8" xr3:uid="{E972EDA7-3603-4B41-9B70-98D40E73CCF0}" name="arb_svar" dataDxfId="1595">
      <calculatedColumnFormula>IF(OR(AND($IO18=2,IX18=0),AND($IO18=2,IX18="")),0,1)</calculatedColumnFormula>
    </tableColumn>
    <tableColumn id="9" xr3:uid="{7927A423-88F1-449B-8A43-8177BFE56C45}" name="arb_tid" dataDxfId="1594">
      <calculatedColumnFormula>IF(OR(AND($IO18=2,IX18="Ja",IY18=0),AND($IO18=2,IX18="Ja",IY18="")),0,1)</calculatedColumnFormula>
    </tableColumn>
    <tableColumn id="10" xr3:uid="{06FD2999-02F2-4BDF-A72A-CAB0B7D93E4C}" name="arb_beg" dataDxfId="1593">
      <calculatedColumnFormula>IF(AND($IO18=2,IX18="Ja",IZ18=""),0,1)</calculatedColumnFormula>
    </tableColumn>
    <tableColumn id="11" xr3:uid="{73CA9662-3502-4836-949D-ADEFD584853B}" name="spreng_svar" dataDxfId="1592">
      <calculatedColumnFormula>IF(OR(AND($IO18=2,JA18=0),AND($IO18=2,JA18="")),0,1)</calculatedColumnFormula>
    </tableColumn>
    <tableColumn id="12" xr3:uid="{548B16AA-83CA-4477-BCC6-A9AA1C21C410}" name="spreng_tid" dataDxfId="1591">
      <calculatedColumnFormula>IF(OR(AND($IO18=2,JA18="Ja",JB18=0),AND($IO18=2,JA18="Ja",JB18="")),0,1)</calculatedColumnFormula>
    </tableColumn>
    <tableColumn id="13" xr3:uid="{8AC82B0D-21AD-485F-ACD6-93FB2E69DEBB}" name="spreng_beg" dataDxfId="1590">
      <calculatedColumnFormula>IF(AND($IO18=2,JA18="Ja",JC18=""),0,1)</calculatedColumnFormula>
    </tableColumn>
    <tableColumn id="14" xr3:uid="{42DB220F-0FD7-4110-86C2-5A55AD45A4D7}" name="skyte_svar" dataDxfId="1589">
      <calculatedColumnFormula>IF(OR(AND($IO18=2,JD18=0),AND($IO18=2,JD18="")),0,1)</calculatedColumnFormula>
    </tableColumn>
    <tableColumn id="15" xr3:uid="{171BE1FB-C2F3-4CB1-A7BF-9442A47576C4}" name="skyte_tid" dataDxfId="1588">
      <calculatedColumnFormula>IF(OR(AND($IO18=2,JD18="Ja",JE18=0),AND($IO18=2,JD18="Ja",JE18="")),0,1)</calculatedColumnFormula>
    </tableColumn>
    <tableColumn id="16" xr3:uid="{B5DD4F5B-9099-49C6-AE7E-505DAE021658}" name="skyte_beg" dataDxfId="1587">
      <calculatedColumnFormula>IF(AND($IO18=2,JD18="Ja",JF18=""),0,1)</calculatedColumnFormula>
    </tableColumn>
    <tableColumn id="17" xr3:uid="{20195434-2EA2-4622-9D44-10EB517224D5}" name="støy_svar" dataDxfId="1586">
      <calculatedColumnFormula>IF(OR(AND($IO18=2,JG18=0),AND($IO18=2,JG18="")),0,1)</calculatedColumnFormula>
    </tableColumn>
    <tableColumn id="18" xr3:uid="{F7F90C9B-14E7-49BD-9067-E2810C7503DC}" name="støy_tid" dataDxfId="1585">
      <calculatedColumnFormula>IF(OR(AND($IO18=2,JG18="Ja",JH18=0),AND($IO18=2,JG18="Ja",JH18="")),0,1)</calculatedColumnFormula>
    </tableColumn>
    <tableColumn id="19" xr3:uid="{C1AD3034-4837-4B3F-ABFE-2A2191F76DC5}" name="støy_beg" dataDxfId="1584">
      <calculatedColumnFormula>IF(AND($IO18=2,JG18="Ja",JI18=""),0,1)</calculatedColumnFormula>
    </tableColumn>
    <tableColumn id="20" xr3:uid="{B7DFE8EE-F9C0-489F-BE16-325D82A76D1D}" name="ann_svar" dataDxfId="1583">
      <calculatedColumnFormula>IF(OR(AND($IO18=2,JJ18=0),AND($IO18=2,JJ18="")),0,1)</calculatedColumnFormula>
    </tableColumn>
    <tableColumn id="21" xr3:uid="{3B8FF85C-F076-4DC5-AA3F-39058A866ECF}" name="ann_tid" dataDxfId="1582">
      <calculatedColumnFormula>IF(OR(AND($IO18=2,JJ18="Ja",JK18=0),AND($IO18=2,JJ18="Ja",JK18="")),0,1)</calculatedColumnFormula>
    </tableColumn>
    <tableColumn id="22" xr3:uid="{531C6A5A-E5DC-4881-A025-9852BA8EE4EC}" name="ann_beg" dataDxfId="1581">
      <calculatedColumnFormula>IF(AND($IO18=2,JJ18="Ja",JL18=""),0,1)</calculatedColumnFormula>
    </tableColumn>
    <tableColumn id="48" xr3:uid="{08B59B2E-4494-4C2E-943C-0D8C6B55F7A3}" name="vek_faktor_final" dataDxfId="1580">
      <calculatedColumnFormula>IF(COUNTIF(checks_justeringer[[#This Row],[vek_faktor_bruker]:[vek_faktor_beg]],0)&gt;0,0,1)</calculatedColumnFormula>
    </tableColumn>
    <tableColumn id="45" xr3:uid="{33670946-6CCF-4261-96C1-830719D756A0}" name="general_final" dataDxfId="1579">
      <calculatedColumnFormula>IF(COUNTIF(checks_justeringer[[#This Row],[general_svar]:[general_beg]],0)&gt;0,0,1)</calculatedColumnFormula>
    </tableColumn>
    <tableColumn id="23" xr3:uid="{7E035AEE-889D-4C4D-A48B-BC777DD3AFB2}" name="geo_final" dataDxfId="1578">
      <calculatedColumnFormula>IF(COUNTIF(checks_justeringer[[#This Row],[geo_svar]:[geo_beg]],0)&gt;0,0,1)</calculatedColumnFormula>
    </tableColumn>
    <tableColumn id="24" xr3:uid="{0B297C5E-A95E-4D86-AFBD-2203F23E9A62}" name="stig_final" dataDxfId="1577">
      <calculatedColumnFormula>IF(COUNTIF(checks_justeringer[[#This Row],[stig_svar]:[stig_beg]],0)&gt;0,0,1)</calculatedColumnFormula>
    </tableColumn>
    <tableColumn id="25" xr3:uid="{D7345B18-F8A8-4F8F-808D-05F10D4EDCC0}" name="arb_final" dataDxfId="1576">
      <calculatedColumnFormula>IF(COUNTIF(checks_justeringer[[#This Row],[arb_svar]:[arb_beg]],0)&gt;0,0,1)</calculatedColumnFormula>
    </tableColumn>
    <tableColumn id="26" xr3:uid="{D2E228F8-524D-4FCF-A7FE-ECA78A275995}" name="spreng_fial" dataDxfId="1575">
      <calculatedColumnFormula>IF(COUNTIF(checks_justeringer[[#This Row],[spreng_svar]:[spreng_beg]],0)&gt;0,0,1)</calculatedColumnFormula>
    </tableColumn>
    <tableColumn id="27" xr3:uid="{14A1B7D5-155A-4477-AC6E-2939681BB21D}" name="skyte_final" dataDxfId="1574">
      <calculatedColumnFormula>IF(COUNTIF(checks_justeringer[[#This Row],[skyte_svar]:[skyte_beg]],0)&gt;0,0,1)</calculatedColumnFormula>
    </tableColumn>
    <tableColumn id="28" xr3:uid="{3FF9C5F7-0F69-4DAF-AD8D-21F775E6F87A}" name="støy_final" dataDxfId="1573">
      <calculatedColumnFormula>IF(COUNTIF(checks_justeringer[[#This Row],[støy_svar]:[støy_beg]],0)&gt;0,0,1)</calculatedColumnFormula>
    </tableColumn>
    <tableColumn id="29" xr3:uid="{62A031D6-394B-4E6B-A078-3F22AD84620C}" name="ann_final" dataDxfId="1572">
      <calculatedColumnFormula>IF(COUNTIF(checks_justeringer[[#This Row],[ann_svar]:[ann_beg]],0)&gt;0,0,1)</calculatedColumnFormula>
    </tableColumn>
    <tableColumn id="30" xr3:uid="{C8E83D51-B766-4384-9D64-5A2686FD88CD}" name="just_final" dataDxfId="1571">
      <calculatedColumnFormula>COUNTIF(checks_justeringer[[#This Row],[vek_faktor_final]:[ann_final]],0)</calculatedColumnFormula>
    </tableColumn>
    <tableColumn id="31" xr3:uid="{4AB0D224-8435-4964-A364-1403D0C30AFD}" name="all_nei_check" dataDxfId="1570">
      <calculatedColumnFormula>IF(OR(AND(IO18=2,JG18="Nei",JD18="Nei",JA18="Nei",IX18="Nei",IU18="Nei",IR18="Nei",JJ18="Nei"),IO18=3,IO18=0),1,0)</calculatedColumnFormula>
    </tableColumn>
    <tableColumn id="32" xr3:uid="{3457F274-3040-485E-B635-BEECA37E13BC}" name="Column9" dataDxfId="1569"/>
    <tableColumn id="33" xr3:uid="{497310C2-7817-4DA5-AA49-C218FD9EA96C}" name="Column3" dataDxfId="1568"/>
    <tableColumn id="34" xr3:uid="{37BAEF11-00E6-466C-9B08-3848BB13D846}" name="Column4" dataDxfId="1567"/>
    <tableColumn id="35" xr3:uid="{DF741F9B-20F0-44DD-8ECB-059F80220963}" name="Column5" dataDxfId="1566"/>
    <tableColumn id="36" xr3:uid="{03731E0A-1B41-4B80-AA06-D7EFAA541413}" name="Column6" dataDxfId="1565"/>
    <tableColumn id="37" xr3:uid="{2073DCD9-F1C4-4C1F-B699-E7E93C0833E1}" name="Column7" dataDxfId="1564"/>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EA9F5787-CF1A-445F-85EA-2B7250B551A5}" name="inputs_forsinket" displayName="inputs_forsinket" ref="GJ87:GL96" totalsRowShown="0" headerRowDxfId="1563" dataDxfId="1561" headerRowBorderDxfId="1562" tableBorderDxfId="1560" totalsRowBorderDxfId="1559">
  <autoFilter ref="GJ87:GL96" xr:uid="{7BEB2E67-52F2-4620-8326-707A6D20420D}"/>
  <tableColumns count="3">
    <tableColumn id="1" xr3:uid="{8E4C0683-C0A4-4AB5-A621-0A1556F648C8}" name="name" dataDxfId="1558">
      <calculatedColumnFormula>BB49</calculatedColumnFormula>
    </tableColumn>
    <tableColumn id="2" xr3:uid="{11CF5304-D19D-48AC-89BA-238D4ED82DD4}" name="tid_uke" dataDxfId="1557"/>
    <tableColumn id="3" xr3:uid="{9019F54D-1C3B-4D3A-A368-C3D139C6F5DF}" name="tick_check" dataDxfId="155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8103DB-0637-4F19-AF71-98EC8AD57544}" name="control_forbe" displayName="control_forbe" ref="GJ34:GQ44" totalsRowShown="0" headerRowDxfId="1555" dataDxfId="1553" headerRowBorderDxfId="1554" tableBorderDxfId="1552" totalsRowBorderDxfId="1551">
  <autoFilter ref="GJ34:GQ44" xr:uid="{E111B743-322D-4756-9781-5611501BC771}"/>
  <tableColumns count="8">
    <tableColumn id="1" xr3:uid="{1AF41DE9-699E-4B72-8A90-6D027A20607B}" name="Name" dataDxfId="1550"/>
    <tableColumn id="2" xr3:uid="{101B2E49-6576-416E-B53D-E5BC7480A103}" name="Tverrslag_status" dataDxfId="1549"/>
    <tableColumn id="3" xr3:uid="{6BCB4AF9-06A8-4F28-BAFB-25413F475920}" name="Status" dataDxfId="1548">
      <calculatedColumnFormula>IF(AND($GN$12=1,control_forbe[[#This Row],[Tverrslag_status]]&lt;&gt;1),1,0)</calculatedColumnFormula>
    </tableColumn>
    <tableColumn id="4" xr3:uid="{A75CCF74-7BD1-4BDF-9166-3F3315A00E54}" name="blank_for" dataDxfId="1547">
      <calculatedColumnFormula>IFERROR(INDEX(inputs_forbe[blank_for],MATCH(control_forbe[[#This Row],[position_forb]],inputs_forbe[Position],0)),0)</calculatedColumnFormula>
    </tableColumn>
    <tableColumn id="5" xr3:uid="{D7BA53EF-08FF-4943-96DF-0E464FC2427D}" name="blank_forsk" dataDxfId="1546">
      <calculatedColumnFormula>IFERROR(INDEX(inputs_forbe[blank_forsk],MATCH(control_forbe[[#This Row],[position_forb]],inputs_forbe[Position],0)),0)</calculatedColumnFormula>
    </tableColumn>
    <tableColumn id="6" xr3:uid="{ACE78B33-5454-405D-806B-876B22F0938E}" name="blank_andre" dataDxfId="1545"/>
    <tableColumn id="7" xr3:uid="{E51C0FB4-D3DE-419D-98DF-801EF2E00936}" name="total_check" dataDxfId="1544">
      <calculatedColumnFormula>IF(AND($GN$12=1,control_forbe[[#This Row],[blank_for]]+control_forbe[[#This Row],[blank_forsk]]&gt;0),1,0)</calculatedColumnFormula>
    </tableColumn>
    <tableColumn id="8" xr3:uid="{AF71F2DD-FFCB-4624-AAA8-C07A172C4B8D}" name="position_forb" dataDxfId="1543">
      <calculatedColumnFormula>IF(NQ18&lt;&gt;0,NQ18+1,0)</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4053DF3-31B0-4996-A5AB-B62A4495EAF7}" name="inputs_stab_klasse" displayName="inputs_stab_klasse" ref="ER158:FU169" totalsRowShown="0" headerRowDxfId="1542" dataDxfId="1540" headerRowBorderDxfId="1541" tableBorderDxfId="1539" totalsRowBorderDxfId="1538">
  <autoFilter ref="ER158:FU169" xr:uid="{829683DE-7C3D-4B09-9F55-5B9E7AF49B23}"/>
  <tableColumns count="30">
    <tableColumn id="1" xr3:uid="{430AFCD6-D7CF-41AD-9135-5996FF3A81DF}" name="Navn" dataDxfId="1537"/>
    <tableColumn id="2" xr3:uid="{A715539D-88F0-484C-A7ED-48BA433FF05A}" name="klasse_stuff_id" dataDxfId="1536"/>
    <tableColumn id="3" xr3:uid="{E0F606BD-1F63-46D6-A6E7-209A6705CB29}" name="on/off" dataDxfId="1535"/>
    <tableColumn id="4" xr3:uid="{654F6827-3090-4A4F-B7A2-FBC011AA5598}" name="Position" dataDxfId="1534"/>
    <tableColumn id="5" xr3:uid="{BA6691F5-0D99-47FA-B0CF-9FB1B76A91BD}" name="Name" dataDxfId="1533">
      <calculatedColumnFormula>ER159</calculatedColumnFormula>
    </tableColumn>
    <tableColumn id="6" xr3:uid="{3FF7768D-AB01-4705-A36E-735FB65C7B42}" name="stuff_id" dataDxfId="1532"/>
    <tableColumn id="7" xr3:uid="{FEC1D82D-96E9-499D-9AE8-43A277668103}" name="Manuell_total_hr" dataDxfId="1531"/>
    <tableColumn id="8" xr3:uid="{8AA024A4-D993-4297-9960-8FDF34338154}" name="kartlegg_total_hr" dataDxfId="1530"/>
    <tableColumn id="9" xr3:uid="{DC1F0676-5D36-4F88-A6C1-05AAC2F08E1C}" name="bolt_lt4_total" dataDxfId="1529"/>
    <tableColumn id="10" xr3:uid="{13BD450F-25BE-4474-9A92-41B06F5526A7}" name="bolt_gt4_total" dataDxfId="1528"/>
    <tableColumn id="11" xr3:uid="{A0C17B32-B6F2-47A7-8653-AF591EBF4571}" name="bergbånd_langs_forbolting_total" dataDxfId="1527"/>
    <tableColumn id="28" xr3:uid="{99A9585F-0097-44F3-B3D4-7E2827BDCCCD}" name="bergbånd_ekstra_total" dataDxfId="1526"/>
    <tableColumn id="29" xr3:uid="{86F36044-5B5C-44F1-BB6E-89DB6DCB2B3F}" name="festebolter_for_bergbånd_total" dataDxfId="1525"/>
    <tableColumn id="12" xr3:uid="{36A48893-A154-42DF-9584-2A5064C46689}" name="nett_total" dataDxfId="1524"/>
    <tableColumn id="13" xr3:uid="{DF90088B-59B9-458F-B488-EBAECE51B7FE}" name="festebolter_for_nett_total" dataDxfId="1523"/>
    <tableColumn id="30" xr3:uid="{72DA0743-70A4-41B1-A475-8DE1E0AABCA5}" name="sprøytebetong_ved_nett_total" dataDxfId="1522"/>
    <tableColumn id="15" xr3:uid="{02931E9F-2635-4C91-9F4B-F36491EF3797}" name="forbolter_lt4_total" dataDxfId="1521"/>
    <tableColumn id="16" xr3:uid="{D5CEB505-8680-441D-A016-2032271B3D7D}" name="forbolter_gt4_total" dataDxfId="1520"/>
    <tableColumn id="17" xr3:uid="{858645C1-ED2C-4690-8A4F-515F4A0FB660}" name="opphengbolter_lt4_total" dataDxfId="1519"/>
    <tableColumn id="18" xr3:uid="{4DDF1A6F-4F6F-4991-B6F9-5CC9C3BBCAFD}" name="opphengbolter_gt4_total" dataDxfId="1518"/>
    <tableColumn id="14" xr3:uid="{1555589B-F060-4111-AAE6-111A7BE6ABC7}" name="sprøyte_total" dataDxfId="1517"/>
    <tableColumn id="19" xr3:uid="{C809B98C-A923-400F-91D6-A1E604C2978F}" name="bue_e30_total" dataDxfId="1516"/>
    <tableColumn id="20" xr3:uid="{8D0971E2-A8B8-49E6-B8C5-42CBC1937F62}" name="bue_d60_total" dataDxfId="1515"/>
    <tableColumn id="21" xr3:uid="{C2A1E679-89F3-47D2-953D-4A14485B305F}" name="bue_radielle_lt4_total" dataDxfId="1514"/>
    <tableColumn id="22" xr3:uid="{F4EE5FD7-A24B-4EC8-BACA-00F5FE5F288D}" name="bue_radielle_gt4_total" dataDxfId="1513"/>
    <tableColumn id="23" xr3:uid="{0FB44EC3-8625-493B-B1B5-FAFEDA6E8925}" name="sprøytebetong_ved_bue_total" dataDxfId="1512"/>
    <tableColumn id="24" xr3:uid="{F0BF27EC-D23D-40D4-93BD-77CA7934F294}" name="forankring_lt4_total" dataDxfId="1511"/>
    <tableColumn id="25" xr3:uid="{04B9470E-A5CF-47BD-B5F1-682F38500301}" name="forankring_gt4_total" dataDxfId="1510"/>
    <tableColumn id="26" xr3:uid="{A576D507-0BD7-4799-A1E6-E9D1A74BA4CB}" name="sik123_sum" dataDxfId="1509"/>
    <tableColumn id="27" xr3:uid="{13B873F2-3F79-4631-ADED-F3DF9DFC9269}" name="sik4_sum" dataDxfId="150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BA4EBB9-AFFA-40C1-8871-A296479546F8}" name="inputs_foran" displayName="inputs_foran" ref="DR31:EC40" totalsRowShown="0" headerRowDxfId="2211" dataDxfId="2209" headerRowBorderDxfId="2210" tableBorderDxfId="2208" totalsRowBorderDxfId="2207">
  <autoFilter ref="DR31:EC40" xr:uid="{84067AF9-C3CC-4457-88DA-210DD5C70B50}"/>
  <tableColumns count="12">
    <tableColumn id="1" xr3:uid="{8199C48E-5260-46DF-BEA5-DD399752D0AC}" name="Position" dataDxfId="2206"/>
    <tableColumn id="2" xr3:uid="{C9002042-BB8C-4250-8E0A-D9C8D4A23299}" name="Sonderboring" dataDxfId="2205"/>
    <tableColumn id="3" xr3:uid="{1799EFC1-55BC-4D68-9A45-EDB2F1C3B43B}" name="Kjerneboring" dataDxfId="2204"/>
    <tableColumn id="4" xr3:uid="{DF83A49B-446B-4502-AF8A-151D2920733F}" name="Seismikk" dataDxfId="2203"/>
    <tableColumn id="5" xr3:uid="{A42FA54B-B538-43A6-97E0-4BD55BE9684A}" name="sp_Rigg" dataDxfId="2202"/>
    <tableColumn id="6" xr3:uid="{C28017B8-A427-4F6B-92C0-4A06554D3959}" name="sp_Boring" dataDxfId="2201"/>
    <tableColumn id="7" xr3:uid="{18DBDFE5-CE86-429E-BCDC-1EBD0AC2D1D4}" name="Sp_Injeksjon" dataDxfId="2200"/>
    <tableColumn id="8" xr3:uid="{C6588199-4165-4502-9E0C-E1647AA6D00D}" name="sp_Kontrollhull" dataDxfId="2199"/>
    <tableColumn id="9" xr3:uid="{00F7F9C3-D940-48A5-A2C3-7902F432C39F}" name="sy_Rigg" dataDxfId="2198"/>
    <tableColumn id="10" xr3:uid="{B4FB3F48-6928-4B9F-BA38-0471A2996409}" name="sy_Boring" dataDxfId="2197"/>
    <tableColumn id="11" xr3:uid="{9B0CA9DD-6046-4147-92EC-DE33321A3140}" name="sy_Injeksjon" dataDxfId="2196"/>
    <tableColumn id="12" xr3:uid="{6CECC9B7-1055-4825-9A12-3A6113A6F727}" name="sy_Kontrollhull" dataDxfId="2195"/>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BA1F7A6-A591-411E-8162-26B4133C3A57}" name="tunneldrift_column" displayName="tunneldrift_column" ref="KO14:KP22" totalsRowShown="0" headerRowDxfId="1507" dataDxfId="1505" headerRowBorderDxfId="1506" tableBorderDxfId="1504" totalsRowBorderDxfId="1503">
  <autoFilter ref="KO14:KP22" xr:uid="{5BC0FE5B-3AD6-4BC1-A7CF-6502B2E22FAB}"/>
  <tableColumns count="2">
    <tableColumn id="1" xr3:uid="{05D72C18-5631-46CF-BCB9-CDEA272397E2}" name="Løp_Stuff" dataDxfId="1502"/>
    <tableColumn id="2" xr3:uid="{3316839C-1D14-477C-98D0-908DB9166423}" name="Column_number" dataDxfId="150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B661FE5-7993-49DF-9CD7-CACAEC481DED}" name="tunneldrift_stuffcontrol" displayName="tunneldrift_stuffcontrol" ref="KO33:KW41" totalsRowShown="0" headerRowDxfId="1500" dataDxfId="1498" headerRowBorderDxfId="1499" tableBorderDxfId="1497" totalsRowBorderDxfId="1496">
  <autoFilter ref="KO33:KW41" xr:uid="{1D6B0461-43E4-4BD7-BE1E-3F443F548005}"/>
  <tableColumns count="9">
    <tableColumn id="1" xr3:uid="{5EF8B60D-AE58-48E7-A74D-DFDC26AA50AF}" name="løp_stuff" dataDxfId="1495"/>
    <tableColumn id="2" xr3:uid="{9215E408-F1D1-444B-B241-2A00C31960C4}" name="1" dataDxfId="1494"/>
    <tableColumn id="3" xr3:uid="{1760BF81-4333-413C-8B3F-10783301EA33}" name="2" dataDxfId="1493"/>
    <tableColumn id="4" xr3:uid="{56E60A98-8ADC-4BA5-9AC1-225BC1D61F5F}" name="3" dataDxfId="1492"/>
    <tableColumn id="5" xr3:uid="{A934FD74-D8D4-447F-82C5-C892E9AABDF7}" name="4" dataDxfId="1491"/>
    <tableColumn id="6" xr3:uid="{4C1DBD52-38D3-4960-9BF2-79B1A2A8B74D}" name="5" dataDxfId="1490"/>
    <tableColumn id="7" xr3:uid="{5E2AD3F4-D423-4BFF-89EA-F8B95C9BB160}" name="6" dataDxfId="1489"/>
    <tableColumn id="8" xr3:uid="{EB42A1AC-94CB-4C68-A014-7A27CBFF6057}" name="7" dataDxfId="1488"/>
    <tableColumn id="9" xr3:uid="{A4752B9E-7003-43DF-8693-A7488D202BA7}" name="8" dataDxfId="148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DC64ED94-A75C-417E-8863-162CB1E47E67}" name="tunneldrift_vekseldrift" displayName="tunneldrift_vekseldrift" ref="KO57:LG66" totalsRowShown="0" headerRowDxfId="1486" dataDxfId="1484" headerRowBorderDxfId="1485" tableBorderDxfId="1483" totalsRowBorderDxfId="1482">
  <autoFilter ref="KO57:LG66" xr:uid="{DF7D0D9D-6DF0-4379-A8EE-E7416DD23D16}"/>
  <tableColumns count="19">
    <tableColumn id="1" xr3:uid="{86E90C4D-80BC-41DD-B3C6-AA365CC59C13}" name="Stuff_navn" dataDxfId="1481">
      <calculatedColumnFormula>BB49</calculatedColumnFormula>
    </tableColumn>
    <tableColumn id="15" xr3:uid="{A7BE1E3A-86C1-405C-A37F-F42576E9C503}" name="metode" dataDxfId="1480"/>
    <tableColumn id="2" xr3:uid="{0DEDB948-CD8C-4A3D-8502-73685107EF68}" name="CHECK_løp_lengde" dataDxfId="1479">
      <calculatedColumnFormula>ISBLANK(Prosjektinfo!$Q$90)</calculatedColumnFormula>
    </tableColumn>
    <tableColumn id="17" xr3:uid="{759A1613-9E12-490A-98B9-43C2E4EB71AC}" name="løp_lengde" dataDxfId="1478"/>
    <tableColumn id="3" xr3:uid="{BB55F8AB-0D04-4F8D-9F67-A3E0277B2E3F}" name="CHECK_Stuff_lengde" dataDxfId="1477"/>
    <tableColumn id="4" xr3:uid="{E17A8D5F-E921-4ADF-B760-D2763CB79EEC}" name="Input_stuff_lengde" dataDxfId="1476">
      <calculatedColumnFormula>BC49</calculatedColumnFormula>
    </tableColumn>
    <tableColumn id="5" xr3:uid="{8BEC4373-A26A-46C9-A98A-2CA6D1E53B8A}" name="Stuff_control" dataDxfId="1475"/>
    <tableColumn id="6" xr3:uid="{CDC9B02F-5F46-4153-96C7-74B5DD8BD7FB}" name="Enstuff_andel_CHECK_blank" dataDxfId="1474"/>
    <tableColumn id="7" xr3:uid="{4B0CDA0D-0363-4EFF-8867-030268D11755}" name="En_stuff_input" dataDxfId="1473"/>
    <tableColumn id="8" xr3:uid="{241D7681-4EEC-419A-8C7D-5E7915C741FA}" name="en_stuff_lengde" dataDxfId="1472">
      <calculatedColumnFormula>IF(tunneldrift_vekseldrift[[#This Row],[Stuff_control]]=1,tunneldrift_vekseldrift[[#This Row],[En_stuff_input]])</calculatedColumnFormula>
    </tableColumn>
    <tableColumn id="9" xr3:uid="{1FD9B7A2-5E72-4CAA-B8EC-8B0C9C3D6902}" name="gjenværende_lengde" dataDxfId="1471">
      <calculatedColumnFormula>IF(tunneldrift_vekseldrift[[#This Row],[Stuff_control]]=1,tunneldrift_vekseldrift[[#This Row],[Input_stuff_lengde]]-tunneldrift_vekseldrift[[#This Row],[en_stuff_lengde]])</calculatedColumnFormula>
    </tableColumn>
    <tableColumn id="19" xr3:uid="{ECFFB2F0-EC8B-40C4-990E-64946D97FC17}" name="Check_drivemetode_blank" dataDxfId="1470"/>
    <tableColumn id="16" xr3:uid="{4ECADA73-EF2F-40D7-B791-D365BEB64689}" name="CHECK_enstuff" dataDxfId="1469">
      <calculatedColumnFormula>IF(AND(tunneldrift_vekseldrift[[#This Row],[CHECK_løp_lengde]]=FALSE,tunneldrift_vekseldrift[[#This Row],[CHECK_Stuff_lengde]]=FALSE,tunneldrift_vekseldrift[[#This Row],[Input_stuff_lengde]]&lt;=tunneldrift_vekseldrift[[#This Row],[løp_lengde]],tunneldrift_vekseldrift[[#This Row],[Input_stuff_lengde]]&gt;0),1,0)</calculatedColumnFormula>
    </tableColumn>
    <tableColumn id="10" xr3:uid="{7B6FE7A0-5A16-4DE2-8DBF-B68B71ED1389}" name="CHECK_veksel_nullsum" dataDxfId="1468">
      <calculatedColumnFormula>IF(AND(tunneldrift_vekseldrift[[#This Row],[Enstuff_andel_CHECK_blank]]=FALSE,tunneldrift_vekseldrift[[#This Row],[En_stuff_input]]&gt;=0,tunneldrift_vekseldrift[[#This Row],[en_stuff_lengde]]&lt;tunneldrift_vekseldrift[[#This Row],[Input_stuff_lengde]]),1,0)</calculatedColumnFormula>
    </tableColumn>
    <tableColumn id="11" xr3:uid="{9C5EC0DA-606C-4F61-9D05-F72A9BA5D4E4}" name="CHECK_final" dataDxfId="1467">
      <calculatedColumnFormula>IF(tunneldrift_vekseldrift[[#This Row],[CHECK_løp_lengde]]=TRUE,0,IF(tunneldrift_vekseldrift[[#This Row],[metode]]=1,tunneldrift_vekseldrift[[#This Row],[CHECK_enstuff]],IF(tunneldrift_vekseldrift[[#This Row],[metode]]=2,tunneldrift_vekseldrift[[#This Row],[CHECK_veksel_nullsum]])))</calculatedColumnFormula>
    </tableColumn>
    <tableColumn id="12" xr3:uid="{7ED0756F-87D8-4CC1-B4BE-E5EBFD7AE6B7}" name="vekseldrift_lengde" dataDxfId="1466">
      <calculatedColumnFormula>IF(AND(tunneldrift_vekseldrift[[#This Row],[CHECK_løp_lengde]]=FALSE,tunneldrift_vekseldrift[[#This Row],[CHECK_Stuff_lengde]]=FALSE,tunneldrift_vekseldrift[[#This Row],[Input_stuff_lengde]]&gt;=tunneldrift_vekseldrift[[#This Row],[En_stuff_input]]),tunneldrift_vekseldrift[[#This Row],[gjenværende_lengde]],"!")</calculatedColumnFormula>
    </tableColumn>
    <tableColumn id="13" xr3:uid="{56850F1C-B8CC-46C9-A772-4259F96B1FA5}" name="en_stuff_lengde_final" dataDxfId="1465">
      <calculatedColumnFormula>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calculatedColumnFormula>
    </tableColumn>
    <tableColumn id="14" xr3:uid="{DB0AC06C-76BD-44D6-AFF2-79A2B340CE01}" name="vekseldrift_lengde_final" dataDxfId="1464">
      <calculatedColumnFormula>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calculatedColumnFormula>
    </tableColumn>
    <tableColumn id="18" xr3:uid="{98589F85-0A31-40C1-8496-3D604556FC90}" name="en_stuff_oppsum" dataDxfId="1463">
      <calculatedColumnFormula>IFERROR(tunneldrift_vekseldrift[[#This Row],[en_stuff_lengde_final]],"!")</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AE07FF44-5EDF-4B98-BB8D-2E8AB5F72436}" name="framdriftfaktor" displayName="framdriftfaktor" ref="KO84:LG111" totalsRowShown="0" headerRowDxfId="1462" dataDxfId="1460" headerRowBorderDxfId="1461" tableBorderDxfId="1459" totalsRowBorderDxfId="1458">
  <autoFilter ref="KO84:LG111" xr:uid="{E6ADEEAD-5864-46A5-9E97-AB2839AC8696}"/>
  <tableColumns count="19">
    <tableColumn id="1" xr3:uid="{7EF57ECB-1ED7-4E7A-AC0A-EAC8E19C6452}" name="stuff_id" dataDxfId="1457">
      <calculatedColumnFormula>NN67</calculatedColumnFormula>
    </tableColumn>
    <tableColumn id="2" xr3:uid="{DAD16BD0-C188-4D2C-ABD1-7A974A34D552}" name="stuff_navn" dataDxfId="1456"/>
    <tableColumn id="16" xr3:uid="{03C0A1D0-F7A0-4285-95C2-9DF865D873F3}" name="veksel_prosent" dataDxfId="1455">
      <calculatedColumnFormula>IFERROR(INDEX(tunneldrift_vekseldrift[vekseldrift_lengde_final],MATCH(framdriftfaktor[[#This Row],[stuff_navn]],tunneldrift_vekseldrift[Stuff_navn],0))/INDEX(tunneldrift_vekseldrift[Input_stuff_lengde],MATCH(framdriftfaktor[[#This Row],[stuff_navn]],tunneldrift_vekseldrift[Stuff_navn],0)),"-")</calculatedColumnFormula>
    </tableColumn>
    <tableColumn id="15" xr3:uid="{36325F1D-0018-4815-82E1-22B24E06D82A}" name="Column5" dataDxfId="1454"/>
    <tableColumn id="3" xr3:uid="{6AE072EC-E8D4-42D5-BB00-BAF04480276B}" name="sprengning_tid_hr" dataDxfId="1453">
      <calculatedColumnFormula>NV67</calculatedColumnFormula>
    </tableColumn>
    <tableColumn id="4" xr3:uid="{9A327E4E-2558-4E2C-A940-9A7D34155808}" name="stabilitets_tid_hr" dataDxfId="1452">
      <calculatedColumnFormula>PH67</calculatedColumnFormula>
    </tableColumn>
    <tableColumn id="5" xr3:uid="{E692958F-2968-43BE-9601-EF73E71C260A}" name="foran_tid_hr" dataDxfId="1451">
      <calculatedColumnFormula>OI67</calculatedColumnFormula>
    </tableColumn>
    <tableColumn id="19" xr3:uid="{F302D89C-7925-4A1F-BDFD-63E792276DD7}" name="sprengning_tid_hr_veksel_del" dataDxfId="1450">
      <calculatedColumnFormula>IFERROR(framdriftfaktor[[#This Row],[sprengning_tid_hr]]*framdriftfaktor[[#This Row],[veksel_prosent]],"-")</calculatedColumnFormula>
    </tableColumn>
    <tableColumn id="18" xr3:uid="{CBF1373F-8535-4D34-A1E9-3C5F67AF4568}" name="stabilitets_tid_hr_veksel_del" dataDxfId="1449">
      <calculatedColumnFormula>IFERROR(framdriftfaktor[[#This Row],[stabilitets_tid_hr]]*framdriftfaktor[[#This Row],[veksel_prosent]],"-")</calculatedColumnFormula>
    </tableColumn>
    <tableColumn id="17" xr3:uid="{4A6C83C3-976C-40D7-B4D6-34AD931941F8}" name="foran_tid_hr_veksel_del" dataDxfId="1448">
      <calculatedColumnFormula>IFERROR(framdriftfaktor[[#This Row],[stabilitets_tid_hr]]*framdriftfaktor[[#This Row],[veksel_prosent]],"-")</calculatedColumnFormula>
    </tableColumn>
    <tableColumn id="6" xr3:uid="{8DB74CAC-E3E1-44E1-8B60-F328E5ECE0E5}" name="stab-foran_spreng_ratio" dataDxfId="1447"/>
    <tableColumn id="7" xr3:uid="{8BB0915D-31DB-4B11-A544-068F623D3711}" name="foran_spreng_ratio" dataDxfId="1446"/>
    <tableColumn id="8" xr3:uid="{33D93751-E3E5-46E0-A618-570311E40687}" name="rating_stab-foran" dataDxfId="1445">
      <calculatedColumnFormula>IF(framdriftfaktor[[#This Row],[stab-foran_spreng_ratio]]&lt;$LL$90,$LJ$90,IF(AND(framdriftfaktor[[#This Row],[stab-foran_spreng_ratio]]&gt;=$LK$91,framdriftfaktor[[#This Row],[stab-foran_spreng_ratio]]&lt;$LL$91),$LJ$91,IF(framdriftfaktor[[#This Row],[stab-foran_spreng_ratio]]&gt;=$LK$92,$LJ$92,"!")))</calculatedColumnFormula>
    </tableColumn>
    <tableColumn id="9" xr3:uid="{F1672344-6E9C-4332-B919-8EEB799DDB93}" name="beregnet_faktor_stab-foran" dataDxfId="1444">
      <calculatedColumnFormula>IF(framdriftfaktor[[#This Row],[rating_stab-foran]]=$LJ$90,$LM$90+$LO$90*framdriftfaktor[[#This Row],[stab-foran_spreng_ratio]],IF(framdriftfaktor[[#This Row],[rating_stab-foran]]=$LJ$91,$LM$91+((framdriftfaktor[[#This Row],[stab-foran_spreng_ratio]]-$LK$91)*$LO$91),IF(framdriftfaktor[[#This Row],[rating_stab-foran]]=$LJ$92,$LM$92)))</calculatedColumnFormula>
    </tableColumn>
    <tableColumn id="10" xr3:uid="{A2A034DF-8052-45B2-ADC3-0875CD822ED0}" name="beregnet_faktor_final" dataDxfId="1443">
      <calculatedColumnFormula>framdriftfaktor[[#This Row],[beregnet_faktor_stab-foran]]</calculatedColumnFormula>
    </tableColumn>
    <tableColumn id="11" xr3:uid="{BCE3A877-263D-46EE-9FCA-D40161CA15D3}" name="Column1" dataDxfId="1442"/>
    <tableColumn id="12" xr3:uid="{EA59DB0D-77FA-4003-B178-3FBFE585F5E2}" name="Column2" dataDxfId="1441"/>
    <tableColumn id="13" xr3:uid="{B7D36780-CB21-4CC0-90F1-0AAA515FE76C}" name="Column3" dataDxfId="1440"/>
    <tableColumn id="14" xr3:uid="{147056D2-623B-4899-B5C0-7E7221865012}" name="Column4" dataDxfId="143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F33EE6F-E190-497A-9E64-16FF7C7637D0}" name="inputs_framdriftfaktor" displayName="inputs_framdriftfaktor" ref="LJ103:LL112" totalsRowShown="0" headerRowBorderDxfId="1438" tableBorderDxfId="1437" totalsRowBorderDxfId="1436">
  <autoFilter ref="LJ103:LL112" xr:uid="{10C06FD2-1A46-469D-892B-2CCB386C73AA}"/>
  <tableColumns count="3">
    <tableColumn id="1" xr3:uid="{408AFED5-FE83-45D8-8F03-AF593C1C468E}" name="Position" dataDxfId="1435"/>
    <tableColumn id="2" xr3:uid="{A59CF3DB-F9BA-44DA-829B-8EBAA79DE9D0}" name="BLANK_check" dataDxfId="1434"/>
    <tableColumn id="3" xr3:uid="{33CA109D-57DF-41EE-9522-78AC33763187}" name="User_input" dataDxfId="143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FD381FB-9686-434A-8B7B-42E024C95931}" name="outputs_stab_klasse" displayName="outputs_stab_klasse" ref="EU182:FU193" totalsRowShown="0" headerRowDxfId="1432" dataDxfId="1430" headerRowBorderDxfId="1431" tableBorderDxfId="1429" totalsRowBorderDxfId="1428">
  <autoFilter ref="EU182:FU193" xr:uid="{BF144BDC-4260-477C-B257-DBC866EB14A5}"/>
  <tableColumns count="27">
    <tableColumn id="1" xr3:uid="{C0E9AB88-D962-4399-AFC1-26F431A1BBF4}" name="Position" dataDxfId="1427"/>
    <tableColumn id="2" xr3:uid="{F3A5A3CD-7EE1-4328-B3AE-0AB053754606}" name="Name" dataDxfId="1426">
      <calculatedColumnFormula>ER183</calculatedColumnFormula>
    </tableColumn>
    <tableColumn id="3" xr3:uid="{B9560D96-0873-4C44-B043-FE8A65454109}" name="stuff_id" dataDxfId="1425"/>
    <tableColumn id="4" xr3:uid="{A949BD2F-629D-4B13-8233-5F152728B5E2}" name="Manuell_total_hr" dataDxfId="1424"/>
    <tableColumn id="5" xr3:uid="{999A7B26-4469-4C3B-892A-9ADED236FDB6}" name="kartlegg_total_hr" dataDxfId="1423"/>
    <tableColumn id="6" xr3:uid="{0FAF4224-1480-4BCA-8E78-29FC397AA6F5}" name="bolt_lt4_total" dataDxfId="1422"/>
    <tableColumn id="7" xr3:uid="{05EE8C2E-05D8-440E-BE72-D94AD0283360}" name="bolt_gt4_total" dataDxfId="1421"/>
    <tableColumn id="8" xr3:uid="{3527AC1C-BF09-4576-85FA-95BA25D58F9E}" name="bergbånd_langs_forbolting_total" dataDxfId="1420"/>
    <tableColumn id="25" xr3:uid="{BB471EB8-D7C5-40F1-AF7E-F3F45A8ED857}" name="bergbånd_ekstra_total" dataDxfId="1419"/>
    <tableColumn id="26" xr3:uid="{9798279E-B638-402D-AF0A-C46C8A1AC232}" name="festebolter_for_bergbånd_total" dataDxfId="1418"/>
    <tableColumn id="9" xr3:uid="{955B1FB2-28B4-46F3-9799-1560A3814429}" name="nett_total" dataDxfId="1417"/>
    <tableColumn id="27" xr3:uid="{6DEE494D-E9C8-4675-9A07-59215C5794AA}" name="festebolter_for_nett_total" dataDxfId="1416"/>
    <tableColumn id="10" xr3:uid="{29F4C03C-C8E7-4A5E-AAD0-5B6CE358FEE1}" name="sprøytebetong_ved_nett_total" dataDxfId="1415"/>
    <tableColumn id="12" xr3:uid="{67F385E9-DD41-422B-A335-543246A7AD8A}" name="forbolter_lt4_total" dataDxfId="1414"/>
    <tableColumn id="13" xr3:uid="{32F83548-3665-4D10-8F5C-A1F629A07C51}" name="forbolter_gt4_total" dataDxfId="1413"/>
    <tableColumn id="14" xr3:uid="{7D97A44E-7721-4DF6-B660-3417A8FCA7C9}" name="opphengbolter_lt4_total" dataDxfId="1412"/>
    <tableColumn id="15" xr3:uid="{CBACB9ED-913D-4A3F-8FED-BB5D40FD924F}" name="opphengbolter_gt4_total" dataDxfId="1411"/>
    <tableColumn id="11" xr3:uid="{F180671B-19F6-4C2F-A9E4-8897A76DB883}" name="sprøyte_total" dataDxfId="1410"/>
    <tableColumn id="16" xr3:uid="{03EDA525-F992-4285-A927-1B39911AA8B3}" name="bue_e30_total" dataDxfId="1409"/>
    <tableColumn id="17" xr3:uid="{75576FAD-7129-4441-9239-B1EC06C93AC2}" name="bue_d60_total" dataDxfId="1408"/>
    <tableColumn id="18" xr3:uid="{B03C1E5A-F306-4A8A-B0F9-C6652C81DE9A}" name="bue_radielle_lt4_total" dataDxfId="1407"/>
    <tableColumn id="19" xr3:uid="{47C46883-5116-4EBB-A2DF-44AFBD2AE305}" name="bue_radielle_gt4_total" dataDxfId="1406"/>
    <tableColumn id="20" xr3:uid="{C73861FB-660D-4DB5-9B62-660C73C6CF69}" name="tillleggs_sprøyte_total" dataDxfId="1405"/>
    <tableColumn id="21" xr3:uid="{ADAFAFD3-EFF1-44C9-A8E3-B0D4074AA45D}" name="forankring_lt4_total" dataDxfId="1404"/>
    <tableColumn id="22" xr3:uid="{3AF25B0F-EA83-48C8-B589-4D1DF2D75CF2}" name="forankring_gt4_total" dataDxfId="1403"/>
    <tableColumn id="23" xr3:uid="{9B7BBC3A-F8DD-4D0D-A35C-77FC605B5248}" name="sik123_sum" dataDxfId="1402"/>
    <tableColumn id="24" xr3:uid="{ADECF942-FCBA-45D8-8FF6-CD4DFDD5D65B}" name="sik4_sum" dataDxfId="140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B2246005-5A5E-4B5B-8442-58FC18F06ACD}" name="position_framdriftsfaktor" displayName="position_framdriftsfaktor" ref="LJ120:LP129" totalsRowShown="0" headerRowDxfId="1400" headerRowBorderDxfId="1399" tableBorderDxfId="1398" totalsRowBorderDxfId="1397">
  <autoFilter ref="LJ120:LP129" xr:uid="{8BD4398E-4532-44A0-9FAC-FF5D80D6AC56}"/>
  <tableColumns count="7">
    <tableColumn id="1" xr3:uid="{057E43F8-395D-4070-8BDA-D105420209F3}" name="Navn" dataDxfId="1396"/>
    <tableColumn id="2" xr3:uid="{FD1EF074-8930-413B-A2A9-5617ADEC3070}" name="default position" dataDxfId="1395"/>
    <tableColumn id="3" xr3:uid="{97641EAB-337D-4DFA-AD89-C00279C8BA80}" name="on/off" dataDxfId="1394"/>
    <tableColumn id="4" xr3:uid="{D932B986-7C21-45CC-8D48-F2C13892C4F3}" name="Position" dataDxfId="1393"/>
    <tableColumn id="5" xr3:uid="{A7FCBDB7-E6A6-4277-A6EB-10220CDA6960}" name="Name" dataDxfId="1392">
      <calculatedColumnFormula>LJ121</calculatedColumnFormula>
    </tableColumn>
    <tableColumn id="6" xr3:uid="{F3FC15B8-B93A-4904-ABF2-DB638AE3CEA2}" name="User_Input" dataDxfId="1391">
      <calculatedColumnFormula>INDEX(inputs_framdriftfaktor[User_input],MATCH(position_framdriftsfaktor[[#This Row],[Position]],inputs_framdriftfaktor[Position],0))</calculatedColumnFormula>
    </tableColumn>
    <tableColumn id="7" xr3:uid="{D623FEAE-2694-45AC-9B4F-E43493E77747}" name="Blank_check" dataDxfId="1390">
      <calculatedColumnFormula>INDEX(inputs_framdriftfaktor[BLANK_check],MATCH(position_framdriftsfaktor[[#This Row],[Position]],inputs_framdriftfaktor[Position],0))</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E7B7877C-6E4C-4F71-B2AE-C703685323D5}" name="outputs_framdriftsfaktor" displayName="outputs_framdriftsfaktor" ref="LJ140:LM149" totalsRowShown="0" headerRowDxfId="1389" headerRowBorderDxfId="1388" tableBorderDxfId="1387" totalsRowBorderDxfId="1386">
  <autoFilter ref="LJ140:LM149" xr:uid="{FBDC5900-C41D-4E65-88F2-6F90BE90DD07}"/>
  <tableColumns count="4">
    <tableColumn id="1" xr3:uid="{F5F8D65B-C268-4D13-A17F-01E9DE3F4641}" name="Stuff name" dataDxfId="1385"/>
    <tableColumn id="2" xr3:uid="{F39BE6D3-080F-484C-88B1-9BA274C56600}" name="Beregnet framdriftfaktor" dataDxfId="1384"/>
    <tableColumn id="3" xr3:uid="{434818B8-A420-4B1E-88E7-5A7B7C90BBCA}" name="Beregnet framdriftfaktor_check" dataDxfId="1383"/>
    <tableColumn id="4" xr3:uid="{55FD8BF2-6E0A-4640-864F-E83425F131FD}" name="Position" dataDxfId="138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DCE0883-944E-42E6-A2D6-C2BFC7F96520}" name="utskrift_just" displayName="utskrift_just" ref="IH76:JQ85" totalsRowShown="0" headerRowDxfId="1381" dataDxfId="1379" headerRowBorderDxfId="1380" tableBorderDxfId="1378" totalsRowBorderDxfId="1377">
  <autoFilter ref="IH76:JQ85" xr:uid="{B2631F9D-9A18-469C-B4BA-C94528C9790B}"/>
  <tableColumns count="36">
    <tableColumn id="1" xr3:uid="{59CE808F-2729-4E43-8B47-9FD91B5C877B}" name="position" dataDxfId="1376"/>
    <tableColumn id="29" xr3:uid="{FB6F740C-5838-47D7-842C-2C269D3C4AC7}" name="Column2" dataDxfId="1375">
      <calculatedColumnFormula>II18</calculatedColumnFormula>
    </tableColumn>
    <tableColumn id="28" xr3:uid="{48BBF0B8-9D1D-442E-86A8-0ECE7D6786AF}" name="vek_faktor_bruker_definert_status" dataDxfId="1374">
      <calculatedColumnFormula>IJ18</calculatedColumnFormula>
    </tableColumn>
    <tableColumn id="30" xr3:uid="{371FF1CB-6F67-4C7E-A531-89F51B4CB604}" name="vek_faktor_bruker_verdi" dataDxfId="1373">
      <calculatedColumnFormula>IF(AND(II18=2,IJ18=FALSE),IK18,IF(AND(II18=2,IJ18=TRUE),$II$97,""))</calculatedColumnFormula>
    </tableColumn>
    <tableColumn id="36" xr3:uid="{96D3EB80-994C-4495-A625-0D1A55AA8673}" name="vek_faktor_beg" dataDxfId="1372">
      <calculatedColumnFormula>IF(AND(II18=2,IJ18=FALSE),IM18,"")</calculatedColumnFormula>
    </tableColumn>
    <tableColumn id="35" xr3:uid="{CDF170FA-64A2-41C6-ADC7-23265970DAF7}" name="Column13" dataDxfId="1371"/>
    <tableColumn id="34" xr3:uid="{6E9243DC-0E73-495E-AB03-B89C0B7CC074}" name="general_svar" dataDxfId="1370">
      <calculatedColumnFormula>IF(utskrift_just[[#This Row],[general_svar_id]]=1,"Ja","Nei")</calculatedColumnFormula>
    </tableColumn>
    <tableColumn id="33" xr3:uid="{33FF952D-6177-4746-9F5F-6DF01B9C395B}" name="general_svar_id" dataDxfId="1369">
      <calculatedColumnFormula>IO18</calculatedColumnFormula>
    </tableColumn>
    <tableColumn id="32" xr3:uid="{3156C426-17E8-4DB1-BCA6-09CEA8787422}" name="general_tid" dataDxfId="1368">
      <calculatedColumnFormula>IF(utskrift_just[[#This Row],[general_svar_id]]=1,IP18,"-")</calculatedColumnFormula>
    </tableColumn>
    <tableColumn id="31" xr3:uid="{39694B4B-7BA8-4F3E-8D95-D896E3D624B4}" name="general_beg" dataDxfId="1367">
      <calculatedColumnFormula>IF(utskrift_just[[#This Row],[general_svar_id]]=1,IQ18,"")</calculatedColumnFormula>
    </tableColumn>
    <tableColumn id="2" xr3:uid="{1E7370B0-E77A-4980-8895-BC0561362D84}" name="geo_svar" dataDxfId="1366">
      <calculatedColumnFormula>IF(utskrift_just[[#This Row],[general_svar_id]]=2,IR18,"Nei")</calculatedColumnFormula>
    </tableColumn>
    <tableColumn id="3" xr3:uid="{E61997A2-823B-4D6F-B0EA-99C9D890A729}" name="geo_tid" dataDxfId="1365">
      <calculatedColumnFormula>IF(AND(utskrift_just[[#This Row],[general_svar_id]]=2,utskrift_just[[#This Row],[geo_svar]]="Ja"),IS18,"-")</calculatedColumnFormula>
    </tableColumn>
    <tableColumn id="4" xr3:uid="{1158EECC-81DE-45E6-8483-A3D712CD97B3}" name="geo_beg" dataDxfId="1364">
      <calculatedColumnFormula>IF(AND(utskrift_just[[#This Row],[general_svar_id]]=2,utskrift_just[[#This Row],[geo_svar]]="Ja"),IT18,"-")</calculatedColumnFormula>
    </tableColumn>
    <tableColumn id="5" xr3:uid="{D06C3D0F-74D8-4E39-9AB7-E709AC49B69A}" name="stig_svar" dataDxfId="1363">
      <calculatedColumnFormula>IF(utskrift_just[[#This Row],[general_svar_id]]=2,IU18,"Nei")</calculatedColumnFormula>
    </tableColumn>
    <tableColumn id="6" xr3:uid="{35A64694-9400-4B6B-8F2D-F091190C7757}" name="stig_tid" dataDxfId="1362">
      <calculatedColumnFormula>IF(AND(utskrift_just[[#This Row],[general_svar_id]]=2,utskrift_just[[#This Row],[stig_svar]]="Ja"),IV18,"-")</calculatedColumnFormula>
    </tableColumn>
    <tableColumn id="7" xr3:uid="{7AA96A94-0CCE-4A5D-9FCD-AC6D60A6208A}" name="stig_beg" dataDxfId="1361">
      <calculatedColumnFormula>IF(AND(utskrift_just[[#This Row],[general_svar_id]]=2,utskrift_just[[#This Row],[stig_svar]]="Ja"),IW18,"-")</calculatedColumnFormula>
    </tableColumn>
    <tableColumn id="8" xr3:uid="{608CB10D-9CF2-4814-A6BF-9ACC1EA2FF71}" name="arb_svar" dataDxfId="1360">
      <calculatedColumnFormula>IF(utskrift_just[[#This Row],[general_svar_id]]=2,IX18,"Nei")</calculatedColumnFormula>
    </tableColumn>
    <tableColumn id="9" xr3:uid="{9705BFFD-3158-48A6-B258-736A70318868}" name="arb_tid" dataDxfId="1359">
      <calculatedColumnFormula>IF(AND(utskrift_just[[#This Row],[general_svar_id]]=2,utskrift_just[[#This Row],[arb_svar]]="Ja"),IY18,"-")</calculatedColumnFormula>
    </tableColumn>
    <tableColumn id="10" xr3:uid="{470D956F-4457-4BEB-B47E-E4DF6F55A315}" name="arb_beg" dataDxfId="1358">
      <calculatedColumnFormula>IF(AND(utskrift_just[[#This Row],[general_svar_id]]=2,utskrift_just[[#This Row],[arb_svar]]="Ja"),IZ18,"-")</calculatedColumnFormula>
    </tableColumn>
    <tableColumn id="11" xr3:uid="{6FA8BB3E-1151-41D0-B277-59892CD1AAD1}" name="spreng_svar" dataDxfId="1357">
      <calculatedColumnFormula>IF(utskrift_just[[#This Row],[general_svar_id]]=2,JA18,"Nei")</calculatedColumnFormula>
    </tableColumn>
    <tableColumn id="12" xr3:uid="{13BCA77D-CD49-4348-9A96-31ABCEEAB658}" name="spreng_tid" dataDxfId="1356">
      <calculatedColumnFormula>IF(AND(utskrift_just[[#This Row],[general_svar_id]]=2,utskrift_just[[#This Row],[spreng_svar]]="Ja"),JB18,"-")</calculatedColumnFormula>
    </tableColumn>
    <tableColumn id="13" xr3:uid="{4D988B41-F138-429B-B618-36D8EB1FEFA3}" name="spreng_beg" dataDxfId="1355">
      <calculatedColumnFormula>IF(AND(utskrift_just[[#This Row],[general_svar_id]]=2,utskrift_just[[#This Row],[spreng_svar]]="Ja"),JC18,"-")</calculatedColumnFormula>
    </tableColumn>
    <tableColumn id="14" xr3:uid="{F78FECB4-E3CE-4396-8974-B0BD157A8455}" name="skyte_svar" dataDxfId="1354">
      <calculatedColumnFormula>IF(utskrift_just[[#This Row],[general_svar_id]]=2,JD18,"Nei")</calculatedColumnFormula>
    </tableColumn>
    <tableColumn id="15" xr3:uid="{E5868193-6B8D-4B8A-B204-35AD21A2ADB6}" name="skyte_tid" dataDxfId="1353">
      <calculatedColumnFormula>IF(AND(utskrift_just[[#This Row],[general_svar_id]]=2,utskrift_just[[#This Row],[skyte_svar]]="Ja"),JE18,"-")</calculatedColumnFormula>
    </tableColumn>
    <tableColumn id="16" xr3:uid="{634BF5F1-9573-48C3-B88E-A0EA379ACD91}" name="skyte_beg" dataDxfId="1352">
      <calculatedColumnFormula>IF(AND(utskrift_just[[#This Row],[general_svar_id]]=2,utskrift_just[[#This Row],[skyte_svar]]="Ja"),JF18,"-")</calculatedColumnFormula>
    </tableColumn>
    <tableColumn id="17" xr3:uid="{778FD4C7-C688-4DC2-B5B3-35569A5B1847}" name="støy_svar" dataDxfId="1351">
      <calculatedColumnFormula>IF(utskrift_just[[#This Row],[general_svar_id]]=2,JG18,"Nei")</calculatedColumnFormula>
    </tableColumn>
    <tableColumn id="18" xr3:uid="{1370458A-3040-44F3-9902-BC7D9440F522}" name="støy_tid" dataDxfId="1350">
      <calculatedColumnFormula>IF(AND(utskrift_just[[#This Row],[general_svar_id]]=2,utskrift_just[[#This Row],[støy_svar]]="Ja"),JH18,"-")</calculatedColumnFormula>
    </tableColumn>
    <tableColumn id="19" xr3:uid="{0D980951-5E5D-44D0-8D01-B85A516C6BAA}" name="støy_beg" dataDxfId="1349">
      <calculatedColumnFormula>IF(AND(utskrift_just[[#This Row],[general_svar_id]]=2,utskrift_just[[#This Row],[støy_svar]]="Ja"),JI18,"-")</calculatedColumnFormula>
    </tableColumn>
    <tableColumn id="20" xr3:uid="{ACEDD67F-AB29-435D-A62B-573437055830}" name="ann_svar" dataDxfId="1348">
      <calculatedColumnFormula>IF(utskrift_just[[#This Row],[general_svar_id]]=2,JJ18,"Nei")</calculatedColumnFormula>
    </tableColumn>
    <tableColumn id="21" xr3:uid="{C35B9CBB-40F8-42E8-B5DF-70352488A808}" name="ann_tid" dataDxfId="1347">
      <calculatedColumnFormula>IF(AND(utskrift_just[[#This Row],[general_svar_id]]=2,utskrift_just[[#This Row],[ann_svar]]="Ja"),JK18,"-")</calculatedColumnFormula>
    </tableColumn>
    <tableColumn id="22" xr3:uid="{6DACB81C-92E3-47F8-BB5B-72338E3EB036}" name="ann_beg" dataDxfId="1346">
      <calculatedColumnFormula>IF(AND(utskrift_just[[#This Row],[general_svar_id]]=2,utskrift_just[[#This Row],[ann_svar]]="Ja"),JL18,"-")</calculatedColumnFormula>
    </tableColumn>
    <tableColumn id="23" xr3:uid="{3EAF76B1-A401-49C3-8935-1BA8089019C9}" name="total_just_tid" dataDxfId="1345">
      <calculatedColumnFormula>IF(JW58=1,_List!$EG$7,IFERROR(utskrift_just[[#This Row],[general_tid]]+utskrift_just[[#This Row],[geo_tid]]+utskrift_just[[#This Row],[stig_tid]]+utskrift_just[[#This Row],[arb_tid]]+utskrift_just[[#This Row],[spreng_tid]]+utskrift_just[[#This Row],[skyte_tid]]+utskrift_just[[#This Row],[støy_tid]]+utskrift_just[[#This Row],[ann_tid]],0))</calculatedColumnFormula>
    </tableColumn>
    <tableColumn id="24" xr3:uid="{8BC5CAFD-C994-4DF5-9DFD-3EE1DA585462}" name="Navn" dataDxfId="1344">
      <calculatedColumnFormula>IFERROR((INDEX(oppsum_position[Name],MATCH(utskrift_just[[#This Row],[position]],oppsum_position[Position],0))),"")</calculatedColumnFormula>
    </tableColumn>
    <tableColumn id="25" xr3:uid="{68D0B90D-4980-4C08-BCE5-62A4714DDDD9}" name="default position" dataDxfId="1343"/>
    <tableColumn id="26" xr3:uid="{AD6E053F-6F86-4285-8E21-24A73DCC4877}" name="on/off" dataDxfId="1342"/>
    <tableColumn id="27" xr3:uid="{C72CAA09-A95E-4EF2-83B5-6CD7AF8760F2}" name="stuff_position" dataDxfId="1341"/>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C0B7523D-F4B1-4C09-9D76-40EC87ADD461}" name="tickcheck_stab" displayName="tickcheck_stab" ref="ER202:ET211" totalsRowShown="0" headerRowDxfId="1340" dataDxfId="1338" headerRowBorderDxfId="1339" tableBorderDxfId="1337" totalsRowBorderDxfId="1336">
  <autoFilter ref="ER202:ET211" xr:uid="{54CC1CB3-8615-4237-A280-06105C6E8DC9}"/>
  <tableColumns count="3">
    <tableColumn id="1" xr3:uid="{80108AE5-868E-4782-ACE6-E200DA7C9D20}" name="position" dataDxfId="1335"/>
    <tableColumn id="2" xr3:uid="{73CC9821-922A-441B-B82B-EA09A54F2565}" name="sik123" dataDxfId="1334">
      <calculatedColumnFormula>IF(OR($PE176=0,$EZ58&lt;5,$EZ58&gt;10),0,1)</calculatedColumnFormula>
    </tableColumn>
    <tableColumn id="3" xr3:uid="{F16F96C8-ED0F-48E0-B566-B7696423C061}" name="sik4" dataDxfId="1333">
      <calculatedColumnFormula>tickcheck_stab[[#This Row],[sik123]]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A2E4729-BBD9-4A92-AC2C-E191F1499D25}" name="position_foran" displayName="position_foran" ref="DU50:EG61" totalsRowShown="0" headerRowDxfId="2194" dataDxfId="2192" headerRowBorderDxfId="2193" tableBorderDxfId="2191" totalsRowBorderDxfId="2190">
  <autoFilter ref="DU50:EG61" xr:uid="{5619C253-04BE-4296-87D3-CD5B4D641B8F}"/>
  <tableColumns count="13">
    <tableColumn id="1" xr3:uid="{45313F6B-EBF3-44E8-91C4-57CC9C246F72}" name="Position" dataDxfId="2189"/>
    <tableColumn id="2" xr3:uid="{744E1769-9B04-4245-96AB-DCCDE42EDA3C}" name="Name" dataDxfId="2188">
      <calculatedColumnFormula>DR51</calculatedColumnFormula>
    </tableColumn>
    <tableColumn id="3" xr3:uid="{5E3BABA5-BCF0-4043-B621-D10DBE61B0B1}" name="Sonderboring " dataDxfId="2187">
      <calculatedColumnFormula>IFERROR((INDEX(inputs_foran[Sonderboring],MATCH($DU51,inputs_foran[Position],0))),0)</calculatedColumnFormula>
    </tableColumn>
    <tableColumn id="4" xr3:uid="{45C12799-03CC-4E55-9ABC-83D128E667E8}" name="Kjerneboring" dataDxfId="2186">
      <calculatedColumnFormula>IFERROR((INDEX(inputs_foran[Kjerneboring],MATCH($DU51,inputs_foran[Position],0))),0)</calculatedColumnFormula>
    </tableColumn>
    <tableColumn id="5" xr3:uid="{720CE952-04F8-435E-9974-DB27892121B4}" name="Seismikk" dataDxfId="2185">
      <calculatedColumnFormula>IFERROR((INDEX(inputs_foran[Seismikk],MATCH($DU51,inputs_foran[Position],0))),0)</calculatedColumnFormula>
    </tableColumn>
    <tableColumn id="6" xr3:uid="{00F90D05-0DAF-4A2A-9E69-8593442900BC}" name="sp_Rigg" dataDxfId="2184">
      <calculatedColumnFormula>IFERROR((INDEX(inputs_foran[sp_Rigg],MATCH($DU51,inputs_foran[Position],0))),0)</calculatedColumnFormula>
    </tableColumn>
    <tableColumn id="7" xr3:uid="{CCB563B2-343A-4218-B931-9A4A7DD32275}" name="sp_Boring" dataDxfId="2183">
      <calculatedColumnFormula>IFERROR((INDEX(inputs_foran[sp_Boring],MATCH($DU51,inputs_foran[Position],0))),0)</calculatedColumnFormula>
    </tableColumn>
    <tableColumn id="8" xr3:uid="{216B92D1-39A7-4437-A5BD-3D7B15007D29}" name="Sp_Injeksjon" dataDxfId="2182">
      <calculatedColumnFormula>IFERROR((INDEX(inputs_foran[Sp_Injeksjon],MATCH($DU51,inputs_foran[Position],0))),0)</calculatedColumnFormula>
    </tableColumn>
    <tableColumn id="9" xr3:uid="{B58C7453-F206-4C57-AB79-715E0BBB0D70}" name="sp_Kontrollhull" dataDxfId="2181"/>
    <tableColumn id="10" xr3:uid="{AA6D8D99-FD65-4CBD-8B45-E3ADC5D90BA4}" name="sy_Rigg" dataDxfId="2180">
      <calculatedColumnFormula>IFERROR((INDEX(inputs_foran[sy_Rigg],MATCH($DU51,inputs_foran[Position],0))),0)</calculatedColumnFormula>
    </tableColumn>
    <tableColumn id="11" xr3:uid="{FC067CA0-EA19-44F0-9CAA-5AED03CAA790}" name="sy_Boring" dataDxfId="2179">
      <calculatedColumnFormula>IFERROR((INDEX(inputs_foran[sy_Boring],MATCH($DU51,inputs_foran[Position],0))),0)</calculatedColumnFormula>
    </tableColumn>
    <tableColumn id="12" xr3:uid="{552B839D-7075-4566-A492-616180695E28}" name="sy_Injeksjon" dataDxfId="2178">
      <calculatedColumnFormula>IFERROR((INDEX(inputs_foran[sy_Injeksjon],MATCH($DU51,inputs_foran[Position],0))),0)</calculatedColumnFormula>
    </tableColumn>
    <tableColumn id="13" xr3:uid="{76B9DD97-808A-47D7-BDD7-4D3DBFA864CB}" name="sy_Kontrollhull" dataDxfId="2177"/>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26DB23A-2475-415B-B405-D3BED51A9A7B}" name="inputs_klasse" displayName="inputs_klasse" ref="AU26:BD35" totalsRowShown="0" headerRowDxfId="1332" dataDxfId="1330" headerRowBorderDxfId="1331" tableBorderDxfId="1329" totalsRowBorderDxfId="1328">
  <autoFilter ref="AU26:BD35" xr:uid="{BF2EB712-3545-4D4F-823E-8584EB065FB1}"/>
  <tableColumns count="10">
    <tableColumn id="1" xr3:uid="{10EABAA5-F5D8-4165-8567-D4E2DB52A3DD}" name="Position" dataDxfId="1327"/>
    <tableColumn id="2" xr3:uid="{2DF44519-BECF-4A94-89C0-2F1507C572D3}" name="A" dataDxfId="1326"/>
    <tableColumn id="3" xr3:uid="{88192B10-FB63-4FB2-8F38-AE1E4BF4D266}" name="B" dataDxfId="1325"/>
    <tableColumn id="4" xr3:uid="{63F23457-B7B9-4846-BBC5-51BA53E1E2DB}" name="C" dataDxfId="1324"/>
    <tableColumn id="5" xr3:uid="{1F21F673-FBAC-4FA2-8ABD-686C82A4D718}" name="D" dataDxfId="1323"/>
    <tableColumn id="6" xr3:uid="{96A515FD-5556-4BE8-83EC-B92FBFA8AAA2}" name="E1" dataDxfId="1322"/>
    <tableColumn id="7" xr3:uid="{28B9E169-E9B7-4D8B-8642-6D54404DC424}" name="E2" dataDxfId="1321"/>
    <tableColumn id="8" xr3:uid="{502B75E0-12B8-46E9-AEDC-8347F3918791}" name="F" dataDxfId="1320"/>
    <tableColumn id="9" xr3:uid="{47FE2E99-413A-4005-9BC2-30E560F1812F}" name="G" dataDxfId="1319"/>
    <tableColumn id="10" xr3:uid="{FDB5854A-A47C-4172-B7C2-F89C6BA0F89D}" name="Column1" dataDxfId="1318"/>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5E70B7C-328F-413B-8FEB-13EE347F1A60}" name="position_klasse" displayName="position_klasse" ref="AU83:BL94" totalsRowShown="0" headerRowDxfId="1317" dataDxfId="1315" headerRowBorderDxfId="1316" tableBorderDxfId="1314" totalsRowBorderDxfId="1313">
  <autoFilter ref="AU83:BL94" xr:uid="{A49BB07D-3406-47DC-AC30-B9A54619FD17}"/>
  <tableColumns count="18">
    <tableColumn id="1" xr3:uid="{63610FCD-849F-48F1-AA3C-F19CB8401BEE}" name="Navn" dataDxfId="1312"/>
    <tableColumn id="2" xr3:uid="{55489226-5C88-4BEB-8DF4-2C77A19D8FDE}" name="default position" dataDxfId="1311"/>
    <tableColumn id="3" xr3:uid="{4BB4BFBE-F428-44F2-8A65-04F217664D80}" name="on/off" dataDxfId="1310"/>
    <tableColumn id="4" xr3:uid="{9DCF42D4-7879-498B-B87D-69C6CE8E57E1}" name="Position" dataDxfId="1309"/>
    <tableColumn id="5" xr3:uid="{445389F5-8A7E-43FF-9D3D-4698F4D3DECE}" name="lengde_A" dataDxfId="1308"/>
    <tableColumn id="6" xr3:uid="{EE3357A7-B8AD-4144-B17B-0BAE199C06AE}" name="lengde_B" dataDxfId="1307"/>
    <tableColumn id="7" xr3:uid="{87CCB9D4-982E-4A18-B29F-399DA9BD9797}" name="lengde_C" dataDxfId="1306"/>
    <tableColumn id="8" xr3:uid="{5BFB97CE-CFAD-4ADD-A2CD-06C3C709F865}" name="lengde_D" dataDxfId="1305"/>
    <tableColumn id="9" xr3:uid="{EABF567F-5312-4632-B348-2CAB447A01FA}" name="lengde_E1" dataDxfId="1304"/>
    <tableColumn id="10" xr3:uid="{5EA2EA07-DFDE-41A5-9678-571A246A522B}" name="lengde_E2" dataDxfId="1303"/>
    <tableColumn id="11" xr3:uid="{2A9AEDBE-E66A-485C-906D-2C4179012025}" name="lengde_F" dataDxfId="1302"/>
    <tableColumn id="12" xr3:uid="{909AA010-4C44-4A72-8C87-00487E3ECF21}" name="lengde_G" dataDxfId="1301"/>
    <tableColumn id="13" xr3:uid="{88BFF690-8C95-489E-AB13-B663BD88E70E}" name="actual_lengde" dataDxfId="1300"/>
    <tableColumn id="14" xr3:uid="{55BA7695-D7DD-42A3-B9D6-5BA76BF516FA}" name="klasse_total_length" dataDxfId="1299"/>
    <tableColumn id="15" xr3:uid="{FE8BD320-65A7-4B1F-B4F9-0BD0A30064FA}" name="remain_length" dataDxfId="1298"/>
    <tableColumn id="18" xr3:uid="{69FE14EA-02FD-4C94-81C7-BBF8ED66C64C}" name="input_blank_check" dataDxfId="1297"/>
    <tableColumn id="16" xr3:uid="{DE869483-DBE3-4CC7-81F0-E8A9E5B93F9D}" name="klasse_stuff_match" dataDxfId="1296"/>
    <tableColumn id="17" xr3:uid="{A6215EC6-0ED4-40FA-B39B-462EBB2BC176}" name="Column1" dataDxfId="129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07BBD9C-D8C0-43B4-B96E-3581BCA83B0D}" name="checks_klasse" displayName="checks_klasse" ref="AU44:BD53" totalsRowShown="0" headerRowDxfId="1294" dataDxfId="1292" headerRowBorderDxfId="1293" tableBorderDxfId="1291" totalsRowBorderDxfId="1290">
  <autoFilter ref="AU44:BD53" xr:uid="{ABAA78A1-4085-4A05-86E2-4D252629B2EA}"/>
  <tableColumns count="10">
    <tableColumn id="1" xr3:uid="{4652D919-33D9-4E7B-8483-22AFD4BA02E8}" name="Position" dataDxfId="1289"/>
    <tableColumn id="2" xr3:uid="{0B7DB49C-E212-4035-8917-81687A4BDF57}" name="A" dataDxfId="1288"/>
    <tableColumn id="3" xr3:uid="{3E1C0820-DA1E-4804-BBE2-775AED088CA1}" name="B" dataDxfId="1287"/>
    <tableColumn id="4" xr3:uid="{0084EE80-8A69-49D5-A451-D31920ED142E}" name="C" dataDxfId="1286"/>
    <tableColumn id="5" xr3:uid="{E2DF2CE5-E023-42D0-8634-3B7EB8CA2478}" name="D" dataDxfId="1285"/>
    <tableColumn id="6" xr3:uid="{7F44E4FD-634E-499F-886D-2FE2EC33E51D}" name="E1" dataDxfId="1284"/>
    <tableColumn id="7" xr3:uid="{74427C79-54E7-425C-8A01-CDDDC191DEDE}" name="E2" dataDxfId="1283"/>
    <tableColumn id="8" xr3:uid="{36FA4032-5FAF-4AEF-AD86-7069F7EF30F7}" name="F" dataDxfId="1282"/>
    <tableColumn id="9" xr3:uid="{55D68A21-D58C-41CA-9E44-C8EFFD3BEF98}" name="G" dataDxfId="1281"/>
    <tableColumn id="10" xr3:uid="{46FCEAC4-105D-46E9-B25A-688BF210A29E}" name="total_klasse" dataDxfId="1280">
      <calculatedColumnFormula>COUNTIF(checks_klasse[[#This Row],[A]:[G]],0)</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85768CFC-B266-44FE-9468-BC57E426A05B}" name="klasse_dimensjons" displayName="klasse_dimensjons" ref="AU106:BP117" totalsRowShown="0" headerRowDxfId="1279" dataDxfId="1277" headerRowBorderDxfId="1278" tableBorderDxfId="1276" totalsRowBorderDxfId="1275">
  <autoFilter ref="AU106:BP117" xr:uid="{14989796-1300-4BFF-B47B-BC8CF1759A09}"/>
  <tableColumns count="22">
    <tableColumn id="1" xr3:uid="{1F5C93EE-0D79-457F-978E-04C1E862D004}" name="Navn" dataDxfId="1274"/>
    <tableColumn id="2" xr3:uid="{FD84324E-96C8-4610-B8E1-2B2416E59406}" name="default position" dataDxfId="1273"/>
    <tableColumn id="3" xr3:uid="{7C0262FB-CA14-4C7E-AB5A-74D9314BA5AF}" name="on/off" dataDxfId="1272"/>
    <tableColumn id="4" xr3:uid="{4ADFDAE1-3360-4762-84BA-95DC3C49DCFA}" name="Position" dataDxfId="1271"/>
    <tableColumn id="5" xr3:uid="{60211E2D-5611-4187-A3FB-EBD7AC903342}" name="area_a" dataDxfId="1270"/>
    <tableColumn id="6" xr3:uid="{3AF5293D-861B-4E55-9560-256DE5763033}" name="area_b" dataDxfId="1269"/>
    <tableColumn id="7" xr3:uid="{DBE5BF1F-1063-49A4-9374-844FBB6C24FB}" name="area_c" dataDxfId="1268"/>
    <tableColumn id="8" xr3:uid="{D41F2723-6B57-4A4C-9180-623B2597F6CF}" name="area_d" dataDxfId="1267"/>
    <tableColumn id="9" xr3:uid="{B83002CD-DDCD-4120-90A6-C54D033084F8}" name="area_e1" dataDxfId="1266"/>
    <tableColumn id="10" xr3:uid="{64671536-EC33-4A85-8792-6EE946C32F3B}" name="area_e2" dataDxfId="1265"/>
    <tableColumn id="11" xr3:uid="{D0A8A96D-1A15-4084-A084-2B90465D82B2}" name="area_f" dataDxfId="1264"/>
    <tableColumn id="12" xr3:uid="{5433073A-82D6-4B7B-8637-38DDC4E56D06}" name="area_g" dataDxfId="1263"/>
    <tableColumn id="13" xr3:uid="{0473C996-15BE-4306-824B-8A896B66F260}" name="antall_salver_a" dataDxfId="1262"/>
    <tableColumn id="14" xr3:uid="{0FD892E6-FBB6-4B9F-A530-E5D0314AC4A4}" name="antall_salver_b" dataDxfId="1261"/>
    <tableColumn id="15" xr3:uid="{405BC91D-EDFF-44B2-B2C1-0E395D163B1B}" name="antall_salver_c" dataDxfId="1260"/>
    <tableColumn id="16" xr3:uid="{A3539DDC-5AE0-4169-B544-FC4411946D4A}" name="antall_salver_d" dataDxfId="1259"/>
    <tableColumn id="17" xr3:uid="{87C9F0EF-BAA9-45D4-B500-3FBD8E3206C6}" name="antall_salver_e1" dataDxfId="1258"/>
    <tableColumn id="18" xr3:uid="{57AD34CE-A67E-4E00-BD4E-AC3BB38F7C78}" name="antall_salver_e2" dataDxfId="1257"/>
    <tableColumn id="19" xr3:uid="{CF32E855-A37C-4CB7-8FB3-2E733B37A365}" name="antall_salver_f" dataDxfId="1256"/>
    <tableColumn id="20" xr3:uid="{6F9A0BDC-CB4C-4F7F-98A2-C8ADB8BC6A4D}" name="antall_salver_g" dataDxfId="1255"/>
    <tableColumn id="21" xr3:uid="{3CBD7B66-1603-4868-A871-A08035539D8D}" name="Column10" dataDxfId="1254"/>
    <tableColumn id="22" xr3:uid="{24D918A2-7BA7-4379-8855-549B9D8F2C42}" name="Column11" dataDxfId="125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9A93318-2093-4A6E-8FFB-53A249D25DE1}" name="outputs_klasse_qty" displayName="outputs_klasse_qty" ref="CG31:ZM54" totalsRowShown="0" headerRowDxfId="1252" dataDxfId="1250" headerRowBorderDxfId="1251" tableBorderDxfId="1249" totalsRowBorderDxfId="1248">
  <autoFilter ref="CG31:ZM54" xr:uid="{2B7FCFE4-8900-4CDD-8C26-1370F98837AB}"/>
  <tableColumns count="605">
    <tableColumn id="1" xr3:uid="{EB816FC4-55ED-4D16-BA14-A4B4BE72C69A}" name="Navn" dataDxfId="1247"/>
    <tableColumn id="2" xr3:uid="{E50C6890-2A47-4FC0-967A-DB7CC1B216A0}" name="default position" dataDxfId="1246"/>
    <tableColumn id="3" xr3:uid="{EE8A97FC-7EC7-48DC-9253-7CE9DCDAB0FA}" name="on/off" dataDxfId="1245"/>
    <tableColumn id="4" xr3:uid="{1C88229A-54EF-40CD-B8F9-137FC8C0F75D}" name="Position" dataDxfId="1244"/>
    <tableColumn id="5" xr3:uid="{D8977A3B-E8CC-4548-BBBF-CAA924225A3F}" name="klasse_stuff_id" dataDxfId="1243"/>
    <tableColumn id="464" xr3:uid="{851D8AD3-AC4D-49DE-9019-78C376DC8526}" name="tunnel_area_m2_a" dataDxfId="1242"/>
    <tableColumn id="465" xr3:uid="{E3CBECED-8ABD-4205-85F4-ADD321FFEF0C}" name="tunnel_area_m2_b" dataDxfId="1241"/>
    <tableColumn id="466" xr3:uid="{05F35C64-AA9B-4B1A-9E7F-572A5CB9721C}" name="tunnel_area_m2_c" dataDxfId="1240"/>
    <tableColumn id="467" xr3:uid="{275DAB6A-C64F-4F1F-BC51-BD069453102F}" name="tunnel_area_m2_d" dataDxfId="1239"/>
    <tableColumn id="468" xr3:uid="{9715FDA1-1AB2-47C3-A6D1-3847B7751548}" name="tunnel_area_m2_e1" dataDxfId="1238"/>
    <tableColumn id="469" xr3:uid="{BCC0E165-46A3-4B31-9A0D-2E8A49BC33AE}" name="tunnel_area_m2_e2" dataDxfId="1237"/>
    <tableColumn id="470" xr3:uid="{4C0F7110-F8DB-41A0-AB8C-21FF2C021D39}" name="tunnel_area_m2_f" dataDxfId="1236"/>
    <tableColumn id="6" xr3:uid="{54E8A5DF-6C1A-4486-BF00-9E378A6C2A24}" name="tunnel_area_m2_g" dataDxfId="1235"/>
    <tableColumn id="7" xr3:uid="{FA2EE916-5EB9-43ED-AB29-106ED33EA211}" name="Column2" dataDxfId="1234"/>
    <tableColumn id="8" xr3:uid="{7FC8BF10-77CE-4B53-A00B-0E679D29166E}" name="Column3" dataDxfId="1233"/>
    <tableColumn id="9" xr3:uid="{FBE85037-DE5D-46BC-A045-3B340AC9A72D}" name="man_metode" dataDxfId="1232">
      <calculatedColumnFormula>IF($AK$213=_List!$CX$6,$CV$28,IF($AK$213=_List!$CX$7,$CV$29,0))</calculatedColumnFormula>
    </tableColumn>
    <tableColumn id="10" xr3:uid="{9F31A36C-E5C8-462B-B6D3-B1E54942DE74}" name="man_a_rate" dataDxfId="1231">
      <calculatedColumnFormula>IF($CV32=1,$ABR$42,IF($CV32=2,#REF!))</calculatedColumnFormula>
    </tableColumn>
    <tableColumn id="11" xr3:uid="{03DC4F19-AC1E-4232-B82A-3F682D370C34}" name="man_a_output" dataDxfId="1230">
      <calculatedColumnFormula>IF($CV32=1,CW32*$AY107,IF($CV32=2,CW32*$AY84))</calculatedColumnFormula>
    </tableColumn>
    <tableColumn id="12" xr3:uid="{F9D06542-30A2-4961-9AC3-B10803581AC8}" name="man_b_rate" dataDxfId="1229">
      <calculatedColumnFormula>IF($CV32=1,$ABR$43,IF($CV32=2,#REF!))</calculatedColumnFormula>
    </tableColumn>
    <tableColumn id="13" xr3:uid="{E638248C-C778-4D81-B9EA-00C5B60A6B57}" name="man_b_output" dataDxfId="1228">
      <calculatedColumnFormula>IF($CV32=1,CY32*$AY107,IF($CV32=2,CY32*$AY84))</calculatedColumnFormula>
    </tableColumn>
    <tableColumn id="14" xr3:uid="{2A8CCBC7-5336-45F3-861B-25753E904E8C}" name="man_c_rate" dataDxfId="1227">
      <calculatedColumnFormula>IF($CV32=1,$ABR$44,IF($CV32=2,#REF!))</calculatedColumnFormula>
    </tableColumn>
    <tableColumn id="15" xr3:uid="{27AB61CB-CF47-4FD2-9731-EA85CCF51049}" name="man_c_output" dataDxfId="1226">
      <calculatedColumnFormula>IF($CV32=1,DA32*$AY107,IF($CV32=2,DA32*$AY84))</calculatedColumnFormula>
    </tableColumn>
    <tableColumn id="16" xr3:uid="{7E44B918-05AE-48F6-A42D-1A43462991A8}" name="man_d_rate" dataDxfId="1225">
      <calculatedColumnFormula>IF($CV32=1,$ABR$45,IF($CV32=2,#REF!))</calculatedColumnFormula>
    </tableColumn>
    <tableColumn id="17" xr3:uid="{7A4E2038-465E-4892-B62B-D34CC2A11A89}" name="man_d_output" dataDxfId="1224">
      <calculatedColumnFormula>IF($CV32=1,DC32*$AY107,IF($CV32=2,DC32*$AY84))</calculatedColumnFormula>
    </tableColumn>
    <tableColumn id="18" xr3:uid="{088321A9-0CC5-4884-9930-F66865B5DF25}" name="man_e1_rate" dataDxfId="1223">
      <calculatedColumnFormula>IF($CV32=1,$ABR$46,IF($CV32=2,#REF!))</calculatedColumnFormula>
    </tableColumn>
    <tableColumn id="19" xr3:uid="{D4E3B49C-6466-4498-B1D8-3DCBC858E660}" name="man_e1_output" dataDxfId="1222">
      <calculatedColumnFormula>IF($CV32=1,DE32*$AY107,IF($CV32=2,DE32*$AY84))</calculatedColumnFormula>
    </tableColumn>
    <tableColumn id="20" xr3:uid="{1B2BBFD9-ACF6-41E2-89B4-5F6B5775FD42}" name="man_e2_rate" dataDxfId="1221">
      <calculatedColumnFormula>IF($CV32=1,$ABR$47,IF($CV32=2,#REF!))</calculatedColumnFormula>
    </tableColumn>
    <tableColumn id="21" xr3:uid="{F700E4A0-6903-4931-8337-B307ED6DA720}" name="man_e2_output" dataDxfId="1220">
      <calculatedColumnFormula>IF($CV32=1,DG32*$AY107,IF($CV32=2,DG32*$AY84))</calculatedColumnFormula>
    </tableColumn>
    <tableColumn id="22" xr3:uid="{5ADCBDCA-41C1-424C-AD24-7205159AB104}" name="man_f_rate" dataDxfId="1219">
      <calculatedColumnFormula>IF($CV32=1,$ABR$48,IF($CV32=2,#REF!))</calculatedColumnFormula>
    </tableColumn>
    <tableColumn id="23" xr3:uid="{1813199D-2957-43AC-BBB7-A429B3FEB36B}" name="man_f_output" dataDxfId="1218">
      <calculatedColumnFormula>IF($CV32=1,DI32*$AY107,IF($CV32=2,DI32*$AY84))</calculatedColumnFormula>
    </tableColumn>
    <tableColumn id="24" xr3:uid="{D9EFC8D7-535A-47C9-B57A-B1D8F9BE3746}" name="man_g_rate" dataDxfId="1217">
      <calculatedColumnFormula>IF($CV32=1,$ABR$49,IF($CV32=2,#REF!))</calculatedColumnFormula>
    </tableColumn>
    <tableColumn id="25" xr3:uid="{0C0666F1-4292-49FD-85F2-CCFA79915EED}" name="man_g_output" dataDxfId="1216">
      <calculatedColumnFormula>IF($CV32=1,DK32*$AY107,IF($CV32=2,DK32*$AY84))</calculatedColumnFormula>
    </tableColumn>
    <tableColumn id="26" xr3:uid="{85E824B4-C276-4AE4-8B1B-D8FA9A544572}" name="man_total_hr" dataDxfId="1215">
      <calculatedColumnFormula>CX32+CZ32+DB32+DD32+DF32+DH32+DJ32+DL32</calculatedColumnFormula>
    </tableColumn>
    <tableColumn id="235" xr3:uid="{807CC0C7-91BD-4558-8371-068B69C7006A}" name="kartlegg_metode" dataDxfId="1214"/>
    <tableColumn id="236" xr3:uid="{8D899931-0912-41C9-8E8D-4AB9D8CF5624}" name="kartlegg_a_rate" dataDxfId="1213"/>
    <tableColumn id="237" xr3:uid="{83011F10-C9EA-4F6F-9E9C-8A0E1AFCAB67}" name="kartlegg_a_output" dataDxfId="1212"/>
    <tableColumn id="238" xr3:uid="{6A849D19-DBAD-42AE-BB6C-54186D711921}" name="kartlegg_b_rate" dataDxfId="1211"/>
    <tableColumn id="239" xr3:uid="{7B8B1ADC-5011-4326-97A1-2945F3DA3D12}" name="kartlegg_b_output" dataDxfId="1210"/>
    <tableColumn id="240" xr3:uid="{87C2FD72-664D-4C1E-B4DF-D127418B8C27}" name="kartlegg_c_rate" dataDxfId="1209"/>
    <tableColumn id="241" xr3:uid="{3C6CD4D4-81E3-4943-BB9F-AF65BC42CF32}" name="kartlegg_c_output" dataDxfId="1208"/>
    <tableColumn id="242" xr3:uid="{D8F0B31C-678D-4B32-91A2-88A1EE8B0E08}" name="kartlegg_d_rate" dataDxfId="1207"/>
    <tableColumn id="243" xr3:uid="{86155514-E102-44BE-9477-40C024EBD4D4}" name="kartlegg_d_output" dataDxfId="1206"/>
    <tableColumn id="244" xr3:uid="{8F34B5CE-A29D-4A13-9B1B-B06266213C2C}" name="kartlegg_e1_rate" dataDxfId="1205"/>
    <tableColumn id="245" xr3:uid="{A64EE483-43C4-461D-A01F-92FF6633B656}" name="kartlegg_e1_output" dataDxfId="1204"/>
    <tableColumn id="246" xr3:uid="{8C53ACCD-7E83-459F-85D6-18A0E4151D01}" name="kartlegg_e2_rate" dataDxfId="1203"/>
    <tableColumn id="247" xr3:uid="{70740A5D-8BB1-4BF3-8C49-F6534EE8D30A}" name="kartlegg_e2_output" dataDxfId="1202"/>
    <tableColumn id="248" xr3:uid="{C56BA8AD-C1C1-4B57-B0A4-88045EEAE418}" name="kartlegg_f_rate" dataDxfId="1201"/>
    <tableColumn id="249" xr3:uid="{2AE031AE-BD23-4E84-B5A5-CA92FED79BEB}" name="kartlegg_f_output" dataDxfId="1200"/>
    <tableColumn id="250" xr3:uid="{974F427F-422F-4467-AA0C-108C0F1B3ECC}" name="kartlegg_g_rate" dataDxfId="1199"/>
    <tableColumn id="251" xr3:uid="{5F88AD9A-4792-49B7-A6A8-51BAC3D2A041}" name="kartlegg_g_output" dataDxfId="1198"/>
    <tableColumn id="252" xr3:uid="{011C7FA0-BD7B-4763-8048-11AA7A7B99A9}" name="kartlegg_total_hr" dataDxfId="1197"/>
    <tableColumn id="27" xr3:uid="{A583B47E-699F-4060-8282-64AF8D8F5DF8}" name="bolt_veder_metode" dataDxfId="1196">
      <calculatedColumnFormula>IF($AK$215=_List!$DA$6,$EF$28,IF($AK$215=_List!$DA$7,$EF$29,0))</calculatedColumnFormula>
    </tableColumn>
    <tableColumn id="188" xr3:uid="{F8375E28-9C17-4BD8-8B08-B92B35850926}" name="bolt_veder_a_rate" dataDxfId="1195"/>
    <tableColumn id="189" xr3:uid="{94679BF2-D81E-4E76-B48E-276676009BAB}" name="bolt_veder_a_output" dataDxfId="1194"/>
    <tableColumn id="190" xr3:uid="{07240F59-9EB5-46B6-9FAE-6861F7E5330A}" name="bolt_veder_b_rate" dataDxfId="1193"/>
    <tableColumn id="191" xr3:uid="{31B03C15-0DC2-4238-8AA7-D1B97A744AB9}" name="bolt_veder_b_output" dataDxfId="1192"/>
    <tableColumn id="192" xr3:uid="{5C58D87A-0C42-4738-9601-9B69DFB47AC1}" name="bolt_veder_c_rate" dataDxfId="1191"/>
    <tableColumn id="193" xr3:uid="{ECF50B05-F6FF-43AB-A3FA-E07845EFB974}" name="bolt_veder_c_output" dataDxfId="1190"/>
    <tableColumn id="194" xr3:uid="{BD59CFFA-24EB-4923-8086-2A74EAA34531}" name="bolt_veder_d_rate" dataDxfId="1189"/>
    <tableColumn id="195" xr3:uid="{8A05651A-039E-4E36-B3C3-6B4DFA08902E}" name="bolt_veder_d_output" dataDxfId="1188"/>
    <tableColumn id="196" xr3:uid="{1EA1C54B-1F14-43B0-8D30-9C0DC947C455}" name="bolt_veder_e1_rate" dataDxfId="1187"/>
    <tableColumn id="197" xr3:uid="{FECB9DC5-4DA7-43E1-A4FD-A1EBE4C2813A}" name="bolt_veder_e1_output" dataDxfId="1186"/>
    <tableColumn id="198" xr3:uid="{163E7E22-70C1-4A1D-9BD5-D1DBEAB64A78}" name="bolt_veder_e2_rate" dataDxfId="1185"/>
    <tableColumn id="199" xr3:uid="{3C785756-43E5-4189-A63E-CFB3754E8EDD}" name="bolt_veder_e2_output" dataDxfId="1184"/>
    <tableColumn id="200" xr3:uid="{018A83A9-1B75-4F58-821C-55830C53B71D}" name="bolt_veder_f_rate" dataDxfId="1183"/>
    <tableColumn id="201" xr3:uid="{8911B26C-67B4-4E99-A2C1-C74ECE19DB84}" name="bolt_veder_f_output" dataDxfId="1182"/>
    <tableColumn id="202" xr3:uid="{48181D6D-74E1-4027-93EE-CC6661B3EB83}" name="bolt_veder_g_rate" dataDxfId="1181"/>
    <tableColumn id="203" xr3:uid="{E7CC40D0-B25D-4C82-B4CA-C1AEEF97C9D8}" name="bolt_veder_g_output" dataDxfId="1180"/>
    <tableColumn id="204" xr3:uid="{6CF6ACDC-635A-41DE-8B71-4916FBF542FD}" name="bolt_veder_sum" dataDxfId="1179">
      <calculatedColumnFormula>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calculatedColumnFormula>
    </tableColumn>
    <tableColumn id="220" xr3:uid="{E4A1752D-864A-44B7-B77D-0F97F30E5A81}" name="bolt_veder_a_lt4" dataDxfId="1178"/>
    <tableColumn id="221" xr3:uid="{076C2B20-5D72-409E-896B-ABA2D94C8360}" name="bolt_veder_a_gt4" dataDxfId="1177"/>
    <tableColumn id="222" xr3:uid="{DA049B31-C003-4DFF-A7C6-B9F8A660ADE5}" name="bolt_veder_b_lt4" dataDxfId="1176"/>
    <tableColumn id="223" xr3:uid="{6852F4D3-1FD3-4529-A9EE-EFD741240C45}" name="bolt_veder_b_gt4" dataDxfId="1175"/>
    <tableColumn id="224" xr3:uid="{933D623A-59C6-4A5A-B2AA-3C3BB4911366}" name="bolt_veder_c_lt4" dataDxfId="1174"/>
    <tableColumn id="225" xr3:uid="{CFA25508-C6A1-4C64-BD28-B593C91F3305}" name="bolt_veder_c_gt4" dataDxfId="1173"/>
    <tableColumn id="226" xr3:uid="{FC18DF50-A168-4B87-9269-001A0A8FB14D}" name="bolt_veder_d_lt4" dataDxfId="1172"/>
    <tableColumn id="227" xr3:uid="{FB4267F4-5C88-48CC-9119-5110A57E9A12}" name="bolt_veder_d_gt4" dataDxfId="1171"/>
    <tableColumn id="228" xr3:uid="{67EA28D5-624D-471D-95D7-FAD18BEEF08D}" name="bolt_veder_e1_lt4" dataDxfId="1170"/>
    <tableColumn id="229" xr3:uid="{CD1F14B6-C752-41BE-9BA0-9BB506400B8C}" name="bolt_veder_e1_gt4" dataDxfId="1169"/>
    <tableColumn id="230" xr3:uid="{4D27F2FB-AD17-4121-8EF8-A5C92BA73A2E}" name="bolt_veder_e2_lt4" dataDxfId="1168"/>
    <tableColumn id="231" xr3:uid="{4FA70F1E-1473-47B1-92F9-3CFFB313EC7E}" name="bolt_veder_e2_gt4" dataDxfId="1167"/>
    <tableColumn id="232" xr3:uid="{BA97FD8C-9324-4859-A8CD-27BFEB4A8494}" name="bolt_veder_f_lt4" dataDxfId="1166"/>
    <tableColumn id="233" xr3:uid="{33AC7069-745A-4EF7-898C-2182E5E3C3C5}" name="bolt_veder_f_gt4" dataDxfId="1165"/>
    <tableColumn id="234" xr3:uid="{82998396-31A3-4942-B2DA-E3062EC5AF3F}" name="bolt_veder_g_lt4" dataDxfId="1164"/>
    <tableColumn id="205" xr3:uid="{7CD4433D-AB16-48DF-B86D-86BA318A5ABC}" name="bolt_veder_g_gt4" dataDxfId="1163"/>
    <tableColumn id="206" xr3:uid="{63C744E7-B3DD-4347-90EF-4F396E2D7BCE}" name="bolt_veder_lt4_sum" dataDxfId="1162"/>
    <tableColumn id="207" xr3:uid="{0A12CA33-13A6-4660-84FE-A26346721B5F}" name="bolt_veder_gt4_sum" dataDxfId="1161"/>
    <tableColumn id="208" xr3:uid="{B743AD2D-BE3F-4BCA-80B9-377534DC34D6}" name="bolt_vegg_metode" dataDxfId="1160"/>
    <tableColumn id="209" xr3:uid="{CD3E468C-52A4-4235-89D9-AA88C69BF094}" name="bolt_vegg_a_rate" dataDxfId="1159"/>
    <tableColumn id="210" xr3:uid="{027B9571-1204-4369-B078-F5B76151B362}" name="bolt_vegg_a_output" dataDxfId="1158"/>
    <tableColumn id="211" xr3:uid="{35AFA46A-7701-4577-BBA9-7BC0AEDD0BD2}" name="bolt_vegg_b_rate" dataDxfId="1157"/>
    <tableColumn id="212" xr3:uid="{3359587C-7E31-4E9D-8FA4-21D12A81D7B0}" name="bolt_vegg_b_output" dataDxfId="1156"/>
    <tableColumn id="213" xr3:uid="{52D5ACC6-7DC9-45DA-BDEA-9EB38727DCFE}" name="bolt_vegg_c_rate" dataDxfId="1155"/>
    <tableColumn id="214" xr3:uid="{2EE163B8-3DF1-4742-91D7-5F41C7B210BD}" name="bolt_vegg_c_output" dataDxfId="1154"/>
    <tableColumn id="215" xr3:uid="{338C8881-C0EF-4566-A004-2BA1559F0639}" name="bolt_vegg_d_rate" dataDxfId="1153"/>
    <tableColumn id="216" xr3:uid="{2F859027-6C3C-4587-A886-8F9DF07E09A5}" name="bolt_vegg_d_output" dataDxfId="1152"/>
    <tableColumn id="217" xr3:uid="{68FD8AC3-E19A-41C5-915F-C697F3780503}" name="bolt_vegg_e1_rate" dataDxfId="1151"/>
    <tableColumn id="218" xr3:uid="{27D39EED-AEEE-472D-9993-77CF0A84D6B1}" name="bolt_vegg_e1_output" dataDxfId="1150"/>
    <tableColumn id="219" xr3:uid="{4DCD47D1-3626-461C-AFD5-8EDE70BF7BE7}" name="bolt_vegg_e2_rate" dataDxfId="1149"/>
    <tableColumn id="28" xr3:uid="{81A7A54E-77A7-4723-905E-85FB5A7AB4A5}" name="bolt_vegg_e2_output" dataDxfId="1148">
      <calculatedColumnFormula>IF($EF32=$EF$28,(#REF!/($ACL$42^2)),IF($EF32=$EF$29,#REF!,""))</calculatedColumnFormula>
    </tableColumn>
    <tableColumn id="29" xr3:uid="{0360B196-EDD3-4904-8237-28839CF66307}" name="bolt_vegg_f_rate" dataDxfId="1147"/>
    <tableColumn id="30" xr3:uid="{0859EB6B-9B88-4E32-BD94-493420F59820}" name="bolt_vegg_f_output" dataDxfId="1146">
      <calculatedColumnFormula>IF($EF32=$EF$28,(#REF!/($ACL$43^2)),IF($EF32=$EF$29,#REF!,""))</calculatedColumnFormula>
    </tableColumn>
    <tableColumn id="31" xr3:uid="{4EBA77FA-124C-4F80-9E1A-38EC48FF23ED}" name="bolt_vegg_g_rate" dataDxfId="1145"/>
    <tableColumn id="32" xr3:uid="{913CE6FB-092E-44E5-8177-C8F5CA23709B}" name="bolt_vegg_g_output" dataDxfId="1144">
      <calculatedColumnFormula>IF($EF32=$EF$28,(#REF!/($ACL$44^2)),IF($EF32=$EF$29,#REF!,""))</calculatedColumnFormula>
    </tableColumn>
    <tableColumn id="33" xr3:uid="{6808AF9E-EB08-45F8-A398-639AC27E1400}" name="bolt_vegg_sum" dataDxfId="1143"/>
    <tableColumn id="34" xr3:uid="{2F9CEB75-5BBC-46BA-B7B0-EFE0A13B3474}" name="bolt_vegg_a_lt4" dataDxfId="1142">
      <calculatedColumnFormula>IF($EF32=$EF$28,(#REF!/($ACL$45^2)),IF($EF32=$EF$29,#REF!,""))</calculatedColumnFormula>
    </tableColumn>
    <tableColumn id="35" xr3:uid="{81ED14D0-284D-4CA9-9C38-6829075AC0B9}" name="bolt_vegg_a_gt4" dataDxfId="1141"/>
    <tableColumn id="36" xr3:uid="{8FAC9E12-5FB2-4640-A685-83F7F029FC3A}" name="bolt_vegg_b_lt4" dataDxfId="1140">
      <calculatedColumnFormula>IF($EF32=$EF$28,(#REF!/($ACL$46^2)),IF($EF32=$EF$29,#REF!,""))</calculatedColumnFormula>
    </tableColumn>
    <tableColumn id="37" xr3:uid="{B0A824CC-32E4-4649-9B85-132240B5ED41}" name="bolt_vegg_b_gt4" dataDxfId="1139"/>
    <tableColumn id="38" xr3:uid="{91B67A2F-06B0-44C9-AF26-E78D2F1BDFAF}" name="bolt_vegg_c_lt4" dataDxfId="1138">
      <calculatedColumnFormula>IF($EF32=$EF$28,(#REF!/($ACL$47^2)),IF($EF32=$EF$29,#REF!,""))</calculatedColumnFormula>
    </tableColumn>
    <tableColumn id="39" xr3:uid="{4089813D-C44E-4B9C-BD2F-710F9BF34347}" name="bolt_vegg_c_gt4" dataDxfId="1137"/>
    <tableColumn id="40" xr3:uid="{5AB8A0EC-BFE7-4FC8-A766-8D04A4FDF551}" name="bolt_vegg_d_lt4" dataDxfId="1136">
      <calculatedColumnFormula>IF($EF32=$EF$28,(#REF!/($ACL$48^2)),IF($EF32=$EF$29,#REF!,""))</calculatedColumnFormula>
    </tableColumn>
    <tableColumn id="41" xr3:uid="{48AA297A-EC3C-42BB-B8B3-97092ED44911}" name="bolt_vegg_d_gt4" dataDxfId="1135"/>
    <tableColumn id="42" xr3:uid="{2E95CCED-9BE3-4921-85CB-D029C21480B7}" name="bolt_vegg_e1_lt4" dataDxfId="1134">
      <calculatedColumnFormula>IF($EF32=$EF$28,(#REF!/($ACL$49^2)),IF($EF32=$EF$29,#REF!,""))</calculatedColumnFormula>
    </tableColumn>
    <tableColumn id="43" xr3:uid="{3E7D758E-6052-455F-87AB-20B31F7D730F}" name="bolt_vegg_e1_gt4" dataDxfId="1133"/>
    <tableColumn id="44" xr3:uid="{60973E2B-CE42-4529-900D-8F95A4AF0E32}" name="bolt_vegg_e2_lt4" dataDxfId="1132">
      <calculatedColumnFormula>IFERROR(GC32+GE32+GG32+GI32+GK32+GM32+GO32+GQ32,0)</calculatedColumnFormula>
    </tableColumn>
    <tableColumn id="45" xr3:uid="{57E36016-4BF2-4956-9109-12DCCDC3EC2D}" name="bolt_vegg_e2_gt4" dataDxfId="1131">
      <calculatedColumnFormula>$GC32*$ACU$42</calculatedColumnFormula>
    </tableColumn>
    <tableColumn id="46" xr3:uid="{14F95F37-14FB-4FBE-963A-42DF2524CE40}" name="bolt_vegg_f_lt4" dataDxfId="1130">
      <calculatedColumnFormula>$GC32*$ADD$42</calculatedColumnFormula>
    </tableColumn>
    <tableColumn id="47" xr3:uid="{B26FF6A3-B934-424C-94BA-481CDEF3E568}" name="bolt_vegg_f_gt4" dataDxfId="1129">
      <calculatedColumnFormula>$GE32*$ACU$43</calculatedColumnFormula>
    </tableColumn>
    <tableColumn id="48" xr3:uid="{0FB587AB-3CD0-4512-82AF-DBC84BD03E33}" name="bolt_vegg_g_lt4" dataDxfId="1128">
      <calculatedColumnFormula>$GE32*$ADD$43</calculatedColumnFormula>
    </tableColumn>
    <tableColumn id="49" xr3:uid="{3AC96268-5698-4A79-8895-022DB6887CB0}" name="bolt_vegg_g_gt4" dataDxfId="1127">
      <calculatedColumnFormula>$GG32*$ACU$44</calculatedColumnFormula>
    </tableColumn>
    <tableColumn id="50" xr3:uid="{E8F3B113-FCDB-4EB9-A262-E10222A1CF8D}" name="bolt_vegg_lt4_sum" dataDxfId="1126">
      <calculatedColumnFormula>$GG32*$ADD$44</calculatedColumnFormula>
    </tableColumn>
    <tableColumn id="51" xr3:uid="{938B3AF1-663D-40C5-8208-E4CC61CB1EA3}" name="bolt_vegg_gt4_sum" dataDxfId="1125">
      <calculatedColumnFormula>$GI32*$ACU$45</calculatedColumnFormula>
    </tableColumn>
    <tableColumn id="52" xr3:uid="{076847B5-335D-4773-8C96-77D4BA95F7AC}" name="bolt_lt4_sum" dataDxfId="1124">
      <calculatedColumnFormula>$GI32*$ADD$45</calculatedColumnFormula>
    </tableColumn>
    <tableColumn id="53" xr3:uid="{892F6970-7B3C-4A96-BDD2-5720E0FFCF82}" name="bolt_gt4_sum" dataDxfId="1123">
      <calculatedColumnFormula>$GK32*$ACU$46</calculatedColumnFormula>
    </tableColumn>
    <tableColumn id="54" xr3:uid="{A82EFD04-306D-404B-A7AF-715B1D8DDFFB}" name="Column10" dataDxfId="1122">
      <calculatedColumnFormula>$GK32*$ADD$46</calculatedColumnFormula>
    </tableColumn>
    <tableColumn id="55" xr3:uid="{38FAFA22-59A2-4CF5-8160-DDB6D207F306}" name="Column11" dataDxfId="1121">
      <calculatedColumnFormula>$GM32*$ACU$47</calculatedColumnFormula>
    </tableColumn>
    <tableColumn id="56" xr3:uid="{D081EA77-F703-4683-972C-A37031F5B978}" name="Column12" dataDxfId="1120">
      <calculatedColumnFormula>$GM32*$ADD$47</calculatedColumnFormula>
    </tableColumn>
    <tableColumn id="57" xr3:uid="{AF4FEEBE-C36A-46D1-A544-671532E431D9}" name="Column13" dataDxfId="1119">
      <calculatedColumnFormula>$GO32*$ACU$48</calculatedColumnFormula>
    </tableColumn>
    <tableColumn id="58" xr3:uid="{8C54736D-A29E-48F4-94CE-170A8170FEF9}" name="Column14" dataDxfId="1118">
      <calculatedColumnFormula>$GO32*$ADD$48</calculatedColumnFormula>
    </tableColumn>
    <tableColumn id="59" xr3:uid="{9A20DE5E-8D92-44A4-9976-8D21A22921EF}" name="Column15" dataDxfId="1117">
      <calculatedColumnFormula>$GQ32*$ACU$49</calculatedColumnFormula>
    </tableColumn>
    <tableColumn id="60" xr3:uid="{5680DF06-3CB7-4F98-90AB-D3EA32E6E645}" name="Column16" dataDxfId="1116">
      <calculatedColumnFormula>$GQ32*$ADD$49</calculatedColumnFormula>
    </tableColumn>
    <tableColumn id="61" xr3:uid="{04428D39-2804-4436-83A4-64E2B0D3F3FD}" name="Column27" dataDxfId="1115"/>
    <tableColumn id="62" xr3:uid="{3099200B-5A48-4BA0-AFD6-22E866C94702}" name="Column28" dataDxfId="1114"/>
    <tableColumn id="63" xr3:uid="{828B8AA5-B912-49B5-93D6-DFD99C1C2DF8}" name="Column4" dataDxfId="1113"/>
    <tableColumn id="64" xr3:uid="{6CF6DFCA-7FCC-4DB3-8871-2ED9DB53C5C6}" name="Column5" dataDxfId="1112"/>
    <tableColumn id="65" xr3:uid="{815B893A-672D-4139-ADAF-410C1B79FC93}" name="Column6" dataDxfId="1111"/>
    <tableColumn id="66" xr3:uid="{82C2F788-25C5-4B74-B2AE-7900CD66CDAD}" name="Column7" dataDxfId="1110"/>
    <tableColumn id="67" xr3:uid="{EF4179EB-C210-4EAE-A749-A1AEBE9F139E}" name="Column8" dataDxfId="1109"/>
    <tableColumn id="68" xr3:uid="{5FC37481-A15F-4AE6-923B-50286C68FABB}" name="Column9" dataDxfId="1108"/>
    <tableColumn id="69" xr3:uid="{770DA49D-237E-4385-AAD2-F641FC7A91E4}" name="Column17" dataDxfId="1107"/>
    <tableColumn id="371" xr3:uid="{29F2217E-CECC-41FD-9CCE-0B0A83282183}" name="forbolting_bueområde_a" dataDxfId="1106"/>
    <tableColumn id="372" xr3:uid="{A473FC8F-6795-4F76-B57E-D7E9C22A5901}" name="forbolting_andel_a" dataDxfId="1105"/>
    <tableColumn id="373" xr3:uid="{D704918B-99D7-477A-8438-EE484C098B73}" name="forbolting_senteravstand_a" dataDxfId="1104"/>
    <tableColumn id="542" xr3:uid="{E28F495D-0DEB-45D3-BB10-B1ED3A9A7BC1}" name="forbolting_bue_lengde_a" dataDxfId="1103"/>
    <tableColumn id="374" xr3:uid="{320E9248-8983-4DC4-AC82-49C69FDB0D32}" name="forbolting_bolter_output_a" dataDxfId="1102"/>
    <tableColumn id="375" xr3:uid="{ED4286FE-EF33-4B1F-803B-ED057E8FCFA7}" name="forbolting_bueområde_b" dataDxfId="1101"/>
    <tableColumn id="376" xr3:uid="{AE713D3C-DDCB-423E-BA68-87EDC1284F4B}" name="forbolting_andel_b" dataDxfId="1100"/>
    <tableColumn id="377" xr3:uid="{79D2E630-1D29-4DEC-82CC-80422FFB35CF}" name="forbolting_senteravstand_b" dataDxfId="1099"/>
    <tableColumn id="541" xr3:uid="{1A0D8B86-F5DE-4280-BD32-A076B9D9E4EE}" name="forbolting_bue_lengde_b" dataDxfId="1098"/>
    <tableColumn id="378" xr3:uid="{F41C4AA4-4208-4487-A252-BA2CA26A7B7D}" name="forbolting_bolter_output_b" dataDxfId="1097"/>
    <tableColumn id="379" xr3:uid="{A7AE576F-83AF-4A0B-BDCB-18428591C649}" name="forbolting_bueområde_c" dataDxfId="1096"/>
    <tableColumn id="380" xr3:uid="{0B67EB6C-0F47-47E4-8CCB-FCEDB3551E33}" name="forbolting_andel_c" dataDxfId="1095"/>
    <tableColumn id="381" xr3:uid="{4B9A0FB8-0B83-447F-B9E9-0302E1E8F13F}" name="forbolting_senteravstand_c" dataDxfId="1094"/>
    <tableColumn id="543" xr3:uid="{EC4C7112-179D-4371-9FA5-17B2D35F735E}" name="forbolting_bue_lengde_c" dataDxfId="1093"/>
    <tableColumn id="382" xr3:uid="{673D9A9E-3F69-41E1-9579-FDA83C48E774}" name="forbolting_bolter_output_c" dataDxfId="1092"/>
    <tableColumn id="383" xr3:uid="{9287361B-CC99-4FA2-9B76-CB005FAA9DB1}" name="forbolting_bueområde_d" dataDxfId="1091"/>
    <tableColumn id="384" xr3:uid="{63F9C4B5-B0CB-441D-9BA0-C1080FBB1137}" name="forbolting_andel_d" dataDxfId="1090"/>
    <tableColumn id="385" xr3:uid="{C07722CE-C74A-43F2-84B0-130E6563C0C1}" name="forbolting_senteravstand_d" dataDxfId="1089"/>
    <tableColumn id="544" xr3:uid="{F39A3DE0-F052-4AD6-9087-7DFB181C7C89}" name="forbolting_bue_lengde_d" dataDxfId="1088"/>
    <tableColumn id="386" xr3:uid="{454E63C2-286C-42A3-8B06-E89A03D4C771}" name="forbolting_bolter_output_d" dataDxfId="1087"/>
    <tableColumn id="387" xr3:uid="{FE96FBC6-1E46-43F0-BABC-EFBCC9F25355}" name="forbolting_bueområde_e1" dataDxfId="1086"/>
    <tableColumn id="388" xr3:uid="{FA81DE05-AEA0-4BE7-985A-A2596B781C65}" name="forbolting_andel_e1" dataDxfId="1085"/>
    <tableColumn id="389" xr3:uid="{5E7F67F7-6954-469A-8D14-1100B13427BB}" name="forbolting_senteravstand_e1" dataDxfId="1084"/>
    <tableColumn id="545" xr3:uid="{67A3BA87-3D84-4BDD-9A6B-66912E36C5DB}" name="forbolting_bue_lengde_e1" dataDxfId="1083"/>
    <tableColumn id="390" xr3:uid="{C07BC906-F0AB-4F9E-9F93-67452D3358DE}" name="forbolting_bolter_output_e1" dataDxfId="1082"/>
    <tableColumn id="391" xr3:uid="{6E325370-D4BF-47EB-8003-E73D96213AA3}" name="forbolting_bueområde_e2" dataDxfId="1081"/>
    <tableColumn id="392" xr3:uid="{011E6198-7738-40D5-9949-B8A0339B5F33}" name="forbolting_andel_e2" dataDxfId="1080"/>
    <tableColumn id="393" xr3:uid="{C3C59943-EC4E-49DD-BFE9-E8DC7299FF3D}" name="forbolting_senteravstand_e2" dataDxfId="1079"/>
    <tableColumn id="546" xr3:uid="{38CF8550-F3B2-4F77-B558-5D939F1C8C54}" name="forbolting_bue_lengde_e2" dataDxfId="1078"/>
    <tableColumn id="394" xr3:uid="{1DBE0A2A-B32D-4E73-9695-2AE6EBCA2674}" name="forbolting_bolter_output_e2" dataDxfId="1077"/>
    <tableColumn id="395" xr3:uid="{D78F14E7-A3AC-4F92-BB99-45E6C55A0D19}" name="forbolting_bueområde_f" dataDxfId="1076"/>
    <tableColumn id="396" xr3:uid="{58313323-B8E5-4591-B15F-6E47F1D6BF85}" name="forbolting_andel_f" dataDxfId="1075"/>
    <tableColumn id="397" xr3:uid="{29423179-D89A-4EAD-8BF9-4B05D2D90E67}" name="forbolting_senteravstand_f" dataDxfId="1074"/>
    <tableColumn id="547" xr3:uid="{3F1D58E7-B0E2-4DFB-895C-E7EC1B294B2F}" name="forbolting_bue_lengde_f" dataDxfId="1073"/>
    <tableColumn id="398" xr3:uid="{DE0A800B-912A-4BC3-B82B-F09931580F6B}" name="forbolting_bolter_output_f" dataDxfId="1072"/>
    <tableColumn id="399" xr3:uid="{1A1EBB1F-2164-4B7A-8981-6D6C05B0C8F2}" name="forbolting_bueområde_g" dataDxfId="1071"/>
    <tableColumn id="400" xr3:uid="{1049F85F-12E8-458F-86AA-89B95C5165FA}" name="forbolting_andel_g" dataDxfId="1070"/>
    <tableColumn id="401" xr3:uid="{9E8F1F15-2505-421E-8C5C-B8A2847D427D}" name="forbolting_senteravstand_g" dataDxfId="1069"/>
    <tableColumn id="548" xr3:uid="{E48FBE82-354C-437E-822E-9DC789165479}" name="forbolting_bue_lengde_g" dataDxfId="1068"/>
    <tableColumn id="402" xr3:uid="{8A0E6724-0FA9-4F2D-B8FC-B921FBC09ED6}" name="forbolting_bolter_output_g" dataDxfId="1067"/>
    <tableColumn id="403" xr3:uid="{EE61C4C6-A57B-41B1-B789-AAEB227FB5E0}" name="forbolter_lt4_a" dataDxfId="1066"/>
    <tableColumn id="404" xr3:uid="{E928B003-38BA-41B1-BFE1-F7E6B05CF93A}" name="forbolter_gt4_a" dataDxfId="1065"/>
    <tableColumn id="405" xr3:uid="{D99F6E0A-EB5A-49B3-B2DB-0FAD96BACB63}" name="forbolter_lt4_b" dataDxfId="1064"/>
    <tableColumn id="406" xr3:uid="{039799DA-05CE-4113-B388-A772B203C65A}" name="forbolter_gt4_b" dataDxfId="1063"/>
    <tableColumn id="407" xr3:uid="{D3358152-D4A1-4591-AE07-608FA64D3AE0}" name="forbolter_lt4_c" dataDxfId="1062"/>
    <tableColumn id="408" xr3:uid="{AC2CD845-7A6D-42C3-99C1-2C61855F152D}" name="forbolter_gt4_c" dataDxfId="1061"/>
    <tableColumn id="409" xr3:uid="{CDBF9B5D-76D4-499B-93E2-66609CD5D015}" name="forbolter_lt4_d" dataDxfId="1060"/>
    <tableColumn id="410" xr3:uid="{41A75168-9F1A-4F60-9DD6-6C6B244E8A22}" name="forbolter_gt4_d" dataDxfId="1059"/>
    <tableColumn id="411" xr3:uid="{13BACAED-5B82-419E-8684-FA831DC4470A}" name="forbolter_lt4_e1" dataDxfId="1058"/>
    <tableColumn id="412" xr3:uid="{B5E50ACB-411D-4B16-839D-53196A6E7C87}" name="forbolter_gt4_e1" dataDxfId="1057"/>
    <tableColumn id="413" xr3:uid="{6D34400F-1C28-4876-84AB-2E92A78D8EAC}" name="forbolter_lt4_e2" dataDxfId="1056"/>
    <tableColumn id="414" xr3:uid="{425461B9-77E9-4BB3-B1D3-57381439D2D9}" name="forbolter_gt4_e2" dataDxfId="1055"/>
    <tableColumn id="415" xr3:uid="{67FAE55C-6034-4997-9B1F-10659BC45B44}" name="forbolter_lt4_f" dataDxfId="1054"/>
    <tableColumn id="416" xr3:uid="{F482869A-FB4B-40DB-9502-CE3F1783429F}" name="forbolter_gt4_f" dataDxfId="1053"/>
    <tableColumn id="417" xr3:uid="{4A578D37-F65F-4C2A-B7D1-3D36DFEA3410}" name="forbolter_lt4_g" dataDxfId="1052"/>
    <tableColumn id="418" xr3:uid="{C2B05F1B-F6DB-4947-9F3A-B20FD17D6804}" name="forbolter_gt4_g" dataDxfId="1051"/>
    <tableColumn id="419" xr3:uid="{DC5D8C97-9FFF-4903-AC53-029E62584090}" name="forbolter_lt4_sum" dataDxfId="1050"/>
    <tableColumn id="420" xr3:uid="{4747069E-4247-4CA2-85A6-B99067C32982}" name="forbolter_gt4_sum" dataDxfId="1049"/>
    <tableColumn id="421" xr3:uid="{BA0BD3C3-F7CE-4CCF-B4D4-B263D5C5FE57}" name="opphengbolter_senteravstand_a" dataDxfId="1048"/>
    <tableColumn id="422" xr3:uid="{C925D8FE-3978-4A80-9051-9E9BE2C6C7CB}" name="opphengbolter_output_a" dataDxfId="1047"/>
    <tableColumn id="423" xr3:uid="{11BFE0B7-B615-4576-BB82-4C5520C66969}" name="opphengbolter_senteravstand_b" dataDxfId="1046"/>
    <tableColumn id="424" xr3:uid="{E4C08670-DD93-4F16-8FEE-9F3AA41CF4FC}" name="opphengbolter_output_b" dataDxfId="1045"/>
    <tableColumn id="425" xr3:uid="{1590B2F3-3C7F-47FF-B214-2862848712B4}" name="opphengbolter_senteravstand_c" dataDxfId="1044"/>
    <tableColumn id="426" xr3:uid="{E45E7D5C-7DB0-487A-B670-469C3D864AD3}" name="opphengbolter_output_c" dataDxfId="1043"/>
    <tableColumn id="427" xr3:uid="{2234609C-7973-46A9-96D5-B99DF63DD2C2}" name="opphengbolter_senteravstand_d" dataDxfId="1042"/>
    <tableColumn id="428" xr3:uid="{7F2CA0B8-44AB-4213-9EDA-97FB825AB6F7}" name="opphengbolter_output_d" dataDxfId="1041"/>
    <tableColumn id="429" xr3:uid="{70A3FC1E-0B5F-48BA-9480-9964A5F91AFE}" name="opphengbolter_senteravstand_e1" dataDxfId="1040"/>
    <tableColumn id="430" xr3:uid="{62D90891-A439-4B69-B6F8-A2A7F84E94C5}" name="opphengbolter_output_e1" dataDxfId="1039"/>
    <tableColumn id="431" xr3:uid="{602DA813-8E8D-4043-A921-FAA2CC977D2C}" name="opphengbolter_senteravstand_e2" dataDxfId="1038"/>
    <tableColumn id="432" xr3:uid="{58CD93DE-AFD1-476E-BDB6-1227BE9EE090}" name="opphengbolter_output_e2" dataDxfId="1037"/>
    <tableColumn id="433" xr3:uid="{68F7C810-84C2-4F2C-AECB-C4292C94F47F}" name="opphengbolter_senteravstand_f" dataDxfId="1036"/>
    <tableColumn id="434" xr3:uid="{891BFA8E-CC51-435B-AD53-50BF5997014D}" name="opphengbolter_output_f" dataDxfId="1035"/>
    <tableColumn id="435" xr3:uid="{FC25FFF4-7194-44DC-BC32-4D1D9A2AC6C6}" name="opphengbolter_senteravstand_g" dataDxfId="1034"/>
    <tableColumn id="436" xr3:uid="{D83D7C27-4ABF-493B-B720-6BD989C436E6}" name="opphengbolter_output_g" dataDxfId="1033"/>
    <tableColumn id="437" xr3:uid="{7EF304E7-8AF0-4253-9206-134DFA35D7DE}" name="opphengbolter_lt4_a" dataDxfId="1032"/>
    <tableColumn id="438" xr3:uid="{8CBB5D0D-15C4-4AE5-BADA-F3CC7564A912}" name="opphengbolter_gt4_a" dataDxfId="1031">
      <calculatedColumnFormula>outputs_klasse_qty[[#This Row],[opphengbolter_output_a]]*$ARL$42</calculatedColumnFormula>
    </tableColumn>
    <tableColumn id="439" xr3:uid="{B738B336-D420-4F8E-A1EA-CE1CCB77660B}" name="opphengbolter_lt4_b" dataDxfId="1030"/>
    <tableColumn id="440" xr3:uid="{70B64583-F6D8-441C-9155-81CF2E228273}" name="opphengbolter_gt4_b" dataDxfId="1029"/>
    <tableColumn id="441" xr3:uid="{F2799B14-38B6-4FB7-8331-0448DDB00258}" name="opphengbolter_lt4_c" dataDxfId="1028"/>
    <tableColumn id="442" xr3:uid="{6BC78831-B6AE-41A7-B371-E3D6DFA3ADB9}" name="opphengbolter_gt4_c" dataDxfId="1027"/>
    <tableColumn id="443" xr3:uid="{77777C5F-67C8-4FF1-AF3B-7A02B4FC3790}" name="opphengbolter_lt4_d" dataDxfId="1026"/>
    <tableColumn id="444" xr3:uid="{847F1FA3-30A2-44BE-9AAB-205AEE379413}" name="opphengbolter_gt4_d" dataDxfId="1025"/>
    <tableColumn id="445" xr3:uid="{3D4C0EC2-BE84-4892-9936-B3777E8304A6}" name="opphengbolter_lt4_e1" dataDxfId="1024"/>
    <tableColumn id="446" xr3:uid="{325C74C8-9A19-4A6A-A058-1306119A8213}" name="opphengbolter_gt4_e1" dataDxfId="1023"/>
    <tableColumn id="447" xr3:uid="{40E652E6-66B8-4889-A021-40BBB82BB859}" name="opphengbolter_lt4_e2" dataDxfId="1022"/>
    <tableColumn id="448" xr3:uid="{E122D732-B505-446C-B1E4-B9BE282502F6}" name="opphengbolter_gt4_e2" dataDxfId="1021"/>
    <tableColumn id="449" xr3:uid="{BA6558BD-6763-4EA4-A1E1-8021F466F830}" name="opphengbolter_lt4_f" dataDxfId="1020"/>
    <tableColumn id="450" xr3:uid="{C1656305-6F35-4F85-A971-031FEBAC779E}" name="opphengbolter_gt4_f" dataDxfId="1019"/>
    <tableColumn id="451" xr3:uid="{11D39F35-14AB-420F-B5B8-CAC6DD23DD20}" name="opphengbolter_lt4_g" dataDxfId="1018"/>
    <tableColumn id="452" xr3:uid="{BB44656C-ED0A-4674-A0E8-BE34D3DE02AC}" name="opphengbolter_gt4_g" dataDxfId="1017"/>
    <tableColumn id="453" xr3:uid="{B4941409-6C87-42F9-B7B1-68D4D9B8CA97}" name="opphengbolter_lt4_sum" dataDxfId="1016">
      <calculatedColumnFormula>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calculatedColumnFormula>
    </tableColumn>
    <tableColumn id="454" xr3:uid="{20F5898D-6319-4BD1-A495-E73EBDC60530}" name="opphengbolter_gt4_sum" dataDxfId="1015">
      <calculatedColumnFormula>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calculatedColumnFormula>
    </tableColumn>
    <tableColumn id="70" xr3:uid="{405B336D-4C3E-4B09-95D7-DAC29AD1F1C3}" name="bånd_metode" dataDxfId="1014">
      <calculatedColumnFormula array="1">IF($AK$217=klasse_bånd[Method],$LF$28,IF($AK$217="",$LF$29,0))</calculatedColumnFormula>
    </tableColumn>
    <tableColumn id="71" xr3:uid="{D1D4FF5C-AD3B-4030-BF2E-EDE2F402F217}" name="bergbånd_langs_forbolting_a_rate" dataDxfId="1013">
      <calculatedColumnFormula>IF($LF32=$LF$28,$AEZ$42,0)</calculatedColumnFormula>
    </tableColumn>
    <tableColumn id="72" xr3:uid="{67A8892D-E8B2-4BD1-BE34-BDCF1903372D}" name="bergbånd_langs_forbolting_a_output" dataDxfId="1012">
      <calculatedColumnFormula>LG32*$AY84</calculatedColumnFormula>
    </tableColumn>
    <tableColumn id="73" xr3:uid="{5363D8EB-5DF0-48C5-8892-BA6E7CFCA743}" name="bergbånd_langs_forbolting_b_rate" dataDxfId="1011">
      <calculatedColumnFormula>IF($LF32=$LF$28,$AEZ$43,0)</calculatedColumnFormula>
    </tableColumn>
    <tableColumn id="74" xr3:uid="{66BBEC89-2CDE-4123-8081-A95C384D5040}" name="bergbånd_langs_forbolting_b_output" dataDxfId="1010">
      <calculatedColumnFormula>LI32*$AZ84</calculatedColumnFormula>
    </tableColumn>
    <tableColumn id="75" xr3:uid="{CC5BF1E0-CB53-4B9E-94C7-BD8128B3BFDD}" name="bergbånd_langs_forbolting_c_rate" dataDxfId="1009">
      <calculatedColumnFormula>IF($LF32=$LF$28,$AEZ$44,0)</calculatedColumnFormula>
    </tableColumn>
    <tableColumn id="76" xr3:uid="{B13EF57C-75E9-478D-8D06-466F1B55BDFA}" name="bergbånd_langs_forbolting_c_output" dataDxfId="1008">
      <calculatedColumnFormula>LK32*$BA84</calculatedColumnFormula>
    </tableColumn>
    <tableColumn id="77" xr3:uid="{AC6B818B-9EEC-43B8-8DDD-AF0AF9A8FA28}" name="bergbånd_langs_forbolting_d_rate" dataDxfId="1007">
      <calculatedColumnFormula>IF($LF32=$LF$28,$AEZ$45,0)</calculatedColumnFormula>
    </tableColumn>
    <tableColumn id="78" xr3:uid="{5B9749B4-A381-484E-B900-7B3324F8B37C}" name="bergbånd_langs_forbolting_d_output" dataDxfId="1006">
      <calculatedColumnFormula>LM32*$BB84</calculatedColumnFormula>
    </tableColumn>
    <tableColumn id="79" xr3:uid="{111E374C-8A1B-4026-A959-0160B3345504}" name="bergbånd_langs_forbolting_e1_rate" dataDxfId="1005">
      <calculatedColumnFormula>IF($LF32=$LF$28,$AEZ$46,0)</calculatedColumnFormula>
    </tableColumn>
    <tableColumn id="80" xr3:uid="{6CC88245-8CB0-4535-8B68-EF81BFD5B2C8}" name="bergbånd_langs_forbolting_e1_output" dataDxfId="1004">
      <calculatedColumnFormula>LO32*$BC84</calculatedColumnFormula>
    </tableColumn>
    <tableColumn id="81" xr3:uid="{751B9458-DD9F-4878-A4F9-625670EB83D3}" name="bergbånd_langs_forbolting_e2_rate" dataDxfId="1003">
      <calculatedColumnFormula>IF($LF32=$LF$28,$AEZ$47,0)</calculatedColumnFormula>
    </tableColumn>
    <tableColumn id="82" xr3:uid="{2383B0BD-3AFB-4B3C-9674-807884E22C45}" name="bergbånd_langs_forbolting_e2_output" dataDxfId="1002">
      <calculatedColumnFormula>LQ32*$BD84</calculatedColumnFormula>
    </tableColumn>
    <tableColumn id="83" xr3:uid="{06C96223-75DA-4A3C-B859-F7C7BB844FBE}" name="bergbånd_langs_forbolting_f_rate" dataDxfId="1001">
      <calculatedColumnFormula>IF($LF32=$LF$28,$AEZ$48,0)</calculatedColumnFormula>
    </tableColumn>
    <tableColumn id="84" xr3:uid="{DFF5C3DF-61F8-482F-9F8D-574843A80B44}" name="bergbånd_langs_forbolting_f_output" dataDxfId="1000">
      <calculatedColumnFormula>LS32*$BE84</calculatedColumnFormula>
    </tableColumn>
    <tableColumn id="85" xr3:uid="{4324CD4A-C3B6-43A5-A9CE-72E93614E82F}" name="bergbånd_langs_forbolting_g_rate" dataDxfId="999">
      <calculatedColumnFormula>IF($LF32=$LF$28,$AEZ$49,0)</calculatedColumnFormula>
    </tableColumn>
    <tableColumn id="86" xr3:uid="{056E17B5-616D-4AD2-82F6-41168D885A49}" name="bergbånd_langs_forbolting_g_output" dataDxfId="998">
      <calculatedColumnFormula>LU32*$BF84</calculatedColumnFormula>
    </tableColumn>
    <tableColumn id="87" xr3:uid="{231A2203-68DD-4D0A-AA5C-2D6C45A45B1E}" name="bergbånd_langs_forbolting_total" dataDxfId="997">
      <calculatedColumnFormula>IFERROR(LH32+LJ32+LL32+LN32+LP32+LR32+LT32+LV32,0)</calculatedColumnFormula>
    </tableColumn>
    <tableColumn id="455" xr3:uid="{4A846F55-DE41-4A64-BE0B-36B80D672D46}" name="bånd_ekstra_a_rate" dataDxfId="996"/>
    <tableColumn id="456" xr3:uid="{107A6AC3-25C5-42E2-AFBF-F2EBAA93EBE6}" name="bånd_ekstra_a_output" dataDxfId="995"/>
    <tableColumn id="457" xr3:uid="{97FF5EC6-28B2-45E5-9752-483F11EE62F4}" name="bånd_ekstra_b_rate" dataDxfId="994"/>
    <tableColumn id="458" xr3:uid="{310F7F29-6DF2-44F0-9C4D-30DDF71ECF4B}" name="bånd_ekstra_b_output" dataDxfId="993"/>
    <tableColumn id="459" xr3:uid="{7C97B6E6-5D2C-4627-94FD-E7A6A4A768C0}" name="bånd_ekstra_c_rate" dataDxfId="992"/>
    <tableColumn id="460" xr3:uid="{45A08D8B-CBE9-4A9C-991A-074E97BCC4E4}" name="bånd_ekstra_c_output" dataDxfId="991"/>
    <tableColumn id="461" xr3:uid="{A8220F9A-774B-4F6B-9B25-2F04AE77D763}" name="bånd_ekstra_d_rate" dataDxfId="990"/>
    <tableColumn id="462" xr3:uid="{B78BCF29-2CC1-41F1-8158-2D15F5B014E8}" name="bånd_ekstra_d_output" dataDxfId="989"/>
    <tableColumn id="463" xr3:uid="{95855A4A-683C-4E0B-B15B-F65910BC8E83}" name="bånd_ekstra_e1_rate" dataDxfId="988"/>
    <tableColumn id="471" xr3:uid="{EB6F0224-675F-4AF5-B997-C134AA627D18}" name="bånd_ekstra_e1_output" dataDxfId="987"/>
    <tableColumn id="472" xr3:uid="{9F5F560F-5451-4F70-ADEB-0094FBBD4D5C}" name="bånd_ekstra_e2_rate" dataDxfId="986"/>
    <tableColumn id="473" xr3:uid="{28DBD85C-227A-43D1-A4C5-59C3ED0C48DE}" name="bånd_ekstra_e2_output" dataDxfId="985"/>
    <tableColumn id="474" xr3:uid="{C0ECBF66-19F5-4AD5-AE5C-CA44DF4F3D71}" name="bånd_ekstra_f_rate" dataDxfId="984"/>
    <tableColumn id="475" xr3:uid="{85DE9CB5-71F1-4C3F-818D-E6780983B721}" name="bånd_ekstra_f_output" dataDxfId="983"/>
    <tableColumn id="476" xr3:uid="{DF8E1B3A-3A60-40FA-9679-26AF131E3360}" name="bånd_ekstra_g_rate" dataDxfId="982"/>
    <tableColumn id="477" xr3:uid="{AF5B43D0-2AE7-4664-9F71-28FE8A0E29FE}" name="bånd_ekstra_g_output" dataDxfId="981"/>
    <tableColumn id="478" xr3:uid="{82696749-1536-4B27-905F-3A12488C1E99}" name="bånd_ekstra_total" dataDxfId="980"/>
    <tableColumn id="550" xr3:uid="{68061ED2-C487-4134-89F6-787B99C0D2D4}" name="bergbånd_sum_a" dataDxfId="979"/>
    <tableColumn id="551" xr3:uid="{9BD2C567-4537-4858-988F-3BAAE7FC684A}" name="bergbånd_sum_b" dataDxfId="978"/>
    <tableColumn id="552" xr3:uid="{06964412-BDCC-4DE9-950E-7AAF286876D2}" name="bergbånd_sum_c" dataDxfId="977"/>
    <tableColumn id="553" xr3:uid="{D2C57C54-F1CF-4919-AC4E-DE4443DD0FEB}" name="bergbånd_sum_d" dataDxfId="976"/>
    <tableColumn id="554" xr3:uid="{0554EB60-6B48-40DA-B2CF-14C9F21B485C}" name="bergbånd_sum_e1" dataDxfId="975"/>
    <tableColumn id="555" xr3:uid="{D337148E-ACB0-4959-9B84-3B8B33A4457D}" name="bergbånd_sum_e2" dataDxfId="974"/>
    <tableColumn id="556" xr3:uid="{075D75DB-8E58-450C-AED0-404CCDDE60DD}" name="bergbånd_sum_f" dataDxfId="973"/>
    <tableColumn id="557" xr3:uid="{2FA75DF8-59AD-4643-BED5-D6CB6F7C5131}" name="bergbånd_sum_g" dataDxfId="972"/>
    <tableColumn id="549" xr3:uid="{995A2A42-0EEC-4A8C-848A-D8CDF9F4CF2F}" name="bergbånd_sum_total" dataDxfId="971"/>
    <tableColumn id="479" xr3:uid="{202E467B-ECC5-4534-979A-EBB1D5D1CA2F}" name="festebolter_for_bergbånd_a_senteravstand" dataDxfId="970"/>
    <tableColumn id="516" xr3:uid="{3C9B51E4-791B-4147-9994-5E76DEE5345C}" name="festebolter_for_bergbånd_a_output" dataDxfId="969"/>
    <tableColumn id="517" xr3:uid="{EE296FC3-BDAA-495B-AFF8-1438EF13EDF2}" name="festebolter_for_bergbånd_b_senteravstand" dataDxfId="968"/>
    <tableColumn id="518" xr3:uid="{214C0C8C-84DF-437E-B6D2-2312EA3404D8}" name="festebolter_for_bergbånd_b_output" dataDxfId="967"/>
    <tableColumn id="519" xr3:uid="{1CD0B9A5-4F11-48B7-B524-FC68B546CC4A}" name="festebolter_for_bergbånd_c_senteravstand" dataDxfId="966"/>
    <tableColumn id="520" xr3:uid="{54BE1892-41EB-4670-8F75-E3ACAE3D88B3}" name="festebolter_for_bergbånd_c_output" dataDxfId="965"/>
    <tableColumn id="521" xr3:uid="{0B81D6BF-8C1A-41FE-BA0D-AF8AE454400C}" name="festebolter_for_bergbånd_d_senteravstand" dataDxfId="964"/>
    <tableColumn id="522" xr3:uid="{4A6605C8-F6CE-4593-92E8-9C84E765B0E4}" name="festebolter_for_bergbånd_d_output" dataDxfId="963"/>
    <tableColumn id="523" xr3:uid="{66EE6142-5FCB-4D2B-B732-A68867458B2D}" name="festebolter_for_bergbånd_e1_senteravstand" dataDxfId="962"/>
    <tableColumn id="524" xr3:uid="{FE92F932-D4F6-4A81-9FA2-0E907AED7141}" name="festebolter_for_bergbånd_e1_output" dataDxfId="961"/>
    <tableColumn id="525" xr3:uid="{549AD8D5-62C9-49C7-9502-63AD9DFB9EC0}" name="festebolter_for_bergbånd_e2_senteravstand" dataDxfId="960"/>
    <tableColumn id="526" xr3:uid="{BFEF1BC8-B60E-4D93-AA89-D9863003F584}" name="festebolter_for_bergbånd_e2_output" dataDxfId="959"/>
    <tableColumn id="527" xr3:uid="{9C041061-E712-41EE-938C-843689C2FB74}" name="festebolter_for_bergbånd_f_senteravstand" dataDxfId="958"/>
    <tableColumn id="528" xr3:uid="{4509F1F2-912C-494F-945C-E9B79E5616E0}" name="festebolter_for_bergbånd_f_output" dataDxfId="957"/>
    <tableColumn id="529" xr3:uid="{C8E9E3E8-645E-469D-BAF3-3B7C28ABCB93}" name="festebolter_for_bergbånd_g_senteravstand" dataDxfId="956"/>
    <tableColumn id="530" xr3:uid="{96EA589B-E924-4079-B528-A45847931DF7}" name="festebolter_for_bergbånd_g_output" dataDxfId="955"/>
    <tableColumn id="531" xr3:uid="{0A5A6FC2-00D6-4C9C-A707-2C304D7088DC}" name="festebolter_for bergbånd_total" dataDxfId="954"/>
    <tableColumn id="532" xr3:uid="{027FEE45-0940-4A4D-BD81-A0F9C88C85A5}" name="Column1278" dataDxfId="953"/>
    <tableColumn id="533" xr3:uid="{AF86C012-4D56-4C16-8290-3A470A89ED3C}" name="Column1279" dataDxfId="952"/>
    <tableColumn id="498" xr3:uid="{E1636C9B-A5F0-4739-877A-A8A1096C148A}" name="Column127" dataDxfId="951"/>
    <tableColumn id="499" xr3:uid="{F15A4C86-3868-4925-BC69-6A409FC1457C}" name="Column128" dataDxfId="950"/>
    <tableColumn id="500" xr3:uid="{FA27B751-60AF-4AA7-8F4E-72D2C34681CC}" name="Column129" dataDxfId="949"/>
    <tableColumn id="501" xr3:uid="{82540F11-610C-4B5E-9E1B-F0570F2ACF69}" name="Column130" dataDxfId="948"/>
    <tableColumn id="502" xr3:uid="{994215A6-2502-4C97-A474-D01C22C18C77}" name="Column131" dataDxfId="947"/>
    <tableColumn id="503" xr3:uid="{B7E27DF6-E730-40FE-9225-8F5EAAB3502C}" name="Column132" dataDxfId="946"/>
    <tableColumn id="504" xr3:uid="{F7DD56CC-6989-4D9B-B15A-B29008FF8F9C}" name="Column133" dataDxfId="945"/>
    <tableColumn id="505" xr3:uid="{4B2ACFEC-9813-4307-8E18-603D6699C3BC}" name="Column134" dataDxfId="944"/>
    <tableColumn id="506" xr3:uid="{AD4D92F3-985D-4F77-B1D6-815384DC43FD}" name="Column135" dataDxfId="943"/>
    <tableColumn id="507" xr3:uid="{AEE188C9-46AE-469D-B1B7-9FDFAD64947B}" name="Column136" dataDxfId="942"/>
    <tableColumn id="508" xr3:uid="{C2A2D122-5CD7-470D-A342-78620754FA65}" name="Column137" dataDxfId="941"/>
    <tableColumn id="509" xr3:uid="{1AD02930-A19D-4F77-BA4A-CEA6C0D73BFA}" name="Column138" dataDxfId="940"/>
    <tableColumn id="510" xr3:uid="{E9FB47F7-B6A3-49D4-9EF0-F4FBE415CE33}" name="Column139" dataDxfId="939"/>
    <tableColumn id="511" xr3:uid="{2DA6580F-5410-4230-B91C-AF1DF06BA742}" name="Column140" dataDxfId="938"/>
    <tableColumn id="512" xr3:uid="{BDE64D2A-0D5B-4D4F-9BAA-7E54B1BA3D16}" name="Column141" dataDxfId="937"/>
    <tableColumn id="513" xr3:uid="{D8B6377C-1B49-4F09-8698-AE015A6B8BA8}" name="Column142" dataDxfId="936"/>
    <tableColumn id="514" xr3:uid="{E0CAD420-AECD-4CE9-B151-8CAD551D4E21}" name="Column143" dataDxfId="935"/>
    <tableColumn id="515" xr3:uid="{DE6BF0BA-4CA0-4E44-A38A-EA429EA49484}" name="Column144" dataDxfId="934"/>
    <tableColumn id="88" xr3:uid="{FD88B560-AEE2-4D95-99BF-E8E3F350E451}" name="nett_metode" dataDxfId="933">
      <calculatedColumnFormula array="1">IF($AK$218=klasse_net[Method],$OI$28,IF($AK$218="",$OI$29,0))</calculatedColumnFormula>
    </tableColumn>
    <tableColumn id="89" xr3:uid="{FF2A5EA7-0241-4258-B702-27F3FE2810A0}" name="nett_a_rate" dataDxfId="932">
      <calculatedColumnFormula>IF($OI32=$OI$28,$AGU$42,0)</calculatedColumnFormula>
    </tableColumn>
    <tableColumn id="90" xr3:uid="{0015E1FE-7519-4E9A-8EF5-A1CE4E8FDF89}" name="nett_a_output" dataDxfId="931">
      <calculatedColumnFormula>OJ32*$AY84</calculatedColumnFormula>
    </tableColumn>
    <tableColumn id="91" xr3:uid="{22D92DCC-3319-47FA-9A99-CAF6C4ADA26D}" name="nett_b_rate" dataDxfId="930">
      <calculatedColumnFormula>IF($OI32=$OI$28,$AGU$43,0)</calculatedColumnFormula>
    </tableColumn>
    <tableColumn id="92" xr3:uid="{C4BE8E5E-229C-4423-85FF-E467A076486B}" name="nett_b_output" dataDxfId="929">
      <calculatedColumnFormula>OL32*$AZ84</calculatedColumnFormula>
    </tableColumn>
    <tableColumn id="93" xr3:uid="{7C8E874B-635A-47D4-9BC8-2C48BF54044E}" name="nett_c_rate" dataDxfId="928">
      <calculatedColumnFormula>IF($OI32=$OI$28,$AGU$44,0)</calculatedColumnFormula>
    </tableColumn>
    <tableColumn id="94" xr3:uid="{3289BCBC-E2B4-4405-B709-154AE86EA7F2}" name="nett_c_output" dataDxfId="927">
      <calculatedColumnFormula>ON32*$BA84</calculatedColumnFormula>
    </tableColumn>
    <tableColumn id="95" xr3:uid="{37088324-0C9A-4BF9-A43B-E3F841048B0C}" name="nett_d_rate" dataDxfId="926">
      <calculatedColumnFormula>IF($OI32=$OI$28,$AGU$45,0)</calculatedColumnFormula>
    </tableColumn>
    <tableColumn id="96" xr3:uid="{84DB78B1-250B-4681-85A8-445FF09C021B}" name="nett_d_output" dataDxfId="925">
      <calculatedColumnFormula>OP32*$BB84</calculatedColumnFormula>
    </tableColumn>
    <tableColumn id="97" xr3:uid="{DCCE8D05-C8FF-4FB6-8130-C22CE06F7181}" name="nett_e1_rate" dataDxfId="924">
      <calculatedColumnFormula>IF($OI32=$OI$28,$AGU$46,0)</calculatedColumnFormula>
    </tableColumn>
    <tableColumn id="98" xr3:uid="{8E0B8A43-864D-4023-8DCD-8A43C0592CB5}" name="nett_e1_output" dataDxfId="923">
      <calculatedColumnFormula>OR32*$BC84</calculatedColumnFormula>
    </tableColumn>
    <tableColumn id="99" xr3:uid="{F36728F7-AA18-42B7-8F97-FFE1D671724B}" name="nett_e2_rate" dataDxfId="922">
      <calculatedColumnFormula>IF($OI32=$OI$28,$AGU$47,0)</calculatedColumnFormula>
    </tableColumn>
    <tableColumn id="100" xr3:uid="{1631962C-F68B-474B-8A3D-0263B9518127}" name="nett_e2_output" dataDxfId="921">
      <calculatedColumnFormula>OT32*$BD84</calculatedColumnFormula>
    </tableColumn>
    <tableColumn id="101" xr3:uid="{140A4330-773F-44EB-A7D7-B82B9FDE1002}" name="nett_f_rate" dataDxfId="920">
      <calculatedColumnFormula>IF($OI32=$OI$28,$AGU$48,0)</calculatedColumnFormula>
    </tableColumn>
    <tableColumn id="102" xr3:uid="{21C525B1-65E3-4539-A45F-9E8C04520B62}" name="nett_f_output" dataDxfId="919">
      <calculatedColumnFormula>OV32*$BE84</calculatedColumnFormula>
    </tableColumn>
    <tableColumn id="103" xr3:uid="{8EE06FA5-369D-4D18-8FF6-FF71258C55AE}" name="nett_g_rate" dataDxfId="918">
      <calculatedColumnFormula>IF($OI32=$OI$28,$AGU$49,0)</calculatedColumnFormula>
    </tableColumn>
    <tableColumn id="104" xr3:uid="{5E2796A9-E5E1-4F76-A78F-F16313F690AE}" name="nett_g_output" dataDxfId="917">
      <calculatedColumnFormula>OX32*$BF84</calculatedColumnFormula>
    </tableColumn>
    <tableColumn id="105" xr3:uid="{35F68089-A210-42E3-B007-241C5AC14550}" name="nett_total" dataDxfId="916">
      <calculatedColumnFormula>IFERROR(OK32+OM32+OO32+OQ32+OS32+OU32+OW32+OY32,0)</calculatedColumnFormula>
    </tableColumn>
    <tableColumn id="558" xr3:uid="{F731ED32-664D-4ECB-9332-9A2405129B3F}" name="festebolter_for_nett_senteravstand_a" dataDxfId="915"/>
    <tableColumn id="559" xr3:uid="{4DDAC985-4E66-4991-B5E4-DB43DC9BC520}" name="festebolter_for_nett_output_a" dataDxfId="914"/>
    <tableColumn id="560" xr3:uid="{A7488B1C-8E6A-4A87-A943-5D60BCDC51D0}" name="festebolter_for_nett_senteravstand_b" dataDxfId="913"/>
    <tableColumn id="561" xr3:uid="{D16CAE5F-9CA3-4204-BF3D-62D07885EFA3}" name="festebolter_for_nett_output_b" dataDxfId="912"/>
    <tableColumn id="562" xr3:uid="{EB6E3B8D-645D-40CA-B522-5E6BB976676F}" name="festebolter_for_nett_senteravstand_c" dataDxfId="911"/>
    <tableColumn id="563" xr3:uid="{0B776B4F-0020-4F34-9313-88B79AFC5659}" name="festebolter_for_nett_output_c" dataDxfId="910"/>
    <tableColumn id="564" xr3:uid="{830CAC60-5CC7-4291-BD74-7401CC1167DB}" name="festebolter_for_nett_senteravstand_d" dataDxfId="909"/>
    <tableColumn id="565" xr3:uid="{FF042EDF-1596-47B8-BF29-7ED8417BD2F2}" name="festebolter_for_nett_output_d" dataDxfId="908"/>
    <tableColumn id="566" xr3:uid="{C2F3BCDC-1EBA-41CC-9964-9CCA5F00B8F2}" name="festebolter_for_nett_senteravstand_e1" dataDxfId="907"/>
    <tableColumn id="567" xr3:uid="{6ACBE4DB-7847-4C04-963B-475CCBEC438E}" name="festebolter_for_nett_output_e1" dataDxfId="906"/>
    <tableColumn id="568" xr3:uid="{1EE358FF-FFCE-47F5-A088-55306F1091F0}" name="festebolter_for_nett_senteravstand_e2" dataDxfId="905"/>
    <tableColumn id="569" xr3:uid="{E2509252-7A8D-430E-A64C-7680DEE72020}" name="festebolter_for_nett_output_e2" dataDxfId="904"/>
    <tableColumn id="570" xr3:uid="{9187E249-B0F2-4F48-8C40-A4EAAA7DE33E}" name="festebolter_for_nett_senteravstand_f" dataDxfId="903"/>
    <tableColumn id="571" xr3:uid="{EAB01090-25BC-498C-9570-7487881F4DF5}" name="festebolter_for_nett_output_f" dataDxfId="902"/>
    <tableColumn id="572" xr3:uid="{B0142870-DB74-47CF-AE2E-A524A8E2FD25}" name="festebolter_for_nett_senteravstand_g" dataDxfId="901"/>
    <tableColumn id="573" xr3:uid="{16F0C45C-0C24-4D9D-A255-EDAB746F0596}" name="festebolter_for_nett_output_g" dataDxfId="900"/>
    <tableColumn id="574" xr3:uid="{EF14F78C-EFEE-472A-9434-0D0073216FF9}" name="festebolter_for_nett_sum" dataDxfId="899"/>
    <tableColumn id="575" xr3:uid="{7ECF41DA-56C5-4461-AEC0-6CDCA68767E1}" name="sprøytebetong_ved_nett_tykkelse_a" dataDxfId="898"/>
    <tableColumn id="576" xr3:uid="{642D701B-E28D-4C74-83D6-E2175C0D2C09}" name="sprøytebetong_ved_nett_output_a" dataDxfId="897"/>
    <tableColumn id="600" xr3:uid="{555981DB-1684-4CC9-A789-448A05DECA61}" name="sprøytebetong_ved_nett_tykkelse_b" dataDxfId="896"/>
    <tableColumn id="601" xr3:uid="{025148A0-F2ED-4B4F-9DD3-BCDE2691E2EA}" name="sprøytebetong_ved_nett_output_b" dataDxfId="895"/>
    <tableColumn id="602" xr3:uid="{B8E02FB9-47D5-4767-AE8C-3CE6C02A6EA1}" name="sprøytebetong_ved_nett_tykkelse_c" dataDxfId="894"/>
    <tableColumn id="603" xr3:uid="{61A92889-E349-455D-8961-487B84A80B1B}" name="sprøytebetong_ved_nett_output_c" dataDxfId="893"/>
    <tableColumn id="604" xr3:uid="{CF2AAF5E-69F1-4822-A6A6-B828356F9E84}" name="sprøytebetong_ved_nett_tykkelse_d" dataDxfId="892"/>
    <tableColumn id="605" xr3:uid="{CCFF15A0-FAFD-448A-A9E2-D49571D8BBD2}" name="sprøytebetong_ved_nett_output_d" dataDxfId="891"/>
    <tableColumn id="594" xr3:uid="{B64E3218-DDA4-480C-8928-335B175C3AF2}" name="sprøytebetong_ved_nett_tykkelse_e1" dataDxfId="890"/>
    <tableColumn id="595" xr3:uid="{1EEA3BE3-580B-435A-A127-2DEC59A348EB}" name="sprøytebetong_ved_nett_output_e1" dataDxfId="889"/>
    <tableColumn id="596" xr3:uid="{05DB875C-7437-4F44-B894-94E00BF468F8}" name="sprøytebetong_ved_nett_tykkelse_e2" dataDxfId="888"/>
    <tableColumn id="597" xr3:uid="{818631DF-0812-4D9F-ADD6-B87818E51716}" name="sprøytebetong_ved_nett_output_e2" dataDxfId="887"/>
    <tableColumn id="598" xr3:uid="{E548863F-C756-4F8A-B319-0DD1A700EEAF}" name="sprøytebetong_ved_nett_tykkelse_f" dataDxfId="886"/>
    <tableColumn id="599" xr3:uid="{85490AB9-682F-4AE8-92F8-47C328F70BAB}" name="sprøytebetong_ved_nett_output_f" dataDxfId="885"/>
    <tableColumn id="588" xr3:uid="{A31D0E72-1059-4935-A440-4347790E1AE5}" name="sprøytebetong_ved_nett_tykkelse_g" dataDxfId="884"/>
    <tableColumn id="589" xr3:uid="{4DF290F6-AFEE-49B5-ACE1-634211ED23F9}" name="sprøytebetong_ved_nett_output_g" dataDxfId="883"/>
    <tableColumn id="590" xr3:uid="{18107891-E3FC-450A-89B8-6571FF1F7FE4}" name="sprøytebetong_ved_nett_sum" dataDxfId="882"/>
    <tableColumn id="591" xr3:uid="{0B325F56-7311-4BDC-920D-FB715DA1A71D}" name="Column4425" dataDxfId="881"/>
    <tableColumn id="592" xr3:uid="{47E68383-3409-44FF-85D6-AB40B710DA25}" name="Column4426" dataDxfId="880"/>
    <tableColumn id="593" xr3:uid="{DF895970-F1A4-4A07-BA20-FD38F635D645}" name="Column4427" dataDxfId="879"/>
    <tableColumn id="577" xr3:uid="{DD9AB25E-3A54-4A07-9B77-38A5D9F9E1CC}" name="Column443" dataDxfId="878"/>
    <tableColumn id="578" xr3:uid="{004780D5-9262-4F78-A2B2-C3844F783BC3}" name="Column444" dataDxfId="877"/>
    <tableColumn id="579" xr3:uid="{71871321-DE22-49F2-B3AF-B7C648140D43}" name="Column445" dataDxfId="876"/>
    <tableColumn id="580" xr3:uid="{4330D033-9E68-47AB-A5B2-451923DBDBC8}" name="Column446" dataDxfId="875"/>
    <tableColumn id="581" xr3:uid="{8124A788-7075-45FD-8A33-C55EB30CBD07}" name="Column447" dataDxfId="874"/>
    <tableColumn id="582" xr3:uid="{A50C9618-85BD-4C8F-BE4B-138F4A7E5AD0}" name="Column448" dataDxfId="873"/>
    <tableColumn id="106" xr3:uid="{2551B6E8-13AC-450E-9631-F8CD7BFB5EB0}" name="shot_veder_metode" dataDxfId="872">
      <calculatedColumnFormula>IF($AK$219=_List!$DI$6,_Calcs_Klasse!$QR$28,IF($AK$219=_List!$DI$7,$QR$29,0))</calculatedColumnFormula>
    </tableColumn>
    <tableColumn id="124" xr3:uid="{69782FEA-F06A-4F54-866D-C7071296E302}" name="shot_veder_a_faktor" dataDxfId="871">
      <calculatedColumnFormula>$AIQ$42</calculatedColumnFormula>
    </tableColumn>
    <tableColumn id="107" xr3:uid="{92F10CA9-4761-400E-8528-80F2457B88BB}" name="shot_veder_a_rate" dataDxfId="870"/>
    <tableColumn id="108" xr3:uid="{EAAEB46C-7AA7-422A-91DE-FE323FBFF207}" name="shot_veder_a_output" dataDxfId="869">
      <calculatedColumnFormula>QT32*$AY84*outputs_klasse_qty[[#This Row],[shot_veder_a_faktor]]</calculatedColumnFormula>
    </tableColumn>
    <tableColumn id="125" xr3:uid="{CD19EBC8-A438-4FC2-A9F2-8B40DCB78500}" name="shot_veder_b_faktor" dataDxfId="868">
      <calculatedColumnFormula>$AIQ$43</calculatedColumnFormula>
    </tableColumn>
    <tableColumn id="109" xr3:uid="{049018E3-4CF6-4FB1-A096-EA696FD1B817}" name="shot_veder_b_rate" dataDxfId="867">
      <calculatedColumnFormula>IF(outputs_klasse_qty[[#This Row],[shot_veder_metode]]=$QR$28,$AI$40*#REF!*$AHW$43,IF(outputs_klasse_qty[[#This Row],[shot_veder_metode]]=$QR$29,#REF!,""))</calculatedColumnFormula>
    </tableColumn>
    <tableColumn id="110" xr3:uid="{55CB0A3A-3F97-4AAA-9C0F-60D24C7572FA}" name="shot_veder_b_output" dataDxfId="866">
      <calculatedColumnFormula>QW32*$AZ84*outputs_klasse_qty[[#This Row],[shot_veder_b_faktor]]</calculatedColumnFormula>
    </tableColumn>
    <tableColumn id="126" xr3:uid="{837A8A96-C097-470A-B716-35A0BF1045EA}" name="shot_veder_c_faktor" dataDxfId="865">
      <calculatedColumnFormula>$AIQ$44</calculatedColumnFormula>
    </tableColumn>
    <tableColumn id="111" xr3:uid="{213DFFEE-6A05-43BC-ACD0-CD3B78534CB3}" name="shot_veder_c_rate" dataDxfId="864">
      <calculatedColumnFormula>IF(outputs_klasse_qty[[#This Row],[shot_veder_metode]]=$QR$28,$AI$40*#REF!*$AHW$44,IF(outputs_klasse_qty[[#This Row],[shot_veder_metode]]=$QR$29,#REF!,""))</calculatedColumnFormula>
    </tableColumn>
    <tableColumn id="112" xr3:uid="{34ABF1AA-5E5C-4C2A-8E6C-C54D95C9931B}" name="shot_veder_c_output" dataDxfId="863">
      <calculatedColumnFormula>QZ32*$BA84*outputs_klasse_qty[[#This Row],[shot_veder_c_faktor]]</calculatedColumnFormula>
    </tableColumn>
    <tableColumn id="127" xr3:uid="{D224FBAF-AB06-4CB2-877A-B65BF7860212}" name="shot_veder_d_faktor" dataDxfId="862">
      <calculatedColumnFormula>$AIQ$45</calculatedColumnFormula>
    </tableColumn>
    <tableColumn id="113" xr3:uid="{BCDA3692-0C22-4336-834E-09119976F3D3}" name="shot_veder_d_rate" dataDxfId="861"/>
    <tableColumn id="114" xr3:uid="{3ADC39DE-43C9-45CA-88AF-4899651F485A}" name="shot_veder_d_output" dataDxfId="860">
      <calculatedColumnFormula>IFERROR((outputs_klasse_qty[[#This Row],[shot_veder_d_faktor]]*outputs_klasse_qty[[#This Row],[shot_veder_d_rate]]*$AI$46*$BB84)/1000,"")</calculatedColumnFormula>
    </tableColumn>
    <tableColumn id="128" xr3:uid="{9200225E-B9BD-4120-9590-E0323EE87E96}" name="shot_veder_e1_faktor" dataDxfId="859">
      <calculatedColumnFormula>$AIQ$46</calculatedColumnFormula>
    </tableColumn>
    <tableColumn id="115" xr3:uid="{1FFB885B-2BF7-4454-9C78-6C752E7CD457}" name="shot_veder_e1_rate" dataDxfId="858">
      <calculatedColumnFormula>IF(outputs_klasse_qty[[#This Row],[shot_veder_metode]]=$QR$28,$AI$40*#REF!*$AHW$46,IF(outputs_klasse_qty[[#This Row],[shot_veder_metode]]=$QR$29,#REF!,""))</calculatedColumnFormula>
    </tableColumn>
    <tableColumn id="116" xr3:uid="{63BAEAA9-2610-4D7A-BD3A-7A13EAFA0BA5}" name="shot_veder_e1_output" dataDxfId="857">
      <calculatedColumnFormula>RF32*$BC84*outputs_klasse_qty[[#This Row],[shot_veder_e1_faktor]]</calculatedColumnFormula>
    </tableColumn>
    <tableColumn id="129" xr3:uid="{ECFD2851-92D9-43CE-A868-E393A6C0730F}" name="shot_veder_e2_faktor" dataDxfId="856">
      <calculatedColumnFormula>$AIQ$47</calculatedColumnFormula>
    </tableColumn>
    <tableColumn id="117" xr3:uid="{6A5A76ED-889A-475F-A25A-9313EA3CB809}" name="shot_veder_e2_rate" dataDxfId="855">
      <calculatedColumnFormula>IF(outputs_klasse_qty[[#This Row],[shot_veder_metode]]=$QR$28,$AI$40*#REF!*$AHW$47,IF(outputs_klasse_qty[[#This Row],[shot_veder_metode]]=$QR$29,#REF!,""))</calculatedColumnFormula>
    </tableColumn>
    <tableColumn id="118" xr3:uid="{FFDC5F6A-B668-4E6A-B7F3-C8695745F5CD}" name="shot_veder_e2_output" dataDxfId="854">
      <calculatedColumnFormula>RI32*$BD84*outputs_klasse_qty[[#This Row],[shot_veder_e2_faktor]]</calculatedColumnFormula>
    </tableColumn>
    <tableColumn id="130" xr3:uid="{D510DC93-55F9-492D-808F-64112E97B5FF}" name="shot_veder_f_faktor" dataDxfId="853">
      <calculatedColumnFormula>$AIQ$48</calculatedColumnFormula>
    </tableColumn>
    <tableColumn id="119" xr3:uid="{8736632D-5408-40CA-A399-9F444B81E2BA}" name="shot_veder_f_rate" dataDxfId="852">
      <calculatedColumnFormula>IF(outputs_klasse_qty[[#This Row],[shot_veder_metode]]=$QR$28,$AI$40*#REF!*$AHW$48/1000,IF(outputs_klasse_qty[[#This Row],[shot_veder_metode]]=$QR$29,#REF!,""))</calculatedColumnFormula>
    </tableColumn>
    <tableColumn id="120" xr3:uid="{08558088-3329-41BE-BB37-E35B77420F7B}" name="shot_veder_f_output" dataDxfId="851">
      <calculatedColumnFormula>RL32*$BE84*outputs_klasse_qty[[#This Row],[shot_veder_f_faktor]]</calculatedColumnFormula>
    </tableColumn>
    <tableColumn id="131" xr3:uid="{CF3C3942-E870-4174-9D2D-EBA9DAE8754D}" name="shot_veder_g_faktor" dataDxfId="850">
      <calculatedColumnFormula>$AIQ$49</calculatedColumnFormula>
    </tableColumn>
    <tableColumn id="121" xr3:uid="{2E604E0E-1124-42A9-8853-19C66DB2F51C}" name="shot_veder_g_rate" dataDxfId="849">
      <calculatedColumnFormula>IF(outputs_klasse_qty[[#This Row],[shot_veder_metode]]=$QR$28,$AI$40*#REF!*$AHW$49/1000,IF(outputs_klasse_qty[[#This Row],[shot_veder_metode]]=$QR$29,#REF!,""))</calculatedColumnFormula>
    </tableColumn>
    <tableColumn id="122" xr3:uid="{0597B9DA-C503-4CF6-A9E0-60EDBD445E20}" name="shot_veder_g_output" dataDxfId="848">
      <calculatedColumnFormula>RO32*$BF84*outputs_klasse_qty[[#This Row],[shot_veder_g_faktor]]</calculatedColumnFormula>
    </tableColumn>
    <tableColumn id="123" xr3:uid="{80A9D482-FAB8-4F87-B445-8A4C60B28BC2}" name="shot_veder_sum" dataDxfId="847">
      <calculatedColumnFormula>IFERROR(QU32+QX32+RA32+RD32+RG32+RJ32+RM32+RP32,0)</calculatedColumnFormula>
    </tableColumn>
    <tableColumn id="253" xr3:uid="{FD558CCF-89C6-458A-9131-D39DCD8C7EB2}" name="shot_vegg_metode" dataDxfId="846"/>
    <tableColumn id="254" xr3:uid="{BEC9D14F-602F-47DE-B33A-6D3F37544E9D}" name="shot_vegg_a_faktor" dataDxfId="845"/>
    <tableColumn id="255" xr3:uid="{2521551A-92AB-468C-B643-24A8FB0401B6}" name="shot_vegg_a_rate" dataDxfId="844"/>
    <tableColumn id="256" xr3:uid="{1526BC69-43F6-464A-8E62-23651C7FE623}" name="shot_vegg_a_output" dataDxfId="843"/>
    <tableColumn id="257" xr3:uid="{A6CDCFE7-AC75-4240-8C5D-4B9B012CABE7}" name="shot_vegg_b_faktor" dataDxfId="842"/>
    <tableColumn id="258" xr3:uid="{2842E8E0-0FE1-4068-B22D-DDEDB03E3B5B}" name="shot_vegg_b_rate" dataDxfId="841"/>
    <tableColumn id="259" xr3:uid="{E6050EE7-7282-4770-8A9B-9BF7F163A3E7}" name="shot_vegg_b_output" dataDxfId="840"/>
    <tableColumn id="260" xr3:uid="{3BA6DB80-58A5-4645-9867-0427AC8EA04D}" name="shot_vegg_c_faktor" dataDxfId="839"/>
    <tableColumn id="261" xr3:uid="{5A88B460-4AA4-4B4E-80B5-E3269E39F7B6}" name="shot_vegg_c_rate" dataDxfId="838"/>
    <tableColumn id="262" xr3:uid="{2BC38370-3C8A-4AEF-A677-50271D43ABB0}" name="shot_vegg_c_output" dataDxfId="837"/>
    <tableColumn id="263" xr3:uid="{59AC8B09-36B3-4350-8B20-D9FF3E51397D}" name="shot_vegg_d_faktor" dataDxfId="836"/>
    <tableColumn id="264" xr3:uid="{61BD4B39-C73B-41E7-9608-C739B094EE4E}" name="shot_vegg_d_rate" dataDxfId="835"/>
    <tableColumn id="265" xr3:uid="{D68630AD-717F-46C9-8563-684B1C55C90A}" name="shot_vegg_d_output" dataDxfId="834"/>
    <tableColumn id="266" xr3:uid="{9A026166-8E12-45BE-8057-C697052BAD6E}" name="shot_vegg_e1_faktor" dataDxfId="833"/>
    <tableColumn id="267" xr3:uid="{E8511CF0-BCD1-42E6-9A78-9E54ECFD30EA}" name="shot_vegg_e1_rate" dataDxfId="832"/>
    <tableColumn id="268" xr3:uid="{4D70CE1A-455D-468E-B6B0-121E5E4E5FE3}" name="shot_vegg_e1_output" dataDxfId="831"/>
    <tableColumn id="269" xr3:uid="{B7AF8F6D-2D21-4D68-AAD2-4EE92272B50F}" name="shot_vegg_e2_faktor" dataDxfId="830"/>
    <tableColumn id="270" xr3:uid="{933AD543-8155-4DFB-8E9F-50E99EAA2062}" name="shot_vegg_e2_rate" dataDxfId="829"/>
    <tableColumn id="271" xr3:uid="{E06DA72A-9F4D-4C16-8270-84CB33EE5D7B}" name="shot_vegg_e2_output" dataDxfId="828"/>
    <tableColumn id="272" xr3:uid="{D4483691-9304-4669-997A-80285B755382}" name="shot_vegg_f_faktor" dataDxfId="827"/>
    <tableColumn id="273" xr3:uid="{AC702B6E-AAE3-44C0-B54A-0ED54507B71F}" name="shot_vegg_f_rate" dataDxfId="826"/>
    <tableColumn id="274" xr3:uid="{4C2D1F7B-B1AB-451B-88AD-14A04976FE43}" name="shot_vegg_f_output" dataDxfId="825"/>
    <tableColumn id="275" xr3:uid="{E76E862D-B066-427D-86A1-69B61C182D6F}" name="shot_vegg_g_faktor" dataDxfId="824"/>
    <tableColumn id="276" xr3:uid="{6F1794DA-0410-4C88-96F6-CBE890F9B4FA}" name="shot_vegg_g_rate" dataDxfId="823"/>
    <tableColumn id="277" xr3:uid="{131DC56E-4396-46A7-87AB-EC8ABB34CC20}" name="shot_vegg_g_output" dataDxfId="822"/>
    <tableColumn id="278" xr3:uid="{31CA48BD-7B63-4AE2-84F4-930031189766}" name="shot_vegg_sum" dataDxfId="821"/>
    <tableColumn id="279" xr3:uid="{A662828F-F52A-4392-8E19-A98E13F9CE77}" name="sprøyte_total" dataDxfId="820"/>
    <tableColumn id="280" xr3:uid="{74B2949D-AA9B-4560-9EFA-CC20ADCD1549}" name="Column45" dataDxfId="819"/>
    <tableColumn id="281" xr3:uid="{15669E65-FBDD-4A58-8DB0-DECB2EC1EC67}" name="Column46" dataDxfId="818"/>
    <tableColumn id="282" xr3:uid="{BFA7ECBB-77F9-4899-AF2C-E5773756C728}" name="Column47" dataDxfId="817"/>
    <tableColumn id="283" xr3:uid="{6E15ACB0-F6ED-4CA7-9E9A-923C046CD96A}" name="Column48" dataDxfId="816"/>
    <tableColumn id="284" xr3:uid="{962CB490-AFCA-4C07-8C95-8D157C3923C8}" name="Column49" dataDxfId="815"/>
    <tableColumn id="285" xr3:uid="{83DD1DC4-9A76-4FA3-87E0-4FE7EBC1B357}" name="Column50" dataDxfId="814"/>
    <tableColumn id="286" xr3:uid="{7543EE1B-CFC5-4F2E-81A1-C2B0D7929CE2}" name="Column51" dataDxfId="813"/>
    <tableColumn id="287" xr3:uid="{AE2600B4-7339-4BD1-864B-1A606D362926}" name="Column52" dataDxfId="812"/>
    <tableColumn id="288" xr3:uid="{D9A5FE0E-A8AF-470F-9F38-1487AF4A7C6E}" name="Column53" dataDxfId="811"/>
    <tableColumn id="289" xr3:uid="{0A834D2F-2ACC-421F-A159-FB6BC48C3E07}" name="Column18" dataDxfId="810"/>
    <tableColumn id="290" xr3:uid="{004E5EF4-A55A-4717-BCD2-1660A0BD2346}" name="Column19" dataDxfId="809"/>
    <tableColumn id="160" xr3:uid="{6B795F85-5D8B-4390-8F5F-B10A21D724EC}" name="Column20" dataDxfId="808"/>
    <tableColumn id="161" xr3:uid="{ABE0A689-2177-4540-B73C-A849B867D019}" name="Column21" dataDxfId="807"/>
    <tableColumn id="162" xr3:uid="{32772E57-48C5-4FE6-9617-010864D0F599}" name="Column22" dataDxfId="806"/>
    <tableColumn id="163" xr3:uid="{091BBF7D-95A9-4923-990F-F565BF7FCA4D}" name="Column23" dataDxfId="805"/>
    <tableColumn id="164" xr3:uid="{9DFB70F1-EFE5-42F5-9229-8B499E6238D4}" name="Column24" dataDxfId="804"/>
    <tableColumn id="165" xr3:uid="{FF93EF15-83EE-4D6F-B3A7-DED4D9968C51}" name="Column25" dataDxfId="803"/>
    <tableColumn id="166" xr3:uid="{F9106815-254E-4A6A-9DC3-267D86766F78}" name="Column26" dataDxfId="802"/>
    <tableColumn id="132" xr3:uid="{8967DACB-9045-4188-A8D6-10661CFEA1EE}" name="bue_metode" dataDxfId="801">
      <calculatedColumnFormula array="1">IF($AK$221=klasse_buer[Method],_Calcs_Klasse!$TK$28,IF($AK$221="",_Calcs_Klasse!TK29,""))</calculatedColumnFormula>
    </tableColumn>
    <tableColumn id="133" xr3:uid="{5ADE4C09-2DC3-4ABD-95A0-F54AE7B665BE}" name="bue_a_senteravstand" dataDxfId="800">
      <calculatedColumnFormula>IFERROR(IF($TK32=$TK$28,#REF!/$AJQ$42),0)</calculatedColumnFormula>
    </tableColumn>
    <tableColumn id="480" xr3:uid="{E4665E02-36BB-406E-96C8-AA6FC9CDE5E9}" name="bue_a_andel" dataDxfId="799"/>
    <tableColumn id="134" xr3:uid="{09402FF9-A566-42B3-8977-60026571B716}" name="bue_a_output" dataDxfId="798"/>
    <tableColumn id="135" xr3:uid="{3AB26471-F605-45D0-BD5C-E3237A951B34}" name="bue_a_dim" dataDxfId="797">
      <calculatedColumnFormula>$AJA$42</calculatedColumnFormula>
    </tableColumn>
    <tableColumn id="136" xr3:uid="{4C7335F3-682C-4B71-9CEA-E6304A40DBB6}" name="bue_a_e30" dataDxfId="796">
      <calculatedColumnFormula>IF($TO32=$TM$21,$TN32,0)</calculatedColumnFormula>
    </tableColumn>
    <tableColumn id="137" xr3:uid="{CB4FB554-BE41-4F4A-B935-DC7B8154ACEC}" name="bue_a_d60" dataDxfId="795">
      <calculatedColumnFormula>IF($TO32=$TM$22,$TN32,0)</calculatedColumnFormula>
    </tableColumn>
    <tableColumn id="138" xr3:uid="{4F46E80E-43F3-4A43-B206-EF8E550DCB26}" name="bue_b_senteravstand" dataDxfId="794">
      <calculatedColumnFormula>IFERROR(IF($TK32=$TK$28,#REF!/$AJQ$43),0)</calculatedColumnFormula>
    </tableColumn>
    <tableColumn id="481" xr3:uid="{CF7E5B35-03C4-479B-AEA4-AEC526F72310}" name="bue_b_andel" dataDxfId="793"/>
    <tableColumn id="139" xr3:uid="{7325097C-2F8C-488B-B4FE-CF506F73D247}" name="bue_b_output" dataDxfId="792"/>
    <tableColumn id="140" xr3:uid="{F27C53C4-0332-409D-9708-AD4B70CE55FD}" name="bue_b_dim" dataDxfId="791">
      <calculatedColumnFormula>$AJA$43</calculatedColumnFormula>
    </tableColumn>
    <tableColumn id="141" xr3:uid="{DF9D8780-6454-49FF-9952-C59E73AF05CF}" name="bue_b_e30" dataDxfId="790">
      <calculatedColumnFormula>IF($TU32=$TM$21,$TT32,0)</calculatedColumnFormula>
    </tableColumn>
    <tableColumn id="142" xr3:uid="{1279EC6B-B068-4BE5-A720-720CAF3445A8}" name="bue_b_d60" dataDxfId="789">
      <calculatedColumnFormula>IF($TU32=$TM$22,$TT32,0)</calculatedColumnFormula>
    </tableColumn>
    <tableColumn id="143" xr3:uid="{DE12955C-3F07-4FCF-9CA9-ED6A4994E7D9}" name="bue_c_senteravstand" dataDxfId="788">
      <calculatedColumnFormula>IFERROR(IF($TK32=$TK$28,#REF!/$AJQ$44),0)</calculatedColumnFormula>
    </tableColumn>
    <tableColumn id="482" xr3:uid="{63676483-9B1E-491B-B3D2-8EEA80EAFD40}" name="bue_c_andel" dataDxfId="787"/>
    <tableColumn id="144" xr3:uid="{5A627919-D323-452A-ACCA-7D0BA772F860}" name="bue_c_output" dataDxfId="786"/>
    <tableColumn id="145" xr3:uid="{8F934661-4800-4875-A223-562CB9EF22CE}" name="bue_c_dim" dataDxfId="785">
      <calculatedColumnFormula>$AJA$44</calculatedColumnFormula>
    </tableColumn>
    <tableColumn id="146" xr3:uid="{2276F31B-3AC9-4463-A901-08E4B89E921E}" name="bue_c_e30" dataDxfId="784">
      <calculatedColumnFormula>IF($UA32=$TM$21,$TZ32,0)</calculatedColumnFormula>
    </tableColumn>
    <tableColumn id="147" xr3:uid="{8C408BA7-B9CF-4551-BC22-D3A6248827A5}" name="bue_c_d60" dataDxfId="783">
      <calculatedColumnFormula>IF($UA32=$TM$22,$TZ32,0)</calculatedColumnFormula>
    </tableColumn>
    <tableColumn id="148" xr3:uid="{FC916736-4214-4F3B-B86B-0721FE2EBE3E}" name="bue_d_senteravstand" dataDxfId="782">
      <calculatedColumnFormula>IFERROR(IF($TK32=$TK$28,#REF!/$AJQ$45),0)</calculatedColumnFormula>
    </tableColumn>
    <tableColumn id="483" xr3:uid="{9CFE95F7-4A74-436E-A448-5D6FC0C6DA6F}" name="bue_d_andel" dataDxfId="781"/>
    <tableColumn id="149" xr3:uid="{65FBCCF9-513D-454B-B3B6-49EDF1B6919A}" name="bue_d_output" dataDxfId="780"/>
    <tableColumn id="150" xr3:uid="{2D47F3DF-BBB3-48B1-95FB-5C8C8926AF79}" name="bue_d_dim" dataDxfId="779">
      <calculatedColumnFormula>$AJA$45</calculatedColumnFormula>
    </tableColumn>
    <tableColumn id="151" xr3:uid="{78D237C1-3010-448F-9D0D-9ACFCE6D64F0}" name="bue_d_e30" dataDxfId="778">
      <calculatedColumnFormula>IF($UG32=$TM$21,$UF32,0)</calculatedColumnFormula>
    </tableColumn>
    <tableColumn id="152" xr3:uid="{D89EFEE1-1511-499A-B957-C4F69794B3EB}" name="bue_d_d60" dataDxfId="777">
      <calculatedColumnFormula>IF($UG32=$TM$22,$UF32,0)</calculatedColumnFormula>
    </tableColumn>
    <tableColumn id="153" xr3:uid="{BC91FBA0-E01A-4103-9DB1-CA6BABE8F632}" name="bue_e1_senteravstand" dataDxfId="776">
      <calculatedColumnFormula>IFERROR(IF($TK32=$TK$28,#REF!/$AJQ$46),0)</calculatedColumnFormula>
    </tableColumn>
    <tableColumn id="484" xr3:uid="{48D40890-BB33-4C73-BC4D-4FD5A2CCA054}" name="bue_e1_andel" dataDxfId="775"/>
    <tableColumn id="154" xr3:uid="{E412BFDF-D246-42D8-AFC1-C418ED7A061E}" name="bue_e1_output" dataDxfId="774"/>
    <tableColumn id="155" xr3:uid="{81235479-9EFE-48BC-9CD6-79BA177045EE}" name="bue_e1_dim" dataDxfId="773">
      <calculatedColumnFormula>$AJA$46</calculatedColumnFormula>
    </tableColumn>
    <tableColumn id="156" xr3:uid="{A92135B6-B118-4DBD-A374-DD0ED159A2A7}" name="bue_e1_e30" dataDxfId="772">
      <calculatedColumnFormula>IF($UM32=$TM$21,$UL32,0)</calculatedColumnFormula>
    </tableColumn>
    <tableColumn id="157" xr3:uid="{C3272BCC-51A9-44BB-B7F4-8E05A74A54EA}" name="bue_e1_d60" dataDxfId="771">
      <calculatedColumnFormula>IF($UM32=$TM$22,$UL32,0)</calculatedColumnFormula>
    </tableColumn>
    <tableColumn id="158" xr3:uid="{8685AFEB-42FB-4128-9582-348D52A79A9D}" name="bue_e2_senteravstand" dataDxfId="770">
      <calculatedColumnFormula>IFERROR(IF($TK32=$TK$28,#REF!/$AJQ$47),"-")</calculatedColumnFormula>
    </tableColumn>
    <tableColumn id="485" xr3:uid="{EA4DDA2B-D246-4CE3-9313-C669D1EC9C94}" name="bue_e2_andel" dataDxfId="769"/>
    <tableColumn id="159" xr3:uid="{FEEA324B-01D7-4695-9634-BEDDFE24C26C}" name="bue_e2_output" dataDxfId="768"/>
    <tableColumn id="167" xr3:uid="{1071713F-E840-4AC9-888C-930CCB6FFD0C}" name="bue_e2_dim" dataDxfId="767">
      <calculatedColumnFormula>$AJA$47</calculatedColumnFormula>
    </tableColumn>
    <tableColumn id="168" xr3:uid="{802E3FE2-7359-4543-9C64-5066A7080E77}" name="bue_e2_e30" dataDxfId="766">
      <calculatedColumnFormula>IF($US32=$TM$21,$UR32,0)</calculatedColumnFormula>
    </tableColumn>
    <tableColumn id="169" xr3:uid="{1DBA969E-0B3A-4CF1-8A2E-6CC73DB2D9C7}" name="bue_e2_d60" dataDxfId="765">
      <calculatedColumnFormula>IF($US32=$TM$22,$UR32,0)</calculatedColumnFormula>
    </tableColumn>
    <tableColumn id="170" xr3:uid="{EC0BAF7B-F9DE-403D-BECC-5086CD739878}" name="bue_f_senteravstand" dataDxfId="764">
      <calculatedColumnFormula>IFERROR(IF($TK32=$TK$28,#REF!/$AJQ$48),"-")</calculatedColumnFormula>
    </tableColumn>
    <tableColumn id="486" xr3:uid="{5A6ACDB1-9776-4545-B687-AF8B9E0D42C3}" name="bue_f_andel" dataDxfId="763"/>
    <tableColumn id="171" xr3:uid="{E080AAE7-F7E5-464B-87C5-0779919651C4}" name="bue_f_output" dataDxfId="762"/>
    <tableColumn id="172" xr3:uid="{05F47D16-59A6-446A-9F0E-16627CDE76C6}" name="bue_f_dim" dataDxfId="761">
      <calculatedColumnFormula>$AJA$48</calculatedColumnFormula>
    </tableColumn>
    <tableColumn id="173" xr3:uid="{2FF13173-0710-4A1E-9578-A944399E65DB}" name="bue_f_e30" dataDxfId="760">
      <calculatedColumnFormula>IF($UY32=$TM$21,$UX32,0)</calculatedColumnFormula>
    </tableColumn>
    <tableColumn id="174" xr3:uid="{6E0EDF54-3246-459A-AC78-5A4323CE875F}" name="bue_f_d60" dataDxfId="759">
      <calculatedColumnFormula>IF($UY32=$TM$22,$UX32,0)</calculatedColumnFormula>
    </tableColumn>
    <tableColumn id="175" xr3:uid="{4DC2641E-DA3F-4AB2-97C0-57B02E6FE91E}" name="bue_g_senteravstand" dataDxfId="758">
      <calculatedColumnFormula>IFERROR(IF($TK32=$TK$28,#REF!/$AJQ$49),"-")</calculatedColumnFormula>
    </tableColumn>
    <tableColumn id="487" xr3:uid="{BA2FA524-73F2-4A0B-8314-8FAB1B57AB2D}" name="bue_g_andel" dataDxfId="757"/>
    <tableColumn id="176" xr3:uid="{EE803BB3-5BB3-4D11-B32F-7C79DACF727B}" name="bue_g_output" dataDxfId="756"/>
    <tableColumn id="177" xr3:uid="{DC69880C-D5B7-475A-BD69-9D5F3FA44B56}" name="bue_g_dim" dataDxfId="755">
      <calculatedColumnFormula>$AJA$49</calculatedColumnFormula>
    </tableColumn>
    <tableColumn id="178" xr3:uid="{C4A3DE4D-032B-4215-BD83-C0766B0C9613}" name="bue_g_e30" dataDxfId="754">
      <calculatedColumnFormula>IF($VE32=$TM$21,$VD32,0)</calculatedColumnFormula>
    </tableColumn>
    <tableColumn id="179" xr3:uid="{98869750-9E75-44B2-88EF-9DE5FA6E8FDD}" name="bue_g_d60" dataDxfId="753">
      <calculatedColumnFormula>IF($VE32=$TM$22,$VD32,0)</calculatedColumnFormula>
    </tableColumn>
    <tableColumn id="180" xr3:uid="{B15831FF-B919-4A21-B5EE-ED02B0497C04}" name="bue_e30_sum" dataDxfId="752">
      <calculatedColumnFormula>TP32+TV32+UB32+UH32+UN32+UT32+UZ32+VF32</calculatedColumnFormula>
    </tableColumn>
    <tableColumn id="181" xr3:uid="{257E5169-53E4-4AA4-AE4C-651A3A8382C5}" name="bue_d60_sum" dataDxfId="751">
      <calculatedColumnFormula>TQ32+TW32+UC32+UI32+UO32+UU32+VA32+VG32</calculatedColumnFormula>
    </tableColumn>
    <tableColumn id="185" xr3:uid="{DC7076AE-9100-4CB6-A4C1-6AAE7C927468}" name="bue_ALL_sum" dataDxfId="750"/>
    <tableColumn id="186" xr3:uid="{F843FAF7-961A-4E01-A301-73D6A5CF9E53}" name="sprøytebetong_ved_bue_rate_a" dataDxfId="749"/>
    <tableColumn id="182" xr3:uid="{0F9E1E23-1F71-4F1F-BBAC-5F2B17CE626E}" name="sprøytebetong_ved_bue_output_a" dataDxfId="748">
      <calculatedColumnFormula>outputs_klasse_qty[[#This Row],[bue_a_output]]*outputs_klasse_qty[[#This Row],[sprøytebetong_ved_bue_rate_a]]</calculatedColumnFormula>
    </tableColumn>
    <tableColumn id="187" xr3:uid="{33A4BD66-A55F-4AAB-BB19-1CB80504350A}" name="sprøytebetong_ved_bue_rate_b" dataDxfId="747"/>
    <tableColumn id="183" xr3:uid="{FB04AE91-DBC5-474A-86D0-8D919ED8FB68}" name="sprøytebetong_ved_bue_output_b" dataDxfId="746">
      <calculatedColumnFormula>VI32*$BCV$81</calculatedColumnFormula>
    </tableColumn>
    <tableColumn id="184" xr3:uid="{9A8B7E35-A1EE-4E2E-ADBB-FA12D332484A}" name="sprøytebetong_ved_bue_rate_c" dataDxfId="745">
      <calculatedColumnFormula>VL32+VN32</calculatedColumnFormula>
    </tableColumn>
    <tableColumn id="291" xr3:uid="{D895C823-876C-449E-9B86-1097D1F50DDA}" name="sprøytebetong_ved_bue_output_c" dataDxfId="744">
      <calculatedColumnFormula>outputs_klasse_qty[[#This Row],[bue_c_output]]*outputs_klasse_qty[[#This Row],[sprøytebetong_ved_bue_rate_c]]</calculatedColumnFormula>
    </tableColumn>
    <tableColumn id="292" xr3:uid="{D5BAE1AE-FF95-4210-B99E-25B69F176F36}" name="sprøytebetong_ved_bue_rate_d" dataDxfId="743"/>
    <tableColumn id="293" xr3:uid="{298DB7EB-54D0-4CAA-BCBE-145856E2A63B}" name="sprøytebetong_ved_bue_output_d" dataDxfId="742"/>
    <tableColumn id="294" xr3:uid="{31E3C628-7917-4BD6-A032-61E0EBA18E1E}" name="sprøytebetong_ved_bue_rate_e1" dataDxfId="741"/>
    <tableColumn id="295" xr3:uid="{E52179A4-1DAE-4954-A62C-037DD37B6E18}" name="sprøytebetong_ved_bue_output_e1" dataDxfId="740"/>
    <tableColumn id="296" xr3:uid="{6F8A9D46-DE08-463D-9B07-DF0279AC5E2A}" name="sprøytebetong_ved_bue_rate_e2" dataDxfId="739"/>
    <tableColumn id="297" xr3:uid="{4802FE98-09AA-412F-946C-21A4543C1640}" name="sprøytebetong_ved_bue_output_e2" dataDxfId="738"/>
    <tableColumn id="298" xr3:uid="{EF1FC363-881B-4E09-9DA6-EE35C76E79D2}" name="sprøytebetong_ved_bue_rate_f" dataDxfId="737"/>
    <tableColumn id="299" xr3:uid="{23A48247-0C69-4D64-9D9C-F66DD57BE69B}" name="sprøytebetong_ved_bue_output_f" dataDxfId="736"/>
    <tableColumn id="300" xr3:uid="{A85D10A3-77BB-45BD-83B4-077C49BDA2A9}" name="sprøytebetong_ved_bue_rate_g" dataDxfId="735"/>
    <tableColumn id="301" xr3:uid="{E7BE908D-B2FC-467A-9EC8-08EAFEA662C2}" name="sprøytebetong_ved_bue_output_g" dataDxfId="734"/>
    <tableColumn id="302" xr3:uid="{9CA7D8BF-1762-496E-A757-50FCC41B4FAC}" name="sprøytebetong_ved_bue_sum" dataDxfId="733"/>
    <tableColumn id="303" xr3:uid="{3C968689-3ECC-40A6-938E-17A5762527B8}" name="forankring_bolter_rate_a" dataDxfId="732"/>
    <tableColumn id="304" xr3:uid="{E9F39F5B-345D-4CB1-B703-9FE3FD7EB480}" name="forankring_bolter_output_a" dataDxfId="731"/>
    <tableColumn id="305" xr3:uid="{F842361E-BF0B-49E0-981D-0CB23BFE19F6}" name="forankring_bolter_rate_b" dataDxfId="730"/>
    <tableColumn id="306" xr3:uid="{3D8FF7FF-2D57-4B0B-BD23-0C9EE3447B1E}" name="forankring_bolter_output_b" dataDxfId="729"/>
    <tableColumn id="307" xr3:uid="{1C15932E-A87B-4BB6-AE72-314CC781D797}" name="forankring_bolter_rate_c" dataDxfId="728"/>
    <tableColumn id="308" xr3:uid="{D1C275CE-4D7D-4BCA-A136-D5CF2D7308C3}" name="forankring_bolter_output_c" dataDxfId="727"/>
    <tableColumn id="309" xr3:uid="{DC3A4C20-878F-4427-B4D1-20EADE80901E}" name="forankring_bolter_rate_d" dataDxfId="726"/>
    <tableColumn id="310" xr3:uid="{17E25A1E-9975-4299-A527-AF2124E4ABB1}" name="forankring_bolter_output_d" dataDxfId="725"/>
    <tableColumn id="311" xr3:uid="{5DDB7236-569A-4C7E-BD42-7D361A087663}" name="forankring_bolter_rate_e1" dataDxfId="724"/>
    <tableColumn id="312" xr3:uid="{4680B4E0-DCAA-44D3-9F32-C3B831542AC7}" name="forankring_bolter_output_e1" dataDxfId="723"/>
    <tableColumn id="313" xr3:uid="{0EFBA4E4-A94B-472F-A721-148472A21244}" name="forankring_bolter_rate_e2" dataDxfId="722"/>
    <tableColumn id="314" xr3:uid="{7A3F768E-5655-4E27-ABBC-55E4C9CC86D7}" name="forankring_bolter_output_e2" dataDxfId="721"/>
    <tableColumn id="315" xr3:uid="{C5144487-9B8A-4621-9538-45F6D801A9F8}" name="forankring_bolter_rate_f" dataDxfId="720"/>
    <tableColumn id="316" xr3:uid="{E86EBC4D-6F06-47D7-ACCB-83D4B411A292}" name="forankring_bolter_output_f" dataDxfId="719"/>
    <tableColumn id="317" xr3:uid="{43AF3453-A2C0-4E26-BCFD-DE852537FD4B}" name="forankring_bolter_rate_g" dataDxfId="718"/>
    <tableColumn id="318" xr3:uid="{6044312A-A4FB-41B0-8B4C-8B40838B318F}" name="forankring_bolter_output_g" dataDxfId="717"/>
    <tableColumn id="319" xr3:uid="{10C90246-B226-4632-8927-867B6E953621}" name="forankring_lt4_a" dataDxfId="716"/>
    <tableColumn id="320" xr3:uid="{8E7AE8E7-DDE0-4BEE-9119-EA475D9079CD}" name="forankring_gt4_a" dataDxfId="715"/>
    <tableColumn id="321" xr3:uid="{704EC741-5C7A-4F45-8AFE-D625207D1995}" name="forankring_lt4_b" dataDxfId="714"/>
    <tableColumn id="322" xr3:uid="{47DACA59-99EB-4FCE-87CD-87BA00B601B5}" name="forankring_gt4_b" dataDxfId="713"/>
    <tableColumn id="323" xr3:uid="{DC7B86B9-1987-4AAF-9107-81B3480F3DAA}" name="forankring_lt4_c" dataDxfId="712"/>
    <tableColumn id="324" xr3:uid="{EE3048E3-EC93-49CB-925F-557DE7A23B8E}" name="forankring_gt4_c" dataDxfId="711"/>
    <tableColumn id="325" xr3:uid="{C9E24FA5-73A5-434F-8735-C03C97DB2079}" name="forankring_lt4_d" dataDxfId="710"/>
    <tableColumn id="326" xr3:uid="{2DD3E4ED-49C8-456E-B296-B8D0B7725ED9}" name="forankring_gt4_d" dataDxfId="709"/>
    <tableColumn id="327" xr3:uid="{4243B1B6-23E4-4855-8EB7-2B4EBCD65BE3}" name="forankring_lt4_e1" dataDxfId="708"/>
    <tableColumn id="328" xr3:uid="{7089DDDE-0247-4275-9D01-E05C4F144DDC}" name="forankring_gt4_e1" dataDxfId="707"/>
    <tableColumn id="329" xr3:uid="{83EF7597-FB3F-4F3B-B974-7D97EC7E8666}" name="forankring_lt4_e2" dataDxfId="706"/>
    <tableColumn id="330" xr3:uid="{41D13960-28F5-465B-81B3-69B660908717}" name="forankring_gt4_e2" dataDxfId="705"/>
    <tableColumn id="331" xr3:uid="{AC62138E-9EB2-4A56-8565-B32E10145727}" name="forankring_lt4_f" dataDxfId="704"/>
    <tableColumn id="332" xr3:uid="{33DE3F1A-0DBD-44FF-850F-C81F5F191CD2}" name="forankring_gt4_f" dataDxfId="703"/>
    <tableColumn id="333" xr3:uid="{2998CC01-52F7-456E-800F-9FD51A888738}" name="forankring_lt4_g" dataDxfId="702"/>
    <tableColumn id="334" xr3:uid="{BE6BD619-E6C7-468D-8351-0B5DADB7CA9B}" name="forankring_gt4_g" dataDxfId="701"/>
    <tableColumn id="335" xr3:uid="{6D871C0D-B151-4FAA-8D3D-8AF99B59A99C}" name="forankring_lt4_sum" dataDxfId="700"/>
    <tableColumn id="336" xr3:uid="{119E0CFF-F598-43FC-A63D-62E71796E40B}" name="forankring_gt4_sum" dataDxfId="699"/>
    <tableColumn id="337" xr3:uid="{65A68D24-3E3F-4195-91D8-5F43285B07AD}" name="bue_radielle_bolter_rate_a" dataDxfId="698"/>
    <tableColumn id="338" xr3:uid="{134C7598-8600-4B22-9A09-3F21029CE622}" name="bue_radielle_bolter_output_a" dataDxfId="697"/>
    <tableColumn id="339" xr3:uid="{19E0DE0D-838A-47A1-998A-1EC040682A9B}" name="bue_radielle_bolter_rate_b" dataDxfId="696"/>
    <tableColumn id="340" xr3:uid="{A98A32F4-F5E3-44F9-A264-BA256EB507A7}" name="bue_radielle_bolter_output_b" dataDxfId="695"/>
    <tableColumn id="341" xr3:uid="{2514480B-AA0F-4C6A-B94E-15A0B3FCA780}" name="bue_radielle_bolter_rate_c" dataDxfId="694"/>
    <tableColumn id="342" xr3:uid="{247527B4-353A-425D-86D5-BDE1E343984B}" name="bue_radielle_bolter_output_c" dataDxfId="693"/>
    <tableColumn id="343" xr3:uid="{66204CDC-B642-4FBD-9CF6-8A470147E470}" name="bue_radielle_bolter_rate_d" dataDxfId="692"/>
    <tableColumn id="344" xr3:uid="{E55FE649-B17C-40B0-B145-79F7F5AE5D42}" name="bue_radielle_bolter_output_d" dataDxfId="691"/>
    <tableColumn id="345" xr3:uid="{4D220042-91E8-4838-A652-0850ACEF9DD6}" name="bue_radielle_bolter_rate_e1" dataDxfId="690"/>
    <tableColumn id="346" xr3:uid="{8A9C4CC1-03D7-4082-9053-684648E19226}" name="bue_radielle_bolter_output_e1" dataDxfId="689"/>
    <tableColumn id="347" xr3:uid="{F0CA04FD-C2FA-4C97-99DF-BC2DC0DD838F}" name="bue_radielle_bolter_rate_e2" dataDxfId="688"/>
    <tableColumn id="348" xr3:uid="{FD810CB0-6174-4913-A372-8DFFF6F89B6C}" name="bue_radielle_bolter_output_e2" dataDxfId="687"/>
    <tableColumn id="349" xr3:uid="{EAEEF60C-6599-4462-8C04-DE927297F2FE}" name="bue_radielle_bolter_rate_f" dataDxfId="686"/>
    <tableColumn id="350" xr3:uid="{39EFB51F-1D95-4530-8E9F-F8471F5DA723}" name="bue_radielle_bolter_output_f" dataDxfId="685"/>
    <tableColumn id="351" xr3:uid="{EDE4F339-CA3C-4935-A652-866888533D61}" name="bue_radielle_bolter_rate_g" dataDxfId="684"/>
    <tableColumn id="352" xr3:uid="{BF68F67F-989A-4320-898D-E5E43B5E34C0}" name="bue_radielle_bolter_output_g" dataDxfId="683"/>
    <tableColumn id="353" xr3:uid="{613D5F32-F834-4007-B6B2-F0CA7EFC9D99}" name="bue_radielle_lt4_a" dataDxfId="682"/>
    <tableColumn id="354" xr3:uid="{83D0C3BA-E495-4FE9-99BB-5FE0A7AB948E}" name="bue_radielle_gt4_a" dataDxfId="681"/>
    <tableColumn id="355" xr3:uid="{31D884E5-011B-4457-810A-66375CB20713}" name="bue_radielle_lt4_b" dataDxfId="680"/>
    <tableColumn id="356" xr3:uid="{147B1C30-38AC-4613-8B5F-2CEE22F1266D}" name="bue_radielle_gt4_b" dataDxfId="679"/>
    <tableColumn id="357" xr3:uid="{9F81EDE0-ABEF-4627-ABC6-074F5657C278}" name="bue_radielle_lt4_c" dataDxfId="678"/>
    <tableColumn id="358" xr3:uid="{769913BF-3ACA-4789-81C0-A54D1D003579}" name="bue_radielle_gt4_c" dataDxfId="677"/>
    <tableColumn id="359" xr3:uid="{89623314-38A7-4FFF-A80C-314A9BC7660E}" name="bue_radielle_lt4_d" dataDxfId="676"/>
    <tableColumn id="360" xr3:uid="{8C934397-1592-4A69-87C5-821743066935}" name="bue_radielle_gt4_d" dataDxfId="675"/>
    <tableColumn id="361" xr3:uid="{F95BFA81-D02A-4B67-9D49-F7F5625293A9}" name="bue_radielle_lt4_e1" dataDxfId="674"/>
    <tableColumn id="362" xr3:uid="{26D438B0-31BA-470C-886B-FBCDC79EF651}" name="bue_radielle_gt4_e1" dataDxfId="673"/>
    <tableColumn id="363" xr3:uid="{C4B544B4-2E9B-48D9-BB49-500D79C278F0}" name="bue_radielle_lt4_e2" dataDxfId="672"/>
    <tableColumn id="364" xr3:uid="{B09CD5A8-2572-490E-93D0-C087FA4C0FC5}" name="bue_radielle_gt4_e2" dataDxfId="671"/>
    <tableColumn id="365" xr3:uid="{971C3BF9-FC54-40B4-93E0-33370F5A33AE}" name="bue_radielle_lt4_f" dataDxfId="670"/>
    <tableColumn id="366" xr3:uid="{DC0B849B-04B1-4AEB-9E23-949325AA34F5}" name="bue_radielle_gt4_f" dataDxfId="669"/>
    <tableColumn id="367" xr3:uid="{5E60A2CA-0A04-4BBD-B676-6219A8FA72A5}" name="bue_radielle_lt4_g" dataDxfId="668"/>
    <tableColumn id="368" xr3:uid="{7E94F1CF-1046-460C-A3D0-7CEB004822BB}" name="bue_radielle_gt4_g" dataDxfId="667"/>
    <tableColumn id="369" xr3:uid="{641983D1-5CFA-4C28-8C23-54A73BCDA80D}" name="bue_radielle_lt4_sum" dataDxfId="666"/>
    <tableColumn id="370" xr3:uid="{5961003A-34E5-4010-B6E2-B72E755AE48F}" name="bue_radielle_gt4_sum" dataDxfId="665"/>
    <tableColumn id="488" xr3:uid="{3EB0CF76-7752-4047-B010-94BF74810624}" name="Column1" dataDxfId="664"/>
    <tableColumn id="489" xr3:uid="{1C8F8ED3-8421-4B23-A92F-4DDB11F96A2C}" name="Column110" dataDxfId="663"/>
    <tableColumn id="490" xr3:uid="{6D89C0E9-18A8-4D78-A77C-098F8DD141B1}" name="Column111" dataDxfId="662"/>
    <tableColumn id="491" xr3:uid="{4EF63222-CD86-4979-BB9B-B63DE1A9E76F}" name="Column112" dataDxfId="661"/>
    <tableColumn id="492" xr3:uid="{B8D750B9-CC4F-42CC-8E96-64FB8E8028BA}" name="Column113" dataDxfId="660"/>
    <tableColumn id="493" xr3:uid="{6DDA5C60-F32F-4C0E-92FD-CCA2D72F38EE}" name="Column114" dataDxfId="659"/>
    <tableColumn id="494" xr3:uid="{CC8D244A-14B6-4108-A072-609C789A967D}" name="Column115" dataDxfId="658"/>
    <tableColumn id="495" xr3:uid="{9751356D-330D-4574-9624-36C5A6E64F8E}" name="Column116" dataDxfId="657"/>
    <tableColumn id="496" xr3:uid="{9C2EDD50-7042-414E-8C3D-113056E163EE}" name="Column117" dataDxfId="656"/>
    <tableColumn id="497" xr3:uid="{BE1F4995-1897-41D4-9C16-A754376C6ED5}" name="Column118" dataDxfId="655"/>
    <tableColumn id="534" xr3:uid="{2533D0F8-1DD6-44D7-BEE4-C2DC735D8774}" name="Column119" dataDxfId="654"/>
    <tableColumn id="535" xr3:uid="{B62B78AD-5747-469F-8021-EBB7E9B8FD98}" name="Column120" dataDxfId="653"/>
    <tableColumn id="536" xr3:uid="{72229F01-E009-49A1-8C4D-7AC8B0F1475B}" name="Column121" dataDxfId="652"/>
    <tableColumn id="537" xr3:uid="{86757C26-3D95-4917-B82B-5FF9F4371621}" name="Column122" dataDxfId="651"/>
    <tableColumn id="538" xr3:uid="{DE3837A9-15DC-49BA-B75D-ED22732C0D08}" name="Column123" dataDxfId="650"/>
    <tableColumn id="539" xr3:uid="{1A4C3EB6-4B72-4687-92AD-C1DB3A30F54B}" name="Column124" dataDxfId="649"/>
    <tableColumn id="540" xr3:uid="{48CA1C3A-029B-4E4D-953C-FAFEE8319AEA}" name="Column125" dataDxfId="648"/>
    <tableColumn id="583" xr3:uid="{13BAF0BF-A0DB-41C8-836E-BC43613DC82E}" name="Column54" dataDxfId="647"/>
    <tableColumn id="584" xr3:uid="{E3C56AA5-8F78-4CB7-8597-59966241B32A}" name="Column55" dataDxfId="646"/>
    <tableColumn id="585" xr3:uid="{33FAAF7C-C12D-4F49-A541-90AC56A1D564}" name="Column56" dataDxfId="645"/>
    <tableColumn id="586" xr3:uid="{5D700656-1FE8-49DD-A2C8-526EBBBB3117}" name="Column57" dataDxfId="644"/>
    <tableColumn id="587" xr3:uid="{2F8FE9D2-D4FB-4F56-9CD5-5A51FA8CAB53}" name="Column58" dataDxfId="64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7E5C472-7EF4-41DC-A258-28CECB143125}" name="klasse_tunnelprofil" displayName="klasse_tunnelprofil" ref="ATL18:ATU42" totalsRowShown="0" headerRowDxfId="642" headerRowBorderDxfId="641" tableBorderDxfId="640" totalsRowBorderDxfId="639">
  <autoFilter ref="ATL18:ATU42" xr:uid="{53D20562-BBC6-40B7-8BD9-DD4659BE11F2}"/>
  <tableColumns count="10">
    <tableColumn id="1" xr3:uid="{8FCEC63F-FB74-4A97-BB23-86E4ABD6711C}" name="Tunnel type" dataDxfId="638"/>
    <tableColumn id="10" xr3:uid="{D5948A2D-992F-4AB0-AAD8-AF0B6B27A4A6}" name="Tunnel_ID" dataDxfId="637"/>
    <tableColumn id="2" xr3:uid="{2AB79BDA-0E98-438D-83A0-68A4E0AB0305}" name="Rank" dataDxfId="636">
      <calculatedColumnFormula>ATU19</calculatedColumnFormula>
    </tableColumn>
    <tableColumn id="3" xr3:uid="{751E56AB-6648-4F9D-9784-D4354EA5467C}" name="Area (teoretisk)" dataDxfId="635">
      <calculatedColumnFormula>(ATN19*#REF!)+#REF!</calculatedColumnFormula>
    </tableColumn>
    <tableColumn id="4" xr3:uid="{FB493AF4-5B82-4BF3-A2F1-291DB37BCD58}" name="Area (normal)" dataDxfId="634"/>
    <tableColumn id="5" xr3:uid="{DA5DA283-68D7-4B4D-A8C0-06CDDC146C8C}" name="Buelendge_x000a_(såle-såle)" dataDxfId="633">
      <calculatedColumnFormula>#REF!+#REF!*ATN19</calculatedColumnFormula>
    </tableColumn>
    <tableColumn id="6" xr3:uid="{35CBE474-D827-4861-9185-B8B1169C5132}" name="Senterhøyde veggradier_x000a_(Yv)" dataDxfId="632"/>
    <tableColumn id="7" xr3:uid="{F609948B-43C8-414E-A889-15A99D61BF4F}" name="Vegg" dataDxfId="631"/>
    <tableColumn id="8" xr3:uid="{B00CDDA5-9346-4EFD-B589-47B3540C14C7}" name="Vederlag-vederlag" dataDxfId="630">
      <calculatedColumnFormula>ATQ19-(ATS19*2)</calculatedColumnFormula>
    </tableColumn>
    <tableColumn id="9" xr3:uid="{949372A2-EB95-4DB4-8671-23402A4FA4A1}" name="Bredde" dataDxfId="62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E0E1CA86-B4F2-436D-813B-EDD2118DD74D}" name="klasseqty_bolting" displayName="klasseqty_bolting" ref="AUV54:AWR58" totalsRowShown="0" headerRowDxfId="628" dataDxfId="626" headerRowBorderDxfId="627" tableBorderDxfId="625" totalsRowBorderDxfId="624">
  <autoFilter ref="AUV54:AWR58" xr:uid="{33027E61-9107-4CAA-A70B-888D59900F67}"/>
  <tableColumns count="49">
    <tableColumn id="1" xr3:uid="{AD5833E6-62D8-461A-AA0A-991A2B9508F2}" name="Type_size" dataDxfId="623"/>
    <tableColumn id="2" xr3:uid="{0F818F28-D11A-4DAD-B17A-D2E8745CE081}" name="veder_cc_a" dataDxfId="622"/>
    <tableColumn id="3" xr3:uid="{B2D65935-298E-4678-BE58-DEAA33CEE523}" name="veder_cc_b" dataDxfId="621"/>
    <tableColumn id="4" xr3:uid="{1DBD3B1E-073C-4A9A-B93F-52ADED226FE9}" name="veder_cc_c" dataDxfId="620"/>
    <tableColumn id="5" xr3:uid="{D39CBA74-275A-4A99-8411-AFD8F14C3F81}" name="veder_cc_d" dataDxfId="619"/>
    <tableColumn id="6" xr3:uid="{199D6F9C-ADEF-4E60-8119-01949587BDBE}" name="veder_cc_e1" dataDxfId="618"/>
    <tableColumn id="7" xr3:uid="{5349D912-D982-4532-8508-3F585ECC71A1}" name="veder_cc_e2" dataDxfId="617"/>
    <tableColumn id="8" xr3:uid="{201E7342-0870-402B-8C8F-DFC30F419AA6}" name="veder_cc_f" dataDxfId="616"/>
    <tableColumn id="9" xr3:uid="{8B4EB9C2-5499-476E-B559-71B142569613}" name="veder_cc_g" dataDxfId="615"/>
    <tableColumn id="10" xr3:uid="{D7941965-846E-497B-8E56-F5132CE17679}" name="veder_length_lt4_a" dataDxfId="614"/>
    <tableColumn id="11" xr3:uid="{46A8B27B-5B9C-4849-B61C-D2F1902D8E50}" name="veder_length_lt4_b" dataDxfId="613"/>
    <tableColumn id="12" xr3:uid="{5F8B3151-AC78-470C-A1B4-830FD206A8EA}" name="veder_length_lt4_c" dataDxfId="612"/>
    <tableColumn id="13" xr3:uid="{0CDB219D-D3D2-4BD6-A4C6-3E0AD57573A4}" name="veder_length_lt4_d" dataDxfId="611"/>
    <tableColumn id="14" xr3:uid="{EB9102B4-7914-437B-8621-BD55E3633C5B}" name="veder_length_lt4_e1" dataDxfId="610"/>
    <tableColumn id="15" xr3:uid="{8991D7FD-8E29-411E-AF9C-D04E0092F670}" name="veder_length_lt4_e2" dataDxfId="609"/>
    <tableColumn id="16" xr3:uid="{02F62B40-F125-4229-A856-6237D93669BB}" name="veder_length_lt4_f" dataDxfId="608"/>
    <tableColumn id="17" xr3:uid="{6C193B15-7F3E-47B3-8920-E9A381E01DA5}" name="veder_length_lt4_g" dataDxfId="607"/>
    <tableColumn id="18" xr3:uid="{BFB9B357-6127-415B-8D83-6C16E812FBF3}" name="veder_length_gt4_a" dataDxfId="606">
      <calculatedColumnFormula>1-AVE55</calculatedColumnFormula>
    </tableColumn>
    <tableColumn id="19" xr3:uid="{E7464E76-43D8-4940-81BF-CD76CA95881F}" name="veder_length_gt4_b" dataDxfId="605">
      <calculatedColumnFormula>1-AVF55</calculatedColumnFormula>
    </tableColumn>
    <tableColumn id="20" xr3:uid="{EB8CA0E7-18A2-4871-9238-D497E86F1D0C}" name="veder_length_gt4_c" dataDxfId="604">
      <calculatedColumnFormula>1-AVG55</calculatedColumnFormula>
    </tableColumn>
    <tableColumn id="21" xr3:uid="{8729795C-0B07-4B3E-8FCC-3DA2E9A513BA}" name="veder_length_gt4_d" dataDxfId="603">
      <calculatedColumnFormula>1-AVH55</calculatedColumnFormula>
    </tableColumn>
    <tableColumn id="22" xr3:uid="{74BF70D2-8AAB-4E27-8452-373EC8FC81C0}" name="veder_length_gt4_e1" dataDxfId="602">
      <calculatedColumnFormula>1-AVI55</calculatedColumnFormula>
    </tableColumn>
    <tableColumn id="23" xr3:uid="{FE695923-3034-4DA2-BAA4-0B2CFF497A84}" name="veder_length_gt4_e2" dataDxfId="601">
      <calculatedColumnFormula>1-AVJ55</calculatedColumnFormula>
    </tableColumn>
    <tableColumn id="24" xr3:uid="{448D28DD-6C42-4C93-8E3E-F3F90E27654B}" name="veder_length_gt4_f" dataDxfId="600">
      <calculatedColumnFormula>1-AVK55</calculatedColumnFormula>
    </tableColumn>
    <tableColumn id="25" xr3:uid="{DBE2C018-A290-4E5D-9151-ED964B5D1AAD}" name="veder_length_gt4_g" dataDxfId="599">
      <calculatedColumnFormula>1-AVL55</calculatedColumnFormula>
    </tableColumn>
    <tableColumn id="26" xr3:uid="{01B59950-7B0F-45E2-91E9-0C2872B5F35A}" name="vegg_cc_a" dataDxfId="598"/>
    <tableColumn id="27" xr3:uid="{253DDEE1-870E-4C97-B095-34CFCCC1F770}" name="vegg_cc_b" dataDxfId="597"/>
    <tableColumn id="28" xr3:uid="{B12787F5-0247-4DAA-A190-B9C31CC65D49}" name="vegg_cc_c" dataDxfId="596"/>
    <tableColumn id="29" xr3:uid="{487961A3-85C1-42B2-B6F5-3D61E8C694E1}" name="vegg_cc_d" dataDxfId="595"/>
    <tableColumn id="30" xr3:uid="{309591F6-02B0-4D83-A7B4-F135B0A94222}" name="vegg_cc_e1" dataDxfId="594"/>
    <tableColumn id="31" xr3:uid="{B5ED0B3E-18AA-4782-823C-427942C804F4}" name="vegg_cc_e2" dataDxfId="593"/>
    <tableColumn id="32" xr3:uid="{BE7FF729-342A-4312-9254-BB7EC106B6C3}" name="vegg_cc_f" dataDxfId="592"/>
    <tableColumn id="33" xr3:uid="{2B0722C9-110D-4A90-9CD0-CEA73EC5BCBD}" name="vegg_cc_g" dataDxfId="591"/>
    <tableColumn id="34" xr3:uid="{5817AAA0-2553-427D-B118-B98144FA2D6F}" name="vegg_length_lt4_a" dataDxfId="590"/>
    <tableColumn id="35" xr3:uid="{1FEE5B51-D865-401D-9500-86F70E688689}" name="vegg_length_lt4_b" dataDxfId="589"/>
    <tableColumn id="36" xr3:uid="{E74F4EAC-C460-44DF-926D-42095D0FF331}" name="vegg_length_lt4_c" dataDxfId="588"/>
    <tableColumn id="37" xr3:uid="{FE9567D5-40CD-44D6-A507-683087120237}" name="vegg_length_lt4_d" dataDxfId="587"/>
    <tableColumn id="38" xr3:uid="{41738010-24B0-423B-975E-D3314BB12107}" name="vegg_length_lt4_e1" dataDxfId="586"/>
    <tableColumn id="39" xr3:uid="{786E6CB5-CE65-46A1-9E1A-7B62A29BA1F2}" name="vegg_length_lt4_e2" dataDxfId="585"/>
    <tableColumn id="40" xr3:uid="{DEB5CDB7-3E27-421E-B438-A84D57D984AE}" name="vegg_length_lt4_f" dataDxfId="584"/>
    <tableColumn id="41" xr3:uid="{A0F9F1C9-B7D5-43E9-859F-9889027AE8D2}" name="vegg_length_lt4_g" dataDxfId="583"/>
    <tableColumn id="42" xr3:uid="{AD21EC67-5D06-4EB7-91C9-2C1AA8758055}" name="vegg_length_gt4_a" dataDxfId="582">
      <calculatedColumnFormula>1-AWC55</calculatedColumnFormula>
    </tableColumn>
    <tableColumn id="43" xr3:uid="{66035506-576C-47F5-8993-A8A909BE00E8}" name="vegg_length_gt4_b" dataDxfId="581">
      <calculatedColumnFormula>1-AWD55</calculatedColumnFormula>
    </tableColumn>
    <tableColumn id="44" xr3:uid="{ADF07DEC-C123-475B-B5C2-1ABF204C7185}" name="vegg_length_gt4_c" dataDxfId="580">
      <calculatedColumnFormula>1-AWE55</calculatedColumnFormula>
    </tableColumn>
    <tableColumn id="45" xr3:uid="{ECF2F51B-EC39-4344-988E-9BD4783F2A66}" name="vegg_length_gt4_d" dataDxfId="579">
      <calculatedColumnFormula>1-AWF55</calculatedColumnFormula>
    </tableColumn>
    <tableColumn id="46" xr3:uid="{267C7BC1-F02B-4D53-8DEF-B29D01F065B7}" name="vegg_length_gt4_e1" dataDxfId="578">
      <calculatedColumnFormula>1-AWG55</calculatedColumnFormula>
    </tableColumn>
    <tableColumn id="47" xr3:uid="{51B76AD4-8142-487B-8FBF-9DC553F941D6}" name="vegg_length_gt4_e2" dataDxfId="577">
      <calculatedColumnFormula>1-AWH55</calculatedColumnFormula>
    </tableColumn>
    <tableColumn id="48" xr3:uid="{F25CDC89-C2FA-4B4E-9F52-65BB02A7A065}" name="vegg_length_gt4_f" dataDxfId="576">
      <calculatedColumnFormula>1-AWI55</calculatedColumnFormula>
    </tableColumn>
    <tableColumn id="49" xr3:uid="{82A46127-C8C0-41B9-B040-9ED1B9892F14}" name="vegg_length_gt4_g" dataDxfId="575">
      <calculatedColumnFormula>1-AWJ55</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01B865E-5F99-47D5-902B-ADB292AD65C8}" name="klasseqty_sprøyte" displayName="klasseqty_sprøyte" ref="AUV74:AVT78" totalsRowShown="0" headerRowDxfId="574" dataDxfId="572" headerRowBorderDxfId="573" tableBorderDxfId="571" totalsRowBorderDxfId="570">
  <autoFilter ref="AUV74:AVT78" xr:uid="{DFD0790D-0456-46CE-B305-6CB1ABCA63BD}"/>
  <tableColumns count="25">
    <tableColumn id="1" xr3:uid="{29F3C2A1-C426-46FF-9785-F1C153DE8414}" name="Type_size" dataDxfId="569"/>
    <tableColumn id="2" xr3:uid="{EC0D6A2E-A2DA-46FD-9230-8EB12B68FB02}" name="veder_tykkelse_a" dataDxfId="568"/>
    <tableColumn id="3" xr3:uid="{F9B0CB20-2D49-4FD7-9F5C-0410EE376137}" name="veder_tykkelse_b" dataDxfId="567"/>
    <tableColumn id="4" xr3:uid="{0DA29D98-2069-48A0-BFC6-A57627250D1A}" name="veder_tykkelse_c" dataDxfId="566"/>
    <tableColumn id="5" xr3:uid="{03E10585-3680-4FC6-ADB8-27F49FA5596B}" name="veder_tykkelse_d" dataDxfId="565"/>
    <tableColumn id="6" xr3:uid="{21574537-322C-4229-BF85-1590B3FD82C1}" name="veder_tykkelse_e1" dataDxfId="564"/>
    <tableColumn id="7" xr3:uid="{D141448D-CF62-42BD-B93E-25FBD5DEBE73}" name="veder_tykkelse_e2" dataDxfId="563"/>
    <tableColumn id="8" xr3:uid="{694EF5FB-50A8-4780-92B9-404A06757AAF}" name="veder_tykkelse_f" dataDxfId="562"/>
    <tableColumn id="9" xr3:uid="{C1CD242D-3FFC-4EE4-BA04-D0029693731B}" name="veder_tykkelse_g" dataDxfId="561"/>
    <tableColumn id="10" xr3:uid="{476A6BE5-2099-4A18-9274-6543EB8B8300}" name="vegg_tykkelse_a" dataDxfId="560"/>
    <tableColumn id="11" xr3:uid="{2063A3FE-68B1-442D-866D-6BF411EF4D5E}" name="vegg_tykkelse_b" dataDxfId="559"/>
    <tableColumn id="12" xr3:uid="{63576083-842A-4C1E-9443-78BC82691EC0}" name="vegg_tykkelse_c" dataDxfId="558"/>
    <tableColumn id="13" xr3:uid="{C1D42D6D-2CC5-4189-9B62-D9A4C8FE569B}" name="vegg_tykkelse_d" dataDxfId="557"/>
    <tableColumn id="14" xr3:uid="{CF66D5CD-EB3F-47A3-BF53-9193C19EC9A8}" name="vegg_tykkelse_e1" dataDxfId="556"/>
    <tableColumn id="15" xr3:uid="{EF6796E4-DB81-4FC4-AAE7-AA92F410D73B}" name="vegg_tykkelse_e2" dataDxfId="555"/>
    <tableColumn id="16" xr3:uid="{6ECCAD37-B882-4BF5-9BE4-3710C43F931A}" name="vegg_tykkelse_f" dataDxfId="554"/>
    <tableColumn id="17" xr3:uid="{7088D4FD-4B8B-485C-88F1-C230ABBC4C06}" name="vegg_tykkelse_g" dataDxfId="553"/>
    <tableColumn id="18" xr3:uid="{117155E9-E74C-4513-A29A-799C27C7334C}" name="ruhetfaktor_a" dataDxfId="552"/>
    <tableColumn id="19" xr3:uid="{773ADB44-917E-490F-BDAE-33D1311D6788}" name="ruhetfaktor_b" dataDxfId="551"/>
    <tableColumn id="20" xr3:uid="{21F4D63F-2F80-4994-BAD1-0D618B69A678}" name="ruhetfaktor_c" dataDxfId="550"/>
    <tableColumn id="21" xr3:uid="{22F1659E-7410-4F0A-B879-9C894D9CE9DA}" name="ruhetfaktor_d" dataDxfId="549"/>
    <tableColumn id="22" xr3:uid="{FFA77559-AE4F-46AE-B178-3EFCD09CEA62}" name="ruhetfaktor_e1" dataDxfId="548"/>
    <tableColumn id="23" xr3:uid="{FF6AA0EE-7E30-4EA4-9936-D3EBB5B593DB}" name="ruhetfaktor_e2" dataDxfId="547"/>
    <tableColumn id="24" xr3:uid="{47A36075-C867-4DDE-B2B0-E5C700A5E7E5}" name="ruhetfaktor_f" dataDxfId="546"/>
    <tableColumn id="25" xr3:uid="{FF8A551D-56C8-4CFD-9BE5-6ECAE136109A}" name="ruhetfaktor_g" dataDxfId="545"/>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238235B-FE62-4ECD-9BA1-65B0364303DD}" name="klasseqty_buer" displayName="klasseqty_buer" ref="AUV98:AYF102" totalsRowShown="0" headerRowDxfId="544" dataDxfId="542" headerRowBorderDxfId="543" tableBorderDxfId="541" totalsRowBorderDxfId="540">
  <autoFilter ref="AUV98:AYF102" xr:uid="{35C7E980-4853-48E7-9C1D-C2B20CC8ADAD}"/>
  <tableColumns count="89">
    <tableColumn id="1" xr3:uid="{6034AE11-7EE2-444D-82ED-8E6E6D004C0A}" name="Type_size" dataDxfId="539"/>
    <tableColumn id="2" xr3:uid="{6128F164-A792-4CCF-81BC-8F8551FA071F}" name="dimensjon_a" dataDxfId="538"/>
    <tableColumn id="3" xr3:uid="{9B8859AA-6AB8-4327-A244-A6498E3E065A}" name="dimensjon_b" dataDxfId="537"/>
    <tableColumn id="4" xr3:uid="{13CEB376-F988-44BF-8611-E46F0C30D84F}" name="dimensjon_c" dataDxfId="536"/>
    <tableColumn id="5" xr3:uid="{0F62841B-8D9D-445E-9AFF-D8E939E6916F}" name="dimensjon_d" dataDxfId="535"/>
    <tableColumn id="6" xr3:uid="{E018A7DC-1903-4F89-B836-4040D05FE52B}" name="dimensjon_e1" dataDxfId="534"/>
    <tableColumn id="7" xr3:uid="{211AA6F2-0670-4068-9674-0D1F69C42F2F}" name="dimensjon_e2" dataDxfId="533"/>
    <tableColumn id="8" xr3:uid="{E16E88A8-81DD-47CF-86AF-A312EB9A8B75}" name="dimensjon_f" dataDxfId="532"/>
    <tableColumn id="9" xr3:uid="{8602EAB0-3996-44DC-9EF5-CF29F5CB6235}" name="dimensjon_g" dataDxfId="531"/>
    <tableColumn id="83" xr3:uid="{E5C99AC2-08D7-40C1-BF76-CF32AC73F583}" name="andel_a" dataDxfId="530"/>
    <tableColumn id="84" xr3:uid="{AA3F7897-1CCD-410D-9F2B-E9FD3B21122B}" name="andel_b" dataDxfId="529"/>
    <tableColumn id="85" xr3:uid="{4C7E4089-0951-4695-AD5D-5C49CEC7EFDB}" name="andel_c" dataDxfId="528"/>
    <tableColumn id="86" xr3:uid="{0DEBE549-AC66-4B80-B50D-B7DD8F35F76F}" name="andel_d" dataDxfId="527"/>
    <tableColumn id="87" xr3:uid="{9D91FCD4-423B-4D32-9A07-6249DEFD35EF}" name="andel_e1" dataDxfId="526"/>
    <tableColumn id="88" xr3:uid="{5A2ED3CB-5F52-4DF0-99FF-5DC2AA51476C}" name="andel_e2" dataDxfId="525"/>
    <tableColumn id="89" xr3:uid="{2D01A184-4D2C-4AB6-96EB-6AE94955132E}" name="andel_f" dataDxfId="524"/>
    <tableColumn id="82" xr3:uid="{90FCBDBA-71CD-41DE-B7E7-F23C04E7D878}" name="andel_g" dataDxfId="523"/>
    <tableColumn id="10" xr3:uid="{12C7FBC5-0942-4690-A335-B4D04523A7E2}" name="bue_senteravstand_a" dataDxfId="522"/>
    <tableColumn id="11" xr3:uid="{531633C4-DF47-44B3-8A49-53D83FF67F5F}" name="bue_senteravstand_b" dataDxfId="521"/>
    <tableColumn id="12" xr3:uid="{62617BE3-AC40-44BB-B982-EEF9F6DB61C0}" name="bue_senteravstand_c" dataDxfId="520"/>
    <tableColumn id="13" xr3:uid="{DBEF4770-081A-485C-BF31-2B23401ED5F2}" name="bue_senteravstand_d" dataDxfId="519"/>
    <tableColumn id="14" xr3:uid="{077FEF83-5118-4782-8726-E944BBAD31A6}" name="bue_senteravstand_e1" dataDxfId="518"/>
    <tableColumn id="15" xr3:uid="{4244E227-47AC-4180-B849-39642AC601BD}" name="bue_senteravstand_e2" dataDxfId="517"/>
    <tableColumn id="16" xr3:uid="{6AAAA279-DC6B-4E65-9D01-73062AFC4E98}" name="bue_senteravstand_f" dataDxfId="516"/>
    <tableColumn id="17" xr3:uid="{F46650C8-39AB-4075-AD1D-5A8E8502CEEC}" name="bue_senteravstand_g" dataDxfId="515"/>
    <tableColumn id="18" xr3:uid="{AE797F94-5BC5-443D-813A-17838E54CC4A}" name="radiellebolter_senteravstand_a" dataDxfId="514"/>
    <tableColumn id="19" xr3:uid="{365C6C90-94F3-41B3-AA9F-DEB8F2EDB976}" name="radiellebolter_senteravstand_b" dataDxfId="513"/>
    <tableColumn id="20" xr3:uid="{2CD06617-90D1-4863-8B23-12F59D2A1262}" name="radiellebolter_senteravstand_c" dataDxfId="512"/>
    <tableColumn id="21" xr3:uid="{0943DB2D-C8D0-4C38-BD87-17E6F432B84A}" name="radiellebolter_senteravstand_d" dataDxfId="511"/>
    <tableColumn id="22" xr3:uid="{394C98CC-222A-40B8-9D70-FEB5CF252499}" name="radiellebolter_senteravstand_e1" dataDxfId="510"/>
    <tableColumn id="23" xr3:uid="{38EE8347-A529-4771-BEB3-67B94EF9D5FD}" name="radiellebolter_senteravstand_e2" dataDxfId="509"/>
    <tableColumn id="24" xr3:uid="{3C8AEAE7-44EF-49B2-A06E-EE89B60BE26B}" name="radiellebolter_senteravstand_f" dataDxfId="508"/>
    <tableColumn id="25" xr3:uid="{796FE6C9-14A5-4433-982A-5EEAF828D3C0}" name="radiellebolter_senteravstand_g" dataDxfId="507"/>
    <tableColumn id="26" xr3:uid="{32754A23-F2D7-4A42-9CDF-0B53663FB64F}" name="radiellebolter_lt4_a" dataDxfId="506"/>
    <tableColumn id="27" xr3:uid="{869CD07E-375C-44C6-9D9F-AD91B5380EF7}" name="radiellebolter_lt4_b" dataDxfId="505"/>
    <tableColumn id="28" xr3:uid="{5DC24B00-80DE-4321-ABAF-FA213FAE5C37}" name="radiellebolter_lt4_c" dataDxfId="504"/>
    <tableColumn id="29" xr3:uid="{3218E718-B524-4B43-B034-3D09DD9FC81A}" name="radiellebolter_lt4_d" dataDxfId="503"/>
    <tableColumn id="30" xr3:uid="{677EC340-9344-441E-B8D1-42DD6E22D08B}" name="radiellebolter_lt4_e1" dataDxfId="502"/>
    <tableColumn id="31" xr3:uid="{3B804FFB-261D-4C64-877D-44A461ABC90D}" name="radiellebolter_lt4_e2" dataDxfId="501"/>
    <tableColumn id="32" xr3:uid="{A5CFE20C-06EF-4CB7-97BC-D5008A129F24}" name="radiellebolter_lt4_f" dataDxfId="500"/>
    <tableColumn id="33" xr3:uid="{09D6ECF6-75B9-4193-9D57-28F999B66029}" name="radiellebolter_lt4_g" dataDxfId="499"/>
    <tableColumn id="34" xr3:uid="{0729FC2A-A810-49F3-AA30-5A352891DBDF}" name="radiellebolter_gt4_a" dataDxfId="498"/>
    <tableColumn id="35" xr3:uid="{6E3CCCDB-2319-4245-BB47-5A04A5EA4071}" name="radiellebolter_gt4_b" dataDxfId="497"/>
    <tableColumn id="36" xr3:uid="{95E1B34C-18AE-4D3C-B7B5-341219F63973}" name="radiellebolter_gt4_c" dataDxfId="496"/>
    <tableColumn id="37" xr3:uid="{E689E7F2-2999-4265-886C-045745B69509}" name="radiellebolter_gt4_d" dataDxfId="495"/>
    <tableColumn id="38" xr3:uid="{0FA2F607-0B7D-4087-81A1-42CA5D46F23F}" name="radiellebolter_gt4_e1" dataDxfId="494"/>
    <tableColumn id="39" xr3:uid="{6582A114-59D2-49DE-A4FC-371FD1055FA3}" name="radiellebolter_gt4_e2" dataDxfId="493"/>
    <tableColumn id="40" xr3:uid="{30743E38-5C58-4ED2-982C-25E26EE600BA}" name="radiellebolter_gt4_f" dataDxfId="492"/>
    <tableColumn id="41" xr3:uid="{07CC9D1E-2171-4214-97E0-31D62C90CD0F}" name="radiellebolter_gt4_g" dataDxfId="491"/>
    <tableColumn id="42" xr3:uid="{00ABFEAC-03CF-498E-9960-9B09B78EBECE}" name="forankring_a" dataDxfId="490"/>
    <tableColumn id="43" xr3:uid="{079CFA17-D403-4C31-AE38-FDA2494EE5C2}" name="forankring_b" dataDxfId="489"/>
    <tableColumn id="44" xr3:uid="{8AE26C5B-6071-44E5-805B-85AC815469EA}" name="forankring_c" dataDxfId="488"/>
    <tableColumn id="45" xr3:uid="{0D7D609A-42C8-428E-8E97-0F95F30EE6EC}" name="forankring_d" dataDxfId="487"/>
    <tableColumn id="46" xr3:uid="{F1F4D50B-FC5F-4A1D-ABFC-AB7211B999A9}" name="forankring_e1" dataDxfId="486"/>
    <tableColumn id="47" xr3:uid="{C7B69770-4530-4214-B146-ADA4AB8748D4}" name="forankring_e2" dataDxfId="485"/>
    <tableColumn id="48" xr3:uid="{B54AEE5E-673F-4CB1-BBAC-F237A97856D8}" name="forankring_f" dataDxfId="484"/>
    <tableColumn id="49" xr3:uid="{89CE07AB-E3CE-4C44-A8A3-2F1F52EC00BA}" name="forankring_g" dataDxfId="483"/>
    <tableColumn id="50" xr3:uid="{84DFFF37-98CB-44C8-B427-363435F00603}" name="forankring_lt4_a" dataDxfId="482"/>
    <tableColumn id="51" xr3:uid="{2AA264E1-DB98-43BE-8BE2-60B7B70815EE}" name="forankring_lt4_b" dataDxfId="481"/>
    <tableColumn id="52" xr3:uid="{FE8588F7-4825-4136-8D0F-2804B33BB7FD}" name="forankring_lt4_c" dataDxfId="480"/>
    <tableColumn id="53" xr3:uid="{884087CE-81AB-431B-993B-E9F11F37E80B}" name="forankring_lt4_d" dataDxfId="479"/>
    <tableColumn id="54" xr3:uid="{B8631A0C-4F56-4C90-9A38-3195FBDB0030}" name="forankring_lt4_e1" dataDxfId="478"/>
    <tableColumn id="55" xr3:uid="{E9BC9C63-37EB-4CC4-B46F-1385B99BB69B}" name="forankring_lt4_e2" dataDxfId="477"/>
    <tableColumn id="56" xr3:uid="{85A953A0-EF77-4166-A3AA-4E37C021F2F3}" name="forankring_lt4_f" dataDxfId="476"/>
    <tableColumn id="57" xr3:uid="{533FCFF2-4C38-4C57-9602-E21E327DF8E6}" name="forankring_lt4_g" dataDxfId="475"/>
    <tableColumn id="58" xr3:uid="{0D581D87-B1C8-49EC-B1C6-9CB1CE0CB491}" name="forankring_gt4_a" dataDxfId="474"/>
    <tableColumn id="59" xr3:uid="{BA7800BD-9DF7-4C79-A405-F511978AF5FD}" name="forankring_gt4_b" dataDxfId="473"/>
    <tableColumn id="60" xr3:uid="{C0EB9975-09E6-4CA2-9349-0EB0D2DF606D}" name="forankring_gt4_c" dataDxfId="472"/>
    <tableColumn id="61" xr3:uid="{B4F4BB05-C2ED-405C-85AA-0D516ADE7869}" name="forankring_gt4_d" dataDxfId="471"/>
    <tableColumn id="62" xr3:uid="{498A1BAF-789F-43FD-A0C9-7B3B56D3AB52}" name="forankring_gt4_e1" dataDxfId="470"/>
    <tableColumn id="63" xr3:uid="{F10E2864-9E78-4389-8991-EB06DAD9835A}" name="forankring_gt4_e2" dataDxfId="469">
      <calculatedColumnFormula>1-AXF99</calculatedColumnFormula>
    </tableColumn>
    <tableColumn id="64" xr3:uid="{542F7F04-CEDB-4EA2-B756-95DFF67E6075}" name="forankring_gt4_f" dataDxfId="468">
      <calculatedColumnFormula>1-AXG99</calculatedColumnFormula>
    </tableColumn>
    <tableColumn id="65" xr3:uid="{44967516-35A7-4FF7-B9CC-475EE27C3F70}" name="forankring_gt4_g" dataDxfId="467">
      <calculatedColumnFormula>1-AXH99</calculatedColumnFormula>
    </tableColumn>
    <tableColumn id="66" xr3:uid="{D73AE75A-3B68-40E3-85C0-71CF5AF1286A}" name="tillegs-sprøytebetong_a" dataDxfId="466"/>
    <tableColumn id="67" xr3:uid="{C93C1C0E-A401-4C3D-B1B0-C833CC17D2DE}" name="tillegs-sprøytebetong_b" dataDxfId="465"/>
    <tableColumn id="68" xr3:uid="{99B4E8F5-19F5-4C6B-9BF2-D5CD3704C7DF}" name="tillegs-sprøytebetong_c" dataDxfId="464"/>
    <tableColumn id="69" xr3:uid="{BC27C778-EE61-4746-BDCF-EA343D20801D}" name="tillegs-sprøytebetong_d" dataDxfId="463"/>
    <tableColumn id="70" xr3:uid="{66FD78C8-392A-470C-B603-4AA6BF4C0E8F}" name="tillegs-sprøytebetong_e1" dataDxfId="462"/>
    <tableColumn id="71" xr3:uid="{576AE9A4-3F6F-4790-ABC6-E940FE630687}" name="tillegs-sprøytebetong_e2" dataDxfId="461"/>
    <tableColumn id="72" xr3:uid="{A327AEC7-01D2-48C6-BA36-297D9A06EEEC}" name="tillegs-sprøytebetong_f" dataDxfId="460"/>
    <tableColumn id="73" xr3:uid="{233754D7-E25B-4753-A0F2-7969F2EC38F1}" name="tillegs-sprøytebetong_g" dataDxfId="459"/>
    <tableColumn id="74" xr3:uid="{3E6AB471-5E0D-4751-850F-471B15CA0196}" name="utvidelse_a" dataDxfId="458"/>
    <tableColumn id="75" xr3:uid="{DD0A5B2D-4B1D-42E7-8F85-FE5BB5D7F71D}" name="utvidelse_b" dataDxfId="457"/>
    <tableColumn id="76" xr3:uid="{9CA9A99C-9F3C-4033-83C2-8DBCFB1AC2DB}" name="utvidelse_c" dataDxfId="456"/>
    <tableColumn id="77" xr3:uid="{2B914360-F5FC-4DCD-8B2C-FEDB95BB4003}" name="utvidelse_d" dataDxfId="455"/>
    <tableColumn id="78" xr3:uid="{51575E68-57C2-4C50-AAA9-2F1A4FE63053}" name="utvidelse_e1" dataDxfId="454"/>
    <tableColumn id="79" xr3:uid="{1FC6490F-D6E2-4414-B0F6-112E217E07B2}" name="utvidelse_e2" dataDxfId="453"/>
    <tableColumn id="80" xr3:uid="{18F792B0-AA3B-4202-955C-6FF19E910D26}" name="utvidelse_f" dataDxfId="452"/>
    <tableColumn id="81" xr3:uid="{1AFB0ECF-A929-44FF-9A61-BE4116EC1814}" name="utvidelse_g" dataDxfId="451"/>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83249E2-FBD8-4C24-8940-6853DC07A49A}" name="klasseqty_forbolting" displayName="klasseqty_forbolting" ref="AUV121:AXH125" totalsRowShown="0" headerRowDxfId="450" dataDxfId="448" headerRowBorderDxfId="449" tableBorderDxfId="447" totalsRowBorderDxfId="446">
  <autoFilter ref="AUV121:AXH125" xr:uid="{D756AC7A-E31F-4835-8C48-95F94AAFD3DE}"/>
  <tableColumns count="65">
    <tableColumn id="1" xr3:uid="{E92168D0-0D1C-4E5C-8C2A-47E1AEB1BB6D}" name="Type_size" dataDxfId="445"/>
    <tableColumn id="64" xr3:uid="{C08C0D4D-77A2-4A20-86F8-CB6E06BC7C30}" name="andel_av_tunnelklasse_a" dataDxfId="444"/>
    <tableColumn id="65" xr3:uid="{1D91F635-C15D-4F6E-ABAA-F36349C0FDC6}" name="andel_av_tunnelklasse_b" dataDxfId="443"/>
    <tableColumn id="62" xr3:uid="{3CD5DDB3-F939-48FC-BAA0-D366207DD974}" name="andel_av_tunnelklasse_c" dataDxfId="442"/>
    <tableColumn id="63" xr3:uid="{B48C5BBA-D8EE-4062-8672-7797EB753718}" name="andel_av_tunnelklasse_d" dataDxfId="441"/>
    <tableColumn id="60" xr3:uid="{09D6608B-7156-4452-A134-2E88A7311E93}" name="andel_av_tunnelklasse_e1" dataDxfId="440"/>
    <tableColumn id="61" xr3:uid="{AB5EADE0-5C2A-44BE-99B2-1D3C2D0728DA}" name="andel_av_tunnelklasse_e2" dataDxfId="439"/>
    <tableColumn id="59" xr3:uid="{DA605B7B-C12A-4682-856C-A0A2682899F9}" name="andel_av_tunnelklasse_f" dataDxfId="438"/>
    <tableColumn id="58" xr3:uid="{DB98D6AC-CD0C-461C-A08C-FDF0C167FF14}" name="andel_av_tunnelklasse_g" dataDxfId="437"/>
    <tableColumn id="2" xr3:uid="{1B5D121F-78CE-48B3-AD01-22AD8338BEBE}" name="bueområde_a" dataDxfId="436"/>
    <tableColumn id="3" xr3:uid="{0133909F-3135-453D-B187-D2E059F6A8B5}" name="bueområde_b" dataDxfId="435"/>
    <tableColumn id="4" xr3:uid="{411461F7-DA6F-47CA-8841-E9C0BE5BAD4D}" name="bueområde_c" dataDxfId="434"/>
    <tableColumn id="5" xr3:uid="{F704B8EB-7C3B-466B-AAB0-D2BE54E50736}" name="bueområde_d" dataDxfId="433"/>
    <tableColumn id="6" xr3:uid="{C092C0DD-DF97-4B09-B78B-3115185E4A3D}" name="bueområde_e1" dataDxfId="432"/>
    <tableColumn id="7" xr3:uid="{892CDEDD-A9C4-493E-8170-BABE9A96489C}" name="bueområde_e2" dataDxfId="431"/>
    <tableColumn id="8" xr3:uid="{B484ABD5-F88B-4C35-A3E1-F89B4230433E}" name="bueområde_f" dataDxfId="430"/>
    <tableColumn id="9" xr3:uid="{1F98E457-688C-45DC-BFEB-EEEC5257FCF2}" name="bueområde_g" dataDxfId="429"/>
    <tableColumn id="10" xr3:uid="{5617A66A-55CE-4EF4-94D1-3B98BACAF25D}" name="forbolting_senteravstand_a" dataDxfId="428"/>
    <tableColumn id="11" xr3:uid="{F9A8A6B5-88BA-420A-BDBC-494FA10F8F72}" name="forbolting_senteravstand_b" dataDxfId="427"/>
    <tableColumn id="12" xr3:uid="{D2C4CF90-5D1D-4B11-B686-AFB3B2D7AA22}" name="forbolting_senteravstand_c" dataDxfId="426"/>
    <tableColumn id="13" xr3:uid="{738CBC7B-92E9-4683-88ED-6BA82CFBBB49}" name="forbolting_senteravstand_d" dataDxfId="425"/>
    <tableColumn id="14" xr3:uid="{FFD5D606-812C-49F0-90C1-1ED03240AAB8}" name="forbolting_senteravstand_e1" dataDxfId="424"/>
    <tableColumn id="15" xr3:uid="{230E2D10-63F0-493C-B947-061A7B53A3B5}" name="forbolting_senteravstand_e2" dataDxfId="423"/>
    <tableColumn id="16" xr3:uid="{2B6F9725-A3F4-4BA9-BE94-592712B07EC5}" name="forbolting_senteravstand_f" dataDxfId="422"/>
    <tableColumn id="17" xr3:uid="{19238343-7126-478A-BC2B-4D86AF6B2804}" name="forbolting_senteravstand_g" dataDxfId="421"/>
    <tableColumn id="18" xr3:uid="{EFC84983-CDF6-455D-98EF-8DAF3FBB8C24}" name="forbolting_lt4_a" dataDxfId="420"/>
    <tableColumn id="19" xr3:uid="{EF30B122-F978-4F81-8F39-57E1C9E8F544}" name="forbolting_lt4_b" dataDxfId="419"/>
    <tableColumn id="20" xr3:uid="{4344AF88-AF04-4CFE-9FCA-EFBABDCF68B4}" name="forbolting_lt4_c" dataDxfId="418"/>
    <tableColumn id="21" xr3:uid="{11F7C3A1-D4FD-4310-B091-95940576A326}" name="forbolting_lt4_d" dataDxfId="417"/>
    <tableColumn id="22" xr3:uid="{62B99591-BBB9-4BB3-BB8E-3B2FE9D10FD4}" name="forbolting_lt4_e1" dataDxfId="416"/>
    <tableColumn id="23" xr3:uid="{9E523C6D-6624-4F04-BB62-3A073669A44A}" name="forbolting_lt4_e2" dataDxfId="415"/>
    <tableColumn id="24" xr3:uid="{BE88BADF-1B8F-4CBC-8ABD-F464B0587E63}" name="forbolting_lt4_f" dataDxfId="414"/>
    <tableColumn id="25" xr3:uid="{13A49D38-CE6E-458E-BD8B-EE985A38DA6F}" name="forbolting_lt4_g" dataDxfId="413"/>
    <tableColumn id="26" xr3:uid="{341EB39D-E297-45F5-B9E8-BDD3F8DCDCE1}" name="forbolting_gt4_a" dataDxfId="412"/>
    <tableColumn id="27" xr3:uid="{9BFE090A-7E4B-408D-89B3-F59A72F86478}" name="forbolting_gt4_b" dataDxfId="411"/>
    <tableColumn id="28" xr3:uid="{6182832F-5ED1-4773-B43E-1E8E3FF66632}" name="forbolting_gt4_c" dataDxfId="410"/>
    <tableColumn id="29" xr3:uid="{AFF8CD89-97D4-4B54-80A9-A2ED55A6E179}" name="forbolting_gt4_d" dataDxfId="409"/>
    <tableColumn id="30" xr3:uid="{6F8FAC26-0CB6-448D-946D-7AE11C366340}" name="forbolting_gt4_e1" dataDxfId="408"/>
    <tableColumn id="31" xr3:uid="{14AE106F-273A-4D83-BC1C-442E98A67531}" name="forbolting_gt4_e2" dataDxfId="407">
      <calculatedColumnFormula>1-AVZ122</calculatedColumnFormula>
    </tableColumn>
    <tableColumn id="32" xr3:uid="{86E95DE3-49D4-472B-BD7E-200054ED9E4D}" name="forbolting_gt4_f" dataDxfId="406">
      <calculatedColumnFormula>1-AWA122</calculatedColumnFormula>
    </tableColumn>
    <tableColumn id="33" xr3:uid="{BC3A92D3-E05C-4419-A066-B326D381CD34}" name="forbolting_gt4_g" dataDxfId="405">
      <calculatedColumnFormula>1-AWB122</calculatedColumnFormula>
    </tableColumn>
    <tableColumn id="34" xr3:uid="{89948804-32DC-4671-AE7E-174FB5E47097}" name="oppheng_senteravstand_a" dataDxfId="404"/>
    <tableColumn id="35" xr3:uid="{75D7F5E8-F7C7-4666-AC5E-4CE78F9645B2}" name="oppheng_senteravstand_b" dataDxfId="403"/>
    <tableColumn id="36" xr3:uid="{BDF52ED8-B8AF-4767-9BA1-988F76DCBBC2}" name="oppheng_senteravstand_c" dataDxfId="402"/>
    <tableColumn id="37" xr3:uid="{88C5DD94-FB92-4DD3-AFBD-9E10866705D2}" name="oppheng_senteravstand_d" dataDxfId="401"/>
    <tableColumn id="38" xr3:uid="{872E409B-422C-47EB-A60E-4B4FF4FA8942}" name="oppheng_senteravstand_e1" dataDxfId="400"/>
    <tableColumn id="39" xr3:uid="{EC4CFD22-B6C8-444F-A50A-D36C538B1ECF}" name="oppheng_senteravstand_e2" dataDxfId="399"/>
    <tableColumn id="40" xr3:uid="{8DB08C3E-A250-4477-8D1C-35980E050651}" name="oppheng_senteravstand_f" dataDxfId="398"/>
    <tableColumn id="41" xr3:uid="{19CBE7B1-4046-4EED-A8C3-E9EC19C4D85F}" name="oppheng_senteravstand_g" dataDxfId="397"/>
    <tableColumn id="42" xr3:uid="{15F3B567-F686-4DD7-9E49-C1AF197207B7}" name="oppheng_lt4_a" dataDxfId="396"/>
    <tableColumn id="43" xr3:uid="{0E571FB4-8242-4563-8C9A-87CBD887C2B0}" name="oppheng_lt4_b" dataDxfId="395"/>
    <tableColumn id="44" xr3:uid="{DBEFB6C5-AF0B-40F9-8A6B-75800C3D97DA}" name="oppheng_lt4_c" dataDxfId="394"/>
    <tableColumn id="45" xr3:uid="{3F8897B6-8E5D-4208-9606-4F1E34BAFB3B}" name="oppheng_lt4_d" dataDxfId="393"/>
    <tableColumn id="46" xr3:uid="{E11A5664-FDA8-4B7E-964E-EB5B28967EB7}" name="oppheng_lt4_e1" dataDxfId="392"/>
    <tableColumn id="47" xr3:uid="{C88B3C33-DED1-4BB3-8920-5A69A3460F3D}" name="oppheng_lt4_e2" dataDxfId="391"/>
    <tableColumn id="48" xr3:uid="{02AB9335-798D-47EF-AF65-5D70A6C40DD1}" name="oppheng_lt4_f" dataDxfId="390"/>
    <tableColumn id="49" xr3:uid="{1B08DED3-D4E2-44D8-8B38-C5E9C87163E5}" name="oppheng_lt4_g" dataDxfId="389"/>
    <tableColumn id="50" xr3:uid="{6751CA09-0566-4D7E-8B75-7D9D50D42444}" name="oppheng_gt4_a" dataDxfId="388"/>
    <tableColumn id="51" xr3:uid="{1D6466A6-6CBB-4365-8ED3-3639BFBD0545}" name="oppheng_gt4_b" dataDxfId="387"/>
    <tableColumn id="52" xr3:uid="{161F3068-87E6-45A5-BF36-D8B4AF5709E4}" name="oppheng_gt4_c" dataDxfId="386"/>
    <tableColumn id="53" xr3:uid="{AD431F91-AE28-4941-B170-B003F0F47DA5}" name="oppheng_gt4_d" dataDxfId="385"/>
    <tableColumn id="54" xr3:uid="{0574990F-86C2-4ED9-8DD7-379B066C2025}" name="oppheng_gt4_e1" dataDxfId="384"/>
    <tableColumn id="55" xr3:uid="{5A62F3C1-5A9D-4C30-AD9F-04FDB5664E72}" name="oppheng_gt4_e2" dataDxfId="383">
      <calculatedColumnFormula>1-AWX122</calculatedColumnFormula>
    </tableColumn>
    <tableColumn id="56" xr3:uid="{DA9A8D93-4775-4A7C-A95B-46377BE0F1C6}" name="oppheng_gt4_f" dataDxfId="382">
      <calculatedColumnFormula>1-AWY122</calculatedColumnFormula>
    </tableColumn>
    <tableColumn id="57" xr3:uid="{CF01BBD8-5AD7-4FCB-9E03-45F2121250BA}" name="oppheng_gt4_g" dataDxfId="381">
      <calculatedColumnFormula>1-AWZ122</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251434E-A1E8-4BF6-AA63-B0FEDBC5E826}" name="outputs_spreng" displayName="outputs_spreng" ref="BE224:BO235" totalsRowShown="0" headerRowDxfId="2176" dataDxfId="2174" headerRowBorderDxfId="2175" tableBorderDxfId="2173">
  <autoFilter ref="BE224:BO235" xr:uid="{F1FF33CE-EAAA-4F3E-BBD0-3B4727F4F7CC}"/>
  <tableColumns count="11">
    <tableColumn id="1" xr3:uid="{4C65EC31-C23E-4735-A149-50CD286B94BD}" name="Position" dataDxfId="2172"/>
    <tableColumn id="2" xr3:uid="{EBBD5226-D2C5-4615-B8D6-1A7F7E5DA268}" name="lopstuff" dataDxfId="2171"/>
    <tableColumn id="3" xr3:uid="{157301C1-52A5-4104-A595-AB50F6C07283}" name="Name" dataDxfId="2170">
      <calculatedColumnFormula>BB225</calculatedColumnFormula>
    </tableColumn>
    <tableColumn id="4" xr3:uid="{617951CE-B861-4C16-B780-625D3311EBF6}" name="Redusertsalvelengde" dataDxfId="2169">
      <calculatedColumnFormula>IFERROR((INDEX(position_stuff[Redusertsalvelengde],MATCH($BE225,position_stuff[Position],0))/$BH$221),0)</calculatedColumnFormula>
    </tableColumn>
    <tableColumn id="5" xr3:uid="{5EB654B2-EC1A-4A08-9B22-B2EAF493D6AD}" name="Todelttverrsnitt" dataDxfId="2168">
      <calculatedColumnFormula>IFERROR((INDEX(position_stuff[Todelttverrsnitt],MATCH($BE225,position_stuff[Position],0))/$BI$221),0)</calculatedColumnFormula>
    </tableColumn>
    <tableColumn id="6" xr3:uid="{DE5AB879-42F1-42A7-90D4-177562CDFD13}" name="Redusertsalvelengdeogtodelttverrsnitt" dataDxfId="2167">
      <calculatedColumnFormula>IFERROR((INDEX(position_stuff[Redusertsalvelengdeogtodelttverrsnitt],MATCH($BE225,position_stuff[Position],0))/$BJ$221),0)</calculatedColumnFormula>
    </tableColumn>
    <tableColumn id="7" xr3:uid="{FB9F7786-8D5D-4BD7-A459-34E02A12F17E}" name="Normal" dataDxfId="2166">
      <calculatedColumnFormula>IFERROR((INDEX(position_stuff[Normal],MATCH($BE225,position_stuff[Position],0))/$BK$221),0)</calculatedColumnFormula>
    </tableColumn>
    <tableColumn id="8" xr3:uid="{10653F87-22C6-4EDC-A522-192BD474977D}" name="total_nisjer" dataDxfId="2165">
      <calculatedColumnFormula>IFERROR((INDEX(position_stuff[total_nisjer],MATCH($BE225,position_stuff[Position],0))/$BL$221),0)</calculatedColumnFormula>
    </tableColumn>
    <tableColumn id="9" xr3:uid="{335308F0-8447-42C6-BCB0-CF0CAA7D51C9}" name="total_tid" dataDxfId="2164">
      <calculatedColumnFormula>outputs_spreng[[#This Row],[Redusertsalvelengde]]+outputs_spreng[[#This Row],[Todelttverrsnitt]]+outputs_spreng[[#This Row],[Redusertsalvelengdeogtodelttverrsnitt]]+outputs_spreng[[#This Row],[Normal]]+outputs_spreng[[#This Row],[total_nisjer]]</calculatedColumnFormula>
    </tableColumn>
    <tableColumn id="10" xr3:uid="{7C35C539-DE31-4677-94C0-EF45FF07E94F}" name="total_tunnelop" dataDxfId="2163">
      <calculatedColumnFormula>outputs_spreng[[#This Row],[Redusertsalvelengde]]+outputs_spreng[[#This Row],[Todelttverrsnitt]]+outputs_spreng[[#This Row],[Redusertsalvelengdeogtodelttverrsnitt]]+outputs_spreng[[#This Row],[Normal]]</calculatedColumnFormula>
    </tableColumn>
    <tableColumn id="11" xr3:uid="{831A87DC-C676-45F9-9054-5C1A44558B4E}" name="total_tid_uke" dataDxfId="2162">
      <calculatedColumnFormula>outputs_spreng[[#This Row],[total_tid]]/$AI$80</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C13A5BCE-E355-447D-BFEC-54893AC7AEC4}" name="klasseqty_bergbånd" displayName="klasseqty_bergbånd" ref="AUV136:AWJ140" totalsRowShown="0" headerRowDxfId="380" dataDxfId="378" headerRowBorderDxfId="379" tableBorderDxfId="377" totalsRowBorderDxfId="376">
  <autoFilter ref="AUV136:AWJ140" xr:uid="{C3E8A480-BC61-44BB-B735-EF3406689847}"/>
  <tableColumns count="41">
    <tableColumn id="1" xr3:uid="{9D1261E3-B1E0-438F-AF00-FC0E7BD907BE}" name="Type_size" dataDxfId="375"/>
    <tableColumn id="2" xr3:uid="{9A75CF49-F120-4ADD-8568-FF37EE76C094}" name="overlappingsfaktor_a" dataDxfId="374"/>
    <tableColumn id="3" xr3:uid="{40AFE611-73F7-47DF-BC0F-92AE649C3B59}" name="overlappingsfaktor_b" dataDxfId="373"/>
    <tableColumn id="4" xr3:uid="{3286B013-04A5-41DE-8C23-EF01F24C7A32}" name="overlappingsfaktor_c" dataDxfId="372"/>
    <tableColumn id="5" xr3:uid="{6FFB3CFF-255E-427C-952C-64E16E5E1F8A}" name="overlappingsfaktor_d" dataDxfId="371"/>
    <tableColumn id="6" xr3:uid="{1545BA09-08C3-46D6-946C-2057917A3692}" name="overlappingsfaktor_e1" dataDxfId="370"/>
    <tableColumn id="7" xr3:uid="{53DABE78-13E2-463F-A4F4-1417794B97D8}" name="overlappingsfaktor_e2" dataDxfId="369"/>
    <tableColumn id="8" xr3:uid="{970B2473-64FC-4A8F-A93F-682041888588}" name="overlappingsfaktor_f" dataDxfId="368"/>
    <tableColumn id="9" xr3:uid="{83088DDB-0961-440A-B3C6-ABF0EBBF21C5}" name="overlappingsfaktor_g" dataDxfId="367"/>
    <tableColumn id="10" xr3:uid="{B4036868-49CE-4FE3-8EA2-1A9137F988E6}" name="tilleggs_bergbånd_a" dataDxfId="366"/>
    <tableColumn id="11" xr3:uid="{36B3E66B-9D6B-4CA6-A16D-5A4DB31AB6DF}" name="tilleggs_bergbånd_b" dataDxfId="365"/>
    <tableColumn id="12" xr3:uid="{57CA838E-7D2D-4BE1-AEEA-8D905B9BC269}" name="tilleggs_bergbånd_c" dataDxfId="364"/>
    <tableColumn id="13" xr3:uid="{B1EB6E8A-445F-41CE-92E1-04D0059ED35F}" name="tilleggs_bergbånd_d" dataDxfId="363"/>
    <tableColumn id="14" xr3:uid="{013BF3A0-45C3-46D0-831D-DC5206AFF085}" name="tilleggs_bergbånd_e1" dataDxfId="362"/>
    <tableColumn id="15" xr3:uid="{EC9CD17B-899D-42E9-8C7D-F80FC0F9AF06}" name="tilleggs_bergbånd_e2" dataDxfId="361"/>
    <tableColumn id="16" xr3:uid="{D2880FA1-8D63-47B4-8A4A-8623BB078AE8}" name="tilleggs_bergbånd_f" dataDxfId="360"/>
    <tableColumn id="17" xr3:uid="{E6415FF4-AF5C-48AE-9BB8-A5C50113C640}" name="tilleggs_bergbånd_g" dataDxfId="359"/>
    <tableColumn id="18" xr3:uid="{34086679-277A-4C53-9169-BA38CD677A83}" name="tilleggs_bergbånd_festebolter_senteravstand_a" dataDxfId="358"/>
    <tableColumn id="19" xr3:uid="{9CDC4593-04BA-4E95-A4C5-B162C919FF1C}" name="tilleggs_bergbånd_festebolter_senteravstand_b" dataDxfId="357"/>
    <tableColumn id="20" xr3:uid="{41458DF9-6D3F-4D76-8DDD-14926947F13F}" name="tilleggs_bergbånd_festebolter_senteravstand_c" dataDxfId="356"/>
    <tableColumn id="21" xr3:uid="{556CBF22-40A0-468F-B709-AA4BFD158205}" name="tilleggs_bergbånd_festebolter_senteravstand_d" dataDxfId="355"/>
    <tableColumn id="22" xr3:uid="{ABDF2351-8FD9-449E-B108-5B25463D04C9}" name="tilleggs_bergbånd_festebolter_senteravstand_e1" dataDxfId="354"/>
    <tableColumn id="23" xr3:uid="{1D0414C0-DD46-4745-B8E9-48C8B990887C}" name="tilleggs_bergbånd_festebolter_senteravstand_e2" dataDxfId="353"/>
    <tableColumn id="24" xr3:uid="{7FC781B8-C619-4AF4-A753-0D2A010E8EB3}" name="tilleggs_bergbånd_festebolter_senteravstand_f" dataDxfId="352"/>
    <tableColumn id="25" xr3:uid="{D4334E61-5E38-4A53-A7EB-F2E015346A14}" name="tilleggs_bergbånd_festebolter_senteravstand_g" dataDxfId="351"/>
    <tableColumn id="26" xr3:uid="{8FB6A677-54E1-46FB-891E-41072346DA11}" name="tilleggs_bergbånd_festebolter_lt4_a" dataDxfId="350"/>
    <tableColumn id="27" xr3:uid="{579EB6D5-F722-426A-B00C-81818E5A4CD6}" name="tilleggs_bergbånd_festebolter_lt4_b" dataDxfId="349"/>
    <tableColumn id="28" xr3:uid="{C650239A-BB35-481E-AB42-E57479032E72}" name="tilleggs_bergbånd_festebolter_lt4_c" dataDxfId="348"/>
    <tableColumn id="29" xr3:uid="{A4B9A9D5-1BE4-4524-B3AB-E63B2E2A1398}" name="tilleggs_bergbånd_festebolter_lt4_d" dataDxfId="347"/>
    <tableColumn id="30" xr3:uid="{A973B64B-8972-4173-8A39-960CCC3A3E84}" name="tilleggs_bergbånd_festebolter_lt4_e1" dataDxfId="346"/>
    <tableColumn id="31" xr3:uid="{B332B2B6-B1C9-4252-990D-01BF30C93B2A}" name="tilleggs_bergbånd_festebolter_lt4_e2" dataDxfId="345"/>
    <tableColumn id="32" xr3:uid="{C797A09E-4725-4155-A935-F374888C08E1}" name="tilleggs_bergbånd_festebolter_lt4_f" dataDxfId="344"/>
    <tableColumn id="33" xr3:uid="{2DF7225D-8EA2-4F10-9A5D-008B6B8FDDA1}" name="tilleggs_bergbånd_festebolter_lt4_g" dataDxfId="343"/>
    <tableColumn id="34" xr3:uid="{F5F52C48-472A-4279-94A7-99297FFB3989}" name="tilleggs_bergbånd_festebolter_gt4_a" dataDxfId="342">
      <calculatedColumnFormula>IFERROR(1-klasseqty_bergbånd[[#This Row],[tilleggs_bergbånd_festebolter_lt4_a]],"-")</calculatedColumnFormula>
    </tableColumn>
    <tableColumn id="35" xr3:uid="{72588C7A-E32C-4F8A-95B7-EE8871B6A741}" name="tilleggs_bergbånd_festebolter_gt4_b" dataDxfId="341">
      <calculatedColumnFormula>IFERROR(1-klasseqty_bergbånd[[#This Row],[tilleggs_bergbånd_festebolter_lt4_b]],"-")</calculatedColumnFormula>
    </tableColumn>
    <tableColumn id="36" xr3:uid="{A6301EF7-19D5-4EC1-ACA2-8A0648ADC88C}" name="tilleggs_bergbånd_festebolter_gt4_c" dataDxfId="340">
      <calculatedColumnFormula>IFERROR(1-klasseqty_bergbånd[[#This Row],[tilleggs_bergbånd_festebolter_lt4_c]],"-")</calculatedColumnFormula>
    </tableColumn>
    <tableColumn id="37" xr3:uid="{146C5E1C-B103-45FF-A256-D4FE328D77F3}" name="tilleggs_bergbånd_festebolter_gt4_d" dataDxfId="339">
      <calculatedColumnFormula>IFERROR(1-klasseqty_bergbånd[[#This Row],[tilleggs_bergbånd_festebolter_lt4_d]],"-")</calculatedColumnFormula>
    </tableColumn>
    <tableColumn id="38" xr3:uid="{87861FCC-88A8-4729-B06F-2E74683BA120}" name="tilleggs_bergbånd_festebolter_gt4_e1" dataDxfId="338">
      <calculatedColumnFormula>IFERROR(1-klasseqty_bergbånd[[#This Row],[tilleggs_bergbånd_festebolter_lt4_e1]],"-")</calculatedColumnFormula>
    </tableColumn>
    <tableColumn id="39" xr3:uid="{87DB9C2A-E73A-4D22-956A-EC5ACC13EB8B}" name="tilleggs_bergbånd_festebolter_gt4_e2" dataDxfId="337">
      <calculatedColumnFormula>IFERROR(1-klasseqty_bergbånd[[#This Row],[tilleggs_bergbånd_festebolter_lt4_e2]],"-")</calculatedColumnFormula>
    </tableColumn>
    <tableColumn id="40" xr3:uid="{FB13D86A-0306-4E5E-83AB-093844F6EE98}" name="tilleggs_bergbånd_festebolter_gt4_f" dataDxfId="336">
      <calculatedColumnFormula>IFERROR(1-klasseqty_bergbånd[[#This Row],[tilleggs_bergbånd_festebolter_lt4_f]],"-")</calculatedColumnFormula>
    </tableColumn>
    <tableColumn id="41" xr3:uid="{B1630B95-D9DF-4D53-B6CC-14C8A8A48013}" name="tilleggs_bergbånd_festebolter_gt4_g" dataDxfId="335">
      <calculatedColumnFormula>IFERROR(1-klasseqty_bergbånd[[#This Row],[tilleggs_bergbånd_festebolter_lt4_g]],"-")</calculatedColumnFormula>
    </tableColum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1963B4E-2126-44CE-873E-73D9B81ECCAC}" name="klasse_salve" displayName="klasse_salve" ref="AWY40:AXG44" totalsRowShown="0" headerRowDxfId="334" dataDxfId="332" headerRowBorderDxfId="333" tableBorderDxfId="331" totalsRowBorderDxfId="330">
  <autoFilter ref="AWY40:AXG44" xr:uid="{F85F97D7-EB71-4DD6-BDC8-010A57923C4C}"/>
  <tableColumns count="9">
    <tableColumn id="1" xr3:uid="{6105794F-4C46-4B53-96CD-662FA51C8F30}" name="Type_size" dataDxfId="329"/>
    <tableColumn id="2" xr3:uid="{10519FAA-6BE5-4576-BA44-8C907463B34A}" name="salve_lengde_a" dataDxfId="328"/>
    <tableColumn id="3" xr3:uid="{B2C21209-AE8C-4279-9141-DE08D07841C1}" name="salve_lengde_b" dataDxfId="327"/>
    <tableColumn id="4" xr3:uid="{A74414EE-B7F0-4950-B34A-791DEED75E6F}" name="salve_lengde_c" dataDxfId="326"/>
    <tableColumn id="5" xr3:uid="{5E64C293-F9B6-4592-BAF5-5957421269BD}" name="salve_lengde_d" dataDxfId="325"/>
    <tableColumn id="6" xr3:uid="{64D53B39-6E97-4C59-940D-A9171BCE45CB}" name="salve_lengde_e1" dataDxfId="324"/>
    <tableColumn id="7" xr3:uid="{00EB5C3D-02F7-4A5E-830C-9A7915427F12}" name="salve_lengde_e2" dataDxfId="323"/>
    <tableColumn id="8" xr3:uid="{BDE90825-045E-4FA1-B26F-602201524F2C}" name="salve_lengde_f" dataDxfId="322"/>
    <tableColumn id="9" xr3:uid="{EED71DC7-103A-4879-8F2E-A8CF1F881F96}" name="salve_lengde_g" dataDxfId="321"/>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E34B4703-EF2C-4105-B68A-F39FC5DF1BC3}" name="klasseqty_rensk" displayName="klasseqty_rensk" ref="AUV37:AVL41" totalsRowShown="0" headerRowDxfId="320" dataDxfId="318" headerRowBorderDxfId="319" tableBorderDxfId="317" totalsRowBorderDxfId="316">
  <autoFilter ref="AUV37:AVL41" xr:uid="{315F7FA8-6BC3-4A49-907A-BEBCB7BFF681}"/>
  <tableColumns count="17">
    <tableColumn id="1" xr3:uid="{A5C3E3FC-6E90-4E7E-B5BD-FBCFE873C472}" name="Type_size" dataDxfId="315"/>
    <tableColumn id="2" xr3:uid="{E18AE4DB-73E3-4312-96A3-308091C75634}" name="manual_tid_salve_a" dataDxfId="314"/>
    <tableColumn id="3" xr3:uid="{4E498DDF-B802-4581-8AF7-44F6C0197D92}" name="manual_tid_salve_b" dataDxfId="313"/>
    <tableColumn id="4" xr3:uid="{15A04909-A110-4594-A334-19F0D166B370}" name="manual_tid_salve_c" dataDxfId="312"/>
    <tableColumn id="5" xr3:uid="{09691C4F-4F07-4B08-B9C3-F6D8367F5FD5}" name="manual_tid_salve_d" dataDxfId="311"/>
    <tableColumn id="6" xr3:uid="{4FB80FC1-1709-4533-9329-F6EDDFFB1814}" name="manual_tid_salve_e1" dataDxfId="310"/>
    <tableColumn id="7" xr3:uid="{396AEA88-FDC9-4F7D-9882-0D6DEC785B20}" name="manual_tid_salve_e2" dataDxfId="309"/>
    <tableColumn id="8" xr3:uid="{C0ED6A6A-56EF-42E6-9BF5-E10D22791D39}" name="manual_tid_salve_f" dataDxfId="308"/>
    <tableColumn id="9" xr3:uid="{EBCDEF1B-C155-4457-8DA4-BACFBC3ACA93}" name="manual_tid_salve_g" dataDxfId="307"/>
    <tableColumn id="10" xr3:uid="{98CB20D1-FDE3-4559-B8D7-6731C9C96EEC}" name="inspectiontid_a" dataDxfId="306"/>
    <tableColumn id="11" xr3:uid="{363D1DB2-E75D-43AD-AC27-FFF105B76B02}" name="inspectiontid_b" dataDxfId="305"/>
    <tableColumn id="12" xr3:uid="{B2385A8F-E5DF-4176-B270-987767444E6A}" name="inspectiontid_c" dataDxfId="304"/>
    <tableColumn id="13" xr3:uid="{C221AEAF-0E56-48B7-A7B7-2392C00767B2}" name="inspectiontid_d" dataDxfId="303"/>
    <tableColumn id="14" xr3:uid="{5D0270D4-565C-4E8B-B7E4-7B7AC7740E5A}" name="inspectiontid_e1" dataDxfId="302"/>
    <tableColumn id="15" xr3:uid="{17D349D1-00F7-476A-BD82-BF8B7F46B83C}" name="inspectiontid_e2" dataDxfId="301"/>
    <tableColumn id="16" xr3:uid="{1E867463-2811-4995-964B-D70875D0B22D}" name="inspectiontid_f" dataDxfId="300"/>
    <tableColumn id="17" xr3:uid="{53189B2A-34A1-413B-9C06-6541F49658F5}" name="inspectiontid_g" dataDxfId="29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AC59E3F8-FA8B-4A17-BCC3-D778B770F81E}" name="klasseqty_sik1234" displayName="klasseqty_sik1234" ref="AUV152:AVT156" totalsRowShown="0" headerRowDxfId="298" dataDxfId="296" headerRowBorderDxfId="297" tableBorderDxfId="295" totalsRowBorderDxfId="294">
  <autoFilter ref="AUV152:AVT156" xr:uid="{6D248941-05B5-4330-A910-8B846CFA4006}"/>
  <tableColumns count="25">
    <tableColumn id="1" xr3:uid="{BDB0886C-975B-4427-82C7-76ADFD847C17}" name="Type_size" dataDxfId="293"/>
    <tableColumn id="2" xr3:uid="{591CAD68-8E07-4F9B-9552-9ECED37A1A69}" name="sikringsstøp_hypp_a" dataDxfId="292"/>
    <tableColumn id="3" xr3:uid="{4AB8CB42-5350-4D0C-A1A0-8CF1159CEF95}" name="sikringsstøp_hypp_b" dataDxfId="291"/>
    <tableColumn id="4" xr3:uid="{B18633EE-9334-44C1-9ABE-964D02686927}" name="sikringsstøp_hypp_c" dataDxfId="290"/>
    <tableColumn id="5" xr3:uid="{C8BFCA9B-B46C-4353-9A34-3330892F3637}" name="sikringsstøp_hypp_d" dataDxfId="289"/>
    <tableColumn id="6" xr3:uid="{C8764275-B643-4302-85F8-09994B21FF10}" name="sikringsstøp_hypp_e1" dataDxfId="288"/>
    <tableColumn id="7" xr3:uid="{C232DDC1-7DD4-4270-B306-E7FE85B36318}" name="sikringsstøp_hypp_e2" dataDxfId="287"/>
    <tableColumn id="8" xr3:uid="{D1DF0244-EB3A-4741-ACB9-F4634EF9C4EE}" name="sikringsstøp_hypp_f" dataDxfId="286"/>
    <tableColumn id="9" xr3:uid="{2247B361-7A66-4C9B-B06C-E1BC13BE61A3}" name="sikringsstøp_hypp_g" dataDxfId="285"/>
    <tableColumn id="10" xr3:uid="{B7BCAD68-D82D-4986-8BDC-779263989F53}" name="sikringsstøp_123_a" dataDxfId="284"/>
    <tableColumn id="11" xr3:uid="{DFC77255-42B0-4A57-B39C-F87C4CBB971D}" name="sikringsstøp_123_b" dataDxfId="283"/>
    <tableColumn id="12" xr3:uid="{B05EFDBA-8D41-4C93-B7FA-53E9C1303E52}" name="sikringsstøp_123_c" dataDxfId="282"/>
    <tableColumn id="13" xr3:uid="{B0633E2D-79A2-421F-A369-56210FD7CE6F}" name="sikringsstøp_123_d" dataDxfId="281"/>
    <tableColumn id="14" xr3:uid="{E660FC72-AC67-44FC-91CF-53739E34AA01}" name="sikringsstøp_123_e1" dataDxfId="280"/>
    <tableColumn id="15" xr3:uid="{736EADA7-EA85-4EA3-B997-7CCD98812247}" name="sikringsstøp_123_e2" dataDxfId="279"/>
    <tableColumn id="16" xr3:uid="{96761338-1C8C-4173-A9C8-DE3CC573B541}" name="sikringsstøp_123_f" dataDxfId="278"/>
    <tableColumn id="17" xr3:uid="{D33D2954-CB98-4A2B-82A5-4464F10F7D29}" name="sikringsstøp_123_g" dataDxfId="277"/>
    <tableColumn id="18" xr3:uid="{79BA0BBE-C57B-4C14-A27D-FF6402AB373E}" name="sikringsstøp_4_a" dataDxfId="276">
      <calculatedColumnFormula>IFERROR(1-klasseqty_sik1234[[#This Row],[sikringsstøp_123_a]],"-")</calculatedColumnFormula>
    </tableColumn>
    <tableColumn id="19" xr3:uid="{B8874D02-C699-43F7-9385-80CEA95F9A4A}" name="sikringsstøp_4_b" dataDxfId="275">
      <calculatedColumnFormula>IFERROR(1-klasseqty_sik1234[[#This Row],[sikringsstøp_123_b]],"-")</calculatedColumnFormula>
    </tableColumn>
    <tableColumn id="20" xr3:uid="{2D075DF6-2BA2-478D-8FD8-5F19FAC10C52}" name="sikringsstøp_4_c" dataDxfId="274">
      <calculatedColumnFormula>IFERROR(1-klasseqty_sik1234[[#This Row],[sikringsstøp_123_c]],"-")</calculatedColumnFormula>
    </tableColumn>
    <tableColumn id="21" xr3:uid="{327E2BD9-3526-4165-BBF2-5C6DCAF10476}" name="sikringsstøp_4_d" dataDxfId="273">
      <calculatedColumnFormula>IFERROR(1-klasseqty_sik1234[[#This Row],[sikringsstøp_123_d]],"-")</calculatedColumnFormula>
    </tableColumn>
    <tableColumn id="22" xr3:uid="{78F9678D-A276-4EA9-A810-1F1D1F972DDB}" name="sikringsstøp_4_e1" dataDxfId="272">
      <calculatedColumnFormula>IFERROR(1-klasseqty_sik1234[[#This Row],[sikringsstøp_123_e1]],"-")</calculatedColumnFormula>
    </tableColumn>
    <tableColumn id="23" xr3:uid="{3704A8E4-33B7-4331-8E1A-7882AFA5D67A}" name="sikringsstøp_4_e2" dataDxfId="271">
      <calculatedColumnFormula>IFERROR(1-klasseqty_sik1234[[#This Row],[sikringsstøp_123_e2]],"-")</calculatedColumnFormula>
    </tableColumn>
    <tableColumn id="24" xr3:uid="{6F047B3D-BD1F-428A-8212-274ECECFACE0}" name="sikringsstøp_4_f" dataDxfId="270">
      <calculatedColumnFormula>IFERROR(1-klasseqty_sik1234[[#This Row],[sikringsstøp_123_f]],"-")</calculatedColumnFormula>
    </tableColumn>
    <tableColumn id="25" xr3:uid="{C8AAB461-4FE9-43D7-A488-1D4C33CE4152}" name="sikringsstøp_4_g" dataDxfId="269">
      <calculatedColumnFormula>IFERROR(1-klasseqty_sik1234[[#This Row],[sikringsstøp_123_g]],"-")</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A1CC374C-56CF-4077-8DEB-EFDDDAE29EAD}" name="klasse_kapasitet" displayName="klasse_kapasitet" ref="CG99:EN107" totalsRowShown="0" headerRowDxfId="268" dataDxfId="266" headerRowBorderDxfId="267" tableBorderDxfId="265" totalsRowBorderDxfId="264">
  <autoFilter ref="CG99:EN107" xr:uid="{B248BC0B-E546-4D28-B421-830FD7B13A41}"/>
  <tableColumns count="60">
    <tableColumn id="1" xr3:uid="{4E994EA7-D7A8-484B-86A2-DBD2A7D328C9}" name="Klasse" dataDxfId="263"/>
    <tableColumn id="2" xr3:uid="{5E64C4E7-57A1-4A54-9CB5-4E5DDD40B695}" name="Q_rating" dataDxfId="262"/>
    <tableColumn id="3" xr3:uid="{414E6766-FF2D-401A-A23F-607F60B4F99F}" name="sikringsklasse" dataDxfId="261"/>
    <tableColumn id="4" xr3:uid="{E29B88CF-4653-4B9C-9BC8-7357E4CE9FA7}" name="Manuell_rate" dataDxfId="260">
      <calculatedColumnFormula>$ABR42/$ABH42/60</calculatedColumnFormula>
    </tableColumn>
    <tableColumn id="5" xr3:uid="{32F50092-53BA-453A-837F-6957C720810A}" name="Manuell_kap" dataDxfId="259">
      <calculatedColumnFormula>klasse_kapasitet[[#This Row],[Manuell_rate]]/CJ$98/$AI$40</calculatedColumnFormula>
    </tableColumn>
    <tableColumn id="6" xr3:uid="{AA0057D1-907E-4837-876F-5D9009987344}" name="Kartlegging_rate" dataDxfId="258">
      <calculatedColumnFormula>$ACB42/$ABH42/60</calculatedColumnFormula>
    </tableColumn>
    <tableColumn id="7" xr3:uid="{6843D961-4065-42E5-91B6-943B92E53BC8}" name="Karrlegging_kap" dataDxfId="257">
      <calculatedColumnFormula>klasse_kapasitet[[#This Row],[Kartlegging_rate]]/CL$98/$AI$40</calculatedColumnFormula>
    </tableColumn>
    <tableColumn id="8" xr3:uid="{7050C8A8-6CA0-441A-99F5-7421E9782EB5}" name="Bolting_lt4_rate" dataDxfId="256">
      <calculatedColumnFormula>($AI$46/($ACL42^2)*$ACU42)+(($AI$42*2)/($ADN42^2)*$ADX42)</calculatedColumnFormula>
    </tableColumn>
    <tableColumn id="9" xr3:uid="{087A9EF9-F39C-4A36-9361-02BF303D91FA}" name="Bolting_lt4_kap" dataDxfId="255">
      <calculatedColumnFormula>klasse_kapasitet[[#This Row],[Bolting_lt4_rate]]/CN$98/$AI$40</calculatedColumnFormula>
    </tableColumn>
    <tableColumn id="10" xr3:uid="{BDD21649-6956-4FF2-8310-34D578AC39DB}" name="Bolting_gt4_rate" dataDxfId="254">
      <calculatedColumnFormula>($AI$46/($ACL42^2)*$ADD42)+(($AI$42*2)/($ADN42^2)*$AEF42)</calculatedColumnFormula>
    </tableColumn>
    <tableColumn id="11" xr3:uid="{19132D34-B582-437A-91E3-C5748ACCBC01}" name="Bolting_gt4_kap" dataDxfId="253">
      <calculatedColumnFormula>klasse_kapasitet[[#This Row],[Bolting_gt4_rate]]/CP$98/$AI$40</calculatedColumnFormula>
    </tableColumn>
    <tableColumn id="12" xr3:uid="{214C1C3D-6692-4960-ADF3-9F2E649ED4C8}" name="sprøytebetong_rate" dataDxfId="252">
      <calculatedColumnFormula>($AI$46*$AHW42*$AIQ42/1000)+(($AI$42*2)*$AIG42*$AIQ42/1000)</calculatedColumnFormula>
    </tableColumn>
    <tableColumn id="13" xr3:uid="{27E83197-D6B6-450A-9538-A05454A2D6FA}" name="sprøytebetong_kap" dataDxfId="251">
      <calculatedColumnFormula>klasse_kapasitet[[#This Row],[sprøytebetong_rate]]/CR$98/$AI$40</calculatedColumnFormula>
    </tableColumn>
    <tableColumn id="14" xr3:uid="{BCB88002-14E6-4D67-99D9-0452025151B4}" name="forbolting_lt4_rate" dataDxfId="250">
      <calculatedColumnFormula>IF($APM42=_List!$DQ$7,($AI$46*$AQC42*$AOV42)/($ABH42*$APU42),IF($APM42=_List!$DQ$8,($AI$40*$AQC42*$AOV42)/($ABH42*$APU42),0))</calculatedColumnFormula>
    </tableColumn>
    <tableColumn id="15" xr3:uid="{7C489ECE-FB50-413D-9CC7-0F8B81CE903A}" name="forbolting_lt4_kap" dataDxfId="249">
      <calculatedColumnFormula>klasse_kapasitet[[#This Row],[forbolting_lt4_rate]]/CT$98/$AI$40</calculatedColumnFormula>
    </tableColumn>
    <tableColumn id="16" xr3:uid="{D30ED0BC-1E87-4735-A57D-5A82B32A25E1}" name="forbolting_gt4_rate" dataDxfId="248">
      <calculatedColumnFormula>IF($APM42=_List!$DQ$7,($AI$46*$AQL42*$AOV42)/($ABH42*$APU42),IF($APM42=_List!$DQ$8,($AI$40*$AQL42*$AOV42)/($ABH42*$APU42),0))</calculatedColumnFormula>
    </tableColumn>
    <tableColumn id="17" xr3:uid="{9297EAC4-AE70-4D99-BA5F-46BEE1EB4A33}" name="forbolting_gt4_kap" dataDxfId="247">
      <calculatedColumnFormula>klasse_kapasitet[[#This Row],[forbolting_gt4_rate]]/CV$98/$AI$40</calculatedColumnFormula>
    </tableColumn>
    <tableColumn id="18" xr3:uid="{3018513F-87B8-48FE-A811-1232399A18B4}" name="opphengbolter_lt4_rate" dataDxfId="246">
      <calculatedColumnFormula>IF($APM42=_List!$DQ$7,($AI$46*$ARC42*$AOV42)/($ABH42*$AQU42),IF($APM42=_List!$DQ$8,($AI$40*$ARC42*$AOV42)/($ABH42*$AQU42),0))</calculatedColumnFormula>
    </tableColumn>
    <tableColumn id="19" xr3:uid="{2D74C027-4946-41DA-AC50-08B522E7F8B8}" name="opphengbolter_lt4_kap" dataDxfId="245">
      <calculatedColumnFormula>klasse_kapasitet[[#This Row],[opphengbolter_lt4_rate]]/CX$98/$AI$40</calculatedColumnFormula>
    </tableColumn>
    <tableColumn id="20" xr3:uid="{166D4281-5068-40ED-9131-D631314CB330}" name="opphengbolter_gt4_rate" dataDxfId="244">
      <calculatedColumnFormula>IF($APM42=_List!$DQ$7,($AI$46*$ARL42*$AOV42)/($ABH42*$AQU42),IF($APM42=_List!$DQ$8,($AI$40*$ARL42*$AOV42)/($ABH42*$AQU42),0))</calculatedColumnFormula>
    </tableColumn>
    <tableColumn id="21" xr3:uid="{AE10C381-0697-4E73-90A3-474DC7E1911C}" name="opphengbolter_gt4_kap" dataDxfId="243">
      <calculatedColumnFormula>klasse_kapasitet[[#This Row],[opphengbolter_gt4_rate]]/CZ$98/$AI$40</calculatedColumnFormula>
    </tableColumn>
    <tableColumn id="22" xr3:uid="{BF4E8EAD-54B4-42D8-B02E-028CAE519A2F}" name="bue_rate" dataDxfId="242">
      <calculatedColumnFormula>IFERROR($AI$40/$AJQ42,0)</calculatedColumnFormula>
    </tableColumn>
    <tableColumn id="23" xr3:uid="{01B55266-375A-42E2-A523-69BF427FA309}" name="bue_kap" dataDxfId="241">
      <calculatedColumnFormula>klasse_kapasitet[[#This Row],[bue_rate]]/DB$98/$AI$40</calculatedColumnFormula>
    </tableColumn>
    <tableColumn id="24" xr3:uid="{777D8175-F935-4559-8BB3-9542614CA11B}" name="radiellebolter_lt4_rate" dataDxfId="240">
      <calculatedColumnFormula>IFERROR($AI$40*$AKS42/($AJQ42*$AKK42),0)</calculatedColumnFormula>
    </tableColumn>
    <tableColumn id="25" xr3:uid="{801329A0-33FC-4F31-84FF-F848442CA56C}" name="radiellebolter_lt4_kap" dataDxfId="239">
      <calculatedColumnFormula>klasse_kapasitet[[#This Row],[radiellebolter_lt4_rate]]/DD$98/$AI$40</calculatedColumnFormula>
    </tableColumn>
    <tableColumn id="26" xr3:uid="{AB6C5F86-CB92-4D2F-B7D1-63B0E2910D05}" name="radiellebolter_gt4_rate" dataDxfId="238">
      <calculatedColumnFormula>IFERROR($AI$40*$ALB42/($AJQ42*$AKK42),0)</calculatedColumnFormula>
    </tableColumn>
    <tableColumn id="27" xr3:uid="{4A4FC8D4-4F88-49AD-A453-218FCF91B8D9}" name="radiellebolter_gt4_kap" dataDxfId="237">
      <calculatedColumnFormula>klasse_kapasitet[[#This Row],[radiellebolter_gt4_rate]]/DF$98/$AI$40</calculatedColumnFormula>
    </tableColumn>
    <tableColumn id="28" xr3:uid="{D9ED1DFC-C86A-4683-BCBB-4970B07CA6C4}" name="bue_tilleggs_sprøyte_rate" dataDxfId="236">
      <calculatedColumnFormula>IFERROR($AI$40*$ALK42/$AJQ42,0)</calculatedColumnFormula>
    </tableColumn>
    <tableColumn id="29" xr3:uid="{9C8CC7A1-92ED-4E88-A938-1BF1079F7E1C}" name="bue_tilleggs_sprøyte_kap" dataDxfId="235">
      <calculatedColumnFormula>klasse_kapasitet[[#This Row],[bue_tilleggs_sprøyte_rate]]/DH$98/$AI$40</calculatedColumnFormula>
    </tableColumn>
    <tableColumn id="30" xr3:uid="{A2B6209B-FBFA-459D-9CF5-5FD333DF4C5E}" name="forankring_lt4_rate" dataDxfId="234">
      <calculatedColumnFormula>IFERROR($ALU42*$AMD42/$AJQ42,0)</calculatedColumnFormula>
    </tableColumn>
    <tableColumn id="31" xr3:uid="{31891167-B87A-4D39-93BA-1C720AFBBC88}" name="forankring_lt4_kap" dataDxfId="233">
      <calculatedColumnFormula>klasse_kapasitet[[#This Row],[forankring_lt4_rate]]/DJ$98/$AI$40</calculatedColumnFormula>
    </tableColumn>
    <tableColumn id="32" xr3:uid="{3110F1AE-13AB-4631-B2BA-2DF010219113}" name="forankring_gt4_rate" dataDxfId="232">
      <calculatedColumnFormula>IFERROR($ALU42*$AMM42/$AJQ42,0)</calculatedColumnFormula>
    </tableColumn>
    <tableColumn id="33" xr3:uid="{EAFCDF60-A1D2-42EB-9FD7-387CEEFEBBD8}" name="forankring_gt4_kap" dataDxfId="231">
      <calculatedColumnFormula>klasse_kapasitet[[#This Row],[forankring_gt4_rate]]/DL$98/$AI$40</calculatedColumnFormula>
    </tableColumn>
    <tableColumn id="34" xr3:uid="{22591697-56B9-4F3E-A95D-9DF2AAEB322A}" name="Column26" dataDxfId="230"/>
    <tableColumn id="35" xr3:uid="{FA9DBE15-682C-43CB-8C65-25B9E20126F3}" name="Column1" dataDxfId="229"/>
    <tableColumn id="36" xr3:uid="{FB7B6745-52BE-4200-BD99-9798CE25B579}" name="Column2" dataDxfId="228"/>
    <tableColumn id="37" xr3:uid="{CD0F3D26-220E-4081-AFE6-B4B423496FC6}" name="Column3" dataDxfId="227"/>
    <tableColumn id="38" xr3:uid="{08991156-446A-45A9-9A80-6C6C9A7B6B68}" name="Column4" dataDxfId="226"/>
    <tableColumn id="39" xr3:uid="{3D51F3B4-9F56-479B-AFE2-735262FF5DA7}" name="Column5" dataDxfId="225"/>
    <tableColumn id="40" xr3:uid="{D6351EB4-F1D1-4A3C-A225-C221647119E3}" name="Column6" dataDxfId="224"/>
    <tableColumn id="41" xr3:uid="{8A9E1450-0376-4CB3-A5DC-D61236C2AFD5}" name="Column7" dataDxfId="223"/>
    <tableColumn id="42" xr3:uid="{E140495A-4A8B-418F-8FBA-1B467E74D14D}" name="Column8" dataDxfId="222"/>
    <tableColumn id="43" xr3:uid="{4C616CB4-ED0D-4801-A38D-91BA22761AC7}" name="Column9" dataDxfId="221"/>
    <tableColumn id="44" xr3:uid="{FCAFFFA0-AB65-48FC-ACA4-752979EEBA75}" name="Column10" dataDxfId="220"/>
    <tableColumn id="45" xr3:uid="{D69C5001-B95C-41CE-9503-E75A4BACA1F9}" name="Column11" dataDxfId="219"/>
    <tableColumn id="46" xr3:uid="{91419397-A4B1-4C3D-899E-A6947F162A61}" name="Column12" dataDxfId="218"/>
    <tableColumn id="47" xr3:uid="{BF8CD480-C943-488D-BD66-9E7E30851444}" name="Column13" dataDxfId="217"/>
    <tableColumn id="48" xr3:uid="{000A41AB-F977-46CE-AF2B-8594FC83E773}" name="Column14" dataDxfId="216"/>
    <tableColumn id="49" xr3:uid="{DEAC513B-DEE3-4C10-877F-120E0FD5A7B1}" name="Column15" dataDxfId="215"/>
    <tableColumn id="50" xr3:uid="{E9123B4E-FE12-4FCA-BD05-39DAF1A9C97E}" name="Column16" dataDxfId="214"/>
    <tableColumn id="51" xr3:uid="{A636D0E1-2C6F-4856-82CC-BF246936773E}" name="Column17" dataDxfId="213"/>
    <tableColumn id="52" xr3:uid="{E7AAB9B0-0AC9-43E6-B91C-10DCC4269BC1}" name="Column18" dataDxfId="212"/>
    <tableColumn id="53" xr3:uid="{3DEBC6BB-E751-4FB0-A9DB-F792194DA4BA}" name="Column19" dataDxfId="211"/>
    <tableColumn id="54" xr3:uid="{C8E91108-46F8-4067-8FB8-300695FF33EC}" name="Column20" dataDxfId="210"/>
    <tableColumn id="55" xr3:uid="{F881DF7B-6747-4238-B176-AEA64B8ABBA4}" name="Column21" dataDxfId="209"/>
    <tableColumn id="56" xr3:uid="{E3EEE292-CAE3-406C-B629-DFE28DC4BD0E}" name="Column22" dataDxfId="208"/>
    <tableColumn id="57" xr3:uid="{B41FE680-79FC-4F4A-A994-36342F57FBCC}" name="Column23" dataDxfId="207"/>
    <tableColumn id="58" xr3:uid="{9BF3BF0E-8201-4557-82C6-C2A19F4462A1}" name="Column24" dataDxfId="206"/>
    <tableColumn id="59" xr3:uid="{17D77099-8DF5-4015-8656-E7437EE01ACC}" name="Column25" dataDxfId="205"/>
    <tableColumn id="60" xr3:uid="{2A5CFF6F-909A-4088-A4C1-09892E6EF71D}" name="total_kap" dataDxfId="204">
      <calculatedColumnFormula>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85DDEC68-73D4-41AB-AEFD-2F1E265BE579}" name="klasseqty_nett" displayName="klasseqty_nett" ref="AUV168:AVT172" totalsRowShown="0" headerRowDxfId="203" dataDxfId="201" headerRowBorderDxfId="202" tableBorderDxfId="200" totalsRowBorderDxfId="199">
  <autoFilter ref="AUV168:AVT172" xr:uid="{1245CA91-4FC1-4625-8EF8-E05EBB4A84BA}"/>
  <tableColumns count="25">
    <tableColumn id="1" xr3:uid="{6746392F-9CD0-4E5B-A7CC-D704DFAC2129}" name="Type_size" dataDxfId="198"/>
    <tableColumn id="2" xr3:uid="{34C27D23-F0FF-4509-888C-8B8F423E0C2C}" name="nett_hypp_a" dataDxfId="197"/>
    <tableColumn id="3" xr3:uid="{B805C24D-EBF5-42D9-864C-F22E4418D7F4}" name="nett_hypp_b" dataDxfId="196"/>
    <tableColumn id="4" xr3:uid="{A05B6AA7-99D1-4075-8E94-D36BFCBDCC77}" name="nett_hypp_c" dataDxfId="195"/>
    <tableColumn id="5" xr3:uid="{AA8AA064-EFCD-409D-BD3D-998742514FDC}" name="nett_hypp_d" dataDxfId="194"/>
    <tableColumn id="6" xr3:uid="{DE3C7838-6DF6-4CF5-AA20-DAEE16EF56BA}" name="nett_hypp_e1" dataDxfId="193"/>
    <tableColumn id="7" xr3:uid="{F0257A8B-347E-4CBF-93FF-9862076E7ADA}" name="nett_hypp_e2" dataDxfId="192"/>
    <tableColumn id="8" xr3:uid="{BFC3005E-ACEC-4092-98F1-ADB784E170E6}" name="nett_hypp_f" dataDxfId="191"/>
    <tableColumn id="9" xr3:uid="{C127955B-509C-48F2-A8D9-0228FEE85FEA}" name="nett_hypp_g" dataDxfId="190"/>
    <tableColumn id="10" xr3:uid="{9BCEE3A5-CF6F-4563-B3FA-57F3B77B8D7E}" name="nett_sprøytebetong_tykkelse_a" dataDxfId="189"/>
    <tableColumn id="11" xr3:uid="{182924FF-6C1D-4FD6-BA8C-42B877FA8E60}" name="nett_sprøytebetong_tykkelse_b" dataDxfId="188"/>
    <tableColumn id="12" xr3:uid="{1F7D3B90-6125-4B6A-B43C-52D6179B2DB7}" name="nett_sprøytebetong_tykkelse_c" dataDxfId="187"/>
    <tableColumn id="13" xr3:uid="{63499218-A3D4-46F7-AEAB-C838B721F6D6}" name="nett_sprøytebetong_tykkelse_d" dataDxfId="186"/>
    <tableColumn id="14" xr3:uid="{9AE0779B-0B57-4A68-B05F-372F25592270}" name="nett_sprøytebetong_tykkelse_e1" dataDxfId="185"/>
    <tableColumn id="15" xr3:uid="{CBBCE2B9-062F-4403-90AE-863AD50E1B42}" name="nett_sprøytebetong_tykkelse_e2" dataDxfId="184"/>
    <tableColumn id="16" xr3:uid="{807AD2FB-A6D0-4B9A-8F81-6F5449CC5631}" name="nett_sprøytebetong_tykkelse_f" dataDxfId="183"/>
    <tableColumn id="17" xr3:uid="{D9F0E8B3-CD35-4EFA-ADF9-7FEBCCC50324}" name="nett_sprøytebetong_tykkelse_g" dataDxfId="182"/>
    <tableColumn id="18" xr3:uid="{5EAABB8D-B05E-4997-9CCC-3F7BE1C33352}" name="nett_festebolter_avstand_a" dataDxfId="181"/>
    <tableColumn id="19" xr3:uid="{A1B1BC9D-C04D-490F-9E02-972F0FB267E5}" name="nett_festebolter_avstand_b" dataDxfId="180"/>
    <tableColumn id="20" xr3:uid="{11A6D16B-2327-49AC-BF2C-F44BA1D0E7F9}" name="nett_festebolter_avstand_c" dataDxfId="179"/>
    <tableColumn id="21" xr3:uid="{CE0211EA-02C8-4379-8A0D-D0ACECBD9E8F}" name="nett_festebolter_avstand_d" dataDxfId="178"/>
    <tableColumn id="22" xr3:uid="{E41A5033-B35C-4FC6-A0DC-1CFC9BFE800B}" name="nett_festebolter_avstand_e1" dataDxfId="177"/>
    <tableColumn id="23" xr3:uid="{B949CA0C-AD53-493F-9D37-288EDBB100AF}" name="nett_festebolter_avstand_e2" dataDxfId="176"/>
    <tableColumn id="24" xr3:uid="{2D32EFAC-B477-4BBD-AB7D-178F91B90170}" name="nett_festebolter_avstand_f" dataDxfId="175"/>
    <tableColumn id="25" xr3:uid="{BD2237DA-D54C-4206-89BB-8B7F5A2FC510}" name="nett_festebolter_avstand_g" dataDxfId="174"/>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113A3A8-E448-4ACC-97CB-86EF287E537A}" name="metod_3" displayName="metod_3" ref="AY5:AZ9" totalsRowShown="0" headerRowDxfId="161" dataDxfId="160">
  <autoFilter ref="AY5:AZ9" xr:uid="{FA54B6C5-C68A-4059-B04F-B4654644AFE2}"/>
  <tableColumns count="2">
    <tableColumn id="1" xr3:uid="{166975E0-AA2E-4C5E-B695-207AEEDCA1E8}" name="Type" dataDxfId="159"/>
    <tableColumn id="2" xr3:uid="{FF06FF29-CDF4-4A6F-BDB7-A8D8C9DBBF3C}" name="Factor" dataDxfId="158"/>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66762AD-8ABD-B642-8D94-4ED59CFD9E8E}" name="vegprofil" displayName="vegprofil" ref="BB5:BF17" totalsRowShown="0" headerRowDxfId="157" dataDxfId="156">
  <autoFilter ref="BB5:BF17" xr:uid="{D120597B-1FEA-624E-B761-4F14DE54AAC8}"/>
  <sortState xmlns:xlrd2="http://schemas.microsoft.com/office/spreadsheetml/2017/richdata2" ref="BB6:BD17">
    <sortCondition ref="BB6:BB17"/>
  </sortState>
  <tableColumns count="5">
    <tableColumn id="1" xr3:uid="{EC851886-25AF-1D40-8B32-93479BE6BD2F}" name="Name" dataDxfId="155"/>
    <tableColumn id="2" xr3:uid="{961BFFEF-7DA4-FE4A-B7E6-7A4266D19743}" name="Area_s" dataDxfId="154"/>
    <tableColumn id="3" xr3:uid="{0424CE26-3C03-4053-A3E0-2654DE370644}" name="Area_n" dataDxfId="153"/>
    <tableColumn id="4" xr3:uid="{8AA4397D-6FA7-462F-BA49-8DCBF5658DB2}" name="Buelendge" dataDxfId="152"/>
    <tableColumn id="5" xr3:uid="{865356CE-E1EB-451F-BB2A-BFEE48CB6F89}" name="bredde" dataDxfId="151"/>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ABCD18-FD5B-46CB-9FA1-A445202C0F7E}" name="Stuff_no" displayName="Stuff_no" ref="CR5:CS10" totalsRowShown="0" headerRowDxfId="150" dataDxfId="149">
  <autoFilter ref="CR5:CS10" xr:uid="{DDEE3E0D-F17B-4711-893F-CC8D300BF65B}"/>
  <tableColumns count="2">
    <tableColumn id="1" xr3:uid="{6FBECE51-629A-413C-BDDE-72C76DC5DA36}" name="Stuff" dataDxfId="148"/>
    <tableColumn id="2" xr3:uid="{724FC2F2-8490-4AB0-8CBB-EBD196702E5D}" name="No" dataDxfId="14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C0D92F6-9385-4BDE-8439-BA88EFBA38ED}" name="tube1" displayName="tube1" ref="BV5:BV10" totalsRowShown="0" headerRowDxfId="146" dataDxfId="145">
  <autoFilter ref="BV5:BV10" xr:uid="{AFF94D3C-9150-4FFC-BB5B-EE9668C475F7}"/>
  <tableColumns count="1">
    <tableColumn id="1" xr3:uid="{C16FBC6C-A3D8-4012-9CA2-807FC0C9AADB}" name="No" dataDxfId="14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5510057-9935-4136-8C4B-B1CDD354FA7B}" name="oppsum_position" displayName="oppsum_position" ref="NN18:NW27" totalsRowShown="0" headerRowDxfId="2161" dataDxfId="2159" headerRowBorderDxfId="2160" tableBorderDxfId="2158" totalsRowBorderDxfId="2157">
  <autoFilter ref="NN18:NW27" xr:uid="{29B6A897-7997-4807-B8EB-47DAF495DA00}"/>
  <tableColumns count="10">
    <tableColumn id="1" xr3:uid="{B1B567E6-D786-45EC-B2F2-CE3D87F48A25}" name="Navn" dataDxfId="2156"/>
    <tableColumn id="2" xr3:uid="{8715B8D7-61F8-4BB2-990E-9F50B4C38BCF}" name="default position" dataDxfId="2155"/>
    <tableColumn id="3" xr3:uid="{F7B20CB4-DD08-41A6-A1CA-AA34084B8271}" name="on/off" dataDxfId="2154"/>
    <tableColumn id="4" xr3:uid="{801DD4BE-53A8-4499-B557-C22E2AF64AB1}" name="Position" dataDxfId="2153">
      <calculatedColumnFormula>INDEX(outputs_position[11],MATCH($BC$35,outputs_position[lopstuff],0))</calculatedColumnFormula>
    </tableColumn>
    <tableColumn id="5" xr3:uid="{0A6EB5A3-DFCC-4A27-9971-C5CAB24F15F5}" name="Name" dataDxfId="2152">
      <calculatedColumnFormula>NN19</calculatedColumnFormula>
    </tableColumn>
    <tableColumn id="6" xr3:uid="{3C26C606-D3C0-4B31-B16B-E06F62E6274F}" name="Redusertsalvelengde" dataDxfId="2151">
      <calculatedColumnFormula>IFERROR((INDEX(outputs_spreng[Name],MATCH($NR19,outputs_spreng[lopstuff],0))),0)</calculatedColumnFormula>
    </tableColumn>
    <tableColumn id="7" xr3:uid="{601A5FC2-06E2-4349-A68B-DA0C7DB092C5}" name="Todelttverrsnitt" dataDxfId="2150">
      <calculatedColumnFormula>IFERROR((INDEX(outputs_spreng[Redusertsalvelengde],MATCH($NR19,outputs_spreng[lopstuff],0))),0)</calculatedColumnFormula>
    </tableColumn>
    <tableColumn id="8" xr3:uid="{2F02B19A-0E0F-4970-BDFF-980F8F77EA58}" name="Redusertsalvelengdeogtodelttverrsnitt" dataDxfId="2149">
      <calculatedColumnFormula>IFERROR((INDEX(outputs_spreng[Todelttverrsnitt],MATCH($NR19,outputs_spreng[lopstuff],0))),0)</calculatedColumnFormula>
    </tableColumn>
    <tableColumn id="9" xr3:uid="{F48F3058-2BD2-4FAA-94B1-4D1D5DB879DA}" name="Normal" dataDxfId="2148">
      <calculatedColumnFormula>IFERROR((INDEX(outputs_spreng[Redusertsalvelengdeogtodelttverrsnitt],MATCH($NR19,outputs_spreng[lopstuff],0))),0)</calculatedColumnFormula>
    </tableColumn>
    <tableColumn id="10" xr3:uid="{9E53B45B-5315-44F1-9225-7904EB5C0A7B}" name="total_Nisj" dataDxfId="2147">
      <calculatedColumnFormula>IFERROR((INDEX(outputs_spreng[Normal],MATCH($NR19,outputs_spreng[lopstuff],0))),0)</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B17143E-8946-48DA-8023-99890157A860}" name="tube2" displayName="tube2" ref="BW5:BW10" totalsRowShown="0" headerRowDxfId="143" dataDxfId="142">
  <autoFilter ref="BW5:BW10" xr:uid="{A987E45B-1FC8-47C3-B827-24B3E0A16421}"/>
  <tableColumns count="1">
    <tableColumn id="1" xr3:uid="{DF7CC7E4-F7BD-4C87-B164-C551C11D059C}" name="No" dataDxfId="141"/>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C9F5D2-3FB6-4763-840A-E0FE9260F8B4}" name="number_2" displayName="number_2" ref="AP5:AP8" totalsRowShown="0">
  <autoFilter ref="AP5:AP8" xr:uid="{53853E9C-B7F4-4458-9539-CB2A5B5F0F81}"/>
  <tableColumns count="1">
    <tableColumn id="1" xr3:uid="{07822890-70B4-476B-9E0E-A1EE351897AC}" name="N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36C431C-85B7-43AE-B22D-F94171A5DE55}" name="face28" displayName="face28" ref="CI5:CI14" totalsRowShown="0" headerRowDxfId="140" dataDxfId="139">
  <autoFilter ref="CI5:CI14" xr:uid="{6E0D29DC-137E-426F-BCCB-992926A15D92}"/>
  <tableColumns count="1">
    <tableColumn id="1" xr3:uid="{8838A66C-3C0D-4181-94B5-5E80D1F80F9A}" name="No" dataDxfId="138"/>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37904-FB51-4D85-882E-DD95953578E1}" name="face26" displayName="face26" ref="CG5:CG12" totalsRowShown="0" headerRowDxfId="137" dataDxfId="136">
  <autoFilter ref="CG5:CG12" xr:uid="{B21B03A8-AF20-4038-A7C0-974A31D7DBD4}"/>
  <tableColumns count="1">
    <tableColumn id="1" xr3:uid="{A6796CB8-1460-4FB9-BF02-135B26EAAF6E}" name="No" dataDxfId="135"/>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4D9C305-9F2A-41CA-A794-22DC1205AB48}" name="face24" displayName="face24" ref="CE5:CE10" totalsRowShown="0" headerRowDxfId="134" dataDxfId="133">
  <autoFilter ref="CE5:CE10" xr:uid="{25C3A307-4C32-469E-AE85-9A354625129E}"/>
  <tableColumns count="1">
    <tableColumn id="1" xr3:uid="{EB3C0BAD-CA5F-4CEE-8DD8-A10DB876720C}" name="No" dataDxfId="132"/>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0A368D6-01F1-4916-8455-EE45E50C90F9}" name="face22" displayName="face22" ref="CC5:CD8" totalsRowShown="0" headerRowDxfId="131" dataDxfId="130">
  <autoFilter ref="CC5:CD8" xr:uid="{E7DB7E44-32AE-4164-815E-DCC7982472C0}"/>
  <tableColumns count="2">
    <tableColumn id="1" xr3:uid="{9DF4EABE-562B-4BDB-A106-847D72839E1F}" name="No" dataDxfId="129"/>
    <tableColumn id="2" xr3:uid="{D1A947AA-28BC-434D-B63B-4498FB293F07}" name="Column1" dataDxfId="128">
      <calculatedColumnFormula>IF(COUNTIF($CC$6:$CC$8,CC6)&gt;=1,"",ROW())</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6750C7-7E98-4935-92D2-93CA4661E7C5}" name="face14" displayName="face14" ref="CB5:CB10" totalsRowShown="0" headerRowDxfId="127" dataDxfId="126">
  <autoFilter ref="CB5:CB10" xr:uid="{79F3B733-7F29-4DF9-BC33-B1318966CB6E}"/>
  <tableColumns count="1">
    <tableColumn id="1" xr3:uid="{138D8F7F-EB35-4E08-9193-B00803D3A869}" name="No" dataDxfId="125"/>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664EB50-5D67-4125-BCBB-62717AAB845E}" name="face13" displayName="face13" ref="CA5:CA9" totalsRowShown="0" headerRowDxfId="124" dataDxfId="123">
  <autoFilter ref="CA5:CA9" xr:uid="{6F5960EC-3D08-4D4F-86D2-0A4220947286}"/>
  <tableColumns count="1">
    <tableColumn id="1" xr3:uid="{45A32E90-78C0-4C9A-9234-49F7407A4F08}" name="No" dataDxfId="122"/>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D2438BB-1949-4EFE-AC2F-3323B7AB2862}" name="face12" displayName="face12" ref="BZ5:BZ8" totalsRowShown="0" headerRowDxfId="121" dataDxfId="120">
  <autoFilter ref="BZ5:BZ8" xr:uid="{0164250B-8F94-4AD0-9232-DC02CEB55147}"/>
  <tableColumns count="1">
    <tableColumn id="1" xr3:uid="{83651A81-C219-4398-B3F6-A1B4630C9182}" name="No" dataDxfId="119"/>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8A4C03C-78DB-4CF2-B5EB-0AF3948C731C}" name="face11" displayName="face11" ref="BY5:BY7" totalsRowShown="0" headerRowDxfId="118" dataDxfId="117">
  <autoFilter ref="BY5:BY7" xr:uid="{5666447C-5E82-4506-BFF2-92679CED407F}"/>
  <tableColumns count="1">
    <tableColumn id="1" xr3:uid="{4C7B3741-A7F9-4B0F-880B-7737B821FB19}" name="No" dataDxfId="11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EE9061-D634-49EA-95AC-A58DB24638C4}" name="outputs_foran" displayName="outputs_foran" ref="DU102:EK113" totalsRowShown="0" headerRowDxfId="2146" dataDxfId="2145" tableBorderDxfId="2144">
  <autoFilter ref="DU102:EK113" xr:uid="{A9DAA9F6-1375-46DA-B2EF-09FDDB7C5CEA}"/>
  <tableColumns count="17">
    <tableColumn id="1" xr3:uid="{E96056B1-96BA-488D-8128-FA55B94A5EF8}" name="Position" dataDxfId="2143"/>
    <tableColumn id="2" xr3:uid="{8ED04A6F-63F9-4FDD-8035-FE6EBA233427}" name="Name" dataDxfId="2142">
      <calculatedColumnFormula>DR103</calculatedColumnFormula>
    </tableColumn>
    <tableColumn id="3" xr3:uid="{4D12998A-6BDD-477A-B80E-B82DB8D752F8}" name="Sonderboring" dataDxfId="2141">
      <calculatedColumnFormula>DW51/$DW$101</calculatedColumnFormula>
    </tableColumn>
    <tableColumn id="4" xr3:uid="{B96CF36F-1E75-460C-877E-E355AD37400F}" name="Kjerneboring" dataDxfId="2140">
      <calculatedColumnFormula>DX51/$DW$101</calculatedColumnFormula>
    </tableColumn>
    <tableColumn id="5" xr3:uid="{F027293D-DBE4-41D5-AAA4-850B770A1587}" name="Seismikk" dataDxfId="2139">
      <calculatedColumnFormula>DY51/$DW$101</calculatedColumnFormula>
    </tableColumn>
    <tableColumn id="6" xr3:uid="{60142730-E211-4C9E-BA91-8553C663200F}" name="sp_Rigg" dataDxfId="2138">
      <calculatedColumnFormula>DZ51/$DW$101</calculatedColumnFormula>
    </tableColumn>
    <tableColumn id="7" xr3:uid="{2FAA4528-67D0-4970-9A2C-AD98D929D1BF}" name="sp_Boring" dataDxfId="2137">
      <calculatedColumnFormula>EA51/$DW$101</calculatedColumnFormula>
    </tableColumn>
    <tableColumn id="8" xr3:uid="{0DB50425-7422-462F-AFC3-659505530D40}" name="Sp_Injeksjon" dataDxfId="2136">
      <calculatedColumnFormula>EB51/$DW$101</calculatedColumnFormula>
    </tableColumn>
    <tableColumn id="9" xr3:uid="{AC15B2D5-0C09-4306-9034-108F9CDCA371}" name="sp_Kontrollhull" dataDxfId="2135"/>
    <tableColumn id="10" xr3:uid="{4A2C8707-C51E-445D-B3ED-97D019C2510B}" name="sy_Rigg" dataDxfId="2134">
      <calculatedColumnFormula>ED51/$DW$101</calculatedColumnFormula>
    </tableColumn>
    <tableColumn id="11" xr3:uid="{2733E50F-B74C-4B08-AFB6-EE34A09F38B9}" name="sy_Boring" dataDxfId="2133">
      <calculatedColumnFormula>EE51/$DW$101</calculatedColumnFormula>
    </tableColumn>
    <tableColumn id="12" xr3:uid="{7442A8D2-D7E0-4901-89FF-1D11E6AA7602}" name="sy_Injeksjon" dataDxfId="2132">
      <calculatedColumnFormula>EF51/$DW$101</calculatedColumnFormula>
    </tableColumn>
    <tableColumn id="13" xr3:uid="{E52FCC9E-5703-44AB-B06C-E7705BE9BD50}" name="sy_Kontrollhull" dataDxfId="2131"/>
    <tableColumn id="14" xr3:uid="{4BE03806-8DEC-4A55-AF58-C89CE4A6B1A5}" name="total_tid" dataDxfId="2130">
      <calculatedColumnFormula>DW103+DX103+DY103+DZ103+EA103+EB103+EC103+ED103+EE103+EF103+EG103</calculatedColumnFormula>
    </tableColumn>
    <tableColumn id="15" xr3:uid="{CBB3DB60-35F9-412D-A19B-3BC51BE0900D}" name="total_sonder" dataDxfId="2129">
      <calculatedColumnFormula>outputs_foran[[#This Row],[Sonderboring]]+outputs_foran[[#This Row],[Kjerneboring]]+outputs_foran[[#This Row],[Seismikk]]</calculatedColumnFormula>
    </tableColumn>
    <tableColumn id="16" xr3:uid="{F255B75A-BF9F-4388-AB91-C3C4C09344E7}" name="total_inj" dataDxfId="2128">
      <calculatedColumnFormula>outputs_foran[[#This Row],[sp_Rigg]]+outputs_foran[[#This Row],[sp_Boring]]+outputs_foran[[#This Row],[Sp_Injeksjon]]+outputs_foran[[#This Row],[sp_Kontrollhull]]+outputs_foran[[#This Row],[sy_Rigg]]+outputs_foran[[#This Row],[sy_Boring]]+outputs_foran[[#This Row],[sy_Injeksjon]]+outputs_foran[[#This Row],[sy_Kontrollhull]]</calculatedColumnFormula>
    </tableColumn>
    <tableColumn id="17" xr3:uid="{EE72DEBC-2A4B-450A-AD08-2822D540ACC4}" name="total_tid_uke" dataDxfId="2127">
      <calculatedColumnFormula>outputs_foran[[#This Row],[total_tid]]/$AI$80</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9D09722-2CFB-47FE-95D5-621D4AFDB622}" name="meepee2" displayName="meepee2" ref="S5:S8" totalsRowShown="0" headerRowDxfId="115" headerRowBorderDxfId="114" tableBorderDxfId="113" totalsRowBorderDxfId="112">
  <autoFilter ref="S5:S8" xr:uid="{D22E1AAE-04C2-45AD-AF5C-D4ED49F048C0}"/>
  <tableColumns count="1">
    <tableColumn id="1" xr3:uid="{E7C8D965-BA3E-448F-A6AD-5C7D2A2CF88D}" name="Column1" dataDxfId="111"/>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DB886A-67D4-4643-A303-1A4A65A6292E}" name="config22" displayName="config22" ref="AK5:AK7" totalsRowShown="0">
  <autoFilter ref="AK5:AK7" xr:uid="{53B5EDCD-B4FF-4155-8C0D-83C61C92FC99}"/>
  <tableColumns count="1">
    <tableColumn id="1" xr3:uid="{905B6045-7B57-4955-A5F1-E6E83692B919}" name="Config"/>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B3E6751-9CDF-4CC8-8926-A997101E2BBC}" name="config24" displayName="config24" ref="AL5:AL8" totalsRowShown="0">
  <autoFilter ref="AL5:AL8" xr:uid="{E8D9318F-9F29-4F91-8645-AE34BD816C10}"/>
  <tableColumns count="1">
    <tableColumn id="1" xr3:uid="{BBB52B2F-415C-4E26-AC31-F0B4E3C90768}" name="Config"/>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A13B051-751C-4E5F-AE16-F87F3A92FA04}" name="config26" displayName="config26" ref="AM5:AM7" totalsRowShown="0">
  <autoFilter ref="AM5:AM7" xr:uid="{69F12DCD-3017-4CB3-B1C9-AEB03AA43BF9}"/>
  <tableColumns count="1">
    <tableColumn id="1" xr3:uid="{D2A3128D-0B47-4D7B-83DA-EB2282058D96}" name="Config"/>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2630ECA-774A-44C8-A11C-DB86BD5A7898}" name="config28" displayName="config28" ref="AN5:AN10" totalsRowShown="0">
  <autoFilter ref="AN5:AN10" xr:uid="{79B13AA6-FA3C-462D-B11A-D91D87920620}"/>
  <tableColumns count="1">
    <tableColumn id="1" xr3:uid="{D50A4C9C-8D4E-40D4-A6CA-2CDA479A08AA}" name="Config"/>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E67597F-04AF-4D6E-AB1B-F58595A3081A}" name="config11" displayName="config11" ref="AG5:AG7" totalsRowShown="0">
  <autoFilter ref="AG5:AG7" xr:uid="{7307A4B4-618E-4B2F-B5BB-249933510FFF}"/>
  <tableColumns count="1">
    <tableColumn id="1" xr3:uid="{BEA06FE2-8348-4771-B8D6-4AD70FFAD8A1}" name="Config"/>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CA811F4-131F-4D49-8F35-58D15D736E5D}" name="configabc" displayName="configabc" ref="AH5:AH8" totalsRowShown="0">
  <autoFilter ref="AH5:AH8" xr:uid="{1DB144D9-0DFF-4EFC-BEFF-F4D60EE0BE0F}"/>
  <tableColumns count="1">
    <tableColumn id="1" xr3:uid="{9CA346AE-C157-45BB-A4AF-B2A4CD1E5624}" name="Config"/>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573BE19-455F-47AC-9CC2-2A1733B90ED3}" name="config13" displayName="config13" ref="AI5:AI7" totalsRowShown="0">
  <autoFilter ref="AI5:AI7" xr:uid="{2E7F2ADA-3186-4493-87E8-3ADBED186513}"/>
  <tableColumns count="1">
    <tableColumn id="1" xr3:uid="{8DD9DEFD-11F4-472B-8676-3479356D9342}" name="Config"/>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7A0F55B-2AC8-46BB-BF3A-6B77E4C32729}" name="config14" displayName="config14" ref="AJ5:AJ10" totalsRowShown="0">
  <autoFilter ref="AJ5:AJ10" xr:uid="{9CEB6FEE-9DCF-4D01-BA80-6CACC7632519}"/>
  <tableColumns count="1">
    <tableColumn id="1" xr3:uid="{FAEFA41A-7C2A-46CD-9462-5B68374DD230}" name="Config"/>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6903179-C603-4A23-95C0-8E7DBC851E40}" name="meepee1" displayName="meepee1" ref="R5:R7" totalsRowShown="0" headerRowDxfId="110" headerRowBorderDxfId="109" tableBorderDxfId="108" totalsRowBorderDxfId="107">
  <autoFilter ref="R5:R7" xr:uid="{BF8F32B5-93C0-4074-AC92-8A02B15D6218}"/>
  <tableColumns count="1">
    <tableColumn id="1" xr3:uid="{AE6F73A5-9EF0-4673-95E5-40F587317E23}" name="Column1" dataDxfId="10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9278B2AB-9CD2-4ADD-9278-BAC5C754F639}" name="inputs_stab" displayName="inputs_stab" ref="ER57:FE66" totalsRowShown="0" headerRowDxfId="2126" dataDxfId="2124" headerRowBorderDxfId="2125" tableBorderDxfId="2123" totalsRowBorderDxfId="2122">
  <autoFilter ref="ER57:FE66" xr:uid="{038A88B0-316E-47C7-820F-F020A5F8D517}"/>
  <tableColumns count="14">
    <tableColumn id="1" xr3:uid="{7F557EFB-C31C-4753-85DE-F1F103FABD93}" name="Position" dataDxfId="2121"/>
    <tableColumn id="2" xr3:uid="{EB40F664-D43D-47CC-A740-8BC41D4A3AC1}" name="Manuell" dataDxfId="2120"/>
    <tableColumn id="3" xr3:uid="{8C3CEE71-8191-427D-828F-ECA36E4EB064}" name="lt4m" dataDxfId="2119"/>
    <tableColumn id="4" xr3:uid="{20D8357F-2007-4121-AF9F-2B2609088D32}" name="gt4m" dataDxfId="2118"/>
    <tableColumn id="5" xr3:uid="{1814A50A-BB9E-4502-B5DC-B4E4B7B0B09B}" name="band" dataDxfId="2117"/>
    <tableColumn id="6" xr3:uid="{76653222-3063-4400-B5C0-A8034E004590}" name="net" dataDxfId="2116"/>
    <tableColumn id="7" xr3:uid="{806A3768-9C81-4A1A-AF13-A83A705ADC0B}" name="shotcrete" dataDxfId="2115"/>
    <tableColumn id="8" xr3:uid="{F7F29A45-3F57-4B2F-A837-6F868DA415C8}" name="buer" dataDxfId="2114"/>
    <tableColumn id="9" xr3:uid="{A70097B9-BBD2-4A7A-B9F1-0901A423897F}" name="sik_samlet" dataDxfId="2113"/>
    <tableColumn id="10" xr3:uid="{D5F41533-460C-422C-AF24-290D36698A7F}" name="sik_unused" dataDxfId="2112"/>
    <tableColumn id="11" xr3:uid="{8AA01B62-AC07-46CA-8F18-7B1453E71B85}" name="kartlegging" dataDxfId="2111"/>
    <tableColumn id="12" xr3:uid="{011D44BC-A199-40FF-9068-2770F2F718F1}" name="festebolter" dataDxfId="2110"/>
    <tableColumn id="13" xr3:uid="{F3C7CA24-4AFC-48E4-9634-CB392E8B0495}" name="sik_12" dataDxfId="2109">
      <calculatedColumnFormula>IF(inputs_stab[[#This Row],[sik_samlet]]&gt;$FD$53,$FD$53,IF(inputs_stab[[#This Row],[sik_samlet]]&lt;=$FD$53,inputs_stab[[#This Row],[sik_samlet]],0))</calculatedColumnFormula>
    </tableColumn>
    <tableColumn id="14" xr3:uid="{F9213DDD-3E86-4D4B-8E3F-E38CCFC5CF75}" name="sik_3" dataDxfId="2108">
      <calculatedColumnFormula>IF(inputs_stab[[#This Row],[sik_samlet]]&gt;$FD$53,inputs_stab[[#This Row],[sik_samlet]]-$FD$53,0)</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B250F3-AF05-4304-B3C0-6EA26CC62025}" name="tunmeth1" displayName="tunmeth1" ref="AR5:AS7" totalsRowShown="0" headerRowDxfId="105" dataDxfId="104">
  <autoFilter ref="AR5:AS7" xr:uid="{48B30278-1BED-4D63-B6FE-71E65CFE8F93}"/>
  <tableColumns count="2">
    <tableColumn id="1" xr3:uid="{A71AAB68-B13B-4923-86C8-B8CCF2CAC416}" name="Type" dataDxfId="103"/>
    <tableColumn id="2" xr3:uid="{EFE74B49-AAE8-486A-9661-118DCEDC0EDE}" name="Factor" dataDxfId="102"/>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8B23355-A6D1-4EDF-92B7-AAD71758E930}" name="dateformat" displayName="dateformat" ref="P5:P7" totalsRowShown="0" headerRowDxfId="101" headerRowBorderDxfId="100" tableBorderDxfId="99" totalsRowBorderDxfId="98">
  <autoFilter ref="P5:P7" xr:uid="{E1222638-99D6-4A42-AFEC-C6CE56998F6F}"/>
  <tableColumns count="1">
    <tableColumn id="1" xr3:uid="{C24DF1E1-F0CD-4B7F-993A-71C016F295F7}" name="Column1" dataDxfId="97"/>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4E9A816-5F03-4CF1-8F36-91CBE2EE3005}" name="percent" displayName="percent" ref="N5:N26" totalsRowShown="0" headerRowDxfId="96" headerRowBorderDxfId="95" tableBorderDxfId="94" totalsRowBorderDxfId="93">
  <autoFilter ref="N5:N26" xr:uid="{9FB675B1-B39A-47F0-B623-0528B492DAEE}"/>
  <tableColumns count="1">
    <tableColumn id="1" xr3:uid="{BBF3205E-DDF5-4B6C-A11C-6968D7B209CC}" name="Column1" dataDxfId="9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A67CC3F2-F786-40F1-BCE0-2CD71A3D9707}" name="adit1" displayName="adit1" ref="J5:J7" totalsRowShown="0" headerRowDxfId="91" headerRowBorderDxfId="90" tableBorderDxfId="89" totalsRowBorderDxfId="88">
  <autoFilter ref="J5:J7" xr:uid="{30081A1A-B4DD-4705-9512-559D23F86547}"/>
  <tableColumns count="1">
    <tableColumn id="1" xr3:uid="{3150AC57-47F5-496E-B390-1350626E0629}" name="location" dataDxfId="87"/>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2A5ABE3-0672-48C5-8B45-996DE534C830}" name="adit2" displayName="adit2" ref="I5:I9" totalsRowShown="0" headerRowDxfId="86" headerRowBorderDxfId="85" tableBorderDxfId="84" totalsRowBorderDxfId="83">
  <autoFilter ref="I5:I9" xr:uid="{1617C0B2-784A-4F09-AA04-34DB48784B66}"/>
  <tableColumns count="1">
    <tableColumn id="1" xr3:uid="{8127CC37-361B-4486-A523-2B3417489273}" name="location" dataDxfId="82"/>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3A503B1-4ECE-472E-8CDD-013FB50D5238}" name="tunneltype_SK" displayName="tunneltype_SK" ref="CK5:CK9" totalsRowShown="0" headerRowDxfId="81" dataDxfId="80">
  <autoFilter ref="CK5:CK9" xr:uid="{54B74E1C-D17C-408A-823E-5EA126E312F2}"/>
  <tableColumns count="1">
    <tableColumn id="1" xr3:uid="{2852157F-8535-4CFB-A5BC-91A757F0F3C7}" name="Type" dataDxfId="79"/>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491FE7-D305-491D-8F2F-2EF73F96A3CF}" name="distrib" displayName="distrib" ref="CQ5:CQ8" totalsRowShown="0" headerRowDxfId="78" dataDxfId="77">
  <autoFilter ref="CQ5:CQ8" xr:uid="{90A677C9-1E01-4D18-896C-BDDF0029E3FF}"/>
  <tableColumns count="1">
    <tableColumn id="1" xr3:uid="{7384FE9F-9050-489D-B104-F90FACEF0AEF}" name="Dist" dataDxfId="76"/>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026195B-34D3-494A-AD37-8CD00D04C831}" name="vekdrift" displayName="vekdrift" ref="AU5:AU7" totalsRowShown="0">
  <autoFilter ref="AU5:AU7" xr:uid="{E5587C19-DF19-4C57-A45F-757AFE0D0195}"/>
  <tableColumns count="1">
    <tableColumn id="1" xr3:uid="{1B84029F-755B-461A-AA99-81EC533B3525}" name="Type"/>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8FE7F78D-8506-4D96-A632-8F8A3764C8AB}" name="endrift" displayName="endrift" ref="AV5:AV7" totalsRowShown="0">
  <autoFilter ref="AV5:AV7" xr:uid="{2267764F-F450-4F95-A970-723D6ADB9D64}"/>
  <tableColumns count="1">
    <tableColumn id="1" xr3:uid="{0BFABF79-5C29-477B-862A-BC277B39DDD8}" name="Type"/>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259565D-7AE3-40EE-96E7-09AC1A2AF715}" name="beggedrift" displayName="beggedrift" ref="AW5:AW8" totalsRowShown="0">
  <autoFilter ref="AW5:AW8" xr:uid="{6CB9E43B-5027-4D3D-B7BA-0B3C97A37B0E}"/>
  <tableColumns count="1">
    <tableColumn id="1" xr3:uid="{8A4CAFF0-E4F3-4E22-88A3-ADC064A5CBD6}" name="typ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F05BB0D-C72E-4007-A2CB-67BFCD4B95D1}" name="outputs_stab" displayName="outputs_stab" ref="EU116:FO127" totalsRowShown="0" headerRowDxfId="2107" dataDxfId="2105" headerRowBorderDxfId="2106" tableBorderDxfId="2104" totalsRowBorderDxfId="2103">
  <autoFilter ref="EU116:FO127" xr:uid="{B87F7BA7-0350-4590-9994-482BCBC6B0CD}"/>
  <tableColumns count="21">
    <tableColumn id="1" xr3:uid="{956B38D1-3B71-4950-96F0-7A7CF81EFFAD}" name="Position" dataDxfId="2102"/>
    <tableColumn id="2" xr3:uid="{E906DF7B-36EA-4C37-B136-3FF3AC0D345A}" name="Name" dataDxfId="2101">
      <calculatedColumnFormula>ER117</calculatedColumnFormula>
    </tableColumn>
    <tableColumn id="3" xr3:uid="{8BE8DE44-2504-4E63-BD9D-2A5CE6973B39}" name="Manuell" dataDxfId="2100">
      <calculatedColumnFormula>IFERROR((EW73/EW$115),0)</calculatedColumnFormula>
    </tableColumn>
    <tableColumn id="4" xr3:uid="{611A3693-FC30-415F-B907-4FE3CAE60E6E}" name="lt4m" dataDxfId="2099">
      <calculatedColumnFormula>IFERROR((INDEX(inputs_stab[lt4m],MATCH($EU117,inputs_stab[Position],0))/EX$115),0)</calculatedColumnFormula>
    </tableColumn>
    <tableColumn id="5" xr3:uid="{23B5AC86-C0C0-47C8-A0B8-CCE97D9A735F}" name="gt4m" dataDxfId="2098">
      <calculatedColumnFormula>IFERROR((INDEX(inputs_stab[gt4m],MATCH($EU117,inputs_stab[Position],0))/EY$115),0)</calculatedColumnFormula>
    </tableColumn>
    <tableColumn id="6" xr3:uid="{58B72B12-2448-485C-B12E-8AA37127D2D2}" name="band" dataDxfId="2097">
      <calculatedColumnFormula>IFERROR((INDEX(inputs_stab[band],MATCH($EU117,inputs_stab[Position],0))/EZ$115),0)</calculatedColumnFormula>
    </tableColumn>
    <tableColumn id="7" xr3:uid="{9D7ED334-E71B-47A1-8946-C2181FD5F092}" name="net" dataDxfId="2096">
      <calculatedColumnFormula>IFERROR((INDEX(inputs_stab[net],MATCH($EU117,inputs_stab[Position],0))/FA$115),0)</calculatedColumnFormula>
    </tableColumn>
    <tableColumn id="8" xr3:uid="{EBE59D56-29FD-45AA-B34A-6B952A8DCDA7}" name="shotcrete" dataDxfId="2095">
      <calculatedColumnFormula>IFERROR((INDEX(inputs_stab[shotcrete],MATCH($EU117,inputs_stab[Position],0))/FB$115),0)</calculatedColumnFormula>
    </tableColumn>
    <tableColumn id="9" xr3:uid="{F25C874E-62BC-4B5A-924E-E0F4CFBBBE3F}" name="buer" dataDxfId="2094">
      <calculatedColumnFormula>IFERROR((INDEX(inputs_stab[buer],MATCH($EU117,inputs_stab[Position],0))/FC$115),0)</calculatedColumnFormula>
    </tableColumn>
    <tableColumn id="10" xr3:uid="{4CF6D3D4-3C6D-45F1-8C6B-43857CCD1109}" name="sik123" dataDxfId="2093">
      <calculatedColumnFormula>IFERROR((INDEX(inputs_stab[sik_samlet],MATCH($EU117,inputs_stab[Position],0))/FD$115),0)</calculatedColumnFormula>
    </tableColumn>
    <tableColumn id="11" xr3:uid="{92438926-4828-4EEF-AF8F-08625450CF52}" name="sik4" dataDxfId="2092">
      <calculatedColumnFormula>IFERROR((INDEX(inputs_stab[sik_unused],MATCH($EU117,inputs_stab[Position],0))/FE$115),0)</calculatedColumnFormula>
    </tableColumn>
    <tableColumn id="12" xr3:uid="{5B717BDF-669D-4AC0-802E-E4649C1433F3}" name="total_man" dataDxfId="2091">
      <calculatedColumnFormula>outputs_stab[[#This Row],[Manuell]]+outputs_stab[[#This Row],[kartlegging]]</calculatedColumnFormula>
    </tableColumn>
    <tableColumn id="13" xr3:uid="{2E8A9438-ECFF-4971-8E93-E24D48B0C5EA}" name="total_bolt" dataDxfId="2090">
      <calculatedColumnFormula>outputs_stab[[#This Row],[lt4m]]+outputs_stab[[#This Row],[gt4m]]</calculatedColumnFormula>
    </tableColumn>
    <tableColumn id="14" xr3:uid="{D0A3DB0A-E2AA-491F-915A-FA948BA7D0A0}" name="total_band" dataDxfId="2089">
      <calculatedColumnFormula>outputs_stab[[#This Row],[band]]+outputs_stab[[#This Row],[net]]+outputs_stab[[#This Row],[festebolter]]</calculatedColumnFormula>
    </tableColumn>
    <tableColumn id="15" xr3:uid="{EDB04C49-3D51-4016-95D2-00BFDE4ADA77}" name="total_shot" dataDxfId="2088">
      <calculatedColumnFormula>outputs_stab[[#This Row],[shotcrete]]</calculatedColumnFormula>
    </tableColumn>
    <tableColumn id="16" xr3:uid="{1AF9A522-B9F1-4356-9D49-C878E63DC95F}" name="total_buer" dataDxfId="2087">
      <calculatedColumnFormula>outputs_stab[[#This Row],[buer]]</calculatedColumnFormula>
    </tableColumn>
    <tableColumn id="17" xr3:uid="{E5BA63E9-0E10-4D5E-9B8A-7C795784968B}" name="total_sik" dataDxfId="2086">
      <calculatedColumnFormula>outputs_stab[[#This Row],[sik123]]+outputs_stab[[#This Row],[sik4]]</calculatedColumnFormula>
    </tableColumn>
    <tableColumn id="18" xr3:uid="{D85DC9AB-0F83-426B-BE4E-2593A208136E}" name="total_total" dataDxfId="2085">
      <calculatedColumnFormula>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calculatedColumnFormula>
    </tableColumn>
    <tableColumn id="19" xr3:uid="{4D5EB18D-E5A6-4A3A-9982-B1AA223FC8C7}" name="total_tid_uke" dataDxfId="2084">
      <calculatedColumnFormula>outputs_stab[[#This Row],[total_total]]/$AI$80</calculatedColumnFormula>
    </tableColumn>
    <tableColumn id="20" xr3:uid="{02AAE58D-B512-4511-8B0D-49708E34C1E4}" name="kartlegging" dataDxfId="2083">
      <calculatedColumnFormula>IFERROR((FF73/FN$115),0)</calculatedColumnFormula>
    </tableColumn>
    <tableColumn id="22" xr3:uid="{909626D9-F516-4177-9DF9-AF222F98DD21}" name="festebolter" dataDxfId="2082">
      <calculatedColumnFormula>IFERROR((FG73/FO$115),0)</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EBC5ABC-7F56-4A22-812E-0FDDF6605022}" name="nolane" displayName="nolane" ref="L5:L8" totalsRowShown="0" headerRowDxfId="75" headerRowBorderDxfId="74" tableBorderDxfId="73" totalsRowBorderDxfId="72">
  <autoFilter ref="L5:L8" xr:uid="{3D74551A-B554-4ABC-B230-C0E08CD8BA38}"/>
  <tableColumns count="1">
    <tableColumn id="1" xr3:uid="{C9419B68-C53B-4585-A760-5F872485AEBF}" name="no" dataDxfId="71"/>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E12862CF-61F2-4653-8FD3-77945D458568}" name="tverr_conn_12b" displayName="tverr_conn_12b" ref="U5:U7" totalsRowShown="0" headerRowDxfId="70">
  <autoFilter ref="U5:U7" xr:uid="{01B0B5DF-F0DC-46E2-8E75-88EB738B7F62}"/>
  <tableColumns count="1">
    <tableColumn id="1" xr3:uid="{FFC1A02D-9435-4CB6-87DD-E3E5F3240752}" name="stuff" dataDxfId="69">
      <calculatedColumnFormula>Tunneldrift!AO136</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7E723A81-E08F-4977-83AB-8864AAB0CDCD}" name="tverr_conn_12c" displayName="tverr_conn_12c" ref="V5:V7" totalsRowShown="0">
  <autoFilter ref="V5:V7" xr:uid="{A92DDFAE-C16B-4784-867B-C9148DD0161F}"/>
  <tableColumns count="1">
    <tableColumn id="1" xr3:uid="{7FAAD3A9-6B26-431A-A6CB-EEECC3B742C0}" name="stuff">
      <calculatedColumnFormula>Tunneldrift!$AD$137</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9BB0CE9-1D7C-48FC-B9DE-88506E2F8FD4}" name="tverr_conn_13a" displayName="tverr_conn_13a" ref="W5:W7" totalsRowShown="0">
  <autoFilter ref="W5:W7" xr:uid="{ACAC4B4D-8C5F-4BC1-8710-CAA734C2991A}"/>
  <tableColumns count="1">
    <tableColumn id="1" xr3:uid="{8359F3A3-E739-42C0-9512-C543297CDD30}" name="stuff">
      <calculatedColumnFormula>Tunneldrift!AO136</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B943E5A-3C0B-4366-89D9-516B3BCA9ACA}" name="tverr_conn_13b" displayName="tverr_conn_13b" ref="X5:X7" totalsRowShown="0">
  <autoFilter ref="X5:X7" xr:uid="{EFAACDEF-BE6F-41F5-9E0E-BB943B0EC3E1}"/>
  <tableColumns count="1">
    <tableColumn id="1" xr3:uid="{98C35F44-8F5D-4EA3-96E7-5D6D47ABE1D3}" name="stuff">
      <calculatedColumnFormula>Tunneldrift!AO136</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9BE6CDC-8160-48F7-AAF4-C602C68B2506}" name="tverr_conn_14a" displayName="tverr_conn_14a" ref="Y5:Y8" totalsRowShown="0">
  <autoFilter ref="Y5:Y8" xr:uid="{64077CED-73AB-4BCF-9E88-4E925EE5C775}"/>
  <tableColumns count="1">
    <tableColumn id="1" xr3:uid="{A63DAAE7-F584-4A57-AA24-7AC7270B9128}" name="stuff"/>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9F22AEE-2520-4743-A27F-2C4F627275E1}" name="tverr_conn_24b" displayName="tverr_conn_24b" ref="Z5:Z8" totalsRowShown="0">
  <autoFilter ref="Z5:Z8" xr:uid="{B8B1EFAD-C0DA-45F2-B1C2-B001BAEEF8E2}"/>
  <tableColumns count="1">
    <tableColumn id="1" xr3:uid="{A03A23EF-A92E-41B5-A8D0-E6779BA0B5F6}" name="stuff"/>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5F20637-A640-417B-B939-E0191CEA5966}" name="tverr_conn_24c" displayName="tverr_conn_24c" ref="AA5:AA8" totalsRowShown="0">
  <autoFilter ref="AA5:AA8" xr:uid="{318F1E64-A5D7-41C2-89F4-101756096CCB}"/>
  <tableColumns count="1">
    <tableColumn id="1" xr3:uid="{89BD2DFD-B158-4F6F-B773-F38CD64BA249}" name="stuff"/>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E845830-7DA4-40C3-B937-E9D8105DCB6E}" name="tverr_conn_26a" displayName="tverr_conn_26a" ref="AB5:AB8" totalsRowShown="0">
  <autoFilter ref="AB5:AB8" xr:uid="{DD7E0E65-501E-4D77-868B-10AC6E0A1D4B}"/>
  <tableColumns count="1">
    <tableColumn id="1" xr3:uid="{014C7290-A1BF-41C3-AA04-C408A258CF98}" name="stuff"/>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F1502D3-1563-48C1-AE44-C283BB267503}" name="tverr_conn_26b" displayName="tverr_conn_26b" ref="AC5:AC8" totalsRowShown="0">
  <autoFilter ref="AC5:AC8" xr:uid="{5A721AFE-AA80-4697-BCE9-068D6D14EE03}"/>
  <tableColumns count="1">
    <tableColumn id="1" xr3:uid="{F5328F41-6EB6-4423-97CD-0C020B440E7C}" name="stuff"/>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41" Type="http://schemas.microsoft.com/office/2019/04/relationships/namedSheetView" Target="../namedSheetViews/namedSheetView1.xml"/><Relationship Id="rId1" Type="http://schemas.openxmlformats.org/officeDocument/2006/relationships/printerSettings" Target="../printerSettings/printerSettings19.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table" Target="../tables/table40.xml"/><Relationship Id="rId16" Type="http://schemas.openxmlformats.org/officeDocument/2006/relationships/table" Target="../tables/table54.xml"/><Relationship Id="rId1" Type="http://schemas.openxmlformats.org/officeDocument/2006/relationships/printerSettings" Target="../printerSettings/printerSettings20.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table" Target="../tables/table67.xml"/><Relationship Id="rId18" Type="http://schemas.openxmlformats.org/officeDocument/2006/relationships/table" Target="../tables/table72.xml"/><Relationship Id="rId26" Type="http://schemas.openxmlformats.org/officeDocument/2006/relationships/table" Target="../tables/table80.xml"/><Relationship Id="rId39" Type="http://schemas.openxmlformats.org/officeDocument/2006/relationships/table" Target="../tables/table93.xml"/><Relationship Id="rId21" Type="http://schemas.openxmlformats.org/officeDocument/2006/relationships/table" Target="../tables/table75.xml"/><Relationship Id="rId34" Type="http://schemas.openxmlformats.org/officeDocument/2006/relationships/table" Target="../tables/table88.xml"/><Relationship Id="rId42" Type="http://schemas.openxmlformats.org/officeDocument/2006/relationships/table" Target="../tables/table96.xml"/><Relationship Id="rId47" Type="http://schemas.openxmlformats.org/officeDocument/2006/relationships/table" Target="../tables/table101.xml"/><Relationship Id="rId50" Type="http://schemas.openxmlformats.org/officeDocument/2006/relationships/table" Target="../tables/table104.xml"/><Relationship Id="rId55" Type="http://schemas.openxmlformats.org/officeDocument/2006/relationships/table" Target="../tables/table109.xml"/><Relationship Id="rId63" Type="http://schemas.openxmlformats.org/officeDocument/2006/relationships/table" Target="../tables/table117.xml"/><Relationship Id="rId68" Type="http://schemas.openxmlformats.org/officeDocument/2006/relationships/table" Target="../tables/table122.xml"/><Relationship Id="rId7" Type="http://schemas.openxmlformats.org/officeDocument/2006/relationships/table" Target="../tables/table61.xml"/><Relationship Id="rId2" Type="http://schemas.openxmlformats.org/officeDocument/2006/relationships/table" Target="../tables/table56.xml"/><Relationship Id="rId16" Type="http://schemas.openxmlformats.org/officeDocument/2006/relationships/table" Target="../tables/table70.xml"/><Relationship Id="rId29" Type="http://schemas.openxmlformats.org/officeDocument/2006/relationships/table" Target="../tables/table83.xml"/><Relationship Id="rId1" Type="http://schemas.openxmlformats.org/officeDocument/2006/relationships/printerSettings" Target="../printerSettings/printerSettings23.bin"/><Relationship Id="rId6" Type="http://schemas.openxmlformats.org/officeDocument/2006/relationships/table" Target="../tables/table60.xml"/><Relationship Id="rId11" Type="http://schemas.openxmlformats.org/officeDocument/2006/relationships/table" Target="../tables/table65.xml"/><Relationship Id="rId24" Type="http://schemas.openxmlformats.org/officeDocument/2006/relationships/table" Target="../tables/table78.xml"/><Relationship Id="rId32" Type="http://schemas.openxmlformats.org/officeDocument/2006/relationships/table" Target="../tables/table86.xml"/><Relationship Id="rId37" Type="http://schemas.openxmlformats.org/officeDocument/2006/relationships/table" Target="../tables/table91.xml"/><Relationship Id="rId40" Type="http://schemas.openxmlformats.org/officeDocument/2006/relationships/table" Target="../tables/table94.xml"/><Relationship Id="rId45" Type="http://schemas.openxmlformats.org/officeDocument/2006/relationships/table" Target="../tables/table99.xml"/><Relationship Id="rId53" Type="http://schemas.openxmlformats.org/officeDocument/2006/relationships/table" Target="../tables/table107.xml"/><Relationship Id="rId58" Type="http://schemas.openxmlformats.org/officeDocument/2006/relationships/table" Target="../tables/table112.xml"/><Relationship Id="rId66" Type="http://schemas.openxmlformats.org/officeDocument/2006/relationships/table" Target="../tables/table120.xml"/><Relationship Id="rId5" Type="http://schemas.openxmlformats.org/officeDocument/2006/relationships/table" Target="../tables/table59.xml"/><Relationship Id="rId15" Type="http://schemas.openxmlformats.org/officeDocument/2006/relationships/table" Target="../tables/table69.xml"/><Relationship Id="rId23" Type="http://schemas.openxmlformats.org/officeDocument/2006/relationships/table" Target="../tables/table77.xml"/><Relationship Id="rId28" Type="http://schemas.openxmlformats.org/officeDocument/2006/relationships/table" Target="../tables/table82.xml"/><Relationship Id="rId36" Type="http://schemas.openxmlformats.org/officeDocument/2006/relationships/table" Target="../tables/table90.xml"/><Relationship Id="rId49" Type="http://schemas.openxmlformats.org/officeDocument/2006/relationships/table" Target="../tables/table103.xml"/><Relationship Id="rId57" Type="http://schemas.openxmlformats.org/officeDocument/2006/relationships/table" Target="../tables/table111.xml"/><Relationship Id="rId61" Type="http://schemas.openxmlformats.org/officeDocument/2006/relationships/table" Target="../tables/table115.xml"/><Relationship Id="rId10" Type="http://schemas.openxmlformats.org/officeDocument/2006/relationships/table" Target="../tables/table64.xml"/><Relationship Id="rId19" Type="http://schemas.openxmlformats.org/officeDocument/2006/relationships/table" Target="../tables/table73.xml"/><Relationship Id="rId31" Type="http://schemas.openxmlformats.org/officeDocument/2006/relationships/table" Target="../tables/table85.xml"/><Relationship Id="rId44" Type="http://schemas.openxmlformats.org/officeDocument/2006/relationships/table" Target="../tables/table98.xml"/><Relationship Id="rId52" Type="http://schemas.openxmlformats.org/officeDocument/2006/relationships/table" Target="../tables/table106.xml"/><Relationship Id="rId60" Type="http://schemas.openxmlformats.org/officeDocument/2006/relationships/table" Target="../tables/table114.xml"/><Relationship Id="rId65" Type="http://schemas.openxmlformats.org/officeDocument/2006/relationships/table" Target="../tables/table119.xml"/><Relationship Id="rId4" Type="http://schemas.openxmlformats.org/officeDocument/2006/relationships/table" Target="../tables/table58.xml"/><Relationship Id="rId9" Type="http://schemas.openxmlformats.org/officeDocument/2006/relationships/table" Target="../tables/table63.xml"/><Relationship Id="rId14" Type="http://schemas.openxmlformats.org/officeDocument/2006/relationships/table" Target="../tables/table68.xml"/><Relationship Id="rId22" Type="http://schemas.openxmlformats.org/officeDocument/2006/relationships/table" Target="../tables/table76.xml"/><Relationship Id="rId27" Type="http://schemas.openxmlformats.org/officeDocument/2006/relationships/table" Target="../tables/table81.xml"/><Relationship Id="rId30" Type="http://schemas.openxmlformats.org/officeDocument/2006/relationships/table" Target="../tables/table84.xml"/><Relationship Id="rId35" Type="http://schemas.openxmlformats.org/officeDocument/2006/relationships/table" Target="../tables/table89.xml"/><Relationship Id="rId43" Type="http://schemas.openxmlformats.org/officeDocument/2006/relationships/table" Target="../tables/table97.xml"/><Relationship Id="rId48" Type="http://schemas.openxmlformats.org/officeDocument/2006/relationships/table" Target="../tables/table102.xml"/><Relationship Id="rId56" Type="http://schemas.openxmlformats.org/officeDocument/2006/relationships/table" Target="../tables/table110.xml"/><Relationship Id="rId64" Type="http://schemas.openxmlformats.org/officeDocument/2006/relationships/table" Target="../tables/table118.xml"/><Relationship Id="rId69" Type="http://schemas.openxmlformats.org/officeDocument/2006/relationships/table" Target="../tables/table123.xml"/><Relationship Id="rId8" Type="http://schemas.openxmlformats.org/officeDocument/2006/relationships/table" Target="../tables/table62.xml"/><Relationship Id="rId51" Type="http://schemas.openxmlformats.org/officeDocument/2006/relationships/table" Target="../tables/table105.xml"/><Relationship Id="rId3" Type="http://schemas.openxmlformats.org/officeDocument/2006/relationships/table" Target="../tables/table57.xml"/><Relationship Id="rId12" Type="http://schemas.openxmlformats.org/officeDocument/2006/relationships/table" Target="../tables/table66.xml"/><Relationship Id="rId17" Type="http://schemas.openxmlformats.org/officeDocument/2006/relationships/table" Target="../tables/table71.xml"/><Relationship Id="rId25" Type="http://schemas.openxmlformats.org/officeDocument/2006/relationships/table" Target="../tables/table79.xml"/><Relationship Id="rId33" Type="http://schemas.openxmlformats.org/officeDocument/2006/relationships/table" Target="../tables/table87.xml"/><Relationship Id="rId38" Type="http://schemas.openxmlformats.org/officeDocument/2006/relationships/table" Target="../tables/table92.xml"/><Relationship Id="rId46" Type="http://schemas.openxmlformats.org/officeDocument/2006/relationships/table" Target="../tables/table100.xml"/><Relationship Id="rId59" Type="http://schemas.openxmlformats.org/officeDocument/2006/relationships/table" Target="../tables/table113.xml"/><Relationship Id="rId67" Type="http://schemas.openxmlformats.org/officeDocument/2006/relationships/table" Target="../tables/table121.xml"/><Relationship Id="rId20" Type="http://schemas.openxmlformats.org/officeDocument/2006/relationships/table" Target="../tables/table74.xml"/><Relationship Id="rId41" Type="http://schemas.openxmlformats.org/officeDocument/2006/relationships/table" Target="../tables/table95.xml"/><Relationship Id="rId54" Type="http://schemas.openxmlformats.org/officeDocument/2006/relationships/table" Target="../tables/table108.xml"/><Relationship Id="rId62" Type="http://schemas.openxmlformats.org/officeDocument/2006/relationships/table" Target="../tables/table1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B48FB-1701-4FD9-9DAD-DAA100B81BBC}">
  <sheetPr codeName="Sheet2">
    <pageSetUpPr fitToPage="1"/>
  </sheetPr>
  <dimension ref="A1:AE59"/>
  <sheetViews>
    <sheetView showGridLines="0" showRowColHeaders="0" tabSelected="1" zoomScale="130" zoomScaleNormal="130" workbookViewId="0"/>
  </sheetViews>
  <sheetFormatPr defaultColWidth="0" defaultRowHeight="14.25" zeroHeight="1" x14ac:dyDescent="0.2"/>
  <cols>
    <col min="1" max="31" width="9" style="2076" customWidth="1"/>
    <col min="32" max="16384" width="9" style="2076" hidden="1"/>
  </cols>
  <sheetData>
    <row r="1" spans="2:13" x14ac:dyDescent="0.2"/>
    <row r="2" spans="2:13" x14ac:dyDescent="0.2"/>
    <row r="3" spans="2:13" x14ac:dyDescent="0.2"/>
    <row r="4" spans="2:13" x14ac:dyDescent="0.2"/>
    <row r="5" spans="2:13" x14ac:dyDescent="0.2"/>
    <row r="6" spans="2:13" x14ac:dyDescent="0.2"/>
    <row r="7" spans="2:13" ht="49.5" x14ac:dyDescent="0.2">
      <c r="B7" s="6006" t="s">
        <v>824</v>
      </c>
      <c r="C7" s="6006"/>
      <c r="D7" s="6006"/>
      <c r="E7" s="6006"/>
      <c r="F7" s="6006"/>
      <c r="G7" s="6006"/>
      <c r="H7" s="6006"/>
      <c r="I7" s="6006"/>
      <c r="J7" s="6006"/>
      <c r="K7" s="6006"/>
      <c r="L7" s="6006"/>
      <c r="M7" s="6006"/>
    </row>
    <row r="8" spans="2:13" ht="14.25" customHeight="1" x14ac:dyDescent="0.2">
      <c r="B8" s="5972"/>
      <c r="C8" s="5972"/>
      <c r="D8" s="5972"/>
      <c r="E8" s="5972"/>
      <c r="F8" s="5972"/>
      <c r="G8" s="5972"/>
      <c r="H8" s="5972"/>
      <c r="I8" s="5972"/>
      <c r="J8" s="5972"/>
      <c r="K8" s="5972"/>
      <c r="L8" s="5972"/>
      <c r="M8" s="5972"/>
    </row>
    <row r="9" spans="2:13" ht="30.75" x14ac:dyDescent="0.2">
      <c r="B9" s="6007" t="s">
        <v>2653</v>
      </c>
      <c r="C9" s="6007"/>
      <c r="D9" s="6007"/>
      <c r="E9" s="6007"/>
      <c r="F9" s="6007"/>
      <c r="G9" s="6007"/>
      <c r="H9" s="6007"/>
      <c r="I9" s="6007"/>
      <c r="J9" s="6007"/>
      <c r="K9" s="6007"/>
      <c r="L9" s="6007"/>
      <c r="M9" s="6007"/>
    </row>
    <row r="10" spans="2:13" x14ac:dyDescent="0.2">
      <c r="B10" s="2333"/>
      <c r="C10" s="2333"/>
      <c r="D10" s="2333"/>
      <c r="E10" s="2333"/>
      <c r="F10" s="2333"/>
      <c r="G10" s="2333"/>
      <c r="H10" s="2333"/>
      <c r="I10" s="2333"/>
      <c r="J10" s="2333"/>
      <c r="K10" s="2333"/>
      <c r="L10" s="2333"/>
      <c r="M10" s="2333"/>
    </row>
    <row r="11" spans="2:13" ht="19.5" x14ac:dyDescent="0.2">
      <c r="B11" s="2334" t="s">
        <v>823</v>
      </c>
      <c r="C11" s="2333"/>
      <c r="D11" s="2333"/>
      <c r="E11" s="2333"/>
      <c r="F11" s="2333"/>
      <c r="G11" s="2333"/>
      <c r="H11" s="2333"/>
      <c r="I11" s="2333"/>
      <c r="J11" s="2333"/>
      <c r="K11" s="2333"/>
      <c r="L11" s="2333"/>
      <c r="M11" s="2333"/>
    </row>
    <row r="12" spans="2:13" x14ac:dyDescent="0.2"/>
    <row r="13" spans="2:13" x14ac:dyDescent="0.2"/>
    <row r="14" spans="2:13" x14ac:dyDescent="0.2"/>
    <row r="15" spans="2:13" x14ac:dyDescent="0.2"/>
    <row r="16" spans="2:13" x14ac:dyDescent="0.2"/>
    <row r="17" s="2076" customFormat="1" x14ac:dyDescent="0.2"/>
    <row r="18" s="2076" customFormat="1" x14ac:dyDescent="0.2"/>
    <row r="19" s="2076" customFormat="1" x14ac:dyDescent="0.2"/>
    <row r="20" s="2076" customFormat="1" x14ac:dyDescent="0.2"/>
    <row r="21" s="2076" customFormat="1" x14ac:dyDescent="0.2"/>
    <row r="22" s="2076" customFormat="1" x14ac:dyDescent="0.2"/>
    <row r="23" s="2076" customFormat="1" x14ac:dyDescent="0.2"/>
    <row r="24" s="2076" customFormat="1" x14ac:dyDescent="0.2"/>
    <row r="25" s="2076" customFormat="1" x14ac:dyDescent="0.2"/>
    <row r="26" s="2076" customFormat="1" x14ac:dyDescent="0.2"/>
    <row r="27" s="2076" customFormat="1" x14ac:dyDescent="0.2"/>
    <row r="28" s="2076" customFormat="1" x14ac:dyDescent="0.2"/>
    <row r="29" s="2076" customFormat="1" x14ac:dyDescent="0.2"/>
    <row r="30" s="2076" customFormat="1" x14ac:dyDescent="0.2"/>
    <row r="31" s="2076" customFormat="1" x14ac:dyDescent="0.2"/>
    <row r="32" s="2076" customFormat="1" x14ac:dyDescent="0.2"/>
    <row r="33" spans="2:13" ht="18" x14ac:dyDescent="0.25">
      <c r="B33" s="6276" t="s">
        <v>2789</v>
      </c>
    </row>
    <row r="34" spans="2:13" x14ac:dyDescent="0.2">
      <c r="B34" s="6005" t="s">
        <v>830</v>
      </c>
      <c r="C34" s="6005" t="s">
        <v>2731</v>
      </c>
      <c r="D34" s="6005"/>
      <c r="E34" s="6005"/>
    </row>
    <row r="35" spans="2:13" ht="15" customHeight="1" x14ac:dyDescent="0.2">
      <c r="B35" s="6005"/>
      <c r="C35" s="6005"/>
      <c r="D35" s="6005"/>
      <c r="E35" s="6005"/>
    </row>
    <row r="36" spans="2:13" ht="18" x14ac:dyDescent="0.25">
      <c r="C36" s="6277"/>
      <c r="D36" s="6277"/>
      <c r="E36" s="6277"/>
      <c r="F36" s="6277"/>
      <c r="G36" s="6277"/>
    </row>
    <row r="37" spans="2:13" ht="14.25" customHeight="1" x14ac:dyDescent="0.2"/>
    <row r="38" spans="2:13" x14ac:dyDescent="0.2"/>
    <row r="39" spans="2:13" x14ac:dyDescent="0.2"/>
    <row r="40" spans="2:13" x14ac:dyDescent="0.2"/>
    <row r="41" spans="2:13" x14ac:dyDescent="0.2"/>
    <row r="42" spans="2:13" x14ac:dyDescent="0.2"/>
    <row r="43" spans="2:13" x14ac:dyDescent="0.2"/>
    <row r="44" spans="2:13" x14ac:dyDescent="0.2"/>
    <row r="45" spans="2:13" x14ac:dyDescent="0.2"/>
    <row r="46" spans="2:13" x14ac:dyDescent="0.2"/>
    <row r="47" spans="2:13" x14ac:dyDescent="0.2"/>
    <row r="48" spans="2:13" ht="49.5" hidden="1" x14ac:dyDescent="0.65">
      <c r="B48" s="6321"/>
      <c r="C48" s="6321"/>
      <c r="D48" s="6321"/>
      <c r="E48" s="6321"/>
      <c r="F48" s="6321"/>
      <c r="G48" s="6321"/>
      <c r="H48" s="6321"/>
      <c r="I48" s="6321"/>
      <c r="J48" s="6321"/>
      <c r="K48" s="6321"/>
      <c r="L48" s="6321"/>
      <c r="M48" s="6321"/>
    </row>
    <row r="49" spans="2:31" x14ac:dyDescent="0.2"/>
    <row r="50" spans="2:31" ht="30.75" hidden="1" x14ac:dyDescent="0.4">
      <c r="B50" s="6322"/>
      <c r="C50" s="6322"/>
      <c r="D50" s="6322"/>
      <c r="E50" s="6322"/>
      <c r="F50" s="6322"/>
      <c r="G50" s="6322"/>
      <c r="H50" s="6322"/>
      <c r="I50" s="6322"/>
      <c r="J50" s="6322"/>
      <c r="K50" s="6322"/>
      <c r="L50" s="6322"/>
      <c r="M50" s="6322"/>
    </row>
    <row r="51" spans="2:31" x14ac:dyDescent="0.2"/>
    <row r="52" spans="2:31" x14ac:dyDescent="0.2"/>
    <row r="53" spans="2:31" x14ac:dyDescent="0.2"/>
    <row r="54" spans="2:31" x14ac:dyDescent="0.2"/>
    <row r="55" spans="2:31" x14ac:dyDescent="0.2"/>
    <row r="56" spans="2:31" x14ac:dyDescent="0.2"/>
    <row r="57" spans="2:31" ht="5.0999999999999996" customHeight="1" x14ac:dyDescent="0.2">
      <c r="AE57" s="6319" t="s">
        <v>2791</v>
      </c>
    </row>
    <row r="58" spans="2:31" ht="14.1" customHeight="1" x14ac:dyDescent="0.2">
      <c r="AD58" s="3908" t="s">
        <v>2735</v>
      </c>
    </row>
    <row r="59" spans="2:31" ht="14.45" customHeight="1" x14ac:dyDescent="0.2">
      <c r="AE59" s="6318"/>
    </row>
  </sheetData>
  <sheetProtection algorithmName="SHA-512" hashValue="ywMYHVtOkps0RwoEMq6U/JEqcAVq67XgsAZnE1stCRGeUJlVIf6txujdt5eCkaWBdtMYDW0ic5kfomNcm9+u3w==" saltValue="/URB5sCLeNjR3sbY+bhRrg==" spinCount="100000" sheet="1" objects="1" scenarios="1"/>
  <mergeCells count="2">
    <mergeCell ref="B48:M48"/>
    <mergeCell ref="B50:M50"/>
  </mergeCells>
  <dataValidations disablePrompts="1" count="1">
    <dataValidation type="list" allowBlank="1" showInputMessage="1" showErrorMessage="1" sqref="AD58" xr:uid="{B4630C99-4077-4CF3-BF0E-101F7531D0E2}">
      <formula1>INDIRECT("ModelVersion")</formula1>
    </dataValidation>
  </dataValidations>
  <pageMargins left="0.25" right="0.25" top="0.75" bottom="0.75" header="0.3" footer="0.3"/>
  <pageSetup paperSize="9" scale="4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B875A-06AD-49E3-B290-5D6D1C55035C}">
  <sheetPr codeName="Sheet12">
    <tabColor rgb="FFFFE1E1"/>
    <pageSetUpPr fitToPage="1"/>
  </sheetPr>
  <dimension ref="A1:FX100"/>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12.625" style="70" customWidth="1"/>
    <col min="7" max="9" width="4.625" style="70" customWidth="1"/>
    <col min="10" max="10" width="4.875" style="70" customWidth="1"/>
    <col min="11" max="11" width="0.875" style="114" hidden="1" customWidth="1"/>
    <col min="12" max="12" width="4.625" style="70" hidden="1" customWidth="1"/>
    <col min="13" max="13" width="2.625" style="115" customWidth="1"/>
    <col min="14" max="14" width="3.625" style="115" customWidth="1"/>
    <col min="15" max="15" width="2.625" style="70" customWidth="1"/>
    <col min="16" max="16" width="10.375" style="70" bestFit="1" customWidth="1"/>
    <col min="17" max="17" width="2.625" style="70" hidden="1" customWidth="1"/>
    <col min="18" max="18" width="9.625" style="70" hidden="1" customWidth="1"/>
    <col min="19" max="21" width="2.625" style="70" customWidth="1"/>
    <col min="22" max="22" width="8.625" style="115" customWidth="1"/>
    <col min="23" max="23" width="2.625" style="70" customWidth="1"/>
    <col min="24" max="26" width="5.625" style="70" customWidth="1"/>
    <col min="27" max="27" width="1.625" style="70" customWidth="1"/>
    <col min="28" max="29" width="1.625" style="115" customWidth="1"/>
    <col min="30" max="30" width="2.125" style="115" customWidth="1"/>
    <col min="31" max="31" width="1.625" style="115" customWidth="1"/>
    <col min="32" max="32" width="3.625" style="70" customWidth="1"/>
    <col min="33" max="34" width="1.625" style="70" customWidth="1"/>
    <col min="35" max="35" width="16.625" style="114" customWidth="1"/>
    <col min="36" max="36" width="1.625" style="70" customWidth="1"/>
    <col min="37" max="37" width="2.625" style="70" customWidth="1"/>
    <col min="38" max="39" width="0.875" style="70" customWidth="1"/>
    <col min="40" max="40" width="3.625" style="70" customWidth="1"/>
    <col min="41" max="42" width="1.625" style="70" customWidth="1"/>
    <col min="43" max="43" width="16.625" style="114" customWidth="1"/>
    <col min="44" max="44" width="1.625" style="70" customWidth="1"/>
    <col min="45" max="45" width="2.625" style="70" customWidth="1"/>
    <col min="46" max="47" width="0.875" style="70" customWidth="1"/>
    <col min="48" max="48" width="3.625" style="70" customWidth="1"/>
    <col min="49" max="50" width="1.625" style="70" customWidth="1"/>
    <col min="51" max="51" width="16.625" style="114" customWidth="1"/>
    <col min="52" max="52" width="1.625" style="70" customWidth="1"/>
    <col min="53" max="53" width="2.625" style="70" customWidth="1"/>
    <col min="54" max="55" width="0.875" style="70" customWidth="1"/>
    <col min="56" max="56" width="3.625" style="70" customWidth="1"/>
    <col min="57" max="58" width="1.625" style="70" customWidth="1"/>
    <col min="59" max="59" width="16.625" style="114" customWidth="1"/>
    <col min="60" max="60" width="1.625" style="70" customWidth="1"/>
    <col min="61" max="61" width="2.625" style="70" customWidth="1"/>
    <col min="62" max="63" width="0.875" style="70" customWidth="1"/>
    <col min="64" max="64" width="3.625" style="70" customWidth="1"/>
    <col min="65" max="66" width="1.625" style="70" customWidth="1"/>
    <col min="67" max="67" width="16.625" style="114" customWidth="1"/>
    <col min="68" max="68" width="1.625" style="70" customWidth="1"/>
    <col min="69" max="69" width="2.625" style="70" customWidth="1"/>
    <col min="70" max="71" width="0.875" style="70" customWidth="1"/>
    <col min="72" max="72" width="3.625" style="70" customWidth="1"/>
    <col min="73" max="74" width="1.625" style="70" customWidth="1"/>
    <col min="75" max="75" width="16.625" style="114" customWidth="1"/>
    <col min="76" max="76" width="1.625" style="70" customWidth="1"/>
    <col min="77" max="77" width="2.625" style="70" customWidth="1"/>
    <col min="78" max="79" width="0.875" style="70" customWidth="1"/>
    <col min="80" max="80" width="3.625" style="70" customWidth="1"/>
    <col min="81" max="82" width="1.625" style="70" customWidth="1"/>
    <col min="83" max="83" width="16.625" style="114" customWidth="1"/>
    <col min="84" max="84" width="1.625" style="70" customWidth="1"/>
    <col min="85" max="85" width="2.625" style="70" customWidth="1"/>
    <col min="86" max="87" width="0.875" style="70" customWidth="1"/>
    <col min="88" max="88" width="3.625" style="70" customWidth="1"/>
    <col min="89" max="90" width="1.625" style="70" customWidth="1"/>
    <col min="91" max="91" width="16.625" style="114" customWidth="1"/>
    <col min="92" max="92" width="1.625" style="70" customWidth="1"/>
    <col min="93" max="93" width="2.625" style="70" customWidth="1"/>
    <col min="94" max="95" width="0.875" style="70" customWidth="1"/>
    <col min="96" max="96" width="3.625" style="70" customWidth="1"/>
    <col min="97" max="98" width="1.625" style="70" customWidth="1"/>
    <col min="99" max="99" width="16.625" style="114" customWidth="1"/>
    <col min="100" max="100" width="1.625" style="70" customWidth="1"/>
    <col min="101" max="101" width="2.625" style="70" customWidth="1"/>
    <col min="102" max="103" width="0.875" style="70" customWidth="1"/>
    <col min="104" max="104" width="3.625" style="70" customWidth="1"/>
    <col min="105" max="105" width="1.625" style="70" customWidth="1"/>
    <col min="106" max="107" width="3.625" style="70" customWidth="1"/>
    <col min="108" max="16384" width="9" style="70" hidden="1"/>
  </cols>
  <sheetData>
    <row r="1" spans="1:180" s="136" customFormat="1" ht="50.1" customHeight="1" x14ac:dyDescent="0.2">
      <c r="A1" s="14"/>
      <c r="B1" s="14"/>
      <c r="C1" s="13"/>
      <c r="D1" s="13"/>
      <c r="E1" s="14"/>
      <c r="F1" s="21"/>
      <c r="G1" s="21"/>
      <c r="H1" s="21"/>
      <c r="I1" s="21"/>
      <c r="J1" s="21"/>
      <c r="K1" s="13"/>
      <c r="L1" s="13"/>
      <c r="M1" s="13"/>
      <c r="N1" s="50"/>
      <c r="O1" s="16"/>
      <c r="P1" s="137"/>
      <c r="Q1" s="215"/>
      <c r="R1" s="215"/>
      <c r="S1" s="16"/>
      <c r="T1" s="70"/>
      <c r="U1" s="16"/>
      <c r="V1" s="17"/>
      <c r="W1" s="16"/>
      <c r="X1" s="70"/>
      <c r="Y1" s="70"/>
      <c r="Z1" s="36"/>
      <c r="AA1" s="36"/>
      <c r="AB1" s="16"/>
      <c r="AC1" s="16"/>
      <c r="AD1" s="16"/>
      <c r="AE1" s="16"/>
      <c r="AF1" s="138"/>
      <c r="AG1" s="138"/>
      <c r="AH1" s="137"/>
      <c r="AI1" s="21"/>
      <c r="AJ1" s="36"/>
      <c r="AK1" s="16"/>
      <c r="AL1" s="16"/>
      <c r="AM1" s="138"/>
      <c r="AN1" s="138"/>
      <c r="AO1" s="137"/>
      <c r="AP1" s="21"/>
      <c r="AQ1" s="16"/>
      <c r="AR1" s="16"/>
      <c r="AS1" s="138"/>
      <c r="AT1" s="138"/>
      <c r="AU1" s="138"/>
      <c r="AV1" s="137"/>
      <c r="AW1" s="21"/>
      <c r="AX1" s="16"/>
      <c r="AY1" s="16"/>
      <c r="AZ1" s="138"/>
      <c r="BA1" s="138"/>
      <c r="BB1" s="137"/>
      <c r="BC1" s="137"/>
      <c r="BD1" s="21"/>
      <c r="BE1" s="16"/>
      <c r="BF1" s="16"/>
      <c r="BG1" s="36"/>
      <c r="BH1" s="16"/>
      <c r="BI1" s="137"/>
      <c r="BJ1" s="21"/>
      <c r="BK1" s="21"/>
      <c r="BL1" s="16"/>
      <c r="BM1" s="16"/>
      <c r="BN1" s="36"/>
      <c r="BO1" s="16"/>
      <c r="BP1" s="138"/>
      <c r="BQ1" s="21"/>
      <c r="BR1" s="16"/>
      <c r="BS1" s="16"/>
      <c r="BT1" s="16"/>
      <c r="BU1" s="36"/>
      <c r="BV1" s="16"/>
      <c r="BW1" s="138"/>
      <c r="BX1" s="138"/>
      <c r="BY1" s="16"/>
      <c r="BZ1" s="16"/>
      <c r="CA1" s="16"/>
      <c r="CB1" s="36"/>
      <c r="CC1" s="16"/>
      <c r="CD1" s="138"/>
      <c r="CE1" s="138"/>
      <c r="CF1" s="137"/>
      <c r="CG1" s="16"/>
      <c r="CH1" s="36"/>
      <c r="CI1" s="36"/>
      <c r="CJ1" s="16"/>
      <c r="CK1" s="138"/>
      <c r="CL1" s="138"/>
      <c r="CM1" s="137"/>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13"/>
      <c r="DX1" s="137"/>
      <c r="DY1" s="139" t="s">
        <v>155</v>
      </c>
      <c r="DZ1" s="140"/>
      <c r="EA1" s="3986"/>
      <c r="EB1" s="3986"/>
      <c r="EC1" s="3986"/>
    </row>
    <row r="2" spans="1:180" ht="12" customHeight="1" x14ac:dyDescent="0.2">
      <c r="C2" s="1170"/>
      <c r="E2" s="918"/>
      <c r="F2" s="1878"/>
      <c r="G2" s="1878"/>
      <c r="H2" s="1170"/>
      <c r="I2" s="1170"/>
      <c r="J2" s="1170"/>
      <c r="K2" s="923"/>
      <c r="L2" s="1879"/>
      <c r="M2" s="1878"/>
      <c r="N2" s="1878"/>
      <c r="O2" s="1873"/>
      <c r="P2" s="1873"/>
      <c r="Q2" s="1873"/>
      <c r="R2" s="1873"/>
      <c r="S2" s="1873"/>
      <c r="T2" s="1873"/>
      <c r="U2" s="1873"/>
      <c r="V2" s="921"/>
      <c r="W2" s="1873"/>
      <c r="AB2" s="70"/>
      <c r="AC2" s="70"/>
      <c r="AD2" s="70"/>
      <c r="AE2" s="70"/>
      <c r="AI2" s="70"/>
      <c r="AQ2" s="70"/>
      <c r="AY2" s="70"/>
      <c r="BG2" s="70"/>
      <c r="BO2" s="70"/>
      <c r="BW2" s="70"/>
      <c r="CE2" s="70"/>
      <c r="CM2" s="70"/>
      <c r="CU2" s="70"/>
    </row>
    <row r="3" spans="1:180" ht="5.0999999999999996" customHeight="1" x14ac:dyDescent="0.2">
      <c r="C3" s="13"/>
      <c r="E3" s="14"/>
      <c r="F3" s="21"/>
      <c r="G3" s="21"/>
      <c r="H3" s="13"/>
      <c r="I3" s="13"/>
      <c r="J3" s="13"/>
      <c r="K3" s="18"/>
      <c r="L3" s="22"/>
      <c r="M3" s="21"/>
      <c r="N3" s="21"/>
      <c r="O3" s="136"/>
      <c r="P3" s="136"/>
      <c r="Q3" s="136"/>
      <c r="R3" s="136"/>
      <c r="S3" s="136"/>
      <c r="T3" s="136"/>
      <c r="U3" s="136"/>
      <c r="V3" s="17"/>
      <c r="W3" s="136"/>
      <c r="AB3" s="70"/>
      <c r="AC3" s="70"/>
      <c r="AD3" s="70"/>
      <c r="AE3" s="70"/>
      <c r="AI3" s="70"/>
      <c r="AQ3" s="70"/>
      <c r="AY3" s="70"/>
      <c r="BG3" s="70"/>
      <c r="BO3" s="70"/>
      <c r="BW3" s="70"/>
      <c r="CE3" s="70"/>
      <c r="CM3" s="70"/>
      <c r="CU3" s="70"/>
    </row>
    <row r="4" spans="1:180" ht="5.0999999999999996" customHeight="1" x14ac:dyDescent="0.2">
      <c r="C4" s="1170"/>
      <c r="E4" s="918"/>
      <c r="F4" s="1878"/>
      <c r="G4" s="1878"/>
      <c r="H4" s="1170"/>
      <c r="I4" s="1170"/>
      <c r="J4" s="1170"/>
      <c r="K4" s="923"/>
      <c r="L4" s="1879"/>
      <c r="M4" s="1878"/>
      <c r="N4" s="1878"/>
      <c r="O4" s="1873"/>
      <c r="P4" s="1873"/>
      <c r="Q4" s="1873"/>
      <c r="R4" s="1873"/>
      <c r="S4" s="1873"/>
      <c r="T4" s="1873"/>
      <c r="U4" s="1873"/>
      <c r="V4" s="921"/>
      <c r="W4" s="1873"/>
      <c r="AB4" s="70"/>
      <c r="AC4" s="70"/>
      <c r="AD4" s="70"/>
      <c r="AE4" s="70"/>
      <c r="AI4" s="70"/>
      <c r="AQ4" s="70"/>
      <c r="AY4" s="70"/>
      <c r="BG4" s="70"/>
      <c r="BO4" s="70"/>
      <c r="BW4" s="70"/>
      <c r="CE4" s="70"/>
      <c r="CM4" s="70"/>
      <c r="CU4" s="70"/>
    </row>
    <row r="5" spans="1:180" s="21" customFormat="1" ht="30" customHeight="1" thickBot="1" x14ac:dyDescent="0.25">
      <c r="A5" s="14"/>
      <c r="B5" s="14"/>
      <c r="C5" s="13"/>
      <c r="D5" s="13"/>
      <c r="E5" s="14"/>
      <c r="K5" s="13"/>
      <c r="L5" s="13"/>
      <c r="M5" s="13"/>
      <c r="N5" s="50"/>
      <c r="O5" s="16"/>
      <c r="P5" s="50"/>
      <c r="Q5" s="115"/>
      <c r="R5" s="115"/>
      <c r="S5" s="16"/>
      <c r="T5" s="70"/>
      <c r="U5" s="16"/>
      <c r="V5" s="17"/>
      <c r="W5" s="16"/>
      <c r="X5" s="70"/>
      <c r="Y5" s="70"/>
      <c r="Z5" s="22"/>
      <c r="AA5" s="22"/>
      <c r="AB5" s="16"/>
      <c r="AC5" s="16"/>
      <c r="AD5" s="16"/>
      <c r="AE5" s="16"/>
      <c r="AF5" s="19"/>
      <c r="AG5" s="19"/>
      <c r="AH5" s="50"/>
      <c r="AJ5" s="22"/>
      <c r="AK5" s="16"/>
      <c r="AL5" s="16"/>
      <c r="AM5" s="19"/>
      <c r="AN5" s="19"/>
      <c r="AO5" s="50"/>
      <c r="AQ5" s="16"/>
      <c r="AR5" s="16"/>
      <c r="AS5" s="19"/>
      <c r="AT5" s="19"/>
      <c r="AU5" s="19"/>
      <c r="AV5" s="50"/>
      <c r="AX5" s="16"/>
      <c r="AY5" s="16"/>
      <c r="AZ5" s="19"/>
      <c r="BA5" s="19"/>
      <c r="BB5" s="50"/>
      <c r="BC5" s="50"/>
      <c r="BE5" s="16"/>
      <c r="BF5" s="16"/>
      <c r="BG5" s="22"/>
      <c r="BH5" s="16"/>
      <c r="BI5" s="50"/>
      <c r="BL5" s="16"/>
      <c r="BM5" s="16"/>
      <c r="BN5" s="22"/>
      <c r="BO5" s="16"/>
      <c r="BP5" s="19"/>
      <c r="BR5" s="16"/>
      <c r="BS5" s="16"/>
      <c r="BT5" s="16"/>
      <c r="BU5" s="22"/>
      <c r="BV5" s="16"/>
      <c r="BW5" s="19"/>
      <c r="BX5" s="19"/>
      <c r="BY5" s="16"/>
      <c r="BZ5" s="16"/>
      <c r="CA5" s="16"/>
      <c r="CB5" s="22"/>
      <c r="CC5" s="16"/>
      <c r="CD5" s="19"/>
      <c r="CE5" s="19"/>
      <c r="CF5" s="50"/>
      <c r="CG5" s="16"/>
      <c r="CH5" s="22"/>
      <c r="CI5" s="22"/>
      <c r="CJ5" s="16"/>
      <c r="CK5" s="19"/>
      <c r="CL5" s="19"/>
      <c r="CM5" s="50"/>
      <c r="DW5" s="13"/>
      <c r="DX5" s="50"/>
      <c r="DY5" s="90"/>
      <c r="DZ5" s="13"/>
    </row>
    <row r="6" spans="1:180" s="21" customFormat="1" ht="15" customHeight="1" thickBot="1" x14ac:dyDescent="0.25">
      <c r="A6" s="14"/>
      <c r="B6" s="14"/>
      <c r="C6" s="1107"/>
      <c r="D6" s="13"/>
      <c r="E6" s="681"/>
      <c r="F6" s="626"/>
      <c r="G6" s="626"/>
      <c r="H6" s="626"/>
      <c r="I6" s="626"/>
      <c r="J6" s="626"/>
      <c r="K6" s="626"/>
      <c r="L6" s="626"/>
      <c r="M6" s="626"/>
      <c r="N6" s="626"/>
      <c r="O6" s="626"/>
      <c r="P6" s="626"/>
      <c r="Q6" s="626"/>
      <c r="R6" s="1988"/>
      <c r="S6" s="1988"/>
      <c r="T6" s="1988"/>
      <c r="U6" s="1988"/>
      <c r="V6" s="1988"/>
      <c r="W6" s="682"/>
      <c r="X6" s="70"/>
      <c r="Y6" s="70"/>
      <c r="Z6" s="136"/>
      <c r="AA6" s="136"/>
      <c r="AB6" s="78"/>
      <c r="AC6" s="78"/>
      <c r="AD6" s="78"/>
      <c r="AE6" s="78"/>
      <c r="AF6" s="17"/>
      <c r="AG6" s="17"/>
      <c r="AH6" s="78"/>
      <c r="AI6" s="78"/>
      <c r="AJ6" s="78"/>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8"/>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row>
    <row r="7" spans="1:180" s="21" customFormat="1" ht="8.1" customHeight="1" thickBot="1" x14ac:dyDescent="0.25">
      <c r="A7" s="14"/>
      <c r="B7" s="14"/>
      <c r="C7" s="13"/>
      <c r="D7" s="13"/>
      <c r="E7" s="14"/>
      <c r="J7" s="13"/>
      <c r="K7" s="50"/>
      <c r="L7" s="15"/>
      <c r="M7" s="50"/>
      <c r="N7" s="50"/>
      <c r="O7" s="137"/>
      <c r="P7" s="137"/>
      <c r="Q7" s="137"/>
      <c r="R7" s="1185"/>
      <c r="S7" s="1185"/>
      <c r="T7" s="1185"/>
      <c r="U7" s="1185"/>
      <c r="V7" s="1185"/>
      <c r="W7" s="137"/>
      <c r="X7" s="70"/>
      <c r="Y7" s="70"/>
      <c r="Z7" s="78"/>
      <c r="AA7" s="78"/>
      <c r="AB7" s="78"/>
      <c r="AC7" s="78"/>
      <c r="AD7" s="78"/>
      <c r="AE7" s="78"/>
      <c r="AF7" s="17"/>
      <c r="AG7" s="17"/>
      <c r="AH7" s="78"/>
      <c r="AI7" s="78"/>
      <c r="AJ7" s="78"/>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8"/>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row>
    <row r="8" spans="1:180" s="21" customFormat="1" ht="9.9499999999999993" customHeight="1" x14ac:dyDescent="0.2">
      <c r="A8" s="14"/>
      <c r="B8" s="14"/>
      <c r="C8" s="1458"/>
      <c r="D8" s="13"/>
      <c r="E8" s="553"/>
      <c r="F8" s="554"/>
      <c r="G8" s="554"/>
      <c r="H8" s="554"/>
      <c r="I8" s="554"/>
      <c r="J8" s="554"/>
      <c r="K8" s="555"/>
      <c r="L8" s="555"/>
      <c r="M8" s="555"/>
      <c r="N8" s="555"/>
      <c r="O8" s="555"/>
      <c r="P8" s="555"/>
      <c r="Q8" s="555"/>
      <c r="R8" s="606"/>
      <c r="S8" s="606"/>
      <c r="T8" s="606"/>
      <c r="U8" s="606"/>
      <c r="V8" s="606"/>
      <c r="W8" s="958"/>
      <c r="X8" s="70"/>
      <c r="Y8" s="70"/>
      <c r="Z8" s="16"/>
      <c r="AA8" s="16"/>
      <c r="AB8" s="138"/>
      <c r="AC8" s="138"/>
      <c r="AD8" s="138"/>
      <c r="AE8" s="138"/>
      <c r="AF8" s="17"/>
      <c r="AG8" s="17"/>
      <c r="AH8" s="136"/>
      <c r="AI8" s="36"/>
      <c r="AJ8" s="137"/>
      <c r="AK8" s="50"/>
      <c r="AL8" s="50"/>
      <c r="AM8" s="16"/>
      <c r="AN8" s="16"/>
      <c r="AO8" s="16"/>
      <c r="AP8" s="16"/>
      <c r="AQ8" s="22"/>
      <c r="AR8" s="19"/>
      <c r="AS8" s="50"/>
      <c r="AT8" s="50"/>
      <c r="AU8" s="50"/>
      <c r="AW8" s="16"/>
      <c r="AX8" s="16"/>
      <c r="AY8" s="16"/>
      <c r="AZ8" s="16"/>
      <c r="BA8" s="19"/>
      <c r="BB8" s="19"/>
      <c r="BC8" s="19"/>
      <c r="BD8" s="19"/>
      <c r="BE8" s="50"/>
      <c r="BF8" s="50"/>
      <c r="BH8" s="16"/>
      <c r="BI8" s="22"/>
      <c r="BJ8" s="16"/>
      <c r="BK8" s="16"/>
      <c r="BL8" s="19"/>
      <c r="BM8" s="19"/>
      <c r="BN8" s="19"/>
      <c r="BO8" s="50"/>
      <c r="BP8" s="50"/>
      <c r="BQ8" s="16"/>
      <c r="BR8" s="16"/>
      <c r="BS8" s="16"/>
      <c r="BT8" s="22"/>
      <c r="BU8" s="22"/>
      <c r="BV8" s="19"/>
      <c r="BW8" s="19"/>
      <c r="BX8" s="19"/>
      <c r="BY8" s="50"/>
      <c r="CB8" s="16"/>
      <c r="CC8" s="16"/>
      <c r="CD8" s="22"/>
      <c r="CE8" s="16"/>
      <c r="CF8" s="22"/>
      <c r="CG8" s="19"/>
      <c r="CH8" s="50"/>
      <c r="CI8" s="50"/>
      <c r="CJ8" s="16"/>
      <c r="CK8" s="16"/>
      <c r="CL8" s="16"/>
      <c r="CM8" s="22"/>
      <c r="CN8" s="16"/>
      <c r="CO8" s="19"/>
      <c r="CP8" s="16"/>
      <c r="CQ8" s="16"/>
      <c r="CR8" s="16"/>
      <c r="CS8" s="22"/>
      <c r="CT8" s="16"/>
      <c r="CU8" s="19"/>
      <c r="CV8" s="19"/>
      <c r="CW8" s="16"/>
      <c r="CX8" s="22"/>
      <c r="CY8" s="22"/>
      <c r="CZ8" s="16"/>
      <c r="DA8" s="19"/>
      <c r="DB8" s="19"/>
      <c r="DC8" s="50"/>
      <c r="DE8" s="138"/>
      <c r="EO8" s="13"/>
      <c r="EP8" s="50"/>
      <c r="EQ8" s="90"/>
      <c r="ER8" s="13"/>
    </row>
    <row r="9" spans="1:180" s="15" customFormat="1" ht="39.950000000000003" customHeight="1" x14ac:dyDescent="0.2">
      <c r="C9" s="1845"/>
      <c r="E9" s="1846"/>
      <c r="F9" s="2608" t="s">
        <v>647</v>
      </c>
      <c r="G9" s="2608"/>
      <c r="H9" s="2608"/>
      <c r="I9" s="2608"/>
      <c r="J9" s="2608"/>
      <c r="K9" s="2608"/>
      <c r="L9" s="2608"/>
      <c r="M9" s="2608"/>
      <c r="N9" s="2608"/>
      <c r="O9" s="2608"/>
      <c r="P9" s="2608"/>
      <c r="Q9" s="2608"/>
      <c r="R9" s="2608"/>
      <c r="S9" s="2608"/>
      <c r="T9" s="2608"/>
      <c r="U9" s="2608"/>
      <c r="V9" s="2608"/>
      <c r="W9" s="1853"/>
      <c r="Z9" s="17"/>
      <c r="AA9" s="17"/>
      <c r="AB9" s="1850"/>
      <c r="AC9" s="1850"/>
      <c r="AD9" s="1850"/>
      <c r="AE9" s="1850"/>
      <c r="AF9" s="17"/>
      <c r="AG9" s="17"/>
      <c r="AH9" s="17"/>
      <c r="AI9" s="572"/>
      <c r="AJ9" s="1185"/>
      <c r="AK9" s="1849"/>
      <c r="AL9" s="1849"/>
      <c r="AM9" s="17"/>
      <c r="AN9" s="17"/>
      <c r="AO9" s="17"/>
      <c r="AP9" s="17"/>
      <c r="AQ9" s="18"/>
      <c r="AR9" s="1848"/>
      <c r="AS9" s="1849"/>
      <c r="AT9" s="1849"/>
      <c r="AU9" s="1849"/>
      <c r="AW9" s="17"/>
      <c r="AX9" s="17"/>
      <c r="AY9" s="17"/>
      <c r="AZ9" s="17"/>
      <c r="BA9" s="1848"/>
      <c r="BB9" s="1848"/>
      <c r="BC9" s="1848"/>
      <c r="BD9" s="1848"/>
      <c r="BE9" s="1849"/>
      <c r="BF9" s="1849"/>
      <c r="BH9" s="17"/>
      <c r="BI9" s="18"/>
      <c r="BJ9" s="17"/>
      <c r="BK9" s="17"/>
      <c r="BL9" s="1848"/>
      <c r="BM9" s="1848"/>
      <c r="BN9" s="1848"/>
      <c r="BO9" s="1849"/>
      <c r="BP9" s="1849"/>
      <c r="BQ9" s="17"/>
      <c r="BR9" s="17"/>
      <c r="BS9" s="17"/>
      <c r="BT9" s="18"/>
      <c r="BU9" s="18"/>
      <c r="BV9" s="1848"/>
      <c r="BW9" s="1848"/>
      <c r="BX9" s="1848"/>
      <c r="BY9" s="1849"/>
      <c r="CB9" s="17"/>
      <c r="CC9" s="17"/>
      <c r="CD9" s="18"/>
      <c r="CE9" s="17"/>
      <c r="CF9" s="18"/>
      <c r="CG9" s="1848"/>
      <c r="CH9" s="1849"/>
      <c r="CI9" s="1849"/>
      <c r="CJ9" s="17"/>
      <c r="CK9" s="17"/>
      <c r="CL9" s="17"/>
      <c r="CM9" s="18"/>
      <c r="CN9" s="17"/>
      <c r="CO9" s="1848"/>
      <c r="CP9" s="17"/>
      <c r="CQ9" s="17"/>
      <c r="CR9" s="17"/>
      <c r="CS9" s="18"/>
      <c r="CT9" s="17"/>
      <c r="CU9" s="1848"/>
      <c r="CV9" s="1848"/>
      <c r="CW9" s="17"/>
      <c r="CX9" s="18"/>
      <c r="CY9" s="18"/>
      <c r="CZ9" s="17"/>
      <c r="DA9" s="1848"/>
      <c r="DB9" s="1848"/>
      <c r="DC9" s="1849"/>
      <c r="DE9" s="1850"/>
    </row>
    <row r="10" spans="1:180" s="21" customFormat="1" ht="9.9499999999999993" customHeight="1" thickBot="1" x14ac:dyDescent="0.25">
      <c r="A10" s="14"/>
      <c r="B10" s="14"/>
      <c r="C10" s="1357"/>
      <c r="D10" s="13"/>
      <c r="E10" s="561"/>
      <c r="F10" s="1844"/>
      <c r="G10" s="1844"/>
      <c r="H10" s="1844"/>
      <c r="I10" s="1844"/>
      <c r="J10" s="1844"/>
      <c r="K10" s="1844"/>
      <c r="L10" s="1844"/>
      <c r="M10" s="1844"/>
      <c r="N10" s="1844"/>
      <c r="O10" s="1844"/>
      <c r="P10" s="1844"/>
      <c r="Q10" s="1844"/>
      <c r="R10" s="1844"/>
      <c r="S10" s="1844"/>
      <c r="T10" s="1844"/>
      <c r="U10" s="1844"/>
      <c r="V10" s="1844"/>
      <c r="W10" s="1353"/>
      <c r="X10" s="70"/>
      <c r="Y10" s="70"/>
      <c r="Z10" s="16"/>
      <c r="AA10" s="16"/>
      <c r="AB10" s="138"/>
      <c r="AC10" s="138"/>
      <c r="AD10" s="138"/>
      <c r="AE10" s="138"/>
      <c r="AF10" s="17"/>
      <c r="AG10" s="17"/>
      <c r="AH10" s="136"/>
      <c r="AI10" s="36"/>
      <c r="AJ10" s="137"/>
      <c r="AK10" s="50"/>
      <c r="AL10" s="50"/>
      <c r="AM10" s="16"/>
      <c r="AN10" s="16"/>
      <c r="AO10" s="16"/>
      <c r="AP10" s="16"/>
      <c r="AQ10" s="22"/>
      <c r="AR10" s="19"/>
      <c r="AS10" s="50"/>
      <c r="AT10" s="50"/>
      <c r="AU10" s="50"/>
      <c r="AW10" s="16"/>
      <c r="AX10" s="16"/>
      <c r="AY10" s="16"/>
      <c r="AZ10" s="16"/>
      <c r="BA10" s="19"/>
      <c r="BB10" s="19"/>
      <c r="BC10" s="19"/>
      <c r="BD10" s="19"/>
      <c r="BE10" s="50"/>
      <c r="BF10" s="50"/>
      <c r="BH10" s="16"/>
      <c r="BI10" s="22"/>
      <c r="BJ10" s="16"/>
      <c r="BK10" s="16"/>
      <c r="BL10" s="19"/>
      <c r="BM10" s="19"/>
      <c r="BN10" s="19"/>
      <c r="BO10" s="50"/>
      <c r="BP10" s="50"/>
      <c r="BQ10" s="16"/>
      <c r="BR10" s="16"/>
      <c r="BS10" s="16"/>
      <c r="BT10" s="22"/>
      <c r="BU10" s="22"/>
      <c r="BV10" s="19"/>
      <c r="BW10" s="19"/>
      <c r="BX10" s="19"/>
      <c r="BY10" s="50"/>
      <c r="CB10" s="16"/>
      <c r="CC10" s="16"/>
      <c r="CD10" s="22"/>
      <c r="CE10" s="16"/>
      <c r="CF10" s="22"/>
      <c r="CG10" s="19"/>
      <c r="CH10" s="50"/>
      <c r="CI10" s="50"/>
      <c r="CJ10" s="16"/>
      <c r="CK10" s="16"/>
      <c r="CL10" s="16"/>
      <c r="CM10" s="22"/>
      <c r="CN10" s="16"/>
      <c r="CO10" s="19"/>
      <c r="CP10" s="16"/>
      <c r="CQ10" s="16"/>
      <c r="CR10" s="16"/>
      <c r="CS10" s="22"/>
      <c r="CT10" s="16"/>
      <c r="CU10" s="19"/>
      <c r="CV10" s="19"/>
      <c r="CW10" s="16"/>
      <c r="CX10" s="22"/>
      <c r="CY10" s="22"/>
      <c r="CZ10" s="16"/>
      <c r="DA10" s="19"/>
      <c r="DB10" s="19"/>
      <c r="DC10" s="50"/>
      <c r="DE10" s="138"/>
      <c r="DJ10" s="14"/>
      <c r="EN10" s="70"/>
      <c r="EO10" s="70"/>
      <c r="EP10" s="70"/>
      <c r="EQ10" s="70"/>
      <c r="ER10" s="70"/>
      <c r="ES10" s="70"/>
      <c r="ET10" s="70"/>
      <c r="EU10" s="70"/>
      <c r="EV10" s="70"/>
      <c r="EW10" s="70"/>
    </row>
    <row r="11" spans="1:180" s="21" customFormat="1" ht="39.950000000000003" customHeight="1" thickBot="1" x14ac:dyDescent="0.25">
      <c r="A11" s="14"/>
      <c r="B11" s="14"/>
      <c r="C11" s="1357"/>
      <c r="D11" s="13"/>
      <c r="E11" s="561"/>
      <c r="F11" s="6559" t="s">
        <v>80</v>
      </c>
      <c r="G11" s="6742"/>
      <c r="H11" s="6742"/>
      <c r="I11" s="6742"/>
      <c r="J11" s="6560"/>
      <c r="K11" s="1459"/>
      <c r="L11" s="1459"/>
      <c r="M11" s="105"/>
      <c r="N11" s="105"/>
      <c r="O11" s="1459"/>
      <c r="P11" s="1459"/>
      <c r="Q11" s="1459"/>
      <c r="R11" s="106"/>
      <c r="S11" s="106"/>
      <c r="T11" s="106"/>
      <c r="U11" s="106"/>
      <c r="V11" s="106"/>
      <c r="W11" s="2280"/>
      <c r="X11" s="70"/>
      <c r="Y11" s="70"/>
    </row>
    <row r="12" spans="1:180" s="21" customFormat="1" ht="15" customHeight="1" thickBot="1" x14ac:dyDescent="0.25">
      <c r="A12" s="14"/>
      <c r="B12" s="14"/>
      <c r="C12" s="1357"/>
      <c r="D12" s="13"/>
      <c r="E12" s="563"/>
      <c r="F12" s="564"/>
      <c r="G12" s="564"/>
      <c r="H12" s="564"/>
      <c r="I12" s="564"/>
      <c r="J12" s="564"/>
      <c r="K12" s="565"/>
      <c r="L12" s="565"/>
      <c r="M12" s="565"/>
      <c r="N12" s="565"/>
      <c r="O12" s="565"/>
      <c r="P12" s="565"/>
      <c r="Q12" s="565"/>
      <c r="R12" s="1552"/>
      <c r="S12" s="1552"/>
      <c r="T12" s="1552"/>
      <c r="U12" s="1552"/>
      <c r="V12" s="1552"/>
      <c r="W12" s="961"/>
      <c r="X12" s="70"/>
      <c r="Y12" s="70"/>
      <c r="Z12" s="16"/>
      <c r="AA12" s="16"/>
      <c r="AB12" s="138"/>
      <c r="AC12" s="138"/>
      <c r="AD12" s="138"/>
      <c r="AE12" s="138"/>
      <c r="AF12" s="17"/>
      <c r="AG12" s="17"/>
      <c r="AH12" s="136"/>
      <c r="AI12" s="36"/>
      <c r="AJ12" s="137"/>
      <c r="AK12" s="50"/>
      <c r="AL12" s="50"/>
      <c r="AM12" s="16"/>
      <c r="AN12" s="16"/>
      <c r="AO12" s="16"/>
      <c r="AP12" s="16"/>
      <c r="AQ12" s="22"/>
      <c r="AR12" s="19"/>
      <c r="AS12" s="50"/>
      <c r="AT12" s="50"/>
      <c r="AU12" s="50"/>
      <c r="AW12" s="16"/>
      <c r="AX12" s="16"/>
      <c r="AY12" s="16"/>
      <c r="AZ12" s="16"/>
      <c r="BA12" s="19"/>
      <c r="BB12" s="19"/>
      <c r="BC12" s="19"/>
      <c r="BD12" s="19"/>
      <c r="BE12" s="50"/>
      <c r="BF12" s="50"/>
      <c r="BH12" s="16"/>
      <c r="BI12" s="22"/>
      <c r="BJ12" s="16"/>
      <c r="BK12" s="16"/>
      <c r="BL12" s="19"/>
      <c r="BM12" s="19"/>
      <c r="BN12" s="19"/>
      <c r="BO12" s="50"/>
      <c r="BP12" s="50"/>
      <c r="BQ12" s="16"/>
      <c r="BR12" s="16"/>
      <c r="BS12" s="16"/>
      <c r="BT12" s="22"/>
      <c r="BU12" s="22"/>
      <c r="BV12" s="19"/>
      <c r="BW12" s="19"/>
      <c r="BX12" s="19"/>
      <c r="BY12" s="50"/>
      <c r="CB12" s="16"/>
      <c r="CC12" s="16"/>
      <c r="CD12" s="22"/>
      <c r="CE12" s="16"/>
      <c r="CF12" s="22"/>
      <c r="CG12" s="19"/>
      <c r="CH12" s="50"/>
      <c r="CI12" s="50"/>
      <c r="CJ12" s="16"/>
      <c r="CK12" s="16"/>
      <c r="CL12" s="16"/>
      <c r="CM12" s="22"/>
      <c r="CN12" s="16"/>
      <c r="CO12" s="19"/>
      <c r="CP12" s="16"/>
      <c r="CQ12" s="16"/>
      <c r="CR12" s="16"/>
      <c r="CS12" s="22"/>
      <c r="CT12" s="16"/>
      <c r="CU12" s="19"/>
      <c r="CV12" s="19"/>
      <c r="CW12" s="16"/>
      <c r="CX12" s="22"/>
      <c r="CY12" s="22"/>
      <c r="CZ12" s="16"/>
      <c r="DA12" s="19"/>
      <c r="DB12" s="19"/>
      <c r="DC12" s="50"/>
      <c r="DE12" s="138"/>
      <c r="DJ12" s="14"/>
      <c r="EN12" s="70"/>
      <c r="EO12" s="70"/>
      <c r="EP12" s="70"/>
      <c r="EQ12" s="70"/>
      <c r="ER12" s="70"/>
      <c r="ES12" s="70"/>
      <c r="ET12" s="70"/>
      <c r="EU12" s="70"/>
      <c r="EV12" s="70"/>
      <c r="EW12" s="70"/>
    </row>
    <row r="13" spans="1:180" s="21" customFormat="1" ht="15" customHeight="1" thickBot="1" x14ac:dyDescent="0.25">
      <c r="A13" s="14"/>
      <c r="B13" s="14"/>
      <c r="C13" s="1357"/>
      <c r="D13" s="13"/>
      <c r="E13" s="14"/>
      <c r="K13" s="13"/>
      <c r="L13" s="13"/>
      <c r="M13" s="13"/>
      <c r="N13" s="13"/>
      <c r="O13" s="16"/>
      <c r="P13" s="16"/>
      <c r="Q13" s="16"/>
      <c r="R13" s="17"/>
      <c r="S13" s="17"/>
      <c r="T13" s="17"/>
      <c r="U13" s="17"/>
      <c r="V13" s="17"/>
      <c r="W13" s="16"/>
      <c r="X13" s="70"/>
      <c r="Y13" s="70"/>
      <c r="Z13" s="573"/>
      <c r="AA13" s="573"/>
      <c r="AB13" s="138"/>
      <c r="AC13" s="138"/>
      <c r="AD13" s="138"/>
      <c r="AE13" s="138"/>
      <c r="AF13" s="17"/>
      <c r="AG13" s="17"/>
      <c r="AH13" s="136"/>
      <c r="AI13" s="36"/>
      <c r="AJ13" s="137"/>
      <c r="AK13" s="50"/>
      <c r="AL13" s="50"/>
      <c r="AM13" s="16"/>
      <c r="AN13" s="16"/>
      <c r="AO13" s="16"/>
      <c r="AP13" s="16"/>
      <c r="AQ13" s="22"/>
      <c r="AR13" s="19"/>
      <c r="AS13" s="50"/>
      <c r="AT13" s="50"/>
      <c r="AU13" s="50"/>
      <c r="AW13" s="16"/>
      <c r="AX13" s="16"/>
      <c r="AY13" s="16"/>
      <c r="AZ13" s="16"/>
      <c r="BA13" s="19"/>
      <c r="BB13" s="19"/>
      <c r="BC13" s="19"/>
      <c r="BD13" s="19"/>
      <c r="BE13" s="50"/>
      <c r="BF13" s="50"/>
      <c r="BH13" s="16"/>
      <c r="BI13" s="22"/>
      <c r="BJ13" s="16"/>
      <c r="BK13" s="16"/>
      <c r="BL13" s="19"/>
      <c r="BM13" s="19"/>
      <c r="BN13" s="19"/>
      <c r="BO13" s="50"/>
      <c r="BP13" s="50"/>
      <c r="BQ13" s="16"/>
      <c r="BR13" s="16"/>
      <c r="BS13" s="16"/>
      <c r="BT13" s="22"/>
      <c r="BU13" s="22"/>
      <c r="BV13" s="19"/>
      <c r="BW13" s="19"/>
      <c r="BX13" s="19"/>
      <c r="BY13" s="50"/>
      <c r="CB13" s="16"/>
      <c r="CC13" s="16"/>
      <c r="CD13" s="22"/>
      <c r="CE13" s="16"/>
      <c r="CF13" s="22"/>
      <c r="CG13" s="19"/>
      <c r="CH13" s="50"/>
      <c r="CI13" s="50"/>
      <c r="CJ13" s="16"/>
      <c r="CK13" s="16"/>
      <c r="CL13" s="16"/>
      <c r="CM13" s="22"/>
      <c r="CN13" s="16"/>
      <c r="CO13" s="19"/>
      <c r="CP13" s="16"/>
      <c r="CQ13" s="16"/>
      <c r="CR13" s="16"/>
      <c r="CS13" s="22"/>
      <c r="CT13" s="16"/>
      <c r="CU13" s="19"/>
      <c r="CV13" s="19"/>
      <c r="CW13" s="16"/>
      <c r="CX13" s="22"/>
      <c r="CY13" s="22"/>
      <c r="CZ13" s="16"/>
      <c r="DA13" s="19"/>
      <c r="DB13" s="19"/>
      <c r="DC13" s="50"/>
      <c r="DE13" s="138"/>
      <c r="DJ13" s="14"/>
      <c r="EN13" s="70"/>
      <c r="EO13" s="70"/>
      <c r="EP13" s="70"/>
      <c r="EQ13" s="70"/>
      <c r="ER13" s="70"/>
      <c r="ES13" s="70"/>
      <c r="ET13" s="70"/>
      <c r="EU13" s="70"/>
      <c r="EV13" s="70"/>
      <c r="EW13" s="70"/>
    </row>
    <row r="14" spans="1:180" s="21" customFormat="1" ht="15" customHeight="1" thickBot="1" x14ac:dyDescent="0.25">
      <c r="A14" s="14"/>
      <c r="B14" s="14"/>
      <c r="C14" s="1357"/>
      <c r="D14" s="13"/>
      <c r="E14" s="1378"/>
      <c r="F14" s="1379"/>
      <c r="G14" s="1379"/>
      <c r="H14" s="1379"/>
      <c r="I14" s="1379"/>
      <c r="J14" s="1379"/>
      <c r="K14" s="1379"/>
      <c r="L14" s="1379"/>
      <c r="M14" s="1361"/>
      <c r="N14" s="1361"/>
      <c r="O14" s="1363"/>
      <c r="P14" s="1361"/>
      <c r="Q14" s="1361"/>
      <c r="R14" s="1379"/>
      <c r="S14" s="1379"/>
      <c r="T14" s="1379"/>
      <c r="U14" s="1379"/>
      <c r="V14" s="1379"/>
      <c r="W14" s="1364"/>
      <c r="X14" s="70"/>
      <c r="Y14" s="70"/>
      <c r="AB14" s="19"/>
      <c r="AC14" s="19"/>
      <c r="AD14" s="19"/>
      <c r="AE14" s="19"/>
      <c r="AF14" s="16"/>
      <c r="AG14" s="16"/>
      <c r="AH14" s="22"/>
      <c r="AI14" s="16"/>
      <c r="AJ14" s="19"/>
      <c r="AK14" s="50"/>
      <c r="AL14" s="50"/>
      <c r="AM14" s="50"/>
      <c r="AO14" s="16"/>
      <c r="AP14" s="16"/>
      <c r="AQ14" s="16"/>
      <c r="AR14" s="19"/>
      <c r="AS14" s="19"/>
      <c r="AT14" s="19"/>
      <c r="AU14" s="19"/>
      <c r="AV14" s="50"/>
      <c r="AX14" s="16"/>
      <c r="AY14" s="16"/>
      <c r="AZ14" s="22"/>
      <c r="BA14" s="16"/>
      <c r="BB14" s="19"/>
      <c r="BC14" s="19"/>
      <c r="BD14" s="19"/>
      <c r="BE14" s="50"/>
      <c r="BF14" s="50"/>
      <c r="BH14" s="16"/>
      <c r="BI14" s="22"/>
      <c r="BJ14" s="16"/>
      <c r="BK14" s="16"/>
      <c r="BL14" s="19"/>
      <c r="BM14" s="19"/>
      <c r="BN14" s="19"/>
      <c r="BO14" s="50"/>
      <c r="BP14" s="50"/>
      <c r="BQ14" s="16"/>
      <c r="BR14" s="22"/>
      <c r="BS14" s="22"/>
      <c r="BT14" s="22"/>
      <c r="BU14" s="16"/>
      <c r="BV14" s="19"/>
      <c r="BW14" s="19"/>
      <c r="BX14" s="19"/>
      <c r="BY14" s="16"/>
      <c r="BZ14" s="16"/>
      <c r="CA14" s="16"/>
      <c r="CB14" s="16"/>
      <c r="CC14" s="22"/>
      <c r="CD14" s="22"/>
      <c r="CE14" s="16"/>
      <c r="CF14" s="19"/>
      <c r="CG14" s="50"/>
      <c r="CJ14" s="16"/>
      <c r="CK14" s="16"/>
      <c r="CL14" s="16"/>
      <c r="CM14" s="22"/>
      <c r="CN14" s="16"/>
      <c r="CO14" s="19"/>
      <c r="CP14" s="50"/>
      <c r="CQ14" s="50"/>
      <c r="CS14" s="16"/>
      <c r="CT14" s="16"/>
      <c r="CU14" s="22"/>
      <c r="CV14" s="16"/>
      <c r="CW14" s="50"/>
      <c r="CZ14" s="16"/>
      <c r="DA14" s="16"/>
      <c r="DB14" s="22"/>
      <c r="DC14" s="16"/>
      <c r="DD14" s="19"/>
      <c r="DE14" s="19"/>
      <c r="DF14" s="50"/>
      <c r="DH14" s="138"/>
      <c r="DM14" s="14"/>
      <c r="EQ14" s="70"/>
      <c r="ER14" s="70"/>
      <c r="ES14" s="70"/>
      <c r="ET14" s="70"/>
      <c r="EU14" s="70"/>
      <c r="EV14" s="70"/>
      <c r="EW14" s="70"/>
      <c r="EX14" s="70"/>
      <c r="EY14" s="70"/>
      <c r="EZ14" s="70"/>
    </row>
    <row r="15" spans="1:180" s="21" customFormat="1" ht="30" customHeight="1" thickBot="1" x14ac:dyDescent="0.25">
      <c r="A15" s="14"/>
      <c r="B15" s="14"/>
      <c r="C15" s="1357"/>
      <c r="D15" s="13"/>
      <c r="E15" s="1380"/>
      <c r="F15" s="1851" t="str">
        <f>Tunneldrift!$M$125</f>
        <v>Fordeling av mengder</v>
      </c>
      <c r="G15" s="1568"/>
      <c r="H15" s="1568"/>
      <c r="I15" s="1436"/>
      <c r="J15" s="6613" t="str">
        <f>Tunneldrift!$F$125</f>
        <v>Brukerdefinert</v>
      </c>
      <c r="K15" s="6614"/>
      <c r="L15" s="6614"/>
      <c r="M15" s="6614"/>
      <c r="N15" s="6614"/>
      <c r="O15" s="6614"/>
      <c r="P15" s="6614"/>
      <c r="Q15" s="6614"/>
      <c r="R15" s="6614"/>
      <c r="S15" s="6615"/>
      <c r="T15" s="2002"/>
      <c r="U15" s="2002"/>
      <c r="V15" s="2002"/>
      <c r="W15" s="1369"/>
      <c r="X15" s="70"/>
      <c r="Y15" s="70"/>
      <c r="AB15" s="19"/>
      <c r="AC15" s="19"/>
      <c r="AD15" s="19"/>
      <c r="AE15" s="19"/>
      <c r="AF15" s="16"/>
      <c r="AG15" s="16"/>
      <c r="AH15" s="22"/>
      <c r="AI15" s="16"/>
      <c r="AJ15" s="19"/>
      <c r="AK15" s="50"/>
      <c r="AL15" s="50"/>
      <c r="AM15" s="50"/>
      <c r="AO15" s="16"/>
      <c r="AP15" s="16"/>
      <c r="AQ15" s="16"/>
      <c r="AR15" s="19"/>
      <c r="AS15" s="19"/>
      <c r="AT15" s="19"/>
      <c r="AU15" s="19"/>
      <c r="AV15" s="50"/>
      <c r="AX15" s="16"/>
      <c r="AY15" s="16"/>
      <c r="AZ15" s="22"/>
      <c r="BA15" s="16"/>
      <c r="BB15" s="19"/>
      <c r="BC15" s="19"/>
      <c r="BD15" s="19"/>
      <c r="BE15" s="50"/>
      <c r="BF15" s="50"/>
      <c r="BH15" s="16"/>
      <c r="BI15" s="22"/>
      <c r="BJ15" s="16"/>
      <c r="BK15" s="16"/>
      <c r="BL15" s="19"/>
      <c r="BM15" s="19"/>
      <c r="BN15" s="19"/>
      <c r="BO15" s="50"/>
      <c r="BP15" s="50"/>
      <c r="BQ15" s="16"/>
      <c r="BR15" s="22"/>
      <c r="BS15" s="22"/>
      <c r="BT15" s="22"/>
      <c r="BU15" s="16"/>
      <c r="BV15" s="19"/>
      <c r="BW15" s="19"/>
      <c r="BX15" s="19"/>
      <c r="BY15" s="16"/>
      <c r="BZ15" s="16"/>
      <c r="CA15" s="16"/>
      <c r="CB15" s="16"/>
      <c r="CC15" s="22"/>
      <c r="CD15" s="22"/>
      <c r="CE15" s="16"/>
      <c r="CF15" s="19"/>
      <c r="CG15" s="50"/>
      <c r="CJ15" s="16"/>
      <c r="CK15" s="16"/>
      <c r="CL15" s="16"/>
      <c r="CM15" s="22"/>
      <c r="CN15" s="16"/>
      <c r="CO15" s="19"/>
      <c r="CP15" s="50"/>
      <c r="CQ15" s="50"/>
      <c r="CS15" s="16"/>
      <c r="CT15" s="16"/>
      <c r="CU15" s="22"/>
      <c r="CV15" s="16"/>
      <c r="CW15" s="50"/>
      <c r="CZ15" s="16"/>
      <c r="DA15" s="16"/>
      <c r="DB15" s="22"/>
      <c r="DC15" s="16"/>
      <c r="DD15" s="19"/>
      <c r="DE15" s="19"/>
      <c r="DF15" s="50"/>
      <c r="DH15" s="138"/>
      <c r="DM15" s="14"/>
      <c r="EQ15" s="70"/>
      <c r="ER15" s="70"/>
      <c r="ES15" s="70"/>
      <c r="ET15" s="70"/>
      <c r="EU15" s="70"/>
      <c r="EV15" s="70"/>
      <c r="EW15" s="70"/>
      <c r="EX15" s="70"/>
      <c r="EY15" s="70"/>
      <c r="EZ15" s="70"/>
    </row>
    <row r="16" spans="1:180" s="21" customFormat="1" ht="15" customHeight="1" thickBot="1" x14ac:dyDescent="0.25">
      <c r="A16" s="14"/>
      <c r="B16" s="14"/>
      <c r="C16" s="1358"/>
      <c r="D16" s="13"/>
      <c r="E16" s="3987"/>
      <c r="F16" s="2003"/>
      <c r="G16" s="2003"/>
      <c r="H16" s="2003"/>
      <c r="I16" s="2003"/>
      <c r="J16" s="2003"/>
      <c r="K16" s="2003"/>
      <c r="L16" s="2003"/>
      <c r="M16" s="1372"/>
      <c r="N16" s="1372"/>
      <c r="O16" s="1374"/>
      <c r="P16" s="1372"/>
      <c r="Q16" s="1372"/>
      <c r="R16" s="2003"/>
      <c r="S16" s="2003"/>
      <c r="T16" s="2003"/>
      <c r="U16" s="2003"/>
      <c r="V16" s="2003"/>
      <c r="W16" s="1375"/>
      <c r="X16" s="70"/>
      <c r="Y16" s="70"/>
      <c r="AB16" s="19"/>
      <c r="AC16" s="19"/>
      <c r="AD16" s="19"/>
      <c r="AE16" s="19"/>
      <c r="AF16" s="16"/>
      <c r="AG16" s="16"/>
      <c r="AH16" s="22"/>
      <c r="AI16" s="16"/>
      <c r="AJ16" s="19"/>
      <c r="AK16" s="50"/>
      <c r="AL16" s="50"/>
      <c r="AM16" s="50"/>
      <c r="AO16" s="16"/>
      <c r="AP16" s="16"/>
      <c r="AQ16" s="16"/>
      <c r="AR16" s="19"/>
      <c r="AS16" s="19"/>
      <c r="AT16" s="19"/>
      <c r="AU16" s="19"/>
      <c r="AV16" s="50"/>
      <c r="AX16" s="16"/>
      <c r="AY16" s="16"/>
      <c r="AZ16" s="22"/>
      <c r="BA16" s="16"/>
      <c r="BB16" s="19"/>
      <c r="BC16" s="19"/>
      <c r="BD16" s="19"/>
      <c r="BE16" s="50"/>
      <c r="BF16" s="50"/>
      <c r="BH16" s="16"/>
      <c r="BI16" s="22"/>
      <c r="BJ16" s="16"/>
      <c r="BK16" s="16"/>
      <c r="BL16" s="19"/>
      <c r="BM16" s="19"/>
      <c r="BN16" s="19"/>
      <c r="BO16" s="50"/>
      <c r="BP16" s="50"/>
      <c r="BQ16" s="16"/>
      <c r="BR16" s="22"/>
      <c r="BS16" s="22"/>
      <c r="BT16" s="22"/>
      <c r="BU16" s="16"/>
      <c r="BV16" s="19"/>
      <c r="BW16" s="19"/>
      <c r="BX16" s="19"/>
      <c r="BY16" s="16"/>
      <c r="BZ16" s="16"/>
      <c r="CA16" s="16"/>
      <c r="CB16" s="16"/>
      <c r="CC16" s="22"/>
      <c r="CD16" s="22"/>
      <c r="CE16" s="16"/>
      <c r="CF16" s="19"/>
      <c r="CG16" s="50"/>
      <c r="CJ16" s="16"/>
      <c r="CK16" s="16"/>
      <c r="CL16" s="16"/>
      <c r="CM16" s="22"/>
      <c r="CN16" s="16"/>
      <c r="CO16" s="19"/>
      <c r="CP16" s="50"/>
      <c r="CQ16" s="50"/>
      <c r="CS16" s="16"/>
      <c r="CT16" s="16"/>
      <c r="CU16" s="22"/>
      <c r="CV16" s="16"/>
      <c r="CW16" s="50"/>
      <c r="CZ16" s="16"/>
      <c r="DA16" s="16"/>
      <c r="DB16" s="22"/>
      <c r="DC16" s="16"/>
      <c r="DD16" s="19"/>
      <c r="DE16" s="19"/>
      <c r="DF16" s="50"/>
      <c r="DH16" s="138"/>
      <c r="DM16" s="14"/>
      <c r="EQ16" s="70"/>
      <c r="ER16" s="70"/>
      <c r="ES16" s="70"/>
      <c r="ET16" s="70"/>
      <c r="EU16" s="70"/>
      <c r="EV16" s="70"/>
      <c r="EW16" s="70"/>
      <c r="EX16" s="70"/>
      <c r="EY16" s="70"/>
      <c r="EZ16" s="70"/>
    </row>
    <row r="17" spans="1:105" s="21" customFormat="1" ht="24.95" customHeight="1" thickBot="1" x14ac:dyDescent="0.25">
      <c r="A17" s="14"/>
      <c r="B17" s="14"/>
      <c r="C17" s="13"/>
      <c r="D17" s="14"/>
      <c r="E17" s="14"/>
      <c r="K17" s="13"/>
      <c r="L17" s="13"/>
      <c r="M17" s="13"/>
      <c r="N17" s="13"/>
      <c r="O17" s="16"/>
      <c r="P17" s="16"/>
      <c r="Q17" s="16"/>
      <c r="R17" s="16"/>
      <c r="S17" s="16"/>
      <c r="T17" s="70"/>
      <c r="U17" s="16"/>
      <c r="V17" s="17"/>
      <c r="W17" s="16"/>
      <c r="X17" s="70"/>
      <c r="Y17" s="70"/>
      <c r="Z17" s="136"/>
      <c r="AA17" s="136"/>
      <c r="AB17" s="138"/>
      <c r="AC17" s="138"/>
      <c r="AD17" s="138"/>
      <c r="AE17" s="138"/>
      <c r="AF17" s="572"/>
      <c r="AG17" s="572"/>
      <c r="AH17" s="136"/>
      <c r="AI17" s="16"/>
      <c r="AJ17" s="36"/>
      <c r="AK17" s="22"/>
      <c r="AL17" s="22"/>
      <c r="AM17" s="22"/>
      <c r="AN17" s="22"/>
      <c r="AO17" s="19"/>
      <c r="AP17" s="19"/>
      <c r="AQ17" s="138"/>
      <c r="AR17" s="22"/>
      <c r="AS17" s="22"/>
      <c r="AT17" s="22"/>
      <c r="AU17" s="22"/>
      <c r="AV17" s="19"/>
      <c r="AW17" s="22"/>
      <c r="AX17" s="22"/>
      <c r="AY17" s="16"/>
      <c r="AZ17" s="22"/>
      <c r="BA17" s="22"/>
      <c r="BB17" s="22"/>
      <c r="BC17" s="22"/>
      <c r="BD17" s="16"/>
      <c r="BE17" s="22"/>
      <c r="BF17" s="22"/>
      <c r="BG17" s="19"/>
      <c r="BH17" s="22"/>
      <c r="BI17" s="22"/>
      <c r="BJ17" s="22"/>
      <c r="BK17" s="22"/>
      <c r="BL17" s="19"/>
      <c r="BM17" s="19"/>
      <c r="BN17" s="22"/>
      <c r="BO17" s="16"/>
      <c r="BP17" s="22"/>
      <c r="BQ17" s="19"/>
      <c r="BR17" s="22"/>
      <c r="BS17" s="22"/>
      <c r="BT17" s="22"/>
      <c r="BU17" s="22"/>
      <c r="BV17" s="22"/>
      <c r="BW17" s="19"/>
      <c r="BX17" s="19"/>
      <c r="BY17" s="22"/>
      <c r="BZ17" s="16"/>
      <c r="CA17" s="16"/>
      <c r="CB17" s="22"/>
      <c r="CC17" s="19"/>
      <c r="CD17" s="22"/>
      <c r="CE17" s="19"/>
    </row>
    <row r="18" spans="1:105" s="21" customFormat="1" ht="39.950000000000003" customHeight="1" thickBot="1" x14ac:dyDescent="0.25">
      <c r="A18" s="70"/>
      <c r="B18" s="70"/>
      <c r="C18" s="1518"/>
      <c r="D18" s="25"/>
      <c r="E18" s="1519"/>
      <c r="F18" s="1520"/>
      <c r="G18" s="1520"/>
      <c r="H18" s="1520"/>
      <c r="I18" s="1520"/>
      <c r="J18" s="1520"/>
      <c r="K18" s="1520"/>
      <c r="L18" s="1520"/>
      <c r="M18" s="1521"/>
      <c r="N18" s="70"/>
      <c r="O18" s="6743" t="s">
        <v>132</v>
      </c>
      <c r="P18" s="6744"/>
      <c r="Q18" s="6744"/>
      <c r="R18" s="6744"/>
      <c r="S18" s="6744"/>
      <c r="T18" s="6744"/>
      <c r="U18" s="6744"/>
      <c r="V18" s="6744"/>
      <c r="W18" s="6745"/>
      <c r="X18" s="70"/>
      <c r="Y18" s="70"/>
      <c r="AA18" s="6729"/>
      <c r="AB18" s="6730"/>
      <c r="AC18" s="6730"/>
      <c r="AD18" s="6730"/>
      <c r="AE18" s="6731"/>
      <c r="AG18" s="583"/>
      <c r="AH18" s="6577" t="str">
        <f>_Calcs!$NO$36</f>
        <v>Stuff 1-1</v>
      </c>
      <c r="AI18" s="6577"/>
      <c r="AJ18" s="6577"/>
      <c r="AK18" s="6577"/>
      <c r="AL18" s="1580"/>
      <c r="AM18" s="1582"/>
      <c r="AO18" s="583"/>
      <c r="AP18" s="6577" t="str">
        <f>_Calcs!$NP$36</f>
        <v/>
      </c>
      <c r="AQ18" s="6577"/>
      <c r="AR18" s="6577"/>
      <c r="AS18" s="6577"/>
      <c r="AT18" s="1580"/>
      <c r="AU18" s="1582"/>
      <c r="AW18" s="583"/>
      <c r="AX18" s="6577" t="str">
        <f>_Calcs!$NQ$36</f>
        <v/>
      </c>
      <c r="AY18" s="6577"/>
      <c r="AZ18" s="6577"/>
      <c r="BA18" s="6577"/>
      <c r="BB18" s="1580"/>
      <c r="BC18" s="1582"/>
      <c r="BE18" s="583"/>
      <c r="BF18" s="6577" t="str">
        <f>_Calcs!$NR$36</f>
        <v/>
      </c>
      <c r="BG18" s="6577"/>
      <c r="BH18" s="6577"/>
      <c r="BI18" s="6577"/>
      <c r="BJ18" s="1580"/>
      <c r="BK18" s="1582"/>
      <c r="BM18" s="583"/>
      <c r="BN18" s="6577" t="str">
        <f>_Calcs!$NS$36</f>
        <v/>
      </c>
      <c r="BO18" s="6577"/>
      <c r="BP18" s="6577"/>
      <c r="BQ18" s="6577"/>
      <c r="BR18" s="1580"/>
      <c r="BS18" s="1582"/>
      <c r="BU18" s="583"/>
      <c r="BV18" s="6577" t="str">
        <f>_Calcs!$NT$36</f>
        <v/>
      </c>
      <c r="BW18" s="6577"/>
      <c r="BX18" s="6577"/>
      <c r="BY18" s="6577"/>
      <c r="BZ18" s="1580"/>
      <c r="CA18" s="1582"/>
      <c r="CC18" s="583"/>
      <c r="CD18" s="6577" t="str">
        <f>_Calcs!$NU$36</f>
        <v/>
      </c>
      <c r="CE18" s="6577"/>
      <c r="CF18" s="6577"/>
      <c r="CG18" s="6577"/>
      <c r="CH18" s="1580"/>
      <c r="CI18" s="1582"/>
      <c r="CK18" s="583"/>
      <c r="CL18" s="6577" t="str">
        <f>_Calcs!$NV$36</f>
        <v/>
      </c>
      <c r="CM18" s="6577"/>
      <c r="CN18" s="6577"/>
      <c r="CO18" s="6577"/>
      <c r="CP18" s="1580"/>
      <c r="CQ18" s="1582"/>
      <c r="CS18" s="583"/>
      <c r="CT18" s="6577" t="str">
        <f>_Calcs!$NW$36</f>
        <v/>
      </c>
      <c r="CU18" s="6577"/>
      <c r="CV18" s="6577"/>
      <c r="CW18" s="6577"/>
      <c r="CX18" s="1580"/>
      <c r="CY18" s="1582"/>
      <c r="DA18" s="53"/>
    </row>
    <row r="19" spans="1:105" s="21" customFormat="1" ht="24.95" customHeight="1" thickBot="1" x14ac:dyDescent="0.25">
      <c r="A19" s="25"/>
      <c r="B19" s="25"/>
      <c r="C19" s="1437"/>
      <c r="D19" s="25"/>
      <c r="E19" s="1434"/>
      <c r="F19" s="1434"/>
      <c r="G19" s="1434"/>
      <c r="H19" s="1434"/>
      <c r="I19" s="1434"/>
      <c r="J19" s="1435"/>
      <c r="K19" s="1435"/>
      <c r="L19" s="1435"/>
      <c r="M19" s="1435"/>
      <c r="N19" s="1435"/>
      <c r="O19" s="149"/>
      <c r="P19" s="153"/>
      <c r="Q19" s="149"/>
      <c r="R19" s="149"/>
      <c r="S19" s="149"/>
      <c r="T19" s="70"/>
      <c r="U19" s="149"/>
      <c r="V19" s="150"/>
      <c r="W19" s="149"/>
      <c r="X19" s="70"/>
      <c r="Y19" s="70"/>
      <c r="AB19" s="150"/>
      <c r="AC19" s="150"/>
      <c r="AD19" s="150"/>
      <c r="AE19" s="150"/>
      <c r="AG19" s="150"/>
      <c r="AH19" s="150"/>
      <c r="AI19" s="154"/>
      <c r="AJ19" s="152"/>
      <c r="AK19" s="155"/>
      <c r="AL19" s="155"/>
      <c r="AM19" s="150"/>
      <c r="AO19" s="150"/>
      <c r="AP19" s="150"/>
      <c r="AQ19" s="154"/>
      <c r="AR19" s="152"/>
      <c r="AS19" s="155"/>
      <c r="AT19" s="155"/>
      <c r="AU19" s="150"/>
      <c r="AW19" s="150"/>
      <c r="AX19" s="150"/>
      <c r="AY19" s="154"/>
      <c r="AZ19" s="152"/>
      <c r="BA19" s="155"/>
      <c r="BB19" s="155"/>
      <c r="BC19" s="150"/>
      <c r="BE19" s="150"/>
      <c r="BF19" s="150"/>
      <c r="BG19" s="154"/>
      <c r="BH19" s="152"/>
      <c r="BI19" s="155"/>
      <c r="BJ19" s="155"/>
      <c r="BK19" s="150"/>
      <c r="BM19" s="150"/>
      <c r="BN19" s="150"/>
      <c r="BO19" s="154"/>
      <c r="BP19" s="152"/>
      <c r="BQ19" s="155"/>
      <c r="BR19" s="155"/>
      <c r="BS19" s="150"/>
      <c r="BU19" s="150"/>
      <c r="BV19" s="150"/>
      <c r="BW19" s="154"/>
      <c r="BX19" s="152"/>
      <c r="BY19" s="155"/>
      <c r="BZ19" s="155"/>
      <c r="CA19" s="150"/>
      <c r="CC19" s="150"/>
      <c r="CD19" s="150"/>
      <c r="CE19" s="154"/>
      <c r="CF19" s="152"/>
      <c r="CG19" s="155"/>
      <c r="CH19" s="155"/>
      <c r="CI19" s="150"/>
      <c r="CK19" s="150"/>
      <c r="CL19" s="150"/>
      <c r="CM19" s="154"/>
      <c r="CN19" s="152"/>
      <c r="CO19" s="155"/>
      <c r="CP19" s="155"/>
      <c r="CQ19" s="150"/>
      <c r="CS19" s="150"/>
      <c r="CT19" s="150"/>
      <c r="CU19" s="154"/>
      <c r="CV19" s="152"/>
      <c r="CW19" s="155"/>
      <c r="CX19" s="155"/>
      <c r="CY19" s="150"/>
      <c r="DA19" s="150"/>
    </row>
    <row r="20" spans="1:105" s="21" customFormat="1" ht="20.100000000000001" customHeight="1" thickBot="1" x14ac:dyDescent="0.25">
      <c r="A20" s="25"/>
      <c r="B20" s="25"/>
      <c r="C20" s="1060"/>
      <c r="D20" s="25"/>
      <c r="E20" s="1108"/>
      <c r="F20" s="1019"/>
      <c r="G20" s="1019"/>
      <c r="H20" s="1019"/>
      <c r="I20" s="1019"/>
      <c r="J20" s="3912"/>
      <c r="K20" s="3912"/>
      <c r="L20" s="3912" t="s">
        <v>154</v>
      </c>
      <c r="M20" s="1347"/>
      <c r="N20" s="18"/>
      <c r="O20" s="1346"/>
      <c r="P20" s="5782" t="str">
        <f>_Calcs!$N$18</f>
        <v>Kapasitet</v>
      </c>
      <c r="Q20" s="5782"/>
      <c r="R20" s="5782" t="str">
        <f>_Calcs!$N$19</f>
        <v>Egendefinert</v>
      </c>
      <c r="S20" s="5783"/>
      <c r="T20" s="5782"/>
      <c r="U20" s="1195"/>
      <c r="V20" s="1195" t="s">
        <v>100</v>
      </c>
      <c r="W20" s="5784"/>
      <c r="AA20" s="6732" t="s">
        <v>100</v>
      </c>
      <c r="AB20" s="6733"/>
      <c r="AC20" s="6733"/>
      <c r="AD20" s="6733"/>
      <c r="AE20" s="6734"/>
      <c r="AG20" s="1202"/>
      <c r="AH20" s="3912"/>
      <c r="AI20" s="3912" t="s">
        <v>80</v>
      </c>
      <c r="AJ20" s="1964"/>
      <c r="AK20" s="1433"/>
      <c r="AL20" s="3912"/>
      <c r="AM20" s="1255"/>
      <c r="AO20" s="1202"/>
      <c r="AP20" s="3912"/>
      <c r="AQ20" s="3912" t="s">
        <v>80</v>
      </c>
      <c r="AR20" s="1964"/>
      <c r="AS20" s="1433"/>
      <c r="AT20" s="3912"/>
      <c r="AU20" s="1255"/>
      <c r="AW20" s="1202"/>
      <c r="AX20" s="3912"/>
      <c r="AY20" s="3912" t="s">
        <v>80</v>
      </c>
      <c r="AZ20" s="1964"/>
      <c r="BA20" s="1433"/>
      <c r="BB20" s="3912"/>
      <c r="BC20" s="1255"/>
      <c r="BE20" s="1202"/>
      <c r="BF20" s="3912"/>
      <c r="BG20" s="3912" t="s">
        <v>80</v>
      </c>
      <c r="BH20" s="1964"/>
      <c r="BI20" s="1433"/>
      <c r="BJ20" s="3912"/>
      <c r="BK20" s="1255"/>
      <c r="BM20" s="1202"/>
      <c r="BN20" s="3912"/>
      <c r="BO20" s="3912" t="s">
        <v>80</v>
      </c>
      <c r="BP20" s="1964"/>
      <c r="BQ20" s="1433"/>
      <c r="BR20" s="3912"/>
      <c r="BS20" s="1255"/>
      <c r="BU20" s="1202"/>
      <c r="BV20" s="3912"/>
      <c r="BW20" s="3912" t="s">
        <v>80</v>
      </c>
      <c r="BX20" s="1964"/>
      <c r="BY20" s="1433"/>
      <c r="BZ20" s="3912"/>
      <c r="CA20" s="1255"/>
      <c r="CC20" s="1202"/>
      <c r="CD20" s="3912"/>
      <c r="CE20" s="3912" t="s">
        <v>80</v>
      </c>
      <c r="CF20" s="1964"/>
      <c r="CG20" s="1433"/>
      <c r="CH20" s="3912"/>
      <c r="CI20" s="1255"/>
      <c r="CK20" s="1202"/>
      <c r="CL20" s="3912"/>
      <c r="CM20" s="3912" t="s">
        <v>80</v>
      </c>
      <c r="CN20" s="1964"/>
      <c r="CO20" s="1433"/>
      <c r="CP20" s="3912"/>
      <c r="CQ20" s="1255"/>
      <c r="CS20" s="1202"/>
      <c r="CT20" s="3912"/>
      <c r="CU20" s="3912" t="s">
        <v>80</v>
      </c>
      <c r="CV20" s="1964"/>
      <c r="CW20" s="1433"/>
      <c r="CX20" s="3912"/>
      <c r="CY20" s="1255"/>
      <c r="DA20" s="33"/>
    </row>
    <row r="21" spans="1:105" s="21" customFormat="1" ht="24.95" customHeight="1" thickBot="1" x14ac:dyDescent="0.25">
      <c r="A21" s="25"/>
      <c r="B21" s="25"/>
      <c r="C21" s="13"/>
      <c r="D21" s="25"/>
      <c r="E21" s="14"/>
      <c r="F21" s="15"/>
      <c r="G21" s="15"/>
      <c r="H21" s="15"/>
      <c r="I21" s="15"/>
      <c r="J21" s="13"/>
      <c r="K21" s="18"/>
      <c r="L21" s="50"/>
      <c r="M21" s="15"/>
      <c r="N21" s="70"/>
      <c r="O21" s="70"/>
      <c r="P21" s="70"/>
      <c r="Q21" s="149"/>
      <c r="R21" s="149"/>
      <c r="S21" s="149"/>
      <c r="T21" s="70"/>
      <c r="U21" s="70"/>
      <c r="V21" s="150"/>
      <c r="W21" s="149"/>
      <c r="X21" s="70"/>
      <c r="Y21" s="70"/>
      <c r="AB21" s="150"/>
      <c r="AC21" s="150"/>
      <c r="AD21" s="150"/>
      <c r="AE21" s="150"/>
      <c r="AG21" s="150"/>
      <c r="AH21" s="150"/>
      <c r="AI21" s="154"/>
      <c r="AJ21" s="152"/>
      <c r="AK21" s="155"/>
      <c r="AL21" s="155"/>
      <c r="AM21" s="150"/>
      <c r="AO21" s="150"/>
      <c r="AP21" s="150"/>
      <c r="AQ21" s="154"/>
      <c r="AR21" s="152"/>
      <c r="AS21" s="155"/>
      <c r="AT21" s="155"/>
      <c r="AU21" s="150"/>
      <c r="AW21" s="150"/>
      <c r="AX21" s="150"/>
      <c r="AY21" s="154"/>
      <c r="AZ21" s="152"/>
      <c r="BA21" s="155"/>
      <c r="BB21" s="155"/>
      <c r="BC21" s="150"/>
      <c r="BE21" s="150"/>
      <c r="BF21" s="150"/>
      <c r="BG21" s="154"/>
      <c r="BH21" s="152"/>
      <c r="BI21" s="155"/>
      <c r="BJ21" s="155"/>
      <c r="BK21" s="150"/>
      <c r="BM21" s="150"/>
      <c r="BN21" s="150"/>
      <c r="BO21" s="154"/>
      <c r="BP21" s="152"/>
      <c r="BQ21" s="155"/>
      <c r="BR21" s="155"/>
      <c r="BS21" s="150"/>
      <c r="BU21" s="150"/>
      <c r="BV21" s="150"/>
      <c r="BW21" s="154"/>
      <c r="BX21" s="152"/>
      <c r="BY21" s="155"/>
      <c r="BZ21" s="155"/>
      <c r="CA21" s="150"/>
      <c r="CC21" s="150"/>
      <c r="CD21" s="150"/>
      <c r="CE21" s="154"/>
      <c r="CF21" s="152"/>
      <c r="CG21" s="155"/>
      <c r="CH21" s="155"/>
      <c r="CI21" s="150"/>
      <c r="CK21" s="150"/>
      <c r="CL21" s="150"/>
      <c r="CM21" s="154"/>
      <c r="CN21" s="152"/>
      <c r="CO21" s="155"/>
      <c r="CP21" s="155"/>
      <c r="CQ21" s="150"/>
      <c r="CS21" s="150"/>
      <c r="CT21" s="150"/>
      <c r="CU21" s="154"/>
      <c r="CV21" s="152"/>
      <c r="CW21" s="155"/>
      <c r="CX21" s="155"/>
      <c r="CY21" s="150"/>
      <c r="DA21" s="150"/>
    </row>
    <row r="22" spans="1:105" s="21" customFormat="1" ht="15" customHeight="1" thickBot="1" x14ac:dyDescent="0.25">
      <c r="A22" s="25"/>
      <c r="B22" s="25"/>
      <c r="C22" s="1197"/>
      <c r="D22" s="25"/>
      <c r="E22" s="1186"/>
      <c r="F22" s="6570" t="str">
        <f>_Calcs!$K$43</f>
        <v>Forundersøkelser</v>
      </c>
      <c r="G22" s="6570"/>
      <c r="H22" s="6570"/>
      <c r="I22" s="6570"/>
      <c r="J22" s="6570"/>
      <c r="K22" s="6570"/>
      <c r="L22" s="6570"/>
      <c r="M22" s="1441"/>
      <c r="N22" s="70"/>
      <c r="O22" s="70"/>
      <c r="P22" s="70"/>
      <c r="Q22" s="17"/>
      <c r="R22" s="17"/>
      <c r="S22" s="17"/>
      <c r="T22" s="70"/>
      <c r="U22" s="70"/>
      <c r="V22" s="17"/>
      <c r="W22" s="17"/>
      <c r="X22" s="70"/>
      <c r="Y22" s="70"/>
      <c r="AB22" s="17"/>
      <c r="AC22" s="17"/>
      <c r="AD22" s="17"/>
      <c r="AE22" s="17"/>
      <c r="AG22" s="17"/>
      <c r="AH22" s="17"/>
      <c r="AI22" s="17"/>
      <c r="AJ22" s="17"/>
      <c r="AK22" s="17"/>
      <c r="AL22" s="17"/>
      <c r="AM22" s="17"/>
      <c r="AO22" s="17"/>
      <c r="AP22" s="17"/>
      <c r="AQ22" s="17"/>
      <c r="AR22" s="17"/>
      <c r="AS22" s="17"/>
      <c r="AT22" s="17"/>
      <c r="AU22" s="17"/>
      <c r="AW22" s="17"/>
      <c r="AX22" s="17"/>
      <c r="AY22" s="17"/>
      <c r="AZ22" s="17"/>
      <c r="BA22" s="17"/>
      <c r="BB22" s="17"/>
      <c r="BC22" s="17"/>
      <c r="BE22" s="17"/>
      <c r="BF22" s="17"/>
      <c r="BG22" s="17"/>
      <c r="BH22" s="17"/>
      <c r="BI22" s="17"/>
      <c r="BJ22" s="17"/>
      <c r="BK22" s="17"/>
      <c r="BM22" s="17"/>
      <c r="BN22" s="17"/>
      <c r="BO22" s="17"/>
      <c r="BP22" s="17"/>
      <c r="BQ22" s="17"/>
      <c r="BR22" s="17"/>
      <c r="BS22" s="17"/>
      <c r="BU22" s="17"/>
      <c r="BV22" s="17"/>
      <c r="BW22" s="17"/>
      <c r="BX22" s="17"/>
      <c r="BY22" s="17"/>
      <c r="BZ22" s="17"/>
      <c r="CA22" s="17"/>
      <c r="CC22" s="17"/>
      <c r="CD22" s="17"/>
      <c r="CE22" s="17"/>
      <c r="CF22" s="17"/>
      <c r="CG22" s="17"/>
      <c r="CH22" s="17"/>
      <c r="CI22" s="17"/>
      <c r="CK22" s="17"/>
      <c r="CL22" s="17"/>
      <c r="CM22" s="17"/>
      <c r="CN22" s="17"/>
      <c r="CO22" s="17"/>
      <c r="CP22" s="17"/>
      <c r="CQ22" s="17"/>
      <c r="CS22" s="17"/>
      <c r="CT22" s="17"/>
      <c r="CU22" s="17"/>
      <c r="CV22" s="17"/>
      <c r="CW22" s="17"/>
      <c r="CX22" s="17"/>
      <c r="CY22" s="17"/>
      <c r="DA22" s="17"/>
    </row>
    <row r="23" spans="1:105" s="21" customFormat="1" ht="15" customHeight="1" thickBot="1" x14ac:dyDescent="0.25">
      <c r="A23" s="25"/>
      <c r="B23" s="25"/>
      <c r="C23" s="6408" t="s">
        <v>83</v>
      </c>
      <c r="D23" s="25"/>
      <c r="E23" s="1188"/>
      <c r="F23" s="6571"/>
      <c r="G23" s="6571"/>
      <c r="H23" s="6571"/>
      <c r="I23" s="6571"/>
      <c r="J23" s="6571"/>
      <c r="K23" s="6571"/>
      <c r="L23" s="6571"/>
      <c r="M23" s="1442"/>
      <c r="N23" s="70"/>
      <c r="O23" s="70"/>
      <c r="P23" s="70"/>
      <c r="Q23" s="17"/>
      <c r="R23" s="17"/>
      <c r="S23" s="17"/>
      <c r="T23" s="70"/>
      <c r="U23" s="70"/>
      <c r="V23" s="17"/>
      <c r="W23" s="17"/>
      <c r="X23" s="70"/>
      <c r="Y23" s="70"/>
      <c r="Z23" s="70"/>
      <c r="AA23" s="70"/>
      <c r="AB23" s="70"/>
      <c r="AC23" s="70"/>
      <c r="AD23" s="70"/>
      <c r="AE23" s="70"/>
      <c r="AG23" s="492"/>
      <c r="AH23" s="582"/>
      <c r="AI23" s="582"/>
      <c r="AJ23" s="582"/>
      <c r="AK23" s="582"/>
      <c r="AL23" s="582"/>
      <c r="AM23" s="493"/>
      <c r="AO23" s="492"/>
      <c r="AP23" s="582"/>
      <c r="AQ23" s="582"/>
      <c r="AR23" s="582"/>
      <c r="AS23" s="582"/>
      <c r="AT23" s="582"/>
      <c r="AU23" s="493"/>
      <c r="AW23" s="492"/>
      <c r="AX23" s="582"/>
      <c r="AY23" s="582"/>
      <c r="AZ23" s="582"/>
      <c r="BA23" s="582"/>
      <c r="BB23" s="582"/>
      <c r="BC23" s="493"/>
      <c r="BE23" s="492"/>
      <c r="BF23" s="582"/>
      <c r="BG23" s="582"/>
      <c r="BH23" s="582"/>
      <c r="BI23" s="582"/>
      <c r="BJ23" s="582"/>
      <c r="BK23" s="493"/>
      <c r="BM23" s="492"/>
      <c r="BN23" s="582"/>
      <c r="BO23" s="582"/>
      <c r="BP23" s="582"/>
      <c r="BQ23" s="582"/>
      <c r="BR23" s="582"/>
      <c r="BS23" s="493"/>
      <c r="BU23" s="492"/>
      <c r="BV23" s="582"/>
      <c r="BW23" s="582"/>
      <c r="BX23" s="582"/>
      <c r="BY23" s="582"/>
      <c r="BZ23" s="582"/>
      <c r="CA23" s="493"/>
      <c r="CC23" s="492"/>
      <c r="CD23" s="582"/>
      <c r="CE23" s="582"/>
      <c r="CF23" s="582"/>
      <c r="CG23" s="582"/>
      <c r="CH23" s="582"/>
      <c r="CI23" s="493"/>
      <c r="CK23" s="492"/>
      <c r="CL23" s="582"/>
      <c r="CM23" s="582"/>
      <c r="CN23" s="582"/>
      <c r="CO23" s="582"/>
      <c r="CP23" s="582"/>
      <c r="CQ23" s="493"/>
      <c r="CS23" s="492"/>
      <c r="CT23" s="582"/>
      <c r="CU23" s="582"/>
      <c r="CV23" s="582"/>
      <c r="CW23" s="582"/>
      <c r="CX23" s="582"/>
      <c r="CY23" s="493"/>
      <c r="DA23" s="53"/>
    </row>
    <row r="24" spans="1:105" s="21" customFormat="1" ht="8.1" customHeight="1" thickBot="1" x14ac:dyDescent="0.25">
      <c r="A24" s="25"/>
      <c r="B24" s="25"/>
      <c r="C24" s="6408"/>
      <c r="D24" s="25"/>
      <c r="E24" s="14"/>
      <c r="F24" s="129"/>
      <c r="G24" s="129"/>
      <c r="H24" s="129"/>
      <c r="I24" s="129"/>
      <c r="J24" s="13"/>
      <c r="K24" s="15"/>
      <c r="L24" s="50"/>
      <c r="M24" s="15"/>
      <c r="N24" s="70"/>
      <c r="O24" s="70"/>
      <c r="P24" s="70"/>
      <c r="Q24" s="17"/>
      <c r="R24" s="17"/>
      <c r="S24" s="17"/>
      <c r="T24" s="70"/>
      <c r="U24" s="70"/>
      <c r="V24" s="17"/>
      <c r="W24" s="17"/>
      <c r="X24" s="70"/>
      <c r="Y24" s="70"/>
      <c r="AA24" s="136"/>
      <c r="AB24" s="17"/>
      <c r="AC24" s="17"/>
      <c r="AD24" s="17"/>
      <c r="AE24" s="17"/>
      <c r="AG24" s="17"/>
      <c r="AH24" s="17"/>
      <c r="AI24" s="17"/>
      <c r="AJ24" s="17"/>
      <c r="AK24" s="17"/>
      <c r="AL24" s="17"/>
      <c r="AM24" s="17"/>
      <c r="AO24" s="17"/>
      <c r="AP24" s="17"/>
      <c r="AQ24" s="17"/>
      <c r="AR24" s="17"/>
      <c r="AS24" s="17"/>
      <c r="AT24" s="17"/>
      <c r="AU24" s="17"/>
      <c r="AW24" s="17"/>
      <c r="AX24" s="17"/>
      <c r="AY24" s="17"/>
      <c r="AZ24" s="17"/>
      <c r="BA24" s="17"/>
      <c r="BB24" s="17"/>
      <c r="BC24" s="17"/>
      <c r="BE24" s="17"/>
      <c r="BF24" s="17"/>
      <c r="BG24" s="17"/>
      <c r="BH24" s="17"/>
      <c r="BI24" s="17"/>
      <c r="BJ24" s="17"/>
      <c r="BK24" s="17"/>
      <c r="BM24" s="17"/>
      <c r="BN24" s="17"/>
      <c r="BO24" s="17"/>
      <c r="BP24" s="17"/>
      <c r="BQ24" s="17"/>
      <c r="BR24" s="17"/>
      <c r="BS24" s="17"/>
      <c r="BU24" s="17"/>
      <c r="BV24" s="17"/>
      <c r="BW24" s="17"/>
      <c r="BX24" s="17"/>
      <c r="BY24" s="17"/>
      <c r="BZ24" s="17"/>
      <c r="CA24" s="17"/>
      <c r="CC24" s="17"/>
      <c r="CD24" s="17"/>
      <c r="CE24" s="17"/>
      <c r="CF24" s="17"/>
      <c r="CG24" s="17"/>
      <c r="CH24" s="17"/>
      <c r="CI24" s="17"/>
      <c r="CK24" s="17"/>
      <c r="CL24" s="17"/>
      <c r="CM24" s="17"/>
      <c r="CN24" s="17"/>
      <c r="CO24" s="17"/>
      <c r="CP24" s="17"/>
      <c r="CQ24" s="17"/>
      <c r="CS24" s="17"/>
      <c r="CT24" s="17"/>
      <c r="CU24" s="17"/>
      <c r="CV24" s="17"/>
      <c r="CW24" s="17"/>
      <c r="CX24" s="17"/>
      <c r="CY24" s="17"/>
      <c r="DA24" s="17"/>
    </row>
    <row r="25" spans="1:105" s="21" customFormat="1" ht="15" customHeight="1" thickBot="1" x14ac:dyDescent="0.25">
      <c r="A25" s="25"/>
      <c r="B25" s="25"/>
      <c r="C25" s="6408"/>
      <c r="D25" s="25"/>
      <c r="E25" s="574"/>
      <c r="F25" s="575"/>
      <c r="G25" s="575"/>
      <c r="H25" s="575"/>
      <c r="I25" s="575"/>
      <c r="J25" s="728"/>
      <c r="K25" s="728"/>
      <c r="L25" s="728"/>
      <c r="M25" s="1443"/>
      <c r="N25" s="15"/>
      <c r="O25" s="1393"/>
      <c r="P25" s="1394"/>
      <c r="Q25" s="1395"/>
      <c r="R25" s="1395"/>
      <c r="S25" s="1400"/>
      <c r="T25" s="70"/>
      <c r="U25" s="1393"/>
      <c r="V25" s="1396"/>
      <c r="W25" s="1400"/>
      <c r="X25" s="70"/>
      <c r="Y25" s="6735" t="str">
        <f>_Calcs!$K$84</f>
        <v>Beregnet tidforbruk</v>
      </c>
      <c r="AA25" s="4019"/>
      <c r="AB25" s="4020"/>
      <c r="AC25" s="4020"/>
      <c r="AD25" s="4020"/>
      <c r="AE25" s="4021"/>
      <c r="AG25" s="1402"/>
      <c r="AH25" s="575"/>
      <c r="AI25" s="738"/>
      <c r="AJ25" s="728"/>
      <c r="AK25" s="739"/>
      <c r="AL25" s="739"/>
      <c r="AM25" s="1403"/>
      <c r="AO25" s="1402"/>
      <c r="AP25" s="575"/>
      <c r="AQ25" s="738"/>
      <c r="AR25" s="728"/>
      <c r="AS25" s="739"/>
      <c r="AT25" s="739"/>
      <c r="AU25" s="1403"/>
      <c r="AW25" s="1402"/>
      <c r="AX25" s="575"/>
      <c r="AY25" s="738"/>
      <c r="AZ25" s="728"/>
      <c r="BA25" s="739"/>
      <c r="BB25" s="739"/>
      <c r="BC25" s="1403"/>
      <c r="BE25" s="1402"/>
      <c r="BF25" s="575"/>
      <c r="BG25" s="738"/>
      <c r="BH25" s="728"/>
      <c r="BI25" s="739"/>
      <c r="BJ25" s="739"/>
      <c r="BK25" s="1403"/>
      <c r="BM25" s="1402"/>
      <c r="BN25" s="575"/>
      <c r="BO25" s="738"/>
      <c r="BP25" s="728"/>
      <c r="BQ25" s="739"/>
      <c r="BR25" s="739"/>
      <c r="BS25" s="1403"/>
      <c r="BU25" s="1402"/>
      <c r="BV25" s="575"/>
      <c r="BW25" s="738"/>
      <c r="BX25" s="728"/>
      <c r="BY25" s="739"/>
      <c r="BZ25" s="739"/>
      <c r="CA25" s="1403"/>
      <c r="CC25" s="1402"/>
      <c r="CD25" s="575"/>
      <c r="CE25" s="738"/>
      <c r="CF25" s="728"/>
      <c r="CG25" s="739"/>
      <c r="CH25" s="739"/>
      <c r="CI25" s="1403"/>
      <c r="CK25" s="1402"/>
      <c r="CL25" s="575"/>
      <c r="CM25" s="738"/>
      <c r="CN25" s="728"/>
      <c r="CO25" s="739"/>
      <c r="CP25" s="739"/>
      <c r="CQ25" s="1403"/>
      <c r="CS25" s="1402"/>
      <c r="CT25" s="575"/>
      <c r="CU25" s="738"/>
      <c r="CV25" s="728"/>
      <c r="CW25" s="739"/>
      <c r="CX25" s="739"/>
      <c r="CY25" s="1403"/>
      <c r="DA25" s="54"/>
    </row>
    <row r="26" spans="1:105" s="21" customFormat="1" ht="20.100000000000001" customHeight="1" thickBot="1" x14ac:dyDescent="0.25">
      <c r="A26" s="25"/>
      <c r="B26" s="25"/>
      <c r="C26" s="6408"/>
      <c r="D26" s="25"/>
      <c r="E26" s="577"/>
      <c r="F26" s="160" t="str">
        <f>_Calcs!$M$43</f>
        <v>Sondérboring</v>
      </c>
      <c r="G26" s="160"/>
      <c r="H26" s="160"/>
      <c r="I26" s="160"/>
      <c r="J26" s="156"/>
      <c r="K26" s="160"/>
      <c r="L26" s="156"/>
      <c r="M26" s="1445"/>
      <c r="N26" s="15"/>
      <c r="O26" s="1391"/>
      <c r="P26" s="166">
        <f>_Kapasitet!U15</f>
        <v>60</v>
      </c>
      <c r="Q26" s="1389"/>
      <c r="R26" s="2514" t="str">
        <f>_Kapasitet!W15</f>
        <v>Standard</v>
      </c>
      <c r="S26" s="1399"/>
      <c r="T26" s="70"/>
      <c r="U26" s="1391"/>
      <c r="V26" s="1390" t="s">
        <v>10</v>
      </c>
      <c r="W26" s="1399"/>
      <c r="X26" s="70"/>
      <c r="Y26" s="6736"/>
      <c r="AA26" s="4022"/>
      <c r="AB26" s="6738" t="s">
        <v>46</v>
      </c>
      <c r="AC26" s="6738"/>
      <c r="AD26" s="6738"/>
      <c r="AE26" s="1351"/>
      <c r="AG26" s="578"/>
      <c r="AH26" s="160"/>
      <c r="AI26" s="3994">
        <f>INDEX(outputs_oppsum[Sonderboring],MATCH(_Calcs!$NO$40,outputs_oppsum[stuff_id],0))</f>
        <v>0</v>
      </c>
      <c r="AJ26" s="56"/>
      <c r="AK26" s="158" t="str">
        <f>IF(_Calcs!$NO$333=1,"✓","!")</f>
        <v>!</v>
      </c>
      <c r="AL26" s="741"/>
      <c r="AM26" s="1384"/>
      <c r="AO26" s="578"/>
      <c r="AP26" s="160"/>
      <c r="AQ26" s="3994" t="e">
        <f>INDEX(outputs_oppsum[Sonderboring],MATCH(_Calcs!$NP$40,outputs_oppsum[stuff_id],0))</f>
        <v>#N/A</v>
      </c>
      <c r="AR26" s="56"/>
      <c r="AS26" s="158" t="e">
        <f>IF(_Calcs!$NP$333=1,"✓","!")</f>
        <v>#N/A</v>
      </c>
      <c r="AT26" s="741"/>
      <c r="AU26" s="1384"/>
      <c r="AW26" s="578"/>
      <c r="AX26" s="160"/>
      <c r="AY26" s="3994" t="e">
        <f>INDEX(outputs_oppsum[Sonderboring],MATCH(_Calcs!$NQ$40,outputs_oppsum[stuff_id],0))</f>
        <v>#N/A</v>
      </c>
      <c r="AZ26" s="56"/>
      <c r="BA26" s="158" t="e">
        <f>IF(_Calcs!$NQ$333=1,"✓","!")</f>
        <v>#N/A</v>
      </c>
      <c r="BB26" s="741"/>
      <c r="BC26" s="1384"/>
      <c r="BE26" s="578"/>
      <c r="BF26" s="160"/>
      <c r="BG26" s="3994" t="e">
        <f>INDEX(outputs_oppsum[Sonderboring],MATCH(_Calcs!$NR$40,outputs_oppsum[stuff_id],0))</f>
        <v>#N/A</v>
      </c>
      <c r="BH26" s="56"/>
      <c r="BI26" s="158" t="e">
        <f>IF(_Calcs!$NR$333=1,"✓","!")</f>
        <v>#N/A</v>
      </c>
      <c r="BJ26" s="741"/>
      <c r="BK26" s="1384"/>
      <c r="BM26" s="578"/>
      <c r="BN26" s="160"/>
      <c r="BO26" s="3994" t="e">
        <f>INDEX(outputs_oppsum[Sonderboring],MATCH(_Calcs!$NS$40,outputs_oppsum[stuff_id],0))</f>
        <v>#N/A</v>
      </c>
      <c r="BP26" s="56"/>
      <c r="BQ26" s="158" t="e">
        <f>IF(_Calcs!$NS$333=1,"✓","!")</f>
        <v>#N/A</v>
      </c>
      <c r="BR26" s="741"/>
      <c r="BS26" s="1384"/>
      <c r="BU26" s="578"/>
      <c r="BV26" s="160"/>
      <c r="BW26" s="3994" t="e">
        <f>INDEX(outputs_oppsum[Sonderboring],MATCH(_Calcs!$NT$40,outputs_oppsum[stuff_id],0))</f>
        <v>#N/A</v>
      </c>
      <c r="BX26" s="56"/>
      <c r="BY26" s="158" t="e">
        <f>IF(_Calcs!$NT$333=1,"✓","!")</f>
        <v>#N/A</v>
      </c>
      <c r="BZ26" s="741"/>
      <c r="CA26" s="1384"/>
      <c r="CC26" s="578"/>
      <c r="CD26" s="160"/>
      <c r="CE26" s="3994" t="e">
        <f>INDEX(outputs_oppsum[Sonderboring],MATCH(_Calcs!$NU$40,outputs_oppsum[stuff_id],0))</f>
        <v>#N/A</v>
      </c>
      <c r="CF26" s="56"/>
      <c r="CG26" s="158" t="e">
        <f>IF(_Calcs!$NU$333=1,"✓","!")</f>
        <v>#N/A</v>
      </c>
      <c r="CH26" s="741"/>
      <c r="CI26" s="1384"/>
      <c r="CK26" s="578"/>
      <c r="CL26" s="160"/>
      <c r="CM26" s="3994" t="e">
        <f>INDEX(outputs_oppsum[Sonderboring],MATCH(_Calcs!$NV$40,outputs_oppsum[stuff_id],0))</f>
        <v>#N/A</v>
      </c>
      <c r="CN26" s="56"/>
      <c r="CO26" s="158" t="e">
        <f>IF(_Calcs!$NV$333=1,"✓","!")</f>
        <v>#N/A</v>
      </c>
      <c r="CP26" s="741"/>
      <c r="CQ26" s="1384"/>
      <c r="CS26" s="578"/>
      <c r="CT26" s="160"/>
      <c r="CU26" s="3994" t="e">
        <f>INDEX(outputs_oppsum[Sonderboring],MATCH(_Calcs!$NW$40,outputs_oppsum[stuff_id],0))</f>
        <v>#N/A</v>
      </c>
      <c r="CV26" s="56"/>
      <c r="CW26" s="158" t="e">
        <f>IF(_Calcs!$NW$333=1,"✓","!")</f>
        <v>#N/A</v>
      </c>
      <c r="CX26" s="741"/>
      <c r="CY26" s="1384"/>
      <c r="DA26" s="54"/>
    </row>
    <row r="27" spans="1:105" s="21" customFormat="1" ht="15" customHeight="1" thickBot="1" x14ac:dyDescent="0.25">
      <c r="A27" s="25"/>
      <c r="B27" s="25"/>
      <c r="C27" s="6408"/>
      <c r="D27" s="25"/>
      <c r="E27" s="577"/>
      <c r="F27" s="160"/>
      <c r="G27" s="160"/>
      <c r="H27" s="160"/>
      <c r="I27" s="160"/>
      <c r="J27" s="156"/>
      <c r="K27" s="160"/>
      <c r="L27" s="156"/>
      <c r="M27" s="1446"/>
      <c r="N27" s="111"/>
      <c r="O27" s="1391"/>
      <c r="P27" s="1392"/>
      <c r="Q27" s="1389"/>
      <c r="R27" s="1389"/>
      <c r="S27" s="1399"/>
      <c r="T27" s="70"/>
      <c r="U27" s="1391"/>
      <c r="V27" s="1390"/>
      <c r="W27" s="1399"/>
      <c r="X27" s="70"/>
      <c r="Y27" s="6736"/>
      <c r="Z27" s="70"/>
      <c r="AA27" s="3999"/>
      <c r="AB27" s="1323"/>
      <c r="AC27" s="1323"/>
      <c r="AD27" s="1323"/>
      <c r="AE27" s="1351"/>
      <c r="AF27" s="70"/>
      <c r="AG27" s="578"/>
      <c r="AH27" s="160"/>
      <c r="AI27" s="58"/>
      <c r="AJ27" s="56"/>
      <c r="AK27" s="741"/>
      <c r="AL27" s="741"/>
      <c r="AM27" s="1384"/>
      <c r="AO27" s="578"/>
      <c r="AP27" s="160"/>
      <c r="AQ27" s="58"/>
      <c r="AR27" s="56"/>
      <c r="AS27" s="741"/>
      <c r="AT27" s="741"/>
      <c r="AU27" s="1384"/>
      <c r="AW27" s="578"/>
      <c r="AX27" s="160"/>
      <c r="AY27" s="58"/>
      <c r="AZ27" s="56"/>
      <c r="BA27" s="741"/>
      <c r="BB27" s="741"/>
      <c r="BC27" s="1384"/>
      <c r="BE27" s="578"/>
      <c r="BF27" s="160"/>
      <c r="BG27" s="58"/>
      <c r="BH27" s="56"/>
      <c r="BI27" s="741"/>
      <c r="BJ27" s="741"/>
      <c r="BK27" s="1384"/>
      <c r="BM27" s="578"/>
      <c r="BN27" s="160"/>
      <c r="BO27" s="58"/>
      <c r="BP27" s="56"/>
      <c r="BQ27" s="741"/>
      <c r="BR27" s="741"/>
      <c r="BS27" s="1384"/>
      <c r="BU27" s="578"/>
      <c r="BV27" s="160"/>
      <c r="BW27" s="58"/>
      <c r="BX27" s="56"/>
      <c r="BY27" s="741"/>
      <c r="BZ27" s="741"/>
      <c r="CA27" s="1384"/>
      <c r="CC27" s="578"/>
      <c r="CD27" s="160"/>
      <c r="CE27" s="58"/>
      <c r="CF27" s="56"/>
      <c r="CG27" s="741"/>
      <c r="CH27" s="741"/>
      <c r="CI27" s="1384"/>
      <c r="CK27" s="578"/>
      <c r="CL27" s="160"/>
      <c r="CM27" s="58"/>
      <c r="CN27" s="56"/>
      <c r="CO27" s="741"/>
      <c r="CP27" s="741"/>
      <c r="CQ27" s="1384"/>
      <c r="CS27" s="578"/>
      <c r="CT27" s="160"/>
      <c r="CU27" s="58"/>
      <c r="CV27" s="56"/>
      <c r="CW27" s="741"/>
      <c r="CX27" s="741"/>
      <c r="CY27" s="1384"/>
      <c r="DA27" s="54"/>
    </row>
    <row r="28" spans="1:105" s="21" customFormat="1" ht="20.100000000000001" customHeight="1" thickBot="1" x14ac:dyDescent="0.25">
      <c r="A28" s="25"/>
      <c r="B28" s="25"/>
      <c r="C28" s="1198"/>
      <c r="D28" s="25"/>
      <c r="E28" s="577"/>
      <c r="F28" s="160" t="str">
        <f>_Calcs!$M$44</f>
        <v>Kjerneboring</v>
      </c>
      <c r="G28" s="160"/>
      <c r="H28" s="160"/>
      <c r="I28" s="160"/>
      <c r="J28" s="156"/>
      <c r="K28" s="160"/>
      <c r="L28" s="156"/>
      <c r="M28" s="1446"/>
      <c r="N28" s="15"/>
      <c r="O28" s="1391"/>
      <c r="P28" s="166">
        <f>_Kapasitet!U16</f>
        <v>1</v>
      </c>
      <c r="Q28" s="1389"/>
      <c r="R28" s="2514" t="str">
        <f>_Kapasitet!W16</f>
        <v>Standard</v>
      </c>
      <c r="S28" s="1399"/>
      <c r="T28" s="70"/>
      <c r="U28" s="1391"/>
      <c r="V28" s="1390" t="s">
        <v>31</v>
      </c>
      <c r="W28" s="1399"/>
      <c r="X28" s="70"/>
      <c r="Y28" s="6736"/>
      <c r="Z28" s="70"/>
      <c r="AA28" s="3999"/>
      <c r="AB28" s="6738" t="s">
        <v>46</v>
      </c>
      <c r="AC28" s="6738"/>
      <c r="AD28" s="6738"/>
      <c r="AE28" s="1351"/>
      <c r="AF28" s="70"/>
      <c r="AG28" s="578"/>
      <c r="AH28" s="160"/>
      <c r="AI28" s="3994">
        <f>INDEX(outputs_oppsum[Kjerneboring],MATCH(_Calcs!$NO$40,outputs_oppsum[stuff_id],0))</f>
        <v>0</v>
      </c>
      <c r="AJ28" s="56"/>
      <c r="AK28" s="158" t="str">
        <f>IF(_Calcs!$NO$334=1,"✓","!")</f>
        <v>!</v>
      </c>
      <c r="AL28" s="741"/>
      <c r="AM28" s="1384"/>
      <c r="AO28" s="578"/>
      <c r="AP28" s="160"/>
      <c r="AQ28" s="3994" t="e">
        <f>INDEX(outputs_oppsum[Kjerneboring],MATCH(_Calcs!$NP$40,outputs_oppsum[stuff_id],0))</f>
        <v>#N/A</v>
      </c>
      <c r="AR28" s="56"/>
      <c r="AS28" s="158" t="e">
        <f>IF(_Calcs!$NP$334=1,"✓","!")</f>
        <v>#N/A</v>
      </c>
      <c r="AT28" s="741"/>
      <c r="AU28" s="1384"/>
      <c r="AW28" s="578"/>
      <c r="AX28" s="160"/>
      <c r="AY28" s="3994" t="e">
        <f>INDEX(outputs_oppsum[Kjerneboring],MATCH(_Calcs!$NQ$40,outputs_oppsum[stuff_id],0))</f>
        <v>#N/A</v>
      </c>
      <c r="AZ28" s="56"/>
      <c r="BA28" s="158" t="e">
        <f>IF(_Calcs!$NQ$334=1,"✓","!")</f>
        <v>#N/A</v>
      </c>
      <c r="BB28" s="741"/>
      <c r="BC28" s="1384"/>
      <c r="BE28" s="578"/>
      <c r="BF28" s="160"/>
      <c r="BG28" s="3994" t="e">
        <f>INDEX(outputs_oppsum[Kjerneboring],MATCH(_Calcs!$NR$40,outputs_oppsum[stuff_id],0))</f>
        <v>#N/A</v>
      </c>
      <c r="BH28" s="56"/>
      <c r="BI28" s="158" t="e">
        <f>IF(_Calcs!$NR$334=1,"✓","!")</f>
        <v>#N/A</v>
      </c>
      <c r="BJ28" s="741"/>
      <c r="BK28" s="1384"/>
      <c r="BM28" s="578"/>
      <c r="BN28" s="160"/>
      <c r="BO28" s="3994" t="e">
        <f>INDEX(outputs_oppsum[Kjerneboring],MATCH(_Calcs!$NS$40,outputs_oppsum[stuff_id],0))</f>
        <v>#N/A</v>
      </c>
      <c r="BP28" s="56"/>
      <c r="BQ28" s="158" t="e">
        <f>IF(_Calcs!$NS$334=1,"✓","!")</f>
        <v>#N/A</v>
      </c>
      <c r="BR28" s="741"/>
      <c r="BS28" s="1384"/>
      <c r="BU28" s="578"/>
      <c r="BV28" s="160"/>
      <c r="BW28" s="3994" t="e">
        <f>INDEX(outputs_oppsum[Kjerneboring],MATCH(_Calcs!$NT$40,outputs_oppsum[stuff_id],0))</f>
        <v>#N/A</v>
      </c>
      <c r="BX28" s="56"/>
      <c r="BY28" s="158" t="e">
        <f>IF(_Calcs!$NT$334=1,"✓","!")</f>
        <v>#N/A</v>
      </c>
      <c r="BZ28" s="741"/>
      <c r="CA28" s="1384"/>
      <c r="CC28" s="578"/>
      <c r="CD28" s="160"/>
      <c r="CE28" s="3994" t="e">
        <f>INDEX(outputs_oppsum[Kjerneboring],MATCH(_Calcs!$NU$40,outputs_oppsum[stuff_id],0))</f>
        <v>#N/A</v>
      </c>
      <c r="CF28" s="56"/>
      <c r="CG28" s="158" t="e">
        <f>IF(_Calcs!$NU$334=1,"✓","!")</f>
        <v>#N/A</v>
      </c>
      <c r="CH28" s="741"/>
      <c r="CI28" s="1384"/>
      <c r="CK28" s="578"/>
      <c r="CL28" s="160"/>
      <c r="CM28" s="3994" t="e">
        <f>INDEX(outputs_oppsum[Kjerneboring],MATCH(_Calcs!$NV$40,outputs_oppsum[stuff_id],0))</f>
        <v>#N/A</v>
      </c>
      <c r="CN28" s="56"/>
      <c r="CO28" s="158" t="e">
        <f>IF(_Calcs!$NV$334=1,"✓","!")</f>
        <v>#N/A</v>
      </c>
      <c r="CP28" s="741"/>
      <c r="CQ28" s="1384"/>
      <c r="CS28" s="578"/>
      <c r="CT28" s="160"/>
      <c r="CU28" s="3994" t="e">
        <f>INDEX(outputs_oppsum[Kjerneboring],MATCH(_Calcs!$NW$40,outputs_oppsum[stuff_id],0))</f>
        <v>#N/A</v>
      </c>
      <c r="CV28" s="56"/>
      <c r="CW28" s="158" t="e">
        <f>IF(_Calcs!$NW$334=1,"✓","!")</f>
        <v>#N/A</v>
      </c>
      <c r="CX28" s="741"/>
      <c r="CY28" s="1384"/>
      <c r="DA28" s="54"/>
    </row>
    <row r="29" spans="1:105" s="21" customFormat="1" ht="15" customHeight="1" thickBot="1" x14ac:dyDescent="0.25">
      <c r="A29" s="25"/>
      <c r="B29" s="25"/>
      <c r="C29" s="1198"/>
      <c r="D29" s="25"/>
      <c r="E29" s="731"/>
      <c r="F29" s="579"/>
      <c r="G29" s="579"/>
      <c r="H29" s="579"/>
      <c r="I29" s="579"/>
      <c r="J29" s="1180"/>
      <c r="K29" s="579"/>
      <c r="L29" s="1180"/>
      <c r="M29" s="1448"/>
      <c r="N29" s="15"/>
      <c r="O29" s="1385"/>
      <c r="P29" s="1386"/>
      <c r="Q29" s="1387"/>
      <c r="R29" s="1387"/>
      <c r="S29" s="1398"/>
      <c r="T29" s="70"/>
      <c r="U29" s="1385"/>
      <c r="V29" s="1388"/>
      <c r="W29" s="1398"/>
      <c r="X29" s="70"/>
      <c r="Y29" s="6736"/>
      <c r="Z29" s="70"/>
      <c r="AA29" s="4000"/>
      <c r="AB29" s="1417"/>
      <c r="AC29" s="1417"/>
      <c r="AD29" s="1417"/>
      <c r="AE29" s="1422"/>
      <c r="AF29" s="70"/>
      <c r="AG29" s="1404"/>
      <c r="AH29" s="579"/>
      <c r="AI29" s="579"/>
      <c r="AJ29" s="743"/>
      <c r="AK29" s="579"/>
      <c r="AL29" s="579"/>
      <c r="AM29" s="1405"/>
      <c r="AO29" s="1404"/>
      <c r="AP29" s="579"/>
      <c r="AQ29" s="579"/>
      <c r="AR29" s="743"/>
      <c r="AS29" s="579"/>
      <c r="AT29" s="579"/>
      <c r="AU29" s="1405"/>
      <c r="AW29" s="1404"/>
      <c r="AX29" s="579"/>
      <c r="AY29" s="579"/>
      <c r="AZ29" s="743"/>
      <c r="BA29" s="579"/>
      <c r="BB29" s="579"/>
      <c r="BC29" s="1405"/>
      <c r="BE29" s="1404"/>
      <c r="BF29" s="579"/>
      <c r="BG29" s="579"/>
      <c r="BH29" s="743"/>
      <c r="BI29" s="579"/>
      <c r="BJ29" s="579"/>
      <c r="BK29" s="1405"/>
      <c r="BM29" s="1404"/>
      <c r="BN29" s="579"/>
      <c r="BO29" s="579"/>
      <c r="BP29" s="743"/>
      <c r="BQ29" s="579"/>
      <c r="BR29" s="579"/>
      <c r="BS29" s="1405"/>
      <c r="BU29" s="1404"/>
      <c r="BV29" s="579"/>
      <c r="BW29" s="579"/>
      <c r="BX29" s="743"/>
      <c r="BY29" s="579"/>
      <c r="BZ29" s="579"/>
      <c r="CA29" s="1405"/>
      <c r="CC29" s="1404"/>
      <c r="CD29" s="579"/>
      <c r="CE29" s="579"/>
      <c r="CF29" s="743"/>
      <c r="CG29" s="579"/>
      <c r="CH29" s="579"/>
      <c r="CI29" s="1405"/>
      <c r="CK29" s="1404"/>
      <c r="CL29" s="579"/>
      <c r="CM29" s="579"/>
      <c r="CN29" s="743"/>
      <c r="CO29" s="579"/>
      <c r="CP29" s="579"/>
      <c r="CQ29" s="1405"/>
      <c r="CS29" s="1404"/>
      <c r="CT29" s="579"/>
      <c r="CU29" s="579"/>
      <c r="CV29" s="743"/>
      <c r="CW29" s="579"/>
      <c r="CX29" s="579"/>
      <c r="CY29" s="1405"/>
      <c r="DA29" s="54"/>
    </row>
    <row r="30" spans="1:105" s="21" customFormat="1" ht="8.1" customHeight="1" thickBot="1" x14ac:dyDescent="0.25">
      <c r="A30" s="25"/>
      <c r="B30" s="25"/>
      <c r="C30" s="2615"/>
      <c r="D30" s="25"/>
      <c r="E30" s="20"/>
      <c r="F30" s="136"/>
      <c r="G30" s="136"/>
      <c r="H30" s="136"/>
      <c r="I30" s="136"/>
      <c r="J30" s="1181"/>
      <c r="L30" s="1181"/>
      <c r="M30" s="137"/>
      <c r="N30" s="15"/>
      <c r="O30" s="13"/>
      <c r="P30" s="1382"/>
      <c r="Q30" s="13"/>
      <c r="R30" s="13"/>
      <c r="S30" s="13"/>
      <c r="T30" s="70"/>
      <c r="U30" s="13"/>
      <c r="V30" s="15"/>
      <c r="W30" s="13"/>
      <c r="X30" s="70"/>
      <c r="Y30" s="6736"/>
      <c r="Z30" s="70"/>
      <c r="AA30" s="78"/>
      <c r="AB30" s="17"/>
      <c r="AC30" s="17"/>
      <c r="AD30" s="17"/>
      <c r="AE30" s="17"/>
      <c r="AF30" s="70"/>
      <c r="AI30" s="36"/>
      <c r="AJ30" s="16"/>
      <c r="AK30" s="954"/>
      <c r="AL30" s="954"/>
      <c r="AQ30" s="36"/>
      <c r="AR30" s="16"/>
      <c r="AS30" s="954"/>
      <c r="AT30" s="954"/>
      <c r="AY30" s="36"/>
      <c r="AZ30" s="16"/>
      <c r="BA30" s="954"/>
      <c r="BB30" s="954"/>
      <c r="BG30" s="36"/>
      <c r="BH30" s="16"/>
      <c r="BI30" s="954"/>
      <c r="BJ30" s="954"/>
      <c r="BO30" s="36"/>
      <c r="BP30" s="16"/>
      <c r="BQ30" s="954"/>
      <c r="BR30" s="954"/>
      <c r="BW30" s="36"/>
      <c r="BX30" s="16"/>
      <c r="BY30" s="954"/>
      <c r="BZ30" s="954"/>
      <c r="CE30" s="36"/>
      <c r="CF30" s="16"/>
      <c r="CG30" s="954"/>
      <c r="CH30" s="954"/>
      <c r="CM30" s="36"/>
      <c r="CN30" s="16"/>
      <c r="CO30" s="954"/>
      <c r="CP30" s="954"/>
      <c r="CU30" s="36"/>
      <c r="CV30" s="16"/>
      <c r="CW30" s="954"/>
      <c r="CX30" s="954"/>
    </row>
    <row r="31" spans="1:105" s="21" customFormat="1" ht="15" customHeight="1" thickBot="1" x14ac:dyDescent="0.25">
      <c r="A31" s="25"/>
      <c r="B31" s="25"/>
      <c r="C31" s="2615"/>
      <c r="D31" s="25"/>
      <c r="E31" s="574"/>
      <c r="F31" s="575"/>
      <c r="G31" s="575"/>
      <c r="H31" s="575"/>
      <c r="I31" s="575"/>
      <c r="J31" s="1183"/>
      <c r="K31" s="575"/>
      <c r="L31" s="1183"/>
      <c r="M31" s="1443"/>
      <c r="N31" s="15"/>
      <c r="O31" s="1393"/>
      <c r="P31" s="1394"/>
      <c r="Q31" s="1395"/>
      <c r="R31" s="1395"/>
      <c r="S31" s="1400"/>
      <c r="T31" s="70"/>
      <c r="U31" s="1393"/>
      <c r="V31" s="1396"/>
      <c r="W31" s="1400"/>
      <c r="X31" s="70"/>
      <c r="Y31" s="6736"/>
      <c r="Z31" s="70"/>
      <c r="AA31" s="4023"/>
      <c r="AB31" s="1418"/>
      <c r="AC31" s="1418"/>
      <c r="AD31" s="1418"/>
      <c r="AE31" s="1424"/>
      <c r="AF31" s="70"/>
      <c r="AG31" s="1402"/>
      <c r="AH31" s="575"/>
      <c r="AI31" s="738"/>
      <c r="AJ31" s="728"/>
      <c r="AK31" s="739"/>
      <c r="AL31" s="739"/>
      <c r="AM31" s="1403"/>
      <c r="AO31" s="1402"/>
      <c r="AP31" s="575"/>
      <c r="AQ31" s="738"/>
      <c r="AR31" s="728"/>
      <c r="AS31" s="739"/>
      <c r="AT31" s="739"/>
      <c r="AU31" s="1403"/>
      <c r="AW31" s="1402"/>
      <c r="AX31" s="575"/>
      <c r="AY31" s="738"/>
      <c r="AZ31" s="728"/>
      <c r="BA31" s="739"/>
      <c r="BB31" s="739"/>
      <c r="BC31" s="1403"/>
      <c r="BE31" s="1402"/>
      <c r="BF31" s="575"/>
      <c r="BG31" s="738"/>
      <c r="BH31" s="728"/>
      <c r="BI31" s="739"/>
      <c r="BJ31" s="739"/>
      <c r="BK31" s="1403"/>
      <c r="BM31" s="1402"/>
      <c r="BN31" s="575"/>
      <c r="BO31" s="738"/>
      <c r="BP31" s="728"/>
      <c r="BQ31" s="739"/>
      <c r="BR31" s="739"/>
      <c r="BS31" s="1403"/>
      <c r="BU31" s="1402"/>
      <c r="BV31" s="575"/>
      <c r="BW31" s="738"/>
      <c r="BX31" s="728"/>
      <c r="BY31" s="739"/>
      <c r="BZ31" s="739"/>
      <c r="CA31" s="1403"/>
      <c r="CC31" s="1402"/>
      <c r="CD31" s="575"/>
      <c r="CE31" s="738"/>
      <c r="CF31" s="728"/>
      <c r="CG31" s="739"/>
      <c r="CH31" s="739"/>
      <c r="CI31" s="1403"/>
      <c r="CK31" s="1402"/>
      <c r="CL31" s="575"/>
      <c r="CM31" s="738"/>
      <c r="CN31" s="728"/>
      <c r="CO31" s="739"/>
      <c r="CP31" s="739"/>
      <c r="CQ31" s="1403"/>
      <c r="CS31" s="1402"/>
      <c r="CT31" s="575"/>
      <c r="CU31" s="738"/>
      <c r="CV31" s="728"/>
      <c r="CW31" s="739"/>
      <c r="CX31" s="739"/>
      <c r="CY31" s="1403"/>
      <c r="DA31" s="160"/>
    </row>
    <row r="32" spans="1:105" s="21" customFormat="1" ht="20.100000000000001" customHeight="1" thickBot="1" x14ac:dyDescent="0.25">
      <c r="A32" s="25"/>
      <c r="B32" s="25"/>
      <c r="C32" s="2615"/>
      <c r="D32" s="25"/>
      <c r="E32" s="577"/>
      <c r="F32" s="160" t="str">
        <f>_Calcs!$M$45</f>
        <v>Seismikk</v>
      </c>
      <c r="G32" s="160"/>
      <c r="H32" s="160"/>
      <c r="I32" s="160"/>
      <c r="J32" s="156"/>
      <c r="K32" s="160"/>
      <c r="L32" s="156"/>
      <c r="M32" s="1446"/>
      <c r="N32" s="15"/>
      <c r="O32" s="1391"/>
      <c r="P32" s="166">
        <f>_Kapasitet!U17</f>
        <v>1</v>
      </c>
      <c r="Q32" s="1389"/>
      <c r="R32" s="2514" t="str">
        <f>_Kapasitet!W17</f>
        <v>Standard</v>
      </c>
      <c r="S32" s="1399"/>
      <c r="T32" s="70"/>
      <c r="U32" s="1391"/>
      <c r="V32" s="1390" t="s">
        <v>31</v>
      </c>
      <c r="W32" s="1399"/>
      <c r="X32" s="70"/>
      <c r="Y32" s="6736"/>
      <c r="Z32" s="70"/>
      <c r="AA32" s="3999"/>
      <c r="AB32" s="6738" t="s">
        <v>46</v>
      </c>
      <c r="AC32" s="6738"/>
      <c r="AD32" s="6738"/>
      <c r="AE32" s="1351"/>
      <c r="AF32" s="70"/>
      <c r="AG32" s="578"/>
      <c r="AH32" s="160"/>
      <c r="AI32" s="3994">
        <f>INDEX(outputs_oppsum[Seismikk],MATCH(_Calcs!$NO$40,outputs_oppsum[stuff_id],0))</f>
        <v>0</v>
      </c>
      <c r="AJ32" s="56"/>
      <c r="AK32" s="158" t="str">
        <f>IF(_Calcs!$NO$335=1,"✓","!")</f>
        <v>!</v>
      </c>
      <c r="AL32" s="741"/>
      <c r="AM32" s="1384"/>
      <c r="AO32" s="578"/>
      <c r="AP32" s="160"/>
      <c r="AQ32" s="3994" t="e">
        <f>INDEX(outputs_oppsum[Seismikk],MATCH(_Calcs!$NP$40,outputs_oppsum[stuff_id],0))</f>
        <v>#N/A</v>
      </c>
      <c r="AR32" s="56"/>
      <c r="AS32" s="158" t="e">
        <f>IF(_Calcs!$NP$335=1,"✓","!")</f>
        <v>#N/A</v>
      </c>
      <c r="AT32" s="741"/>
      <c r="AU32" s="1384"/>
      <c r="AW32" s="578"/>
      <c r="AX32" s="160"/>
      <c r="AY32" s="3994" t="e">
        <f>INDEX(outputs_oppsum[Seismikk],MATCH(_Calcs!$NQ$40,outputs_oppsum[stuff_id],0))</f>
        <v>#N/A</v>
      </c>
      <c r="AZ32" s="56"/>
      <c r="BA32" s="158" t="e">
        <f>IF(_Calcs!$NQ$335=1,"✓","!")</f>
        <v>#N/A</v>
      </c>
      <c r="BB32" s="741"/>
      <c r="BC32" s="1384"/>
      <c r="BE32" s="578"/>
      <c r="BF32" s="160"/>
      <c r="BG32" s="3994" t="e">
        <f>INDEX(outputs_oppsum[Seismikk],MATCH(_Calcs!$NR$40,outputs_oppsum[stuff_id],0))</f>
        <v>#N/A</v>
      </c>
      <c r="BH32" s="56"/>
      <c r="BI32" s="158" t="e">
        <f>IF(_Calcs!$NR$335=1,"✓","!")</f>
        <v>#N/A</v>
      </c>
      <c r="BJ32" s="741"/>
      <c r="BK32" s="1384"/>
      <c r="BM32" s="578"/>
      <c r="BN32" s="160"/>
      <c r="BO32" s="3994" t="e">
        <f>INDEX(outputs_oppsum[Seismikk],MATCH(_Calcs!$NS$40,outputs_oppsum[stuff_id],0))</f>
        <v>#N/A</v>
      </c>
      <c r="BP32" s="56"/>
      <c r="BQ32" s="158" t="e">
        <f>IF(_Calcs!$NS$335=1,"✓","!")</f>
        <v>#N/A</v>
      </c>
      <c r="BR32" s="741"/>
      <c r="BS32" s="1384"/>
      <c r="BU32" s="578"/>
      <c r="BV32" s="160"/>
      <c r="BW32" s="3994" t="e">
        <f>INDEX(outputs_oppsum[Seismikk],MATCH(_Calcs!$NT$40,outputs_oppsum[stuff_id],0))</f>
        <v>#N/A</v>
      </c>
      <c r="BX32" s="56"/>
      <c r="BY32" s="158" t="e">
        <f>IF(_Calcs!$NT$335=1,"✓","!")</f>
        <v>#N/A</v>
      </c>
      <c r="BZ32" s="741"/>
      <c r="CA32" s="1384"/>
      <c r="CC32" s="578"/>
      <c r="CD32" s="160"/>
      <c r="CE32" s="3994" t="e">
        <f>INDEX(outputs_oppsum[Seismikk],MATCH(_Calcs!$NU$40,outputs_oppsum[stuff_id],0))</f>
        <v>#N/A</v>
      </c>
      <c r="CF32" s="56"/>
      <c r="CG32" s="158" t="e">
        <f>IF(_Calcs!$NU$335=1,"✓","!")</f>
        <v>#N/A</v>
      </c>
      <c r="CH32" s="741"/>
      <c r="CI32" s="1384"/>
      <c r="CK32" s="578"/>
      <c r="CL32" s="160"/>
      <c r="CM32" s="3994" t="e">
        <f>INDEX(outputs_oppsum[Seismikk],MATCH(_Calcs!$NV$40,outputs_oppsum[stuff_id],0))</f>
        <v>#N/A</v>
      </c>
      <c r="CN32" s="56"/>
      <c r="CO32" s="158" t="e">
        <f>IF(_Calcs!$NV$335=1,"✓","!")</f>
        <v>#N/A</v>
      </c>
      <c r="CP32" s="741"/>
      <c r="CQ32" s="1384"/>
      <c r="CS32" s="578"/>
      <c r="CT32" s="160"/>
      <c r="CU32" s="3994" t="e">
        <f>INDEX(outputs_oppsum[Seismikk],MATCH(_Calcs!$NW$40,outputs_oppsum[stuff_id],0))</f>
        <v>#N/A</v>
      </c>
      <c r="CV32" s="56"/>
      <c r="CW32" s="158" t="e">
        <f>IF(_Calcs!$NW$335=1,"✓","!")</f>
        <v>#N/A</v>
      </c>
      <c r="CX32" s="741"/>
      <c r="CY32" s="1384"/>
      <c r="DA32" s="54"/>
    </row>
    <row r="33" spans="1:138" s="21" customFormat="1" ht="15" customHeight="1" thickBot="1" x14ac:dyDescent="0.25">
      <c r="A33" s="25"/>
      <c r="B33" s="25"/>
      <c r="C33" s="2615"/>
      <c r="D33" s="25"/>
      <c r="E33" s="731"/>
      <c r="F33" s="579"/>
      <c r="G33" s="579"/>
      <c r="H33" s="579"/>
      <c r="I33" s="579"/>
      <c r="J33" s="1176"/>
      <c r="K33" s="579"/>
      <c r="L33" s="1176"/>
      <c r="M33" s="1448"/>
      <c r="N33" s="15"/>
      <c r="O33" s="1385"/>
      <c r="P33" s="1397"/>
      <c r="Q33" s="1387"/>
      <c r="R33" s="1387"/>
      <c r="S33" s="1398"/>
      <c r="T33" s="70"/>
      <c r="U33" s="1385"/>
      <c r="V33" s="1388"/>
      <c r="W33" s="1398"/>
      <c r="X33" s="70"/>
      <c r="Y33" s="6736"/>
      <c r="Z33" s="70"/>
      <c r="AA33" s="4000"/>
      <c r="AB33" s="1417"/>
      <c r="AC33" s="1417"/>
      <c r="AD33" s="1417"/>
      <c r="AE33" s="1422"/>
      <c r="AF33" s="70"/>
      <c r="AG33" s="1404"/>
      <c r="AH33" s="579"/>
      <c r="AI33" s="744"/>
      <c r="AJ33" s="743"/>
      <c r="AK33" s="746"/>
      <c r="AL33" s="746"/>
      <c r="AM33" s="1405"/>
      <c r="AO33" s="1404"/>
      <c r="AP33" s="579"/>
      <c r="AQ33" s="744"/>
      <c r="AR33" s="743"/>
      <c r="AS33" s="746"/>
      <c r="AT33" s="746"/>
      <c r="AU33" s="1405"/>
      <c r="AW33" s="1404"/>
      <c r="AX33" s="579"/>
      <c r="AY33" s="744"/>
      <c r="AZ33" s="743"/>
      <c r="BA33" s="746"/>
      <c r="BB33" s="746"/>
      <c r="BC33" s="1405"/>
      <c r="BE33" s="1404"/>
      <c r="BF33" s="579"/>
      <c r="BG33" s="744"/>
      <c r="BH33" s="743"/>
      <c r="BI33" s="746"/>
      <c r="BJ33" s="746"/>
      <c r="BK33" s="1405"/>
      <c r="BM33" s="1404"/>
      <c r="BN33" s="579"/>
      <c r="BO33" s="744"/>
      <c r="BP33" s="743"/>
      <c r="BQ33" s="746"/>
      <c r="BR33" s="746"/>
      <c r="BS33" s="1405"/>
      <c r="BU33" s="1404"/>
      <c r="BV33" s="579"/>
      <c r="BW33" s="744"/>
      <c r="BX33" s="743"/>
      <c r="BY33" s="746"/>
      <c r="BZ33" s="746"/>
      <c r="CA33" s="1405"/>
      <c r="CC33" s="1404"/>
      <c r="CD33" s="579"/>
      <c r="CE33" s="744"/>
      <c r="CF33" s="743"/>
      <c r="CG33" s="746"/>
      <c r="CH33" s="746"/>
      <c r="CI33" s="1405"/>
      <c r="CK33" s="1404"/>
      <c r="CL33" s="579"/>
      <c r="CM33" s="744"/>
      <c r="CN33" s="743"/>
      <c r="CO33" s="746"/>
      <c r="CP33" s="746"/>
      <c r="CQ33" s="1405"/>
      <c r="CS33" s="1404"/>
      <c r="CT33" s="579"/>
      <c r="CU33" s="744"/>
      <c r="CV33" s="743"/>
      <c r="CW33" s="746"/>
      <c r="CX33" s="746"/>
      <c r="CY33" s="1405"/>
      <c r="DA33" s="54"/>
    </row>
    <row r="34" spans="1:138" s="21" customFormat="1" ht="24.95" customHeight="1" thickBot="1" x14ac:dyDescent="0.25">
      <c r="A34" s="25"/>
      <c r="B34" s="25"/>
      <c r="C34" s="2615"/>
      <c r="D34" s="70"/>
      <c r="E34" s="70"/>
      <c r="F34" s="70"/>
      <c r="G34" s="70"/>
      <c r="H34" s="70"/>
      <c r="I34" s="70"/>
      <c r="J34" s="70"/>
      <c r="K34" s="70"/>
      <c r="L34" s="70"/>
      <c r="M34" s="70"/>
      <c r="N34" s="70"/>
      <c r="O34" s="70"/>
      <c r="P34" s="70"/>
      <c r="Q34" s="25"/>
      <c r="R34" s="25"/>
      <c r="S34" s="25"/>
      <c r="T34" s="70"/>
      <c r="U34" s="70"/>
      <c r="V34" s="170"/>
      <c r="W34" s="25"/>
      <c r="X34" s="70"/>
      <c r="Y34" s="6736"/>
      <c r="Z34" s="70"/>
      <c r="AA34" s="78"/>
      <c r="AB34" s="17"/>
      <c r="AC34" s="17"/>
      <c r="AD34" s="17"/>
      <c r="AE34" s="17"/>
      <c r="AF34" s="70"/>
      <c r="AG34" s="25"/>
      <c r="AH34" s="25"/>
      <c r="AI34" s="36"/>
      <c r="AJ34" s="25"/>
      <c r="AK34" s="25"/>
      <c r="AL34" s="25"/>
      <c r="AM34" s="25"/>
      <c r="AO34" s="25"/>
      <c r="AP34" s="25"/>
      <c r="AQ34" s="36"/>
      <c r="AR34" s="25"/>
      <c r="AS34" s="25"/>
      <c r="AT34" s="25"/>
      <c r="AU34" s="25"/>
      <c r="AW34" s="25"/>
      <c r="AX34" s="25"/>
      <c r="AY34" s="36"/>
      <c r="AZ34" s="25"/>
      <c r="BA34" s="25"/>
      <c r="BB34" s="25"/>
      <c r="BC34" s="25"/>
      <c r="BE34" s="25"/>
      <c r="BF34" s="25"/>
      <c r="BG34" s="36"/>
      <c r="BH34" s="25"/>
      <c r="BI34" s="25"/>
      <c r="BJ34" s="25"/>
      <c r="BK34" s="25"/>
      <c r="BM34" s="25"/>
      <c r="BN34" s="25"/>
      <c r="BO34" s="36"/>
      <c r="BP34" s="25"/>
      <c r="BQ34" s="25"/>
      <c r="BR34" s="25"/>
      <c r="BS34" s="25"/>
      <c r="BU34" s="25"/>
      <c r="BV34" s="25"/>
      <c r="BW34" s="36"/>
      <c r="BX34" s="25"/>
      <c r="BY34" s="25"/>
      <c r="BZ34" s="25"/>
      <c r="CA34" s="25"/>
      <c r="CC34" s="25"/>
      <c r="CD34" s="25"/>
      <c r="CE34" s="36"/>
      <c r="CF34" s="25"/>
      <c r="CG34" s="25"/>
      <c r="CH34" s="25"/>
      <c r="CI34" s="25"/>
      <c r="CK34" s="25"/>
      <c r="CL34" s="25"/>
      <c r="CM34" s="36"/>
      <c r="CN34" s="25"/>
      <c r="CO34" s="25"/>
      <c r="CP34" s="25"/>
      <c r="CQ34" s="25"/>
      <c r="CS34" s="25"/>
      <c r="CT34" s="25"/>
      <c r="CU34" s="36"/>
      <c r="CV34" s="25"/>
      <c r="CW34" s="25"/>
      <c r="CX34" s="25"/>
      <c r="CY34" s="25"/>
      <c r="DA34" s="25"/>
    </row>
    <row r="35" spans="1:138" s="21" customFormat="1" ht="15" customHeight="1" thickBot="1" x14ac:dyDescent="0.25">
      <c r="A35" s="25"/>
      <c r="B35" s="25"/>
      <c r="C35" s="2615"/>
      <c r="D35" s="70"/>
      <c r="E35" s="1451"/>
      <c r="F35" s="6739" t="str">
        <f>_Calcs!$K$46</f>
        <v>Injeksjon</v>
      </c>
      <c r="G35" s="6739"/>
      <c r="H35" s="6739"/>
      <c r="I35" s="6739"/>
      <c r="J35" s="6739"/>
      <c r="K35" s="6739"/>
      <c r="L35" s="6739"/>
      <c r="M35" s="1453"/>
      <c r="N35" s="70"/>
      <c r="O35" s="70"/>
      <c r="P35" s="70"/>
      <c r="Q35" s="25"/>
      <c r="R35" s="25"/>
      <c r="S35" s="25"/>
      <c r="T35" s="70"/>
      <c r="U35" s="70"/>
      <c r="V35" s="25"/>
      <c r="W35" s="25"/>
      <c r="X35" s="70"/>
      <c r="Y35" s="6736"/>
      <c r="Z35" s="70"/>
      <c r="AA35" s="78"/>
      <c r="AB35" s="17"/>
      <c r="AC35" s="17"/>
      <c r="AD35" s="17"/>
      <c r="AE35" s="17"/>
      <c r="AF35" s="70"/>
      <c r="AG35" s="17"/>
      <c r="AH35" s="17"/>
      <c r="AI35" s="572"/>
      <c r="AJ35" s="17"/>
      <c r="AK35" s="138"/>
      <c r="AL35" s="138"/>
      <c r="AM35" s="17"/>
      <c r="AO35" s="17"/>
      <c r="AP35" s="17"/>
      <c r="AQ35" s="572"/>
      <c r="AR35" s="17"/>
      <c r="AS35" s="138"/>
      <c r="AT35" s="138"/>
      <c r="AU35" s="17"/>
      <c r="AW35" s="17"/>
      <c r="AX35" s="17"/>
      <c r="AY35" s="572"/>
      <c r="AZ35" s="17"/>
      <c r="BA35" s="138"/>
      <c r="BB35" s="138"/>
      <c r="BC35" s="17"/>
      <c r="BE35" s="17"/>
      <c r="BF35" s="17"/>
      <c r="BG35" s="572"/>
      <c r="BH35" s="17"/>
      <c r="BI35" s="138"/>
      <c r="BJ35" s="138"/>
      <c r="BK35" s="17"/>
      <c r="BM35" s="17"/>
      <c r="BN35" s="17"/>
      <c r="BO35" s="572"/>
      <c r="BP35" s="17"/>
      <c r="BQ35" s="138"/>
      <c r="BR35" s="138"/>
      <c r="BS35" s="17"/>
      <c r="BU35" s="17"/>
      <c r="BV35" s="17"/>
      <c r="BW35" s="572"/>
      <c r="BX35" s="17"/>
      <c r="BY35" s="138"/>
      <c r="BZ35" s="138"/>
      <c r="CA35" s="17"/>
      <c r="CC35" s="17"/>
      <c r="CD35" s="17"/>
      <c r="CE35" s="572"/>
      <c r="CF35" s="17"/>
      <c r="CG35" s="138"/>
      <c r="CH35" s="138"/>
      <c r="CI35" s="17"/>
      <c r="CK35" s="17"/>
      <c r="CL35" s="17"/>
      <c r="CM35" s="572"/>
      <c r="CN35" s="17"/>
      <c r="CO35" s="138"/>
      <c r="CP35" s="138"/>
      <c r="CQ35" s="17"/>
      <c r="CS35" s="17"/>
      <c r="CT35" s="17"/>
      <c r="CU35" s="572"/>
      <c r="CV35" s="17"/>
      <c r="CW35" s="138"/>
      <c r="CX35" s="138"/>
      <c r="CY35" s="17"/>
      <c r="DA35" s="17"/>
    </row>
    <row r="36" spans="1:138" s="21" customFormat="1" ht="15" customHeight="1" thickBot="1" x14ac:dyDescent="0.25">
      <c r="A36" s="25"/>
      <c r="B36" s="25"/>
      <c r="C36" s="2615"/>
      <c r="D36" s="70"/>
      <c r="E36" s="1452"/>
      <c r="F36" s="6740"/>
      <c r="G36" s="6740"/>
      <c r="H36" s="6740"/>
      <c r="I36" s="6740"/>
      <c r="J36" s="6740"/>
      <c r="K36" s="6740"/>
      <c r="L36" s="6740"/>
      <c r="M36" s="1454"/>
      <c r="N36" s="70"/>
      <c r="O36" s="70"/>
      <c r="P36" s="70"/>
      <c r="Q36" s="25"/>
      <c r="R36" s="25"/>
      <c r="S36" s="25"/>
      <c r="T36" s="70"/>
      <c r="U36" s="70"/>
      <c r="V36" s="25"/>
      <c r="W36" s="25"/>
      <c r="X36" s="70"/>
      <c r="Y36" s="6736"/>
      <c r="Z36" s="70"/>
      <c r="AA36" s="78"/>
      <c r="AB36" s="17"/>
      <c r="AC36" s="17"/>
      <c r="AD36" s="17"/>
      <c r="AE36" s="17"/>
      <c r="AF36" s="70"/>
      <c r="AG36" s="492"/>
      <c r="AH36" s="582"/>
      <c r="AI36" s="1406"/>
      <c r="AJ36" s="582"/>
      <c r="AK36" s="736"/>
      <c r="AL36" s="736"/>
      <c r="AM36" s="493"/>
      <c r="AO36" s="492"/>
      <c r="AP36" s="582"/>
      <c r="AQ36" s="1406"/>
      <c r="AR36" s="582"/>
      <c r="AS36" s="736"/>
      <c r="AT36" s="736"/>
      <c r="AU36" s="493"/>
      <c r="AW36" s="492"/>
      <c r="AX36" s="582"/>
      <c r="AY36" s="1406"/>
      <c r="AZ36" s="582"/>
      <c r="BA36" s="736"/>
      <c r="BB36" s="736"/>
      <c r="BC36" s="493"/>
      <c r="BE36" s="492"/>
      <c r="BF36" s="582"/>
      <c r="BG36" s="1406"/>
      <c r="BH36" s="582"/>
      <c r="BI36" s="736"/>
      <c r="BJ36" s="736"/>
      <c r="BK36" s="493"/>
      <c r="BM36" s="492"/>
      <c r="BN36" s="582"/>
      <c r="BO36" s="1406"/>
      <c r="BP36" s="582"/>
      <c r="BQ36" s="736"/>
      <c r="BR36" s="736"/>
      <c r="BS36" s="493"/>
      <c r="BU36" s="492"/>
      <c r="BV36" s="582"/>
      <c r="BW36" s="1406"/>
      <c r="BX36" s="582"/>
      <c r="BY36" s="736"/>
      <c r="BZ36" s="736"/>
      <c r="CA36" s="493"/>
      <c r="CC36" s="492"/>
      <c r="CD36" s="582"/>
      <c r="CE36" s="1406"/>
      <c r="CF36" s="582"/>
      <c r="CG36" s="736"/>
      <c r="CH36" s="736"/>
      <c r="CI36" s="493"/>
      <c r="CK36" s="492"/>
      <c r="CL36" s="582"/>
      <c r="CM36" s="1406"/>
      <c r="CN36" s="582"/>
      <c r="CO36" s="736"/>
      <c r="CP36" s="736"/>
      <c r="CQ36" s="493"/>
      <c r="CS36" s="492"/>
      <c r="CT36" s="582"/>
      <c r="CU36" s="1406"/>
      <c r="CV36" s="582"/>
      <c r="CW36" s="736"/>
      <c r="CX36" s="736"/>
      <c r="CY36" s="493"/>
      <c r="DA36" s="53"/>
    </row>
    <row r="37" spans="1:138" s="21" customFormat="1" ht="8.1" customHeight="1" thickBot="1" x14ac:dyDescent="0.25">
      <c r="A37" s="25"/>
      <c r="B37" s="25"/>
      <c r="C37" s="2615"/>
      <c r="D37" s="25"/>
      <c r="E37" s="37"/>
      <c r="F37" s="37"/>
      <c r="G37" s="37"/>
      <c r="H37" s="37"/>
      <c r="I37" s="37"/>
      <c r="J37" s="37"/>
      <c r="K37" s="170"/>
      <c r="L37" s="37"/>
      <c r="M37" s="170"/>
      <c r="N37" s="70"/>
      <c r="O37" s="70"/>
      <c r="P37" s="70"/>
      <c r="Q37" s="16"/>
      <c r="R37" s="16"/>
      <c r="S37" s="16"/>
      <c r="T37" s="70"/>
      <c r="U37" s="70"/>
      <c r="V37" s="17"/>
      <c r="W37" s="16"/>
      <c r="X37" s="70"/>
      <c r="Y37" s="6736"/>
      <c r="Z37" s="70"/>
      <c r="AA37" s="78"/>
      <c r="AB37" s="17"/>
      <c r="AC37" s="17"/>
      <c r="AD37" s="17"/>
      <c r="AE37" s="17"/>
      <c r="AF37" s="70"/>
      <c r="AG37" s="17"/>
      <c r="AH37" s="17"/>
      <c r="AI37" s="572"/>
      <c r="AJ37" s="17"/>
      <c r="AK37" s="138"/>
      <c r="AL37" s="138"/>
      <c r="AM37" s="17"/>
      <c r="AO37" s="17"/>
      <c r="AP37" s="17"/>
      <c r="AQ37" s="572"/>
      <c r="AR37" s="17"/>
      <c r="AS37" s="138"/>
      <c r="AT37" s="138"/>
      <c r="AU37" s="17"/>
      <c r="AW37" s="17"/>
      <c r="AX37" s="17"/>
      <c r="AY37" s="572"/>
      <c r="AZ37" s="17"/>
      <c r="BA37" s="138"/>
      <c r="BB37" s="138"/>
      <c r="BC37" s="17"/>
      <c r="BE37" s="17"/>
      <c r="BF37" s="17"/>
      <c r="BG37" s="572"/>
      <c r="BH37" s="17"/>
      <c r="BI37" s="138"/>
      <c r="BJ37" s="138"/>
      <c r="BK37" s="17"/>
      <c r="BM37" s="17"/>
      <c r="BN37" s="17"/>
      <c r="BO37" s="572"/>
      <c r="BP37" s="17"/>
      <c r="BQ37" s="138"/>
      <c r="BR37" s="138"/>
      <c r="BS37" s="17"/>
      <c r="BU37" s="17"/>
      <c r="BV37" s="17"/>
      <c r="BW37" s="572"/>
      <c r="BX37" s="17"/>
      <c r="BY37" s="138"/>
      <c r="BZ37" s="138"/>
      <c r="CA37" s="17"/>
      <c r="CC37" s="17"/>
      <c r="CD37" s="17"/>
      <c r="CE37" s="572"/>
      <c r="CF37" s="17"/>
      <c r="CG37" s="138"/>
      <c r="CH37" s="138"/>
      <c r="CI37" s="17"/>
      <c r="CK37" s="17"/>
      <c r="CL37" s="17"/>
      <c r="CM37" s="572"/>
      <c r="CN37" s="17"/>
      <c r="CO37" s="138"/>
      <c r="CP37" s="138"/>
      <c r="CQ37" s="17"/>
      <c r="CS37" s="17"/>
      <c r="CT37" s="17"/>
      <c r="CU37" s="572"/>
      <c r="CV37" s="17"/>
      <c r="CW37" s="138"/>
      <c r="CX37" s="138"/>
      <c r="CY37" s="17"/>
      <c r="DA37" s="17"/>
    </row>
    <row r="38" spans="1:138" s="21" customFormat="1" ht="17.100000000000001" customHeight="1" x14ac:dyDescent="0.2">
      <c r="A38" s="25"/>
      <c r="B38" s="25"/>
      <c r="C38" s="2615"/>
      <c r="D38" s="25"/>
      <c r="E38" s="1190"/>
      <c r="F38" s="1018"/>
      <c r="G38" s="1018"/>
      <c r="H38" s="1018"/>
      <c r="I38" s="576"/>
      <c r="J38" s="1191"/>
      <c r="K38" s="1191"/>
      <c r="L38" s="1173"/>
      <c r="M38" s="1450"/>
      <c r="N38" s="15"/>
      <c r="O38" s="4024"/>
      <c r="P38" s="4024"/>
      <c r="Q38" s="4024"/>
      <c r="R38" s="4024"/>
      <c r="S38" s="4024"/>
      <c r="T38" s="70"/>
      <c r="U38" s="4024"/>
      <c r="V38" s="4025"/>
      <c r="W38" s="4024"/>
      <c r="X38" s="70"/>
      <c r="Y38" s="6736"/>
      <c r="Z38" s="70"/>
      <c r="AA38" s="78"/>
      <c r="AB38" s="1423"/>
      <c r="AC38" s="1423"/>
      <c r="AD38" s="1423"/>
      <c r="AE38" s="1423"/>
      <c r="AF38" s="70"/>
      <c r="AG38" s="4026"/>
      <c r="AH38" s="4026"/>
      <c r="AI38" s="4026"/>
      <c r="AJ38" s="4026"/>
      <c r="AK38" s="4026"/>
      <c r="AL38" s="4026"/>
      <c r="AM38" s="4026"/>
      <c r="AO38" s="4026"/>
      <c r="AP38" s="4026"/>
      <c r="AQ38" s="4026"/>
      <c r="AR38" s="4026"/>
      <c r="AS38" s="4026"/>
      <c r="AT38" s="4026"/>
      <c r="AU38" s="4026"/>
      <c r="AW38" s="4026"/>
      <c r="AX38" s="4026"/>
      <c r="AY38" s="4026"/>
      <c r="AZ38" s="4026"/>
      <c r="BA38" s="4026"/>
      <c r="BB38" s="4026"/>
      <c r="BC38" s="4026"/>
      <c r="BE38" s="4026"/>
      <c r="BF38" s="4026"/>
      <c r="BG38" s="4026"/>
      <c r="BH38" s="4026"/>
      <c r="BI38" s="4026"/>
      <c r="BJ38" s="4026"/>
      <c r="BK38" s="4026"/>
      <c r="BM38" s="4026"/>
      <c r="BN38" s="4026"/>
      <c r="BO38" s="4026"/>
      <c r="BP38" s="4026"/>
      <c r="BQ38" s="4026"/>
      <c r="BR38" s="4026"/>
      <c r="BS38" s="4026"/>
      <c r="BU38" s="4026"/>
      <c r="BV38" s="4026"/>
      <c r="BW38" s="4026"/>
      <c r="BX38" s="4026"/>
      <c r="BY38" s="4026"/>
      <c r="BZ38" s="4026"/>
      <c r="CA38" s="4026"/>
      <c r="CC38" s="4026"/>
      <c r="CD38" s="4026"/>
      <c r="CE38" s="4026"/>
      <c r="CF38" s="4026"/>
      <c r="CG38" s="4026"/>
      <c r="CH38" s="4026"/>
      <c r="CI38" s="4026"/>
      <c r="CK38" s="4026"/>
      <c r="CL38" s="4026"/>
      <c r="CM38" s="4026"/>
      <c r="CN38" s="4026"/>
      <c r="CO38" s="4026"/>
      <c r="CP38" s="4026"/>
      <c r="CQ38" s="4026"/>
      <c r="CS38" s="4026"/>
      <c r="CT38" s="4026"/>
      <c r="CU38" s="4026"/>
      <c r="CV38" s="4026"/>
      <c r="CW38" s="4026"/>
      <c r="CX38" s="4026"/>
      <c r="CY38" s="4026"/>
      <c r="DA38" s="6181"/>
    </row>
    <row r="39" spans="1:138" s="21" customFormat="1" ht="5.0999999999999996" customHeight="1" x14ac:dyDescent="0.2">
      <c r="A39" s="25"/>
      <c r="B39" s="25"/>
      <c r="C39" s="2615"/>
      <c r="D39" s="25"/>
      <c r="E39" s="577"/>
      <c r="F39" s="6741" t="str">
        <f>_Calcs!$L$46</f>
        <v>Behovsprøvd</v>
      </c>
      <c r="G39" s="6741"/>
      <c r="H39" s="6741"/>
      <c r="I39" s="6741"/>
      <c r="J39" s="156"/>
      <c r="K39" s="156"/>
      <c r="L39" s="165"/>
      <c r="M39" s="1446"/>
      <c r="N39" s="15"/>
      <c r="O39" s="4024"/>
      <c r="P39" s="4024"/>
      <c r="Q39" s="4024"/>
      <c r="R39" s="4024"/>
      <c r="S39" s="4024"/>
      <c r="T39" s="70"/>
      <c r="U39" s="4024"/>
      <c r="V39" s="4025"/>
      <c r="W39" s="4024"/>
      <c r="X39" s="70"/>
      <c r="Y39" s="6736"/>
      <c r="Z39" s="70"/>
      <c r="AA39" s="78"/>
      <c r="AB39" s="1423"/>
      <c r="AC39" s="1423"/>
      <c r="AD39" s="1423"/>
      <c r="AE39" s="1423"/>
      <c r="AF39" s="70"/>
      <c r="AG39" s="4026"/>
      <c r="AH39" s="4026"/>
      <c r="AI39" s="4026"/>
      <c r="AJ39" s="4026"/>
      <c r="AK39" s="4026"/>
      <c r="AL39" s="4026"/>
      <c r="AM39" s="4026"/>
      <c r="AO39" s="4026"/>
      <c r="AP39" s="4026"/>
      <c r="AQ39" s="4026"/>
      <c r="AR39" s="4026"/>
      <c r="AS39" s="4026"/>
      <c r="AT39" s="4026"/>
      <c r="AU39" s="4026"/>
      <c r="AW39" s="4026"/>
      <c r="AX39" s="4026"/>
      <c r="AY39" s="4026"/>
      <c r="AZ39" s="4026"/>
      <c r="BA39" s="4026"/>
      <c r="BB39" s="4026"/>
      <c r="BC39" s="4026"/>
      <c r="BE39" s="4026"/>
      <c r="BF39" s="4026"/>
      <c r="BG39" s="4026"/>
      <c r="BH39" s="4026"/>
      <c r="BI39" s="4026"/>
      <c r="BJ39" s="4026"/>
      <c r="BK39" s="4026"/>
      <c r="BM39" s="4026"/>
      <c r="BN39" s="4026"/>
      <c r="BO39" s="4026"/>
      <c r="BP39" s="4026"/>
      <c r="BQ39" s="4026"/>
      <c r="BR39" s="4026"/>
      <c r="BS39" s="4026"/>
      <c r="BU39" s="4026"/>
      <c r="BV39" s="4026"/>
      <c r="BW39" s="4026"/>
      <c r="BX39" s="4026"/>
      <c r="BY39" s="4026"/>
      <c r="BZ39" s="4026"/>
      <c r="CA39" s="4026"/>
      <c r="CC39" s="4026"/>
      <c r="CD39" s="4026"/>
      <c r="CE39" s="4026"/>
      <c r="CF39" s="4026"/>
      <c r="CG39" s="4026"/>
      <c r="CH39" s="4026"/>
      <c r="CI39" s="4026"/>
      <c r="CK39" s="4026"/>
      <c r="CL39" s="4026"/>
      <c r="CM39" s="4026"/>
      <c r="CN39" s="4026"/>
      <c r="CO39" s="4026"/>
      <c r="CP39" s="4026"/>
      <c r="CQ39" s="4026"/>
      <c r="CS39" s="4026"/>
      <c r="CT39" s="4026"/>
      <c r="CU39" s="4026"/>
      <c r="CV39" s="4026"/>
      <c r="CW39" s="4026"/>
      <c r="CX39" s="4026"/>
      <c r="CY39" s="4026"/>
      <c r="DA39" s="6181"/>
    </row>
    <row r="40" spans="1:138" s="21" customFormat="1" ht="8.1" customHeight="1" thickBot="1" x14ac:dyDescent="0.25">
      <c r="A40" s="25"/>
      <c r="B40" s="25"/>
      <c r="C40" s="2615"/>
      <c r="D40" s="25"/>
      <c r="E40" s="577"/>
      <c r="F40" s="6741"/>
      <c r="G40" s="6741"/>
      <c r="H40" s="6741"/>
      <c r="I40" s="6741"/>
      <c r="J40" s="156"/>
      <c r="K40" s="156"/>
      <c r="L40" s="165"/>
      <c r="M40" s="1446"/>
      <c r="N40" s="15"/>
      <c r="O40" s="13"/>
      <c r="P40" s="90"/>
      <c r="Q40" s="13"/>
      <c r="R40" s="13"/>
      <c r="S40" s="13"/>
      <c r="T40" s="70"/>
      <c r="U40" s="13"/>
      <c r="V40" s="15"/>
      <c r="W40" s="13"/>
      <c r="X40" s="70"/>
      <c r="Y40" s="6736"/>
      <c r="Z40" s="70"/>
      <c r="AA40" s="78"/>
      <c r="AB40" s="1423"/>
      <c r="AC40" s="1423"/>
      <c r="AD40" s="1423"/>
      <c r="AE40" s="1423"/>
      <c r="AF40" s="70"/>
      <c r="AG40" s="132"/>
      <c r="AH40" s="132"/>
      <c r="AI40" s="22"/>
      <c r="AJ40" s="1383"/>
      <c r="AK40" s="19"/>
      <c r="AL40" s="19"/>
      <c r="AM40" s="132"/>
      <c r="AO40" s="132"/>
      <c r="AP40" s="132"/>
      <c r="AQ40" s="22"/>
      <c r="AR40" s="1383"/>
      <c r="AS40" s="19"/>
      <c r="AT40" s="19"/>
      <c r="AU40" s="132"/>
      <c r="AW40" s="132"/>
      <c r="AX40" s="132"/>
      <c r="AY40" s="22"/>
      <c r="AZ40" s="1383"/>
      <c r="BA40" s="19"/>
      <c r="BB40" s="19"/>
      <c r="BC40" s="132"/>
      <c r="BE40" s="132"/>
      <c r="BF40" s="132"/>
      <c r="BG40" s="22"/>
      <c r="BH40" s="1383"/>
      <c r="BI40" s="19"/>
      <c r="BJ40" s="19"/>
      <c r="BK40" s="132"/>
      <c r="BM40" s="132"/>
      <c r="BN40" s="132"/>
      <c r="BO40" s="22"/>
      <c r="BP40" s="1383"/>
      <c r="BQ40" s="19"/>
      <c r="BR40" s="19"/>
      <c r="BS40" s="132"/>
      <c r="BU40" s="132"/>
      <c r="BV40" s="132"/>
      <c r="BW40" s="22"/>
      <c r="BX40" s="1383"/>
      <c r="BY40" s="19"/>
      <c r="BZ40" s="19"/>
      <c r="CA40" s="132"/>
      <c r="CC40" s="132"/>
      <c r="CD40" s="132"/>
      <c r="CE40" s="22"/>
      <c r="CF40" s="1383"/>
      <c r="CG40" s="19"/>
      <c r="CH40" s="19"/>
      <c r="CI40" s="132"/>
      <c r="CK40" s="132"/>
      <c r="CL40" s="132"/>
      <c r="CM40" s="22"/>
      <c r="CN40" s="1383"/>
      <c r="CO40" s="19"/>
      <c r="CP40" s="19"/>
      <c r="CQ40" s="132"/>
      <c r="CS40" s="132"/>
      <c r="CT40" s="132"/>
      <c r="CU40" s="22"/>
      <c r="CV40" s="1383"/>
      <c r="CW40" s="19"/>
      <c r="CX40" s="19"/>
      <c r="CY40" s="132"/>
      <c r="DA40" s="132"/>
    </row>
    <row r="41" spans="1:138" s="21" customFormat="1" ht="15" customHeight="1" thickBot="1" x14ac:dyDescent="0.25">
      <c r="A41" s="25"/>
      <c r="B41" s="25"/>
      <c r="C41" s="2615"/>
      <c r="D41" s="25"/>
      <c r="E41" s="577"/>
      <c r="F41" s="6741"/>
      <c r="G41" s="6741"/>
      <c r="H41" s="6741"/>
      <c r="I41" s="6741"/>
      <c r="J41" s="156"/>
      <c r="K41" s="156"/>
      <c r="L41" s="165"/>
      <c r="M41" s="1446"/>
      <c r="N41" s="15"/>
      <c r="O41" s="1393"/>
      <c r="P41" s="1394"/>
      <c r="Q41" s="1395"/>
      <c r="R41" s="1395"/>
      <c r="S41" s="1400"/>
      <c r="T41" s="70"/>
      <c r="U41" s="1393"/>
      <c r="V41" s="1396"/>
      <c r="W41" s="1400"/>
      <c r="X41" s="70"/>
      <c r="Y41" s="6736"/>
      <c r="Z41" s="70"/>
      <c r="AA41" s="4023"/>
      <c r="AB41" s="1419"/>
      <c r="AC41" s="1419"/>
      <c r="AD41" s="1419"/>
      <c r="AE41" s="1425"/>
      <c r="AF41" s="70"/>
      <c r="AG41" s="1407"/>
      <c r="AH41" s="1408"/>
      <c r="AI41" s="738"/>
      <c r="AJ41" s="1409"/>
      <c r="AK41" s="739"/>
      <c r="AL41" s="739"/>
      <c r="AM41" s="1410"/>
      <c r="AO41" s="1407"/>
      <c r="AP41" s="1408"/>
      <c r="AQ41" s="738"/>
      <c r="AR41" s="1409"/>
      <c r="AS41" s="739"/>
      <c r="AT41" s="739"/>
      <c r="AU41" s="1410"/>
      <c r="AW41" s="1407"/>
      <c r="AX41" s="1408"/>
      <c r="AY41" s="738"/>
      <c r="AZ41" s="1409"/>
      <c r="BA41" s="739"/>
      <c r="BB41" s="739"/>
      <c r="BC41" s="1410"/>
      <c r="BE41" s="1407"/>
      <c r="BF41" s="1408"/>
      <c r="BG41" s="738"/>
      <c r="BH41" s="1409"/>
      <c r="BI41" s="739"/>
      <c r="BJ41" s="739"/>
      <c r="BK41" s="1410"/>
      <c r="BM41" s="1407"/>
      <c r="BN41" s="1408"/>
      <c r="BO41" s="738"/>
      <c r="BP41" s="1409"/>
      <c r="BQ41" s="739"/>
      <c r="BR41" s="739"/>
      <c r="BS41" s="1410"/>
      <c r="BU41" s="1407"/>
      <c r="BV41" s="1408"/>
      <c r="BW41" s="738"/>
      <c r="BX41" s="1409"/>
      <c r="BY41" s="739"/>
      <c r="BZ41" s="739"/>
      <c r="CA41" s="1410"/>
      <c r="CC41" s="1407"/>
      <c r="CD41" s="1408"/>
      <c r="CE41" s="738"/>
      <c r="CF41" s="1409"/>
      <c r="CG41" s="739"/>
      <c r="CH41" s="739"/>
      <c r="CI41" s="1410"/>
      <c r="CK41" s="1407"/>
      <c r="CL41" s="1408"/>
      <c r="CM41" s="738"/>
      <c r="CN41" s="1409"/>
      <c r="CO41" s="739"/>
      <c r="CP41" s="739"/>
      <c r="CQ41" s="1410"/>
      <c r="CS41" s="1407"/>
      <c r="CT41" s="1408"/>
      <c r="CU41" s="738"/>
      <c r="CV41" s="1409"/>
      <c r="CW41" s="739"/>
      <c r="CX41" s="739"/>
      <c r="CY41" s="1410"/>
      <c r="DA41" s="162"/>
    </row>
    <row r="42" spans="1:138" s="21" customFormat="1" ht="20.100000000000001" customHeight="1" thickBot="1" x14ac:dyDescent="0.25">
      <c r="A42" s="25"/>
      <c r="B42" s="25"/>
      <c r="C42" s="2615"/>
      <c r="D42" s="25"/>
      <c r="E42" s="577"/>
      <c r="F42" s="160" t="str">
        <f>_Calcs!$N$46</f>
        <v>Opp- og nedrigging</v>
      </c>
      <c r="G42" s="160"/>
      <c r="H42" s="160"/>
      <c r="I42" s="60"/>
      <c r="J42" s="156"/>
      <c r="K42" s="156"/>
      <c r="L42" s="165"/>
      <c r="M42" s="1445"/>
      <c r="N42" s="15"/>
      <c r="O42" s="1391"/>
      <c r="P42" s="166">
        <f>_Kapasitet!U19</f>
        <v>1</v>
      </c>
      <c r="Q42" s="1389"/>
      <c r="R42" s="2514" t="str">
        <f>_Kapasitet!W19</f>
        <v>Standard</v>
      </c>
      <c r="S42" s="1399"/>
      <c r="T42" s="70"/>
      <c r="U42" s="1391"/>
      <c r="V42" s="1390" t="s">
        <v>14</v>
      </c>
      <c r="W42" s="1399"/>
      <c r="X42" s="70"/>
      <c r="Y42" s="6736"/>
      <c r="Z42" s="70"/>
      <c r="AA42" s="3999"/>
      <c r="AB42" s="6738" t="s">
        <v>46</v>
      </c>
      <c r="AC42" s="6738"/>
      <c r="AD42" s="6738"/>
      <c r="AE42" s="1351"/>
      <c r="AF42" s="70"/>
      <c r="AG42" s="1411"/>
      <c r="AH42" s="1209"/>
      <c r="AI42" s="4027">
        <f>INDEX(outputs_oppsum[sp_Rigg],MATCH(_Calcs!$NO$40,outputs_oppsum[stuff_id],0))</f>
        <v>0</v>
      </c>
      <c r="AJ42" s="58"/>
      <c r="AK42" s="1935" t="str">
        <f>IF(_Calcs!$NO$336=1,"✓","!")</f>
        <v>!</v>
      </c>
      <c r="AL42" s="1936"/>
      <c r="AM42" s="1937"/>
      <c r="AN42" s="191"/>
      <c r="AO42" s="1938"/>
      <c r="AP42" s="1939"/>
      <c r="AQ42" s="4027" t="e">
        <f>INDEX(outputs_oppsum[sp_Rigg],MATCH(_Calcs!$NP$40,outputs_oppsum[stuff_id],0))</f>
        <v>#N/A</v>
      </c>
      <c r="AR42" s="58"/>
      <c r="AS42" s="1935" t="e">
        <f>IF(_Calcs!$NP$336=1,"✓","!")</f>
        <v>#N/A</v>
      </c>
      <c r="AT42" s="1936"/>
      <c r="AU42" s="1937"/>
      <c r="AV42" s="191"/>
      <c r="AW42" s="1938"/>
      <c r="AX42" s="1939"/>
      <c r="AY42" s="4027" t="e">
        <f>INDEX(outputs_oppsum[sp_Rigg],MATCH(_Calcs!$NQ$40,outputs_oppsum[stuff_id],0))</f>
        <v>#N/A</v>
      </c>
      <c r="AZ42" s="58"/>
      <c r="BA42" s="1935" t="e">
        <f>IF(_Calcs!$NQ$336=1,"✓","!")</f>
        <v>#N/A</v>
      </c>
      <c r="BB42" s="1936"/>
      <c r="BC42" s="1937"/>
      <c r="BD42" s="191"/>
      <c r="BE42" s="1938"/>
      <c r="BF42" s="1939"/>
      <c r="BG42" s="4027" t="e">
        <f>INDEX(outputs_oppsum[sp_Rigg],MATCH(_Calcs!$NR$40,outputs_oppsum[stuff_id],0))</f>
        <v>#N/A</v>
      </c>
      <c r="BH42" s="58"/>
      <c r="BI42" s="1935" t="e">
        <f>IF(_Calcs!$NR$336=1,"✓","!")</f>
        <v>#N/A</v>
      </c>
      <c r="BJ42" s="1936"/>
      <c r="BK42" s="1937"/>
      <c r="BL42" s="191"/>
      <c r="BM42" s="1938"/>
      <c r="BN42" s="1939"/>
      <c r="BO42" s="4027" t="e">
        <f>INDEX(outputs_oppsum[sp_Rigg],MATCH(_Calcs!$NS$40,outputs_oppsum[stuff_id],0))</f>
        <v>#N/A</v>
      </c>
      <c r="BP42" s="58"/>
      <c r="BQ42" s="1935" t="e">
        <f>IF(_Calcs!$NS$336=1,"✓","!")</f>
        <v>#N/A</v>
      </c>
      <c r="BR42" s="1936"/>
      <c r="BS42" s="1937"/>
      <c r="BT42" s="191"/>
      <c r="BU42" s="1938"/>
      <c r="BV42" s="1939"/>
      <c r="BW42" s="4027" t="e">
        <f>INDEX(outputs_oppsum[sp_Rigg],MATCH(_Calcs!$NT$40,outputs_oppsum[stuff_id],0))</f>
        <v>#N/A</v>
      </c>
      <c r="BX42" s="58"/>
      <c r="BY42" s="1935" t="e">
        <f>IF(_Calcs!$NT$336=1,"✓","!")</f>
        <v>#N/A</v>
      </c>
      <c r="BZ42" s="1936"/>
      <c r="CA42" s="1937"/>
      <c r="CB42" s="191"/>
      <c r="CC42" s="1938"/>
      <c r="CD42" s="1939"/>
      <c r="CE42" s="4027" t="e">
        <f>INDEX(outputs_oppsum[sp_Rigg],MATCH(_Calcs!$NU$40,outputs_oppsum[stuff_id],0))</f>
        <v>#N/A</v>
      </c>
      <c r="CF42" s="58"/>
      <c r="CG42" s="1935" t="e">
        <f>IF(_Calcs!$NU$336=1,"✓","!")</f>
        <v>#N/A</v>
      </c>
      <c r="CH42" s="1936"/>
      <c r="CI42" s="1937"/>
      <c r="CJ42" s="191"/>
      <c r="CK42" s="1938"/>
      <c r="CL42" s="1939"/>
      <c r="CM42" s="4027" t="e">
        <f>INDEX(outputs_oppsum[sp_Rigg],MATCH(_Calcs!$NV$40,outputs_oppsum[stuff_id],0))</f>
        <v>#N/A</v>
      </c>
      <c r="CN42" s="58"/>
      <c r="CO42" s="1935" t="e">
        <f>IF(_Calcs!$NV$336=1,"✓","!")</f>
        <v>#N/A</v>
      </c>
      <c r="CP42" s="1936"/>
      <c r="CQ42" s="1937"/>
      <c r="CR42" s="191"/>
      <c r="CS42" s="1938"/>
      <c r="CT42" s="1939"/>
      <c r="CU42" s="4027" t="e">
        <f>INDEX(outputs_oppsum[sp_Rigg],MATCH(_Calcs!$NW$40,outputs_oppsum[stuff_id],0))</f>
        <v>#N/A</v>
      </c>
      <c r="CV42" s="1926"/>
      <c r="CW42" s="1927" t="e">
        <f>IF(_Calcs!$NW$336=1,"✓","!")</f>
        <v>#N/A</v>
      </c>
      <c r="CX42" s="1928"/>
      <c r="CY42" s="1929"/>
      <c r="CZ42" s="337"/>
      <c r="DA42" s="1930"/>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row>
    <row r="43" spans="1:138" s="21" customFormat="1" ht="15" customHeight="1" thickBot="1" x14ac:dyDescent="0.25">
      <c r="A43" s="25"/>
      <c r="B43" s="25"/>
      <c r="C43" s="2615"/>
      <c r="D43" s="25"/>
      <c r="E43" s="577"/>
      <c r="F43" s="160"/>
      <c r="G43" s="160"/>
      <c r="H43" s="160"/>
      <c r="I43" s="60"/>
      <c r="J43" s="1193"/>
      <c r="K43" s="1193"/>
      <c r="L43" s="165"/>
      <c r="M43" s="1446"/>
      <c r="N43" s="15"/>
      <c r="O43" s="1391"/>
      <c r="P43" s="1401"/>
      <c r="Q43" s="1389"/>
      <c r="R43" s="1389"/>
      <c r="S43" s="1399"/>
      <c r="T43" s="70"/>
      <c r="U43" s="1391"/>
      <c r="V43" s="1390"/>
      <c r="W43" s="1399"/>
      <c r="X43" s="70"/>
      <c r="Y43" s="6736"/>
      <c r="Z43" s="70"/>
      <c r="AA43" s="3999"/>
      <c r="AB43" s="1420"/>
      <c r="AC43" s="1420"/>
      <c r="AD43" s="1420"/>
      <c r="AE43" s="1426"/>
      <c r="AF43" s="70"/>
      <c r="AG43" s="1411"/>
      <c r="AH43" s="1209"/>
      <c r="AI43" s="58"/>
      <c r="AJ43" s="56"/>
      <c r="AK43" s="1209"/>
      <c r="AL43" s="741"/>
      <c r="AM43" s="1412"/>
      <c r="AO43" s="1411"/>
      <c r="AP43" s="1209"/>
      <c r="AQ43" s="58"/>
      <c r="AR43" s="56"/>
      <c r="AS43" s="1209"/>
      <c r="AT43" s="741"/>
      <c r="AU43" s="1412"/>
      <c r="AW43" s="1411"/>
      <c r="AX43" s="1209"/>
      <c r="AY43" s="58"/>
      <c r="AZ43" s="56"/>
      <c r="BA43" s="1209"/>
      <c r="BB43" s="741"/>
      <c r="BC43" s="1412"/>
      <c r="BE43" s="1411"/>
      <c r="BF43" s="1209"/>
      <c r="BG43" s="58"/>
      <c r="BH43" s="56"/>
      <c r="BI43" s="1209"/>
      <c r="BJ43" s="741"/>
      <c r="BK43" s="1412"/>
      <c r="BM43" s="1411"/>
      <c r="BN43" s="1209"/>
      <c r="BO43" s="58"/>
      <c r="BP43" s="56"/>
      <c r="BQ43" s="1209"/>
      <c r="BR43" s="741"/>
      <c r="BS43" s="1412"/>
      <c r="BU43" s="1411"/>
      <c r="BV43" s="1209"/>
      <c r="BW43" s="58"/>
      <c r="BX43" s="56"/>
      <c r="BY43" s="1209"/>
      <c r="BZ43" s="741"/>
      <c r="CA43" s="1412"/>
      <c r="CC43" s="1411"/>
      <c r="CD43" s="1209"/>
      <c r="CE43" s="58"/>
      <c r="CF43" s="56"/>
      <c r="CG43" s="1209"/>
      <c r="CH43" s="741"/>
      <c r="CI43" s="1412"/>
      <c r="CK43" s="1411"/>
      <c r="CL43" s="1209"/>
      <c r="CM43" s="58"/>
      <c r="CN43" s="56"/>
      <c r="CO43" s="1209"/>
      <c r="CP43" s="741"/>
      <c r="CQ43" s="1412"/>
      <c r="CS43" s="1411"/>
      <c r="CT43" s="1209"/>
      <c r="CU43" s="58"/>
      <c r="CV43" s="56"/>
      <c r="CW43" s="1209"/>
      <c r="CX43" s="741"/>
      <c r="CY43" s="1412"/>
      <c r="DA43" s="162"/>
    </row>
    <row r="44" spans="1:138" s="21" customFormat="1" ht="20.100000000000001" customHeight="1" thickBot="1" x14ac:dyDescent="0.25">
      <c r="A44" s="70"/>
      <c r="B44" s="70"/>
      <c r="C44" s="2615"/>
      <c r="D44" s="70"/>
      <c r="E44" s="577"/>
      <c r="F44" s="160" t="str">
        <f>_Calcs!$N$47</f>
        <v>Boring</v>
      </c>
      <c r="G44" s="160"/>
      <c r="H44" s="160"/>
      <c r="I44" s="60"/>
      <c r="J44" s="156"/>
      <c r="K44" s="156"/>
      <c r="L44" s="165"/>
      <c r="M44" s="1445"/>
      <c r="N44" s="70"/>
      <c r="O44" s="1391"/>
      <c r="P44" s="166">
        <f>_Kapasitet!U20</f>
        <v>60</v>
      </c>
      <c r="Q44" s="1389"/>
      <c r="R44" s="2514" t="str">
        <f>_Kapasitet!W20</f>
        <v>Standard</v>
      </c>
      <c r="S44" s="1399"/>
      <c r="T44" s="70"/>
      <c r="U44" s="1391"/>
      <c r="V44" s="1390" t="s">
        <v>10</v>
      </c>
      <c r="W44" s="1399"/>
      <c r="X44" s="70"/>
      <c r="Y44" s="6736"/>
      <c r="Z44" s="70"/>
      <c r="AA44" s="3999"/>
      <c r="AB44" s="6738" t="s">
        <v>46</v>
      </c>
      <c r="AC44" s="6738"/>
      <c r="AD44" s="6738"/>
      <c r="AE44" s="1351"/>
      <c r="AF44" s="70"/>
      <c r="AG44" s="1411"/>
      <c r="AH44" s="1209"/>
      <c r="AI44" s="3994">
        <f>INDEX(outputs_oppsum[sp_Boring],MATCH(_Calcs!$NO$40,outputs_oppsum[stuff_id],0))</f>
        <v>0</v>
      </c>
      <c r="AJ44" s="56"/>
      <c r="AK44" s="158" t="str">
        <f>IF(_Calcs!$NO$337=1,"✓","!")</f>
        <v>!</v>
      </c>
      <c r="AL44" s="741"/>
      <c r="AM44" s="1412"/>
      <c r="AO44" s="1411"/>
      <c r="AP44" s="1209"/>
      <c r="AQ44" s="3994" t="e">
        <f>INDEX(outputs_oppsum[sp_Boring],MATCH(_Calcs!$NP$40,outputs_oppsum[stuff_id],0))</f>
        <v>#N/A</v>
      </c>
      <c r="AR44" s="56"/>
      <c r="AS44" s="158" t="e">
        <f>IF(_Calcs!$NP$337=1,"✓","!")</f>
        <v>#N/A</v>
      </c>
      <c r="AT44" s="741"/>
      <c r="AU44" s="1412"/>
      <c r="AW44" s="1411"/>
      <c r="AX44" s="1209"/>
      <c r="AY44" s="3994" t="e">
        <f>INDEX(outputs_oppsum[sp_Boring],MATCH(_Calcs!$NQ$40,outputs_oppsum[stuff_id],0))</f>
        <v>#N/A</v>
      </c>
      <c r="AZ44" s="56"/>
      <c r="BA44" s="158" t="e">
        <f>IF(_Calcs!$NQ$337=1,"✓","!")</f>
        <v>#N/A</v>
      </c>
      <c r="BB44" s="741"/>
      <c r="BC44" s="1412"/>
      <c r="BE44" s="1411"/>
      <c r="BF44" s="1209"/>
      <c r="BG44" s="3994" t="e">
        <f>INDEX(outputs_oppsum[sp_Boring],MATCH(_Calcs!$NR$40,outputs_oppsum[stuff_id],0))</f>
        <v>#N/A</v>
      </c>
      <c r="BH44" s="56"/>
      <c r="BI44" s="158" t="e">
        <f>IF(_Calcs!$NR$337=1,"✓","!")</f>
        <v>#N/A</v>
      </c>
      <c r="BJ44" s="741"/>
      <c r="BK44" s="1412"/>
      <c r="BM44" s="1411"/>
      <c r="BN44" s="1209"/>
      <c r="BO44" s="3994" t="e">
        <f>INDEX(outputs_oppsum[sp_Boring],MATCH(_Calcs!$NS$40,outputs_oppsum[stuff_id],0))</f>
        <v>#N/A</v>
      </c>
      <c r="BP44" s="56"/>
      <c r="BQ44" s="158" t="e">
        <f>IF(_Calcs!$NS$337=1,"✓","!")</f>
        <v>#N/A</v>
      </c>
      <c r="BR44" s="741"/>
      <c r="BS44" s="1412"/>
      <c r="BU44" s="1411"/>
      <c r="BV44" s="1209"/>
      <c r="BW44" s="3994" t="e">
        <f>INDEX(outputs_oppsum[sp_Boring],MATCH(_Calcs!$NT$40,outputs_oppsum[stuff_id],0))</f>
        <v>#N/A</v>
      </c>
      <c r="BX44" s="56"/>
      <c r="BY44" s="158" t="e">
        <f>IF(_Calcs!$NT$337=1,"✓","!")</f>
        <v>#N/A</v>
      </c>
      <c r="BZ44" s="741"/>
      <c r="CA44" s="1412"/>
      <c r="CC44" s="1411"/>
      <c r="CD44" s="1209"/>
      <c r="CE44" s="3994" t="e">
        <f>INDEX(outputs_oppsum[sp_Boring],MATCH(_Calcs!$NU$40,outputs_oppsum[stuff_id],0))</f>
        <v>#N/A</v>
      </c>
      <c r="CF44" s="56"/>
      <c r="CG44" s="158" t="e">
        <f>IF(_Calcs!$NU$337=1,"✓","!")</f>
        <v>#N/A</v>
      </c>
      <c r="CH44" s="741"/>
      <c r="CI44" s="1412"/>
      <c r="CK44" s="1411"/>
      <c r="CL44" s="1209"/>
      <c r="CM44" s="3994" t="e">
        <f>INDEX(outputs_oppsum[sp_Boring],MATCH(_Calcs!$NV$40,outputs_oppsum[stuff_id],0))</f>
        <v>#N/A</v>
      </c>
      <c r="CN44" s="56"/>
      <c r="CO44" s="158" t="e">
        <f>IF(_Calcs!$NV$337=1,"✓","!")</f>
        <v>#N/A</v>
      </c>
      <c r="CP44" s="741"/>
      <c r="CQ44" s="1412"/>
      <c r="CS44" s="1411"/>
      <c r="CT44" s="1209"/>
      <c r="CU44" s="3994" t="e">
        <f>INDEX(outputs_oppsum[sp_Boring],MATCH(_Calcs!$NW$40,outputs_oppsum[stuff_id],0))</f>
        <v>#N/A</v>
      </c>
      <c r="CV44" s="56"/>
      <c r="CW44" s="158" t="e">
        <f>IF(_Calcs!$NW$337=1,"✓","!")</f>
        <v>#N/A</v>
      </c>
      <c r="CX44" s="741"/>
      <c r="CY44" s="1412"/>
      <c r="DA44" s="162"/>
    </row>
    <row r="45" spans="1:138" s="21" customFormat="1" ht="15" customHeight="1" thickBot="1" x14ac:dyDescent="0.25">
      <c r="A45" s="25"/>
      <c r="B45" s="25"/>
      <c r="C45" s="2615"/>
      <c r="D45" s="25"/>
      <c r="E45" s="577"/>
      <c r="F45" s="160"/>
      <c r="G45" s="160"/>
      <c r="H45" s="160"/>
      <c r="I45" s="60"/>
      <c r="J45" s="1193"/>
      <c r="K45" s="1193"/>
      <c r="L45" s="165"/>
      <c r="M45" s="1446"/>
      <c r="N45" s="70"/>
      <c r="O45" s="1391"/>
      <c r="P45" s="1401"/>
      <c r="Q45" s="1389"/>
      <c r="R45" s="1389"/>
      <c r="S45" s="1399"/>
      <c r="T45" s="70"/>
      <c r="U45" s="1391"/>
      <c r="V45" s="1390"/>
      <c r="W45" s="1399"/>
      <c r="X45" s="70"/>
      <c r="Y45" s="6736"/>
      <c r="Z45" s="70"/>
      <c r="AA45" s="3999"/>
      <c r="AB45" s="1420"/>
      <c r="AC45" s="1420"/>
      <c r="AD45" s="1420"/>
      <c r="AE45" s="1426"/>
      <c r="AF45" s="70"/>
      <c r="AG45" s="1411"/>
      <c r="AH45" s="1209"/>
      <c r="AI45" s="58"/>
      <c r="AJ45" s="56"/>
      <c r="AK45" s="1209"/>
      <c r="AL45" s="741"/>
      <c r="AM45" s="1412"/>
      <c r="AO45" s="1411"/>
      <c r="AP45" s="1209"/>
      <c r="AQ45" s="58"/>
      <c r="AR45" s="56"/>
      <c r="AS45" s="1209"/>
      <c r="AT45" s="741"/>
      <c r="AU45" s="1412"/>
      <c r="AW45" s="1411"/>
      <c r="AX45" s="1209"/>
      <c r="AY45" s="58"/>
      <c r="AZ45" s="56"/>
      <c r="BA45" s="1209"/>
      <c r="BB45" s="741"/>
      <c r="BC45" s="1412"/>
      <c r="BE45" s="1411"/>
      <c r="BF45" s="1209"/>
      <c r="BG45" s="58"/>
      <c r="BH45" s="56"/>
      <c r="BI45" s="1209"/>
      <c r="BJ45" s="741"/>
      <c r="BK45" s="1412"/>
      <c r="BM45" s="1411"/>
      <c r="BN45" s="1209"/>
      <c r="BO45" s="58"/>
      <c r="BP45" s="56"/>
      <c r="BQ45" s="1209"/>
      <c r="BR45" s="741"/>
      <c r="BS45" s="1412"/>
      <c r="BU45" s="1411"/>
      <c r="BV45" s="1209"/>
      <c r="BW45" s="58"/>
      <c r="BX45" s="56"/>
      <c r="BY45" s="1209"/>
      <c r="BZ45" s="741"/>
      <c r="CA45" s="1412"/>
      <c r="CC45" s="1411"/>
      <c r="CD45" s="1209"/>
      <c r="CE45" s="58"/>
      <c r="CF45" s="56"/>
      <c r="CG45" s="1209"/>
      <c r="CH45" s="741"/>
      <c r="CI45" s="1412"/>
      <c r="CK45" s="1411"/>
      <c r="CL45" s="1209"/>
      <c r="CM45" s="58"/>
      <c r="CN45" s="56"/>
      <c r="CO45" s="1209"/>
      <c r="CP45" s="741"/>
      <c r="CQ45" s="1412"/>
      <c r="CS45" s="1411"/>
      <c r="CT45" s="1209"/>
      <c r="CU45" s="58"/>
      <c r="CV45" s="56"/>
      <c r="CW45" s="1209"/>
      <c r="CX45" s="741"/>
      <c r="CY45" s="1412"/>
      <c r="DA45" s="162"/>
    </row>
    <row r="46" spans="1:138" s="21" customFormat="1" ht="20.100000000000001" customHeight="1" thickBot="1" x14ac:dyDescent="0.25">
      <c r="A46" s="25"/>
      <c r="B46" s="25"/>
      <c r="C46" s="2615"/>
      <c r="D46" s="25"/>
      <c r="E46" s="577"/>
      <c r="F46" s="160" t="str">
        <f>_Calcs!$N$48</f>
        <v>Injeksjon</v>
      </c>
      <c r="G46" s="160"/>
      <c r="H46" s="160"/>
      <c r="I46" s="60"/>
      <c r="J46" s="156"/>
      <c r="K46" s="156"/>
      <c r="L46" s="165"/>
      <c r="M46" s="1445"/>
      <c r="N46" s="70"/>
      <c r="O46" s="1391"/>
      <c r="P46" s="3463">
        <f>_Kapasitet!U21</f>
        <v>1500</v>
      </c>
      <c r="Q46" s="1389"/>
      <c r="R46" s="2514" t="str">
        <f>_Kapasitet!W21</f>
        <v>Standard</v>
      </c>
      <c r="S46" s="1399"/>
      <c r="T46" s="70"/>
      <c r="U46" s="1391"/>
      <c r="V46" s="1390" t="s">
        <v>1209</v>
      </c>
      <c r="W46" s="1399"/>
      <c r="X46" s="70"/>
      <c r="Y46" s="6736"/>
      <c r="Z46" s="70"/>
      <c r="AA46" s="3999"/>
      <c r="AB46" s="6738" t="s">
        <v>46</v>
      </c>
      <c r="AC46" s="6738"/>
      <c r="AD46" s="6738"/>
      <c r="AE46" s="1351"/>
      <c r="AF46" s="70"/>
      <c r="AG46" s="1411"/>
      <c r="AH46" s="1209"/>
      <c r="AI46" s="3994">
        <f>INDEX(outputs_oppsum[Sp_Injeksjon],MATCH(_Calcs!$NO$40,outputs_oppsum[stuff_id],0))</f>
        <v>0</v>
      </c>
      <c r="AJ46" s="56"/>
      <c r="AK46" s="158" t="str">
        <f>IF(_Calcs!$NO$338=1,"✓","!")</f>
        <v>!</v>
      </c>
      <c r="AL46" s="741"/>
      <c r="AM46" s="1412"/>
      <c r="AO46" s="1411"/>
      <c r="AP46" s="1209"/>
      <c r="AQ46" s="3994" t="e">
        <f>INDEX(outputs_oppsum[Sp_Injeksjon],MATCH(_Calcs!$NP$40,outputs_oppsum[stuff_id],0))</f>
        <v>#N/A</v>
      </c>
      <c r="AR46" s="56"/>
      <c r="AS46" s="158" t="e">
        <f>IF(_Calcs!$NP$338=1,"✓","!")</f>
        <v>#N/A</v>
      </c>
      <c r="AT46" s="741"/>
      <c r="AU46" s="1412"/>
      <c r="AW46" s="1411"/>
      <c r="AX46" s="1209"/>
      <c r="AY46" s="3994" t="e">
        <f>INDEX(outputs_oppsum[Sp_Injeksjon],MATCH(_Calcs!$NQ$40,outputs_oppsum[stuff_id],0))</f>
        <v>#N/A</v>
      </c>
      <c r="AZ46" s="56"/>
      <c r="BA46" s="158" t="e">
        <f>IF(_Calcs!$NQ$338=1,"✓","!")</f>
        <v>#N/A</v>
      </c>
      <c r="BB46" s="741"/>
      <c r="BC46" s="1412"/>
      <c r="BE46" s="1411"/>
      <c r="BF46" s="1209"/>
      <c r="BG46" s="3994" t="e">
        <f>INDEX(outputs_oppsum[Sp_Injeksjon],MATCH(_Calcs!$NR$40,outputs_oppsum[stuff_id],0))</f>
        <v>#N/A</v>
      </c>
      <c r="BH46" s="56"/>
      <c r="BI46" s="158" t="e">
        <f>IF(_Calcs!$NR$338=1,"✓","!")</f>
        <v>#N/A</v>
      </c>
      <c r="BJ46" s="741"/>
      <c r="BK46" s="1412"/>
      <c r="BM46" s="1411"/>
      <c r="BN46" s="1209"/>
      <c r="BO46" s="3994" t="e">
        <f>INDEX(outputs_oppsum[Sp_Injeksjon],MATCH(_Calcs!$NS$40,outputs_oppsum[stuff_id],0))</f>
        <v>#N/A</v>
      </c>
      <c r="BP46" s="56"/>
      <c r="BQ46" s="158" t="e">
        <f>IF(_Calcs!$NS$338=1,"✓","!")</f>
        <v>#N/A</v>
      </c>
      <c r="BR46" s="741"/>
      <c r="BS46" s="1412"/>
      <c r="BU46" s="1411"/>
      <c r="BV46" s="1209"/>
      <c r="BW46" s="3994" t="e">
        <f>INDEX(outputs_oppsum[Sp_Injeksjon],MATCH(_Calcs!$NT$40,outputs_oppsum[stuff_id],0))</f>
        <v>#N/A</v>
      </c>
      <c r="BX46" s="56"/>
      <c r="BY46" s="158" t="e">
        <f>IF(_Calcs!$NT$338=1,"✓","!")</f>
        <v>#N/A</v>
      </c>
      <c r="BZ46" s="741"/>
      <c r="CA46" s="1412"/>
      <c r="CC46" s="1411"/>
      <c r="CD46" s="1209"/>
      <c r="CE46" s="3994" t="e">
        <f>INDEX(outputs_oppsum[Sp_Injeksjon],MATCH(_Calcs!$NU$40,outputs_oppsum[stuff_id],0))</f>
        <v>#N/A</v>
      </c>
      <c r="CF46" s="56"/>
      <c r="CG46" s="158" t="e">
        <f>IF(_Calcs!$NU$338=1,"✓","!")</f>
        <v>#N/A</v>
      </c>
      <c r="CH46" s="741"/>
      <c r="CI46" s="1412"/>
      <c r="CK46" s="1411"/>
      <c r="CL46" s="1209"/>
      <c r="CM46" s="3994" t="e">
        <f>INDEX(outputs_oppsum[Sp_Injeksjon],MATCH(_Calcs!$NV$40,outputs_oppsum[stuff_id],0))</f>
        <v>#N/A</v>
      </c>
      <c r="CN46" s="56"/>
      <c r="CO46" s="158" t="e">
        <f>IF(_Calcs!$NV$338=1,"✓","!")</f>
        <v>#N/A</v>
      </c>
      <c r="CP46" s="741"/>
      <c r="CQ46" s="1412"/>
      <c r="CS46" s="1411"/>
      <c r="CT46" s="1209"/>
      <c r="CU46" s="3994" t="e">
        <f>INDEX(outputs_oppsum[Sp_Injeksjon],MATCH(_Calcs!$NW$40,outputs_oppsum[stuff_id],0))</f>
        <v>#N/A</v>
      </c>
      <c r="CV46" s="56"/>
      <c r="CW46" s="158" t="e">
        <f>IF(_Calcs!$NW$338=1,"✓","!")</f>
        <v>#N/A</v>
      </c>
      <c r="CX46" s="741"/>
      <c r="CY46" s="1412"/>
      <c r="DA46" s="162"/>
    </row>
    <row r="47" spans="1:138" s="21" customFormat="1" ht="15" customHeight="1" thickBot="1" x14ac:dyDescent="0.25">
      <c r="A47" s="14"/>
      <c r="B47" s="14"/>
      <c r="C47" s="2615"/>
      <c r="D47" s="13"/>
      <c r="E47" s="731"/>
      <c r="F47" s="579"/>
      <c r="G47" s="579"/>
      <c r="H47" s="579"/>
      <c r="I47" s="733"/>
      <c r="J47" s="1180"/>
      <c r="K47" s="1180"/>
      <c r="L47" s="1177"/>
      <c r="M47" s="1448"/>
      <c r="N47" s="15"/>
      <c r="O47" s="1385"/>
      <c r="P47" s="1397"/>
      <c r="Q47" s="1387"/>
      <c r="R47" s="1387"/>
      <c r="S47" s="1398"/>
      <c r="T47" s="70"/>
      <c r="U47" s="1385"/>
      <c r="V47" s="1388"/>
      <c r="W47" s="1398"/>
      <c r="X47" s="70"/>
      <c r="Y47" s="6736"/>
      <c r="Z47" s="114"/>
      <c r="AA47" s="4028"/>
      <c r="AB47" s="1421"/>
      <c r="AC47" s="1421"/>
      <c r="AD47" s="1421"/>
      <c r="AE47" s="1427"/>
      <c r="AF47" s="114"/>
      <c r="AG47" s="1413"/>
      <c r="AH47" s="1210"/>
      <c r="AI47" s="744"/>
      <c r="AJ47" s="1414"/>
      <c r="AK47" s="746"/>
      <c r="AL47" s="746"/>
      <c r="AM47" s="1415"/>
      <c r="AO47" s="1413"/>
      <c r="AP47" s="1210"/>
      <c r="AQ47" s="744"/>
      <c r="AR47" s="1414"/>
      <c r="AS47" s="746"/>
      <c r="AT47" s="746"/>
      <c r="AU47" s="1415"/>
      <c r="AW47" s="1413"/>
      <c r="AX47" s="1210"/>
      <c r="AY47" s="744"/>
      <c r="AZ47" s="1414"/>
      <c r="BA47" s="746"/>
      <c r="BB47" s="746"/>
      <c r="BC47" s="1415"/>
      <c r="BE47" s="1413"/>
      <c r="BF47" s="1210"/>
      <c r="BG47" s="744"/>
      <c r="BH47" s="1414"/>
      <c r="BI47" s="746"/>
      <c r="BJ47" s="746"/>
      <c r="BK47" s="1415"/>
      <c r="BM47" s="1413"/>
      <c r="BN47" s="1210"/>
      <c r="BO47" s="744"/>
      <c r="BP47" s="1414"/>
      <c r="BQ47" s="746"/>
      <c r="BR47" s="746"/>
      <c r="BS47" s="1415"/>
      <c r="BU47" s="1413"/>
      <c r="BV47" s="1210"/>
      <c r="BW47" s="744"/>
      <c r="BX47" s="1414"/>
      <c r="BY47" s="746"/>
      <c r="BZ47" s="746"/>
      <c r="CA47" s="1415"/>
      <c r="CC47" s="1413"/>
      <c r="CD47" s="1210"/>
      <c r="CE47" s="744"/>
      <c r="CF47" s="1414"/>
      <c r="CG47" s="746"/>
      <c r="CH47" s="746"/>
      <c r="CI47" s="1415"/>
      <c r="CK47" s="1413"/>
      <c r="CL47" s="1210"/>
      <c r="CM47" s="744"/>
      <c r="CN47" s="1414"/>
      <c r="CO47" s="746"/>
      <c r="CP47" s="746"/>
      <c r="CQ47" s="1415"/>
      <c r="CS47" s="1413"/>
      <c r="CT47" s="1210"/>
      <c r="CU47" s="744"/>
      <c r="CV47" s="1414"/>
      <c r="CW47" s="746"/>
      <c r="CX47" s="746"/>
      <c r="CY47" s="1415"/>
      <c r="DA47" s="162"/>
    </row>
    <row r="48" spans="1:138" s="21" customFormat="1" ht="8.1" customHeight="1" thickBot="1" x14ac:dyDescent="0.25">
      <c r="A48" s="14"/>
      <c r="B48" s="14"/>
      <c r="C48" s="2615"/>
      <c r="D48" s="13"/>
      <c r="E48" s="20"/>
      <c r="F48" s="136"/>
      <c r="G48" s="136"/>
      <c r="H48" s="136"/>
      <c r="I48" s="35"/>
      <c r="J48" s="1181"/>
      <c r="K48" s="1181"/>
      <c r="L48" s="137"/>
      <c r="M48" s="137"/>
      <c r="N48" s="15"/>
      <c r="O48" s="13"/>
      <c r="P48" s="147"/>
      <c r="Q48" s="13"/>
      <c r="R48" s="13"/>
      <c r="S48" s="13"/>
      <c r="T48" s="70"/>
      <c r="U48" s="13"/>
      <c r="V48" s="15"/>
      <c r="W48" s="13"/>
      <c r="X48" s="70"/>
      <c r="Y48" s="6736"/>
      <c r="Z48" s="114"/>
      <c r="AA48" s="307"/>
      <c r="AB48" s="1423"/>
      <c r="AC48" s="1423"/>
      <c r="AD48" s="1423"/>
      <c r="AE48" s="1423"/>
      <c r="AF48" s="114"/>
      <c r="AG48" s="132"/>
      <c r="AH48" s="132"/>
      <c r="AI48" s="22"/>
      <c r="AJ48" s="1383"/>
      <c r="AK48" s="19"/>
      <c r="AL48" s="19"/>
      <c r="AM48" s="132"/>
      <c r="AO48" s="132"/>
      <c r="AP48" s="132"/>
      <c r="AQ48" s="22"/>
      <c r="AR48" s="1383"/>
      <c r="AS48" s="19"/>
      <c r="AT48" s="19"/>
      <c r="AU48" s="132"/>
      <c r="AW48" s="132"/>
      <c r="AX48" s="132"/>
      <c r="AY48" s="22"/>
      <c r="AZ48" s="1383"/>
      <c r="BA48" s="19"/>
      <c r="BB48" s="19"/>
      <c r="BC48" s="132"/>
      <c r="BE48" s="132"/>
      <c r="BF48" s="132"/>
      <c r="BG48" s="22"/>
      <c r="BH48" s="1383"/>
      <c r="BI48" s="19"/>
      <c r="BJ48" s="19"/>
      <c r="BK48" s="132"/>
      <c r="BM48" s="132"/>
      <c r="BN48" s="132"/>
      <c r="BO48" s="22"/>
      <c r="BP48" s="1383"/>
      <c r="BQ48" s="19"/>
      <c r="BR48" s="19"/>
      <c r="BS48" s="132"/>
      <c r="BU48" s="132"/>
      <c r="BV48" s="132"/>
      <c r="BW48" s="22"/>
      <c r="BX48" s="1383"/>
      <c r="BY48" s="19"/>
      <c r="BZ48" s="19"/>
      <c r="CA48" s="132"/>
      <c r="CC48" s="132"/>
      <c r="CD48" s="132"/>
      <c r="CE48" s="22"/>
      <c r="CF48" s="1383"/>
      <c r="CG48" s="19"/>
      <c r="CH48" s="19"/>
      <c r="CI48" s="132"/>
      <c r="CK48" s="132"/>
      <c r="CL48" s="132"/>
      <c r="CM48" s="22"/>
      <c r="CN48" s="1383"/>
      <c r="CO48" s="19"/>
      <c r="CP48" s="19"/>
      <c r="CQ48" s="132"/>
      <c r="CS48" s="132"/>
      <c r="CT48" s="132"/>
      <c r="CU48" s="22"/>
      <c r="CV48" s="1383"/>
      <c r="CW48" s="19"/>
      <c r="CX48" s="19"/>
      <c r="CY48" s="132"/>
      <c r="DA48" s="132"/>
    </row>
    <row r="49" spans="1:145" s="21" customFormat="1" ht="17.100000000000001" customHeight="1" x14ac:dyDescent="0.2">
      <c r="A49" s="70"/>
      <c r="B49" s="14"/>
      <c r="C49" s="2615"/>
      <c r="D49" s="14"/>
      <c r="E49" s="574"/>
      <c r="F49" s="575"/>
      <c r="G49" s="575"/>
      <c r="H49" s="575"/>
      <c r="I49" s="1182"/>
      <c r="J49" s="1183"/>
      <c r="K49" s="1183"/>
      <c r="L49" s="1173"/>
      <c r="M49" s="1443"/>
      <c r="N49" s="14"/>
      <c r="O49" s="4024"/>
      <c r="P49" s="4024"/>
      <c r="Q49" s="4024"/>
      <c r="R49" s="4024"/>
      <c r="S49" s="4024"/>
      <c r="T49" s="70"/>
      <c r="U49" s="4024"/>
      <c r="V49" s="4025"/>
      <c r="W49" s="4024"/>
      <c r="X49" s="70"/>
      <c r="Y49" s="6736"/>
      <c r="Z49" s="114"/>
      <c r="AA49" s="307"/>
      <c r="AB49" s="1423"/>
      <c r="AC49" s="1423"/>
      <c r="AD49" s="1423"/>
      <c r="AE49" s="1423"/>
      <c r="AF49" s="114"/>
      <c r="AG49" s="4026"/>
      <c r="AH49" s="4026"/>
      <c r="AI49" s="4026"/>
      <c r="AJ49" s="4026"/>
      <c r="AK49" s="4026"/>
      <c r="AL49" s="4026"/>
      <c r="AM49" s="4026"/>
      <c r="AO49" s="4026"/>
      <c r="AP49" s="4026"/>
      <c r="AQ49" s="4026"/>
      <c r="AR49" s="4026"/>
      <c r="AS49" s="4026"/>
      <c r="AT49" s="4026"/>
      <c r="AU49" s="4026"/>
      <c r="AW49" s="4026"/>
      <c r="AX49" s="4026"/>
      <c r="AY49" s="4026"/>
      <c r="AZ49" s="4026"/>
      <c r="BA49" s="4026"/>
      <c r="BB49" s="4026"/>
      <c r="BC49" s="4026"/>
      <c r="BE49" s="4026"/>
      <c r="BF49" s="4026"/>
      <c r="BG49" s="4026"/>
      <c r="BH49" s="4026"/>
      <c r="BI49" s="4026"/>
      <c r="BJ49" s="4026"/>
      <c r="BK49" s="4026"/>
      <c r="BM49" s="4026"/>
      <c r="BN49" s="4026"/>
      <c r="BO49" s="4026"/>
      <c r="BP49" s="4026"/>
      <c r="BQ49" s="4026"/>
      <c r="BR49" s="4026"/>
      <c r="BS49" s="4026"/>
      <c r="BU49" s="4026"/>
      <c r="BV49" s="4026"/>
      <c r="BW49" s="4026"/>
      <c r="BX49" s="4026"/>
      <c r="BY49" s="4026"/>
      <c r="BZ49" s="4026"/>
      <c r="CA49" s="4026"/>
      <c r="CC49" s="4026"/>
      <c r="CD49" s="4026"/>
      <c r="CE49" s="4026"/>
      <c r="CF49" s="4026"/>
      <c r="CG49" s="4026"/>
      <c r="CH49" s="4026"/>
      <c r="CI49" s="4026"/>
      <c r="CK49" s="4026"/>
      <c r="CL49" s="4026"/>
      <c r="CM49" s="4026"/>
      <c r="CN49" s="4026"/>
      <c r="CO49" s="4026"/>
      <c r="CP49" s="4026"/>
      <c r="CQ49" s="4026"/>
      <c r="CS49" s="4026"/>
      <c r="CT49" s="4026"/>
      <c r="CU49" s="4026"/>
      <c r="CV49" s="4026"/>
      <c r="CW49" s="4026"/>
      <c r="CX49" s="4026"/>
      <c r="CY49" s="4026"/>
      <c r="DA49" s="6181"/>
    </row>
    <row r="50" spans="1:145" s="21" customFormat="1" ht="5.0999999999999996" customHeight="1" x14ac:dyDescent="0.2">
      <c r="A50" s="70"/>
      <c r="B50" s="90"/>
      <c r="C50" s="2615"/>
      <c r="D50" s="13"/>
      <c r="E50" s="577"/>
      <c r="F50" s="6741" t="str">
        <f>_Calcs!$M$46</f>
        <v>Systematisk</v>
      </c>
      <c r="G50" s="6741"/>
      <c r="H50" s="6741"/>
      <c r="I50" s="6741"/>
      <c r="J50" s="156"/>
      <c r="K50" s="156"/>
      <c r="L50" s="165"/>
      <c r="M50" s="1446"/>
      <c r="N50" s="1438"/>
      <c r="O50" s="4024"/>
      <c r="P50" s="4024"/>
      <c r="Q50" s="4024"/>
      <c r="R50" s="4024"/>
      <c r="S50" s="4024"/>
      <c r="T50" s="70"/>
      <c r="U50" s="4024"/>
      <c r="V50" s="4025"/>
      <c r="W50" s="4024"/>
      <c r="X50" s="70"/>
      <c r="Y50" s="6736"/>
      <c r="Z50" s="114"/>
      <c r="AA50" s="307"/>
      <c r="AB50" s="1423"/>
      <c r="AC50" s="1423"/>
      <c r="AD50" s="1423"/>
      <c r="AE50" s="1423"/>
      <c r="AF50" s="114"/>
      <c r="AG50" s="4026"/>
      <c r="AH50" s="4026"/>
      <c r="AI50" s="4026"/>
      <c r="AJ50" s="4026"/>
      <c r="AK50" s="4026"/>
      <c r="AL50" s="4026"/>
      <c r="AM50" s="4026"/>
      <c r="AO50" s="4026"/>
      <c r="AP50" s="4026"/>
      <c r="AQ50" s="4026"/>
      <c r="AR50" s="4026"/>
      <c r="AS50" s="4026"/>
      <c r="AT50" s="4026"/>
      <c r="AU50" s="4026"/>
      <c r="AW50" s="4026"/>
      <c r="AX50" s="4026"/>
      <c r="AY50" s="4026"/>
      <c r="AZ50" s="4026"/>
      <c r="BA50" s="4026"/>
      <c r="BB50" s="4026"/>
      <c r="BC50" s="4026"/>
      <c r="BE50" s="4026"/>
      <c r="BF50" s="4026"/>
      <c r="BG50" s="4026"/>
      <c r="BH50" s="4026"/>
      <c r="BI50" s="4026"/>
      <c r="BJ50" s="4026"/>
      <c r="BK50" s="4026"/>
      <c r="BM50" s="4026"/>
      <c r="BN50" s="4026"/>
      <c r="BO50" s="4026"/>
      <c r="BP50" s="4026"/>
      <c r="BQ50" s="4026"/>
      <c r="BR50" s="4026"/>
      <c r="BS50" s="4026"/>
      <c r="BU50" s="4026"/>
      <c r="BV50" s="4026"/>
      <c r="BW50" s="4026"/>
      <c r="BX50" s="4026"/>
      <c r="BY50" s="4026"/>
      <c r="BZ50" s="4026"/>
      <c r="CA50" s="4026"/>
      <c r="CC50" s="4026"/>
      <c r="CD50" s="4026"/>
      <c r="CE50" s="4026"/>
      <c r="CF50" s="4026"/>
      <c r="CG50" s="4026"/>
      <c r="CH50" s="4026"/>
      <c r="CI50" s="4026"/>
      <c r="CK50" s="4026"/>
      <c r="CL50" s="4026"/>
      <c r="CM50" s="4026"/>
      <c r="CN50" s="4026"/>
      <c r="CO50" s="4026"/>
      <c r="CP50" s="4026"/>
      <c r="CQ50" s="4026"/>
      <c r="CS50" s="4026"/>
      <c r="CT50" s="4026"/>
      <c r="CU50" s="4026"/>
      <c r="CV50" s="4026"/>
      <c r="CW50" s="4026"/>
      <c r="CX50" s="4026"/>
      <c r="CY50" s="4026"/>
      <c r="DA50" s="6181"/>
    </row>
    <row r="51" spans="1:145" s="21" customFormat="1" ht="8.1" customHeight="1" thickBot="1" x14ac:dyDescent="0.25">
      <c r="A51" s="70"/>
      <c r="B51" s="90"/>
      <c r="C51" s="2615"/>
      <c r="D51" s="13"/>
      <c r="E51" s="577"/>
      <c r="F51" s="6741"/>
      <c r="G51" s="6741"/>
      <c r="H51" s="6741"/>
      <c r="I51" s="6741"/>
      <c r="J51" s="156"/>
      <c r="K51" s="156"/>
      <c r="L51" s="165"/>
      <c r="M51" s="1446"/>
      <c r="N51" s="1438"/>
      <c r="O51" s="13"/>
      <c r="P51" s="147"/>
      <c r="Q51" s="13"/>
      <c r="R51" s="13"/>
      <c r="S51" s="13"/>
      <c r="T51" s="70"/>
      <c r="U51" s="13"/>
      <c r="V51" s="15"/>
      <c r="W51" s="13"/>
      <c r="X51" s="70"/>
      <c r="Y51" s="6736"/>
      <c r="Z51" s="114"/>
      <c r="AA51" s="307"/>
      <c r="AB51" s="1423"/>
      <c r="AC51" s="1423"/>
      <c r="AD51" s="1423"/>
      <c r="AE51" s="1423"/>
      <c r="AF51" s="114"/>
      <c r="AG51" s="132"/>
      <c r="AH51" s="132"/>
      <c r="AI51" s="22"/>
      <c r="AJ51" s="1383"/>
      <c r="AK51" s="19"/>
      <c r="AL51" s="19"/>
      <c r="AM51" s="132"/>
      <c r="AO51" s="132"/>
      <c r="AP51" s="132"/>
      <c r="AQ51" s="22"/>
      <c r="AR51" s="1383"/>
      <c r="AS51" s="19"/>
      <c r="AT51" s="19"/>
      <c r="AU51" s="132"/>
      <c r="AW51" s="132"/>
      <c r="AX51" s="132"/>
      <c r="AY51" s="22"/>
      <c r="AZ51" s="1383"/>
      <c r="BA51" s="19"/>
      <c r="BB51" s="19"/>
      <c r="BC51" s="132"/>
      <c r="BE51" s="132"/>
      <c r="BF51" s="132"/>
      <c r="BG51" s="22"/>
      <c r="BH51" s="1383"/>
      <c r="BI51" s="19"/>
      <c r="BJ51" s="19"/>
      <c r="BK51" s="132"/>
      <c r="BM51" s="132"/>
      <c r="BN51" s="132"/>
      <c r="BO51" s="22"/>
      <c r="BP51" s="1383"/>
      <c r="BQ51" s="19"/>
      <c r="BR51" s="19"/>
      <c r="BS51" s="132"/>
      <c r="BU51" s="132"/>
      <c r="BV51" s="132"/>
      <c r="BW51" s="22"/>
      <c r="BX51" s="1383"/>
      <c r="BY51" s="19"/>
      <c r="BZ51" s="19"/>
      <c r="CA51" s="132"/>
      <c r="CC51" s="132"/>
      <c r="CD51" s="132"/>
      <c r="CE51" s="22"/>
      <c r="CF51" s="1383"/>
      <c r="CG51" s="19"/>
      <c r="CH51" s="19"/>
      <c r="CI51" s="132"/>
      <c r="CK51" s="132"/>
      <c r="CL51" s="132"/>
      <c r="CM51" s="22"/>
      <c r="CN51" s="1383"/>
      <c r="CO51" s="19"/>
      <c r="CP51" s="19"/>
      <c r="CQ51" s="132"/>
      <c r="CS51" s="132"/>
      <c r="CT51" s="132"/>
      <c r="CU51" s="22"/>
      <c r="CV51" s="1383"/>
      <c r="CW51" s="19"/>
      <c r="CX51" s="19"/>
      <c r="CY51" s="132"/>
      <c r="DA51" s="132"/>
    </row>
    <row r="52" spans="1:145" s="21" customFormat="1" ht="15" customHeight="1" thickBot="1" x14ac:dyDescent="0.25">
      <c r="A52" s="70"/>
      <c r="B52" s="90"/>
      <c r="C52" s="2615"/>
      <c r="D52" s="13"/>
      <c r="E52" s="577"/>
      <c r="F52" s="6741"/>
      <c r="G52" s="6741"/>
      <c r="H52" s="6741"/>
      <c r="I52" s="6741"/>
      <c r="J52" s="55"/>
      <c r="K52" s="55"/>
      <c r="L52" s="165"/>
      <c r="M52" s="1446"/>
      <c r="N52" s="14"/>
      <c r="O52" s="1393"/>
      <c r="P52" s="1394"/>
      <c r="Q52" s="1395"/>
      <c r="R52" s="1395"/>
      <c r="S52" s="1400"/>
      <c r="T52" s="70"/>
      <c r="U52" s="1393"/>
      <c r="V52" s="1396"/>
      <c r="W52" s="1400"/>
      <c r="X52" s="70"/>
      <c r="Y52" s="6736"/>
      <c r="Z52" s="114"/>
      <c r="AA52" s="3990"/>
      <c r="AB52" s="1419"/>
      <c r="AC52" s="1419"/>
      <c r="AD52" s="1419"/>
      <c r="AE52" s="1425"/>
      <c r="AF52" s="114"/>
      <c r="AG52" s="1407"/>
      <c r="AH52" s="1408"/>
      <c r="AI52" s="738"/>
      <c r="AJ52" s="1416"/>
      <c r="AK52" s="739"/>
      <c r="AL52" s="739"/>
      <c r="AM52" s="1410"/>
      <c r="AO52" s="1407"/>
      <c r="AP52" s="1408"/>
      <c r="AQ52" s="738"/>
      <c r="AR52" s="1416"/>
      <c r="AS52" s="739"/>
      <c r="AT52" s="739"/>
      <c r="AU52" s="1410"/>
      <c r="AW52" s="1407"/>
      <c r="AX52" s="1408"/>
      <c r="AY52" s="738"/>
      <c r="AZ52" s="1416"/>
      <c r="BA52" s="739"/>
      <c r="BB52" s="739"/>
      <c r="BC52" s="1410"/>
      <c r="BE52" s="1407"/>
      <c r="BF52" s="1408"/>
      <c r="BG52" s="738"/>
      <c r="BH52" s="1416"/>
      <c r="BI52" s="739"/>
      <c r="BJ52" s="739"/>
      <c r="BK52" s="1410"/>
      <c r="BM52" s="1407"/>
      <c r="BN52" s="1408"/>
      <c r="BO52" s="738"/>
      <c r="BP52" s="1416"/>
      <c r="BQ52" s="739"/>
      <c r="BR52" s="739"/>
      <c r="BS52" s="1410"/>
      <c r="BU52" s="1407"/>
      <c r="BV52" s="1408"/>
      <c r="BW52" s="738"/>
      <c r="BX52" s="1416"/>
      <c r="BY52" s="739"/>
      <c r="BZ52" s="739"/>
      <c r="CA52" s="1410"/>
      <c r="CC52" s="1407"/>
      <c r="CD52" s="1408"/>
      <c r="CE52" s="738"/>
      <c r="CF52" s="1416"/>
      <c r="CG52" s="739"/>
      <c r="CH52" s="739"/>
      <c r="CI52" s="1410"/>
      <c r="CK52" s="1407"/>
      <c r="CL52" s="1408"/>
      <c r="CM52" s="738"/>
      <c r="CN52" s="1416"/>
      <c r="CO52" s="739"/>
      <c r="CP52" s="739"/>
      <c r="CQ52" s="1410"/>
      <c r="CS52" s="1407"/>
      <c r="CT52" s="1408"/>
      <c r="CU52" s="738"/>
      <c r="CV52" s="1416"/>
      <c r="CW52" s="739"/>
      <c r="CX52" s="739"/>
      <c r="CY52" s="1410"/>
      <c r="DA52" s="162"/>
    </row>
    <row r="53" spans="1:145" s="21" customFormat="1" ht="20.100000000000001" customHeight="1" thickBot="1" x14ac:dyDescent="0.25">
      <c r="A53" s="70"/>
      <c r="B53" s="90"/>
      <c r="C53" s="2615"/>
      <c r="D53" s="13"/>
      <c r="E53" s="577"/>
      <c r="F53" s="160" t="str">
        <f>_Calcs!$N$46</f>
        <v>Opp- og nedrigging</v>
      </c>
      <c r="G53" s="160"/>
      <c r="H53" s="160"/>
      <c r="I53" s="60"/>
      <c r="J53" s="156"/>
      <c r="K53" s="156"/>
      <c r="L53" s="165"/>
      <c r="M53" s="1445"/>
      <c r="N53" s="1439"/>
      <c r="O53" s="1391"/>
      <c r="P53" s="166">
        <f>_Kapasitet!U24</f>
        <v>1</v>
      </c>
      <c r="Q53" s="1389"/>
      <c r="R53" s="2514" t="str">
        <f>_Kapasitet!W24</f>
        <v>Standard</v>
      </c>
      <c r="S53" s="1399"/>
      <c r="T53" s="70"/>
      <c r="U53" s="1391"/>
      <c r="V53" s="1390" t="s">
        <v>14</v>
      </c>
      <c r="W53" s="1399"/>
      <c r="X53" s="70"/>
      <c r="Y53" s="6736"/>
      <c r="Z53" s="114"/>
      <c r="AA53" s="3993"/>
      <c r="AB53" s="6738" t="s">
        <v>46</v>
      </c>
      <c r="AC53" s="6738"/>
      <c r="AD53" s="6738"/>
      <c r="AE53" s="1351"/>
      <c r="AF53" s="114"/>
      <c r="AG53" s="1411"/>
      <c r="AH53" s="1209"/>
      <c r="AI53" s="4027">
        <f>INDEX(outputs_oppsum[sy_Rigg],MATCH(_Calcs!$NO$40,outputs_oppsum[stuff_id],0))</f>
        <v>0</v>
      </c>
      <c r="AJ53" s="58"/>
      <c r="AK53" s="1935" t="str">
        <f>IF(_Calcs!$NO$340=1,"✓","!")</f>
        <v>!</v>
      </c>
      <c r="AL53" s="1936"/>
      <c r="AM53" s="1937"/>
      <c r="AN53" s="191"/>
      <c r="AO53" s="1938"/>
      <c r="AP53" s="1939"/>
      <c r="AQ53" s="4027" t="e">
        <f>INDEX(outputs_oppsum[sy_Rigg],MATCH(_Calcs!$NP$40,outputs_oppsum[stuff_id],0))</f>
        <v>#N/A</v>
      </c>
      <c r="AR53" s="58"/>
      <c r="AS53" s="1935" t="e">
        <f>IF(_Calcs!$NP$340=1,"✓","!")</f>
        <v>#N/A</v>
      </c>
      <c r="AT53" s="1936"/>
      <c r="AU53" s="1937"/>
      <c r="AV53" s="191"/>
      <c r="AW53" s="1938"/>
      <c r="AX53" s="1939"/>
      <c r="AY53" s="4027" t="e">
        <f>INDEX(outputs_oppsum[sy_Rigg],MATCH(_Calcs!$NQ$40,outputs_oppsum[stuff_id],0))</f>
        <v>#N/A</v>
      </c>
      <c r="AZ53" s="58"/>
      <c r="BA53" s="1935" t="e">
        <f>IF(_Calcs!$NQ$340=1,"✓","!")</f>
        <v>#N/A</v>
      </c>
      <c r="BB53" s="1936"/>
      <c r="BC53" s="1937"/>
      <c r="BD53" s="191"/>
      <c r="BE53" s="1938"/>
      <c r="BF53" s="1939"/>
      <c r="BG53" s="4027" t="e">
        <f>INDEX(outputs_oppsum[sy_Rigg],MATCH(_Calcs!$NR$40,outputs_oppsum[stuff_id],0))</f>
        <v>#N/A</v>
      </c>
      <c r="BH53" s="58"/>
      <c r="BI53" s="1935" t="e">
        <f>IF(_Calcs!$NR$340=1,"✓","!")</f>
        <v>#N/A</v>
      </c>
      <c r="BJ53" s="1936"/>
      <c r="BK53" s="1937"/>
      <c r="BL53" s="191"/>
      <c r="BM53" s="1938"/>
      <c r="BN53" s="1939"/>
      <c r="BO53" s="4027" t="e">
        <f>INDEX(outputs_oppsum[sy_Rigg],MATCH(_Calcs!$NS$40,outputs_oppsum[stuff_id],0))</f>
        <v>#N/A</v>
      </c>
      <c r="BP53" s="58"/>
      <c r="BQ53" s="1935" t="e">
        <f>IF(_Calcs!$NS$340=1,"✓","!")</f>
        <v>#N/A</v>
      </c>
      <c r="BR53" s="1936"/>
      <c r="BS53" s="1937"/>
      <c r="BT53" s="191"/>
      <c r="BU53" s="1938"/>
      <c r="BV53" s="1939"/>
      <c r="BW53" s="4027" t="e">
        <f>INDEX(outputs_oppsum[sy_Rigg],MATCH(_Calcs!$NT$40,outputs_oppsum[stuff_id],0))</f>
        <v>#N/A</v>
      </c>
      <c r="BX53" s="58"/>
      <c r="BY53" s="1935" t="e">
        <f>IF(_Calcs!$NT$340=1,"✓","!")</f>
        <v>#N/A</v>
      </c>
      <c r="BZ53" s="1936"/>
      <c r="CA53" s="1937"/>
      <c r="CB53" s="191"/>
      <c r="CC53" s="1938"/>
      <c r="CD53" s="1939"/>
      <c r="CE53" s="4027" t="e">
        <f>INDEX(outputs_oppsum[sy_Rigg],MATCH(_Calcs!$NU$40,outputs_oppsum[stuff_id],0))</f>
        <v>#N/A</v>
      </c>
      <c r="CF53" s="58"/>
      <c r="CG53" s="1935" t="e">
        <f>IF(_Calcs!$NU$340=1,"✓","!")</f>
        <v>#N/A</v>
      </c>
      <c r="CH53" s="1936"/>
      <c r="CI53" s="1937"/>
      <c r="CJ53" s="191"/>
      <c r="CK53" s="1938"/>
      <c r="CL53" s="1939"/>
      <c r="CM53" s="4027" t="e">
        <f>INDEX(outputs_oppsum[sy_Rigg],MATCH(_Calcs!$NV$40,outputs_oppsum[stuff_id],0))</f>
        <v>#N/A</v>
      </c>
      <c r="CN53" s="58"/>
      <c r="CO53" s="1935" t="e">
        <f>IF(_Calcs!$NV$340=1,"✓","!")</f>
        <v>#N/A</v>
      </c>
      <c r="CP53" s="1936"/>
      <c r="CQ53" s="1937"/>
      <c r="CR53" s="191"/>
      <c r="CS53" s="1938"/>
      <c r="CT53" s="1939"/>
      <c r="CU53" s="4027" t="e">
        <f>INDEX(outputs_oppsum[sy_Rigg],MATCH(_Calcs!$NW$40,outputs_oppsum[stuff_id],0))</f>
        <v>#N/A</v>
      </c>
      <c r="CV53" s="1926"/>
      <c r="CW53" s="1927" t="e">
        <f>IF(_Calcs!$NW$340=1,"✓","!")</f>
        <v>#N/A</v>
      </c>
      <c r="CX53" s="1928"/>
      <c r="CY53" s="1929"/>
      <c r="CZ53" s="337"/>
      <c r="DA53" s="1930"/>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row>
    <row r="54" spans="1:145" s="21" customFormat="1" ht="15" customHeight="1" thickBot="1" x14ac:dyDescent="0.25">
      <c r="A54" s="70"/>
      <c r="B54" s="90"/>
      <c r="C54" s="2615"/>
      <c r="D54" s="13"/>
      <c r="E54" s="577"/>
      <c r="F54" s="160"/>
      <c r="G54" s="160"/>
      <c r="H54" s="160"/>
      <c r="I54" s="60"/>
      <c r="J54" s="1193"/>
      <c r="K54" s="1193"/>
      <c r="L54" s="165"/>
      <c r="M54" s="1446"/>
      <c r="N54" s="15"/>
      <c r="O54" s="1391"/>
      <c r="P54" s="1401"/>
      <c r="Q54" s="1389"/>
      <c r="R54" s="1389"/>
      <c r="S54" s="1399"/>
      <c r="T54" s="70"/>
      <c r="U54" s="1391"/>
      <c r="V54" s="1390"/>
      <c r="W54" s="1399"/>
      <c r="X54" s="70"/>
      <c r="Y54" s="6736"/>
      <c r="Z54" s="114"/>
      <c r="AA54" s="3993"/>
      <c r="AB54" s="1420"/>
      <c r="AC54" s="1420"/>
      <c r="AD54" s="1420"/>
      <c r="AE54" s="1426"/>
      <c r="AF54" s="114"/>
      <c r="AG54" s="1411"/>
      <c r="AH54" s="1209"/>
      <c r="AI54" s="58"/>
      <c r="AJ54" s="56"/>
      <c r="AK54" s="1209"/>
      <c r="AL54" s="741"/>
      <c r="AM54" s="1412"/>
      <c r="AO54" s="1411"/>
      <c r="AP54" s="1209"/>
      <c r="AQ54" s="58"/>
      <c r="AR54" s="56"/>
      <c r="AS54" s="1209"/>
      <c r="AT54" s="741"/>
      <c r="AU54" s="1412"/>
      <c r="AW54" s="1411"/>
      <c r="AX54" s="1209"/>
      <c r="AY54" s="58"/>
      <c r="AZ54" s="56"/>
      <c r="BA54" s="1209"/>
      <c r="BB54" s="741"/>
      <c r="BC54" s="1412"/>
      <c r="BE54" s="1411"/>
      <c r="BF54" s="1209"/>
      <c r="BG54" s="58"/>
      <c r="BH54" s="56"/>
      <c r="BI54" s="1209"/>
      <c r="BJ54" s="741"/>
      <c r="BK54" s="1412"/>
      <c r="BM54" s="1411"/>
      <c r="BN54" s="1209"/>
      <c r="BO54" s="58"/>
      <c r="BP54" s="56"/>
      <c r="BQ54" s="1209"/>
      <c r="BR54" s="741"/>
      <c r="BS54" s="1412"/>
      <c r="BU54" s="1411"/>
      <c r="BV54" s="1209"/>
      <c r="BW54" s="58"/>
      <c r="BX54" s="56"/>
      <c r="BY54" s="1209"/>
      <c r="BZ54" s="741"/>
      <c r="CA54" s="1412"/>
      <c r="CC54" s="1411"/>
      <c r="CD54" s="1209"/>
      <c r="CE54" s="58"/>
      <c r="CF54" s="56"/>
      <c r="CG54" s="1209"/>
      <c r="CH54" s="741"/>
      <c r="CI54" s="1412"/>
      <c r="CK54" s="1411"/>
      <c r="CL54" s="1209"/>
      <c r="CM54" s="58"/>
      <c r="CN54" s="56"/>
      <c r="CO54" s="1209"/>
      <c r="CP54" s="741"/>
      <c r="CQ54" s="1412"/>
      <c r="CS54" s="1411"/>
      <c r="CT54" s="1209"/>
      <c r="CU54" s="58"/>
      <c r="CV54" s="56"/>
      <c r="CW54" s="1209"/>
      <c r="CX54" s="741"/>
      <c r="CY54" s="1412"/>
      <c r="DA54" s="162"/>
    </row>
    <row r="55" spans="1:145" s="21" customFormat="1" ht="20.100000000000001" customHeight="1" thickBot="1" x14ac:dyDescent="0.25">
      <c r="A55" s="25"/>
      <c r="B55" s="25"/>
      <c r="C55" s="2615"/>
      <c r="D55" s="13"/>
      <c r="E55" s="577"/>
      <c r="F55" s="160" t="str">
        <f>_Calcs!$N$47</f>
        <v>Boring</v>
      </c>
      <c r="G55" s="160"/>
      <c r="H55" s="160"/>
      <c r="I55" s="60"/>
      <c r="J55" s="156"/>
      <c r="K55" s="156"/>
      <c r="L55" s="165"/>
      <c r="M55" s="1445"/>
      <c r="N55" s="535"/>
      <c r="O55" s="1391"/>
      <c r="P55" s="166">
        <f>_Kapasitet!U25</f>
        <v>90</v>
      </c>
      <c r="Q55" s="1389"/>
      <c r="R55" s="2514" t="str">
        <f>_Kapasitet!W25</f>
        <v>Standard</v>
      </c>
      <c r="S55" s="1399"/>
      <c r="T55" s="70"/>
      <c r="U55" s="1391"/>
      <c r="V55" s="1390" t="s">
        <v>10</v>
      </c>
      <c r="W55" s="1399"/>
      <c r="X55" s="70"/>
      <c r="Y55" s="6736"/>
      <c r="Z55" s="114"/>
      <c r="AA55" s="3993"/>
      <c r="AB55" s="6738" t="s">
        <v>46</v>
      </c>
      <c r="AC55" s="6738"/>
      <c r="AD55" s="6738"/>
      <c r="AE55" s="1351"/>
      <c r="AF55" s="114"/>
      <c r="AG55" s="1411"/>
      <c r="AH55" s="1209"/>
      <c r="AI55" s="3994">
        <f>INDEX(outputs_oppsum[sy_Boring],MATCH(_Calcs!$NO$40,outputs_oppsum[stuff_id],0))</f>
        <v>0</v>
      </c>
      <c r="AJ55" s="56"/>
      <c r="AK55" s="158" t="str">
        <f>IF(_Calcs!$NO$341=1,"✓","!")</f>
        <v>!</v>
      </c>
      <c r="AL55" s="741"/>
      <c r="AM55" s="1412"/>
      <c r="AO55" s="1411"/>
      <c r="AP55" s="1209"/>
      <c r="AQ55" s="3994" t="e">
        <f>INDEX(outputs_oppsum[sy_Boring],MATCH(_Calcs!$NP$40,outputs_oppsum[stuff_id],0))</f>
        <v>#N/A</v>
      </c>
      <c r="AR55" s="56"/>
      <c r="AS55" s="158" t="e">
        <f>IF(_Calcs!$NP$341=1,"✓","!")</f>
        <v>#N/A</v>
      </c>
      <c r="AT55" s="741"/>
      <c r="AU55" s="1412"/>
      <c r="AW55" s="1411"/>
      <c r="AX55" s="1209"/>
      <c r="AY55" s="3994" t="e">
        <f>INDEX(outputs_oppsum[sy_Boring],MATCH(_Calcs!$NQ$40,outputs_oppsum[stuff_id],0))</f>
        <v>#N/A</v>
      </c>
      <c r="AZ55" s="56"/>
      <c r="BA55" s="158" t="e">
        <f>IF(_Calcs!$NQ$341=1,"✓","!")</f>
        <v>#N/A</v>
      </c>
      <c r="BB55" s="741"/>
      <c r="BC55" s="1412"/>
      <c r="BE55" s="1411"/>
      <c r="BF55" s="1209"/>
      <c r="BG55" s="3994" t="e">
        <f>INDEX(outputs_oppsum[sy_Boring],MATCH(_Calcs!$NR$40,outputs_oppsum[stuff_id],0))</f>
        <v>#N/A</v>
      </c>
      <c r="BH55" s="56"/>
      <c r="BI55" s="158" t="e">
        <f>IF(_Calcs!$NR$341=1,"✓","!")</f>
        <v>#N/A</v>
      </c>
      <c r="BJ55" s="741"/>
      <c r="BK55" s="1412"/>
      <c r="BM55" s="1411"/>
      <c r="BN55" s="1209"/>
      <c r="BO55" s="3994" t="e">
        <f>INDEX(outputs_oppsum[sy_Boring],MATCH(_Calcs!$NS$40,outputs_oppsum[stuff_id],0))</f>
        <v>#N/A</v>
      </c>
      <c r="BP55" s="56"/>
      <c r="BQ55" s="158" t="e">
        <f>IF(_Calcs!$NS$341=1,"✓","!")</f>
        <v>#N/A</v>
      </c>
      <c r="BR55" s="741"/>
      <c r="BS55" s="1412"/>
      <c r="BU55" s="1411"/>
      <c r="BV55" s="1209"/>
      <c r="BW55" s="3994" t="e">
        <f>INDEX(outputs_oppsum[sy_Boring],MATCH(_Calcs!$NT$40,outputs_oppsum[stuff_id],0))</f>
        <v>#N/A</v>
      </c>
      <c r="BX55" s="56"/>
      <c r="BY55" s="158" t="e">
        <f>IF(_Calcs!$NT$341=1,"✓","!")</f>
        <v>#N/A</v>
      </c>
      <c r="BZ55" s="741"/>
      <c r="CA55" s="1412"/>
      <c r="CC55" s="1411"/>
      <c r="CD55" s="1209"/>
      <c r="CE55" s="3994" t="e">
        <f>INDEX(outputs_oppsum[sy_Boring],MATCH(_Calcs!$NU$40,outputs_oppsum[stuff_id],0))</f>
        <v>#N/A</v>
      </c>
      <c r="CF55" s="56"/>
      <c r="CG55" s="158" t="e">
        <f>IF(_Calcs!$NU$341=1,"✓","!")</f>
        <v>#N/A</v>
      </c>
      <c r="CH55" s="741"/>
      <c r="CI55" s="1412"/>
      <c r="CK55" s="1411"/>
      <c r="CL55" s="1209"/>
      <c r="CM55" s="3994" t="e">
        <f>INDEX(outputs_oppsum[sy_Boring],MATCH(_Calcs!$NV$40,outputs_oppsum[stuff_id],0))</f>
        <v>#N/A</v>
      </c>
      <c r="CN55" s="56"/>
      <c r="CO55" s="158" t="e">
        <f>IF(_Calcs!$NV$341=1,"✓","!")</f>
        <v>#N/A</v>
      </c>
      <c r="CP55" s="741"/>
      <c r="CQ55" s="1412"/>
      <c r="CS55" s="1411"/>
      <c r="CT55" s="1209"/>
      <c r="CU55" s="3994" t="e">
        <f>INDEX(outputs_oppsum[sy_Boring],MATCH(_Calcs!$NW$40,outputs_oppsum[stuff_id],0))</f>
        <v>#N/A</v>
      </c>
      <c r="CV55" s="56"/>
      <c r="CW55" s="158" t="e">
        <f>IF(_Calcs!$NW$341=1,"✓","!")</f>
        <v>#N/A</v>
      </c>
      <c r="CX55" s="741"/>
      <c r="CY55" s="1412"/>
      <c r="DA55" s="162"/>
    </row>
    <row r="56" spans="1:145" s="21" customFormat="1" ht="15" customHeight="1" thickBot="1" x14ac:dyDescent="0.25">
      <c r="A56" s="70"/>
      <c r="B56" s="70"/>
      <c r="C56" s="2615"/>
      <c r="D56" s="70"/>
      <c r="E56" s="577"/>
      <c r="F56" s="160"/>
      <c r="G56" s="160"/>
      <c r="H56" s="160"/>
      <c r="I56" s="60"/>
      <c r="J56" s="1193"/>
      <c r="K56" s="1193"/>
      <c r="L56" s="165"/>
      <c r="M56" s="1446"/>
      <c r="N56" s="115"/>
      <c r="O56" s="1391"/>
      <c r="P56" s="1401"/>
      <c r="Q56" s="1389"/>
      <c r="R56" s="1389"/>
      <c r="S56" s="1399"/>
      <c r="T56" s="70"/>
      <c r="U56" s="1391"/>
      <c r="V56" s="1390"/>
      <c r="W56" s="1399"/>
      <c r="X56" s="70"/>
      <c r="Y56" s="6736"/>
      <c r="Z56" s="114"/>
      <c r="AA56" s="3993"/>
      <c r="AB56" s="1420"/>
      <c r="AC56" s="1420"/>
      <c r="AD56" s="1420"/>
      <c r="AE56" s="1426"/>
      <c r="AF56" s="114"/>
      <c r="AG56" s="1411"/>
      <c r="AH56" s="1209"/>
      <c r="AI56" s="58"/>
      <c r="AJ56" s="56"/>
      <c r="AK56" s="1209"/>
      <c r="AL56" s="741"/>
      <c r="AM56" s="1412"/>
      <c r="AO56" s="1411"/>
      <c r="AP56" s="1209"/>
      <c r="AQ56" s="58"/>
      <c r="AR56" s="56"/>
      <c r="AS56" s="1209"/>
      <c r="AT56" s="741"/>
      <c r="AU56" s="1412"/>
      <c r="AW56" s="1411"/>
      <c r="AX56" s="1209"/>
      <c r="AY56" s="58"/>
      <c r="AZ56" s="56"/>
      <c r="BA56" s="1209"/>
      <c r="BB56" s="741"/>
      <c r="BC56" s="1412"/>
      <c r="BE56" s="1411"/>
      <c r="BF56" s="1209"/>
      <c r="BG56" s="58"/>
      <c r="BH56" s="56"/>
      <c r="BI56" s="1209"/>
      <c r="BJ56" s="741"/>
      <c r="BK56" s="1412"/>
      <c r="BM56" s="1411"/>
      <c r="BN56" s="1209"/>
      <c r="BO56" s="58"/>
      <c r="BP56" s="56"/>
      <c r="BQ56" s="1209"/>
      <c r="BR56" s="741"/>
      <c r="BS56" s="1412"/>
      <c r="BU56" s="1411"/>
      <c r="BV56" s="1209"/>
      <c r="BW56" s="58"/>
      <c r="BX56" s="56"/>
      <c r="BY56" s="1209"/>
      <c r="BZ56" s="741"/>
      <c r="CA56" s="1412"/>
      <c r="CC56" s="1411"/>
      <c r="CD56" s="1209"/>
      <c r="CE56" s="58"/>
      <c r="CF56" s="56"/>
      <c r="CG56" s="1209"/>
      <c r="CH56" s="741"/>
      <c r="CI56" s="1412"/>
      <c r="CK56" s="1411"/>
      <c r="CL56" s="1209"/>
      <c r="CM56" s="58"/>
      <c r="CN56" s="56"/>
      <c r="CO56" s="1209"/>
      <c r="CP56" s="741"/>
      <c r="CQ56" s="1412"/>
      <c r="CS56" s="1411"/>
      <c r="CT56" s="1209"/>
      <c r="CU56" s="58"/>
      <c r="CV56" s="56"/>
      <c r="CW56" s="1209"/>
      <c r="CX56" s="741"/>
      <c r="CY56" s="1412"/>
      <c r="DA56" s="162"/>
    </row>
    <row r="57" spans="1:145" s="21" customFormat="1" ht="20.100000000000001" customHeight="1" thickBot="1" x14ac:dyDescent="0.25">
      <c r="A57" s="70"/>
      <c r="B57" s="70"/>
      <c r="C57" s="2615"/>
      <c r="D57" s="70"/>
      <c r="E57" s="577"/>
      <c r="F57" s="160" t="str">
        <f>_Calcs!$N$48</f>
        <v>Injeksjon</v>
      </c>
      <c r="G57" s="160"/>
      <c r="H57" s="160"/>
      <c r="I57" s="60"/>
      <c r="J57" s="156"/>
      <c r="K57" s="156"/>
      <c r="L57" s="165"/>
      <c r="M57" s="1445"/>
      <c r="N57" s="115"/>
      <c r="O57" s="1391"/>
      <c r="P57" s="3463">
        <f>_Kapasitet!U26</f>
        <v>1500</v>
      </c>
      <c r="Q57" s="1389"/>
      <c r="R57" s="2514" t="str">
        <f>_Kapasitet!W26</f>
        <v>Standard</v>
      </c>
      <c r="S57" s="1399"/>
      <c r="T57" s="70"/>
      <c r="U57" s="1391"/>
      <c r="V57" s="1390" t="s">
        <v>1209</v>
      </c>
      <c r="W57" s="1399"/>
      <c r="X57" s="70"/>
      <c r="Y57" s="6736"/>
      <c r="Z57" s="114"/>
      <c r="AA57" s="3993"/>
      <c r="AB57" s="6738" t="s">
        <v>46</v>
      </c>
      <c r="AC57" s="6738"/>
      <c r="AD57" s="6738"/>
      <c r="AE57" s="1351"/>
      <c r="AF57" s="114"/>
      <c r="AG57" s="1411"/>
      <c r="AH57" s="1209"/>
      <c r="AI57" s="3994">
        <f>INDEX(outputs_oppsum[sy_Injeksjon],MATCH(_Calcs!$NO$40,outputs_oppsum[stuff_id],0))</f>
        <v>0</v>
      </c>
      <c r="AJ57" s="56"/>
      <c r="AK57" s="158" t="str">
        <f>IF(_Calcs!$NO$342=1,"✓","!")</f>
        <v>!</v>
      </c>
      <c r="AL57" s="741"/>
      <c r="AM57" s="1412"/>
      <c r="AO57" s="1411"/>
      <c r="AP57" s="1209"/>
      <c r="AQ57" s="3994" t="e">
        <f>INDEX(outputs_oppsum[sy_Injeksjon],MATCH(_Calcs!$NP$40,outputs_oppsum[stuff_id],0))</f>
        <v>#N/A</v>
      </c>
      <c r="AR57" s="56"/>
      <c r="AS57" s="158" t="e">
        <f>IF(_Calcs!$NP$342=1,"✓","!")</f>
        <v>#N/A</v>
      </c>
      <c r="AT57" s="741"/>
      <c r="AU57" s="1412"/>
      <c r="AW57" s="1411"/>
      <c r="AX57" s="1209"/>
      <c r="AY57" s="3994" t="e">
        <f>INDEX(outputs_oppsum[sy_Injeksjon],MATCH(_Calcs!$NQ$40,outputs_oppsum[stuff_id],0))</f>
        <v>#N/A</v>
      </c>
      <c r="AZ57" s="56"/>
      <c r="BA57" s="158" t="e">
        <f>IF(_Calcs!$NQ$342=1,"✓","!")</f>
        <v>#N/A</v>
      </c>
      <c r="BB57" s="741"/>
      <c r="BC57" s="1412"/>
      <c r="BE57" s="1411"/>
      <c r="BF57" s="1209"/>
      <c r="BG57" s="3994" t="e">
        <f>INDEX(outputs_oppsum[sy_Injeksjon],MATCH(_Calcs!$NR$40,outputs_oppsum[stuff_id],0))</f>
        <v>#N/A</v>
      </c>
      <c r="BH57" s="56"/>
      <c r="BI57" s="158" t="e">
        <f>IF(_Calcs!$NR$342=1,"✓","!")</f>
        <v>#N/A</v>
      </c>
      <c r="BJ57" s="741"/>
      <c r="BK57" s="1412"/>
      <c r="BM57" s="1411"/>
      <c r="BN57" s="1209"/>
      <c r="BO57" s="3994" t="e">
        <f>INDEX(outputs_oppsum[sy_Injeksjon],MATCH(_Calcs!$NS$40,outputs_oppsum[stuff_id],0))</f>
        <v>#N/A</v>
      </c>
      <c r="BP57" s="56"/>
      <c r="BQ57" s="158" t="e">
        <f>IF(_Calcs!$NS$342=1,"✓","!")</f>
        <v>#N/A</v>
      </c>
      <c r="BR57" s="741"/>
      <c r="BS57" s="1412"/>
      <c r="BU57" s="1411"/>
      <c r="BV57" s="1209"/>
      <c r="BW57" s="3994" t="e">
        <f>INDEX(outputs_oppsum[sy_Injeksjon],MATCH(_Calcs!$NT$40,outputs_oppsum[stuff_id],0))</f>
        <v>#N/A</v>
      </c>
      <c r="BX57" s="56"/>
      <c r="BY57" s="158" t="e">
        <f>IF(_Calcs!$NT$342=1,"✓","!")</f>
        <v>#N/A</v>
      </c>
      <c r="BZ57" s="741"/>
      <c r="CA57" s="1412"/>
      <c r="CC57" s="1411"/>
      <c r="CD57" s="1209"/>
      <c r="CE57" s="3994" t="e">
        <f>INDEX(outputs_oppsum[sy_Injeksjon],MATCH(_Calcs!$NU$40,outputs_oppsum[stuff_id],0))</f>
        <v>#N/A</v>
      </c>
      <c r="CF57" s="56"/>
      <c r="CG57" s="158" t="e">
        <f>IF(_Calcs!$NU$342=1,"✓","!")</f>
        <v>#N/A</v>
      </c>
      <c r="CH57" s="741"/>
      <c r="CI57" s="1412"/>
      <c r="CK57" s="1411"/>
      <c r="CL57" s="1209"/>
      <c r="CM57" s="3994" t="e">
        <f>INDEX(outputs_oppsum[sy_Injeksjon],MATCH(_Calcs!$NV$40,outputs_oppsum[stuff_id],0))</f>
        <v>#N/A</v>
      </c>
      <c r="CN57" s="56"/>
      <c r="CO57" s="158" t="e">
        <f>IF(_Calcs!$NV$342=1,"✓","!")</f>
        <v>#N/A</v>
      </c>
      <c r="CP57" s="741"/>
      <c r="CQ57" s="1412"/>
      <c r="CS57" s="1411"/>
      <c r="CT57" s="1209"/>
      <c r="CU57" s="3994" t="e">
        <f>INDEX(outputs_oppsum[sy_Injeksjon],MATCH(_Calcs!$NW$40,outputs_oppsum[stuff_id],0))</f>
        <v>#N/A</v>
      </c>
      <c r="CV57" s="56"/>
      <c r="CW57" s="158" t="e">
        <f>IF(_Calcs!$NW$342=1,"✓","!")</f>
        <v>#N/A</v>
      </c>
      <c r="CX57" s="741"/>
      <c r="CY57" s="1412"/>
      <c r="DA57" s="162"/>
    </row>
    <row r="58" spans="1:145" s="21" customFormat="1" ht="15" customHeight="1" thickBot="1" x14ac:dyDescent="0.25">
      <c r="A58" s="70"/>
      <c r="B58" s="70"/>
      <c r="C58" s="2616"/>
      <c r="D58" s="70"/>
      <c r="E58" s="731"/>
      <c r="F58" s="579"/>
      <c r="G58" s="579"/>
      <c r="H58" s="579"/>
      <c r="I58" s="743"/>
      <c r="J58" s="743"/>
      <c r="K58" s="743"/>
      <c r="L58" s="1177"/>
      <c r="M58" s="1448"/>
      <c r="N58" s="70"/>
      <c r="O58" s="1385"/>
      <c r="P58" s="1397"/>
      <c r="Q58" s="1387"/>
      <c r="R58" s="1387"/>
      <c r="S58" s="1398"/>
      <c r="T58" s="70"/>
      <c r="U58" s="1385"/>
      <c r="V58" s="1388"/>
      <c r="W58" s="1398"/>
      <c r="X58" s="70"/>
      <c r="Y58" s="6737"/>
      <c r="Z58" s="70"/>
      <c r="AA58" s="4000"/>
      <c r="AB58" s="1417"/>
      <c r="AC58" s="1417"/>
      <c r="AD58" s="1417"/>
      <c r="AE58" s="1422"/>
      <c r="AF58" s="70"/>
      <c r="AG58" s="1404"/>
      <c r="AH58" s="579"/>
      <c r="AI58" s="744"/>
      <c r="AJ58" s="743"/>
      <c r="AK58" s="1210"/>
      <c r="AL58" s="1210"/>
      <c r="AM58" s="1405"/>
      <c r="AN58" s="70"/>
      <c r="AO58" s="1404"/>
      <c r="AP58" s="579"/>
      <c r="AQ58" s="744"/>
      <c r="AR58" s="743"/>
      <c r="AS58" s="1210"/>
      <c r="AT58" s="1210"/>
      <c r="AU58" s="1405"/>
      <c r="AV58" s="70"/>
      <c r="AW58" s="1404"/>
      <c r="AX58" s="579"/>
      <c r="AY58" s="744"/>
      <c r="AZ58" s="743"/>
      <c r="BA58" s="1210"/>
      <c r="BB58" s="1210"/>
      <c r="BC58" s="1405"/>
      <c r="BD58" s="70"/>
      <c r="BE58" s="1404"/>
      <c r="BF58" s="579"/>
      <c r="BG58" s="744"/>
      <c r="BH58" s="743"/>
      <c r="BI58" s="1210"/>
      <c r="BJ58" s="1210"/>
      <c r="BK58" s="1405"/>
      <c r="BL58" s="70"/>
      <c r="BM58" s="1404"/>
      <c r="BN58" s="579"/>
      <c r="BO58" s="744"/>
      <c r="BP58" s="743"/>
      <c r="BQ58" s="1210"/>
      <c r="BR58" s="1210"/>
      <c r="BS58" s="1405"/>
      <c r="BT58" s="70"/>
      <c r="BU58" s="1404"/>
      <c r="BV58" s="579"/>
      <c r="BW58" s="744"/>
      <c r="BX58" s="743"/>
      <c r="BY58" s="1210"/>
      <c r="BZ58" s="1210"/>
      <c r="CA58" s="1405"/>
      <c r="CB58" s="70"/>
      <c r="CC58" s="1404"/>
      <c r="CD58" s="579"/>
      <c r="CE58" s="744"/>
      <c r="CF58" s="743"/>
      <c r="CG58" s="1210"/>
      <c r="CH58" s="1210"/>
      <c r="CI58" s="1405"/>
      <c r="CJ58" s="70"/>
      <c r="CK58" s="1404"/>
      <c r="CL58" s="579"/>
      <c r="CM58" s="744"/>
      <c r="CN58" s="743"/>
      <c r="CO58" s="1210"/>
      <c r="CP58" s="1210"/>
      <c r="CQ58" s="1405"/>
      <c r="CR58" s="70"/>
      <c r="CS58" s="1404"/>
      <c r="CT58" s="579"/>
      <c r="CU58" s="744"/>
      <c r="CV58" s="743"/>
      <c r="CW58" s="1210"/>
      <c r="CX58" s="1210"/>
      <c r="CY58" s="1405"/>
      <c r="CZ58" s="70"/>
      <c r="DA58" s="54"/>
    </row>
    <row r="59" spans="1:145" s="78" customFormat="1" ht="30" customHeight="1" x14ac:dyDescent="0.3">
      <c r="J59" s="573"/>
      <c r="K59" s="573"/>
      <c r="N59" s="4011"/>
      <c r="S59" s="70"/>
      <c r="T59" s="4012"/>
      <c r="V59" s="215"/>
      <c r="W59" s="70"/>
      <c r="X59" s="4012"/>
      <c r="Y59" s="4012"/>
      <c r="Z59" s="4012"/>
      <c r="AA59" s="70"/>
      <c r="AF59" s="70"/>
      <c r="AI59" s="21"/>
      <c r="AJ59" s="70"/>
      <c r="AN59" s="215"/>
      <c r="AQ59" s="21"/>
      <c r="AR59" s="70"/>
      <c r="AV59" s="215"/>
      <c r="AY59" s="21"/>
      <c r="AZ59" s="70"/>
      <c r="BD59" s="215"/>
      <c r="BG59" s="21"/>
      <c r="BH59" s="70"/>
      <c r="BL59" s="215"/>
      <c r="BO59" s="21"/>
      <c r="BP59" s="70"/>
      <c r="BT59" s="215"/>
      <c r="BW59" s="21"/>
      <c r="BX59" s="70"/>
      <c r="CB59" s="215"/>
      <c r="CE59" s="21"/>
      <c r="CF59" s="70"/>
      <c r="CJ59" s="215"/>
      <c r="CM59" s="21"/>
      <c r="CN59" s="70"/>
      <c r="CR59" s="215"/>
      <c r="CU59" s="21"/>
      <c r="CV59" s="70"/>
      <c r="CZ59" s="215"/>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row>
    <row r="60" spans="1:145" s="21" customFormat="1" ht="12" customHeight="1" x14ac:dyDescent="0.3">
      <c r="A60" s="25"/>
      <c r="B60" s="25"/>
      <c r="C60" s="2285"/>
      <c r="D60" s="25"/>
      <c r="E60" s="2276"/>
      <c r="F60" s="2277"/>
      <c r="G60" s="2277"/>
      <c r="H60" s="2277"/>
      <c r="I60" s="2275"/>
      <c r="J60" s="2275"/>
      <c r="K60" s="2275"/>
      <c r="L60" s="2277"/>
      <c r="M60" s="2277"/>
      <c r="N60" s="6173"/>
      <c r="O60" s="6171"/>
      <c r="P60" s="6172"/>
      <c r="Q60" s="6171"/>
      <c r="R60" s="6171"/>
      <c r="S60" s="6172"/>
      <c r="T60" s="6171"/>
      <c r="U60" s="6172"/>
      <c r="V60" s="6172"/>
      <c r="W60" s="6172"/>
      <c r="X60" s="2312"/>
      <c r="Y60" s="2312"/>
      <c r="AA60" s="2277"/>
      <c r="AB60" s="2275"/>
      <c r="AC60" s="2275"/>
      <c r="AD60" s="2275"/>
      <c r="AE60" s="2275"/>
      <c r="AF60" s="2279"/>
      <c r="AG60" s="2277"/>
      <c r="AH60" s="2277"/>
      <c r="AI60" s="2275"/>
      <c r="AJ60" s="2275"/>
      <c r="AK60" s="2275"/>
      <c r="AL60" s="2275"/>
      <c r="AM60" s="2278"/>
      <c r="AO60" s="2277"/>
      <c r="AP60" s="2277"/>
      <c r="AQ60" s="2275"/>
      <c r="AR60" s="2275"/>
      <c r="AS60" s="2275"/>
      <c r="AT60" s="2275"/>
      <c r="AU60" s="2278"/>
      <c r="AW60" s="2277"/>
      <c r="AX60" s="2277"/>
      <c r="AY60" s="2275"/>
      <c r="AZ60" s="2275"/>
      <c r="BA60" s="2275"/>
      <c r="BB60" s="2275"/>
      <c r="BC60" s="2278"/>
      <c r="BE60" s="2277"/>
      <c r="BF60" s="2277"/>
      <c r="BG60" s="2275"/>
      <c r="BH60" s="2275"/>
      <c r="BI60" s="2275"/>
      <c r="BJ60" s="2275"/>
      <c r="BK60" s="2278"/>
      <c r="BM60" s="2277"/>
      <c r="BN60" s="2277"/>
      <c r="BO60" s="2275"/>
      <c r="BP60" s="2275"/>
      <c r="BQ60" s="2275"/>
      <c r="BR60" s="2275"/>
      <c r="BS60" s="2278"/>
      <c r="BU60" s="2277"/>
      <c r="BV60" s="2277"/>
      <c r="BW60" s="2275"/>
      <c r="BX60" s="2275"/>
      <c r="BY60" s="2275"/>
      <c r="BZ60" s="2275"/>
      <c r="CA60" s="2278"/>
      <c r="CC60" s="2277"/>
      <c r="CD60" s="2277"/>
      <c r="CE60" s="2275"/>
      <c r="CF60" s="2275"/>
      <c r="CG60" s="2275"/>
      <c r="CH60" s="2275"/>
      <c r="CI60" s="2278"/>
      <c r="CK60" s="2277"/>
      <c r="CL60" s="2277"/>
      <c r="CM60" s="2275"/>
      <c r="CN60" s="2275"/>
      <c r="CO60" s="2275"/>
      <c r="CP60" s="2275"/>
      <c r="CQ60" s="2278"/>
      <c r="CR60" s="70"/>
      <c r="CS60" s="2277"/>
      <c r="CT60" s="2277"/>
      <c r="CU60" s="2275"/>
      <c r="CV60" s="2275"/>
      <c r="CW60" s="2275"/>
      <c r="CX60" s="2275"/>
      <c r="CY60" s="2278"/>
      <c r="DA60" s="2278"/>
      <c r="DW60" s="70"/>
    </row>
    <row r="61" spans="1:145" s="21" customFormat="1" ht="3.75" customHeight="1" x14ac:dyDescent="0.3">
      <c r="A61" s="25"/>
      <c r="B61" s="25"/>
      <c r="C61" s="13"/>
      <c r="D61" s="25"/>
      <c r="E61" s="14"/>
      <c r="F61" s="15"/>
      <c r="G61" s="15"/>
      <c r="H61" s="15"/>
      <c r="I61" s="16"/>
      <c r="J61" s="16"/>
      <c r="K61" s="16"/>
      <c r="L61" s="17"/>
      <c r="M61" s="17"/>
      <c r="N61" s="17"/>
      <c r="O61" s="217"/>
      <c r="P61" s="15"/>
      <c r="Q61" s="217"/>
      <c r="R61" s="217"/>
      <c r="S61" s="15"/>
      <c r="T61" s="217"/>
      <c r="U61" s="15"/>
      <c r="V61" s="15"/>
      <c r="W61" s="15"/>
      <c r="X61" s="1350"/>
      <c r="Y61" s="1350"/>
      <c r="AA61" s="18"/>
      <c r="AB61" s="13"/>
      <c r="AC61" s="13"/>
      <c r="AD61" s="13"/>
      <c r="AE61" s="13"/>
      <c r="AF61" s="16"/>
      <c r="AG61" s="18"/>
      <c r="AH61" s="18"/>
      <c r="AI61" s="13"/>
      <c r="AJ61" s="16"/>
      <c r="AK61" s="16"/>
      <c r="AL61" s="16"/>
      <c r="AM61" s="19"/>
      <c r="AO61" s="18"/>
      <c r="AP61" s="18"/>
      <c r="AQ61" s="13"/>
      <c r="AR61" s="16"/>
      <c r="AS61" s="16"/>
      <c r="AT61" s="16"/>
      <c r="AU61" s="19"/>
      <c r="AW61" s="18"/>
      <c r="AX61" s="18"/>
      <c r="AY61" s="13"/>
      <c r="AZ61" s="16"/>
      <c r="BA61" s="16"/>
      <c r="BB61" s="16"/>
      <c r="BC61" s="19"/>
      <c r="BE61" s="18"/>
      <c r="BF61" s="18"/>
      <c r="BG61" s="13"/>
      <c r="BH61" s="16"/>
      <c r="BI61" s="16"/>
      <c r="BJ61" s="16"/>
      <c r="BK61" s="19"/>
      <c r="BM61" s="18"/>
      <c r="BN61" s="18"/>
      <c r="BO61" s="13"/>
      <c r="BP61" s="16"/>
      <c r="BQ61" s="16"/>
      <c r="BR61" s="16"/>
      <c r="BS61" s="19"/>
      <c r="BU61" s="18"/>
      <c r="BV61" s="18"/>
      <c r="BW61" s="13"/>
      <c r="BX61" s="16"/>
      <c r="BY61" s="16"/>
      <c r="BZ61" s="16"/>
      <c r="CA61" s="19"/>
      <c r="CC61" s="18"/>
      <c r="CD61" s="18"/>
      <c r="CE61" s="13"/>
      <c r="CF61" s="16"/>
      <c r="CG61" s="16"/>
      <c r="CH61" s="16"/>
      <c r="CI61" s="19"/>
      <c r="CK61" s="18"/>
      <c r="CL61" s="18"/>
      <c r="CM61" s="13"/>
      <c r="CN61" s="16"/>
      <c r="CO61" s="16"/>
      <c r="CP61" s="16"/>
      <c r="CQ61" s="19"/>
      <c r="CR61" s="70"/>
      <c r="CS61" s="18"/>
      <c r="CT61" s="18"/>
      <c r="CU61" s="13"/>
      <c r="CV61" s="16"/>
      <c r="CW61" s="16"/>
      <c r="CX61" s="16"/>
      <c r="CY61" s="19"/>
      <c r="DA61" s="19"/>
      <c r="DW61" s="70"/>
    </row>
    <row r="62" spans="1:145" s="21" customFormat="1" ht="5.0999999999999996" customHeight="1" x14ac:dyDescent="0.3">
      <c r="A62" s="25"/>
      <c r="B62" s="25"/>
      <c r="C62" s="2275"/>
      <c r="D62" s="25"/>
      <c r="E62" s="2276"/>
      <c r="F62" s="2277"/>
      <c r="G62" s="2277"/>
      <c r="H62" s="2277"/>
      <c r="I62" s="2275"/>
      <c r="J62" s="2275"/>
      <c r="K62" s="2275"/>
      <c r="L62" s="2277"/>
      <c r="M62" s="2277"/>
      <c r="N62" s="6173"/>
      <c r="O62" s="6171"/>
      <c r="P62" s="6172"/>
      <c r="Q62" s="6171"/>
      <c r="R62" s="6171"/>
      <c r="S62" s="6172"/>
      <c r="T62" s="6171"/>
      <c r="U62" s="6172"/>
      <c r="V62" s="6172"/>
      <c r="W62" s="6172"/>
      <c r="X62" s="2312"/>
      <c r="Y62" s="2312"/>
      <c r="AA62" s="2277"/>
      <c r="AB62" s="2275"/>
      <c r="AC62" s="2275"/>
      <c r="AD62" s="2275"/>
      <c r="AE62" s="2275"/>
      <c r="AF62" s="2279"/>
      <c r="AG62" s="2277"/>
      <c r="AH62" s="2277"/>
      <c r="AI62" s="2275"/>
      <c r="AJ62" s="2275"/>
      <c r="AK62" s="2275"/>
      <c r="AL62" s="2275"/>
      <c r="AM62" s="2278"/>
      <c r="AO62" s="2277"/>
      <c r="AP62" s="2277"/>
      <c r="AQ62" s="2275"/>
      <c r="AR62" s="2275"/>
      <c r="AS62" s="2275"/>
      <c r="AT62" s="2275"/>
      <c r="AU62" s="2278"/>
      <c r="AW62" s="2277"/>
      <c r="AX62" s="2277"/>
      <c r="AY62" s="2275"/>
      <c r="AZ62" s="2275"/>
      <c r="BA62" s="2275"/>
      <c r="BB62" s="2275"/>
      <c r="BC62" s="2278"/>
      <c r="BE62" s="2277"/>
      <c r="BF62" s="2277"/>
      <c r="BG62" s="2275"/>
      <c r="BH62" s="2275"/>
      <c r="BI62" s="2275"/>
      <c r="BJ62" s="2275"/>
      <c r="BK62" s="2278"/>
      <c r="BM62" s="2277"/>
      <c r="BN62" s="2277"/>
      <c r="BO62" s="2275"/>
      <c r="BP62" s="2275"/>
      <c r="BQ62" s="2275"/>
      <c r="BR62" s="2275"/>
      <c r="BS62" s="2278"/>
      <c r="BU62" s="2277"/>
      <c r="BV62" s="2277"/>
      <c r="BW62" s="2275"/>
      <c r="BX62" s="2275"/>
      <c r="BY62" s="2275"/>
      <c r="BZ62" s="2275"/>
      <c r="CA62" s="2278"/>
      <c r="CC62" s="2277"/>
      <c r="CD62" s="2277"/>
      <c r="CE62" s="2275"/>
      <c r="CF62" s="2275"/>
      <c r="CG62" s="2275"/>
      <c r="CH62" s="2275"/>
      <c r="CI62" s="2278"/>
      <c r="CK62" s="2277"/>
      <c r="CL62" s="2277"/>
      <c r="CM62" s="2275"/>
      <c r="CN62" s="2275"/>
      <c r="CO62" s="2275"/>
      <c r="CP62" s="2275"/>
      <c r="CQ62" s="2278"/>
      <c r="CR62" s="70"/>
      <c r="CS62" s="2277"/>
      <c r="CT62" s="2277"/>
      <c r="CU62" s="2275"/>
      <c r="CV62" s="2275"/>
      <c r="CW62" s="2275"/>
      <c r="CX62" s="2275"/>
      <c r="CY62" s="2278"/>
      <c r="DA62" s="2278"/>
    </row>
    <row r="63" spans="1:145" s="21" customFormat="1" ht="30" customHeight="1" thickBot="1" x14ac:dyDescent="0.35">
      <c r="A63" s="20"/>
      <c r="B63" s="20"/>
      <c r="C63" s="13"/>
      <c r="D63" s="20"/>
      <c r="E63" s="14"/>
      <c r="I63" s="16"/>
      <c r="J63" s="16"/>
      <c r="K63" s="16"/>
      <c r="L63" s="16"/>
      <c r="M63" s="78"/>
      <c r="N63" s="78"/>
      <c r="O63" s="16"/>
      <c r="P63" s="16"/>
      <c r="Q63" s="78"/>
      <c r="R63" s="78"/>
      <c r="T63" s="16"/>
      <c r="U63" s="215"/>
      <c r="V63" s="215"/>
      <c r="X63" s="4012"/>
      <c r="Y63" s="4012"/>
      <c r="Z63" s="4012"/>
      <c r="AB63" s="22"/>
      <c r="AC63" s="13"/>
      <c r="AD63" s="13"/>
      <c r="AE63" s="13"/>
      <c r="AF63" s="16"/>
      <c r="AG63" s="70"/>
      <c r="AH63" s="22"/>
      <c r="AI63" s="22"/>
      <c r="AJ63" s="13"/>
      <c r="AK63" s="16"/>
      <c r="AL63" s="70"/>
      <c r="AM63" s="70"/>
      <c r="AN63" s="70"/>
      <c r="AP63" s="22"/>
      <c r="AQ63" s="22"/>
      <c r="AR63" s="13"/>
      <c r="AS63" s="16"/>
      <c r="AT63" s="70"/>
      <c r="AU63" s="70"/>
      <c r="AV63" s="70"/>
      <c r="AX63" s="22"/>
      <c r="AY63" s="22"/>
      <c r="AZ63" s="13"/>
      <c r="BA63" s="16"/>
      <c r="BB63" s="70"/>
      <c r="BC63" s="70"/>
      <c r="BD63" s="70"/>
      <c r="BF63" s="22"/>
      <c r="BG63" s="22"/>
      <c r="BH63" s="13"/>
      <c r="BI63" s="16"/>
      <c r="BJ63" s="70"/>
      <c r="BK63" s="70"/>
      <c r="BL63" s="70"/>
      <c r="BN63" s="22"/>
      <c r="BO63" s="22"/>
      <c r="BP63" s="13"/>
      <c r="BQ63" s="16"/>
      <c r="BR63" s="70"/>
      <c r="BS63" s="70"/>
      <c r="BT63" s="70"/>
      <c r="BV63" s="22"/>
      <c r="BW63" s="22"/>
      <c r="BX63" s="13"/>
      <c r="BY63" s="16"/>
      <c r="BZ63" s="70"/>
      <c r="CA63" s="70"/>
      <c r="CB63" s="70"/>
      <c r="CD63" s="22"/>
      <c r="CE63" s="22"/>
      <c r="CF63" s="13"/>
      <c r="CG63" s="16"/>
      <c r="CH63" s="70"/>
      <c r="CI63" s="70"/>
      <c r="CJ63" s="70"/>
      <c r="CL63" s="22"/>
      <c r="CM63" s="22"/>
      <c r="CN63" s="13"/>
      <c r="CO63" s="16"/>
      <c r="CP63" s="70"/>
      <c r="CQ63" s="70"/>
      <c r="CR63" s="70"/>
      <c r="CS63" s="70"/>
      <c r="CT63" s="22"/>
      <c r="CU63" s="22"/>
      <c r="CV63" s="13"/>
      <c r="CW63" s="16"/>
      <c r="CX63" s="70"/>
      <c r="CY63" s="70"/>
      <c r="CZ63" s="70"/>
    </row>
    <row r="64" spans="1:145" s="21" customFormat="1" ht="15" customHeight="1" thickBot="1" x14ac:dyDescent="0.35">
      <c r="A64" s="70"/>
      <c r="B64" s="70"/>
      <c r="C64" s="4013"/>
      <c r="D64" s="70"/>
      <c r="E64" s="6166"/>
      <c r="F64" s="6167"/>
      <c r="G64" s="6167"/>
      <c r="H64" s="6167"/>
      <c r="I64" s="6167"/>
      <c r="J64" s="6167"/>
      <c r="K64" s="6167"/>
      <c r="L64" s="6167"/>
      <c r="M64" s="6168"/>
      <c r="N64" s="136"/>
      <c r="O64" s="6728"/>
      <c r="P64" s="6728"/>
      <c r="Q64" s="6728"/>
      <c r="R64" s="6728"/>
      <c r="S64" s="6728"/>
      <c r="T64" s="6728"/>
      <c r="U64" s="6728"/>
      <c r="V64" s="6728"/>
      <c r="W64" s="6728"/>
      <c r="X64" s="70"/>
      <c r="Y64" s="70"/>
      <c r="Z64" s="2310"/>
      <c r="AA64" s="4029"/>
      <c r="AB64" s="4030"/>
      <c r="AC64" s="4030"/>
      <c r="AD64" s="4030"/>
      <c r="AE64" s="4031"/>
      <c r="AG64" s="4014"/>
      <c r="AH64" s="4015"/>
      <c r="AI64" s="4015"/>
      <c r="AJ64" s="4015"/>
      <c r="AK64" s="4015"/>
      <c r="AL64" s="4015"/>
      <c r="AM64" s="4016"/>
      <c r="AN64" s="70"/>
      <c r="AO64" s="4014"/>
      <c r="AP64" s="4015"/>
      <c r="AQ64" s="4015"/>
      <c r="AR64" s="4015"/>
      <c r="AS64" s="4015"/>
      <c r="AT64" s="4015"/>
      <c r="AU64" s="4016"/>
      <c r="AV64" s="70"/>
      <c r="AW64" s="4014"/>
      <c r="AX64" s="4015"/>
      <c r="AY64" s="4015"/>
      <c r="AZ64" s="4015"/>
      <c r="BA64" s="4015"/>
      <c r="BB64" s="4015"/>
      <c r="BC64" s="4016"/>
      <c r="BD64" s="70"/>
      <c r="BE64" s="4014"/>
      <c r="BF64" s="4015"/>
      <c r="BG64" s="4015"/>
      <c r="BH64" s="4015"/>
      <c r="BI64" s="4015"/>
      <c r="BJ64" s="4015"/>
      <c r="BK64" s="4016"/>
      <c r="BL64" s="70"/>
      <c r="BM64" s="4014"/>
      <c r="BN64" s="4015"/>
      <c r="BO64" s="4015"/>
      <c r="BP64" s="4015"/>
      <c r="BQ64" s="4015"/>
      <c r="BR64" s="4015"/>
      <c r="BS64" s="4016"/>
      <c r="BT64" s="70"/>
      <c r="BU64" s="4014"/>
      <c r="BV64" s="4015"/>
      <c r="BW64" s="4015"/>
      <c r="BX64" s="4015"/>
      <c r="BY64" s="4015"/>
      <c r="BZ64" s="4015"/>
      <c r="CA64" s="4016"/>
      <c r="CB64" s="70"/>
      <c r="CC64" s="4014"/>
      <c r="CD64" s="4015"/>
      <c r="CE64" s="4015"/>
      <c r="CF64" s="4015"/>
      <c r="CG64" s="4015"/>
      <c r="CH64" s="4015"/>
      <c r="CI64" s="4016"/>
      <c r="CJ64" s="70"/>
      <c r="CK64" s="4014"/>
      <c r="CL64" s="4015"/>
      <c r="CM64" s="4015"/>
      <c r="CN64" s="4015"/>
      <c r="CO64" s="4015"/>
      <c r="CP64" s="4015"/>
      <c r="CQ64" s="4016"/>
      <c r="CR64" s="70"/>
      <c r="CS64" s="4014"/>
      <c r="CT64" s="4015"/>
      <c r="CU64" s="4015"/>
      <c r="CV64" s="4015"/>
      <c r="CW64" s="4015"/>
      <c r="CX64" s="4015"/>
      <c r="CY64" s="4016"/>
      <c r="CZ64" s="70"/>
    </row>
    <row r="65" spans="1:105" s="21" customFormat="1" ht="8.1" customHeight="1" thickBot="1" x14ac:dyDescent="0.25">
      <c r="A65" s="70"/>
      <c r="B65" s="70"/>
      <c r="C65" s="90"/>
      <c r="D65" s="70"/>
      <c r="E65" s="13"/>
      <c r="F65" s="13"/>
      <c r="G65" s="13"/>
      <c r="H65" s="13"/>
      <c r="I65" s="13"/>
      <c r="J65" s="70"/>
      <c r="K65" s="70"/>
      <c r="L65" s="70"/>
      <c r="M65" s="70"/>
      <c r="N65" s="78"/>
      <c r="O65" s="15"/>
      <c r="P65" s="13"/>
      <c r="Q65" s="13"/>
      <c r="R65" s="13"/>
      <c r="S65" s="13"/>
      <c r="T65" s="15"/>
      <c r="U65" s="15"/>
      <c r="V65" s="15"/>
      <c r="W65" s="13"/>
      <c r="X65" s="70"/>
      <c r="Y65" s="70"/>
      <c r="AG65" s="876"/>
      <c r="AH65" s="876"/>
      <c r="AI65" s="876"/>
      <c r="AJ65" s="876"/>
      <c r="AK65" s="146"/>
      <c r="AL65" s="146"/>
      <c r="AM65" s="146"/>
      <c r="AN65" s="114"/>
      <c r="AO65" s="876"/>
      <c r="AP65" s="876"/>
      <c r="AQ65" s="876"/>
      <c r="AR65" s="876"/>
      <c r="AS65" s="146"/>
      <c r="AT65" s="146"/>
      <c r="AU65" s="146"/>
      <c r="AV65" s="114"/>
      <c r="AW65" s="876"/>
      <c r="AX65" s="876"/>
      <c r="AY65" s="876"/>
      <c r="AZ65" s="876"/>
      <c r="BA65" s="146"/>
      <c r="BB65" s="146"/>
      <c r="BC65" s="146"/>
      <c r="BD65" s="114"/>
      <c r="BE65" s="876"/>
      <c r="BF65" s="876"/>
      <c r="BG65" s="876"/>
      <c r="BH65" s="876"/>
      <c r="BI65" s="146"/>
      <c r="BJ65" s="146"/>
      <c r="BK65" s="146"/>
      <c r="BL65" s="114"/>
      <c r="BM65" s="876"/>
      <c r="BN65" s="876"/>
      <c r="BO65" s="876"/>
      <c r="BP65" s="876"/>
      <c r="BQ65" s="146"/>
      <c r="BR65" s="146"/>
      <c r="BS65" s="146"/>
      <c r="BT65" s="114"/>
      <c r="BU65" s="876"/>
      <c r="BV65" s="876"/>
      <c r="BW65" s="876"/>
      <c r="BX65" s="876"/>
      <c r="BY65" s="146"/>
      <c r="BZ65" s="146"/>
      <c r="CA65" s="146"/>
      <c r="CB65" s="114"/>
      <c r="CC65" s="876"/>
      <c r="CD65" s="876"/>
      <c r="CE65" s="876"/>
      <c r="CF65" s="876"/>
      <c r="CG65" s="146"/>
      <c r="CH65" s="146"/>
      <c r="CI65" s="146"/>
      <c r="CJ65" s="114"/>
      <c r="CK65" s="876"/>
      <c r="CL65" s="876"/>
      <c r="CM65" s="876"/>
      <c r="CN65" s="876"/>
      <c r="CO65" s="146"/>
      <c r="CP65" s="146"/>
      <c r="CQ65" s="146"/>
      <c r="CR65" s="114"/>
      <c r="CS65" s="876"/>
      <c r="CT65" s="876"/>
      <c r="CU65" s="876"/>
      <c r="CV65" s="876"/>
      <c r="CW65" s="146"/>
      <c r="CX65" s="146"/>
      <c r="CY65" s="146"/>
      <c r="CZ65" s="114"/>
    </row>
    <row r="66" spans="1:105" s="1862" customFormat="1" ht="15" customHeight="1" thickBot="1" x14ac:dyDescent="0.25">
      <c r="C66" s="1835"/>
      <c r="E66" s="2500"/>
      <c r="F66" s="1836"/>
      <c r="G66" s="1836"/>
      <c r="H66" s="1836"/>
      <c r="I66" s="1836"/>
      <c r="J66" s="1836"/>
      <c r="K66" s="1836"/>
      <c r="L66" s="1836"/>
      <c r="M66" s="4032"/>
      <c r="N66" s="2499"/>
      <c r="O66" s="6750"/>
      <c r="P66" s="6750"/>
      <c r="Q66" s="6750"/>
      <c r="R66" s="6750"/>
      <c r="S66" s="6750"/>
      <c r="T66" s="6750"/>
      <c r="U66" s="6750"/>
      <c r="V66" s="6750"/>
      <c r="W66" s="6750"/>
      <c r="AA66" s="1837"/>
      <c r="AB66" s="890"/>
      <c r="AC66" s="890"/>
      <c r="AD66" s="890"/>
      <c r="AE66" s="891"/>
      <c r="AG66" s="885"/>
      <c r="AH66" s="886"/>
      <c r="AI66" s="886"/>
      <c r="AJ66" s="890"/>
      <c r="AK66" s="890"/>
      <c r="AL66" s="890"/>
      <c r="AM66" s="891"/>
      <c r="AO66" s="885"/>
      <c r="AP66" s="886"/>
      <c r="AQ66" s="886"/>
      <c r="AR66" s="890"/>
      <c r="AS66" s="890"/>
      <c r="AT66" s="890"/>
      <c r="AU66" s="891"/>
      <c r="AW66" s="885"/>
      <c r="AX66" s="886"/>
      <c r="AY66" s="886"/>
      <c r="AZ66" s="890"/>
      <c r="BA66" s="890"/>
      <c r="BB66" s="890"/>
      <c r="BC66" s="891"/>
      <c r="BE66" s="885"/>
      <c r="BF66" s="886"/>
      <c r="BG66" s="886"/>
      <c r="BH66" s="890"/>
      <c r="BI66" s="890"/>
      <c r="BJ66" s="890"/>
      <c r="BK66" s="891"/>
      <c r="BM66" s="885"/>
      <c r="BN66" s="886"/>
      <c r="BO66" s="886"/>
      <c r="BP66" s="890"/>
      <c r="BQ66" s="890"/>
      <c r="BR66" s="890"/>
      <c r="BS66" s="891"/>
      <c r="BU66" s="885"/>
      <c r="BV66" s="886"/>
      <c r="BW66" s="886"/>
      <c r="BX66" s="890"/>
      <c r="BY66" s="890"/>
      <c r="BZ66" s="890"/>
      <c r="CA66" s="891"/>
      <c r="CC66" s="885"/>
      <c r="CD66" s="886"/>
      <c r="CE66" s="886"/>
      <c r="CF66" s="890"/>
      <c r="CG66" s="890"/>
      <c r="CH66" s="890"/>
      <c r="CI66" s="891"/>
      <c r="CK66" s="885"/>
      <c r="CL66" s="886"/>
      <c r="CM66" s="886"/>
      <c r="CN66" s="890"/>
      <c r="CO66" s="890"/>
      <c r="CP66" s="890"/>
      <c r="CQ66" s="891"/>
      <c r="CS66" s="885"/>
      <c r="CT66" s="886"/>
      <c r="CU66" s="886"/>
      <c r="CV66" s="890"/>
      <c r="CW66" s="890"/>
      <c r="CX66" s="890"/>
      <c r="CY66" s="891"/>
      <c r="DA66" s="94"/>
    </row>
    <row r="67" spans="1:105" s="1862" customFormat="1" ht="15" customHeight="1" thickBot="1" x14ac:dyDescent="0.25">
      <c r="C67" s="6746" t="s">
        <v>641</v>
      </c>
      <c r="E67" s="760"/>
      <c r="F67" s="6748" t="s">
        <v>647</v>
      </c>
      <c r="G67" s="6748"/>
      <c r="H67" s="6748"/>
      <c r="I67" s="6748"/>
      <c r="J67" s="6749"/>
      <c r="K67" s="5983"/>
      <c r="L67" s="5983"/>
      <c r="M67" s="6174"/>
      <c r="N67" s="6156"/>
      <c r="O67" s="6750"/>
      <c r="P67" s="6750"/>
      <c r="Q67" s="6750"/>
      <c r="R67" s="6750"/>
      <c r="S67" s="6750"/>
      <c r="T67" s="6750"/>
      <c r="U67" s="6750"/>
      <c r="V67" s="6750"/>
      <c r="W67" s="6750"/>
      <c r="AA67" s="1834"/>
      <c r="AB67" s="6747" t="s">
        <v>46</v>
      </c>
      <c r="AC67" s="6747"/>
      <c r="AD67" s="6747"/>
      <c r="AE67" s="882"/>
      <c r="AG67" s="1428"/>
      <c r="AH67" s="1017"/>
      <c r="AI67" s="6584">
        <f>INDEX(outputs_oppsum[total_foran_hr],MATCH(_Calcs!$NO$40,outputs_oppsum[stuff_id],0))</f>
        <v>0</v>
      </c>
      <c r="AJ67" s="3933"/>
      <c r="AK67" s="6552" t="str">
        <f>IF(_Calcs!$NO$344=0,"✓","!")</f>
        <v>!</v>
      </c>
      <c r="AL67" s="3933"/>
      <c r="AM67" s="882"/>
      <c r="AO67" s="1428"/>
      <c r="AP67" s="1017"/>
      <c r="AQ67" s="6584" t="e">
        <f>INDEX(outputs_oppsum[total_foran_hr],MATCH(_Calcs!$NP$40,outputs_oppsum[stuff_id],0))</f>
        <v>#N/A</v>
      </c>
      <c r="AR67" s="3933"/>
      <c r="AS67" s="6552" t="e">
        <f>IF(_Calcs!$NP$344=0,"✓","!")</f>
        <v>#N/A</v>
      </c>
      <c r="AT67" s="3933"/>
      <c r="AU67" s="882"/>
      <c r="AW67" s="1428"/>
      <c r="AX67" s="1017"/>
      <c r="AY67" s="6584" t="e">
        <f>INDEX(outputs_oppsum[total_foran_hr],MATCH(_Calcs!$NQ$40,outputs_oppsum[stuff_id],0))</f>
        <v>#N/A</v>
      </c>
      <c r="AZ67" s="3933"/>
      <c r="BA67" s="6552" t="e">
        <f>IF(_Calcs!$NQ$344=0,"✓","!")</f>
        <v>#N/A</v>
      </c>
      <c r="BB67" s="3933"/>
      <c r="BC67" s="882"/>
      <c r="BE67" s="1428"/>
      <c r="BF67" s="1017"/>
      <c r="BG67" s="6584" t="e">
        <f>INDEX(outputs_oppsum[total_foran_hr],MATCH(_Calcs!$NR$40,outputs_oppsum[stuff_id],0))</f>
        <v>#N/A</v>
      </c>
      <c r="BH67" s="3933"/>
      <c r="BI67" s="6552" t="e">
        <f>IF(_Calcs!$NR$344=0,"✓","!")</f>
        <v>#N/A</v>
      </c>
      <c r="BJ67" s="3933"/>
      <c r="BK67" s="882"/>
      <c r="BM67" s="1428"/>
      <c r="BN67" s="1017"/>
      <c r="BO67" s="6584" t="e">
        <f>INDEX(outputs_oppsum[total_foran_hr],MATCH(_Calcs!$NS$40,outputs_oppsum[stuff_id],0))</f>
        <v>#N/A</v>
      </c>
      <c r="BP67" s="3933"/>
      <c r="BQ67" s="6552" t="e">
        <f>IF(_Calcs!$NS$344=0,"✓","!")</f>
        <v>#N/A</v>
      </c>
      <c r="BR67" s="3933"/>
      <c r="BS67" s="882"/>
      <c r="BU67" s="1428"/>
      <c r="BV67" s="1017"/>
      <c r="BW67" s="6584" t="e">
        <f>INDEX(outputs_oppsum[total_foran_hr],MATCH(_Calcs!$NT$40,outputs_oppsum[stuff_id],0))</f>
        <v>#N/A</v>
      </c>
      <c r="BX67" s="3933"/>
      <c r="BY67" s="6552" t="e">
        <f>IF(_Calcs!$NT$344=0,"✓","!")</f>
        <v>#N/A</v>
      </c>
      <c r="BZ67" s="3933"/>
      <c r="CA67" s="882"/>
      <c r="CC67" s="1428"/>
      <c r="CD67" s="1017"/>
      <c r="CE67" s="6584" t="e">
        <f>INDEX(outputs_oppsum[total_foran_hr],MATCH(_Calcs!$NU$40,outputs_oppsum[stuff_id],0))</f>
        <v>#N/A</v>
      </c>
      <c r="CF67" s="3933"/>
      <c r="CG67" s="6552" t="e">
        <f>IF(_Calcs!$NU$344=0,"✓","!")</f>
        <v>#N/A</v>
      </c>
      <c r="CH67" s="3933"/>
      <c r="CI67" s="882"/>
      <c r="CK67" s="1428"/>
      <c r="CL67" s="1017"/>
      <c r="CM67" s="6584" t="e">
        <f>INDEX(outputs_oppsum[total_foran_hr],MATCH(_Calcs!$NV$40,outputs_oppsum[stuff_id],0))</f>
        <v>#N/A</v>
      </c>
      <c r="CN67" s="3933"/>
      <c r="CO67" s="6552" t="e">
        <f>IF(_Calcs!$NV$344=0,"✓","!")</f>
        <v>#N/A</v>
      </c>
      <c r="CP67" s="3933"/>
      <c r="CQ67" s="882"/>
      <c r="CS67" s="1428"/>
      <c r="CT67" s="1017"/>
      <c r="CU67" s="6584" t="e">
        <f>INDEX(outputs_oppsum[total_foran_hr],MATCH(_Calcs!$NW$40,outputs_oppsum[stuff_id],0))</f>
        <v>#N/A</v>
      </c>
      <c r="CV67" s="3933"/>
      <c r="CW67" s="6552" t="e">
        <f>IF(_Calcs!$NW$344=0,"✓","!")</f>
        <v>#N/A</v>
      </c>
      <c r="CX67" s="3933"/>
      <c r="CY67" s="882"/>
      <c r="DA67" s="94"/>
    </row>
    <row r="68" spans="1:105" s="1862" customFormat="1" ht="15" customHeight="1" thickBot="1" x14ac:dyDescent="0.25">
      <c r="C68" s="6746"/>
      <c r="E68" s="760"/>
      <c r="F68" s="6748"/>
      <c r="G68" s="6748"/>
      <c r="H68" s="6748"/>
      <c r="I68" s="6748"/>
      <c r="J68" s="6749"/>
      <c r="K68" s="5983"/>
      <c r="L68" s="5983"/>
      <c r="M68" s="6174"/>
      <c r="N68" s="6156"/>
      <c r="O68" s="6750"/>
      <c r="P68" s="6750"/>
      <c r="Q68" s="6750"/>
      <c r="R68" s="6750"/>
      <c r="S68" s="6750"/>
      <c r="T68" s="6750"/>
      <c r="U68" s="6750"/>
      <c r="V68" s="6750"/>
      <c r="W68" s="6750"/>
      <c r="AA68" s="1834"/>
      <c r="AB68" s="6747"/>
      <c r="AC68" s="6747"/>
      <c r="AD68" s="6747"/>
      <c r="AE68" s="882"/>
      <c r="AG68" s="1428"/>
      <c r="AH68" s="1017"/>
      <c r="AI68" s="6584"/>
      <c r="AJ68" s="3933"/>
      <c r="AK68" s="6553"/>
      <c r="AL68" s="3933"/>
      <c r="AM68" s="882"/>
      <c r="AO68" s="1428"/>
      <c r="AP68" s="1017"/>
      <c r="AQ68" s="6584"/>
      <c r="AR68" s="3933"/>
      <c r="AS68" s="6553"/>
      <c r="AT68" s="3933"/>
      <c r="AU68" s="882"/>
      <c r="AW68" s="1428"/>
      <c r="AX68" s="1017"/>
      <c r="AY68" s="6584"/>
      <c r="AZ68" s="3933"/>
      <c r="BA68" s="6553"/>
      <c r="BB68" s="3933"/>
      <c r="BC68" s="882"/>
      <c r="BE68" s="1428"/>
      <c r="BF68" s="1017"/>
      <c r="BG68" s="6584"/>
      <c r="BH68" s="3933"/>
      <c r="BI68" s="6553"/>
      <c r="BJ68" s="3933"/>
      <c r="BK68" s="882"/>
      <c r="BM68" s="1428"/>
      <c r="BN68" s="1017"/>
      <c r="BO68" s="6584"/>
      <c r="BP68" s="3933"/>
      <c r="BQ68" s="6553"/>
      <c r="BR68" s="3933"/>
      <c r="BS68" s="882"/>
      <c r="BU68" s="1428"/>
      <c r="BV68" s="1017"/>
      <c r="BW68" s="6584"/>
      <c r="BX68" s="3933"/>
      <c r="BY68" s="6553"/>
      <c r="BZ68" s="3933"/>
      <c r="CA68" s="882"/>
      <c r="CC68" s="1428"/>
      <c r="CD68" s="1017"/>
      <c r="CE68" s="6584"/>
      <c r="CF68" s="3933"/>
      <c r="CG68" s="6553"/>
      <c r="CH68" s="3933"/>
      <c r="CI68" s="882"/>
      <c r="CK68" s="1428"/>
      <c r="CL68" s="1017"/>
      <c r="CM68" s="6584"/>
      <c r="CN68" s="3933"/>
      <c r="CO68" s="6553"/>
      <c r="CP68" s="3933"/>
      <c r="CQ68" s="882"/>
      <c r="CS68" s="1428"/>
      <c r="CT68" s="1017"/>
      <c r="CU68" s="6584"/>
      <c r="CV68" s="3933"/>
      <c r="CW68" s="6553"/>
      <c r="CX68" s="3933"/>
      <c r="CY68" s="882"/>
      <c r="DA68" s="94"/>
    </row>
    <row r="69" spans="1:105" s="1862" customFormat="1" ht="6.95" customHeight="1" thickBot="1" x14ac:dyDescent="0.25">
      <c r="C69" s="6746"/>
      <c r="E69" s="761"/>
      <c r="F69" s="1343"/>
      <c r="G69" s="1343"/>
      <c r="H69" s="1343"/>
      <c r="I69" s="1343"/>
      <c r="J69" s="6160"/>
      <c r="K69" s="5985"/>
      <c r="L69" s="5985"/>
      <c r="M69" s="6161"/>
      <c r="N69" s="2499"/>
      <c r="O69" s="6750"/>
      <c r="P69" s="6750"/>
      <c r="Q69" s="6750"/>
      <c r="R69" s="6750"/>
      <c r="S69" s="6750"/>
      <c r="T69" s="6750"/>
      <c r="U69" s="6750"/>
      <c r="V69" s="6750"/>
      <c r="W69" s="6750"/>
      <c r="AA69" s="1834"/>
      <c r="AB69" s="3933"/>
      <c r="AC69" s="3933"/>
      <c r="AD69" s="3933"/>
      <c r="AE69" s="882"/>
      <c r="AG69" s="1428"/>
      <c r="AH69" s="1017"/>
      <c r="AI69" s="1017"/>
      <c r="AJ69" s="3933"/>
      <c r="AK69" s="3933"/>
      <c r="AL69" s="3933"/>
      <c r="AM69" s="882"/>
      <c r="AO69" s="1428"/>
      <c r="AP69" s="1017"/>
      <c r="AQ69" s="1017"/>
      <c r="AR69" s="3933"/>
      <c r="AS69" s="3933"/>
      <c r="AT69" s="3933"/>
      <c r="AU69" s="882"/>
      <c r="AW69" s="1428"/>
      <c r="AX69" s="1017"/>
      <c r="AY69" s="1017"/>
      <c r="AZ69" s="3933"/>
      <c r="BA69" s="3933"/>
      <c r="BB69" s="3933"/>
      <c r="BC69" s="882"/>
      <c r="BE69" s="1428"/>
      <c r="BF69" s="1017"/>
      <c r="BG69" s="1017"/>
      <c r="BH69" s="3933"/>
      <c r="BI69" s="3933"/>
      <c r="BJ69" s="3933"/>
      <c r="BK69" s="882"/>
      <c r="BM69" s="1428"/>
      <c r="BN69" s="1017"/>
      <c r="BO69" s="1017"/>
      <c r="BP69" s="3933"/>
      <c r="BQ69" s="3933"/>
      <c r="BR69" s="3933"/>
      <c r="BS69" s="882"/>
      <c r="BU69" s="1428"/>
      <c r="BV69" s="1017"/>
      <c r="BW69" s="1017"/>
      <c r="BX69" s="3933"/>
      <c r="BY69" s="3933"/>
      <c r="BZ69" s="3933"/>
      <c r="CA69" s="882"/>
      <c r="CC69" s="1428"/>
      <c r="CD69" s="1017"/>
      <c r="CE69" s="1017"/>
      <c r="CF69" s="3933"/>
      <c r="CG69" s="3933"/>
      <c r="CH69" s="3933"/>
      <c r="CI69" s="882"/>
      <c r="CK69" s="1428"/>
      <c r="CL69" s="1017"/>
      <c r="CM69" s="1017"/>
      <c r="CN69" s="3933"/>
      <c r="CO69" s="3933"/>
      <c r="CP69" s="3933"/>
      <c r="CQ69" s="882"/>
      <c r="CS69" s="1428"/>
      <c r="CT69" s="1017"/>
      <c r="CU69" s="1017"/>
      <c r="CV69" s="3933"/>
      <c r="CW69" s="3933"/>
      <c r="CX69" s="3933"/>
      <c r="CY69" s="882"/>
      <c r="DA69" s="94"/>
    </row>
    <row r="70" spans="1:105" s="1862" customFormat="1" ht="8.1" customHeight="1" thickBot="1" x14ac:dyDescent="0.25">
      <c r="C70" s="6746"/>
      <c r="E70" s="148"/>
      <c r="F70" s="6154"/>
      <c r="G70" s="6154"/>
      <c r="H70" s="6154"/>
      <c r="I70" s="6154"/>
      <c r="J70" s="6159"/>
      <c r="K70" s="6156"/>
      <c r="L70" s="6156"/>
      <c r="M70" s="2499"/>
      <c r="N70" s="2499"/>
      <c r="O70" s="6750"/>
      <c r="P70" s="6750"/>
      <c r="Q70" s="6750"/>
      <c r="R70" s="6750"/>
      <c r="S70" s="6750"/>
      <c r="T70" s="6750"/>
      <c r="U70" s="6750"/>
      <c r="V70" s="6750"/>
      <c r="W70" s="6750"/>
      <c r="AA70" s="1834"/>
      <c r="AB70" s="6138"/>
      <c r="AC70" s="6138"/>
      <c r="AD70" s="6138"/>
      <c r="AE70" s="882"/>
      <c r="AG70" s="1428"/>
      <c r="AH70" s="1017"/>
      <c r="AI70" s="1017"/>
      <c r="AJ70" s="6138"/>
      <c r="AK70" s="6138"/>
      <c r="AL70" s="6138"/>
      <c r="AM70" s="882"/>
      <c r="AO70" s="1428"/>
      <c r="AP70" s="1017"/>
      <c r="AQ70" s="1017"/>
      <c r="AR70" s="6138"/>
      <c r="AS70" s="6138"/>
      <c r="AT70" s="6138"/>
      <c r="AU70" s="882"/>
      <c r="AW70" s="1428"/>
      <c r="AX70" s="1017"/>
      <c r="AY70" s="1017"/>
      <c r="AZ70" s="6138"/>
      <c r="BA70" s="6138"/>
      <c r="BB70" s="6138"/>
      <c r="BC70" s="882"/>
      <c r="BE70" s="1428"/>
      <c r="BF70" s="1017"/>
      <c r="BG70" s="1017"/>
      <c r="BH70" s="6138"/>
      <c r="BI70" s="6138"/>
      <c r="BJ70" s="6138"/>
      <c r="BK70" s="882"/>
      <c r="BM70" s="1428"/>
      <c r="BN70" s="1017"/>
      <c r="BO70" s="1017"/>
      <c r="BP70" s="6138"/>
      <c r="BQ70" s="6138"/>
      <c r="BR70" s="6138"/>
      <c r="BS70" s="882"/>
      <c r="BU70" s="1428"/>
      <c r="BV70" s="1017"/>
      <c r="BW70" s="1017"/>
      <c r="BX70" s="6138"/>
      <c r="BY70" s="6138"/>
      <c r="BZ70" s="6138"/>
      <c r="CA70" s="882"/>
      <c r="CC70" s="1428"/>
      <c r="CD70" s="1017"/>
      <c r="CE70" s="1017"/>
      <c r="CF70" s="6138"/>
      <c r="CG70" s="6138"/>
      <c r="CH70" s="6138"/>
      <c r="CI70" s="882"/>
      <c r="CK70" s="1428"/>
      <c r="CL70" s="1017"/>
      <c r="CM70" s="1017"/>
      <c r="CN70" s="6138"/>
      <c r="CO70" s="6138"/>
      <c r="CP70" s="6138"/>
      <c r="CQ70" s="882"/>
      <c r="CS70" s="1428"/>
      <c r="CT70" s="1017"/>
      <c r="CU70" s="1017"/>
      <c r="CV70" s="6138"/>
      <c r="CW70" s="6138"/>
      <c r="CX70" s="6138"/>
      <c r="CY70" s="882"/>
      <c r="DA70" s="94"/>
    </row>
    <row r="71" spans="1:105" s="1862" customFormat="1" ht="15" customHeight="1" thickBot="1" x14ac:dyDescent="0.25">
      <c r="C71" s="6746"/>
      <c r="E71" s="6162"/>
      <c r="F71" s="6162"/>
      <c r="G71" s="6162"/>
      <c r="H71" s="6162"/>
      <c r="I71" s="6162"/>
      <c r="J71" s="6162"/>
      <c r="K71" s="6162"/>
      <c r="L71" s="6162"/>
      <c r="M71" s="6162"/>
      <c r="N71" s="6163"/>
      <c r="O71" s="6750"/>
      <c r="P71" s="6750"/>
      <c r="Q71" s="6750"/>
      <c r="R71" s="6750"/>
      <c r="S71" s="6750"/>
      <c r="T71" s="6750"/>
      <c r="U71" s="6750"/>
      <c r="V71" s="6750"/>
      <c r="W71" s="6750"/>
      <c r="AA71" s="1834"/>
      <c r="AB71" s="6747" t="s">
        <v>146</v>
      </c>
      <c r="AC71" s="6747"/>
      <c r="AD71" s="6747"/>
      <c r="AE71" s="882"/>
      <c r="AG71" s="1428"/>
      <c r="AH71" s="1017"/>
      <c r="AI71" s="6584">
        <f>INDEX(outputs_oppsum[total_foran_uke],MATCH(_Calcs!$NO$40,outputs_oppsum[stuff_id],0))</f>
        <v>0</v>
      </c>
      <c r="AJ71" s="3933"/>
      <c r="AK71" s="6552" t="str">
        <f>IF(_Calcs!$NO$344=0,"✓","!")</f>
        <v>!</v>
      </c>
      <c r="AL71" s="3933"/>
      <c r="AM71" s="882"/>
      <c r="AO71" s="1428"/>
      <c r="AP71" s="1017"/>
      <c r="AQ71" s="6584" t="e">
        <f>INDEX(outputs_oppsum[total_foran_uke],MATCH(_Calcs!$NP$40,outputs_oppsum[stuff_id],0))</f>
        <v>#N/A</v>
      </c>
      <c r="AR71" s="3933"/>
      <c r="AS71" s="6552" t="e">
        <f>IF(_Calcs!$NP$344=0,"✓","!")</f>
        <v>#N/A</v>
      </c>
      <c r="AT71" s="3933"/>
      <c r="AU71" s="882"/>
      <c r="AW71" s="1428"/>
      <c r="AX71" s="1017"/>
      <c r="AY71" s="6584" t="e">
        <f>INDEX(outputs_oppsum[total_foran_uke],MATCH(_Calcs!$NQ$40,outputs_oppsum[stuff_id],0))</f>
        <v>#N/A</v>
      </c>
      <c r="AZ71" s="3933"/>
      <c r="BA71" s="6552" t="e">
        <f>IF(_Calcs!$NQ$344=0,"✓","!")</f>
        <v>#N/A</v>
      </c>
      <c r="BB71" s="3933"/>
      <c r="BC71" s="882"/>
      <c r="BE71" s="1428"/>
      <c r="BF71" s="1017"/>
      <c r="BG71" s="6584" t="e">
        <f>INDEX(outputs_oppsum[total_foran_uke],MATCH(_Calcs!$NR$40,outputs_oppsum[stuff_id],0))</f>
        <v>#N/A</v>
      </c>
      <c r="BH71" s="3933"/>
      <c r="BI71" s="6552" t="e">
        <f>IF(_Calcs!$NR$344=0,"✓","!")</f>
        <v>#N/A</v>
      </c>
      <c r="BJ71" s="3933"/>
      <c r="BK71" s="882"/>
      <c r="BM71" s="1428"/>
      <c r="BN71" s="1017"/>
      <c r="BO71" s="6584" t="e">
        <f>INDEX(outputs_oppsum[total_foran_uke],MATCH(_Calcs!$NS$40,outputs_oppsum[stuff_id],0))</f>
        <v>#N/A</v>
      </c>
      <c r="BP71" s="3933"/>
      <c r="BQ71" s="6552" t="e">
        <f>IF(_Calcs!$NS$344=0,"✓","!")</f>
        <v>#N/A</v>
      </c>
      <c r="BR71" s="3933"/>
      <c r="BS71" s="882"/>
      <c r="BU71" s="1428"/>
      <c r="BV71" s="1017"/>
      <c r="BW71" s="6584" t="e">
        <f>INDEX(outputs_oppsum[total_foran_uke],MATCH(_Calcs!$NT$40,outputs_oppsum[stuff_id],0))</f>
        <v>#N/A</v>
      </c>
      <c r="BX71" s="3933"/>
      <c r="BY71" s="6552" t="e">
        <f>IF(_Calcs!$NT$344=0,"✓","!")</f>
        <v>#N/A</v>
      </c>
      <c r="BZ71" s="3933"/>
      <c r="CA71" s="882"/>
      <c r="CC71" s="1428"/>
      <c r="CD71" s="1017"/>
      <c r="CE71" s="6584" t="e">
        <f>INDEX(outputs_oppsum[total_foran_uke],MATCH(_Calcs!$NU$40,outputs_oppsum[stuff_id],0))</f>
        <v>#N/A</v>
      </c>
      <c r="CF71" s="3933"/>
      <c r="CG71" s="6552" t="e">
        <f>IF(_Calcs!$NU$344=0,"✓","!")</f>
        <v>#N/A</v>
      </c>
      <c r="CH71" s="3933"/>
      <c r="CI71" s="882"/>
      <c r="CK71" s="1428"/>
      <c r="CL71" s="1017"/>
      <c r="CM71" s="6584" t="e">
        <f>INDEX(outputs_oppsum[total_foran_uke],MATCH(_Calcs!$NV$40,outputs_oppsum[stuff_id],0))</f>
        <v>#N/A</v>
      </c>
      <c r="CN71" s="3933"/>
      <c r="CO71" s="6552" t="e">
        <f>IF(_Calcs!$NV$344=0,"✓","!")</f>
        <v>#N/A</v>
      </c>
      <c r="CP71" s="3933"/>
      <c r="CQ71" s="882"/>
      <c r="CS71" s="1428"/>
      <c r="CT71" s="1017"/>
      <c r="CU71" s="6584" t="e">
        <f>INDEX(outputs_oppsum[total_foran_uke],MATCH(_Calcs!$NW$40,outputs_oppsum[stuff_id],0))</f>
        <v>#N/A</v>
      </c>
      <c r="CV71" s="3933"/>
      <c r="CW71" s="6552" t="e">
        <f>IF(_Calcs!$NW$344=0,"✓","!")</f>
        <v>#N/A</v>
      </c>
      <c r="CX71" s="3933"/>
      <c r="CY71" s="882"/>
      <c r="DA71" s="94"/>
    </row>
    <row r="72" spans="1:105" s="1862" customFormat="1" ht="15" customHeight="1" thickBot="1" x14ac:dyDescent="0.25">
      <c r="C72" s="6746"/>
      <c r="E72" s="6162"/>
      <c r="F72" s="6162"/>
      <c r="G72" s="6162"/>
      <c r="H72" s="6162"/>
      <c r="I72" s="6162"/>
      <c r="J72" s="6162"/>
      <c r="K72" s="6162"/>
      <c r="L72" s="6162"/>
      <c r="M72" s="6162"/>
      <c r="N72" s="6163"/>
      <c r="O72" s="6750"/>
      <c r="P72" s="6750"/>
      <c r="Q72" s="6750"/>
      <c r="R72" s="6750"/>
      <c r="S72" s="6750"/>
      <c r="T72" s="6750"/>
      <c r="U72" s="6750"/>
      <c r="V72" s="6750"/>
      <c r="W72" s="6750"/>
      <c r="AA72" s="1834"/>
      <c r="AB72" s="6747"/>
      <c r="AC72" s="6747"/>
      <c r="AD72" s="6747"/>
      <c r="AE72" s="882"/>
      <c r="AG72" s="1429"/>
      <c r="AH72" s="99"/>
      <c r="AI72" s="6584"/>
      <c r="AJ72" s="3933"/>
      <c r="AK72" s="6553"/>
      <c r="AL72" s="3933"/>
      <c r="AM72" s="882"/>
      <c r="AO72" s="1429"/>
      <c r="AP72" s="99"/>
      <c r="AQ72" s="6584"/>
      <c r="AR72" s="3933"/>
      <c r="AS72" s="6553"/>
      <c r="AT72" s="3933"/>
      <c r="AU72" s="882"/>
      <c r="AW72" s="1429"/>
      <c r="AX72" s="99"/>
      <c r="AY72" s="6584"/>
      <c r="AZ72" s="3933"/>
      <c r="BA72" s="6553"/>
      <c r="BB72" s="3933"/>
      <c r="BC72" s="882"/>
      <c r="BE72" s="1429"/>
      <c r="BF72" s="99"/>
      <c r="BG72" s="6584"/>
      <c r="BH72" s="3933"/>
      <c r="BI72" s="6553"/>
      <c r="BJ72" s="3933"/>
      <c r="BK72" s="882"/>
      <c r="BM72" s="1429"/>
      <c r="BN72" s="99"/>
      <c r="BO72" s="6584"/>
      <c r="BP72" s="3933"/>
      <c r="BQ72" s="6553"/>
      <c r="BR72" s="3933"/>
      <c r="BS72" s="882"/>
      <c r="BU72" s="1429"/>
      <c r="BV72" s="99"/>
      <c r="BW72" s="6584"/>
      <c r="BX72" s="3933"/>
      <c r="BY72" s="6553"/>
      <c r="BZ72" s="3933"/>
      <c r="CA72" s="882"/>
      <c r="CC72" s="1429"/>
      <c r="CD72" s="99"/>
      <c r="CE72" s="6584"/>
      <c r="CF72" s="3933"/>
      <c r="CG72" s="6553"/>
      <c r="CH72" s="3933"/>
      <c r="CI72" s="882"/>
      <c r="CK72" s="1429"/>
      <c r="CL72" s="99"/>
      <c r="CM72" s="6584"/>
      <c r="CN72" s="3933"/>
      <c r="CO72" s="6553"/>
      <c r="CP72" s="3933"/>
      <c r="CQ72" s="882"/>
      <c r="CS72" s="1429"/>
      <c r="CT72" s="99"/>
      <c r="CU72" s="6584"/>
      <c r="CV72" s="3933"/>
      <c r="CW72" s="6553"/>
      <c r="CX72" s="3933"/>
      <c r="CY72" s="882"/>
      <c r="DA72" s="99"/>
    </row>
    <row r="73" spans="1:105" s="21" customFormat="1" ht="15" customHeight="1" thickBot="1" x14ac:dyDescent="0.25">
      <c r="A73" s="70"/>
      <c r="B73" s="70"/>
      <c r="C73" s="1152"/>
      <c r="D73" s="70"/>
      <c r="E73" s="6162"/>
      <c r="F73" s="6162"/>
      <c r="G73" s="6162"/>
      <c r="H73" s="6162"/>
      <c r="I73" s="6162"/>
      <c r="J73" s="6162"/>
      <c r="K73" s="6162"/>
      <c r="L73" s="6162"/>
      <c r="M73" s="6162"/>
      <c r="N73" s="6163"/>
      <c r="O73" s="6750"/>
      <c r="P73" s="6750"/>
      <c r="Q73" s="6750"/>
      <c r="R73" s="6750"/>
      <c r="S73" s="6750"/>
      <c r="T73" s="6750"/>
      <c r="U73" s="6750"/>
      <c r="V73" s="6750"/>
      <c r="W73" s="6750"/>
      <c r="X73" s="70"/>
      <c r="Y73" s="70"/>
      <c r="Z73" s="70"/>
      <c r="AA73" s="1432"/>
      <c r="AB73" s="897"/>
      <c r="AC73" s="897"/>
      <c r="AD73" s="897"/>
      <c r="AE73" s="898"/>
      <c r="AF73" s="70"/>
      <c r="AG73" s="1430"/>
      <c r="AH73" s="1431"/>
      <c r="AI73" s="1431"/>
      <c r="AJ73" s="1335"/>
      <c r="AK73" s="1335"/>
      <c r="AL73" s="1335"/>
      <c r="AM73" s="1336"/>
      <c r="AN73" s="70"/>
      <c r="AO73" s="1430"/>
      <c r="AP73" s="1431"/>
      <c r="AQ73" s="1431"/>
      <c r="AR73" s="1335"/>
      <c r="AS73" s="1335"/>
      <c r="AT73" s="1335"/>
      <c r="AU73" s="1336"/>
      <c r="AV73" s="70"/>
      <c r="AW73" s="1430"/>
      <c r="AX73" s="1431"/>
      <c r="AY73" s="1431"/>
      <c r="AZ73" s="1335"/>
      <c r="BA73" s="1335"/>
      <c r="BB73" s="1335"/>
      <c r="BC73" s="1336"/>
      <c r="BD73" s="70"/>
      <c r="BE73" s="1430"/>
      <c r="BF73" s="1431"/>
      <c r="BG73" s="1431"/>
      <c r="BH73" s="1335"/>
      <c r="BI73" s="1335"/>
      <c r="BJ73" s="1335"/>
      <c r="BK73" s="1336"/>
      <c r="BL73" s="70"/>
      <c r="BM73" s="1430"/>
      <c r="BN73" s="1431"/>
      <c r="BO73" s="1431"/>
      <c r="BP73" s="1335"/>
      <c r="BQ73" s="1335"/>
      <c r="BR73" s="1335"/>
      <c r="BS73" s="1336"/>
      <c r="BT73" s="70"/>
      <c r="BU73" s="1430"/>
      <c r="BV73" s="1431"/>
      <c r="BW73" s="1431"/>
      <c r="BX73" s="1335"/>
      <c r="BY73" s="1335"/>
      <c r="BZ73" s="1335"/>
      <c r="CA73" s="1336"/>
      <c r="CB73" s="70"/>
      <c r="CC73" s="1430"/>
      <c r="CD73" s="1431"/>
      <c r="CE73" s="1431"/>
      <c r="CF73" s="1335"/>
      <c r="CG73" s="1335"/>
      <c r="CH73" s="1335"/>
      <c r="CI73" s="1336"/>
      <c r="CJ73" s="70"/>
      <c r="CK73" s="1430"/>
      <c r="CL73" s="1431"/>
      <c r="CM73" s="1431"/>
      <c r="CN73" s="1335"/>
      <c r="CO73" s="1335"/>
      <c r="CP73" s="1335"/>
      <c r="CQ73" s="1336"/>
      <c r="CR73" s="70"/>
      <c r="CS73" s="1430"/>
      <c r="CT73" s="1431"/>
      <c r="CU73" s="1431"/>
      <c r="CV73" s="1335"/>
      <c r="CW73" s="1335"/>
      <c r="CX73" s="1335"/>
      <c r="CY73" s="1336"/>
      <c r="CZ73" s="70"/>
      <c r="DA73" s="94"/>
    </row>
    <row r="74" spans="1:105" ht="30" customHeight="1" x14ac:dyDescent="0.2">
      <c r="K74" s="70"/>
      <c r="M74" s="70"/>
      <c r="N74" s="78"/>
      <c r="V74" s="70"/>
    </row>
    <row r="75" spans="1:105" ht="5.0999999999999996" customHeight="1" x14ac:dyDescent="0.2">
      <c r="C75" s="1880"/>
      <c r="E75" s="1880"/>
      <c r="F75" s="1880"/>
      <c r="G75" s="1880"/>
      <c r="H75" s="1880"/>
      <c r="I75" s="1880"/>
      <c r="J75" s="1880"/>
      <c r="K75" s="1882"/>
      <c r="L75" s="1880"/>
      <c r="M75" s="1881"/>
      <c r="N75" s="215"/>
      <c r="O75" s="1881"/>
      <c r="P75" s="1881"/>
      <c r="Q75" s="1881"/>
      <c r="R75" s="1881"/>
      <c r="S75" s="1881"/>
      <c r="T75" s="1881"/>
      <c r="U75" s="1881"/>
      <c r="V75" s="1881"/>
      <c r="W75" s="1881"/>
      <c r="AA75" s="1880"/>
      <c r="AB75" s="1881"/>
      <c r="AC75" s="1881"/>
      <c r="AD75" s="1881"/>
      <c r="AE75" s="1881"/>
      <c r="AG75" s="1880"/>
      <c r="AH75" s="1880"/>
      <c r="AI75" s="1882"/>
      <c r="AJ75" s="1880"/>
      <c r="AK75" s="1880"/>
      <c r="AL75" s="1880"/>
      <c r="AM75" s="1880"/>
      <c r="AO75" s="1880"/>
      <c r="AP75" s="1880"/>
      <c r="AQ75" s="1882"/>
      <c r="AR75" s="1880"/>
      <c r="AS75" s="1880"/>
      <c r="AT75" s="1880"/>
      <c r="AU75" s="1880"/>
      <c r="AW75" s="1880"/>
      <c r="AX75" s="1880"/>
      <c r="AY75" s="1882"/>
      <c r="AZ75" s="1880"/>
      <c r="BA75" s="1880"/>
      <c r="BB75" s="1880"/>
      <c r="BC75" s="1880"/>
      <c r="BE75" s="1880"/>
      <c r="BF75" s="1880"/>
      <c r="BG75" s="1882"/>
      <c r="BH75" s="1880"/>
      <c r="BI75" s="1880"/>
      <c r="BJ75" s="1880"/>
      <c r="BK75" s="1880"/>
      <c r="BM75" s="1880"/>
      <c r="BN75" s="1880"/>
      <c r="BO75" s="1882"/>
      <c r="BP75" s="1880"/>
      <c r="BQ75" s="1880"/>
      <c r="BR75" s="1880"/>
      <c r="BS75" s="1880"/>
      <c r="BU75" s="1880"/>
      <c r="BV75" s="1880"/>
      <c r="BW75" s="1882"/>
      <c r="BX75" s="1880"/>
      <c r="BY75" s="1880"/>
      <c r="BZ75" s="1880"/>
      <c r="CA75" s="1880"/>
      <c r="CC75" s="1880"/>
      <c r="CD75" s="1880"/>
      <c r="CE75" s="1882"/>
      <c r="CF75" s="1880"/>
      <c r="CG75" s="1880"/>
      <c r="CH75" s="1880"/>
      <c r="CI75" s="1880"/>
      <c r="CK75" s="1880"/>
      <c r="CL75" s="1880"/>
      <c r="CM75" s="1882"/>
      <c r="CN75" s="1880"/>
      <c r="CO75" s="1880"/>
      <c r="CP75" s="1880"/>
      <c r="CQ75" s="1880"/>
      <c r="CS75" s="1880"/>
      <c r="CT75" s="1880"/>
      <c r="CU75" s="1882"/>
      <c r="CV75" s="1880"/>
      <c r="CW75" s="1880"/>
      <c r="CX75" s="1880"/>
      <c r="CY75" s="1880"/>
      <c r="DA75" s="1880"/>
    </row>
    <row r="76" spans="1:105" ht="3.75" customHeight="1" x14ac:dyDescent="0.2">
      <c r="N76" s="215"/>
      <c r="O76" s="115"/>
      <c r="P76" s="115"/>
      <c r="Q76" s="115"/>
      <c r="R76" s="115"/>
      <c r="S76" s="115"/>
      <c r="T76" s="115"/>
      <c r="U76" s="115"/>
      <c r="W76" s="115"/>
    </row>
    <row r="77" spans="1:105" ht="12" customHeight="1" x14ac:dyDescent="0.2">
      <c r="C77" s="1880"/>
      <c r="E77" s="1880"/>
      <c r="F77" s="1880"/>
      <c r="G77" s="1880"/>
      <c r="H77" s="1880"/>
      <c r="I77" s="1880"/>
      <c r="J77" s="1880"/>
      <c r="K77" s="1882"/>
      <c r="L77" s="1880"/>
      <c r="M77" s="1881"/>
      <c r="N77" s="215"/>
      <c r="O77" s="1881"/>
      <c r="P77" s="1881"/>
      <c r="Q77" s="1881"/>
      <c r="R77" s="1881"/>
      <c r="S77" s="1881"/>
      <c r="T77" s="1881"/>
      <c r="U77" s="1881"/>
      <c r="V77" s="1881"/>
      <c r="W77" s="1881"/>
      <c r="AA77" s="1880"/>
      <c r="AB77" s="1881"/>
      <c r="AC77" s="1881"/>
      <c r="AD77" s="1881"/>
      <c r="AE77" s="1881"/>
      <c r="AG77" s="1880"/>
      <c r="AH77" s="1880"/>
      <c r="AI77" s="1882"/>
      <c r="AJ77" s="1880"/>
      <c r="AK77" s="1880"/>
      <c r="AL77" s="1880"/>
      <c r="AM77" s="1880"/>
      <c r="AO77" s="1880"/>
      <c r="AP77" s="1880"/>
      <c r="AQ77" s="1882"/>
      <c r="AR77" s="1880"/>
      <c r="AS77" s="1880"/>
      <c r="AT77" s="1880"/>
      <c r="AU77" s="1880"/>
      <c r="AW77" s="1880"/>
      <c r="AX77" s="1880"/>
      <c r="AY77" s="1882"/>
      <c r="AZ77" s="1880"/>
      <c r="BA77" s="1880"/>
      <c r="BB77" s="1880"/>
      <c r="BC77" s="1880"/>
      <c r="BE77" s="1880"/>
      <c r="BF77" s="1880"/>
      <c r="BG77" s="1882"/>
      <c r="BH77" s="1880"/>
      <c r="BI77" s="1880"/>
      <c r="BJ77" s="1880"/>
      <c r="BK77" s="1880"/>
      <c r="BM77" s="1880"/>
      <c r="BN77" s="1880"/>
      <c r="BO77" s="1882"/>
      <c r="BP77" s="1880"/>
      <c r="BQ77" s="1880"/>
      <c r="BR77" s="1880"/>
      <c r="BS77" s="1880"/>
      <c r="BU77" s="1880"/>
      <c r="BV77" s="1880"/>
      <c r="BW77" s="1882"/>
      <c r="BX77" s="1880"/>
      <c r="BY77" s="1880"/>
      <c r="BZ77" s="1880"/>
      <c r="CA77" s="1880"/>
      <c r="CC77" s="1880"/>
      <c r="CD77" s="1880"/>
      <c r="CE77" s="1882"/>
      <c r="CF77" s="1880"/>
      <c r="CG77" s="1880"/>
      <c r="CH77" s="1880"/>
      <c r="CI77" s="1880"/>
      <c r="CK77" s="1880"/>
      <c r="CL77" s="1880"/>
      <c r="CM77" s="1882"/>
      <c r="CN77" s="1880"/>
      <c r="CO77" s="1880"/>
      <c r="CP77" s="1880"/>
      <c r="CQ77" s="1880"/>
      <c r="CS77" s="1880"/>
      <c r="CT77" s="1880"/>
      <c r="CU77" s="1882"/>
      <c r="CV77" s="1880"/>
      <c r="CW77" s="1880"/>
      <c r="CX77" s="1880"/>
      <c r="CY77" s="1880"/>
      <c r="DA77" s="1880"/>
    </row>
    <row r="78" spans="1:105" ht="50.1" customHeight="1" x14ac:dyDescent="0.2">
      <c r="AB78" s="70"/>
      <c r="AC78" s="70"/>
      <c r="AD78" s="70"/>
      <c r="AE78" s="70"/>
      <c r="AI78" s="70"/>
      <c r="AQ78" s="70"/>
    </row>
    <row r="79" spans="1:105" ht="14.25" hidden="1" customHeight="1" x14ac:dyDescent="0.2">
      <c r="AB79" s="70"/>
      <c r="AC79" s="70"/>
      <c r="AD79" s="70"/>
      <c r="AE79" s="70"/>
      <c r="AI79" s="70"/>
      <c r="AQ79" s="70"/>
    </row>
    <row r="80" spans="1:105" ht="14.25" hidden="1" customHeight="1" x14ac:dyDescent="0.2">
      <c r="AB80" s="70"/>
      <c r="AC80" s="70"/>
      <c r="AD80" s="70"/>
      <c r="AE80" s="70"/>
      <c r="AI80" s="70"/>
      <c r="AQ80" s="70"/>
    </row>
    <row r="81" spans="28:43" hidden="1" x14ac:dyDescent="0.2">
      <c r="AB81" s="70"/>
      <c r="AC81" s="70"/>
      <c r="AD81" s="70"/>
      <c r="AE81" s="70"/>
      <c r="AI81" s="70"/>
      <c r="AQ81" s="70"/>
    </row>
    <row r="82" spans="28:43" hidden="1" x14ac:dyDescent="0.2">
      <c r="AB82" s="70"/>
      <c r="AC82" s="70"/>
      <c r="AD82" s="70"/>
      <c r="AE82" s="70"/>
      <c r="AI82" s="70"/>
      <c r="AQ82" s="70"/>
    </row>
    <row r="83" spans="28:43" hidden="1" x14ac:dyDescent="0.2">
      <c r="AB83" s="70"/>
      <c r="AC83" s="70"/>
      <c r="AD83" s="70"/>
      <c r="AE83" s="70"/>
      <c r="AI83" s="70"/>
      <c r="AQ83" s="70"/>
    </row>
    <row r="84" spans="28:43" hidden="1" x14ac:dyDescent="0.2">
      <c r="AB84" s="70"/>
      <c r="AC84" s="70"/>
      <c r="AD84" s="70"/>
      <c r="AE84" s="70"/>
      <c r="AI84" s="70"/>
      <c r="AQ84" s="70"/>
    </row>
    <row r="85" spans="28:43" hidden="1" x14ac:dyDescent="0.2">
      <c r="AB85" s="70"/>
      <c r="AC85" s="70"/>
      <c r="AD85" s="70"/>
      <c r="AE85" s="70"/>
      <c r="AI85" s="70"/>
      <c r="AQ85" s="70"/>
    </row>
    <row r="86" spans="28:43" hidden="1" x14ac:dyDescent="0.2">
      <c r="AB86" s="70"/>
      <c r="AC86" s="70"/>
      <c r="AD86" s="70"/>
      <c r="AE86" s="70"/>
      <c r="AI86" s="70"/>
      <c r="AQ86" s="70"/>
    </row>
    <row r="87" spans="28:43" hidden="1" x14ac:dyDescent="0.2">
      <c r="AB87" s="70"/>
      <c r="AC87" s="70"/>
      <c r="AD87" s="70"/>
      <c r="AE87" s="70"/>
      <c r="AI87" s="70"/>
      <c r="AQ87" s="70"/>
    </row>
    <row r="88" spans="28:43" hidden="1" x14ac:dyDescent="0.2">
      <c r="AB88" s="70"/>
      <c r="AC88" s="70"/>
      <c r="AD88" s="70"/>
      <c r="AE88" s="70"/>
      <c r="AI88" s="70"/>
      <c r="AQ88" s="70"/>
    </row>
    <row r="89" spans="28:43" hidden="1" x14ac:dyDescent="0.2">
      <c r="AB89" s="70"/>
      <c r="AC89" s="70"/>
      <c r="AD89" s="70"/>
      <c r="AE89" s="70"/>
      <c r="AI89" s="70"/>
      <c r="AQ89" s="70"/>
    </row>
    <row r="90" spans="28:43" hidden="1" x14ac:dyDescent="0.2">
      <c r="AB90" s="70"/>
      <c r="AC90" s="70"/>
      <c r="AD90" s="70"/>
      <c r="AE90" s="70"/>
      <c r="AI90" s="70"/>
      <c r="AQ90" s="70"/>
    </row>
    <row r="91" spans="28:43" hidden="1" x14ac:dyDescent="0.2">
      <c r="AB91" s="70"/>
      <c r="AC91" s="70"/>
      <c r="AD91" s="70"/>
      <c r="AE91" s="70"/>
      <c r="AI91" s="70"/>
      <c r="AQ91" s="70"/>
    </row>
    <row r="92" spans="28:43" hidden="1" x14ac:dyDescent="0.2">
      <c r="AB92" s="70"/>
      <c r="AC92" s="70"/>
      <c r="AD92" s="70"/>
      <c r="AE92" s="70"/>
      <c r="AI92" s="70"/>
      <c r="AQ92" s="70"/>
    </row>
    <row r="93" spans="28:43" hidden="1" x14ac:dyDescent="0.2">
      <c r="AB93" s="70"/>
      <c r="AC93" s="70"/>
      <c r="AD93" s="70"/>
      <c r="AE93" s="70"/>
      <c r="AI93" s="70"/>
      <c r="AQ93" s="70"/>
    </row>
    <row r="94" spans="28:43" hidden="1" x14ac:dyDescent="0.2">
      <c r="AB94" s="70"/>
      <c r="AC94" s="70"/>
      <c r="AD94" s="70"/>
      <c r="AE94" s="70"/>
      <c r="AI94" s="70"/>
      <c r="AQ94" s="70"/>
    </row>
    <row r="95" spans="28:43" hidden="1" x14ac:dyDescent="0.2">
      <c r="AB95" s="70"/>
      <c r="AC95" s="70"/>
      <c r="AD95" s="70"/>
      <c r="AE95" s="70"/>
      <c r="AI95" s="70"/>
      <c r="AQ95" s="70"/>
    </row>
    <row r="96" spans="28:43" hidden="1" x14ac:dyDescent="0.2">
      <c r="AB96" s="70"/>
      <c r="AC96" s="70"/>
      <c r="AD96" s="70"/>
      <c r="AE96" s="70"/>
      <c r="AI96" s="70"/>
      <c r="AQ96" s="70"/>
    </row>
    <row r="97" spans="28:43" hidden="1" x14ac:dyDescent="0.2">
      <c r="AB97" s="70"/>
      <c r="AC97" s="70"/>
      <c r="AD97" s="70"/>
      <c r="AE97" s="70"/>
      <c r="AI97" s="70"/>
      <c r="AQ97" s="70"/>
    </row>
    <row r="98" spans="28:43" hidden="1" x14ac:dyDescent="0.2">
      <c r="AB98" s="70"/>
      <c r="AC98" s="70"/>
      <c r="AD98" s="70"/>
      <c r="AE98" s="70"/>
      <c r="AI98" s="70"/>
      <c r="AQ98" s="70"/>
    </row>
    <row r="99" spans="28:43" hidden="1" x14ac:dyDescent="0.2">
      <c r="AB99" s="70"/>
      <c r="AC99" s="70"/>
      <c r="AD99" s="70"/>
      <c r="AE99" s="70"/>
      <c r="AI99" s="70"/>
      <c r="AQ99" s="70"/>
    </row>
    <row r="100" spans="28:43" hidden="1" x14ac:dyDescent="0.2">
      <c r="AB100" s="70"/>
      <c r="AC100" s="70"/>
      <c r="AD100" s="70"/>
      <c r="AE100" s="70"/>
      <c r="AI100" s="70"/>
      <c r="AQ100" s="70"/>
    </row>
  </sheetData>
  <sheetProtection algorithmName="SHA-512" hashValue="NQomNcRYQ3EHe+jAgFtvar8eOHeAT5IsqujF9vbktWdRdJyqYdfL1pwSQsP8JyLn8oPRzXKLXNP0VVNE4l0C8g==" saltValue="aj7XkRwDS0mgzTOX6gPFlg==" spinCount="100000" sheet="1" objects="1" scenarios="1"/>
  <mergeCells count="72">
    <mergeCell ref="AB55:AD55"/>
    <mergeCell ref="AB57:AD57"/>
    <mergeCell ref="AB42:AD42"/>
    <mergeCell ref="AB44:AD44"/>
    <mergeCell ref="AB46:AD46"/>
    <mergeCell ref="AB53:AD53"/>
    <mergeCell ref="C67:C72"/>
    <mergeCell ref="AQ71:AQ72"/>
    <mergeCell ref="AS71:AS72"/>
    <mergeCell ref="AQ67:AQ68"/>
    <mergeCell ref="AS67:AS68"/>
    <mergeCell ref="AI67:AI68"/>
    <mergeCell ref="AK67:AK68"/>
    <mergeCell ref="AI71:AI72"/>
    <mergeCell ref="AK71:AK72"/>
    <mergeCell ref="AB71:AD72"/>
    <mergeCell ref="F67:I68"/>
    <mergeCell ref="J67:J68"/>
    <mergeCell ref="O66:W73"/>
    <mergeCell ref="AB67:AD68"/>
    <mergeCell ref="BO67:BO68"/>
    <mergeCell ref="BO71:BO72"/>
    <mergeCell ref="AY71:AY72"/>
    <mergeCell ref="BA71:BA72"/>
    <mergeCell ref="BG67:BG68"/>
    <mergeCell ref="BG71:BG72"/>
    <mergeCell ref="BI71:BI72"/>
    <mergeCell ref="AY67:AY68"/>
    <mergeCell ref="BA67:BA68"/>
    <mergeCell ref="BI67:BI68"/>
    <mergeCell ref="CE67:CE68"/>
    <mergeCell ref="CE71:CE72"/>
    <mergeCell ref="BQ71:BQ72"/>
    <mergeCell ref="BQ67:BQ68"/>
    <mergeCell ref="BW67:BW68"/>
    <mergeCell ref="F11:J11"/>
    <mergeCell ref="O18:W18"/>
    <mergeCell ref="J15:S15"/>
    <mergeCell ref="CW71:CW72"/>
    <mergeCell ref="BY67:BY68"/>
    <mergeCell ref="CG67:CG68"/>
    <mergeCell ref="CO67:CO68"/>
    <mergeCell ref="CM67:CM68"/>
    <mergeCell ref="CM71:CM72"/>
    <mergeCell ref="CG71:CG72"/>
    <mergeCell ref="CU67:CU68"/>
    <mergeCell ref="CU71:CU72"/>
    <mergeCell ref="CO71:CO72"/>
    <mergeCell ref="CW67:CW68"/>
    <mergeCell ref="BW71:BW72"/>
    <mergeCell ref="BY71:BY72"/>
    <mergeCell ref="F35:L36"/>
    <mergeCell ref="C23:C27"/>
    <mergeCell ref="F22:L23"/>
    <mergeCell ref="F39:I41"/>
    <mergeCell ref="F50:I52"/>
    <mergeCell ref="O64:W64"/>
    <mergeCell ref="CD18:CG18"/>
    <mergeCell ref="CL18:CO18"/>
    <mergeCell ref="CT18:CW18"/>
    <mergeCell ref="AP18:AS18"/>
    <mergeCell ref="AX18:BA18"/>
    <mergeCell ref="BF18:BI18"/>
    <mergeCell ref="BN18:BQ18"/>
    <mergeCell ref="BV18:BY18"/>
    <mergeCell ref="AH18:AK18"/>
    <mergeCell ref="AA18:AE18"/>
    <mergeCell ref="AA20:AE20"/>
    <mergeCell ref="Y25:Y58"/>
    <mergeCell ref="AB26:AD26"/>
    <mergeCell ref="AB28:AD28"/>
    <mergeCell ref="AB32:AD32"/>
  </mergeCells>
  <conditionalFormatting sqref="AK30:AL30">
    <cfRule type="containsText" dxfId="3921" priority="147" operator="containsText" text="✓">
      <formula>NOT(ISERROR(SEARCH("✓",AK30)))</formula>
    </cfRule>
  </conditionalFormatting>
  <conditionalFormatting sqref="AK26">
    <cfRule type="containsText" dxfId="3920" priority="146" operator="containsText" text="✓">
      <formula>NOT(ISERROR(SEARCH("✓",AK26)))</formula>
    </cfRule>
  </conditionalFormatting>
  <conditionalFormatting sqref="AK67:AK68">
    <cfRule type="containsText" dxfId="3919" priority="98" operator="containsText" text="✓">
      <formula>NOT(ISERROR(SEARCH("✓",AK67)))</formula>
    </cfRule>
  </conditionalFormatting>
  <conditionalFormatting sqref="F53:H53">
    <cfRule type="expression" dxfId="3918" priority="53">
      <formula>$DA$52=1</formula>
    </cfRule>
  </conditionalFormatting>
  <conditionalFormatting sqref="F42:H42">
    <cfRule type="expression" dxfId="3917" priority="54">
      <formula>$DA$42=1</formula>
    </cfRule>
  </conditionalFormatting>
  <conditionalFormatting sqref="AK28">
    <cfRule type="containsText" dxfId="3916" priority="52" operator="containsText" text="✓">
      <formula>NOT(ISERROR(SEARCH("✓",AK28)))</formula>
    </cfRule>
  </conditionalFormatting>
  <conditionalFormatting sqref="AK32">
    <cfRule type="containsText" dxfId="3915" priority="51" operator="containsText" text="✓">
      <formula>NOT(ISERROR(SEARCH("✓",AK32)))</formula>
    </cfRule>
  </conditionalFormatting>
  <conditionalFormatting sqref="AK42">
    <cfRule type="containsText" dxfId="3914" priority="50" operator="containsText" text="✓">
      <formula>NOT(ISERROR(SEARCH("✓",AK42)))</formula>
    </cfRule>
  </conditionalFormatting>
  <conditionalFormatting sqref="AK57 AK55 AK53 AK46 AK44">
    <cfRule type="containsText" dxfId="3913" priority="49" operator="containsText" text="✓">
      <formula>NOT(ISERROR(SEARCH("✓",AK44)))</formula>
    </cfRule>
  </conditionalFormatting>
  <conditionalFormatting sqref="AK71:AK72">
    <cfRule type="containsText" dxfId="3912" priority="48" operator="containsText" text="✓">
      <formula>NOT(ISERROR(SEARCH("✓",AK71)))</formula>
    </cfRule>
  </conditionalFormatting>
  <conditionalFormatting sqref="CW30 CO30 CG30 BY30 BQ30 BI30 BA30 AS30">
    <cfRule type="containsText" dxfId="3911" priority="47" operator="containsText" text="✓">
      <formula>NOT(ISERROR(SEARCH("✓",AS30)))</formula>
    </cfRule>
  </conditionalFormatting>
  <conditionalFormatting sqref="CW26 CO26 CG26 BY26 BQ26 BI26 BA26 AS26">
    <cfRule type="containsText" dxfId="3910" priority="46" operator="containsText" text="✓">
      <formula>NOT(ISERROR(SEARCH("✓",AS26)))</formula>
    </cfRule>
  </conditionalFormatting>
  <conditionalFormatting sqref="CW67:CW68 CO67:CO68 CG67:CG68 BY67:BY68 BQ67:BQ68 BI67:BI68 BA67:BA68 AS67:AS68">
    <cfRule type="containsText" dxfId="3909" priority="45" operator="containsText" text="✓">
      <formula>NOT(ISERROR(SEARCH("✓",AS67)))</formula>
    </cfRule>
  </conditionalFormatting>
  <conditionalFormatting sqref="CW28 CO28 CG28 BY28 BQ28 BI28 BA28 AS28">
    <cfRule type="containsText" dxfId="3908" priority="44" operator="containsText" text="✓">
      <formula>NOT(ISERROR(SEARCH("✓",AS28)))</formula>
    </cfRule>
  </conditionalFormatting>
  <conditionalFormatting sqref="CW32 CO32 CG32 BY32 BQ32 BI32 BA32 AS32">
    <cfRule type="containsText" dxfId="3907" priority="43" operator="containsText" text="✓">
      <formula>NOT(ISERROR(SEARCH("✓",AS32)))</formula>
    </cfRule>
  </conditionalFormatting>
  <conditionalFormatting sqref="CW42 CO42 CG42 BY42 BQ42 BI42 BA42 AS42">
    <cfRule type="containsText" dxfId="3906" priority="42" operator="containsText" text="✓">
      <formula>NOT(ISERROR(SEARCH("✓",AS42)))</formula>
    </cfRule>
  </conditionalFormatting>
  <conditionalFormatting sqref="CW57 CW55 CW53 CW46 CW44 CO57 CO55 CO53 CO46 CO44 CG57 CG55 CG53 CG46 CG44 BY57 BY55 BY53 BY46 BY44 BQ57 BQ55 BQ53 BQ46 BQ44 BI57 BI55 BI53 BI46 BI44 BA57 BA55 BA53 BA46 BA44 AS57 AS55 AS53 AS46 AS44">
    <cfRule type="containsText" dxfId="3905" priority="41" operator="containsText" text="✓">
      <formula>NOT(ISERROR(SEARCH("✓",AS44)))</formula>
    </cfRule>
  </conditionalFormatting>
  <conditionalFormatting sqref="CW71:CW72 CO71:CO72 CG71:CG72 BY71:BY72 BQ71:BQ72 BI71:BI72 BA71:BA72 AS71:AS72">
    <cfRule type="containsText" dxfId="3904" priority="40" operator="containsText" text="✓">
      <formula>NOT(ISERROR(SEARCH("✓",AS71)))</formula>
    </cfRule>
  </conditionalFormatting>
  <dataValidations count="15">
    <dataValidation allowBlank="1" showErrorMessage="1" sqref="AJ19:AM37 DR8:EB10 Z101:AV1048576 CW73:CW1048576 DR14:EE16 Z18:AA18 AI21:AI22 DR12:EB13 AG21:AH37 L33 Z19:AI19 AG20:AL20 AK65:AK67 AI24:AI37 AA64 AB65:AD66 A16:J16 L29:L31 C22:C23 L27 D44:D46 E35:E36 N44:N46 N49:N52 L16:N16 L8:L11 M6:N10 A1:J1 L5:N5 L1:N1 M25:M33 M22:M23 F22 O25:P33 E25:I33 J25:L25 J33 F42:F50 AG51:AM58 E22:E23 M18 C18:J18 F35 A15:F15 F39 F38:I38 A44:B46 AG64:AN64 A59:I63 DC60:DS63 F66 F65:I65 AB73:AD77 AK73:AK77 AE65:AJ77 Z65:AA77 AL65:AP77 AS20:AS37 AQ64:AQ77 AQ20:AQ37 AY64:AY1048576 AW65:AX1048576 BG64:BG1048576 BA19:BA37 BO64:BO1048576 BI19:BI37 BQ19:BQ37 BW64:BW1048576 BY19:BY37 CE64:CE1048576 CM64:CM1048576 CG19:CG37 CO19:CO37 AK71 CU64:CU1048576 O16:O19 CU19:CU37 CM19:CM37 CP18:CR18 CE19:CE37 BZ18:CB18 BW19:BW37 CH18:CJ18 BO19:BO37 BR18:BT18 BG19:BG37 BJ18:BL18 AY19:AY37 AV18 BB18:BD18 Z1:DQ8 Z11:DQ11 A5:J10 A12:J14 Z9:EB10 Z21:AE22 K63:R63 AH18 AF18 AP18 AO19:AU19 AX18 BF18 BN18 BV18 CD18 CL18 CT18 AS71 AR65:AR77 AT65:AV77 AS73:AS77 AS64:AS67 BA71 AZ65:AZ1048576 BB65:BF1048576 BA73:BA1048576 BA64:BA67 BI71 BH65:BH1048576 BJ65:BN1048576 BI73:BI1048576 BI64:BI67 BQ71 BP65:BP1048576 BR65:BV1048576 BQ73:BQ1048576 BQ64:BQ67 BY71 BX65:BX1048576 BZ65:CD1048576 BY73:BY1048576 BY64:BY67 CG71 CF65:CF1048576 CH65:CL1048576 CG73:CG1048576 CG64:CG67 Z60:CW62 CO71 CN65:CN1048576 CP65:CT1048576 CO73:CO1048576 CO64:CO67 AA63:CX63 AG59:DS59 CV65:CV1048576 CX65:DQ1048576 CW19:CW37 CW64:CW67 CW71 C73 K11 C64:C67 AO12:CW17 Z12:AM17 I15:J15 L12:Q14 U101:W1048576 T6:T16 V21:W37 P16:S17 P19:S19 O1:Q11 Q21:S37 E64:E70 AC56:AD56 O101:S1048576 K59:U62 U25:U33 T2:T4 R1:S14 U1:W17 U19:W19 W59:AE59 O66 AC24:AD25 AC27:AD27 AC29:AD31 AC33:AD41 AC43:AD43 AC45:AD45 AC47:AD52 AC54:AD54 AC58:AD58 W60:W62 T63:U63 N64:O64 O40:S48 U40:W48 CW40:CW48 CO40:CO48 CG40:CG48 BY40:BY48 BQ40:BQ48 BI40:BI48 BA40:BA48 AS40:AS48 CU40:CU48 CM40:CM48 CE40:CE48 BW40:BW48 BO40:BO48 BG40:BG48 AY40:AY48 AQ40:AQ48 AG40:AM48 G42:I49 J38:J57 AF21:AF58 E38:E58 C28:C58 L38:M58 AO20:AP58 AV19:AX58 AR20:AR58 AT20:AU58 AZ19:AZ58 BB19:BF58 BH19:BH58 BJ19:BN58 BP19:BP58 BR19:BV58 BX19:BX58 BZ19:CD58 CF19:CF58 CH19:CL58 CN19:CN58 CP19:CT58 CV19:CV58 CX12:DQ58 AN12:AN58 Z24:AB58 AE24:AE58 V51:V63 U51:U58 O51:S58 W51:W58 CW51:CW58 CO51:CO58 CG51:CG58 BY51:BY58 BQ51:BQ58 BI51:BI58 BA51:BA58 AS51:AS58 CU51:CU58 CM51:CM58 CE51:CE58 BW51:BW58 BO51:BO58 BG51:BG58 AY51:AY58 AQ51:AQ58 J26:J32 F53:I58" xr:uid="{F2595E00-A930-421E-B61D-6810B956A0CA}"/>
    <dataValidation allowBlank="1" showInputMessage="1" showErrorMessage="1" promptTitle="Kapasitet" prompt="Disse verdiene er estimater fra NFF" sqref="P20" xr:uid="{C1814CA1-61E6-4064-8E3C-A01F82A05075}"/>
    <dataValidation allowBlank="1" showErrorMessage="1" promptTitle="Foreslått kapasitet" prompt="Disse verdiene er estimater fra NFF" sqref="L20" xr:uid="{15EC7F6B-0E0D-4733-ABD9-279803BD6B26}"/>
    <dataValidation allowBlank="1" showInputMessage="1" showErrorMessage="1" promptTitle="Seismikk" prompt="Ventetid - Time for time, inngår i ventetid" sqref="L32" xr:uid="{C3138105-FE41-435F-B021-D828276AA5DB}"/>
    <dataValidation allowBlank="1" showInputMessage="1" showErrorMessage="1" promptTitle="Sonderboring" prompt="bormeter - Sonderboring inkl. lekkasjemåling, avh. av antall hull, her antas 4" sqref="L26 L28" xr:uid="{E3492D35-90DB-4239-97DF-F726CA27EC32}"/>
    <dataValidation allowBlank="1" showInputMessage="1" showErrorMessage="1" promptTitle="Seismikk" prompt="Time for time, inngår i ventetid" sqref="L32:L33 J33" xr:uid="{06B97662-E5DF-4AE2-B900-9B550D99EC75}"/>
    <dataValidation allowBlank="1" showInputMessage="1" showErrorMessage="1" promptTitle="Kjerneboring" prompt="Time for time, inngår i ventetid" sqref="L28:L31" xr:uid="{DE6504BD-B941-4CC4-8446-1BB6E4F42EAC}"/>
    <dataValidation allowBlank="1" showInputMessage="1" showErrorMessage="1" promptTitle="Sonderboring" prompt="Sonderboring inkl. lekkasjemåling, avh. av antall hull, her antas 4" sqref="L26:L27" xr:uid="{3ABC3AE4-A659-4051-AA6C-364DFD47828D}"/>
    <dataValidation allowBlank="1" showInputMessage="1" showErrorMessage="1" promptTitle="Boring (Systematisk)" prompt="Alle hull bores og pakkes før injeksjon starter" sqref="K55" xr:uid="{FEB2482F-2FBD-4164-95C1-7FA98A875DE8}"/>
    <dataValidation allowBlank="1" showInputMessage="1" showErrorMessage="1" promptTitle="Injeksjon (Systematisk)" prompt="Pumping, type sement, antall linjer, her antas 4" sqref="K57" xr:uid="{749EA280-DEA4-450C-A336-999FEE059D86}"/>
    <dataValidation allowBlank="1" showInputMessage="1" showErrorMessage="1" promptTitle="Kontrollhull" prompt="inkl. lekkasjemåling" sqref="K47:K51" xr:uid="{1ED45238-C021-4C27-B07F-B2A34F30F869}"/>
    <dataValidation allowBlank="1" showInputMessage="1" showErrorMessage="1" promptTitle="Injeksjon (Sporadisk)" prompt="Pumping, type sement, antall linjer, her antas 4" sqref="K46 K57" xr:uid="{884288F7-F49D-436C-AFED-7FE0F2423FC4}"/>
    <dataValidation allowBlank="1" showInputMessage="1" showErrorMessage="1" promptTitle="Boring (Sporadisk)" prompt="Alle hull bores og pakkes før injeksjon starter" sqref="K44:K45 K55:K56" xr:uid="{FF7EB39D-BB18-4C56-8A18-0638BE84C232}"/>
    <dataValidation allowBlank="1" showInputMessage="1" showErrorMessage="1" promptTitle="Rigg" prompt="inkl. herdetid, stk = opp- og nedrigg pr skjerm" sqref="K42:K43 K53:K54" xr:uid="{BD594535-23B4-437B-A71D-EE1746C6ED1B}"/>
    <dataValidation allowBlank="1" showErrorMessage="1" promptTitle="Kapasitet" prompt="Disse verdiene er estimater fra NFF" sqref="Q20:R20 V20 T20" xr:uid="{20B02CB3-91A5-40FE-BF75-6330F5D264EF}"/>
  </dataValidations>
  <printOptions horizontalCentered="1" verticalCentered="1"/>
  <pageMargins left="0.23622047244094491" right="0.23622047244094491" top="0.74803149606299213" bottom="0.74803149606299213" header="0.31496062992125984" footer="0.31496062992125984"/>
  <pageSetup paperSize="8" scale="45" orientation="landscape" r:id="rId1"/>
  <extLst>
    <ext xmlns:x14="http://schemas.microsoft.com/office/spreadsheetml/2009/9/main" uri="{78C0D931-6437-407d-A8EE-F0AAD7539E65}">
      <x14:conditionalFormattings>
        <x14:conditionalFormatting xmlns:xm="http://schemas.microsoft.com/office/excel/2006/main">
          <x14:cfRule type="expression" priority="22" id="{00000000-000E-0000-0A00-000016000000}">
            <xm:f>R26=_Kapasitet!$F$5</xm:f>
            <x14:dxf>
              <font>
                <b val="0"/>
                <i val="0"/>
              </font>
              <fill>
                <patternFill patternType="lightGray">
                  <fgColor theme="0"/>
                  <bgColor rgb="FFFFE1E1"/>
                </patternFill>
              </fill>
              <border>
                <left/>
                <right/>
                <top/>
                <bottom/>
                <vertical/>
                <horizontal/>
              </border>
            </x14:dxf>
          </x14:cfRule>
          <xm:sqref>R26 R28 R32 R42 R44 R46 R53 R55 R57</xm:sqref>
        </x14:conditionalFormatting>
        <x14:conditionalFormatting xmlns:xm="http://schemas.microsoft.com/office/excel/2006/main">
          <x14:cfRule type="expression" priority="11" id="{00000000-000E-0000-0A00-00000B000000}">
            <xm:f>R26&lt;&gt;_Kapasitet!$F$5</xm:f>
            <x14:dxf>
              <font>
                <b/>
                <i/>
              </font>
            </x14:dxf>
          </x14:cfRule>
          <xm:sqref>P26 P28 P32 P42 P44 P46 P53 P55 P57</xm:sqref>
        </x14:conditionalFormatting>
        <x14:conditionalFormatting xmlns:xm="http://schemas.microsoft.com/office/excel/2006/main">
          <x14:cfRule type="expression" priority="39" id="{5BF0389B-E690-4B7E-BDB3-9A92297371DF}">
            <xm:f>_Calcs!$NO$48&lt;9</xm:f>
            <x14:dxf>
              <font>
                <color theme="0"/>
              </font>
              <fill>
                <patternFill>
                  <bgColor theme="0"/>
                </patternFill>
              </fill>
              <border>
                <left/>
                <right/>
                <top/>
                <bottom/>
                <vertical/>
                <horizontal/>
              </border>
            </x14:dxf>
          </x14:cfRule>
          <xm:sqref>CT1:DA1048576</xm:sqref>
        </x14:conditionalFormatting>
        <x14:conditionalFormatting xmlns:xm="http://schemas.microsoft.com/office/excel/2006/main">
          <x14:cfRule type="expression" priority="38" id="{BB54A47B-28D8-434B-A145-C4700EDAA0F6}">
            <xm:f>_Calcs!$NO$48&lt;9</xm:f>
            <x14:dxf>
              <border>
                <left/>
                <right/>
                <top/>
                <bottom/>
                <vertical/>
                <horizontal/>
              </border>
            </x14:dxf>
          </x14:cfRule>
          <xm:sqref>CS1:CS1048576</xm:sqref>
        </x14:conditionalFormatting>
        <x14:conditionalFormatting xmlns:xm="http://schemas.microsoft.com/office/excel/2006/main">
          <x14:cfRule type="expression" priority="37" id="{94099E7F-DF61-449F-855D-9E53CAFE8A1A}">
            <xm:f>_Calcs!$NO$48&lt;8</xm:f>
            <x14:dxf>
              <font>
                <color theme="0"/>
              </font>
              <fill>
                <patternFill>
                  <bgColor theme="0"/>
                </patternFill>
              </fill>
              <border>
                <left/>
                <right/>
                <top/>
                <bottom/>
                <vertical/>
                <horizontal/>
              </border>
            </x14:dxf>
          </x14:cfRule>
          <xm:sqref>CL1:CS1048576</xm:sqref>
        </x14:conditionalFormatting>
        <x14:conditionalFormatting xmlns:xm="http://schemas.microsoft.com/office/excel/2006/main">
          <x14:cfRule type="expression" priority="35" id="{1C6299ED-449E-4329-AE0C-E1DE2BA9297A}">
            <xm:f>_Calcs!$NO$48&lt;8</xm:f>
            <x14:dxf>
              <border>
                <left/>
                <right/>
                <top/>
                <bottom/>
                <vertical/>
                <horizontal/>
              </border>
            </x14:dxf>
          </x14:cfRule>
          <xm:sqref>CK1:CK1048576</xm:sqref>
        </x14:conditionalFormatting>
        <x14:conditionalFormatting xmlns:xm="http://schemas.microsoft.com/office/excel/2006/main">
          <x14:cfRule type="expression" priority="34" id="{3D1F734D-968C-451D-B781-0510ABD5A846}">
            <xm:f>_Calcs!$NO$48&lt;7</xm:f>
            <x14:dxf>
              <font>
                <color theme="0"/>
              </font>
              <fill>
                <patternFill>
                  <bgColor theme="0"/>
                </patternFill>
              </fill>
              <border>
                <left/>
                <right/>
                <top/>
                <bottom/>
                <vertical/>
                <horizontal/>
              </border>
            </x14:dxf>
          </x14:cfRule>
          <xm:sqref>CD1:CK1048576</xm:sqref>
        </x14:conditionalFormatting>
        <x14:conditionalFormatting xmlns:xm="http://schemas.microsoft.com/office/excel/2006/main">
          <x14:cfRule type="expression" priority="33" id="{DC62E0EF-608B-4301-8BFE-2501158F29D1}">
            <xm:f>_Calcs!$NO$48&lt;7</xm:f>
            <x14:dxf>
              <border>
                <left/>
                <right/>
                <top/>
                <bottom/>
                <vertical/>
                <horizontal/>
              </border>
            </x14:dxf>
          </x14:cfRule>
          <xm:sqref>CC1:CC1048576</xm:sqref>
        </x14:conditionalFormatting>
        <x14:conditionalFormatting xmlns:xm="http://schemas.microsoft.com/office/excel/2006/main">
          <x14:cfRule type="expression" priority="32" id="{D317F610-299C-47FD-9B53-F37120DD9F4D}">
            <xm:f>_Calcs!$NO$48&lt;6</xm:f>
            <x14:dxf>
              <font>
                <color theme="0"/>
              </font>
              <fill>
                <patternFill>
                  <bgColor theme="0"/>
                </patternFill>
              </fill>
              <border>
                <left/>
                <right/>
                <top/>
                <bottom/>
                <vertical/>
                <horizontal/>
              </border>
            </x14:dxf>
          </x14:cfRule>
          <xm:sqref>BV1:CC1048576</xm:sqref>
        </x14:conditionalFormatting>
        <x14:conditionalFormatting xmlns:xm="http://schemas.microsoft.com/office/excel/2006/main">
          <x14:cfRule type="expression" priority="31" id="{048E2447-4648-4CE3-9AAE-E7BC582D5914}">
            <xm:f>_Calcs!$NO$48&lt;6</xm:f>
            <x14:dxf>
              <border>
                <left/>
                <right/>
                <top/>
                <bottom/>
                <vertical/>
                <horizontal/>
              </border>
            </x14:dxf>
          </x14:cfRule>
          <xm:sqref>BU1:BU1048576</xm:sqref>
        </x14:conditionalFormatting>
        <x14:conditionalFormatting xmlns:xm="http://schemas.microsoft.com/office/excel/2006/main">
          <x14:cfRule type="expression" priority="30" id="{E831263C-22EE-43CC-9BAF-103B124E6EA1}">
            <xm:f>_Calcs!$NO$48&lt;5</xm:f>
            <x14:dxf>
              <font>
                <color theme="0"/>
              </font>
              <fill>
                <patternFill>
                  <bgColor theme="0"/>
                </patternFill>
              </fill>
              <border>
                <left/>
                <right/>
                <top/>
                <bottom/>
                <vertical/>
                <horizontal/>
              </border>
            </x14:dxf>
          </x14:cfRule>
          <xm:sqref>BN1:BU1048576</xm:sqref>
        </x14:conditionalFormatting>
        <x14:conditionalFormatting xmlns:xm="http://schemas.microsoft.com/office/excel/2006/main">
          <x14:cfRule type="expression" priority="29" id="{7FC9D4F0-2332-4754-9C26-0E6EAB52142F}">
            <xm:f>_Calcs!$NO$48&lt;5</xm:f>
            <x14:dxf>
              <border>
                <left/>
                <right/>
                <top/>
                <bottom/>
                <vertical/>
                <horizontal/>
              </border>
            </x14:dxf>
          </x14:cfRule>
          <xm:sqref>BM1:BM1048576</xm:sqref>
        </x14:conditionalFormatting>
        <x14:conditionalFormatting xmlns:xm="http://schemas.microsoft.com/office/excel/2006/main">
          <x14:cfRule type="expression" priority="28" id="{56D92103-6DF3-40A9-8D2D-F28F6A6019A4}">
            <xm:f>_Calcs!$NO$48&lt;4</xm:f>
            <x14:dxf>
              <font>
                <color theme="0"/>
              </font>
              <fill>
                <patternFill>
                  <bgColor theme="0"/>
                </patternFill>
              </fill>
              <border>
                <left/>
                <right/>
                <top/>
                <bottom/>
                <vertical/>
                <horizontal/>
              </border>
            </x14:dxf>
          </x14:cfRule>
          <xm:sqref>BF1:BM1048576</xm:sqref>
        </x14:conditionalFormatting>
        <x14:conditionalFormatting xmlns:xm="http://schemas.microsoft.com/office/excel/2006/main">
          <x14:cfRule type="expression" priority="27" id="{C7561184-B136-4973-9E37-45148FBD5C5F}">
            <xm:f>_Calcs!$NO$48&lt;4</xm:f>
            <x14:dxf>
              <border>
                <left/>
                <right/>
                <top/>
                <bottom/>
                <vertical/>
                <horizontal/>
              </border>
            </x14:dxf>
          </x14:cfRule>
          <xm:sqref>BE1:BE1048576</xm:sqref>
        </x14:conditionalFormatting>
        <x14:conditionalFormatting xmlns:xm="http://schemas.microsoft.com/office/excel/2006/main">
          <x14:cfRule type="expression" priority="26" id="{81FF7AA4-EF2B-45E6-ADB2-C2FB03B11B88}">
            <xm:f>_Calcs!$NO$48&lt;3</xm:f>
            <x14:dxf>
              <font>
                <color theme="0"/>
              </font>
              <fill>
                <patternFill>
                  <bgColor theme="0"/>
                </patternFill>
              </fill>
              <border>
                <left/>
                <right/>
                <top/>
                <bottom/>
                <vertical/>
                <horizontal/>
              </border>
            </x14:dxf>
          </x14:cfRule>
          <xm:sqref>AX1:BE1048576</xm:sqref>
        </x14:conditionalFormatting>
        <x14:conditionalFormatting xmlns:xm="http://schemas.microsoft.com/office/excel/2006/main">
          <x14:cfRule type="expression" priority="25" id="{50F6EF21-97BE-48C8-AD49-6CE9BB92F052}">
            <xm:f>_Calcs!$NO$48&lt;3</xm:f>
            <x14:dxf>
              <border>
                <left/>
                <right/>
                <top/>
                <bottom/>
                <vertical/>
                <horizontal/>
              </border>
            </x14:dxf>
          </x14:cfRule>
          <xm:sqref>AW1:AW1048576</xm:sqref>
        </x14:conditionalFormatting>
        <x14:conditionalFormatting xmlns:xm="http://schemas.microsoft.com/office/excel/2006/main">
          <x14:cfRule type="expression" priority="24" id="{78D00393-4AFE-473F-838F-E11E76D0AC2D}">
            <xm:f>_Calcs!$NO$48&lt;2</xm:f>
            <x14:dxf>
              <font>
                <color theme="0"/>
              </font>
              <fill>
                <patternFill>
                  <bgColor theme="0"/>
                </patternFill>
              </fill>
              <border>
                <left/>
                <right/>
                <top/>
                <bottom/>
                <vertical/>
                <horizontal/>
              </border>
            </x14:dxf>
          </x14:cfRule>
          <xm:sqref>AP1:AW1048576</xm:sqref>
        </x14:conditionalFormatting>
        <x14:conditionalFormatting xmlns:xm="http://schemas.microsoft.com/office/excel/2006/main">
          <x14:cfRule type="expression" priority="23" id="{B3580E47-98ED-46FD-B6D7-55AEDBFB31D2}">
            <xm:f>_Calcs!$NO$48&lt;2</xm:f>
            <x14:dxf>
              <border>
                <left/>
                <right/>
                <top/>
                <bottom/>
                <vertical/>
                <horizontal/>
              </border>
            </x14:dxf>
          </x14:cfRule>
          <xm:sqref>AO1:AO1048576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9EFC6-57B3-4178-A760-B8C9C6A11A29}">
  <sheetPr codeName="Sheet11">
    <tabColor rgb="FFD8E9F4"/>
    <pageSetUpPr fitToPage="1"/>
  </sheetPr>
  <dimension ref="A1:GJ81"/>
  <sheetViews>
    <sheetView showGridLines="0" showRowColHeaders="0" zoomScale="70" zoomScaleNormal="70" workbookViewId="0"/>
  </sheetViews>
  <sheetFormatPr defaultColWidth="0" defaultRowHeight="19.5" zeroHeight="1" x14ac:dyDescent="0.3"/>
  <cols>
    <col min="1" max="2" width="3.625" style="70" customWidth="1"/>
    <col min="3" max="3" width="30.125" style="70" customWidth="1"/>
    <col min="4" max="5" width="3.625" style="70" customWidth="1"/>
    <col min="6" max="6" width="12.625" style="70" customWidth="1"/>
    <col min="7" max="9" width="4.625" style="70" customWidth="1"/>
    <col min="10" max="10" width="4.875" style="2000" customWidth="1"/>
    <col min="11" max="11" width="0.875" style="114" hidden="1" customWidth="1"/>
    <col min="12" max="12" width="4.625" style="70" hidden="1" customWidth="1"/>
    <col min="13" max="13" width="2.625" style="115" customWidth="1"/>
    <col min="14" max="14" width="3.625" style="115" customWidth="1"/>
    <col min="15" max="15" width="2.625" style="115" customWidth="1"/>
    <col min="16" max="16" width="10.375" style="70" customWidth="1"/>
    <col min="17" max="17" width="2.625" style="70" hidden="1" customWidth="1"/>
    <col min="18" max="18" width="9.625" style="13" hidden="1" customWidth="1"/>
    <col min="19" max="21" width="2.625" style="70" customWidth="1"/>
    <col min="22" max="22" width="10.375" style="70" customWidth="1"/>
    <col min="23" max="23" width="2.625" style="70" hidden="1" customWidth="1"/>
    <col min="24" max="24" width="9.625" style="13" hidden="1" customWidth="1"/>
    <col min="25" max="27" width="2.625" style="70" customWidth="1"/>
    <col min="28" max="28" width="5.625" style="115" customWidth="1"/>
    <col min="29" max="29" width="2.625" style="115" customWidth="1"/>
    <col min="30" max="30" width="5.625" style="70" customWidth="1"/>
    <col min="31" max="31" width="5.625" style="6175" customWidth="1"/>
    <col min="32" max="32" width="5.625" style="70" customWidth="1"/>
    <col min="33" max="33" width="1.625" style="70" customWidth="1"/>
    <col min="34" max="35" width="1.625" style="18" customWidth="1"/>
    <col min="36" max="36" width="2.125" style="18" customWidth="1"/>
    <col min="37" max="37" width="1.625" style="70" customWidth="1"/>
    <col min="38" max="38" width="3.625" style="70" customWidth="1"/>
    <col min="39" max="40" width="1.625" style="70" customWidth="1"/>
    <col min="41" max="41" width="16.625" style="114" customWidth="1"/>
    <col min="42" max="42" width="1.625" style="70" customWidth="1"/>
    <col min="43" max="43" width="2.625" style="70" customWidth="1"/>
    <col min="44" max="45" width="0.875" style="70" customWidth="1"/>
    <col min="46" max="46" width="3.625" style="70" customWidth="1"/>
    <col min="47" max="48" width="1.625" style="70" customWidth="1"/>
    <col min="49" max="49" width="16.625" style="70" customWidth="1"/>
    <col min="50" max="50" width="1.625" style="70" customWidth="1"/>
    <col min="51" max="51" width="2.625" style="70" customWidth="1"/>
    <col min="52" max="53" width="0.875" style="70" customWidth="1"/>
    <col min="54" max="54" width="3.625" style="70" customWidth="1"/>
    <col min="55" max="56" width="1.625" style="70" customWidth="1"/>
    <col min="57" max="57" width="16.625" style="114" customWidth="1"/>
    <col min="58" max="58" width="1.625" style="70" customWidth="1"/>
    <col min="59" max="59" width="2.625" style="70" customWidth="1"/>
    <col min="60" max="61" width="0.875" style="70" customWidth="1"/>
    <col min="62" max="62" width="3.625" style="70" customWidth="1"/>
    <col min="63" max="64" width="1.625" style="70" customWidth="1"/>
    <col min="65" max="65" width="16.625" style="70" customWidth="1"/>
    <col min="66" max="66" width="1.625" style="70" customWidth="1"/>
    <col min="67" max="67" width="2.625" style="70" customWidth="1"/>
    <col min="68" max="69" width="0.875" style="70" customWidth="1"/>
    <col min="70" max="70" width="3.625" style="70" customWidth="1"/>
    <col min="71" max="72" width="1.625" style="70" customWidth="1"/>
    <col min="73" max="73" width="16.625" style="70" customWidth="1"/>
    <col min="74" max="74" width="1.625" style="70" customWidth="1"/>
    <col min="75" max="75" width="2.625" style="70" customWidth="1"/>
    <col min="76" max="77" width="0.875" style="70" customWidth="1"/>
    <col min="78" max="78" width="3.625" style="70" customWidth="1"/>
    <col min="79" max="80" width="1.625" style="70" customWidth="1"/>
    <col min="81" max="81" width="16.625" style="70" customWidth="1"/>
    <col min="82" max="82" width="1.625" style="70" customWidth="1"/>
    <col min="83" max="83" width="2.625" style="70" customWidth="1"/>
    <col min="84" max="85" width="0.875" style="70" customWidth="1"/>
    <col min="86" max="86" width="3.625" style="70" customWidth="1"/>
    <col min="87" max="88" width="1.625" style="70" customWidth="1"/>
    <col min="89" max="89" width="16.625" style="70" customWidth="1"/>
    <col min="90" max="90" width="1.625" style="70" customWidth="1"/>
    <col min="91" max="91" width="2.625" style="70" customWidth="1"/>
    <col min="92" max="93" width="0.875" style="70" customWidth="1"/>
    <col min="94" max="94" width="3.625" style="70" customWidth="1"/>
    <col min="95" max="96" width="1.625" style="70" customWidth="1"/>
    <col min="97" max="97" width="16.625" style="70" customWidth="1"/>
    <col min="98" max="98" width="1.625" style="70" customWidth="1"/>
    <col min="99" max="99" width="2.625" style="70" customWidth="1"/>
    <col min="100" max="101" width="0.875" style="70" customWidth="1"/>
    <col min="102" max="102" width="3.625" style="70" customWidth="1"/>
    <col min="103" max="104" width="1.625" style="70" customWidth="1"/>
    <col min="105" max="105" width="16.625" style="70" customWidth="1"/>
    <col min="106" max="106" width="1.625" style="70" customWidth="1"/>
    <col min="107" max="107" width="2.625" style="70" customWidth="1"/>
    <col min="108" max="109" width="0.875" style="70" customWidth="1"/>
    <col min="110" max="110" width="3.625" style="70" customWidth="1"/>
    <col min="111" max="111" width="1.625" style="70" customWidth="1"/>
    <col min="112" max="113" width="3.625" style="70" customWidth="1"/>
    <col min="114" max="16384" width="9" style="70" hidden="1"/>
  </cols>
  <sheetData>
    <row r="1" spans="1:192" s="136" customFormat="1" ht="50.1" customHeight="1" x14ac:dyDescent="0.2">
      <c r="A1" s="20"/>
      <c r="B1" s="20"/>
      <c r="C1" s="16"/>
      <c r="D1" s="13"/>
      <c r="E1" s="20"/>
      <c r="J1" s="16"/>
      <c r="K1" s="16"/>
      <c r="L1" s="16"/>
      <c r="M1" s="16"/>
      <c r="N1" s="137"/>
      <c r="O1" s="215"/>
      <c r="P1" s="16"/>
      <c r="Q1" s="16"/>
      <c r="R1" s="16"/>
      <c r="S1" s="16"/>
      <c r="T1" s="16"/>
      <c r="U1" s="16"/>
      <c r="V1" s="16"/>
      <c r="W1" s="16"/>
      <c r="X1" s="16"/>
      <c r="Y1" s="191"/>
      <c r="Z1" s="191"/>
      <c r="AA1" s="16"/>
      <c r="AB1" s="15"/>
      <c r="AC1" s="15"/>
      <c r="AD1" s="70"/>
      <c r="AE1" s="16"/>
      <c r="AF1" s="16"/>
      <c r="AG1" s="36"/>
      <c r="AH1" s="16"/>
      <c r="AI1" s="138"/>
      <c r="AJ1" s="138"/>
      <c r="AK1" s="137"/>
      <c r="AL1" s="21"/>
      <c r="AM1" s="16"/>
      <c r="AN1" s="16"/>
      <c r="AO1" s="36"/>
      <c r="AP1" s="16"/>
      <c r="AQ1" s="138"/>
      <c r="AR1" s="138"/>
      <c r="AS1" s="137"/>
      <c r="AT1" s="21"/>
      <c r="AU1" s="16"/>
      <c r="AV1" s="16"/>
      <c r="AW1" s="36"/>
      <c r="AX1" s="16"/>
      <c r="AY1" s="138"/>
      <c r="AZ1" s="138"/>
      <c r="BA1" s="137"/>
      <c r="BB1" s="21"/>
      <c r="BC1" s="16"/>
      <c r="BD1" s="16"/>
      <c r="BE1" s="36"/>
      <c r="BF1" s="16"/>
      <c r="BG1" s="138"/>
      <c r="BH1" s="138"/>
      <c r="BI1" s="137"/>
      <c r="BJ1" s="21"/>
      <c r="BK1" s="16"/>
      <c r="BL1" s="16"/>
      <c r="BM1" s="36"/>
      <c r="BN1" s="16"/>
      <c r="BO1" s="138"/>
      <c r="BP1" s="138"/>
      <c r="BQ1" s="137"/>
      <c r="BR1" s="21"/>
      <c r="BS1" s="16"/>
      <c r="BT1" s="16"/>
      <c r="BU1" s="36"/>
      <c r="BV1" s="16"/>
      <c r="BW1" s="138"/>
      <c r="BX1" s="138"/>
      <c r="BY1" s="137"/>
      <c r="BZ1" s="21"/>
      <c r="CA1" s="16"/>
      <c r="CB1" s="16"/>
      <c r="CC1" s="36"/>
      <c r="CD1" s="16"/>
      <c r="CE1" s="138"/>
      <c r="CF1" s="138"/>
      <c r="CG1" s="137"/>
      <c r="CH1" s="21"/>
      <c r="CI1" s="16"/>
      <c r="CJ1" s="16"/>
      <c r="CK1" s="36"/>
      <c r="CL1" s="16"/>
      <c r="CM1" s="138"/>
      <c r="CN1" s="138"/>
      <c r="CO1" s="137"/>
      <c r="CP1" s="21"/>
      <c r="CQ1" s="16"/>
      <c r="CR1" s="16"/>
      <c r="CS1" s="36"/>
      <c r="CT1" s="16"/>
      <c r="CU1" s="138"/>
      <c r="CV1" s="138"/>
      <c r="CW1" s="137"/>
      <c r="CX1" s="21"/>
      <c r="CY1" s="138"/>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13"/>
      <c r="EJ1" s="137"/>
      <c r="EK1" s="139" t="s">
        <v>155</v>
      </c>
      <c r="EL1" s="140"/>
      <c r="EM1" s="3986"/>
      <c r="EN1" s="3986"/>
      <c r="EO1" s="3986"/>
    </row>
    <row r="2" spans="1:192" ht="12" customHeight="1" x14ac:dyDescent="0.2">
      <c r="C2" s="920"/>
      <c r="D2" s="78"/>
      <c r="E2" s="1872"/>
      <c r="F2" s="1873"/>
      <c r="G2" s="1873"/>
      <c r="H2" s="1873"/>
      <c r="I2" s="920"/>
      <c r="J2" s="920"/>
      <c r="K2" s="1874"/>
      <c r="L2" s="1875"/>
      <c r="M2" s="1873"/>
      <c r="N2" s="1873"/>
      <c r="O2" s="1873"/>
      <c r="P2" s="1873"/>
      <c r="Q2" s="1873"/>
      <c r="R2" s="920"/>
      <c r="S2" s="1873"/>
      <c r="T2" s="1873"/>
      <c r="U2" s="1873"/>
      <c r="V2" s="1873"/>
      <c r="W2" s="1873"/>
      <c r="X2" s="920"/>
      <c r="Y2" s="1873"/>
      <c r="Z2" s="1873"/>
      <c r="AA2" s="1873"/>
      <c r="AB2" s="921"/>
      <c r="AC2" s="921"/>
      <c r="AE2" s="70"/>
      <c r="AH2" s="70"/>
      <c r="AI2" s="70"/>
      <c r="AJ2" s="70"/>
      <c r="AO2" s="70"/>
      <c r="BE2" s="70"/>
    </row>
    <row r="3" spans="1:192" ht="5.0999999999999996" customHeight="1" x14ac:dyDescent="0.2">
      <c r="C3" s="16"/>
      <c r="D3" s="78"/>
      <c r="E3" s="20"/>
      <c r="F3" s="136"/>
      <c r="G3" s="136"/>
      <c r="H3" s="136"/>
      <c r="I3" s="16"/>
      <c r="J3" s="16"/>
      <c r="K3" s="572"/>
      <c r="L3" s="36"/>
      <c r="M3" s="136"/>
      <c r="N3" s="136"/>
      <c r="O3" s="136"/>
      <c r="P3" s="136"/>
      <c r="Q3" s="136"/>
      <c r="R3" s="16"/>
      <c r="S3" s="136"/>
      <c r="T3" s="136"/>
      <c r="U3" s="136"/>
      <c r="V3" s="136"/>
      <c r="W3" s="136"/>
      <c r="X3" s="16"/>
      <c r="Y3" s="136"/>
      <c r="Z3" s="136"/>
      <c r="AA3" s="136"/>
      <c r="AB3" s="17"/>
      <c r="AC3" s="17"/>
      <c r="AE3" s="70"/>
      <c r="AH3" s="70"/>
      <c r="AI3" s="70"/>
      <c r="AJ3" s="70"/>
      <c r="AO3" s="70"/>
      <c r="BE3" s="70"/>
    </row>
    <row r="4" spans="1:192" ht="5.0999999999999996" customHeight="1" x14ac:dyDescent="0.2">
      <c r="C4" s="920"/>
      <c r="D4" s="78"/>
      <c r="E4" s="1872"/>
      <c r="F4" s="1873"/>
      <c r="G4" s="1873"/>
      <c r="H4" s="1873"/>
      <c r="I4" s="920"/>
      <c r="J4" s="920"/>
      <c r="K4" s="1874"/>
      <c r="L4" s="1875"/>
      <c r="M4" s="1873"/>
      <c r="N4" s="1873"/>
      <c r="O4" s="1873"/>
      <c r="P4" s="1873"/>
      <c r="Q4" s="1873"/>
      <c r="R4" s="920"/>
      <c r="S4" s="1873"/>
      <c r="T4" s="1873"/>
      <c r="U4" s="1873"/>
      <c r="V4" s="1873"/>
      <c r="W4" s="1873"/>
      <c r="X4" s="920"/>
      <c r="Y4" s="1873"/>
      <c r="Z4" s="1873"/>
      <c r="AA4" s="1873"/>
      <c r="AB4" s="921"/>
      <c r="AC4" s="921"/>
      <c r="AE4" s="70"/>
      <c r="AH4" s="70"/>
      <c r="AI4" s="70"/>
      <c r="AJ4" s="70"/>
      <c r="AO4" s="70"/>
      <c r="BE4" s="70"/>
    </row>
    <row r="5" spans="1:192" s="21" customFormat="1" ht="30" customHeight="1" thickBot="1" x14ac:dyDescent="0.25">
      <c r="A5" s="20"/>
      <c r="B5" s="20"/>
      <c r="C5" s="13"/>
      <c r="D5" s="13"/>
      <c r="E5" s="14"/>
      <c r="J5" s="13"/>
      <c r="K5" s="16"/>
      <c r="L5" s="16"/>
      <c r="M5" s="16"/>
      <c r="N5" s="50"/>
      <c r="O5" s="115"/>
      <c r="P5" s="16"/>
      <c r="Q5" s="16"/>
      <c r="R5" s="16"/>
      <c r="S5" s="16"/>
      <c r="T5" s="16"/>
      <c r="U5" s="16"/>
      <c r="V5" s="16"/>
      <c r="W5" s="16"/>
      <c r="X5" s="16"/>
      <c r="Y5" s="191"/>
      <c r="Z5" s="191"/>
      <c r="AA5" s="16"/>
      <c r="AB5" s="15"/>
      <c r="AC5" s="15"/>
      <c r="AD5" s="70"/>
      <c r="AE5" s="16"/>
      <c r="AF5" s="16"/>
      <c r="AG5" s="22"/>
      <c r="AH5" s="16"/>
      <c r="AI5" s="19"/>
      <c r="AJ5" s="19"/>
      <c r="AK5" s="50"/>
      <c r="AM5" s="16"/>
      <c r="AN5" s="16"/>
      <c r="AO5" s="22"/>
      <c r="AP5" s="16"/>
      <c r="AQ5" s="19"/>
      <c r="AR5" s="19"/>
      <c r="AS5" s="50"/>
      <c r="AU5" s="16"/>
      <c r="AV5" s="16"/>
      <c r="AW5" s="22"/>
      <c r="AX5" s="16"/>
      <c r="AY5" s="19"/>
      <c r="AZ5" s="19"/>
      <c r="BA5" s="50"/>
      <c r="BC5" s="16"/>
      <c r="BD5" s="16"/>
      <c r="BE5" s="22"/>
      <c r="BF5" s="16"/>
      <c r="BG5" s="19"/>
      <c r="BH5" s="19"/>
      <c r="BI5" s="50"/>
      <c r="BK5" s="16"/>
      <c r="BL5" s="16"/>
      <c r="BM5" s="22"/>
      <c r="BN5" s="16"/>
      <c r="BO5" s="19"/>
      <c r="BP5" s="19"/>
      <c r="BQ5" s="50"/>
      <c r="BS5" s="16"/>
      <c r="BT5" s="16"/>
      <c r="BU5" s="22"/>
      <c r="BV5" s="16"/>
      <c r="BW5" s="19"/>
      <c r="BX5" s="19"/>
      <c r="BY5" s="50"/>
      <c r="CA5" s="16"/>
      <c r="CB5" s="16"/>
      <c r="CC5" s="22"/>
      <c r="CD5" s="16"/>
      <c r="CE5" s="19"/>
      <c r="CF5" s="19"/>
      <c r="CG5" s="50"/>
      <c r="CI5" s="16"/>
      <c r="CJ5" s="16"/>
      <c r="CK5" s="22"/>
      <c r="CL5" s="16"/>
      <c r="CM5" s="19"/>
      <c r="CN5" s="19"/>
      <c r="CO5" s="50"/>
      <c r="CQ5" s="16"/>
      <c r="CR5" s="16"/>
      <c r="CS5" s="22"/>
      <c r="CT5" s="16"/>
      <c r="CU5" s="19"/>
      <c r="CV5" s="19"/>
      <c r="CW5" s="50"/>
      <c r="CY5" s="138"/>
      <c r="EI5" s="13"/>
      <c r="EJ5" s="50"/>
      <c r="EK5" s="90"/>
      <c r="EL5" s="13"/>
    </row>
    <row r="6" spans="1:192" s="21" customFormat="1" ht="15" customHeight="1" thickBot="1" x14ac:dyDescent="0.35">
      <c r="A6" s="20"/>
      <c r="B6" s="20"/>
      <c r="C6" s="1107"/>
      <c r="D6" s="13"/>
      <c r="E6" s="681"/>
      <c r="F6" s="626"/>
      <c r="G6" s="626"/>
      <c r="H6" s="626"/>
      <c r="I6" s="626"/>
      <c r="J6" s="5743"/>
      <c r="K6" s="626"/>
      <c r="L6" s="626"/>
      <c r="M6" s="626"/>
      <c r="N6" s="626"/>
      <c r="O6" s="626"/>
      <c r="P6" s="626"/>
      <c r="Q6" s="626"/>
      <c r="R6" s="5743"/>
      <c r="S6" s="626"/>
      <c r="T6" s="5743"/>
      <c r="U6" s="5743"/>
      <c r="V6" s="5743"/>
      <c r="W6" s="5743"/>
      <c r="X6" s="5743"/>
      <c r="Y6" s="5743"/>
      <c r="Z6" s="5743"/>
      <c r="AA6" s="5743"/>
      <c r="AB6" s="5743"/>
      <c r="AC6" s="5781"/>
      <c r="AD6" s="70"/>
      <c r="AE6" s="2310"/>
      <c r="AF6" s="70"/>
      <c r="AG6" s="136"/>
      <c r="AH6" s="17"/>
      <c r="AI6" s="17"/>
      <c r="AJ6" s="17"/>
      <c r="AK6" s="78"/>
      <c r="AL6" s="78"/>
      <c r="AM6" s="78"/>
      <c r="AN6" s="78"/>
      <c r="AO6" s="78"/>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8"/>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row>
    <row r="7" spans="1:192" s="21" customFormat="1" ht="8.1" customHeight="1" thickBot="1" x14ac:dyDescent="0.35">
      <c r="A7" s="20"/>
      <c r="B7" s="20"/>
      <c r="C7" s="13"/>
      <c r="D7" s="13"/>
      <c r="E7" s="14"/>
      <c r="J7" s="13"/>
      <c r="K7" s="50"/>
      <c r="L7" s="15"/>
      <c r="M7" s="137"/>
      <c r="N7" s="137"/>
      <c r="O7" s="137"/>
      <c r="P7" s="137"/>
      <c r="Q7" s="137"/>
      <c r="R7" s="1960"/>
      <c r="S7" s="137"/>
      <c r="T7" s="137"/>
      <c r="U7" s="137"/>
      <c r="V7" s="137"/>
      <c r="W7" s="137"/>
      <c r="X7" s="1960"/>
      <c r="Y7" s="137"/>
      <c r="Z7" s="137"/>
      <c r="AA7" s="137"/>
      <c r="AB7" s="1185"/>
      <c r="AC7" s="1185"/>
      <c r="AD7" s="70"/>
      <c r="AE7" s="2310"/>
      <c r="AF7" s="70"/>
      <c r="AG7" s="78"/>
      <c r="AH7" s="17"/>
      <c r="AI7" s="17"/>
      <c r="AJ7" s="17"/>
      <c r="AK7" s="78"/>
      <c r="AL7" s="78"/>
      <c r="AM7" s="78"/>
      <c r="AN7" s="78"/>
      <c r="AO7" s="78"/>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8"/>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row>
    <row r="8" spans="1:192" s="21" customFormat="1" ht="9.9499999999999993" customHeight="1" x14ac:dyDescent="0.2">
      <c r="A8" s="20"/>
      <c r="B8" s="20"/>
      <c r="C8" s="1458"/>
      <c r="D8" s="13"/>
      <c r="E8" s="553"/>
      <c r="F8" s="554"/>
      <c r="G8" s="554"/>
      <c r="H8" s="554"/>
      <c r="I8" s="554"/>
      <c r="J8" s="555"/>
      <c r="K8" s="555"/>
      <c r="L8" s="555"/>
      <c r="M8" s="555"/>
      <c r="N8" s="555"/>
      <c r="O8" s="555"/>
      <c r="P8" s="555"/>
      <c r="Q8" s="555"/>
      <c r="R8" s="555"/>
      <c r="S8" s="555"/>
      <c r="T8" s="555"/>
      <c r="U8" s="555"/>
      <c r="V8" s="555"/>
      <c r="W8" s="555"/>
      <c r="X8" s="555"/>
      <c r="Y8" s="555"/>
      <c r="Z8" s="555"/>
      <c r="AA8" s="555"/>
      <c r="AB8" s="555"/>
      <c r="AC8" s="5777"/>
      <c r="AD8" s="70"/>
      <c r="AE8" s="70"/>
      <c r="AF8" s="70"/>
      <c r="AG8" s="16"/>
      <c r="AH8" s="17"/>
      <c r="AI8" s="17"/>
      <c r="AJ8" s="17"/>
      <c r="AK8" s="136"/>
      <c r="AL8" s="36"/>
      <c r="AM8" s="138"/>
      <c r="AN8" s="138"/>
      <c r="AO8" s="137"/>
      <c r="AP8" s="50"/>
      <c r="AQ8" s="16"/>
      <c r="AR8" s="16"/>
      <c r="AS8" s="16"/>
      <c r="AT8" s="16"/>
      <c r="AU8" s="22"/>
      <c r="AV8" s="16"/>
      <c r="AW8" s="16"/>
      <c r="AX8" s="19"/>
      <c r="AY8" s="50"/>
      <c r="AZ8" s="50"/>
      <c r="BB8" s="16"/>
      <c r="BC8" s="16"/>
      <c r="BD8" s="16"/>
      <c r="BE8" s="16"/>
      <c r="BF8" s="22"/>
      <c r="BG8" s="16"/>
      <c r="BH8" s="19"/>
      <c r="BI8" s="19"/>
      <c r="BJ8" s="19"/>
      <c r="BK8" s="50"/>
      <c r="BL8" s="50"/>
      <c r="BN8" s="16"/>
      <c r="BO8" s="16"/>
      <c r="BP8" s="16"/>
      <c r="BQ8" s="22"/>
      <c r="BR8" s="16"/>
      <c r="BS8" s="19"/>
      <c r="BT8" s="19"/>
      <c r="BU8" s="19"/>
      <c r="BV8" s="50"/>
      <c r="BW8" s="50"/>
      <c r="BY8" s="16"/>
      <c r="BZ8" s="16"/>
      <c r="CA8" s="16"/>
      <c r="CB8" s="22"/>
      <c r="CC8" s="22"/>
      <c r="CD8" s="19"/>
      <c r="CE8" s="19"/>
      <c r="CF8" s="19"/>
      <c r="CG8" s="19"/>
      <c r="CH8" s="50"/>
      <c r="CI8" s="50"/>
      <c r="CK8" s="16"/>
      <c r="CL8" s="16"/>
      <c r="CM8" s="22"/>
      <c r="CN8" s="16"/>
      <c r="CO8" s="22"/>
      <c r="CP8" s="16"/>
      <c r="CQ8" s="19"/>
      <c r="CR8" s="19"/>
      <c r="CS8" s="50"/>
      <c r="CT8" s="16"/>
      <c r="CU8" s="16"/>
      <c r="CV8" s="16"/>
      <c r="CW8" s="22"/>
      <c r="CX8" s="16"/>
      <c r="CY8" s="19"/>
      <c r="CZ8" s="19"/>
      <c r="DA8" s="19"/>
      <c r="DB8" s="16"/>
      <c r="DC8" s="16"/>
      <c r="DD8" s="22"/>
      <c r="DE8" s="16"/>
      <c r="DF8" s="19"/>
      <c r="DG8" s="19"/>
      <c r="DI8" s="16"/>
      <c r="DJ8" s="16"/>
      <c r="DK8" s="22"/>
      <c r="DL8" s="16"/>
      <c r="DM8" s="19"/>
      <c r="DN8" s="19"/>
      <c r="DO8" s="50"/>
      <c r="DQ8" s="138"/>
      <c r="FA8" s="13"/>
      <c r="FB8" s="50"/>
      <c r="FC8" s="90"/>
      <c r="FD8" s="13"/>
    </row>
    <row r="9" spans="1:192" s="21" customFormat="1" ht="39.950000000000003" customHeight="1" x14ac:dyDescent="0.2">
      <c r="A9" s="20"/>
      <c r="B9" s="20"/>
      <c r="C9" s="1357"/>
      <c r="D9" s="13"/>
      <c r="E9" s="561"/>
      <c r="F9" s="2608" t="s">
        <v>81</v>
      </c>
      <c r="G9" s="2608"/>
      <c r="H9" s="2608"/>
      <c r="I9" s="2608"/>
      <c r="J9" s="2608"/>
      <c r="K9" s="2608"/>
      <c r="L9" s="2608"/>
      <c r="M9" s="2608"/>
      <c r="N9" s="2608"/>
      <c r="O9" s="2608"/>
      <c r="P9" s="2608"/>
      <c r="Q9" s="2608"/>
      <c r="R9" s="5759"/>
      <c r="S9" s="5759"/>
      <c r="T9" s="5759"/>
      <c r="U9" s="5759"/>
      <c r="V9" s="5759"/>
      <c r="W9" s="5759"/>
      <c r="X9" s="5759"/>
      <c r="Y9" s="5759"/>
      <c r="Z9" s="5759"/>
      <c r="AA9" s="5759"/>
      <c r="AB9" s="5759"/>
      <c r="AC9" s="5778"/>
      <c r="AD9" s="70"/>
      <c r="AE9" s="70"/>
      <c r="AF9" s="70"/>
      <c r="AG9" s="16"/>
      <c r="AH9" s="17"/>
      <c r="AI9" s="17"/>
      <c r="AJ9" s="17"/>
      <c r="AK9" s="136"/>
      <c r="AL9" s="36"/>
      <c r="AM9" s="138"/>
      <c r="AN9" s="138"/>
      <c r="AO9" s="137"/>
      <c r="AP9" s="50"/>
      <c r="AQ9" s="16"/>
      <c r="AR9" s="16"/>
      <c r="AS9" s="16"/>
      <c r="AT9" s="16"/>
      <c r="AU9" s="22"/>
      <c r="AV9" s="16"/>
      <c r="AW9" s="16"/>
      <c r="AX9" s="19"/>
      <c r="AY9" s="50"/>
      <c r="AZ9" s="50"/>
      <c r="BB9" s="16"/>
      <c r="BC9" s="16"/>
      <c r="BD9" s="16"/>
      <c r="BE9" s="16"/>
      <c r="BF9" s="22"/>
      <c r="BG9" s="16"/>
      <c r="BH9" s="19"/>
      <c r="BI9" s="19"/>
      <c r="BJ9" s="19"/>
      <c r="BK9" s="50"/>
      <c r="BL9" s="50"/>
      <c r="BN9" s="16"/>
      <c r="BO9" s="16"/>
      <c r="BP9" s="16"/>
      <c r="BQ9" s="22"/>
      <c r="BR9" s="16"/>
      <c r="BS9" s="19"/>
      <c r="BT9" s="19"/>
      <c r="BU9" s="19"/>
      <c r="BV9" s="50"/>
      <c r="BW9" s="50"/>
      <c r="BY9" s="16"/>
      <c r="BZ9" s="16"/>
      <c r="CA9" s="16"/>
      <c r="CB9" s="22"/>
      <c r="CC9" s="22"/>
      <c r="CD9" s="19"/>
      <c r="CE9" s="19"/>
      <c r="CF9" s="19"/>
      <c r="CG9" s="19"/>
      <c r="CH9" s="50"/>
      <c r="CI9" s="50"/>
      <c r="CK9" s="16"/>
      <c r="CL9" s="16"/>
      <c r="CM9" s="22"/>
      <c r="CN9" s="16"/>
      <c r="CO9" s="22"/>
      <c r="CP9" s="16"/>
      <c r="CQ9" s="19"/>
      <c r="CR9" s="19"/>
      <c r="CS9" s="50"/>
      <c r="CT9" s="16"/>
      <c r="CU9" s="16"/>
      <c r="CV9" s="16"/>
      <c r="CW9" s="22"/>
      <c r="CX9" s="16"/>
      <c r="CY9" s="19"/>
      <c r="CZ9" s="19"/>
      <c r="DA9" s="19"/>
      <c r="DB9" s="16"/>
      <c r="DC9" s="16"/>
      <c r="DD9" s="22"/>
      <c r="DE9" s="16"/>
      <c r="DF9" s="19"/>
      <c r="DG9" s="19"/>
      <c r="DI9" s="16"/>
      <c r="DJ9" s="16"/>
      <c r="DK9" s="22"/>
      <c r="DL9" s="16"/>
      <c r="DM9" s="19"/>
      <c r="DN9" s="19"/>
      <c r="DO9" s="50"/>
      <c r="DQ9" s="138"/>
      <c r="DV9" s="14"/>
      <c r="EZ9" s="70"/>
      <c r="FA9" s="70"/>
      <c r="FB9" s="70"/>
      <c r="FC9" s="70"/>
      <c r="FD9" s="70"/>
      <c r="FE9" s="70"/>
      <c r="FF9" s="70"/>
      <c r="FG9" s="70"/>
      <c r="FH9" s="70"/>
      <c r="FI9" s="70"/>
    </row>
    <row r="10" spans="1:192" s="21" customFormat="1" ht="9.9499999999999993" customHeight="1" thickBot="1" x14ac:dyDescent="0.25">
      <c r="A10" s="20"/>
      <c r="B10" s="20"/>
      <c r="C10" s="1357"/>
      <c r="D10" s="13"/>
      <c r="E10" s="561"/>
      <c r="F10" s="1843"/>
      <c r="G10" s="1843"/>
      <c r="H10" s="1843"/>
      <c r="I10" s="1843"/>
      <c r="J10" s="1990"/>
      <c r="K10" s="1843"/>
      <c r="L10" s="1843"/>
      <c r="M10" s="1843"/>
      <c r="N10" s="1843"/>
      <c r="O10" s="1843"/>
      <c r="P10" s="1843"/>
      <c r="Q10" s="1843"/>
      <c r="R10" s="5762"/>
      <c r="S10" s="5762"/>
      <c r="T10" s="5762"/>
      <c r="U10" s="5762"/>
      <c r="V10" s="5762"/>
      <c r="W10" s="5762"/>
      <c r="X10" s="5762"/>
      <c r="Y10" s="5762"/>
      <c r="Z10" s="5762"/>
      <c r="AA10" s="5762"/>
      <c r="AB10" s="5762"/>
      <c r="AC10" s="5779"/>
      <c r="AD10" s="70"/>
      <c r="AE10" s="70"/>
      <c r="AF10" s="70"/>
      <c r="AG10" s="16"/>
      <c r="AH10" s="17"/>
      <c r="AI10" s="17"/>
      <c r="AJ10" s="17"/>
      <c r="AK10" s="136"/>
      <c r="AL10" s="36"/>
      <c r="AM10" s="138"/>
      <c r="AN10" s="138"/>
      <c r="AO10" s="137"/>
      <c r="AP10" s="50"/>
      <c r="AQ10" s="16"/>
      <c r="AR10" s="16"/>
      <c r="AS10" s="16"/>
      <c r="AT10" s="16"/>
      <c r="AU10" s="22"/>
      <c r="AV10" s="16"/>
      <c r="AW10" s="16"/>
      <c r="AX10" s="19"/>
      <c r="AY10" s="50"/>
      <c r="AZ10" s="50"/>
      <c r="BB10" s="16"/>
      <c r="BC10" s="16"/>
      <c r="BD10" s="16"/>
      <c r="BE10" s="16"/>
      <c r="BF10" s="22"/>
      <c r="BG10" s="16"/>
      <c r="BH10" s="19"/>
      <c r="BI10" s="19"/>
      <c r="BJ10" s="19"/>
      <c r="BK10" s="50"/>
      <c r="BL10" s="50"/>
      <c r="BN10" s="16"/>
      <c r="BO10" s="16"/>
      <c r="BP10" s="16"/>
      <c r="BQ10" s="22"/>
      <c r="BR10" s="16"/>
      <c r="BS10" s="19"/>
      <c r="BT10" s="19"/>
      <c r="BU10" s="19"/>
      <c r="BV10" s="50"/>
      <c r="BW10" s="50"/>
      <c r="BY10" s="16"/>
      <c r="BZ10" s="16"/>
      <c r="CA10" s="16"/>
      <c r="CB10" s="22"/>
      <c r="CC10" s="22"/>
      <c r="CD10" s="19"/>
      <c r="CE10" s="19"/>
      <c r="CF10" s="19"/>
      <c r="CG10" s="19"/>
      <c r="CH10" s="50"/>
      <c r="CI10" s="50"/>
      <c r="CK10" s="16"/>
      <c r="CL10" s="16"/>
      <c r="CM10" s="22"/>
      <c r="CN10" s="16"/>
      <c r="CO10" s="22"/>
      <c r="CP10" s="16"/>
      <c r="CQ10" s="19"/>
      <c r="CR10" s="19"/>
      <c r="CS10" s="50"/>
      <c r="CT10" s="16"/>
      <c r="CU10" s="16"/>
      <c r="CV10" s="16"/>
      <c r="CW10" s="22"/>
      <c r="CX10" s="16"/>
      <c r="CY10" s="19"/>
      <c r="CZ10" s="19"/>
      <c r="DA10" s="19"/>
      <c r="DB10" s="16"/>
      <c r="DC10" s="16"/>
      <c r="DD10" s="22"/>
      <c r="DE10" s="16"/>
      <c r="DF10" s="19"/>
      <c r="DG10" s="19"/>
      <c r="DI10" s="16"/>
      <c r="DJ10" s="16"/>
      <c r="DK10" s="22"/>
      <c r="DL10" s="16"/>
      <c r="DM10" s="19"/>
      <c r="DN10" s="19"/>
      <c r="DO10" s="50"/>
      <c r="DQ10" s="138"/>
      <c r="DV10" s="14"/>
      <c r="EZ10" s="70"/>
      <c r="FA10" s="70"/>
      <c r="FB10" s="70"/>
      <c r="FC10" s="70"/>
      <c r="FD10" s="70"/>
      <c r="FE10" s="70"/>
      <c r="FF10" s="70"/>
      <c r="FG10" s="70"/>
      <c r="FH10" s="70"/>
      <c r="FI10" s="70"/>
    </row>
    <row r="11" spans="1:192" s="21" customFormat="1" ht="39.950000000000003" customHeight="1" thickBot="1" x14ac:dyDescent="0.25">
      <c r="A11" s="20"/>
      <c r="B11" s="20"/>
      <c r="C11" s="1357"/>
      <c r="D11" s="13"/>
      <c r="E11" s="561"/>
      <c r="F11" s="6559" t="s">
        <v>80</v>
      </c>
      <c r="G11" s="6742"/>
      <c r="H11" s="6742"/>
      <c r="I11" s="6742"/>
      <c r="J11" s="6560"/>
      <c r="K11" s="1457"/>
      <c r="L11" s="1457"/>
      <c r="M11" s="1459"/>
      <c r="N11" s="1459"/>
      <c r="O11" s="1459"/>
      <c r="P11" s="1459"/>
      <c r="Q11" s="1459"/>
      <c r="R11" s="107"/>
      <c r="S11" s="107"/>
      <c r="T11" s="107"/>
      <c r="U11" s="107"/>
      <c r="V11" s="107"/>
      <c r="W11" s="107"/>
      <c r="X11" s="107"/>
      <c r="Y11" s="107"/>
      <c r="Z11" s="107"/>
      <c r="AA11" s="107"/>
      <c r="AB11" s="107"/>
      <c r="AC11" s="1847"/>
      <c r="AD11" s="70"/>
      <c r="AE11" s="70"/>
      <c r="AF11" s="70"/>
    </row>
    <row r="12" spans="1:192" s="21" customFormat="1" ht="15" customHeight="1" thickBot="1" x14ac:dyDescent="0.25">
      <c r="A12" s="20"/>
      <c r="B12" s="20"/>
      <c r="C12" s="1357"/>
      <c r="D12" s="13"/>
      <c r="E12" s="563"/>
      <c r="F12" s="564"/>
      <c r="G12" s="564"/>
      <c r="H12" s="564"/>
      <c r="I12" s="564"/>
      <c r="J12" s="565"/>
      <c r="K12" s="565"/>
      <c r="L12" s="565"/>
      <c r="M12" s="565"/>
      <c r="N12" s="565"/>
      <c r="O12" s="565"/>
      <c r="P12" s="565"/>
      <c r="Q12" s="565"/>
      <c r="R12" s="565"/>
      <c r="S12" s="565"/>
      <c r="T12" s="565"/>
      <c r="U12" s="565"/>
      <c r="V12" s="565"/>
      <c r="W12" s="565"/>
      <c r="X12" s="565"/>
      <c r="Y12" s="565"/>
      <c r="Z12" s="565"/>
      <c r="AA12" s="565"/>
      <c r="AB12" s="565"/>
      <c r="AC12" s="5780"/>
      <c r="AD12" s="19"/>
      <c r="AE12" s="70"/>
      <c r="AG12" s="16"/>
      <c r="AH12" s="17"/>
      <c r="AI12" s="17"/>
      <c r="AJ12" s="17"/>
      <c r="AK12" s="136"/>
      <c r="AL12" s="36"/>
      <c r="AM12" s="138"/>
      <c r="AN12" s="138"/>
      <c r="AO12" s="137"/>
      <c r="AP12" s="50"/>
      <c r="AQ12" s="16"/>
      <c r="AR12" s="16"/>
      <c r="AS12" s="16"/>
      <c r="AT12" s="16"/>
      <c r="AU12" s="22"/>
      <c r="AV12" s="16"/>
      <c r="AW12" s="16"/>
      <c r="AX12" s="19"/>
      <c r="AY12" s="50"/>
      <c r="AZ12" s="50"/>
      <c r="BB12" s="16"/>
      <c r="BC12" s="16"/>
      <c r="BD12" s="16"/>
      <c r="BE12" s="16"/>
      <c r="BF12" s="22"/>
      <c r="BG12" s="16"/>
      <c r="BH12" s="19"/>
      <c r="BI12" s="19"/>
      <c r="BJ12" s="19"/>
      <c r="BK12" s="50"/>
      <c r="BL12" s="50"/>
      <c r="BN12" s="16"/>
      <c r="BO12" s="16"/>
      <c r="BP12" s="16"/>
      <c r="BQ12" s="22"/>
      <c r="BR12" s="16"/>
      <c r="BS12" s="19"/>
      <c r="BT12" s="19"/>
      <c r="BU12" s="19"/>
      <c r="BV12" s="50"/>
      <c r="BW12" s="50"/>
      <c r="BY12" s="16"/>
      <c r="BZ12" s="16"/>
      <c r="CA12" s="16"/>
      <c r="CB12" s="22"/>
      <c r="CC12" s="22"/>
      <c r="CD12" s="19"/>
      <c r="CE12" s="19"/>
      <c r="CF12" s="19"/>
      <c r="CG12" s="19"/>
      <c r="CH12" s="50"/>
      <c r="CI12" s="50"/>
      <c r="CK12" s="16"/>
      <c r="CL12" s="16"/>
      <c r="CM12" s="22"/>
      <c r="CN12" s="16"/>
      <c r="CO12" s="22"/>
      <c r="CP12" s="16"/>
      <c r="CQ12" s="19"/>
      <c r="CR12" s="19"/>
      <c r="CS12" s="50"/>
      <c r="CT12" s="16"/>
      <c r="CU12" s="16"/>
      <c r="CV12" s="16"/>
      <c r="CW12" s="22"/>
      <c r="CX12" s="16"/>
      <c r="CY12" s="19"/>
      <c r="CZ12" s="19"/>
      <c r="DA12" s="19"/>
      <c r="DB12" s="16"/>
      <c r="DC12" s="16"/>
      <c r="DD12" s="22"/>
      <c r="DE12" s="16"/>
      <c r="DF12" s="19"/>
      <c r="DG12" s="19"/>
      <c r="DI12" s="16"/>
      <c r="DJ12" s="16"/>
      <c r="DK12" s="22"/>
      <c r="DL12" s="16"/>
      <c r="DM12" s="19"/>
      <c r="DN12" s="19"/>
      <c r="DO12" s="50"/>
      <c r="DQ12" s="138"/>
      <c r="DV12" s="14"/>
      <c r="EZ12" s="70"/>
      <c r="FA12" s="70"/>
      <c r="FB12" s="70"/>
      <c r="FC12" s="70"/>
      <c r="FD12" s="70"/>
      <c r="FE12" s="70"/>
      <c r="FF12" s="70"/>
      <c r="FG12" s="70"/>
      <c r="FH12" s="70"/>
      <c r="FI12" s="70"/>
    </row>
    <row r="13" spans="1:192" s="21" customFormat="1" ht="15" customHeight="1" thickBot="1" x14ac:dyDescent="0.25">
      <c r="A13" s="20"/>
      <c r="B13" s="20"/>
      <c r="C13" s="1357"/>
      <c r="D13" s="13"/>
      <c r="E13" s="14"/>
      <c r="J13" s="13"/>
      <c r="K13" s="16"/>
      <c r="L13" s="16"/>
      <c r="M13" s="16"/>
      <c r="N13" s="16"/>
      <c r="O13" s="16"/>
      <c r="P13" s="16"/>
      <c r="Q13" s="16"/>
      <c r="R13" s="16"/>
      <c r="S13" s="16"/>
      <c r="T13" s="16"/>
      <c r="U13" s="16"/>
      <c r="V13" s="16"/>
      <c r="W13" s="16"/>
      <c r="X13" s="16"/>
      <c r="Y13" s="16"/>
      <c r="Z13" s="16"/>
      <c r="AA13" s="16"/>
      <c r="AB13" s="17"/>
      <c r="AC13" s="17"/>
      <c r="AD13" s="19"/>
      <c r="AE13" s="70"/>
      <c r="AG13" s="573"/>
      <c r="AH13" s="17"/>
      <c r="AI13" s="17"/>
      <c r="AJ13" s="17"/>
      <c r="AK13" s="136"/>
      <c r="AL13" s="36"/>
      <c r="AM13" s="138"/>
      <c r="AN13" s="138"/>
      <c r="AO13" s="137"/>
      <c r="AP13" s="50"/>
      <c r="AQ13" s="16"/>
      <c r="AR13" s="16"/>
      <c r="AS13" s="16"/>
      <c r="AT13" s="16"/>
      <c r="AU13" s="22"/>
      <c r="AV13" s="16"/>
      <c r="AW13" s="16"/>
      <c r="AX13" s="19"/>
      <c r="AY13" s="50"/>
      <c r="AZ13" s="50"/>
      <c r="BB13" s="16"/>
      <c r="BC13" s="16"/>
      <c r="BD13" s="16"/>
      <c r="BE13" s="16"/>
      <c r="BF13" s="22"/>
      <c r="BG13" s="16"/>
      <c r="BH13" s="19"/>
      <c r="BI13" s="19"/>
      <c r="BJ13" s="19"/>
      <c r="BK13" s="50"/>
      <c r="BL13" s="50"/>
      <c r="BN13" s="16"/>
      <c r="BO13" s="16"/>
      <c r="BP13" s="16"/>
      <c r="BQ13" s="22"/>
      <c r="BR13" s="16"/>
      <c r="BS13" s="19"/>
      <c r="BT13" s="19"/>
      <c r="BU13" s="19"/>
      <c r="BV13" s="50"/>
      <c r="BW13" s="50"/>
      <c r="BY13" s="16"/>
      <c r="BZ13" s="16"/>
      <c r="CA13" s="16"/>
      <c r="CB13" s="22"/>
      <c r="CC13" s="22"/>
      <c r="CD13" s="19"/>
      <c r="CE13" s="19"/>
      <c r="CF13" s="19"/>
      <c r="CG13" s="19"/>
      <c r="CH13" s="50"/>
      <c r="CI13" s="50"/>
      <c r="CK13" s="16"/>
      <c r="CL13" s="16"/>
      <c r="CM13" s="22"/>
      <c r="CN13" s="16"/>
      <c r="CO13" s="22"/>
      <c r="CP13" s="16"/>
      <c r="CQ13" s="19"/>
      <c r="CR13" s="19"/>
      <c r="CS13" s="50"/>
      <c r="CT13" s="16"/>
      <c r="CU13" s="16"/>
      <c r="CV13" s="16"/>
      <c r="CW13" s="22"/>
      <c r="CX13" s="16"/>
      <c r="CY13" s="19"/>
      <c r="CZ13" s="19"/>
      <c r="DA13" s="19"/>
      <c r="DB13" s="16"/>
      <c r="DC13" s="16"/>
      <c r="DD13" s="22"/>
      <c r="DE13" s="16"/>
      <c r="DF13" s="19"/>
      <c r="DG13" s="19"/>
      <c r="DI13" s="16"/>
      <c r="DJ13" s="16"/>
      <c r="DK13" s="22"/>
      <c r="DL13" s="16"/>
      <c r="DM13" s="19"/>
      <c r="DN13" s="19"/>
      <c r="DO13" s="50"/>
      <c r="DQ13" s="138"/>
      <c r="DV13" s="14"/>
      <c r="EZ13" s="70"/>
      <c r="FA13" s="70"/>
      <c r="FB13" s="70"/>
      <c r="FC13" s="70"/>
      <c r="FD13" s="70"/>
      <c r="FE13" s="70"/>
      <c r="FF13" s="70"/>
      <c r="FG13" s="70"/>
      <c r="FH13" s="70"/>
      <c r="FI13" s="70"/>
    </row>
    <row r="14" spans="1:192" s="21" customFormat="1" ht="15" customHeight="1" thickBot="1" x14ac:dyDescent="0.35">
      <c r="A14" s="20"/>
      <c r="B14" s="20"/>
      <c r="C14" s="1357"/>
      <c r="D14" s="13"/>
      <c r="E14" s="1378"/>
      <c r="F14" s="1379"/>
      <c r="G14" s="1379"/>
      <c r="H14" s="1379"/>
      <c r="I14" s="1379"/>
      <c r="J14" s="1361"/>
      <c r="K14" s="1379"/>
      <c r="L14" s="1379"/>
      <c r="M14" s="1361"/>
      <c r="N14" s="1361"/>
      <c r="O14" s="1361"/>
      <c r="P14" s="1361"/>
      <c r="Q14" s="1361"/>
      <c r="R14" s="1361"/>
      <c r="S14" s="1361"/>
      <c r="T14" s="1361"/>
      <c r="U14" s="1361"/>
      <c r="V14" s="1361"/>
      <c r="W14" s="1361"/>
      <c r="X14" s="1361"/>
      <c r="Y14" s="1361"/>
      <c r="Z14" s="1361"/>
      <c r="AA14" s="1361"/>
      <c r="AB14" s="1379"/>
      <c r="AC14" s="5774"/>
      <c r="AD14" s="19"/>
      <c r="AE14" s="1348"/>
      <c r="AG14" s="16"/>
      <c r="AH14" s="17"/>
      <c r="AI14" s="17"/>
      <c r="AJ14" s="17"/>
      <c r="AK14" s="136"/>
      <c r="AL14" s="36"/>
      <c r="AM14" s="138"/>
      <c r="AN14" s="138"/>
      <c r="AO14" s="137"/>
      <c r="AP14" s="50"/>
      <c r="AQ14" s="16"/>
      <c r="AR14" s="16"/>
      <c r="AS14" s="16"/>
      <c r="AT14" s="16"/>
      <c r="AU14" s="22"/>
      <c r="AV14" s="16"/>
      <c r="AW14" s="16"/>
      <c r="AX14" s="19"/>
      <c r="AY14" s="50"/>
      <c r="AZ14" s="50"/>
      <c r="BB14" s="16"/>
      <c r="BC14" s="16"/>
      <c r="BD14" s="16"/>
      <c r="BE14" s="16"/>
      <c r="BF14" s="22"/>
      <c r="BG14" s="16"/>
      <c r="BH14" s="19"/>
      <c r="BI14" s="19"/>
      <c r="BJ14" s="19"/>
      <c r="BK14" s="50"/>
      <c r="BL14" s="50"/>
      <c r="BN14" s="16"/>
      <c r="BO14" s="16"/>
      <c r="BP14" s="16"/>
      <c r="BQ14" s="22"/>
      <c r="BR14" s="16"/>
      <c r="BS14" s="19"/>
      <c r="BT14" s="19"/>
      <c r="BU14" s="19"/>
      <c r="BV14" s="50"/>
      <c r="BW14" s="50"/>
      <c r="BY14" s="16"/>
      <c r="BZ14" s="16"/>
      <c r="CA14" s="16"/>
      <c r="CB14" s="22"/>
      <c r="CC14" s="22"/>
      <c r="CD14" s="19"/>
      <c r="CE14" s="19"/>
      <c r="CF14" s="19"/>
      <c r="CG14" s="19"/>
      <c r="CH14" s="50"/>
      <c r="CI14" s="50"/>
      <c r="CK14" s="16"/>
      <c r="CL14" s="16"/>
      <c r="CM14" s="22"/>
      <c r="CN14" s="16"/>
      <c r="CO14" s="22"/>
      <c r="CP14" s="16"/>
      <c r="CQ14" s="19"/>
      <c r="CR14" s="19"/>
      <c r="CS14" s="50"/>
      <c r="CT14" s="16"/>
      <c r="CU14" s="16"/>
      <c r="CV14" s="16"/>
      <c r="CW14" s="22"/>
      <c r="CX14" s="16"/>
      <c r="CY14" s="19"/>
      <c r="CZ14" s="19"/>
      <c r="DA14" s="19"/>
      <c r="DB14" s="16"/>
      <c r="DC14" s="16"/>
      <c r="DD14" s="22"/>
      <c r="DE14" s="16"/>
      <c r="DF14" s="19"/>
      <c r="DG14" s="19"/>
      <c r="DI14" s="16"/>
      <c r="DJ14" s="16"/>
      <c r="DK14" s="22"/>
      <c r="DL14" s="16"/>
      <c r="DM14" s="19"/>
      <c r="DN14" s="19"/>
      <c r="DO14" s="50"/>
      <c r="DQ14" s="138"/>
      <c r="DV14" s="14"/>
      <c r="EZ14" s="70"/>
      <c r="FA14" s="70"/>
      <c r="FB14" s="70"/>
      <c r="FC14" s="70"/>
      <c r="FD14" s="70"/>
      <c r="FE14" s="70"/>
      <c r="FF14" s="70"/>
      <c r="FG14" s="70"/>
      <c r="FH14" s="70"/>
      <c r="FI14" s="70"/>
    </row>
    <row r="15" spans="1:192" s="21" customFormat="1" ht="30" customHeight="1" thickBot="1" x14ac:dyDescent="0.35">
      <c r="A15" s="20"/>
      <c r="B15" s="20"/>
      <c r="C15" s="1357"/>
      <c r="D15" s="13"/>
      <c r="E15" s="1380"/>
      <c r="F15" s="1376" t="str">
        <f>Tunneldrift!$M$125</f>
        <v>Fordeling av mengder</v>
      </c>
      <c r="G15" s="5490"/>
      <c r="H15" s="5490"/>
      <c r="I15" s="5490"/>
      <c r="J15" s="6613" t="str">
        <f>Tunneldrift!$F$125</f>
        <v>Brukerdefinert</v>
      </c>
      <c r="K15" s="6614"/>
      <c r="L15" s="6614"/>
      <c r="M15" s="6614"/>
      <c r="N15" s="6614"/>
      <c r="O15" s="6614"/>
      <c r="P15" s="6614"/>
      <c r="Q15" s="6614"/>
      <c r="R15" s="6614"/>
      <c r="S15" s="6615"/>
      <c r="T15" s="5760"/>
      <c r="U15" s="5760"/>
      <c r="V15" s="5760"/>
      <c r="W15" s="5760"/>
      <c r="X15" s="5760"/>
      <c r="Y15" s="5760"/>
      <c r="Z15" s="5760"/>
      <c r="AA15" s="1381"/>
      <c r="AB15" s="2004"/>
      <c r="AC15" s="5775"/>
      <c r="AD15" s="19"/>
      <c r="AE15" s="1348"/>
      <c r="AG15" s="16"/>
      <c r="AH15" s="17"/>
      <c r="AI15" s="17"/>
      <c r="AJ15" s="17"/>
      <c r="AK15" s="136"/>
      <c r="AL15" s="36"/>
      <c r="AM15" s="138"/>
      <c r="AN15" s="138"/>
      <c r="AO15" s="137"/>
      <c r="AP15" s="50"/>
      <c r="AQ15" s="16"/>
      <c r="AR15" s="16"/>
      <c r="AS15" s="16"/>
      <c r="AT15" s="16"/>
      <c r="AU15" s="22"/>
      <c r="AV15" s="16"/>
      <c r="AW15" s="16"/>
      <c r="AX15" s="19"/>
      <c r="AY15" s="50"/>
      <c r="AZ15" s="50"/>
      <c r="BB15" s="16"/>
      <c r="BC15" s="16"/>
      <c r="BD15" s="16"/>
      <c r="BE15" s="16"/>
      <c r="BF15" s="22"/>
      <c r="BG15" s="16"/>
      <c r="BH15" s="19"/>
      <c r="BI15" s="19"/>
      <c r="BJ15" s="19"/>
      <c r="BK15" s="50"/>
      <c r="BL15" s="50"/>
      <c r="BN15" s="16"/>
      <c r="BO15" s="16"/>
      <c r="BP15" s="16"/>
      <c r="BQ15" s="22"/>
      <c r="BR15" s="16"/>
      <c r="BS15" s="19"/>
      <c r="BT15" s="19"/>
      <c r="BU15" s="19"/>
      <c r="BV15" s="50"/>
      <c r="BW15" s="50"/>
      <c r="BY15" s="16"/>
      <c r="BZ15" s="16"/>
      <c r="CA15" s="16"/>
      <c r="CB15" s="22"/>
      <c r="CC15" s="22"/>
      <c r="CD15" s="19"/>
      <c r="CE15" s="19"/>
      <c r="CF15" s="19"/>
      <c r="CG15" s="19"/>
      <c r="CH15" s="50"/>
      <c r="CI15" s="50"/>
      <c r="CK15" s="16"/>
      <c r="CL15" s="16"/>
      <c r="CM15" s="22"/>
      <c r="CN15" s="16"/>
      <c r="CO15" s="22"/>
      <c r="CP15" s="16"/>
      <c r="CQ15" s="19"/>
      <c r="CR15" s="19"/>
      <c r="CS15" s="50"/>
      <c r="CT15" s="16"/>
      <c r="CU15" s="16"/>
      <c r="CV15" s="16"/>
      <c r="CW15" s="22"/>
      <c r="CX15" s="16"/>
      <c r="CY15" s="19"/>
      <c r="CZ15" s="19"/>
      <c r="DA15" s="19"/>
      <c r="DB15" s="16"/>
      <c r="DC15" s="16"/>
      <c r="DD15" s="22"/>
      <c r="DE15" s="16"/>
      <c r="DF15" s="19"/>
      <c r="DG15" s="19"/>
      <c r="DI15" s="16"/>
      <c r="DJ15" s="16"/>
      <c r="DK15" s="22"/>
      <c r="DL15" s="16"/>
      <c r="DM15" s="19"/>
      <c r="DN15" s="19"/>
      <c r="DO15" s="50"/>
      <c r="DQ15" s="138"/>
      <c r="DV15" s="14"/>
      <c r="EZ15" s="70"/>
      <c r="FA15" s="70"/>
      <c r="FB15" s="70"/>
      <c r="FC15" s="70"/>
      <c r="FD15" s="70"/>
      <c r="FE15" s="70"/>
      <c r="FF15" s="70"/>
      <c r="FG15" s="70"/>
      <c r="FH15" s="70"/>
      <c r="FI15" s="70"/>
    </row>
    <row r="16" spans="1:192" s="21" customFormat="1" ht="15" customHeight="1" thickBot="1" x14ac:dyDescent="0.35">
      <c r="A16" s="20"/>
      <c r="B16" s="20"/>
      <c r="C16" s="1358"/>
      <c r="D16" s="13"/>
      <c r="E16" s="3987"/>
      <c r="F16" s="2003"/>
      <c r="G16" s="2003"/>
      <c r="H16" s="2003"/>
      <c r="I16" s="2003"/>
      <c r="J16" s="1372"/>
      <c r="K16" s="2003"/>
      <c r="L16" s="2003"/>
      <c r="M16" s="1372"/>
      <c r="N16" s="1372"/>
      <c r="O16" s="1372"/>
      <c r="P16" s="1372"/>
      <c r="Q16" s="1372"/>
      <c r="R16" s="1372"/>
      <c r="S16" s="1372"/>
      <c r="T16" s="1372"/>
      <c r="U16" s="1372"/>
      <c r="V16" s="1372"/>
      <c r="W16" s="1372"/>
      <c r="X16" s="1372"/>
      <c r="Y16" s="1372"/>
      <c r="Z16" s="1372"/>
      <c r="AA16" s="1372"/>
      <c r="AB16" s="2003"/>
      <c r="AC16" s="5776"/>
      <c r="AD16" s="19"/>
      <c r="AE16" s="1348"/>
      <c r="AG16" s="16"/>
      <c r="AH16" s="17"/>
      <c r="AI16" s="17"/>
      <c r="AJ16" s="17"/>
      <c r="AK16" s="136"/>
      <c r="AL16" s="36"/>
      <c r="AM16" s="138"/>
      <c r="AN16" s="138"/>
      <c r="AO16" s="137"/>
      <c r="AP16" s="50"/>
      <c r="AQ16" s="16"/>
      <c r="AR16" s="16"/>
      <c r="AS16" s="16"/>
      <c r="AT16" s="16"/>
      <c r="AU16" s="138"/>
      <c r="AV16" s="138"/>
      <c r="AW16" s="137"/>
      <c r="AX16" s="50"/>
      <c r="AY16" s="16"/>
      <c r="AZ16" s="16"/>
      <c r="BA16" s="16"/>
      <c r="BB16" s="16"/>
      <c r="BC16" s="16"/>
      <c r="BD16" s="16"/>
      <c r="BE16" s="16"/>
      <c r="BF16" s="22"/>
      <c r="BG16" s="16"/>
      <c r="BH16" s="19"/>
      <c r="BI16" s="19"/>
      <c r="BJ16" s="19"/>
      <c r="BK16" s="50"/>
      <c r="BL16" s="50"/>
      <c r="BN16" s="16"/>
      <c r="BO16" s="16"/>
      <c r="BP16" s="16"/>
      <c r="BQ16" s="22"/>
      <c r="BR16" s="16"/>
      <c r="BS16" s="19"/>
      <c r="BT16" s="19"/>
      <c r="BU16" s="19"/>
      <c r="BV16" s="50"/>
      <c r="BW16" s="50"/>
      <c r="BY16" s="16"/>
      <c r="BZ16" s="16"/>
      <c r="CA16" s="16"/>
      <c r="CB16" s="22"/>
      <c r="CC16" s="22"/>
      <c r="CD16" s="19"/>
      <c r="CE16" s="19"/>
      <c r="CF16" s="19"/>
      <c r="CG16" s="19"/>
      <c r="CH16" s="50"/>
      <c r="CI16" s="50"/>
      <c r="CK16" s="16"/>
      <c r="CL16" s="16"/>
      <c r="CM16" s="22"/>
      <c r="CN16" s="16"/>
      <c r="CO16" s="22"/>
      <c r="CP16" s="16"/>
      <c r="CQ16" s="19"/>
      <c r="CR16" s="19"/>
      <c r="CS16" s="50"/>
      <c r="CT16" s="16"/>
      <c r="CU16" s="16"/>
      <c r="CV16" s="16"/>
      <c r="CW16" s="22"/>
      <c r="CX16" s="16"/>
      <c r="CY16" s="19"/>
      <c r="CZ16" s="19"/>
      <c r="DA16" s="19"/>
      <c r="DB16" s="16"/>
      <c r="DC16" s="16"/>
      <c r="DD16" s="22"/>
      <c r="DE16" s="16"/>
      <c r="DF16" s="19"/>
      <c r="DG16" s="19"/>
      <c r="DI16" s="16"/>
      <c r="DJ16" s="16"/>
      <c r="DK16" s="22"/>
      <c r="DL16" s="16"/>
      <c r="DM16" s="19"/>
      <c r="DN16" s="19"/>
      <c r="DO16" s="50"/>
      <c r="DQ16" s="138"/>
      <c r="DV16" s="14"/>
      <c r="EZ16" s="70"/>
      <c r="FA16" s="70"/>
      <c r="FB16" s="70"/>
      <c r="FC16" s="70"/>
      <c r="FD16" s="70"/>
      <c r="FE16" s="70"/>
      <c r="FF16" s="70"/>
      <c r="FG16" s="70"/>
      <c r="FH16" s="70"/>
      <c r="FI16" s="70"/>
    </row>
    <row r="17" spans="1:114" s="21" customFormat="1" ht="24.95" customHeight="1" thickBot="1" x14ac:dyDescent="0.35">
      <c r="A17" s="20"/>
      <c r="B17" s="20"/>
      <c r="C17" s="13"/>
      <c r="D17" s="20"/>
      <c r="E17" s="14"/>
      <c r="J17" s="13"/>
      <c r="K17" s="16"/>
      <c r="L17" s="16"/>
      <c r="M17" s="16"/>
      <c r="N17" s="16"/>
      <c r="O17" s="16"/>
      <c r="P17" s="16"/>
      <c r="Q17" s="16"/>
      <c r="R17" s="16"/>
      <c r="S17" s="16"/>
      <c r="T17" s="16"/>
      <c r="U17" s="16"/>
      <c r="V17" s="16"/>
      <c r="W17" s="16"/>
      <c r="X17" s="16"/>
      <c r="Y17" s="16"/>
      <c r="Z17" s="16"/>
      <c r="AA17" s="16"/>
      <c r="AB17" s="17"/>
      <c r="AC17" s="17"/>
      <c r="AE17" s="2310"/>
      <c r="AF17" s="70"/>
      <c r="AG17" s="136"/>
      <c r="AH17" s="572"/>
      <c r="AI17" s="572"/>
      <c r="AJ17" s="572"/>
      <c r="AK17" s="136"/>
      <c r="AL17" s="16"/>
      <c r="AM17" s="138"/>
      <c r="AN17" s="138"/>
      <c r="AO17" s="36"/>
      <c r="AP17" s="22"/>
      <c r="AQ17" s="22"/>
      <c r="AR17" s="22"/>
      <c r="AS17" s="19"/>
      <c r="AT17" s="19"/>
      <c r="AU17" s="138"/>
      <c r="AV17" s="138"/>
      <c r="AW17" s="36"/>
      <c r="AX17" s="22"/>
      <c r="AY17" s="22"/>
      <c r="AZ17" s="22"/>
      <c r="BA17" s="19"/>
      <c r="BB17" s="22"/>
      <c r="BC17" s="22"/>
      <c r="BD17" s="16"/>
      <c r="BE17" s="22"/>
      <c r="BF17" s="19"/>
      <c r="BG17" s="22"/>
      <c r="BH17" s="22"/>
      <c r="BI17" s="22"/>
      <c r="BJ17" s="16"/>
      <c r="BK17" s="22"/>
      <c r="BL17" s="22"/>
      <c r="BM17" s="19"/>
      <c r="BN17" s="22"/>
      <c r="BO17" s="22"/>
      <c r="BP17" s="16"/>
      <c r="BQ17" s="22"/>
      <c r="BR17" s="22"/>
      <c r="BS17" s="19"/>
      <c r="BT17" s="19"/>
      <c r="BU17" s="22"/>
      <c r="BV17" s="16"/>
      <c r="BW17" s="22"/>
      <c r="BX17" s="22"/>
      <c r="BY17" s="19"/>
      <c r="BZ17" s="19"/>
      <c r="CA17" s="22"/>
      <c r="CB17" s="22"/>
      <c r="CC17" s="22"/>
      <c r="CD17" s="22"/>
      <c r="CE17" s="19"/>
      <c r="CF17" s="19"/>
      <c r="CG17" s="22"/>
      <c r="CH17" s="22"/>
      <c r="CI17" s="22"/>
      <c r="CJ17" s="16"/>
      <c r="CK17" s="22"/>
      <c r="CL17" s="19"/>
      <c r="CM17" s="22"/>
      <c r="CN17" s="19"/>
    </row>
    <row r="18" spans="1:114" ht="39.950000000000003" customHeight="1" thickBot="1" x14ac:dyDescent="0.35">
      <c r="C18" s="1526"/>
      <c r="E18" s="1527"/>
      <c r="F18" s="1528"/>
      <c r="G18" s="1528"/>
      <c r="H18" s="1528"/>
      <c r="I18" s="1528"/>
      <c r="J18" s="2064"/>
      <c r="K18" s="1528"/>
      <c r="L18" s="1528"/>
      <c r="M18" s="1529"/>
      <c r="N18" s="70"/>
      <c r="O18" s="6753" t="s">
        <v>132</v>
      </c>
      <c r="P18" s="6754"/>
      <c r="Q18" s="6754"/>
      <c r="R18" s="6754"/>
      <c r="S18" s="6754"/>
      <c r="T18" s="6754"/>
      <c r="U18" s="6754"/>
      <c r="V18" s="6754"/>
      <c r="W18" s="6754"/>
      <c r="X18" s="6754"/>
      <c r="Y18" s="6754"/>
      <c r="Z18" s="6754"/>
      <c r="AA18" s="6754"/>
      <c r="AB18" s="6754"/>
      <c r="AC18" s="6755"/>
      <c r="AE18" s="2310"/>
      <c r="AG18" s="6729"/>
      <c r="AH18" s="6730"/>
      <c r="AI18" s="6730"/>
      <c r="AJ18" s="6730"/>
      <c r="AK18" s="6731"/>
      <c r="AM18" s="3988"/>
      <c r="AN18" s="6581" t="str">
        <f>_Calcs!$NO$36</f>
        <v>Stuff 1-1</v>
      </c>
      <c r="AO18" s="6581"/>
      <c r="AP18" s="6581"/>
      <c r="AQ18" s="6581"/>
      <c r="AR18" s="1329"/>
      <c r="AS18" s="1581"/>
      <c r="AU18" s="3988"/>
      <c r="AV18" s="6581" t="str">
        <f>_Calcs!$NP$36</f>
        <v/>
      </c>
      <c r="AW18" s="6581"/>
      <c r="AX18" s="6581"/>
      <c r="AY18" s="6581"/>
      <c r="AZ18" s="1329"/>
      <c r="BA18" s="1581"/>
      <c r="BC18" s="3988"/>
      <c r="BD18" s="6581" t="str">
        <f>_Calcs!$NQ$36</f>
        <v/>
      </c>
      <c r="BE18" s="6581"/>
      <c r="BF18" s="6581"/>
      <c r="BG18" s="6581"/>
      <c r="BH18" s="1329"/>
      <c r="BI18" s="1455"/>
      <c r="BK18" s="3988"/>
      <c r="BL18" s="6581" t="str">
        <f>_Calcs!$NR$36</f>
        <v/>
      </c>
      <c r="BM18" s="6581"/>
      <c r="BN18" s="6581"/>
      <c r="BO18" s="6581"/>
      <c r="BP18" s="1329"/>
      <c r="BQ18" s="1455"/>
      <c r="BS18" s="1328"/>
      <c r="BT18" s="6581" t="str">
        <f>_Calcs!$NS$36</f>
        <v/>
      </c>
      <c r="BU18" s="6581"/>
      <c r="BV18" s="6581"/>
      <c r="BW18" s="6581"/>
      <c r="BX18" s="1329"/>
      <c r="BY18" s="1455"/>
      <c r="CA18" s="1328"/>
      <c r="CB18" s="6581" t="str">
        <f>_Calcs!$NT$36</f>
        <v/>
      </c>
      <c r="CC18" s="6581"/>
      <c r="CD18" s="6581"/>
      <c r="CE18" s="6581"/>
      <c r="CF18" s="1329"/>
      <c r="CG18" s="1455"/>
      <c r="CI18" s="1328"/>
      <c r="CJ18" s="6581" t="str">
        <f>_Calcs!$NU$36</f>
        <v/>
      </c>
      <c r="CK18" s="6581"/>
      <c r="CL18" s="6581"/>
      <c r="CM18" s="6581"/>
      <c r="CN18" s="1329"/>
      <c r="CO18" s="1455"/>
      <c r="CQ18" s="1328"/>
      <c r="CR18" s="6581" t="str">
        <f>_Calcs!$NV$36</f>
        <v/>
      </c>
      <c r="CS18" s="6581"/>
      <c r="CT18" s="6581"/>
      <c r="CU18" s="6581"/>
      <c r="CV18" s="1329"/>
      <c r="CW18" s="1455"/>
      <c r="CY18" s="1328"/>
      <c r="CZ18" s="6581" t="str">
        <f>_Calcs!$NW$36</f>
        <v/>
      </c>
      <c r="DA18" s="6581"/>
      <c r="DB18" s="6581"/>
      <c r="DC18" s="6581"/>
      <c r="DD18" s="1329"/>
      <c r="DE18" s="1455"/>
      <c r="DG18" s="1272"/>
    </row>
    <row r="19" spans="1:114" s="21" customFormat="1" ht="24.95" customHeight="1" thickBot="1" x14ac:dyDescent="0.35">
      <c r="A19" s="25"/>
      <c r="B19" s="25"/>
      <c r="C19" s="149"/>
      <c r="D19" s="25"/>
      <c r="E19" s="150"/>
      <c r="F19" s="150"/>
      <c r="G19" s="150"/>
      <c r="H19" s="150"/>
      <c r="I19" s="150"/>
      <c r="J19" s="152"/>
      <c r="K19" s="152"/>
      <c r="L19" s="152"/>
      <c r="M19" s="152"/>
      <c r="N19" s="152"/>
      <c r="O19" s="152"/>
      <c r="P19" s="150"/>
      <c r="Q19" s="151"/>
      <c r="R19" s="151"/>
      <c r="S19" s="151"/>
      <c r="T19" s="151"/>
      <c r="U19" s="151"/>
      <c r="V19" s="150"/>
      <c r="W19" s="151"/>
      <c r="X19" s="151"/>
      <c r="AA19" s="151"/>
      <c r="AB19" s="15"/>
      <c r="AC19" s="15"/>
      <c r="AD19" s="70"/>
      <c r="AE19" s="2310"/>
      <c r="AF19" s="70"/>
      <c r="AG19" s="151"/>
      <c r="AH19" s="1321"/>
      <c r="AI19" s="1321"/>
      <c r="AJ19" s="1321"/>
      <c r="AK19" s="151"/>
      <c r="AL19" s="151"/>
      <c r="AO19" s="15"/>
      <c r="AQ19" s="151"/>
      <c r="AR19" s="151"/>
      <c r="AS19" s="151"/>
      <c r="AT19" s="155"/>
      <c r="AW19" s="15"/>
      <c r="AY19" s="151"/>
      <c r="AZ19" s="151"/>
      <c r="BA19" s="151"/>
      <c r="BB19" s="191"/>
      <c r="BE19" s="15"/>
      <c r="BG19" s="151"/>
      <c r="BH19" s="151"/>
      <c r="BI19" s="151"/>
      <c r="BJ19" s="155"/>
      <c r="BM19" s="15"/>
      <c r="BO19" s="151"/>
      <c r="BP19" s="151"/>
      <c r="BQ19" s="151"/>
      <c r="BR19" s="22"/>
      <c r="BU19" s="15"/>
      <c r="BW19" s="151"/>
      <c r="BX19" s="151"/>
      <c r="BY19" s="151"/>
      <c r="BZ19" s="155"/>
      <c r="CC19" s="15"/>
      <c r="CE19" s="151"/>
      <c r="CF19" s="151"/>
      <c r="CG19" s="151"/>
      <c r="CH19" s="191"/>
      <c r="CK19" s="15"/>
      <c r="CM19" s="151"/>
      <c r="CN19" s="151"/>
      <c r="CO19" s="151"/>
      <c r="CP19" s="155"/>
      <c r="CS19" s="15"/>
      <c r="CU19" s="151"/>
      <c r="CV19" s="151"/>
      <c r="CW19" s="151"/>
      <c r="CX19" s="22"/>
      <c r="DA19" s="15"/>
      <c r="DC19" s="151"/>
      <c r="DD19" s="151"/>
      <c r="DE19" s="151"/>
      <c r="DF19" s="70"/>
      <c r="DG19" s="70"/>
      <c r="DH19" s="70"/>
      <c r="DI19" s="70"/>
      <c r="DJ19" s="70"/>
    </row>
    <row r="20" spans="1:114" s="21" customFormat="1" ht="20.100000000000001" customHeight="1" thickBot="1" x14ac:dyDescent="0.25">
      <c r="A20" s="25"/>
      <c r="B20" s="25"/>
      <c r="C20" s="1060"/>
      <c r="D20" s="25"/>
      <c r="E20" s="1108"/>
      <c r="F20" s="1019"/>
      <c r="G20" s="1019"/>
      <c r="H20" s="1019"/>
      <c r="I20" s="1019"/>
      <c r="J20" s="3912"/>
      <c r="K20" s="3912"/>
      <c r="L20" s="3912" t="s">
        <v>154</v>
      </c>
      <c r="M20" s="1347"/>
      <c r="N20" s="572"/>
      <c r="O20" s="1346"/>
      <c r="P20" s="5742" t="str">
        <f>_Calcs!$N$18</f>
        <v>Kapasitet</v>
      </c>
      <c r="Q20" s="5742"/>
      <c r="R20" s="5742" t="str">
        <f>_Calcs!$N$19</f>
        <v>Egendefinert</v>
      </c>
      <c r="S20" s="5742"/>
      <c r="T20" s="5742"/>
      <c r="U20" s="5742"/>
      <c r="V20" s="5742" t="str">
        <f>IF(_Calcs!$BC$36=1,_Calcs!$N$18,"")</f>
        <v/>
      </c>
      <c r="W20" s="5742"/>
      <c r="X20" s="5742" t="str">
        <f>IF(_Calcs!$BC$36=1,_Calcs!$N$19,"")</f>
        <v/>
      </c>
      <c r="Y20" s="5745"/>
      <c r="Z20" s="5745"/>
      <c r="AA20" s="5742"/>
      <c r="AB20" s="1195" t="s">
        <v>100</v>
      </c>
      <c r="AC20" s="1347"/>
      <c r="AE20" s="3989"/>
      <c r="AG20" s="6732" t="s">
        <v>100</v>
      </c>
      <c r="AH20" s="6733"/>
      <c r="AI20" s="6733"/>
      <c r="AJ20" s="6733"/>
      <c r="AK20" s="6734"/>
      <c r="AM20" s="1108"/>
      <c r="AN20" s="1019"/>
      <c r="AO20" s="3912" t="s">
        <v>80</v>
      </c>
      <c r="AP20" s="1019"/>
      <c r="AQ20" s="3931"/>
      <c r="AR20" s="1019"/>
      <c r="AS20" s="1255"/>
      <c r="AU20" s="1108"/>
      <c r="AV20" s="1019"/>
      <c r="AW20" s="3912" t="s">
        <v>80</v>
      </c>
      <c r="AX20" s="1019"/>
      <c r="AY20" s="3931"/>
      <c r="AZ20" s="1019"/>
      <c r="BA20" s="1255"/>
      <c r="BB20" s="25"/>
      <c r="BC20" s="1108"/>
      <c r="BD20" s="1019"/>
      <c r="BE20" s="3912" t="s">
        <v>80</v>
      </c>
      <c r="BF20" s="1019"/>
      <c r="BG20" s="3931"/>
      <c r="BH20" s="1019"/>
      <c r="BI20" s="1255"/>
      <c r="BK20" s="1108"/>
      <c r="BL20" s="1019"/>
      <c r="BM20" s="3912" t="s">
        <v>80</v>
      </c>
      <c r="BN20" s="1019"/>
      <c r="BO20" s="3931"/>
      <c r="BP20" s="1019"/>
      <c r="BQ20" s="1255"/>
      <c r="BS20" s="1108"/>
      <c r="BT20" s="1019"/>
      <c r="BU20" s="3912" t="s">
        <v>80</v>
      </c>
      <c r="BV20" s="1019"/>
      <c r="BW20" s="3931"/>
      <c r="BX20" s="1019"/>
      <c r="BY20" s="1255"/>
      <c r="CA20" s="1108"/>
      <c r="CB20" s="1019"/>
      <c r="CC20" s="3912" t="s">
        <v>80</v>
      </c>
      <c r="CD20" s="1019"/>
      <c r="CE20" s="3931"/>
      <c r="CF20" s="1019"/>
      <c r="CG20" s="1255"/>
      <c r="CH20" s="25"/>
      <c r="CI20" s="1108"/>
      <c r="CJ20" s="1019"/>
      <c r="CK20" s="3912" t="s">
        <v>80</v>
      </c>
      <c r="CL20" s="1019"/>
      <c r="CM20" s="3931"/>
      <c r="CN20" s="1019"/>
      <c r="CO20" s="1255"/>
      <c r="CQ20" s="1108"/>
      <c r="CR20" s="1019"/>
      <c r="CS20" s="3912" t="s">
        <v>80</v>
      </c>
      <c r="CT20" s="1019"/>
      <c r="CU20" s="3931"/>
      <c r="CV20" s="1019"/>
      <c r="CW20" s="1255"/>
      <c r="CY20" s="1108"/>
      <c r="CZ20" s="1019"/>
      <c r="DA20" s="3912" t="s">
        <v>80</v>
      </c>
      <c r="DB20" s="1019"/>
      <c r="DC20" s="3931"/>
      <c r="DD20" s="1019"/>
      <c r="DE20" s="1255"/>
      <c r="DG20" s="33"/>
    </row>
    <row r="21" spans="1:114" s="21" customFormat="1" ht="24.95" customHeight="1" thickBot="1" x14ac:dyDescent="0.25">
      <c r="A21" s="25"/>
      <c r="B21" s="25"/>
      <c r="C21" s="13"/>
      <c r="D21" s="25"/>
      <c r="E21" s="14"/>
      <c r="F21" s="15"/>
      <c r="G21" s="15"/>
      <c r="H21" s="15"/>
      <c r="I21" s="15"/>
      <c r="J21" s="16"/>
      <c r="K21" s="18"/>
      <c r="L21" s="50"/>
      <c r="M21" s="15"/>
      <c r="N21" s="15"/>
      <c r="O21" s="15"/>
      <c r="P21" s="15"/>
      <c r="Q21" s="15"/>
      <c r="R21" s="13"/>
      <c r="S21" s="15"/>
      <c r="T21" s="15"/>
      <c r="U21" s="15"/>
      <c r="V21" s="15"/>
      <c r="W21" s="15"/>
      <c r="X21" s="13"/>
      <c r="Y21" s="15"/>
      <c r="Z21" s="15"/>
      <c r="AA21" s="15"/>
      <c r="AB21" s="15"/>
      <c r="AC21" s="15"/>
      <c r="AD21" s="70"/>
      <c r="AE21" s="70"/>
      <c r="AF21" s="70"/>
      <c r="AG21" s="70"/>
      <c r="AH21" s="18"/>
      <c r="AI21" s="18"/>
      <c r="AJ21" s="18"/>
      <c r="AK21" s="70"/>
      <c r="AL21" s="70"/>
      <c r="AO21" s="22"/>
      <c r="AQ21" s="19"/>
      <c r="AT21" s="70"/>
      <c r="AW21" s="22"/>
      <c r="AY21" s="19"/>
      <c r="BB21" s="25"/>
      <c r="BE21" s="22"/>
      <c r="BG21" s="19"/>
      <c r="BJ21" s="70"/>
      <c r="BM21" s="22"/>
      <c r="BO21" s="19"/>
      <c r="BR21" s="70"/>
      <c r="BU21" s="22"/>
      <c r="BW21" s="19"/>
      <c r="BZ21" s="70"/>
      <c r="CC21" s="22"/>
      <c r="CE21" s="19"/>
      <c r="CH21" s="25"/>
      <c r="CK21" s="22"/>
      <c r="CM21" s="19"/>
      <c r="CP21" s="70"/>
      <c r="CS21" s="22"/>
      <c r="CU21" s="19"/>
      <c r="CX21" s="70"/>
      <c r="DA21" s="22"/>
      <c r="DC21" s="19"/>
      <c r="DF21" s="70"/>
      <c r="DH21" s="70"/>
      <c r="DI21" s="70"/>
      <c r="DJ21" s="70"/>
    </row>
    <row r="22" spans="1:114" s="21" customFormat="1" ht="15" customHeight="1" thickBot="1" x14ac:dyDescent="0.25">
      <c r="A22" s="25"/>
      <c r="B22" s="25"/>
      <c r="C22" s="1325"/>
      <c r="D22" s="25"/>
      <c r="E22" s="948"/>
      <c r="F22" s="6592" t="str">
        <f>_Calcs!$L$28</f>
        <v>Berguttak</v>
      </c>
      <c r="G22" s="6592"/>
      <c r="H22" s="6592"/>
      <c r="I22" s="6592"/>
      <c r="J22" s="6592"/>
      <c r="K22" s="6592"/>
      <c r="L22" s="6592"/>
      <c r="M22" s="1278"/>
      <c r="N22" s="15"/>
      <c r="R22" s="13"/>
      <c r="W22" s="15"/>
      <c r="X22" s="13"/>
      <c r="Y22" s="15"/>
      <c r="Z22" s="15"/>
      <c r="AA22" s="1965"/>
      <c r="AB22" s="15"/>
      <c r="AC22" s="15"/>
      <c r="AD22" s="70"/>
      <c r="AE22" s="70"/>
      <c r="AF22" s="70"/>
      <c r="AG22" s="70"/>
      <c r="AH22" s="18"/>
      <c r="AI22" s="18"/>
      <c r="AJ22" s="18"/>
      <c r="AK22" s="70"/>
      <c r="AL22" s="70"/>
      <c r="AO22" s="22"/>
      <c r="AQ22" s="19"/>
      <c r="AT22" s="70"/>
      <c r="AW22" s="22"/>
      <c r="AY22" s="19"/>
      <c r="BB22" s="25"/>
      <c r="BE22" s="22"/>
      <c r="BG22" s="19"/>
      <c r="BJ22" s="70"/>
      <c r="BM22" s="22"/>
      <c r="BO22" s="19"/>
      <c r="BR22" s="70"/>
      <c r="BU22" s="22"/>
      <c r="BW22" s="19"/>
      <c r="BZ22" s="70"/>
      <c r="CC22" s="22"/>
      <c r="CE22" s="19"/>
      <c r="CH22" s="25"/>
      <c r="CK22" s="22"/>
      <c r="CM22" s="19"/>
      <c r="CP22" s="70"/>
      <c r="CS22" s="22"/>
      <c r="CU22" s="19"/>
      <c r="CX22" s="70"/>
      <c r="DA22" s="22"/>
      <c r="DC22" s="19"/>
      <c r="DF22" s="70"/>
      <c r="DH22" s="70"/>
      <c r="DI22" s="70"/>
      <c r="DJ22" s="70"/>
    </row>
    <row r="23" spans="1:114" s="21" customFormat="1" ht="15" customHeight="1" thickBot="1" x14ac:dyDescent="0.25">
      <c r="A23" s="25"/>
      <c r="B23" s="25"/>
      <c r="C23" s="6582" t="s">
        <v>81</v>
      </c>
      <c r="D23" s="25"/>
      <c r="E23" s="950"/>
      <c r="F23" s="6593"/>
      <c r="G23" s="6593"/>
      <c r="H23" s="6593"/>
      <c r="I23" s="6593"/>
      <c r="J23" s="6593"/>
      <c r="K23" s="6593"/>
      <c r="L23" s="6593"/>
      <c r="M23" s="1279"/>
      <c r="N23" s="15"/>
      <c r="O23" s="6756" t="s">
        <v>1009</v>
      </c>
      <c r="P23" s="6757"/>
      <c r="Q23" s="6757"/>
      <c r="R23" s="6757"/>
      <c r="S23" s="6758"/>
      <c r="T23" s="5757"/>
      <c r="U23" s="6761" t="str">
        <f>IF(_Calcs!$BC$36=1," Tverrslag","")</f>
        <v/>
      </c>
      <c r="V23" s="6762"/>
      <c r="W23" s="6762"/>
      <c r="X23" s="6762"/>
      <c r="Y23" s="6763"/>
      <c r="Z23" s="5771"/>
      <c r="AA23" s="5757"/>
      <c r="AB23" s="5757"/>
      <c r="AC23" s="5757"/>
      <c r="AE23" s="5758"/>
      <c r="AF23" s="70"/>
      <c r="AG23" s="70"/>
      <c r="AH23" s="70"/>
      <c r="AI23" s="70"/>
      <c r="AJ23" s="70"/>
      <c r="AK23" s="70"/>
      <c r="AL23" s="70"/>
      <c r="AM23" s="1280"/>
      <c r="AN23" s="721"/>
      <c r="AO23" s="725"/>
      <c r="AP23" s="721"/>
      <c r="AQ23" s="1114"/>
      <c r="AR23" s="721"/>
      <c r="AS23" s="1281"/>
      <c r="AT23" s="70"/>
      <c r="AU23" s="1280"/>
      <c r="AV23" s="721"/>
      <c r="AW23" s="725"/>
      <c r="AX23" s="721"/>
      <c r="AY23" s="1114"/>
      <c r="AZ23" s="721"/>
      <c r="BA23" s="1281"/>
      <c r="BB23" s="25"/>
      <c r="BC23" s="1280"/>
      <c r="BD23" s="721"/>
      <c r="BE23" s="725"/>
      <c r="BF23" s="721"/>
      <c r="BG23" s="1114"/>
      <c r="BH23" s="721"/>
      <c r="BI23" s="1281"/>
      <c r="BJ23" s="70"/>
      <c r="BK23" s="1280"/>
      <c r="BL23" s="721"/>
      <c r="BM23" s="725"/>
      <c r="BN23" s="721"/>
      <c r="BO23" s="1114"/>
      <c r="BP23" s="721"/>
      <c r="BQ23" s="1281"/>
      <c r="BR23" s="70"/>
      <c r="BS23" s="1280"/>
      <c r="BT23" s="721"/>
      <c r="BU23" s="725"/>
      <c r="BV23" s="721"/>
      <c r="BW23" s="1114"/>
      <c r="BX23" s="721"/>
      <c r="BY23" s="1281"/>
      <c r="BZ23" s="70"/>
      <c r="CA23" s="1280"/>
      <c r="CB23" s="721"/>
      <c r="CC23" s="725"/>
      <c r="CD23" s="721"/>
      <c r="CE23" s="1114"/>
      <c r="CF23" s="721"/>
      <c r="CG23" s="1281"/>
      <c r="CH23" s="25"/>
      <c r="CI23" s="1280"/>
      <c r="CJ23" s="721"/>
      <c r="CK23" s="725"/>
      <c r="CL23" s="721"/>
      <c r="CM23" s="1114"/>
      <c r="CN23" s="721"/>
      <c r="CO23" s="1281"/>
      <c r="CP23" s="70"/>
      <c r="CQ23" s="1280"/>
      <c r="CR23" s="721"/>
      <c r="CS23" s="725"/>
      <c r="CT23" s="721"/>
      <c r="CU23" s="1114"/>
      <c r="CV23" s="721"/>
      <c r="CW23" s="1281"/>
      <c r="CX23" s="70"/>
      <c r="CY23" s="1280"/>
      <c r="CZ23" s="721"/>
      <c r="DA23" s="725"/>
      <c r="DB23" s="721"/>
      <c r="DC23" s="1114"/>
      <c r="DD23" s="721"/>
      <c r="DE23" s="1281"/>
      <c r="DF23" s="70"/>
      <c r="DG23" s="169"/>
      <c r="DH23" s="70"/>
      <c r="DI23" s="70"/>
      <c r="DJ23" s="70"/>
    </row>
    <row r="24" spans="1:114" s="21" customFormat="1" ht="8.1" customHeight="1" thickBot="1" x14ac:dyDescent="0.25">
      <c r="A24" s="25"/>
      <c r="B24" s="25"/>
      <c r="C24" s="6582"/>
      <c r="D24" s="25"/>
      <c r="E24" s="14"/>
      <c r="F24" s="129"/>
      <c r="G24" s="129"/>
      <c r="H24" s="129"/>
      <c r="I24" s="129"/>
      <c r="J24" s="16"/>
      <c r="K24" s="15"/>
      <c r="L24" s="50"/>
      <c r="M24" s="15"/>
      <c r="N24" s="15"/>
      <c r="O24" s="15"/>
      <c r="P24" s="90"/>
      <c r="Q24" s="13"/>
      <c r="R24" s="13"/>
      <c r="S24" s="13"/>
      <c r="T24" s="13"/>
      <c r="U24" s="13"/>
      <c r="V24" s="90"/>
      <c r="W24" s="13"/>
      <c r="X24" s="13"/>
      <c r="Y24" s="13"/>
      <c r="Z24" s="13"/>
      <c r="AA24" s="13"/>
      <c r="AB24" s="15"/>
      <c r="AC24" s="15"/>
      <c r="AD24" s="70"/>
      <c r="AE24" s="70"/>
      <c r="AF24" s="70"/>
      <c r="AG24" s="114"/>
      <c r="AH24" s="18"/>
      <c r="AI24" s="18"/>
      <c r="AJ24" s="18"/>
      <c r="AK24" s="70"/>
      <c r="AL24" s="70"/>
      <c r="AO24" s="22"/>
      <c r="AQ24" s="19"/>
      <c r="AT24" s="70"/>
      <c r="AW24" s="22"/>
      <c r="AY24" s="19"/>
      <c r="BB24" s="25"/>
      <c r="BE24" s="22"/>
      <c r="BG24" s="19"/>
      <c r="BJ24" s="70"/>
      <c r="BM24" s="22"/>
      <c r="BO24" s="19"/>
      <c r="BR24" s="70"/>
      <c r="BU24" s="22"/>
      <c r="BW24" s="19"/>
      <c r="BZ24" s="70"/>
      <c r="CC24" s="22"/>
      <c r="CE24" s="19"/>
      <c r="CH24" s="25"/>
      <c r="CK24" s="22"/>
      <c r="CM24" s="19"/>
      <c r="CP24" s="70"/>
      <c r="CS24" s="22"/>
      <c r="CU24" s="19"/>
      <c r="CX24" s="70"/>
      <c r="DA24" s="22"/>
      <c r="DC24" s="19"/>
      <c r="DF24" s="70"/>
      <c r="DH24" s="70"/>
      <c r="DI24" s="70"/>
      <c r="DJ24" s="70"/>
    </row>
    <row r="25" spans="1:114" s="21" customFormat="1" ht="15" customHeight="1" thickBot="1" x14ac:dyDescent="0.25">
      <c r="A25" s="25"/>
      <c r="B25" s="25"/>
      <c r="C25" s="6582"/>
      <c r="D25" s="25"/>
      <c r="E25" s="695"/>
      <c r="F25" s="696"/>
      <c r="G25" s="696"/>
      <c r="H25" s="696"/>
      <c r="I25" s="696"/>
      <c r="J25" s="698"/>
      <c r="K25" s="709"/>
      <c r="L25" s="1126"/>
      <c r="M25" s="1303"/>
      <c r="N25" s="15"/>
      <c r="O25" s="1288"/>
      <c r="P25" s="1289"/>
      <c r="Q25" s="1290"/>
      <c r="R25" s="1290"/>
      <c r="S25" s="1292"/>
      <c r="T25" s="5444"/>
      <c r="U25" s="5441"/>
      <c r="V25" s="1289"/>
      <c r="W25" s="1290"/>
      <c r="X25" s="1290"/>
      <c r="Y25" s="1292"/>
      <c r="Z25" s="2582"/>
      <c r="AA25" s="5441"/>
      <c r="AB25" s="1291"/>
      <c r="AC25" s="5772"/>
      <c r="AD25" s="70"/>
      <c r="AE25" s="6765" t="str">
        <f>_Calcs!$K$84</f>
        <v>Beregnet tidforbruk</v>
      </c>
      <c r="AF25" s="70"/>
      <c r="AG25" s="3990"/>
      <c r="AH25" s="3991"/>
      <c r="AI25" s="1502"/>
      <c r="AJ25" s="3991"/>
      <c r="AK25" s="3992"/>
      <c r="AM25" s="1282"/>
      <c r="AN25" s="696"/>
      <c r="AO25" s="708"/>
      <c r="AP25" s="696"/>
      <c r="AQ25" s="1126"/>
      <c r="AR25" s="696"/>
      <c r="AS25" s="1283"/>
      <c r="AU25" s="1282"/>
      <c r="AV25" s="696"/>
      <c r="AW25" s="708"/>
      <c r="AX25" s="696"/>
      <c r="AY25" s="1126"/>
      <c r="AZ25" s="696"/>
      <c r="BA25" s="1283"/>
      <c r="BB25" s="25"/>
      <c r="BC25" s="1282"/>
      <c r="BD25" s="696"/>
      <c r="BE25" s="708"/>
      <c r="BF25" s="696"/>
      <c r="BG25" s="1126"/>
      <c r="BH25" s="696"/>
      <c r="BI25" s="1283"/>
      <c r="BK25" s="1282"/>
      <c r="BL25" s="696"/>
      <c r="BM25" s="708"/>
      <c r="BN25" s="696"/>
      <c r="BO25" s="1126"/>
      <c r="BP25" s="696"/>
      <c r="BQ25" s="1283"/>
      <c r="BS25" s="1282"/>
      <c r="BT25" s="696"/>
      <c r="BU25" s="708"/>
      <c r="BV25" s="696"/>
      <c r="BW25" s="1126"/>
      <c r="BX25" s="696"/>
      <c r="BY25" s="1283"/>
      <c r="CA25" s="1282"/>
      <c r="CB25" s="696"/>
      <c r="CC25" s="708"/>
      <c r="CD25" s="696"/>
      <c r="CE25" s="1126"/>
      <c r="CF25" s="696"/>
      <c r="CG25" s="1283"/>
      <c r="CH25" s="25"/>
      <c r="CI25" s="1282"/>
      <c r="CJ25" s="696"/>
      <c r="CK25" s="708"/>
      <c r="CL25" s="696"/>
      <c r="CM25" s="1126"/>
      <c r="CN25" s="696"/>
      <c r="CO25" s="1283"/>
      <c r="CQ25" s="1282"/>
      <c r="CR25" s="696"/>
      <c r="CS25" s="708"/>
      <c r="CT25" s="696"/>
      <c r="CU25" s="1126"/>
      <c r="CV25" s="696"/>
      <c r="CW25" s="1283"/>
      <c r="CY25" s="1282"/>
      <c r="CZ25" s="696"/>
      <c r="DA25" s="708"/>
      <c r="DB25" s="696"/>
      <c r="DC25" s="1126"/>
      <c r="DD25" s="696"/>
      <c r="DE25" s="1283"/>
      <c r="DF25" s="70"/>
      <c r="DG25" s="64"/>
      <c r="DH25" s="70"/>
      <c r="DI25" s="70"/>
      <c r="DJ25" s="70"/>
    </row>
    <row r="26" spans="1:114" s="21" customFormat="1" ht="20.100000000000001" customHeight="1" thickBot="1" x14ac:dyDescent="0.25">
      <c r="A26" s="25"/>
      <c r="B26" s="25"/>
      <c r="C26" s="6582"/>
      <c r="D26" s="25"/>
      <c r="E26" s="700"/>
      <c r="F26" s="6760" t="str">
        <f>_Calcs!$M$29</f>
        <v>Normalsalve</v>
      </c>
      <c r="G26" s="6760"/>
      <c r="H26" s="6760"/>
      <c r="I26" s="6760"/>
      <c r="J26" s="142"/>
      <c r="K26" s="3934"/>
      <c r="L26" s="1304"/>
      <c r="M26" s="1305"/>
      <c r="N26" s="15"/>
      <c r="O26" s="1293"/>
      <c r="P26" s="2445" t="str">
        <f>_Calcs!$BK$221</f>
        <v>!</v>
      </c>
      <c r="Q26" s="1294"/>
      <c r="R26" s="2514" t="str">
        <f>_Kapasitet!W32</f>
        <v>Standard</v>
      </c>
      <c r="S26" s="1296"/>
      <c r="T26" s="5444"/>
      <c r="U26" s="5442"/>
      <c r="V26" s="2445" t="str">
        <f>IF(_Calcs!$BC$36=1,_Calcs!$BK$222,"")</f>
        <v/>
      </c>
      <c r="W26" s="1295"/>
      <c r="X26" s="2514" t="str">
        <f>IF(_Calcs!BC36&lt;&gt;0,_Kapasitet!$W$47,"")</f>
        <v/>
      </c>
      <c r="Y26" s="1296"/>
      <c r="Z26" s="2582"/>
      <c r="AA26" s="5442"/>
      <c r="AB26" s="1295" t="s">
        <v>99</v>
      </c>
      <c r="AC26" s="5769"/>
      <c r="AD26" s="70"/>
      <c r="AE26" s="6766"/>
      <c r="AF26" s="70"/>
      <c r="AG26" s="3993"/>
      <c r="AH26" s="6738" t="s">
        <v>46</v>
      </c>
      <c r="AI26" s="6738"/>
      <c r="AJ26" s="6738"/>
      <c r="AK26" s="1351"/>
      <c r="AM26" s="1284"/>
      <c r="AN26" s="679"/>
      <c r="AO26" s="3994">
        <f>INDEX(outputs_oppsum[normal],MATCH(_Calcs!$NO$40,outputs_oppsum[stuff_id],0))</f>
        <v>0</v>
      </c>
      <c r="AP26" s="679"/>
      <c r="AQ26" s="30" t="str">
        <f>IF(_Calcs!$NO$326=1,"✓","!")</f>
        <v>!</v>
      </c>
      <c r="AR26" s="679"/>
      <c r="AS26" s="1285"/>
      <c r="AU26" s="1284"/>
      <c r="AV26" s="679"/>
      <c r="AW26" s="3994" t="e">
        <f>INDEX(outputs_oppsum[normal],MATCH(_Calcs!$NP$40,outputs_oppsum[stuff_id],0))</f>
        <v>#N/A</v>
      </c>
      <c r="AX26" s="679"/>
      <c r="AY26" s="30" t="e">
        <f>IF(_Calcs!$NP$326=1,"✓","!")</f>
        <v>#N/A</v>
      </c>
      <c r="AZ26" s="679"/>
      <c r="BA26" s="1285"/>
      <c r="BB26" s="25"/>
      <c r="BC26" s="1284"/>
      <c r="BD26" s="679"/>
      <c r="BE26" s="3994" t="e">
        <f>INDEX(outputs_oppsum[normal],MATCH(_Calcs!$NQ$40,outputs_oppsum[stuff_id],0))</f>
        <v>#N/A</v>
      </c>
      <c r="BF26" s="679"/>
      <c r="BG26" s="30" t="e">
        <f>IF(_Calcs!$NQ$326=1,"✓","!")</f>
        <v>#N/A</v>
      </c>
      <c r="BH26" s="679"/>
      <c r="BI26" s="1285"/>
      <c r="BK26" s="1284"/>
      <c r="BL26" s="679"/>
      <c r="BM26" s="3994" t="e">
        <f>INDEX(outputs_oppsum[normal],MATCH(_Calcs!$NR$40,outputs_oppsum[stuff_id],0))</f>
        <v>#N/A</v>
      </c>
      <c r="BN26" s="679"/>
      <c r="BO26" s="30" t="e">
        <f>IF(_Calcs!$NR$326=1,"✓","!")</f>
        <v>#N/A</v>
      </c>
      <c r="BP26" s="679"/>
      <c r="BQ26" s="1285"/>
      <c r="BS26" s="1284"/>
      <c r="BT26" s="679"/>
      <c r="BU26" s="3994" t="e">
        <f>INDEX(outputs_oppsum[normal],MATCH(_Calcs!$NS$40,outputs_oppsum[stuff_id],0))</f>
        <v>#N/A</v>
      </c>
      <c r="BV26" s="679"/>
      <c r="BW26" s="30" t="e">
        <f>IF(_Calcs!$NS$326=1,"✓","!")</f>
        <v>#N/A</v>
      </c>
      <c r="BX26" s="679"/>
      <c r="BY26" s="1285"/>
      <c r="CA26" s="1284"/>
      <c r="CB26" s="679"/>
      <c r="CC26" s="3994" t="e">
        <f>INDEX(outputs_oppsum[normal],MATCH(_Calcs!$NT$40,outputs_oppsum[stuff_id],0))</f>
        <v>#N/A</v>
      </c>
      <c r="CD26" s="679"/>
      <c r="CE26" s="30" t="e">
        <f>IF(_Calcs!$NT$326=1,"✓","!")</f>
        <v>#N/A</v>
      </c>
      <c r="CF26" s="679"/>
      <c r="CG26" s="1285"/>
      <c r="CH26" s="25"/>
      <c r="CI26" s="1284"/>
      <c r="CJ26" s="679"/>
      <c r="CK26" s="3994" t="e">
        <f>INDEX(outputs_oppsum[normal],MATCH(_Calcs!$NU$40,outputs_oppsum[stuff_id],0))</f>
        <v>#N/A</v>
      </c>
      <c r="CL26" s="679"/>
      <c r="CM26" s="30" t="e">
        <f>IF(_Calcs!$NU$326=1,"✓","!")</f>
        <v>#N/A</v>
      </c>
      <c r="CN26" s="679"/>
      <c r="CO26" s="1285"/>
      <c r="CQ26" s="1284"/>
      <c r="CR26" s="679"/>
      <c r="CS26" s="3994" t="e">
        <f>INDEX(outputs_oppsum[normal],MATCH(_Calcs!$NV$40,outputs_oppsum[stuff_id],0))</f>
        <v>#N/A</v>
      </c>
      <c r="CT26" s="679"/>
      <c r="CU26" s="30" t="e">
        <f>IF(_Calcs!$NV$326=1,"✓","!")</f>
        <v>#N/A</v>
      </c>
      <c r="CV26" s="679"/>
      <c r="CW26" s="1285"/>
      <c r="CY26" s="1284"/>
      <c r="CZ26" s="679"/>
      <c r="DA26" s="3994" t="e">
        <f>INDEX(outputs_oppsum[normal],MATCH(_Calcs!$NW$40,outputs_oppsum[stuff_id],0))</f>
        <v>#N/A</v>
      </c>
      <c r="DB26" s="679"/>
      <c r="DC26" s="30" t="e">
        <f>IF(_Calcs!$NW$326=1,"✓","!")</f>
        <v>#N/A</v>
      </c>
      <c r="DD26" s="679"/>
      <c r="DE26" s="1285"/>
      <c r="DF26" s="70"/>
      <c r="DG26" s="64"/>
      <c r="DH26" s="70"/>
      <c r="DI26" s="70"/>
      <c r="DJ26" s="70"/>
    </row>
    <row r="27" spans="1:114" s="21" customFormat="1" ht="24.95" customHeight="1" thickBot="1" x14ac:dyDescent="0.25">
      <c r="A27" s="25"/>
      <c r="B27" s="25"/>
      <c r="C27" s="3995"/>
      <c r="D27" s="25"/>
      <c r="E27" s="700"/>
      <c r="F27" s="679"/>
      <c r="G27" s="679"/>
      <c r="H27" s="679"/>
      <c r="I27" s="679"/>
      <c r="J27" s="66"/>
      <c r="K27" s="1306"/>
      <c r="L27" s="1128"/>
      <c r="M27" s="1307"/>
      <c r="N27" s="111"/>
      <c r="O27" s="1297"/>
      <c r="P27" s="1298"/>
      <c r="Q27" s="1294"/>
      <c r="R27" s="1294"/>
      <c r="S27" s="1296"/>
      <c r="T27" s="5444"/>
      <c r="U27" s="5442"/>
      <c r="V27" s="1298"/>
      <c r="W27" s="1294"/>
      <c r="X27" s="1294"/>
      <c r="Y27" s="1296"/>
      <c r="Z27" s="2582"/>
      <c r="AA27" s="5442"/>
      <c r="AB27" s="1295"/>
      <c r="AC27" s="5769"/>
      <c r="AD27" s="70"/>
      <c r="AE27" s="6766"/>
      <c r="AF27" s="70"/>
      <c r="AG27" s="3993"/>
      <c r="AH27" s="3996"/>
      <c r="AI27" s="1500"/>
      <c r="AJ27" s="3996"/>
      <c r="AK27" s="3997"/>
      <c r="AM27" s="1284"/>
      <c r="AN27" s="679"/>
      <c r="AO27" s="1286"/>
      <c r="AP27" s="679"/>
      <c r="AQ27" s="1128"/>
      <c r="AR27" s="679"/>
      <c r="AS27" s="1285"/>
      <c r="AU27" s="1284"/>
      <c r="AV27" s="679"/>
      <c r="AW27" s="1286"/>
      <c r="AX27" s="679"/>
      <c r="AY27" s="1128"/>
      <c r="AZ27" s="679"/>
      <c r="BA27" s="1285"/>
      <c r="BB27" s="25"/>
      <c r="BC27" s="1284"/>
      <c r="BD27" s="679"/>
      <c r="BE27" s="1286"/>
      <c r="BF27" s="679"/>
      <c r="BG27" s="1128"/>
      <c r="BH27" s="679"/>
      <c r="BI27" s="1285"/>
      <c r="BK27" s="1284"/>
      <c r="BL27" s="679"/>
      <c r="BM27" s="1286"/>
      <c r="BN27" s="679"/>
      <c r="BO27" s="1128"/>
      <c r="BP27" s="679"/>
      <c r="BQ27" s="1285"/>
      <c r="BS27" s="1284"/>
      <c r="BT27" s="679"/>
      <c r="BU27" s="1286"/>
      <c r="BV27" s="679"/>
      <c r="BW27" s="1128"/>
      <c r="BX27" s="679"/>
      <c r="BY27" s="1285"/>
      <c r="CA27" s="1284"/>
      <c r="CB27" s="679"/>
      <c r="CC27" s="1286"/>
      <c r="CD27" s="679"/>
      <c r="CE27" s="1128"/>
      <c r="CF27" s="679"/>
      <c r="CG27" s="1285"/>
      <c r="CH27" s="25"/>
      <c r="CI27" s="1284"/>
      <c r="CJ27" s="679"/>
      <c r="CK27" s="1286"/>
      <c r="CL27" s="679"/>
      <c r="CM27" s="1128"/>
      <c r="CN27" s="679"/>
      <c r="CO27" s="1285"/>
      <c r="CQ27" s="1284"/>
      <c r="CR27" s="679"/>
      <c r="CS27" s="1286"/>
      <c r="CT27" s="679"/>
      <c r="CU27" s="1128"/>
      <c r="CV27" s="679"/>
      <c r="CW27" s="1285"/>
      <c r="CY27" s="1284"/>
      <c r="CZ27" s="679"/>
      <c r="DA27" s="1286"/>
      <c r="DB27" s="679"/>
      <c r="DC27" s="1128"/>
      <c r="DD27" s="679"/>
      <c r="DE27" s="1285"/>
      <c r="DF27" s="70"/>
      <c r="DG27" s="64"/>
      <c r="DH27" s="70"/>
      <c r="DI27" s="70"/>
      <c r="DJ27" s="70"/>
    </row>
    <row r="28" spans="1:114" s="21" customFormat="1" ht="20.100000000000001" customHeight="1" thickBot="1" x14ac:dyDescent="0.25">
      <c r="A28" s="25"/>
      <c r="B28" s="25"/>
      <c r="C28" s="940"/>
      <c r="D28" s="25"/>
      <c r="E28" s="700"/>
      <c r="F28" s="6752" t="s">
        <v>2778</v>
      </c>
      <c r="G28" s="6752"/>
      <c r="H28" s="6752"/>
      <c r="I28" s="6752"/>
      <c r="J28" s="2283"/>
      <c r="K28" s="3934"/>
      <c r="L28" s="1304"/>
      <c r="M28" s="1305"/>
      <c r="N28" s="15"/>
      <c r="O28" s="1293"/>
      <c r="P28" s="2445" t="str">
        <f>_Calcs!$BH$221</f>
        <v>!</v>
      </c>
      <c r="Q28" s="1294"/>
      <c r="R28" s="2514" t="str">
        <f>_Kapasitet!W38</f>
        <v>Standard</v>
      </c>
      <c r="S28" s="1296"/>
      <c r="T28" s="5444"/>
      <c r="U28" s="5442"/>
      <c r="V28" s="2445" t="str">
        <f>IF(_Calcs!$BC$36=1,_Calcs!$BH$222,"")</f>
        <v/>
      </c>
      <c r="W28" s="1295"/>
      <c r="X28" s="2514" t="str">
        <f>IF(_Calcs!BC36&lt;&gt;0,_Kapasitet!$W$53,"")</f>
        <v/>
      </c>
      <c r="Y28" s="1296"/>
      <c r="Z28" s="2582"/>
      <c r="AA28" s="5442"/>
      <c r="AB28" s="1295" t="s">
        <v>99</v>
      </c>
      <c r="AC28" s="5769"/>
      <c r="AD28" s="70"/>
      <c r="AE28" s="6766"/>
      <c r="AF28" s="70"/>
      <c r="AG28" s="3993"/>
      <c r="AH28" s="6738" t="s">
        <v>46</v>
      </c>
      <c r="AI28" s="6738"/>
      <c r="AJ28" s="6738"/>
      <c r="AK28" s="1351"/>
      <c r="AM28" s="1284"/>
      <c r="AN28" s="679"/>
      <c r="AO28" s="3994">
        <f>INDEX(outputs_oppsum[Redusertsalvelengde],MATCH(_Calcs!$NO$40,outputs_oppsum[stuff_id],0))</f>
        <v>0</v>
      </c>
      <c r="AP28" s="679"/>
      <c r="AQ28" s="30" t="str">
        <f>IF(_Calcs!$NO$327=1,"✓","!")</f>
        <v>!</v>
      </c>
      <c r="AR28" s="679"/>
      <c r="AS28" s="1285"/>
      <c r="AU28" s="1284"/>
      <c r="AV28" s="679"/>
      <c r="AW28" s="3994" t="e">
        <f>INDEX(outputs_oppsum[Redusertsalvelengde],MATCH(_Calcs!$NP$40,outputs_oppsum[stuff_id],0))</f>
        <v>#N/A</v>
      </c>
      <c r="AX28" s="679"/>
      <c r="AY28" s="30" t="e">
        <f>IF(_Calcs!$NP$327=1,"✓","!")</f>
        <v>#N/A</v>
      </c>
      <c r="AZ28" s="679"/>
      <c r="BA28" s="1285"/>
      <c r="BB28" s="25"/>
      <c r="BC28" s="1284"/>
      <c r="BD28" s="679"/>
      <c r="BE28" s="3994" t="e">
        <f>INDEX(outputs_oppsum[Redusertsalvelengde],MATCH(_Calcs!$NQ$40,outputs_oppsum[stuff_id],0))</f>
        <v>#N/A</v>
      </c>
      <c r="BF28" s="679"/>
      <c r="BG28" s="30" t="e">
        <f>IF(_Calcs!$NQ$327=1,"✓","!")</f>
        <v>#N/A</v>
      </c>
      <c r="BH28" s="679"/>
      <c r="BI28" s="1285"/>
      <c r="BK28" s="1284"/>
      <c r="BL28" s="679"/>
      <c r="BM28" s="3994" t="e">
        <f>INDEX(outputs_oppsum[Redusertsalvelengde],MATCH(_Calcs!$NR$40,outputs_oppsum[stuff_id],0))</f>
        <v>#N/A</v>
      </c>
      <c r="BN28" s="679"/>
      <c r="BO28" s="30" t="e">
        <f>IF(_Calcs!$NR$327=1,"✓","!")</f>
        <v>#N/A</v>
      </c>
      <c r="BP28" s="679"/>
      <c r="BQ28" s="1285"/>
      <c r="BS28" s="1284"/>
      <c r="BT28" s="679"/>
      <c r="BU28" s="3994" t="e">
        <f>INDEX(outputs_oppsum[Redusertsalvelengde],MATCH(_Calcs!$NS$40,outputs_oppsum[stuff_id],0))</f>
        <v>#N/A</v>
      </c>
      <c r="BV28" s="679"/>
      <c r="BW28" s="30" t="e">
        <f>IF(_Calcs!$NS$327=1,"✓","!")</f>
        <v>#N/A</v>
      </c>
      <c r="BX28" s="679"/>
      <c r="BY28" s="1285"/>
      <c r="CA28" s="1284"/>
      <c r="CB28" s="679"/>
      <c r="CC28" s="3994" t="e">
        <f>INDEX(outputs_oppsum[Redusertsalvelengde],MATCH(_Calcs!$NT$40,outputs_oppsum[stuff_id],0))</f>
        <v>#N/A</v>
      </c>
      <c r="CD28" s="679"/>
      <c r="CE28" s="30" t="e">
        <f>IF(_Calcs!$NT$327=1,"✓","!")</f>
        <v>#N/A</v>
      </c>
      <c r="CF28" s="679"/>
      <c r="CG28" s="1285"/>
      <c r="CH28" s="25"/>
      <c r="CI28" s="1284"/>
      <c r="CJ28" s="679"/>
      <c r="CK28" s="3994" t="e">
        <f>INDEX(outputs_oppsum[Redusertsalvelengde],MATCH(_Calcs!$NU$40,outputs_oppsum[stuff_id],0))</f>
        <v>#N/A</v>
      </c>
      <c r="CL28" s="679"/>
      <c r="CM28" s="30" t="e">
        <f>IF(_Calcs!$NU$327=1,"✓","!")</f>
        <v>#N/A</v>
      </c>
      <c r="CN28" s="679"/>
      <c r="CO28" s="1285"/>
      <c r="CQ28" s="1284"/>
      <c r="CR28" s="679"/>
      <c r="CS28" s="3994" t="e">
        <f>INDEX(outputs_oppsum[Redusertsalvelengde],MATCH(_Calcs!$NV$40,outputs_oppsum[stuff_id],0))</f>
        <v>#N/A</v>
      </c>
      <c r="CT28" s="679"/>
      <c r="CU28" s="30" t="e">
        <f>IF(_Calcs!$NV$327=1,"✓","!")</f>
        <v>#N/A</v>
      </c>
      <c r="CV28" s="679"/>
      <c r="CW28" s="1285"/>
      <c r="CY28" s="1284"/>
      <c r="CZ28" s="679"/>
      <c r="DA28" s="3994" t="e">
        <f>INDEX(outputs_oppsum[Redusertsalvelengde],MATCH(_Calcs!$NW$40,outputs_oppsum[stuff_id],0))</f>
        <v>#N/A</v>
      </c>
      <c r="DB28" s="679"/>
      <c r="DC28" s="30" t="e">
        <f>IF(_Calcs!$NW$327=1,"✓","!")</f>
        <v>#N/A</v>
      </c>
      <c r="DD28" s="679"/>
      <c r="DE28" s="1285"/>
      <c r="DF28" s="70"/>
      <c r="DG28" s="64"/>
      <c r="DH28" s="70"/>
      <c r="DI28" s="70"/>
      <c r="DJ28" s="70"/>
    </row>
    <row r="29" spans="1:114" s="21" customFormat="1" ht="15" customHeight="1" x14ac:dyDescent="0.2">
      <c r="A29" s="25"/>
      <c r="B29" s="25"/>
      <c r="C29" s="940"/>
      <c r="D29" s="25"/>
      <c r="E29" s="700"/>
      <c r="F29" s="6752"/>
      <c r="G29" s="6752"/>
      <c r="H29" s="6752"/>
      <c r="I29" s="6752"/>
      <c r="J29" s="2283"/>
      <c r="K29" s="3934"/>
      <c r="L29" s="1304"/>
      <c r="M29" s="1305"/>
      <c r="N29" s="15"/>
      <c r="O29" s="1293"/>
      <c r="P29" s="1298"/>
      <c r="Q29" s="1294"/>
      <c r="R29" s="3872"/>
      <c r="S29" s="1296"/>
      <c r="T29" s="5444"/>
      <c r="U29" s="5442"/>
      <c r="V29" s="1298"/>
      <c r="W29" s="3872"/>
      <c r="X29" s="3872"/>
      <c r="Y29" s="1296"/>
      <c r="Z29" s="2582"/>
      <c r="AA29" s="5442"/>
      <c r="AB29" s="1295"/>
      <c r="AC29" s="5769"/>
      <c r="AD29" s="70"/>
      <c r="AE29" s="6766"/>
      <c r="AF29" s="70"/>
      <c r="AG29" s="3993"/>
      <c r="AH29" s="1323"/>
      <c r="AI29" s="1500"/>
      <c r="AJ29" s="1323"/>
      <c r="AK29" s="1351"/>
      <c r="AM29" s="1284"/>
      <c r="AN29" s="679"/>
      <c r="AO29" s="3998"/>
      <c r="AP29" s="679"/>
      <c r="AQ29" s="962"/>
      <c r="AR29" s="679"/>
      <c r="AS29" s="1285"/>
      <c r="AU29" s="1284"/>
      <c r="AV29" s="679"/>
      <c r="AW29" s="3998"/>
      <c r="AX29" s="679"/>
      <c r="AY29" s="962"/>
      <c r="AZ29" s="679"/>
      <c r="BA29" s="1285"/>
      <c r="BB29" s="25"/>
      <c r="BC29" s="1284"/>
      <c r="BD29" s="679"/>
      <c r="BE29" s="3998"/>
      <c r="BF29" s="679"/>
      <c r="BG29" s="962"/>
      <c r="BH29" s="679"/>
      <c r="BI29" s="1285"/>
      <c r="BK29" s="1284"/>
      <c r="BL29" s="679"/>
      <c r="BM29" s="3998"/>
      <c r="BN29" s="679"/>
      <c r="BO29" s="962"/>
      <c r="BP29" s="679"/>
      <c r="BQ29" s="1285"/>
      <c r="BS29" s="1284"/>
      <c r="BT29" s="679"/>
      <c r="BU29" s="3998"/>
      <c r="BV29" s="679"/>
      <c r="BW29" s="962"/>
      <c r="BX29" s="679"/>
      <c r="BY29" s="1285"/>
      <c r="CA29" s="1284"/>
      <c r="CB29" s="679"/>
      <c r="CC29" s="3998"/>
      <c r="CD29" s="679"/>
      <c r="CE29" s="962"/>
      <c r="CF29" s="679"/>
      <c r="CG29" s="1285"/>
      <c r="CH29" s="25"/>
      <c r="CI29" s="1284"/>
      <c r="CJ29" s="679"/>
      <c r="CK29" s="3998"/>
      <c r="CL29" s="679"/>
      <c r="CM29" s="962"/>
      <c r="CN29" s="679"/>
      <c r="CO29" s="1285"/>
      <c r="CQ29" s="1284"/>
      <c r="CR29" s="679"/>
      <c r="CS29" s="3998"/>
      <c r="CT29" s="679"/>
      <c r="CU29" s="962"/>
      <c r="CV29" s="679"/>
      <c r="CW29" s="1285"/>
      <c r="CY29" s="1284"/>
      <c r="CZ29" s="679"/>
      <c r="DA29" s="3998"/>
      <c r="DB29" s="679"/>
      <c r="DC29" s="962"/>
      <c r="DD29" s="679"/>
      <c r="DE29" s="1285"/>
      <c r="DF29" s="70"/>
      <c r="DG29" s="64"/>
      <c r="DH29" s="70"/>
      <c r="DI29" s="70"/>
      <c r="DJ29" s="70"/>
    </row>
    <row r="30" spans="1:114" s="21" customFormat="1" ht="15" customHeight="1" thickBot="1" x14ac:dyDescent="0.25">
      <c r="A30" s="25"/>
      <c r="B30" s="25"/>
      <c r="C30" s="940"/>
      <c r="D30" s="25"/>
      <c r="E30" s="700"/>
      <c r="F30" s="679"/>
      <c r="G30" s="679"/>
      <c r="H30" s="679"/>
      <c r="I30" s="679"/>
      <c r="J30" s="66"/>
      <c r="K30" s="3934"/>
      <c r="L30" s="1128"/>
      <c r="M30" s="1305"/>
      <c r="N30" s="15"/>
      <c r="O30" s="1293"/>
      <c r="P30" s="1298"/>
      <c r="Q30" s="1294"/>
      <c r="R30" s="1294"/>
      <c r="S30" s="1296"/>
      <c r="T30" s="5444"/>
      <c r="U30" s="5442"/>
      <c r="V30" s="1298"/>
      <c r="W30" s="1294"/>
      <c r="X30" s="1294"/>
      <c r="Y30" s="1296"/>
      <c r="Z30" s="2582"/>
      <c r="AA30" s="5442"/>
      <c r="AB30" s="1295"/>
      <c r="AC30" s="5769"/>
      <c r="AD30" s="70"/>
      <c r="AE30" s="6766"/>
      <c r="AF30" s="70"/>
      <c r="AG30" s="3993"/>
      <c r="AH30" s="3996"/>
      <c r="AI30" s="1500"/>
      <c r="AJ30" s="3996"/>
      <c r="AK30" s="3997"/>
      <c r="AM30" s="1284"/>
      <c r="AN30" s="679"/>
      <c r="AO30" s="1286"/>
      <c r="AP30" s="679"/>
      <c r="AQ30" s="1128"/>
      <c r="AR30" s="679"/>
      <c r="AS30" s="1285"/>
      <c r="AU30" s="1284"/>
      <c r="AV30" s="679"/>
      <c r="AW30" s="1286"/>
      <c r="AX30" s="679"/>
      <c r="AY30" s="1128"/>
      <c r="AZ30" s="679"/>
      <c r="BA30" s="1285"/>
      <c r="BB30" s="25"/>
      <c r="BC30" s="1284"/>
      <c r="BD30" s="679"/>
      <c r="BE30" s="1286"/>
      <c r="BF30" s="679"/>
      <c r="BG30" s="1128"/>
      <c r="BH30" s="679"/>
      <c r="BI30" s="1285"/>
      <c r="BK30" s="1284"/>
      <c r="BL30" s="679"/>
      <c r="BM30" s="1286"/>
      <c r="BN30" s="679"/>
      <c r="BO30" s="1128"/>
      <c r="BP30" s="679"/>
      <c r="BQ30" s="1285"/>
      <c r="BS30" s="1284"/>
      <c r="BT30" s="679"/>
      <c r="BU30" s="1286"/>
      <c r="BV30" s="679"/>
      <c r="BW30" s="1128"/>
      <c r="BX30" s="679"/>
      <c r="BY30" s="1285"/>
      <c r="CA30" s="1284"/>
      <c r="CB30" s="679"/>
      <c r="CC30" s="1286"/>
      <c r="CD30" s="679"/>
      <c r="CE30" s="1128"/>
      <c r="CF30" s="679"/>
      <c r="CG30" s="1285"/>
      <c r="CH30" s="25"/>
      <c r="CI30" s="1284"/>
      <c r="CJ30" s="679"/>
      <c r="CK30" s="1286"/>
      <c r="CL30" s="679"/>
      <c r="CM30" s="1128"/>
      <c r="CN30" s="679"/>
      <c r="CO30" s="1285"/>
      <c r="CQ30" s="1284"/>
      <c r="CR30" s="679"/>
      <c r="CS30" s="1286"/>
      <c r="CT30" s="679"/>
      <c r="CU30" s="1128"/>
      <c r="CV30" s="679"/>
      <c r="CW30" s="1285"/>
      <c r="CY30" s="1284"/>
      <c r="CZ30" s="679"/>
      <c r="DA30" s="1286"/>
      <c r="DB30" s="679"/>
      <c r="DC30" s="1128"/>
      <c r="DD30" s="679"/>
      <c r="DE30" s="1285"/>
      <c r="DF30" s="70"/>
      <c r="DG30" s="64"/>
      <c r="DH30" s="70"/>
      <c r="DI30" s="70"/>
      <c r="DJ30" s="70"/>
    </row>
    <row r="31" spans="1:114" s="21" customFormat="1" ht="20.100000000000001" customHeight="1" thickBot="1" x14ac:dyDescent="0.25">
      <c r="A31" s="25"/>
      <c r="B31" s="25"/>
      <c r="C31" s="941"/>
      <c r="D31" s="25"/>
      <c r="E31" s="700"/>
      <c r="F31" s="6752" t="s">
        <v>2374</v>
      </c>
      <c r="G31" s="6752"/>
      <c r="H31" s="6752"/>
      <c r="I31" s="6752"/>
      <c r="J31" s="66"/>
      <c r="K31" s="3934"/>
      <c r="L31" s="1304"/>
      <c r="M31" s="1305"/>
      <c r="N31" s="15"/>
      <c r="O31" s="1293"/>
      <c r="P31" s="2445" t="str">
        <f>_Calcs!$BI$221</f>
        <v>!</v>
      </c>
      <c r="Q31" s="1294"/>
      <c r="R31" s="2514" t="str">
        <f>_Kapasitet!W40</f>
        <v>Standard</v>
      </c>
      <c r="S31" s="1296"/>
      <c r="T31" s="5444"/>
      <c r="U31" s="5442"/>
      <c r="V31" s="2445" t="str">
        <f>IF(_Calcs!$BC$36=1,_Calcs!$BI$222,"")</f>
        <v/>
      </c>
      <c r="W31" s="1295"/>
      <c r="X31" s="2514" t="str">
        <f>IF(_Calcs!BC36&lt;&gt;0,_Kapasitet!$W$55,"")</f>
        <v/>
      </c>
      <c r="Y31" s="1296"/>
      <c r="Z31" s="2582"/>
      <c r="AA31" s="5442"/>
      <c r="AB31" s="1295" t="s">
        <v>99</v>
      </c>
      <c r="AC31" s="5769"/>
      <c r="AD31" s="70"/>
      <c r="AE31" s="6766"/>
      <c r="AF31" s="70"/>
      <c r="AG31" s="3993"/>
      <c r="AH31" s="6738" t="s">
        <v>46</v>
      </c>
      <c r="AI31" s="6738"/>
      <c r="AJ31" s="6738"/>
      <c r="AK31" s="1351"/>
      <c r="AM31" s="1284"/>
      <c r="AN31" s="679"/>
      <c r="AO31" s="3994">
        <f>INDEX(outputs_oppsum[Todelttverrsnitt],MATCH(_Calcs!$NO$40,outputs_oppsum[stuff_id],0))</f>
        <v>0</v>
      </c>
      <c r="AP31" s="679"/>
      <c r="AQ31" s="30" t="str">
        <f>IF(_Calcs!$NO$328=1,"✓","!")</f>
        <v>!</v>
      </c>
      <c r="AR31" s="679"/>
      <c r="AS31" s="1285"/>
      <c r="AU31" s="1284"/>
      <c r="AV31" s="679"/>
      <c r="AW31" s="3994" t="e">
        <f>INDEX(outputs_oppsum[Todelttverrsnitt],MATCH(_Calcs!$NP$40,outputs_oppsum[stuff_id],0))</f>
        <v>#N/A</v>
      </c>
      <c r="AX31" s="679"/>
      <c r="AY31" s="30" t="e">
        <f>IF(_Calcs!$NP$328=1,"✓","!")</f>
        <v>#N/A</v>
      </c>
      <c r="AZ31" s="679"/>
      <c r="BA31" s="1285"/>
      <c r="BB31" s="25"/>
      <c r="BC31" s="1284"/>
      <c r="BD31" s="679"/>
      <c r="BE31" s="3994" t="e">
        <f>INDEX(outputs_oppsum[Todelttverrsnitt],MATCH(_Calcs!$NQ$40,outputs_oppsum[stuff_id],0))</f>
        <v>#N/A</v>
      </c>
      <c r="BF31" s="679"/>
      <c r="BG31" s="30" t="e">
        <f>IF(_Calcs!$NQ$328=1,"✓","!")</f>
        <v>#N/A</v>
      </c>
      <c r="BH31" s="679"/>
      <c r="BI31" s="1285"/>
      <c r="BK31" s="1284"/>
      <c r="BL31" s="679"/>
      <c r="BM31" s="3994" t="e">
        <f>INDEX(outputs_oppsum[Todelttverrsnitt],MATCH(_Calcs!$NR$40,outputs_oppsum[stuff_id],0))</f>
        <v>#N/A</v>
      </c>
      <c r="BN31" s="679"/>
      <c r="BO31" s="30" t="e">
        <f>IF(_Calcs!$NR$328=1,"✓","!")</f>
        <v>#N/A</v>
      </c>
      <c r="BP31" s="679"/>
      <c r="BQ31" s="1285"/>
      <c r="BS31" s="1284"/>
      <c r="BT31" s="679"/>
      <c r="BU31" s="3994" t="e">
        <f>INDEX(outputs_oppsum[Todelttverrsnitt],MATCH(_Calcs!$NS$40,outputs_oppsum[stuff_id],0))</f>
        <v>#N/A</v>
      </c>
      <c r="BV31" s="679"/>
      <c r="BW31" s="30" t="e">
        <f>IF(_Calcs!$NS$328=1,"✓","!")</f>
        <v>#N/A</v>
      </c>
      <c r="BX31" s="679"/>
      <c r="BY31" s="1285"/>
      <c r="CA31" s="1284"/>
      <c r="CB31" s="679"/>
      <c r="CC31" s="3994" t="e">
        <f>INDEX(outputs_oppsum[Todelttverrsnitt],MATCH(_Calcs!$NT$40,outputs_oppsum[stuff_id],0))</f>
        <v>#N/A</v>
      </c>
      <c r="CD31" s="679"/>
      <c r="CE31" s="30" t="e">
        <f>IF(_Calcs!$NT$328=1,"✓","!")</f>
        <v>#N/A</v>
      </c>
      <c r="CF31" s="679"/>
      <c r="CG31" s="1285"/>
      <c r="CH31" s="25"/>
      <c r="CI31" s="1284"/>
      <c r="CJ31" s="679"/>
      <c r="CK31" s="3994" t="e">
        <f>INDEX(outputs_oppsum[Todelttverrsnitt],MATCH(_Calcs!$NU$40,outputs_oppsum[stuff_id],0))</f>
        <v>#N/A</v>
      </c>
      <c r="CL31" s="679"/>
      <c r="CM31" s="30" t="e">
        <f>IF(_Calcs!$NU$328=1,"✓","!")</f>
        <v>#N/A</v>
      </c>
      <c r="CN31" s="679"/>
      <c r="CO31" s="1285"/>
      <c r="CQ31" s="1284"/>
      <c r="CR31" s="679"/>
      <c r="CS31" s="3994" t="e">
        <f>INDEX(outputs_oppsum[Todelttverrsnitt],MATCH(_Calcs!$NV$40,outputs_oppsum[stuff_id],0))</f>
        <v>#N/A</v>
      </c>
      <c r="CT31" s="679"/>
      <c r="CU31" s="30" t="e">
        <f>IF(_Calcs!$NV$328=1,"✓","!")</f>
        <v>#N/A</v>
      </c>
      <c r="CV31" s="679"/>
      <c r="CW31" s="1285"/>
      <c r="CY31" s="1284"/>
      <c r="CZ31" s="679"/>
      <c r="DA31" s="3994" t="e">
        <f>INDEX(outputs_oppsum[Todelttverrsnitt],MATCH(_Calcs!$NW$40,outputs_oppsum[stuff_id],0))</f>
        <v>#N/A</v>
      </c>
      <c r="DB31" s="679"/>
      <c r="DC31" s="30" t="e">
        <f>IF(_Calcs!$NW$328=1,"✓","!")</f>
        <v>#N/A</v>
      </c>
      <c r="DD31" s="679"/>
      <c r="DE31" s="1285"/>
      <c r="DF31" s="70"/>
      <c r="DG31" s="64"/>
      <c r="DH31" s="70"/>
      <c r="DI31" s="70"/>
      <c r="DJ31" s="70"/>
    </row>
    <row r="32" spans="1:114" s="21" customFormat="1" ht="15" customHeight="1" x14ac:dyDescent="0.2">
      <c r="A32" s="25"/>
      <c r="B32" s="25"/>
      <c r="C32" s="941"/>
      <c r="D32" s="25"/>
      <c r="E32" s="700"/>
      <c r="F32" s="6752"/>
      <c r="G32" s="6752"/>
      <c r="H32" s="6752"/>
      <c r="I32" s="6752"/>
      <c r="J32" s="66"/>
      <c r="K32" s="3934"/>
      <c r="L32" s="1304"/>
      <c r="M32" s="1305"/>
      <c r="N32" s="15"/>
      <c r="O32" s="1293"/>
      <c r="P32" s="1298"/>
      <c r="Q32" s="1294"/>
      <c r="R32" s="3872"/>
      <c r="S32" s="1296"/>
      <c r="T32" s="5444"/>
      <c r="U32" s="5442"/>
      <c r="V32" s="1298"/>
      <c r="W32" s="3872"/>
      <c r="X32" s="3872"/>
      <c r="Y32" s="1296"/>
      <c r="Z32" s="2582"/>
      <c r="AA32" s="5442"/>
      <c r="AB32" s="1295"/>
      <c r="AC32" s="5769"/>
      <c r="AD32" s="70"/>
      <c r="AE32" s="6766"/>
      <c r="AF32" s="70"/>
      <c r="AG32" s="3993"/>
      <c r="AH32" s="1323"/>
      <c r="AI32" s="1500"/>
      <c r="AJ32" s="1323"/>
      <c r="AK32" s="1351"/>
      <c r="AM32" s="1284"/>
      <c r="AN32" s="679"/>
      <c r="AO32" s="3998"/>
      <c r="AP32" s="679"/>
      <c r="AQ32" s="962"/>
      <c r="AR32" s="679"/>
      <c r="AS32" s="1285"/>
      <c r="AU32" s="1284"/>
      <c r="AV32" s="679"/>
      <c r="AW32" s="3998"/>
      <c r="AX32" s="679"/>
      <c r="AY32" s="962"/>
      <c r="AZ32" s="679"/>
      <c r="BA32" s="1285"/>
      <c r="BB32" s="25"/>
      <c r="BC32" s="1284"/>
      <c r="BD32" s="679"/>
      <c r="BE32" s="3998"/>
      <c r="BF32" s="679"/>
      <c r="BG32" s="962"/>
      <c r="BH32" s="679"/>
      <c r="BI32" s="1285"/>
      <c r="BK32" s="1284"/>
      <c r="BL32" s="679"/>
      <c r="BM32" s="3998"/>
      <c r="BN32" s="679"/>
      <c r="BO32" s="962"/>
      <c r="BP32" s="679"/>
      <c r="BQ32" s="1285"/>
      <c r="BS32" s="1284"/>
      <c r="BT32" s="679"/>
      <c r="BU32" s="3998"/>
      <c r="BV32" s="679"/>
      <c r="BW32" s="962"/>
      <c r="BX32" s="679"/>
      <c r="BY32" s="1285"/>
      <c r="CA32" s="1284"/>
      <c r="CB32" s="679"/>
      <c r="CC32" s="3998"/>
      <c r="CD32" s="679"/>
      <c r="CE32" s="962"/>
      <c r="CF32" s="679"/>
      <c r="CG32" s="1285"/>
      <c r="CH32" s="25"/>
      <c r="CI32" s="1284"/>
      <c r="CJ32" s="679"/>
      <c r="CK32" s="3998"/>
      <c r="CL32" s="679"/>
      <c r="CM32" s="962"/>
      <c r="CN32" s="679"/>
      <c r="CO32" s="1285"/>
      <c r="CQ32" s="1284"/>
      <c r="CR32" s="679"/>
      <c r="CS32" s="3998"/>
      <c r="CT32" s="679"/>
      <c r="CU32" s="962"/>
      <c r="CV32" s="679"/>
      <c r="CW32" s="1285"/>
      <c r="CY32" s="1284"/>
      <c r="CZ32" s="679"/>
      <c r="DA32" s="3998"/>
      <c r="DB32" s="679"/>
      <c r="DC32" s="962"/>
      <c r="DD32" s="679"/>
      <c r="DE32" s="1285"/>
      <c r="DF32" s="70"/>
      <c r="DG32" s="64"/>
      <c r="DH32" s="70"/>
      <c r="DI32" s="70"/>
      <c r="DJ32" s="70"/>
    </row>
    <row r="33" spans="1:147" s="21" customFormat="1" ht="15" customHeight="1" thickBot="1" x14ac:dyDescent="0.25">
      <c r="A33" s="25"/>
      <c r="B33" s="25"/>
      <c r="C33" s="941"/>
      <c r="D33" s="25"/>
      <c r="E33" s="700"/>
      <c r="F33" s="679"/>
      <c r="G33" s="679"/>
      <c r="H33" s="679"/>
      <c r="I33" s="679"/>
      <c r="J33" s="66"/>
      <c r="K33" s="3934"/>
      <c r="L33" s="1128"/>
      <c r="M33" s="1305"/>
      <c r="N33" s="15"/>
      <c r="O33" s="1293"/>
      <c r="P33" s="1298"/>
      <c r="Q33" s="1294"/>
      <c r="R33" s="1294"/>
      <c r="S33" s="1296"/>
      <c r="T33" s="5444"/>
      <c r="U33" s="5442"/>
      <c r="V33" s="1298"/>
      <c r="W33" s="1294"/>
      <c r="X33" s="1294"/>
      <c r="Y33" s="1296"/>
      <c r="Z33" s="2582"/>
      <c r="AA33" s="5442"/>
      <c r="AB33" s="1295"/>
      <c r="AC33" s="5769"/>
      <c r="AD33" s="70"/>
      <c r="AE33" s="6766"/>
      <c r="AF33" s="70"/>
      <c r="AG33" s="3993"/>
      <c r="AH33" s="3996"/>
      <c r="AI33" s="1500"/>
      <c r="AJ33" s="3996"/>
      <c r="AK33" s="3997"/>
      <c r="AM33" s="1284"/>
      <c r="AN33" s="679"/>
      <c r="AO33" s="1286"/>
      <c r="AP33" s="679"/>
      <c r="AQ33" s="1128"/>
      <c r="AR33" s="679"/>
      <c r="AS33" s="1285"/>
      <c r="AU33" s="1284"/>
      <c r="AV33" s="679"/>
      <c r="AW33" s="1286"/>
      <c r="AX33" s="679"/>
      <c r="AY33" s="1128"/>
      <c r="AZ33" s="679"/>
      <c r="BA33" s="1285"/>
      <c r="BB33" s="25"/>
      <c r="BC33" s="1284"/>
      <c r="BD33" s="679"/>
      <c r="BE33" s="1286"/>
      <c r="BF33" s="679"/>
      <c r="BG33" s="1128"/>
      <c r="BH33" s="679"/>
      <c r="BI33" s="1285"/>
      <c r="BK33" s="1284"/>
      <c r="BL33" s="679"/>
      <c r="BM33" s="1286"/>
      <c r="BN33" s="679"/>
      <c r="BO33" s="1128"/>
      <c r="BP33" s="679"/>
      <c r="BQ33" s="1285"/>
      <c r="BS33" s="1284"/>
      <c r="BT33" s="679"/>
      <c r="BU33" s="1286"/>
      <c r="BV33" s="679"/>
      <c r="BW33" s="1128"/>
      <c r="BX33" s="679"/>
      <c r="BY33" s="1285"/>
      <c r="CA33" s="1284"/>
      <c r="CB33" s="679"/>
      <c r="CC33" s="1286"/>
      <c r="CD33" s="679"/>
      <c r="CE33" s="1128"/>
      <c r="CF33" s="679"/>
      <c r="CG33" s="1285"/>
      <c r="CH33" s="25"/>
      <c r="CI33" s="1284"/>
      <c r="CJ33" s="679"/>
      <c r="CK33" s="1286"/>
      <c r="CL33" s="679"/>
      <c r="CM33" s="1128"/>
      <c r="CN33" s="679"/>
      <c r="CO33" s="1285"/>
      <c r="CQ33" s="1284"/>
      <c r="CR33" s="679"/>
      <c r="CS33" s="1286"/>
      <c r="CT33" s="679"/>
      <c r="CU33" s="1128"/>
      <c r="CV33" s="679"/>
      <c r="CW33" s="1285"/>
      <c r="CY33" s="1284"/>
      <c r="CZ33" s="679"/>
      <c r="DA33" s="1286"/>
      <c r="DB33" s="679"/>
      <c r="DC33" s="1128"/>
      <c r="DD33" s="679"/>
      <c r="DE33" s="1285"/>
      <c r="DF33" s="70"/>
      <c r="DG33" s="64"/>
      <c r="DH33" s="70"/>
      <c r="DI33" s="70"/>
      <c r="DJ33" s="70"/>
    </row>
    <row r="34" spans="1:147" s="21" customFormat="1" ht="20.100000000000001" customHeight="1" thickBot="1" x14ac:dyDescent="0.25">
      <c r="A34" s="25"/>
      <c r="B34" s="25"/>
      <c r="C34" s="941"/>
      <c r="D34" s="25"/>
      <c r="E34" s="700"/>
      <c r="F34" s="6752" t="s">
        <v>2375</v>
      </c>
      <c r="G34" s="6752"/>
      <c r="H34" s="6752"/>
      <c r="I34" s="6752"/>
      <c r="J34" s="66"/>
      <c r="K34" s="3934"/>
      <c r="L34" s="1304"/>
      <c r="M34" s="1305"/>
      <c r="N34" s="15"/>
      <c r="O34" s="1293"/>
      <c r="P34" s="2445" t="str">
        <f>_Calcs!$BJ$221</f>
        <v>!</v>
      </c>
      <c r="Q34" s="1294"/>
      <c r="R34" s="2514" t="str">
        <f>_Kapasitet!W42</f>
        <v>Standard</v>
      </c>
      <c r="S34" s="1296"/>
      <c r="T34" s="5444"/>
      <c r="U34" s="5442"/>
      <c r="V34" s="2445" t="str">
        <f>IF(_Calcs!$BC$36=1,_Calcs!$BJ$222,"")</f>
        <v/>
      </c>
      <c r="W34" s="1295"/>
      <c r="X34" s="2514" t="str">
        <f>IF(_Calcs!BC36&lt;&gt;0,_Kapasitet!$W$57,"")</f>
        <v/>
      </c>
      <c r="Y34" s="1296"/>
      <c r="Z34" s="2582"/>
      <c r="AA34" s="5442"/>
      <c r="AB34" s="1295" t="s">
        <v>99</v>
      </c>
      <c r="AC34" s="5769"/>
      <c r="AD34" s="70"/>
      <c r="AE34" s="6766"/>
      <c r="AF34" s="70"/>
      <c r="AG34" s="3999"/>
      <c r="AH34" s="6738" t="s">
        <v>46</v>
      </c>
      <c r="AI34" s="6738"/>
      <c r="AJ34" s="6738"/>
      <c r="AK34" s="1351"/>
      <c r="AM34" s="1284"/>
      <c r="AN34" s="679"/>
      <c r="AO34" s="3994">
        <f>INDEX(outputs_oppsum[Redusertsalvelengdeogtodelttverrsnitt],MATCH(_Calcs!$NO$40,outputs_oppsum[stuff_id],0))</f>
        <v>0</v>
      </c>
      <c r="AP34" s="679"/>
      <c r="AQ34" s="30" t="str">
        <f>IF(_Calcs!$NO$329=1,"✓","!")</f>
        <v>!</v>
      </c>
      <c r="AR34" s="679"/>
      <c r="AS34" s="1285"/>
      <c r="AU34" s="1284"/>
      <c r="AV34" s="679"/>
      <c r="AW34" s="3994" t="e">
        <f>INDEX(outputs_oppsum[Redusertsalvelengdeogtodelttverrsnitt],MATCH(_Calcs!$NP$40,outputs_oppsum[stuff_id],0))</f>
        <v>#N/A</v>
      </c>
      <c r="AX34" s="679"/>
      <c r="AY34" s="30" t="e">
        <f>IF(_Calcs!$NP$329=1,"✓","!")</f>
        <v>#N/A</v>
      </c>
      <c r="AZ34" s="679"/>
      <c r="BA34" s="1285"/>
      <c r="BB34" s="25"/>
      <c r="BC34" s="1284"/>
      <c r="BD34" s="679"/>
      <c r="BE34" s="3994" t="e">
        <f>INDEX(outputs_oppsum[Redusertsalvelengdeogtodelttverrsnitt],MATCH(_Calcs!$NQ$40,outputs_oppsum[stuff_id],0))</f>
        <v>#N/A</v>
      </c>
      <c r="BF34" s="679"/>
      <c r="BG34" s="30" t="e">
        <f>IF(_Calcs!$NQ$329=1,"✓","!")</f>
        <v>#N/A</v>
      </c>
      <c r="BH34" s="679"/>
      <c r="BI34" s="1285"/>
      <c r="BK34" s="1284"/>
      <c r="BL34" s="679"/>
      <c r="BM34" s="3994" t="e">
        <f>INDEX(outputs_oppsum[Redusertsalvelengdeogtodelttverrsnitt],MATCH(_Calcs!$NR$40,outputs_oppsum[stuff_id],0))</f>
        <v>#N/A</v>
      </c>
      <c r="BN34" s="679"/>
      <c r="BO34" s="30" t="e">
        <f>IF(_Calcs!$NR$329=1,"✓","!")</f>
        <v>#N/A</v>
      </c>
      <c r="BP34" s="679"/>
      <c r="BQ34" s="1285"/>
      <c r="BS34" s="1284"/>
      <c r="BT34" s="679"/>
      <c r="BU34" s="3994" t="e">
        <f>INDEX(outputs_oppsum[Redusertsalvelengdeogtodelttverrsnitt],MATCH(_Calcs!$NS$40,outputs_oppsum[stuff_id],0))</f>
        <v>#N/A</v>
      </c>
      <c r="BV34" s="679"/>
      <c r="BW34" s="30" t="e">
        <f>IF(_Calcs!$NS$329=1,"✓","!")</f>
        <v>#N/A</v>
      </c>
      <c r="BX34" s="679"/>
      <c r="BY34" s="1285"/>
      <c r="CA34" s="1284"/>
      <c r="CB34" s="679"/>
      <c r="CC34" s="3994" t="e">
        <f>INDEX(outputs_oppsum[Redusertsalvelengdeogtodelttverrsnitt],MATCH(_Calcs!$NT$40,outputs_oppsum[stuff_id],0))</f>
        <v>#N/A</v>
      </c>
      <c r="CD34" s="679"/>
      <c r="CE34" s="30" t="e">
        <f>IF(_Calcs!$NT$329=1,"✓","!")</f>
        <v>#N/A</v>
      </c>
      <c r="CF34" s="679"/>
      <c r="CG34" s="1285"/>
      <c r="CH34" s="25"/>
      <c r="CI34" s="1284"/>
      <c r="CJ34" s="679"/>
      <c r="CK34" s="3994" t="e">
        <f>INDEX(outputs_oppsum[Redusertsalvelengdeogtodelttverrsnitt],MATCH(_Calcs!$NU$40,outputs_oppsum[stuff_id],0))</f>
        <v>#N/A</v>
      </c>
      <c r="CL34" s="679"/>
      <c r="CM34" s="30" t="e">
        <f>IF(_Calcs!$NU$329=1,"✓","!")</f>
        <v>#N/A</v>
      </c>
      <c r="CN34" s="679"/>
      <c r="CO34" s="1285"/>
      <c r="CQ34" s="1284"/>
      <c r="CR34" s="679"/>
      <c r="CS34" s="3994" t="e">
        <f>INDEX(outputs_oppsum[Redusertsalvelengdeogtodelttverrsnitt],MATCH(_Calcs!$NV$40,outputs_oppsum[stuff_id],0))</f>
        <v>#N/A</v>
      </c>
      <c r="CT34" s="679"/>
      <c r="CU34" s="30" t="e">
        <f>IF(_Calcs!$NV$329=1,"✓","!")</f>
        <v>#N/A</v>
      </c>
      <c r="CV34" s="679"/>
      <c r="CW34" s="1285"/>
      <c r="CY34" s="1284"/>
      <c r="CZ34" s="679"/>
      <c r="DA34" s="3994" t="e">
        <f>INDEX(outputs_oppsum[Redusertsalvelengdeogtodelttverrsnitt],MATCH(_Calcs!$NW$40,outputs_oppsum[stuff_id],0))</f>
        <v>#N/A</v>
      </c>
      <c r="DB34" s="679"/>
      <c r="DC34" s="30" t="e">
        <f>IF(_Calcs!$NW$329=1,"✓","!")</f>
        <v>#N/A</v>
      </c>
      <c r="DD34" s="679"/>
      <c r="DE34" s="1285"/>
      <c r="DF34" s="70"/>
      <c r="DG34" s="64"/>
      <c r="DH34" s="70"/>
      <c r="DI34" s="70"/>
      <c r="DJ34" s="70"/>
    </row>
    <row r="35" spans="1:147" s="21" customFormat="1" ht="15" customHeight="1" thickBot="1" x14ac:dyDescent="0.25">
      <c r="A35" s="25"/>
      <c r="B35" s="25"/>
      <c r="C35" s="941"/>
      <c r="D35" s="25"/>
      <c r="E35" s="700"/>
      <c r="F35" s="6752"/>
      <c r="G35" s="6752"/>
      <c r="H35" s="6752"/>
      <c r="I35" s="6752"/>
      <c r="J35" s="66"/>
      <c r="K35" s="3934"/>
      <c r="L35" s="928"/>
      <c r="M35" s="1305"/>
      <c r="N35" s="15"/>
      <c r="O35" s="1299"/>
      <c r="P35" s="1300"/>
      <c r="Q35" s="1300"/>
      <c r="R35" s="1312"/>
      <c r="S35" s="1302"/>
      <c r="T35" s="5770"/>
      <c r="U35" s="5443"/>
      <c r="V35" s="1300"/>
      <c r="W35" s="1300"/>
      <c r="X35" s="1312"/>
      <c r="Y35" s="1302"/>
      <c r="Z35" s="2583"/>
      <c r="AA35" s="5443"/>
      <c r="AB35" s="1301"/>
      <c r="AC35" s="5773"/>
      <c r="AD35" s="70"/>
      <c r="AE35" s="6766"/>
      <c r="AF35" s="70"/>
      <c r="AG35" s="4000"/>
      <c r="AH35" s="4001"/>
      <c r="AI35" s="1503"/>
      <c r="AJ35" s="4001"/>
      <c r="AK35" s="4002"/>
      <c r="AM35" s="702"/>
      <c r="AN35" s="930"/>
      <c r="AO35" s="1287"/>
      <c r="AP35" s="930"/>
      <c r="AQ35" s="930"/>
      <c r="AR35" s="930"/>
      <c r="AS35" s="931"/>
      <c r="AU35" s="702"/>
      <c r="AV35" s="930"/>
      <c r="AW35" s="1287"/>
      <c r="AX35" s="930"/>
      <c r="AY35" s="930"/>
      <c r="AZ35" s="930"/>
      <c r="BA35" s="931"/>
      <c r="BB35" s="25"/>
      <c r="BC35" s="702"/>
      <c r="BD35" s="930"/>
      <c r="BE35" s="1287"/>
      <c r="BF35" s="930"/>
      <c r="BG35" s="930"/>
      <c r="BH35" s="930"/>
      <c r="BI35" s="931"/>
      <c r="BK35" s="702"/>
      <c r="BL35" s="930"/>
      <c r="BM35" s="1287"/>
      <c r="BN35" s="930"/>
      <c r="BO35" s="930"/>
      <c r="BP35" s="930"/>
      <c r="BQ35" s="931"/>
      <c r="BS35" s="702"/>
      <c r="BT35" s="930"/>
      <c r="BU35" s="1287"/>
      <c r="BV35" s="930"/>
      <c r="BW35" s="930"/>
      <c r="BX35" s="930"/>
      <c r="BY35" s="931"/>
      <c r="CA35" s="702"/>
      <c r="CB35" s="930"/>
      <c r="CC35" s="1287"/>
      <c r="CD35" s="930"/>
      <c r="CE35" s="930"/>
      <c r="CF35" s="930"/>
      <c r="CG35" s="931"/>
      <c r="CH35" s="25"/>
      <c r="CI35" s="702"/>
      <c r="CJ35" s="930"/>
      <c r="CK35" s="1287"/>
      <c r="CL35" s="930"/>
      <c r="CM35" s="930"/>
      <c r="CN35" s="930"/>
      <c r="CO35" s="931"/>
      <c r="CQ35" s="702"/>
      <c r="CR35" s="930"/>
      <c r="CS35" s="1287"/>
      <c r="CT35" s="930"/>
      <c r="CU35" s="930"/>
      <c r="CV35" s="930"/>
      <c r="CW35" s="931"/>
      <c r="CY35" s="702"/>
      <c r="CZ35" s="930"/>
      <c r="DA35" s="1287"/>
      <c r="DB35" s="930"/>
      <c r="DC35" s="930"/>
      <c r="DD35" s="930"/>
      <c r="DE35" s="931"/>
      <c r="DF35" s="70"/>
      <c r="DG35" s="63"/>
      <c r="DH35" s="70"/>
      <c r="DI35" s="70"/>
      <c r="DJ35" s="70"/>
    </row>
    <row r="36" spans="1:147" s="21" customFormat="1" ht="9.9499999999999993" customHeight="1" x14ac:dyDescent="0.2">
      <c r="A36" s="25"/>
      <c r="B36" s="25"/>
      <c r="C36" s="941"/>
      <c r="D36" s="25"/>
      <c r="E36" s="700"/>
      <c r="F36" s="3923"/>
      <c r="G36" s="3923"/>
      <c r="H36" s="3923"/>
      <c r="I36" s="3936"/>
      <c r="J36" s="66"/>
      <c r="K36" s="3934"/>
      <c r="L36" s="928"/>
      <c r="M36" s="1305"/>
      <c r="N36" s="15"/>
      <c r="O36" s="15"/>
      <c r="P36" s="14"/>
      <c r="Q36" s="14"/>
      <c r="R36" s="13"/>
      <c r="S36" s="20"/>
      <c r="T36" s="20"/>
      <c r="U36" s="14"/>
      <c r="V36" s="14"/>
      <c r="W36" s="14"/>
      <c r="X36" s="13"/>
      <c r="Y36" s="14"/>
      <c r="Z36" s="20"/>
      <c r="AA36" s="14"/>
      <c r="AB36" s="15"/>
      <c r="AC36" s="15"/>
      <c r="AD36" s="70"/>
      <c r="AE36" s="6766"/>
      <c r="AF36" s="70"/>
      <c r="AG36" s="70"/>
      <c r="AH36" s="572"/>
      <c r="AI36" s="572"/>
      <c r="AJ36" s="572"/>
      <c r="AK36" s="70"/>
      <c r="AM36" s="14"/>
      <c r="AN36" s="14"/>
      <c r="AO36" s="1147"/>
      <c r="AP36" s="14"/>
      <c r="AQ36" s="14"/>
      <c r="AR36" s="14"/>
      <c r="AS36" s="14"/>
      <c r="AU36" s="14"/>
      <c r="AV36" s="14"/>
      <c r="AW36" s="1147"/>
      <c r="AX36" s="14"/>
      <c r="AY36" s="14"/>
      <c r="AZ36" s="14"/>
      <c r="BA36" s="14"/>
      <c r="BB36" s="25"/>
      <c r="BC36" s="14"/>
      <c r="BD36" s="14"/>
      <c r="BE36" s="1147"/>
      <c r="BF36" s="14"/>
      <c r="BG36" s="14"/>
      <c r="BH36" s="14"/>
      <c r="BI36" s="14"/>
      <c r="BK36" s="14"/>
      <c r="BL36" s="14"/>
      <c r="BM36" s="1147"/>
      <c r="BN36" s="14"/>
      <c r="BO36" s="14"/>
      <c r="BP36" s="14"/>
      <c r="BQ36" s="14"/>
      <c r="BS36" s="14"/>
      <c r="BT36" s="14"/>
      <c r="BU36" s="1147"/>
      <c r="BV36" s="14"/>
      <c r="BW36" s="14"/>
      <c r="BX36" s="14"/>
      <c r="BY36" s="14"/>
      <c r="CA36" s="14"/>
      <c r="CB36" s="14"/>
      <c r="CC36" s="1147"/>
      <c r="CD36" s="14"/>
      <c r="CE36" s="14"/>
      <c r="CF36" s="14"/>
      <c r="CG36" s="14"/>
      <c r="CH36" s="25"/>
      <c r="CI36" s="14"/>
      <c r="CJ36" s="14"/>
      <c r="CK36" s="1147"/>
      <c r="CL36" s="14"/>
      <c r="CM36" s="14"/>
      <c r="CN36" s="14"/>
      <c r="CO36" s="14"/>
      <c r="CQ36" s="14"/>
      <c r="CR36" s="14"/>
      <c r="CS36" s="1147"/>
      <c r="CT36" s="14"/>
      <c r="CU36" s="14"/>
      <c r="CV36" s="14"/>
      <c r="CW36" s="14"/>
      <c r="CY36" s="14"/>
      <c r="CZ36" s="14"/>
      <c r="DA36" s="1147"/>
      <c r="DB36" s="14"/>
      <c r="DC36" s="14"/>
      <c r="DD36" s="14"/>
      <c r="DE36" s="14"/>
      <c r="DF36" s="70"/>
      <c r="DG36" s="14"/>
      <c r="DH36" s="70"/>
      <c r="DI36" s="70"/>
      <c r="DJ36" s="70"/>
    </row>
    <row r="37" spans="1:147" s="21" customFormat="1" ht="8.1" customHeight="1" thickBot="1" x14ac:dyDescent="0.25">
      <c r="A37" s="25"/>
      <c r="B37" s="25"/>
      <c r="C37" s="941"/>
      <c r="D37" s="25"/>
      <c r="E37" s="702"/>
      <c r="F37" s="1308"/>
      <c r="G37" s="1308"/>
      <c r="H37" s="1308"/>
      <c r="I37" s="1308"/>
      <c r="J37" s="705"/>
      <c r="K37" s="717"/>
      <c r="L37" s="930"/>
      <c r="M37" s="1309"/>
      <c r="N37" s="15"/>
      <c r="O37" s="1218"/>
      <c r="P37" s="1218"/>
      <c r="Q37" s="1218"/>
      <c r="R37" s="5402"/>
      <c r="S37" s="1218"/>
      <c r="T37" s="5440"/>
      <c r="U37" s="1218"/>
      <c r="V37" s="1218"/>
      <c r="W37" s="1218"/>
      <c r="X37" s="5402"/>
      <c r="Y37" s="1218"/>
      <c r="Z37" s="5440"/>
      <c r="AA37" s="1218"/>
      <c r="AB37" s="2005"/>
      <c r="AC37" s="2005"/>
      <c r="AD37" s="70"/>
      <c r="AE37" s="6766"/>
      <c r="AF37" s="70"/>
      <c r="AG37" s="4003"/>
      <c r="AH37" s="4117"/>
      <c r="AI37" s="1501"/>
      <c r="AJ37" s="1501"/>
      <c r="AK37" s="1501"/>
      <c r="AM37" s="1218"/>
      <c r="AN37" s="1218"/>
      <c r="AO37" s="1218"/>
      <c r="AP37" s="1218"/>
      <c r="AQ37" s="1218"/>
      <c r="AR37" s="1218"/>
      <c r="AS37" s="1218"/>
      <c r="AU37" s="1218"/>
      <c r="AV37" s="1218"/>
      <c r="AW37" s="1218"/>
      <c r="AX37" s="1218"/>
      <c r="AY37" s="1218"/>
      <c r="AZ37" s="1218"/>
      <c r="BA37" s="1218"/>
      <c r="BC37" s="1218"/>
      <c r="BD37" s="1218"/>
      <c r="BE37" s="1218"/>
      <c r="BF37" s="1218"/>
      <c r="BG37" s="1218"/>
      <c r="BH37" s="1218"/>
      <c r="BI37" s="1218"/>
      <c r="BK37" s="1218"/>
      <c r="BL37" s="1218"/>
      <c r="BM37" s="1218"/>
      <c r="BN37" s="1218"/>
      <c r="BO37" s="1218"/>
      <c r="BP37" s="1218"/>
      <c r="BQ37" s="1218"/>
      <c r="BS37" s="1218"/>
      <c r="BT37" s="1218"/>
      <c r="BU37" s="1218"/>
      <c r="BV37" s="1218"/>
      <c r="BW37" s="1218"/>
      <c r="BX37" s="1218"/>
      <c r="BY37" s="1218"/>
      <c r="CA37" s="1218"/>
      <c r="CB37" s="1218"/>
      <c r="CC37" s="1218"/>
      <c r="CD37" s="1218"/>
      <c r="CE37" s="1218"/>
      <c r="CF37" s="1218"/>
      <c r="CG37" s="1218"/>
      <c r="CI37" s="1218"/>
      <c r="CJ37" s="1218"/>
      <c r="CK37" s="1218"/>
      <c r="CL37" s="1218"/>
      <c r="CM37" s="1218"/>
      <c r="CN37" s="1218"/>
      <c r="CO37" s="1218"/>
      <c r="CQ37" s="1218"/>
      <c r="CR37" s="1218"/>
      <c r="CS37" s="1218"/>
      <c r="CT37" s="1218"/>
      <c r="CU37" s="1218"/>
      <c r="CV37" s="1218"/>
      <c r="CW37" s="1218"/>
      <c r="CY37" s="1218"/>
      <c r="CZ37" s="1218"/>
      <c r="DA37" s="1218"/>
      <c r="DB37" s="1218"/>
      <c r="DC37" s="1218"/>
      <c r="DD37" s="1218"/>
      <c r="DE37" s="1218"/>
      <c r="DF37" s="70"/>
      <c r="DG37" s="1218"/>
      <c r="DH37" s="70"/>
      <c r="DI37" s="70"/>
      <c r="DJ37" s="70"/>
    </row>
    <row r="38" spans="1:147" s="21" customFormat="1" ht="8.1" customHeight="1" x14ac:dyDescent="0.2">
      <c r="A38" s="25"/>
      <c r="B38" s="25"/>
      <c r="C38" s="941"/>
      <c r="D38" s="25"/>
      <c r="E38" s="14"/>
      <c r="F38" s="1310"/>
      <c r="G38" s="1310"/>
      <c r="H38" s="1310"/>
      <c r="I38" s="1310"/>
      <c r="J38" s="13"/>
      <c r="K38" s="15"/>
      <c r="L38" s="14"/>
      <c r="M38" s="15"/>
      <c r="N38" s="15"/>
      <c r="O38" s="15"/>
      <c r="P38" s="14"/>
      <c r="Q38" s="14"/>
      <c r="R38" s="13"/>
      <c r="S38" s="20"/>
      <c r="T38" s="20"/>
      <c r="U38" s="14"/>
      <c r="V38" s="14"/>
      <c r="W38" s="14"/>
      <c r="X38" s="13"/>
      <c r="Y38" s="14"/>
      <c r="Z38" s="20"/>
      <c r="AA38" s="14"/>
      <c r="AB38" s="15"/>
      <c r="AC38" s="15"/>
      <c r="AD38" s="70"/>
      <c r="AE38" s="6766"/>
      <c r="AF38" s="70"/>
      <c r="AG38" s="25"/>
      <c r="AH38" s="1322"/>
      <c r="AI38" s="1322"/>
      <c r="AJ38" s="1322"/>
      <c r="AK38" s="70"/>
      <c r="AM38" s="14"/>
      <c r="AN38" s="14"/>
      <c r="AO38" s="1147"/>
      <c r="AP38" s="14"/>
      <c r="AQ38" s="14"/>
      <c r="AR38" s="14"/>
      <c r="AS38" s="14"/>
      <c r="AU38" s="14"/>
      <c r="AV38" s="14"/>
      <c r="AW38" s="1147"/>
      <c r="AX38" s="14"/>
      <c r="AY38" s="14"/>
      <c r="AZ38" s="14"/>
      <c r="BA38" s="14"/>
      <c r="BB38" s="25"/>
      <c r="BC38" s="14"/>
      <c r="BD38" s="14"/>
      <c r="BE38" s="1147"/>
      <c r="BF38" s="14"/>
      <c r="BG38" s="14"/>
      <c r="BH38" s="14"/>
      <c r="BI38" s="14"/>
      <c r="BK38" s="14"/>
      <c r="BL38" s="14"/>
      <c r="BM38" s="1147"/>
      <c r="BN38" s="14"/>
      <c r="BO38" s="14"/>
      <c r="BP38" s="14"/>
      <c r="BQ38" s="14"/>
      <c r="BS38" s="14"/>
      <c r="BT38" s="14"/>
      <c r="BU38" s="1147"/>
      <c r="BV38" s="14"/>
      <c r="BW38" s="14"/>
      <c r="BX38" s="14"/>
      <c r="BY38" s="14"/>
      <c r="CA38" s="14"/>
      <c r="CB38" s="14"/>
      <c r="CC38" s="1147"/>
      <c r="CD38" s="14"/>
      <c r="CE38" s="14"/>
      <c r="CF38" s="14"/>
      <c r="CG38" s="14"/>
      <c r="CH38" s="25"/>
      <c r="CI38" s="14"/>
      <c r="CJ38" s="14"/>
      <c r="CK38" s="1147"/>
      <c r="CL38" s="14"/>
      <c r="CM38" s="14"/>
      <c r="CN38" s="14"/>
      <c r="CO38" s="14"/>
      <c r="CQ38" s="14"/>
      <c r="CR38" s="14"/>
      <c r="CS38" s="1147"/>
      <c r="CT38" s="14"/>
      <c r="CU38" s="14"/>
      <c r="CV38" s="14"/>
      <c r="CW38" s="14"/>
      <c r="CY38" s="14"/>
      <c r="CZ38" s="14"/>
      <c r="DA38" s="1147"/>
      <c r="DB38" s="14"/>
      <c r="DC38" s="14"/>
      <c r="DD38" s="14"/>
      <c r="DE38" s="14"/>
      <c r="DF38" s="70"/>
      <c r="DG38" s="14"/>
      <c r="DH38" s="70"/>
      <c r="DI38" s="70"/>
      <c r="DJ38" s="70"/>
    </row>
    <row r="39" spans="1:147" s="21" customFormat="1" ht="15" customHeight="1" thickBot="1" x14ac:dyDescent="0.25">
      <c r="A39" s="25"/>
      <c r="B39" s="25"/>
      <c r="C39" s="941"/>
      <c r="D39" s="25"/>
      <c r="E39" s="37"/>
      <c r="F39" s="37"/>
      <c r="G39" s="37"/>
      <c r="H39" s="37"/>
      <c r="I39" s="37"/>
      <c r="J39" s="2065"/>
      <c r="K39" s="170"/>
      <c r="L39" s="37"/>
      <c r="M39" s="170"/>
      <c r="N39" s="170"/>
      <c r="O39" s="170"/>
      <c r="P39" s="37"/>
      <c r="Q39" s="37"/>
      <c r="R39" s="5761"/>
      <c r="S39" s="37"/>
      <c r="T39" s="37"/>
      <c r="U39" s="37"/>
      <c r="V39" s="37"/>
      <c r="W39" s="2515"/>
      <c r="X39" s="5761"/>
      <c r="Y39" s="37"/>
      <c r="Z39" s="37"/>
      <c r="AA39" s="37"/>
      <c r="AB39" s="170"/>
      <c r="AC39" s="170"/>
      <c r="AD39" s="70"/>
      <c r="AE39" s="6766"/>
      <c r="AF39" s="70"/>
      <c r="AH39" s="15"/>
      <c r="AI39" s="15"/>
      <c r="AJ39" s="15"/>
      <c r="AK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37"/>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37"/>
      <c r="CY39" s="70"/>
      <c r="CZ39" s="70"/>
      <c r="DA39" s="70"/>
      <c r="DB39" s="70"/>
      <c r="DC39" s="70"/>
      <c r="DD39" s="70"/>
      <c r="DE39" s="70"/>
      <c r="DF39" s="70"/>
      <c r="DG39" s="37"/>
      <c r="DH39" s="70"/>
      <c r="DI39" s="70"/>
      <c r="DJ39" s="70"/>
    </row>
    <row r="40" spans="1:147" s="21" customFormat="1" ht="39.950000000000003" customHeight="1" thickBot="1" x14ac:dyDescent="0.25">
      <c r="A40" s="25"/>
      <c r="B40" s="25"/>
      <c r="C40" s="941"/>
      <c r="D40" s="25"/>
      <c r="E40" s="948"/>
      <c r="F40" s="6768" t="str">
        <f>_Calcs!$M$34</f>
        <v>Berguttak grøfter, nisjer og bergrom</v>
      </c>
      <c r="G40" s="6768"/>
      <c r="H40" s="6768"/>
      <c r="I40" s="6768"/>
      <c r="J40" s="6768"/>
      <c r="K40" s="6768"/>
      <c r="L40" s="6768"/>
      <c r="M40" s="1278"/>
      <c r="N40" s="15"/>
      <c r="O40" s="15"/>
      <c r="P40" s="15"/>
      <c r="Q40" s="15"/>
      <c r="R40" s="13"/>
      <c r="S40" s="15"/>
      <c r="T40" s="15"/>
      <c r="U40" s="15"/>
      <c r="V40" s="15"/>
      <c r="W40" s="15"/>
      <c r="X40" s="13"/>
      <c r="Y40" s="15"/>
      <c r="Z40" s="15"/>
      <c r="AA40" s="15"/>
      <c r="AB40" s="15"/>
      <c r="AC40" s="15"/>
      <c r="AD40" s="70"/>
      <c r="AE40" s="6766"/>
      <c r="AF40" s="70"/>
      <c r="AG40" s="70"/>
      <c r="AH40" s="18"/>
      <c r="AI40" s="18"/>
      <c r="AJ40" s="18"/>
      <c r="AK40" s="70"/>
      <c r="AL40" s="70"/>
      <c r="AO40" s="22"/>
      <c r="AQ40" s="19"/>
      <c r="AT40" s="70"/>
      <c r="AW40" s="22"/>
      <c r="AY40" s="19"/>
      <c r="BB40" s="25"/>
      <c r="BE40" s="22"/>
      <c r="BG40" s="19"/>
      <c r="BJ40" s="70"/>
      <c r="BM40" s="22"/>
      <c r="BO40" s="19"/>
      <c r="BR40" s="70"/>
      <c r="BU40" s="22"/>
      <c r="BW40" s="19"/>
      <c r="BZ40" s="70"/>
      <c r="CC40" s="22"/>
      <c r="CE40" s="19"/>
      <c r="CH40" s="25"/>
      <c r="CK40" s="22"/>
      <c r="CM40" s="19"/>
      <c r="CP40" s="70"/>
      <c r="CS40" s="22"/>
      <c r="CU40" s="19"/>
      <c r="CX40" s="70"/>
      <c r="DA40" s="22"/>
      <c r="DC40" s="19"/>
      <c r="DF40" s="70"/>
      <c r="DH40" s="70"/>
      <c r="DI40" s="70"/>
      <c r="DJ40" s="70"/>
    </row>
    <row r="41" spans="1:147" s="21" customFormat="1" ht="15" customHeight="1" thickBot="1" x14ac:dyDescent="0.25">
      <c r="A41" s="25"/>
      <c r="B41" s="25"/>
      <c r="C41" s="941"/>
      <c r="D41" s="25"/>
      <c r="E41" s="950"/>
      <c r="F41" s="6769"/>
      <c r="G41" s="6769"/>
      <c r="H41" s="6769"/>
      <c r="I41" s="6769"/>
      <c r="J41" s="6769"/>
      <c r="K41" s="6769"/>
      <c r="L41" s="6769"/>
      <c r="M41" s="1279"/>
      <c r="N41" s="15"/>
      <c r="O41" s="6756" t="s">
        <v>1009</v>
      </c>
      <c r="P41" s="6757"/>
      <c r="Q41" s="6757"/>
      <c r="R41" s="6757"/>
      <c r="S41" s="6758"/>
      <c r="T41" s="5757"/>
      <c r="U41" s="6761" t="str">
        <f>IF(_Calcs!$BC$36=1," Tverrslag","")</f>
        <v/>
      </c>
      <c r="V41" s="6762"/>
      <c r="W41" s="6762"/>
      <c r="X41" s="6762"/>
      <c r="Y41" s="6763"/>
      <c r="Z41" s="15"/>
      <c r="AA41" s="15"/>
      <c r="AB41" s="15"/>
      <c r="AC41" s="15"/>
      <c r="AD41" s="70"/>
      <c r="AE41" s="6766"/>
      <c r="AF41" s="70"/>
      <c r="AG41" s="4004"/>
      <c r="AH41" s="4005"/>
      <c r="AI41" s="4006"/>
      <c r="AJ41" s="4005"/>
      <c r="AK41" s="4007"/>
      <c r="AL41" s="70"/>
      <c r="AM41" s="1280"/>
      <c r="AN41" s="721"/>
      <c r="AO41" s="725"/>
      <c r="AP41" s="721"/>
      <c r="AQ41" s="1114"/>
      <c r="AR41" s="721"/>
      <c r="AS41" s="1281"/>
      <c r="AT41" s="70"/>
      <c r="AU41" s="1280"/>
      <c r="AV41" s="721"/>
      <c r="AW41" s="725"/>
      <c r="AX41" s="721"/>
      <c r="AY41" s="1114"/>
      <c r="AZ41" s="721"/>
      <c r="BA41" s="1281"/>
      <c r="BB41" s="25"/>
      <c r="BC41" s="1280"/>
      <c r="BD41" s="721"/>
      <c r="BE41" s="725"/>
      <c r="BF41" s="721"/>
      <c r="BG41" s="1114"/>
      <c r="BH41" s="721"/>
      <c r="BI41" s="1281"/>
      <c r="BJ41" s="70"/>
      <c r="BK41" s="1280"/>
      <c r="BL41" s="721"/>
      <c r="BM41" s="725"/>
      <c r="BN41" s="721"/>
      <c r="BO41" s="1114"/>
      <c r="BP41" s="721"/>
      <c r="BQ41" s="1281"/>
      <c r="BR41" s="70"/>
      <c r="BS41" s="1280"/>
      <c r="BT41" s="721"/>
      <c r="BU41" s="725"/>
      <c r="BV41" s="721"/>
      <c r="BW41" s="1114"/>
      <c r="BX41" s="721"/>
      <c r="BY41" s="1281"/>
      <c r="BZ41" s="70"/>
      <c r="CA41" s="1280"/>
      <c r="CB41" s="721"/>
      <c r="CC41" s="725"/>
      <c r="CD41" s="721"/>
      <c r="CE41" s="1114"/>
      <c r="CF41" s="721"/>
      <c r="CG41" s="1281"/>
      <c r="CH41" s="25"/>
      <c r="CI41" s="1280"/>
      <c r="CJ41" s="721"/>
      <c r="CK41" s="725"/>
      <c r="CL41" s="721"/>
      <c r="CM41" s="1114"/>
      <c r="CN41" s="721"/>
      <c r="CO41" s="1281"/>
      <c r="CP41" s="70"/>
      <c r="CQ41" s="1280"/>
      <c r="CR41" s="721"/>
      <c r="CS41" s="725"/>
      <c r="CT41" s="721"/>
      <c r="CU41" s="1114"/>
      <c r="CV41" s="721"/>
      <c r="CW41" s="1281"/>
      <c r="CX41" s="70"/>
      <c r="CY41" s="1280"/>
      <c r="CZ41" s="721"/>
      <c r="DA41" s="725"/>
      <c r="DB41" s="721"/>
      <c r="DC41" s="1114"/>
      <c r="DD41" s="721"/>
      <c r="DE41" s="1281"/>
      <c r="DF41" s="70"/>
      <c r="DG41" s="169"/>
      <c r="DH41" s="70"/>
      <c r="DI41" s="70"/>
      <c r="DJ41" s="70"/>
    </row>
    <row r="42" spans="1:147" s="21" customFormat="1" ht="8.1" customHeight="1" thickBot="1" x14ac:dyDescent="0.25">
      <c r="A42" s="25"/>
      <c r="B42" s="25"/>
      <c r="C42" s="941"/>
      <c r="D42" s="25"/>
      <c r="E42" s="14"/>
      <c r="F42" s="129"/>
      <c r="G42" s="129"/>
      <c r="H42" s="129"/>
      <c r="I42" s="129"/>
      <c r="J42" s="16"/>
      <c r="K42" s="15"/>
      <c r="L42" s="50"/>
      <c r="M42" s="15"/>
      <c r="N42" s="15"/>
      <c r="O42" s="15"/>
      <c r="P42" s="90"/>
      <c r="Q42" s="13"/>
      <c r="R42" s="13"/>
      <c r="S42" s="13"/>
      <c r="T42" s="13"/>
      <c r="U42" s="13"/>
      <c r="V42" s="90"/>
      <c r="W42" s="13"/>
      <c r="X42" s="13"/>
      <c r="Y42" s="13"/>
      <c r="Z42" s="13"/>
      <c r="AA42" s="13"/>
      <c r="AB42" s="15"/>
      <c r="AC42" s="15"/>
      <c r="AD42" s="70"/>
      <c r="AE42" s="6766"/>
      <c r="AF42" s="70"/>
      <c r="AG42" s="114"/>
      <c r="AH42" s="18"/>
      <c r="AJ42" s="18"/>
      <c r="AK42" s="18"/>
      <c r="AL42" s="70"/>
      <c r="AO42" s="22"/>
      <c r="AQ42" s="19"/>
      <c r="AT42" s="70"/>
      <c r="AW42" s="22"/>
      <c r="AY42" s="19"/>
      <c r="BB42" s="25"/>
      <c r="BE42" s="22"/>
      <c r="BG42" s="19"/>
      <c r="BJ42" s="70"/>
      <c r="BM42" s="22"/>
      <c r="BO42" s="19"/>
      <c r="BR42" s="70"/>
      <c r="BU42" s="22"/>
      <c r="BW42" s="19"/>
      <c r="BZ42" s="70"/>
      <c r="CC42" s="22"/>
      <c r="CE42" s="19"/>
      <c r="CH42" s="25"/>
      <c r="CK42" s="22"/>
      <c r="CM42" s="19"/>
      <c r="CP42" s="70"/>
      <c r="CS42" s="22"/>
      <c r="CU42" s="19"/>
      <c r="CX42" s="70"/>
      <c r="DA42" s="22"/>
      <c r="DC42" s="19"/>
      <c r="DF42" s="70"/>
      <c r="DH42" s="70"/>
      <c r="DI42" s="70"/>
      <c r="DJ42" s="70"/>
    </row>
    <row r="43" spans="1:147" s="21" customFormat="1" ht="15" customHeight="1" thickBot="1" x14ac:dyDescent="0.25">
      <c r="A43" s="25"/>
      <c r="B43" s="25"/>
      <c r="C43" s="941"/>
      <c r="D43" s="25"/>
      <c r="E43" s="695"/>
      <c r="F43" s="1314"/>
      <c r="G43" s="1314"/>
      <c r="H43" s="1314"/>
      <c r="I43" s="1314"/>
      <c r="J43" s="698"/>
      <c r="K43" s="709"/>
      <c r="L43" s="927"/>
      <c r="M43" s="1303"/>
      <c r="N43" s="15"/>
      <c r="O43" s="1288"/>
      <c r="P43" s="1289"/>
      <c r="Q43" s="1290"/>
      <c r="R43" s="1290"/>
      <c r="S43" s="1292"/>
      <c r="T43" s="2582"/>
      <c r="U43" s="5441"/>
      <c r="V43" s="1289"/>
      <c r="W43" s="1290"/>
      <c r="X43" s="1290"/>
      <c r="Y43" s="1292"/>
      <c r="Z43" s="2582"/>
      <c r="AA43" s="5441"/>
      <c r="AB43" s="1291"/>
      <c r="AC43" s="5772"/>
      <c r="AD43" s="70"/>
      <c r="AE43" s="6766"/>
      <c r="AF43" s="70"/>
      <c r="AG43" s="4008"/>
      <c r="AH43" s="1327"/>
      <c r="AI43" s="1502"/>
      <c r="AJ43" s="1327"/>
      <c r="AK43" s="1352"/>
      <c r="AM43" s="695"/>
      <c r="AN43" s="927"/>
      <c r="AO43" s="1318"/>
      <c r="AP43" s="927"/>
      <c r="AQ43" s="927"/>
      <c r="AR43" s="927"/>
      <c r="AS43" s="1122"/>
      <c r="AU43" s="695"/>
      <c r="AV43" s="927"/>
      <c r="AW43" s="1318"/>
      <c r="AX43" s="927"/>
      <c r="AY43" s="927"/>
      <c r="AZ43" s="927"/>
      <c r="BA43" s="1122"/>
      <c r="BB43" s="25"/>
      <c r="BC43" s="695"/>
      <c r="BD43" s="927"/>
      <c r="BE43" s="1318"/>
      <c r="BF43" s="927"/>
      <c r="BG43" s="927"/>
      <c r="BH43" s="927"/>
      <c r="BI43" s="1122"/>
      <c r="BK43" s="695"/>
      <c r="BL43" s="927"/>
      <c r="BM43" s="1318"/>
      <c r="BN43" s="927"/>
      <c r="BO43" s="927"/>
      <c r="BP43" s="927"/>
      <c r="BQ43" s="1122"/>
      <c r="BS43" s="695"/>
      <c r="BT43" s="927"/>
      <c r="BU43" s="1318"/>
      <c r="BV43" s="927"/>
      <c r="BW43" s="927"/>
      <c r="BX43" s="927"/>
      <c r="BY43" s="1122"/>
      <c r="CA43" s="695"/>
      <c r="CB43" s="927"/>
      <c r="CC43" s="1318"/>
      <c r="CD43" s="927"/>
      <c r="CE43" s="927"/>
      <c r="CF43" s="927"/>
      <c r="CG43" s="1122"/>
      <c r="CH43" s="25"/>
      <c r="CI43" s="695"/>
      <c r="CJ43" s="927"/>
      <c r="CK43" s="1318"/>
      <c r="CL43" s="927"/>
      <c r="CM43" s="927"/>
      <c r="CN43" s="927"/>
      <c r="CO43" s="1122"/>
      <c r="CQ43" s="695"/>
      <c r="CR43" s="927"/>
      <c r="CS43" s="1318"/>
      <c r="CT43" s="927"/>
      <c r="CU43" s="927"/>
      <c r="CV43" s="927"/>
      <c r="CW43" s="1122"/>
      <c r="CY43" s="695"/>
      <c r="CZ43" s="927"/>
      <c r="DA43" s="1318"/>
      <c r="DB43" s="927"/>
      <c r="DC43" s="927"/>
      <c r="DD43" s="927"/>
      <c r="DE43" s="1122"/>
      <c r="DF43" s="70"/>
      <c r="DG43" s="63"/>
      <c r="DH43" s="70"/>
      <c r="DI43" s="70"/>
      <c r="DJ43" s="70"/>
    </row>
    <row r="44" spans="1:147" s="21" customFormat="1" ht="20.100000000000001" customHeight="1" thickBot="1" x14ac:dyDescent="0.25">
      <c r="A44" s="25"/>
      <c r="B44" s="25"/>
      <c r="C44" s="941"/>
      <c r="D44" s="25"/>
      <c r="E44" s="700"/>
      <c r="F44" s="6239" t="str">
        <f>_Calcs!$M$35</f>
        <v>Grøfter, nisjer og andre bergrom</v>
      </c>
      <c r="G44" s="1315"/>
      <c r="H44" s="1315"/>
      <c r="I44" s="1315"/>
      <c r="J44" s="2283"/>
      <c r="K44" s="3934"/>
      <c r="L44" s="1128"/>
      <c r="M44" s="1305"/>
      <c r="N44" s="15"/>
      <c r="O44" s="1293"/>
      <c r="P44" s="2445" t="str">
        <f>_Calcs!$BL$221</f>
        <v>!</v>
      </c>
      <c r="Q44" s="1294"/>
      <c r="R44" s="2514" t="str">
        <f>_Kapasitet!W36</f>
        <v>Standard</v>
      </c>
      <c r="S44" s="1296"/>
      <c r="T44" s="2582"/>
      <c r="U44" s="5442"/>
      <c r="V44" s="2445" t="str">
        <f>IF(_Calcs!$BC$36=1,_Calcs!$BL$222,"")</f>
        <v/>
      </c>
      <c r="W44" s="1295"/>
      <c r="X44" s="2514" t="str">
        <f>IF(_Calcs!BC36&lt;&gt;0,_Kapasitet!$W$51,"")</f>
        <v/>
      </c>
      <c r="Y44" s="1296"/>
      <c r="Z44" s="2582"/>
      <c r="AA44" s="5442"/>
      <c r="AB44" s="1295" t="s">
        <v>99</v>
      </c>
      <c r="AC44" s="5769"/>
      <c r="AD44" s="70"/>
      <c r="AE44" s="6766"/>
      <c r="AF44" s="70"/>
      <c r="AG44" s="4009"/>
      <c r="AH44" s="6738" t="s">
        <v>46</v>
      </c>
      <c r="AI44" s="6738"/>
      <c r="AJ44" s="6738"/>
      <c r="AK44" s="1351"/>
      <c r="AM44" s="1284"/>
      <c r="AN44" s="679"/>
      <c r="AO44" s="3994">
        <f>INDEX(outputs_oppsum[total_nisj],MATCH(_Calcs!$NO$40,outputs_oppsum[stuff_id],0))</f>
        <v>0</v>
      </c>
      <c r="AP44" s="679"/>
      <c r="AQ44" s="30" t="str">
        <f>IF(_Calcs!$NO$330=0,"✓","!")</f>
        <v>!</v>
      </c>
      <c r="AR44" s="679"/>
      <c r="AS44" s="1285"/>
      <c r="AU44" s="1284"/>
      <c r="AV44" s="679"/>
      <c r="AW44" s="3994" t="e">
        <f>INDEX(outputs_oppsum[total_nisj],MATCH(_Calcs!$NP$40,outputs_oppsum[stuff_id],0))</f>
        <v>#N/A</v>
      </c>
      <c r="AX44" s="679"/>
      <c r="AY44" s="30" t="e">
        <f>IF(_Calcs!$NP$330=0,"✓","!")</f>
        <v>#N/A</v>
      </c>
      <c r="AZ44" s="679"/>
      <c r="BA44" s="1285"/>
      <c r="BB44" s="25"/>
      <c r="BC44" s="1284"/>
      <c r="BD44" s="679"/>
      <c r="BE44" s="3994" t="e">
        <f>INDEX(outputs_oppsum[total_nisj],MATCH(_Calcs!$NQ$40,outputs_oppsum[stuff_id],0))</f>
        <v>#N/A</v>
      </c>
      <c r="BF44" s="679"/>
      <c r="BG44" s="30" t="e">
        <f>IF(_Calcs!$NQ$330=0,"✓","!")</f>
        <v>#N/A</v>
      </c>
      <c r="BH44" s="679"/>
      <c r="BI44" s="1285"/>
      <c r="BK44" s="1284"/>
      <c r="BL44" s="679"/>
      <c r="BM44" s="3994" t="e">
        <f>INDEX(outputs_oppsum[total_nisj],MATCH(_Calcs!$NR$40,outputs_oppsum[stuff_id],0))</f>
        <v>#N/A</v>
      </c>
      <c r="BN44" s="679"/>
      <c r="BO44" s="30" t="e">
        <f>IF(_Calcs!$NR$330=0,"✓","!")</f>
        <v>#N/A</v>
      </c>
      <c r="BP44" s="679"/>
      <c r="BQ44" s="1285"/>
      <c r="BS44" s="1284"/>
      <c r="BT44" s="679"/>
      <c r="BU44" s="3994" t="e">
        <f>INDEX(outputs_oppsum[total_nisj],MATCH(_Calcs!$NS$40,outputs_oppsum[stuff_id],0))</f>
        <v>#N/A</v>
      </c>
      <c r="BV44" s="679"/>
      <c r="BW44" s="30" t="e">
        <f>IF(_Calcs!$NS$330=0,"✓","!")</f>
        <v>#N/A</v>
      </c>
      <c r="BX44" s="679"/>
      <c r="BY44" s="1285"/>
      <c r="CA44" s="1284"/>
      <c r="CB44" s="679"/>
      <c r="CC44" s="3994" t="e">
        <f>INDEX(outputs_oppsum[total_nisj],MATCH(_Calcs!$NT$40,outputs_oppsum[stuff_id],0))</f>
        <v>#N/A</v>
      </c>
      <c r="CD44" s="679"/>
      <c r="CE44" s="30" t="e">
        <f>IF(_Calcs!$NT$330=0,"✓","!")</f>
        <v>#N/A</v>
      </c>
      <c r="CF44" s="679"/>
      <c r="CG44" s="1285"/>
      <c r="CH44" s="25"/>
      <c r="CI44" s="1284"/>
      <c r="CJ44" s="679"/>
      <c r="CK44" s="3994" t="e">
        <f>INDEX(outputs_oppsum[total_nisj],MATCH(_Calcs!$NU$40,outputs_oppsum[stuff_id],0))</f>
        <v>#N/A</v>
      </c>
      <c r="CL44" s="679"/>
      <c r="CM44" s="30" t="e">
        <f>IF(_Calcs!$NU$330=0,"✓","!")</f>
        <v>#N/A</v>
      </c>
      <c r="CN44" s="679"/>
      <c r="CO44" s="1285"/>
      <c r="CQ44" s="1284"/>
      <c r="CR44" s="679"/>
      <c r="CS44" s="3994" t="e">
        <f>INDEX(outputs_oppsum[total_nisj],MATCH(_Calcs!$NV$40,outputs_oppsum[stuff_id],0))</f>
        <v>#N/A</v>
      </c>
      <c r="CT44" s="679"/>
      <c r="CU44" s="30" t="e">
        <f>IF(_Calcs!$NV$330=0,"✓","!")</f>
        <v>#N/A</v>
      </c>
      <c r="CV44" s="679"/>
      <c r="CW44" s="1285"/>
      <c r="CY44" s="1284"/>
      <c r="CZ44" s="679"/>
      <c r="DA44" s="3994" t="e">
        <f>INDEX(outputs_oppsum[total_nisj],MATCH(_Calcs!$NW$40,outputs_oppsum[stuff_id],0))</f>
        <v>#N/A</v>
      </c>
      <c r="DB44" s="679"/>
      <c r="DC44" s="30" t="e">
        <f>IF(_Calcs!$NW$330=0,"✓","!")</f>
        <v>#N/A</v>
      </c>
      <c r="DD44" s="679"/>
      <c r="DE44" s="1285"/>
      <c r="DF44" s="70"/>
      <c r="DG44" s="64"/>
      <c r="DH44" s="70"/>
      <c r="DI44" s="70"/>
      <c r="DJ44" s="70"/>
    </row>
    <row r="45" spans="1:147" s="21" customFormat="1" ht="15" customHeight="1" thickBot="1" x14ac:dyDescent="0.25">
      <c r="A45" s="25"/>
      <c r="B45" s="25"/>
      <c r="C45" s="943"/>
      <c r="D45" s="25"/>
      <c r="E45" s="702"/>
      <c r="F45" s="1316"/>
      <c r="G45" s="1316"/>
      <c r="H45" s="1316"/>
      <c r="I45" s="1316"/>
      <c r="J45" s="705"/>
      <c r="K45" s="717"/>
      <c r="L45" s="1317"/>
      <c r="M45" s="1309"/>
      <c r="N45" s="15"/>
      <c r="O45" s="1299"/>
      <c r="P45" s="1311"/>
      <c r="Q45" s="1312"/>
      <c r="R45" s="1312"/>
      <c r="S45" s="1313"/>
      <c r="T45" s="2582"/>
      <c r="U45" s="5445"/>
      <c r="V45" s="1311"/>
      <c r="W45" s="1312"/>
      <c r="X45" s="1312"/>
      <c r="Y45" s="1313"/>
      <c r="Z45" s="2582"/>
      <c r="AA45" s="5445"/>
      <c r="AB45" s="1301"/>
      <c r="AC45" s="5773"/>
      <c r="AD45" s="70"/>
      <c r="AE45" s="6767"/>
      <c r="AF45" s="70"/>
      <c r="AG45" s="4010"/>
      <c r="AH45" s="4001"/>
      <c r="AI45" s="1503"/>
      <c r="AJ45" s="4001"/>
      <c r="AK45" s="4002"/>
      <c r="AM45" s="1319"/>
      <c r="AN45" s="703"/>
      <c r="AO45" s="716"/>
      <c r="AP45" s="703"/>
      <c r="AQ45" s="1317"/>
      <c r="AR45" s="703"/>
      <c r="AS45" s="1320"/>
      <c r="AU45" s="1319"/>
      <c r="AV45" s="703"/>
      <c r="AW45" s="716"/>
      <c r="AX45" s="703"/>
      <c r="AY45" s="1317"/>
      <c r="AZ45" s="703"/>
      <c r="BA45" s="1320"/>
      <c r="BB45" s="25"/>
      <c r="BC45" s="1319"/>
      <c r="BD45" s="703"/>
      <c r="BE45" s="716"/>
      <c r="BF45" s="703"/>
      <c r="BG45" s="1317"/>
      <c r="BH45" s="703"/>
      <c r="BI45" s="1320"/>
      <c r="BK45" s="1319"/>
      <c r="BL45" s="703"/>
      <c r="BM45" s="716"/>
      <c r="BN45" s="703"/>
      <c r="BO45" s="1317"/>
      <c r="BP45" s="703"/>
      <c r="BQ45" s="1320"/>
      <c r="BS45" s="1319"/>
      <c r="BT45" s="703"/>
      <c r="BU45" s="716"/>
      <c r="BV45" s="703"/>
      <c r="BW45" s="1317"/>
      <c r="BX45" s="703"/>
      <c r="BY45" s="1320"/>
      <c r="CA45" s="1319"/>
      <c r="CB45" s="703"/>
      <c r="CC45" s="716"/>
      <c r="CD45" s="703"/>
      <c r="CE45" s="1317"/>
      <c r="CF45" s="703"/>
      <c r="CG45" s="1320"/>
      <c r="CH45" s="25"/>
      <c r="CI45" s="1319"/>
      <c r="CJ45" s="703"/>
      <c r="CK45" s="716"/>
      <c r="CL45" s="703"/>
      <c r="CM45" s="1317"/>
      <c r="CN45" s="703"/>
      <c r="CO45" s="1320"/>
      <c r="CQ45" s="1319"/>
      <c r="CR45" s="703"/>
      <c r="CS45" s="716"/>
      <c r="CT45" s="703"/>
      <c r="CU45" s="1317"/>
      <c r="CV45" s="703"/>
      <c r="CW45" s="1320"/>
      <c r="CY45" s="1319"/>
      <c r="CZ45" s="703"/>
      <c r="DA45" s="716"/>
      <c r="DB45" s="703"/>
      <c r="DC45" s="1317"/>
      <c r="DD45" s="703"/>
      <c r="DE45" s="1320"/>
      <c r="DF45" s="70"/>
      <c r="DG45" s="64"/>
      <c r="DH45" s="70"/>
      <c r="DI45" s="70"/>
      <c r="DJ45" s="70"/>
    </row>
    <row r="46" spans="1:147" s="78" customFormat="1" ht="30" customHeight="1" x14ac:dyDescent="0.3">
      <c r="J46" s="218"/>
      <c r="K46" s="573"/>
      <c r="L46" s="573"/>
      <c r="O46" s="4011"/>
      <c r="R46" s="16"/>
      <c r="X46" s="16"/>
      <c r="AB46" s="215"/>
      <c r="AC46" s="215"/>
      <c r="AD46" s="70"/>
      <c r="AE46" s="4012"/>
      <c r="AF46" s="70"/>
      <c r="AK46" s="70"/>
      <c r="AN46" s="21"/>
      <c r="AO46" s="70"/>
      <c r="AS46" s="215"/>
      <c r="AV46" s="21"/>
      <c r="AW46" s="70"/>
      <c r="BA46" s="215"/>
      <c r="BD46" s="21"/>
      <c r="BE46" s="70"/>
      <c r="BI46" s="215"/>
      <c r="BL46" s="21"/>
      <c r="BM46" s="70"/>
      <c r="BQ46" s="215"/>
      <c r="BT46" s="21"/>
      <c r="BU46" s="70"/>
      <c r="BY46" s="215"/>
      <c r="CB46" s="21"/>
      <c r="CC46" s="70"/>
      <c r="CG46" s="215"/>
      <c r="CJ46" s="21"/>
      <c r="CK46" s="70"/>
      <c r="CO46" s="215"/>
      <c r="CR46" s="21"/>
      <c r="CS46" s="70"/>
      <c r="CW46" s="215"/>
      <c r="CZ46" s="21"/>
      <c r="DA46" s="70"/>
      <c r="DE46" s="215"/>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row>
    <row r="47" spans="1:147" s="21" customFormat="1" ht="12" customHeight="1" x14ac:dyDescent="0.2">
      <c r="A47" s="25"/>
      <c r="B47" s="25"/>
      <c r="C47" s="2275"/>
      <c r="D47" s="25"/>
      <c r="E47" s="2276"/>
      <c r="F47" s="2277"/>
      <c r="G47" s="2277"/>
      <c r="H47" s="2277"/>
      <c r="I47" s="2277"/>
      <c r="J47" s="2275"/>
      <c r="K47" s="2275"/>
      <c r="L47" s="2275"/>
      <c r="M47" s="2277"/>
      <c r="N47" s="6178"/>
      <c r="O47" s="2311"/>
      <c r="P47" s="2277"/>
      <c r="Q47" s="2311"/>
      <c r="R47" s="2278"/>
      <c r="S47" s="2311"/>
      <c r="T47" s="2311"/>
      <c r="U47" s="2311"/>
      <c r="V47" s="2311"/>
      <c r="W47" s="2311"/>
      <c r="X47" s="2311"/>
      <c r="Y47" s="2311"/>
      <c r="Z47" s="2311"/>
      <c r="AA47" s="2311"/>
      <c r="AB47" s="2277"/>
      <c r="AC47" s="2277"/>
      <c r="AD47" s="6178"/>
      <c r="AE47" s="6178"/>
      <c r="AG47" s="2277"/>
      <c r="AH47" s="2275"/>
      <c r="AI47" s="2275"/>
      <c r="AJ47" s="2275"/>
      <c r="AK47" s="2275"/>
      <c r="AL47" s="2279"/>
      <c r="AM47" s="2277"/>
      <c r="AN47" s="2277"/>
      <c r="AO47" s="2275"/>
      <c r="AP47" s="2275"/>
      <c r="AQ47" s="2275"/>
      <c r="AR47" s="2275"/>
      <c r="AS47" s="2278"/>
      <c r="AU47" s="2277"/>
      <c r="AV47" s="2277"/>
      <c r="AW47" s="2275"/>
      <c r="AX47" s="2275"/>
      <c r="AY47" s="2275"/>
      <c r="AZ47" s="2275"/>
      <c r="BA47" s="2278"/>
      <c r="BC47" s="2277"/>
      <c r="BD47" s="2277"/>
      <c r="BE47" s="2275"/>
      <c r="BF47" s="2275"/>
      <c r="BG47" s="2275"/>
      <c r="BH47" s="2275"/>
      <c r="BI47" s="2278"/>
      <c r="BK47" s="2277"/>
      <c r="BL47" s="2277"/>
      <c r="BM47" s="2275"/>
      <c r="BN47" s="2275"/>
      <c r="BO47" s="2275"/>
      <c r="BP47" s="2275"/>
      <c r="BQ47" s="2278"/>
      <c r="BS47" s="2277"/>
      <c r="BT47" s="2277"/>
      <c r="BU47" s="2275"/>
      <c r="BV47" s="2275"/>
      <c r="BW47" s="2275"/>
      <c r="BX47" s="2275"/>
      <c r="BY47" s="2278"/>
      <c r="CA47" s="2277"/>
      <c r="CB47" s="2277"/>
      <c r="CC47" s="2275"/>
      <c r="CD47" s="2275"/>
      <c r="CE47" s="2275"/>
      <c r="CF47" s="2275"/>
      <c r="CG47" s="2278"/>
      <c r="CI47" s="2277"/>
      <c r="CJ47" s="2277"/>
      <c r="CK47" s="2275"/>
      <c r="CL47" s="2275"/>
      <c r="CM47" s="2275"/>
      <c r="CN47" s="2275"/>
      <c r="CO47" s="2278"/>
      <c r="CQ47" s="2277"/>
      <c r="CR47" s="2277"/>
      <c r="CS47" s="2275"/>
      <c r="CT47" s="2275"/>
      <c r="CU47" s="2275"/>
      <c r="CV47" s="2275"/>
      <c r="CW47" s="2278"/>
      <c r="CX47" s="70"/>
      <c r="CY47" s="2277"/>
      <c r="CZ47" s="2277"/>
      <c r="DA47" s="2275"/>
      <c r="DB47" s="2275"/>
      <c r="DC47" s="2275"/>
      <c r="DD47" s="2275"/>
      <c r="DE47" s="2278"/>
      <c r="DG47" s="2278"/>
      <c r="EB47" s="70"/>
    </row>
    <row r="48" spans="1:147" s="21" customFormat="1" ht="3.75" customHeight="1" x14ac:dyDescent="0.2">
      <c r="A48" s="25"/>
      <c r="B48" s="25"/>
      <c r="C48" s="13"/>
      <c r="D48" s="25"/>
      <c r="E48" s="14"/>
      <c r="F48" s="15"/>
      <c r="G48" s="15"/>
      <c r="H48" s="15"/>
      <c r="I48" s="15"/>
      <c r="J48" s="16"/>
      <c r="K48" s="16"/>
      <c r="L48" s="16"/>
      <c r="M48" s="17"/>
      <c r="N48" s="17"/>
      <c r="O48" s="217"/>
      <c r="P48" s="17"/>
      <c r="Q48" s="217"/>
      <c r="R48" s="19"/>
      <c r="S48" s="217"/>
      <c r="T48" s="217"/>
      <c r="U48" s="217"/>
      <c r="V48" s="217"/>
      <c r="W48" s="217"/>
      <c r="X48" s="217"/>
      <c r="Y48" s="217"/>
      <c r="Z48" s="217"/>
      <c r="AA48" s="217"/>
      <c r="AB48" s="17"/>
      <c r="AC48" s="17"/>
      <c r="AD48" s="17"/>
      <c r="AE48" s="17"/>
      <c r="AG48" s="18"/>
      <c r="AH48" s="13"/>
      <c r="AI48" s="13"/>
      <c r="AJ48" s="13"/>
      <c r="AK48" s="13"/>
      <c r="AL48" s="16"/>
      <c r="AM48" s="18"/>
      <c r="AN48" s="18"/>
      <c r="AO48" s="13"/>
      <c r="AP48" s="16"/>
      <c r="AQ48" s="16"/>
      <c r="AR48" s="16"/>
      <c r="AS48" s="19"/>
      <c r="AU48" s="18"/>
      <c r="AV48" s="18"/>
      <c r="AW48" s="13"/>
      <c r="AX48" s="16"/>
      <c r="AY48" s="16"/>
      <c r="AZ48" s="16"/>
      <c r="BA48" s="19"/>
      <c r="BC48" s="18"/>
      <c r="BD48" s="18"/>
      <c r="BE48" s="13"/>
      <c r="BF48" s="16"/>
      <c r="BG48" s="16"/>
      <c r="BH48" s="16"/>
      <c r="BI48" s="19"/>
      <c r="BK48" s="18"/>
      <c r="BL48" s="18"/>
      <c r="BM48" s="13"/>
      <c r="BN48" s="16"/>
      <c r="BO48" s="16"/>
      <c r="BP48" s="16"/>
      <c r="BQ48" s="19"/>
      <c r="BS48" s="18"/>
      <c r="BT48" s="18"/>
      <c r="BU48" s="13"/>
      <c r="BV48" s="16"/>
      <c r="BW48" s="16"/>
      <c r="BX48" s="16"/>
      <c r="BY48" s="19"/>
      <c r="CA48" s="18"/>
      <c r="CB48" s="18"/>
      <c r="CC48" s="13"/>
      <c r="CD48" s="16"/>
      <c r="CE48" s="16"/>
      <c r="CF48" s="16"/>
      <c r="CG48" s="19"/>
      <c r="CI48" s="18"/>
      <c r="CJ48" s="18"/>
      <c r="CK48" s="13"/>
      <c r="CL48" s="16"/>
      <c r="CM48" s="16"/>
      <c r="CN48" s="16"/>
      <c r="CO48" s="19"/>
      <c r="CQ48" s="18"/>
      <c r="CR48" s="18"/>
      <c r="CS48" s="13"/>
      <c r="CT48" s="16"/>
      <c r="CU48" s="16"/>
      <c r="CV48" s="16"/>
      <c r="CW48" s="19"/>
      <c r="CX48" s="70"/>
      <c r="CY48" s="18"/>
      <c r="CZ48" s="18"/>
      <c r="DA48" s="13"/>
      <c r="DB48" s="16"/>
      <c r="DC48" s="16"/>
      <c r="DD48" s="16"/>
      <c r="DE48" s="19"/>
      <c r="DG48" s="19"/>
      <c r="EB48" s="70"/>
    </row>
    <row r="49" spans="1:114" s="21" customFormat="1" ht="5.0999999999999996" customHeight="1" x14ac:dyDescent="0.2">
      <c r="A49" s="25"/>
      <c r="B49" s="25"/>
      <c r="C49" s="2275"/>
      <c r="D49" s="25"/>
      <c r="E49" s="2276"/>
      <c r="F49" s="2277"/>
      <c r="G49" s="2277"/>
      <c r="H49" s="2277"/>
      <c r="I49" s="2277"/>
      <c r="J49" s="2275"/>
      <c r="K49" s="2275"/>
      <c r="L49" s="2275"/>
      <c r="M49" s="2277"/>
      <c r="N49" s="6178"/>
      <c r="O49" s="2311"/>
      <c r="P49" s="2277"/>
      <c r="Q49" s="2311"/>
      <c r="R49" s="2278"/>
      <c r="S49" s="2311"/>
      <c r="T49" s="2311"/>
      <c r="U49" s="2311"/>
      <c r="V49" s="2311"/>
      <c r="W49" s="2311"/>
      <c r="X49" s="2311"/>
      <c r="Y49" s="2311"/>
      <c r="Z49" s="2311"/>
      <c r="AA49" s="2311"/>
      <c r="AB49" s="2277"/>
      <c r="AC49" s="2277"/>
      <c r="AD49" s="6178"/>
      <c r="AE49" s="6178"/>
      <c r="AG49" s="2277"/>
      <c r="AH49" s="2275"/>
      <c r="AI49" s="2275"/>
      <c r="AJ49" s="2275"/>
      <c r="AK49" s="2275"/>
      <c r="AL49" s="2279"/>
      <c r="AM49" s="2277"/>
      <c r="AN49" s="2277"/>
      <c r="AO49" s="2275"/>
      <c r="AP49" s="2275"/>
      <c r="AQ49" s="2275"/>
      <c r="AR49" s="2275"/>
      <c r="AS49" s="2278"/>
      <c r="AU49" s="2277"/>
      <c r="AV49" s="2277"/>
      <c r="AW49" s="2275"/>
      <c r="AX49" s="2275"/>
      <c r="AY49" s="2275"/>
      <c r="AZ49" s="2275"/>
      <c r="BA49" s="2278"/>
      <c r="BC49" s="2277"/>
      <c r="BD49" s="2277"/>
      <c r="BE49" s="2275"/>
      <c r="BF49" s="2275"/>
      <c r="BG49" s="2275"/>
      <c r="BH49" s="2275"/>
      <c r="BI49" s="2278"/>
      <c r="BK49" s="2277"/>
      <c r="BL49" s="2277"/>
      <c r="BM49" s="2275"/>
      <c r="BN49" s="2275"/>
      <c r="BO49" s="2275"/>
      <c r="BP49" s="2275"/>
      <c r="BQ49" s="2278"/>
      <c r="BS49" s="2277"/>
      <c r="BT49" s="2277"/>
      <c r="BU49" s="2275"/>
      <c r="BV49" s="2275"/>
      <c r="BW49" s="2275"/>
      <c r="BX49" s="2275"/>
      <c r="BY49" s="2278"/>
      <c r="CA49" s="2277"/>
      <c r="CB49" s="2277"/>
      <c r="CC49" s="2275"/>
      <c r="CD49" s="2275"/>
      <c r="CE49" s="2275"/>
      <c r="CF49" s="2275"/>
      <c r="CG49" s="2278"/>
      <c r="CI49" s="2277"/>
      <c r="CJ49" s="2277"/>
      <c r="CK49" s="2275"/>
      <c r="CL49" s="2275"/>
      <c r="CM49" s="2275"/>
      <c r="CN49" s="2275"/>
      <c r="CO49" s="2278"/>
      <c r="CQ49" s="2277"/>
      <c r="CR49" s="2277"/>
      <c r="CS49" s="2275"/>
      <c r="CT49" s="2275"/>
      <c r="CU49" s="2275"/>
      <c r="CV49" s="2275"/>
      <c r="CW49" s="2278"/>
      <c r="CX49" s="70"/>
      <c r="CY49" s="2277"/>
      <c r="CZ49" s="2277"/>
      <c r="DA49" s="2275"/>
      <c r="DB49" s="2275"/>
      <c r="DC49" s="2275"/>
      <c r="DD49" s="2275"/>
      <c r="DE49" s="2278"/>
      <c r="DG49" s="2278"/>
    </row>
    <row r="50" spans="1:114" s="21" customFormat="1" ht="30" customHeight="1" thickBot="1" x14ac:dyDescent="0.25">
      <c r="A50" s="20"/>
      <c r="B50" s="20"/>
      <c r="C50" s="13"/>
      <c r="D50" s="20"/>
      <c r="E50" s="14"/>
      <c r="J50" s="16"/>
      <c r="K50" s="16"/>
      <c r="L50" s="16"/>
      <c r="M50" s="16"/>
      <c r="N50" s="78"/>
      <c r="O50" s="218"/>
      <c r="P50" s="16"/>
      <c r="Q50" s="16"/>
      <c r="R50" s="16"/>
      <c r="S50" s="16"/>
      <c r="T50" s="16"/>
      <c r="U50" s="16"/>
      <c r="V50" s="16"/>
      <c r="W50" s="16"/>
      <c r="X50" s="16"/>
      <c r="Y50" s="16"/>
      <c r="Z50" s="16"/>
      <c r="AA50" s="16"/>
      <c r="AB50" s="215"/>
      <c r="AC50" s="215"/>
      <c r="AE50" s="215"/>
      <c r="AG50" s="22"/>
      <c r="AH50" s="13"/>
      <c r="AI50" s="13"/>
      <c r="AJ50" s="13"/>
      <c r="AK50" s="16"/>
      <c r="AL50" s="70"/>
      <c r="AM50" s="22"/>
      <c r="AN50" s="22"/>
      <c r="AO50" s="13"/>
      <c r="AP50" s="16"/>
      <c r="AQ50" s="70"/>
      <c r="AR50" s="70"/>
      <c r="AS50" s="70"/>
      <c r="AU50" s="22"/>
      <c r="AV50" s="22"/>
      <c r="AW50" s="13"/>
      <c r="AX50" s="16"/>
      <c r="AY50" s="70"/>
      <c r="AZ50" s="70"/>
      <c r="BA50" s="70"/>
      <c r="BC50" s="22"/>
      <c r="BD50" s="22"/>
      <c r="BE50" s="13"/>
      <c r="BF50" s="16"/>
      <c r="BG50" s="70"/>
      <c r="BH50" s="70"/>
      <c r="BI50" s="70"/>
      <c r="BK50" s="22"/>
      <c r="BL50" s="22"/>
      <c r="BM50" s="13"/>
      <c r="BN50" s="16"/>
      <c r="BO50" s="70"/>
      <c r="BP50" s="70"/>
      <c r="BQ50" s="70"/>
      <c r="BS50" s="22"/>
      <c r="BT50" s="22"/>
      <c r="BU50" s="13"/>
      <c r="BV50" s="16"/>
      <c r="BW50" s="70"/>
      <c r="BX50" s="70"/>
      <c r="BY50" s="70"/>
      <c r="CA50" s="22"/>
      <c r="CB50" s="22"/>
      <c r="CC50" s="13"/>
      <c r="CD50" s="16"/>
      <c r="CE50" s="70"/>
      <c r="CF50" s="70"/>
      <c r="CG50" s="70"/>
      <c r="CI50" s="22"/>
      <c r="CJ50" s="22"/>
      <c r="CK50" s="13"/>
      <c r="CL50" s="16"/>
      <c r="CM50" s="70"/>
      <c r="CN50" s="70"/>
      <c r="CO50" s="70"/>
      <c r="CQ50" s="22"/>
      <c r="CR50" s="22"/>
      <c r="CS50" s="13"/>
      <c r="CT50" s="16"/>
      <c r="CU50" s="70"/>
      <c r="CV50" s="70"/>
      <c r="CW50" s="70"/>
      <c r="CX50" s="70"/>
      <c r="CY50" s="22"/>
      <c r="CZ50" s="22"/>
      <c r="DA50" s="13"/>
      <c r="DB50" s="16"/>
      <c r="DC50" s="70"/>
      <c r="DD50" s="70"/>
      <c r="DE50" s="70"/>
    </row>
    <row r="51" spans="1:114" s="21" customFormat="1" ht="15" customHeight="1" thickBot="1" x14ac:dyDescent="0.25">
      <c r="A51" s="20"/>
      <c r="B51" s="20"/>
      <c r="C51" s="4013"/>
      <c r="D51" s="13"/>
      <c r="E51" s="6140"/>
      <c r="F51" s="6141"/>
      <c r="G51" s="6141"/>
      <c r="H51" s="6141"/>
      <c r="I51" s="6141"/>
      <c r="J51" s="6141"/>
      <c r="K51" s="6141"/>
      <c r="L51" s="6141"/>
      <c r="M51" s="1345"/>
      <c r="N51" s="17"/>
      <c r="O51" s="6751"/>
      <c r="P51" s="6751"/>
      <c r="Q51" s="6751"/>
      <c r="R51" s="6751"/>
      <c r="S51" s="6751"/>
      <c r="T51" s="6751"/>
      <c r="U51" s="6751"/>
      <c r="V51" s="6751"/>
      <c r="W51" s="6751"/>
      <c r="X51" s="6751"/>
      <c r="Y51" s="6751"/>
      <c r="Z51" s="6751"/>
      <c r="AA51" s="6751"/>
      <c r="AB51" s="6751"/>
      <c r="AC51" s="6751"/>
      <c r="AD51" s="17"/>
      <c r="AE51" s="17"/>
      <c r="AF51" s="70"/>
      <c r="AG51" s="4014"/>
      <c r="AH51" s="4015"/>
      <c r="AI51" s="4015"/>
      <c r="AJ51" s="4015"/>
      <c r="AK51" s="4016"/>
      <c r="AM51" s="4014"/>
      <c r="AN51" s="4015"/>
      <c r="AO51" s="4015"/>
      <c r="AP51" s="4015"/>
      <c r="AQ51" s="4015"/>
      <c r="AR51" s="4015"/>
      <c r="AS51" s="4016"/>
      <c r="AT51" s="70"/>
      <c r="AU51" s="4014"/>
      <c r="AV51" s="4015"/>
      <c r="AW51" s="4015"/>
      <c r="AX51" s="4015"/>
      <c r="AY51" s="4015"/>
      <c r="AZ51" s="4015"/>
      <c r="BA51" s="4016"/>
      <c r="BB51" s="25"/>
      <c r="BC51" s="4014"/>
      <c r="BD51" s="4015"/>
      <c r="BE51" s="4015"/>
      <c r="BF51" s="4015"/>
      <c r="BG51" s="4015"/>
      <c r="BH51" s="4015"/>
      <c r="BI51" s="4016"/>
      <c r="BJ51" s="70"/>
      <c r="BK51" s="4014"/>
      <c r="BL51" s="4015"/>
      <c r="BM51" s="4015"/>
      <c r="BN51" s="4015"/>
      <c r="BO51" s="4015"/>
      <c r="BP51" s="4015"/>
      <c r="BQ51" s="4016"/>
      <c r="BS51" s="4014"/>
      <c r="BT51" s="4015"/>
      <c r="BU51" s="4015"/>
      <c r="BV51" s="4015"/>
      <c r="BW51" s="4015"/>
      <c r="BX51" s="4015"/>
      <c r="BY51" s="4016"/>
      <c r="BZ51" s="70"/>
      <c r="CA51" s="4014"/>
      <c r="CB51" s="4015"/>
      <c r="CC51" s="4015"/>
      <c r="CD51" s="4015"/>
      <c r="CE51" s="4015"/>
      <c r="CF51" s="4015"/>
      <c r="CG51" s="4016"/>
      <c r="CH51" s="25"/>
      <c r="CI51" s="4014"/>
      <c r="CJ51" s="4015"/>
      <c r="CK51" s="4015"/>
      <c r="CL51" s="4015"/>
      <c r="CM51" s="4015"/>
      <c r="CN51" s="4015"/>
      <c r="CO51" s="4016"/>
      <c r="CP51" s="70"/>
      <c r="CQ51" s="4014"/>
      <c r="CR51" s="4015"/>
      <c r="CS51" s="4015"/>
      <c r="CT51" s="4015"/>
      <c r="CU51" s="4015"/>
      <c r="CV51" s="4015"/>
      <c r="CW51" s="4016"/>
      <c r="CY51" s="4014"/>
      <c r="CZ51" s="4015"/>
      <c r="DA51" s="4015"/>
      <c r="DB51" s="4015"/>
      <c r="DC51" s="4015"/>
      <c r="DD51" s="4015"/>
      <c r="DE51" s="4016"/>
      <c r="DF51" s="70"/>
      <c r="DG51" s="93"/>
      <c r="DH51" s="70"/>
      <c r="DI51" s="70"/>
      <c r="DJ51" s="70"/>
    </row>
    <row r="52" spans="1:114" s="21" customFormat="1" ht="8.1" customHeight="1" thickBot="1" x14ac:dyDescent="0.25">
      <c r="A52" s="20"/>
      <c r="B52" s="20"/>
      <c r="C52" s="90"/>
      <c r="D52" s="13"/>
      <c r="E52" s="13"/>
      <c r="F52" s="13"/>
      <c r="G52" s="13"/>
      <c r="H52" s="13"/>
      <c r="I52" s="13"/>
      <c r="J52" s="13"/>
      <c r="K52" s="13"/>
      <c r="L52" s="13"/>
      <c r="M52" s="15"/>
      <c r="N52" s="17"/>
      <c r="O52" s="15"/>
      <c r="P52" s="13"/>
      <c r="Q52" s="13"/>
      <c r="R52" s="13"/>
      <c r="S52" s="13"/>
      <c r="T52" s="13"/>
      <c r="U52" s="13"/>
      <c r="V52" s="13"/>
      <c r="W52" s="13"/>
      <c r="X52" s="13"/>
      <c r="Y52" s="13"/>
      <c r="Z52" s="13"/>
      <c r="AA52" s="13"/>
      <c r="AB52" s="15"/>
      <c r="AC52" s="15"/>
      <c r="AD52" s="70"/>
      <c r="AE52" s="17"/>
      <c r="AF52" s="70"/>
      <c r="AG52" s="1337"/>
      <c r="AH52" s="1337"/>
      <c r="AI52" s="1337"/>
      <c r="AJ52" s="1337"/>
      <c r="AK52" s="1337"/>
      <c r="AM52" s="876"/>
      <c r="AN52" s="876"/>
      <c r="AO52" s="876"/>
      <c r="AP52" s="876"/>
      <c r="AQ52" s="146"/>
      <c r="AR52" s="146"/>
      <c r="AS52" s="146"/>
      <c r="AT52" s="70"/>
      <c r="AU52" s="876"/>
      <c r="AV52" s="876"/>
      <c r="AW52" s="876"/>
      <c r="AX52" s="876"/>
      <c r="AY52" s="146"/>
      <c r="AZ52" s="146"/>
      <c r="BA52" s="146"/>
      <c r="BB52" s="25"/>
      <c r="BC52" s="876"/>
      <c r="BD52" s="876"/>
      <c r="BE52" s="876"/>
      <c r="BF52" s="876"/>
      <c r="BG52" s="146"/>
      <c r="BH52" s="146"/>
      <c r="BI52" s="146"/>
      <c r="BJ52" s="70"/>
      <c r="BK52" s="876"/>
      <c r="BL52" s="876"/>
      <c r="BM52" s="876"/>
      <c r="BN52" s="876"/>
      <c r="BO52" s="146"/>
      <c r="BP52" s="146"/>
      <c r="BQ52" s="146"/>
      <c r="BS52" s="876"/>
      <c r="BT52" s="876"/>
      <c r="BU52" s="876"/>
      <c r="BV52" s="876"/>
      <c r="BW52" s="146"/>
      <c r="BX52" s="146"/>
      <c r="BY52" s="146"/>
      <c r="BZ52" s="70"/>
      <c r="CA52" s="876"/>
      <c r="CB52" s="876"/>
      <c r="CC52" s="876"/>
      <c r="CD52" s="876"/>
      <c r="CE52" s="146"/>
      <c r="CF52" s="146"/>
      <c r="CG52" s="146"/>
      <c r="CH52" s="25"/>
      <c r="CI52" s="876"/>
      <c r="CJ52" s="876"/>
      <c r="CK52" s="876"/>
      <c r="CL52" s="876"/>
      <c r="CM52" s="146"/>
      <c r="CN52" s="146"/>
      <c r="CO52" s="146"/>
      <c r="CP52" s="70"/>
      <c r="CQ52" s="876"/>
      <c r="CR52" s="876"/>
      <c r="CS52" s="876"/>
      <c r="CT52" s="876"/>
      <c r="CU52" s="146"/>
      <c r="CV52" s="146"/>
      <c r="CW52" s="146"/>
      <c r="CY52" s="876"/>
      <c r="CZ52" s="876"/>
      <c r="DA52" s="876"/>
      <c r="DB52" s="876"/>
      <c r="DC52" s="146"/>
      <c r="DD52" s="146"/>
      <c r="DE52" s="146"/>
      <c r="DF52" s="70"/>
      <c r="DG52" s="146"/>
      <c r="DH52" s="70"/>
      <c r="DI52" s="70"/>
      <c r="DJ52" s="70"/>
    </row>
    <row r="53" spans="1:114" ht="15" customHeight="1" thickBot="1" x14ac:dyDescent="0.25">
      <c r="B53" s="14"/>
      <c r="C53" s="909"/>
      <c r="D53" s="14"/>
      <c r="E53" s="4017"/>
      <c r="F53" s="1339"/>
      <c r="G53" s="1339"/>
      <c r="H53" s="1339"/>
      <c r="I53" s="1339"/>
      <c r="J53" s="2066"/>
      <c r="K53" s="1339"/>
      <c r="L53" s="1339"/>
      <c r="M53" s="1340"/>
      <c r="N53" s="20"/>
      <c r="O53" s="6764"/>
      <c r="P53" s="6764"/>
      <c r="Q53" s="6764"/>
      <c r="R53" s="6764"/>
      <c r="S53" s="6764"/>
      <c r="T53" s="6764"/>
      <c r="U53" s="6764"/>
      <c r="V53" s="6764"/>
      <c r="W53" s="6764"/>
      <c r="X53" s="6764"/>
      <c r="Y53" s="6764"/>
      <c r="Z53" s="6764"/>
      <c r="AA53" s="6764"/>
      <c r="AB53" s="6764"/>
      <c r="AC53" s="6764"/>
      <c r="AD53" s="6176"/>
      <c r="AE53" s="6176"/>
      <c r="AG53" s="670"/>
      <c r="AH53" s="1330"/>
      <c r="AI53" s="1330"/>
      <c r="AJ53" s="1330"/>
      <c r="AK53" s="671"/>
      <c r="AM53" s="670"/>
      <c r="AN53" s="639"/>
      <c r="AO53" s="639"/>
      <c r="AP53" s="639"/>
      <c r="AQ53" s="1330"/>
      <c r="AR53" s="1330"/>
      <c r="AS53" s="1331"/>
      <c r="AU53" s="670"/>
      <c r="AV53" s="639"/>
      <c r="AW53" s="639"/>
      <c r="AX53" s="639"/>
      <c r="AY53" s="1330"/>
      <c r="AZ53" s="1330"/>
      <c r="BA53" s="1331"/>
      <c r="BB53" s="25"/>
      <c r="BC53" s="670"/>
      <c r="BD53" s="639"/>
      <c r="BE53" s="639"/>
      <c r="BF53" s="639"/>
      <c r="BG53" s="1330"/>
      <c r="BH53" s="1330"/>
      <c r="BI53" s="1331"/>
      <c r="BK53" s="670"/>
      <c r="BL53" s="639"/>
      <c r="BM53" s="639"/>
      <c r="BN53" s="639"/>
      <c r="BO53" s="1330"/>
      <c r="BP53" s="1330"/>
      <c r="BQ53" s="1331"/>
      <c r="BS53" s="670"/>
      <c r="BT53" s="639"/>
      <c r="BU53" s="639"/>
      <c r="BV53" s="639"/>
      <c r="BW53" s="1330"/>
      <c r="BX53" s="1330"/>
      <c r="BY53" s="1331"/>
      <c r="CA53" s="670"/>
      <c r="CB53" s="639"/>
      <c r="CC53" s="639"/>
      <c r="CD53" s="639"/>
      <c r="CE53" s="1330"/>
      <c r="CF53" s="1330"/>
      <c r="CG53" s="1331"/>
      <c r="CH53" s="25"/>
      <c r="CI53" s="670"/>
      <c r="CJ53" s="639"/>
      <c r="CK53" s="639"/>
      <c r="CL53" s="639"/>
      <c r="CM53" s="1330"/>
      <c r="CN53" s="1330"/>
      <c r="CO53" s="1331"/>
      <c r="CQ53" s="670"/>
      <c r="CR53" s="639"/>
      <c r="CS53" s="639"/>
      <c r="CT53" s="639"/>
      <c r="CU53" s="1330"/>
      <c r="CV53" s="1330"/>
      <c r="CW53" s="1331"/>
      <c r="CY53" s="670"/>
      <c r="CZ53" s="639"/>
      <c r="DA53" s="639"/>
      <c r="DB53" s="639"/>
      <c r="DC53" s="1330"/>
      <c r="DD53" s="1330"/>
      <c r="DE53" s="1331"/>
      <c r="DG53" s="48"/>
    </row>
    <row r="54" spans="1:114" s="1862" customFormat="1" ht="15" customHeight="1" thickBot="1" x14ac:dyDescent="0.25">
      <c r="B54" s="1832"/>
      <c r="C54" s="6746" t="s">
        <v>641</v>
      </c>
      <c r="D54" s="1004"/>
      <c r="E54" s="760"/>
      <c r="F54" s="6748" t="s">
        <v>81</v>
      </c>
      <c r="G54" s="6748"/>
      <c r="H54" s="6748"/>
      <c r="I54" s="6748"/>
      <c r="J54" s="6759"/>
      <c r="K54" s="5983"/>
      <c r="L54" s="598"/>
      <c r="M54" s="1148"/>
      <c r="N54" s="148"/>
      <c r="O54" s="6764"/>
      <c r="P54" s="6764"/>
      <c r="Q54" s="6764"/>
      <c r="R54" s="6764"/>
      <c r="S54" s="6764"/>
      <c r="T54" s="6764"/>
      <c r="U54" s="6764"/>
      <c r="V54" s="6764"/>
      <c r="W54" s="6764"/>
      <c r="X54" s="6764"/>
      <c r="Y54" s="6764"/>
      <c r="Z54" s="6764"/>
      <c r="AA54" s="6764"/>
      <c r="AB54" s="6764"/>
      <c r="AC54" s="6764"/>
      <c r="AD54" s="6176"/>
      <c r="AE54" s="6176"/>
      <c r="AG54" s="1428"/>
      <c r="AH54" s="6747" t="s">
        <v>46</v>
      </c>
      <c r="AI54" s="6747"/>
      <c r="AJ54" s="6747"/>
      <c r="AK54" s="1830"/>
      <c r="AM54" s="1428"/>
      <c r="AN54" s="1017"/>
      <c r="AO54" s="6584">
        <f>INDEX(outputs_oppsum[total_spreng_hr],MATCH(_Calcs!$NO$40,outputs_oppsum[stuff_id],0))</f>
        <v>0</v>
      </c>
      <c r="AP54" s="1017"/>
      <c r="AQ54" s="6552" t="str">
        <f>IF(_Calcs!$NO$331=0,"✓","!")</f>
        <v>!</v>
      </c>
      <c r="AR54" s="3933"/>
      <c r="AS54" s="882"/>
      <c r="AU54" s="1428"/>
      <c r="AV54" s="1017"/>
      <c r="AW54" s="6584" t="e">
        <f>INDEX(outputs_oppsum[total_spreng_hr],MATCH(_Calcs!$NP$40,outputs_oppsum[stuff_id],0))</f>
        <v>#N/A</v>
      </c>
      <c r="AX54" s="1017"/>
      <c r="AY54" s="6552" t="e">
        <f>IF(_Calcs!$NP$331=0,"✓","!")</f>
        <v>#N/A</v>
      </c>
      <c r="AZ54" s="3933"/>
      <c r="BA54" s="882"/>
      <c r="BB54" s="1833"/>
      <c r="BC54" s="1428"/>
      <c r="BD54" s="1017"/>
      <c r="BE54" s="6584" t="e">
        <f>INDEX(outputs_oppsum[total_spreng_hr],MATCH(_Calcs!$NQ$40,outputs_oppsum[stuff_id],0))</f>
        <v>#N/A</v>
      </c>
      <c r="BF54" s="1017"/>
      <c r="BG54" s="6552" t="e">
        <f>IF(_Calcs!$NQ$331=0,"✓","!")</f>
        <v>#N/A</v>
      </c>
      <c r="BH54" s="3933"/>
      <c r="BI54" s="882"/>
      <c r="BK54" s="1428"/>
      <c r="BL54" s="1017"/>
      <c r="BM54" s="6584" t="e">
        <f>INDEX(outputs_oppsum[total_spreng_hr],MATCH(_Calcs!$NR$40,outputs_oppsum[stuff_id],0))</f>
        <v>#N/A</v>
      </c>
      <c r="BN54" s="1017"/>
      <c r="BO54" s="6552" t="e">
        <f>IF(_Calcs!$NR$331=0,"✓","!")</f>
        <v>#N/A</v>
      </c>
      <c r="BP54" s="3933"/>
      <c r="BQ54" s="882"/>
      <c r="BS54" s="1428"/>
      <c r="BT54" s="1017"/>
      <c r="BU54" s="6584" t="e">
        <f>INDEX(outputs_oppsum[total_spreng_hr],MATCH(_Calcs!$NS$40,outputs_oppsum[stuff_id],0))</f>
        <v>#N/A</v>
      </c>
      <c r="BV54" s="1017"/>
      <c r="BW54" s="6552" t="e">
        <f>IF(_Calcs!$NS$331=0,"✓","!")</f>
        <v>#N/A</v>
      </c>
      <c r="BX54" s="3933"/>
      <c r="BY54" s="882"/>
      <c r="CA54" s="1428"/>
      <c r="CB54" s="1017"/>
      <c r="CC54" s="6584" t="e">
        <f>INDEX(outputs_oppsum[total_spreng_hr],MATCH(_Calcs!$NT$40,outputs_oppsum[stuff_id],0))</f>
        <v>#N/A</v>
      </c>
      <c r="CD54" s="1017"/>
      <c r="CE54" s="6552" t="e">
        <f>IF(_Calcs!$NT$331=0,"✓","!")</f>
        <v>#N/A</v>
      </c>
      <c r="CF54" s="3933"/>
      <c r="CG54" s="882"/>
      <c r="CH54" s="1833"/>
      <c r="CI54" s="1428"/>
      <c r="CJ54" s="1017"/>
      <c r="CK54" s="6584" t="e">
        <f>INDEX(outputs_oppsum[total_spreng_hr],MATCH(_Calcs!$NU$40,outputs_oppsum[stuff_id],0))</f>
        <v>#N/A</v>
      </c>
      <c r="CL54" s="1017"/>
      <c r="CM54" s="6552" t="e">
        <f>IF(_Calcs!$NU$331=0,"✓","!")</f>
        <v>#N/A</v>
      </c>
      <c r="CN54" s="3933"/>
      <c r="CO54" s="882"/>
      <c r="CQ54" s="1428"/>
      <c r="CR54" s="1017"/>
      <c r="CS54" s="6550" t="e">
        <f>INDEX(outputs_oppsum[total_spreng_hr],MATCH(_Calcs!$NV$40,outputs_oppsum[stuff_id],0))</f>
        <v>#N/A</v>
      </c>
      <c r="CT54" s="1017"/>
      <c r="CU54" s="6552" t="e">
        <f>IF(_Calcs!$NV$331=0,"✓","!")</f>
        <v>#N/A</v>
      </c>
      <c r="CV54" s="3933"/>
      <c r="CW54" s="882"/>
      <c r="CY54" s="1428"/>
      <c r="CZ54" s="1017"/>
      <c r="DA54" s="6584" t="e">
        <f>INDEX(outputs_oppsum[total_spreng_hr],MATCH(_Calcs!$NW$40,outputs_oppsum[stuff_id],0))</f>
        <v>#N/A</v>
      </c>
      <c r="DB54" s="1017"/>
      <c r="DC54" s="6552" t="e">
        <f>IF(_Calcs!$NW$331=0,"✓","!")</f>
        <v>#N/A</v>
      </c>
      <c r="DD54" s="3933"/>
      <c r="DE54" s="882"/>
      <c r="DG54" s="95"/>
    </row>
    <row r="55" spans="1:114" s="1862" customFormat="1" ht="15" customHeight="1" thickBot="1" x14ac:dyDescent="0.25">
      <c r="B55" s="1832"/>
      <c r="C55" s="6746"/>
      <c r="D55" s="1004"/>
      <c r="E55" s="760"/>
      <c r="F55" s="6748"/>
      <c r="G55" s="6748"/>
      <c r="H55" s="6748"/>
      <c r="I55" s="6748"/>
      <c r="J55" s="6759"/>
      <c r="K55" s="5983"/>
      <c r="L55" s="598"/>
      <c r="M55" s="1148"/>
      <c r="N55" s="148"/>
      <c r="O55" s="6764"/>
      <c r="P55" s="6764"/>
      <c r="Q55" s="6764"/>
      <c r="R55" s="6764"/>
      <c r="S55" s="6764"/>
      <c r="T55" s="6764"/>
      <c r="U55" s="6764"/>
      <c r="V55" s="6764"/>
      <c r="W55" s="6764"/>
      <c r="X55" s="6764"/>
      <c r="Y55" s="6764"/>
      <c r="Z55" s="6764"/>
      <c r="AA55" s="6764"/>
      <c r="AB55" s="6764"/>
      <c r="AC55" s="6764"/>
      <c r="AD55" s="6176"/>
      <c r="AE55" s="6176"/>
      <c r="AG55" s="1428"/>
      <c r="AH55" s="6747"/>
      <c r="AI55" s="6747"/>
      <c r="AJ55" s="6747"/>
      <c r="AK55" s="1830"/>
      <c r="AM55" s="1428"/>
      <c r="AN55" s="1017"/>
      <c r="AO55" s="6584"/>
      <c r="AP55" s="1017"/>
      <c r="AQ55" s="6553"/>
      <c r="AR55" s="3933"/>
      <c r="AS55" s="882"/>
      <c r="AU55" s="1428"/>
      <c r="AV55" s="1017"/>
      <c r="AW55" s="6584"/>
      <c r="AX55" s="1017"/>
      <c r="AY55" s="6553"/>
      <c r="AZ55" s="3933"/>
      <c r="BA55" s="882"/>
      <c r="BB55" s="1833"/>
      <c r="BC55" s="1428"/>
      <c r="BD55" s="1017"/>
      <c r="BE55" s="6584"/>
      <c r="BF55" s="1017"/>
      <c r="BG55" s="6553"/>
      <c r="BH55" s="3933"/>
      <c r="BI55" s="882"/>
      <c r="BK55" s="1428"/>
      <c r="BL55" s="1017"/>
      <c r="BM55" s="6584"/>
      <c r="BN55" s="1017"/>
      <c r="BO55" s="6553"/>
      <c r="BP55" s="3933"/>
      <c r="BQ55" s="882"/>
      <c r="BS55" s="1428"/>
      <c r="BT55" s="1017"/>
      <c r="BU55" s="6584"/>
      <c r="BV55" s="1017"/>
      <c r="BW55" s="6553"/>
      <c r="BX55" s="3933"/>
      <c r="BY55" s="882"/>
      <c r="CA55" s="1428"/>
      <c r="CB55" s="1017"/>
      <c r="CC55" s="6584"/>
      <c r="CD55" s="1017"/>
      <c r="CE55" s="6553"/>
      <c r="CF55" s="3933"/>
      <c r="CG55" s="882"/>
      <c r="CH55" s="1833"/>
      <c r="CI55" s="1428"/>
      <c r="CJ55" s="1017"/>
      <c r="CK55" s="6584"/>
      <c r="CL55" s="1017"/>
      <c r="CM55" s="6553"/>
      <c r="CN55" s="3933"/>
      <c r="CO55" s="882"/>
      <c r="CQ55" s="1428"/>
      <c r="CR55" s="1017"/>
      <c r="CS55" s="6551"/>
      <c r="CT55" s="1017"/>
      <c r="CU55" s="6553"/>
      <c r="CV55" s="3933"/>
      <c r="CW55" s="882"/>
      <c r="CY55" s="1428"/>
      <c r="CZ55" s="1017"/>
      <c r="DA55" s="6584"/>
      <c r="DB55" s="1017"/>
      <c r="DC55" s="6553"/>
      <c r="DD55" s="3933"/>
      <c r="DE55" s="882"/>
      <c r="DG55" s="95"/>
    </row>
    <row r="56" spans="1:114" ht="6.95" customHeight="1" thickBot="1" x14ac:dyDescent="0.3">
      <c r="B56" s="90"/>
      <c r="C56" s="6746"/>
      <c r="D56" s="13"/>
      <c r="E56" s="1342"/>
      <c r="F56" s="1343"/>
      <c r="G56" s="1343"/>
      <c r="H56" s="1343"/>
      <c r="I56" s="1343"/>
      <c r="J56" s="6153"/>
      <c r="K56" s="5985"/>
      <c r="L56" s="1343"/>
      <c r="M56" s="1344"/>
      <c r="N56" s="20"/>
      <c r="O56" s="6764"/>
      <c r="P56" s="6764"/>
      <c r="Q56" s="6764"/>
      <c r="R56" s="6764"/>
      <c r="S56" s="6764"/>
      <c r="T56" s="6764"/>
      <c r="U56" s="6764"/>
      <c r="V56" s="6764"/>
      <c r="W56" s="6764"/>
      <c r="X56" s="6764"/>
      <c r="Y56" s="6764"/>
      <c r="Z56" s="6764"/>
      <c r="AA56" s="6764"/>
      <c r="AB56" s="6764"/>
      <c r="AC56" s="6764"/>
      <c r="AD56" s="6176"/>
      <c r="AE56" s="6176"/>
      <c r="AG56" s="1139"/>
      <c r="AH56" s="3933"/>
      <c r="AI56" s="3933"/>
      <c r="AJ56" s="3933"/>
      <c r="AK56" s="1145"/>
      <c r="AM56" s="1139"/>
      <c r="AN56" s="1140"/>
      <c r="AO56" s="1333"/>
      <c r="AP56" s="1140"/>
      <c r="AQ56" s="968"/>
      <c r="AR56" s="968"/>
      <c r="AS56" s="1332"/>
      <c r="AU56" s="1139"/>
      <c r="AV56" s="1140"/>
      <c r="AW56" s="1333"/>
      <c r="AX56" s="1140"/>
      <c r="AY56" s="968"/>
      <c r="AZ56" s="968"/>
      <c r="BA56" s="1332"/>
      <c r="BB56" s="25"/>
      <c r="BC56" s="1139"/>
      <c r="BD56" s="1140"/>
      <c r="BE56" s="1333"/>
      <c r="BF56" s="1140"/>
      <c r="BG56" s="968"/>
      <c r="BH56" s="968"/>
      <c r="BI56" s="1332"/>
      <c r="BK56" s="1139"/>
      <c r="BL56" s="1140"/>
      <c r="BM56" s="1333"/>
      <c r="BN56" s="1140"/>
      <c r="BO56" s="968"/>
      <c r="BP56" s="968"/>
      <c r="BQ56" s="1332"/>
      <c r="BR56" s="3973"/>
      <c r="BS56" s="1139"/>
      <c r="BT56" s="1140"/>
      <c r="BU56" s="1333"/>
      <c r="BV56" s="1140"/>
      <c r="BW56" s="968"/>
      <c r="BX56" s="968"/>
      <c r="BY56" s="1332"/>
      <c r="CA56" s="1139"/>
      <c r="CB56" s="1140"/>
      <c r="CC56" s="1333"/>
      <c r="CD56" s="1140"/>
      <c r="CE56" s="968"/>
      <c r="CF56" s="968"/>
      <c r="CG56" s="1332"/>
      <c r="CH56" s="25"/>
      <c r="CI56" s="1139"/>
      <c r="CJ56" s="1140"/>
      <c r="CK56" s="1333"/>
      <c r="CL56" s="1140"/>
      <c r="CM56" s="968"/>
      <c r="CN56" s="968"/>
      <c r="CO56" s="1332"/>
      <c r="CQ56" s="1139"/>
      <c r="CR56" s="1140"/>
      <c r="CS56" s="1333"/>
      <c r="CT56" s="1140"/>
      <c r="CU56" s="968"/>
      <c r="CV56" s="968"/>
      <c r="CW56" s="1332"/>
      <c r="CX56" s="3973"/>
      <c r="CY56" s="1139"/>
      <c r="CZ56" s="1140"/>
      <c r="DA56" s="1333"/>
      <c r="DB56" s="1140"/>
      <c r="DC56" s="968"/>
      <c r="DD56" s="968"/>
      <c r="DE56" s="1332"/>
      <c r="DG56" s="48"/>
    </row>
    <row r="57" spans="1:114" ht="8.1" customHeight="1" thickBot="1" x14ac:dyDescent="0.3">
      <c r="B57" s="90"/>
      <c r="C57" s="6746"/>
      <c r="D57" s="13"/>
      <c r="E57" s="6154"/>
      <c r="F57" s="6154"/>
      <c r="G57" s="6154"/>
      <c r="H57" s="6154"/>
      <c r="I57" s="6154"/>
      <c r="J57" s="6155"/>
      <c r="K57" s="6156"/>
      <c r="L57" s="6154"/>
      <c r="M57" s="6154"/>
      <c r="N57" s="20"/>
      <c r="O57" s="6764"/>
      <c r="P57" s="6764"/>
      <c r="Q57" s="6764"/>
      <c r="R57" s="6764"/>
      <c r="S57" s="6764"/>
      <c r="T57" s="6764"/>
      <c r="U57" s="6764"/>
      <c r="V57" s="6764"/>
      <c r="W57" s="6764"/>
      <c r="X57" s="6764"/>
      <c r="Y57" s="6764"/>
      <c r="Z57" s="6764"/>
      <c r="AA57" s="6764"/>
      <c r="AB57" s="6764"/>
      <c r="AC57" s="6764"/>
      <c r="AE57" s="6177"/>
      <c r="AG57" s="1139"/>
      <c r="AH57" s="6138"/>
      <c r="AI57" s="6138"/>
      <c r="AJ57" s="6138"/>
      <c r="AK57" s="1145"/>
      <c r="AM57" s="1139"/>
      <c r="AN57" s="1140"/>
      <c r="AO57" s="1333"/>
      <c r="AP57" s="1140"/>
      <c r="AQ57" s="968"/>
      <c r="AR57" s="968"/>
      <c r="AS57" s="1332"/>
      <c r="AU57" s="1139"/>
      <c r="AV57" s="1140"/>
      <c r="AW57" s="1333"/>
      <c r="AX57" s="1140"/>
      <c r="AY57" s="968"/>
      <c r="AZ57" s="968"/>
      <c r="BA57" s="1332"/>
      <c r="BB57" s="25"/>
      <c r="BC57" s="1139"/>
      <c r="BD57" s="1140"/>
      <c r="BE57" s="1333"/>
      <c r="BF57" s="1140"/>
      <c r="BG57" s="968"/>
      <c r="BH57" s="968"/>
      <c r="BI57" s="1332"/>
      <c r="BK57" s="1139"/>
      <c r="BL57" s="1140"/>
      <c r="BM57" s="1333"/>
      <c r="BN57" s="1140"/>
      <c r="BO57" s="968"/>
      <c r="BP57" s="968"/>
      <c r="BQ57" s="1332"/>
      <c r="BR57" s="3973"/>
      <c r="BS57" s="1139"/>
      <c r="BT57" s="1140"/>
      <c r="BU57" s="1333"/>
      <c r="BV57" s="1140"/>
      <c r="BW57" s="968"/>
      <c r="BX57" s="968"/>
      <c r="BY57" s="1332"/>
      <c r="CA57" s="1139"/>
      <c r="CB57" s="1140"/>
      <c r="CC57" s="1333"/>
      <c r="CD57" s="1140"/>
      <c r="CE57" s="968"/>
      <c r="CF57" s="968"/>
      <c r="CG57" s="1332"/>
      <c r="CH57" s="25"/>
      <c r="CI57" s="1139"/>
      <c r="CJ57" s="1140"/>
      <c r="CK57" s="1333"/>
      <c r="CL57" s="1140"/>
      <c r="CM57" s="968"/>
      <c r="CN57" s="968"/>
      <c r="CO57" s="1332"/>
      <c r="CQ57" s="1139"/>
      <c r="CR57" s="1140"/>
      <c r="CS57" s="1333"/>
      <c r="CT57" s="1140"/>
      <c r="CU57" s="968"/>
      <c r="CV57" s="968"/>
      <c r="CW57" s="1332"/>
      <c r="CX57" s="3973"/>
      <c r="CY57" s="1139"/>
      <c r="CZ57" s="1140"/>
      <c r="DA57" s="1333"/>
      <c r="DB57" s="1140"/>
      <c r="DC57" s="968"/>
      <c r="DD57" s="968"/>
      <c r="DE57" s="1332"/>
      <c r="DG57" s="48"/>
    </row>
    <row r="58" spans="1:114" s="1862" customFormat="1" ht="15.75" customHeight="1" thickBot="1" x14ac:dyDescent="0.25">
      <c r="B58" s="1832"/>
      <c r="C58" s="6746"/>
      <c r="D58" s="1004"/>
      <c r="E58" s="6162"/>
      <c r="F58" s="6162"/>
      <c r="G58" s="6162"/>
      <c r="H58" s="6162"/>
      <c r="I58" s="6162"/>
      <c r="J58" s="6162"/>
      <c r="K58" s="6162"/>
      <c r="L58" s="6162"/>
      <c r="M58" s="6162"/>
      <c r="N58" s="6163"/>
      <c r="O58" s="6764"/>
      <c r="P58" s="6764"/>
      <c r="Q58" s="6764"/>
      <c r="R58" s="6764"/>
      <c r="S58" s="6764"/>
      <c r="T58" s="6764"/>
      <c r="U58" s="6764"/>
      <c r="V58" s="6764"/>
      <c r="W58" s="6764"/>
      <c r="X58" s="6764"/>
      <c r="Y58" s="6764"/>
      <c r="Z58" s="6764"/>
      <c r="AA58" s="6764"/>
      <c r="AB58" s="6764"/>
      <c r="AC58" s="6764"/>
      <c r="AD58" s="6176"/>
      <c r="AE58" s="6176"/>
      <c r="AF58" s="70"/>
      <c r="AG58" s="1139"/>
      <c r="AH58" s="6747" t="s">
        <v>146</v>
      </c>
      <c r="AI58" s="6747"/>
      <c r="AJ58" s="6747"/>
      <c r="AK58" s="1830"/>
      <c r="AM58" s="1428"/>
      <c r="AN58" s="1017"/>
      <c r="AO58" s="6584">
        <f>INDEX(outputs_oppsum[total_spreng_uker],MATCH(_Calcs!$NO$40,outputs_oppsum[stuff_id],0))</f>
        <v>0</v>
      </c>
      <c r="AP58" s="1017"/>
      <c r="AQ58" s="6552" t="str">
        <f>IF(_Calcs!$NO$331=0,"✓","!")</f>
        <v>!</v>
      </c>
      <c r="AR58" s="3933"/>
      <c r="AS58" s="882"/>
      <c r="AU58" s="1428"/>
      <c r="AV58" s="1017"/>
      <c r="AW58" s="6584" t="e">
        <f>INDEX(outputs_oppsum[total_spreng_uker],MATCH(_Calcs!$NP$40,outputs_oppsum[stuff_id],0))</f>
        <v>#N/A</v>
      </c>
      <c r="AX58" s="1017"/>
      <c r="AY58" s="6552" t="e">
        <f>IF(_Calcs!$NP$331=0,"✓","!")</f>
        <v>#N/A</v>
      </c>
      <c r="AZ58" s="3933"/>
      <c r="BA58" s="882"/>
      <c r="BB58" s="1833"/>
      <c r="BC58" s="1428"/>
      <c r="BD58" s="1017"/>
      <c r="BE58" s="6584" t="e">
        <f>INDEX(outputs_oppsum[total_spreng_uker],MATCH(_Calcs!$NQ$40,outputs_oppsum[stuff_id],0))</f>
        <v>#N/A</v>
      </c>
      <c r="BF58" s="1017"/>
      <c r="BG58" s="6552" t="e">
        <f>IF(_Calcs!$NQ$331=0,"✓","!")</f>
        <v>#N/A</v>
      </c>
      <c r="BH58" s="3933"/>
      <c r="BI58" s="882"/>
      <c r="BK58" s="1428"/>
      <c r="BL58" s="1017"/>
      <c r="BM58" s="6584" t="e">
        <f>INDEX(outputs_oppsum[total_spreng_uker],MATCH(_Calcs!$NR$40,outputs_oppsum[stuff_id],0))</f>
        <v>#N/A</v>
      </c>
      <c r="BN58" s="1017"/>
      <c r="BO58" s="6552" t="e">
        <f>IF(_Calcs!$NR$331=0,"✓","!")</f>
        <v>#N/A</v>
      </c>
      <c r="BP58" s="3933"/>
      <c r="BQ58" s="882"/>
      <c r="BS58" s="1428"/>
      <c r="BT58" s="1017"/>
      <c r="BU58" s="6584" t="e">
        <f>INDEX(outputs_oppsum[total_spreng_uker],MATCH(_Calcs!$NS$40,outputs_oppsum[stuff_id],0))</f>
        <v>#N/A</v>
      </c>
      <c r="BV58" s="1017"/>
      <c r="BW58" s="6552" t="e">
        <f>IF(_Calcs!$NS$331=0,"✓","!")</f>
        <v>#N/A</v>
      </c>
      <c r="BX58" s="3933"/>
      <c r="BY58" s="882"/>
      <c r="CA58" s="1428"/>
      <c r="CB58" s="1017"/>
      <c r="CC58" s="6584" t="e">
        <f>INDEX(outputs_oppsum[total_spreng_uker],MATCH(_Calcs!$NT$40,outputs_oppsum[stuff_id],0))</f>
        <v>#N/A</v>
      </c>
      <c r="CD58" s="1017"/>
      <c r="CE58" s="6552" t="e">
        <f>IF(_Calcs!$NT$331=0,"✓","!")</f>
        <v>#N/A</v>
      </c>
      <c r="CF58" s="3933"/>
      <c r="CG58" s="882"/>
      <c r="CH58" s="1833"/>
      <c r="CI58" s="1428"/>
      <c r="CJ58" s="1017"/>
      <c r="CK58" s="6584" t="e">
        <f>INDEX(outputs_oppsum[total_spreng_uker],MATCH(_Calcs!$NU$40,outputs_oppsum[stuff_id],0))</f>
        <v>#N/A</v>
      </c>
      <c r="CL58" s="1017"/>
      <c r="CM58" s="6552" t="e">
        <f>IF(_Calcs!$NU$331=0,"✓","!")</f>
        <v>#N/A</v>
      </c>
      <c r="CN58" s="3933"/>
      <c r="CO58" s="882"/>
      <c r="CQ58" s="1428"/>
      <c r="CR58" s="1017"/>
      <c r="CS58" s="6550" t="e">
        <f>INDEX(outputs_oppsum[total_spreng_uker],MATCH(_Calcs!$NV$40,outputs_oppsum[stuff_id],0))</f>
        <v>#N/A</v>
      </c>
      <c r="CT58" s="1017"/>
      <c r="CU58" s="6552" t="e">
        <f>IF(_Calcs!$NV$331=0,"✓","!")</f>
        <v>#N/A</v>
      </c>
      <c r="CV58" s="3933"/>
      <c r="CW58" s="882"/>
      <c r="CY58" s="1428"/>
      <c r="CZ58" s="1017"/>
      <c r="DA58" s="6584" t="e">
        <f>INDEX(outputs_oppsum[total_spreng_uker],MATCH(_Calcs!$NW$40,outputs_oppsum[stuff_id],0))</f>
        <v>#N/A</v>
      </c>
      <c r="DB58" s="1017"/>
      <c r="DC58" s="6552" t="e">
        <f>IF(_Calcs!$NW$331=0,"✓","!")</f>
        <v>#N/A</v>
      </c>
      <c r="DD58" s="3933"/>
      <c r="DE58" s="882"/>
      <c r="DG58" s="95"/>
    </row>
    <row r="59" spans="1:114" s="1862" customFormat="1" ht="15" customHeight="1" thickBot="1" x14ac:dyDescent="0.3">
      <c r="B59" s="1832"/>
      <c r="C59" s="6746"/>
      <c r="D59" s="1004"/>
      <c r="E59" s="6162"/>
      <c r="F59" s="6162"/>
      <c r="G59" s="6162"/>
      <c r="H59" s="6162"/>
      <c r="I59" s="6162"/>
      <c r="J59" s="6162"/>
      <c r="K59" s="6162"/>
      <c r="L59" s="6162"/>
      <c r="M59" s="6162"/>
      <c r="N59" s="6163"/>
      <c r="O59" s="6764"/>
      <c r="P59" s="6764"/>
      <c r="Q59" s="6764"/>
      <c r="R59" s="6764"/>
      <c r="S59" s="6764"/>
      <c r="T59" s="6764"/>
      <c r="U59" s="6764"/>
      <c r="V59" s="6764"/>
      <c r="W59" s="6764"/>
      <c r="X59" s="6764"/>
      <c r="Y59" s="6764"/>
      <c r="Z59" s="6764"/>
      <c r="AA59" s="6764"/>
      <c r="AB59" s="6764"/>
      <c r="AC59" s="6764"/>
      <c r="AD59" s="6176"/>
      <c r="AE59" s="6176"/>
      <c r="AF59" s="70"/>
      <c r="AG59" s="1334"/>
      <c r="AH59" s="6747"/>
      <c r="AI59" s="6747"/>
      <c r="AJ59" s="6747"/>
      <c r="AK59" s="1830"/>
      <c r="AM59" s="1429"/>
      <c r="AN59" s="99"/>
      <c r="AO59" s="6584"/>
      <c r="AP59" s="1017"/>
      <c r="AQ59" s="6553"/>
      <c r="AR59" s="3933"/>
      <c r="AS59" s="882"/>
      <c r="AU59" s="1429"/>
      <c r="AV59" s="99"/>
      <c r="AW59" s="6584"/>
      <c r="AX59" s="1017"/>
      <c r="AY59" s="6553"/>
      <c r="AZ59" s="3933"/>
      <c r="BA59" s="882"/>
      <c r="BB59" s="1833"/>
      <c r="BC59" s="1429"/>
      <c r="BD59" s="99"/>
      <c r="BE59" s="6584"/>
      <c r="BF59" s="1017"/>
      <c r="BG59" s="6553"/>
      <c r="BH59" s="3933"/>
      <c r="BI59" s="882"/>
      <c r="BK59" s="1429"/>
      <c r="BL59" s="99"/>
      <c r="BM59" s="6584"/>
      <c r="BN59" s="1017"/>
      <c r="BO59" s="6553"/>
      <c r="BP59" s="3933"/>
      <c r="BQ59" s="882"/>
      <c r="BS59" s="1429"/>
      <c r="BT59" s="99"/>
      <c r="BU59" s="6584"/>
      <c r="BV59" s="1017"/>
      <c r="BW59" s="6553"/>
      <c r="BX59" s="3933"/>
      <c r="BY59" s="882"/>
      <c r="CA59" s="1429"/>
      <c r="CB59" s="99"/>
      <c r="CC59" s="6584"/>
      <c r="CD59" s="1017"/>
      <c r="CE59" s="6553"/>
      <c r="CF59" s="3933"/>
      <c r="CG59" s="882"/>
      <c r="CH59" s="1833"/>
      <c r="CI59" s="1429"/>
      <c r="CJ59" s="99"/>
      <c r="CK59" s="6584"/>
      <c r="CL59" s="1017"/>
      <c r="CM59" s="6553"/>
      <c r="CN59" s="3933"/>
      <c r="CO59" s="882"/>
      <c r="CQ59" s="1429"/>
      <c r="CR59" s="99"/>
      <c r="CS59" s="6551"/>
      <c r="CT59" s="1017"/>
      <c r="CU59" s="6553"/>
      <c r="CV59" s="3933"/>
      <c r="CW59" s="882"/>
      <c r="CY59" s="1429"/>
      <c r="CZ59" s="99"/>
      <c r="DA59" s="6584"/>
      <c r="DB59" s="1017"/>
      <c r="DC59" s="6553"/>
      <c r="DD59" s="3933"/>
      <c r="DE59" s="882"/>
      <c r="DG59" s="95"/>
    </row>
    <row r="60" spans="1:114" s="21" customFormat="1" ht="15.75" customHeight="1" thickBot="1" x14ac:dyDescent="0.25">
      <c r="A60" s="25"/>
      <c r="B60" s="25"/>
      <c r="C60" s="1152"/>
      <c r="D60" s="13"/>
      <c r="E60" s="6162"/>
      <c r="F60" s="6162"/>
      <c r="G60" s="6162"/>
      <c r="H60" s="6162"/>
      <c r="I60" s="6162"/>
      <c r="J60" s="6162"/>
      <c r="K60" s="6162"/>
      <c r="L60" s="6162"/>
      <c r="M60" s="6162"/>
      <c r="N60" s="6163"/>
      <c r="O60" s="6764"/>
      <c r="P60" s="6764"/>
      <c r="Q60" s="6764"/>
      <c r="R60" s="6764"/>
      <c r="S60" s="6764"/>
      <c r="T60" s="6764"/>
      <c r="U60" s="6764"/>
      <c r="V60" s="6764"/>
      <c r="W60" s="6764"/>
      <c r="X60" s="6764"/>
      <c r="Y60" s="6764"/>
      <c r="Z60" s="6764"/>
      <c r="AA60" s="6764"/>
      <c r="AB60" s="6764"/>
      <c r="AC60" s="6764"/>
      <c r="AD60" s="6176"/>
      <c r="AE60" s="6176"/>
      <c r="AG60" s="1149"/>
      <c r="AH60" s="1335"/>
      <c r="AI60" s="1335"/>
      <c r="AJ60" s="1335"/>
      <c r="AK60" s="1151"/>
      <c r="AL60" s="70"/>
      <c r="AM60" s="1149"/>
      <c r="AN60" s="1150"/>
      <c r="AO60" s="1150"/>
      <c r="AP60" s="1150"/>
      <c r="AQ60" s="1335"/>
      <c r="AR60" s="1335"/>
      <c r="AS60" s="1336"/>
      <c r="AT60" s="70"/>
      <c r="AU60" s="1149"/>
      <c r="AV60" s="1150"/>
      <c r="AW60" s="1150"/>
      <c r="AX60" s="1150"/>
      <c r="AY60" s="1335"/>
      <c r="AZ60" s="1335"/>
      <c r="BA60" s="1336"/>
      <c r="BB60" s="25"/>
      <c r="BC60" s="1149"/>
      <c r="BD60" s="1150"/>
      <c r="BE60" s="1150"/>
      <c r="BF60" s="1150"/>
      <c r="BG60" s="1335"/>
      <c r="BH60" s="1335"/>
      <c r="BI60" s="1336"/>
      <c r="BJ60" s="70"/>
      <c r="BK60" s="1149"/>
      <c r="BL60" s="1150"/>
      <c r="BM60" s="1150"/>
      <c r="BN60" s="1150"/>
      <c r="BO60" s="1335"/>
      <c r="BP60" s="1335"/>
      <c r="BQ60" s="1336"/>
      <c r="BR60" s="37"/>
      <c r="BS60" s="1149"/>
      <c r="BT60" s="1150"/>
      <c r="BU60" s="1150"/>
      <c r="BV60" s="1150"/>
      <c r="BW60" s="1335"/>
      <c r="BX60" s="1335"/>
      <c r="BY60" s="1336"/>
      <c r="BZ60" s="70"/>
      <c r="CA60" s="1149"/>
      <c r="CB60" s="1150"/>
      <c r="CC60" s="1150"/>
      <c r="CD60" s="1150"/>
      <c r="CE60" s="1335"/>
      <c r="CF60" s="1335"/>
      <c r="CG60" s="1336"/>
      <c r="CH60" s="25"/>
      <c r="CI60" s="1149"/>
      <c r="CJ60" s="1150"/>
      <c r="CK60" s="1150"/>
      <c r="CL60" s="1150"/>
      <c r="CM60" s="1335"/>
      <c r="CN60" s="1335"/>
      <c r="CO60" s="1336"/>
      <c r="CP60" s="70"/>
      <c r="CQ60" s="1149"/>
      <c r="CR60" s="1150"/>
      <c r="CS60" s="1150"/>
      <c r="CT60" s="1150"/>
      <c r="CU60" s="1335"/>
      <c r="CV60" s="1335"/>
      <c r="CW60" s="1336"/>
      <c r="CX60" s="37"/>
      <c r="CY60" s="1149"/>
      <c r="CZ60" s="1150"/>
      <c r="DA60" s="1150"/>
      <c r="DB60" s="1150"/>
      <c r="DC60" s="1335"/>
      <c r="DD60" s="1335"/>
      <c r="DE60" s="1336"/>
      <c r="DG60" s="48"/>
    </row>
    <row r="61" spans="1:114" ht="30" customHeight="1" x14ac:dyDescent="0.2">
      <c r="O61" s="6176"/>
      <c r="P61" s="6176"/>
      <c r="Q61" s="6176"/>
      <c r="R61" s="6176"/>
      <c r="S61" s="6176"/>
      <c r="T61" s="6176"/>
      <c r="U61" s="6176"/>
      <c r="V61" s="6176"/>
      <c r="W61" s="6176"/>
      <c r="X61" s="6176"/>
      <c r="Y61" s="6176"/>
      <c r="Z61" s="6176"/>
      <c r="AA61" s="6176"/>
      <c r="AB61" s="6176"/>
      <c r="AC61" s="6176"/>
      <c r="AD61" s="6176"/>
      <c r="AE61" s="6176"/>
      <c r="BB61" s="25"/>
    </row>
    <row r="62" spans="1:114" ht="5.0999999999999996" customHeight="1" x14ac:dyDescent="0.2">
      <c r="C62" s="1880"/>
      <c r="E62" s="1880"/>
      <c r="F62" s="1880"/>
      <c r="G62" s="1880"/>
      <c r="H62" s="1880"/>
      <c r="I62" s="1880"/>
      <c r="J62" s="2069"/>
      <c r="K62" s="1882"/>
      <c r="L62" s="1880"/>
      <c r="M62" s="1881"/>
      <c r="O62" s="1881"/>
      <c r="P62" s="1880"/>
      <c r="Q62" s="1880"/>
      <c r="R62" s="1170"/>
      <c r="S62" s="1880"/>
      <c r="T62" s="1880"/>
      <c r="U62" s="1880"/>
      <c r="V62" s="1880"/>
      <c r="W62" s="1880"/>
      <c r="X62" s="1880"/>
      <c r="Y62" s="1880"/>
      <c r="Z62" s="1880"/>
      <c r="AA62" s="1880"/>
      <c r="AB62" s="1881"/>
      <c r="AC62" s="1881"/>
      <c r="AD62" s="115"/>
      <c r="AE62" s="115"/>
      <c r="AG62" s="1880"/>
      <c r="AH62" s="923"/>
      <c r="AI62" s="923"/>
      <c r="AJ62" s="923"/>
      <c r="AK62" s="1880"/>
      <c r="AM62" s="1880"/>
      <c r="AN62" s="1880"/>
      <c r="AO62" s="1882"/>
      <c r="AP62" s="1880"/>
      <c r="AQ62" s="1880"/>
      <c r="AR62" s="1880"/>
      <c r="AS62" s="1880"/>
      <c r="AU62" s="1880"/>
      <c r="AV62" s="1880"/>
      <c r="AW62" s="1880"/>
      <c r="AX62" s="1880"/>
      <c r="AY62" s="1880"/>
      <c r="AZ62" s="1880"/>
      <c r="BA62" s="1880"/>
      <c r="BB62" s="25"/>
      <c r="BC62" s="1880"/>
      <c r="BD62" s="1880"/>
      <c r="BE62" s="1882"/>
      <c r="BF62" s="1880"/>
      <c r="BG62" s="1880"/>
      <c r="BH62" s="1880"/>
      <c r="BI62" s="1880"/>
      <c r="BK62" s="1880"/>
      <c r="BL62" s="1880"/>
      <c r="BM62" s="1880"/>
      <c r="BN62" s="1880"/>
      <c r="BO62" s="1880"/>
      <c r="BP62" s="1880"/>
      <c r="BQ62" s="1880"/>
      <c r="BS62" s="1880"/>
      <c r="BT62" s="1880"/>
      <c r="BU62" s="1880"/>
      <c r="BV62" s="1880"/>
      <c r="BW62" s="1880"/>
      <c r="BX62" s="1880"/>
      <c r="BY62" s="1880"/>
      <c r="CA62" s="1880"/>
      <c r="CB62" s="1880"/>
      <c r="CC62" s="1880"/>
      <c r="CD62" s="1880"/>
      <c r="CE62" s="1880"/>
      <c r="CF62" s="1880"/>
      <c r="CG62" s="1880"/>
      <c r="CI62" s="1880"/>
      <c r="CJ62" s="1880"/>
      <c r="CK62" s="1880"/>
      <c r="CL62" s="1880"/>
      <c r="CM62" s="1880"/>
      <c r="CN62" s="1880"/>
      <c r="CO62" s="1880"/>
      <c r="CQ62" s="1880"/>
      <c r="CR62" s="1880"/>
      <c r="CS62" s="1880"/>
      <c r="CT62" s="1880"/>
      <c r="CU62" s="1880"/>
      <c r="CV62" s="1880"/>
      <c r="CW62" s="1880"/>
      <c r="CY62" s="1880"/>
      <c r="CZ62" s="1880"/>
      <c r="DA62" s="1880"/>
      <c r="DB62" s="1880"/>
      <c r="DC62" s="1880"/>
      <c r="DD62" s="1880"/>
      <c r="DE62" s="1880"/>
      <c r="DG62" s="1880"/>
    </row>
    <row r="63" spans="1:114" ht="3.75" customHeight="1" x14ac:dyDescent="0.2">
      <c r="K63" s="70"/>
      <c r="M63" s="70"/>
      <c r="N63" s="70"/>
      <c r="O63" s="70"/>
      <c r="X63" s="70"/>
      <c r="AD63" s="115"/>
      <c r="AE63" s="115"/>
      <c r="AH63" s="70"/>
      <c r="AI63" s="70"/>
      <c r="AJ63" s="70"/>
      <c r="AO63" s="70"/>
      <c r="BB63" s="25"/>
    </row>
    <row r="64" spans="1:114" ht="12" customHeight="1" x14ac:dyDescent="0.2">
      <c r="C64" s="1880"/>
      <c r="E64" s="1880"/>
      <c r="F64" s="1880"/>
      <c r="G64" s="1880"/>
      <c r="H64" s="1880"/>
      <c r="I64" s="1880"/>
      <c r="J64" s="2069"/>
      <c r="K64" s="1880"/>
      <c r="L64" s="1880"/>
      <c r="M64" s="1880"/>
      <c r="N64" s="70"/>
      <c r="O64" s="1880"/>
      <c r="P64" s="1880"/>
      <c r="Q64" s="1880"/>
      <c r="R64" s="1170"/>
      <c r="S64" s="1880"/>
      <c r="T64" s="1880"/>
      <c r="U64" s="1880"/>
      <c r="V64" s="1880"/>
      <c r="W64" s="1880"/>
      <c r="X64" s="1880"/>
      <c r="Y64" s="1880"/>
      <c r="Z64" s="1880"/>
      <c r="AA64" s="1880"/>
      <c r="AB64" s="1881"/>
      <c r="AC64" s="1881"/>
      <c r="AD64" s="115"/>
      <c r="AE64" s="115"/>
      <c r="AG64" s="1880"/>
      <c r="AH64" s="1880"/>
      <c r="AI64" s="1880"/>
      <c r="AJ64" s="1880"/>
      <c r="AK64" s="1880"/>
      <c r="AM64" s="1880"/>
      <c r="AN64" s="1880"/>
      <c r="AO64" s="1880"/>
      <c r="AP64" s="1880"/>
      <c r="AQ64" s="1880"/>
      <c r="AR64" s="1880"/>
      <c r="AS64" s="1880"/>
      <c r="AU64" s="1880"/>
      <c r="AV64" s="1880"/>
      <c r="AW64" s="1880"/>
      <c r="AX64" s="1880"/>
      <c r="AY64" s="1880"/>
      <c r="AZ64" s="1880"/>
      <c r="BA64" s="1880"/>
      <c r="BB64" s="25"/>
      <c r="BC64" s="1880"/>
      <c r="BD64" s="1880"/>
      <c r="BE64" s="1882"/>
      <c r="BF64" s="1880"/>
      <c r="BG64" s="1880"/>
      <c r="BH64" s="1880"/>
      <c r="BI64" s="1880"/>
      <c r="BK64" s="1880"/>
      <c r="BL64" s="1880"/>
      <c r="BM64" s="1880"/>
      <c r="BN64" s="1880"/>
      <c r="BO64" s="1880"/>
      <c r="BP64" s="1880"/>
      <c r="BQ64" s="1880"/>
      <c r="BS64" s="1880"/>
      <c r="BT64" s="1880"/>
      <c r="BU64" s="1880"/>
      <c r="BV64" s="1880"/>
      <c r="BW64" s="1880"/>
      <c r="BX64" s="1880"/>
      <c r="BY64" s="1880"/>
      <c r="CA64" s="1880"/>
      <c r="CB64" s="1880"/>
      <c r="CC64" s="1880"/>
      <c r="CD64" s="1880"/>
      <c r="CE64" s="1880"/>
      <c r="CF64" s="1880"/>
      <c r="CG64" s="1880"/>
      <c r="CI64" s="1880"/>
      <c r="CJ64" s="1880"/>
      <c r="CK64" s="1880"/>
      <c r="CL64" s="1880"/>
      <c r="CM64" s="1880"/>
      <c r="CN64" s="1880"/>
      <c r="CO64" s="1880"/>
      <c r="CQ64" s="1880"/>
      <c r="CR64" s="1880"/>
      <c r="CS64" s="1880"/>
      <c r="CT64" s="1880"/>
      <c r="CU64" s="1880"/>
      <c r="CV64" s="1880"/>
      <c r="CW64" s="1880"/>
      <c r="CY64" s="1880"/>
      <c r="CZ64" s="1880"/>
      <c r="DA64" s="1880"/>
      <c r="DB64" s="1880"/>
      <c r="DC64" s="1880"/>
      <c r="DD64" s="1880"/>
      <c r="DE64" s="1880"/>
      <c r="DG64" s="1880"/>
    </row>
    <row r="65" spans="11:54" ht="50.1" customHeight="1" x14ac:dyDescent="0.3">
      <c r="K65" s="70"/>
      <c r="M65" s="70"/>
      <c r="N65" s="70"/>
      <c r="O65" s="70"/>
      <c r="AE65" s="2310"/>
      <c r="AH65" s="70"/>
      <c r="AI65" s="70"/>
      <c r="AJ65" s="70"/>
      <c r="AO65" s="70"/>
      <c r="BB65" s="25"/>
    </row>
    <row r="66" spans="11:54" hidden="1" x14ac:dyDescent="0.3">
      <c r="K66" s="70"/>
      <c r="M66" s="70"/>
      <c r="N66" s="70"/>
      <c r="O66" s="70"/>
      <c r="AH66" s="70"/>
      <c r="AI66" s="70"/>
      <c r="AJ66" s="70"/>
      <c r="AO66" s="70"/>
      <c r="BB66" s="25"/>
    </row>
    <row r="67" spans="11:54" hidden="1" x14ac:dyDescent="0.3">
      <c r="K67" s="70"/>
      <c r="M67" s="70"/>
      <c r="N67" s="70"/>
      <c r="O67" s="70"/>
      <c r="AH67" s="70"/>
      <c r="AI67" s="70"/>
      <c r="AJ67" s="70"/>
      <c r="AO67" s="70"/>
      <c r="BB67" s="25"/>
    </row>
    <row r="68" spans="11:54" hidden="1" x14ac:dyDescent="0.3">
      <c r="K68" s="70"/>
      <c r="M68" s="70"/>
      <c r="N68" s="70"/>
      <c r="O68" s="70"/>
      <c r="AH68" s="70"/>
      <c r="AI68" s="70"/>
      <c r="AJ68" s="70"/>
      <c r="AO68" s="70"/>
    </row>
    <row r="69" spans="11:54" hidden="1" x14ac:dyDescent="0.3">
      <c r="K69" s="70"/>
      <c r="M69" s="70"/>
      <c r="N69" s="70"/>
      <c r="O69" s="70"/>
      <c r="AH69" s="70"/>
      <c r="AI69" s="70"/>
      <c r="AJ69" s="70"/>
      <c r="AO69" s="70"/>
    </row>
    <row r="70" spans="11:54" hidden="1" x14ac:dyDescent="0.3">
      <c r="K70" s="70"/>
      <c r="M70" s="70"/>
      <c r="N70" s="70"/>
      <c r="O70" s="70"/>
      <c r="AH70" s="70"/>
      <c r="AI70" s="70"/>
      <c r="AJ70" s="70"/>
      <c r="AO70" s="70"/>
    </row>
    <row r="71" spans="11:54" hidden="1" x14ac:dyDescent="0.3">
      <c r="K71" s="70"/>
      <c r="M71" s="70"/>
      <c r="N71" s="70"/>
      <c r="O71" s="70"/>
      <c r="AH71" s="70"/>
      <c r="AI71" s="70"/>
      <c r="AJ71" s="70"/>
      <c r="AO71" s="70"/>
    </row>
    <row r="72" spans="11:54" ht="14.25" hidden="1" customHeight="1" x14ac:dyDescent="0.3">
      <c r="K72" s="70"/>
      <c r="M72" s="70"/>
      <c r="N72" s="70"/>
      <c r="O72" s="70"/>
      <c r="AH72" s="70"/>
      <c r="AI72" s="70"/>
      <c r="AJ72" s="70"/>
      <c r="AO72" s="70"/>
    </row>
    <row r="73" spans="11:54" ht="15" hidden="1" customHeight="1" x14ac:dyDescent="0.3">
      <c r="K73" s="70"/>
      <c r="M73" s="70"/>
      <c r="N73" s="70"/>
      <c r="O73" s="70"/>
      <c r="AH73" s="70"/>
      <c r="AI73" s="70"/>
      <c r="AJ73" s="70"/>
      <c r="AO73" s="70"/>
    </row>
    <row r="74" spans="11:54" hidden="1" x14ac:dyDescent="0.3">
      <c r="K74" s="70"/>
      <c r="M74" s="70"/>
      <c r="N74" s="70"/>
      <c r="O74" s="70"/>
      <c r="AH74" s="70"/>
      <c r="AI74" s="70"/>
      <c r="AJ74" s="70"/>
      <c r="AO74" s="70"/>
    </row>
    <row r="75" spans="11:54" hidden="1" x14ac:dyDescent="0.3">
      <c r="K75" s="70"/>
      <c r="M75" s="70"/>
      <c r="N75" s="70"/>
      <c r="O75" s="70"/>
      <c r="AH75" s="70"/>
      <c r="AI75" s="70"/>
      <c r="AJ75" s="70"/>
      <c r="AO75" s="70"/>
    </row>
    <row r="76" spans="11:54" hidden="1" x14ac:dyDescent="0.3">
      <c r="K76" s="70"/>
      <c r="M76" s="70"/>
      <c r="N76" s="70"/>
      <c r="O76" s="70"/>
      <c r="AH76" s="70"/>
      <c r="AI76" s="70"/>
      <c r="AJ76" s="70"/>
      <c r="AO76" s="70"/>
    </row>
    <row r="77" spans="11:54" hidden="1" x14ac:dyDescent="0.3">
      <c r="K77" s="70"/>
      <c r="M77" s="70"/>
      <c r="N77" s="70"/>
      <c r="O77" s="70"/>
      <c r="AH77" s="70"/>
      <c r="AI77" s="70"/>
      <c r="AJ77" s="70"/>
      <c r="AO77" s="70"/>
    </row>
    <row r="78" spans="11:54" hidden="1" x14ac:dyDescent="0.3">
      <c r="K78" s="70"/>
      <c r="M78" s="70"/>
      <c r="N78" s="70"/>
      <c r="O78" s="70"/>
      <c r="AH78" s="70"/>
      <c r="AI78" s="70"/>
      <c r="AJ78" s="70"/>
      <c r="AO78" s="70"/>
    </row>
    <row r="79" spans="11:54" hidden="1" x14ac:dyDescent="0.3">
      <c r="K79" s="70"/>
      <c r="M79" s="70"/>
      <c r="N79" s="70"/>
      <c r="O79" s="70"/>
      <c r="AH79" s="70"/>
      <c r="AI79" s="70"/>
      <c r="AJ79" s="70"/>
      <c r="AO79" s="70"/>
    </row>
    <row r="80" spans="11:54" hidden="1" x14ac:dyDescent="0.3">
      <c r="K80" s="70"/>
      <c r="M80" s="70"/>
      <c r="N80" s="70"/>
      <c r="O80" s="70"/>
      <c r="AH80" s="70"/>
      <c r="AI80" s="70"/>
      <c r="AJ80" s="70"/>
      <c r="AO80" s="70"/>
    </row>
    <row r="81" spans="11:41" hidden="1" x14ac:dyDescent="0.3">
      <c r="K81" s="70"/>
      <c r="M81" s="70"/>
      <c r="N81" s="70"/>
      <c r="O81" s="70"/>
      <c r="AH81" s="70"/>
      <c r="AI81" s="70"/>
      <c r="AJ81" s="70"/>
      <c r="AO81" s="70"/>
    </row>
  </sheetData>
  <sheetProtection algorithmName="SHA-512" hashValue="ltio1W6/iaWzfSr5GAv7tp53PZ8BXwiMqGSGhPWC6/4CriM/8u5cUl+YZ2ftW3VCkqasWoDT1EprJqwU4BJ5rw==" saltValue="sgzJk4IgAoXOr/ZoDXZ4rw==" spinCount="100000" sheet="1" objects="1" scenarios="1"/>
  <mergeCells count="74">
    <mergeCell ref="U41:Y41"/>
    <mergeCell ref="O53:AC60"/>
    <mergeCell ref="J15:S15"/>
    <mergeCell ref="CK58:CK59"/>
    <mergeCell ref="AQ58:AQ59"/>
    <mergeCell ref="AH58:AJ59"/>
    <mergeCell ref="BE58:BE59"/>
    <mergeCell ref="AY54:AY55"/>
    <mergeCell ref="AG18:AK18"/>
    <mergeCell ref="AE25:AE45"/>
    <mergeCell ref="F22:L23"/>
    <mergeCell ref="F40:L41"/>
    <mergeCell ref="AN18:AQ18"/>
    <mergeCell ref="AG20:AK20"/>
    <mergeCell ref="F28:I29"/>
    <mergeCell ref="AH31:AJ31"/>
    <mergeCell ref="AH54:AJ55"/>
    <mergeCell ref="AH34:AJ34"/>
    <mergeCell ref="BG58:BG59"/>
    <mergeCell ref="BO58:BO59"/>
    <mergeCell ref="AH44:AJ44"/>
    <mergeCell ref="C23:C26"/>
    <mergeCell ref="AY58:AY59"/>
    <mergeCell ref="BE54:BE55"/>
    <mergeCell ref="BW58:BW59"/>
    <mergeCell ref="BW54:BW55"/>
    <mergeCell ref="AW58:AW59"/>
    <mergeCell ref="AO54:AO55"/>
    <mergeCell ref="AO58:AO59"/>
    <mergeCell ref="AQ54:AQ55"/>
    <mergeCell ref="C54:C59"/>
    <mergeCell ref="F34:I35"/>
    <mergeCell ref="F26:I26"/>
    <mergeCell ref="U23:Y23"/>
    <mergeCell ref="O23:S23"/>
    <mergeCell ref="BU54:BU55"/>
    <mergeCell ref="AH28:AJ28"/>
    <mergeCell ref="CZ18:DC18"/>
    <mergeCell ref="F11:J11"/>
    <mergeCell ref="AV18:AY18"/>
    <mergeCell ref="AW54:AW55"/>
    <mergeCell ref="BD18:BG18"/>
    <mergeCell ref="BL18:BO18"/>
    <mergeCell ref="O51:AC51"/>
    <mergeCell ref="BG54:BG55"/>
    <mergeCell ref="BO54:BO55"/>
    <mergeCell ref="BM54:BM55"/>
    <mergeCell ref="F31:I32"/>
    <mergeCell ref="O18:AC18"/>
    <mergeCell ref="O41:S41"/>
    <mergeCell ref="F54:I55"/>
    <mergeCell ref="J54:J55"/>
    <mergeCell ref="AH26:AJ26"/>
    <mergeCell ref="BT18:BW18"/>
    <mergeCell ref="CB18:CE18"/>
    <mergeCell ref="CU54:CU55"/>
    <mergeCell ref="CM54:CM55"/>
    <mergeCell ref="CS54:CS55"/>
    <mergeCell ref="CK54:CK55"/>
    <mergeCell ref="CJ18:CM18"/>
    <mergeCell ref="CR18:CU18"/>
    <mergeCell ref="CE54:CE55"/>
    <mergeCell ref="CC54:CC55"/>
    <mergeCell ref="DC58:DC59"/>
    <mergeCell ref="DA54:DA55"/>
    <mergeCell ref="DA58:DA59"/>
    <mergeCell ref="BU58:BU59"/>
    <mergeCell ref="BM58:BM59"/>
    <mergeCell ref="DC54:DC55"/>
    <mergeCell ref="CE58:CE59"/>
    <mergeCell ref="CM58:CM59"/>
    <mergeCell ref="CU58:CU59"/>
    <mergeCell ref="CC58:CC59"/>
    <mergeCell ref="CS58:CS59"/>
  </mergeCells>
  <conditionalFormatting sqref="AQ26">
    <cfRule type="containsText" dxfId="3885" priority="5192" operator="containsText" text="✓">
      <formula>NOT(ISERROR(SEARCH("✓",AQ26)))</formula>
    </cfRule>
  </conditionalFormatting>
  <conditionalFormatting sqref="AQ54:AQ55">
    <cfRule type="containsText" dxfId="3884" priority="5191" operator="containsText" text="✓">
      <formula>NOT(ISERROR(SEARCH("✓",AQ54)))</formula>
    </cfRule>
  </conditionalFormatting>
  <conditionalFormatting sqref="AQ28:AQ29">
    <cfRule type="containsText" dxfId="3883" priority="5190" operator="containsText" text="✓">
      <formula>NOT(ISERROR(SEARCH("✓",AQ28)))</formula>
    </cfRule>
  </conditionalFormatting>
  <conditionalFormatting sqref="AQ31:AQ32">
    <cfRule type="containsText" dxfId="3882" priority="5189" operator="containsText" text="✓">
      <formula>NOT(ISERROR(SEARCH("✓",AQ31)))</formula>
    </cfRule>
  </conditionalFormatting>
  <conditionalFormatting sqref="AQ34">
    <cfRule type="containsText" dxfId="3881" priority="5188" operator="containsText" text="✓">
      <formula>NOT(ISERROR(SEARCH("✓",AQ34)))</formula>
    </cfRule>
  </conditionalFormatting>
  <conditionalFormatting sqref="AQ44">
    <cfRule type="containsText" dxfId="3880" priority="5187" operator="containsText" text="✓">
      <formula>NOT(ISERROR(SEARCH("✓",AQ44)))</formula>
    </cfRule>
  </conditionalFormatting>
  <conditionalFormatting sqref="AQ58:AQ59">
    <cfRule type="containsText" dxfId="3879" priority="304" operator="containsText" text="✓">
      <formula>NOT(ISERROR(SEARCH("✓",AQ58)))</formula>
    </cfRule>
  </conditionalFormatting>
  <conditionalFormatting sqref="AY26">
    <cfRule type="containsText" dxfId="3878" priority="299" operator="containsText" text="✓">
      <formula>NOT(ISERROR(SEARCH("✓",AY26)))</formula>
    </cfRule>
  </conditionalFormatting>
  <conditionalFormatting sqref="AY54:AY55">
    <cfRule type="containsText" dxfId="3877" priority="127" operator="containsText" text="✓">
      <formula>NOT(ISERROR(SEARCH("✓",AY54)))</formula>
    </cfRule>
  </conditionalFormatting>
  <conditionalFormatting sqref="AY28:AY29">
    <cfRule type="containsText" dxfId="3876" priority="126" operator="containsText" text="✓">
      <formula>NOT(ISERROR(SEARCH("✓",AY28)))</formula>
    </cfRule>
  </conditionalFormatting>
  <conditionalFormatting sqref="AY31:AY32">
    <cfRule type="containsText" dxfId="3875" priority="125" operator="containsText" text="✓">
      <formula>NOT(ISERROR(SEARCH("✓",AY31)))</formula>
    </cfRule>
  </conditionalFormatting>
  <conditionalFormatting sqref="AY34">
    <cfRule type="containsText" dxfId="3874" priority="124" operator="containsText" text="✓">
      <formula>NOT(ISERROR(SEARCH("✓",AY34)))</formula>
    </cfRule>
  </conditionalFormatting>
  <conditionalFormatting sqref="AY44">
    <cfRule type="containsText" dxfId="3873" priority="123" operator="containsText" text="✓">
      <formula>NOT(ISERROR(SEARCH("✓",AY44)))</formula>
    </cfRule>
  </conditionalFormatting>
  <conditionalFormatting sqref="AY58:AY59">
    <cfRule type="containsText" dxfId="3872" priority="122" operator="containsText" text="✓">
      <formula>NOT(ISERROR(SEARCH("✓",AY58)))</formula>
    </cfRule>
  </conditionalFormatting>
  <conditionalFormatting sqref="BG26">
    <cfRule type="containsText" dxfId="3871" priority="121" operator="containsText" text="✓">
      <formula>NOT(ISERROR(SEARCH("✓",BG26)))</formula>
    </cfRule>
  </conditionalFormatting>
  <conditionalFormatting sqref="BG54:BG55">
    <cfRule type="containsText" dxfId="3870" priority="120" operator="containsText" text="✓">
      <formula>NOT(ISERROR(SEARCH("✓",BG54)))</formula>
    </cfRule>
  </conditionalFormatting>
  <conditionalFormatting sqref="BG28:BG29">
    <cfRule type="containsText" dxfId="3869" priority="119" operator="containsText" text="✓">
      <formula>NOT(ISERROR(SEARCH("✓",BG28)))</formula>
    </cfRule>
  </conditionalFormatting>
  <conditionalFormatting sqref="BG31:BG32">
    <cfRule type="containsText" dxfId="3868" priority="118" operator="containsText" text="✓">
      <formula>NOT(ISERROR(SEARCH("✓",BG31)))</formula>
    </cfRule>
  </conditionalFormatting>
  <conditionalFormatting sqref="BG34">
    <cfRule type="containsText" dxfId="3867" priority="117" operator="containsText" text="✓">
      <formula>NOT(ISERROR(SEARCH("✓",BG34)))</formula>
    </cfRule>
  </conditionalFormatting>
  <conditionalFormatting sqref="BG44">
    <cfRule type="containsText" dxfId="3866" priority="116" operator="containsText" text="✓">
      <formula>NOT(ISERROR(SEARCH("✓",BG44)))</formula>
    </cfRule>
  </conditionalFormatting>
  <conditionalFormatting sqref="BG58:BG59">
    <cfRule type="containsText" dxfId="3865" priority="115" operator="containsText" text="✓">
      <formula>NOT(ISERROR(SEARCH("✓",BG58)))</formula>
    </cfRule>
  </conditionalFormatting>
  <conditionalFormatting sqref="BO26">
    <cfRule type="containsText" dxfId="3864" priority="114" operator="containsText" text="✓">
      <formula>NOT(ISERROR(SEARCH("✓",BO26)))</formula>
    </cfRule>
  </conditionalFormatting>
  <conditionalFormatting sqref="BO54:BO55">
    <cfRule type="containsText" dxfId="3863" priority="113" operator="containsText" text="✓">
      <formula>NOT(ISERROR(SEARCH("✓",BO54)))</formula>
    </cfRule>
  </conditionalFormatting>
  <conditionalFormatting sqref="BO28:BO29">
    <cfRule type="containsText" dxfId="3862" priority="112" operator="containsText" text="✓">
      <formula>NOT(ISERROR(SEARCH("✓",BO28)))</formula>
    </cfRule>
  </conditionalFormatting>
  <conditionalFormatting sqref="BO31:BO32">
    <cfRule type="containsText" dxfId="3861" priority="111" operator="containsText" text="✓">
      <formula>NOT(ISERROR(SEARCH("✓",BO31)))</formula>
    </cfRule>
  </conditionalFormatting>
  <conditionalFormatting sqref="BO34">
    <cfRule type="containsText" dxfId="3860" priority="110" operator="containsText" text="✓">
      <formula>NOT(ISERROR(SEARCH("✓",BO34)))</formula>
    </cfRule>
  </conditionalFormatting>
  <conditionalFormatting sqref="BO44">
    <cfRule type="containsText" dxfId="3859" priority="109" operator="containsText" text="✓">
      <formula>NOT(ISERROR(SEARCH("✓",BO44)))</formula>
    </cfRule>
  </conditionalFormatting>
  <conditionalFormatting sqref="BO58:BO59">
    <cfRule type="containsText" dxfId="3858" priority="108" operator="containsText" text="✓">
      <formula>NOT(ISERROR(SEARCH("✓",BO58)))</formula>
    </cfRule>
  </conditionalFormatting>
  <conditionalFormatting sqref="BW26">
    <cfRule type="containsText" dxfId="3857" priority="107" operator="containsText" text="✓">
      <formula>NOT(ISERROR(SEARCH("✓",BW26)))</formula>
    </cfRule>
  </conditionalFormatting>
  <conditionalFormatting sqref="BW54:BW55">
    <cfRule type="containsText" dxfId="3856" priority="106" operator="containsText" text="✓">
      <formula>NOT(ISERROR(SEARCH("✓",BW54)))</formula>
    </cfRule>
  </conditionalFormatting>
  <conditionalFormatting sqref="BW28:BW29">
    <cfRule type="containsText" dxfId="3855" priority="105" operator="containsText" text="✓">
      <formula>NOT(ISERROR(SEARCH("✓",BW28)))</formula>
    </cfRule>
  </conditionalFormatting>
  <conditionalFormatting sqref="BW31:BW32">
    <cfRule type="containsText" dxfId="3854" priority="104" operator="containsText" text="✓">
      <formula>NOT(ISERROR(SEARCH("✓",BW31)))</formula>
    </cfRule>
  </conditionalFormatting>
  <conditionalFormatting sqref="BW34">
    <cfRule type="containsText" dxfId="3853" priority="103" operator="containsText" text="✓">
      <formula>NOT(ISERROR(SEARCH("✓",BW34)))</formula>
    </cfRule>
  </conditionalFormatting>
  <conditionalFormatting sqref="BW44">
    <cfRule type="containsText" dxfId="3852" priority="102" operator="containsText" text="✓">
      <formula>NOT(ISERROR(SEARCH("✓",BW44)))</formula>
    </cfRule>
  </conditionalFormatting>
  <conditionalFormatting sqref="BW58:BW59">
    <cfRule type="containsText" dxfId="3851" priority="101" operator="containsText" text="✓">
      <formula>NOT(ISERROR(SEARCH("✓",BW58)))</formula>
    </cfRule>
  </conditionalFormatting>
  <conditionalFormatting sqref="CE26">
    <cfRule type="containsText" dxfId="3850" priority="100" operator="containsText" text="✓">
      <formula>NOT(ISERROR(SEARCH("✓",CE26)))</formula>
    </cfRule>
  </conditionalFormatting>
  <conditionalFormatting sqref="CE54:CE55">
    <cfRule type="containsText" dxfId="3849" priority="99" operator="containsText" text="✓">
      <formula>NOT(ISERROR(SEARCH("✓",CE54)))</formula>
    </cfRule>
  </conditionalFormatting>
  <conditionalFormatting sqref="CE28:CE29">
    <cfRule type="containsText" dxfId="3848" priority="98" operator="containsText" text="✓">
      <formula>NOT(ISERROR(SEARCH("✓",CE28)))</formula>
    </cfRule>
  </conditionalFormatting>
  <conditionalFormatting sqref="CE31:CE32">
    <cfRule type="containsText" dxfId="3847" priority="97" operator="containsText" text="✓">
      <formula>NOT(ISERROR(SEARCH("✓",CE31)))</formula>
    </cfRule>
  </conditionalFormatting>
  <conditionalFormatting sqref="CE34">
    <cfRule type="containsText" dxfId="3846" priority="96" operator="containsText" text="✓">
      <formula>NOT(ISERROR(SEARCH("✓",CE34)))</formula>
    </cfRule>
  </conditionalFormatting>
  <conditionalFormatting sqref="CE44">
    <cfRule type="containsText" dxfId="3845" priority="95" operator="containsText" text="✓">
      <formula>NOT(ISERROR(SEARCH("✓",CE44)))</formula>
    </cfRule>
  </conditionalFormatting>
  <conditionalFormatting sqref="CE58:CE59">
    <cfRule type="containsText" dxfId="3844" priority="94" operator="containsText" text="✓">
      <formula>NOT(ISERROR(SEARCH("✓",CE58)))</formula>
    </cfRule>
  </conditionalFormatting>
  <conditionalFormatting sqref="CM26">
    <cfRule type="containsText" dxfId="3843" priority="93" operator="containsText" text="✓">
      <formula>NOT(ISERROR(SEARCH("✓",CM26)))</formula>
    </cfRule>
  </conditionalFormatting>
  <conditionalFormatting sqref="CM54:CM55">
    <cfRule type="containsText" dxfId="3842" priority="92" operator="containsText" text="✓">
      <formula>NOT(ISERROR(SEARCH("✓",CM54)))</formula>
    </cfRule>
  </conditionalFormatting>
  <conditionalFormatting sqref="CM28:CM29">
    <cfRule type="containsText" dxfId="3841" priority="91" operator="containsText" text="✓">
      <formula>NOT(ISERROR(SEARCH("✓",CM28)))</formula>
    </cfRule>
  </conditionalFormatting>
  <conditionalFormatting sqref="CM31:CM32">
    <cfRule type="containsText" dxfId="3840" priority="90" operator="containsText" text="✓">
      <formula>NOT(ISERROR(SEARCH("✓",CM31)))</formula>
    </cfRule>
  </conditionalFormatting>
  <conditionalFormatting sqref="CM34">
    <cfRule type="containsText" dxfId="3839" priority="89" operator="containsText" text="✓">
      <formula>NOT(ISERROR(SEARCH("✓",CM34)))</formula>
    </cfRule>
  </conditionalFormatting>
  <conditionalFormatting sqref="CM44">
    <cfRule type="containsText" dxfId="3838" priority="88" operator="containsText" text="✓">
      <formula>NOT(ISERROR(SEARCH("✓",CM44)))</formula>
    </cfRule>
  </conditionalFormatting>
  <conditionalFormatting sqref="CM58:CM59">
    <cfRule type="containsText" dxfId="3837" priority="87" operator="containsText" text="✓">
      <formula>NOT(ISERROR(SEARCH("✓",CM58)))</formula>
    </cfRule>
  </conditionalFormatting>
  <conditionalFormatting sqref="CU26">
    <cfRule type="containsText" dxfId="3836" priority="86" operator="containsText" text="✓">
      <formula>NOT(ISERROR(SEARCH("✓",CU26)))</formula>
    </cfRule>
  </conditionalFormatting>
  <conditionalFormatting sqref="CU54:CU55">
    <cfRule type="containsText" dxfId="3835" priority="85" operator="containsText" text="✓">
      <formula>NOT(ISERROR(SEARCH("✓",CU54)))</formula>
    </cfRule>
  </conditionalFormatting>
  <conditionalFormatting sqref="CU28:CU29">
    <cfRule type="containsText" dxfId="3834" priority="84" operator="containsText" text="✓">
      <formula>NOT(ISERROR(SEARCH("✓",CU28)))</formula>
    </cfRule>
  </conditionalFormatting>
  <conditionalFormatting sqref="CU31:CU32">
    <cfRule type="containsText" dxfId="3833" priority="83" operator="containsText" text="✓">
      <formula>NOT(ISERROR(SEARCH("✓",CU31)))</formula>
    </cfRule>
  </conditionalFormatting>
  <conditionalFormatting sqref="CU34">
    <cfRule type="containsText" dxfId="3832" priority="82" operator="containsText" text="✓">
      <formula>NOT(ISERROR(SEARCH("✓",CU34)))</formula>
    </cfRule>
  </conditionalFormatting>
  <conditionalFormatting sqref="CU44">
    <cfRule type="containsText" dxfId="3831" priority="81" operator="containsText" text="✓">
      <formula>NOT(ISERROR(SEARCH("✓",CU44)))</formula>
    </cfRule>
  </conditionalFormatting>
  <conditionalFormatting sqref="CU58:CU59">
    <cfRule type="containsText" dxfId="3830" priority="80" operator="containsText" text="✓">
      <formula>NOT(ISERROR(SEARCH("✓",CU58)))</formula>
    </cfRule>
  </conditionalFormatting>
  <conditionalFormatting sqref="DC26">
    <cfRule type="containsText" dxfId="3829" priority="79" operator="containsText" text="✓">
      <formula>NOT(ISERROR(SEARCH("✓",DC26)))</formula>
    </cfRule>
  </conditionalFormatting>
  <conditionalFormatting sqref="DC54:DC55">
    <cfRule type="containsText" dxfId="3828" priority="78" operator="containsText" text="✓">
      <formula>NOT(ISERROR(SEARCH("✓",DC54)))</formula>
    </cfRule>
  </conditionalFormatting>
  <conditionalFormatting sqref="DC28:DC29">
    <cfRule type="containsText" dxfId="3827" priority="77" operator="containsText" text="✓">
      <formula>NOT(ISERROR(SEARCH("✓",DC28)))</formula>
    </cfRule>
  </conditionalFormatting>
  <conditionalFormatting sqref="DC31:DC32">
    <cfRule type="containsText" dxfId="3826" priority="76" operator="containsText" text="✓">
      <formula>NOT(ISERROR(SEARCH("✓",DC31)))</formula>
    </cfRule>
  </conditionalFormatting>
  <conditionalFormatting sqref="DC34">
    <cfRule type="containsText" dxfId="3825" priority="75" operator="containsText" text="✓">
      <formula>NOT(ISERROR(SEARCH("✓",DC34)))</formula>
    </cfRule>
  </conditionalFormatting>
  <conditionalFormatting sqref="DC44">
    <cfRule type="containsText" dxfId="3824" priority="74" operator="containsText" text="✓">
      <formula>NOT(ISERROR(SEARCH("✓",DC44)))</formula>
    </cfRule>
  </conditionalFormatting>
  <conditionalFormatting sqref="DC58:DC59">
    <cfRule type="containsText" dxfId="3823" priority="73" operator="containsText" text="✓">
      <formula>NOT(ISERROR(SEARCH("✓",DC58)))</formula>
    </cfRule>
  </conditionalFormatting>
  <dataValidations count="5">
    <dataValidation allowBlank="1" showInputMessage="1" showErrorMessage="1" promptTitle="Kapasitet" prompt="Disse verdiene er estimater fra NFF" sqref="P20 V20" xr:uid="{2C077F11-A07D-48C2-8747-1D0531A69EB1}"/>
    <dataValidation allowBlank="1" showErrorMessage="1" promptTitle="Foreslått kapasitet" prompt="Disse verdiene er estimater fra NFF" sqref="AQ20 L20 CE20 CM20 AT19 AH19:AJ19 AY20 BG20 BI19 BO20 BW20 CU20 DC20" xr:uid="{22E74413-3BAA-42B8-A56C-70A28176BE93}"/>
    <dataValidation type="list" allowBlank="1" showInputMessage="1" showErrorMessage="1" sqref="AQ19 BG19 AL19" xr:uid="{DEAAF542-C9B0-4DFB-9543-511C96E4C633}">
      <formula1>INDIRECT("distrib")</formula1>
    </dataValidation>
    <dataValidation allowBlank="1" showErrorMessage="1" sqref="AQ54 A16:J16 AG37:AK37 AM51:AS51 F22 E22:E23 M22:M23 F50:AC60 A46:D50 N46:AC49 AQ26 CU26 AQ28:AQ29 AQ31:AQ32 AQ34 AQ44 L47:M49 DH47:DX50 DA51 AU37:BA37 CU28:CU29 CU31:CU32 CU34 AD47:AE49 AY51 AY26 AY28:AY29 AY31:AY32 AY34 BC37:BI37 BG51 BG26 BG28:BG29 BO51 BO26 BO28:BO29 BO31:BO32 BO34 BS37:BY37 BW28:BW29 BW31:BW32 BW34 CA37:CG37 CE26 CE28:CE29 CE31:CE32 CM51 CM26 CM28:CM29 CM31:CM32 CM34 CM44 CU44 E47:E50 AM37:AS37 DG37 AG51:AK51 L8:L10 AG6:DL10 DM8:EN10 A1:J1 M6:AB10 J15 A15:F15 A5:J10 AG9:EN10 AY44 AW51 BE51 CY37:DE37 BM51 BU51 CC51 BW44 CK51 CQ37:CW37 CS51 AQ58 BG31:BG32 BG34 BG44 BO44 BO58 CE34 CE44 CE58 CM58 AL46:DX46 AY58 AY54 BG58 BG54 BK37:BQ37 BO54 BW58 BW54 BW51 BW26 CE54 CE51 CI37:CO37 CM54 CU58 CU54 CU51 DC54 DC51 DC26 DC28:DC29 DC31:DC32 DC34 DC44 DC58 C60 AD46:AJ46 AE5:DV5 AE1:DV1 AE6:AF7 C51:C54 A12:J14 AD12:AD16 AF12:EN16 AE14:AE16 L1:AC1 O37:AC37 L12:AC14 AC5:AC10 L5:AB5 L16:AC16 AF47:DC50 AE50 AE57 F47:J49" xr:uid="{3A336909-EF2B-4353-A14C-7AF17E1D6BDA}"/>
    <dataValidation allowBlank="1" showErrorMessage="1" promptTitle="Kapasitet" prompt="Disse verdiene er estimater fra NFF" sqref="AA20:AC20 W20:X20 Q20:U20" xr:uid="{556825C6-619F-4150-9F75-9E2D5E73C9D7}"/>
  </dataValidations>
  <printOptions horizontalCentered="1" verticalCentered="1"/>
  <pageMargins left="0.25" right="0.25" top="0.75" bottom="0.75" header="0.3" footer="0.3"/>
  <pageSetup paperSize="8" scale="43" orientation="landscape" r:id="rId1"/>
  <extLst>
    <ext xmlns:x14="http://schemas.microsoft.com/office/spreadsheetml/2009/9/main" uri="{78C0D931-6437-407d-A8EE-F0AAD7539E65}">
      <x14:conditionalFormattings>
        <x14:conditionalFormatting xmlns:xm="http://schemas.microsoft.com/office/excel/2006/main">
          <x14:cfRule type="expression" priority="50" id="{00000000-000E-0000-0900-000032000000}">
            <xm:f>R26=_Kapasitet!$F$5</xm:f>
            <x14:dxf>
              <font>
                <b val="0"/>
                <i val="0"/>
              </font>
              <fill>
                <patternFill patternType="lightGray">
                  <fgColor theme="0"/>
                  <bgColor rgb="FFD8E9F4"/>
                </patternFill>
              </fill>
              <border>
                <left/>
                <right/>
                <top/>
                <bottom/>
                <vertical/>
                <horizontal/>
              </border>
            </x14:dxf>
          </x14:cfRule>
          <xm:sqref>R26</xm:sqref>
        </x14:conditionalFormatting>
        <x14:conditionalFormatting xmlns:xm="http://schemas.microsoft.com/office/excel/2006/main">
          <x14:cfRule type="expression" priority="45" id="{00000000-000E-0000-0900-00002D000000}">
            <xm:f>R28=_Kapasitet!$F$5</xm:f>
            <x14:dxf>
              <font>
                <b val="0"/>
                <i val="0"/>
              </font>
              <fill>
                <patternFill patternType="lightGray">
                  <fgColor theme="0"/>
                  <bgColor rgb="FFD8E9F4"/>
                </patternFill>
              </fill>
              <border>
                <left/>
                <right/>
                <top/>
                <bottom/>
                <vertical/>
                <horizontal/>
              </border>
            </x14:dxf>
          </x14:cfRule>
          <xm:sqref>R28</xm:sqref>
        </x14:conditionalFormatting>
        <x14:conditionalFormatting xmlns:xm="http://schemas.microsoft.com/office/excel/2006/main">
          <x14:cfRule type="expression" priority="44" id="{00000000-000E-0000-0900-00002C000000}">
            <xm:f>R31=_Kapasitet!$F$5</xm:f>
            <x14:dxf>
              <font>
                <b val="0"/>
                <i val="0"/>
              </font>
              <fill>
                <patternFill patternType="lightGray">
                  <fgColor theme="0"/>
                  <bgColor rgb="FFD8E9F4"/>
                </patternFill>
              </fill>
              <border>
                <left/>
                <right/>
                <top/>
                <bottom/>
                <vertical/>
                <horizontal/>
              </border>
            </x14:dxf>
          </x14:cfRule>
          <xm:sqref>R31</xm:sqref>
        </x14:conditionalFormatting>
        <x14:conditionalFormatting xmlns:xm="http://schemas.microsoft.com/office/excel/2006/main">
          <x14:cfRule type="expression" priority="43" id="{00000000-000E-0000-0900-00002B000000}">
            <xm:f>R34=_Kapasitet!$F$5</xm:f>
            <x14:dxf>
              <font>
                <b val="0"/>
                <i val="0"/>
              </font>
              <fill>
                <patternFill patternType="lightGray">
                  <fgColor theme="0"/>
                  <bgColor rgb="FFD8E9F4"/>
                </patternFill>
              </fill>
              <border>
                <left/>
                <right/>
                <top/>
                <bottom/>
                <vertical/>
                <horizontal/>
              </border>
            </x14:dxf>
          </x14:cfRule>
          <xm:sqref>R34</xm:sqref>
        </x14:conditionalFormatting>
        <x14:conditionalFormatting xmlns:xm="http://schemas.microsoft.com/office/excel/2006/main">
          <x14:cfRule type="expression" priority="42" id="{00000000-000E-0000-0900-00002A000000}">
            <xm:f>R44=_Kapasitet!$F$5</xm:f>
            <x14:dxf>
              <font>
                <b val="0"/>
                <i val="0"/>
              </font>
              <fill>
                <patternFill patternType="lightGray">
                  <fgColor theme="0"/>
                  <bgColor rgb="FFD8E9F4"/>
                </patternFill>
              </fill>
              <border>
                <left/>
                <right/>
                <top/>
                <bottom/>
                <vertical/>
                <horizontal/>
              </border>
            </x14:dxf>
          </x14:cfRule>
          <xm:sqref>R44</xm:sqref>
        </x14:conditionalFormatting>
        <x14:conditionalFormatting xmlns:xm="http://schemas.microsoft.com/office/excel/2006/main">
          <x14:cfRule type="expression" priority="25" id="{00000000-000E-0000-0900-000019000000}">
            <xm:f>X44&lt;&gt;_Kapasitet!$F$5</xm:f>
            <x14:dxf>
              <font>
                <b/>
                <i/>
              </font>
            </x14:dxf>
          </x14:cfRule>
          <xm:sqref>V44</xm:sqref>
        </x14:conditionalFormatting>
        <x14:conditionalFormatting xmlns:xm="http://schemas.microsoft.com/office/excel/2006/main">
          <x14:cfRule type="expression" priority="24" id="{00000000-000E-0000-0900-000018000000}">
            <xm:f>X34&lt;&gt;_Kapasitet!$F$5</xm:f>
            <x14:dxf>
              <font>
                <b/>
                <i/>
              </font>
            </x14:dxf>
          </x14:cfRule>
          <xm:sqref>V34</xm:sqref>
        </x14:conditionalFormatting>
        <x14:conditionalFormatting xmlns:xm="http://schemas.microsoft.com/office/excel/2006/main">
          <x14:cfRule type="expression" priority="23" id="{00000000-000E-0000-0900-000017000000}">
            <xm:f>X31&lt;&gt;_Kapasitet!$F$5</xm:f>
            <x14:dxf>
              <font>
                <b/>
                <i/>
              </font>
            </x14:dxf>
          </x14:cfRule>
          <xm:sqref>V31</xm:sqref>
        </x14:conditionalFormatting>
        <x14:conditionalFormatting xmlns:xm="http://schemas.microsoft.com/office/excel/2006/main">
          <x14:cfRule type="expression" priority="22" id="{00000000-000E-0000-0900-000016000000}">
            <xm:f>X28&lt;&gt;_Kapasitet!$F$5</xm:f>
            <x14:dxf>
              <font>
                <b/>
                <i/>
              </font>
            </x14:dxf>
          </x14:cfRule>
          <xm:sqref>V28</xm:sqref>
        </x14:conditionalFormatting>
        <x14:conditionalFormatting xmlns:xm="http://schemas.microsoft.com/office/excel/2006/main">
          <x14:cfRule type="expression" priority="21" id="{00000000-000E-0000-0900-000015000000}">
            <xm:f>X26&lt;&gt;_Kapasitet!$F$5</xm:f>
            <x14:dxf>
              <font>
                <b/>
                <i/>
              </font>
            </x14:dxf>
          </x14:cfRule>
          <xm:sqref>V26</xm:sqref>
        </x14:conditionalFormatting>
        <x14:conditionalFormatting xmlns:xm="http://schemas.microsoft.com/office/excel/2006/main">
          <x14:cfRule type="expression" priority="20" id="{00000000-000E-0000-0900-000014000000}">
            <xm:f>X26=_Kapasitet!$F$5</xm:f>
            <x14:dxf>
              <font>
                <b val="0"/>
                <i val="0"/>
              </font>
              <fill>
                <patternFill patternType="lightGray">
                  <fgColor theme="0"/>
                  <bgColor rgb="FFD8E9F4"/>
                </patternFill>
              </fill>
              <border>
                <left/>
                <right/>
                <top/>
                <bottom/>
                <vertical/>
                <horizontal/>
              </border>
            </x14:dxf>
          </x14:cfRule>
          <xm:sqref>X26</xm:sqref>
        </x14:conditionalFormatting>
        <x14:conditionalFormatting xmlns:xm="http://schemas.microsoft.com/office/excel/2006/main">
          <x14:cfRule type="expression" priority="12" id="{00000000-000E-0000-0900-00000C000000}">
            <xm:f>X28=_Kapasitet!$F$5</xm:f>
            <x14:dxf>
              <font>
                <b val="0"/>
                <i val="0"/>
              </font>
              <fill>
                <patternFill patternType="lightGray">
                  <fgColor theme="0"/>
                  <bgColor rgb="FFD8E9F4"/>
                </patternFill>
              </fill>
              <border>
                <left/>
                <right/>
                <top/>
                <bottom/>
                <vertical/>
                <horizontal/>
              </border>
            </x14:dxf>
          </x14:cfRule>
          <xm:sqref>X28</xm:sqref>
        </x14:conditionalFormatting>
        <x14:conditionalFormatting xmlns:xm="http://schemas.microsoft.com/office/excel/2006/main">
          <x14:cfRule type="expression" priority="11" id="{00000000-000E-0000-0900-00000B000000}">
            <xm:f>X31=_Kapasitet!$F$5</xm:f>
            <x14:dxf>
              <font>
                <b val="0"/>
                <i val="0"/>
              </font>
              <fill>
                <patternFill patternType="lightGray">
                  <fgColor theme="0"/>
                  <bgColor rgb="FFD8E9F4"/>
                </patternFill>
              </fill>
              <border>
                <left/>
                <right/>
                <top/>
                <bottom/>
                <vertical/>
                <horizontal/>
              </border>
            </x14:dxf>
          </x14:cfRule>
          <xm:sqref>X31</xm:sqref>
        </x14:conditionalFormatting>
        <x14:conditionalFormatting xmlns:xm="http://schemas.microsoft.com/office/excel/2006/main">
          <x14:cfRule type="expression" priority="10" id="{00000000-000E-0000-0900-00000A000000}">
            <xm:f>X34=_Kapasitet!$F$5</xm:f>
            <x14:dxf>
              <font>
                <b val="0"/>
                <i val="0"/>
              </font>
              <fill>
                <patternFill patternType="lightGray">
                  <fgColor theme="0"/>
                  <bgColor rgb="FFD8E9F4"/>
                </patternFill>
              </fill>
              <border>
                <left/>
                <right/>
                <top/>
                <bottom/>
                <vertical/>
                <horizontal/>
              </border>
            </x14:dxf>
          </x14:cfRule>
          <xm:sqref>X34</xm:sqref>
        </x14:conditionalFormatting>
        <x14:conditionalFormatting xmlns:xm="http://schemas.microsoft.com/office/excel/2006/main">
          <x14:cfRule type="expression" priority="9" id="{00000000-000E-0000-0900-000009000000}">
            <xm:f>X44=_Kapasitet!$F$5</xm:f>
            <x14:dxf>
              <font>
                <b val="0"/>
                <i val="0"/>
              </font>
              <fill>
                <patternFill patternType="lightGray">
                  <fgColor theme="0"/>
                  <bgColor rgb="FFD8E9F4"/>
                </patternFill>
              </fill>
              <border>
                <left/>
                <right/>
                <top/>
                <bottom/>
                <vertical/>
                <horizontal/>
              </border>
            </x14:dxf>
          </x14:cfRule>
          <xm:sqref>X44</xm:sqref>
        </x14:conditionalFormatting>
        <x14:conditionalFormatting xmlns:xm="http://schemas.microsoft.com/office/excel/2006/main">
          <x14:cfRule type="expression" priority="11615" id="{00000000-000E-0000-0900-00005F2D0000}">
            <xm:f>R26&lt;&gt;_Kapasitet!$F$5</xm:f>
            <x14:dxf>
              <font>
                <b/>
                <i/>
              </font>
            </x14:dxf>
          </x14:cfRule>
          <xm:sqref>P44 P34 P31 P28 P26</xm:sqref>
        </x14:conditionalFormatting>
        <x14:conditionalFormatting xmlns:xm="http://schemas.microsoft.com/office/excel/2006/main">
          <x14:cfRule type="expression" priority="69" id="{592EC66D-239D-4E4C-BA5C-A71265B5DCEF}">
            <xm:f>_Calcs!$NO$48&lt;5</xm:f>
            <x14:dxf>
              <font>
                <color theme="0"/>
              </font>
              <fill>
                <patternFill>
                  <bgColor theme="0"/>
                </patternFill>
              </fill>
              <border>
                <left/>
                <right/>
                <top/>
                <bottom/>
                <vertical/>
                <horizontal/>
              </border>
            </x14:dxf>
          </x14:cfRule>
          <xm:sqref>BT1:CA1048576</xm:sqref>
        </x14:conditionalFormatting>
        <x14:conditionalFormatting xmlns:xm="http://schemas.microsoft.com/office/excel/2006/main">
          <x14:cfRule type="expression" priority="67" id="{68E5881A-8727-4BDD-9963-CCBAE08A35D4}">
            <xm:f>_Calcs!$NO$48&lt;9</xm:f>
            <x14:dxf>
              <font>
                <color theme="0"/>
              </font>
              <fill>
                <patternFill>
                  <bgColor theme="0"/>
                </patternFill>
              </fill>
              <border>
                <left/>
                <right/>
                <top/>
                <bottom/>
                <vertical/>
                <horizontal/>
              </border>
            </x14:dxf>
          </x14:cfRule>
          <xm:sqref>CZ1:DG1048576</xm:sqref>
        </x14:conditionalFormatting>
        <x14:conditionalFormatting xmlns:xm="http://schemas.microsoft.com/office/excel/2006/main">
          <x14:cfRule type="expression" priority="5193" id="{E359005F-A842-456B-B10B-FA0E50CD7068}">
            <xm:f>_Calcs!$NO$48&lt;9</xm:f>
            <x14:dxf>
              <border>
                <left/>
                <right/>
                <top/>
                <bottom/>
                <vertical/>
                <horizontal/>
              </border>
            </x14:dxf>
          </x14:cfRule>
          <xm:sqref>CY1:CY1048576</xm:sqref>
        </x14:conditionalFormatting>
        <x14:conditionalFormatting xmlns:xm="http://schemas.microsoft.com/office/excel/2006/main">
          <x14:cfRule type="expression" priority="55" id="{F224949E-66E6-4FFE-BF1D-8D44D647B420}">
            <xm:f>_Calcs!$NO$48&lt;8</xm:f>
            <x14:dxf>
              <font>
                <color theme="0"/>
              </font>
              <fill>
                <patternFill>
                  <bgColor theme="0"/>
                </patternFill>
              </fill>
              <border>
                <left/>
                <right/>
                <top/>
                <bottom/>
                <vertical/>
                <horizontal/>
              </border>
            </x14:dxf>
          </x14:cfRule>
          <xm:sqref>CR1:CY1048576</xm:sqref>
        </x14:conditionalFormatting>
        <x14:conditionalFormatting xmlns:xm="http://schemas.microsoft.com/office/excel/2006/main">
          <x14:cfRule type="expression" priority="5194" id="{D4B2DD31-7846-4E5A-B2A4-7B50000498DF}">
            <xm:f>_Calcs!$NO$48&lt;8</xm:f>
            <x14:dxf>
              <border>
                <left/>
                <right/>
                <top/>
                <bottom/>
                <vertical/>
                <horizontal/>
              </border>
            </x14:dxf>
          </x14:cfRule>
          <xm:sqref>CQ1:CQ1048576</xm:sqref>
        </x14:conditionalFormatting>
        <x14:conditionalFormatting xmlns:xm="http://schemas.microsoft.com/office/excel/2006/main">
          <x14:cfRule type="expression" priority="72" id="{18E572A4-C682-4DD7-B5C0-F38952E70C81}">
            <xm:f>_Calcs!$NO$48&lt;7</xm:f>
            <x14:dxf>
              <font>
                <color theme="0"/>
              </font>
              <fill>
                <patternFill>
                  <bgColor theme="0"/>
                </patternFill>
              </fill>
              <border>
                <left/>
                <right/>
                <top/>
                <bottom/>
                <vertical/>
                <horizontal/>
              </border>
            </x14:dxf>
          </x14:cfRule>
          <xm:sqref>CJ1:CQ1048576</xm:sqref>
        </x14:conditionalFormatting>
        <x14:conditionalFormatting xmlns:xm="http://schemas.microsoft.com/office/excel/2006/main">
          <x14:cfRule type="expression" priority="70" id="{DA0B49F5-AE48-49FD-BDB7-2A92BB31BFB8}">
            <xm:f>_Calcs!$NO$48&lt;7</xm:f>
            <x14:dxf>
              <border>
                <left/>
                <right/>
                <top/>
                <bottom/>
                <vertical/>
                <horizontal/>
              </border>
            </x14:dxf>
          </x14:cfRule>
          <xm:sqref>CI1:CI1048576</xm:sqref>
        </x14:conditionalFormatting>
        <x14:conditionalFormatting xmlns:xm="http://schemas.microsoft.com/office/excel/2006/main">
          <x14:cfRule type="expression" priority="71" id="{3DFA37BE-3F5B-4D1F-9D33-B0C045DC63BA}">
            <xm:f>_Calcs!$NO$48&lt;6</xm:f>
            <x14:dxf>
              <font>
                <color theme="0"/>
              </font>
              <fill>
                <patternFill>
                  <bgColor theme="0"/>
                </patternFill>
              </fill>
              <border>
                <left/>
                <right/>
                <top/>
                <bottom/>
                <vertical/>
                <horizontal/>
              </border>
            </x14:dxf>
          </x14:cfRule>
          <xm:sqref>CB1:CI1048576</xm:sqref>
        </x14:conditionalFormatting>
        <x14:conditionalFormatting xmlns:xm="http://schemas.microsoft.com/office/excel/2006/main">
          <x14:cfRule type="expression" priority="58" id="{02F29575-D1F4-4642-A848-DB1176C64340}">
            <xm:f>_Calcs!$NO$48&lt;6</xm:f>
            <x14:dxf>
              <border>
                <left/>
                <right/>
                <top/>
                <bottom/>
                <vertical/>
                <horizontal/>
              </border>
            </x14:dxf>
          </x14:cfRule>
          <xm:sqref>CA1:CA1048576</xm:sqref>
        </x14:conditionalFormatting>
        <x14:conditionalFormatting xmlns:xm="http://schemas.microsoft.com/office/excel/2006/main">
          <x14:cfRule type="expression" priority="68" id="{439CA63F-F9B8-4D55-ACB6-05DFE7D9CC9A}">
            <xm:f>_Calcs!$NO$48&lt;5</xm:f>
            <x14:dxf>
              <border>
                <left/>
                <right/>
                <top/>
                <bottom/>
                <vertical/>
                <horizontal/>
              </border>
            </x14:dxf>
          </x14:cfRule>
          <xm:sqref>BS1:BS1048576</xm:sqref>
        </x14:conditionalFormatting>
        <x14:conditionalFormatting xmlns:xm="http://schemas.microsoft.com/office/excel/2006/main">
          <x14:cfRule type="expression" priority="57" id="{33236EE7-6928-4101-81EA-6A9065FE4492}">
            <xm:f>_Calcs!$NO$48&lt;4</xm:f>
            <x14:dxf>
              <font>
                <color theme="0"/>
              </font>
              <fill>
                <patternFill>
                  <bgColor theme="0"/>
                </patternFill>
              </fill>
              <border>
                <left/>
                <right/>
                <top/>
                <bottom/>
                <vertical/>
                <horizontal/>
              </border>
            </x14:dxf>
          </x14:cfRule>
          <xm:sqref>BL1:BS1048576</xm:sqref>
        </x14:conditionalFormatting>
        <x14:conditionalFormatting xmlns:xm="http://schemas.microsoft.com/office/excel/2006/main">
          <x14:cfRule type="expression" priority="56" id="{03D0EC48-C15F-4CC4-8DB1-35761321FA40}">
            <xm:f>_Calcs!$NO$48&lt;4</xm:f>
            <x14:dxf>
              <border>
                <left/>
                <right/>
                <top/>
                <bottom/>
                <vertical/>
                <horizontal/>
              </border>
            </x14:dxf>
          </x14:cfRule>
          <xm:sqref>BK1:BK1048576</xm:sqref>
        </x14:conditionalFormatting>
        <x14:conditionalFormatting xmlns:xm="http://schemas.microsoft.com/office/excel/2006/main">
          <x14:cfRule type="expression" priority="54" id="{F18D0329-5AF1-45FD-9E7A-4FDE87FBECDE}">
            <xm:f>_Calcs!$NO$48&lt;3</xm:f>
            <x14:dxf>
              <font>
                <color theme="0"/>
              </font>
              <fill>
                <patternFill>
                  <bgColor theme="0"/>
                </patternFill>
              </fill>
              <border>
                <left/>
                <right/>
                <top/>
                <bottom/>
                <vertical/>
                <horizontal/>
              </border>
            </x14:dxf>
          </x14:cfRule>
          <xm:sqref>BD1:BK1048576</xm:sqref>
        </x14:conditionalFormatting>
        <x14:conditionalFormatting xmlns:xm="http://schemas.microsoft.com/office/excel/2006/main">
          <x14:cfRule type="expression" priority="53" id="{781C3EC9-99D8-4503-8352-ECDECC8A0CF8}">
            <xm:f>_Calcs!$NO$48&lt;3</xm:f>
            <x14:dxf>
              <border>
                <left/>
                <right/>
                <top/>
                <bottom/>
                <vertical/>
                <horizontal/>
              </border>
            </x14:dxf>
          </x14:cfRule>
          <xm:sqref>BC1:BC1048576</xm:sqref>
        </x14:conditionalFormatting>
        <x14:conditionalFormatting xmlns:xm="http://schemas.microsoft.com/office/excel/2006/main">
          <x14:cfRule type="expression" priority="52" id="{911516D2-2427-4572-8228-E1CE5E262A7C}">
            <xm:f>_Calcs!$NO$48&lt;2</xm:f>
            <x14:dxf>
              <font>
                <color theme="0"/>
              </font>
              <fill>
                <patternFill>
                  <bgColor theme="0"/>
                </patternFill>
              </fill>
              <border>
                <left/>
                <right/>
                <top/>
                <bottom/>
                <vertical/>
                <horizontal/>
              </border>
            </x14:dxf>
          </x14:cfRule>
          <xm:sqref>AV1:BC1048576</xm:sqref>
        </x14:conditionalFormatting>
        <x14:conditionalFormatting xmlns:xm="http://schemas.microsoft.com/office/excel/2006/main">
          <x14:cfRule type="expression" priority="51" id="{D62C3745-5B12-4390-B64A-141E01F23826}">
            <xm:f>_Calcs!$NO$48&lt;2</xm:f>
            <x14:dxf>
              <border>
                <left/>
                <right/>
                <top/>
                <bottom/>
                <vertical/>
                <horizontal/>
              </border>
            </x14:dxf>
          </x14:cfRule>
          <xm:sqref>AU1:AU1048576</xm:sqref>
        </x14:conditionalFormatting>
        <x14:conditionalFormatting xmlns:xm="http://schemas.microsoft.com/office/excel/2006/main">
          <x14:cfRule type="expression" priority="8" id="{E282BFA7-11EC-4D93-9A2A-4C66EB94E4DA}">
            <xm:f>_Calcs!$BC$36=0</xm:f>
            <x14:dxf>
              <font>
                <color rgb="FFD8E9F4"/>
              </font>
              <fill>
                <patternFill patternType="lightGray">
                  <fgColor theme="0"/>
                  <bgColor theme="6" tint="0.79998168889431442"/>
                </patternFill>
              </fill>
              <border>
                <left/>
                <right/>
                <top/>
                <bottom/>
                <vertical/>
                <horizontal/>
              </border>
            </x14:dxf>
          </x14:cfRule>
          <xm:sqref>U23:Y23 U25:Y35 U37:Y37 U41:Y41 U43:Y45</xm:sqref>
        </x14:conditionalFormatting>
        <x14:conditionalFormatting xmlns:xm="http://schemas.microsoft.com/office/excel/2006/main">
          <x14:cfRule type="expression" priority="17" id="{38AF31B7-B938-4D69-9870-30FA36E7D40B}">
            <xm:f>_Calcs!$BC$36=1</xm:f>
            <x14:dxf>
              <fill>
                <patternFill>
                  <bgColor theme="0"/>
                </patternFill>
              </fill>
            </x14:dxf>
          </x14:cfRule>
          <xm:sqref>T23</xm:sqref>
        </x14:conditionalFormatting>
        <x14:conditionalFormatting xmlns:xm="http://schemas.microsoft.com/office/excel/2006/main">
          <x14:cfRule type="expression" priority="2" id="{A4435F59-74BD-4D8B-9C27-1A4CE9D2EAC6}">
            <xm:f>_Calcs!$BC$36=1</xm:f>
            <x14:dxf>
              <fill>
                <patternFill>
                  <bgColor theme="0"/>
                </patternFill>
              </fill>
            </x14:dxf>
          </x14:cfRule>
          <xm:sqref>T41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3591C-D5A1-43D3-A88F-9AD9C9778868}">
  <sheetPr codeName="Sheet13">
    <tabColor rgb="FFC6E1E1"/>
    <pageSetUpPr fitToPage="1"/>
  </sheetPr>
  <dimension ref="A1:GC119"/>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12.625" style="70" customWidth="1"/>
    <col min="7" max="7" width="4.625" style="115" customWidth="1"/>
    <col min="8" max="9" width="4.625" style="70" customWidth="1"/>
    <col min="10" max="10" width="4.875" style="2000" customWidth="1"/>
    <col min="11" max="11" width="2.625" style="70" customWidth="1"/>
    <col min="12" max="12" width="3.625" style="78" customWidth="1"/>
    <col min="13" max="13" width="2.625" style="70" customWidth="1"/>
    <col min="14" max="14" width="10.375" style="70" bestFit="1" customWidth="1"/>
    <col min="15" max="15" width="2.625" style="70" hidden="1" customWidth="1"/>
    <col min="16" max="16" width="9.625" style="70" hidden="1" customWidth="1"/>
    <col min="17" max="19" width="2.625" style="70" customWidth="1"/>
    <col min="20" max="20" width="8.625" style="115" customWidth="1"/>
    <col min="21" max="21" width="2.625" style="70" customWidth="1"/>
    <col min="22" max="24" width="5.625" style="70" customWidth="1"/>
    <col min="25" max="25" width="1.625" style="70" customWidth="1"/>
    <col min="26" max="27" width="1.625" style="115" customWidth="1"/>
    <col min="28" max="28" width="2.125" style="115" customWidth="1"/>
    <col min="29" max="29" width="1.625" style="115" customWidth="1"/>
    <col min="30" max="30" width="3.625" style="115" customWidth="1"/>
    <col min="31" max="32" width="1.625" style="70" customWidth="1"/>
    <col min="33" max="33" width="16.625" style="114" customWidth="1"/>
    <col min="34" max="34" width="1.625" style="70" customWidth="1"/>
    <col min="35" max="35" width="2.625" style="70" customWidth="1"/>
    <col min="36" max="37" width="0.875" style="70" customWidth="1"/>
    <col min="38" max="38" width="3.625" style="115" customWidth="1"/>
    <col min="39" max="40" width="1.625" style="70" customWidth="1"/>
    <col min="41" max="41" width="16.625" style="114" customWidth="1"/>
    <col min="42" max="42" width="1.625" style="70" customWidth="1"/>
    <col min="43" max="43" width="2.625" style="70" customWidth="1"/>
    <col min="44" max="45" width="0.875" style="70" customWidth="1"/>
    <col min="46" max="46" width="3.625" style="115" customWidth="1"/>
    <col min="47" max="48" width="1.625" style="70" customWidth="1"/>
    <col min="49" max="49" width="16.625" style="114" customWidth="1"/>
    <col min="50" max="50" width="1.625" style="70" customWidth="1"/>
    <col min="51" max="51" width="2.625" style="70" customWidth="1"/>
    <col min="52" max="53" width="0.875" style="70" customWidth="1"/>
    <col min="54" max="54" width="3.625" style="115" customWidth="1"/>
    <col min="55" max="56" width="1.625" style="70" customWidth="1"/>
    <col min="57" max="57" width="16.625" style="114" customWidth="1"/>
    <col min="58" max="58" width="1.625" style="70" customWidth="1"/>
    <col min="59" max="59" width="2.625" style="70" customWidth="1"/>
    <col min="60" max="61" width="0.875" style="70" customWidth="1"/>
    <col min="62" max="62" width="3.625" style="115" customWidth="1"/>
    <col min="63" max="64" width="1.625" style="70" customWidth="1"/>
    <col min="65" max="65" width="16.625" style="114" customWidth="1"/>
    <col min="66" max="66" width="1.625" style="70" customWidth="1"/>
    <col min="67" max="67" width="2.625" style="70" customWidth="1"/>
    <col min="68" max="69" width="0.875" style="70" customWidth="1"/>
    <col min="70" max="70" width="3.625" style="115" customWidth="1"/>
    <col min="71" max="72" width="1.625" style="70" customWidth="1"/>
    <col min="73" max="73" width="16.625" style="114" customWidth="1"/>
    <col min="74" max="74" width="1.625" style="70" customWidth="1"/>
    <col min="75" max="75" width="2.625" style="70" customWidth="1"/>
    <col min="76" max="77" width="0.875" style="70" customWidth="1"/>
    <col min="78" max="78" width="3.625" style="115" customWidth="1"/>
    <col min="79" max="80" width="1.625" style="70" customWidth="1"/>
    <col min="81" max="81" width="16.625" style="114" customWidth="1"/>
    <col min="82" max="82" width="1.625" style="70" customWidth="1"/>
    <col min="83" max="83" width="2.625" style="70" customWidth="1"/>
    <col min="84" max="85" width="0.875" style="70" customWidth="1"/>
    <col min="86" max="86" width="3.625" style="115" customWidth="1"/>
    <col min="87" max="88" width="1.625" style="70" customWidth="1"/>
    <col min="89" max="89" width="16.625" style="114" customWidth="1"/>
    <col min="90" max="90" width="1.625" style="70" customWidth="1"/>
    <col min="91" max="91" width="2.625" style="70" customWidth="1"/>
    <col min="92" max="93" width="0.875" style="70" customWidth="1"/>
    <col min="94" max="94" width="3.625" style="115" customWidth="1"/>
    <col min="95" max="96" width="1.625" style="70" customWidth="1"/>
    <col min="97" max="97" width="16.625" style="114" customWidth="1"/>
    <col min="98" max="98" width="1.625" style="70" customWidth="1"/>
    <col min="99" max="99" width="2.625" style="70" customWidth="1"/>
    <col min="100" max="101" width="0.875" style="70" customWidth="1"/>
    <col min="102" max="102" width="3.625" style="70" customWidth="1"/>
    <col min="103" max="103" width="1.625" style="70" customWidth="1"/>
    <col min="104" max="105" width="3.625" style="70" customWidth="1"/>
    <col min="106" max="16384" width="9" style="70" hidden="1"/>
  </cols>
  <sheetData>
    <row r="1" spans="1:185" s="136" customFormat="1" ht="50.1" customHeight="1" x14ac:dyDescent="0.2">
      <c r="A1" s="14"/>
      <c r="B1" s="14"/>
      <c r="C1" s="13"/>
      <c r="D1" s="13"/>
      <c r="E1" s="14"/>
      <c r="F1" s="21"/>
      <c r="G1" s="21"/>
      <c r="H1" s="21"/>
      <c r="I1" s="21"/>
      <c r="J1" s="13"/>
      <c r="K1" s="13"/>
      <c r="L1" s="16"/>
      <c r="M1" s="13"/>
      <c r="N1" s="13"/>
      <c r="O1" s="50"/>
      <c r="P1" s="50"/>
      <c r="Q1" s="137"/>
      <c r="R1" s="70"/>
      <c r="S1" s="13"/>
      <c r="T1" s="17"/>
      <c r="U1" s="137"/>
      <c r="V1" s="70"/>
      <c r="W1" s="70"/>
      <c r="X1" s="36"/>
      <c r="Y1" s="36"/>
      <c r="Z1" s="16"/>
      <c r="AA1" s="16"/>
      <c r="AB1" s="16"/>
      <c r="AC1" s="16"/>
      <c r="AD1" s="70"/>
      <c r="AE1" s="36"/>
      <c r="AF1" s="36"/>
      <c r="AG1" s="36"/>
      <c r="AH1" s="16"/>
      <c r="AI1" s="16"/>
      <c r="AJ1" s="138"/>
      <c r="AK1" s="138"/>
      <c r="AL1" s="138"/>
      <c r="AM1" s="137"/>
      <c r="AN1" s="137"/>
      <c r="AO1" s="21"/>
      <c r="AP1" s="16"/>
      <c r="AQ1" s="138"/>
      <c r="AR1" s="138"/>
      <c r="AS1" s="138"/>
      <c r="AT1" s="137"/>
      <c r="AU1" s="21"/>
      <c r="AV1" s="21"/>
      <c r="AW1" s="16"/>
      <c r="AX1" s="138"/>
      <c r="AY1" s="138"/>
      <c r="AZ1" s="137"/>
      <c r="BA1" s="137"/>
      <c r="BB1" s="21"/>
      <c r="BC1" s="16"/>
      <c r="BD1" s="16"/>
      <c r="BE1" s="16"/>
      <c r="BF1" s="137"/>
      <c r="BG1" s="137"/>
      <c r="BH1" s="21"/>
      <c r="BI1" s="21"/>
      <c r="BJ1" s="16"/>
      <c r="BK1" s="16"/>
      <c r="BL1" s="16"/>
      <c r="BM1" s="36"/>
      <c r="BN1" s="21"/>
      <c r="BO1" s="21"/>
      <c r="BP1" s="16"/>
      <c r="BQ1" s="16"/>
      <c r="BR1" s="16"/>
      <c r="BS1" s="36"/>
      <c r="BT1" s="36"/>
      <c r="BU1" s="16"/>
      <c r="BV1" s="16"/>
      <c r="BW1" s="16"/>
      <c r="BX1" s="16"/>
      <c r="BY1" s="16"/>
      <c r="BZ1" s="36"/>
      <c r="CA1" s="16"/>
      <c r="CB1" s="16"/>
      <c r="CC1" s="138"/>
      <c r="CD1" s="16"/>
      <c r="CE1" s="16"/>
      <c r="CF1" s="36"/>
      <c r="CG1" s="36"/>
      <c r="CH1" s="16"/>
      <c r="CI1" s="138"/>
      <c r="CJ1" s="138"/>
      <c r="CK1" s="138"/>
      <c r="CL1" s="36"/>
      <c r="CM1" s="36"/>
      <c r="CN1" s="16"/>
      <c r="CO1" s="16"/>
      <c r="CP1" s="138"/>
      <c r="CQ1" s="138"/>
      <c r="CR1" s="138"/>
      <c r="CS1" s="137"/>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13"/>
      <c r="EC1" s="137"/>
      <c r="ED1" s="139" t="s">
        <v>155</v>
      </c>
      <c r="EE1" s="140"/>
      <c r="EF1" s="3986"/>
      <c r="EG1" s="3986"/>
      <c r="EH1" s="3986"/>
    </row>
    <row r="2" spans="1:185" ht="12" customHeight="1" x14ac:dyDescent="0.2">
      <c r="C2" s="1170"/>
      <c r="E2" s="918"/>
      <c r="F2" s="1878"/>
      <c r="G2" s="1878"/>
      <c r="H2" s="1170"/>
      <c r="I2" s="1170"/>
      <c r="J2" s="1170"/>
      <c r="K2" s="1879"/>
      <c r="L2" s="1879"/>
      <c r="M2" s="1879"/>
      <c r="N2" s="1878"/>
      <c r="O2" s="1878"/>
      <c r="P2" s="1878"/>
      <c r="Q2" s="1873"/>
      <c r="R2" s="1873"/>
      <c r="S2" s="1879"/>
      <c r="T2" s="921"/>
      <c r="U2" s="1873"/>
      <c r="Z2" s="70"/>
      <c r="AA2" s="70"/>
      <c r="AB2" s="70"/>
      <c r="AC2" s="70"/>
      <c r="AD2" s="70"/>
      <c r="AG2" s="70"/>
      <c r="AL2" s="70"/>
      <c r="AO2" s="70"/>
      <c r="AT2" s="70"/>
      <c r="AW2" s="70"/>
      <c r="BB2" s="70"/>
      <c r="BE2" s="70"/>
      <c r="BJ2" s="70"/>
      <c r="BM2" s="70"/>
      <c r="BR2" s="70"/>
      <c r="BU2" s="70"/>
      <c r="BZ2" s="70"/>
      <c r="CC2" s="70"/>
      <c r="CH2" s="70"/>
      <c r="CK2" s="70"/>
      <c r="CP2" s="70"/>
      <c r="CS2" s="70"/>
    </row>
    <row r="3" spans="1:185" ht="5.0999999999999996" customHeight="1" x14ac:dyDescent="0.2">
      <c r="C3" s="13"/>
      <c r="E3" s="14"/>
      <c r="F3" s="21"/>
      <c r="G3" s="21"/>
      <c r="H3" s="13"/>
      <c r="I3" s="13"/>
      <c r="J3" s="13"/>
      <c r="K3" s="22"/>
      <c r="L3" s="22"/>
      <c r="M3" s="22"/>
      <c r="N3" s="21"/>
      <c r="O3" s="21"/>
      <c r="P3" s="21"/>
      <c r="Q3" s="136"/>
      <c r="R3" s="136"/>
      <c r="S3" s="22"/>
      <c r="T3" s="17"/>
      <c r="U3" s="136"/>
      <c r="Z3" s="70"/>
      <c r="AA3" s="70"/>
      <c r="AB3" s="70"/>
      <c r="AC3" s="70"/>
      <c r="AD3" s="70"/>
      <c r="AG3" s="70"/>
      <c r="AL3" s="70"/>
      <c r="AO3" s="70"/>
      <c r="AT3" s="70"/>
      <c r="AW3" s="70"/>
      <c r="BB3" s="70"/>
      <c r="BE3" s="70"/>
      <c r="BJ3" s="70"/>
      <c r="BM3" s="70"/>
      <c r="BR3" s="70"/>
      <c r="BU3" s="70"/>
      <c r="BZ3" s="70"/>
      <c r="CC3" s="70"/>
      <c r="CH3" s="70"/>
      <c r="CK3" s="70"/>
      <c r="CP3" s="70"/>
      <c r="CS3" s="70"/>
    </row>
    <row r="4" spans="1:185" ht="5.0999999999999996" customHeight="1" x14ac:dyDescent="0.2">
      <c r="C4" s="1170"/>
      <c r="E4" s="918"/>
      <c r="F4" s="1878"/>
      <c r="G4" s="1878"/>
      <c r="H4" s="1170"/>
      <c r="I4" s="1170"/>
      <c r="J4" s="1170"/>
      <c r="K4" s="1879"/>
      <c r="L4" s="1879"/>
      <c r="M4" s="1879"/>
      <c r="N4" s="1878"/>
      <c r="O4" s="1878"/>
      <c r="P4" s="1878"/>
      <c r="Q4" s="1873"/>
      <c r="R4" s="1873"/>
      <c r="S4" s="1879"/>
      <c r="T4" s="921"/>
      <c r="U4" s="1873"/>
      <c r="Z4" s="70"/>
      <c r="AA4" s="70"/>
      <c r="AB4" s="70"/>
      <c r="AC4" s="70"/>
      <c r="AD4" s="70"/>
      <c r="AG4" s="70"/>
      <c r="AL4" s="70"/>
      <c r="AO4" s="70"/>
      <c r="AT4" s="70"/>
      <c r="AW4" s="70"/>
      <c r="BB4" s="70"/>
      <c r="BE4" s="70"/>
      <c r="BJ4" s="70"/>
      <c r="BM4" s="70"/>
      <c r="BR4" s="70"/>
      <c r="BU4" s="70"/>
      <c r="BZ4" s="70"/>
      <c r="CC4" s="70"/>
      <c r="CH4" s="70"/>
      <c r="CK4" s="70"/>
      <c r="CP4" s="70"/>
      <c r="CS4" s="70"/>
    </row>
    <row r="5" spans="1:185" s="21" customFormat="1" ht="30" customHeight="1" thickBot="1" x14ac:dyDescent="0.25">
      <c r="A5" s="14"/>
      <c r="B5" s="14"/>
      <c r="C5" s="13"/>
      <c r="D5" s="13"/>
      <c r="E5" s="14"/>
      <c r="J5" s="13"/>
      <c r="K5" s="13"/>
      <c r="L5" s="16"/>
      <c r="M5" s="13"/>
      <c r="N5" s="13"/>
      <c r="O5" s="50"/>
      <c r="P5" s="50"/>
      <c r="Q5" s="50"/>
      <c r="R5" s="70"/>
      <c r="S5" s="13"/>
      <c r="T5" s="17"/>
      <c r="U5" s="50"/>
      <c r="V5" s="70"/>
      <c r="W5" s="70"/>
      <c r="X5" s="22"/>
      <c r="Y5" s="22"/>
      <c r="Z5" s="16"/>
      <c r="AA5" s="16"/>
      <c r="AB5" s="16"/>
      <c r="AC5" s="16"/>
      <c r="AD5" s="70"/>
      <c r="AE5" s="22"/>
      <c r="AF5" s="22"/>
      <c r="AG5" s="22"/>
      <c r="AH5" s="16"/>
      <c r="AI5" s="16"/>
      <c r="AJ5" s="19"/>
      <c r="AK5" s="19"/>
      <c r="AL5" s="19"/>
      <c r="AM5" s="50"/>
      <c r="AN5" s="50"/>
      <c r="AP5" s="16"/>
      <c r="AQ5" s="19"/>
      <c r="AR5" s="19"/>
      <c r="AS5" s="19"/>
      <c r="AT5" s="50"/>
      <c r="AW5" s="16"/>
      <c r="AX5" s="19"/>
      <c r="AY5" s="19"/>
      <c r="AZ5" s="50"/>
      <c r="BA5" s="50"/>
      <c r="BC5" s="16"/>
      <c r="BD5" s="16"/>
      <c r="BE5" s="16"/>
      <c r="BF5" s="50"/>
      <c r="BG5" s="50"/>
      <c r="BJ5" s="16"/>
      <c r="BK5" s="16"/>
      <c r="BL5" s="16"/>
      <c r="BM5" s="22"/>
      <c r="BP5" s="16"/>
      <c r="BQ5" s="16"/>
      <c r="BR5" s="16"/>
      <c r="BS5" s="22"/>
      <c r="BT5" s="22"/>
      <c r="BU5" s="16"/>
      <c r="BV5" s="16"/>
      <c r="BW5" s="16"/>
      <c r="BX5" s="16"/>
      <c r="BY5" s="16"/>
      <c r="BZ5" s="22"/>
      <c r="CA5" s="16"/>
      <c r="CB5" s="16"/>
      <c r="CC5" s="19"/>
      <c r="CD5" s="16"/>
      <c r="CE5" s="16"/>
      <c r="CF5" s="22"/>
      <c r="CG5" s="22"/>
      <c r="CH5" s="16"/>
      <c r="CI5" s="19"/>
      <c r="CJ5" s="19"/>
      <c r="CK5" s="19"/>
      <c r="CL5" s="22"/>
      <c r="CM5" s="22"/>
      <c r="CN5" s="16"/>
      <c r="CO5" s="16"/>
      <c r="CP5" s="19"/>
      <c r="CQ5" s="19"/>
      <c r="CR5" s="19"/>
      <c r="CS5" s="50"/>
      <c r="EB5" s="13"/>
      <c r="EC5" s="50"/>
      <c r="ED5" s="90"/>
      <c r="EE5" s="13"/>
    </row>
    <row r="6" spans="1:185" s="21" customFormat="1" ht="15" customHeight="1" thickBot="1" x14ac:dyDescent="0.25">
      <c r="A6" s="14"/>
      <c r="B6" s="14"/>
      <c r="C6" s="1107"/>
      <c r="D6" s="13"/>
      <c r="E6" s="681"/>
      <c r="F6" s="626"/>
      <c r="G6" s="626"/>
      <c r="H6" s="626"/>
      <c r="I6" s="626"/>
      <c r="J6" s="6248"/>
      <c r="K6" s="626"/>
      <c r="L6" s="626"/>
      <c r="M6" s="626"/>
      <c r="N6" s="626"/>
      <c r="O6" s="626"/>
      <c r="P6" s="1988"/>
      <c r="Q6" s="1988"/>
      <c r="R6" s="1988"/>
      <c r="S6" s="1988"/>
      <c r="T6" s="1988"/>
      <c r="U6" s="682"/>
      <c r="V6" s="70"/>
      <c r="W6" s="70"/>
      <c r="X6" s="136"/>
      <c r="Y6" s="136"/>
      <c r="Z6" s="78"/>
      <c r="AA6" s="78"/>
      <c r="AB6" s="78"/>
      <c r="AC6" s="78"/>
      <c r="AD6" s="70"/>
      <c r="AE6" s="136"/>
      <c r="AF6" s="136"/>
      <c r="AG6" s="136"/>
      <c r="AH6" s="78"/>
      <c r="AI6" s="78"/>
      <c r="AJ6" s="17"/>
      <c r="AK6" s="17"/>
      <c r="AL6" s="17"/>
      <c r="AM6" s="78"/>
      <c r="AN6" s="78"/>
      <c r="AO6" s="78"/>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8"/>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row>
    <row r="7" spans="1:185" s="21" customFormat="1" ht="8.1" customHeight="1" thickBot="1" x14ac:dyDescent="0.25">
      <c r="A7" s="14"/>
      <c r="B7" s="14"/>
      <c r="C7" s="13"/>
      <c r="D7" s="13"/>
      <c r="E7" s="14"/>
      <c r="J7" s="13"/>
      <c r="K7" s="15"/>
      <c r="L7" s="17"/>
      <c r="M7" s="15"/>
      <c r="N7" s="50"/>
      <c r="O7" s="50"/>
      <c r="P7" s="1185"/>
      <c r="Q7" s="1185"/>
      <c r="R7" s="1185"/>
      <c r="S7" s="1185"/>
      <c r="T7" s="1185"/>
      <c r="U7" s="137"/>
      <c r="V7" s="70"/>
      <c r="W7" s="70"/>
      <c r="X7" s="78"/>
      <c r="Y7" s="78"/>
      <c r="Z7" s="78"/>
      <c r="AA7" s="78"/>
      <c r="AB7" s="78"/>
      <c r="AC7" s="78"/>
      <c r="AD7" s="70"/>
      <c r="AE7" s="78"/>
      <c r="AF7" s="78"/>
      <c r="AG7" s="78"/>
      <c r="AH7" s="78"/>
      <c r="AI7" s="78"/>
      <c r="AJ7" s="17"/>
      <c r="AK7" s="17"/>
      <c r="AL7" s="17"/>
      <c r="AM7" s="78"/>
      <c r="AN7" s="78"/>
      <c r="AO7" s="78"/>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8"/>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row>
    <row r="8" spans="1:185" s="21" customFormat="1" ht="9.9499999999999993" customHeight="1" x14ac:dyDescent="0.2">
      <c r="A8" s="14"/>
      <c r="B8" s="14"/>
      <c r="C8" s="1458"/>
      <c r="D8" s="13"/>
      <c r="E8" s="553"/>
      <c r="F8" s="554"/>
      <c r="G8" s="554"/>
      <c r="H8" s="554"/>
      <c r="I8" s="554"/>
      <c r="J8" s="555"/>
      <c r="K8" s="555"/>
      <c r="L8" s="555"/>
      <c r="M8" s="555"/>
      <c r="N8" s="555"/>
      <c r="O8" s="555"/>
      <c r="P8" s="606"/>
      <c r="Q8" s="606"/>
      <c r="R8" s="606"/>
      <c r="S8" s="606"/>
      <c r="T8" s="606"/>
      <c r="U8" s="958"/>
      <c r="V8" s="70"/>
      <c r="W8" s="70"/>
      <c r="X8" s="16"/>
      <c r="Y8" s="16"/>
      <c r="Z8" s="138"/>
      <c r="AA8" s="138"/>
      <c r="AB8" s="138"/>
      <c r="AC8" s="138"/>
      <c r="AD8" s="70"/>
      <c r="AE8" s="16"/>
      <c r="AF8" s="16"/>
      <c r="AG8" s="16"/>
      <c r="AH8" s="138"/>
      <c r="AI8" s="138"/>
      <c r="AJ8" s="17"/>
      <c r="AK8" s="17"/>
      <c r="AL8" s="17"/>
      <c r="AM8" s="136"/>
      <c r="AN8" s="136"/>
      <c r="AO8" s="36"/>
      <c r="AP8" s="50"/>
      <c r="AQ8" s="16"/>
      <c r="AR8" s="16"/>
      <c r="AS8" s="16"/>
      <c r="AT8" s="16"/>
      <c r="AU8" s="16"/>
      <c r="AV8" s="16"/>
      <c r="AW8" s="22"/>
      <c r="AX8" s="50"/>
      <c r="AY8" s="50"/>
      <c r="BB8" s="16"/>
      <c r="BC8" s="16"/>
      <c r="BD8" s="16"/>
      <c r="BE8" s="16"/>
      <c r="BF8" s="19"/>
      <c r="BG8" s="19"/>
      <c r="BH8" s="19"/>
      <c r="BI8" s="19"/>
      <c r="BJ8" s="50"/>
      <c r="BK8" s="50"/>
      <c r="BL8" s="50"/>
      <c r="BN8" s="16"/>
      <c r="BO8" s="16"/>
      <c r="BP8" s="19"/>
      <c r="BQ8" s="19"/>
      <c r="BR8" s="19"/>
      <c r="BS8" s="19"/>
      <c r="BT8" s="19"/>
      <c r="BU8" s="50"/>
      <c r="BV8" s="16"/>
      <c r="BW8" s="16"/>
      <c r="BX8" s="22"/>
      <c r="BY8" s="22"/>
      <c r="BZ8" s="22"/>
      <c r="CA8" s="19"/>
      <c r="CB8" s="19"/>
      <c r="CC8" s="19"/>
      <c r="CF8" s="16"/>
      <c r="CG8" s="16"/>
      <c r="CH8" s="16"/>
      <c r="CI8" s="22"/>
      <c r="CJ8" s="22"/>
      <c r="CK8" s="16"/>
      <c r="CL8" s="50"/>
      <c r="CM8" s="50"/>
      <c r="CN8" s="16"/>
      <c r="CO8" s="16"/>
      <c r="CP8" s="16"/>
      <c r="CQ8" s="16"/>
      <c r="CR8" s="16"/>
      <c r="CS8" s="22"/>
      <c r="CT8" s="16"/>
      <c r="CU8" s="16"/>
      <c r="CV8" s="16"/>
      <c r="CW8" s="16"/>
      <c r="CX8" s="22"/>
      <c r="CY8" s="16"/>
      <c r="CZ8" s="19"/>
      <c r="DA8" s="19"/>
      <c r="DB8" s="16"/>
      <c r="DC8" s="22"/>
      <c r="DD8" s="22"/>
      <c r="DE8" s="16"/>
      <c r="DF8" s="19"/>
      <c r="DG8" s="19"/>
      <c r="DH8" s="50"/>
      <c r="DJ8" s="138"/>
      <c r="ET8" s="13"/>
      <c r="EU8" s="50"/>
      <c r="EV8" s="90"/>
      <c r="EW8" s="13"/>
    </row>
    <row r="9" spans="1:185" s="21" customFormat="1" ht="39.950000000000003" customHeight="1" x14ac:dyDescent="0.2">
      <c r="A9" s="14"/>
      <c r="B9" s="14"/>
      <c r="C9" s="1357"/>
      <c r="D9" s="13"/>
      <c r="E9" s="561"/>
      <c r="F9" s="6247" t="str">
        <f>_Calcs!$I$53</f>
        <v>Stabilitetssikring</v>
      </c>
      <c r="G9" s="1464"/>
      <c r="H9" s="1464"/>
      <c r="I9" s="1464"/>
      <c r="J9" s="1995"/>
      <c r="K9" s="1464"/>
      <c r="L9" s="1464"/>
      <c r="M9" s="1464"/>
      <c r="N9" s="1464"/>
      <c r="O9" s="1464"/>
      <c r="P9" s="1844"/>
      <c r="Q9" s="1844"/>
      <c r="R9" s="1844"/>
      <c r="S9" s="1844"/>
      <c r="T9" s="1844"/>
      <c r="U9" s="1513"/>
      <c r="V9" s="70"/>
      <c r="W9" s="70"/>
      <c r="X9" s="16"/>
      <c r="Y9" s="16"/>
      <c r="Z9" s="138"/>
      <c r="AA9" s="138"/>
      <c r="AB9" s="138"/>
      <c r="AC9" s="138"/>
      <c r="AD9" s="70"/>
      <c r="AE9" s="16"/>
      <c r="AF9" s="16"/>
      <c r="AG9" s="16"/>
      <c r="AH9" s="138"/>
      <c r="AI9" s="138"/>
      <c r="AJ9" s="17"/>
      <c r="AK9" s="17"/>
      <c r="AL9" s="17"/>
      <c r="AM9" s="136"/>
      <c r="AN9" s="136"/>
      <c r="AO9" s="36"/>
      <c r="AP9" s="50"/>
      <c r="AQ9" s="16"/>
      <c r="AR9" s="16"/>
      <c r="AS9" s="16"/>
      <c r="AT9" s="16"/>
      <c r="AU9" s="16"/>
      <c r="AV9" s="16"/>
      <c r="AW9" s="22"/>
      <c r="AX9" s="50"/>
      <c r="AY9" s="50"/>
      <c r="BB9" s="16"/>
      <c r="BC9" s="16"/>
      <c r="BD9" s="16"/>
      <c r="BE9" s="16"/>
      <c r="BF9" s="19"/>
      <c r="BG9" s="19"/>
      <c r="BH9" s="19"/>
      <c r="BI9" s="19"/>
      <c r="BJ9" s="50"/>
      <c r="BK9" s="50"/>
      <c r="BL9" s="50"/>
      <c r="BN9" s="16"/>
      <c r="BO9" s="16"/>
      <c r="BP9" s="19"/>
      <c r="BQ9" s="19"/>
      <c r="BR9" s="19"/>
      <c r="BS9" s="19"/>
      <c r="BT9" s="19"/>
      <c r="BU9" s="50"/>
      <c r="BV9" s="16"/>
      <c r="BW9" s="16"/>
      <c r="BX9" s="22"/>
      <c r="BY9" s="22"/>
      <c r="BZ9" s="22"/>
      <c r="CA9" s="19"/>
      <c r="CB9" s="19"/>
      <c r="CC9" s="19"/>
      <c r="CF9" s="16"/>
      <c r="CG9" s="16"/>
      <c r="CH9" s="16"/>
      <c r="CI9" s="22"/>
      <c r="CJ9" s="22"/>
      <c r="CK9" s="16"/>
      <c r="CL9" s="50"/>
      <c r="CM9" s="50"/>
      <c r="CN9" s="16"/>
      <c r="CO9" s="16"/>
      <c r="CP9" s="16"/>
      <c r="CQ9" s="16"/>
      <c r="CR9" s="16"/>
      <c r="CS9" s="22"/>
      <c r="CT9" s="16"/>
      <c r="CU9" s="16"/>
      <c r="CV9" s="16"/>
      <c r="CW9" s="16"/>
      <c r="CX9" s="22"/>
      <c r="CY9" s="16"/>
      <c r="CZ9" s="19"/>
      <c r="DA9" s="19"/>
      <c r="DB9" s="16"/>
      <c r="DC9" s="22"/>
      <c r="DD9" s="22"/>
      <c r="DE9" s="16"/>
      <c r="DF9" s="19"/>
      <c r="DG9" s="19"/>
      <c r="DH9" s="50"/>
      <c r="DJ9" s="138"/>
      <c r="DO9" s="14"/>
      <c r="ES9" s="70"/>
      <c r="ET9" s="70"/>
      <c r="EU9" s="70"/>
      <c r="EV9" s="70"/>
      <c r="EW9" s="70"/>
      <c r="EX9" s="70"/>
      <c r="EY9" s="70"/>
      <c r="EZ9" s="70"/>
      <c r="FA9" s="70"/>
      <c r="FB9" s="70"/>
    </row>
    <row r="10" spans="1:185" s="21" customFormat="1" ht="9.9499999999999993" customHeight="1" thickBot="1" x14ac:dyDescent="0.25">
      <c r="A10" s="14"/>
      <c r="B10" s="14"/>
      <c r="C10" s="1357"/>
      <c r="D10" s="13"/>
      <c r="E10" s="561"/>
      <c r="F10" s="1464"/>
      <c r="G10" s="1464"/>
      <c r="H10" s="1464"/>
      <c r="I10" s="1464"/>
      <c r="J10" s="1995"/>
      <c r="K10" s="1464"/>
      <c r="L10" s="1464"/>
      <c r="M10" s="1464"/>
      <c r="N10" s="1464"/>
      <c r="O10" s="1464"/>
      <c r="P10" s="1844"/>
      <c r="Q10" s="1844"/>
      <c r="R10" s="1844"/>
      <c r="S10" s="1844"/>
      <c r="T10" s="1844"/>
      <c r="U10" s="1513"/>
      <c r="V10" s="70"/>
      <c r="W10" s="70"/>
      <c r="X10" s="16"/>
      <c r="Y10" s="16"/>
      <c r="Z10" s="138"/>
      <c r="AA10" s="138"/>
      <c r="AB10" s="138"/>
      <c r="AC10" s="138"/>
      <c r="AD10" s="70"/>
      <c r="AE10" s="16"/>
      <c r="AF10" s="16"/>
      <c r="AG10" s="16"/>
      <c r="AH10" s="138"/>
      <c r="AI10" s="138"/>
      <c r="AJ10" s="17"/>
      <c r="AK10" s="17"/>
      <c r="AL10" s="17"/>
      <c r="AM10" s="136"/>
      <c r="AN10" s="136"/>
      <c r="AO10" s="36"/>
      <c r="AP10" s="50"/>
      <c r="AQ10" s="16"/>
      <c r="AR10" s="16"/>
      <c r="AS10" s="16"/>
      <c r="AT10" s="16"/>
      <c r="AU10" s="16"/>
      <c r="AV10" s="16"/>
      <c r="AW10" s="22"/>
      <c r="AX10" s="50"/>
      <c r="AY10" s="50"/>
      <c r="BB10" s="16"/>
      <c r="BC10" s="16"/>
      <c r="BD10" s="16"/>
      <c r="BE10" s="16"/>
      <c r="BF10" s="19"/>
      <c r="BG10" s="19"/>
      <c r="BH10" s="19"/>
      <c r="BI10" s="19"/>
      <c r="BJ10" s="50"/>
      <c r="BK10" s="50"/>
      <c r="BL10" s="50"/>
      <c r="BN10" s="16"/>
      <c r="BO10" s="16"/>
      <c r="BP10" s="19"/>
      <c r="BQ10" s="19"/>
      <c r="BR10" s="19"/>
      <c r="BS10" s="19"/>
      <c r="BT10" s="19"/>
      <c r="BU10" s="50"/>
      <c r="BV10" s="16"/>
      <c r="BW10" s="16"/>
      <c r="BX10" s="22"/>
      <c r="BY10" s="22"/>
      <c r="BZ10" s="22"/>
      <c r="CA10" s="19"/>
      <c r="CB10" s="19"/>
      <c r="CC10" s="19"/>
      <c r="CF10" s="16"/>
      <c r="CG10" s="16"/>
      <c r="CH10" s="16"/>
      <c r="CI10" s="22"/>
      <c r="CJ10" s="22"/>
      <c r="CK10" s="16"/>
      <c r="CL10" s="50"/>
      <c r="CM10" s="50"/>
      <c r="CN10" s="16"/>
      <c r="CO10" s="16"/>
      <c r="CP10" s="16"/>
      <c r="CQ10" s="16"/>
      <c r="CR10" s="16"/>
      <c r="CS10" s="22"/>
      <c r="CT10" s="16"/>
      <c r="CU10" s="16"/>
      <c r="CV10" s="16"/>
      <c r="CW10" s="16"/>
      <c r="CX10" s="22"/>
      <c r="CY10" s="16"/>
      <c r="CZ10" s="19"/>
      <c r="DA10" s="19"/>
      <c r="DB10" s="16"/>
      <c r="DC10" s="22"/>
      <c r="DD10" s="22"/>
      <c r="DE10" s="16"/>
      <c r="DF10" s="19"/>
      <c r="DG10" s="19"/>
      <c r="DH10" s="50"/>
      <c r="DJ10" s="138"/>
      <c r="DO10" s="14"/>
      <c r="ES10" s="70"/>
      <c r="ET10" s="70"/>
      <c r="EU10" s="70"/>
      <c r="EV10" s="70"/>
      <c r="EW10" s="70"/>
      <c r="EX10" s="70"/>
      <c r="EY10" s="70"/>
      <c r="EZ10" s="70"/>
      <c r="FA10" s="70"/>
      <c r="FB10" s="70"/>
    </row>
    <row r="11" spans="1:185" s="21" customFormat="1" ht="39.950000000000003" customHeight="1" thickBot="1" x14ac:dyDescent="0.25">
      <c r="A11" s="14"/>
      <c r="B11" s="14"/>
      <c r="C11" s="1357"/>
      <c r="D11" s="13"/>
      <c r="E11" s="561"/>
      <c r="F11" s="6559" t="s">
        <v>80</v>
      </c>
      <c r="G11" s="6742"/>
      <c r="H11" s="6742"/>
      <c r="I11" s="6742"/>
      <c r="J11" s="6560"/>
      <c r="K11" s="1459"/>
      <c r="L11" s="1459"/>
      <c r="M11" s="1459"/>
      <c r="N11" s="1459"/>
      <c r="O11" s="1459"/>
      <c r="P11" s="106"/>
      <c r="Q11" s="106"/>
      <c r="R11" s="106"/>
      <c r="S11" s="106"/>
      <c r="T11" s="106"/>
      <c r="U11" s="2280"/>
      <c r="V11" s="70"/>
      <c r="W11" s="70"/>
      <c r="AD11" s="70"/>
      <c r="AU11" s="21" t="s">
        <v>855</v>
      </c>
    </row>
    <row r="12" spans="1:185" s="21" customFormat="1" ht="15" customHeight="1" thickBot="1" x14ac:dyDescent="0.25">
      <c r="A12" s="14"/>
      <c r="B12" s="14"/>
      <c r="C12" s="1357"/>
      <c r="D12" s="13"/>
      <c r="E12" s="563"/>
      <c r="F12" s="564"/>
      <c r="G12" s="564"/>
      <c r="H12" s="564"/>
      <c r="I12" s="564"/>
      <c r="J12" s="565"/>
      <c r="K12" s="565"/>
      <c r="L12" s="565"/>
      <c r="M12" s="565"/>
      <c r="N12" s="565"/>
      <c r="O12" s="565"/>
      <c r="P12" s="1552"/>
      <c r="Q12" s="1552"/>
      <c r="R12" s="1552"/>
      <c r="S12" s="1552"/>
      <c r="T12" s="1552"/>
      <c r="U12" s="961"/>
      <c r="V12" s="70"/>
      <c r="W12" s="70"/>
      <c r="X12" s="16"/>
      <c r="Y12" s="16"/>
      <c r="Z12" s="138"/>
      <c r="AA12" s="138"/>
      <c r="AB12" s="138"/>
      <c r="AC12" s="138"/>
      <c r="AD12" s="70"/>
      <c r="AE12" s="16"/>
      <c r="AF12" s="16"/>
      <c r="AG12" s="16"/>
      <c r="AH12" s="138"/>
      <c r="AI12" s="138"/>
      <c r="AJ12" s="17"/>
      <c r="AK12" s="17"/>
      <c r="AL12" s="17"/>
      <c r="AM12" s="136"/>
      <c r="AN12" s="136"/>
      <c r="AO12" s="36"/>
      <c r="AP12" s="50"/>
      <c r="AQ12" s="16"/>
      <c r="AR12" s="16"/>
      <c r="AS12" s="16"/>
      <c r="AT12" s="16"/>
      <c r="AU12" s="16"/>
      <c r="AV12" s="16"/>
      <c r="AW12" s="22"/>
      <c r="AX12" s="50"/>
      <c r="AY12" s="50"/>
      <c r="BB12" s="16"/>
      <c r="BC12" s="16"/>
      <c r="BD12" s="16"/>
      <c r="BE12" s="16"/>
      <c r="BF12" s="19"/>
      <c r="BG12" s="19"/>
      <c r="BH12" s="19"/>
      <c r="BI12" s="19"/>
      <c r="BJ12" s="50"/>
      <c r="BK12" s="50"/>
      <c r="BL12" s="50"/>
      <c r="BN12" s="16"/>
      <c r="BO12" s="16"/>
      <c r="BP12" s="19"/>
      <c r="BQ12" s="19"/>
      <c r="BR12" s="19"/>
      <c r="BS12" s="19"/>
      <c r="BT12" s="19"/>
      <c r="BU12" s="50"/>
      <c r="BV12" s="16"/>
      <c r="BW12" s="16"/>
      <c r="BX12" s="22"/>
      <c r="BY12" s="22"/>
      <c r="BZ12" s="22"/>
      <c r="CA12" s="19"/>
      <c r="CB12" s="19"/>
      <c r="CC12" s="19"/>
      <c r="CF12" s="16"/>
      <c r="CG12" s="16"/>
      <c r="CH12" s="16"/>
      <c r="CI12" s="22"/>
      <c r="CJ12" s="22"/>
      <c r="CK12" s="16"/>
      <c r="CL12" s="50"/>
      <c r="CM12" s="50"/>
      <c r="CN12" s="16"/>
      <c r="CO12" s="16"/>
      <c r="CP12" s="16"/>
      <c r="CQ12" s="16"/>
      <c r="CR12" s="16"/>
      <c r="CS12" s="22"/>
      <c r="CT12" s="16"/>
      <c r="CU12" s="16"/>
      <c r="CV12" s="16"/>
      <c r="CW12" s="16"/>
      <c r="CX12" s="22"/>
      <c r="CY12" s="16"/>
      <c r="CZ12" s="19"/>
      <c r="DA12" s="19"/>
      <c r="DB12" s="16"/>
      <c r="DC12" s="22"/>
      <c r="DD12" s="22"/>
      <c r="DE12" s="16"/>
      <c r="DF12" s="19"/>
      <c r="DG12" s="19"/>
      <c r="DH12" s="50"/>
      <c r="DJ12" s="138"/>
      <c r="DO12" s="14"/>
      <c r="ES12" s="70"/>
      <c r="ET12" s="70"/>
      <c r="EU12" s="70"/>
      <c r="EV12" s="70"/>
      <c r="EW12" s="70"/>
      <c r="EX12" s="70"/>
      <c r="EY12" s="70"/>
      <c r="EZ12" s="70"/>
      <c r="FA12" s="70"/>
      <c r="FB12" s="70"/>
    </row>
    <row r="13" spans="1:185" s="21" customFormat="1" ht="15" customHeight="1" thickBot="1" x14ac:dyDescent="0.25">
      <c r="A13" s="14"/>
      <c r="B13" s="14"/>
      <c r="C13" s="1357"/>
      <c r="D13" s="13"/>
      <c r="E13" s="14"/>
      <c r="J13" s="13"/>
      <c r="K13" s="13"/>
      <c r="L13" s="16"/>
      <c r="M13" s="13"/>
      <c r="N13" s="13"/>
      <c r="O13" s="13"/>
      <c r="P13" s="17"/>
      <c r="Q13" s="17"/>
      <c r="R13" s="17"/>
      <c r="S13" s="17"/>
      <c r="T13" s="17"/>
      <c r="U13" s="16"/>
      <c r="V13" s="70"/>
      <c r="W13" s="70"/>
      <c r="X13" s="573"/>
      <c r="Y13" s="573"/>
      <c r="Z13" s="138"/>
      <c r="AA13" s="138"/>
      <c r="AB13" s="138"/>
      <c r="AC13" s="138"/>
      <c r="AD13" s="70"/>
      <c r="AE13" s="573"/>
      <c r="AF13" s="573"/>
      <c r="AG13" s="573"/>
      <c r="AH13" s="138"/>
      <c r="AI13" s="138"/>
      <c r="AJ13" s="17"/>
      <c r="AK13" s="17"/>
      <c r="AL13" s="17"/>
      <c r="AM13" s="136"/>
      <c r="AN13" s="136"/>
      <c r="AO13" s="36"/>
      <c r="AP13" s="50"/>
      <c r="AQ13" s="16"/>
      <c r="AR13" s="16"/>
      <c r="AS13" s="16"/>
      <c r="AT13" s="16"/>
      <c r="AU13" s="16"/>
      <c r="AV13" s="16"/>
      <c r="AW13" s="22"/>
      <c r="AX13" s="50"/>
      <c r="AY13" s="50"/>
      <c r="BB13" s="16"/>
      <c r="BC13" s="16"/>
      <c r="BD13" s="16"/>
      <c r="BE13" s="16"/>
      <c r="BF13" s="19"/>
      <c r="BG13" s="19"/>
      <c r="BH13" s="19"/>
      <c r="BI13" s="19"/>
      <c r="BJ13" s="50"/>
      <c r="BK13" s="50"/>
      <c r="BL13" s="50"/>
      <c r="BN13" s="16"/>
      <c r="BO13" s="16"/>
      <c r="BP13" s="19"/>
      <c r="BQ13" s="19"/>
      <c r="BR13" s="19"/>
      <c r="BS13" s="19"/>
      <c r="BT13" s="19"/>
      <c r="BU13" s="50"/>
      <c r="BV13" s="16"/>
      <c r="BW13" s="16"/>
      <c r="BX13" s="22"/>
      <c r="BY13" s="22"/>
      <c r="BZ13" s="22"/>
      <c r="CA13" s="19"/>
      <c r="CB13" s="19"/>
      <c r="CC13" s="19"/>
      <c r="CF13" s="16"/>
      <c r="CG13" s="16"/>
      <c r="CH13" s="16"/>
      <c r="CI13" s="22"/>
      <c r="CJ13" s="22"/>
      <c r="CK13" s="16"/>
      <c r="CL13" s="50"/>
      <c r="CM13" s="50"/>
      <c r="CN13" s="16"/>
      <c r="CO13" s="16"/>
      <c r="CP13" s="16"/>
      <c r="CQ13" s="16"/>
      <c r="CR13" s="16"/>
      <c r="CS13" s="22"/>
      <c r="CT13" s="16"/>
      <c r="CU13" s="16"/>
      <c r="CV13" s="16"/>
      <c r="CW13" s="16"/>
      <c r="CX13" s="22"/>
      <c r="CY13" s="16"/>
      <c r="CZ13" s="19"/>
      <c r="DA13" s="19"/>
      <c r="DB13" s="16"/>
      <c r="DC13" s="22"/>
      <c r="DD13" s="22"/>
      <c r="DE13" s="16"/>
      <c r="DF13" s="19"/>
      <c r="DG13" s="19"/>
      <c r="DH13" s="50"/>
      <c r="DJ13" s="138"/>
      <c r="DO13" s="14"/>
      <c r="ES13" s="70"/>
      <c r="ET13" s="70"/>
      <c r="EU13" s="70"/>
      <c r="EV13" s="70"/>
      <c r="EW13" s="70"/>
      <c r="EX13" s="70"/>
      <c r="EY13" s="70"/>
      <c r="EZ13" s="70"/>
      <c r="FA13" s="70"/>
      <c r="FB13" s="70"/>
    </row>
    <row r="14" spans="1:185" s="21" customFormat="1" ht="15" customHeight="1" thickBot="1" x14ac:dyDescent="0.25">
      <c r="A14" s="14"/>
      <c r="B14" s="14"/>
      <c r="C14" s="1357"/>
      <c r="D14" s="13"/>
      <c r="E14" s="1378"/>
      <c r="F14" s="1379"/>
      <c r="G14" s="1379"/>
      <c r="H14" s="1379"/>
      <c r="I14" s="1379"/>
      <c r="J14" s="1361"/>
      <c r="K14" s="1379"/>
      <c r="L14" s="1511"/>
      <c r="M14" s="1379"/>
      <c r="N14" s="1361"/>
      <c r="O14" s="1361"/>
      <c r="P14" s="1363"/>
      <c r="Q14" s="1363"/>
      <c r="R14" s="1363"/>
      <c r="S14" s="1363"/>
      <c r="T14" s="1363"/>
      <c r="U14" s="1364"/>
      <c r="V14" s="70"/>
      <c r="W14" s="70"/>
      <c r="Z14" s="19"/>
      <c r="AA14" s="19"/>
      <c r="AB14" s="19"/>
      <c r="AC14" s="19"/>
      <c r="AD14" s="70"/>
      <c r="AH14" s="19"/>
      <c r="AI14" s="19"/>
      <c r="AJ14" s="16"/>
      <c r="AK14" s="16"/>
      <c r="AL14" s="16"/>
      <c r="AM14" s="22"/>
      <c r="AN14" s="22"/>
      <c r="AO14" s="16"/>
      <c r="AP14" s="50"/>
      <c r="AQ14" s="50"/>
      <c r="AT14" s="16"/>
      <c r="AU14" s="16"/>
      <c r="AV14" s="16"/>
      <c r="AW14" s="16"/>
      <c r="AX14" s="19"/>
      <c r="AY14" s="19"/>
      <c r="AZ14" s="50"/>
      <c r="BA14" s="50"/>
      <c r="BC14" s="16"/>
      <c r="BD14" s="16"/>
      <c r="BE14" s="16"/>
      <c r="BF14" s="19"/>
      <c r="BG14" s="19"/>
      <c r="BH14" s="19"/>
      <c r="BI14" s="19"/>
      <c r="BJ14" s="50"/>
      <c r="BK14" s="50"/>
      <c r="BL14" s="50"/>
      <c r="BN14" s="16"/>
      <c r="BO14" s="16"/>
      <c r="BP14" s="19"/>
      <c r="BQ14" s="19"/>
      <c r="BR14" s="19"/>
      <c r="BS14" s="19"/>
      <c r="BT14" s="19"/>
      <c r="BU14" s="50"/>
      <c r="BV14" s="22"/>
      <c r="BW14" s="22"/>
      <c r="BX14" s="22"/>
      <c r="BY14" s="22"/>
      <c r="BZ14" s="16"/>
      <c r="CA14" s="19"/>
      <c r="CB14" s="19"/>
      <c r="CC14" s="19"/>
      <c r="CD14" s="16"/>
      <c r="CE14" s="16"/>
      <c r="CF14" s="16"/>
      <c r="CG14" s="16"/>
      <c r="CH14" s="22"/>
      <c r="CI14" s="22"/>
      <c r="CJ14" s="22"/>
      <c r="CK14" s="16"/>
      <c r="CN14" s="16"/>
      <c r="CO14" s="16"/>
      <c r="CP14" s="16"/>
      <c r="CQ14" s="16"/>
      <c r="CR14" s="16"/>
      <c r="CS14" s="22"/>
      <c r="CT14" s="50"/>
      <c r="CU14" s="50"/>
      <c r="CX14" s="16"/>
      <c r="CZ14" s="22"/>
      <c r="DA14" s="16"/>
      <c r="DB14" s="50"/>
      <c r="DE14" s="16"/>
      <c r="DF14" s="16"/>
      <c r="DG14" s="22"/>
      <c r="DH14" s="16"/>
      <c r="DI14" s="19"/>
      <c r="DJ14" s="19"/>
      <c r="DK14" s="50"/>
      <c r="DM14" s="138"/>
      <c r="DR14" s="14"/>
      <c r="EV14" s="70"/>
      <c r="EW14" s="70"/>
      <c r="EX14" s="70"/>
      <c r="EY14" s="70"/>
      <c r="EZ14" s="70"/>
      <c r="FA14" s="70"/>
      <c r="FB14" s="70"/>
      <c r="FC14" s="70"/>
      <c r="FD14" s="70"/>
      <c r="FE14" s="70"/>
    </row>
    <row r="15" spans="1:185" s="21" customFormat="1" ht="30" hidden="1" customHeight="1" thickBot="1" x14ac:dyDescent="0.25">
      <c r="A15" s="14"/>
      <c r="B15" s="14"/>
      <c r="C15" s="1357"/>
      <c r="D15" s="13"/>
      <c r="E15" s="1380"/>
      <c r="F15" s="1376" t="str">
        <f>_Calcs!$K$53&amp;" er satt til"</f>
        <v>Sikrings-mengde er satt til</v>
      </c>
      <c r="G15" s="1366"/>
      <c r="H15" s="5490"/>
      <c r="I15" s="5490"/>
      <c r="J15" s="1568"/>
      <c r="K15" s="6614"/>
      <c r="L15" s="6614"/>
      <c r="M15" s="6614"/>
      <c r="N15" s="6614"/>
      <c r="O15" s="6615"/>
      <c r="P15" s="1368"/>
      <c r="Q15" s="1368"/>
      <c r="R15" s="1368"/>
      <c r="S15" s="1368"/>
      <c r="T15" s="1368"/>
      <c r="U15" s="1369"/>
      <c r="V15" s="70"/>
      <c r="W15" s="70"/>
      <c r="Z15" s="19"/>
      <c r="AA15" s="19"/>
      <c r="AB15" s="19"/>
      <c r="AC15" s="19"/>
      <c r="AD15" s="70"/>
      <c r="AH15" s="19"/>
      <c r="AI15" s="19"/>
      <c r="AJ15" s="16"/>
      <c r="AK15" s="16"/>
      <c r="AL15" s="16"/>
      <c r="AM15" s="22"/>
      <c r="AN15" s="22"/>
      <c r="AO15" s="16"/>
      <c r="AP15" s="50"/>
      <c r="AQ15" s="50"/>
      <c r="AT15" s="16"/>
      <c r="AU15" s="16"/>
      <c r="AV15" s="16"/>
      <c r="AW15" s="16"/>
      <c r="AX15" s="19"/>
      <c r="AY15" s="19"/>
      <c r="AZ15" s="50"/>
      <c r="BA15" s="50"/>
      <c r="BC15" s="16"/>
      <c r="BD15" s="16"/>
      <c r="BE15" s="16"/>
      <c r="BF15" s="19"/>
      <c r="BG15" s="19"/>
      <c r="BH15" s="19"/>
      <c r="BI15" s="19"/>
      <c r="BJ15" s="50"/>
      <c r="BK15" s="50"/>
      <c r="BL15" s="50"/>
      <c r="BN15" s="16"/>
      <c r="BO15" s="16"/>
      <c r="BP15" s="19"/>
      <c r="BQ15" s="19"/>
      <c r="BR15" s="19"/>
      <c r="BS15" s="19"/>
      <c r="BT15" s="19"/>
      <c r="BU15" s="50"/>
      <c r="BV15" s="22"/>
      <c r="BW15" s="22"/>
      <c r="BX15" s="22"/>
      <c r="BY15" s="22"/>
      <c r="BZ15" s="16"/>
      <c r="CA15" s="19"/>
      <c r="CB15" s="19"/>
      <c r="CC15" s="19"/>
      <c r="CD15" s="16"/>
      <c r="CE15" s="16"/>
      <c r="CF15" s="16"/>
      <c r="CG15" s="16"/>
      <c r="CH15" s="22"/>
      <c r="CI15" s="22"/>
      <c r="CJ15" s="22"/>
      <c r="CK15" s="16"/>
      <c r="CN15" s="16"/>
      <c r="CO15" s="16"/>
      <c r="CP15" s="16"/>
      <c r="CQ15" s="16"/>
      <c r="CR15" s="16"/>
      <c r="CS15" s="22"/>
      <c r="CT15" s="50"/>
      <c r="CU15" s="50"/>
      <c r="CX15" s="16"/>
      <c r="CZ15" s="22"/>
      <c r="DA15" s="16"/>
      <c r="DB15" s="50"/>
      <c r="DE15" s="16"/>
      <c r="DF15" s="16"/>
      <c r="DG15" s="22"/>
      <c r="DH15" s="16"/>
      <c r="DI15" s="19"/>
      <c r="DJ15" s="19"/>
      <c r="DK15" s="50"/>
      <c r="DM15" s="138"/>
      <c r="DR15" s="14"/>
      <c r="EV15" s="70"/>
      <c r="EW15" s="70"/>
      <c r="EX15" s="70"/>
      <c r="EY15" s="70"/>
      <c r="EZ15" s="70"/>
      <c r="FA15" s="70"/>
      <c r="FB15" s="70"/>
      <c r="FC15" s="70"/>
      <c r="FD15" s="70"/>
      <c r="FE15" s="70"/>
    </row>
    <row r="16" spans="1:185" s="21" customFormat="1" ht="15" hidden="1" customHeight="1" thickBot="1" x14ac:dyDescent="0.25">
      <c r="A16" s="14"/>
      <c r="B16" s="14"/>
      <c r="C16" s="1357"/>
      <c r="D16" s="13"/>
      <c r="E16" s="1380"/>
      <c r="F16" s="2002"/>
      <c r="G16" s="2002"/>
      <c r="H16" s="2002"/>
      <c r="I16" s="2002"/>
      <c r="J16" s="1367"/>
      <c r="K16" s="5503"/>
      <c r="L16" s="1381"/>
      <c r="M16" s="5503"/>
      <c r="N16" s="5504"/>
      <c r="O16" s="5504"/>
      <c r="P16" s="1368"/>
      <c r="Q16" s="1368"/>
      <c r="R16" s="1368"/>
      <c r="S16" s="1368"/>
      <c r="T16" s="1368"/>
      <c r="U16" s="1369"/>
      <c r="V16" s="70"/>
      <c r="W16" s="70"/>
      <c r="Z16" s="19"/>
      <c r="AA16" s="19"/>
      <c r="AB16" s="19"/>
      <c r="AC16" s="19"/>
      <c r="AD16" s="70"/>
      <c r="AH16" s="19"/>
      <c r="AI16" s="19"/>
      <c r="AJ16" s="16"/>
      <c r="AK16" s="16"/>
      <c r="AL16" s="16"/>
      <c r="AM16" s="22"/>
      <c r="AN16" s="22"/>
      <c r="AO16" s="16"/>
      <c r="AP16" s="50"/>
      <c r="AQ16" s="50"/>
      <c r="AT16" s="16"/>
      <c r="AU16" s="16"/>
      <c r="AV16" s="16"/>
      <c r="AW16" s="16"/>
      <c r="AX16" s="19"/>
      <c r="AY16" s="19"/>
      <c r="AZ16" s="50"/>
      <c r="BA16" s="50"/>
      <c r="BC16" s="16"/>
      <c r="BD16" s="16"/>
      <c r="BE16" s="16"/>
      <c r="BF16" s="19"/>
      <c r="BG16" s="19"/>
      <c r="BH16" s="19"/>
      <c r="BI16" s="19"/>
      <c r="BJ16" s="50"/>
      <c r="BK16" s="50"/>
      <c r="BL16" s="50"/>
      <c r="BN16" s="16"/>
      <c r="BO16" s="16"/>
      <c r="BP16" s="19"/>
      <c r="BQ16" s="19"/>
      <c r="BR16" s="19"/>
      <c r="BS16" s="19"/>
      <c r="BT16" s="19"/>
      <c r="BU16" s="50"/>
      <c r="BV16" s="22"/>
      <c r="BW16" s="22"/>
      <c r="BX16" s="22"/>
      <c r="BY16" s="22"/>
      <c r="BZ16" s="16"/>
      <c r="CA16" s="19"/>
      <c r="CB16" s="19"/>
      <c r="CC16" s="19"/>
      <c r="CD16" s="16"/>
      <c r="CE16" s="16"/>
      <c r="CF16" s="16"/>
      <c r="CG16" s="16"/>
      <c r="CH16" s="22"/>
      <c r="CI16" s="22"/>
      <c r="CJ16" s="22"/>
      <c r="CK16" s="16"/>
      <c r="CN16" s="16"/>
      <c r="CO16" s="16"/>
      <c r="CP16" s="16"/>
      <c r="CQ16" s="16"/>
      <c r="CR16" s="16"/>
      <c r="CS16" s="22"/>
      <c r="CT16" s="50"/>
      <c r="CU16" s="50"/>
      <c r="CX16" s="16"/>
      <c r="CZ16" s="22"/>
      <c r="DA16" s="16"/>
      <c r="DB16" s="50"/>
      <c r="DE16" s="16"/>
      <c r="DF16" s="16"/>
      <c r="DG16" s="22"/>
      <c r="DH16" s="16"/>
      <c r="DI16" s="19"/>
      <c r="DJ16" s="19"/>
      <c r="DK16" s="50"/>
      <c r="DM16" s="138"/>
      <c r="DR16" s="14"/>
      <c r="EV16" s="70"/>
      <c r="EW16" s="70"/>
      <c r="EX16" s="70"/>
      <c r="EY16" s="70"/>
      <c r="EZ16" s="70"/>
      <c r="FA16" s="70"/>
      <c r="FB16" s="70"/>
      <c r="FC16" s="70"/>
      <c r="FD16" s="70"/>
      <c r="FE16" s="70"/>
    </row>
    <row r="17" spans="1:161" s="21" customFormat="1" ht="30" customHeight="1" thickBot="1" x14ac:dyDescent="0.25">
      <c r="A17" s="14"/>
      <c r="B17" s="14"/>
      <c r="C17" s="1357"/>
      <c r="D17" s="13"/>
      <c r="E17" s="1380"/>
      <c r="F17" s="1376" t="str">
        <f>IF(_Calcs!$D$11=2,Tunneldrift!$M$125,IF(_Calcs!$D$11=1,'!INN_SK'!$F$31,""))</f>
        <v>Fordeling av mengder</v>
      </c>
      <c r="G17" s="2002"/>
      <c r="H17" s="2002"/>
      <c r="I17" s="2002"/>
      <c r="J17" s="6613" t="str">
        <f>IF(_Calcs!$D$11=2,Tunneldrift!$F$125,IF(_Calcs!$D$11=1,'!INN_SK'!$M$31))</f>
        <v>Brukerdefinert</v>
      </c>
      <c r="K17" s="6614"/>
      <c r="L17" s="6614"/>
      <c r="M17" s="6614"/>
      <c r="N17" s="6614"/>
      <c r="O17" s="6614"/>
      <c r="P17" s="6614"/>
      <c r="Q17" s="6615"/>
      <c r="R17" s="1368"/>
      <c r="S17" s="1368"/>
      <c r="T17" s="1368"/>
      <c r="U17" s="1369"/>
      <c r="V17" s="70"/>
      <c r="W17" s="70"/>
      <c r="Z17" s="19"/>
      <c r="AA17" s="19"/>
      <c r="AB17" s="19"/>
      <c r="AC17" s="19"/>
      <c r="AD17" s="70"/>
      <c r="AH17" s="19"/>
      <c r="AI17" s="19"/>
      <c r="AJ17" s="16"/>
      <c r="AK17" s="16"/>
      <c r="AL17" s="16"/>
      <c r="AM17" s="22"/>
      <c r="AN17" s="22"/>
      <c r="AO17" s="16"/>
      <c r="AP17" s="50"/>
      <c r="AQ17" s="50"/>
      <c r="AT17" s="16"/>
      <c r="AU17" s="16"/>
      <c r="AV17" s="16"/>
      <c r="AW17" s="16"/>
      <c r="AX17" s="19"/>
      <c r="AY17" s="19"/>
      <c r="AZ17" s="50"/>
      <c r="BA17" s="50"/>
      <c r="BC17" s="16"/>
      <c r="BD17" s="16"/>
      <c r="BE17" s="16"/>
      <c r="BF17" s="19"/>
      <c r="BG17" s="19"/>
      <c r="BH17" s="19"/>
      <c r="BI17" s="19"/>
      <c r="BJ17" s="50"/>
      <c r="BK17" s="50"/>
      <c r="BL17" s="50"/>
      <c r="BN17" s="16"/>
      <c r="BO17" s="16"/>
      <c r="BP17" s="19"/>
      <c r="BQ17" s="19"/>
      <c r="BR17" s="19"/>
      <c r="BS17" s="19"/>
      <c r="BT17" s="19"/>
      <c r="BU17" s="50"/>
      <c r="BV17" s="22"/>
      <c r="BW17" s="22"/>
      <c r="BX17" s="22"/>
      <c r="BY17" s="22"/>
      <c r="BZ17" s="16"/>
      <c r="CA17" s="19"/>
      <c r="CB17" s="19"/>
      <c r="CC17" s="19"/>
      <c r="CD17" s="16"/>
      <c r="CE17" s="16"/>
      <c r="CF17" s="16"/>
      <c r="CG17" s="16"/>
      <c r="CH17" s="22"/>
      <c r="CI17" s="22"/>
      <c r="CJ17" s="22"/>
      <c r="CK17" s="16"/>
      <c r="CN17" s="16"/>
      <c r="CO17" s="16"/>
      <c r="CP17" s="16"/>
      <c r="CQ17" s="16"/>
      <c r="CR17" s="16"/>
      <c r="CS17" s="22"/>
      <c r="CT17" s="50"/>
      <c r="CU17" s="50"/>
      <c r="CX17" s="16"/>
      <c r="CZ17" s="22"/>
      <c r="DA17" s="16"/>
      <c r="DB17" s="50"/>
      <c r="DE17" s="16"/>
      <c r="DF17" s="16"/>
      <c r="DG17" s="22"/>
      <c r="DH17" s="16"/>
      <c r="DI17" s="19"/>
      <c r="DJ17" s="19"/>
      <c r="DK17" s="50"/>
      <c r="DM17" s="138"/>
      <c r="DR17" s="14"/>
      <c r="EV17" s="70"/>
      <c r="EW17" s="70"/>
      <c r="EX17" s="70"/>
      <c r="EY17" s="70"/>
      <c r="EZ17" s="70"/>
      <c r="FA17" s="70"/>
      <c r="FB17" s="70"/>
      <c r="FC17" s="70"/>
      <c r="FD17" s="70"/>
      <c r="FE17" s="70"/>
    </row>
    <row r="18" spans="1:161" s="21" customFormat="1" ht="15" customHeight="1" thickBot="1" x14ac:dyDescent="0.25">
      <c r="A18" s="14"/>
      <c r="B18" s="14"/>
      <c r="C18" s="1358"/>
      <c r="D18" s="13"/>
      <c r="E18" s="3987"/>
      <c r="F18" s="2003"/>
      <c r="G18" s="2003"/>
      <c r="H18" s="2003"/>
      <c r="I18" s="2003"/>
      <c r="J18" s="1372"/>
      <c r="K18" s="2003"/>
      <c r="L18" s="1512"/>
      <c r="M18" s="2003"/>
      <c r="N18" s="1372"/>
      <c r="O18" s="1372"/>
      <c r="P18" s="1374"/>
      <c r="Q18" s="1374"/>
      <c r="R18" s="1374"/>
      <c r="S18" s="1374"/>
      <c r="T18" s="1374"/>
      <c r="U18" s="1375"/>
      <c r="V18" s="70"/>
      <c r="W18" s="70"/>
      <c r="Z18" s="19"/>
      <c r="AA18" s="19"/>
      <c r="AB18" s="19"/>
      <c r="AC18" s="19"/>
      <c r="AD18" s="70"/>
      <c r="AH18" s="19"/>
      <c r="AI18" s="19"/>
      <c r="AJ18" s="16"/>
      <c r="AK18" s="16"/>
      <c r="AL18" s="16"/>
      <c r="AM18" s="22"/>
      <c r="AN18" s="22"/>
      <c r="AO18" s="16"/>
      <c r="AP18" s="50"/>
      <c r="AQ18" s="50"/>
      <c r="AT18" s="16"/>
      <c r="AU18" s="16"/>
      <c r="AV18" s="16"/>
      <c r="AW18" s="16"/>
      <c r="AX18" s="19"/>
      <c r="AY18" s="19"/>
      <c r="AZ18" s="50"/>
      <c r="BA18" s="50"/>
      <c r="BC18" s="16"/>
      <c r="BD18" s="16"/>
      <c r="BE18" s="16"/>
      <c r="BF18" s="19"/>
      <c r="BG18" s="19"/>
      <c r="BH18" s="19"/>
      <c r="BI18" s="19"/>
      <c r="BJ18" s="50"/>
      <c r="BK18" s="50"/>
      <c r="BL18" s="50"/>
      <c r="BN18" s="16"/>
      <c r="BO18" s="16"/>
      <c r="BP18" s="19"/>
      <c r="BQ18" s="19"/>
      <c r="BR18" s="19"/>
      <c r="BS18" s="19"/>
      <c r="BT18" s="19"/>
      <c r="BU18" s="50"/>
      <c r="BV18" s="22"/>
      <c r="BW18" s="22"/>
      <c r="BX18" s="22"/>
      <c r="BY18" s="22"/>
      <c r="BZ18" s="16"/>
      <c r="CA18" s="19"/>
      <c r="CB18" s="19"/>
      <c r="CC18" s="19"/>
      <c r="CD18" s="16"/>
      <c r="CE18" s="16"/>
      <c r="CF18" s="16"/>
      <c r="CG18" s="16"/>
      <c r="CH18" s="22"/>
      <c r="CI18" s="22"/>
      <c r="CJ18" s="22"/>
      <c r="CK18" s="16"/>
      <c r="CN18" s="16"/>
      <c r="CO18" s="16"/>
      <c r="CP18" s="16"/>
      <c r="CQ18" s="16"/>
      <c r="CR18" s="16"/>
      <c r="CS18" s="22"/>
      <c r="CT18" s="50"/>
      <c r="CU18" s="50"/>
      <c r="CX18" s="16"/>
      <c r="CZ18" s="22"/>
      <c r="DA18" s="16"/>
      <c r="DB18" s="50"/>
      <c r="DE18" s="16"/>
      <c r="DF18" s="16"/>
      <c r="DG18" s="22"/>
      <c r="DH18" s="16"/>
      <c r="DI18" s="19"/>
      <c r="DJ18" s="19"/>
      <c r="DK18" s="50"/>
      <c r="DM18" s="138"/>
      <c r="DR18" s="14"/>
      <c r="EV18" s="70"/>
      <c r="EW18" s="70"/>
      <c r="EX18" s="70"/>
      <c r="EY18" s="70"/>
      <c r="EZ18" s="70"/>
      <c r="FA18" s="70"/>
      <c r="FB18" s="70"/>
      <c r="FC18" s="70"/>
      <c r="FD18" s="70"/>
      <c r="FE18" s="70"/>
    </row>
    <row r="19" spans="1:161" s="21" customFormat="1" ht="24.95" customHeight="1" thickBot="1" x14ac:dyDescent="0.25">
      <c r="A19" s="14"/>
      <c r="B19" s="14"/>
      <c r="C19" s="13"/>
      <c r="D19" s="14"/>
      <c r="E19" s="14"/>
      <c r="J19" s="13"/>
      <c r="K19" s="13"/>
      <c r="L19" s="16"/>
      <c r="M19" s="13"/>
      <c r="N19" s="13"/>
      <c r="O19" s="13"/>
      <c r="P19" s="13"/>
      <c r="Q19" s="16"/>
      <c r="R19" s="70"/>
      <c r="S19" s="13"/>
      <c r="T19" s="17"/>
      <c r="U19" s="16"/>
      <c r="V19" s="70"/>
      <c r="W19" s="70"/>
      <c r="X19" s="136"/>
      <c r="Y19" s="136"/>
      <c r="Z19" s="138"/>
      <c r="AA19" s="138"/>
      <c r="AB19" s="138"/>
      <c r="AC19" s="138"/>
      <c r="AD19" s="70"/>
      <c r="AE19" s="136"/>
      <c r="AF19" s="136"/>
      <c r="AG19" s="136"/>
      <c r="AH19" s="138"/>
      <c r="AI19" s="138"/>
      <c r="AJ19" s="572"/>
      <c r="AK19" s="572"/>
      <c r="AL19" s="572"/>
      <c r="AM19" s="136"/>
      <c r="AN19" s="136"/>
      <c r="AO19" s="16"/>
      <c r="AP19" s="22"/>
      <c r="AQ19" s="22"/>
      <c r="AR19" s="22"/>
      <c r="AS19" s="22"/>
      <c r="AT19" s="19"/>
      <c r="AU19" s="19"/>
      <c r="AV19" s="19"/>
      <c r="AW19" s="138"/>
      <c r="AX19" s="22"/>
      <c r="AY19" s="22"/>
      <c r="AZ19" s="19"/>
      <c r="BA19" s="19"/>
      <c r="BB19" s="22"/>
      <c r="BC19" s="22"/>
      <c r="BD19" s="22"/>
      <c r="BE19" s="16"/>
      <c r="BF19" s="22"/>
      <c r="BG19" s="22"/>
      <c r="BH19" s="16"/>
      <c r="BI19" s="16"/>
      <c r="BJ19" s="22"/>
      <c r="BK19" s="22"/>
      <c r="BL19" s="22"/>
      <c r="BM19" s="19"/>
      <c r="BN19" s="22"/>
      <c r="BO19" s="22"/>
      <c r="BP19" s="19"/>
      <c r="BQ19" s="19"/>
      <c r="BR19" s="19"/>
      <c r="BS19" s="22"/>
      <c r="BT19" s="22"/>
      <c r="BU19" s="16"/>
      <c r="BV19" s="22"/>
      <c r="BW19" s="22"/>
      <c r="BX19" s="22"/>
      <c r="BY19" s="22"/>
      <c r="BZ19" s="22"/>
      <c r="CA19" s="22"/>
      <c r="CB19" s="22"/>
      <c r="CC19" s="19"/>
      <c r="CD19" s="16"/>
      <c r="CE19" s="16"/>
      <c r="CF19" s="22"/>
      <c r="CG19" s="22"/>
      <c r="CH19" s="19"/>
      <c r="CI19" s="22"/>
      <c r="CJ19" s="22"/>
      <c r="CK19" s="19"/>
    </row>
    <row r="20" spans="1:161" s="21" customFormat="1" ht="39.950000000000003" customHeight="1" thickBot="1" x14ac:dyDescent="0.25">
      <c r="A20" s="104"/>
      <c r="B20" s="104"/>
      <c r="C20" s="1525"/>
      <c r="D20" s="25"/>
      <c r="E20" s="1522"/>
      <c r="F20" s="1523"/>
      <c r="G20" s="1523"/>
      <c r="H20" s="1523"/>
      <c r="I20" s="1523"/>
      <c r="J20" s="2067"/>
      <c r="K20" s="1524"/>
      <c r="L20" s="78"/>
      <c r="M20" s="6775" t="s">
        <v>132</v>
      </c>
      <c r="N20" s="6776"/>
      <c r="O20" s="6776"/>
      <c r="P20" s="6776"/>
      <c r="Q20" s="6776"/>
      <c r="R20" s="6776"/>
      <c r="S20" s="6776"/>
      <c r="T20" s="6776"/>
      <c r="U20" s="6777"/>
      <c r="V20" s="70"/>
      <c r="W20" s="70" t="s">
        <v>856</v>
      </c>
      <c r="Y20" s="6729"/>
      <c r="Z20" s="6730"/>
      <c r="AA20" s="6730"/>
      <c r="AB20" s="6730"/>
      <c r="AC20" s="6731"/>
      <c r="AE20" s="1585"/>
      <c r="AF20" s="6771" t="str">
        <f>_Calcs!$NO$36</f>
        <v>Stuff 1-1</v>
      </c>
      <c r="AG20" s="6771"/>
      <c r="AH20" s="6771"/>
      <c r="AI20" s="6771"/>
      <c r="AJ20" s="1583"/>
      <c r="AK20" s="1584"/>
      <c r="AM20" s="1585"/>
      <c r="AN20" s="6771" t="str">
        <f>_Calcs!$NP$36</f>
        <v/>
      </c>
      <c r="AO20" s="6771"/>
      <c r="AP20" s="6771"/>
      <c r="AQ20" s="6771"/>
      <c r="AR20" s="1583"/>
      <c r="AS20" s="1584"/>
      <c r="AU20" s="1585"/>
      <c r="AV20" s="6771" t="str">
        <f>_Calcs!$NQ$36</f>
        <v/>
      </c>
      <c r="AW20" s="6771"/>
      <c r="AX20" s="6771"/>
      <c r="AY20" s="6771"/>
      <c r="AZ20" s="1583"/>
      <c r="BA20" s="1584"/>
      <c r="BC20" s="1585"/>
      <c r="BD20" s="6771" t="str">
        <f>_Calcs!$NR$36</f>
        <v/>
      </c>
      <c r="BE20" s="6771"/>
      <c r="BF20" s="6771"/>
      <c r="BG20" s="6771"/>
      <c r="BH20" s="1583"/>
      <c r="BI20" s="1584"/>
      <c r="BK20" s="1585"/>
      <c r="BL20" s="6771" t="str">
        <f>_Calcs!$NS$36</f>
        <v/>
      </c>
      <c r="BM20" s="6771"/>
      <c r="BN20" s="6771"/>
      <c r="BO20" s="6771"/>
      <c r="BP20" s="1583"/>
      <c r="BQ20" s="1584"/>
      <c r="BS20" s="1585"/>
      <c r="BT20" s="6771" t="str">
        <f>_Calcs!$NT$36</f>
        <v/>
      </c>
      <c r="BU20" s="6771"/>
      <c r="BV20" s="6771"/>
      <c r="BW20" s="6771"/>
      <c r="BX20" s="1583"/>
      <c r="BY20" s="1584"/>
      <c r="CA20" s="1585"/>
      <c r="CB20" s="6771" t="str">
        <f>_Calcs!$NU$36</f>
        <v/>
      </c>
      <c r="CC20" s="6771"/>
      <c r="CD20" s="6771"/>
      <c r="CE20" s="6771"/>
      <c r="CF20" s="1583"/>
      <c r="CG20" s="1584"/>
      <c r="CI20" s="1585"/>
      <c r="CJ20" s="6771" t="str">
        <f>_Calcs!$NV$36</f>
        <v/>
      </c>
      <c r="CK20" s="6771"/>
      <c r="CL20" s="6771"/>
      <c r="CM20" s="6771"/>
      <c r="CN20" s="1583"/>
      <c r="CO20" s="1584"/>
      <c r="CQ20" s="1585"/>
      <c r="CR20" s="6771" t="str">
        <f>_Calcs!$NW$36</f>
        <v/>
      </c>
      <c r="CS20" s="6771"/>
      <c r="CT20" s="6771"/>
      <c r="CU20" s="6771"/>
      <c r="CV20" s="1583"/>
      <c r="CW20" s="1584"/>
      <c r="CY20" s="1440"/>
    </row>
    <row r="21" spans="1:161" s="21" customFormat="1" ht="24.95" customHeight="1" thickBot="1" x14ac:dyDescent="0.25">
      <c r="A21" s="20"/>
      <c r="B21" s="20"/>
      <c r="C21" s="13"/>
      <c r="D21" s="20"/>
      <c r="E21" s="14"/>
      <c r="G21" s="16"/>
      <c r="H21" s="16"/>
      <c r="I21" s="16"/>
      <c r="J21" s="16"/>
      <c r="K21" s="50"/>
      <c r="L21" s="137"/>
      <c r="M21" s="50"/>
      <c r="N21" s="90"/>
      <c r="O21" s="90"/>
      <c r="P21" s="90"/>
      <c r="Q21" s="13"/>
      <c r="R21" s="70"/>
      <c r="S21" s="50"/>
      <c r="T21" s="15"/>
      <c r="U21" s="13"/>
      <c r="V21" s="70"/>
      <c r="W21" s="70"/>
      <c r="X21" s="70"/>
      <c r="Z21" s="17"/>
      <c r="AA21" s="150"/>
      <c r="AB21" s="150"/>
      <c r="AC21" s="150"/>
      <c r="AD21" s="16"/>
      <c r="AG21" s="22"/>
      <c r="AH21" s="16"/>
      <c r="AI21" s="19"/>
      <c r="AL21" s="16"/>
      <c r="AO21" s="22"/>
      <c r="AP21" s="16"/>
      <c r="AQ21" s="19"/>
      <c r="AT21" s="16"/>
      <c r="AW21" s="22"/>
      <c r="AX21" s="16"/>
      <c r="AY21" s="19"/>
      <c r="BB21" s="16"/>
      <c r="BE21" s="22"/>
      <c r="BF21" s="16"/>
      <c r="BG21" s="19"/>
      <c r="BJ21" s="16"/>
      <c r="BM21" s="22"/>
      <c r="BN21" s="16"/>
      <c r="BO21" s="19"/>
      <c r="BR21" s="16"/>
      <c r="BU21" s="22"/>
      <c r="BV21" s="16"/>
      <c r="BW21" s="19"/>
      <c r="BZ21" s="16"/>
      <c r="CC21" s="22"/>
      <c r="CD21" s="16"/>
      <c r="CE21" s="19"/>
      <c r="CH21" s="16"/>
      <c r="CK21" s="22"/>
      <c r="CL21" s="16"/>
      <c r="CM21" s="19"/>
      <c r="CP21" s="16"/>
      <c r="CS21" s="22"/>
      <c r="CT21" s="16"/>
      <c r="CU21" s="19"/>
    </row>
    <row r="22" spans="1:161" s="21" customFormat="1" ht="20.100000000000001" customHeight="1" thickBot="1" x14ac:dyDescent="0.25">
      <c r="A22" s="25"/>
      <c r="B22" s="25"/>
      <c r="C22" s="1060"/>
      <c r="D22" s="25"/>
      <c r="E22" s="1108"/>
      <c r="F22" s="1019"/>
      <c r="G22" s="1019"/>
      <c r="H22" s="1019"/>
      <c r="I22" s="1019"/>
      <c r="J22" s="6246" t="s">
        <v>131</v>
      </c>
      <c r="K22" s="1347"/>
      <c r="L22" s="18"/>
      <c r="M22" s="1346"/>
      <c r="N22" s="6246" t="str">
        <f>_Calcs!$N$18</f>
        <v>Kapasitet</v>
      </c>
      <c r="O22" s="6246"/>
      <c r="P22" s="6246" t="str">
        <f>_Calcs!$N$19</f>
        <v>Egendefinert</v>
      </c>
      <c r="Q22" s="6251"/>
      <c r="R22" s="6246"/>
      <c r="S22" s="1195"/>
      <c r="T22" s="1195" t="s">
        <v>100</v>
      </c>
      <c r="U22" s="6252"/>
      <c r="Y22" s="6732" t="s">
        <v>100</v>
      </c>
      <c r="Z22" s="6733"/>
      <c r="AA22" s="6733"/>
      <c r="AB22" s="6733"/>
      <c r="AC22" s="6734"/>
      <c r="AE22" s="1202"/>
      <c r="AF22" s="6246"/>
      <c r="AG22" s="6246" t="s">
        <v>80</v>
      </c>
      <c r="AH22" s="1964"/>
      <c r="AI22" s="1433"/>
      <c r="AJ22" s="6246"/>
      <c r="AK22" s="1255"/>
      <c r="AM22" s="1202"/>
      <c r="AN22" s="6246"/>
      <c r="AO22" s="6246" t="s">
        <v>80</v>
      </c>
      <c r="AP22" s="1964"/>
      <c r="AQ22" s="1433"/>
      <c r="AR22" s="6246"/>
      <c r="AS22" s="1255"/>
      <c r="AU22" s="1202"/>
      <c r="AV22" s="6246"/>
      <c r="AW22" s="6246" t="s">
        <v>80</v>
      </c>
      <c r="AX22" s="1964"/>
      <c r="AY22" s="1433"/>
      <c r="AZ22" s="6246"/>
      <c r="BA22" s="1255"/>
      <c r="BC22" s="1202"/>
      <c r="BD22" s="6246"/>
      <c r="BE22" s="6246" t="s">
        <v>80</v>
      </c>
      <c r="BF22" s="1964"/>
      <c r="BG22" s="1433"/>
      <c r="BH22" s="6246"/>
      <c r="BI22" s="1255"/>
      <c r="BK22" s="1202"/>
      <c r="BL22" s="6246"/>
      <c r="BM22" s="6246" t="s">
        <v>80</v>
      </c>
      <c r="BN22" s="1964"/>
      <c r="BO22" s="1433"/>
      <c r="BP22" s="6246"/>
      <c r="BQ22" s="1255"/>
      <c r="BS22" s="1202"/>
      <c r="BT22" s="6246"/>
      <c r="BU22" s="6246" t="s">
        <v>80</v>
      </c>
      <c r="BV22" s="1964"/>
      <c r="BW22" s="1433"/>
      <c r="BX22" s="6246"/>
      <c r="BY22" s="1255"/>
      <c r="CA22" s="1202"/>
      <c r="CB22" s="6246"/>
      <c r="CC22" s="6246" t="s">
        <v>80</v>
      </c>
      <c r="CD22" s="1964"/>
      <c r="CE22" s="1433"/>
      <c r="CF22" s="6246"/>
      <c r="CG22" s="1255"/>
      <c r="CI22" s="1202"/>
      <c r="CJ22" s="6246"/>
      <c r="CK22" s="6246" t="s">
        <v>80</v>
      </c>
      <c r="CL22" s="1964"/>
      <c r="CM22" s="1433"/>
      <c r="CN22" s="6246"/>
      <c r="CO22" s="1255"/>
      <c r="CQ22" s="1202"/>
      <c r="CR22" s="6246"/>
      <c r="CS22" s="6246" t="s">
        <v>80</v>
      </c>
      <c r="CT22" s="1964"/>
      <c r="CU22" s="1433"/>
      <c r="CV22" s="6246"/>
      <c r="CW22" s="1255"/>
      <c r="CY22" s="33"/>
    </row>
    <row r="23" spans="1:161" s="21" customFormat="1" ht="24.95" customHeight="1" thickBot="1" x14ac:dyDescent="0.25">
      <c r="A23" s="104"/>
      <c r="B23" s="104"/>
      <c r="C23" s="13"/>
      <c r="D23" s="104"/>
      <c r="E23" s="14"/>
      <c r="F23" s="15"/>
      <c r="G23" s="16"/>
      <c r="H23" s="16"/>
      <c r="I23" s="16"/>
      <c r="J23" s="16"/>
      <c r="K23" s="50"/>
      <c r="L23" s="137"/>
      <c r="M23" s="50"/>
      <c r="N23" s="90"/>
      <c r="O23" s="90"/>
      <c r="P23" s="90"/>
      <c r="Q23" s="13"/>
      <c r="R23" s="70"/>
      <c r="S23" s="50"/>
      <c r="T23" s="15"/>
      <c r="U23" s="13"/>
      <c r="V23" s="70"/>
      <c r="W23" s="70"/>
      <c r="Z23" s="17"/>
      <c r="AA23" s="150"/>
      <c r="AB23" s="150"/>
      <c r="AC23" s="150"/>
      <c r="AD23" s="16"/>
      <c r="AG23" s="22"/>
      <c r="AH23" s="16"/>
      <c r="AI23" s="19"/>
      <c r="AL23" s="16"/>
      <c r="AO23" s="22"/>
      <c r="AP23" s="16"/>
      <c r="AQ23" s="19"/>
      <c r="AT23" s="16"/>
      <c r="AW23" s="22"/>
      <c r="AX23" s="16"/>
      <c r="AY23" s="19"/>
      <c r="BB23" s="16"/>
      <c r="BE23" s="22"/>
      <c r="BF23" s="16"/>
      <c r="BG23" s="19"/>
      <c r="BJ23" s="16"/>
      <c r="BM23" s="22"/>
      <c r="BN23" s="16"/>
      <c r="BO23" s="19"/>
      <c r="BR23" s="16"/>
      <c r="BU23" s="22"/>
      <c r="BV23" s="16"/>
      <c r="BW23" s="19"/>
      <c r="BZ23" s="16"/>
      <c r="CC23" s="22"/>
      <c r="CD23" s="16"/>
      <c r="CE23" s="19"/>
      <c r="CH23" s="16"/>
      <c r="CK23" s="22"/>
      <c r="CL23" s="16"/>
      <c r="CM23" s="19"/>
      <c r="CP23" s="16"/>
      <c r="CS23" s="22"/>
      <c r="CT23" s="16"/>
      <c r="CU23" s="19"/>
      <c r="CX23" s="70"/>
    </row>
    <row r="24" spans="1:161" s="78" customFormat="1" ht="15" customHeight="1" thickBot="1" x14ac:dyDescent="0.25">
      <c r="A24" s="104"/>
      <c r="B24" s="104"/>
      <c r="C24" s="1253"/>
      <c r="D24" s="104"/>
      <c r="E24" s="1219"/>
      <c r="F24" s="6597" t="str">
        <f>_Calcs!$K$54</f>
        <v>Rensk og kartlegging</v>
      </c>
      <c r="G24" s="6597"/>
      <c r="H24" s="6597"/>
      <c r="I24" s="6597"/>
      <c r="J24" s="6597"/>
      <c r="K24" s="1495"/>
      <c r="L24" s="1463"/>
      <c r="R24" s="70"/>
      <c r="T24" s="215"/>
      <c r="V24" s="70"/>
      <c r="W24" s="70"/>
      <c r="X24" s="21"/>
      <c r="Y24" s="114"/>
      <c r="Z24" s="114"/>
      <c r="AA24" s="114"/>
      <c r="AB24" s="16"/>
      <c r="AC24" s="16"/>
      <c r="AD24" s="16"/>
      <c r="AE24" s="22"/>
      <c r="AF24" s="16"/>
      <c r="AG24" s="19"/>
      <c r="AH24" s="21"/>
      <c r="AI24" s="21"/>
      <c r="AJ24" s="16"/>
      <c r="AK24" s="16"/>
      <c r="AL24" s="16"/>
      <c r="AM24" s="22"/>
      <c r="AN24" s="16"/>
      <c r="AO24" s="19"/>
      <c r="AP24" s="21"/>
      <c r="AQ24" s="21"/>
      <c r="AR24" s="16"/>
      <c r="AS24" s="16"/>
      <c r="AT24" s="16"/>
      <c r="AU24" s="22"/>
      <c r="AV24" s="16"/>
      <c r="AW24" s="19"/>
      <c r="AX24" s="21"/>
      <c r="AY24" s="21"/>
      <c r="AZ24" s="16"/>
      <c r="BA24" s="16"/>
      <c r="BB24" s="16"/>
      <c r="BC24" s="22"/>
      <c r="BD24" s="16"/>
      <c r="BE24" s="19"/>
      <c r="BF24" s="21"/>
      <c r="BG24" s="21"/>
      <c r="BH24" s="16"/>
      <c r="BI24" s="16"/>
      <c r="BJ24" s="16"/>
      <c r="BK24" s="22"/>
      <c r="BL24" s="16"/>
      <c r="BM24" s="19"/>
      <c r="BN24" s="21"/>
      <c r="BO24" s="21"/>
      <c r="BP24" s="16"/>
      <c r="BQ24" s="16"/>
      <c r="BR24" s="16"/>
      <c r="BS24" s="22"/>
      <c r="BT24" s="16"/>
      <c r="BU24" s="19"/>
      <c r="BV24" s="21"/>
      <c r="BW24" s="21"/>
      <c r="BX24" s="16"/>
      <c r="BY24" s="16"/>
      <c r="BZ24" s="16"/>
      <c r="CA24" s="22"/>
      <c r="CB24" s="16"/>
      <c r="CC24" s="19"/>
      <c r="CD24" s="21"/>
      <c r="CE24" s="21"/>
      <c r="CF24" s="16"/>
      <c r="CG24" s="16"/>
      <c r="CH24" s="16"/>
      <c r="CI24" s="22"/>
      <c r="CJ24" s="16"/>
      <c r="CK24" s="19"/>
      <c r="CL24" s="21"/>
      <c r="CM24" s="21"/>
      <c r="CN24" s="16"/>
      <c r="CO24" s="16"/>
      <c r="CP24" s="16"/>
      <c r="CQ24" s="22"/>
      <c r="CR24" s="16"/>
      <c r="CS24" s="19"/>
      <c r="CT24" s="21"/>
      <c r="CU24" s="21"/>
      <c r="CV24" s="16"/>
      <c r="CW24" s="21"/>
    </row>
    <row r="25" spans="1:161" s="78" customFormat="1" ht="15" customHeight="1" thickBot="1" x14ac:dyDescent="0.25">
      <c r="A25" s="104"/>
      <c r="B25" s="104"/>
      <c r="C25" s="6601" t="s">
        <v>98</v>
      </c>
      <c r="D25" s="104"/>
      <c r="E25" s="1221"/>
      <c r="F25" s="6598"/>
      <c r="G25" s="6598"/>
      <c r="H25" s="6598"/>
      <c r="I25" s="6598"/>
      <c r="J25" s="6598"/>
      <c r="K25" s="1496"/>
      <c r="L25" s="1463"/>
      <c r="R25" s="70"/>
      <c r="T25" s="215"/>
      <c r="V25" s="70"/>
      <c r="W25" s="70"/>
      <c r="X25" s="21"/>
      <c r="Y25" s="21"/>
      <c r="Z25" s="21"/>
      <c r="AA25" s="21"/>
      <c r="AB25" s="21"/>
      <c r="AC25" s="21"/>
      <c r="AE25" s="692"/>
      <c r="AF25" s="693"/>
      <c r="AG25" s="1233"/>
      <c r="AH25" s="693"/>
      <c r="AI25" s="1234"/>
      <c r="AJ25" s="748"/>
      <c r="AK25" s="1235"/>
      <c r="AL25" s="16"/>
      <c r="AM25" s="692"/>
      <c r="AN25" s="693"/>
      <c r="AO25" s="1233"/>
      <c r="AP25" s="693"/>
      <c r="AQ25" s="1234"/>
      <c r="AR25" s="748"/>
      <c r="AS25" s="1235"/>
      <c r="AT25" s="16"/>
      <c r="AU25" s="692"/>
      <c r="AV25" s="693"/>
      <c r="AW25" s="1233"/>
      <c r="AX25" s="693"/>
      <c r="AY25" s="1234"/>
      <c r="AZ25" s="748"/>
      <c r="BA25" s="1235"/>
      <c r="BB25" s="16"/>
      <c r="BC25" s="692"/>
      <c r="BD25" s="693"/>
      <c r="BE25" s="1233"/>
      <c r="BF25" s="693"/>
      <c r="BG25" s="1234"/>
      <c r="BH25" s="748"/>
      <c r="BI25" s="1235"/>
      <c r="BJ25" s="16"/>
      <c r="BK25" s="692"/>
      <c r="BL25" s="693"/>
      <c r="BM25" s="1233"/>
      <c r="BN25" s="693"/>
      <c r="BO25" s="1234"/>
      <c r="BP25" s="748"/>
      <c r="BQ25" s="1235"/>
      <c r="BR25" s="16"/>
      <c r="BS25" s="692"/>
      <c r="BT25" s="693"/>
      <c r="BU25" s="1233"/>
      <c r="BV25" s="693"/>
      <c r="BW25" s="1234"/>
      <c r="BX25" s="748"/>
      <c r="BY25" s="1235"/>
      <c r="BZ25" s="16"/>
      <c r="CA25" s="692"/>
      <c r="CB25" s="693"/>
      <c r="CC25" s="1233"/>
      <c r="CD25" s="693"/>
      <c r="CE25" s="1234"/>
      <c r="CF25" s="748"/>
      <c r="CG25" s="1235"/>
      <c r="CH25" s="16"/>
      <c r="CI25" s="692"/>
      <c r="CJ25" s="693"/>
      <c r="CK25" s="1233"/>
      <c r="CL25" s="693"/>
      <c r="CM25" s="1234"/>
      <c r="CN25" s="748"/>
      <c r="CO25" s="1235"/>
      <c r="CP25" s="16"/>
      <c r="CQ25" s="692"/>
      <c r="CR25" s="693"/>
      <c r="CS25" s="1233"/>
      <c r="CT25" s="693"/>
      <c r="CU25" s="1234"/>
      <c r="CV25" s="748"/>
      <c r="CW25" s="1235"/>
      <c r="CX25" s="16"/>
      <c r="CY25" s="172"/>
    </row>
    <row r="26" spans="1:161" s="78" customFormat="1" ht="8.1" customHeight="1" thickBot="1" x14ac:dyDescent="0.25">
      <c r="A26" s="104"/>
      <c r="B26" s="104"/>
      <c r="C26" s="6601"/>
      <c r="D26" s="104"/>
      <c r="E26" s="17"/>
      <c r="F26" s="129"/>
      <c r="G26" s="129"/>
      <c r="H26" s="129"/>
      <c r="I26" s="129"/>
      <c r="J26" s="16"/>
      <c r="K26" s="19"/>
      <c r="L26" s="17"/>
      <c r="R26" s="70"/>
      <c r="T26" s="215"/>
      <c r="V26" s="70"/>
      <c r="X26" s="21"/>
      <c r="Y26" s="21"/>
      <c r="Z26" s="70"/>
      <c r="AA26" s="70"/>
      <c r="AB26" s="16"/>
      <c r="AE26" s="16"/>
      <c r="AF26" s="16"/>
      <c r="AG26" s="22"/>
      <c r="AH26" s="16"/>
      <c r="AI26" s="19"/>
      <c r="AJ26" s="21"/>
      <c r="AK26" s="21"/>
      <c r="AL26" s="16"/>
      <c r="AM26" s="16"/>
      <c r="AN26" s="16"/>
      <c r="AO26" s="22"/>
      <c r="AP26" s="16"/>
      <c r="AQ26" s="19"/>
      <c r="AR26" s="21"/>
      <c r="AS26" s="21"/>
      <c r="AT26" s="16"/>
      <c r="AU26" s="16"/>
      <c r="AV26" s="16"/>
      <c r="AW26" s="22"/>
      <c r="AX26" s="16"/>
      <c r="AY26" s="19"/>
      <c r="AZ26" s="21"/>
      <c r="BA26" s="21"/>
      <c r="BB26" s="16"/>
      <c r="BC26" s="16"/>
      <c r="BD26" s="16"/>
      <c r="BE26" s="22"/>
      <c r="BF26" s="16"/>
      <c r="BG26" s="19"/>
      <c r="BH26" s="21"/>
      <c r="BI26" s="21"/>
      <c r="BJ26" s="16"/>
      <c r="BK26" s="16"/>
      <c r="BL26" s="16"/>
      <c r="BM26" s="22"/>
      <c r="BN26" s="16"/>
      <c r="BO26" s="19"/>
      <c r="BP26" s="21"/>
      <c r="BQ26" s="21"/>
      <c r="BR26" s="16"/>
      <c r="BS26" s="16"/>
      <c r="BT26" s="16"/>
      <c r="BU26" s="22"/>
      <c r="BV26" s="16"/>
      <c r="BW26" s="19"/>
      <c r="BX26" s="21"/>
      <c r="BY26" s="21"/>
      <c r="BZ26" s="16"/>
      <c r="CA26" s="16"/>
      <c r="CB26" s="16"/>
      <c r="CC26" s="22"/>
      <c r="CD26" s="16"/>
      <c r="CE26" s="19"/>
      <c r="CF26" s="21"/>
      <c r="CG26" s="21"/>
      <c r="CH26" s="16"/>
      <c r="CI26" s="16"/>
      <c r="CJ26" s="16"/>
      <c r="CK26" s="22"/>
      <c r="CL26" s="16"/>
      <c r="CM26" s="19"/>
      <c r="CN26" s="21"/>
      <c r="CO26" s="21"/>
      <c r="CP26" s="16"/>
      <c r="CQ26" s="16"/>
      <c r="CR26" s="16"/>
      <c r="CS26" s="22"/>
      <c r="CT26" s="16"/>
      <c r="CU26" s="19"/>
      <c r="CV26" s="21"/>
      <c r="CW26" s="21"/>
      <c r="CX26" s="16"/>
      <c r="CY26" s="21"/>
    </row>
    <row r="27" spans="1:161" s="78" customFormat="1" ht="15" customHeight="1" thickBot="1" x14ac:dyDescent="0.25">
      <c r="A27" s="104"/>
      <c r="B27" s="104"/>
      <c r="C27" s="6601"/>
      <c r="D27" s="104"/>
      <c r="E27" s="1223"/>
      <c r="F27" s="661"/>
      <c r="G27" s="661"/>
      <c r="H27" s="661"/>
      <c r="I27" s="661"/>
      <c r="J27" s="643"/>
      <c r="K27" s="1493"/>
      <c r="L27" s="17"/>
      <c r="M27" s="1475"/>
      <c r="N27" s="1476"/>
      <c r="O27" s="1477"/>
      <c r="P27" s="1477"/>
      <c r="Q27" s="1479"/>
      <c r="R27" s="70"/>
      <c r="S27" s="1475"/>
      <c r="T27" s="1478"/>
      <c r="U27" s="1479"/>
      <c r="V27" s="70"/>
      <c r="W27" s="6772" t="str">
        <f>_Calcs!$K$84</f>
        <v>Beregnet tidforbruk</v>
      </c>
      <c r="X27" s="21"/>
      <c r="Y27" s="4019"/>
      <c r="Z27" s="1502"/>
      <c r="AA27" s="1502"/>
      <c r="AB27" s="1502"/>
      <c r="AC27" s="4034"/>
      <c r="AE27" s="1237"/>
      <c r="AF27" s="643"/>
      <c r="AG27" s="642"/>
      <c r="AH27" s="643"/>
      <c r="AI27" s="1224"/>
      <c r="AJ27" s="1238"/>
      <c r="AK27" s="1239"/>
      <c r="AL27" s="16"/>
      <c r="AM27" s="1237"/>
      <c r="AN27" s="643"/>
      <c r="AO27" s="642"/>
      <c r="AP27" s="643"/>
      <c r="AQ27" s="1224"/>
      <c r="AR27" s="1238"/>
      <c r="AS27" s="1239"/>
      <c r="AT27" s="16"/>
      <c r="AU27" s="1237"/>
      <c r="AV27" s="643"/>
      <c r="AW27" s="642"/>
      <c r="AX27" s="643"/>
      <c r="AY27" s="1224"/>
      <c r="AZ27" s="1238"/>
      <c r="BA27" s="1239"/>
      <c r="BB27" s="16"/>
      <c r="BC27" s="1237"/>
      <c r="BD27" s="643"/>
      <c r="BE27" s="642"/>
      <c r="BF27" s="643"/>
      <c r="BG27" s="1224"/>
      <c r="BH27" s="1238"/>
      <c r="BI27" s="1239"/>
      <c r="BJ27" s="16"/>
      <c r="BK27" s="1237"/>
      <c r="BL27" s="643"/>
      <c r="BM27" s="642"/>
      <c r="BN27" s="643"/>
      <c r="BO27" s="1224"/>
      <c r="BP27" s="1238"/>
      <c r="BQ27" s="1239"/>
      <c r="BR27" s="16"/>
      <c r="BS27" s="1237"/>
      <c r="BT27" s="643"/>
      <c r="BU27" s="642"/>
      <c r="BV27" s="643"/>
      <c r="BW27" s="1224"/>
      <c r="BX27" s="1238"/>
      <c r="BY27" s="1239"/>
      <c r="BZ27" s="16"/>
      <c r="CA27" s="1237"/>
      <c r="CB27" s="643"/>
      <c r="CC27" s="642"/>
      <c r="CD27" s="643"/>
      <c r="CE27" s="1224"/>
      <c r="CF27" s="1238"/>
      <c r="CG27" s="1239"/>
      <c r="CH27" s="16"/>
      <c r="CI27" s="1237"/>
      <c r="CJ27" s="643"/>
      <c r="CK27" s="642"/>
      <c r="CL27" s="643"/>
      <c r="CM27" s="1224"/>
      <c r="CN27" s="1238"/>
      <c r="CO27" s="1239"/>
      <c r="CP27" s="16"/>
      <c r="CQ27" s="1237"/>
      <c r="CR27" s="643"/>
      <c r="CS27" s="642"/>
      <c r="CT27" s="643"/>
      <c r="CU27" s="1224"/>
      <c r="CV27" s="1238"/>
      <c r="CW27" s="1239"/>
      <c r="CX27" s="16"/>
      <c r="CY27" s="173"/>
    </row>
    <row r="28" spans="1:161" s="78" customFormat="1" ht="20.100000000000001" customHeight="1" thickBot="1" x14ac:dyDescent="0.25">
      <c r="A28" s="104"/>
      <c r="B28" s="104"/>
      <c r="C28" s="6601"/>
      <c r="D28" s="104"/>
      <c r="E28" s="1226"/>
      <c r="F28" s="76" t="str">
        <f>_Calcs!$M$54</f>
        <v>Manuell driftsrensk</v>
      </c>
      <c r="G28" s="76"/>
      <c r="H28" s="76"/>
      <c r="I28" s="76"/>
      <c r="J28" s="6296"/>
      <c r="K28" s="1241"/>
      <c r="L28" s="17"/>
      <c r="M28" s="1474"/>
      <c r="N28" s="174">
        <f>_Kapasitet!$U$61</f>
        <v>1</v>
      </c>
      <c r="O28" s="1471"/>
      <c r="P28" s="2514" t="str">
        <f>_Kapasitet!W61</f>
        <v>Standard</v>
      </c>
      <c r="Q28" s="1473"/>
      <c r="R28" s="70"/>
      <c r="S28" s="1474"/>
      <c r="T28" s="1472" t="s">
        <v>31</v>
      </c>
      <c r="U28" s="1473"/>
      <c r="V28" s="70"/>
      <c r="W28" s="6773"/>
      <c r="X28" s="21"/>
      <c r="Y28" s="4022"/>
      <c r="Z28" s="6738" t="s">
        <v>46</v>
      </c>
      <c r="AA28" s="6738"/>
      <c r="AB28" s="6738"/>
      <c r="AC28" s="4035"/>
      <c r="AE28" s="1240"/>
      <c r="AF28" s="75"/>
      <c r="AG28" s="2313">
        <f>INDEX(outputs_oppsum[manuell],MATCH(_Calcs!$NO$41,outputs_oppsum[stuff_id],0))</f>
        <v>0</v>
      </c>
      <c r="AH28" s="75"/>
      <c r="AI28" s="30" t="str">
        <f>IF(_Calcs!$NO$348=1,"✓","!")</f>
        <v>!</v>
      </c>
      <c r="AJ28" s="1227"/>
      <c r="AK28" s="1241"/>
      <c r="AL28" s="16"/>
      <c r="AM28" s="1240"/>
      <c r="AN28" s="75"/>
      <c r="AO28" s="2313" t="e">
        <f>INDEX(outputs_oppsum[manuell],MATCH(_Calcs!$NP$41,outputs_oppsum[stuff_id],0))</f>
        <v>#N/A</v>
      </c>
      <c r="AP28" s="75"/>
      <c r="AQ28" s="30" t="e">
        <f>IF(_Calcs!$NP$348=1,"✓","!")</f>
        <v>#N/A</v>
      </c>
      <c r="AR28" s="1227"/>
      <c r="AS28" s="1241"/>
      <c r="AT28" s="16"/>
      <c r="AU28" s="1240"/>
      <c r="AV28" s="75"/>
      <c r="AW28" s="2313" t="e">
        <f>INDEX(outputs_oppsum[manuell],MATCH(_Calcs!$NQ$41,outputs_oppsum[stuff_id],0))</f>
        <v>#N/A</v>
      </c>
      <c r="AX28" s="75"/>
      <c r="AY28" s="30" t="e">
        <f>IF(_Calcs!$NQ$348=1,"✓","!")</f>
        <v>#N/A</v>
      </c>
      <c r="AZ28" s="1227"/>
      <c r="BA28" s="1241"/>
      <c r="BB28" s="16"/>
      <c r="BC28" s="1240"/>
      <c r="BD28" s="75"/>
      <c r="BE28" s="2313" t="e">
        <f>INDEX(outputs_oppsum[manuell],MATCH(_Calcs!$NR$41,outputs_oppsum[stuff_id],0))</f>
        <v>#N/A</v>
      </c>
      <c r="BF28" s="75"/>
      <c r="BG28" s="30" t="e">
        <f>IF(_Calcs!$NR$348=1,"✓","!")</f>
        <v>#N/A</v>
      </c>
      <c r="BH28" s="1227"/>
      <c r="BI28" s="1241"/>
      <c r="BJ28" s="16"/>
      <c r="BK28" s="1240"/>
      <c r="BL28" s="75"/>
      <c r="BM28" s="2313" t="e">
        <f>INDEX(outputs_oppsum[manuell],MATCH(_Calcs!$NS$41,outputs_oppsum[stuff_id],0))</f>
        <v>#N/A</v>
      </c>
      <c r="BN28" s="75"/>
      <c r="BO28" s="30" t="e">
        <f>IF(_Calcs!$NS$348=1,"✓","!")</f>
        <v>#N/A</v>
      </c>
      <c r="BP28" s="1227"/>
      <c r="BQ28" s="1241"/>
      <c r="BR28" s="16"/>
      <c r="BS28" s="1240"/>
      <c r="BT28" s="75"/>
      <c r="BU28" s="2313" t="e">
        <f>INDEX(outputs_oppsum[manuell],MATCH(_Calcs!$NT$41,outputs_oppsum[stuff_id],0))</f>
        <v>#N/A</v>
      </c>
      <c r="BV28" s="75"/>
      <c r="BW28" s="30" t="e">
        <f>IF(_Calcs!$NT$348=1,"✓","!")</f>
        <v>#N/A</v>
      </c>
      <c r="BX28" s="1227"/>
      <c r="BY28" s="1241"/>
      <c r="BZ28" s="16"/>
      <c r="CA28" s="1240"/>
      <c r="CB28" s="75"/>
      <c r="CC28" s="2313" t="e">
        <f>INDEX(outputs_oppsum[manuell],MATCH(_Calcs!$NU$41,outputs_oppsum[stuff_id],0))</f>
        <v>#N/A</v>
      </c>
      <c r="CD28" s="75"/>
      <c r="CE28" s="30" t="e">
        <f>IF(_Calcs!$NU$348=1,"✓","!")</f>
        <v>#N/A</v>
      </c>
      <c r="CF28" s="1227"/>
      <c r="CG28" s="1241"/>
      <c r="CH28" s="16"/>
      <c r="CI28" s="1240"/>
      <c r="CJ28" s="75"/>
      <c r="CK28" s="2313" t="e">
        <f>INDEX(outputs_oppsum[manuell],MATCH(_Calcs!$NV$41,outputs_oppsum[stuff_id],0))</f>
        <v>#N/A</v>
      </c>
      <c r="CL28" s="75"/>
      <c r="CM28" s="30" t="e">
        <f>IF(_Calcs!$NV$348=1,"✓","!")</f>
        <v>#N/A</v>
      </c>
      <c r="CN28" s="1227"/>
      <c r="CO28" s="1241"/>
      <c r="CP28" s="16"/>
      <c r="CQ28" s="1240"/>
      <c r="CR28" s="75"/>
      <c r="CS28" s="2313" t="e">
        <f>INDEX(outputs_oppsum[manuell],MATCH(_Calcs!$NW$41,outputs_oppsum[stuff_id],0))</f>
        <v>#N/A</v>
      </c>
      <c r="CT28" s="75"/>
      <c r="CU28" s="30" t="e">
        <f>IF(_Calcs!$NW$348=1,"✓","!")</f>
        <v>#N/A</v>
      </c>
      <c r="CV28" s="1227"/>
      <c r="CW28" s="1241"/>
      <c r="CX28" s="16"/>
      <c r="CY28" s="173"/>
    </row>
    <row r="29" spans="1:161" s="78" customFormat="1" ht="15" customHeight="1" thickBot="1" x14ac:dyDescent="0.25">
      <c r="A29" s="104"/>
      <c r="B29" s="104"/>
      <c r="C29" s="1251"/>
      <c r="D29" s="20"/>
      <c r="E29" s="1231"/>
      <c r="F29" s="650"/>
      <c r="G29" s="650"/>
      <c r="H29" s="650"/>
      <c r="I29" s="650"/>
      <c r="J29" s="75"/>
      <c r="K29" s="1497"/>
      <c r="L29" s="17"/>
      <c r="M29" s="1480"/>
      <c r="N29" s="1481"/>
      <c r="O29" s="1471"/>
      <c r="P29" s="1471"/>
      <c r="Q29" s="1473"/>
      <c r="R29" s="70"/>
      <c r="S29" s="1480"/>
      <c r="T29" s="1472"/>
      <c r="U29" s="1473"/>
      <c r="V29" s="70"/>
      <c r="W29" s="6773"/>
      <c r="X29" s="70"/>
      <c r="Y29" s="4022"/>
      <c r="Z29" s="1499"/>
      <c r="AA29" s="1499"/>
      <c r="AB29" s="1498"/>
      <c r="AC29" s="1507"/>
      <c r="AE29" s="1240"/>
      <c r="AF29" s="75"/>
      <c r="AG29" s="74"/>
      <c r="AH29" s="75"/>
      <c r="AI29" s="1232"/>
      <c r="AJ29" s="1227"/>
      <c r="AK29" s="1241"/>
      <c r="AL29" s="16"/>
      <c r="AM29" s="1240"/>
      <c r="AN29" s="75"/>
      <c r="AO29" s="74"/>
      <c r="AP29" s="75"/>
      <c r="AQ29" s="1232"/>
      <c r="AR29" s="1227"/>
      <c r="AS29" s="1241"/>
      <c r="AT29" s="16"/>
      <c r="AU29" s="1240"/>
      <c r="AV29" s="75"/>
      <c r="AW29" s="74"/>
      <c r="AX29" s="75"/>
      <c r="AY29" s="1232"/>
      <c r="AZ29" s="1227"/>
      <c r="BA29" s="1241"/>
      <c r="BB29" s="16"/>
      <c r="BC29" s="1240"/>
      <c r="BD29" s="75"/>
      <c r="BE29" s="74"/>
      <c r="BF29" s="75"/>
      <c r="BG29" s="1232"/>
      <c r="BH29" s="1227"/>
      <c r="BI29" s="1241"/>
      <c r="BJ29" s="16"/>
      <c r="BK29" s="1240"/>
      <c r="BL29" s="75"/>
      <c r="BM29" s="74"/>
      <c r="BN29" s="75"/>
      <c r="BO29" s="1232"/>
      <c r="BP29" s="1227"/>
      <c r="BQ29" s="1241"/>
      <c r="BR29" s="16"/>
      <c r="BS29" s="1240"/>
      <c r="BT29" s="75"/>
      <c r="BU29" s="74"/>
      <c r="BV29" s="75"/>
      <c r="BW29" s="1232"/>
      <c r="BX29" s="1227"/>
      <c r="BY29" s="1241"/>
      <c r="BZ29" s="16"/>
      <c r="CA29" s="1240"/>
      <c r="CB29" s="75"/>
      <c r="CC29" s="74"/>
      <c r="CD29" s="75"/>
      <c r="CE29" s="1232"/>
      <c r="CF29" s="1227"/>
      <c r="CG29" s="1241"/>
      <c r="CH29" s="16"/>
      <c r="CI29" s="1240"/>
      <c r="CJ29" s="75"/>
      <c r="CK29" s="74"/>
      <c r="CL29" s="75"/>
      <c r="CM29" s="1232"/>
      <c r="CN29" s="1227"/>
      <c r="CO29" s="1241"/>
      <c r="CP29" s="16"/>
      <c r="CQ29" s="1240"/>
      <c r="CR29" s="75"/>
      <c r="CS29" s="74"/>
      <c r="CT29" s="75"/>
      <c r="CU29" s="1232"/>
      <c r="CV29" s="1227"/>
      <c r="CW29" s="1241"/>
      <c r="CX29" s="16"/>
      <c r="CY29" s="173"/>
    </row>
    <row r="30" spans="1:161" s="78" customFormat="1" ht="20.100000000000001" customHeight="1" thickBot="1" x14ac:dyDescent="0.25">
      <c r="A30" s="104"/>
      <c r="B30" s="104"/>
      <c r="C30" s="1254"/>
      <c r="D30" s="104"/>
      <c r="E30" s="1226"/>
      <c r="F30" s="6596" t="str">
        <f>_Calcs!$M$55</f>
        <v>Registrering og kartlegging</v>
      </c>
      <c r="G30" s="6596"/>
      <c r="H30" s="6596"/>
      <c r="I30" s="6596"/>
      <c r="J30" s="6596"/>
      <c r="K30" s="1241"/>
      <c r="L30" s="17"/>
      <c r="M30" s="1474"/>
      <c r="N30" s="174">
        <f>_Kapasitet!$U$66</f>
        <v>1</v>
      </c>
      <c r="O30" s="1471"/>
      <c r="P30" s="2514" t="str">
        <f>_Kapasitet!W66</f>
        <v>Standard</v>
      </c>
      <c r="Q30" s="1473"/>
      <c r="R30" s="70"/>
      <c r="S30" s="1474"/>
      <c r="T30" s="1472" t="s">
        <v>31</v>
      </c>
      <c r="U30" s="1473"/>
      <c r="V30" s="70"/>
      <c r="W30" s="6773"/>
      <c r="X30" s="21"/>
      <c r="Y30" s="4022"/>
      <c r="Z30" s="6738" t="s">
        <v>46</v>
      </c>
      <c r="AA30" s="6738"/>
      <c r="AB30" s="6738"/>
      <c r="AC30" s="4035"/>
      <c r="AE30" s="1240"/>
      <c r="AF30" s="75"/>
      <c r="AG30" s="2313">
        <f>INDEX(outputs_oppsum[kartlegging],MATCH(_Calcs!$NO$41,outputs_oppsum[stuff_id],0))</f>
        <v>0</v>
      </c>
      <c r="AH30" s="75"/>
      <c r="AI30" s="30" t="str">
        <f>IF(_Calcs!$NO$349=1,"✓","!")</f>
        <v>!</v>
      </c>
      <c r="AJ30" s="1227"/>
      <c r="AK30" s="1241"/>
      <c r="AL30" s="16"/>
      <c r="AM30" s="1240"/>
      <c r="AN30" s="75"/>
      <c r="AO30" s="2313" t="e">
        <f>INDEX(outputs_oppsum[kartlegging],MATCH(_Calcs!$NP$41,outputs_oppsum[stuff_id],0))</f>
        <v>#N/A</v>
      </c>
      <c r="AP30" s="75"/>
      <c r="AQ30" s="30" t="e">
        <f>IF(_Calcs!$NP$349=1,"✓","!")</f>
        <v>#N/A</v>
      </c>
      <c r="AR30" s="1227"/>
      <c r="AS30" s="1241"/>
      <c r="AT30" s="16"/>
      <c r="AU30" s="1240"/>
      <c r="AV30" s="75"/>
      <c r="AW30" s="2313" t="e">
        <f>INDEX(outputs_oppsum[kartlegging],MATCH(_Calcs!$NQ$41,outputs_oppsum[stuff_id],0))</f>
        <v>#N/A</v>
      </c>
      <c r="AX30" s="75"/>
      <c r="AY30" s="30" t="e">
        <f>IF(_Calcs!$NQ$349=1,"✓","!")</f>
        <v>#N/A</v>
      </c>
      <c r="AZ30" s="1227"/>
      <c r="BA30" s="1241"/>
      <c r="BB30" s="16"/>
      <c r="BC30" s="1240"/>
      <c r="BD30" s="75"/>
      <c r="BE30" s="2313" t="e">
        <f>INDEX(outputs_oppsum[kartlegging],MATCH(_Calcs!$NR$41,outputs_oppsum[stuff_id],0))</f>
        <v>#N/A</v>
      </c>
      <c r="BF30" s="75"/>
      <c r="BG30" s="30" t="e">
        <f>IF(_Calcs!$NR$349=1,"✓","!")</f>
        <v>#N/A</v>
      </c>
      <c r="BH30" s="1227"/>
      <c r="BI30" s="1241"/>
      <c r="BJ30" s="16"/>
      <c r="BK30" s="1240"/>
      <c r="BL30" s="75"/>
      <c r="BM30" s="2313" t="e">
        <f>INDEX(outputs_oppsum[kartlegging],MATCH(_Calcs!$NS$41,outputs_oppsum[stuff_id],0))</f>
        <v>#N/A</v>
      </c>
      <c r="BN30" s="75"/>
      <c r="BO30" s="30" t="e">
        <f>IF(_Calcs!$NS$349=1,"✓","!")</f>
        <v>#N/A</v>
      </c>
      <c r="BP30" s="1227"/>
      <c r="BQ30" s="1241"/>
      <c r="BR30" s="16"/>
      <c r="BS30" s="1240"/>
      <c r="BT30" s="75"/>
      <c r="BU30" s="2313" t="e">
        <f>INDEX(outputs_oppsum[kartlegging],MATCH(_Calcs!$NT$41,outputs_oppsum[stuff_id],0))</f>
        <v>#N/A</v>
      </c>
      <c r="BV30" s="75"/>
      <c r="BW30" s="30" t="e">
        <f>IF(_Calcs!$NT$349=1,"✓","!")</f>
        <v>#N/A</v>
      </c>
      <c r="BX30" s="1227"/>
      <c r="BY30" s="1241"/>
      <c r="BZ30" s="16"/>
      <c r="CA30" s="1240"/>
      <c r="CB30" s="75"/>
      <c r="CC30" s="2313" t="e">
        <f>INDEX(outputs_oppsum[kartlegging],MATCH(_Calcs!$NU$41,outputs_oppsum[stuff_id],0))</f>
        <v>#N/A</v>
      </c>
      <c r="CD30" s="75"/>
      <c r="CE30" s="30" t="e">
        <f>IF(_Calcs!$NU$349=1,"✓","!")</f>
        <v>#N/A</v>
      </c>
      <c r="CF30" s="1227"/>
      <c r="CG30" s="1241"/>
      <c r="CH30" s="16"/>
      <c r="CI30" s="1240"/>
      <c r="CJ30" s="75"/>
      <c r="CK30" s="2313" t="e">
        <f>INDEX(outputs_oppsum[kartlegging],MATCH(_Calcs!$NV$41,outputs_oppsum[stuff_id],0))</f>
        <v>#N/A</v>
      </c>
      <c r="CL30" s="75"/>
      <c r="CM30" s="30" t="e">
        <f>IF(_Calcs!$NV$349=1,"✓","!")</f>
        <v>#N/A</v>
      </c>
      <c r="CN30" s="1227"/>
      <c r="CO30" s="1241"/>
      <c r="CP30" s="16"/>
      <c r="CQ30" s="1240"/>
      <c r="CR30" s="75"/>
      <c r="CS30" s="2313" t="e">
        <f>INDEX(outputs_oppsum[kartlegging],MATCH(_Calcs!$NW$41,outputs_oppsum[stuff_id],0))</f>
        <v>#N/A</v>
      </c>
      <c r="CT30" s="75"/>
      <c r="CU30" s="30" t="e">
        <f>IF(_Calcs!$NW$349=1,"✓","!")</f>
        <v>#N/A</v>
      </c>
      <c r="CV30" s="1227"/>
      <c r="CW30" s="1241"/>
      <c r="CX30" s="16"/>
      <c r="CY30" s="173"/>
    </row>
    <row r="31" spans="1:161" s="78" customFormat="1" ht="15" customHeight="1" thickBot="1" x14ac:dyDescent="0.25">
      <c r="A31" s="104"/>
      <c r="B31" s="104"/>
      <c r="C31" s="1254"/>
      <c r="D31" s="20"/>
      <c r="E31" s="1229"/>
      <c r="F31" s="6297"/>
      <c r="G31" s="6297"/>
      <c r="H31" s="6297"/>
      <c r="I31" s="6297"/>
      <c r="J31" s="6297"/>
      <c r="K31" s="1230"/>
      <c r="L31" s="17"/>
      <c r="M31" s="1468"/>
      <c r="N31" s="1469"/>
      <c r="O31" s="1469"/>
      <c r="P31" s="1469"/>
      <c r="Q31" s="1470"/>
      <c r="R31" s="70"/>
      <c r="S31" s="1468"/>
      <c r="T31" s="1469"/>
      <c r="U31" s="1470"/>
      <c r="V31" s="70"/>
      <c r="W31" s="6773"/>
      <c r="X31" s="70"/>
      <c r="Y31" s="4036"/>
      <c r="Z31" s="1503"/>
      <c r="AA31" s="1503"/>
      <c r="AB31" s="1503"/>
      <c r="AC31" s="4037"/>
      <c r="AE31" s="1229"/>
      <c r="AF31" s="659"/>
      <c r="AG31" s="1242"/>
      <c r="AH31" s="659"/>
      <c r="AI31" s="659"/>
      <c r="AJ31" s="1243"/>
      <c r="AK31" s="1244"/>
      <c r="AL31" s="16"/>
      <c r="AM31" s="1229"/>
      <c r="AN31" s="659"/>
      <c r="AO31" s="1242"/>
      <c r="AP31" s="659"/>
      <c r="AQ31" s="659"/>
      <c r="AR31" s="1243"/>
      <c r="AS31" s="1244"/>
      <c r="AT31" s="16"/>
      <c r="AU31" s="1229"/>
      <c r="AV31" s="659"/>
      <c r="AW31" s="1242"/>
      <c r="AX31" s="659"/>
      <c r="AY31" s="659"/>
      <c r="AZ31" s="1243"/>
      <c r="BA31" s="1244"/>
      <c r="BB31" s="16"/>
      <c r="BC31" s="1229"/>
      <c r="BD31" s="659"/>
      <c r="BE31" s="1242"/>
      <c r="BF31" s="659"/>
      <c r="BG31" s="659"/>
      <c r="BH31" s="1243"/>
      <c r="BI31" s="1244"/>
      <c r="BJ31" s="16"/>
      <c r="BK31" s="1229"/>
      <c r="BL31" s="659"/>
      <c r="BM31" s="1242"/>
      <c r="BN31" s="659"/>
      <c r="BO31" s="659"/>
      <c r="BP31" s="1243"/>
      <c r="BQ31" s="1244"/>
      <c r="BR31" s="16"/>
      <c r="BS31" s="1229"/>
      <c r="BT31" s="659"/>
      <c r="BU31" s="1242"/>
      <c r="BV31" s="659"/>
      <c r="BW31" s="659"/>
      <c r="BX31" s="1243"/>
      <c r="BY31" s="1244"/>
      <c r="BZ31" s="16"/>
      <c r="CA31" s="1229"/>
      <c r="CB31" s="659"/>
      <c r="CC31" s="1242"/>
      <c r="CD31" s="659"/>
      <c r="CE31" s="659"/>
      <c r="CF31" s="1243"/>
      <c r="CG31" s="1244"/>
      <c r="CH31" s="16"/>
      <c r="CI31" s="1229"/>
      <c r="CJ31" s="659"/>
      <c r="CK31" s="1242"/>
      <c r="CL31" s="659"/>
      <c r="CM31" s="659"/>
      <c r="CN31" s="1243"/>
      <c r="CO31" s="1244"/>
      <c r="CP31" s="16"/>
      <c r="CQ31" s="1229"/>
      <c r="CR31" s="659"/>
      <c r="CS31" s="1242"/>
      <c r="CT31" s="659"/>
      <c r="CU31" s="659"/>
      <c r="CV31" s="1243"/>
      <c r="CW31" s="1244"/>
      <c r="CX31" s="16"/>
      <c r="CY31" s="173"/>
    </row>
    <row r="32" spans="1:161" s="78" customFormat="1" ht="9.9499999999999993" hidden="1" customHeight="1" x14ac:dyDescent="0.2">
      <c r="A32" s="104"/>
      <c r="B32" s="104"/>
      <c r="C32" s="1254"/>
      <c r="D32" s="20"/>
      <c r="E32" s="1231"/>
      <c r="F32" s="76"/>
      <c r="G32" s="76"/>
      <c r="H32" s="76"/>
      <c r="I32" s="76"/>
      <c r="J32" s="75"/>
      <c r="K32" s="1228"/>
      <c r="L32" s="17"/>
      <c r="M32" s="3586"/>
      <c r="N32" s="3586"/>
      <c r="O32" s="3586"/>
      <c r="P32" s="3586"/>
      <c r="Q32" s="3586"/>
      <c r="R32" s="70"/>
      <c r="S32" s="3586"/>
      <c r="T32" s="3586"/>
      <c r="U32" s="3586"/>
      <c r="V32" s="70"/>
      <c r="W32" s="6773"/>
      <c r="X32" s="70"/>
      <c r="Y32" s="136"/>
      <c r="Z32" s="136"/>
      <c r="AA32" s="136"/>
      <c r="AB32" s="136"/>
      <c r="AC32" s="136"/>
      <c r="AE32" s="17"/>
      <c r="AF32" s="17"/>
      <c r="AG32" s="572"/>
      <c r="AH32" s="17"/>
      <c r="AI32" s="17"/>
      <c r="AJ32" s="3873"/>
      <c r="AK32" s="3873"/>
      <c r="AL32" s="16"/>
      <c r="AM32" s="17"/>
      <c r="AN32" s="17"/>
      <c r="AO32" s="572"/>
      <c r="AP32" s="17"/>
      <c r="AQ32" s="17"/>
      <c r="AR32" s="3873"/>
      <c r="AS32" s="3873"/>
      <c r="AT32" s="16"/>
      <c r="AU32" s="17"/>
      <c r="AV32" s="17"/>
      <c r="AW32" s="572"/>
      <c r="AX32" s="17"/>
      <c r="AY32" s="17"/>
      <c r="AZ32" s="3873"/>
      <c r="BA32" s="3873"/>
      <c r="BB32" s="16"/>
      <c r="BC32" s="17"/>
      <c r="BD32" s="17"/>
      <c r="BE32" s="572"/>
      <c r="BF32" s="17"/>
      <c r="BG32" s="17"/>
      <c r="BH32" s="3873"/>
      <c r="BI32" s="3873"/>
      <c r="BJ32" s="16"/>
      <c r="BK32" s="17"/>
      <c r="BL32" s="17"/>
      <c r="BM32" s="572"/>
      <c r="BN32" s="17"/>
      <c r="BO32" s="17"/>
      <c r="BP32" s="3873"/>
      <c r="BQ32" s="3873"/>
      <c r="BR32" s="16"/>
      <c r="BS32" s="17"/>
      <c r="BT32" s="17"/>
      <c r="BU32" s="572"/>
      <c r="BV32" s="17"/>
      <c r="BW32" s="17"/>
      <c r="BX32" s="3873"/>
      <c r="BY32" s="3873"/>
      <c r="BZ32" s="16"/>
      <c r="CA32" s="17"/>
      <c r="CB32" s="17"/>
      <c r="CC32" s="572"/>
      <c r="CD32" s="17"/>
      <c r="CE32" s="17"/>
      <c r="CF32" s="3873"/>
      <c r="CG32" s="3873"/>
      <c r="CH32" s="16"/>
      <c r="CI32" s="17"/>
      <c r="CJ32" s="17"/>
      <c r="CK32" s="572"/>
      <c r="CL32" s="17"/>
      <c r="CM32" s="17"/>
      <c r="CN32" s="3873"/>
      <c r="CO32" s="3873"/>
      <c r="CP32" s="16"/>
      <c r="CQ32" s="17"/>
      <c r="CR32" s="17"/>
      <c r="CS32" s="572"/>
      <c r="CT32" s="17"/>
      <c r="CU32" s="17"/>
      <c r="CV32" s="3873"/>
      <c r="CW32" s="3873"/>
      <c r="CX32" s="16"/>
      <c r="CY32" s="1261"/>
    </row>
    <row r="33" spans="1:103" s="78" customFormat="1" ht="8.1" hidden="1" customHeight="1" thickBot="1" x14ac:dyDescent="0.25">
      <c r="A33" s="104"/>
      <c r="B33" s="104"/>
      <c r="C33" s="1254"/>
      <c r="D33" s="20"/>
      <c r="E33" s="1229"/>
      <c r="F33" s="659"/>
      <c r="G33" s="659"/>
      <c r="H33" s="659"/>
      <c r="I33" s="659"/>
      <c r="J33" s="655"/>
      <c r="K33" s="1230"/>
      <c r="L33" s="17"/>
      <c r="M33" s="1472"/>
      <c r="N33" s="1472"/>
      <c r="O33" s="1472"/>
      <c r="P33" s="1472"/>
      <c r="Q33" s="1472"/>
      <c r="R33" s="70"/>
      <c r="S33" s="1472"/>
      <c r="T33" s="1472"/>
      <c r="U33" s="1472"/>
      <c r="V33" s="70"/>
      <c r="W33" s="6773"/>
      <c r="X33" s="70"/>
      <c r="Y33" s="1500"/>
      <c r="Z33" s="1500"/>
      <c r="AA33" s="1500"/>
      <c r="AB33" s="1500"/>
      <c r="AC33" s="1500"/>
      <c r="AE33" s="76"/>
      <c r="AF33" s="76"/>
      <c r="AG33" s="4190"/>
      <c r="AH33" s="76"/>
      <c r="AI33" s="76"/>
      <c r="AJ33" s="1227"/>
      <c r="AK33" s="1227"/>
      <c r="AL33" s="16"/>
      <c r="AM33" s="76"/>
      <c r="AN33" s="76"/>
      <c r="AO33" s="4190"/>
      <c r="AP33" s="76"/>
      <c r="AQ33" s="76"/>
      <c r="AR33" s="1227"/>
      <c r="AS33" s="1227"/>
      <c r="AT33" s="16"/>
      <c r="AU33" s="76"/>
      <c r="AV33" s="76"/>
      <c r="AW33" s="4190"/>
      <c r="AX33" s="76"/>
      <c r="AY33" s="76"/>
      <c r="AZ33" s="1227"/>
      <c r="BA33" s="1227"/>
      <c r="BB33" s="16"/>
      <c r="BC33" s="76"/>
      <c r="BD33" s="76"/>
      <c r="BE33" s="4190"/>
      <c r="BF33" s="76"/>
      <c r="BG33" s="76"/>
      <c r="BH33" s="1227"/>
      <c r="BI33" s="1227"/>
      <c r="BJ33" s="16"/>
      <c r="BK33" s="76"/>
      <c r="BL33" s="76"/>
      <c r="BM33" s="4190"/>
      <c r="BN33" s="76"/>
      <c r="BO33" s="76"/>
      <c r="BP33" s="1227"/>
      <c r="BQ33" s="1227"/>
      <c r="BR33" s="16"/>
      <c r="BS33" s="76"/>
      <c r="BT33" s="76"/>
      <c r="BU33" s="4190"/>
      <c r="BV33" s="76"/>
      <c r="BW33" s="76"/>
      <c r="BX33" s="1227"/>
      <c r="BY33" s="1227"/>
      <c r="BZ33" s="16"/>
      <c r="CA33" s="76"/>
      <c r="CB33" s="76"/>
      <c r="CC33" s="4190"/>
      <c r="CD33" s="76"/>
      <c r="CE33" s="76"/>
      <c r="CF33" s="1227"/>
      <c r="CG33" s="1227"/>
      <c r="CH33" s="16"/>
      <c r="CI33" s="76"/>
      <c r="CJ33" s="76"/>
      <c r="CK33" s="4190"/>
      <c r="CL33" s="76"/>
      <c r="CM33" s="76"/>
      <c r="CN33" s="1227"/>
      <c r="CO33" s="1227"/>
      <c r="CP33" s="16"/>
      <c r="CQ33" s="76"/>
      <c r="CR33" s="76"/>
      <c r="CS33" s="4190"/>
      <c r="CT33" s="76"/>
      <c r="CU33" s="76"/>
      <c r="CV33" s="1227"/>
      <c r="CW33" s="1227"/>
      <c r="CX33" s="16"/>
      <c r="CY33" s="173"/>
    </row>
    <row r="34" spans="1:103" s="78" customFormat="1" ht="24.95" customHeight="1" thickBot="1" x14ac:dyDescent="0.25">
      <c r="A34" s="104"/>
      <c r="B34" s="104"/>
      <c r="C34" s="1254"/>
      <c r="D34" s="6255"/>
      <c r="E34" s="15"/>
      <c r="F34" s="21"/>
      <c r="G34" s="21"/>
      <c r="H34" s="21"/>
      <c r="I34" s="21"/>
      <c r="J34" s="16"/>
      <c r="K34" s="19"/>
      <c r="L34" s="17"/>
      <c r="M34" s="19"/>
      <c r="N34" s="90"/>
      <c r="O34" s="13"/>
      <c r="P34" s="13" t="s">
        <v>854</v>
      </c>
      <c r="Q34" s="13"/>
      <c r="R34" s="70"/>
      <c r="S34" s="19"/>
      <c r="T34" s="15"/>
      <c r="U34" s="13"/>
      <c r="V34" s="70"/>
      <c r="W34" s="6773"/>
      <c r="X34" s="70"/>
      <c r="Y34" s="70"/>
      <c r="Z34" s="70"/>
      <c r="AA34" s="70"/>
      <c r="AB34" s="16"/>
      <c r="AE34" s="16"/>
      <c r="AF34" s="16"/>
      <c r="AG34" s="22"/>
      <c r="AH34" s="16"/>
      <c r="AI34" s="19"/>
      <c r="AJ34" s="21"/>
      <c r="AK34" s="21"/>
      <c r="AL34" s="16"/>
      <c r="AM34" s="16"/>
      <c r="AN34" s="16"/>
      <c r="AO34" s="22"/>
      <c r="AP34" s="16"/>
      <c r="AQ34" s="19"/>
      <c r="AR34" s="21"/>
      <c r="AS34" s="21"/>
      <c r="AT34" s="16"/>
      <c r="AU34" s="16"/>
      <c r="AV34" s="16"/>
      <c r="AW34" s="22"/>
      <c r="AX34" s="16"/>
      <c r="AY34" s="19"/>
      <c r="AZ34" s="21"/>
      <c r="BA34" s="21"/>
      <c r="BB34" s="16"/>
      <c r="BC34" s="16"/>
      <c r="BD34" s="16"/>
      <c r="BE34" s="22"/>
      <c r="BF34" s="16"/>
      <c r="BG34" s="19"/>
      <c r="BH34" s="21"/>
      <c r="BI34" s="21"/>
      <c r="BJ34" s="16"/>
      <c r="BK34" s="16"/>
      <c r="BL34" s="16"/>
      <c r="BM34" s="22"/>
      <c r="BN34" s="16"/>
      <c r="BO34" s="19"/>
      <c r="BP34" s="21"/>
      <c r="BQ34" s="21"/>
      <c r="BR34" s="16"/>
      <c r="BS34" s="16"/>
      <c r="BT34" s="16"/>
      <c r="BU34" s="22"/>
      <c r="BV34" s="16"/>
      <c r="BW34" s="19"/>
      <c r="BX34" s="21"/>
      <c r="BY34" s="21"/>
      <c r="BZ34" s="16"/>
      <c r="CA34" s="16"/>
      <c r="CB34" s="16"/>
      <c r="CC34" s="22"/>
      <c r="CD34" s="16"/>
      <c r="CE34" s="19"/>
      <c r="CF34" s="21"/>
      <c r="CG34" s="21"/>
      <c r="CH34" s="16"/>
      <c r="CI34" s="16"/>
      <c r="CJ34" s="16"/>
      <c r="CK34" s="22"/>
      <c r="CL34" s="16"/>
      <c r="CM34" s="19"/>
      <c r="CN34" s="21"/>
      <c r="CO34" s="21"/>
      <c r="CP34" s="16"/>
      <c r="CQ34" s="16"/>
      <c r="CR34" s="16"/>
      <c r="CS34" s="22"/>
      <c r="CT34" s="16"/>
      <c r="CU34" s="19"/>
      <c r="CV34" s="21"/>
      <c r="CW34" s="21"/>
      <c r="CX34" s="16"/>
      <c r="CY34" s="21"/>
    </row>
    <row r="35" spans="1:103" s="78" customFormat="1" ht="15" customHeight="1" thickBot="1" x14ac:dyDescent="0.25">
      <c r="A35" s="104"/>
      <c r="B35" s="104"/>
      <c r="C35" s="1254"/>
      <c r="D35" s="20"/>
      <c r="E35" s="1219"/>
      <c r="F35" s="6597" t="str">
        <f>_Calcs!K$56</f>
        <v>Sikringsbolter</v>
      </c>
      <c r="G35" s="6597"/>
      <c r="H35" s="6597"/>
      <c r="I35" s="6597"/>
      <c r="J35" s="6597"/>
      <c r="K35" s="1495"/>
      <c r="L35" s="1463"/>
      <c r="M35" s="19"/>
      <c r="N35" s="90"/>
      <c r="O35" s="13"/>
      <c r="P35" s="13"/>
      <c r="Q35" s="13"/>
      <c r="R35" s="70"/>
      <c r="S35" s="19"/>
      <c r="T35" s="15"/>
      <c r="U35" s="13"/>
      <c r="V35" s="70"/>
      <c r="W35" s="6773"/>
      <c r="X35" s="70"/>
      <c r="Y35" s="70"/>
      <c r="Z35" s="70"/>
      <c r="AA35" s="70"/>
      <c r="AB35" s="16"/>
      <c r="AE35" s="16"/>
      <c r="AF35" s="16"/>
      <c r="AG35" s="22"/>
      <c r="AH35" s="16"/>
      <c r="AI35" s="19"/>
      <c r="AJ35" s="21"/>
      <c r="AK35" s="21"/>
      <c r="AL35" s="16"/>
      <c r="AM35" s="16"/>
      <c r="AN35" s="16"/>
      <c r="AO35" s="22"/>
      <c r="AP35" s="16"/>
      <c r="AQ35" s="19"/>
      <c r="AR35" s="21"/>
      <c r="AS35" s="21"/>
      <c r="AT35" s="16"/>
      <c r="AU35" s="16"/>
      <c r="AV35" s="16"/>
      <c r="AW35" s="22"/>
      <c r="AX35" s="16"/>
      <c r="AY35" s="19"/>
      <c r="AZ35" s="21"/>
      <c r="BA35" s="21"/>
      <c r="BB35" s="16"/>
      <c r="BC35" s="16"/>
      <c r="BD35" s="16"/>
      <c r="BE35" s="22"/>
      <c r="BF35" s="16"/>
      <c r="BG35" s="19"/>
      <c r="BH35" s="21"/>
      <c r="BI35" s="21"/>
      <c r="BJ35" s="16"/>
      <c r="BK35" s="16"/>
      <c r="BL35" s="16"/>
      <c r="BM35" s="22"/>
      <c r="BN35" s="16"/>
      <c r="BO35" s="19"/>
      <c r="BP35" s="21"/>
      <c r="BQ35" s="21"/>
      <c r="BR35" s="16"/>
      <c r="BS35" s="16"/>
      <c r="BT35" s="16"/>
      <c r="BU35" s="22"/>
      <c r="BV35" s="16"/>
      <c r="BW35" s="19"/>
      <c r="BX35" s="21"/>
      <c r="BY35" s="21"/>
      <c r="BZ35" s="16"/>
      <c r="CA35" s="16"/>
      <c r="CB35" s="16"/>
      <c r="CC35" s="22"/>
      <c r="CD35" s="16"/>
      <c r="CE35" s="19"/>
      <c r="CF35" s="21"/>
      <c r="CG35" s="21"/>
      <c r="CH35" s="16"/>
      <c r="CI35" s="16"/>
      <c r="CJ35" s="16"/>
      <c r="CK35" s="22"/>
      <c r="CL35" s="16"/>
      <c r="CM35" s="19"/>
      <c r="CN35" s="21"/>
      <c r="CO35" s="21"/>
      <c r="CP35" s="16"/>
      <c r="CQ35" s="16"/>
      <c r="CR35" s="16"/>
      <c r="CS35" s="22"/>
      <c r="CT35" s="16"/>
      <c r="CU35" s="19"/>
      <c r="CV35" s="21"/>
      <c r="CW35" s="21"/>
      <c r="CX35" s="16"/>
      <c r="CY35" s="21"/>
    </row>
    <row r="36" spans="1:103" s="78" customFormat="1" ht="15" customHeight="1" thickBot="1" x14ac:dyDescent="0.25">
      <c r="A36" s="104"/>
      <c r="B36" s="104"/>
      <c r="C36" s="6249"/>
      <c r="D36" s="20"/>
      <c r="E36" s="1221"/>
      <c r="F36" s="6598"/>
      <c r="G36" s="6598"/>
      <c r="H36" s="6598"/>
      <c r="I36" s="6598"/>
      <c r="J36" s="6598"/>
      <c r="K36" s="1496"/>
      <c r="L36" s="1463"/>
      <c r="R36" s="70"/>
      <c r="T36" s="215"/>
      <c r="V36" s="70"/>
      <c r="W36" s="6773"/>
      <c r="X36" s="70"/>
      <c r="Y36" s="70"/>
      <c r="Z36" s="70"/>
      <c r="AA36" s="70"/>
      <c r="AB36" s="16"/>
      <c r="AE36" s="692"/>
      <c r="AF36" s="693"/>
      <c r="AG36" s="1233"/>
      <c r="AH36" s="693"/>
      <c r="AI36" s="1234"/>
      <c r="AJ36" s="748"/>
      <c r="AK36" s="1235"/>
      <c r="AL36" s="16"/>
      <c r="AM36" s="692"/>
      <c r="AN36" s="693"/>
      <c r="AO36" s="1233"/>
      <c r="AP36" s="693"/>
      <c r="AQ36" s="1234"/>
      <c r="AR36" s="748"/>
      <c r="AS36" s="1235"/>
      <c r="AT36" s="16"/>
      <c r="AU36" s="692"/>
      <c r="AV36" s="693"/>
      <c r="AW36" s="1233"/>
      <c r="AX36" s="693"/>
      <c r="AY36" s="1234"/>
      <c r="AZ36" s="748"/>
      <c r="BA36" s="1235"/>
      <c r="BB36" s="16"/>
      <c r="BC36" s="692"/>
      <c r="BD36" s="693"/>
      <c r="BE36" s="1233"/>
      <c r="BF36" s="693"/>
      <c r="BG36" s="1234"/>
      <c r="BH36" s="748"/>
      <c r="BI36" s="1235"/>
      <c r="BJ36" s="16"/>
      <c r="BK36" s="692"/>
      <c r="BL36" s="693"/>
      <c r="BM36" s="1233"/>
      <c r="BN36" s="693"/>
      <c r="BO36" s="1234"/>
      <c r="BP36" s="748"/>
      <c r="BQ36" s="1235"/>
      <c r="BR36" s="16"/>
      <c r="BS36" s="692"/>
      <c r="BT36" s="693"/>
      <c r="BU36" s="1233"/>
      <c r="BV36" s="693"/>
      <c r="BW36" s="1234"/>
      <c r="BX36" s="748"/>
      <c r="BY36" s="1235"/>
      <c r="BZ36" s="16"/>
      <c r="CA36" s="692"/>
      <c r="CB36" s="693"/>
      <c r="CC36" s="1233"/>
      <c r="CD36" s="693"/>
      <c r="CE36" s="1234"/>
      <c r="CF36" s="748"/>
      <c r="CG36" s="1235"/>
      <c r="CH36" s="16"/>
      <c r="CI36" s="692"/>
      <c r="CJ36" s="693"/>
      <c r="CK36" s="1233"/>
      <c r="CL36" s="693"/>
      <c r="CM36" s="1234"/>
      <c r="CN36" s="748"/>
      <c r="CO36" s="1235"/>
      <c r="CP36" s="16"/>
      <c r="CQ36" s="692"/>
      <c r="CR36" s="693"/>
      <c r="CS36" s="1233"/>
      <c r="CT36" s="693"/>
      <c r="CU36" s="1234"/>
      <c r="CV36" s="748"/>
      <c r="CW36" s="1235"/>
      <c r="CX36" s="16"/>
      <c r="CY36" s="172"/>
    </row>
    <row r="37" spans="1:103" s="78" customFormat="1" ht="8.1" customHeight="1" thickBot="1" x14ac:dyDescent="0.25">
      <c r="A37" s="104"/>
      <c r="B37" s="104"/>
      <c r="C37" s="6249"/>
      <c r="D37" s="20"/>
      <c r="E37" s="15"/>
      <c r="F37" s="1212"/>
      <c r="G37" s="1212"/>
      <c r="H37" s="1212"/>
      <c r="I37" s="1212"/>
      <c r="J37" s="16"/>
      <c r="K37" s="19"/>
      <c r="L37" s="17"/>
      <c r="R37" s="70"/>
      <c r="T37" s="215"/>
      <c r="V37" s="70"/>
      <c r="W37" s="6773"/>
      <c r="X37" s="70"/>
      <c r="Y37" s="70"/>
      <c r="Z37" s="70"/>
      <c r="AA37" s="70"/>
      <c r="AB37" s="16"/>
      <c r="AE37" s="16"/>
      <c r="AF37" s="16"/>
      <c r="AG37" s="22"/>
      <c r="AH37" s="16"/>
      <c r="AI37" s="19"/>
      <c r="AJ37" s="21"/>
      <c r="AK37" s="21"/>
      <c r="AL37" s="16"/>
      <c r="AM37" s="16"/>
      <c r="AN37" s="16"/>
      <c r="AO37" s="22"/>
      <c r="AP37" s="16"/>
      <c r="AQ37" s="19"/>
      <c r="AR37" s="21"/>
      <c r="AS37" s="21"/>
      <c r="AT37" s="16"/>
      <c r="AU37" s="16"/>
      <c r="AV37" s="16"/>
      <c r="AW37" s="22"/>
      <c r="AX37" s="16"/>
      <c r="AY37" s="19"/>
      <c r="AZ37" s="21"/>
      <c r="BA37" s="21"/>
      <c r="BB37" s="16"/>
      <c r="BC37" s="16"/>
      <c r="BD37" s="16"/>
      <c r="BE37" s="22"/>
      <c r="BF37" s="16"/>
      <c r="BG37" s="19"/>
      <c r="BH37" s="21"/>
      <c r="BI37" s="21"/>
      <c r="BJ37" s="16"/>
      <c r="BK37" s="16"/>
      <c r="BL37" s="16"/>
      <c r="BM37" s="22"/>
      <c r="BN37" s="16"/>
      <c r="BO37" s="19"/>
      <c r="BP37" s="21"/>
      <c r="BQ37" s="21"/>
      <c r="BR37" s="16"/>
      <c r="BS37" s="16"/>
      <c r="BT37" s="16"/>
      <c r="BU37" s="22"/>
      <c r="BV37" s="16"/>
      <c r="BW37" s="19"/>
      <c r="BX37" s="21"/>
      <c r="BY37" s="21"/>
      <c r="BZ37" s="16"/>
      <c r="CA37" s="16"/>
      <c r="CB37" s="16"/>
      <c r="CC37" s="22"/>
      <c r="CD37" s="16"/>
      <c r="CE37" s="19"/>
      <c r="CF37" s="21"/>
      <c r="CG37" s="21"/>
      <c r="CH37" s="16"/>
      <c r="CI37" s="16"/>
      <c r="CJ37" s="16"/>
      <c r="CK37" s="22"/>
      <c r="CL37" s="16"/>
      <c r="CM37" s="19"/>
      <c r="CN37" s="21"/>
      <c r="CO37" s="21"/>
      <c r="CP37" s="16"/>
      <c r="CQ37" s="16"/>
      <c r="CR37" s="16"/>
      <c r="CS37" s="22"/>
      <c r="CT37" s="16"/>
      <c r="CU37" s="19"/>
      <c r="CV37" s="21"/>
      <c r="CW37" s="21"/>
      <c r="CX37" s="16"/>
      <c r="CY37" s="21"/>
    </row>
    <row r="38" spans="1:103" s="78" customFormat="1" ht="15" customHeight="1" thickBot="1" x14ac:dyDescent="0.25">
      <c r="A38" s="104"/>
      <c r="B38" s="104"/>
      <c r="C38" s="1250"/>
      <c r="D38" s="20"/>
      <c r="E38" s="1223"/>
      <c r="F38" s="661"/>
      <c r="G38" s="661"/>
      <c r="H38" s="661"/>
      <c r="I38" s="661"/>
      <c r="J38" s="643"/>
      <c r="K38" s="1493"/>
      <c r="L38" s="17"/>
      <c r="M38" s="1475"/>
      <c r="N38" s="1476"/>
      <c r="O38" s="1477"/>
      <c r="P38" s="1477"/>
      <c r="Q38" s="1479"/>
      <c r="R38" s="70"/>
      <c r="S38" s="1475"/>
      <c r="T38" s="1478"/>
      <c r="U38" s="1479"/>
      <c r="V38" s="70"/>
      <c r="W38" s="6773"/>
      <c r="X38" s="70"/>
      <c r="Y38" s="4019"/>
      <c r="Z38" s="1504"/>
      <c r="AA38" s="1504"/>
      <c r="AB38" s="1505"/>
      <c r="AC38" s="1506"/>
      <c r="AE38" s="1237"/>
      <c r="AF38" s="643"/>
      <c r="AG38" s="642"/>
      <c r="AH38" s="643"/>
      <c r="AI38" s="1224"/>
      <c r="AJ38" s="1238"/>
      <c r="AK38" s="1239"/>
      <c r="AL38" s="16"/>
      <c r="AM38" s="1237"/>
      <c r="AN38" s="643"/>
      <c r="AO38" s="642"/>
      <c r="AP38" s="643"/>
      <c r="AQ38" s="1224"/>
      <c r="AR38" s="1238"/>
      <c r="AS38" s="1239"/>
      <c r="AT38" s="16"/>
      <c r="AU38" s="1237"/>
      <c r="AV38" s="643"/>
      <c r="AW38" s="642"/>
      <c r="AX38" s="643"/>
      <c r="AY38" s="1224"/>
      <c r="AZ38" s="1238"/>
      <c r="BA38" s="1239"/>
      <c r="BB38" s="16"/>
      <c r="BC38" s="1237"/>
      <c r="BD38" s="643"/>
      <c r="BE38" s="642"/>
      <c r="BF38" s="643"/>
      <c r="BG38" s="1224"/>
      <c r="BH38" s="1238"/>
      <c r="BI38" s="1239"/>
      <c r="BJ38" s="16"/>
      <c r="BK38" s="1237"/>
      <c r="BL38" s="643"/>
      <c r="BM38" s="642"/>
      <c r="BN38" s="643"/>
      <c r="BO38" s="1224"/>
      <c r="BP38" s="1238"/>
      <c r="BQ38" s="1239"/>
      <c r="BR38" s="16"/>
      <c r="BS38" s="1237"/>
      <c r="BT38" s="643"/>
      <c r="BU38" s="642"/>
      <c r="BV38" s="643"/>
      <c r="BW38" s="1224"/>
      <c r="BX38" s="1238"/>
      <c r="BY38" s="1239"/>
      <c r="BZ38" s="16"/>
      <c r="CA38" s="1237"/>
      <c r="CB38" s="643"/>
      <c r="CC38" s="642"/>
      <c r="CD38" s="643"/>
      <c r="CE38" s="1224"/>
      <c r="CF38" s="1238"/>
      <c r="CG38" s="1239"/>
      <c r="CH38" s="16"/>
      <c r="CI38" s="1237"/>
      <c r="CJ38" s="643"/>
      <c r="CK38" s="642"/>
      <c r="CL38" s="643"/>
      <c r="CM38" s="1224"/>
      <c r="CN38" s="1238"/>
      <c r="CO38" s="1239"/>
      <c r="CP38" s="16"/>
      <c r="CQ38" s="1237"/>
      <c r="CR38" s="643"/>
      <c r="CS38" s="642"/>
      <c r="CT38" s="643"/>
      <c r="CU38" s="1224"/>
      <c r="CV38" s="1238"/>
      <c r="CW38" s="1239"/>
      <c r="CX38" s="16"/>
      <c r="CY38" s="173"/>
    </row>
    <row r="39" spans="1:103" s="78" customFormat="1" ht="20.100000000000001" customHeight="1" thickBot="1" x14ac:dyDescent="0.25">
      <c r="A39" s="104"/>
      <c r="B39" s="104"/>
      <c r="C39" s="1251"/>
      <c r="D39" s="20"/>
      <c r="E39" s="1231"/>
      <c r="F39" s="650" t="str">
        <f>_Calcs!$M$56</f>
        <v>Alle typer ≤ 4 m</v>
      </c>
      <c r="G39" s="650"/>
      <c r="H39" s="650"/>
      <c r="I39" s="650"/>
      <c r="J39" s="6253"/>
      <c r="K39" s="1241"/>
      <c r="L39" s="17"/>
      <c r="M39" s="1474"/>
      <c r="N39" s="174">
        <f>_Kapasitet!$U$69</f>
        <v>15</v>
      </c>
      <c r="O39" s="1471"/>
      <c r="P39" s="2514" t="str">
        <f>_Kapasitet!W69</f>
        <v>Standard</v>
      </c>
      <c r="Q39" s="1473"/>
      <c r="R39" s="70"/>
      <c r="S39" s="1474"/>
      <c r="T39" s="1472" t="s">
        <v>14</v>
      </c>
      <c r="U39" s="1473"/>
      <c r="V39" s="70"/>
      <c r="W39" s="6773"/>
      <c r="X39" s="70"/>
      <c r="Y39" s="4022"/>
      <c r="Z39" s="6738" t="s">
        <v>46</v>
      </c>
      <c r="AA39" s="6738"/>
      <c r="AB39" s="6738"/>
      <c r="AC39" s="1507"/>
      <c r="AE39" s="1240"/>
      <c r="AF39" s="75"/>
      <c r="AG39" s="2313">
        <f>INDEX(outputs_oppsum[lt4m],MATCH(_Calcs!$NO$41,outputs_oppsum[stuff_id],0))</f>
        <v>0</v>
      </c>
      <c r="AH39" s="75"/>
      <c r="AI39" s="30" t="str">
        <f>IF(_Calcs!$NO$350=1,"✓","!")</f>
        <v>!</v>
      </c>
      <c r="AJ39" s="1227"/>
      <c r="AK39" s="1241"/>
      <c r="AL39" s="16"/>
      <c r="AM39" s="1240"/>
      <c r="AN39" s="75"/>
      <c r="AO39" s="2313" t="e">
        <f>INDEX(outputs_oppsum[lt4m],MATCH(_Calcs!$NP$41,outputs_oppsum[stuff_id],0))</f>
        <v>#N/A</v>
      </c>
      <c r="AP39" s="75"/>
      <c r="AQ39" s="30" t="e">
        <f>IF(_Calcs!$NP$350=1,"✓","!")</f>
        <v>#N/A</v>
      </c>
      <c r="AR39" s="1227"/>
      <c r="AS39" s="1241"/>
      <c r="AT39" s="16"/>
      <c r="AU39" s="1240"/>
      <c r="AV39" s="75"/>
      <c r="AW39" s="2313" t="e">
        <f>INDEX(outputs_oppsum[lt4m],MATCH(_Calcs!$NQ$41,outputs_oppsum[stuff_id],0))</f>
        <v>#N/A</v>
      </c>
      <c r="AX39" s="75"/>
      <c r="AY39" s="30" t="e">
        <f>IF(_Calcs!$NQ$350=1,"✓","!")</f>
        <v>#N/A</v>
      </c>
      <c r="AZ39" s="1227"/>
      <c r="BA39" s="1241"/>
      <c r="BB39" s="16"/>
      <c r="BC39" s="1240"/>
      <c r="BD39" s="75"/>
      <c r="BE39" s="2313" t="e">
        <f>INDEX(outputs_oppsum[lt4m],MATCH(_Calcs!$NR$41,outputs_oppsum[stuff_id],0))</f>
        <v>#N/A</v>
      </c>
      <c r="BF39" s="75"/>
      <c r="BG39" s="30" t="e">
        <f>IF(_Calcs!$NR$350=1,"✓","!")</f>
        <v>#N/A</v>
      </c>
      <c r="BH39" s="1227"/>
      <c r="BI39" s="1241"/>
      <c r="BJ39" s="16"/>
      <c r="BK39" s="1240"/>
      <c r="BL39" s="75"/>
      <c r="BM39" s="2313" t="e">
        <f>INDEX(outputs_oppsum[lt4m],MATCH(_Calcs!$NS$41,outputs_oppsum[stuff_id],0))</f>
        <v>#N/A</v>
      </c>
      <c r="BN39" s="75"/>
      <c r="BO39" s="30" t="e">
        <f>IF(_Calcs!$NS$350=1,"✓","!")</f>
        <v>#N/A</v>
      </c>
      <c r="BP39" s="1227"/>
      <c r="BQ39" s="1241"/>
      <c r="BR39" s="16"/>
      <c r="BS39" s="1240"/>
      <c r="BT39" s="75"/>
      <c r="BU39" s="2313" t="e">
        <f>INDEX(outputs_oppsum[lt4m],MATCH(_Calcs!$NT$41,outputs_oppsum[stuff_id],0))</f>
        <v>#N/A</v>
      </c>
      <c r="BV39" s="75"/>
      <c r="BW39" s="30" t="e">
        <f>IF(_Calcs!$NT$350=1,"✓","!")</f>
        <v>#N/A</v>
      </c>
      <c r="BX39" s="1227"/>
      <c r="BY39" s="1241"/>
      <c r="BZ39" s="16"/>
      <c r="CA39" s="1240"/>
      <c r="CB39" s="75"/>
      <c r="CC39" s="2313" t="e">
        <f>INDEX(outputs_oppsum[lt4m],MATCH(_Calcs!$NU$41,outputs_oppsum[stuff_id],0))</f>
        <v>#N/A</v>
      </c>
      <c r="CD39" s="75"/>
      <c r="CE39" s="30" t="e">
        <f>IF(_Calcs!$NU$350=1,"✓","!")</f>
        <v>#N/A</v>
      </c>
      <c r="CF39" s="1227"/>
      <c r="CG39" s="1241"/>
      <c r="CH39" s="16"/>
      <c r="CI39" s="1240"/>
      <c r="CJ39" s="75"/>
      <c r="CK39" s="2313" t="e">
        <f>INDEX(outputs_oppsum[lt4m],MATCH(_Calcs!$NV$41,outputs_oppsum[stuff_id],0))</f>
        <v>#N/A</v>
      </c>
      <c r="CL39" s="75"/>
      <c r="CM39" s="30" t="e">
        <f>IF(_Calcs!$NV$350=1,"✓","!")</f>
        <v>#N/A</v>
      </c>
      <c r="CN39" s="1227"/>
      <c r="CO39" s="1241"/>
      <c r="CP39" s="16"/>
      <c r="CQ39" s="1240"/>
      <c r="CR39" s="75"/>
      <c r="CS39" s="2313" t="e">
        <f>INDEX(outputs_oppsum[lt4m],MATCH(_Calcs!$NW$41,outputs_oppsum[stuff_id],0))</f>
        <v>#N/A</v>
      </c>
      <c r="CT39" s="75"/>
      <c r="CU39" s="30" t="e">
        <f>IF(_Calcs!$NW$350=1,"✓","!")</f>
        <v>#N/A</v>
      </c>
      <c r="CV39" s="1227"/>
      <c r="CW39" s="1241"/>
      <c r="CX39" s="16"/>
      <c r="CY39" s="173"/>
    </row>
    <row r="40" spans="1:103" s="78" customFormat="1" ht="15" customHeight="1" thickBot="1" x14ac:dyDescent="0.25">
      <c r="A40" s="104"/>
      <c r="B40" s="104"/>
      <c r="C40" s="1251"/>
      <c r="D40" s="20"/>
      <c r="E40" s="1231"/>
      <c r="F40" s="650"/>
      <c r="G40" s="650"/>
      <c r="H40" s="650"/>
      <c r="I40" s="650"/>
      <c r="J40" s="75"/>
      <c r="K40" s="1497"/>
      <c r="L40" s="17"/>
      <c r="M40" s="1480"/>
      <c r="N40" s="1481"/>
      <c r="O40" s="1471"/>
      <c r="P40" s="1471"/>
      <c r="Q40" s="1473"/>
      <c r="R40" s="70"/>
      <c r="S40" s="1480"/>
      <c r="T40" s="1472"/>
      <c r="U40" s="1473"/>
      <c r="V40" s="70"/>
      <c r="W40" s="6773"/>
      <c r="X40" s="70"/>
      <c r="Y40" s="4022"/>
      <c r="Z40" s="1499"/>
      <c r="AA40" s="1499"/>
      <c r="AB40" s="1498"/>
      <c r="AC40" s="1507"/>
      <c r="AE40" s="1240"/>
      <c r="AF40" s="75"/>
      <c r="AG40" s="74"/>
      <c r="AH40" s="75"/>
      <c r="AI40" s="1232"/>
      <c r="AJ40" s="1227"/>
      <c r="AK40" s="1241"/>
      <c r="AL40" s="16"/>
      <c r="AM40" s="1240"/>
      <c r="AN40" s="75"/>
      <c r="AO40" s="74"/>
      <c r="AP40" s="75"/>
      <c r="AQ40" s="1232"/>
      <c r="AR40" s="1227"/>
      <c r="AS40" s="1241"/>
      <c r="AT40" s="16"/>
      <c r="AU40" s="1240"/>
      <c r="AV40" s="75"/>
      <c r="AW40" s="74"/>
      <c r="AX40" s="75"/>
      <c r="AY40" s="1232"/>
      <c r="AZ40" s="1227"/>
      <c r="BA40" s="1241"/>
      <c r="BB40" s="16"/>
      <c r="BC40" s="1240"/>
      <c r="BD40" s="75"/>
      <c r="BE40" s="74"/>
      <c r="BF40" s="75"/>
      <c r="BG40" s="1232"/>
      <c r="BH40" s="1227"/>
      <c r="BI40" s="1241"/>
      <c r="BJ40" s="16"/>
      <c r="BK40" s="1240"/>
      <c r="BL40" s="75"/>
      <c r="BM40" s="74"/>
      <c r="BN40" s="75"/>
      <c r="BO40" s="1232"/>
      <c r="BP40" s="1227"/>
      <c r="BQ40" s="1241"/>
      <c r="BR40" s="16"/>
      <c r="BS40" s="1240"/>
      <c r="BT40" s="75"/>
      <c r="BU40" s="74"/>
      <c r="BV40" s="75"/>
      <c r="BW40" s="1232"/>
      <c r="BX40" s="1227"/>
      <c r="BY40" s="1241"/>
      <c r="BZ40" s="16"/>
      <c r="CA40" s="1240"/>
      <c r="CB40" s="75"/>
      <c r="CC40" s="74"/>
      <c r="CD40" s="75"/>
      <c r="CE40" s="1232"/>
      <c r="CF40" s="1227"/>
      <c r="CG40" s="1241"/>
      <c r="CH40" s="16"/>
      <c r="CI40" s="1240"/>
      <c r="CJ40" s="75"/>
      <c r="CK40" s="74"/>
      <c r="CL40" s="75"/>
      <c r="CM40" s="1232"/>
      <c r="CN40" s="1227"/>
      <c r="CO40" s="1241"/>
      <c r="CP40" s="16"/>
      <c r="CQ40" s="1240"/>
      <c r="CR40" s="75"/>
      <c r="CS40" s="74"/>
      <c r="CT40" s="75"/>
      <c r="CU40" s="1232"/>
      <c r="CV40" s="1227"/>
      <c r="CW40" s="1241"/>
      <c r="CX40" s="16"/>
      <c r="CY40" s="173"/>
    </row>
    <row r="41" spans="1:103" s="78" customFormat="1" ht="20.100000000000001" customHeight="1" thickBot="1" x14ac:dyDescent="0.25">
      <c r="A41" s="104"/>
      <c r="B41" s="104"/>
      <c r="C41" s="1251"/>
      <c r="D41" s="20"/>
      <c r="E41" s="1231"/>
      <c r="F41" s="650" t="str">
        <f>_Calcs!$M$57</f>
        <v>Alle typer &gt; 4 m</v>
      </c>
      <c r="G41" s="650"/>
      <c r="H41" s="650"/>
      <c r="I41" s="650"/>
      <c r="J41" s="6253"/>
      <c r="K41" s="1241"/>
      <c r="L41" s="17"/>
      <c r="M41" s="1474"/>
      <c r="N41" s="174">
        <f>_Kapasitet!$U$71</f>
        <v>7.5</v>
      </c>
      <c r="O41" s="1471"/>
      <c r="P41" s="2514" t="str">
        <f>_Kapasitet!W71</f>
        <v>Standard</v>
      </c>
      <c r="Q41" s="1473"/>
      <c r="R41" s="70"/>
      <c r="S41" s="1474"/>
      <c r="T41" s="1472" t="s">
        <v>14</v>
      </c>
      <c r="U41" s="1473"/>
      <c r="V41" s="70"/>
      <c r="W41" s="6773"/>
      <c r="X41" s="70"/>
      <c r="Y41" s="3999"/>
      <c r="Z41" s="6738" t="s">
        <v>46</v>
      </c>
      <c r="AA41" s="6738"/>
      <c r="AB41" s="6738"/>
      <c r="AC41" s="1507"/>
      <c r="AE41" s="1240"/>
      <c r="AF41" s="75"/>
      <c r="AG41" s="2313">
        <f>INDEX(outputs_oppsum[gt4m],MATCH(_Calcs!$NO$41,outputs_oppsum[stuff_id],0))</f>
        <v>0</v>
      </c>
      <c r="AH41" s="75"/>
      <c r="AI41" s="30" t="str">
        <f>IF(_Calcs!$NO$351=1,"✓","!")</f>
        <v>!</v>
      </c>
      <c r="AJ41" s="1227"/>
      <c r="AK41" s="1241"/>
      <c r="AL41" s="16"/>
      <c r="AM41" s="1240"/>
      <c r="AN41" s="75"/>
      <c r="AO41" s="2313" t="e">
        <f>INDEX(outputs_oppsum[gt4m],MATCH(_Calcs!$NP$41,outputs_oppsum[stuff_id],0))</f>
        <v>#N/A</v>
      </c>
      <c r="AP41" s="75"/>
      <c r="AQ41" s="30" t="e">
        <f>IF(_Calcs!$NP$351=1,"✓","!")</f>
        <v>#N/A</v>
      </c>
      <c r="AR41" s="1227"/>
      <c r="AS41" s="1241"/>
      <c r="AT41" s="16"/>
      <c r="AU41" s="1240"/>
      <c r="AV41" s="75"/>
      <c r="AW41" s="2313" t="e">
        <f>INDEX(outputs_oppsum[gt4m],MATCH(_Calcs!$NQ$41,outputs_oppsum[stuff_id],0))</f>
        <v>#N/A</v>
      </c>
      <c r="AX41" s="75"/>
      <c r="AY41" s="30" t="e">
        <f>IF(_Calcs!$NQ$351=1,"✓","!")</f>
        <v>#N/A</v>
      </c>
      <c r="AZ41" s="1227"/>
      <c r="BA41" s="1241"/>
      <c r="BB41" s="16"/>
      <c r="BC41" s="1240"/>
      <c r="BD41" s="75"/>
      <c r="BE41" s="2313" t="e">
        <f>INDEX(outputs_oppsum[gt4m],MATCH(_Calcs!$NR$41,outputs_oppsum[stuff_id],0))</f>
        <v>#N/A</v>
      </c>
      <c r="BF41" s="75"/>
      <c r="BG41" s="30" t="e">
        <f>IF(_Calcs!$NR$351=1,"✓","!")</f>
        <v>#N/A</v>
      </c>
      <c r="BH41" s="1227"/>
      <c r="BI41" s="1241"/>
      <c r="BJ41" s="16"/>
      <c r="BK41" s="1240"/>
      <c r="BL41" s="75"/>
      <c r="BM41" s="2313" t="e">
        <f>INDEX(outputs_oppsum[gt4m],MATCH(_Calcs!$NS$41,outputs_oppsum[stuff_id],0))</f>
        <v>#N/A</v>
      </c>
      <c r="BN41" s="75"/>
      <c r="BO41" s="30" t="e">
        <f>IF(_Calcs!$NS$351=1,"✓","!")</f>
        <v>#N/A</v>
      </c>
      <c r="BP41" s="1227"/>
      <c r="BQ41" s="1241"/>
      <c r="BR41" s="16"/>
      <c r="BS41" s="1240"/>
      <c r="BT41" s="75"/>
      <c r="BU41" s="2313" t="e">
        <f>INDEX(outputs_oppsum[gt4m],MATCH(_Calcs!$NT$41,outputs_oppsum[stuff_id],0))</f>
        <v>#N/A</v>
      </c>
      <c r="BV41" s="75"/>
      <c r="BW41" s="30" t="e">
        <f>IF(_Calcs!$NT$351=1,"✓","!")</f>
        <v>#N/A</v>
      </c>
      <c r="BX41" s="1227"/>
      <c r="BY41" s="1241"/>
      <c r="BZ41" s="16"/>
      <c r="CA41" s="1240"/>
      <c r="CB41" s="75"/>
      <c r="CC41" s="2313" t="e">
        <f>INDEX(outputs_oppsum[gt4m],MATCH(_Calcs!$NU$41,outputs_oppsum[stuff_id],0))</f>
        <v>#N/A</v>
      </c>
      <c r="CD41" s="75"/>
      <c r="CE41" s="30" t="e">
        <f>IF(_Calcs!$NU$351=1,"✓","!")</f>
        <v>#N/A</v>
      </c>
      <c r="CF41" s="1227"/>
      <c r="CG41" s="1241"/>
      <c r="CH41" s="16"/>
      <c r="CI41" s="1240"/>
      <c r="CJ41" s="75"/>
      <c r="CK41" s="2313" t="e">
        <f>INDEX(outputs_oppsum[gt4m],MATCH(_Calcs!$NV$41,outputs_oppsum[stuff_id],0))</f>
        <v>#N/A</v>
      </c>
      <c r="CL41" s="75"/>
      <c r="CM41" s="30" t="e">
        <f>IF(_Calcs!$NV$351=1,"✓","!")</f>
        <v>#N/A</v>
      </c>
      <c r="CN41" s="1227"/>
      <c r="CO41" s="1241"/>
      <c r="CP41" s="16"/>
      <c r="CQ41" s="1240"/>
      <c r="CR41" s="75"/>
      <c r="CS41" s="2313" t="e">
        <f>INDEX(outputs_oppsum[gt4m],MATCH(_Calcs!$NW$41,outputs_oppsum[stuff_id],0))</f>
        <v>#N/A</v>
      </c>
      <c r="CT41" s="75"/>
      <c r="CU41" s="30" t="e">
        <f>IF(_Calcs!$NW$351=1,"✓","!")</f>
        <v>#N/A</v>
      </c>
      <c r="CV41" s="1227"/>
      <c r="CW41" s="1241"/>
      <c r="CX41" s="16"/>
      <c r="CY41" s="173"/>
    </row>
    <row r="42" spans="1:103" s="78" customFormat="1" ht="15" customHeight="1" thickBot="1" x14ac:dyDescent="0.25">
      <c r="A42" s="104"/>
      <c r="B42" s="104"/>
      <c r="C42" s="1251"/>
      <c r="D42" s="20"/>
      <c r="E42" s="1229"/>
      <c r="F42" s="659"/>
      <c r="G42" s="659"/>
      <c r="H42" s="659"/>
      <c r="I42" s="659"/>
      <c r="J42" s="655"/>
      <c r="K42" s="1230"/>
      <c r="L42" s="17"/>
      <c r="M42" s="1468"/>
      <c r="N42" s="1469"/>
      <c r="O42" s="1469"/>
      <c r="P42" s="1469"/>
      <c r="Q42" s="1470"/>
      <c r="R42" s="70"/>
      <c r="S42" s="1468"/>
      <c r="T42" s="1469"/>
      <c r="U42" s="1470"/>
      <c r="V42" s="70"/>
      <c r="W42" s="6773"/>
      <c r="X42" s="70"/>
      <c r="Y42" s="4000"/>
      <c r="Z42" s="1508"/>
      <c r="AA42" s="1508"/>
      <c r="AB42" s="1509"/>
      <c r="AC42" s="1510"/>
      <c r="AE42" s="1229"/>
      <c r="AF42" s="659"/>
      <c r="AG42" s="1242"/>
      <c r="AH42" s="659"/>
      <c r="AI42" s="659"/>
      <c r="AJ42" s="1243"/>
      <c r="AK42" s="1244"/>
      <c r="AL42" s="16"/>
      <c r="AM42" s="1229"/>
      <c r="AN42" s="659"/>
      <c r="AO42" s="1242"/>
      <c r="AP42" s="659"/>
      <c r="AQ42" s="659"/>
      <c r="AR42" s="1243"/>
      <c r="AS42" s="1244"/>
      <c r="AT42" s="16"/>
      <c r="AU42" s="1229"/>
      <c r="AV42" s="659"/>
      <c r="AW42" s="1242"/>
      <c r="AX42" s="659"/>
      <c r="AY42" s="659"/>
      <c r="AZ42" s="1243"/>
      <c r="BA42" s="1244"/>
      <c r="BB42" s="16"/>
      <c r="BC42" s="1229"/>
      <c r="BD42" s="659"/>
      <c r="BE42" s="1242"/>
      <c r="BF42" s="659"/>
      <c r="BG42" s="659"/>
      <c r="BH42" s="1243"/>
      <c r="BI42" s="1244"/>
      <c r="BJ42" s="16"/>
      <c r="BK42" s="1229"/>
      <c r="BL42" s="659"/>
      <c r="BM42" s="1242"/>
      <c r="BN42" s="659"/>
      <c r="BO42" s="659"/>
      <c r="BP42" s="1243"/>
      <c r="BQ42" s="1244"/>
      <c r="BR42" s="16"/>
      <c r="BS42" s="1229"/>
      <c r="BT42" s="659"/>
      <c r="BU42" s="1242"/>
      <c r="BV42" s="659"/>
      <c r="BW42" s="659"/>
      <c r="BX42" s="1243"/>
      <c r="BY42" s="1244"/>
      <c r="BZ42" s="16"/>
      <c r="CA42" s="1229"/>
      <c r="CB42" s="659"/>
      <c r="CC42" s="1242"/>
      <c r="CD42" s="659"/>
      <c r="CE42" s="659"/>
      <c r="CF42" s="1243"/>
      <c r="CG42" s="1244"/>
      <c r="CH42" s="16"/>
      <c r="CI42" s="1229"/>
      <c r="CJ42" s="659"/>
      <c r="CK42" s="1242"/>
      <c r="CL42" s="659"/>
      <c r="CM42" s="659"/>
      <c r="CN42" s="1243"/>
      <c r="CO42" s="1244"/>
      <c r="CP42" s="16"/>
      <c r="CQ42" s="1229"/>
      <c r="CR42" s="659"/>
      <c r="CS42" s="1242"/>
      <c r="CT42" s="659"/>
      <c r="CU42" s="659"/>
      <c r="CV42" s="1243"/>
      <c r="CW42" s="1244"/>
      <c r="CX42" s="16"/>
      <c r="CY42" s="173"/>
    </row>
    <row r="43" spans="1:103" s="78" customFormat="1" ht="24.95" customHeight="1" thickBot="1" x14ac:dyDescent="0.25">
      <c r="A43" s="104"/>
      <c r="B43" s="104"/>
      <c r="C43" s="1251"/>
      <c r="D43" s="20"/>
      <c r="E43" s="15"/>
      <c r="F43" s="21"/>
      <c r="G43" s="21"/>
      <c r="H43" s="21"/>
      <c r="I43" s="21"/>
      <c r="J43" s="16"/>
      <c r="K43" s="19"/>
      <c r="L43" s="17"/>
      <c r="M43" s="19"/>
      <c r="N43" s="90"/>
      <c r="O43" s="13"/>
      <c r="P43" s="13"/>
      <c r="Q43" s="13"/>
      <c r="R43" s="70"/>
      <c r="S43" s="19"/>
      <c r="T43" s="15"/>
      <c r="U43" s="13"/>
      <c r="V43" s="70"/>
      <c r="W43" s="6773"/>
      <c r="X43" s="70"/>
      <c r="Y43" s="70"/>
      <c r="Z43" s="70"/>
      <c r="AA43" s="70"/>
      <c r="AB43" s="16"/>
      <c r="AE43" s="16"/>
      <c r="AF43" s="16"/>
      <c r="AG43" s="22"/>
      <c r="AH43" s="16"/>
      <c r="AI43" s="19"/>
      <c r="AJ43" s="21"/>
      <c r="AK43" s="21"/>
      <c r="AL43" s="16"/>
      <c r="AM43" s="16"/>
      <c r="AN43" s="16"/>
      <c r="AO43" s="22"/>
      <c r="AP43" s="16"/>
      <c r="AQ43" s="19"/>
      <c r="AR43" s="21"/>
      <c r="AS43" s="21"/>
      <c r="AT43" s="16"/>
      <c r="AU43" s="16"/>
      <c r="AV43" s="16"/>
      <c r="AW43" s="22"/>
      <c r="AX43" s="16"/>
      <c r="AY43" s="19"/>
      <c r="AZ43" s="21"/>
      <c r="BA43" s="21"/>
      <c r="BB43" s="16"/>
      <c r="BC43" s="16"/>
      <c r="BD43" s="16"/>
      <c r="BE43" s="22"/>
      <c r="BF43" s="16"/>
      <c r="BG43" s="19"/>
      <c r="BH43" s="21"/>
      <c r="BI43" s="21"/>
      <c r="BJ43" s="16"/>
      <c r="BK43" s="16"/>
      <c r="BL43" s="16"/>
      <c r="BM43" s="22"/>
      <c r="BN43" s="16"/>
      <c r="BO43" s="19"/>
      <c r="BP43" s="21"/>
      <c r="BQ43" s="21"/>
      <c r="BR43" s="16"/>
      <c r="BS43" s="16"/>
      <c r="BT43" s="16"/>
      <c r="BU43" s="22"/>
      <c r="BV43" s="16"/>
      <c r="BW43" s="19"/>
      <c r="BX43" s="21"/>
      <c r="BY43" s="21"/>
      <c r="BZ43" s="16"/>
      <c r="CA43" s="16"/>
      <c r="CB43" s="16"/>
      <c r="CC43" s="22"/>
      <c r="CD43" s="16"/>
      <c r="CE43" s="19"/>
      <c r="CF43" s="21"/>
      <c r="CG43" s="21"/>
      <c r="CH43" s="16"/>
      <c r="CI43" s="16"/>
      <c r="CJ43" s="16"/>
      <c r="CK43" s="22"/>
      <c r="CL43" s="16"/>
      <c r="CM43" s="19"/>
      <c r="CN43" s="21"/>
      <c r="CO43" s="21"/>
      <c r="CP43" s="16"/>
      <c r="CQ43" s="16"/>
      <c r="CR43" s="16"/>
      <c r="CS43" s="22"/>
      <c r="CT43" s="16"/>
      <c r="CU43" s="19"/>
      <c r="CV43" s="21"/>
      <c r="CW43" s="21"/>
      <c r="CX43" s="16"/>
      <c r="CY43" s="21"/>
    </row>
    <row r="44" spans="1:103" s="78" customFormat="1" ht="15" customHeight="1" thickBot="1" x14ac:dyDescent="0.25">
      <c r="A44" s="104"/>
      <c r="B44" s="104"/>
      <c r="C44" s="1251"/>
      <c r="D44" s="20"/>
      <c r="E44" s="1219"/>
      <c r="F44" s="6597" t="str">
        <f>_Calcs!K$59</f>
        <v>Bergbånd og nett</v>
      </c>
      <c r="G44" s="6597"/>
      <c r="H44" s="6597"/>
      <c r="I44" s="6597"/>
      <c r="J44" s="6597"/>
      <c r="K44" s="1495"/>
      <c r="L44" s="1463"/>
      <c r="M44" s="19"/>
      <c r="N44" s="90"/>
      <c r="O44" s="13"/>
      <c r="P44" s="13"/>
      <c r="Q44" s="13"/>
      <c r="R44" s="70"/>
      <c r="S44" s="19"/>
      <c r="T44" s="15"/>
      <c r="U44" s="13"/>
      <c r="V44" s="70"/>
      <c r="W44" s="6773"/>
      <c r="X44" s="70"/>
      <c r="Y44" s="70"/>
      <c r="Z44" s="70"/>
      <c r="AA44" s="70"/>
      <c r="AB44" s="16"/>
      <c r="AE44" s="16"/>
      <c r="AF44" s="16"/>
      <c r="AG44" s="22"/>
      <c r="AH44" s="16"/>
      <c r="AI44" s="19"/>
      <c r="AJ44" s="21"/>
      <c r="AK44" s="21"/>
      <c r="AL44" s="16"/>
      <c r="AM44" s="16"/>
      <c r="AN44" s="16"/>
      <c r="AO44" s="22"/>
      <c r="AP44" s="16"/>
      <c r="AQ44" s="19"/>
      <c r="AR44" s="21"/>
      <c r="AS44" s="21"/>
      <c r="AT44" s="16"/>
      <c r="AU44" s="16"/>
      <c r="AV44" s="16"/>
      <c r="AW44" s="22"/>
      <c r="AX44" s="16"/>
      <c r="AY44" s="19"/>
      <c r="AZ44" s="21"/>
      <c r="BA44" s="21"/>
      <c r="BB44" s="16"/>
      <c r="BC44" s="16"/>
      <c r="BD44" s="16"/>
      <c r="BE44" s="22"/>
      <c r="BF44" s="16"/>
      <c r="BG44" s="19"/>
      <c r="BH44" s="21"/>
      <c r="BI44" s="21"/>
      <c r="BJ44" s="16"/>
      <c r="BK44" s="16"/>
      <c r="BL44" s="16"/>
      <c r="BM44" s="22"/>
      <c r="BN44" s="16"/>
      <c r="BO44" s="19"/>
      <c r="BP44" s="21"/>
      <c r="BQ44" s="21"/>
      <c r="BR44" s="16"/>
      <c r="BS44" s="16"/>
      <c r="BT44" s="16"/>
      <c r="BU44" s="22"/>
      <c r="BV44" s="16"/>
      <c r="BW44" s="19"/>
      <c r="BX44" s="21"/>
      <c r="BY44" s="21"/>
      <c r="BZ44" s="16"/>
      <c r="CA44" s="16"/>
      <c r="CB44" s="16"/>
      <c r="CC44" s="22"/>
      <c r="CD44" s="16"/>
      <c r="CE44" s="19"/>
      <c r="CF44" s="21"/>
      <c r="CG44" s="21"/>
      <c r="CH44" s="16"/>
      <c r="CI44" s="16"/>
      <c r="CJ44" s="16"/>
      <c r="CK44" s="22"/>
      <c r="CL44" s="16"/>
      <c r="CM44" s="19"/>
      <c r="CN44" s="21"/>
      <c r="CO44" s="21"/>
      <c r="CP44" s="16"/>
      <c r="CQ44" s="16"/>
      <c r="CR44" s="16"/>
      <c r="CS44" s="22"/>
      <c r="CT44" s="16"/>
      <c r="CU44" s="19"/>
      <c r="CV44" s="21"/>
      <c r="CW44" s="21"/>
      <c r="CX44" s="16"/>
      <c r="CY44" s="21"/>
    </row>
    <row r="45" spans="1:103" s="78" customFormat="1" ht="15" customHeight="1" thickBot="1" x14ac:dyDescent="0.25">
      <c r="A45" s="104"/>
      <c r="B45" s="104"/>
      <c r="C45" s="1251"/>
      <c r="D45" s="20"/>
      <c r="E45" s="1221"/>
      <c r="F45" s="6598"/>
      <c r="G45" s="6598"/>
      <c r="H45" s="6598"/>
      <c r="I45" s="6598"/>
      <c r="J45" s="6598"/>
      <c r="K45" s="1496"/>
      <c r="L45" s="1463"/>
      <c r="R45" s="70"/>
      <c r="T45" s="215"/>
      <c r="V45" s="70"/>
      <c r="W45" s="6773"/>
      <c r="X45" s="70"/>
      <c r="Y45" s="70"/>
      <c r="Z45" s="70"/>
      <c r="AA45" s="70"/>
      <c r="AB45" s="16"/>
      <c r="AE45" s="692"/>
      <c r="AF45" s="693"/>
      <c r="AG45" s="1233"/>
      <c r="AH45" s="693"/>
      <c r="AI45" s="1234"/>
      <c r="AJ45" s="748"/>
      <c r="AK45" s="1235"/>
      <c r="AL45" s="16"/>
      <c r="AM45" s="692"/>
      <c r="AN45" s="693"/>
      <c r="AO45" s="1233"/>
      <c r="AP45" s="693"/>
      <c r="AQ45" s="1234"/>
      <c r="AR45" s="748"/>
      <c r="AS45" s="1235"/>
      <c r="AT45" s="16"/>
      <c r="AU45" s="692"/>
      <c r="AV45" s="693"/>
      <c r="AW45" s="1233"/>
      <c r="AX45" s="693"/>
      <c r="AY45" s="1234"/>
      <c r="AZ45" s="748"/>
      <c r="BA45" s="1235"/>
      <c r="BB45" s="16"/>
      <c r="BC45" s="692"/>
      <c r="BD45" s="693"/>
      <c r="BE45" s="1233"/>
      <c r="BF45" s="693"/>
      <c r="BG45" s="1234"/>
      <c r="BH45" s="748"/>
      <c r="BI45" s="1235"/>
      <c r="BJ45" s="16"/>
      <c r="BK45" s="692"/>
      <c r="BL45" s="693"/>
      <c r="BM45" s="1233"/>
      <c r="BN45" s="693"/>
      <c r="BO45" s="1234"/>
      <c r="BP45" s="748"/>
      <c r="BQ45" s="1235"/>
      <c r="BR45" s="16"/>
      <c r="BS45" s="692"/>
      <c r="BT45" s="693"/>
      <c r="BU45" s="1233"/>
      <c r="BV45" s="693"/>
      <c r="BW45" s="1234"/>
      <c r="BX45" s="748"/>
      <c r="BY45" s="1235"/>
      <c r="BZ45" s="16"/>
      <c r="CA45" s="692"/>
      <c r="CB45" s="693"/>
      <c r="CC45" s="1233"/>
      <c r="CD45" s="693"/>
      <c r="CE45" s="1234"/>
      <c r="CF45" s="748"/>
      <c r="CG45" s="1235"/>
      <c r="CH45" s="16"/>
      <c r="CI45" s="692"/>
      <c r="CJ45" s="693"/>
      <c r="CK45" s="1233"/>
      <c r="CL45" s="693"/>
      <c r="CM45" s="1234"/>
      <c r="CN45" s="748"/>
      <c r="CO45" s="1235"/>
      <c r="CP45" s="16"/>
      <c r="CQ45" s="692"/>
      <c r="CR45" s="693"/>
      <c r="CS45" s="1233"/>
      <c r="CT45" s="693"/>
      <c r="CU45" s="1234"/>
      <c r="CV45" s="748"/>
      <c r="CW45" s="1235"/>
      <c r="CX45" s="16"/>
      <c r="CY45" s="172"/>
    </row>
    <row r="46" spans="1:103" s="78" customFormat="1" ht="8.1" customHeight="1" thickBot="1" x14ac:dyDescent="0.25">
      <c r="A46" s="104"/>
      <c r="B46" s="104"/>
      <c r="C46" s="1251"/>
      <c r="D46" s="20"/>
      <c r="E46" s="15"/>
      <c r="F46" s="1212"/>
      <c r="G46" s="1212"/>
      <c r="H46" s="1212"/>
      <c r="I46" s="1212"/>
      <c r="J46" s="16"/>
      <c r="K46" s="19"/>
      <c r="L46" s="17"/>
      <c r="R46" s="70"/>
      <c r="T46" s="215"/>
      <c r="V46" s="70"/>
      <c r="W46" s="6773"/>
      <c r="X46" s="70"/>
      <c r="Y46" s="70"/>
      <c r="Z46" s="70"/>
      <c r="AA46" s="70"/>
      <c r="AB46" s="16"/>
      <c r="AE46" s="16"/>
      <c r="AF46" s="16"/>
      <c r="AG46" s="22"/>
      <c r="AH46" s="16"/>
      <c r="AI46" s="19"/>
      <c r="AJ46" s="21"/>
      <c r="AK46" s="21"/>
      <c r="AL46" s="16"/>
      <c r="AM46" s="16"/>
      <c r="AN46" s="16"/>
      <c r="AO46" s="22"/>
      <c r="AP46" s="16"/>
      <c r="AQ46" s="19"/>
      <c r="AR46" s="21"/>
      <c r="AS46" s="21"/>
      <c r="AT46" s="16"/>
      <c r="AU46" s="16"/>
      <c r="AV46" s="16"/>
      <c r="AW46" s="22"/>
      <c r="AX46" s="16"/>
      <c r="AY46" s="19"/>
      <c r="AZ46" s="21"/>
      <c r="BA46" s="21"/>
      <c r="BB46" s="16"/>
      <c r="BC46" s="16"/>
      <c r="BD46" s="16"/>
      <c r="BE46" s="22"/>
      <c r="BF46" s="16"/>
      <c r="BG46" s="19"/>
      <c r="BH46" s="21"/>
      <c r="BI46" s="21"/>
      <c r="BJ46" s="16"/>
      <c r="BK46" s="16"/>
      <c r="BL46" s="16"/>
      <c r="BM46" s="22"/>
      <c r="BN46" s="16"/>
      <c r="BO46" s="19"/>
      <c r="BP46" s="21"/>
      <c r="BQ46" s="21"/>
      <c r="BR46" s="16"/>
      <c r="BS46" s="16"/>
      <c r="BT46" s="16"/>
      <c r="BU46" s="22"/>
      <c r="BV46" s="16"/>
      <c r="BW46" s="19"/>
      <c r="BX46" s="21"/>
      <c r="BY46" s="21"/>
      <c r="BZ46" s="16"/>
      <c r="CA46" s="16"/>
      <c r="CB46" s="16"/>
      <c r="CC46" s="22"/>
      <c r="CD46" s="16"/>
      <c r="CE46" s="19"/>
      <c r="CF46" s="21"/>
      <c r="CG46" s="21"/>
      <c r="CH46" s="16"/>
      <c r="CI46" s="16"/>
      <c r="CJ46" s="16"/>
      <c r="CK46" s="22"/>
      <c r="CL46" s="16"/>
      <c r="CM46" s="19"/>
      <c r="CN46" s="21"/>
      <c r="CO46" s="21"/>
      <c r="CP46" s="16"/>
      <c r="CQ46" s="16"/>
      <c r="CR46" s="16"/>
      <c r="CS46" s="22"/>
      <c r="CT46" s="16"/>
      <c r="CU46" s="19"/>
      <c r="CV46" s="21"/>
      <c r="CW46" s="21"/>
      <c r="CX46" s="16"/>
      <c r="CY46" s="21"/>
    </row>
    <row r="47" spans="1:103" s="78" customFormat="1" ht="15" customHeight="1" thickBot="1" x14ac:dyDescent="0.25">
      <c r="A47" s="104"/>
      <c r="B47" s="104"/>
      <c r="C47" s="1251"/>
      <c r="D47" s="20"/>
      <c r="E47" s="660"/>
      <c r="F47" s="661"/>
      <c r="G47" s="661"/>
      <c r="H47" s="661"/>
      <c r="I47" s="661"/>
      <c r="J47" s="643"/>
      <c r="K47" s="1493"/>
      <c r="L47" s="17"/>
      <c r="M47" s="1475"/>
      <c r="N47" s="1476"/>
      <c r="O47" s="1477"/>
      <c r="P47" s="1477"/>
      <c r="Q47" s="1479"/>
      <c r="R47" s="70"/>
      <c r="S47" s="1475"/>
      <c r="T47" s="1478"/>
      <c r="U47" s="1479"/>
      <c r="V47" s="70"/>
      <c r="W47" s="6773"/>
      <c r="X47" s="70"/>
      <c r="Y47" s="4023"/>
      <c r="Z47" s="1504"/>
      <c r="AA47" s="1504"/>
      <c r="AB47" s="1505"/>
      <c r="AC47" s="1506"/>
      <c r="AE47" s="1237"/>
      <c r="AF47" s="643"/>
      <c r="AG47" s="642"/>
      <c r="AH47" s="643"/>
      <c r="AI47" s="1224"/>
      <c r="AJ47" s="1238"/>
      <c r="AK47" s="1239"/>
      <c r="AL47" s="16"/>
      <c r="AM47" s="1237"/>
      <c r="AN47" s="643"/>
      <c r="AO47" s="642"/>
      <c r="AP47" s="643"/>
      <c r="AQ47" s="1224"/>
      <c r="AR47" s="1238"/>
      <c r="AS47" s="1239"/>
      <c r="AT47" s="16"/>
      <c r="AU47" s="1237"/>
      <c r="AV47" s="643"/>
      <c r="AW47" s="642"/>
      <c r="AX47" s="643"/>
      <c r="AY47" s="1224"/>
      <c r="AZ47" s="1238"/>
      <c r="BA47" s="1239"/>
      <c r="BB47" s="16"/>
      <c r="BC47" s="1237"/>
      <c r="BD47" s="643"/>
      <c r="BE47" s="642"/>
      <c r="BF47" s="643"/>
      <c r="BG47" s="1224"/>
      <c r="BH47" s="1238"/>
      <c r="BI47" s="1239"/>
      <c r="BJ47" s="16"/>
      <c r="BK47" s="1237"/>
      <c r="BL47" s="643"/>
      <c r="BM47" s="642"/>
      <c r="BN47" s="643"/>
      <c r="BO47" s="1224"/>
      <c r="BP47" s="1238"/>
      <c r="BQ47" s="1239"/>
      <c r="BR47" s="16"/>
      <c r="BS47" s="1237"/>
      <c r="BT47" s="643"/>
      <c r="BU47" s="642"/>
      <c r="BV47" s="643"/>
      <c r="BW47" s="1224"/>
      <c r="BX47" s="1238"/>
      <c r="BY47" s="1239"/>
      <c r="BZ47" s="16"/>
      <c r="CA47" s="1237"/>
      <c r="CB47" s="643"/>
      <c r="CC47" s="642"/>
      <c r="CD47" s="643"/>
      <c r="CE47" s="1224"/>
      <c r="CF47" s="1238"/>
      <c r="CG47" s="1239"/>
      <c r="CH47" s="16"/>
      <c r="CI47" s="1237"/>
      <c r="CJ47" s="643"/>
      <c r="CK47" s="642"/>
      <c r="CL47" s="643"/>
      <c r="CM47" s="1224"/>
      <c r="CN47" s="1238"/>
      <c r="CO47" s="1239"/>
      <c r="CP47" s="16"/>
      <c r="CQ47" s="1237"/>
      <c r="CR47" s="643"/>
      <c r="CS47" s="642"/>
      <c r="CT47" s="643"/>
      <c r="CU47" s="1224"/>
      <c r="CV47" s="1238"/>
      <c r="CW47" s="1239"/>
      <c r="CX47" s="16"/>
      <c r="CY47" s="173"/>
    </row>
    <row r="48" spans="1:103" s="78" customFormat="1" ht="20.100000000000001" customHeight="1" thickBot="1" x14ac:dyDescent="0.25">
      <c r="A48" s="104"/>
      <c r="B48" s="104"/>
      <c r="C48" s="1251"/>
      <c r="D48" s="20"/>
      <c r="E48" s="663"/>
      <c r="F48" s="650" t="str">
        <f>_Calcs!$L$59</f>
        <v>Bergbånd</v>
      </c>
      <c r="G48" s="650"/>
      <c r="H48" s="650"/>
      <c r="I48" s="650"/>
      <c r="J48" s="6296"/>
      <c r="K48" s="1241"/>
      <c r="L48" s="17"/>
      <c r="M48" s="1474"/>
      <c r="N48" s="174">
        <f>_Kapasitet!$U$74</f>
        <v>25</v>
      </c>
      <c r="O48" s="1471"/>
      <c r="P48" s="2514" t="str">
        <f>_Kapasitet!W74</f>
        <v>Standard</v>
      </c>
      <c r="Q48" s="1473"/>
      <c r="R48" s="70"/>
      <c r="S48" s="1474"/>
      <c r="T48" s="1472" t="s">
        <v>37</v>
      </c>
      <c r="U48" s="1473"/>
      <c r="V48" s="70"/>
      <c r="W48" s="6773"/>
      <c r="X48" s="70"/>
      <c r="Y48" s="3999"/>
      <c r="Z48" s="6738" t="s">
        <v>46</v>
      </c>
      <c r="AA48" s="6738"/>
      <c r="AB48" s="6738"/>
      <c r="AC48" s="1507"/>
      <c r="AE48" s="1240"/>
      <c r="AF48" s="75"/>
      <c r="AG48" s="2313">
        <f>INDEX(outputs_oppsum[bergbånd],MATCH(_Calcs!$NO$41,outputs_oppsum[stuff_id],0))</f>
        <v>0</v>
      </c>
      <c r="AH48" s="75"/>
      <c r="AI48" s="30" t="str">
        <f>IF(_Calcs!$NO$352=1,"✓","!")</f>
        <v>!</v>
      </c>
      <c r="AJ48" s="1227"/>
      <c r="AK48" s="1241"/>
      <c r="AL48" s="16"/>
      <c r="AM48" s="1240"/>
      <c r="AN48" s="75"/>
      <c r="AO48" s="2313" t="e">
        <f>INDEX(outputs_oppsum[bergbånd],MATCH(_Calcs!$NP$41,outputs_oppsum[stuff_id],0))</f>
        <v>#N/A</v>
      </c>
      <c r="AP48" s="75"/>
      <c r="AQ48" s="30" t="e">
        <f>IF(_Calcs!$NP$352=1,"✓","!")</f>
        <v>#N/A</v>
      </c>
      <c r="AR48" s="1227"/>
      <c r="AS48" s="1241"/>
      <c r="AT48" s="16"/>
      <c r="AU48" s="1240"/>
      <c r="AV48" s="75"/>
      <c r="AW48" s="2313" t="e">
        <f>INDEX(outputs_oppsum[bergbånd],MATCH(_Calcs!$NQ$41,outputs_oppsum[stuff_id],0))</f>
        <v>#N/A</v>
      </c>
      <c r="AX48" s="75"/>
      <c r="AY48" s="30" t="e">
        <f>IF(_Calcs!$NQ$352=1,"✓","!")</f>
        <v>#N/A</v>
      </c>
      <c r="AZ48" s="1227"/>
      <c r="BA48" s="1241"/>
      <c r="BB48" s="16"/>
      <c r="BC48" s="1240"/>
      <c r="BD48" s="75"/>
      <c r="BE48" s="2313" t="e">
        <f>INDEX(outputs_oppsum[bergbånd],MATCH(_Calcs!$NR$41,outputs_oppsum[stuff_id],0))</f>
        <v>#N/A</v>
      </c>
      <c r="BF48" s="75"/>
      <c r="BG48" s="30" t="e">
        <f>IF(_Calcs!$NR$352=1,"✓","!")</f>
        <v>#N/A</v>
      </c>
      <c r="BH48" s="1227"/>
      <c r="BI48" s="1241"/>
      <c r="BJ48" s="16"/>
      <c r="BK48" s="1240"/>
      <c r="BL48" s="75"/>
      <c r="BM48" s="2313" t="e">
        <f>INDEX(outputs_oppsum[bergbånd],MATCH(_Calcs!$NS$41,outputs_oppsum[stuff_id],0))</f>
        <v>#N/A</v>
      </c>
      <c r="BN48" s="75"/>
      <c r="BO48" s="30" t="e">
        <f>IF(_Calcs!$NS$352=1,"✓","!")</f>
        <v>#N/A</v>
      </c>
      <c r="BP48" s="1227"/>
      <c r="BQ48" s="1241"/>
      <c r="BR48" s="16"/>
      <c r="BS48" s="1240"/>
      <c r="BT48" s="75"/>
      <c r="BU48" s="2313" t="e">
        <f>INDEX(outputs_oppsum[bergbånd],MATCH(_Calcs!$NT$41,outputs_oppsum[stuff_id],0))</f>
        <v>#N/A</v>
      </c>
      <c r="BV48" s="75"/>
      <c r="BW48" s="30" t="e">
        <f>IF(_Calcs!$NT$352=1,"✓","!")</f>
        <v>#N/A</v>
      </c>
      <c r="BX48" s="1227"/>
      <c r="BY48" s="1241"/>
      <c r="BZ48" s="16"/>
      <c r="CA48" s="1240"/>
      <c r="CB48" s="75"/>
      <c r="CC48" s="2313" t="e">
        <f>INDEX(outputs_oppsum[bergbånd],MATCH(_Calcs!$NU$41,outputs_oppsum[stuff_id],0))</f>
        <v>#N/A</v>
      </c>
      <c r="CD48" s="75"/>
      <c r="CE48" s="30" t="e">
        <f>IF(_Calcs!$NU$352=1,"✓","!")</f>
        <v>#N/A</v>
      </c>
      <c r="CF48" s="1227"/>
      <c r="CG48" s="1241"/>
      <c r="CH48" s="16"/>
      <c r="CI48" s="1240"/>
      <c r="CJ48" s="75"/>
      <c r="CK48" s="2313" t="e">
        <f>INDEX(outputs_oppsum[bergbånd],MATCH(_Calcs!$NV$41,outputs_oppsum[stuff_id],0))</f>
        <v>#N/A</v>
      </c>
      <c r="CL48" s="75"/>
      <c r="CM48" s="30" t="e">
        <f>IF(_Calcs!$NV$352=1,"✓","!")</f>
        <v>#N/A</v>
      </c>
      <c r="CN48" s="1227"/>
      <c r="CO48" s="1241"/>
      <c r="CP48" s="16"/>
      <c r="CQ48" s="1240"/>
      <c r="CR48" s="75"/>
      <c r="CS48" s="2313" t="e">
        <f>INDEX(outputs_oppsum[bergbånd],MATCH(_Calcs!$NW$41,outputs_oppsum[stuff_id],0))</f>
        <v>#N/A</v>
      </c>
      <c r="CT48" s="75"/>
      <c r="CU48" s="30" t="e">
        <f>IF(_Calcs!$NW$352=1,"✓","!")</f>
        <v>#N/A</v>
      </c>
      <c r="CV48" s="1227"/>
      <c r="CW48" s="1241"/>
      <c r="CX48" s="16"/>
      <c r="CY48" s="173"/>
    </row>
    <row r="49" spans="1:103" s="78" customFormat="1" ht="15" customHeight="1" thickBot="1" x14ac:dyDescent="0.25">
      <c r="A49" s="104"/>
      <c r="B49" s="104"/>
      <c r="C49" s="1251"/>
      <c r="D49" s="20"/>
      <c r="E49" s="663"/>
      <c r="F49" s="650"/>
      <c r="G49" s="650"/>
      <c r="H49" s="650"/>
      <c r="I49" s="650"/>
      <c r="J49" s="75"/>
      <c r="K49" s="1497"/>
      <c r="L49" s="17"/>
      <c r="M49" s="1480"/>
      <c r="N49" s="1481"/>
      <c r="O49" s="1471"/>
      <c r="P49" s="1471"/>
      <c r="Q49" s="1473"/>
      <c r="R49" s="70"/>
      <c r="S49" s="1480"/>
      <c r="T49" s="1472"/>
      <c r="U49" s="1473"/>
      <c r="V49" s="70"/>
      <c r="W49" s="6773"/>
      <c r="X49" s="70"/>
      <c r="Y49" s="3999"/>
      <c r="Z49" s="1499"/>
      <c r="AA49" s="1499"/>
      <c r="AB49" s="1498"/>
      <c r="AC49" s="1507"/>
      <c r="AE49" s="1240"/>
      <c r="AF49" s="75"/>
      <c r="AG49" s="74"/>
      <c r="AH49" s="75"/>
      <c r="AI49" s="1232"/>
      <c r="AJ49" s="1227"/>
      <c r="AK49" s="1241"/>
      <c r="AL49" s="16"/>
      <c r="AM49" s="1240"/>
      <c r="AN49" s="75"/>
      <c r="AO49" s="74"/>
      <c r="AP49" s="75"/>
      <c r="AQ49" s="1232"/>
      <c r="AR49" s="1227"/>
      <c r="AS49" s="1241"/>
      <c r="AT49" s="16"/>
      <c r="AU49" s="1240"/>
      <c r="AV49" s="75"/>
      <c r="AW49" s="74"/>
      <c r="AX49" s="75"/>
      <c r="AY49" s="1232"/>
      <c r="AZ49" s="1227"/>
      <c r="BA49" s="1241"/>
      <c r="BB49" s="16"/>
      <c r="BC49" s="1240"/>
      <c r="BD49" s="75"/>
      <c r="BE49" s="74"/>
      <c r="BF49" s="75"/>
      <c r="BG49" s="1232"/>
      <c r="BH49" s="1227"/>
      <c r="BI49" s="1241"/>
      <c r="BJ49" s="16"/>
      <c r="BK49" s="1240"/>
      <c r="BL49" s="75"/>
      <c r="BM49" s="74"/>
      <c r="BN49" s="75"/>
      <c r="BO49" s="1232"/>
      <c r="BP49" s="1227"/>
      <c r="BQ49" s="1241"/>
      <c r="BR49" s="16"/>
      <c r="BS49" s="1240"/>
      <c r="BT49" s="75"/>
      <c r="BU49" s="74"/>
      <c r="BV49" s="75"/>
      <c r="BW49" s="1232"/>
      <c r="BX49" s="1227"/>
      <c r="BY49" s="1241"/>
      <c r="BZ49" s="16"/>
      <c r="CA49" s="1240"/>
      <c r="CB49" s="75"/>
      <c r="CC49" s="74"/>
      <c r="CD49" s="75"/>
      <c r="CE49" s="1232"/>
      <c r="CF49" s="1227"/>
      <c r="CG49" s="1241"/>
      <c r="CH49" s="16"/>
      <c r="CI49" s="1240"/>
      <c r="CJ49" s="75"/>
      <c r="CK49" s="74"/>
      <c r="CL49" s="75"/>
      <c r="CM49" s="1232"/>
      <c r="CN49" s="1227"/>
      <c r="CO49" s="1241"/>
      <c r="CP49" s="16"/>
      <c r="CQ49" s="1240"/>
      <c r="CR49" s="75"/>
      <c r="CS49" s="74"/>
      <c r="CT49" s="75"/>
      <c r="CU49" s="1232"/>
      <c r="CV49" s="1227"/>
      <c r="CW49" s="1241"/>
      <c r="CX49" s="16"/>
      <c r="CY49" s="173"/>
    </row>
    <row r="50" spans="1:103" s="78" customFormat="1" ht="20.100000000000001" customHeight="1" thickBot="1" x14ac:dyDescent="0.25">
      <c r="A50" s="104"/>
      <c r="B50" s="104"/>
      <c r="C50" s="1251"/>
      <c r="D50" s="20"/>
      <c r="E50" s="663"/>
      <c r="F50" s="76" t="str">
        <f>_Calcs!$K$62</f>
        <v>Nett</v>
      </c>
      <c r="G50" s="76"/>
      <c r="H50" s="76"/>
      <c r="I50" s="76"/>
      <c r="J50" s="6296"/>
      <c r="K50" s="1241"/>
      <c r="L50" s="17"/>
      <c r="M50" s="1474"/>
      <c r="N50" s="174">
        <f>_Kapasitet!$U$75</f>
        <v>10</v>
      </c>
      <c r="O50" s="1471"/>
      <c r="P50" s="2514" t="str">
        <f>_Kapasitet!W75</f>
        <v>Standard</v>
      </c>
      <c r="Q50" s="1473"/>
      <c r="R50" s="70"/>
      <c r="S50" s="1474"/>
      <c r="T50" s="1472" t="s">
        <v>104</v>
      </c>
      <c r="U50" s="1473"/>
      <c r="V50" s="70"/>
      <c r="W50" s="6773"/>
      <c r="X50" s="70"/>
      <c r="Y50" s="3999"/>
      <c r="Z50" s="6738" t="s">
        <v>46</v>
      </c>
      <c r="AA50" s="6738"/>
      <c r="AB50" s="6738"/>
      <c r="AC50" s="1507"/>
      <c r="AE50" s="1231"/>
      <c r="AF50" s="76"/>
      <c r="AG50" s="2313">
        <f>INDEX(outputs_oppsum[nett],MATCH(_Calcs!$NO$41,outputs_oppsum[stuff_id],0))</f>
        <v>0</v>
      </c>
      <c r="AH50" s="75"/>
      <c r="AI50" s="30" t="str">
        <f>IF(_Calcs!$NO$353=1,"✓","!")</f>
        <v>!</v>
      </c>
      <c r="AJ50" s="1227"/>
      <c r="AK50" s="1241"/>
      <c r="AL50" s="16"/>
      <c r="AM50" s="1231"/>
      <c r="AN50" s="76"/>
      <c r="AO50" s="2313" t="e">
        <f>INDEX(outputs_oppsum[nett],MATCH(_Calcs!$NP$41,outputs_oppsum[stuff_id],0))</f>
        <v>#N/A</v>
      </c>
      <c r="AP50" s="75"/>
      <c r="AQ50" s="30" t="e">
        <f>IF(_Calcs!$NP$353=1,"✓","!")</f>
        <v>#N/A</v>
      </c>
      <c r="AR50" s="1227"/>
      <c r="AS50" s="1241"/>
      <c r="AT50" s="16"/>
      <c r="AU50" s="1231"/>
      <c r="AV50" s="76"/>
      <c r="AW50" s="2313" t="e">
        <f>INDEX(outputs_oppsum[nett],MATCH(_Calcs!$NQ$41,outputs_oppsum[stuff_id],0))</f>
        <v>#N/A</v>
      </c>
      <c r="AX50" s="75"/>
      <c r="AY50" s="30" t="e">
        <f>IF(_Calcs!$NQ$353=1,"✓","!")</f>
        <v>#N/A</v>
      </c>
      <c r="AZ50" s="1227"/>
      <c r="BA50" s="1241"/>
      <c r="BB50" s="16"/>
      <c r="BC50" s="1231"/>
      <c r="BD50" s="76"/>
      <c r="BE50" s="2313" t="e">
        <f>INDEX(outputs_oppsum[nett],MATCH(_Calcs!$NR$41,outputs_oppsum[stuff_id],0))</f>
        <v>#N/A</v>
      </c>
      <c r="BF50" s="75"/>
      <c r="BG50" s="30" t="e">
        <f>IF(_Calcs!$NR$353=1,"✓","!")</f>
        <v>#N/A</v>
      </c>
      <c r="BH50" s="1227"/>
      <c r="BI50" s="1241"/>
      <c r="BJ50" s="16"/>
      <c r="BK50" s="1231"/>
      <c r="BL50" s="76"/>
      <c r="BM50" s="2313" t="e">
        <f>INDEX(outputs_oppsum[nett],MATCH(_Calcs!$NS$41,outputs_oppsum[stuff_id],0))</f>
        <v>#N/A</v>
      </c>
      <c r="BN50" s="75"/>
      <c r="BO50" s="30" t="e">
        <f>IF(_Calcs!$NS$353=1,"✓","!")</f>
        <v>#N/A</v>
      </c>
      <c r="BP50" s="1227"/>
      <c r="BQ50" s="1241"/>
      <c r="BR50" s="16"/>
      <c r="BS50" s="1231"/>
      <c r="BT50" s="76"/>
      <c r="BU50" s="2313" t="e">
        <f>INDEX(outputs_oppsum[nett],MATCH(_Calcs!$NT$41,outputs_oppsum[stuff_id],0))</f>
        <v>#N/A</v>
      </c>
      <c r="BV50" s="75"/>
      <c r="BW50" s="30" t="e">
        <f>IF(_Calcs!$NT$353=1,"✓","!")</f>
        <v>#N/A</v>
      </c>
      <c r="BX50" s="1227"/>
      <c r="BY50" s="1241"/>
      <c r="BZ50" s="16"/>
      <c r="CA50" s="1231"/>
      <c r="CB50" s="76"/>
      <c r="CC50" s="2313" t="e">
        <f>INDEX(outputs_oppsum[nett],MATCH(_Calcs!$NU$41,outputs_oppsum[stuff_id],0))</f>
        <v>#N/A</v>
      </c>
      <c r="CD50" s="75"/>
      <c r="CE50" s="30" t="e">
        <f>IF(_Calcs!$NU$353=1,"✓","!")</f>
        <v>#N/A</v>
      </c>
      <c r="CF50" s="1227"/>
      <c r="CG50" s="1241"/>
      <c r="CH50" s="16"/>
      <c r="CI50" s="1231"/>
      <c r="CJ50" s="76"/>
      <c r="CK50" s="2313" t="e">
        <f>INDEX(outputs_oppsum[nett],MATCH(_Calcs!$NV$41,outputs_oppsum[stuff_id],0))</f>
        <v>#N/A</v>
      </c>
      <c r="CL50" s="75"/>
      <c r="CM50" s="30" t="e">
        <f>IF(_Calcs!$NV$353=1,"✓","!")</f>
        <v>#N/A</v>
      </c>
      <c r="CN50" s="1227"/>
      <c r="CO50" s="1241"/>
      <c r="CP50" s="16"/>
      <c r="CQ50" s="1231"/>
      <c r="CR50" s="76"/>
      <c r="CS50" s="2313" t="e">
        <f>INDEX(outputs_oppsum[nett],MATCH(_Calcs!$NW$41,outputs_oppsum[stuff_id],0))</f>
        <v>#N/A</v>
      </c>
      <c r="CT50" s="75"/>
      <c r="CU50" s="30" t="e">
        <f>IF(_Calcs!$NW$353=1,"✓","!")</f>
        <v>#N/A</v>
      </c>
      <c r="CV50" s="1227"/>
      <c r="CW50" s="1241"/>
      <c r="CX50" s="16"/>
      <c r="CY50" s="173"/>
    </row>
    <row r="51" spans="1:103" s="78" customFormat="1" ht="15" customHeight="1" thickBot="1" x14ac:dyDescent="0.25">
      <c r="A51" s="104"/>
      <c r="B51" s="104"/>
      <c r="C51" s="1251"/>
      <c r="D51" s="20"/>
      <c r="E51" s="663"/>
      <c r="F51" s="650"/>
      <c r="G51" s="650"/>
      <c r="H51" s="650"/>
      <c r="I51" s="650"/>
      <c r="J51" s="75"/>
      <c r="K51" s="1497"/>
      <c r="L51" s="17"/>
      <c r="M51" s="1480"/>
      <c r="N51" s="1481"/>
      <c r="O51" s="1471"/>
      <c r="P51" s="1471"/>
      <c r="Q51" s="1473"/>
      <c r="R51" s="70"/>
      <c r="S51" s="1480"/>
      <c r="T51" s="1472"/>
      <c r="U51" s="1473"/>
      <c r="V51" s="70"/>
      <c r="W51" s="6773"/>
      <c r="X51" s="70"/>
      <c r="Y51" s="3999"/>
      <c r="Z51" s="1499"/>
      <c r="AA51" s="1499"/>
      <c r="AB51" s="1498"/>
      <c r="AC51" s="1507"/>
      <c r="AE51" s="1240"/>
      <c r="AF51" s="75"/>
      <c r="AG51" s="74"/>
      <c r="AH51" s="75"/>
      <c r="AI51" s="1232"/>
      <c r="AJ51" s="1227"/>
      <c r="AK51" s="1241"/>
      <c r="AL51" s="16"/>
      <c r="AM51" s="1240"/>
      <c r="AN51" s="75"/>
      <c r="AO51" s="74"/>
      <c r="AP51" s="75"/>
      <c r="AQ51" s="1232"/>
      <c r="AR51" s="1227"/>
      <c r="AS51" s="1241"/>
      <c r="AT51" s="16"/>
      <c r="AU51" s="1240"/>
      <c r="AV51" s="75"/>
      <c r="AW51" s="74"/>
      <c r="AX51" s="75"/>
      <c r="AY51" s="1232"/>
      <c r="AZ51" s="1227"/>
      <c r="BA51" s="1241"/>
      <c r="BB51" s="16"/>
      <c r="BC51" s="1240"/>
      <c r="BD51" s="75"/>
      <c r="BE51" s="74"/>
      <c r="BF51" s="75"/>
      <c r="BG51" s="1232"/>
      <c r="BH51" s="1227"/>
      <c r="BI51" s="1241"/>
      <c r="BJ51" s="16"/>
      <c r="BK51" s="1240"/>
      <c r="BL51" s="75"/>
      <c r="BM51" s="74"/>
      <c r="BN51" s="75"/>
      <c r="BO51" s="1232"/>
      <c r="BP51" s="1227"/>
      <c r="BQ51" s="1241"/>
      <c r="BR51" s="16"/>
      <c r="BS51" s="1240"/>
      <c r="BT51" s="75"/>
      <c r="BU51" s="74"/>
      <c r="BV51" s="75"/>
      <c r="BW51" s="1232"/>
      <c r="BX51" s="1227"/>
      <c r="BY51" s="1241"/>
      <c r="BZ51" s="16"/>
      <c r="CA51" s="1240"/>
      <c r="CB51" s="75"/>
      <c r="CC51" s="74"/>
      <c r="CD51" s="75"/>
      <c r="CE51" s="1232"/>
      <c r="CF51" s="1227"/>
      <c r="CG51" s="1241"/>
      <c r="CH51" s="16"/>
      <c r="CI51" s="1240"/>
      <c r="CJ51" s="75"/>
      <c r="CK51" s="74"/>
      <c r="CL51" s="75"/>
      <c r="CM51" s="1232"/>
      <c r="CN51" s="1227"/>
      <c r="CO51" s="1241"/>
      <c r="CP51" s="16"/>
      <c r="CQ51" s="1240"/>
      <c r="CR51" s="75"/>
      <c r="CS51" s="74"/>
      <c r="CT51" s="75"/>
      <c r="CU51" s="1232"/>
      <c r="CV51" s="1227"/>
      <c r="CW51" s="1241"/>
      <c r="CX51" s="16"/>
      <c r="CY51" s="173"/>
    </row>
    <row r="52" spans="1:103" s="78" customFormat="1" ht="20.100000000000001" customHeight="1" thickBot="1" x14ac:dyDescent="0.25">
      <c r="A52" s="104"/>
      <c r="B52" s="104"/>
      <c r="C52" s="1251"/>
      <c r="D52" s="20"/>
      <c r="E52" s="663"/>
      <c r="F52" s="6596" t="s">
        <v>1213</v>
      </c>
      <c r="G52" s="6596"/>
      <c r="H52" s="6596"/>
      <c r="I52" s="6596"/>
      <c r="J52" s="6596"/>
      <c r="K52" s="1241"/>
      <c r="L52" s="17"/>
      <c r="M52" s="1474"/>
      <c r="N52" s="174">
        <f>_Kapasitet!$U$76</f>
        <v>15</v>
      </c>
      <c r="O52" s="1471"/>
      <c r="P52" s="2514" t="str">
        <f>_Kapasitet!$W$76</f>
        <v>Standard</v>
      </c>
      <c r="Q52" s="1473"/>
      <c r="R52" s="70"/>
      <c r="S52" s="1474"/>
      <c r="T52" s="1472" t="s">
        <v>14</v>
      </c>
      <c r="U52" s="1473"/>
      <c r="V52" s="70"/>
      <c r="W52" s="6773"/>
      <c r="X52" s="70"/>
      <c r="Y52" s="3999"/>
      <c r="Z52" s="6738" t="s">
        <v>46</v>
      </c>
      <c r="AA52" s="6738"/>
      <c r="AB52" s="6738"/>
      <c r="AC52" s="1507"/>
      <c r="AE52" s="1231"/>
      <c r="AF52" s="76"/>
      <c r="AG52" s="2313">
        <f>INDEX(outputs_oppsum[festebolter_general],MATCH(_Calcs!$NO$41,outputs_oppsum[stuff_id],0))</f>
        <v>0</v>
      </c>
      <c r="AH52" s="75"/>
      <c r="AI52" s="30" t="str">
        <f>IF(_Calcs!$NO$354=1,"✓","!")</f>
        <v>!</v>
      </c>
      <c r="AJ52" s="1227"/>
      <c r="AK52" s="1241"/>
      <c r="AL52" s="16"/>
      <c r="AM52" s="1231"/>
      <c r="AN52" s="76"/>
      <c r="AO52" s="2313" t="e">
        <f>INDEX(outputs_oppsum[festebolter_general],MATCH(_Calcs!$NP$41,outputs_oppsum[stuff_id],0))</f>
        <v>#N/A</v>
      </c>
      <c r="AP52" s="75"/>
      <c r="AQ52" s="30" t="e">
        <f>IF(_Calcs!$NP$354=1,"✓","!")</f>
        <v>#N/A</v>
      </c>
      <c r="AR52" s="1227"/>
      <c r="AS52" s="1241"/>
      <c r="AT52" s="16"/>
      <c r="AU52" s="1231"/>
      <c r="AV52" s="76"/>
      <c r="AW52" s="2313" t="e">
        <f>INDEX(outputs_oppsum[festebolter_general],MATCH(_Calcs!$NQ$41,outputs_oppsum[stuff_id],0))</f>
        <v>#N/A</v>
      </c>
      <c r="AX52" s="75"/>
      <c r="AY52" s="30" t="e">
        <f>IF(_Calcs!$NQ$354=1,"✓","!")</f>
        <v>#N/A</v>
      </c>
      <c r="AZ52" s="1227"/>
      <c r="BA52" s="1241"/>
      <c r="BB52" s="16"/>
      <c r="BC52" s="1231"/>
      <c r="BD52" s="76"/>
      <c r="BE52" s="2313" t="e">
        <f>INDEX(outputs_oppsum[festebolter_general],MATCH(_Calcs!$NR$41,outputs_oppsum[stuff_id],0))</f>
        <v>#N/A</v>
      </c>
      <c r="BF52" s="75"/>
      <c r="BG52" s="30" t="e">
        <f>IF(_Calcs!$NR$354=1,"✓","!")</f>
        <v>#N/A</v>
      </c>
      <c r="BH52" s="1227"/>
      <c r="BI52" s="1241"/>
      <c r="BJ52" s="16"/>
      <c r="BK52" s="1231"/>
      <c r="BL52" s="76"/>
      <c r="BM52" s="2313" t="e">
        <f>INDEX(outputs_oppsum[festebolter_general],MATCH(_Calcs!$NS$41,outputs_oppsum[stuff_id],0))</f>
        <v>#N/A</v>
      </c>
      <c r="BN52" s="75"/>
      <c r="BO52" s="30" t="e">
        <f>IF(_Calcs!$NS$354=1,"✓","!")</f>
        <v>#N/A</v>
      </c>
      <c r="BP52" s="1227"/>
      <c r="BQ52" s="1241"/>
      <c r="BR52" s="16"/>
      <c r="BS52" s="1231"/>
      <c r="BT52" s="76"/>
      <c r="BU52" s="2313" t="e">
        <f>INDEX(outputs_oppsum[festebolter_general],MATCH(_Calcs!$NT$41,outputs_oppsum[stuff_id],0))</f>
        <v>#N/A</v>
      </c>
      <c r="BV52" s="75"/>
      <c r="BW52" s="30" t="e">
        <f>IF(_Calcs!$NT$354=1,"✓","!")</f>
        <v>#N/A</v>
      </c>
      <c r="BX52" s="1227"/>
      <c r="BY52" s="1241"/>
      <c r="BZ52" s="16"/>
      <c r="CA52" s="1231"/>
      <c r="CB52" s="76"/>
      <c r="CC52" s="2313" t="e">
        <f>INDEX(outputs_oppsum[festebolter_general],MATCH(_Calcs!$NU$41,outputs_oppsum[stuff_id],0))</f>
        <v>#N/A</v>
      </c>
      <c r="CD52" s="75"/>
      <c r="CE52" s="30" t="e">
        <f>IF(_Calcs!$NU$354=1,"✓","!")</f>
        <v>#N/A</v>
      </c>
      <c r="CF52" s="1227"/>
      <c r="CG52" s="1241"/>
      <c r="CH52" s="16"/>
      <c r="CI52" s="1231"/>
      <c r="CJ52" s="76"/>
      <c r="CK52" s="2313" t="e">
        <f>INDEX(outputs_oppsum[festebolter_general],MATCH(_Calcs!$NV$41,outputs_oppsum[stuff_id],0))</f>
        <v>#N/A</v>
      </c>
      <c r="CL52" s="75"/>
      <c r="CM52" s="30" t="e">
        <f>IF(_Calcs!$NV$354=1,"✓","!")</f>
        <v>#N/A</v>
      </c>
      <c r="CN52" s="1227"/>
      <c r="CO52" s="1241"/>
      <c r="CP52" s="16"/>
      <c r="CQ52" s="1231"/>
      <c r="CR52" s="76"/>
      <c r="CS52" s="2313" t="e">
        <f>INDEX(outputs_oppsum[festebolter_general],MATCH(_Calcs!$NW$41,outputs_oppsum[stuff_id],0))</f>
        <v>#N/A</v>
      </c>
      <c r="CT52" s="75"/>
      <c r="CU52" s="30" t="e">
        <f>IF(_Calcs!$NW$354=1,"✓","!")</f>
        <v>#N/A</v>
      </c>
      <c r="CV52" s="1227"/>
      <c r="CW52" s="1241"/>
      <c r="CX52" s="16"/>
      <c r="CY52" s="173"/>
    </row>
    <row r="53" spans="1:103" s="78" customFormat="1" ht="15" customHeight="1" thickBot="1" x14ac:dyDescent="0.25">
      <c r="A53" s="104"/>
      <c r="B53" s="104"/>
      <c r="C53" s="1251"/>
      <c r="D53" s="20"/>
      <c r="E53" s="665"/>
      <c r="F53" s="6297"/>
      <c r="G53" s="6297"/>
      <c r="H53" s="6297"/>
      <c r="I53" s="6297"/>
      <c r="J53" s="6297"/>
      <c r="K53" s="1244"/>
      <c r="L53" s="17"/>
      <c r="M53" s="1482"/>
      <c r="N53" s="1483"/>
      <c r="O53" s="1484"/>
      <c r="P53" s="1484"/>
      <c r="Q53" s="1485"/>
      <c r="R53" s="70"/>
      <c r="S53" s="1482"/>
      <c r="T53" s="1469"/>
      <c r="U53" s="1485"/>
      <c r="V53" s="70"/>
      <c r="W53" s="6773"/>
      <c r="X53" s="70"/>
      <c r="Y53" s="4000"/>
      <c r="Z53" s="1508"/>
      <c r="AA53" s="1508"/>
      <c r="AB53" s="1509"/>
      <c r="AC53" s="1510"/>
      <c r="AE53" s="1229"/>
      <c r="AF53" s="659"/>
      <c r="AG53" s="1242"/>
      <c r="AH53" s="655"/>
      <c r="AI53" s="1245"/>
      <c r="AJ53" s="1243"/>
      <c r="AK53" s="1244"/>
      <c r="AL53" s="16"/>
      <c r="AM53" s="1229"/>
      <c r="AN53" s="659"/>
      <c r="AO53" s="1242"/>
      <c r="AP53" s="655"/>
      <c r="AQ53" s="1245"/>
      <c r="AR53" s="1243"/>
      <c r="AS53" s="1244"/>
      <c r="AT53" s="16"/>
      <c r="AU53" s="1229"/>
      <c r="AV53" s="659"/>
      <c r="AW53" s="1242"/>
      <c r="AX53" s="655"/>
      <c r="AY53" s="1245"/>
      <c r="AZ53" s="1243"/>
      <c r="BA53" s="1244"/>
      <c r="BB53" s="16"/>
      <c r="BC53" s="1229"/>
      <c r="BD53" s="659"/>
      <c r="BE53" s="1242"/>
      <c r="BF53" s="655"/>
      <c r="BG53" s="1245"/>
      <c r="BH53" s="1243"/>
      <c r="BI53" s="1244"/>
      <c r="BJ53" s="16"/>
      <c r="BK53" s="1229"/>
      <c r="BL53" s="659"/>
      <c r="BM53" s="1242"/>
      <c r="BN53" s="655"/>
      <c r="BO53" s="1245"/>
      <c r="BP53" s="1243"/>
      <c r="BQ53" s="1244"/>
      <c r="BR53" s="16"/>
      <c r="BS53" s="1229"/>
      <c r="BT53" s="659"/>
      <c r="BU53" s="1242"/>
      <c r="BV53" s="655"/>
      <c r="BW53" s="1245"/>
      <c r="BX53" s="1243"/>
      <c r="BY53" s="1244"/>
      <c r="BZ53" s="16"/>
      <c r="CA53" s="1229"/>
      <c r="CB53" s="659"/>
      <c r="CC53" s="1242"/>
      <c r="CD53" s="655"/>
      <c r="CE53" s="1245"/>
      <c r="CF53" s="1243"/>
      <c r="CG53" s="1244"/>
      <c r="CH53" s="16"/>
      <c r="CI53" s="1229"/>
      <c r="CJ53" s="659"/>
      <c r="CK53" s="1242"/>
      <c r="CL53" s="655"/>
      <c r="CM53" s="1245"/>
      <c r="CN53" s="1243"/>
      <c r="CO53" s="1244"/>
      <c r="CP53" s="16"/>
      <c r="CQ53" s="1229"/>
      <c r="CR53" s="659"/>
      <c r="CS53" s="1242"/>
      <c r="CT53" s="655"/>
      <c r="CU53" s="1245"/>
      <c r="CV53" s="1243"/>
      <c r="CW53" s="1244"/>
      <c r="CX53" s="16"/>
      <c r="CY53" s="173"/>
    </row>
    <row r="54" spans="1:103" s="78" customFormat="1" ht="9.9499999999999993" hidden="1" customHeight="1" x14ac:dyDescent="0.2">
      <c r="A54" s="104"/>
      <c r="B54" s="104"/>
      <c r="C54" s="1251"/>
      <c r="D54" s="20"/>
      <c r="E54" s="663"/>
      <c r="F54" s="6254"/>
      <c r="G54" s="6254"/>
      <c r="H54" s="6254"/>
      <c r="I54" s="6254"/>
      <c r="J54" s="6253"/>
      <c r="K54" s="1241"/>
      <c r="L54" s="17"/>
      <c r="M54" s="3875"/>
      <c r="N54" s="3876"/>
      <c r="O54" s="2582"/>
      <c r="P54" s="2582"/>
      <c r="Q54" s="2582"/>
      <c r="R54" s="70"/>
      <c r="S54" s="3875"/>
      <c r="T54" s="1749"/>
      <c r="U54" s="2582"/>
      <c r="V54" s="70"/>
      <c r="W54" s="6773"/>
      <c r="X54" s="70"/>
      <c r="Y54" s="7"/>
      <c r="Z54" s="7"/>
      <c r="AA54" s="7"/>
      <c r="AB54" s="7"/>
      <c r="AC54" s="7"/>
      <c r="AE54" s="17"/>
      <c r="AF54" s="17"/>
      <c r="AG54" s="572"/>
      <c r="AH54" s="16"/>
      <c r="AI54" s="138"/>
      <c r="AJ54" s="3873"/>
      <c r="AK54" s="3873"/>
      <c r="AL54" s="16"/>
      <c r="AM54" s="17"/>
      <c r="AN54" s="17"/>
      <c r="AO54" s="572"/>
      <c r="AP54" s="16"/>
      <c r="AQ54" s="138"/>
      <c r="AR54" s="3873"/>
      <c r="AS54" s="3873"/>
      <c r="AT54" s="16"/>
      <c r="AU54" s="17"/>
      <c r="AV54" s="17"/>
      <c r="AW54" s="572"/>
      <c r="AX54" s="16"/>
      <c r="AY54" s="138"/>
      <c r="AZ54" s="3873"/>
      <c r="BA54" s="3873"/>
      <c r="BB54" s="16"/>
      <c r="BC54" s="17"/>
      <c r="BD54" s="17"/>
      <c r="BE54" s="572"/>
      <c r="BF54" s="16"/>
      <c r="BG54" s="138"/>
      <c r="BH54" s="3873"/>
      <c r="BI54" s="3873"/>
      <c r="BJ54" s="16"/>
      <c r="BK54" s="17"/>
      <c r="BL54" s="17"/>
      <c r="BM54" s="572"/>
      <c r="BN54" s="16"/>
      <c r="BO54" s="138"/>
      <c r="BP54" s="3873"/>
      <c r="BQ54" s="3873"/>
      <c r="BR54" s="16"/>
      <c r="BS54" s="17"/>
      <c r="BT54" s="17"/>
      <c r="BU54" s="572"/>
      <c r="BV54" s="16"/>
      <c r="BW54" s="138"/>
      <c r="BX54" s="3873"/>
      <c r="BY54" s="3873"/>
      <c r="BZ54" s="16"/>
      <c r="CA54" s="17"/>
      <c r="CB54" s="17"/>
      <c r="CC54" s="572"/>
      <c r="CD54" s="16"/>
      <c r="CE54" s="138"/>
      <c r="CF54" s="3873"/>
      <c r="CG54" s="3873"/>
      <c r="CH54" s="16"/>
      <c r="CI54" s="17"/>
      <c r="CJ54" s="17"/>
      <c r="CK54" s="572"/>
      <c r="CL54" s="16"/>
      <c r="CM54" s="138"/>
      <c r="CN54" s="3873"/>
      <c r="CO54" s="3873"/>
      <c r="CP54" s="16"/>
      <c r="CQ54" s="17"/>
      <c r="CR54" s="17"/>
      <c r="CS54" s="572"/>
      <c r="CT54" s="16"/>
      <c r="CU54" s="138"/>
      <c r="CV54" s="3873"/>
      <c r="CW54" s="3873"/>
      <c r="CX54" s="16"/>
      <c r="CY54" s="1261"/>
    </row>
    <row r="55" spans="1:103" s="78" customFormat="1" ht="8.1" hidden="1" customHeight="1" thickBot="1" x14ac:dyDescent="0.25">
      <c r="A55" s="104"/>
      <c r="B55" s="104"/>
      <c r="C55" s="1251"/>
      <c r="D55" s="20"/>
      <c r="E55" s="665"/>
      <c r="F55" s="659"/>
      <c r="G55" s="659"/>
      <c r="H55" s="659"/>
      <c r="I55" s="659"/>
      <c r="J55" s="655"/>
      <c r="K55" s="1494"/>
      <c r="L55" s="17"/>
      <c r="M55" s="3874"/>
      <c r="N55" s="3874"/>
      <c r="O55" s="3874"/>
      <c r="P55" s="3874"/>
      <c r="Q55" s="3874"/>
      <c r="R55" s="70"/>
      <c r="S55" s="3874"/>
      <c r="T55" s="3874"/>
      <c r="U55" s="3874"/>
      <c r="V55" s="70"/>
      <c r="W55" s="6773"/>
      <c r="X55" s="70"/>
      <c r="Y55" s="4118"/>
      <c r="Z55" s="4118"/>
      <c r="AA55" s="4118"/>
      <c r="AB55" s="4118"/>
      <c r="AC55" s="4118"/>
      <c r="AE55" s="3874"/>
      <c r="AF55" s="3874"/>
      <c r="AG55" s="3874"/>
      <c r="AH55" s="3874"/>
      <c r="AI55" s="3874"/>
      <c r="AJ55" s="3874"/>
      <c r="AK55" s="3874"/>
      <c r="AM55" s="3874"/>
      <c r="AN55" s="3874"/>
      <c r="AO55" s="3874"/>
      <c r="AP55" s="3874"/>
      <c r="AQ55" s="3874"/>
      <c r="AR55" s="3874"/>
      <c r="AS55" s="3874"/>
      <c r="AU55" s="3874"/>
      <c r="AV55" s="3874"/>
      <c r="AW55" s="3874"/>
      <c r="AX55" s="3874"/>
      <c r="AY55" s="3874"/>
      <c r="AZ55" s="3874"/>
      <c r="BA55" s="3874"/>
      <c r="BC55" s="3874"/>
      <c r="BD55" s="3874"/>
      <c r="BE55" s="3874"/>
      <c r="BF55" s="3874"/>
      <c r="BG55" s="3874"/>
      <c r="BH55" s="3874"/>
      <c r="BI55" s="3874"/>
      <c r="BK55" s="3874"/>
      <c r="BL55" s="3874"/>
      <c r="BM55" s="3874"/>
      <c r="BN55" s="3874"/>
      <c r="BO55" s="3874"/>
      <c r="BP55" s="3874"/>
      <c r="BQ55" s="3874"/>
      <c r="BS55" s="3874"/>
      <c r="BT55" s="3874"/>
      <c r="BU55" s="3874"/>
      <c r="BV55" s="3874"/>
      <c r="BW55" s="3874"/>
      <c r="BX55" s="3874"/>
      <c r="BY55" s="3874"/>
      <c r="CA55" s="3874"/>
      <c r="CB55" s="3874"/>
      <c r="CC55" s="3874"/>
      <c r="CD55" s="3874"/>
      <c r="CE55" s="3874"/>
      <c r="CF55" s="3874"/>
      <c r="CG55" s="3874"/>
      <c r="CI55" s="3874"/>
      <c r="CJ55" s="3874"/>
      <c r="CK55" s="3874"/>
      <c r="CL55" s="3874"/>
      <c r="CM55" s="3874"/>
      <c r="CN55" s="3874"/>
      <c r="CO55" s="3874"/>
      <c r="CQ55" s="3874"/>
      <c r="CR55" s="3874"/>
      <c r="CS55" s="3874"/>
      <c r="CT55" s="3874"/>
      <c r="CU55" s="3874"/>
      <c r="CV55" s="3874"/>
      <c r="CW55" s="3874"/>
      <c r="CY55" s="3874"/>
    </row>
    <row r="56" spans="1:103" s="21" customFormat="1" ht="24.95" customHeight="1" thickBot="1" x14ac:dyDescent="0.25">
      <c r="A56" s="104"/>
      <c r="B56" s="104"/>
      <c r="C56" s="1251"/>
      <c r="D56" s="104"/>
      <c r="E56" s="104"/>
      <c r="F56" s="104"/>
      <c r="G56" s="104"/>
      <c r="H56" s="104"/>
      <c r="I56" s="104"/>
      <c r="J56" s="2068"/>
      <c r="K56" s="104"/>
      <c r="L56" s="104"/>
      <c r="M56" s="104"/>
      <c r="N56" s="104"/>
      <c r="O56" s="104"/>
      <c r="P56" s="104"/>
      <c r="Q56" s="104"/>
      <c r="R56" s="70"/>
      <c r="S56" s="104"/>
      <c r="T56" s="104"/>
      <c r="U56" s="104"/>
      <c r="V56" s="70"/>
      <c r="W56" s="6773"/>
      <c r="X56" s="114"/>
      <c r="Y56" s="70"/>
      <c r="Z56" s="70"/>
      <c r="AA56" s="70"/>
      <c r="AB56" s="16"/>
      <c r="AE56" s="104"/>
      <c r="AF56" s="104"/>
      <c r="AG56" s="306"/>
      <c r="AH56" s="104"/>
      <c r="AI56" s="104"/>
      <c r="AJ56" s="104"/>
      <c r="AK56" s="104"/>
      <c r="AL56" s="16"/>
      <c r="AM56" s="104"/>
      <c r="AN56" s="104"/>
      <c r="AO56" s="306"/>
      <c r="AP56" s="104"/>
      <c r="AQ56" s="104"/>
      <c r="AR56" s="104"/>
      <c r="AS56" s="104"/>
      <c r="AT56" s="16"/>
      <c r="AU56" s="104"/>
      <c r="AV56" s="104"/>
      <c r="AW56" s="306"/>
      <c r="AX56" s="104"/>
      <c r="AY56" s="104"/>
      <c r="AZ56" s="104"/>
      <c r="BA56" s="104"/>
      <c r="BB56" s="16"/>
      <c r="BC56" s="104"/>
      <c r="BD56" s="104"/>
      <c r="BE56" s="306"/>
      <c r="BF56" s="104"/>
      <c r="BG56" s="104"/>
      <c r="BH56" s="104"/>
      <c r="BI56" s="104"/>
      <c r="BJ56" s="16"/>
      <c r="BK56" s="104"/>
      <c r="BL56" s="104"/>
      <c r="BM56" s="306"/>
      <c r="BN56" s="104"/>
      <c r="BO56" s="104"/>
      <c r="BP56" s="104"/>
      <c r="BQ56" s="104"/>
      <c r="BR56" s="16"/>
      <c r="BS56" s="104"/>
      <c r="BT56" s="104"/>
      <c r="BU56" s="306"/>
      <c r="BV56" s="104"/>
      <c r="BW56" s="104"/>
      <c r="BX56" s="104"/>
      <c r="BY56" s="104"/>
      <c r="BZ56" s="16"/>
      <c r="CA56" s="104"/>
      <c r="CB56" s="104"/>
      <c r="CC56" s="306"/>
      <c r="CD56" s="104"/>
      <c r="CE56" s="104"/>
      <c r="CF56" s="104"/>
      <c r="CG56" s="104"/>
      <c r="CH56" s="16"/>
      <c r="CI56" s="104"/>
      <c r="CJ56" s="104"/>
      <c r="CK56" s="306"/>
      <c r="CL56" s="104"/>
      <c r="CM56" s="104"/>
      <c r="CN56" s="104"/>
      <c r="CO56" s="104"/>
      <c r="CP56" s="16"/>
      <c r="CQ56" s="104"/>
      <c r="CR56" s="104"/>
      <c r="CS56" s="306"/>
      <c r="CT56" s="104"/>
      <c r="CU56" s="104"/>
      <c r="CV56" s="104"/>
      <c r="CW56" s="104"/>
      <c r="CX56" s="16"/>
      <c r="CY56" s="104"/>
    </row>
    <row r="57" spans="1:103" s="78" customFormat="1" ht="15" customHeight="1" thickBot="1" x14ac:dyDescent="0.25">
      <c r="A57" s="104"/>
      <c r="B57" s="104"/>
      <c r="C57" s="1251"/>
      <c r="D57" s="20"/>
      <c r="E57" s="1219"/>
      <c r="F57" s="6597" t="str">
        <f>_Calcs!K$65</f>
        <v>Sprøytebetong</v>
      </c>
      <c r="G57" s="6597"/>
      <c r="H57" s="6597"/>
      <c r="I57" s="6597"/>
      <c r="J57" s="6597"/>
      <c r="K57" s="1495"/>
      <c r="L57" s="1463"/>
      <c r="R57" s="70"/>
      <c r="T57" s="215"/>
      <c r="V57" s="70"/>
      <c r="W57" s="6773"/>
      <c r="X57" s="114"/>
      <c r="Y57" s="70"/>
      <c r="Z57" s="70"/>
      <c r="AA57" s="70"/>
      <c r="AB57" s="16"/>
      <c r="AE57" s="16"/>
      <c r="AF57" s="16"/>
      <c r="AG57" s="22"/>
      <c r="AH57" s="16"/>
      <c r="AI57" s="19"/>
      <c r="AJ57" s="21"/>
      <c r="AK57" s="21"/>
      <c r="AL57" s="16"/>
      <c r="AM57" s="16"/>
      <c r="AN57" s="16"/>
      <c r="AO57" s="22"/>
      <c r="AP57" s="16"/>
      <c r="AQ57" s="19"/>
      <c r="AR57" s="21"/>
      <c r="AS57" s="21"/>
      <c r="AT57" s="16"/>
      <c r="AU57" s="16"/>
      <c r="AV57" s="16"/>
      <c r="AW57" s="22"/>
      <c r="AX57" s="16"/>
      <c r="AY57" s="19"/>
      <c r="AZ57" s="21"/>
      <c r="BA57" s="21"/>
      <c r="BB57" s="16"/>
      <c r="BC57" s="16"/>
      <c r="BD57" s="16"/>
      <c r="BE57" s="22"/>
      <c r="BF57" s="16"/>
      <c r="BG57" s="19"/>
      <c r="BH57" s="21"/>
      <c r="BI57" s="21"/>
      <c r="BJ57" s="16"/>
      <c r="BK57" s="16"/>
      <c r="BL57" s="16"/>
      <c r="BM57" s="22"/>
      <c r="BN57" s="16"/>
      <c r="BO57" s="19"/>
      <c r="BP57" s="21"/>
      <c r="BQ57" s="21"/>
      <c r="BR57" s="16"/>
      <c r="BS57" s="16"/>
      <c r="BT57" s="16"/>
      <c r="BU57" s="22"/>
      <c r="BV57" s="16"/>
      <c r="BW57" s="19"/>
      <c r="BX57" s="21"/>
      <c r="BY57" s="21"/>
      <c r="BZ57" s="16"/>
      <c r="CA57" s="16"/>
      <c r="CB57" s="16"/>
      <c r="CC57" s="22"/>
      <c r="CD57" s="16"/>
      <c r="CE57" s="19"/>
      <c r="CF57" s="21"/>
      <c r="CG57" s="21"/>
      <c r="CH57" s="16"/>
      <c r="CI57" s="16"/>
      <c r="CJ57" s="16"/>
      <c r="CK57" s="22"/>
      <c r="CL57" s="16"/>
      <c r="CM57" s="19"/>
      <c r="CN57" s="21"/>
      <c r="CO57" s="21"/>
      <c r="CP57" s="16"/>
      <c r="CQ57" s="16"/>
      <c r="CR57" s="16"/>
      <c r="CS57" s="22"/>
      <c r="CT57" s="16"/>
      <c r="CU57" s="19"/>
      <c r="CV57" s="21"/>
      <c r="CW57" s="21"/>
      <c r="CX57" s="16"/>
      <c r="CY57" s="21"/>
    </row>
    <row r="58" spans="1:103" s="78" customFormat="1" ht="15" customHeight="1" thickBot="1" x14ac:dyDescent="0.25">
      <c r="A58" s="104"/>
      <c r="B58" s="104"/>
      <c r="C58" s="1251"/>
      <c r="D58" s="20"/>
      <c r="E58" s="1221"/>
      <c r="F58" s="6598"/>
      <c r="G58" s="6598"/>
      <c r="H58" s="6598"/>
      <c r="I58" s="6598"/>
      <c r="J58" s="6598"/>
      <c r="K58" s="1496"/>
      <c r="L58" s="1463"/>
      <c r="R58" s="70"/>
      <c r="T58" s="215"/>
      <c r="V58" s="70"/>
      <c r="W58" s="6773"/>
      <c r="X58" s="114"/>
      <c r="Y58" s="70"/>
      <c r="Z58" s="70"/>
      <c r="AA58" s="70"/>
      <c r="AB58" s="16"/>
      <c r="AE58" s="692"/>
      <c r="AF58" s="693"/>
      <c r="AG58" s="1233"/>
      <c r="AH58" s="693"/>
      <c r="AI58" s="1234"/>
      <c r="AJ58" s="748"/>
      <c r="AK58" s="1235"/>
      <c r="AL58" s="16"/>
      <c r="AM58" s="692"/>
      <c r="AN58" s="693"/>
      <c r="AO58" s="1233"/>
      <c r="AP58" s="693"/>
      <c r="AQ58" s="1234"/>
      <c r="AR58" s="748"/>
      <c r="AS58" s="1235"/>
      <c r="AT58" s="16"/>
      <c r="AU58" s="692"/>
      <c r="AV58" s="693"/>
      <c r="AW58" s="1233"/>
      <c r="AX58" s="693"/>
      <c r="AY58" s="1234"/>
      <c r="AZ58" s="748"/>
      <c r="BA58" s="1235"/>
      <c r="BB58" s="16"/>
      <c r="BC58" s="692"/>
      <c r="BD58" s="693"/>
      <c r="BE58" s="1233"/>
      <c r="BF58" s="693"/>
      <c r="BG58" s="1234"/>
      <c r="BH58" s="748"/>
      <c r="BI58" s="1235"/>
      <c r="BJ58" s="16"/>
      <c r="BK58" s="692"/>
      <c r="BL58" s="693"/>
      <c r="BM58" s="1233"/>
      <c r="BN58" s="693"/>
      <c r="BO58" s="1234"/>
      <c r="BP58" s="748"/>
      <c r="BQ58" s="1235"/>
      <c r="BR58" s="16"/>
      <c r="BS58" s="692"/>
      <c r="BT58" s="693"/>
      <c r="BU58" s="1233"/>
      <c r="BV58" s="693"/>
      <c r="BW58" s="1234"/>
      <c r="BX58" s="748"/>
      <c r="BY58" s="1235"/>
      <c r="BZ58" s="16"/>
      <c r="CA58" s="692"/>
      <c r="CB58" s="693"/>
      <c r="CC58" s="1233"/>
      <c r="CD58" s="693"/>
      <c r="CE58" s="1234"/>
      <c r="CF58" s="748"/>
      <c r="CG58" s="1235"/>
      <c r="CH58" s="16"/>
      <c r="CI58" s="692"/>
      <c r="CJ58" s="693"/>
      <c r="CK58" s="1233"/>
      <c r="CL58" s="693"/>
      <c r="CM58" s="1234"/>
      <c r="CN58" s="748"/>
      <c r="CO58" s="1235"/>
      <c r="CP58" s="16"/>
      <c r="CQ58" s="692"/>
      <c r="CR58" s="693"/>
      <c r="CS58" s="1233"/>
      <c r="CT58" s="693"/>
      <c r="CU58" s="1234"/>
      <c r="CV58" s="748"/>
      <c r="CW58" s="1235"/>
      <c r="CX58" s="16"/>
      <c r="CY58" s="172"/>
    </row>
    <row r="59" spans="1:103" s="78" customFormat="1" ht="8.1" customHeight="1" thickBot="1" x14ac:dyDescent="0.25">
      <c r="A59" s="104"/>
      <c r="B59" s="104"/>
      <c r="C59" s="1251"/>
      <c r="D59" s="20"/>
      <c r="E59" s="15"/>
      <c r="F59" s="1212"/>
      <c r="G59" s="1212"/>
      <c r="H59" s="1212"/>
      <c r="I59" s="1212"/>
      <c r="J59" s="16"/>
      <c r="K59" s="19"/>
      <c r="L59" s="17"/>
      <c r="M59" s="19"/>
      <c r="N59" s="90"/>
      <c r="O59" s="13"/>
      <c r="P59" s="13"/>
      <c r="Q59" s="13"/>
      <c r="R59" s="70"/>
      <c r="S59" s="19"/>
      <c r="T59" s="15"/>
      <c r="U59" s="13"/>
      <c r="V59" s="70"/>
      <c r="W59" s="6773"/>
      <c r="X59" s="114"/>
      <c r="Y59" s="70"/>
      <c r="Z59" s="70"/>
      <c r="AA59" s="70"/>
      <c r="AB59" s="16"/>
      <c r="AE59" s="16"/>
      <c r="AF59" s="16"/>
      <c r="AG59" s="22"/>
      <c r="AH59" s="16"/>
      <c r="AI59" s="19"/>
      <c r="AJ59" s="21"/>
      <c r="AK59" s="21"/>
      <c r="AL59" s="16"/>
      <c r="AM59" s="16"/>
      <c r="AN59" s="16"/>
      <c r="AO59" s="22"/>
      <c r="AP59" s="16"/>
      <c r="AQ59" s="19"/>
      <c r="AR59" s="21"/>
      <c r="AS59" s="21"/>
      <c r="AT59" s="16"/>
      <c r="AU59" s="16"/>
      <c r="AV59" s="16"/>
      <c r="AW59" s="22"/>
      <c r="AX59" s="16"/>
      <c r="AY59" s="19"/>
      <c r="AZ59" s="21"/>
      <c r="BA59" s="21"/>
      <c r="BB59" s="16"/>
      <c r="BC59" s="16"/>
      <c r="BD59" s="16"/>
      <c r="BE59" s="22"/>
      <c r="BF59" s="16"/>
      <c r="BG59" s="19"/>
      <c r="BH59" s="21"/>
      <c r="BI59" s="21"/>
      <c r="BJ59" s="16"/>
      <c r="BK59" s="16"/>
      <c r="BL59" s="16"/>
      <c r="BM59" s="22"/>
      <c r="BN59" s="16"/>
      <c r="BO59" s="19"/>
      <c r="BP59" s="21"/>
      <c r="BQ59" s="21"/>
      <c r="BR59" s="16"/>
      <c r="BS59" s="16"/>
      <c r="BT59" s="16"/>
      <c r="BU59" s="22"/>
      <c r="BV59" s="16"/>
      <c r="BW59" s="19"/>
      <c r="BX59" s="21"/>
      <c r="BY59" s="21"/>
      <c r="BZ59" s="16"/>
      <c r="CA59" s="16"/>
      <c r="CB59" s="16"/>
      <c r="CC59" s="22"/>
      <c r="CD59" s="16"/>
      <c r="CE59" s="19"/>
      <c r="CF59" s="21"/>
      <c r="CG59" s="21"/>
      <c r="CH59" s="16"/>
      <c r="CI59" s="16"/>
      <c r="CJ59" s="16"/>
      <c r="CK59" s="22"/>
      <c r="CL59" s="16"/>
      <c r="CM59" s="19"/>
      <c r="CN59" s="21"/>
      <c r="CO59" s="21"/>
      <c r="CP59" s="16"/>
      <c r="CQ59" s="16"/>
      <c r="CR59" s="16"/>
      <c r="CS59" s="22"/>
      <c r="CT59" s="16"/>
      <c r="CU59" s="19"/>
      <c r="CV59" s="21"/>
      <c r="CW59" s="21"/>
      <c r="CX59" s="16"/>
      <c r="CY59" s="21"/>
    </row>
    <row r="60" spans="1:103" s="78" customFormat="1" ht="15" customHeight="1" thickBot="1" x14ac:dyDescent="0.25">
      <c r="A60" s="104"/>
      <c r="B60" s="104"/>
      <c r="C60" s="1251"/>
      <c r="D60" s="20"/>
      <c r="E60" s="660"/>
      <c r="F60" s="658"/>
      <c r="G60" s="658"/>
      <c r="H60" s="658"/>
      <c r="I60" s="658"/>
      <c r="J60" s="643"/>
      <c r="K60" s="1493"/>
      <c r="L60" s="17"/>
      <c r="M60" s="1475"/>
      <c r="N60" s="1476"/>
      <c r="O60" s="1477"/>
      <c r="P60" s="1477"/>
      <c r="Q60" s="1479"/>
      <c r="R60" s="70"/>
      <c r="S60" s="1475"/>
      <c r="T60" s="1478"/>
      <c r="U60" s="1479"/>
      <c r="V60" s="70"/>
      <c r="W60" s="6773"/>
      <c r="X60" s="114"/>
      <c r="Y60" s="4023"/>
      <c r="Z60" s="1504"/>
      <c r="AA60" s="1504"/>
      <c r="AB60" s="1505"/>
      <c r="AC60" s="1506"/>
      <c r="AE60" s="1223"/>
      <c r="AF60" s="658"/>
      <c r="AG60" s="1257"/>
      <c r="AH60" s="643"/>
      <c r="AI60" s="1224"/>
      <c r="AJ60" s="1238"/>
      <c r="AK60" s="1239"/>
      <c r="AL60" s="16"/>
      <c r="AM60" s="1223"/>
      <c r="AN60" s="658"/>
      <c r="AO60" s="1257"/>
      <c r="AP60" s="643"/>
      <c r="AQ60" s="1224"/>
      <c r="AR60" s="1238"/>
      <c r="AS60" s="1239"/>
      <c r="AT60" s="16"/>
      <c r="AU60" s="1223"/>
      <c r="AV60" s="658"/>
      <c r="AW60" s="1257"/>
      <c r="AX60" s="643"/>
      <c r="AY60" s="1224"/>
      <c r="AZ60" s="1238"/>
      <c r="BA60" s="1239"/>
      <c r="BB60" s="16"/>
      <c r="BC60" s="1223"/>
      <c r="BD60" s="658"/>
      <c r="BE60" s="1257"/>
      <c r="BF60" s="643"/>
      <c r="BG60" s="1224"/>
      <c r="BH60" s="1238"/>
      <c r="BI60" s="1239"/>
      <c r="BJ60" s="16"/>
      <c r="BK60" s="1223"/>
      <c r="BL60" s="658"/>
      <c r="BM60" s="1257"/>
      <c r="BN60" s="643"/>
      <c r="BO60" s="1224"/>
      <c r="BP60" s="1238"/>
      <c r="BQ60" s="1239"/>
      <c r="BR60" s="16"/>
      <c r="BS60" s="1223"/>
      <c r="BT60" s="658"/>
      <c r="BU60" s="1257"/>
      <c r="BV60" s="643"/>
      <c r="BW60" s="1224"/>
      <c r="BX60" s="1238"/>
      <c r="BY60" s="1239"/>
      <c r="BZ60" s="16"/>
      <c r="CA60" s="1223"/>
      <c r="CB60" s="658"/>
      <c r="CC60" s="1257"/>
      <c r="CD60" s="643"/>
      <c r="CE60" s="1224"/>
      <c r="CF60" s="1238"/>
      <c r="CG60" s="1239"/>
      <c r="CH60" s="16"/>
      <c r="CI60" s="1223"/>
      <c r="CJ60" s="658"/>
      <c r="CK60" s="1257"/>
      <c r="CL60" s="643"/>
      <c r="CM60" s="1224"/>
      <c r="CN60" s="1238"/>
      <c r="CO60" s="1239"/>
      <c r="CP60" s="16"/>
      <c r="CQ60" s="1223"/>
      <c r="CR60" s="658"/>
      <c r="CS60" s="1257"/>
      <c r="CT60" s="643"/>
      <c r="CU60" s="1224"/>
      <c r="CV60" s="1238"/>
      <c r="CW60" s="1239"/>
      <c r="CX60" s="16"/>
      <c r="CY60" s="173"/>
    </row>
    <row r="61" spans="1:103" s="78" customFormat="1" ht="20.100000000000001" customHeight="1" thickBot="1" x14ac:dyDescent="0.25">
      <c r="A61" s="104"/>
      <c r="B61" s="104"/>
      <c r="C61" s="1251"/>
      <c r="D61" s="20"/>
      <c r="E61" s="663"/>
      <c r="F61" s="76" t="str">
        <f>_Calcs!$M$65</f>
        <v>Sprøytebetong, all bruk</v>
      </c>
      <c r="G61" s="76"/>
      <c r="H61" s="76"/>
      <c r="I61" s="76"/>
      <c r="J61" s="6253"/>
      <c r="K61" s="1241"/>
      <c r="L61" s="17"/>
      <c r="M61" s="1474"/>
      <c r="N61" s="174">
        <f>_Kapasitet!$U$78</f>
        <v>8</v>
      </c>
      <c r="O61" s="1471"/>
      <c r="P61" s="2514" t="str">
        <f>_Kapasitet!W78</f>
        <v>Standard</v>
      </c>
      <c r="Q61" s="1473"/>
      <c r="R61" s="70"/>
      <c r="S61" s="1474"/>
      <c r="T61" s="1472" t="s">
        <v>99</v>
      </c>
      <c r="U61" s="1473"/>
      <c r="V61" s="70"/>
      <c r="W61" s="6773"/>
      <c r="X61" s="114"/>
      <c r="Y61" s="3999"/>
      <c r="Z61" s="6738" t="s">
        <v>46</v>
      </c>
      <c r="AA61" s="6738"/>
      <c r="AB61" s="6738"/>
      <c r="AC61" s="1507"/>
      <c r="AE61" s="1231"/>
      <c r="AF61" s="76"/>
      <c r="AG61" s="2313">
        <f>INDEX(outputs_oppsum[sprøytebetong],MATCH(_Calcs!$NO$41,outputs_oppsum[stuff_id],0))</f>
        <v>0</v>
      </c>
      <c r="AH61" s="75"/>
      <c r="AI61" s="30" t="str">
        <f>IF(_Calcs!$NO$355=1,"✓","!")</f>
        <v>!</v>
      </c>
      <c r="AJ61" s="1227"/>
      <c r="AK61" s="1241"/>
      <c r="AL61" s="16"/>
      <c r="AM61" s="1231"/>
      <c r="AN61" s="76"/>
      <c r="AO61" s="2313" t="e">
        <f>INDEX(outputs_oppsum[sprøytebetong],MATCH(_Calcs!$NP$41,outputs_oppsum[stuff_id],0))</f>
        <v>#N/A</v>
      </c>
      <c r="AP61" s="75"/>
      <c r="AQ61" s="30" t="e">
        <f>IF(_Calcs!$NP$355=1,"✓","!")</f>
        <v>#N/A</v>
      </c>
      <c r="AR61" s="1227"/>
      <c r="AS61" s="1241"/>
      <c r="AT61" s="16"/>
      <c r="AU61" s="1231"/>
      <c r="AV61" s="76"/>
      <c r="AW61" s="2313" t="e">
        <f>INDEX(outputs_oppsum[sprøytebetong],MATCH(_Calcs!$NQ$41,outputs_oppsum[stuff_id],0))</f>
        <v>#N/A</v>
      </c>
      <c r="AX61" s="75"/>
      <c r="AY61" s="30" t="e">
        <f>IF(_Calcs!$NQ$355=1,"✓","!")</f>
        <v>#N/A</v>
      </c>
      <c r="AZ61" s="1227"/>
      <c r="BA61" s="1241"/>
      <c r="BB61" s="16"/>
      <c r="BC61" s="1231"/>
      <c r="BD61" s="76"/>
      <c r="BE61" s="2313" t="e">
        <f>INDEX(outputs_oppsum[sprøytebetong],MATCH(_Calcs!$NR$41,outputs_oppsum[stuff_id],0))</f>
        <v>#N/A</v>
      </c>
      <c r="BF61" s="75"/>
      <c r="BG61" s="30" t="e">
        <f>IF(_Calcs!$NR$355=1,"✓","!")</f>
        <v>#N/A</v>
      </c>
      <c r="BH61" s="1227"/>
      <c r="BI61" s="1241"/>
      <c r="BJ61" s="16"/>
      <c r="BK61" s="1231"/>
      <c r="BL61" s="76"/>
      <c r="BM61" s="2313" t="e">
        <f>INDEX(outputs_oppsum[sprøytebetong],MATCH(_Calcs!$NS$41,outputs_oppsum[stuff_id],0))</f>
        <v>#N/A</v>
      </c>
      <c r="BN61" s="75"/>
      <c r="BO61" s="30" t="e">
        <f>IF(_Calcs!$NS$355=1,"✓","!")</f>
        <v>#N/A</v>
      </c>
      <c r="BP61" s="1227"/>
      <c r="BQ61" s="1241"/>
      <c r="BR61" s="16"/>
      <c r="BS61" s="1231"/>
      <c r="BT61" s="76"/>
      <c r="BU61" s="2313" t="e">
        <f>INDEX(outputs_oppsum[sprøytebetong],MATCH(_Calcs!$NT$41,outputs_oppsum[stuff_id],0))</f>
        <v>#N/A</v>
      </c>
      <c r="BV61" s="75"/>
      <c r="BW61" s="30" t="e">
        <f>IF(_Calcs!$NT$355=1,"✓","!")</f>
        <v>#N/A</v>
      </c>
      <c r="BX61" s="1227"/>
      <c r="BY61" s="1241"/>
      <c r="BZ61" s="16"/>
      <c r="CA61" s="1231"/>
      <c r="CB61" s="76"/>
      <c r="CC61" s="2313" t="e">
        <f>INDEX(outputs_oppsum[sprøytebetong],MATCH(_Calcs!$NU$41,outputs_oppsum[stuff_id],0))</f>
        <v>#N/A</v>
      </c>
      <c r="CD61" s="75"/>
      <c r="CE61" s="30" t="e">
        <f>IF(_Calcs!$NU$355=1,"✓","!")</f>
        <v>#N/A</v>
      </c>
      <c r="CF61" s="1227"/>
      <c r="CG61" s="1241"/>
      <c r="CH61" s="16"/>
      <c r="CI61" s="1231"/>
      <c r="CJ61" s="76"/>
      <c r="CK61" s="2313" t="e">
        <f>INDEX(outputs_oppsum[sprøytebetong],MATCH(_Calcs!$NV$41,outputs_oppsum[stuff_id],0))</f>
        <v>#N/A</v>
      </c>
      <c r="CL61" s="75"/>
      <c r="CM61" s="30" t="e">
        <f>IF(_Calcs!$NV$355=1,"✓","!")</f>
        <v>#N/A</v>
      </c>
      <c r="CN61" s="1227"/>
      <c r="CO61" s="1241"/>
      <c r="CP61" s="16"/>
      <c r="CQ61" s="1231"/>
      <c r="CR61" s="76"/>
      <c r="CS61" s="2313" t="e">
        <f>INDEX(outputs_oppsum[sprøytebetong],MATCH(_Calcs!$NW$41,outputs_oppsum[stuff_id],0))</f>
        <v>#N/A</v>
      </c>
      <c r="CT61" s="75"/>
      <c r="CU61" s="30" t="e">
        <f>IF(_Calcs!$NW$355=1,"✓","!")</f>
        <v>#N/A</v>
      </c>
      <c r="CV61" s="1227"/>
      <c r="CW61" s="1241"/>
      <c r="CX61" s="16"/>
      <c r="CY61" s="173"/>
    </row>
    <row r="62" spans="1:103" s="78" customFormat="1" ht="15" customHeight="1" thickBot="1" x14ac:dyDescent="0.25">
      <c r="A62" s="104"/>
      <c r="B62" s="104"/>
      <c r="C62" s="1251"/>
      <c r="D62" s="20"/>
      <c r="E62" s="665"/>
      <c r="F62" s="1246"/>
      <c r="G62" s="1246"/>
      <c r="H62" s="1246"/>
      <c r="I62" s="1246"/>
      <c r="J62" s="655"/>
      <c r="K62" s="1260"/>
      <c r="L62" s="17"/>
      <c r="M62" s="1486"/>
      <c r="N62" s="1487"/>
      <c r="O62" s="1487"/>
      <c r="P62" s="1487"/>
      <c r="Q62" s="1488"/>
      <c r="R62" s="70"/>
      <c r="S62" s="1486"/>
      <c r="T62" s="1469"/>
      <c r="U62" s="1488"/>
      <c r="V62" s="70"/>
      <c r="W62" s="6773"/>
      <c r="X62" s="114"/>
      <c r="Y62" s="4000"/>
      <c r="Z62" s="1508"/>
      <c r="AA62" s="1508"/>
      <c r="AB62" s="1509"/>
      <c r="AC62" s="1510"/>
      <c r="AE62" s="665"/>
      <c r="AF62" s="1246"/>
      <c r="AG62" s="1258"/>
      <c r="AH62" s="1246"/>
      <c r="AI62" s="1246"/>
      <c r="AJ62" s="1243"/>
      <c r="AK62" s="1244"/>
      <c r="AL62" s="16"/>
      <c r="AM62" s="665"/>
      <c r="AN62" s="1246"/>
      <c r="AO62" s="1258"/>
      <c r="AP62" s="1246"/>
      <c r="AQ62" s="1246"/>
      <c r="AR62" s="1243"/>
      <c r="AS62" s="1244"/>
      <c r="AT62" s="16"/>
      <c r="AU62" s="665"/>
      <c r="AV62" s="1246"/>
      <c r="AW62" s="1258"/>
      <c r="AX62" s="1246"/>
      <c r="AY62" s="1246"/>
      <c r="AZ62" s="1243"/>
      <c r="BA62" s="1244"/>
      <c r="BB62" s="16"/>
      <c r="BC62" s="665"/>
      <c r="BD62" s="1246"/>
      <c r="BE62" s="1258"/>
      <c r="BF62" s="1246"/>
      <c r="BG62" s="1246"/>
      <c r="BH62" s="1243"/>
      <c r="BI62" s="1244"/>
      <c r="BJ62" s="16"/>
      <c r="BK62" s="665"/>
      <c r="BL62" s="1246"/>
      <c r="BM62" s="1258"/>
      <c r="BN62" s="1246"/>
      <c r="BO62" s="1246"/>
      <c r="BP62" s="1243"/>
      <c r="BQ62" s="1244"/>
      <c r="BR62" s="16"/>
      <c r="BS62" s="665"/>
      <c r="BT62" s="1246"/>
      <c r="BU62" s="1258"/>
      <c r="BV62" s="1246"/>
      <c r="BW62" s="1246"/>
      <c r="BX62" s="1243"/>
      <c r="BY62" s="1244"/>
      <c r="BZ62" s="16"/>
      <c r="CA62" s="665"/>
      <c r="CB62" s="1246"/>
      <c r="CC62" s="1258"/>
      <c r="CD62" s="1246"/>
      <c r="CE62" s="1246"/>
      <c r="CF62" s="1243"/>
      <c r="CG62" s="1244"/>
      <c r="CH62" s="16"/>
      <c r="CI62" s="665"/>
      <c r="CJ62" s="1246"/>
      <c r="CK62" s="1258"/>
      <c r="CL62" s="1246"/>
      <c r="CM62" s="1246"/>
      <c r="CN62" s="1243"/>
      <c r="CO62" s="1244"/>
      <c r="CP62" s="16"/>
      <c r="CQ62" s="665"/>
      <c r="CR62" s="1246"/>
      <c r="CS62" s="1258"/>
      <c r="CT62" s="1246"/>
      <c r="CU62" s="1246"/>
      <c r="CV62" s="1243"/>
      <c r="CW62" s="1244"/>
      <c r="CX62" s="16"/>
      <c r="CY62" s="173"/>
    </row>
    <row r="63" spans="1:103" s="21" customFormat="1" ht="24.95" customHeight="1" thickBot="1" x14ac:dyDescent="0.25">
      <c r="A63" s="104"/>
      <c r="B63" s="104"/>
      <c r="C63" s="1251"/>
      <c r="D63" s="104"/>
      <c r="E63" s="104"/>
      <c r="F63" s="104"/>
      <c r="G63" s="104"/>
      <c r="H63" s="104"/>
      <c r="I63" s="104"/>
      <c r="J63" s="2068"/>
      <c r="K63" s="104"/>
      <c r="L63" s="104"/>
      <c r="M63" s="104"/>
      <c r="N63" s="104"/>
      <c r="O63" s="104"/>
      <c r="P63" s="104"/>
      <c r="Q63" s="104"/>
      <c r="R63" s="70"/>
      <c r="S63" s="104"/>
      <c r="T63" s="104"/>
      <c r="U63" s="104"/>
      <c r="V63" s="70"/>
      <c r="W63" s="6773"/>
      <c r="X63" s="114"/>
      <c r="Y63" s="70"/>
      <c r="Z63" s="70"/>
      <c r="AA63" s="70"/>
      <c r="AB63" s="16"/>
      <c r="AE63" s="104"/>
      <c r="AF63" s="104"/>
      <c r="AG63" s="306"/>
      <c r="AH63" s="104"/>
      <c r="AI63" s="104"/>
      <c r="AJ63" s="104"/>
      <c r="AK63" s="104"/>
      <c r="AL63" s="16"/>
      <c r="AM63" s="104"/>
      <c r="AN63" s="104"/>
      <c r="AO63" s="306"/>
      <c r="AP63" s="104"/>
      <c r="AQ63" s="104"/>
      <c r="AR63" s="104"/>
      <c r="AS63" s="104"/>
      <c r="AT63" s="16"/>
      <c r="AU63" s="104"/>
      <c r="AV63" s="104"/>
      <c r="AW63" s="306"/>
      <c r="AX63" s="104"/>
      <c r="AY63" s="104"/>
      <c r="AZ63" s="104"/>
      <c r="BA63" s="104"/>
      <c r="BB63" s="16"/>
      <c r="BC63" s="104"/>
      <c r="BD63" s="104"/>
      <c r="BE63" s="306"/>
      <c r="BF63" s="104"/>
      <c r="BG63" s="104"/>
      <c r="BH63" s="104"/>
      <c r="BI63" s="104"/>
      <c r="BJ63" s="16"/>
      <c r="BK63" s="104"/>
      <c r="BL63" s="104"/>
      <c r="BM63" s="306"/>
      <c r="BN63" s="104"/>
      <c r="BO63" s="104"/>
      <c r="BP63" s="104"/>
      <c r="BQ63" s="104"/>
      <c r="BR63" s="16"/>
      <c r="BS63" s="104"/>
      <c r="BT63" s="104"/>
      <c r="BU63" s="306"/>
      <c r="BV63" s="104"/>
      <c r="BW63" s="104"/>
      <c r="BX63" s="104"/>
      <c r="BY63" s="104"/>
      <c r="BZ63" s="16"/>
      <c r="CA63" s="104"/>
      <c r="CB63" s="104"/>
      <c r="CC63" s="306"/>
      <c r="CD63" s="104"/>
      <c r="CE63" s="104"/>
      <c r="CF63" s="104"/>
      <c r="CG63" s="104"/>
      <c r="CH63" s="16"/>
      <c r="CI63" s="104"/>
      <c r="CJ63" s="104"/>
      <c r="CK63" s="306"/>
      <c r="CL63" s="104"/>
      <c r="CM63" s="104"/>
      <c r="CN63" s="104"/>
      <c r="CO63" s="104"/>
      <c r="CP63" s="16"/>
      <c r="CQ63" s="104"/>
      <c r="CR63" s="104"/>
      <c r="CS63" s="306"/>
      <c r="CT63" s="104"/>
      <c r="CU63" s="104"/>
      <c r="CV63" s="104"/>
      <c r="CW63" s="104"/>
      <c r="CX63" s="16"/>
      <c r="CY63" s="104"/>
    </row>
    <row r="64" spans="1:103" s="78" customFormat="1" ht="15" customHeight="1" thickBot="1" x14ac:dyDescent="0.25">
      <c r="A64" s="104"/>
      <c r="B64" s="104"/>
      <c r="C64" s="1251"/>
      <c r="D64" s="20"/>
      <c r="E64" s="1219"/>
      <c r="F64" s="6597" t="str">
        <f>_Calcs!K$66</f>
        <v>Sikringsbuer</v>
      </c>
      <c r="G64" s="6597"/>
      <c r="H64" s="6597"/>
      <c r="I64" s="6597"/>
      <c r="J64" s="6597"/>
      <c r="K64" s="1495"/>
      <c r="L64" s="1463"/>
      <c r="R64" s="70"/>
      <c r="T64" s="215"/>
      <c r="V64" s="70"/>
      <c r="W64" s="6773"/>
      <c r="X64" s="114"/>
      <c r="Y64" s="70"/>
      <c r="Z64" s="70"/>
      <c r="AA64" s="70"/>
      <c r="AB64" s="16"/>
      <c r="AE64" s="16"/>
      <c r="AF64" s="16"/>
      <c r="AG64" s="22"/>
      <c r="AH64" s="16"/>
      <c r="AI64" s="19"/>
      <c r="AJ64" s="21"/>
      <c r="AK64" s="21"/>
      <c r="AL64" s="16"/>
      <c r="AM64" s="16"/>
      <c r="AN64" s="16"/>
      <c r="AO64" s="22"/>
      <c r="AP64" s="16"/>
      <c r="AQ64" s="19"/>
      <c r="AR64" s="21"/>
      <c r="AS64" s="21"/>
      <c r="AT64" s="16"/>
      <c r="AU64" s="16"/>
      <c r="AV64" s="16"/>
      <c r="AW64" s="22"/>
      <c r="AX64" s="16"/>
      <c r="AY64" s="19"/>
      <c r="AZ64" s="21"/>
      <c r="BA64" s="21"/>
      <c r="BB64" s="16"/>
      <c r="BC64" s="16"/>
      <c r="BD64" s="16"/>
      <c r="BE64" s="22"/>
      <c r="BF64" s="16"/>
      <c r="BG64" s="19"/>
      <c r="BH64" s="21"/>
      <c r="BI64" s="21"/>
      <c r="BJ64" s="16"/>
      <c r="BK64" s="16"/>
      <c r="BL64" s="16"/>
      <c r="BM64" s="22"/>
      <c r="BN64" s="16"/>
      <c r="BO64" s="19"/>
      <c r="BP64" s="21"/>
      <c r="BQ64" s="21"/>
      <c r="BR64" s="16"/>
      <c r="BS64" s="16"/>
      <c r="BT64" s="16"/>
      <c r="BU64" s="22"/>
      <c r="BV64" s="16"/>
      <c r="BW64" s="19"/>
      <c r="BX64" s="21"/>
      <c r="BY64" s="21"/>
      <c r="BZ64" s="16"/>
      <c r="CA64" s="16"/>
      <c r="CB64" s="16"/>
      <c r="CC64" s="22"/>
      <c r="CD64" s="16"/>
      <c r="CE64" s="19"/>
      <c r="CF64" s="21"/>
      <c r="CG64" s="21"/>
      <c r="CH64" s="16"/>
      <c r="CI64" s="16"/>
      <c r="CJ64" s="16"/>
      <c r="CK64" s="22"/>
      <c r="CL64" s="16"/>
      <c r="CM64" s="19"/>
      <c r="CN64" s="21"/>
      <c r="CO64" s="21"/>
      <c r="CP64" s="16"/>
      <c r="CQ64" s="16"/>
      <c r="CR64" s="16"/>
      <c r="CS64" s="22"/>
      <c r="CT64" s="16"/>
      <c r="CU64" s="19"/>
      <c r="CV64" s="21"/>
      <c r="CW64" s="21"/>
      <c r="CX64" s="16"/>
      <c r="CY64" s="21"/>
    </row>
    <row r="65" spans="1:139" s="78" customFormat="1" ht="15" customHeight="1" thickBot="1" x14ac:dyDescent="0.25">
      <c r="A65" s="104"/>
      <c r="B65" s="104"/>
      <c r="C65" s="1251"/>
      <c r="D65" s="20"/>
      <c r="E65" s="1221"/>
      <c r="F65" s="6598"/>
      <c r="G65" s="6598"/>
      <c r="H65" s="6598"/>
      <c r="I65" s="6598"/>
      <c r="J65" s="6598"/>
      <c r="K65" s="1496"/>
      <c r="L65" s="1463"/>
      <c r="R65" s="70"/>
      <c r="T65" s="215"/>
      <c r="V65" s="70"/>
      <c r="W65" s="6773"/>
      <c r="X65" s="114"/>
      <c r="Y65" s="70"/>
      <c r="Z65" s="70"/>
      <c r="AA65" s="70"/>
      <c r="AB65" s="16"/>
      <c r="AE65" s="692"/>
      <c r="AF65" s="693"/>
      <c r="AG65" s="1233"/>
      <c r="AH65" s="693"/>
      <c r="AI65" s="1234"/>
      <c r="AJ65" s="748"/>
      <c r="AK65" s="1235"/>
      <c r="AL65" s="16"/>
      <c r="AM65" s="692"/>
      <c r="AN65" s="693"/>
      <c r="AO65" s="1233"/>
      <c r="AP65" s="693"/>
      <c r="AQ65" s="1234"/>
      <c r="AR65" s="748"/>
      <c r="AS65" s="1235"/>
      <c r="AT65" s="16"/>
      <c r="AU65" s="692"/>
      <c r="AV65" s="693"/>
      <c r="AW65" s="1233"/>
      <c r="AX65" s="693"/>
      <c r="AY65" s="1234"/>
      <c r="AZ65" s="748"/>
      <c r="BA65" s="1235"/>
      <c r="BB65" s="16"/>
      <c r="BC65" s="692"/>
      <c r="BD65" s="693"/>
      <c r="BE65" s="1233"/>
      <c r="BF65" s="693"/>
      <c r="BG65" s="1234"/>
      <c r="BH65" s="748"/>
      <c r="BI65" s="1235"/>
      <c r="BJ65" s="16"/>
      <c r="BK65" s="692"/>
      <c r="BL65" s="693"/>
      <c r="BM65" s="1233"/>
      <c r="BN65" s="693"/>
      <c r="BO65" s="1234"/>
      <c r="BP65" s="748"/>
      <c r="BQ65" s="1235"/>
      <c r="BR65" s="16"/>
      <c r="BS65" s="692"/>
      <c r="BT65" s="693"/>
      <c r="BU65" s="1233"/>
      <c r="BV65" s="693"/>
      <c r="BW65" s="1234"/>
      <c r="BX65" s="748"/>
      <c r="BY65" s="1235"/>
      <c r="BZ65" s="16"/>
      <c r="CA65" s="692"/>
      <c r="CB65" s="693"/>
      <c r="CC65" s="1233"/>
      <c r="CD65" s="693"/>
      <c r="CE65" s="1234"/>
      <c r="CF65" s="748"/>
      <c r="CG65" s="1235"/>
      <c r="CH65" s="16"/>
      <c r="CI65" s="692"/>
      <c r="CJ65" s="693"/>
      <c r="CK65" s="1233"/>
      <c r="CL65" s="693"/>
      <c r="CM65" s="1234"/>
      <c r="CN65" s="748"/>
      <c r="CO65" s="1235"/>
      <c r="CP65" s="16"/>
      <c r="CQ65" s="692"/>
      <c r="CR65" s="693"/>
      <c r="CS65" s="1233"/>
      <c r="CT65" s="693"/>
      <c r="CU65" s="1234"/>
      <c r="CV65" s="748"/>
      <c r="CW65" s="1235"/>
      <c r="CX65" s="16"/>
      <c r="CY65" s="172"/>
    </row>
    <row r="66" spans="1:139" s="78" customFormat="1" ht="8.1" customHeight="1" thickBot="1" x14ac:dyDescent="0.25">
      <c r="A66" s="104"/>
      <c r="B66" s="104"/>
      <c r="C66" s="1251"/>
      <c r="D66" s="20"/>
      <c r="E66" s="15"/>
      <c r="F66" s="1212"/>
      <c r="G66" s="1212"/>
      <c r="H66" s="1212"/>
      <c r="I66" s="1212"/>
      <c r="J66" s="16"/>
      <c r="K66" s="19"/>
      <c r="L66" s="17"/>
      <c r="M66" s="19"/>
      <c r="N66" s="90"/>
      <c r="O66" s="13"/>
      <c r="P66" s="13"/>
      <c r="Q66" s="13"/>
      <c r="R66" s="70"/>
      <c r="S66" s="19"/>
      <c r="T66" s="15"/>
      <c r="U66" s="13"/>
      <c r="V66" s="70"/>
      <c r="W66" s="6773"/>
      <c r="X66" s="114"/>
      <c r="Y66" s="70"/>
      <c r="Z66" s="70"/>
      <c r="AA66" s="70"/>
      <c r="AB66" s="16"/>
      <c r="AE66" s="16"/>
      <c r="AF66" s="16"/>
      <c r="AG66" s="22"/>
      <c r="AH66" s="16"/>
      <c r="AI66" s="19"/>
      <c r="AJ66" s="21"/>
      <c r="AK66" s="21"/>
      <c r="AL66" s="16"/>
      <c r="AM66" s="16"/>
      <c r="AN66" s="16"/>
      <c r="AO66" s="22"/>
      <c r="AP66" s="16"/>
      <c r="AQ66" s="19"/>
      <c r="AR66" s="21"/>
      <c r="AS66" s="21"/>
      <c r="AT66" s="16"/>
      <c r="AU66" s="16"/>
      <c r="AV66" s="16"/>
      <c r="AW66" s="22"/>
      <c r="AX66" s="16"/>
      <c r="AY66" s="19"/>
      <c r="AZ66" s="21"/>
      <c r="BA66" s="21"/>
      <c r="BB66" s="16"/>
      <c r="BC66" s="16"/>
      <c r="BD66" s="16"/>
      <c r="BE66" s="22"/>
      <c r="BF66" s="16"/>
      <c r="BG66" s="19"/>
      <c r="BH66" s="21"/>
      <c r="BI66" s="21"/>
      <c r="BJ66" s="16"/>
      <c r="BK66" s="16"/>
      <c r="BL66" s="16"/>
      <c r="BM66" s="22"/>
      <c r="BN66" s="16"/>
      <c r="BO66" s="19"/>
      <c r="BP66" s="21"/>
      <c r="BQ66" s="21"/>
      <c r="BR66" s="16"/>
      <c r="BS66" s="16"/>
      <c r="BT66" s="16"/>
      <c r="BU66" s="22"/>
      <c r="BV66" s="16"/>
      <c r="BW66" s="19"/>
      <c r="BX66" s="21"/>
      <c r="BY66" s="21"/>
      <c r="BZ66" s="16"/>
      <c r="CA66" s="16"/>
      <c r="CB66" s="16"/>
      <c r="CC66" s="22"/>
      <c r="CD66" s="16"/>
      <c r="CE66" s="19"/>
      <c r="CF66" s="21"/>
      <c r="CG66" s="21"/>
      <c r="CH66" s="16"/>
      <c r="CI66" s="16"/>
      <c r="CJ66" s="16"/>
      <c r="CK66" s="22"/>
      <c r="CL66" s="16"/>
      <c r="CM66" s="19"/>
      <c r="CN66" s="21"/>
      <c r="CO66" s="21"/>
      <c r="CP66" s="16"/>
      <c r="CQ66" s="16"/>
      <c r="CR66" s="16"/>
      <c r="CS66" s="22"/>
      <c r="CT66" s="16"/>
      <c r="CU66" s="19"/>
      <c r="CV66" s="21"/>
      <c r="CW66" s="21"/>
      <c r="CX66" s="16"/>
      <c r="CY66" s="21"/>
    </row>
    <row r="67" spans="1:139" s="78" customFormat="1" ht="15" customHeight="1" thickBot="1" x14ac:dyDescent="0.25">
      <c r="A67" s="104"/>
      <c r="B67" s="104"/>
      <c r="C67" s="1251"/>
      <c r="D67" s="20"/>
      <c r="E67" s="660"/>
      <c r="F67" s="658"/>
      <c r="G67" s="658"/>
      <c r="H67" s="658"/>
      <c r="I67" s="658"/>
      <c r="J67" s="643"/>
      <c r="K67" s="1493"/>
      <c r="L67" s="17"/>
      <c r="M67" s="1475"/>
      <c r="N67" s="1476"/>
      <c r="O67" s="1477"/>
      <c r="P67" s="1477"/>
      <c r="Q67" s="1479"/>
      <c r="R67" s="70"/>
      <c r="S67" s="1475"/>
      <c r="T67" s="1478"/>
      <c r="U67" s="1479"/>
      <c r="V67" s="70"/>
      <c r="W67" s="6773"/>
      <c r="X67" s="114"/>
      <c r="Y67" s="4023"/>
      <c r="Z67" s="1504"/>
      <c r="AA67" s="1504"/>
      <c r="AB67" s="1505"/>
      <c r="AC67" s="1506"/>
      <c r="AE67" s="1223"/>
      <c r="AF67" s="658"/>
      <c r="AG67" s="1257"/>
      <c r="AH67" s="643"/>
      <c r="AI67" s="1224"/>
      <c r="AJ67" s="661"/>
      <c r="AK67" s="1259"/>
      <c r="AL67" s="16"/>
      <c r="AM67" s="1223"/>
      <c r="AN67" s="658"/>
      <c r="AO67" s="1257"/>
      <c r="AP67" s="643"/>
      <c r="AQ67" s="1224"/>
      <c r="AR67" s="661"/>
      <c r="AS67" s="1259"/>
      <c r="AT67" s="16"/>
      <c r="AU67" s="1223"/>
      <c r="AV67" s="658"/>
      <c r="AW67" s="1257"/>
      <c r="AX67" s="643"/>
      <c r="AY67" s="1224"/>
      <c r="AZ67" s="661"/>
      <c r="BA67" s="1259"/>
      <c r="BB67" s="16"/>
      <c r="BC67" s="1223"/>
      <c r="BD67" s="658"/>
      <c r="BE67" s="1257"/>
      <c r="BF67" s="643"/>
      <c r="BG67" s="1224"/>
      <c r="BH67" s="661"/>
      <c r="BI67" s="1259"/>
      <c r="BJ67" s="16"/>
      <c r="BK67" s="1223"/>
      <c r="BL67" s="658"/>
      <c r="BM67" s="1257"/>
      <c r="BN67" s="643"/>
      <c r="BO67" s="1224"/>
      <c r="BP67" s="661"/>
      <c r="BQ67" s="1259"/>
      <c r="BR67" s="16"/>
      <c r="BS67" s="1223"/>
      <c r="BT67" s="658"/>
      <c r="BU67" s="1257"/>
      <c r="BV67" s="643"/>
      <c r="BW67" s="1224"/>
      <c r="BX67" s="661"/>
      <c r="BY67" s="1259"/>
      <c r="BZ67" s="16"/>
      <c r="CA67" s="1223"/>
      <c r="CB67" s="658"/>
      <c r="CC67" s="1257"/>
      <c r="CD67" s="643"/>
      <c r="CE67" s="1224"/>
      <c r="CF67" s="661"/>
      <c r="CG67" s="1259"/>
      <c r="CH67" s="16"/>
      <c r="CI67" s="1223"/>
      <c r="CJ67" s="658"/>
      <c r="CK67" s="1257"/>
      <c r="CL67" s="643"/>
      <c r="CM67" s="1224"/>
      <c r="CN67" s="661"/>
      <c r="CO67" s="1259"/>
      <c r="CP67" s="16"/>
      <c r="CQ67" s="1223"/>
      <c r="CR67" s="658"/>
      <c r="CS67" s="1257"/>
      <c r="CT67" s="643"/>
      <c r="CU67" s="1224"/>
      <c r="CV67" s="661"/>
      <c r="CW67" s="1259"/>
      <c r="CX67" s="16"/>
      <c r="CY67" s="175"/>
    </row>
    <row r="68" spans="1:139" s="78" customFormat="1" ht="20.100000000000001" customHeight="1" thickBot="1" x14ac:dyDescent="0.25">
      <c r="A68" s="104"/>
      <c r="B68" s="104"/>
      <c r="C68" s="1251"/>
      <c r="D68" s="20"/>
      <c r="E68" s="663"/>
      <c r="F68" s="76" t="str">
        <f>_Calcs!$M$66</f>
        <v>Buelengde</v>
      </c>
      <c r="G68" s="76"/>
      <c r="H68" s="76"/>
      <c r="I68" s="76"/>
      <c r="J68" s="6253"/>
      <c r="K68" s="1241"/>
      <c r="L68" s="17"/>
      <c r="M68" s="1474"/>
      <c r="N68" s="174">
        <f>_Kapasitet!$U$80</f>
        <v>4</v>
      </c>
      <c r="O68" s="1471"/>
      <c r="P68" s="2514" t="str">
        <f>_Kapasitet!W80</f>
        <v>Standard</v>
      </c>
      <c r="Q68" s="1473"/>
      <c r="R68" s="70"/>
      <c r="S68" s="1474"/>
      <c r="T68" s="1472" t="s">
        <v>42</v>
      </c>
      <c r="U68" s="1473"/>
      <c r="V68" s="70"/>
      <c r="W68" s="6773"/>
      <c r="X68" s="114"/>
      <c r="Y68" s="3999"/>
      <c r="Z68" s="6738" t="s">
        <v>46</v>
      </c>
      <c r="AA68" s="6738"/>
      <c r="AB68" s="6738"/>
      <c r="AC68" s="1507"/>
      <c r="AE68" s="1231"/>
      <c r="AF68" s="76"/>
      <c r="AG68" s="2313">
        <f>INDEX(outputs_oppsum[buer],MATCH(_Calcs!$NO$41,outputs_oppsum[stuff_id],0))</f>
        <v>0</v>
      </c>
      <c r="AH68" s="75"/>
      <c r="AI68" s="30" t="str">
        <f>IF(_Calcs!$NO$356=1,"✓","!")</f>
        <v>!</v>
      </c>
      <c r="AJ68" s="650"/>
      <c r="AK68" s="651"/>
      <c r="AL68" s="16"/>
      <c r="AM68" s="1231"/>
      <c r="AN68" s="76"/>
      <c r="AO68" s="2313" t="e">
        <f>INDEX(outputs_oppsum[buer],MATCH(_Calcs!$NP$41,outputs_oppsum[stuff_id],0))</f>
        <v>#N/A</v>
      </c>
      <c r="AP68" s="75"/>
      <c r="AQ68" s="30" t="e">
        <f>IF(_Calcs!$NP$356=1,"✓","!")</f>
        <v>#N/A</v>
      </c>
      <c r="AR68" s="650"/>
      <c r="AS68" s="651"/>
      <c r="AT68" s="16"/>
      <c r="AU68" s="1231"/>
      <c r="AV68" s="76"/>
      <c r="AW68" s="2313" t="e">
        <f>INDEX(outputs_oppsum[buer],MATCH(_Calcs!$NQ$41,outputs_oppsum[stuff_id],0))</f>
        <v>#N/A</v>
      </c>
      <c r="AX68" s="75"/>
      <c r="AY68" s="30" t="e">
        <f>IF(_Calcs!$NQ$356=1,"✓","!")</f>
        <v>#N/A</v>
      </c>
      <c r="AZ68" s="650"/>
      <c r="BA68" s="651"/>
      <c r="BB68" s="16"/>
      <c r="BC68" s="1231"/>
      <c r="BD68" s="76"/>
      <c r="BE68" s="2313" t="e">
        <f>INDEX(outputs_oppsum[buer],MATCH(_Calcs!$NR$41,outputs_oppsum[stuff_id],0))</f>
        <v>#N/A</v>
      </c>
      <c r="BF68" s="75"/>
      <c r="BG68" s="30" t="e">
        <f>IF(_Calcs!$NR$356=1,"✓","!")</f>
        <v>#N/A</v>
      </c>
      <c r="BH68" s="650"/>
      <c r="BI68" s="651"/>
      <c r="BJ68" s="16"/>
      <c r="BK68" s="1231"/>
      <c r="BL68" s="76"/>
      <c r="BM68" s="2313" t="e">
        <f>INDEX(outputs_oppsum[buer],MATCH(_Calcs!$NS$41,outputs_oppsum[stuff_id],0))</f>
        <v>#N/A</v>
      </c>
      <c r="BN68" s="75"/>
      <c r="BO68" s="30" t="e">
        <f>IF(_Calcs!$NS$356=1,"✓","!")</f>
        <v>#N/A</v>
      </c>
      <c r="BP68" s="650"/>
      <c r="BQ68" s="651"/>
      <c r="BR68" s="16"/>
      <c r="BS68" s="1231"/>
      <c r="BT68" s="76"/>
      <c r="BU68" s="2313" t="e">
        <f>INDEX(outputs_oppsum[buer],MATCH(_Calcs!$NT$41,outputs_oppsum[stuff_id],0))</f>
        <v>#N/A</v>
      </c>
      <c r="BV68" s="75"/>
      <c r="BW68" s="30" t="e">
        <f>IF(_Calcs!$NT$356=1,"✓","!")</f>
        <v>#N/A</v>
      </c>
      <c r="BX68" s="650"/>
      <c r="BY68" s="651"/>
      <c r="BZ68" s="16"/>
      <c r="CA68" s="1231"/>
      <c r="CB68" s="76"/>
      <c r="CC68" s="2313" t="e">
        <f>INDEX(outputs_oppsum[buer],MATCH(_Calcs!$NU$41,outputs_oppsum[stuff_id],0))</f>
        <v>#N/A</v>
      </c>
      <c r="CD68" s="75"/>
      <c r="CE68" s="30" t="e">
        <f>IF(_Calcs!$NU$356=1,"✓","!")</f>
        <v>#N/A</v>
      </c>
      <c r="CF68" s="650"/>
      <c r="CG68" s="651"/>
      <c r="CH68" s="16"/>
      <c r="CI68" s="1231"/>
      <c r="CJ68" s="76"/>
      <c r="CK68" s="2313" t="e">
        <f>INDEX(outputs_oppsum[buer],MATCH(_Calcs!$NV$41,outputs_oppsum[stuff_id],0))</f>
        <v>#N/A</v>
      </c>
      <c r="CL68" s="75"/>
      <c r="CM68" s="30" t="e">
        <f>IF(_Calcs!$NV$356=1,"✓","!")</f>
        <v>#N/A</v>
      </c>
      <c r="CN68" s="650"/>
      <c r="CO68" s="651"/>
      <c r="CP68" s="16"/>
      <c r="CQ68" s="1231"/>
      <c r="CR68" s="76"/>
      <c r="CS68" s="2313" t="e">
        <f>INDEX(outputs_oppsum[buer],MATCH(_Calcs!$NW$41,outputs_oppsum[stuff_id],0))</f>
        <v>#N/A</v>
      </c>
      <c r="CT68" s="75"/>
      <c r="CU68" s="30" t="e">
        <f>IF(_Calcs!$NW$356=1,"✓","!")</f>
        <v>#N/A</v>
      </c>
      <c r="CV68" s="650"/>
      <c r="CW68" s="651"/>
      <c r="CX68" s="16"/>
      <c r="CY68" s="175"/>
    </row>
    <row r="69" spans="1:139" s="78" customFormat="1" ht="15" customHeight="1" thickBot="1" x14ac:dyDescent="0.25">
      <c r="A69" s="104"/>
      <c r="B69" s="104"/>
      <c r="C69" s="1251"/>
      <c r="D69" s="20"/>
      <c r="E69" s="665"/>
      <c r="F69" s="1246"/>
      <c r="G69" s="1246"/>
      <c r="H69" s="1246"/>
      <c r="I69" s="1246"/>
      <c r="J69" s="655"/>
      <c r="K69" s="1260"/>
      <c r="L69" s="17"/>
      <c r="M69" s="1486"/>
      <c r="N69" s="1487"/>
      <c r="O69" s="1487"/>
      <c r="P69" s="1487"/>
      <c r="Q69" s="1488"/>
      <c r="R69" s="70"/>
      <c r="S69" s="1486"/>
      <c r="T69" s="1469"/>
      <c r="U69" s="1488"/>
      <c r="V69" s="70"/>
      <c r="W69" s="6773"/>
      <c r="X69" s="114"/>
      <c r="Y69" s="4000"/>
      <c r="Z69" s="1508"/>
      <c r="AA69" s="1508"/>
      <c r="AB69" s="1509"/>
      <c r="AC69" s="1510"/>
      <c r="AE69" s="665"/>
      <c r="AF69" s="1246"/>
      <c r="AG69" s="1258"/>
      <c r="AH69" s="1246"/>
      <c r="AI69" s="1246"/>
      <c r="AJ69" s="1246"/>
      <c r="AK69" s="1260"/>
      <c r="AL69" s="16"/>
      <c r="AM69" s="665"/>
      <c r="AN69" s="1246"/>
      <c r="AO69" s="1258"/>
      <c r="AP69" s="1246"/>
      <c r="AQ69" s="1246"/>
      <c r="AR69" s="1246"/>
      <c r="AS69" s="1260"/>
      <c r="AT69" s="16"/>
      <c r="AU69" s="665"/>
      <c r="AV69" s="1246"/>
      <c r="AW69" s="1258"/>
      <c r="AX69" s="1246"/>
      <c r="AY69" s="1246"/>
      <c r="AZ69" s="1246"/>
      <c r="BA69" s="1260"/>
      <c r="BB69" s="16"/>
      <c r="BC69" s="665"/>
      <c r="BD69" s="1246"/>
      <c r="BE69" s="1258"/>
      <c r="BF69" s="1246"/>
      <c r="BG69" s="1246"/>
      <c r="BH69" s="1246"/>
      <c r="BI69" s="1260"/>
      <c r="BJ69" s="16"/>
      <c r="BK69" s="665"/>
      <c r="BL69" s="1246"/>
      <c r="BM69" s="1258"/>
      <c r="BN69" s="1246"/>
      <c r="BO69" s="1246"/>
      <c r="BP69" s="1246"/>
      <c r="BQ69" s="1260"/>
      <c r="BR69" s="16"/>
      <c r="BS69" s="665"/>
      <c r="BT69" s="1246"/>
      <c r="BU69" s="1258"/>
      <c r="BV69" s="1246"/>
      <c r="BW69" s="1246"/>
      <c r="BX69" s="1246"/>
      <c r="BY69" s="1260"/>
      <c r="BZ69" s="16"/>
      <c r="CA69" s="665"/>
      <c r="CB69" s="1246"/>
      <c r="CC69" s="1258"/>
      <c r="CD69" s="1246"/>
      <c r="CE69" s="1246"/>
      <c r="CF69" s="1246"/>
      <c r="CG69" s="1260"/>
      <c r="CH69" s="16"/>
      <c r="CI69" s="665"/>
      <c r="CJ69" s="1246"/>
      <c r="CK69" s="1258"/>
      <c r="CL69" s="1246"/>
      <c r="CM69" s="1246"/>
      <c r="CN69" s="1246"/>
      <c r="CO69" s="1260"/>
      <c r="CP69" s="16"/>
      <c r="CQ69" s="665"/>
      <c r="CR69" s="1246"/>
      <c r="CS69" s="1258"/>
      <c r="CT69" s="1246"/>
      <c r="CU69" s="1246"/>
      <c r="CV69" s="1246"/>
      <c r="CW69" s="1260"/>
      <c r="CX69" s="16"/>
      <c r="CY69" s="176"/>
    </row>
    <row r="70" spans="1:139" s="78" customFormat="1" ht="24.95" customHeight="1" thickBot="1" x14ac:dyDescent="0.25">
      <c r="A70" s="104"/>
      <c r="B70" s="104"/>
      <c r="C70" s="1251"/>
      <c r="D70" s="20"/>
      <c r="E70" s="14"/>
      <c r="F70" s="15"/>
      <c r="G70" s="15"/>
      <c r="H70" s="15"/>
      <c r="I70" s="15"/>
      <c r="J70" s="16"/>
      <c r="K70" s="19"/>
      <c r="L70" s="17"/>
      <c r="M70" s="19"/>
      <c r="N70" s="90"/>
      <c r="O70" s="13"/>
      <c r="P70" s="13"/>
      <c r="Q70" s="13"/>
      <c r="R70" s="70"/>
      <c r="S70" s="19"/>
      <c r="T70" s="15"/>
      <c r="U70" s="13"/>
      <c r="V70" s="70"/>
      <c r="W70" s="6773"/>
      <c r="X70" s="70"/>
      <c r="Y70" s="70"/>
      <c r="Z70" s="70"/>
      <c r="AA70" s="70"/>
      <c r="AB70" s="16"/>
      <c r="AE70" s="17"/>
      <c r="AF70" s="17"/>
      <c r="AG70" s="18"/>
      <c r="AH70" s="16"/>
      <c r="AI70" s="19"/>
      <c r="AJ70" s="21"/>
      <c r="AK70" s="21"/>
      <c r="AL70" s="16"/>
      <c r="AM70" s="17"/>
      <c r="AN70" s="17"/>
      <c r="AO70" s="18"/>
      <c r="AP70" s="16"/>
      <c r="AQ70" s="19"/>
      <c r="AR70" s="21"/>
      <c r="AS70" s="21"/>
      <c r="AT70" s="16"/>
      <c r="AU70" s="17"/>
      <c r="AV70" s="17"/>
      <c r="AW70" s="18"/>
      <c r="AX70" s="16"/>
      <c r="AY70" s="19"/>
      <c r="AZ70" s="21"/>
      <c r="BA70" s="21"/>
      <c r="BB70" s="16"/>
      <c r="BC70" s="17"/>
      <c r="BD70" s="17"/>
      <c r="BE70" s="18"/>
      <c r="BF70" s="16"/>
      <c r="BG70" s="19"/>
      <c r="BH70" s="21"/>
      <c r="BI70" s="21"/>
      <c r="BJ70" s="16"/>
      <c r="BK70" s="17"/>
      <c r="BL70" s="17"/>
      <c r="BM70" s="18"/>
      <c r="BN70" s="16"/>
      <c r="BO70" s="19"/>
      <c r="BP70" s="21"/>
      <c r="BQ70" s="21"/>
      <c r="BR70" s="16"/>
      <c r="BS70" s="17"/>
      <c r="BT70" s="17"/>
      <c r="BU70" s="18"/>
      <c r="BV70" s="16"/>
      <c r="BW70" s="19"/>
      <c r="BX70" s="21"/>
      <c r="BY70" s="21"/>
      <c r="BZ70" s="16"/>
      <c r="CA70" s="17"/>
      <c r="CB70" s="17"/>
      <c r="CC70" s="18"/>
      <c r="CD70" s="16"/>
      <c r="CE70" s="19"/>
      <c r="CF70" s="21"/>
      <c r="CG70" s="21"/>
      <c r="CH70" s="16"/>
      <c r="CI70" s="17"/>
      <c r="CJ70" s="17"/>
      <c r="CK70" s="18"/>
      <c r="CL70" s="16"/>
      <c r="CM70" s="19"/>
      <c r="CN70" s="21"/>
      <c r="CO70" s="21"/>
      <c r="CP70" s="16"/>
      <c r="CQ70" s="17"/>
      <c r="CR70" s="17"/>
      <c r="CS70" s="18"/>
      <c r="CT70" s="16"/>
      <c r="CU70" s="19"/>
      <c r="CV70" s="21"/>
      <c r="CW70" s="21"/>
      <c r="CX70" s="16"/>
      <c r="CY70" s="21"/>
    </row>
    <row r="71" spans="1:139" s="78" customFormat="1" ht="15" customHeight="1" thickBot="1" x14ac:dyDescent="0.25">
      <c r="A71" s="104"/>
      <c r="B71" s="104"/>
      <c r="C71" s="1251"/>
      <c r="D71" s="20"/>
      <c r="E71" s="1219"/>
      <c r="F71" s="6597" t="str">
        <f>_Calcs!K$70</f>
        <v>Sikringsstøp</v>
      </c>
      <c r="G71" s="6597"/>
      <c r="H71" s="6597"/>
      <c r="I71" s="6597"/>
      <c r="J71" s="6597"/>
      <c r="K71" s="1495"/>
      <c r="L71" s="1463"/>
      <c r="R71" s="70"/>
      <c r="T71" s="215"/>
      <c r="V71" s="70"/>
      <c r="W71" s="6773"/>
      <c r="X71" s="70"/>
      <c r="Y71" s="70"/>
      <c r="Z71" s="70"/>
      <c r="AA71" s="70"/>
      <c r="AB71" s="16"/>
      <c r="AE71" s="16"/>
      <c r="AF71" s="16"/>
      <c r="AG71" s="22"/>
      <c r="AH71" s="16"/>
      <c r="AI71" s="19"/>
      <c r="AJ71" s="21"/>
      <c r="AK71" s="21"/>
      <c r="AL71" s="16"/>
      <c r="AM71" s="16"/>
      <c r="AN71" s="16"/>
      <c r="AO71" s="22"/>
      <c r="AP71" s="16"/>
      <c r="AQ71" s="19"/>
      <c r="AR71" s="21"/>
      <c r="AS71" s="21"/>
      <c r="AT71" s="16"/>
      <c r="AU71" s="16"/>
      <c r="AV71" s="16"/>
      <c r="AW71" s="22"/>
      <c r="AX71" s="16"/>
      <c r="AY71" s="19"/>
      <c r="AZ71" s="21"/>
      <c r="BA71" s="21"/>
      <c r="BB71" s="16"/>
      <c r="BC71" s="16"/>
      <c r="BD71" s="16"/>
      <c r="BE71" s="22"/>
      <c r="BF71" s="16"/>
      <c r="BG71" s="19"/>
      <c r="BH71" s="21"/>
      <c r="BI71" s="21"/>
      <c r="BJ71" s="16"/>
      <c r="BK71" s="16"/>
      <c r="BL71" s="16"/>
      <c r="BM71" s="22"/>
      <c r="BN71" s="16"/>
      <c r="BO71" s="19"/>
      <c r="BP71" s="21"/>
      <c r="BQ71" s="21"/>
      <c r="BR71" s="16"/>
      <c r="BS71" s="16"/>
      <c r="BT71" s="16"/>
      <c r="BU71" s="22"/>
      <c r="BV71" s="16"/>
      <c r="BW71" s="19"/>
      <c r="BX71" s="21"/>
      <c r="BY71" s="21"/>
      <c r="BZ71" s="16"/>
      <c r="CA71" s="16"/>
      <c r="CB71" s="16"/>
      <c r="CC71" s="22"/>
      <c r="CD71" s="16"/>
      <c r="CE71" s="19"/>
      <c r="CF71" s="21"/>
      <c r="CG71" s="21"/>
      <c r="CH71" s="16"/>
      <c r="CI71" s="16"/>
      <c r="CJ71" s="16"/>
      <c r="CK71" s="22"/>
      <c r="CL71" s="16"/>
      <c r="CM71" s="19"/>
      <c r="CN71" s="21"/>
      <c r="CO71" s="21"/>
      <c r="CP71" s="16"/>
      <c r="CQ71" s="16"/>
      <c r="CR71" s="16"/>
      <c r="CS71" s="22"/>
      <c r="CT71" s="16"/>
      <c r="CU71" s="19"/>
      <c r="CV71" s="21"/>
      <c r="CW71" s="21"/>
      <c r="CX71" s="16"/>
      <c r="CY71" s="21"/>
    </row>
    <row r="72" spans="1:139" s="78" customFormat="1" ht="15" customHeight="1" thickBot="1" x14ac:dyDescent="0.35">
      <c r="A72" s="104"/>
      <c r="B72" s="104"/>
      <c r="C72" s="1251"/>
      <c r="D72" s="20"/>
      <c r="E72" s="1221"/>
      <c r="F72" s="6598"/>
      <c r="G72" s="6598"/>
      <c r="H72" s="6598"/>
      <c r="I72" s="6598"/>
      <c r="J72" s="6598"/>
      <c r="K72" s="1496"/>
      <c r="L72" s="1463"/>
      <c r="R72" s="4012"/>
      <c r="T72" s="215"/>
      <c r="V72" s="4012"/>
      <c r="W72" s="6773"/>
      <c r="X72" s="4012"/>
      <c r="Y72" s="70"/>
      <c r="Z72" s="70"/>
      <c r="AA72" s="70"/>
      <c r="AB72" s="16"/>
      <c r="AE72" s="692"/>
      <c r="AF72" s="693"/>
      <c r="AG72" s="1233"/>
      <c r="AH72" s="693"/>
      <c r="AI72" s="1234"/>
      <c r="AJ72" s="748"/>
      <c r="AK72" s="1235"/>
      <c r="AL72" s="16"/>
      <c r="AM72" s="692"/>
      <c r="AN72" s="693"/>
      <c r="AO72" s="1233"/>
      <c r="AP72" s="693"/>
      <c r="AQ72" s="1234"/>
      <c r="AR72" s="748"/>
      <c r="AS72" s="1235"/>
      <c r="AT72" s="16"/>
      <c r="AU72" s="692"/>
      <c r="AV72" s="693"/>
      <c r="AW72" s="1233"/>
      <c r="AX72" s="693"/>
      <c r="AY72" s="1234"/>
      <c r="AZ72" s="748"/>
      <c r="BA72" s="1235"/>
      <c r="BB72" s="16"/>
      <c r="BC72" s="692"/>
      <c r="BD72" s="693"/>
      <c r="BE72" s="1233"/>
      <c r="BF72" s="693"/>
      <c r="BG72" s="1234"/>
      <c r="BH72" s="748"/>
      <c r="BI72" s="1235"/>
      <c r="BJ72" s="16"/>
      <c r="BK72" s="692"/>
      <c r="BL72" s="693"/>
      <c r="BM72" s="1233"/>
      <c r="BN72" s="693"/>
      <c r="BO72" s="1234"/>
      <c r="BP72" s="748"/>
      <c r="BQ72" s="1235"/>
      <c r="BR72" s="16"/>
      <c r="BS72" s="692"/>
      <c r="BT72" s="693"/>
      <c r="BU72" s="1233"/>
      <c r="BV72" s="693"/>
      <c r="BW72" s="1234"/>
      <c r="BX72" s="748"/>
      <c r="BY72" s="1235"/>
      <c r="BZ72" s="16"/>
      <c r="CA72" s="692"/>
      <c r="CB72" s="693"/>
      <c r="CC72" s="1233"/>
      <c r="CD72" s="693"/>
      <c r="CE72" s="1234"/>
      <c r="CF72" s="748"/>
      <c r="CG72" s="1235"/>
      <c r="CH72" s="16"/>
      <c r="CI72" s="692"/>
      <c r="CJ72" s="693"/>
      <c r="CK72" s="1233"/>
      <c r="CL72" s="693"/>
      <c r="CM72" s="1234"/>
      <c r="CN72" s="748"/>
      <c r="CO72" s="1235"/>
      <c r="CP72" s="16"/>
      <c r="CQ72" s="692"/>
      <c r="CR72" s="693"/>
      <c r="CS72" s="1233"/>
      <c r="CT72" s="693"/>
      <c r="CU72" s="1234"/>
      <c r="CV72" s="748"/>
      <c r="CW72" s="1235"/>
      <c r="CX72" s="16"/>
      <c r="CY72" s="172"/>
    </row>
    <row r="73" spans="1:139" s="78" customFormat="1" ht="8.1" customHeight="1" thickBot="1" x14ac:dyDescent="0.35">
      <c r="A73" s="104"/>
      <c r="B73" s="104"/>
      <c r="C73" s="1251"/>
      <c r="D73" s="20"/>
      <c r="E73" s="15"/>
      <c r="F73" s="1212"/>
      <c r="G73" s="1212"/>
      <c r="H73" s="1212"/>
      <c r="I73" s="1212"/>
      <c r="J73" s="16"/>
      <c r="K73" s="19"/>
      <c r="L73" s="17"/>
      <c r="M73" s="19"/>
      <c r="N73" s="90"/>
      <c r="O73" s="13"/>
      <c r="P73" s="13"/>
      <c r="Q73" s="13"/>
      <c r="R73" s="2312"/>
      <c r="S73" s="19"/>
      <c r="T73" s="15"/>
      <c r="U73" s="13"/>
      <c r="V73" s="2312"/>
      <c r="W73" s="6773"/>
      <c r="X73" s="21"/>
      <c r="Y73" s="70"/>
      <c r="Z73" s="70"/>
      <c r="AA73" s="70"/>
      <c r="AB73" s="16"/>
      <c r="AE73" s="16"/>
      <c r="AF73" s="16"/>
      <c r="AG73" s="22"/>
      <c r="AH73" s="16"/>
      <c r="AI73" s="19"/>
      <c r="AJ73" s="21"/>
      <c r="AK73" s="21"/>
      <c r="AL73" s="16"/>
      <c r="AM73" s="16"/>
      <c r="AN73" s="16"/>
      <c r="AO73" s="22"/>
      <c r="AP73" s="16"/>
      <c r="AQ73" s="19"/>
      <c r="AR73" s="21"/>
      <c r="AS73" s="21"/>
      <c r="AT73" s="16"/>
      <c r="AU73" s="16"/>
      <c r="AV73" s="16"/>
      <c r="AW73" s="22"/>
      <c r="AX73" s="16"/>
      <c r="AY73" s="19"/>
      <c r="AZ73" s="21"/>
      <c r="BA73" s="21"/>
      <c r="BB73" s="16"/>
      <c r="BC73" s="16"/>
      <c r="BD73" s="16"/>
      <c r="BE73" s="22"/>
      <c r="BF73" s="16"/>
      <c r="BG73" s="19"/>
      <c r="BH73" s="21"/>
      <c r="BI73" s="21"/>
      <c r="BJ73" s="16"/>
      <c r="BK73" s="16"/>
      <c r="BL73" s="16"/>
      <c r="BM73" s="22"/>
      <c r="BN73" s="16"/>
      <c r="BO73" s="19"/>
      <c r="BP73" s="21"/>
      <c r="BQ73" s="21"/>
      <c r="BR73" s="16"/>
      <c r="BS73" s="16"/>
      <c r="BT73" s="16"/>
      <c r="BU73" s="22"/>
      <c r="BV73" s="16"/>
      <c r="BW73" s="19"/>
      <c r="BX73" s="21"/>
      <c r="BY73" s="21"/>
      <c r="BZ73" s="16"/>
      <c r="CA73" s="16"/>
      <c r="CB73" s="16"/>
      <c r="CC73" s="22"/>
      <c r="CD73" s="16"/>
      <c r="CE73" s="19"/>
      <c r="CF73" s="21"/>
      <c r="CG73" s="21"/>
      <c r="CH73" s="16"/>
      <c r="CI73" s="16"/>
      <c r="CJ73" s="16"/>
      <c r="CK73" s="22"/>
      <c r="CL73" s="16"/>
      <c r="CM73" s="19"/>
      <c r="CN73" s="21"/>
      <c r="CO73" s="21"/>
      <c r="CP73" s="16"/>
      <c r="CQ73" s="16"/>
      <c r="CR73" s="16"/>
      <c r="CS73" s="22"/>
      <c r="CT73" s="16"/>
      <c r="CU73" s="19"/>
      <c r="CV73" s="21"/>
      <c r="CW73" s="21"/>
      <c r="CX73" s="16"/>
      <c r="CY73" s="21"/>
    </row>
    <row r="74" spans="1:139" s="78" customFormat="1" ht="15" customHeight="1" thickBot="1" x14ac:dyDescent="0.35">
      <c r="A74" s="104"/>
      <c r="B74" s="104"/>
      <c r="C74" s="1251"/>
      <c r="D74" s="20"/>
      <c r="E74" s="660"/>
      <c r="F74" s="658"/>
      <c r="G74" s="658"/>
      <c r="H74" s="658"/>
      <c r="I74" s="658"/>
      <c r="J74" s="643"/>
      <c r="K74" s="1493"/>
      <c r="L74" s="17"/>
      <c r="M74" s="1475"/>
      <c r="N74" s="1476"/>
      <c r="O74" s="1477"/>
      <c r="P74" s="1477"/>
      <c r="Q74" s="1479"/>
      <c r="R74" s="1350"/>
      <c r="S74" s="1475"/>
      <c r="T74" s="1478"/>
      <c r="U74" s="1479"/>
      <c r="V74" s="1350"/>
      <c r="W74" s="6773"/>
      <c r="X74" s="21"/>
      <c r="Y74" s="4023"/>
      <c r="Z74" s="1504"/>
      <c r="AA74" s="1504"/>
      <c r="AB74" s="1505"/>
      <c r="AC74" s="1506"/>
      <c r="AE74" s="1223"/>
      <c r="AF74" s="658"/>
      <c r="AG74" s="1257"/>
      <c r="AH74" s="643"/>
      <c r="AI74" s="1224"/>
      <c r="AJ74" s="1238"/>
      <c r="AK74" s="1239"/>
      <c r="AL74" s="16"/>
      <c r="AM74" s="1223"/>
      <c r="AN74" s="658"/>
      <c r="AO74" s="1257"/>
      <c r="AP74" s="643"/>
      <c r="AQ74" s="1224"/>
      <c r="AR74" s="1238"/>
      <c r="AS74" s="1239"/>
      <c r="AT74" s="16"/>
      <c r="AU74" s="1223"/>
      <c r="AV74" s="658"/>
      <c r="AW74" s="1257"/>
      <c r="AX74" s="643"/>
      <c r="AY74" s="1224"/>
      <c r="AZ74" s="1238"/>
      <c r="BA74" s="1239"/>
      <c r="BB74" s="16"/>
      <c r="BC74" s="1223"/>
      <c r="BD74" s="658"/>
      <c r="BE74" s="1257"/>
      <c r="BF74" s="643"/>
      <c r="BG74" s="1224"/>
      <c r="BH74" s="1238"/>
      <c r="BI74" s="1239"/>
      <c r="BJ74" s="16"/>
      <c r="BK74" s="1223"/>
      <c r="BL74" s="658"/>
      <c r="BM74" s="1257"/>
      <c r="BN74" s="643"/>
      <c r="BO74" s="1224"/>
      <c r="BP74" s="1238"/>
      <c r="BQ74" s="1239"/>
      <c r="BR74" s="16"/>
      <c r="BS74" s="1223"/>
      <c r="BT74" s="658"/>
      <c r="BU74" s="1257"/>
      <c r="BV74" s="643"/>
      <c r="BW74" s="1224"/>
      <c r="BX74" s="1238"/>
      <c r="BY74" s="1239"/>
      <c r="BZ74" s="16"/>
      <c r="CA74" s="1223"/>
      <c r="CB74" s="658"/>
      <c r="CC74" s="1257"/>
      <c r="CD74" s="643"/>
      <c r="CE74" s="1224"/>
      <c r="CF74" s="1238"/>
      <c r="CG74" s="1239"/>
      <c r="CH74" s="16"/>
      <c r="CI74" s="1223"/>
      <c r="CJ74" s="658"/>
      <c r="CK74" s="1257"/>
      <c r="CL74" s="643"/>
      <c r="CM74" s="1224"/>
      <c r="CN74" s="1238"/>
      <c r="CO74" s="1239"/>
      <c r="CP74" s="16"/>
      <c r="CQ74" s="1223"/>
      <c r="CR74" s="658"/>
      <c r="CS74" s="1257"/>
      <c r="CT74" s="643"/>
      <c r="CU74" s="1224"/>
      <c r="CV74" s="1238"/>
      <c r="CW74" s="1239"/>
      <c r="CX74" s="16"/>
      <c r="CY74" s="173"/>
    </row>
    <row r="75" spans="1:139" s="78" customFormat="1" ht="20.100000000000001" customHeight="1" thickBot="1" x14ac:dyDescent="0.35">
      <c r="A75" s="104"/>
      <c r="B75" s="104"/>
      <c r="C75" s="1251"/>
      <c r="D75" s="20"/>
      <c r="E75" s="663"/>
      <c r="F75" s="6596" t="str">
        <f>_Calcs!$M$70</f>
        <v>For 1. og 2. støp</v>
      </c>
      <c r="G75" s="6596"/>
      <c r="H75" s="6596"/>
      <c r="I75" s="6596"/>
      <c r="J75" s="6256" t="s">
        <v>149</v>
      </c>
      <c r="K75" s="1241"/>
      <c r="L75" s="17"/>
      <c r="M75" s="1474"/>
      <c r="N75" s="177">
        <f>_Kapasitet!$U$82</f>
        <v>0.03</v>
      </c>
      <c r="O75" s="1471"/>
      <c r="P75" s="2514" t="str">
        <f>_Kapasitet!W82</f>
        <v>Standard</v>
      </c>
      <c r="Q75" s="1473"/>
      <c r="R75" s="2312"/>
      <c r="S75" s="1474"/>
      <c r="T75" s="1472" t="s">
        <v>37</v>
      </c>
      <c r="U75" s="1473"/>
      <c r="V75" s="2312"/>
      <c r="W75" s="6773"/>
      <c r="X75" s="21"/>
      <c r="Y75" s="3999"/>
      <c r="Z75" s="6738" t="s">
        <v>46</v>
      </c>
      <c r="AA75" s="6738"/>
      <c r="AB75" s="6738"/>
      <c r="AC75" s="1507"/>
      <c r="AE75" s="1231"/>
      <c r="AF75" s="76"/>
      <c r="AG75" s="2313">
        <f>INDEX(outputs_oppsum[sik123],MATCH(_Calcs!$NO$41,outputs_oppsum[stuff_id],0))</f>
        <v>0</v>
      </c>
      <c r="AH75" s="75"/>
      <c r="AI75" s="30" t="str">
        <f>IF(_Calcs!$NO$357=1,"✓","!")</f>
        <v>!</v>
      </c>
      <c r="AJ75" s="1227"/>
      <c r="AK75" s="1241"/>
      <c r="AL75" s="16"/>
      <c r="AM75" s="1231"/>
      <c r="AN75" s="76"/>
      <c r="AO75" s="2313" t="e">
        <f>INDEX(outputs_oppsum[sik123],MATCH(_Calcs!$NP$41,outputs_oppsum[stuff_id],0))</f>
        <v>#N/A</v>
      </c>
      <c r="AP75" s="75"/>
      <c r="AQ75" s="30" t="e">
        <f>IF(_Calcs!$NP$357=1,"✓","!")</f>
        <v>#N/A</v>
      </c>
      <c r="AR75" s="1227"/>
      <c r="AS75" s="1241"/>
      <c r="AT75" s="16"/>
      <c r="AU75" s="1231"/>
      <c r="AV75" s="76"/>
      <c r="AW75" s="2313" t="e">
        <f>INDEX(outputs_oppsum[sik123],MATCH(_Calcs!$NQ$41,outputs_oppsum[stuff_id],0))</f>
        <v>#N/A</v>
      </c>
      <c r="AX75" s="75"/>
      <c r="AY75" s="30" t="e">
        <f>IF(_Calcs!$NQ$357=1,"✓","!")</f>
        <v>#N/A</v>
      </c>
      <c r="AZ75" s="1227"/>
      <c r="BA75" s="1241"/>
      <c r="BB75" s="16"/>
      <c r="BC75" s="1231"/>
      <c r="BD75" s="76"/>
      <c r="BE75" s="2313" t="e">
        <f>INDEX(outputs_oppsum[sik123],MATCH(_Calcs!$NR$41,outputs_oppsum[stuff_id],0))</f>
        <v>#N/A</v>
      </c>
      <c r="BF75" s="75"/>
      <c r="BG75" s="30" t="e">
        <f>IF(_Calcs!$NR$357=1,"✓","!")</f>
        <v>#N/A</v>
      </c>
      <c r="BH75" s="1227"/>
      <c r="BI75" s="1241"/>
      <c r="BJ75" s="16"/>
      <c r="BK75" s="1231"/>
      <c r="BL75" s="76"/>
      <c r="BM75" s="2313" t="e">
        <f>INDEX(outputs_oppsum[sik123],MATCH(_Calcs!$NS$41,outputs_oppsum[stuff_id],0))</f>
        <v>#N/A</v>
      </c>
      <c r="BN75" s="75"/>
      <c r="BO75" s="30" t="e">
        <f>IF(_Calcs!$NS$357=1,"✓","!")</f>
        <v>#N/A</v>
      </c>
      <c r="BP75" s="1227"/>
      <c r="BQ75" s="1241"/>
      <c r="BR75" s="16"/>
      <c r="BS75" s="1231"/>
      <c r="BT75" s="76"/>
      <c r="BU75" s="2313" t="e">
        <f>INDEX(outputs_oppsum[sik123],MATCH(_Calcs!$NT$41,outputs_oppsum[stuff_id],0))</f>
        <v>#N/A</v>
      </c>
      <c r="BV75" s="75"/>
      <c r="BW75" s="30" t="e">
        <f>IF(_Calcs!$NT$357=1,"✓","!")</f>
        <v>#N/A</v>
      </c>
      <c r="BX75" s="1227"/>
      <c r="BY75" s="1241"/>
      <c r="BZ75" s="16"/>
      <c r="CA75" s="1231"/>
      <c r="CB75" s="76"/>
      <c r="CC75" s="2313" t="e">
        <f>INDEX(outputs_oppsum[sik123],MATCH(_Calcs!$NU$41,outputs_oppsum[stuff_id],0))</f>
        <v>#N/A</v>
      </c>
      <c r="CD75" s="75"/>
      <c r="CE75" s="30" t="e">
        <f>IF(_Calcs!$NU$357=1,"✓","!")</f>
        <v>#N/A</v>
      </c>
      <c r="CF75" s="1227"/>
      <c r="CG75" s="1241"/>
      <c r="CH75" s="16"/>
      <c r="CI75" s="1231"/>
      <c r="CJ75" s="76"/>
      <c r="CK75" s="2313" t="e">
        <f>INDEX(outputs_oppsum[sik123],MATCH(_Calcs!$NV$41,outputs_oppsum[stuff_id],0))</f>
        <v>#N/A</v>
      </c>
      <c r="CL75" s="75"/>
      <c r="CM75" s="30" t="e">
        <f>IF(_Calcs!$NV$357=1,"✓","!")</f>
        <v>#N/A</v>
      </c>
      <c r="CN75" s="1227"/>
      <c r="CO75" s="1241"/>
      <c r="CP75" s="16"/>
      <c r="CQ75" s="1231"/>
      <c r="CR75" s="76"/>
      <c r="CS75" s="2313" t="e">
        <f>INDEX(outputs_oppsum[sik123],MATCH(_Calcs!$NW$41,outputs_oppsum[stuff_id],0))</f>
        <v>#N/A</v>
      </c>
      <c r="CT75" s="75"/>
      <c r="CU75" s="30" t="e">
        <f>IF(_Calcs!$NW$357=1,"✓","!")</f>
        <v>#N/A</v>
      </c>
      <c r="CV75" s="1227"/>
      <c r="CW75" s="1241"/>
      <c r="CX75" s="16"/>
      <c r="CY75" s="173"/>
    </row>
    <row r="76" spans="1:139" s="78" customFormat="1" ht="15" customHeight="1" thickBot="1" x14ac:dyDescent="0.35">
      <c r="A76" s="104"/>
      <c r="B76" s="104"/>
      <c r="C76" s="1251"/>
      <c r="D76" s="20"/>
      <c r="E76" s="663"/>
      <c r="F76" s="1247"/>
      <c r="G76" s="1247"/>
      <c r="H76" s="1247"/>
      <c r="I76" s="1247"/>
      <c r="J76" s="1227"/>
      <c r="K76" s="1241"/>
      <c r="L76" s="1465"/>
      <c r="M76" s="1474"/>
      <c r="N76" s="1491"/>
      <c r="O76" s="1491"/>
      <c r="P76" s="1491"/>
      <c r="Q76" s="1490"/>
      <c r="R76" s="4012"/>
      <c r="S76" s="1474"/>
      <c r="T76" s="1492"/>
      <c r="U76" s="1490"/>
      <c r="V76" s="4012"/>
      <c r="W76" s="6773"/>
      <c r="X76" s="4012"/>
      <c r="Y76" s="3999"/>
      <c r="Z76" s="1499"/>
      <c r="AA76" s="1499"/>
      <c r="AB76" s="1498"/>
      <c r="AC76" s="1507"/>
      <c r="AE76" s="1231"/>
      <c r="AF76" s="76"/>
      <c r="AG76" s="1227"/>
      <c r="AH76" s="1227"/>
      <c r="AI76" s="1227"/>
      <c r="AJ76" s="1227"/>
      <c r="AK76" s="1241"/>
      <c r="AL76" s="16"/>
      <c r="AM76" s="1231"/>
      <c r="AN76" s="76"/>
      <c r="AO76" s="1227"/>
      <c r="AP76" s="1227"/>
      <c r="AQ76" s="1227"/>
      <c r="AR76" s="1227"/>
      <c r="AS76" s="1241"/>
      <c r="AT76" s="16"/>
      <c r="AU76" s="1231"/>
      <c r="AV76" s="76"/>
      <c r="AW76" s="1227"/>
      <c r="AX76" s="1227"/>
      <c r="AY76" s="1227"/>
      <c r="AZ76" s="1227"/>
      <c r="BA76" s="1241"/>
      <c r="BB76" s="16"/>
      <c r="BC76" s="1231"/>
      <c r="BD76" s="76"/>
      <c r="BE76" s="1227"/>
      <c r="BF76" s="1227"/>
      <c r="BG76" s="1227"/>
      <c r="BH76" s="1227"/>
      <c r="BI76" s="1241"/>
      <c r="BJ76" s="16"/>
      <c r="BK76" s="1231"/>
      <c r="BL76" s="76"/>
      <c r="BM76" s="1227"/>
      <c r="BN76" s="1227"/>
      <c r="BO76" s="1227"/>
      <c r="BP76" s="1227"/>
      <c r="BQ76" s="1241"/>
      <c r="BR76" s="16"/>
      <c r="BS76" s="1231"/>
      <c r="BT76" s="76"/>
      <c r="BU76" s="1227"/>
      <c r="BV76" s="1227"/>
      <c r="BW76" s="1227"/>
      <c r="BX76" s="1227"/>
      <c r="BY76" s="1241"/>
      <c r="BZ76" s="16"/>
      <c r="CA76" s="1231"/>
      <c r="CB76" s="76"/>
      <c r="CC76" s="1227"/>
      <c r="CD76" s="1227"/>
      <c r="CE76" s="1227"/>
      <c r="CF76" s="1227"/>
      <c r="CG76" s="1241"/>
      <c r="CH76" s="16"/>
      <c r="CI76" s="1231"/>
      <c r="CJ76" s="76"/>
      <c r="CK76" s="1227"/>
      <c r="CL76" s="1227"/>
      <c r="CM76" s="1227"/>
      <c r="CN76" s="1227"/>
      <c r="CO76" s="1241"/>
      <c r="CP76" s="16"/>
      <c r="CQ76" s="1231"/>
      <c r="CR76" s="76"/>
      <c r="CS76" s="1227"/>
      <c r="CT76" s="1227"/>
      <c r="CU76" s="1227"/>
      <c r="CV76" s="1227"/>
      <c r="CW76" s="1241"/>
      <c r="CX76" s="16"/>
      <c r="CY76" s="173"/>
    </row>
    <row r="77" spans="1:139" s="78" customFormat="1" ht="20.100000000000001" customHeight="1" thickBot="1" x14ac:dyDescent="0.35">
      <c r="A77" s="104"/>
      <c r="B77" s="104"/>
      <c r="C77" s="1251"/>
      <c r="D77" s="20"/>
      <c r="E77" s="663"/>
      <c r="F77" s="6596" t="str">
        <f>_Calcs!$M$71</f>
        <v>For 3. og etterfølgende støper</v>
      </c>
      <c r="G77" s="6596"/>
      <c r="H77" s="6596"/>
      <c r="I77" s="6596"/>
      <c r="J77" s="6256" t="s">
        <v>149</v>
      </c>
      <c r="K77" s="1241"/>
      <c r="L77" s="1466"/>
      <c r="M77" s="1474"/>
      <c r="N77" s="174">
        <f>_Kapasitet!$U$83</f>
        <v>0.1</v>
      </c>
      <c r="O77" s="1471"/>
      <c r="P77" s="2514" t="str">
        <f>_Kapasitet!W83</f>
        <v>Standard</v>
      </c>
      <c r="Q77" s="1490"/>
      <c r="R77" s="70"/>
      <c r="S77" s="1474"/>
      <c r="T77" s="1472" t="s">
        <v>37</v>
      </c>
      <c r="U77" s="1490"/>
      <c r="V77" s="70"/>
      <c r="W77" s="6773"/>
      <c r="X77" s="2310"/>
      <c r="Y77" s="3999"/>
      <c r="Z77" s="6738" t="s">
        <v>46</v>
      </c>
      <c r="AA77" s="6738"/>
      <c r="AB77" s="6738"/>
      <c r="AC77" s="1507"/>
      <c r="AE77" s="1231"/>
      <c r="AF77" s="76"/>
      <c r="AG77" s="2313">
        <f>INDEX(outputs_oppsum[sik4],MATCH(_Calcs!$NO$41,outputs_oppsum[stuff_id],0))</f>
        <v>0</v>
      </c>
      <c r="AH77" s="75"/>
      <c r="AI77" s="30" t="str">
        <f>IF(_Calcs!$NO$358=1,"✓","!")</f>
        <v>!</v>
      </c>
      <c r="AJ77" s="1227"/>
      <c r="AK77" s="1241"/>
      <c r="AL77" s="16"/>
      <c r="AM77" s="1231"/>
      <c r="AN77" s="76"/>
      <c r="AO77" s="2313" t="e">
        <f>INDEX(outputs_oppsum[sik4],MATCH(_Calcs!$NP$41,outputs_oppsum[stuff_id],0))</f>
        <v>#N/A</v>
      </c>
      <c r="AP77" s="75"/>
      <c r="AQ77" s="30" t="e">
        <f>IF(_Calcs!$NP$358=1,"✓","!")</f>
        <v>#N/A</v>
      </c>
      <c r="AR77" s="1227"/>
      <c r="AS77" s="1241"/>
      <c r="AT77" s="16"/>
      <c r="AU77" s="1231"/>
      <c r="AV77" s="76"/>
      <c r="AW77" s="2313" t="e">
        <f>INDEX(outputs_oppsum[sik4],MATCH(_Calcs!$NQ$41,outputs_oppsum[stuff_id],0))</f>
        <v>#N/A</v>
      </c>
      <c r="AX77" s="75"/>
      <c r="AY77" s="30" t="e">
        <f>IF(_Calcs!$NQ$358=1,"✓","!")</f>
        <v>#N/A</v>
      </c>
      <c r="AZ77" s="1227"/>
      <c r="BA77" s="1241"/>
      <c r="BB77" s="16"/>
      <c r="BC77" s="1231"/>
      <c r="BD77" s="76"/>
      <c r="BE77" s="2313" t="e">
        <f>INDEX(outputs_oppsum[sik4],MATCH(_Calcs!$NR$41,outputs_oppsum[stuff_id],0))</f>
        <v>#N/A</v>
      </c>
      <c r="BF77" s="75"/>
      <c r="BG77" s="30" t="e">
        <f>IF(_Calcs!$NR$358=1,"✓","!")</f>
        <v>#N/A</v>
      </c>
      <c r="BH77" s="1227"/>
      <c r="BI77" s="1241"/>
      <c r="BJ77" s="16"/>
      <c r="BK77" s="1231"/>
      <c r="BL77" s="76"/>
      <c r="BM77" s="2313" t="e">
        <f>INDEX(outputs_oppsum[sik4],MATCH(_Calcs!$NS$41,outputs_oppsum[stuff_id],0))</f>
        <v>#N/A</v>
      </c>
      <c r="BN77" s="75"/>
      <c r="BO77" s="30" t="e">
        <f>IF(_Calcs!$NS$358=1,"✓","!")</f>
        <v>#N/A</v>
      </c>
      <c r="BP77" s="1227"/>
      <c r="BQ77" s="1241"/>
      <c r="BR77" s="16"/>
      <c r="BS77" s="1231"/>
      <c r="BT77" s="76"/>
      <c r="BU77" s="2313" t="e">
        <f>INDEX(outputs_oppsum[sik4],MATCH(_Calcs!$NT$41,outputs_oppsum[stuff_id],0))</f>
        <v>#N/A</v>
      </c>
      <c r="BV77" s="75"/>
      <c r="BW77" s="30" t="e">
        <f>IF(_Calcs!$NT$358=1,"✓","!")</f>
        <v>#N/A</v>
      </c>
      <c r="BX77" s="1227"/>
      <c r="BY77" s="1241"/>
      <c r="BZ77" s="16"/>
      <c r="CA77" s="1231"/>
      <c r="CB77" s="76"/>
      <c r="CC77" s="2313" t="e">
        <f>INDEX(outputs_oppsum[sik4],MATCH(_Calcs!$NU$41,outputs_oppsum[stuff_id],0))</f>
        <v>#N/A</v>
      </c>
      <c r="CD77" s="75"/>
      <c r="CE77" s="30" t="e">
        <f>IF(_Calcs!$NU$358=1,"✓","!")</f>
        <v>#N/A</v>
      </c>
      <c r="CF77" s="1227"/>
      <c r="CG77" s="1241"/>
      <c r="CH77" s="16"/>
      <c r="CI77" s="1231"/>
      <c r="CJ77" s="76"/>
      <c r="CK77" s="2313" t="e">
        <f>INDEX(outputs_oppsum[sik4],MATCH(_Calcs!$NV$41,outputs_oppsum[stuff_id],0))</f>
        <v>#N/A</v>
      </c>
      <c r="CL77" s="75"/>
      <c r="CM77" s="30" t="e">
        <f>IF(_Calcs!$NV$358=1,"✓","!")</f>
        <v>#N/A</v>
      </c>
      <c r="CN77" s="1227"/>
      <c r="CO77" s="1241"/>
      <c r="CP77" s="16"/>
      <c r="CQ77" s="1231"/>
      <c r="CR77" s="76"/>
      <c r="CS77" s="2313" t="e">
        <f>INDEX(outputs_oppsum[sik4],MATCH(_Calcs!$NW$41,outputs_oppsum[stuff_id],0))</f>
        <v>#N/A</v>
      </c>
      <c r="CT77" s="75"/>
      <c r="CU77" s="30" t="e">
        <f>IF(_Calcs!$NW$358=1,"✓","!")</f>
        <v>#N/A</v>
      </c>
      <c r="CV77" s="1227"/>
      <c r="CW77" s="1241"/>
      <c r="CX77" s="16"/>
      <c r="CY77" s="173"/>
    </row>
    <row r="78" spans="1:139" s="78" customFormat="1" ht="15" customHeight="1" thickBot="1" x14ac:dyDescent="0.25">
      <c r="A78" s="104"/>
      <c r="B78" s="104"/>
      <c r="C78" s="1252"/>
      <c r="D78" s="20"/>
      <c r="E78" s="665"/>
      <c r="F78" s="659"/>
      <c r="G78" s="659"/>
      <c r="H78" s="659"/>
      <c r="I78" s="659"/>
      <c r="J78" s="655"/>
      <c r="K78" s="1494"/>
      <c r="L78" s="1466"/>
      <c r="M78" s="1489"/>
      <c r="N78" s="1483"/>
      <c r="O78" s="1484"/>
      <c r="P78" s="1484"/>
      <c r="Q78" s="1485"/>
      <c r="R78" s="70"/>
      <c r="S78" s="1489"/>
      <c r="T78" s="1469"/>
      <c r="U78" s="1485"/>
      <c r="V78" s="70"/>
      <c r="W78" s="6774"/>
      <c r="X78" s="21"/>
      <c r="Y78" s="4000"/>
      <c r="Z78" s="1508"/>
      <c r="AA78" s="1508"/>
      <c r="AB78" s="1509"/>
      <c r="AC78" s="1510"/>
      <c r="AE78" s="1229"/>
      <c r="AF78" s="659"/>
      <c r="AG78" s="656"/>
      <c r="AH78" s="656"/>
      <c r="AI78" s="656"/>
      <c r="AJ78" s="656"/>
      <c r="AK78" s="657"/>
      <c r="AM78" s="1229"/>
      <c r="AN78" s="659"/>
      <c r="AO78" s="656"/>
      <c r="AP78" s="656"/>
      <c r="AQ78" s="656"/>
      <c r="AR78" s="656"/>
      <c r="AS78" s="657"/>
      <c r="AU78" s="1229"/>
      <c r="AV78" s="659"/>
      <c r="AW78" s="656"/>
      <c r="AX78" s="656"/>
      <c r="AY78" s="656"/>
      <c r="AZ78" s="656"/>
      <c r="BA78" s="657"/>
      <c r="BC78" s="1229"/>
      <c r="BD78" s="659"/>
      <c r="BE78" s="656"/>
      <c r="BF78" s="656"/>
      <c r="BG78" s="656"/>
      <c r="BH78" s="656"/>
      <c r="BI78" s="657"/>
      <c r="BK78" s="1229"/>
      <c r="BL78" s="659"/>
      <c r="BM78" s="656"/>
      <c r="BN78" s="656"/>
      <c r="BO78" s="656"/>
      <c r="BP78" s="656"/>
      <c r="BQ78" s="657"/>
      <c r="BS78" s="1229"/>
      <c r="BT78" s="659"/>
      <c r="BU78" s="656"/>
      <c r="BV78" s="656"/>
      <c r="BW78" s="656"/>
      <c r="BX78" s="656"/>
      <c r="BY78" s="657"/>
      <c r="CA78" s="1229"/>
      <c r="CB78" s="659"/>
      <c r="CC78" s="656"/>
      <c r="CD78" s="656"/>
      <c r="CE78" s="656"/>
      <c r="CF78" s="656"/>
      <c r="CG78" s="657"/>
      <c r="CI78" s="1229"/>
      <c r="CJ78" s="659"/>
      <c r="CK78" s="656"/>
      <c r="CL78" s="656"/>
      <c r="CM78" s="656"/>
      <c r="CN78" s="656"/>
      <c r="CO78" s="657"/>
      <c r="CQ78" s="1229"/>
      <c r="CR78" s="659"/>
      <c r="CS78" s="656"/>
      <c r="CT78" s="656"/>
      <c r="CU78" s="656"/>
      <c r="CV78" s="656"/>
      <c r="CW78" s="657"/>
      <c r="CX78" s="16"/>
      <c r="CY78" s="173"/>
    </row>
    <row r="79" spans="1:139" s="78" customFormat="1" ht="30" customHeight="1" x14ac:dyDescent="0.2">
      <c r="J79" s="36"/>
      <c r="L79" s="4011"/>
      <c r="R79" s="70"/>
      <c r="T79" s="215"/>
      <c r="V79" s="70"/>
      <c r="W79" s="70"/>
      <c r="X79" s="70"/>
      <c r="Y79" s="70"/>
      <c r="Z79" s="70"/>
      <c r="AA79" s="70"/>
      <c r="AB79" s="70"/>
      <c r="AH79" s="215"/>
      <c r="AK79" s="21"/>
      <c r="AL79" s="70"/>
      <c r="AP79" s="215"/>
      <c r="AS79" s="21"/>
      <c r="AT79" s="70"/>
      <c r="AX79" s="215"/>
      <c r="BA79" s="21"/>
      <c r="BB79" s="70"/>
      <c r="BF79" s="215"/>
      <c r="BI79" s="21"/>
      <c r="BJ79" s="70"/>
      <c r="BN79" s="215"/>
      <c r="BQ79" s="21"/>
      <c r="BR79" s="70"/>
      <c r="BV79" s="215"/>
      <c r="BY79" s="21"/>
      <c r="BZ79" s="70"/>
      <c r="CD79" s="215"/>
      <c r="CG79" s="21"/>
      <c r="CH79" s="70"/>
      <c r="CL79" s="215"/>
      <c r="CO79" s="21"/>
      <c r="CP79" s="70"/>
      <c r="CT79" s="215"/>
      <c r="CW79" s="21"/>
      <c r="CX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row>
    <row r="80" spans="1:139" s="21" customFormat="1" ht="12" customHeight="1" x14ac:dyDescent="0.2">
      <c r="A80" s="25"/>
      <c r="B80" s="25"/>
      <c r="C80" s="2275"/>
      <c r="D80" s="25"/>
      <c r="E80" s="2276"/>
      <c r="F80" s="2277"/>
      <c r="G80" s="2277"/>
      <c r="H80" s="2277"/>
      <c r="I80" s="2275"/>
      <c r="J80" s="2275"/>
      <c r="K80" s="2277"/>
      <c r="L80" s="6178"/>
      <c r="M80" s="2277"/>
      <c r="N80" s="2277"/>
      <c r="O80" s="2277"/>
      <c r="P80" s="2277"/>
      <c r="Q80" s="2277"/>
      <c r="R80" s="2277"/>
      <c r="S80" s="2277"/>
      <c r="T80" s="2277"/>
      <c r="U80" s="2277"/>
      <c r="V80" s="70"/>
      <c r="W80" s="70"/>
      <c r="X80" s="70"/>
      <c r="Y80" s="2275"/>
      <c r="Z80" s="2275"/>
      <c r="AA80" s="2275"/>
      <c r="AB80" s="2275"/>
      <c r="AC80" s="2275"/>
      <c r="AE80" s="2277"/>
      <c r="AF80" s="2277"/>
      <c r="AG80" s="2275"/>
      <c r="AH80" s="2275"/>
      <c r="AI80" s="2275"/>
      <c r="AJ80" s="2275"/>
      <c r="AK80" s="2278"/>
      <c r="AM80" s="2277"/>
      <c r="AN80" s="2277"/>
      <c r="AO80" s="2275"/>
      <c r="AP80" s="2275"/>
      <c r="AQ80" s="2275"/>
      <c r="AR80" s="2275"/>
      <c r="AS80" s="2278"/>
      <c r="AU80" s="2277"/>
      <c r="AV80" s="2277"/>
      <c r="AW80" s="2275"/>
      <c r="AX80" s="2275"/>
      <c r="AY80" s="2275"/>
      <c r="AZ80" s="2275"/>
      <c r="BA80" s="2278"/>
      <c r="BC80" s="2277"/>
      <c r="BD80" s="2277"/>
      <c r="BE80" s="2275"/>
      <c r="BF80" s="2275"/>
      <c r="BG80" s="2275"/>
      <c r="BH80" s="2275"/>
      <c r="BI80" s="2278"/>
      <c r="BJ80" s="70"/>
      <c r="BK80" s="2277"/>
      <c r="BL80" s="2277"/>
      <c r="BM80" s="2275"/>
      <c r="BN80" s="2275"/>
      <c r="BO80" s="2275"/>
      <c r="BP80" s="2275"/>
      <c r="BQ80" s="2278"/>
      <c r="BS80" s="2277"/>
      <c r="BT80" s="2277"/>
      <c r="BU80" s="2275"/>
      <c r="BV80" s="2275"/>
      <c r="BW80" s="2275"/>
      <c r="BX80" s="2275"/>
      <c r="BY80" s="2278"/>
      <c r="CA80" s="2277"/>
      <c r="CB80" s="2277"/>
      <c r="CC80" s="2275"/>
      <c r="CD80" s="2275"/>
      <c r="CE80" s="2275"/>
      <c r="CF80" s="2275"/>
      <c r="CG80" s="2278"/>
      <c r="CI80" s="2277"/>
      <c r="CJ80" s="2277"/>
      <c r="CK80" s="2275"/>
      <c r="CL80" s="2275"/>
      <c r="CM80" s="2275"/>
      <c r="CN80" s="2275"/>
      <c r="CO80" s="2278"/>
      <c r="CP80" s="70"/>
      <c r="CQ80" s="2277"/>
      <c r="CR80" s="2277"/>
      <c r="CS80" s="2275"/>
      <c r="CT80" s="2275"/>
      <c r="CU80" s="2275"/>
      <c r="CV80" s="2275"/>
      <c r="CW80" s="2278"/>
      <c r="CX80" s="70"/>
      <c r="CY80" s="2275"/>
      <c r="CZ80" s="70"/>
      <c r="DT80" s="70"/>
    </row>
    <row r="81" spans="1:124" s="21" customFormat="1" ht="3.75" customHeight="1" x14ac:dyDescent="0.2">
      <c r="A81" s="25"/>
      <c r="B81" s="25"/>
      <c r="C81" s="13"/>
      <c r="D81" s="25"/>
      <c r="E81" s="14"/>
      <c r="F81" s="15"/>
      <c r="G81" s="15"/>
      <c r="H81" s="15"/>
      <c r="I81" s="16"/>
      <c r="J81" s="16"/>
      <c r="K81" s="15"/>
      <c r="L81" s="17"/>
      <c r="M81" s="17"/>
      <c r="N81" s="17"/>
      <c r="O81" s="17"/>
      <c r="P81" s="17"/>
      <c r="Q81" s="17"/>
      <c r="R81" s="17"/>
      <c r="S81" s="17"/>
      <c r="T81" s="17"/>
      <c r="U81" s="17"/>
      <c r="V81" s="70"/>
      <c r="W81" s="70"/>
      <c r="X81" s="70"/>
      <c r="Y81" s="16"/>
      <c r="Z81" s="16"/>
      <c r="AA81" s="16"/>
      <c r="AB81" s="16"/>
      <c r="AC81" s="16"/>
      <c r="AE81" s="18"/>
      <c r="AF81" s="18"/>
      <c r="AG81" s="13"/>
      <c r="AH81" s="16"/>
      <c r="AI81" s="16"/>
      <c r="AJ81" s="16"/>
      <c r="AK81" s="19"/>
      <c r="AM81" s="18"/>
      <c r="AN81" s="18"/>
      <c r="AO81" s="13"/>
      <c r="AP81" s="16"/>
      <c r="AQ81" s="16"/>
      <c r="AR81" s="16"/>
      <c r="AS81" s="19"/>
      <c r="AU81" s="18"/>
      <c r="AV81" s="18"/>
      <c r="AW81" s="13"/>
      <c r="AX81" s="16"/>
      <c r="AY81" s="16"/>
      <c r="AZ81" s="16"/>
      <c r="BA81" s="19"/>
      <c r="BC81" s="18"/>
      <c r="BD81" s="18"/>
      <c r="BE81" s="13"/>
      <c r="BF81" s="16"/>
      <c r="BG81" s="16"/>
      <c r="BH81" s="16"/>
      <c r="BI81" s="19"/>
      <c r="BJ81" s="70"/>
      <c r="BK81" s="18"/>
      <c r="BL81" s="18"/>
      <c r="BM81" s="13"/>
      <c r="BN81" s="16"/>
      <c r="BO81" s="16"/>
      <c r="BP81" s="16"/>
      <c r="BQ81" s="19"/>
      <c r="BS81" s="18"/>
      <c r="BT81" s="18"/>
      <c r="BU81" s="13"/>
      <c r="BV81" s="16"/>
      <c r="BW81" s="16"/>
      <c r="BX81" s="16"/>
      <c r="BY81" s="19"/>
      <c r="CA81" s="18"/>
      <c r="CB81" s="18"/>
      <c r="CC81" s="13"/>
      <c r="CD81" s="16"/>
      <c r="CE81" s="16"/>
      <c r="CF81" s="16"/>
      <c r="CG81" s="19"/>
      <c r="CI81" s="18"/>
      <c r="CJ81" s="18"/>
      <c r="CK81" s="13"/>
      <c r="CL81" s="16"/>
      <c r="CM81" s="16"/>
      <c r="CN81" s="16"/>
      <c r="CO81" s="19"/>
      <c r="CP81" s="70"/>
      <c r="CQ81" s="18"/>
      <c r="CR81" s="18"/>
      <c r="CS81" s="13"/>
      <c r="CT81" s="16"/>
      <c r="CU81" s="16"/>
      <c r="CV81" s="16"/>
      <c r="CW81" s="19"/>
      <c r="CX81" s="70"/>
      <c r="CY81" s="16"/>
      <c r="CZ81" s="70"/>
      <c r="DT81" s="70"/>
    </row>
    <row r="82" spans="1:124" s="21" customFormat="1" ht="5.0999999999999996" customHeight="1" x14ac:dyDescent="0.2">
      <c r="A82" s="25"/>
      <c r="B82" s="25"/>
      <c r="C82" s="2275"/>
      <c r="D82" s="25"/>
      <c r="E82" s="2276"/>
      <c r="F82" s="2277"/>
      <c r="G82" s="2277"/>
      <c r="H82" s="2277"/>
      <c r="I82" s="2275"/>
      <c r="J82" s="2275"/>
      <c r="K82" s="2277"/>
      <c r="L82" s="6178"/>
      <c r="M82" s="2277"/>
      <c r="N82" s="2277"/>
      <c r="O82" s="2277"/>
      <c r="P82" s="2277"/>
      <c r="Q82" s="2277"/>
      <c r="R82" s="2277"/>
      <c r="S82" s="2277"/>
      <c r="T82" s="2277"/>
      <c r="U82" s="2277"/>
      <c r="V82" s="70"/>
      <c r="W82" s="70"/>
      <c r="X82" s="70"/>
      <c r="Y82" s="2275"/>
      <c r="Z82" s="2275"/>
      <c r="AA82" s="2275"/>
      <c r="AB82" s="2275"/>
      <c r="AC82" s="2275"/>
      <c r="AE82" s="2277"/>
      <c r="AF82" s="2277"/>
      <c r="AG82" s="2275"/>
      <c r="AH82" s="2275"/>
      <c r="AI82" s="2275"/>
      <c r="AJ82" s="2275"/>
      <c r="AK82" s="2278"/>
      <c r="AM82" s="2277"/>
      <c r="AN82" s="2277"/>
      <c r="AO82" s="2275"/>
      <c r="AP82" s="2275"/>
      <c r="AQ82" s="2275"/>
      <c r="AR82" s="2275"/>
      <c r="AS82" s="2278"/>
      <c r="AU82" s="2277"/>
      <c r="AV82" s="2277"/>
      <c r="AW82" s="2275"/>
      <c r="AX82" s="2275"/>
      <c r="AY82" s="2275"/>
      <c r="AZ82" s="2275"/>
      <c r="BA82" s="2278"/>
      <c r="BC82" s="2277"/>
      <c r="BD82" s="2277"/>
      <c r="BE82" s="2275"/>
      <c r="BF82" s="2275"/>
      <c r="BG82" s="2275"/>
      <c r="BH82" s="2275"/>
      <c r="BI82" s="2278"/>
      <c r="BJ82" s="70"/>
      <c r="BK82" s="2277"/>
      <c r="BL82" s="2277"/>
      <c r="BM82" s="2275"/>
      <c r="BN82" s="2275"/>
      <c r="BO82" s="2275"/>
      <c r="BP82" s="2275"/>
      <c r="BQ82" s="2278"/>
      <c r="BS82" s="2277"/>
      <c r="BT82" s="2277"/>
      <c r="BU82" s="2275"/>
      <c r="BV82" s="2275"/>
      <c r="BW82" s="2275"/>
      <c r="BX82" s="2275"/>
      <c r="BY82" s="2278"/>
      <c r="CA82" s="2277"/>
      <c r="CB82" s="2277"/>
      <c r="CC82" s="2275"/>
      <c r="CD82" s="2275"/>
      <c r="CE82" s="2275"/>
      <c r="CF82" s="2275"/>
      <c r="CG82" s="2278"/>
      <c r="CI82" s="2277"/>
      <c r="CJ82" s="2277"/>
      <c r="CK82" s="2275"/>
      <c r="CL82" s="2275"/>
      <c r="CM82" s="2275"/>
      <c r="CN82" s="2275"/>
      <c r="CO82" s="2278"/>
      <c r="CP82" s="70"/>
      <c r="CQ82" s="2277"/>
      <c r="CR82" s="2277"/>
      <c r="CS82" s="2275"/>
      <c r="CT82" s="2275"/>
      <c r="CU82" s="2275"/>
      <c r="CV82" s="2275"/>
      <c r="CW82" s="2278"/>
      <c r="CX82" s="70"/>
      <c r="CY82" s="2275"/>
      <c r="CZ82" s="70"/>
    </row>
    <row r="83" spans="1:124" s="21" customFormat="1" ht="30" customHeight="1" thickBot="1" x14ac:dyDescent="0.35">
      <c r="A83" s="20"/>
      <c r="B83" s="20"/>
      <c r="C83" s="13"/>
      <c r="D83" s="20"/>
      <c r="E83" s="14"/>
      <c r="J83" s="16"/>
      <c r="K83" s="16"/>
      <c r="L83" s="218"/>
      <c r="M83" s="218"/>
      <c r="N83" s="16"/>
      <c r="O83" s="16"/>
      <c r="P83" s="16"/>
      <c r="Q83" s="78"/>
      <c r="R83" s="218"/>
      <c r="S83" s="218"/>
      <c r="T83" s="215"/>
      <c r="U83" s="78"/>
      <c r="W83" s="4012"/>
      <c r="X83" s="4012"/>
      <c r="Z83" s="22"/>
      <c r="AA83" s="13"/>
      <c r="AB83" s="13"/>
      <c r="AC83" s="13"/>
      <c r="AD83" s="16"/>
      <c r="AE83" s="70"/>
      <c r="AF83" s="22"/>
      <c r="AG83" s="22"/>
      <c r="AH83" s="13"/>
      <c r="AI83" s="16"/>
      <c r="AJ83" s="70"/>
      <c r="AK83" s="70"/>
      <c r="AL83" s="70"/>
      <c r="AN83" s="22"/>
      <c r="AO83" s="22"/>
      <c r="AP83" s="13"/>
      <c r="AQ83" s="16"/>
      <c r="AR83" s="70"/>
      <c r="AS83" s="70"/>
      <c r="AT83" s="70"/>
      <c r="AV83" s="22"/>
      <c r="AW83" s="22"/>
      <c r="AX83" s="13"/>
      <c r="AY83" s="16"/>
      <c r="AZ83" s="70"/>
      <c r="BA83" s="70"/>
      <c r="BB83" s="70"/>
      <c r="BD83" s="22"/>
      <c r="BE83" s="22"/>
      <c r="BF83" s="13"/>
      <c r="BG83" s="16"/>
      <c r="BH83" s="70"/>
      <c r="BI83" s="70"/>
      <c r="BJ83" s="70"/>
      <c r="BL83" s="22"/>
      <c r="BM83" s="22"/>
      <c r="BN83" s="13"/>
      <c r="BO83" s="16"/>
      <c r="BP83" s="70"/>
      <c r="BQ83" s="70"/>
      <c r="BR83" s="70"/>
      <c r="BT83" s="22"/>
      <c r="BU83" s="22"/>
      <c r="BV83" s="13"/>
      <c r="BW83" s="16"/>
      <c r="BX83" s="70"/>
      <c r="BY83" s="70"/>
      <c r="BZ83" s="70"/>
      <c r="CB83" s="22"/>
      <c r="CC83" s="22"/>
      <c r="CD83" s="13"/>
      <c r="CE83" s="16"/>
      <c r="CF83" s="70"/>
      <c r="CG83" s="70"/>
      <c r="CH83" s="70"/>
      <c r="CJ83" s="22"/>
      <c r="CK83" s="22"/>
      <c r="CL83" s="13"/>
      <c r="CM83" s="16"/>
      <c r="CN83" s="70"/>
      <c r="CO83" s="70"/>
      <c r="CP83" s="70"/>
      <c r="CQ83" s="70"/>
      <c r="CR83" s="22"/>
      <c r="CS83" s="22"/>
      <c r="CT83" s="13"/>
      <c r="CU83" s="16"/>
      <c r="CV83" s="70"/>
      <c r="CW83" s="70"/>
      <c r="CX83" s="70"/>
    </row>
    <row r="84" spans="1:124" s="21" customFormat="1" ht="15" customHeight="1" thickBot="1" x14ac:dyDescent="0.35">
      <c r="A84" s="20"/>
      <c r="B84" s="20"/>
      <c r="C84" s="4013"/>
      <c r="D84" s="13"/>
      <c r="E84" s="6140"/>
      <c r="F84" s="6141"/>
      <c r="G84" s="6141"/>
      <c r="H84" s="6141"/>
      <c r="I84" s="6141"/>
      <c r="J84" s="6141"/>
      <c r="K84" s="1345"/>
      <c r="L84" s="17"/>
      <c r="M84" s="6751"/>
      <c r="N84" s="6751"/>
      <c r="O84" s="6751"/>
      <c r="P84" s="6751"/>
      <c r="Q84" s="6751"/>
      <c r="R84" s="6751"/>
      <c r="S84" s="6751"/>
      <c r="T84" s="6751"/>
      <c r="U84" s="6751"/>
      <c r="V84" s="70"/>
      <c r="W84" s="2310"/>
      <c r="X84" s="2310"/>
      <c r="Y84" s="4014"/>
      <c r="Z84" s="4015"/>
      <c r="AA84" s="4015"/>
      <c r="AB84" s="4015"/>
      <c r="AC84" s="4016"/>
      <c r="AE84" s="4014"/>
      <c r="AF84" s="4015"/>
      <c r="AG84" s="4015"/>
      <c r="AH84" s="4015"/>
      <c r="AI84" s="4015"/>
      <c r="AJ84" s="4015"/>
      <c r="AK84" s="4016"/>
      <c r="AL84" s="70"/>
      <c r="AM84" s="4014"/>
      <c r="AN84" s="4015"/>
      <c r="AO84" s="4015"/>
      <c r="AP84" s="4015"/>
      <c r="AQ84" s="4015"/>
      <c r="AR84" s="4015"/>
      <c r="AS84" s="4016"/>
      <c r="AT84" s="25"/>
      <c r="AU84" s="4014"/>
      <c r="AV84" s="4015"/>
      <c r="AW84" s="4015"/>
      <c r="AX84" s="4015"/>
      <c r="AY84" s="4015"/>
      <c r="AZ84" s="4015"/>
      <c r="BA84" s="4016"/>
      <c r="BB84" s="70"/>
      <c r="BC84" s="4014"/>
      <c r="BD84" s="4015"/>
      <c r="BE84" s="4015"/>
      <c r="BF84" s="4015"/>
      <c r="BG84" s="4015"/>
      <c r="BH84" s="4015"/>
      <c r="BI84" s="4016"/>
      <c r="BK84" s="4014"/>
      <c r="BL84" s="4015"/>
      <c r="BM84" s="4015"/>
      <c r="BN84" s="4015"/>
      <c r="BO84" s="4015"/>
      <c r="BP84" s="4015"/>
      <c r="BQ84" s="4016"/>
      <c r="BR84" s="70"/>
      <c r="BS84" s="4014"/>
      <c r="BT84" s="4015"/>
      <c r="BU84" s="4015"/>
      <c r="BV84" s="4015"/>
      <c r="BW84" s="4015"/>
      <c r="BX84" s="4015"/>
      <c r="BY84" s="4016"/>
      <c r="BZ84" s="25"/>
      <c r="CA84" s="4014"/>
      <c r="CB84" s="4015"/>
      <c r="CC84" s="4015"/>
      <c r="CD84" s="4015"/>
      <c r="CE84" s="4015"/>
      <c r="CF84" s="4015"/>
      <c r="CG84" s="4016"/>
      <c r="CH84" s="70"/>
      <c r="CI84" s="4014"/>
      <c r="CJ84" s="4015"/>
      <c r="CK84" s="4015"/>
      <c r="CL84" s="4015"/>
      <c r="CM84" s="4015"/>
      <c r="CN84" s="4015"/>
      <c r="CO84" s="4016"/>
      <c r="CQ84" s="4014"/>
      <c r="CR84" s="4015"/>
      <c r="CS84" s="4015"/>
      <c r="CT84" s="4015"/>
      <c r="CU84" s="4015"/>
      <c r="CV84" s="4015"/>
      <c r="CW84" s="4016"/>
      <c r="CX84" s="70"/>
      <c r="CY84" s="93"/>
      <c r="CZ84" s="70"/>
      <c r="DB84" s="70"/>
      <c r="DC84" s="70"/>
    </row>
    <row r="85" spans="1:124" s="21" customFormat="1" ht="8.1" customHeight="1" thickBot="1" x14ac:dyDescent="0.35">
      <c r="A85" s="20"/>
      <c r="B85" s="20"/>
      <c r="C85" s="90"/>
      <c r="D85" s="13"/>
      <c r="E85" s="13"/>
      <c r="F85" s="13"/>
      <c r="G85" s="13"/>
      <c r="H85" s="13"/>
      <c r="I85" s="13"/>
      <c r="J85" s="13"/>
      <c r="K85" s="15"/>
      <c r="L85" s="17"/>
      <c r="M85" s="17"/>
      <c r="N85" s="17"/>
      <c r="O85" s="17"/>
      <c r="P85" s="17"/>
      <c r="Q85" s="17"/>
      <c r="R85" s="17"/>
      <c r="S85" s="17"/>
      <c r="T85" s="17"/>
      <c r="U85" s="17"/>
      <c r="V85" s="70"/>
      <c r="W85" s="2310"/>
      <c r="X85" s="2310"/>
      <c r="Y85" s="1337"/>
      <c r="Z85" s="1337"/>
      <c r="AA85" s="1337"/>
      <c r="AB85" s="1337"/>
      <c r="AC85" s="1337"/>
      <c r="AE85" s="876"/>
      <c r="AF85" s="876"/>
      <c r="AG85" s="876"/>
      <c r="AH85" s="876"/>
      <c r="AI85" s="146"/>
      <c r="AJ85" s="146"/>
      <c r="AK85" s="146"/>
      <c r="AL85" s="70"/>
      <c r="AM85" s="876"/>
      <c r="AN85" s="876"/>
      <c r="AO85" s="876"/>
      <c r="AP85" s="876"/>
      <c r="AQ85" s="146"/>
      <c r="AR85" s="146"/>
      <c r="AS85" s="146"/>
      <c r="AT85" s="25"/>
      <c r="AU85" s="876"/>
      <c r="AV85" s="876"/>
      <c r="AW85" s="876"/>
      <c r="AX85" s="876"/>
      <c r="AY85" s="146"/>
      <c r="AZ85" s="146"/>
      <c r="BA85" s="146"/>
      <c r="BB85" s="70"/>
      <c r="BC85" s="876"/>
      <c r="BD85" s="876"/>
      <c r="BE85" s="876"/>
      <c r="BF85" s="876"/>
      <c r="BG85" s="146"/>
      <c r="BH85" s="146"/>
      <c r="BI85" s="146"/>
      <c r="BK85" s="876"/>
      <c r="BL85" s="876"/>
      <c r="BM85" s="876"/>
      <c r="BN85" s="876"/>
      <c r="BO85" s="146"/>
      <c r="BP85" s="146"/>
      <c r="BQ85" s="146"/>
      <c r="BR85" s="70"/>
      <c r="BS85" s="876"/>
      <c r="BT85" s="876"/>
      <c r="BU85" s="876"/>
      <c r="BV85" s="876"/>
      <c r="BW85" s="146"/>
      <c r="BX85" s="146"/>
      <c r="BY85" s="146"/>
      <c r="BZ85" s="25"/>
      <c r="CA85" s="876"/>
      <c r="CB85" s="876"/>
      <c r="CC85" s="876"/>
      <c r="CD85" s="876"/>
      <c r="CE85" s="146"/>
      <c r="CF85" s="146"/>
      <c r="CG85" s="146"/>
      <c r="CH85" s="70"/>
      <c r="CI85" s="876"/>
      <c r="CJ85" s="876"/>
      <c r="CK85" s="876"/>
      <c r="CL85" s="876"/>
      <c r="CM85" s="146"/>
      <c r="CN85" s="146"/>
      <c r="CO85" s="146"/>
      <c r="CQ85" s="876"/>
      <c r="CR85" s="876"/>
      <c r="CS85" s="876"/>
      <c r="CT85" s="876"/>
      <c r="CU85" s="146"/>
      <c r="CV85" s="146"/>
      <c r="CW85" s="146"/>
      <c r="CX85" s="70"/>
      <c r="CY85" s="146"/>
      <c r="CZ85" s="70"/>
      <c r="DB85" s="70"/>
      <c r="DC85" s="70"/>
    </row>
    <row r="86" spans="1:124" s="1862" customFormat="1" ht="15" customHeight="1" thickBot="1" x14ac:dyDescent="0.25">
      <c r="B86" s="135"/>
      <c r="C86" s="1835"/>
      <c r="D86" s="135"/>
      <c r="E86" s="4017"/>
      <c r="F86" s="1339"/>
      <c r="G86" s="1339"/>
      <c r="H86" s="1339"/>
      <c r="I86" s="1339"/>
      <c r="J86" s="2066"/>
      <c r="K86" s="1340"/>
      <c r="L86" s="676"/>
      <c r="M86" s="6770"/>
      <c r="N86" s="6770"/>
      <c r="O86" s="6770"/>
      <c r="P86" s="6770"/>
      <c r="Q86" s="6770"/>
      <c r="R86" s="6770"/>
      <c r="S86" s="6770"/>
      <c r="T86" s="6770"/>
      <c r="U86" s="6770"/>
      <c r="W86" s="4018"/>
      <c r="X86" s="4018"/>
      <c r="Y86" s="885"/>
      <c r="Z86" s="890"/>
      <c r="AA86" s="890"/>
      <c r="AB86" s="890"/>
      <c r="AC86" s="880"/>
      <c r="AE86" s="885"/>
      <c r="AF86" s="886"/>
      <c r="AG86" s="886"/>
      <c r="AH86" s="886"/>
      <c r="AI86" s="890"/>
      <c r="AJ86" s="890"/>
      <c r="AK86" s="891"/>
      <c r="AM86" s="885"/>
      <c r="AN86" s="886"/>
      <c r="AO86" s="886"/>
      <c r="AP86" s="886"/>
      <c r="AQ86" s="890"/>
      <c r="AR86" s="890"/>
      <c r="AS86" s="891"/>
      <c r="AT86" s="1833"/>
      <c r="AU86" s="885"/>
      <c r="AV86" s="886"/>
      <c r="AW86" s="886"/>
      <c r="AX86" s="886"/>
      <c r="AY86" s="890"/>
      <c r="AZ86" s="890"/>
      <c r="BA86" s="891"/>
      <c r="BC86" s="885"/>
      <c r="BD86" s="886"/>
      <c r="BE86" s="886"/>
      <c r="BF86" s="886"/>
      <c r="BG86" s="890"/>
      <c r="BH86" s="890"/>
      <c r="BI86" s="891"/>
      <c r="BK86" s="885"/>
      <c r="BL86" s="886"/>
      <c r="BM86" s="886"/>
      <c r="BN86" s="886"/>
      <c r="BO86" s="890"/>
      <c r="BP86" s="890"/>
      <c r="BQ86" s="891"/>
      <c r="BS86" s="885"/>
      <c r="BT86" s="886"/>
      <c r="BU86" s="886"/>
      <c r="BV86" s="886"/>
      <c r="BW86" s="890"/>
      <c r="BX86" s="890"/>
      <c r="BY86" s="891"/>
      <c r="BZ86" s="1833"/>
      <c r="CA86" s="885"/>
      <c r="CB86" s="886"/>
      <c r="CC86" s="886"/>
      <c r="CD86" s="886"/>
      <c r="CE86" s="890"/>
      <c r="CF86" s="890"/>
      <c r="CG86" s="891"/>
      <c r="CI86" s="885"/>
      <c r="CJ86" s="886"/>
      <c r="CK86" s="886"/>
      <c r="CL86" s="886"/>
      <c r="CM86" s="890"/>
      <c r="CN86" s="890"/>
      <c r="CO86" s="891"/>
      <c r="CQ86" s="885"/>
      <c r="CR86" s="886"/>
      <c r="CS86" s="886"/>
      <c r="CT86" s="886"/>
      <c r="CU86" s="890"/>
      <c r="CV86" s="890"/>
      <c r="CW86" s="891"/>
      <c r="CY86" s="95"/>
    </row>
    <row r="87" spans="1:124" s="1862" customFormat="1" ht="15" customHeight="1" thickBot="1" x14ac:dyDescent="0.25">
      <c r="B87" s="1832"/>
      <c r="C87" s="6746" t="s">
        <v>641</v>
      </c>
      <c r="D87" s="1004"/>
      <c r="E87" s="1341"/>
      <c r="F87" s="6748" t="s">
        <v>648</v>
      </c>
      <c r="G87" s="6748"/>
      <c r="H87" s="6748"/>
      <c r="I87" s="6748"/>
      <c r="J87" s="6749"/>
      <c r="K87" s="6179"/>
      <c r="L87" s="148"/>
      <c r="M87" s="6770"/>
      <c r="N87" s="6770"/>
      <c r="O87" s="6770"/>
      <c r="P87" s="6770"/>
      <c r="Q87" s="6770"/>
      <c r="R87" s="6770"/>
      <c r="S87" s="6770"/>
      <c r="T87" s="6770"/>
      <c r="U87" s="6770"/>
      <c r="W87" s="4018"/>
      <c r="X87" s="4018"/>
      <c r="Y87" s="1428"/>
      <c r="Z87" s="6747" t="s">
        <v>46</v>
      </c>
      <c r="AA87" s="6747"/>
      <c r="AB87" s="6747"/>
      <c r="AC87" s="1830"/>
      <c r="AE87" s="1428"/>
      <c r="AF87" s="1017"/>
      <c r="AG87" s="6584">
        <f>INDEX(outputs_oppsum[total_stab_hr],MATCH(_Calcs!$NO$41,outputs_oppsum[stuff_id],0))</f>
        <v>0</v>
      </c>
      <c r="AH87" s="6250"/>
      <c r="AI87" s="6552" t="str">
        <f>IF(_Calcs!$NO$359=0,"✓","!")</f>
        <v>!</v>
      </c>
      <c r="AJ87" s="6250"/>
      <c r="AK87" s="882"/>
      <c r="AM87" s="1428"/>
      <c r="AN87" s="1017"/>
      <c r="AO87" s="6584" t="e">
        <f>INDEX(outputs_oppsum[total_stab_hr],MATCH(_Calcs!$NP$41,outputs_oppsum[stuff_id],0))</f>
        <v>#N/A</v>
      </c>
      <c r="AP87" s="6250"/>
      <c r="AQ87" s="6552" t="e">
        <f>IF(_Calcs!$NP$359=0,"✓","!")</f>
        <v>#N/A</v>
      </c>
      <c r="AR87" s="6250"/>
      <c r="AS87" s="882"/>
      <c r="AU87" s="1428"/>
      <c r="AV87" s="1017"/>
      <c r="AW87" s="6584" t="e">
        <f>INDEX(outputs_oppsum[total_stab_hr],MATCH(_Calcs!$NQ$41,outputs_oppsum[stuff_id],0))</f>
        <v>#N/A</v>
      </c>
      <c r="AX87" s="6250"/>
      <c r="AY87" s="6552" t="e">
        <f>IF(_Calcs!$NQ$359=0,"✓","!")</f>
        <v>#N/A</v>
      </c>
      <c r="AZ87" s="6250"/>
      <c r="BA87" s="882"/>
      <c r="BC87" s="1428"/>
      <c r="BD87" s="1017"/>
      <c r="BE87" s="6584" t="e">
        <f>INDEX(outputs_oppsum[total_stab_hr],MATCH(_Calcs!$NR$41,outputs_oppsum[stuff_id],0))</f>
        <v>#N/A</v>
      </c>
      <c r="BF87" s="6250"/>
      <c r="BG87" s="6552" t="e">
        <f>IF(_Calcs!$NR$359=0,"✓","!")</f>
        <v>#N/A</v>
      </c>
      <c r="BH87" s="6250"/>
      <c r="BI87" s="882"/>
      <c r="BK87" s="1428"/>
      <c r="BL87" s="1017"/>
      <c r="BM87" s="6584" t="e">
        <f>INDEX(outputs_oppsum[total_stab_hr],MATCH(_Calcs!$NS$41,outputs_oppsum[stuff_id],0))</f>
        <v>#N/A</v>
      </c>
      <c r="BN87" s="6250"/>
      <c r="BO87" s="6552" t="e">
        <f>IF(_Calcs!$NS$359=0,"✓","!")</f>
        <v>#N/A</v>
      </c>
      <c r="BP87" s="6250"/>
      <c r="BQ87" s="882"/>
      <c r="BS87" s="1428"/>
      <c r="BT87" s="1017"/>
      <c r="BU87" s="6584" t="e">
        <f>INDEX(outputs_oppsum[total_stab_hr],MATCH(_Calcs!$NT$41,outputs_oppsum[stuff_id],0))</f>
        <v>#N/A</v>
      </c>
      <c r="BV87" s="6250"/>
      <c r="BW87" s="6552" t="e">
        <f>IF(_Calcs!$NT$359=0,"✓","!")</f>
        <v>#N/A</v>
      </c>
      <c r="BX87" s="6250"/>
      <c r="BY87" s="882"/>
      <c r="CA87" s="1428"/>
      <c r="CB87" s="1017"/>
      <c r="CC87" s="6584" t="e">
        <f>INDEX(outputs_oppsum[total_stab_hr],MATCH(_Calcs!$NU$41,outputs_oppsum[stuff_id],0))</f>
        <v>#N/A</v>
      </c>
      <c r="CD87" s="6250"/>
      <c r="CE87" s="6552" t="e">
        <f>IF(_Calcs!$NU$359=0,"✓","!")</f>
        <v>#N/A</v>
      </c>
      <c r="CF87" s="6250"/>
      <c r="CG87" s="882"/>
      <c r="CI87" s="1428"/>
      <c r="CJ87" s="1017"/>
      <c r="CK87" s="6584" t="e">
        <f>INDEX(outputs_oppsum[total_stab_hr],MATCH(_Calcs!$NV$41,outputs_oppsum[stuff_id],0))</f>
        <v>#N/A</v>
      </c>
      <c r="CL87" s="6250"/>
      <c r="CM87" s="6552" t="e">
        <f>IF(_Calcs!$NV$359=0,"✓","!")</f>
        <v>#N/A</v>
      </c>
      <c r="CN87" s="6250"/>
      <c r="CO87" s="882"/>
      <c r="CQ87" s="1428"/>
      <c r="CR87" s="1017"/>
      <c r="CS87" s="6584" t="e">
        <f>INDEX(outputs_oppsum[total_stab_hr],MATCH(_Calcs!$NW$41,outputs_oppsum[stuff_id],0))</f>
        <v>#N/A</v>
      </c>
      <c r="CT87" s="6250"/>
      <c r="CU87" s="6552" t="e">
        <f>IF(_Calcs!$NW$359=0,"✓","!")</f>
        <v>#N/A</v>
      </c>
      <c r="CV87" s="6250"/>
      <c r="CW87" s="882"/>
      <c r="CY87" s="95"/>
    </row>
    <row r="88" spans="1:124" s="1862" customFormat="1" ht="15" customHeight="1" thickBot="1" x14ac:dyDescent="0.25">
      <c r="B88" s="1832"/>
      <c r="C88" s="6746"/>
      <c r="D88" s="1004"/>
      <c r="E88" s="1341"/>
      <c r="F88" s="6748"/>
      <c r="G88" s="6748"/>
      <c r="H88" s="6748"/>
      <c r="I88" s="6748"/>
      <c r="J88" s="6749"/>
      <c r="K88" s="6179"/>
      <c r="L88" s="148"/>
      <c r="M88" s="6770"/>
      <c r="N88" s="6770"/>
      <c r="O88" s="6770"/>
      <c r="P88" s="6770"/>
      <c r="Q88" s="6770"/>
      <c r="R88" s="6770"/>
      <c r="S88" s="6770"/>
      <c r="T88" s="6770"/>
      <c r="U88" s="6770"/>
      <c r="W88" s="4018"/>
      <c r="X88" s="4018"/>
      <c r="Y88" s="1428"/>
      <c r="Z88" s="6747"/>
      <c r="AA88" s="6747"/>
      <c r="AB88" s="6747"/>
      <c r="AC88" s="1830"/>
      <c r="AE88" s="1428"/>
      <c r="AF88" s="1017"/>
      <c r="AG88" s="6584"/>
      <c r="AH88" s="6250"/>
      <c r="AI88" s="6553"/>
      <c r="AJ88" s="6250"/>
      <c r="AK88" s="882"/>
      <c r="AM88" s="1428"/>
      <c r="AN88" s="1017"/>
      <c r="AO88" s="6584"/>
      <c r="AP88" s="6250"/>
      <c r="AQ88" s="6553"/>
      <c r="AR88" s="6250"/>
      <c r="AS88" s="882"/>
      <c r="AU88" s="1428"/>
      <c r="AV88" s="1017"/>
      <c r="AW88" s="6584"/>
      <c r="AX88" s="6250"/>
      <c r="AY88" s="6553"/>
      <c r="AZ88" s="6250"/>
      <c r="BA88" s="882"/>
      <c r="BC88" s="1428"/>
      <c r="BD88" s="1017"/>
      <c r="BE88" s="6584"/>
      <c r="BF88" s="6250"/>
      <c r="BG88" s="6553"/>
      <c r="BH88" s="6250"/>
      <c r="BI88" s="882"/>
      <c r="BK88" s="1428"/>
      <c r="BL88" s="1017"/>
      <c r="BM88" s="6584"/>
      <c r="BN88" s="6250"/>
      <c r="BO88" s="6553"/>
      <c r="BP88" s="6250"/>
      <c r="BQ88" s="882"/>
      <c r="BS88" s="1428"/>
      <c r="BT88" s="1017"/>
      <c r="BU88" s="6584"/>
      <c r="BV88" s="6250"/>
      <c r="BW88" s="6553"/>
      <c r="BX88" s="6250"/>
      <c r="BY88" s="882"/>
      <c r="CA88" s="1428"/>
      <c r="CB88" s="1017"/>
      <c r="CC88" s="6584"/>
      <c r="CD88" s="6250"/>
      <c r="CE88" s="6553"/>
      <c r="CF88" s="6250"/>
      <c r="CG88" s="882"/>
      <c r="CI88" s="1428"/>
      <c r="CJ88" s="1017"/>
      <c r="CK88" s="6584"/>
      <c r="CL88" s="6250"/>
      <c r="CM88" s="6553"/>
      <c r="CN88" s="6250"/>
      <c r="CO88" s="882"/>
      <c r="CQ88" s="1428"/>
      <c r="CR88" s="1017"/>
      <c r="CS88" s="6584"/>
      <c r="CT88" s="6250"/>
      <c r="CU88" s="6553"/>
      <c r="CV88" s="6250"/>
      <c r="CW88" s="882"/>
      <c r="CY88" s="95"/>
    </row>
    <row r="89" spans="1:124" s="1862" customFormat="1" ht="6.95" customHeight="1" thickBot="1" x14ac:dyDescent="0.25">
      <c r="B89" s="1832"/>
      <c r="C89" s="6746"/>
      <c r="D89" s="1004"/>
      <c r="E89" s="4085"/>
      <c r="F89" s="1236"/>
      <c r="G89" s="1236"/>
      <c r="H89" s="1236"/>
      <c r="I89" s="1236"/>
      <c r="J89" s="1236"/>
      <c r="K89" s="4033"/>
      <c r="L89" s="676"/>
      <c r="M89" s="6770"/>
      <c r="N89" s="6770"/>
      <c r="O89" s="6770"/>
      <c r="P89" s="6770"/>
      <c r="Q89" s="6770"/>
      <c r="R89" s="6770"/>
      <c r="S89" s="6770"/>
      <c r="T89" s="6770"/>
      <c r="U89" s="6770"/>
      <c r="W89" s="4018"/>
      <c r="X89" s="4018"/>
      <c r="Y89" s="1428"/>
      <c r="Z89" s="6250"/>
      <c r="AA89" s="6250"/>
      <c r="AB89" s="6250"/>
      <c r="AC89" s="1830"/>
      <c r="AE89" s="1428"/>
      <c r="AF89" s="1017"/>
      <c r="AG89" s="1017"/>
      <c r="AH89" s="6250"/>
      <c r="AI89" s="6250"/>
      <c r="AJ89" s="6250"/>
      <c r="AK89" s="882"/>
      <c r="AM89" s="1428"/>
      <c r="AN89" s="1017"/>
      <c r="AO89" s="1017"/>
      <c r="AP89" s="6250"/>
      <c r="AQ89" s="6250"/>
      <c r="AR89" s="6250"/>
      <c r="AS89" s="882"/>
      <c r="AU89" s="1428"/>
      <c r="AV89" s="1017"/>
      <c r="AW89" s="1017"/>
      <c r="AX89" s="6250"/>
      <c r="AY89" s="6250"/>
      <c r="AZ89" s="6250"/>
      <c r="BA89" s="882"/>
      <c r="BC89" s="1428"/>
      <c r="BD89" s="1017"/>
      <c r="BE89" s="1017"/>
      <c r="BF89" s="6250"/>
      <c r="BG89" s="6250"/>
      <c r="BH89" s="6250"/>
      <c r="BI89" s="882"/>
      <c r="BK89" s="1428"/>
      <c r="BL89" s="1017"/>
      <c r="BM89" s="1017"/>
      <c r="BN89" s="6250"/>
      <c r="BO89" s="6250"/>
      <c r="BP89" s="6250"/>
      <c r="BQ89" s="882"/>
      <c r="BS89" s="1428"/>
      <c r="BT89" s="1017"/>
      <c r="BU89" s="1017"/>
      <c r="BV89" s="6250"/>
      <c r="BW89" s="6250"/>
      <c r="BX89" s="6250"/>
      <c r="BY89" s="882"/>
      <c r="CA89" s="1428"/>
      <c r="CB89" s="1017"/>
      <c r="CC89" s="1017"/>
      <c r="CD89" s="6250"/>
      <c r="CE89" s="6250"/>
      <c r="CF89" s="6250"/>
      <c r="CG89" s="882"/>
      <c r="CI89" s="1428"/>
      <c r="CJ89" s="1017"/>
      <c r="CK89" s="1017"/>
      <c r="CL89" s="6250"/>
      <c r="CM89" s="6250"/>
      <c r="CN89" s="6250"/>
      <c r="CO89" s="882"/>
      <c r="CQ89" s="1428"/>
      <c r="CR89" s="1017"/>
      <c r="CS89" s="1017"/>
      <c r="CT89" s="6250"/>
      <c r="CU89" s="6250"/>
      <c r="CV89" s="6250"/>
      <c r="CW89" s="882"/>
      <c r="CY89" s="95"/>
    </row>
    <row r="90" spans="1:124" s="1862" customFormat="1" ht="8.1" customHeight="1" thickBot="1" x14ac:dyDescent="0.25">
      <c r="B90" s="1832"/>
      <c r="C90" s="6746"/>
      <c r="D90" s="1004"/>
      <c r="E90" s="6163"/>
      <c r="F90" s="6163"/>
      <c r="G90" s="6163"/>
      <c r="H90" s="6163"/>
      <c r="I90" s="6163"/>
      <c r="J90" s="6163"/>
      <c r="K90" s="6163"/>
      <c r="L90" s="676"/>
      <c r="M90" s="6770"/>
      <c r="N90" s="6770"/>
      <c r="O90" s="6770"/>
      <c r="P90" s="6770"/>
      <c r="Q90" s="6770"/>
      <c r="R90" s="6770"/>
      <c r="S90" s="6770"/>
      <c r="T90" s="6770"/>
      <c r="U90" s="6770"/>
      <c r="W90" s="4018"/>
      <c r="X90" s="4018"/>
      <c r="Y90" s="1428"/>
      <c r="Z90" s="6250"/>
      <c r="AA90" s="6250"/>
      <c r="AB90" s="6250"/>
      <c r="AC90" s="1830"/>
      <c r="AE90" s="1428"/>
      <c r="AF90" s="1017"/>
      <c r="AG90" s="1017"/>
      <c r="AH90" s="6250"/>
      <c r="AI90" s="6250"/>
      <c r="AJ90" s="6250"/>
      <c r="AK90" s="882"/>
      <c r="AM90" s="1428"/>
      <c r="AN90" s="1017"/>
      <c r="AO90" s="1017"/>
      <c r="AP90" s="6250"/>
      <c r="AQ90" s="6250"/>
      <c r="AR90" s="6250"/>
      <c r="AS90" s="882"/>
      <c r="AU90" s="1428"/>
      <c r="AV90" s="1017"/>
      <c r="AW90" s="1017"/>
      <c r="AX90" s="6250"/>
      <c r="AY90" s="6250"/>
      <c r="AZ90" s="6250"/>
      <c r="BA90" s="882"/>
      <c r="BC90" s="1428"/>
      <c r="BD90" s="1017"/>
      <c r="BE90" s="1017"/>
      <c r="BF90" s="6250"/>
      <c r="BG90" s="6250"/>
      <c r="BH90" s="6250"/>
      <c r="BI90" s="882"/>
      <c r="BK90" s="1428"/>
      <c r="BL90" s="1017"/>
      <c r="BM90" s="1017"/>
      <c r="BN90" s="6250"/>
      <c r="BO90" s="6250"/>
      <c r="BP90" s="6250"/>
      <c r="BQ90" s="882"/>
      <c r="BS90" s="1428"/>
      <c r="BT90" s="1017"/>
      <c r="BU90" s="1017"/>
      <c r="BV90" s="6250"/>
      <c r="BW90" s="6250"/>
      <c r="BX90" s="6250"/>
      <c r="BY90" s="882"/>
      <c r="CA90" s="1428"/>
      <c r="CB90" s="1017"/>
      <c r="CC90" s="1017"/>
      <c r="CD90" s="6250"/>
      <c r="CE90" s="6250"/>
      <c r="CF90" s="6250"/>
      <c r="CG90" s="882"/>
      <c r="CI90" s="1428"/>
      <c r="CJ90" s="1017"/>
      <c r="CK90" s="1017"/>
      <c r="CL90" s="6250"/>
      <c r="CM90" s="6250"/>
      <c r="CN90" s="6250"/>
      <c r="CO90" s="882"/>
      <c r="CQ90" s="1428"/>
      <c r="CR90" s="1017"/>
      <c r="CS90" s="1017"/>
      <c r="CT90" s="6250"/>
      <c r="CU90" s="6250"/>
      <c r="CV90" s="6250"/>
      <c r="CW90" s="882"/>
      <c r="CY90" s="95"/>
    </row>
    <row r="91" spans="1:124" s="1862" customFormat="1" ht="15.75" customHeight="1" thickBot="1" x14ac:dyDescent="0.25">
      <c r="B91" s="1832"/>
      <c r="C91" s="6746"/>
      <c r="D91" s="1004"/>
      <c r="E91" s="6162"/>
      <c r="F91" s="6162"/>
      <c r="G91" s="6162"/>
      <c r="H91" s="6162"/>
      <c r="I91" s="6162"/>
      <c r="J91" s="6162"/>
      <c r="K91" s="6162"/>
      <c r="L91" s="6163"/>
      <c r="M91" s="6770"/>
      <c r="N91" s="6770"/>
      <c r="O91" s="6770"/>
      <c r="P91" s="6770"/>
      <c r="Q91" s="6770"/>
      <c r="R91" s="6770"/>
      <c r="S91" s="6770"/>
      <c r="T91" s="6770"/>
      <c r="U91" s="6770"/>
      <c r="W91" s="4018"/>
      <c r="X91" s="4018"/>
      <c r="Y91" s="1428"/>
      <c r="Z91" s="6747" t="s">
        <v>146</v>
      </c>
      <c r="AA91" s="6747"/>
      <c r="AB91" s="6747"/>
      <c r="AC91" s="1830"/>
      <c r="AE91" s="1428"/>
      <c r="AF91" s="1017"/>
      <c r="AG91" s="6584">
        <f>INDEX(outputs_oppsum[total_stab_uker],MATCH(_Calcs!$NO$41,outputs_oppsum[stuff_id],0))</f>
        <v>0</v>
      </c>
      <c r="AH91" s="6250"/>
      <c r="AI91" s="6552" t="str">
        <f>IF(_Calcs!$NO$359=0,"✓","!")</f>
        <v>!</v>
      </c>
      <c r="AJ91" s="6250"/>
      <c r="AK91" s="882"/>
      <c r="AM91" s="1428"/>
      <c r="AN91" s="1017"/>
      <c r="AO91" s="6584" t="e">
        <f>INDEX(outputs_oppsum[total_stab_uker],MATCH(_Calcs!$NP$41,outputs_oppsum[stuff_id],0))</f>
        <v>#N/A</v>
      </c>
      <c r="AP91" s="6250"/>
      <c r="AQ91" s="6552" t="e">
        <f>IF(_Calcs!$NP$359=0,"✓","!")</f>
        <v>#N/A</v>
      </c>
      <c r="AR91" s="6250"/>
      <c r="AS91" s="882"/>
      <c r="AU91" s="1428"/>
      <c r="AV91" s="1017"/>
      <c r="AW91" s="6584" t="e">
        <f>INDEX(outputs_oppsum[total_stab_uker],MATCH(_Calcs!$NQ$41,outputs_oppsum[stuff_id],0))</f>
        <v>#N/A</v>
      </c>
      <c r="AX91" s="6250"/>
      <c r="AY91" s="6552" t="e">
        <f>IF(_Calcs!$NQ$359=0,"✓","!")</f>
        <v>#N/A</v>
      </c>
      <c r="AZ91" s="6250"/>
      <c r="BA91" s="882"/>
      <c r="BC91" s="1428"/>
      <c r="BD91" s="1017"/>
      <c r="BE91" s="6584" t="e">
        <f>INDEX(outputs_oppsum[total_stab_uker],MATCH(_Calcs!$NR$41,outputs_oppsum[stuff_id],0))</f>
        <v>#N/A</v>
      </c>
      <c r="BF91" s="6250"/>
      <c r="BG91" s="6552" t="e">
        <f>IF(_Calcs!$NR$359=0,"✓","!")</f>
        <v>#N/A</v>
      </c>
      <c r="BH91" s="6250"/>
      <c r="BI91" s="882"/>
      <c r="BK91" s="1428"/>
      <c r="BL91" s="1017"/>
      <c r="BM91" s="6584" t="e">
        <f>INDEX(outputs_oppsum[total_stab_uker],MATCH(_Calcs!$NS$41,outputs_oppsum[stuff_id],0))</f>
        <v>#N/A</v>
      </c>
      <c r="BN91" s="6250"/>
      <c r="BO91" s="6552" t="e">
        <f>IF(_Calcs!$NS$359=0,"✓","!")</f>
        <v>#N/A</v>
      </c>
      <c r="BP91" s="6250"/>
      <c r="BQ91" s="882"/>
      <c r="BS91" s="1428"/>
      <c r="BT91" s="1017"/>
      <c r="BU91" s="6584" t="e">
        <f>INDEX(outputs_oppsum[total_stab_uker],MATCH(_Calcs!$NT$41,outputs_oppsum[stuff_id],0))</f>
        <v>#N/A</v>
      </c>
      <c r="BV91" s="6250"/>
      <c r="BW91" s="6552" t="e">
        <f>IF(_Calcs!$NT$359=0,"✓","!")</f>
        <v>#N/A</v>
      </c>
      <c r="BX91" s="6250"/>
      <c r="BY91" s="882"/>
      <c r="CA91" s="1428"/>
      <c r="CB91" s="1017"/>
      <c r="CC91" s="6584" t="e">
        <f>INDEX(outputs_oppsum[total_stab_uker],MATCH(_Calcs!$NU$41,outputs_oppsum[stuff_id],0))</f>
        <v>#N/A</v>
      </c>
      <c r="CD91" s="6250"/>
      <c r="CE91" s="6552" t="e">
        <f>IF(_Calcs!$NU$359=0,"✓","!")</f>
        <v>#N/A</v>
      </c>
      <c r="CF91" s="6250"/>
      <c r="CG91" s="882"/>
      <c r="CI91" s="1428"/>
      <c r="CJ91" s="1017"/>
      <c r="CK91" s="6584" t="e">
        <f>INDEX(outputs_oppsum[total_stab_uker],MATCH(_Calcs!$NV$41,outputs_oppsum[stuff_id],0))</f>
        <v>#N/A</v>
      </c>
      <c r="CL91" s="6250"/>
      <c r="CM91" s="6552" t="e">
        <f>IF(_Calcs!$NV$359=0,"✓","!")</f>
        <v>#N/A</v>
      </c>
      <c r="CN91" s="6250"/>
      <c r="CO91" s="882"/>
      <c r="CQ91" s="1428"/>
      <c r="CR91" s="1017"/>
      <c r="CS91" s="6584" t="e">
        <f>INDEX(outputs_oppsum[total_stab_uker],MATCH(_Calcs!$NW$41,outputs_oppsum[stuff_id],0))</f>
        <v>#N/A</v>
      </c>
      <c r="CT91" s="6250"/>
      <c r="CU91" s="6552" t="e">
        <f>IF(_Calcs!$NW$359=0,"✓","!")</f>
        <v>#N/A</v>
      </c>
      <c r="CV91" s="6250"/>
      <c r="CW91" s="882"/>
      <c r="CY91" s="95"/>
    </row>
    <row r="92" spans="1:124" s="1862" customFormat="1" ht="15" customHeight="1" thickBot="1" x14ac:dyDescent="0.25">
      <c r="B92" s="1832"/>
      <c r="C92" s="6746"/>
      <c r="D92" s="1004"/>
      <c r="E92" s="6162"/>
      <c r="F92" s="6162"/>
      <c r="G92" s="6162"/>
      <c r="H92" s="6162"/>
      <c r="I92" s="6162"/>
      <c r="J92" s="6162"/>
      <c r="K92" s="6162"/>
      <c r="L92" s="6163"/>
      <c r="M92" s="6770"/>
      <c r="N92" s="6770"/>
      <c r="O92" s="6770"/>
      <c r="P92" s="6770"/>
      <c r="Q92" s="6770"/>
      <c r="R92" s="6770"/>
      <c r="S92" s="6770"/>
      <c r="T92" s="6770"/>
      <c r="U92" s="6770"/>
      <c r="W92" s="4018"/>
      <c r="X92" s="4018"/>
      <c r="Y92" s="1429"/>
      <c r="Z92" s="6747"/>
      <c r="AA92" s="6747"/>
      <c r="AB92" s="6747"/>
      <c r="AC92" s="1830"/>
      <c r="AE92" s="1429"/>
      <c r="AF92" s="99"/>
      <c r="AG92" s="6584"/>
      <c r="AH92" s="6250"/>
      <c r="AI92" s="6553"/>
      <c r="AJ92" s="6250"/>
      <c r="AK92" s="882"/>
      <c r="AM92" s="1429"/>
      <c r="AN92" s="99"/>
      <c r="AO92" s="6584"/>
      <c r="AP92" s="6250"/>
      <c r="AQ92" s="6553"/>
      <c r="AR92" s="6250"/>
      <c r="AS92" s="882"/>
      <c r="AU92" s="1429"/>
      <c r="AV92" s="99"/>
      <c r="AW92" s="6584"/>
      <c r="AX92" s="6250"/>
      <c r="AY92" s="6553"/>
      <c r="AZ92" s="6250"/>
      <c r="BA92" s="882"/>
      <c r="BC92" s="1429"/>
      <c r="BD92" s="99"/>
      <c r="BE92" s="6584"/>
      <c r="BF92" s="6250"/>
      <c r="BG92" s="6553"/>
      <c r="BH92" s="6250"/>
      <c r="BI92" s="882"/>
      <c r="BK92" s="1429"/>
      <c r="BL92" s="99"/>
      <c r="BM92" s="6584"/>
      <c r="BN92" s="6250"/>
      <c r="BO92" s="6553"/>
      <c r="BP92" s="6250"/>
      <c r="BQ92" s="882"/>
      <c r="BS92" s="1429"/>
      <c r="BT92" s="99"/>
      <c r="BU92" s="6584"/>
      <c r="BV92" s="6250"/>
      <c r="BW92" s="6553"/>
      <c r="BX92" s="6250"/>
      <c r="BY92" s="882"/>
      <c r="CA92" s="1429"/>
      <c r="CB92" s="99"/>
      <c r="CC92" s="6584"/>
      <c r="CD92" s="6250"/>
      <c r="CE92" s="6553"/>
      <c r="CF92" s="6250"/>
      <c r="CG92" s="882"/>
      <c r="CI92" s="1429"/>
      <c r="CJ92" s="99"/>
      <c r="CK92" s="6584"/>
      <c r="CL92" s="6250"/>
      <c r="CM92" s="6553"/>
      <c r="CN92" s="6250"/>
      <c r="CO92" s="882"/>
      <c r="CQ92" s="1429"/>
      <c r="CR92" s="99"/>
      <c r="CS92" s="6584"/>
      <c r="CT92" s="6250"/>
      <c r="CU92" s="6553"/>
      <c r="CV92" s="6250"/>
      <c r="CW92" s="882"/>
      <c r="CY92" s="95"/>
    </row>
    <row r="93" spans="1:124" s="21" customFormat="1" ht="15.75" customHeight="1" thickBot="1" x14ac:dyDescent="0.35">
      <c r="A93" s="25"/>
      <c r="B93" s="25"/>
      <c r="C93" s="1152"/>
      <c r="D93" s="13"/>
      <c r="E93" s="6162"/>
      <c r="F93" s="6162"/>
      <c r="G93" s="6162"/>
      <c r="H93" s="6162"/>
      <c r="I93" s="6162"/>
      <c r="J93" s="6162"/>
      <c r="K93" s="6162"/>
      <c r="L93" s="6163"/>
      <c r="M93" s="6770"/>
      <c r="N93" s="6770"/>
      <c r="O93" s="6770"/>
      <c r="P93" s="6770"/>
      <c r="Q93" s="6770"/>
      <c r="R93" s="6770"/>
      <c r="S93" s="6770"/>
      <c r="T93" s="6770"/>
      <c r="U93" s="6770"/>
      <c r="W93" s="2310"/>
      <c r="X93" s="2310"/>
      <c r="Y93" s="1149"/>
      <c r="Z93" s="1335"/>
      <c r="AA93" s="1335"/>
      <c r="AB93" s="1335"/>
      <c r="AC93" s="1151"/>
      <c r="AD93" s="70"/>
      <c r="AE93" s="1149"/>
      <c r="AF93" s="1150"/>
      <c r="AG93" s="1150"/>
      <c r="AH93" s="1150"/>
      <c r="AI93" s="1335"/>
      <c r="AJ93" s="1335"/>
      <c r="AK93" s="1336"/>
      <c r="AL93" s="70"/>
      <c r="AM93" s="1149"/>
      <c r="AN93" s="1150"/>
      <c r="AO93" s="1150"/>
      <c r="AP93" s="1150"/>
      <c r="AQ93" s="1335"/>
      <c r="AR93" s="1335"/>
      <c r="AS93" s="1336"/>
      <c r="AT93" s="25"/>
      <c r="AU93" s="1149"/>
      <c r="AV93" s="1150"/>
      <c r="AW93" s="1150"/>
      <c r="AX93" s="1150"/>
      <c r="AY93" s="1335"/>
      <c r="AZ93" s="1335"/>
      <c r="BA93" s="1336"/>
      <c r="BB93" s="70"/>
      <c r="BC93" s="1149"/>
      <c r="BD93" s="1150"/>
      <c r="BE93" s="1150"/>
      <c r="BF93" s="1150"/>
      <c r="BG93" s="1335"/>
      <c r="BH93" s="1335"/>
      <c r="BI93" s="1336"/>
      <c r="BJ93" s="37"/>
      <c r="BK93" s="1149"/>
      <c r="BL93" s="1150"/>
      <c r="BM93" s="1150"/>
      <c r="BN93" s="1150"/>
      <c r="BO93" s="1335"/>
      <c r="BP93" s="1335"/>
      <c r="BQ93" s="1336"/>
      <c r="BR93" s="70"/>
      <c r="BS93" s="1149"/>
      <c r="BT93" s="1150"/>
      <c r="BU93" s="1150"/>
      <c r="BV93" s="1150"/>
      <c r="BW93" s="1335"/>
      <c r="BX93" s="1335"/>
      <c r="BY93" s="1336"/>
      <c r="BZ93" s="25"/>
      <c r="CA93" s="1149"/>
      <c r="CB93" s="1150"/>
      <c r="CC93" s="1150"/>
      <c r="CD93" s="1150"/>
      <c r="CE93" s="1335"/>
      <c r="CF93" s="1335"/>
      <c r="CG93" s="1336"/>
      <c r="CH93" s="70"/>
      <c r="CI93" s="1149"/>
      <c r="CJ93" s="1150"/>
      <c r="CK93" s="1150"/>
      <c r="CL93" s="1150"/>
      <c r="CM93" s="1335"/>
      <c r="CN93" s="1335"/>
      <c r="CO93" s="1336"/>
      <c r="CP93" s="37"/>
      <c r="CQ93" s="1149"/>
      <c r="CR93" s="1150"/>
      <c r="CS93" s="1150"/>
      <c r="CT93" s="1150"/>
      <c r="CU93" s="1335"/>
      <c r="CV93" s="1335"/>
      <c r="CW93" s="1336"/>
      <c r="CY93" s="48"/>
    </row>
    <row r="94" spans="1:124" s="21" customFormat="1" ht="30" customHeight="1" x14ac:dyDescent="0.2">
      <c r="A94" s="20"/>
      <c r="B94" s="20"/>
      <c r="C94" s="13"/>
      <c r="D94" s="20"/>
      <c r="E94" s="14"/>
      <c r="I94" s="16"/>
      <c r="J94" s="16"/>
      <c r="K94" s="15"/>
      <c r="L94" s="15"/>
      <c r="M94" s="16"/>
      <c r="N94" s="16"/>
      <c r="O94" s="70"/>
      <c r="P94" s="70"/>
      <c r="Q94" s="70"/>
      <c r="R94" s="16"/>
      <c r="S94" s="16"/>
      <c r="T94" s="115"/>
      <c r="U94" s="70"/>
      <c r="V94" s="70"/>
      <c r="W94" s="70"/>
      <c r="X94" s="70"/>
      <c r="Y94" s="22"/>
      <c r="Z94" s="22"/>
      <c r="AA94" s="13"/>
      <c r="AB94" s="16"/>
      <c r="AC94" s="70"/>
      <c r="AD94" s="70"/>
      <c r="AE94" s="70"/>
      <c r="AG94" s="22"/>
      <c r="AH94" s="22"/>
      <c r="AI94" s="13"/>
      <c r="AJ94" s="16"/>
      <c r="AK94" s="70"/>
      <c r="AL94" s="70"/>
      <c r="AM94" s="70"/>
      <c r="AO94" s="22"/>
      <c r="AP94" s="22"/>
      <c r="AQ94" s="13"/>
      <c r="AR94" s="16"/>
      <c r="AS94" s="70"/>
      <c r="AT94" s="70"/>
      <c r="AU94" s="70"/>
      <c r="AW94" s="22"/>
      <c r="AX94" s="22"/>
      <c r="AY94" s="13"/>
      <c r="AZ94" s="16"/>
      <c r="BA94" s="70"/>
      <c r="BB94" s="70"/>
      <c r="BC94" s="70"/>
      <c r="BD94" s="70"/>
      <c r="BE94" s="22"/>
      <c r="BF94" s="22"/>
      <c r="BG94" s="13"/>
      <c r="BH94" s="16"/>
      <c r="BI94" s="70"/>
      <c r="BJ94" s="70"/>
      <c r="BK94" s="70"/>
      <c r="BM94" s="22"/>
      <c r="BN94" s="22"/>
      <c r="BO94" s="13"/>
      <c r="BP94" s="16"/>
      <c r="BQ94" s="70"/>
      <c r="BR94" s="70"/>
      <c r="BS94" s="70"/>
      <c r="BU94" s="22"/>
      <c r="BV94" s="22"/>
      <c r="BW94" s="13"/>
      <c r="BX94" s="16"/>
      <c r="BY94" s="70"/>
      <c r="BZ94" s="70"/>
      <c r="CA94" s="70"/>
      <c r="CC94" s="22"/>
      <c r="CD94" s="22"/>
      <c r="CE94" s="13"/>
      <c r="CF94" s="16"/>
      <c r="CG94" s="70"/>
      <c r="CH94" s="70"/>
      <c r="CI94" s="70"/>
      <c r="CJ94" s="70"/>
      <c r="CK94" s="22"/>
      <c r="CL94" s="22"/>
      <c r="CM94" s="13"/>
      <c r="CN94" s="16"/>
      <c r="CO94" s="70"/>
      <c r="CP94" s="70"/>
      <c r="CQ94" s="70"/>
      <c r="CR94" s="70"/>
      <c r="CS94" s="78"/>
      <c r="CT94" s="70"/>
    </row>
    <row r="95" spans="1:124" ht="5.0999999999999996" customHeight="1" x14ac:dyDescent="0.2">
      <c r="C95" s="1880"/>
      <c r="E95" s="1880"/>
      <c r="F95" s="1880"/>
      <c r="G95" s="1881"/>
      <c r="H95" s="1880"/>
      <c r="I95" s="1880"/>
      <c r="J95" s="2069"/>
      <c r="K95" s="1880"/>
      <c r="L95" s="70"/>
      <c r="M95" s="1880"/>
      <c r="N95" s="1880"/>
      <c r="O95" s="1880"/>
      <c r="P95" s="1880"/>
      <c r="Q95" s="1880"/>
      <c r="R95" s="1880"/>
      <c r="S95" s="1880"/>
      <c r="T95" s="1881"/>
      <c r="U95" s="1880"/>
      <c r="Y95" s="1880"/>
      <c r="Z95" s="1881"/>
      <c r="AA95" s="1881"/>
      <c r="AB95" s="1881"/>
      <c r="AC95" s="1881"/>
      <c r="AE95" s="1880"/>
      <c r="AF95" s="1880"/>
      <c r="AG95" s="1882"/>
      <c r="AH95" s="1880"/>
      <c r="AI95" s="1880"/>
      <c r="AJ95" s="1880"/>
      <c r="AK95" s="1880"/>
      <c r="AM95" s="1880"/>
      <c r="AN95" s="1880"/>
      <c r="AO95" s="1882"/>
      <c r="AP95" s="1880"/>
      <c r="AQ95" s="1880"/>
      <c r="AR95" s="1880"/>
      <c r="AS95" s="1880"/>
      <c r="AU95" s="1880"/>
      <c r="AV95" s="1880"/>
      <c r="AW95" s="1882"/>
      <c r="AX95" s="1880"/>
      <c r="AY95" s="1880"/>
      <c r="AZ95" s="1880"/>
      <c r="BA95" s="1880"/>
      <c r="BC95" s="1880"/>
      <c r="BD95" s="1880"/>
      <c r="BE95" s="1882"/>
      <c r="BF95" s="1880"/>
      <c r="BG95" s="1880"/>
      <c r="BH95" s="1880"/>
      <c r="BI95" s="1880"/>
      <c r="BK95" s="1880"/>
      <c r="BL95" s="1880"/>
      <c r="BM95" s="1882"/>
      <c r="BN95" s="1880"/>
      <c r="BO95" s="1880"/>
      <c r="BP95" s="1880"/>
      <c r="BQ95" s="1880"/>
      <c r="BS95" s="1880"/>
      <c r="BT95" s="1880"/>
      <c r="BU95" s="1882"/>
      <c r="BV95" s="1880"/>
      <c r="BW95" s="1880"/>
      <c r="BX95" s="1880"/>
      <c r="BY95" s="1880"/>
      <c r="CA95" s="1880"/>
      <c r="CB95" s="1880"/>
      <c r="CC95" s="1882"/>
      <c r="CD95" s="1880"/>
      <c r="CE95" s="1880"/>
      <c r="CF95" s="1880"/>
      <c r="CG95" s="1880"/>
      <c r="CI95" s="1880"/>
      <c r="CJ95" s="1880"/>
      <c r="CK95" s="1882"/>
      <c r="CL95" s="1880"/>
      <c r="CM95" s="1880"/>
      <c r="CN95" s="1880"/>
      <c r="CO95" s="1880"/>
      <c r="CQ95" s="1880"/>
      <c r="CR95" s="1880"/>
      <c r="CS95" s="1882"/>
      <c r="CT95" s="1880"/>
      <c r="CU95" s="1880"/>
      <c r="CV95" s="1880"/>
      <c r="CW95" s="1880"/>
      <c r="CY95" s="1880"/>
    </row>
    <row r="96" spans="1:124" ht="3.75" customHeight="1" x14ac:dyDescent="0.2">
      <c r="L96" s="70"/>
    </row>
    <row r="97" spans="3:103" ht="12" customHeight="1" x14ac:dyDescent="0.2">
      <c r="C97" s="1880"/>
      <c r="E97" s="1880"/>
      <c r="F97" s="1880"/>
      <c r="G97" s="1881"/>
      <c r="H97" s="1880"/>
      <c r="I97" s="1880"/>
      <c r="J97" s="2069"/>
      <c r="K97" s="1880"/>
      <c r="L97" s="70"/>
      <c r="M97" s="1880"/>
      <c r="N97" s="1880"/>
      <c r="O97" s="1880"/>
      <c r="P97" s="1880"/>
      <c r="Q97" s="1880"/>
      <c r="R97" s="1880"/>
      <c r="S97" s="1880"/>
      <c r="T97" s="1881"/>
      <c r="U97" s="1880"/>
      <c r="Y97" s="1880"/>
      <c r="Z97" s="1880"/>
      <c r="AA97" s="1880"/>
      <c r="AB97" s="1880"/>
      <c r="AC97" s="1880"/>
      <c r="AE97" s="1880"/>
      <c r="AF97" s="1880"/>
      <c r="AG97" s="1882"/>
      <c r="AH97" s="1880"/>
      <c r="AI97" s="1880"/>
      <c r="AJ97" s="1880"/>
      <c r="AK97" s="1880"/>
      <c r="AM97" s="1880"/>
      <c r="AN97" s="1880"/>
      <c r="AO97" s="1882"/>
      <c r="AP97" s="1880"/>
      <c r="AQ97" s="1880"/>
      <c r="AR97" s="1880"/>
      <c r="AS97" s="1880"/>
      <c r="AU97" s="1880"/>
      <c r="AV97" s="1880"/>
      <c r="AW97" s="1882"/>
      <c r="AX97" s="1880"/>
      <c r="AY97" s="1880"/>
      <c r="AZ97" s="1880"/>
      <c r="BA97" s="1880"/>
      <c r="BC97" s="1880"/>
      <c r="BD97" s="1880"/>
      <c r="BE97" s="1882"/>
      <c r="BF97" s="1880"/>
      <c r="BG97" s="1880"/>
      <c r="BH97" s="1880"/>
      <c r="BI97" s="1880"/>
      <c r="BK97" s="1880"/>
      <c r="BL97" s="1880"/>
      <c r="BM97" s="1882"/>
      <c r="BN97" s="1880"/>
      <c r="BO97" s="1880"/>
      <c r="BP97" s="1880"/>
      <c r="BQ97" s="1880"/>
      <c r="BS97" s="1880"/>
      <c r="BT97" s="1880"/>
      <c r="BU97" s="1882"/>
      <c r="BV97" s="1880"/>
      <c r="BW97" s="1880"/>
      <c r="BX97" s="1880"/>
      <c r="BY97" s="1880"/>
      <c r="CA97" s="1880"/>
      <c r="CB97" s="1880"/>
      <c r="CC97" s="1882"/>
      <c r="CD97" s="1880"/>
      <c r="CE97" s="1880"/>
      <c r="CF97" s="1880"/>
      <c r="CG97" s="1880"/>
      <c r="CI97" s="1880"/>
      <c r="CJ97" s="1880"/>
      <c r="CK97" s="1882"/>
      <c r="CL97" s="1880"/>
      <c r="CM97" s="1880"/>
      <c r="CN97" s="1880"/>
      <c r="CO97" s="1880"/>
      <c r="CQ97" s="1880"/>
      <c r="CR97" s="1880"/>
      <c r="CS97" s="1882"/>
      <c r="CT97" s="1880"/>
      <c r="CU97" s="1880"/>
      <c r="CV97" s="1880"/>
      <c r="CW97" s="1880"/>
      <c r="CY97" s="1880"/>
    </row>
    <row r="98" spans="3:103" ht="50.1" customHeight="1" x14ac:dyDescent="0.2">
      <c r="Z98" s="70"/>
      <c r="AA98" s="70"/>
      <c r="AB98" s="70"/>
      <c r="AC98" s="70"/>
    </row>
    <row r="99" spans="3:103" hidden="1" x14ac:dyDescent="0.2">
      <c r="Z99" s="70"/>
      <c r="AA99" s="70"/>
      <c r="AB99" s="70"/>
      <c r="AC99" s="70"/>
    </row>
    <row r="100" spans="3:103" hidden="1" x14ac:dyDescent="0.2">
      <c r="Z100" s="70"/>
      <c r="AA100" s="70"/>
      <c r="AB100" s="70"/>
      <c r="AC100" s="70"/>
    </row>
    <row r="101" spans="3:103" hidden="1" x14ac:dyDescent="0.2">
      <c r="Z101" s="70"/>
      <c r="AA101" s="70"/>
      <c r="AB101" s="70"/>
      <c r="AC101" s="70"/>
    </row>
    <row r="102" spans="3:103" hidden="1" x14ac:dyDescent="0.2">
      <c r="Z102" s="70"/>
      <c r="AA102" s="70"/>
      <c r="AB102" s="70"/>
      <c r="AC102" s="70"/>
    </row>
    <row r="103" spans="3:103" hidden="1" x14ac:dyDescent="0.2">
      <c r="Z103" s="70"/>
      <c r="AA103" s="70"/>
      <c r="AB103" s="70"/>
      <c r="AC103" s="70"/>
    </row>
    <row r="104" spans="3:103" hidden="1" x14ac:dyDescent="0.2">
      <c r="Z104" s="70"/>
      <c r="AA104" s="70"/>
      <c r="AB104" s="70"/>
      <c r="AC104" s="70"/>
    </row>
    <row r="105" spans="3:103" hidden="1" x14ac:dyDescent="0.2">
      <c r="Z105" s="70"/>
      <c r="AA105" s="70"/>
      <c r="AB105" s="70"/>
      <c r="AC105" s="70"/>
    </row>
    <row r="106" spans="3:103" hidden="1" x14ac:dyDescent="0.2">
      <c r="Z106" s="70"/>
      <c r="AA106" s="70"/>
      <c r="AB106" s="70"/>
      <c r="AC106" s="70"/>
    </row>
    <row r="107" spans="3:103" hidden="1" x14ac:dyDescent="0.2">
      <c r="Z107" s="70"/>
      <c r="AA107" s="70"/>
      <c r="AB107" s="70"/>
      <c r="AC107" s="70"/>
    </row>
    <row r="108" spans="3:103" hidden="1" x14ac:dyDescent="0.2">
      <c r="Z108" s="70"/>
      <c r="AA108" s="70"/>
      <c r="AB108" s="70"/>
      <c r="AC108" s="70"/>
    </row>
    <row r="109" spans="3:103" hidden="1" x14ac:dyDescent="0.2">
      <c r="Z109" s="70"/>
      <c r="AA109" s="70"/>
      <c r="AB109" s="70"/>
      <c r="AC109" s="70"/>
    </row>
    <row r="110" spans="3:103" hidden="1" x14ac:dyDescent="0.2">
      <c r="Z110" s="70"/>
      <c r="AA110" s="70"/>
      <c r="AB110" s="70"/>
      <c r="AC110" s="70"/>
    </row>
    <row r="111" spans="3:103" hidden="1" x14ac:dyDescent="0.2">
      <c r="Z111" s="70"/>
      <c r="AA111" s="70"/>
      <c r="AB111" s="70"/>
      <c r="AC111" s="70"/>
    </row>
    <row r="112" spans="3:103" hidden="1" x14ac:dyDescent="0.2">
      <c r="Z112" s="70"/>
      <c r="AA112" s="70"/>
      <c r="AB112" s="70"/>
      <c r="AC112" s="70"/>
    </row>
    <row r="113" spans="26:29" hidden="1" x14ac:dyDescent="0.2">
      <c r="Z113" s="70"/>
      <c r="AA113" s="70"/>
      <c r="AB113" s="70"/>
      <c r="AC113" s="70"/>
    </row>
    <row r="114" spans="26:29" hidden="1" x14ac:dyDescent="0.2">
      <c r="Z114" s="70"/>
      <c r="AA114" s="70"/>
      <c r="AB114" s="70"/>
      <c r="AC114" s="70"/>
    </row>
    <row r="115" spans="26:29" hidden="1" x14ac:dyDescent="0.2">
      <c r="Z115" s="70"/>
      <c r="AA115" s="70"/>
      <c r="AB115" s="70"/>
      <c r="AC115" s="70"/>
    </row>
    <row r="116" spans="26:29" hidden="1" x14ac:dyDescent="0.2">
      <c r="Z116" s="70"/>
      <c r="AA116" s="70"/>
      <c r="AB116" s="70"/>
      <c r="AC116" s="70"/>
    </row>
    <row r="117" spans="26:29" hidden="1" x14ac:dyDescent="0.2">
      <c r="Z117" s="70"/>
      <c r="AA117" s="70"/>
      <c r="AB117" s="70"/>
      <c r="AC117" s="70"/>
    </row>
    <row r="118" spans="26:29" hidden="1" x14ac:dyDescent="0.2">
      <c r="Z118" s="70"/>
      <c r="AA118" s="70"/>
      <c r="AB118" s="70"/>
      <c r="AC118" s="70"/>
    </row>
    <row r="119" spans="26:29" hidden="1" x14ac:dyDescent="0.2">
      <c r="Z119" s="70"/>
      <c r="AA119" s="70"/>
      <c r="AB119" s="70"/>
      <c r="AC119" s="70"/>
    </row>
  </sheetData>
  <sheetProtection algorithmName="SHA-512" hashValue="PFBUZcOL3mPXSPSmAgUnGZrm0shTkpfEWfT0fPnWf34rZByCixQCEwLNnKHSkq8CArDmv+Dzpu9I0xjjk1yArw==" saltValue="qhsiUyUf0H6i7TVZ6nkKtA==" spinCount="100000" sheet="1" objects="1" scenarios="1"/>
  <mergeCells count="81">
    <mergeCell ref="CE87:CE88"/>
    <mergeCell ref="BE87:BE88"/>
    <mergeCell ref="AG87:AG88"/>
    <mergeCell ref="AI87:AI88"/>
    <mergeCell ref="AO87:AO88"/>
    <mergeCell ref="AQ87:AQ88"/>
    <mergeCell ref="Z68:AB68"/>
    <mergeCell ref="Z75:AB75"/>
    <mergeCell ref="Z77:AB77"/>
    <mergeCell ref="AW87:AW88"/>
    <mergeCell ref="AY87:AY88"/>
    <mergeCell ref="CS91:CS92"/>
    <mergeCell ref="CU91:CU92"/>
    <mergeCell ref="Z87:AB88"/>
    <mergeCell ref="Z91:AB92"/>
    <mergeCell ref="CM87:CM88"/>
    <mergeCell ref="CS87:CS88"/>
    <mergeCell ref="CU87:CU88"/>
    <mergeCell ref="AG91:AG92"/>
    <mergeCell ref="AI91:AI92"/>
    <mergeCell ref="AO91:AO92"/>
    <mergeCell ref="AQ91:AQ92"/>
    <mergeCell ref="AW91:AW92"/>
    <mergeCell ref="AY91:AY92"/>
    <mergeCell ref="BE91:BE92"/>
    <mergeCell ref="CE91:CE92"/>
    <mergeCell ref="CM91:CM92"/>
    <mergeCell ref="F11:J11"/>
    <mergeCell ref="W27:W78"/>
    <mergeCell ref="F77:I77"/>
    <mergeCell ref="F75:I75"/>
    <mergeCell ref="F57:J58"/>
    <mergeCell ref="F44:J45"/>
    <mergeCell ref="F35:J36"/>
    <mergeCell ref="F64:J65"/>
    <mergeCell ref="F71:J72"/>
    <mergeCell ref="K15:O15"/>
    <mergeCell ref="J17:Q17"/>
    <mergeCell ref="F30:J30"/>
    <mergeCell ref="M20:U20"/>
    <mergeCell ref="F52:J52"/>
    <mergeCell ref="Y20:AC20"/>
    <mergeCell ref="AF20:AI20"/>
    <mergeCell ref="CK91:CK92"/>
    <mergeCell ref="BW87:BW88"/>
    <mergeCell ref="CC87:CC88"/>
    <mergeCell ref="BU87:BU88"/>
    <mergeCell ref="BG91:BG92"/>
    <mergeCell ref="CK87:CK88"/>
    <mergeCell ref="BG87:BG88"/>
    <mergeCell ref="BM87:BM88"/>
    <mergeCell ref="BO87:BO88"/>
    <mergeCell ref="BM91:BM92"/>
    <mergeCell ref="BO91:BO92"/>
    <mergeCell ref="BU91:BU92"/>
    <mergeCell ref="BW91:BW92"/>
    <mergeCell ref="CC91:CC92"/>
    <mergeCell ref="CR20:CU20"/>
    <mergeCell ref="AN20:AQ20"/>
    <mergeCell ref="BD20:BG20"/>
    <mergeCell ref="AV20:AY20"/>
    <mergeCell ref="BL20:BO20"/>
    <mergeCell ref="BT20:BW20"/>
    <mergeCell ref="CB20:CE20"/>
    <mergeCell ref="CJ20:CM20"/>
    <mergeCell ref="C25:C28"/>
    <mergeCell ref="Y22:AC22"/>
    <mergeCell ref="F24:J25"/>
    <mergeCell ref="F87:I88"/>
    <mergeCell ref="C87:C92"/>
    <mergeCell ref="Z28:AB28"/>
    <mergeCell ref="Z30:AB30"/>
    <mergeCell ref="Z39:AB39"/>
    <mergeCell ref="Z41:AB41"/>
    <mergeCell ref="Z61:AB61"/>
    <mergeCell ref="Z52:AB52"/>
    <mergeCell ref="Z50:AB50"/>
    <mergeCell ref="Z48:AB48"/>
    <mergeCell ref="J87:J88"/>
    <mergeCell ref="M84:U84"/>
    <mergeCell ref="M86:U93"/>
  </mergeCells>
  <conditionalFormatting sqref="AI28 AI77">
    <cfRule type="containsText" dxfId="3787" priority="144" operator="containsText" text="✓">
      <formula>NOT(ISERROR(SEARCH("✓",AI28)))</formula>
    </cfRule>
  </conditionalFormatting>
  <conditionalFormatting sqref="AI87:AI88">
    <cfRule type="containsText" dxfId="3786" priority="115" operator="containsText" text="✓">
      <formula>NOT(ISERROR(SEARCH("✓",AI87)))</formula>
    </cfRule>
  </conditionalFormatting>
  <conditionalFormatting sqref="AI75 AI68 AI61 AI50 AI48 AI41 AI39">
    <cfRule type="containsText" dxfId="3785" priority="113" operator="containsText" text="✓">
      <formula>NOT(ISERROR(SEARCH("✓",AI39)))</formula>
    </cfRule>
  </conditionalFormatting>
  <conditionalFormatting sqref="AI91:AI92">
    <cfRule type="containsText" dxfId="3784" priority="112" operator="containsText" text="✓">
      <formula>NOT(ISERROR(SEARCH("✓",AI91)))</formula>
    </cfRule>
  </conditionalFormatting>
  <conditionalFormatting sqref="CU28 CU77 CM28 CM77 CE28 CE77 BW28 BW77 BO28 BO77 BG28 BG77 AY28 AY77 AQ28 AQ77">
    <cfRule type="containsText" dxfId="3783" priority="111" operator="containsText" text="✓">
      <formula>NOT(ISERROR(SEARCH("✓",AQ28)))</formula>
    </cfRule>
  </conditionalFormatting>
  <conditionalFormatting sqref="CU87:CU88 CM87:CM88 CE87:CE88 BW87:BW88 BO87:BO88 BG87:BG88 AY87:AY88 AQ87:AQ88">
    <cfRule type="containsText" dxfId="3782" priority="110" operator="containsText" text="✓">
      <formula>NOT(ISERROR(SEARCH("✓",AQ87)))</formula>
    </cfRule>
  </conditionalFormatting>
  <conditionalFormatting sqref="CU75 CU68 CU61 CU50 CU48 CU41 CU39 CM75 CM68 CM61 CM50 CM48 CM41 CM39 CE75 CE68 CE61 CE50 CE48 CE41 CE39 BW75 BW68 BW61 BW50 BW48 BW41 BW39 BO75 BO68 BO61 BO50 BO48 BO41 BO39 BG75 BG68 BG61 BG50 BG48 BG41 BG39 AY75 AY68 AY61 AY50 AY48 AY41 AY39 AQ75 AQ68 AQ61 AQ50 AQ48 AQ41 AQ39">
    <cfRule type="containsText" dxfId="3781" priority="109" operator="containsText" text="✓">
      <formula>NOT(ISERROR(SEARCH("✓",AQ39)))</formula>
    </cfRule>
  </conditionalFormatting>
  <conditionalFormatting sqref="CU91:CU92 CM91:CM92 CE91:CE92 BW91:BW92 BO91:BO92 BG91:BG92 AY91:AY92 AQ91:AQ92">
    <cfRule type="containsText" dxfId="3780" priority="108" operator="containsText" text="✓">
      <formula>NOT(ISERROR(SEARCH("✓",AQ91)))</formula>
    </cfRule>
  </conditionalFormatting>
  <conditionalFormatting sqref="P39">
    <cfRule type="expression" dxfId="3779" priority="90">
      <formula>P39=""</formula>
    </cfRule>
  </conditionalFormatting>
  <conditionalFormatting sqref="P41">
    <cfRule type="expression" dxfId="3778" priority="89">
      <formula>P41=""</formula>
    </cfRule>
  </conditionalFormatting>
  <conditionalFormatting sqref="P48">
    <cfRule type="expression" dxfId="3777" priority="88">
      <formula>P48=""</formula>
    </cfRule>
  </conditionalFormatting>
  <conditionalFormatting sqref="P50">
    <cfRule type="expression" dxfId="3776" priority="87">
      <formula>P50=""</formula>
    </cfRule>
  </conditionalFormatting>
  <conditionalFormatting sqref="P61">
    <cfRule type="expression" dxfId="3775" priority="86">
      <formula>P61=""</formula>
    </cfRule>
  </conditionalFormatting>
  <conditionalFormatting sqref="P68">
    <cfRule type="expression" dxfId="3774" priority="85">
      <formula>P68=""</formula>
    </cfRule>
  </conditionalFormatting>
  <conditionalFormatting sqref="P75">
    <cfRule type="expression" dxfId="3773" priority="84">
      <formula>P75=""</formula>
    </cfRule>
  </conditionalFormatting>
  <conditionalFormatting sqref="P77">
    <cfRule type="expression" dxfId="3772" priority="83">
      <formula>P77=""</formula>
    </cfRule>
  </conditionalFormatting>
  <conditionalFormatting sqref="AI30">
    <cfRule type="containsText" dxfId="3771" priority="73" operator="containsText" text="✓">
      <formula>NOT(ISERROR(SEARCH("✓",AI30)))</formula>
    </cfRule>
  </conditionalFormatting>
  <conditionalFormatting sqref="CU30 CM30 CE30 BW30 BO30 BG30 AY30 AQ30">
    <cfRule type="containsText" dxfId="3770" priority="72" operator="containsText" text="✓">
      <formula>NOT(ISERROR(SEARCH("✓",AQ30)))</formula>
    </cfRule>
  </conditionalFormatting>
  <conditionalFormatting sqref="P30">
    <cfRule type="expression" dxfId="3769" priority="55">
      <formula>P30=""</formula>
    </cfRule>
  </conditionalFormatting>
  <conditionalFormatting sqref="AI52">
    <cfRule type="containsText" dxfId="3768" priority="37" operator="containsText" text="✓">
      <formula>NOT(ISERROR(SEARCH("✓",AI52)))</formula>
    </cfRule>
  </conditionalFormatting>
  <conditionalFormatting sqref="CU52 CM52 CE52 BW52 BO52 BG52 AY52 AQ52">
    <cfRule type="containsText" dxfId="3767" priority="36" operator="containsText" text="✓">
      <formula>NOT(ISERROR(SEARCH("✓",AQ52)))</formula>
    </cfRule>
  </conditionalFormatting>
  <conditionalFormatting sqref="P52">
    <cfRule type="expression" dxfId="3766" priority="19">
      <formula>P52=""</formula>
    </cfRule>
  </conditionalFormatting>
  <dataValidations count="8">
    <dataValidation allowBlank="1" showErrorMessage="1" promptTitle="Bolter" prompt="Ikke bak stuff forutsatt «all» sikring på stuff" sqref="CT42 AH42 AP42 AX42 BF42 BN42 BV42 CD42 CL42" xr:uid="{D2116ECD-01DD-4FE3-A51C-313A9D27BF77}"/>
    <dataValidation allowBlank="1" showInputMessage="1" showErrorMessage="1" promptTitle="Buer" prompt="Omfatter radielle bolter, braketter, armering" sqref="CT69 AH69 AP69 AX69 BF69 BN69 BV69 CD69 CL69" xr:uid="{49230FB4-8EF0-4FD0-A316-C912CB39BFCC}"/>
    <dataValidation allowBlank="1" showErrorMessage="1" sqref="DW8:EG10 K8:L13 Z62:AA67 DW12:EG13 AE1:DV8 AE9:EG10 AF20 Y120:AC1048576 Y20 Y21:AC21 AE22:CZ22 Y23:AC23 Z69:AA74 M12:O14 CS84 Y24:AA24 X99:X1048576 V72 P5:P16 R6:R16 S1 A15:G15 Y25:AC25 AE84:AK84 DA83:DQ83 AE79:DP82 V79:AD98 AI87 CV20:CW20 AG87:AH92 AO84 AW84 BE84 BM84 BU84 CC84 CK84 AI91 M8:M11 AE83:CV83 AN20 AL20 BD20 AT20 AV20 AZ20:BB20 BH20:BJ20 BL20 BP20:BR20 BT20 BX20:BZ20 CB20 CF20:CH20 CJ20 CN20:CP20 CR20 AJ87:AP92 AQ91 AQ84 AQ87 AY91 AR87:AX92 AY84 AY87 AZ87:BF92 BG91 BG84 BG87 BH87:BN92 BO91 BO84 BO87 BP87:BV92 BW91 BW84 BW87 CE91 BX87:CD92 CE84 CE87 CN87:CT92 CF87:CL92 CM91 CM84 CM87 Z76:AA76 CU84 CU87 CU91 Z78:AA78 A94:B94 K14 Y26 Z29:AA29 X22:X75 C98:U98 AE94:DP94 A79:B83 X78 A16:B18 A12:J14 A5:J10 Y34:AA38 Z49:AA49 Y53:AA53 Y41:Y52 Y56:Y78 K16 C16:J16 Y1:AC19 X1:X20 AE11:DV19 DW14:EJ18 Z42:AA47 M16:O16 S5:S16 Z40:AA40 R2:R4 Q1:Q16 Z56:AA60 A1:P1 Z51:AA51 K5:O5 N6:O10 T1:U16 C78:U97 K77:U77 C77:I77 C76:U76 K75:U75 C75:I75 G54:J74 K17:U74 G17:J29 G31:J51 C17:E74 F17:F52 F54:F74" xr:uid="{C9D67ADE-C4C1-44F8-9435-71E7ECDD6E49}"/>
    <dataValidation allowBlank="1" showInputMessage="1" showErrorMessage="1" promptTitle="Seismikk" prompt="Time for time, inngår i ventetid" sqref="AH63 AH56 AM56:AN56 AM63:AN63 AP63 AP56 AU56:AV56 AU63:AV63 AX63 AX56 BC56:BD56 BC63:BD63 BF63 BF56 BK56:BL56 BK63:BL63 BN63 BN56 BS56:BT56 BS63:BT63 BV63 BV56 CA56:CB56 CA63:CB63 CD63 CD56 CI56:CJ56 CI63:CJ63 CL63 CL56 CQ56:CR56 CQ63:CR63 CT63 CT56 AE63:AF63 AE56:AF56" xr:uid="{CF6F77E0-1178-458B-836E-919FF983D608}"/>
    <dataValidation type="decimal" operator="greaterThanOrEqual" allowBlank="1" showInputMessage="1" showErrorMessage="1" errorTitle="Oops!" error="Du må bare skrive inn tall." sqref="AO42 AG42 AG62 AG69 BU62 CS69 CK62 BM62 CS62 AO62 CS42 BU42 AO69 CK69 BU69 AW42 AW62 AW69 BM69 CC42 BE42 BE62 CC69 CC62 BE69 CK42 BM42 AO31:AO33 BM31:BM33 AW31:AW33 CK31:CK33 CS31:CS33 BE31:BE33 CC31:CC33 BU31:BU33 AG31:AG33" xr:uid="{8C2EC6D2-0654-4FDC-9E43-DFE7A6B284B8}">
      <formula1>0</formula1>
    </dataValidation>
    <dataValidation type="decimal" operator="greaterThanOrEqual" allowBlank="1" showInputMessage="1" showErrorMessage="1" errorTitle="Oops!" error="Bare tall er tillatt." sqref="AG28 AO28 AG39 AG41 AO41 AO39 AG48 AO50 AG61 AG68 AG75 AG77 AO77 AO75 AO68 AO61 AW50 AO48 AW28 AW39 AW41 AW48 BE50 AW61 AW68 AW75 AW77 BE77 BE75 BE68 BE61 BM50 BE48 BE41 BE39 BE28 BM77 BM75 BM68 BM61 BU50 BM48 BM41 BM39 BM28 BU28 BU39 BU41 BU48 CC50 BU61 BU68 BU75 BU77 CC77 CC75 CC68 CC61 CK50 CC48 CC41 CC39 CC28 CK28 CK39 CK41 CK48 CS50 CK61 CK68 CK75 CK77 CS77 CS75 CS68 CS61 CS52:CS54 CS48 CS41 CS39 CS28 AG30 AO30 AW30 BE30 BM30 BU30 CC30 CK30 CS30 AG52:AG54 AO52:AO54 AW52:AW54 BE52:BE54 BM52:BM54 BU52:BU54 CC52:CC54 CK52:CK54 AG50" xr:uid="{1C4490CE-4846-454E-84F7-89316C02D346}">
      <formula1>0</formula1>
    </dataValidation>
    <dataValidation allowBlank="1" showInputMessage="1" showErrorMessage="1" promptTitle="Lengde 1. og 2. støp" prompt="Det forutsettes at lengde på støpeskjoldet er 5 m. Det betyr at støp 1 og 2 kan utgjøre inntil 10 m." sqref="J75" xr:uid="{2B79F622-941B-4439-AA8E-487735A06EDE}"/>
    <dataValidation allowBlank="1" showInputMessage="1" showErrorMessage="1" promptTitle="Lengde 3. støp og videre" prompt="Dette omfatter utstøpt lengde fra 10 m og oppover." sqref="J77" xr:uid="{77D6D93C-FF2D-442D-BCAF-0F77DC53F5F0}"/>
  </dataValidations>
  <printOptions horizontalCentered="1" verticalCentered="1"/>
  <pageMargins left="0.23622047244094491" right="0.23622047244094491" top="0.74803149606299213" bottom="0.74803149606299213" header="0.31496062992125984" footer="0.31496062992125984"/>
  <pageSetup paperSize="8" scale="45" orientation="landscape" r:id="rId1"/>
  <extLst>
    <ext xmlns:x14="http://schemas.microsoft.com/office/spreadsheetml/2009/9/main" uri="{78C0D931-6437-407d-A8EE-F0AAD7539E65}">
      <x14:conditionalFormattings>
        <x14:conditionalFormatting xmlns:xm="http://schemas.microsoft.com/office/excel/2006/main">
          <x14:cfRule type="expression" priority="91" id="{00000000-000E-0000-0B00-00005B000000}">
            <xm:f>P28=_Kapasitet!$F$5</xm:f>
            <x14:dxf>
              <font>
                <b val="0"/>
                <i val="0"/>
              </font>
              <fill>
                <patternFill patternType="lightGray">
                  <fgColor theme="0"/>
                  <bgColor rgb="FFC6E1E1"/>
                </patternFill>
              </fill>
              <border>
                <left/>
                <right/>
                <top/>
                <bottom/>
                <vertical/>
                <horizontal/>
              </border>
            </x14:dxf>
          </x14:cfRule>
          <xm:sqref>P28 P30 P39 P41 P48 P50 P52 P61 P68 P75 P77</xm:sqref>
        </x14:conditionalFormatting>
        <x14:conditionalFormatting xmlns:xm="http://schemas.microsoft.com/office/excel/2006/main">
          <x14:cfRule type="expression" priority="82" id="{00000000-000E-0000-0B00-000052000000}">
            <xm:f>P28&lt;&gt;_Kapasitet!$F$5</xm:f>
            <x14:dxf>
              <font>
                <b/>
                <i/>
              </font>
            </x14:dxf>
          </x14:cfRule>
          <xm:sqref>N28 N30 N39 N41 N48 N50 N52 N61 N68 N75 N77</xm:sqref>
        </x14:conditionalFormatting>
        <x14:conditionalFormatting xmlns:xm="http://schemas.microsoft.com/office/excel/2006/main">
          <x14:cfRule type="expression" priority="17" stopIfTrue="1" id="{6CC1C59C-238D-4DF4-AE3D-A60DB22914AE}">
            <xm:f>_Calcs!$NO$48&lt;9</xm:f>
            <x14:dxf>
              <font>
                <color theme="0"/>
              </font>
              <fill>
                <patternFill>
                  <bgColor theme="0"/>
                </patternFill>
              </fill>
              <border>
                <left/>
                <right/>
                <top/>
                <bottom/>
                <vertical/>
                <horizontal/>
              </border>
            </x14:dxf>
          </x14:cfRule>
          <xm:sqref>CR1:CY1048576</xm:sqref>
        </x14:conditionalFormatting>
        <x14:conditionalFormatting xmlns:xm="http://schemas.microsoft.com/office/excel/2006/main">
          <x14:cfRule type="expression" priority="16" id="{2F5E8F8C-4B0E-4897-A7DD-1CEC4BF35104}">
            <xm:f>_Calcs!$NO$48&lt;9</xm:f>
            <x14:dxf>
              <border>
                <left/>
                <right/>
                <top/>
                <bottom/>
                <vertical/>
                <horizontal/>
              </border>
            </x14:dxf>
          </x14:cfRule>
          <xm:sqref>CQ1:CQ1048576</xm:sqref>
        </x14:conditionalFormatting>
        <x14:conditionalFormatting xmlns:xm="http://schemas.microsoft.com/office/excel/2006/main">
          <x14:cfRule type="expression" priority="15" stopIfTrue="1" id="{4FDD3020-F461-45C5-8968-251920D5798B}">
            <xm:f>_Calcs!$NO$48&lt;8</xm:f>
            <x14:dxf>
              <font>
                <color theme="0"/>
              </font>
              <fill>
                <patternFill>
                  <bgColor theme="0"/>
                </patternFill>
              </fill>
              <border>
                <left/>
                <right/>
                <top/>
                <bottom/>
                <vertical/>
                <horizontal/>
              </border>
            </x14:dxf>
          </x14:cfRule>
          <xm:sqref>CJ1:CQ1048576</xm:sqref>
        </x14:conditionalFormatting>
        <x14:conditionalFormatting xmlns:xm="http://schemas.microsoft.com/office/excel/2006/main">
          <x14:cfRule type="expression" priority="14" id="{17DF21FC-8824-4606-BFBD-9BF069B97050}">
            <xm:f>_Calcs!$NO$48&lt;8</xm:f>
            <x14:dxf>
              <border>
                <left/>
                <right/>
                <top/>
                <bottom/>
                <vertical/>
                <horizontal/>
              </border>
            </x14:dxf>
          </x14:cfRule>
          <xm:sqref>CI1:CI1048576</xm:sqref>
        </x14:conditionalFormatting>
        <x14:conditionalFormatting xmlns:xm="http://schemas.microsoft.com/office/excel/2006/main">
          <x14:cfRule type="expression" priority="13" stopIfTrue="1" id="{8B1374EB-60FD-4DF0-AFA6-4AFFC46A0B52}">
            <xm:f>_Calcs!$NO$48&lt;7</xm:f>
            <x14:dxf>
              <font>
                <color theme="0"/>
              </font>
              <fill>
                <patternFill>
                  <bgColor theme="0"/>
                </patternFill>
              </fill>
              <border>
                <left/>
                <right/>
                <top/>
                <bottom/>
                <vertical/>
                <horizontal/>
              </border>
            </x14:dxf>
          </x14:cfRule>
          <xm:sqref>CB1:CI1048576</xm:sqref>
        </x14:conditionalFormatting>
        <x14:conditionalFormatting xmlns:xm="http://schemas.microsoft.com/office/excel/2006/main">
          <x14:cfRule type="expression" priority="12" id="{0C9AE0B9-DC78-44F1-A25C-66ECE5892661}">
            <xm:f>_Calcs!$NO$48&lt;7</xm:f>
            <x14:dxf>
              <border>
                <left/>
                <right/>
                <top/>
                <bottom/>
                <vertical/>
                <horizontal/>
              </border>
            </x14:dxf>
          </x14:cfRule>
          <xm:sqref>CA1:CA1048576</xm:sqref>
        </x14:conditionalFormatting>
        <x14:conditionalFormatting xmlns:xm="http://schemas.microsoft.com/office/excel/2006/main">
          <x14:cfRule type="expression" priority="11" stopIfTrue="1" id="{1C7A126F-7F94-4A98-A200-B01F648DBF9A}">
            <xm:f>_Calcs!$NO$48&lt;6</xm:f>
            <x14:dxf>
              <font>
                <color theme="0"/>
              </font>
              <fill>
                <patternFill>
                  <bgColor theme="0"/>
                </patternFill>
              </fill>
              <border>
                <left/>
                <right/>
                <top/>
                <bottom/>
                <vertical/>
                <horizontal/>
              </border>
            </x14:dxf>
          </x14:cfRule>
          <xm:sqref>BT1:CA1048576</xm:sqref>
        </x14:conditionalFormatting>
        <x14:conditionalFormatting xmlns:xm="http://schemas.microsoft.com/office/excel/2006/main">
          <x14:cfRule type="expression" priority="10" id="{23F19EE8-0498-4A36-AF21-E4F53F9F0433}">
            <xm:f>_Calcs!$NO$48&lt;6</xm:f>
            <x14:dxf>
              <border>
                <left/>
                <right/>
                <top/>
                <bottom/>
                <vertical/>
                <horizontal/>
              </border>
            </x14:dxf>
          </x14:cfRule>
          <xm:sqref>BS1:BS1048576</xm:sqref>
        </x14:conditionalFormatting>
        <x14:conditionalFormatting xmlns:xm="http://schemas.microsoft.com/office/excel/2006/main">
          <x14:cfRule type="expression" priority="9" stopIfTrue="1" id="{3C238CB5-D192-4F4F-BAA9-54A6745FB833}">
            <xm:f>_Calcs!$NO$48&lt;5</xm:f>
            <x14:dxf>
              <font>
                <color theme="0"/>
              </font>
              <fill>
                <patternFill>
                  <bgColor theme="0"/>
                </patternFill>
              </fill>
              <border>
                <left/>
                <right/>
                <top/>
                <bottom/>
                <vertical/>
                <horizontal/>
              </border>
            </x14:dxf>
          </x14:cfRule>
          <xm:sqref>BL1:BS1048576</xm:sqref>
        </x14:conditionalFormatting>
        <x14:conditionalFormatting xmlns:xm="http://schemas.microsoft.com/office/excel/2006/main">
          <x14:cfRule type="expression" priority="8" id="{4334EBE1-545B-4976-89DA-8AD6C29D0507}">
            <xm:f>_Calcs!$NO$48&lt;5</xm:f>
            <x14:dxf>
              <border>
                <left/>
                <right/>
                <top/>
                <bottom/>
                <vertical/>
                <horizontal/>
              </border>
            </x14:dxf>
          </x14:cfRule>
          <xm:sqref>BK1:BK1048576</xm:sqref>
        </x14:conditionalFormatting>
        <x14:conditionalFormatting xmlns:xm="http://schemas.microsoft.com/office/excel/2006/main">
          <x14:cfRule type="expression" priority="7" stopIfTrue="1" id="{A5BEF920-1F22-4D8A-9AFC-3B0429103F13}">
            <xm:f>_Calcs!$NO$48&lt;4</xm:f>
            <x14:dxf>
              <font>
                <color theme="0"/>
              </font>
              <fill>
                <patternFill>
                  <bgColor theme="0"/>
                </patternFill>
              </fill>
              <border>
                <left/>
                <right/>
                <top/>
                <bottom/>
                <vertical/>
                <horizontal/>
              </border>
            </x14:dxf>
          </x14:cfRule>
          <xm:sqref>BD1:BK1048576</xm:sqref>
        </x14:conditionalFormatting>
        <x14:conditionalFormatting xmlns:xm="http://schemas.microsoft.com/office/excel/2006/main">
          <x14:cfRule type="expression" priority="6" id="{61E9BE1B-D88A-4855-95CD-EF42A4FA08E3}">
            <xm:f>_Calcs!$NO$48&lt;4</xm:f>
            <x14:dxf>
              <border>
                <left/>
                <right/>
                <top/>
                <bottom/>
                <vertical/>
                <horizontal/>
              </border>
            </x14:dxf>
          </x14:cfRule>
          <xm:sqref>BC1:BC1048576</xm:sqref>
        </x14:conditionalFormatting>
        <x14:conditionalFormatting xmlns:xm="http://schemas.microsoft.com/office/excel/2006/main">
          <x14:cfRule type="expression" priority="5" stopIfTrue="1" id="{0C1212DC-E8EA-434E-B29A-6EB3452BBF47}">
            <xm:f>_Calcs!$NO$48&lt;3</xm:f>
            <x14:dxf>
              <font>
                <color theme="0"/>
              </font>
              <fill>
                <patternFill>
                  <bgColor theme="0"/>
                </patternFill>
              </fill>
              <border>
                <left/>
                <right/>
                <top/>
                <bottom/>
                <vertical/>
                <horizontal/>
              </border>
            </x14:dxf>
          </x14:cfRule>
          <xm:sqref>AV1:BC1048576</xm:sqref>
        </x14:conditionalFormatting>
        <x14:conditionalFormatting xmlns:xm="http://schemas.microsoft.com/office/excel/2006/main">
          <x14:cfRule type="expression" priority="4" id="{D565FD52-C2A7-4E9E-8A9F-993C8ED8DBC0}">
            <xm:f>_Calcs!$NO$48&lt;3</xm:f>
            <x14:dxf>
              <border>
                <left/>
                <right/>
                <top/>
                <bottom/>
                <vertical/>
                <horizontal/>
              </border>
            </x14:dxf>
          </x14:cfRule>
          <xm:sqref>AU1:AU1048576</xm:sqref>
        </x14:conditionalFormatting>
        <x14:conditionalFormatting xmlns:xm="http://schemas.microsoft.com/office/excel/2006/main">
          <x14:cfRule type="expression" priority="3" stopIfTrue="1" id="{1C5784B2-E80D-4E65-B683-674C1F4E12DD}">
            <xm:f>_Calcs!$NO$48&lt;2</xm:f>
            <x14:dxf>
              <font>
                <color theme="0"/>
              </font>
              <fill>
                <patternFill>
                  <bgColor theme="0"/>
                </patternFill>
              </fill>
              <border>
                <left/>
                <right/>
                <top/>
                <bottom/>
                <vertical/>
                <horizontal/>
              </border>
            </x14:dxf>
          </x14:cfRule>
          <xm:sqref>AN1:AU1048576</xm:sqref>
        </x14:conditionalFormatting>
        <x14:conditionalFormatting xmlns:xm="http://schemas.microsoft.com/office/excel/2006/main">
          <x14:cfRule type="expression" priority="2" id="{D56D29E9-5C72-4E4A-9B3E-26BBD764C206}">
            <xm:f>_Calcs!$NO$48&lt;2</xm:f>
            <x14:dxf>
              <border>
                <left/>
                <right/>
                <top/>
                <bottom/>
                <vertical/>
                <horizontal/>
              </border>
            </x14:dxf>
          </x14:cfRule>
          <xm:sqref>AM1:AM1048576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B1FF7-13EE-408D-8E55-EDFA345A4988}">
  <sheetPr>
    <tabColor rgb="FFF8EED4"/>
  </sheetPr>
  <dimension ref="A1:OO301"/>
  <sheetViews>
    <sheetView showGridLines="0" showRowColHeaders="0" view="pageBreakPreview" zoomScale="70" zoomScaleNormal="70" zoomScaleSheetLayoutView="70" workbookViewId="0"/>
  </sheetViews>
  <sheetFormatPr defaultColWidth="0" defaultRowHeight="14.25" zeroHeight="1" x14ac:dyDescent="0.2"/>
  <cols>
    <col min="1" max="3" width="3.625" style="2162" customWidth="1"/>
    <col min="4" max="43" width="1.625" style="2162" customWidth="1"/>
    <col min="44" max="48" width="3.625" style="2162" customWidth="1"/>
    <col min="49" max="88" width="1.625" style="2162" customWidth="1"/>
    <col min="89" max="93" width="3.625" style="2162" customWidth="1"/>
    <col min="94" max="133" width="1.625" style="2162" customWidth="1"/>
    <col min="134" max="138" width="3.625" style="2162" customWidth="1"/>
    <col min="139" max="178" width="1.625" style="2162" customWidth="1"/>
    <col min="179" max="183" width="3.625" style="2162" customWidth="1"/>
    <col min="184" max="223" width="1.625" style="2162" customWidth="1"/>
    <col min="224" max="228" width="3.625" style="2162" customWidth="1"/>
    <col min="229" max="268" width="1.625" style="2162" customWidth="1"/>
    <col min="269" max="273" width="3.625" style="2162" customWidth="1"/>
    <col min="274" max="313" width="1.625" style="2162" customWidth="1"/>
    <col min="314" max="318" width="3.625" style="2162" customWidth="1"/>
    <col min="319" max="358" width="1.625" style="2162" customWidth="1"/>
    <col min="359" max="363" width="3.625" style="2162" customWidth="1"/>
    <col min="364" max="403" width="1.625" style="2162" customWidth="1"/>
    <col min="404" max="405" width="3.625" style="2162" customWidth="1"/>
    <col min="406" max="16384" width="9" style="2162" hidden="1"/>
  </cols>
  <sheetData>
    <row r="1" spans="3:405" ht="5.0999999999999996" customHeight="1" x14ac:dyDescent="0.2"/>
    <row r="2" spans="3:405" s="1466" customFormat="1" ht="12" customHeight="1" x14ac:dyDescent="0.2">
      <c r="C2" s="6014"/>
      <c r="D2" s="6014"/>
      <c r="E2" s="6014"/>
      <c r="F2" s="6014"/>
      <c r="G2" s="6014"/>
      <c r="H2" s="6014"/>
      <c r="I2" s="6014"/>
      <c r="J2" s="6014"/>
      <c r="K2" s="6014"/>
      <c r="L2" s="6014"/>
      <c r="M2" s="6014"/>
      <c r="N2" s="6014"/>
      <c r="O2" s="6014"/>
      <c r="P2" s="6014"/>
      <c r="Q2" s="6014"/>
      <c r="R2" s="6014"/>
      <c r="S2" s="6014"/>
      <c r="T2" s="6014"/>
      <c r="U2" s="6014"/>
      <c r="V2" s="6014"/>
      <c r="W2" s="6014"/>
      <c r="X2" s="6014"/>
      <c r="Y2" s="6014"/>
      <c r="Z2" s="6014"/>
      <c r="AA2" s="6014"/>
      <c r="AB2" s="6014"/>
      <c r="AC2" s="6014"/>
      <c r="AD2" s="6014"/>
      <c r="AE2" s="6014"/>
      <c r="AF2" s="6014"/>
      <c r="AG2" s="6014"/>
      <c r="AH2" s="6014"/>
      <c r="AI2" s="6014"/>
      <c r="AJ2" s="6014"/>
      <c r="AK2" s="6014"/>
      <c r="AL2" s="6014"/>
      <c r="AM2" s="6014"/>
      <c r="AN2" s="6014"/>
      <c r="AO2" s="6014"/>
      <c r="AP2" s="6014"/>
      <c r="AQ2" s="6014"/>
      <c r="AR2" s="6014"/>
      <c r="AV2" s="6014"/>
      <c r="AW2" s="6014"/>
      <c r="AX2" s="6014"/>
      <c r="AY2" s="6014"/>
      <c r="AZ2" s="6014"/>
      <c r="BA2" s="6014"/>
      <c r="BB2" s="6014"/>
      <c r="BC2" s="6014"/>
      <c r="BD2" s="6014"/>
      <c r="BE2" s="6014"/>
      <c r="BF2" s="6014"/>
      <c r="BG2" s="6014"/>
      <c r="BH2" s="6014"/>
      <c r="BI2" s="6014"/>
      <c r="BJ2" s="6014"/>
      <c r="BK2" s="6014"/>
      <c r="BL2" s="6014"/>
      <c r="BM2" s="6014"/>
      <c r="BN2" s="6014"/>
      <c r="BO2" s="6014"/>
      <c r="BP2" s="6014"/>
      <c r="BQ2" s="6014"/>
      <c r="BR2" s="6014"/>
      <c r="BS2" s="6014"/>
      <c r="BT2" s="6014"/>
      <c r="BU2" s="6014"/>
      <c r="BV2" s="6014"/>
      <c r="BW2" s="6014"/>
      <c r="BX2" s="6014"/>
      <c r="BY2" s="6014"/>
      <c r="BZ2" s="6014"/>
      <c r="CA2" s="6014"/>
      <c r="CB2" s="6014"/>
      <c r="CC2" s="6014"/>
      <c r="CD2" s="6014"/>
      <c r="CE2" s="6014"/>
      <c r="CF2" s="6014"/>
      <c r="CG2" s="6014"/>
      <c r="CH2" s="6014"/>
      <c r="CI2" s="6014"/>
      <c r="CJ2" s="6014"/>
      <c r="CK2" s="6014"/>
      <c r="CO2" s="6014"/>
      <c r="CP2" s="6014"/>
      <c r="CQ2" s="6014"/>
      <c r="CR2" s="6014"/>
      <c r="CS2" s="6014"/>
      <c r="CT2" s="6014"/>
      <c r="CU2" s="6014"/>
      <c r="CV2" s="6014"/>
      <c r="CW2" s="6014"/>
      <c r="CX2" s="6014"/>
      <c r="CY2" s="6014"/>
      <c r="CZ2" s="6014"/>
      <c r="DA2" s="6014"/>
      <c r="DB2" s="6014"/>
      <c r="DC2" s="6014"/>
      <c r="DD2" s="6014"/>
      <c r="DE2" s="6014"/>
      <c r="DF2" s="6014"/>
      <c r="DG2" s="6014"/>
      <c r="DH2" s="6014"/>
      <c r="DI2" s="6014"/>
      <c r="DJ2" s="6014"/>
      <c r="DK2" s="6014"/>
      <c r="DL2" s="6014"/>
      <c r="DM2" s="6014"/>
      <c r="DN2" s="6014"/>
      <c r="DO2" s="6014"/>
      <c r="DP2" s="6014"/>
      <c r="DQ2" s="6014"/>
      <c r="DR2" s="6014"/>
      <c r="DS2" s="6014"/>
      <c r="DT2" s="6014"/>
      <c r="DU2" s="6014"/>
      <c r="DV2" s="6014"/>
      <c r="DW2" s="6014"/>
      <c r="DX2" s="6014"/>
      <c r="DY2" s="6014"/>
      <c r="DZ2" s="6014"/>
      <c r="EA2" s="6014"/>
      <c r="EB2" s="6014"/>
      <c r="EC2" s="6014"/>
      <c r="ED2" s="6014"/>
      <c r="EH2" s="6014"/>
      <c r="EI2" s="6014"/>
      <c r="EJ2" s="6014"/>
      <c r="EK2" s="6014"/>
      <c r="EL2" s="6014"/>
      <c r="EM2" s="6014"/>
      <c r="EN2" s="6014"/>
      <c r="EO2" s="6014"/>
      <c r="EP2" s="6014"/>
      <c r="EQ2" s="6014"/>
      <c r="ER2" s="6014"/>
      <c r="ES2" s="6014"/>
      <c r="ET2" s="6014"/>
      <c r="EU2" s="6014"/>
      <c r="EV2" s="6014"/>
      <c r="EW2" s="6014"/>
      <c r="EX2" s="6014"/>
      <c r="EY2" s="6014"/>
      <c r="EZ2" s="6014"/>
      <c r="FA2" s="6014"/>
      <c r="FB2" s="6014"/>
      <c r="FC2" s="6014"/>
      <c r="FD2" s="6014"/>
      <c r="FE2" s="6014"/>
      <c r="FF2" s="6014"/>
      <c r="FG2" s="6014"/>
      <c r="FH2" s="6014"/>
      <c r="FI2" s="6014"/>
      <c r="FJ2" s="6014"/>
      <c r="FK2" s="6014"/>
      <c r="FL2" s="6014"/>
      <c r="FM2" s="6014"/>
      <c r="FN2" s="6014"/>
      <c r="FO2" s="6014"/>
      <c r="FP2" s="6014"/>
      <c r="FQ2" s="6014"/>
      <c r="FR2" s="6014"/>
      <c r="FS2" s="6014"/>
      <c r="FT2" s="6014"/>
      <c r="FU2" s="6014"/>
      <c r="FV2" s="6014"/>
      <c r="FW2" s="6014"/>
      <c r="GA2" s="6014"/>
      <c r="GB2" s="6014"/>
      <c r="GC2" s="6014"/>
      <c r="GD2" s="6014"/>
      <c r="GE2" s="6014"/>
      <c r="GF2" s="6014"/>
      <c r="GG2" s="6014"/>
      <c r="GH2" s="6014"/>
      <c r="GI2" s="6014"/>
      <c r="GJ2" s="6014"/>
      <c r="GK2" s="6014"/>
      <c r="GL2" s="6014"/>
      <c r="GM2" s="6014"/>
      <c r="GN2" s="6014"/>
      <c r="GO2" s="6014"/>
      <c r="GP2" s="6014"/>
      <c r="GQ2" s="6014"/>
      <c r="GR2" s="6014"/>
      <c r="GS2" s="6014"/>
      <c r="GT2" s="6014"/>
      <c r="GU2" s="6014"/>
      <c r="GV2" s="6014"/>
      <c r="GW2" s="6014"/>
      <c r="GX2" s="6014"/>
      <c r="GY2" s="6014"/>
      <c r="GZ2" s="6014"/>
      <c r="HA2" s="6014"/>
      <c r="HB2" s="6014"/>
      <c r="HC2" s="6014"/>
      <c r="HD2" s="6014"/>
      <c r="HE2" s="6014"/>
      <c r="HF2" s="6014"/>
      <c r="HG2" s="6014"/>
      <c r="HH2" s="6014"/>
      <c r="HI2" s="6014"/>
      <c r="HJ2" s="6014"/>
      <c r="HK2" s="6014"/>
      <c r="HL2" s="6014"/>
      <c r="HM2" s="6014"/>
      <c r="HN2" s="6014"/>
      <c r="HO2" s="6014"/>
      <c r="HP2" s="6014"/>
      <c r="HT2" s="6014"/>
      <c r="HU2" s="6014"/>
      <c r="HV2" s="6014"/>
      <c r="HW2" s="6014"/>
      <c r="HX2" s="6014"/>
      <c r="HY2" s="6014"/>
      <c r="HZ2" s="6014"/>
      <c r="IA2" s="6014"/>
      <c r="IB2" s="6014"/>
      <c r="IC2" s="6014"/>
      <c r="ID2" s="6014"/>
      <c r="IE2" s="6014"/>
      <c r="IF2" s="6014"/>
      <c r="IG2" s="6014"/>
      <c r="IH2" s="6014"/>
      <c r="II2" s="6014"/>
      <c r="IJ2" s="6014"/>
      <c r="IK2" s="6014"/>
      <c r="IL2" s="6014"/>
      <c r="IM2" s="6014"/>
      <c r="IN2" s="6014"/>
      <c r="IO2" s="6014"/>
      <c r="IP2" s="6014"/>
      <c r="IQ2" s="6014"/>
      <c r="IR2" s="6014"/>
      <c r="IS2" s="6014"/>
      <c r="IT2" s="6014"/>
      <c r="IU2" s="6014"/>
      <c r="IV2" s="6014"/>
      <c r="IW2" s="6014"/>
      <c r="IX2" s="6014"/>
      <c r="IY2" s="6014"/>
      <c r="IZ2" s="6014"/>
      <c r="JA2" s="6014"/>
      <c r="JB2" s="6014"/>
      <c r="JC2" s="6014"/>
      <c r="JD2" s="6014"/>
      <c r="JE2" s="6014"/>
      <c r="JF2" s="6014"/>
      <c r="JG2" s="6014"/>
      <c r="JH2" s="6014"/>
      <c r="JI2" s="6014"/>
      <c r="JM2" s="6014"/>
      <c r="JN2" s="6014"/>
      <c r="JO2" s="6014"/>
      <c r="JP2" s="6014"/>
      <c r="JQ2" s="6014"/>
      <c r="JR2" s="6014"/>
      <c r="JS2" s="6014"/>
      <c r="JT2" s="6014"/>
      <c r="JU2" s="6014"/>
      <c r="JV2" s="6014"/>
      <c r="JW2" s="6014"/>
      <c r="JX2" s="6014"/>
      <c r="JY2" s="6014"/>
      <c r="JZ2" s="6014"/>
      <c r="KA2" s="6014"/>
      <c r="KB2" s="6014"/>
      <c r="KC2" s="6014"/>
      <c r="KD2" s="6014"/>
      <c r="KE2" s="6014"/>
      <c r="KF2" s="6014"/>
      <c r="KG2" s="6014"/>
      <c r="KH2" s="6014"/>
      <c r="KI2" s="6014"/>
      <c r="KJ2" s="6014"/>
      <c r="KK2" s="6014"/>
      <c r="KL2" s="6014"/>
      <c r="KM2" s="6014"/>
      <c r="KN2" s="6014"/>
      <c r="KO2" s="6014"/>
      <c r="KP2" s="6014"/>
      <c r="KQ2" s="6014"/>
      <c r="KR2" s="6014"/>
      <c r="KS2" s="6014"/>
      <c r="KT2" s="6014"/>
      <c r="KU2" s="6014"/>
      <c r="KV2" s="6014"/>
      <c r="KW2" s="6014"/>
      <c r="KX2" s="6014"/>
      <c r="KY2" s="6014"/>
      <c r="KZ2" s="6014"/>
      <c r="LA2" s="6014"/>
      <c r="LB2" s="6014"/>
      <c r="LF2" s="6014"/>
      <c r="LG2" s="6014"/>
      <c r="LH2" s="6014"/>
      <c r="LI2" s="6014"/>
      <c r="LJ2" s="6014"/>
      <c r="LK2" s="6014"/>
      <c r="LL2" s="6014"/>
      <c r="LM2" s="6014"/>
      <c r="LN2" s="6014"/>
      <c r="LO2" s="6014"/>
      <c r="LP2" s="6014"/>
      <c r="LQ2" s="6014"/>
      <c r="LR2" s="6014"/>
      <c r="LS2" s="6014"/>
      <c r="LT2" s="6014"/>
      <c r="LU2" s="6014"/>
      <c r="LV2" s="6014"/>
      <c r="LW2" s="6014"/>
      <c r="LX2" s="6014"/>
      <c r="LY2" s="6014"/>
      <c r="LZ2" s="6014"/>
      <c r="MA2" s="6014"/>
      <c r="MB2" s="6014"/>
      <c r="MC2" s="6014"/>
      <c r="MD2" s="6014"/>
      <c r="ME2" s="6014"/>
      <c r="MF2" s="6014"/>
      <c r="MG2" s="6014"/>
      <c r="MH2" s="6014"/>
      <c r="MI2" s="6014"/>
      <c r="MJ2" s="6014"/>
      <c r="MK2" s="6014"/>
      <c r="ML2" s="6014"/>
      <c r="MM2" s="6014"/>
      <c r="MN2" s="6014"/>
      <c r="MO2" s="6014"/>
      <c r="MP2" s="6014"/>
      <c r="MQ2" s="6014"/>
      <c r="MR2" s="6014"/>
      <c r="MS2" s="6014"/>
      <c r="MT2" s="6014"/>
      <c r="MU2" s="6014"/>
      <c r="MY2" s="6014"/>
      <c r="MZ2" s="6014"/>
      <c r="NA2" s="6014"/>
      <c r="NB2" s="6014"/>
      <c r="NC2" s="6014"/>
      <c r="ND2" s="6014"/>
      <c r="NE2" s="6014"/>
      <c r="NF2" s="6014"/>
      <c r="NG2" s="6014"/>
      <c r="NH2" s="6014"/>
      <c r="NI2" s="6014"/>
      <c r="NJ2" s="6014"/>
      <c r="NK2" s="6014"/>
      <c r="NL2" s="6014"/>
      <c r="NM2" s="6014"/>
      <c r="NN2" s="6014"/>
      <c r="NO2" s="6014"/>
      <c r="NP2" s="6014"/>
      <c r="NQ2" s="6014"/>
      <c r="NR2" s="6014"/>
      <c r="NS2" s="6014"/>
      <c r="NT2" s="6014"/>
      <c r="NU2" s="6014"/>
      <c r="NV2" s="6014"/>
      <c r="NW2" s="6014"/>
      <c r="NX2" s="6014"/>
      <c r="NY2" s="6014"/>
      <c r="NZ2" s="6014"/>
      <c r="OA2" s="6014"/>
      <c r="OB2" s="6014"/>
      <c r="OC2" s="6014"/>
      <c r="OD2" s="6014"/>
      <c r="OE2" s="6014"/>
      <c r="OF2" s="6014"/>
      <c r="OG2" s="6014"/>
      <c r="OH2" s="6014"/>
      <c r="OI2" s="6014"/>
      <c r="OJ2" s="6014"/>
      <c r="OK2" s="6014"/>
      <c r="OL2" s="6014"/>
      <c r="OM2" s="6014"/>
      <c r="ON2" s="6014"/>
    </row>
    <row r="3" spans="3:405" ht="5.0999999999999996" customHeight="1" x14ac:dyDescent="0.2"/>
    <row r="4" spans="3:405" s="1466" customFormat="1" ht="3.95" customHeight="1" x14ac:dyDescent="0.2">
      <c r="C4" s="6014"/>
      <c r="D4" s="6014"/>
      <c r="E4" s="6014"/>
      <c r="F4" s="6014"/>
      <c r="G4" s="6014"/>
      <c r="H4" s="6014"/>
      <c r="I4" s="6014"/>
      <c r="J4" s="6014"/>
      <c r="K4" s="6014"/>
      <c r="L4" s="6014"/>
      <c r="M4" s="6014"/>
      <c r="N4" s="6014"/>
      <c r="O4" s="6014"/>
      <c r="P4" s="6014"/>
      <c r="Q4" s="6014"/>
      <c r="R4" s="6014"/>
      <c r="S4" s="6014"/>
      <c r="T4" s="6014"/>
      <c r="U4" s="6014"/>
      <c r="V4" s="6014"/>
      <c r="W4" s="6014"/>
      <c r="X4" s="6014"/>
      <c r="Y4" s="6014"/>
      <c r="Z4" s="6014"/>
      <c r="AA4" s="6014"/>
      <c r="AB4" s="6014"/>
      <c r="AC4" s="6014"/>
      <c r="AD4" s="6014"/>
      <c r="AE4" s="6014"/>
      <c r="AF4" s="6014"/>
      <c r="AG4" s="6014"/>
      <c r="AH4" s="6014"/>
      <c r="AI4" s="6014"/>
      <c r="AJ4" s="6014"/>
      <c r="AK4" s="6014"/>
      <c r="AL4" s="6014"/>
      <c r="AM4" s="6014"/>
      <c r="AN4" s="6014"/>
      <c r="AO4" s="6014"/>
      <c r="AP4" s="6014"/>
      <c r="AQ4" s="6014"/>
      <c r="AR4" s="6014"/>
      <c r="AV4" s="6014"/>
      <c r="AW4" s="6014"/>
      <c r="AX4" s="6014"/>
      <c r="AY4" s="6014"/>
      <c r="AZ4" s="6014"/>
      <c r="BA4" s="6014"/>
      <c r="BB4" s="6014"/>
      <c r="BC4" s="6014"/>
      <c r="BD4" s="6014"/>
      <c r="BE4" s="6014"/>
      <c r="BF4" s="6014"/>
      <c r="BG4" s="6014"/>
      <c r="BH4" s="6014"/>
      <c r="BI4" s="6014"/>
      <c r="BJ4" s="6014"/>
      <c r="BK4" s="6014"/>
      <c r="BL4" s="6014"/>
      <c r="BM4" s="6014"/>
      <c r="BN4" s="6014"/>
      <c r="BO4" s="6014"/>
      <c r="BP4" s="6014"/>
      <c r="BQ4" s="6014"/>
      <c r="BR4" s="6014"/>
      <c r="BS4" s="6014"/>
      <c r="BT4" s="6014"/>
      <c r="BU4" s="6014"/>
      <c r="BV4" s="6014"/>
      <c r="BW4" s="6014"/>
      <c r="BX4" s="6014"/>
      <c r="BY4" s="6014"/>
      <c r="BZ4" s="6014"/>
      <c r="CA4" s="6014"/>
      <c r="CB4" s="6014"/>
      <c r="CC4" s="6014"/>
      <c r="CD4" s="6014"/>
      <c r="CE4" s="6014"/>
      <c r="CF4" s="6014"/>
      <c r="CG4" s="6014"/>
      <c r="CH4" s="6014"/>
      <c r="CI4" s="6014"/>
      <c r="CJ4" s="6014"/>
      <c r="CK4" s="6014"/>
      <c r="CO4" s="6014"/>
      <c r="CP4" s="6014"/>
      <c r="CQ4" s="6014"/>
      <c r="CR4" s="6014"/>
      <c r="CS4" s="6014"/>
      <c r="CT4" s="6014"/>
      <c r="CU4" s="6014"/>
      <c r="CV4" s="6014"/>
      <c r="CW4" s="6014"/>
      <c r="CX4" s="6014"/>
      <c r="CY4" s="6014"/>
      <c r="CZ4" s="6014"/>
      <c r="DA4" s="6014"/>
      <c r="DB4" s="6014"/>
      <c r="DC4" s="6014"/>
      <c r="DD4" s="6014"/>
      <c r="DE4" s="6014"/>
      <c r="DF4" s="6014"/>
      <c r="DG4" s="6014"/>
      <c r="DH4" s="6014"/>
      <c r="DI4" s="6014"/>
      <c r="DJ4" s="6014"/>
      <c r="DK4" s="6014"/>
      <c r="DL4" s="6014"/>
      <c r="DM4" s="6014"/>
      <c r="DN4" s="6014"/>
      <c r="DO4" s="6014"/>
      <c r="DP4" s="6014"/>
      <c r="DQ4" s="6014"/>
      <c r="DR4" s="6014"/>
      <c r="DS4" s="6014"/>
      <c r="DT4" s="6014"/>
      <c r="DU4" s="6014"/>
      <c r="DV4" s="6014"/>
      <c r="DW4" s="6014"/>
      <c r="DX4" s="6014"/>
      <c r="DY4" s="6014"/>
      <c r="DZ4" s="6014"/>
      <c r="EA4" s="6014"/>
      <c r="EB4" s="6014"/>
      <c r="EC4" s="6014"/>
      <c r="ED4" s="6014"/>
      <c r="EH4" s="6014"/>
      <c r="EI4" s="6014"/>
      <c r="EJ4" s="6014"/>
      <c r="EK4" s="6014"/>
      <c r="EL4" s="6014"/>
      <c r="EM4" s="6014"/>
      <c r="EN4" s="6014"/>
      <c r="EO4" s="6014"/>
      <c r="EP4" s="6014"/>
      <c r="EQ4" s="6014"/>
      <c r="ER4" s="6014"/>
      <c r="ES4" s="6014"/>
      <c r="ET4" s="6014"/>
      <c r="EU4" s="6014"/>
      <c r="EV4" s="6014"/>
      <c r="EW4" s="6014"/>
      <c r="EX4" s="6014"/>
      <c r="EY4" s="6014"/>
      <c r="EZ4" s="6014"/>
      <c r="FA4" s="6014"/>
      <c r="FB4" s="6014"/>
      <c r="FC4" s="6014"/>
      <c r="FD4" s="6014"/>
      <c r="FE4" s="6014"/>
      <c r="FF4" s="6014"/>
      <c r="FG4" s="6014"/>
      <c r="FH4" s="6014"/>
      <c r="FI4" s="6014"/>
      <c r="FJ4" s="6014"/>
      <c r="FK4" s="6014"/>
      <c r="FL4" s="6014"/>
      <c r="FM4" s="6014"/>
      <c r="FN4" s="6014"/>
      <c r="FO4" s="6014"/>
      <c r="FP4" s="6014"/>
      <c r="FQ4" s="6014"/>
      <c r="FR4" s="6014"/>
      <c r="FS4" s="6014"/>
      <c r="FT4" s="6014"/>
      <c r="FU4" s="6014"/>
      <c r="FV4" s="6014"/>
      <c r="FW4" s="6014"/>
      <c r="GA4" s="6014"/>
      <c r="GB4" s="6014"/>
      <c r="GC4" s="6014"/>
      <c r="GD4" s="6014"/>
      <c r="GE4" s="6014"/>
      <c r="GF4" s="6014"/>
      <c r="GG4" s="6014"/>
      <c r="GH4" s="6014"/>
      <c r="GI4" s="6014"/>
      <c r="GJ4" s="6014"/>
      <c r="GK4" s="6014"/>
      <c r="GL4" s="6014"/>
      <c r="GM4" s="6014"/>
      <c r="GN4" s="6014"/>
      <c r="GO4" s="6014"/>
      <c r="GP4" s="6014"/>
      <c r="GQ4" s="6014"/>
      <c r="GR4" s="6014"/>
      <c r="GS4" s="6014"/>
      <c r="GT4" s="6014"/>
      <c r="GU4" s="6014"/>
      <c r="GV4" s="6014"/>
      <c r="GW4" s="6014"/>
      <c r="GX4" s="6014"/>
      <c r="GY4" s="6014"/>
      <c r="GZ4" s="6014"/>
      <c r="HA4" s="6014"/>
      <c r="HB4" s="6014"/>
      <c r="HC4" s="6014"/>
      <c r="HD4" s="6014"/>
      <c r="HE4" s="6014"/>
      <c r="HF4" s="6014"/>
      <c r="HG4" s="6014"/>
      <c r="HH4" s="6014"/>
      <c r="HI4" s="6014"/>
      <c r="HJ4" s="6014"/>
      <c r="HK4" s="6014"/>
      <c r="HL4" s="6014"/>
      <c r="HM4" s="6014"/>
      <c r="HN4" s="6014"/>
      <c r="HO4" s="6014"/>
      <c r="HP4" s="6014"/>
      <c r="HT4" s="6014"/>
      <c r="HU4" s="6014"/>
      <c r="HV4" s="6014"/>
      <c r="HW4" s="6014"/>
      <c r="HX4" s="6014"/>
      <c r="HY4" s="6014"/>
      <c r="HZ4" s="6014"/>
      <c r="IA4" s="6014"/>
      <c r="IB4" s="6014"/>
      <c r="IC4" s="6014"/>
      <c r="ID4" s="6014"/>
      <c r="IE4" s="6014"/>
      <c r="IF4" s="6014"/>
      <c r="IG4" s="6014"/>
      <c r="IH4" s="6014"/>
      <c r="II4" s="6014"/>
      <c r="IJ4" s="6014"/>
      <c r="IK4" s="6014"/>
      <c r="IL4" s="6014"/>
      <c r="IM4" s="6014"/>
      <c r="IN4" s="6014"/>
      <c r="IO4" s="6014"/>
      <c r="IP4" s="6014"/>
      <c r="IQ4" s="6014"/>
      <c r="IR4" s="6014"/>
      <c r="IS4" s="6014"/>
      <c r="IT4" s="6014"/>
      <c r="IU4" s="6014"/>
      <c r="IV4" s="6014"/>
      <c r="IW4" s="6014"/>
      <c r="IX4" s="6014"/>
      <c r="IY4" s="6014"/>
      <c r="IZ4" s="6014"/>
      <c r="JA4" s="6014"/>
      <c r="JB4" s="6014"/>
      <c r="JC4" s="6014"/>
      <c r="JD4" s="6014"/>
      <c r="JE4" s="6014"/>
      <c r="JF4" s="6014"/>
      <c r="JG4" s="6014"/>
      <c r="JH4" s="6014"/>
      <c r="JI4" s="6014"/>
      <c r="JM4" s="6014"/>
      <c r="JN4" s="6014"/>
      <c r="JO4" s="6014"/>
      <c r="JP4" s="6014"/>
      <c r="JQ4" s="6014"/>
      <c r="JR4" s="6014"/>
      <c r="JS4" s="6014"/>
      <c r="JT4" s="6014"/>
      <c r="JU4" s="6014"/>
      <c r="JV4" s="6014"/>
      <c r="JW4" s="6014"/>
      <c r="JX4" s="6014"/>
      <c r="JY4" s="6014"/>
      <c r="JZ4" s="6014"/>
      <c r="KA4" s="6014"/>
      <c r="KB4" s="6014"/>
      <c r="KC4" s="6014"/>
      <c r="KD4" s="6014"/>
      <c r="KE4" s="6014"/>
      <c r="KF4" s="6014"/>
      <c r="KG4" s="6014"/>
      <c r="KH4" s="6014"/>
      <c r="KI4" s="6014"/>
      <c r="KJ4" s="6014"/>
      <c r="KK4" s="6014"/>
      <c r="KL4" s="6014"/>
      <c r="KM4" s="6014"/>
      <c r="KN4" s="6014"/>
      <c r="KO4" s="6014"/>
      <c r="KP4" s="6014"/>
      <c r="KQ4" s="6014"/>
      <c r="KR4" s="6014"/>
      <c r="KS4" s="6014"/>
      <c r="KT4" s="6014"/>
      <c r="KU4" s="6014"/>
      <c r="KV4" s="6014"/>
      <c r="KW4" s="6014"/>
      <c r="KX4" s="6014"/>
      <c r="KY4" s="6014"/>
      <c r="KZ4" s="6014"/>
      <c r="LA4" s="6014"/>
      <c r="LB4" s="6014"/>
      <c r="LF4" s="6014"/>
      <c r="LG4" s="6014"/>
      <c r="LH4" s="6014"/>
      <c r="LI4" s="6014"/>
      <c r="LJ4" s="6014"/>
      <c r="LK4" s="6014"/>
      <c r="LL4" s="6014"/>
      <c r="LM4" s="6014"/>
      <c r="LN4" s="6014"/>
      <c r="LO4" s="6014"/>
      <c r="LP4" s="6014"/>
      <c r="LQ4" s="6014"/>
      <c r="LR4" s="6014"/>
      <c r="LS4" s="6014"/>
      <c r="LT4" s="6014"/>
      <c r="LU4" s="6014"/>
      <c r="LV4" s="6014"/>
      <c r="LW4" s="6014"/>
      <c r="LX4" s="6014"/>
      <c r="LY4" s="6014"/>
      <c r="LZ4" s="6014"/>
      <c r="MA4" s="6014"/>
      <c r="MB4" s="6014"/>
      <c r="MC4" s="6014"/>
      <c r="MD4" s="6014"/>
      <c r="ME4" s="6014"/>
      <c r="MF4" s="6014"/>
      <c r="MG4" s="6014"/>
      <c r="MH4" s="6014"/>
      <c r="MI4" s="6014"/>
      <c r="MJ4" s="6014"/>
      <c r="MK4" s="6014"/>
      <c r="ML4" s="6014"/>
      <c r="MM4" s="6014"/>
      <c r="MN4" s="6014"/>
      <c r="MO4" s="6014"/>
      <c r="MP4" s="6014"/>
      <c r="MQ4" s="6014"/>
      <c r="MR4" s="6014"/>
      <c r="MS4" s="6014"/>
      <c r="MT4" s="6014"/>
      <c r="MU4" s="6014"/>
      <c r="MY4" s="6014"/>
      <c r="MZ4" s="6014"/>
      <c r="NA4" s="6014"/>
      <c r="NB4" s="6014"/>
      <c r="NC4" s="6014"/>
      <c r="ND4" s="6014"/>
      <c r="NE4" s="6014"/>
      <c r="NF4" s="6014"/>
      <c r="NG4" s="6014"/>
      <c r="NH4" s="6014"/>
      <c r="NI4" s="6014"/>
      <c r="NJ4" s="6014"/>
      <c r="NK4" s="6014"/>
      <c r="NL4" s="6014"/>
      <c r="NM4" s="6014"/>
      <c r="NN4" s="6014"/>
      <c r="NO4" s="6014"/>
      <c r="NP4" s="6014"/>
      <c r="NQ4" s="6014"/>
      <c r="NR4" s="6014"/>
      <c r="NS4" s="6014"/>
      <c r="NT4" s="6014"/>
      <c r="NU4" s="6014"/>
      <c r="NV4" s="6014"/>
      <c r="NW4" s="6014"/>
      <c r="NX4" s="6014"/>
      <c r="NY4" s="6014"/>
      <c r="NZ4" s="6014"/>
      <c r="OA4" s="6014"/>
      <c r="OB4" s="6014"/>
      <c r="OC4" s="6014"/>
      <c r="OD4" s="6014"/>
      <c r="OE4" s="6014"/>
      <c r="OF4" s="6014"/>
      <c r="OG4" s="6014"/>
      <c r="OH4" s="6014"/>
      <c r="OI4" s="6014"/>
      <c r="OJ4" s="6014"/>
      <c r="OK4" s="6014"/>
      <c r="OL4" s="6014"/>
      <c r="OM4" s="6014"/>
      <c r="ON4" s="6014"/>
    </row>
    <row r="5" spans="3:405" ht="9.9499999999999993" customHeight="1" thickBot="1" x14ac:dyDescent="0.25"/>
    <row r="6" spans="3:405" ht="9.9499999999999993" customHeight="1" thickBot="1" x14ac:dyDescent="0.25">
      <c r="C6" s="6015"/>
      <c r="D6" s="6016"/>
      <c r="E6" s="6016"/>
      <c r="F6" s="6016"/>
      <c r="G6" s="6016"/>
      <c r="H6" s="6016"/>
      <c r="I6" s="6016"/>
      <c r="J6" s="6016"/>
      <c r="K6" s="6016"/>
      <c r="L6" s="6016"/>
      <c r="M6" s="6016"/>
      <c r="N6" s="6016"/>
      <c r="O6" s="6016"/>
      <c r="P6" s="6016"/>
      <c r="Q6" s="6016"/>
      <c r="R6" s="6016"/>
      <c r="S6" s="6016"/>
      <c r="T6" s="6016"/>
      <c r="U6" s="6016"/>
      <c r="V6" s="6016"/>
      <c r="W6" s="6016"/>
      <c r="X6" s="6016"/>
      <c r="Y6" s="6016"/>
      <c r="Z6" s="6016"/>
      <c r="AA6" s="6016"/>
      <c r="AB6" s="6016"/>
      <c r="AC6" s="6016"/>
      <c r="AD6" s="6016"/>
      <c r="AE6" s="6016"/>
      <c r="AF6" s="6016"/>
      <c r="AG6" s="6016"/>
      <c r="AH6" s="6016"/>
      <c r="AI6" s="6016"/>
      <c r="AJ6" s="6016"/>
      <c r="AK6" s="6016"/>
      <c r="AL6" s="6016"/>
      <c r="AM6" s="6016"/>
      <c r="AN6" s="6016"/>
      <c r="AO6" s="6016"/>
      <c r="AP6" s="6016"/>
      <c r="AQ6" s="6016"/>
      <c r="AR6" s="6017"/>
      <c r="AV6" s="6015"/>
      <c r="AW6" s="6016"/>
      <c r="AX6" s="6016"/>
      <c r="AY6" s="6016"/>
      <c r="AZ6" s="6016"/>
      <c r="BA6" s="6016"/>
      <c r="BB6" s="6016"/>
      <c r="BC6" s="6016"/>
      <c r="BD6" s="6016"/>
      <c r="BE6" s="6016"/>
      <c r="BF6" s="6016"/>
      <c r="BG6" s="6016"/>
      <c r="BH6" s="6016"/>
      <c r="BI6" s="6016"/>
      <c r="BJ6" s="6016"/>
      <c r="BK6" s="6016"/>
      <c r="BL6" s="6016"/>
      <c r="BM6" s="6016"/>
      <c r="BN6" s="6016"/>
      <c r="BO6" s="6016"/>
      <c r="BP6" s="6016"/>
      <c r="BQ6" s="6016"/>
      <c r="BR6" s="6016"/>
      <c r="BS6" s="6016"/>
      <c r="BT6" s="6016"/>
      <c r="BU6" s="6016"/>
      <c r="BV6" s="6016"/>
      <c r="BW6" s="6016"/>
      <c r="BX6" s="6016"/>
      <c r="BY6" s="6016"/>
      <c r="BZ6" s="6016"/>
      <c r="CA6" s="6016"/>
      <c r="CB6" s="6016"/>
      <c r="CC6" s="6016"/>
      <c r="CD6" s="6016"/>
      <c r="CE6" s="6016"/>
      <c r="CF6" s="6016"/>
      <c r="CG6" s="6016"/>
      <c r="CH6" s="6016"/>
      <c r="CI6" s="6016"/>
      <c r="CJ6" s="6016"/>
      <c r="CK6" s="6017"/>
      <c r="CO6" s="6015"/>
      <c r="CP6" s="6016"/>
      <c r="CQ6" s="6016"/>
      <c r="CR6" s="6016"/>
      <c r="CS6" s="6016"/>
      <c r="CT6" s="6016"/>
      <c r="CU6" s="6016"/>
      <c r="CV6" s="6016"/>
      <c r="CW6" s="6016"/>
      <c r="CX6" s="6016"/>
      <c r="CY6" s="6016"/>
      <c r="CZ6" s="6016"/>
      <c r="DA6" s="6016"/>
      <c r="DB6" s="6016"/>
      <c r="DC6" s="6016"/>
      <c r="DD6" s="6016"/>
      <c r="DE6" s="6016"/>
      <c r="DF6" s="6016"/>
      <c r="DG6" s="6016"/>
      <c r="DH6" s="6016"/>
      <c r="DI6" s="6016"/>
      <c r="DJ6" s="6016"/>
      <c r="DK6" s="6016"/>
      <c r="DL6" s="6016"/>
      <c r="DM6" s="6016"/>
      <c r="DN6" s="6016"/>
      <c r="DO6" s="6016"/>
      <c r="DP6" s="6016"/>
      <c r="DQ6" s="6016"/>
      <c r="DR6" s="6016"/>
      <c r="DS6" s="6016"/>
      <c r="DT6" s="6016"/>
      <c r="DU6" s="6016"/>
      <c r="DV6" s="6016"/>
      <c r="DW6" s="6016"/>
      <c r="DX6" s="6016"/>
      <c r="DY6" s="6016"/>
      <c r="DZ6" s="6016"/>
      <c r="EA6" s="6016"/>
      <c r="EB6" s="6016"/>
      <c r="EC6" s="6016"/>
      <c r="ED6" s="6017"/>
      <c r="EH6" s="6015"/>
      <c r="EI6" s="6016"/>
      <c r="EJ6" s="6016"/>
      <c r="EK6" s="6016"/>
      <c r="EL6" s="6016"/>
      <c r="EM6" s="6016"/>
      <c r="EN6" s="6016"/>
      <c r="EO6" s="6016"/>
      <c r="EP6" s="6016"/>
      <c r="EQ6" s="6016"/>
      <c r="ER6" s="6016"/>
      <c r="ES6" s="6016"/>
      <c r="ET6" s="6016"/>
      <c r="EU6" s="6016"/>
      <c r="EV6" s="6016"/>
      <c r="EW6" s="6016"/>
      <c r="EX6" s="6016"/>
      <c r="EY6" s="6016"/>
      <c r="EZ6" s="6016"/>
      <c r="FA6" s="6016"/>
      <c r="FB6" s="6016"/>
      <c r="FC6" s="6016"/>
      <c r="FD6" s="6016"/>
      <c r="FE6" s="6016"/>
      <c r="FF6" s="6016"/>
      <c r="FG6" s="6016"/>
      <c r="FH6" s="6016"/>
      <c r="FI6" s="6016"/>
      <c r="FJ6" s="6016"/>
      <c r="FK6" s="6016"/>
      <c r="FL6" s="6016"/>
      <c r="FM6" s="6016"/>
      <c r="FN6" s="6016"/>
      <c r="FO6" s="6016"/>
      <c r="FP6" s="6016"/>
      <c r="FQ6" s="6016"/>
      <c r="FR6" s="6016"/>
      <c r="FS6" s="6016"/>
      <c r="FT6" s="6016"/>
      <c r="FU6" s="6016"/>
      <c r="FV6" s="6016"/>
      <c r="FW6" s="6017"/>
      <c r="GA6" s="6015"/>
      <c r="GB6" s="6016"/>
      <c r="GC6" s="6016"/>
      <c r="GD6" s="6016"/>
      <c r="GE6" s="6016"/>
      <c r="GF6" s="6016"/>
      <c r="GG6" s="6016"/>
      <c r="GH6" s="6016"/>
      <c r="GI6" s="6016"/>
      <c r="GJ6" s="6016"/>
      <c r="GK6" s="6016"/>
      <c r="GL6" s="6016"/>
      <c r="GM6" s="6016"/>
      <c r="GN6" s="6016"/>
      <c r="GO6" s="6016"/>
      <c r="GP6" s="6016"/>
      <c r="GQ6" s="6016"/>
      <c r="GR6" s="6016"/>
      <c r="GS6" s="6016"/>
      <c r="GT6" s="6016"/>
      <c r="GU6" s="6016"/>
      <c r="GV6" s="6016"/>
      <c r="GW6" s="6016"/>
      <c r="GX6" s="6016"/>
      <c r="GY6" s="6016"/>
      <c r="GZ6" s="6016"/>
      <c r="HA6" s="6016"/>
      <c r="HB6" s="6016"/>
      <c r="HC6" s="6016"/>
      <c r="HD6" s="6016"/>
      <c r="HE6" s="6016"/>
      <c r="HF6" s="6016"/>
      <c r="HG6" s="6016"/>
      <c r="HH6" s="6016"/>
      <c r="HI6" s="6016"/>
      <c r="HJ6" s="6016"/>
      <c r="HK6" s="6016"/>
      <c r="HL6" s="6016"/>
      <c r="HM6" s="6016"/>
      <c r="HN6" s="6016"/>
      <c r="HO6" s="6016"/>
      <c r="HP6" s="6017"/>
      <c r="HT6" s="6015"/>
      <c r="HU6" s="6016"/>
      <c r="HV6" s="6016"/>
      <c r="HW6" s="6016"/>
      <c r="HX6" s="6016"/>
      <c r="HY6" s="6016"/>
      <c r="HZ6" s="6016"/>
      <c r="IA6" s="6016"/>
      <c r="IB6" s="6016"/>
      <c r="IC6" s="6016"/>
      <c r="ID6" s="6016"/>
      <c r="IE6" s="6016"/>
      <c r="IF6" s="6016"/>
      <c r="IG6" s="6016"/>
      <c r="IH6" s="6016"/>
      <c r="II6" s="6016"/>
      <c r="IJ6" s="6016"/>
      <c r="IK6" s="6016"/>
      <c r="IL6" s="6016"/>
      <c r="IM6" s="6016"/>
      <c r="IN6" s="6016"/>
      <c r="IO6" s="6016"/>
      <c r="IP6" s="6016"/>
      <c r="IQ6" s="6016"/>
      <c r="IR6" s="6016"/>
      <c r="IS6" s="6016"/>
      <c r="IT6" s="6016"/>
      <c r="IU6" s="6016"/>
      <c r="IV6" s="6016"/>
      <c r="IW6" s="6016"/>
      <c r="IX6" s="6016"/>
      <c r="IY6" s="6016"/>
      <c r="IZ6" s="6016"/>
      <c r="JA6" s="6016"/>
      <c r="JB6" s="6016"/>
      <c r="JC6" s="6016"/>
      <c r="JD6" s="6016"/>
      <c r="JE6" s="6016"/>
      <c r="JF6" s="6016"/>
      <c r="JG6" s="6016"/>
      <c r="JH6" s="6016"/>
      <c r="JI6" s="6017"/>
      <c r="JM6" s="6015"/>
      <c r="JN6" s="6016"/>
      <c r="JO6" s="6016"/>
      <c r="JP6" s="6016"/>
      <c r="JQ6" s="6016"/>
      <c r="JR6" s="6016"/>
      <c r="JS6" s="6016"/>
      <c r="JT6" s="6016"/>
      <c r="JU6" s="6016"/>
      <c r="JV6" s="6016"/>
      <c r="JW6" s="6016"/>
      <c r="JX6" s="6016"/>
      <c r="JY6" s="6016"/>
      <c r="JZ6" s="6016"/>
      <c r="KA6" s="6016"/>
      <c r="KB6" s="6016"/>
      <c r="KC6" s="6016"/>
      <c r="KD6" s="6016"/>
      <c r="KE6" s="6016"/>
      <c r="KF6" s="6016"/>
      <c r="KG6" s="6016"/>
      <c r="KH6" s="6016"/>
      <c r="KI6" s="6016"/>
      <c r="KJ6" s="6016"/>
      <c r="KK6" s="6016"/>
      <c r="KL6" s="6016"/>
      <c r="KM6" s="6016"/>
      <c r="KN6" s="6016"/>
      <c r="KO6" s="6016"/>
      <c r="KP6" s="6016"/>
      <c r="KQ6" s="6016"/>
      <c r="KR6" s="6016"/>
      <c r="KS6" s="6016"/>
      <c r="KT6" s="6016"/>
      <c r="KU6" s="6016"/>
      <c r="KV6" s="6016"/>
      <c r="KW6" s="6016"/>
      <c r="KX6" s="6016"/>
      <c r="KY6" s="6016"/>
      <c r="KZ6" s="6016"/>
      <c r="LA6" s="6016"/>
      <c r="LB6" s="6017"/>
      <c r="LC6" s="7"/>
      <c r="LF6" s="6015"/>
      <c r="LG6" s="6016"/>
      <c r="LH6" s="6016"/>
      <c r="LI6" s="6016"/>
      <c r="LJ6" s="6016"/>
      <c r="LK6" s="6016"/>
      <c r="LL6" s="6016"/>
      <c r="LM6" s="6016"/>
      <c r="LN6" s="6016"/>
      <c r="LO6" s="6016"/>
      <c r="LP6" s="6016"/>
      <c r="LQ6" s="6016"/>
      <c r="LR6" s="6016"/>
      <c r="LS6" s="6016"/>
      <c r="LT6" s="6016"/>
      <c r="LU6" s="6016"/>
      <c r="LV6" s="6016"/>
      <c r="LW6" s="6016"/>
      <c r="LX6" s="6016"/>
      <c r="LY6" s="6016"/>
      <c r="LZ6" s="6016"/>
      <c r="MA6" s="6016"/>
      <c r="MB6" s="6016"/>
      <c r="MC6" s="6016"/>
      <c r="MD6" s="6016"/>
      <c r="ME6" s="6016"/>
      <c r="MF6" s="6016"/>
      <c r="MG6" s="6016"/>
      <c r="MH6" s="6016"/>
      <c r="MI6" s="6016"/>
      <c r="MJ6" s="6016"/>
      <c r="MK6" s="6016"/>
      <c r="ML6" s="6016"/>
      <c r="MM6" s="6016"/>
      <c r="MN6" s="6016"/>
      <c r="MO6" s="6016"/>
      <c r="MP6" s="6016"/>
      <c r="MQ6" s="6016"/>
      <c r="MR6" s="6016"/>
      <c r="MS6" s="6016"/>
      <c r="MT6" s="6016"/>
      <c r="MU6" s="6017"/>
      <c r="MV6" s="7"/>
      <c r="MY6" s="6015"/>
      <c r="MZ6" s="6016"/>
      <c r="NA6" s="6016"/>
      <c r="NB6" s="6016"/>
      <c r="NC6" s="6016"/>
      <c r="ND6" s="6016"/>
      <c r="NE6" s="6016"/>
      <c r="NF6" s="6016"/>
      <c r="NG6" s="6016"/>
      <c r="NH6" s="6016"/>
      <c r="NI6" s="6016"/>
      <c r="NJ6" s="6016"/>
      <c r="NK6" s="6016"/>
      <c r="NL6" s="6016"/>
      <c r="NM6" s="6016"/>
      <c r="NN6" s="6016"/>
      <c r="NO6" s="6016"/>
      <c r="NP6" s="6016"/>
      <c r="NQ6" s="6016"/>
      <c r="NR6" s="6016"/>
      <c r="NS6" s="6016"/>
      <c r="NT6" s="6016"/>
      <c r="NU6" s="6016"/>
      <c r="NV6" s="6016"/>
      <c r="NW6" s="6016"/>
      <c r="NX6" s="6016"/>
      <c r="NY6" s="6016"/>
      <c r="NZ6" s="6016"/>
      <c r="OA6" s="6016"/>
      <c r="OB6" s="6016"/>
      <c r="OC6" s="6016"/>
      <c r="OD6" s="6016"/>
      <c r="OE6" s="6016"/>
      <c r="OF6" s="6016"/>
      <c r="OG6" s="6016"/>
      <c r="OH6" s="6016"/>
      <c r="OI6" s="6016"/>
      <c r="OJ6" s="6016"/>
      <c r="OK6" s="6016"/>
      <c r="OL6" s="6016"/>
      <c r="OM6" s="6016"/>
      <c r="ON6" s="6017"/>
      <c r="OO6" s="7"/>
    </row>
    <row r="7" spans="3:405" s="6027" customFormat="1" ht="15" customHeight="1" thickBot="1" x14ac:dyDescent="0.25">
      <c r="C7" s="6018"/>
      <c r="D7" s="6019"/>
      <c r="E7" s="6779" t="str">
        <f>_Calcs!$II$94</f>
        <v/>
      </c>
      <c r="F7" s="6779"/>
      <c r="G7" s="6779"/>
      <c r="H7" s="6779"/>
      <c r="I7" s="6779"/>
      <c r="J7" s="6779"/>
      <c r="K7" s="6779"/>
      <c r="L7" s="6779"/>
      <c r="M7" s="6779"/>
      <c r="N7" s="6779"/>
      <c r="O7" s="6779"/>
      <c r="P7" s="6779"/>
      <c r="Q7" s="6779"/>
      <c r="R7" s="6779"/>
      <c r="S7" s="6779"/>
      <c r="T7" s="6779"/>
      <c r="U7" s="6779"/>
      <c r="V7" s="6779"/>
      <c r="W7" s="6779"/>
      <c r="X7" s="6779"/>
      <c r="Y7" s="6779"/>
      <c r="Z7" s="6779"/>
      <c r="AA7" s="6779"/>
      <c r="AB7" s="6779"/>
      <c r="AC7" s="6779"/>
      <c r="AD7" s="6779"/>
      <c r="AE7" s="6779"/>
      <c r="AF7" s="6779"/>
      <c r="AG7" s="6779"/>
      <c r="AH7" s="6779"/>
      <c r="AI7" s="6779"/>
      <c r="AJ7" s="6020"/>
      <c r="AK7" s="6021"/>
      <c r="AL7" s="6022"/>
      <c r="AM7" s="6023" t="str">
        <f>_Calcs!$IK$113</f>
        <v>Side 1 av 9</v>
      </c>
      <c r="AN7" s="6024"/>
      <c r="AO7" s="6024"/>
      <c r="AP7" s="6024"/>
      <c r="AQ7" s="6025"/>
      <c r="AR7" s="6026"/>
      <c r="AV7" s="6018"/>
      <c r="AW7" s="6019"/>
      <c r="AX7" s="6779" t="str">
        <f>_Calcs!$II$94</f>
        <v/>
      </c>
      <c r="AY7" s="6779"/>
      <c r="AZ7" s="6779"/>
      <c r="BA7" s="6779"/>
      <c r="BB7" s="6779"/>
      <c r="BC7" s="6779"/>
      <c r="BD7" s="6779"/>
      <c r="BE7" s="6779"/>
      <c r="BF7" s="6779"/>
      <c r="BG7" s="6779"/>
      <c r="BH7" s="6779"/>
      <c r="BI7" s="6779"/>
      <c r="BJ7" s="6779"/>
      <c r="BK7" s="6779"/>
      <c r="BL7" s="6779"/>
      <c r="BM7" s="6779"/>
      <c r="BN7" s="6779"/>
      <c r="BO7" s="6779"/>
      <c r="BP7" s="6779"/>
      <c r="BQ7" s="6779"/>
      <c r="BR7" s="6779"/>
      <c r="BS7" s="6779"/>
      <c r="BT7" s="6779"/>
      <c r="BU7" s="6779"/>
      <c r="BV7" s="6779"/>
      <c r="BW7" s="6779"/>
      <c r="BX7" s="6779"/>
      <c r="BY7" s="6779"/>
      <c r="BZ7" s="6779"/>
      <c r="CA7" s="6779"/>
      <c r="CB7" s="6779"/>
      <c r="CC7" s="6020"/>
      <c r="CD7" s="6021"/>
      <c r="CE7" s="6022"/>
      <c r="CF7" s="6023" t="str">
        <f>_Calcs!$IL$113</f>
        <v>Side 1 av 9</v>
      </c>
      <c r="CG7" s="6024"/>
      <c r="CH7" s="6024"/>
      <c r="CI7" s="6024"/>
      <c r="CJ7" s="6025"/>
      <c r="CK7" s="6026"/>
      <c r="CO7" s="6018"/>
      <c r="CP7" s="6019"/>
      <c r="CQ7" s="6779" t="str">
        <f>_Calcs!$II$94</f>
        <v/>
      </c>
      <c r="CR7" s="6779"/>
      <c r="CS7" s="6779"/>
      <c r="CT7" s="6779"/>
      <c r="CU7" s="6779"/>
      <c r="CV7" s="6779"/>
      <c r="CW7" s="6779"/>
      <c r="CX7" s="6779"/>
      <c r="CY7" s="6779"/>
      <c r="CZ7" s="6779"/>
      <c r="DA7" s="6779"/>
      <c r="DB7" s="6779"/>
      <c r="DC7" s="6779"/>
      <c r="DD7" s="6779"/>
      <c r="DE7" s="6779"/>
      <c r="DF7" s="6779"/>
      <c r="DG7" s="6779"/>
      <c r="DH7" s="6779"/>
      <c r="DI7" s="6779"/>
      <c r="DJ7" s="6779"/>
      <c r="DK7" s="6779"/>
      <c r="DL7" s="6779"/>
      <c r="DM7" s="6779"/>
      <c r="DN7" s="6779"/>
      <c r="DO7" s="6779"/>
      <c r="DP7" s="6779"/>
      <c r="DQ7" s="6779"/>
      <c r="DR7" s="6779"/>
      <c r="DS7" s="6779"/>
      <c r="DT7" s="6779"/>
      <c r="DU7" s="6779"/>
      <c r="DV7" s="6020"/>
      <c r="DW7" s="6021"/>
      <c r="DX7" s="6022"/>
      <c r="DY7" s="6023" t="str">
        <f>_Calcs!$IM$113</f>
        <v>Side 1 av 9</v>
      </c>
      <c r="DZ7" s="6024"/>
      <c r="EA7" s="6024"/>
      <c r="EB7" s="6024"/>
      <c r="EC7" s="6025"/>
      <c r="ED7" s="6026"/>
      <c r="EH7" s="6018"/>
      <c r="EI7" s="6019"/>
      <c r="EJ7" s="6779" t="str">
        <f>_Calcs!$II$94</f>
        <v/>
      </c>
      <c r="EK7" s="6779"/>
      <c r="EL7" s="6779"/>
      <c r="EM7" s="6779"/>
      <c r="EN7" s="6779"/>
      <c r="EO7" s="6779"/>
      <c r="EP7" s="6779"/>
      <c r="EQ7" s="6779"/>
      <c r="ER7" s="6779"/>
      <c r="ES7" s="6779"/>
      <c r="ET7" s="6779"/>
      <c r="EU7" s="6779"/>
      <c r="EV7" s="6779"/>
      <c r="EW7" s="6779"/>
      <c r="EX7" s="6779"/>
      <c r="EY7" s="6779"/>
      <c r="EZ7" s="6779"/>
      <c r="FA7" s="6779"/>
      <c r="FB7" s="6779"/>
      <c r="FC7" s="6779"/>
      <c r="FD7" s="6779"/>
      <c r="FE7" s="6779"/>
      <c r="FF7" s="6779"/>
      <c r="FG7" s="6779"/>
      <c r="FH7" s="6779"/>
      <c r="FI7" s="6779"/>
      <c r="FJ7" s="6779"/>
      <c r="FK7" s="6779"/>
      <c r="FL7" s="6779"/>
      <c r="FM7" s="6779"/>
      <c r="FN7" s="6779"/>
      <c r="FO7" s="6020"/>
      <c r="FP7" s="6021"/>
      <c r="FQ7" s="6022"/>
      <c r="FR7" s="6023" t="str">
        <f>_Calcs!$IN$113</f>
        <v>Side 1 av 9</v>
      </c>
      <c r="FS7" s="6024"/>
      <c r="FT7" s="6024"/>
      <c r="FU7" s="6024"/>
      <c r="FV7" s="6025"/>
      <c r="FW7" s="6026"/>
      <c r="GA7" s="6018"/>
      <c r="GB7" s="6019"/>
      <c r="GC7" s="6779" t="str">
        <f>_Calcs!$II$94</f>
        <v/>
      </c>
      <c r="GD7" s="6779"/>
      <c r="GE7" s="6779"/>
      <c r="GF7" s="6779"/>
      <c r="GG7" s="6779"/>
      <c r="GH7" s="6779"/>
      <c r="GI7" s="6779"/>
      <c r="GJ7" s="6779"/>
      <c r="GK7" s="6779"/>
      <c r="GL7" s="6779"/>
      <c r="GM7" s="6779"/>
      <c r="GN7" s="6779"/>
      <c r="GO7" s="6779"/>
      <c r="GP7" s="6779"/>
      <c r="GQ7" s="6779"/>
      <c r="GR7" s="6779"/>
      <c r="GS7" s="6779"/>
      <c r="GT7" s="6779"/>
      <c r="GU7" s="6779"/>
      <c r="GV7" s="6779"/>
      <c r="GW7" s="6779"/>
      <c r="GX7" s="6779"/>
      <c r="GY7" s="6779"/>
      <c r="GZ7" s="6779"/>
      <c r="HA7" s="6779"/>
      <c r="HB7" s="6779"/>
      <c r="HC7" s="6779"/>
      <c r="HD7" s="6779"/>
      <c r="HE7" s="6779"/>
      <c r="HF7" s="6779"/>
      <c r="HG7" s="6779"/>
      <c r="HH7" s="6020"/>
      <c r="HI7" s="6021"/>
      <c r="HJ7" s="6022"/>
      <c r="HK7" s="6023" t="str">
        <f>_Calcs!$IO$113</f>
        <v>Side 1 av 9</v>
      </c>
      <c r="HL7" s="6024"/>
      <c r="HM7" s="6024"/>
      <c r="HN7" s="6024"/>
      <c r="HO7" s="6025"/>
      <c r="HP7" s="6026"/>
      <c r="HT7" s="6018"/>
      <c r="HU7" s="6019"/>
      <c r="HV7" s="6779" t="str">
        <f>_Calcs!$II$94</f>
        <v/>
      </c>
      <c r="HW7" s="6779"/>
      <c r="HX7" s="6779"/>
      <c r="HY7" s="6779"/>
      <c r="HZ7" s="6779"/>
      <c r="IA7" s="6779"/>
      <c r="IB7" s="6779"/>
      <c r="IC7" s="6779"/>
      <c r="ID7" s="6779"/>
      <c r="IE7" s="6779"/>
      <c r="IF7" s="6779"/>
      <c r="IG7" s="6779"/>
      <c r="IH7" s="6779"/>
      <c r="II7" s="6779"/>
      <c r="IJ7" s="6779"/>
      <c r="IK7" s="6779"/>
      <c r="IL7" s="6779"/>
      <c r="IM7" s="6779"/>
      <c r="IN7" s="6779"/>
      <c r="IO7" s="6779"/>
      <c r="IP7" s="6779"/>
      <c r="IQ7" s="6779"/>
      <c r="IR7" s="6779"/>
      <c r="IS7" s="6779"/>
      <c r="IT7" s="6779"/>
      <c r="IU7" s="6779"/>
      <c r="IV7" s="6779"/>
      <c r="IW7" s="6779"/>
      <c r="IX7" s="6779"/>
      <c r="IY7" s="6779"/>
      <c r="IZ7" s="6779"/>
      <c r="JA7" s="6020"/>
      <c r="JB7" s="6021"/>
      <c r="JC7" s="6022"/>
      <c r="JD7" s="6023" t="str">
        <f>_Calcs!$IP$113</f>
        <v>Side 1 av 9</v>
      </c>
      <c r="JE7" s="6024"/>
      <c r="JF7" s="6024"/>
      <c r="JG7" s="6024"/>
      <c r="JH7" s="6025"/>
      <c r="JI7" s="6026"/>
      <c r="JM7" s="6018"/>
      <c r="JN7" s="6019"/>
      <c r="JO7" s="6779" t="str">
        <f>_Calcs!$II$94</f>
        <v/>
      </c>
      <c r="JP7" s="6779"/>
      <c r="JQ7" s="6779"/>
      <c r="JR7" s="6779"/>
      <c r="JS7" s="6779"/>
      <c r="JT7" s="6779"/>
      <c r="JU7" s="6779"/>
      <c r="JV7" s="6779"/>
      <c r="JW7" s="6779"/>
      <c r="JX7" s="6779"/>
      <c r="JY7" s="6779"/>
      <c r="JZ7" s="6779"/>
      <c r="KA7" s="6779"/>
      <c r="KB7" s="6779"/>
      <c r="KC7" s="6779"/>
      <c r="KD7" s="6779"/>
      <c r="KE7" s="6779"/>
      <c r="KF7" s="6779"/>
      <c r="KG7" s="6779"/>
      <c r="KH7" s="6779"/>
      <c r="KI7" s="6779"/>
      <c r="KJ7" s="6779"/>
      <c r="KK7" s="6779"/>
      <c r="KL7" s="6779"/>
      <c r="KM7" s="6779"/>
      <c r="KN7" s="6779"/>
      <c r="KO7" s="6779"/>
      <c r="KP7" s="6779"/>
      <c r="KQ7" s="6779"/>
      <c r="KR7" s="6779"/>
      <c r="KS7" s="6779"/>
      <c r="KT7" s="6020"/>
      <c r="KU7" s="6021"/>
      <c r="KV7" s="6022"/>
      <c r="KW7" s="6023" t="str">
        <f>_Calcs!$IQ$113</f>
        <v>Side 1 av 9</v>
      </c>
      <c r="KX7" s="6024"/>
      <c r="KY7" s="6024"/>
      <c r="KZ7" s="6024"/>
      <c r="LA7" s="6025"/>
      <c r="LB7" s="6026"/>
      <c r="LC7" s="7"/>
      <c r="LF7" s="6018"/>
      <c r="LG7" s="6019"/>
      <c r="LH7" s="6779" t="str">
        <f>_Calcs!$II$94</f>
        <v/>
      </c>
      <c r="LI7" s="6779"/>
      <c r="LJ7" s="6779"/>
      <c r="LK7" s="6779"/>
      <c r="LL7" s="6779"/>
      <c r="LM7" s="6779"/>
      <c r="LN7" s="6779"/>
      <c r="LO7" s="6779"/>
      <c r="LP7" s="6779"/>
      <c r="LQ7" s="6779"/>
      <c r="LR7" s="6779"/>
      <c r="LS7" s="6779"/>
      <c r="LT7" s="6779"/>
      <c r="LU7" s="6779"/>
      <c r="LV7" s="6779"/>
      <c r="LW7" s="6779"/>
      <c r="LX7" s="6779"/>
      <c r="LY7" s="6779"/>
      <c r="LZ7" s="6779"/>
      <c r="MA7" s="6779"/>
      <c r="MB7" s="6779"/>
      <c r="MC7" s="6779"/>
      <c r="MD7" s="6779"/>
      <c r="ME7" s="6779"/>
      <c r="MF7" s="6779"/>
      <c r="MG7" s="6779"/>
      <c r="MH7" s="6779"/>
      <c r="MI7" s="6779"/>
      <c r="MJ7" s="6779"/>
      <c r="MK7" s="6779"/>
      <c r="ML7" s="6779"/>
      <c r="MM7" s="6020"/>
      <c r="MN7" s="6021"/>
      <c r="MO7" s="6022"/>
      <c r="MP7" s="6023" t="str">
        <f>_Calcs!$IR$113</f>
        <v>Side 1 av 9</v>
      </c>
      <c r="MQ7" s="6024"/>
      <c r="MR7" s="6024"/>
      <c r="MS7" s="6024"/>
      <c r="MT7" s="6025"/>
      <c r="MU7" s="6026"/>
      <c r="MV7" s="7"/>
      <c r="MY7" s="6018"/>
      <c r="MZ7" s="6019"/>
      <c r="NA7" s="6779" t="str">
        <f>_Calcs!$II$94</f>
        <v/>
      </c>
      <c r="NB7" s="6779"/>
      <c r="NC7" s="6779"/>
      <c r="ND7" s="6779"/>
      <c r="NE7" s="6779"/>
      <c r="NF7" s="6779"/>
      <c r="NG7" s="6779"/>
      <c r="NH7" s="6779"/>
      <c r="NI7" s="6779"/>
      <c r="NJ7" s="6779"/>
      <c r="NK7" s="6779"/>
      <c r="NL7" s="6779"/>
      <c r="NM7" s="6779"/>
      <c r="NN7" s="6779"/>
      <c r="NO7" s="6779"/>
      <c r="NP7" s="6779"/>
      <c r="NQ7" s="6779"/>
      <c r="NR7" s="6779"/>
      <c r="NS7" s="6779"/>
      <c r="NT7" s="6779"/>
      <c r="NU7" s="6779"/>
      <c r="NV7" s="6779"/>
      <c r="NW7" s="6779"/>
      <c r="NX7" s="6779"/>
      <c r="NY7" s="6779"/>
      <c r="NZ7" s="6779"/>
      <c r="OA7" s="6779"/>
      <c r="OB7" s="6779"/>
      <c r="OC7" s="6779"/>
      <c r="OD7" s="6779"/>
      <c r="OE7" s="6779"/>
      <c r="OF7" s="6020"/>
      <c r="OG7" s="6021"/>
      <c r="OH7" s="6022"/>
      <c r="OI7" s="6023" t="str">
        <f>_Calcs!$IS$113</f>
        <v>Side 1 av 9</v>
      </c>
      <c r="OJ7" s="6024"/>
      <c r="OK7" s="6024"/>
      <c r="OL7" s="6024"/>
      <c r="OM7" s="6025"/>
      <c r="ON7" s="6026"/>
      <c r="OO7" s="7"/>
    </row>
    <row r="8" spans="3:405" ht="5.0999999999999996" customHeight="1" thickBot="1" x14ac:dyDescent="0.25">
      <c r="C8" s="6028"/>
      <c r="D8" s="979"/>
      <c r="E8" s="3489"/>
      <c r="F8" s="3489"/>
      <c r="G8" s="3489"/>
      <c r="H8" s="3489"/>
      <c r="I8" s="3489"/>
      <c r="J8" s="3489"/>
      <c r="K8" s="3489"/>
      <c r="L8" s="3489"/>
      <c r="M8" s="3489"/>
      <c r="N8" s="3489"/>
      <c r="O8" s="3489"/>
      <c r="P8" s="3489"/>
      <c r="Q8" s="3489"/>
      <c r="R8" s="3489"/>
      <c r="S8" s="3489"/>
      <c r="T8" s="3489"/>
      <c r="U8" s="3489"/>
      <c r="V8" s="3489"/>
      <c r="W8" s="3489"/>
      <c r="X8" s="3489"/>
      <c r="Y8" s="3489"/>
      <c r="Z8" s="3489"/>
      <c r="AA8" s="3489"/>
      <c r="AB8" s="3489"/>
      <c r="AC8" s="3489"/>
      <c r="AD8" s="3489"/>
      <c r="AE8" s="3489"/>
      <c r="AF8" s="3489"/>
      <c r="AG8" s="3489"/>
      <c r="AH8" s="3489"/>
      <c r="AI8" s="3489"/>
      <c r="AJ8" s="979"/>
      <c r="AK8" s="979"/>
      <c r="AL8" s="979"/>
      <c r="AM8" s="979"/>
      <c r="AN8" s="979"/>
      <c r="AO8" s="979"/>
      <c r="AP8" s="979"/>
      <c r="AQ8" s="979"/>
      <c r="AR8" s="6029"/>
      <c r="AV8" s="6028"/>
      <c r="AW8" s="979"/>
      <c r="AX8" s="3489"/>
      <c r="AY8" s="3489"/>
      <c r="AZ8" s="3489"/>
      <c r="BA8" s="3489"/>
      <c r="BB8" s="3489"/>
      <c r="BC8" s="3489"/>
      <c r="BD8" s="3489"/>
      <c r="BE8" s="3489"/>
      <c r="BF8" s="3489"/>
      <c r="BG8" s="3489"/>
      <c r="BH8" s="3489"/>
      <c r="BI8" s="3489"/>
      <c r="BJ8" s="3489"/>
      <c r="BK8" s="3489"/>
      <c r="BL8" s="3489"/>
      <c r="BM8" s="3489"/>
      <c r="BN8" s="3489"/>
      <c r="BO8" s="3489"/>
      <c r="BP8" s="3489"/>
      <c r="BQ8" s="3489"/>
      <c r="BR8" s="3489"/>
      <c r="BS8" s="3489"/>
      <c r="BT8" s="3489"/>
      <c r="BU8" s="3489"/>
      <c r="BV8" s="3489"/>
      <c r="BW8" s="3489"/>
      <c r="BX8" s="3489"/>
      <c r="BY8" s="3489"/>
      <c r="BZ8" s="3489"/>
      <c r="CA8" s="3489"/>
      <c r="CB8" s="3489"/>
      <c r="CC8" s="979"/>
      <c r="CD8" s="979"/>
      <c r="CE8" s="979"/>
      <c r="CF8" s="979"/>
      <c r="CG8" s="979"/>
      <c r="CH8" s="979"/>
      <c r="CI8" s="979"/>
      <c r="CJ8" s="979"/>
      <c r="CK8" s="6029"/>
      <c r="CO8" s="6028"/>
      <c r="CP8" s="979"/>
      <c r="CQ8" s="3489"/>
      <c r="CR8" s="3489"/>
      <c r="CS8" s="3489"/>
      <c r="CT8" s="3489"/>
      <c r="CU8" s="3489"/>
      <c r="CV8" s="3489"/>
      <c r="CW8" s="3489"/>
      <c r="CX8" s="3489"/>
      <c r="CY8" s="3489"/>
      <c r="CZ8" s="3489"/>
      <c r="DA8" s="3489"/>
      <c r="DB8" s="3489"/>
      <c r="DC8" s="3489"/>
      <c r="DD8" s="3489"/>
      <c r="DE8" s="3489"/>
      <c r="DF8" s="3489"/>
      <c r="DG8" s="3489"/>
      <c r="DH8" s="3489"/>
      <c r="DI8" s="3489"/>
      <c r="DJ8" s="3489"/>
      <c r="DK8" s="3489"/>
      <c r="DL8" s="3489"/>
      <c r="DM8" s="3489"/>
      <c r="DN8" s="3489"/>
      <c r="DO8" s="3489"/>
      <c r="DP8" s="3489"/>
      <c r="DQ8" s="3489"/>
      <c r="DR8" s="3489"/>
      <c r="DS8" s="3489"/>
      <c r="DT8" s="3489"/>
      <c r="DU8" s="3489"/>
      <c r="DV8" s="979"/>
      <c r="DW8" s="979"/>
      <c r="DX8" s="979"/>
      <c r="DY8" s="979"/>
      <c r="DZ8" s="979"/>
      <c r="EA8" s="979"/>
      <c r="EB8" s="979"/>
      <c r="EC8" s="979"/>
      <c r="ED8" s="6029"/>
      <c r="EH8" s="6028"/>
      <c r="EI8" s="979"/>
      <c r="EJ8" s="3489"/>
      <c r="EK8" s="3489"/>
      <c r="EL8" s="3489"/>
      <c r="EM8" s="3489"/>
      <c r="EN8" s="3489"/>
      <c r="EO8" s="3489"/>
      <c r="EP8" s="3489"/>
      <c r="EQ8" s="3489"/>
      <c r="ER8" s="3489"/>
      <c r="ES8" s="3489"/>
      <c r="ET8" s="3489"/>
      <c r="EU8" s="3489"/>
      <c r="EV8" s="3489"/>
      <c r="EW8" s="3489"/>
      <c r="EX8" s="3489"/>
      <c r="EY8" s="3489"/>
      <c r="EZ8" s="3489"/>
      <c r="FA8" s="3489"/>
      <c r="FB8" s="3489"/>
      <c r="FC8" s="3489"/>
      <c r="FD8" s="3489"/>
      <c r="FE8" s="3489"/>
      <c r="FF8" s="3489"/>
      <c r="FG8" s="3489"/>
      <c r="FH8" s="3489"/>
      <c r="FI8" s="3489"/>
      <c r="FJ8" s="3489"/>
      <c r="FK8" s="3489"/>
      <c r="FL8" s="3489"/>
      <c r="FM8" s="3489"/>
      <c r="FN8" s="3489"/>
      <c r="FO8" s="979"/>
      <c r="FP8" s="979"/>
      <c r="FQ8" s="979"/>
      <c r="FR8" s="979"/>
      <c r="FS8" s="979"/>
      <c r="FT8" s="979"/>
      <c r="FU8" s="979"/>
      <c r="FV8" s="979"/>
      <c r="FW8" s="6029"/>
      <c r="GA8" s="6028"/>
      <c r="GB8" s="979"/>
      <c r="GC8" s="3489"/>
      <c r="GD8" s="3489"/>
      <c r="GE8" s="3489"/>
      <c r="GF8" s="3489"/>
      <c r="GG8" s="3489"/>
      <c r="GH8" s="3489"/>
      <c r="GI8" s="3489"/>
      <c r="GJ8" s="3489"/>
      <c r="GK8" s="3489"/>
      <c r="GL8" s="3489"/>
      <c r="GM8" s="3489"/>
      <c r="GN8" s="3489"/>
      <c r="GO8" s="3489"/>
      <c r="GP8" s="3489"/>
      <c r="GQ8" s="3489"/>
      <c r="GR8" s="3489"/>
      <c r="GS8" s="3489"/>
      <c r="GT8" s="3489"/>
      <c r="GU8" s="3489"/>
      <c r="GV8" s="3489"/>
      <c r="GW8" s="3489"/>
      <c r="GX8" s="3489"/>
      <c r="GY8" s="3489"/>
      <c r="GZ8" s="3489"/>
      <c r="HA8" s="3489"/>
      <c r="HB8" s="3489"/>
      <c r="HC8" s="3489"/>
      <c r="HD8" s="3489"/>
      <c r="HE8" s="3489"/>
      <c r="HF8" s="3489"/>
      <c r="HG8" s="3489"/>
      <c r="HH8" s="979"/>
      <c r="HI8" s="979"/>
      <c r="HJ8" s="979"/>
      <c r="HK8" s="979"/>
      <c r="HL8" s="979"/>
      <c r="HM8" s="979"/>
      <c r="HN8" s="979"/>
      <c r="HO8" s="979"/>
      <c r="HP8" s="6029"/>
      <c r="HT8" s="6028"/>
      <c r="HU8" s="979"/>
      <c r="HV8" s="3489"/>
      <c r="HW8" s="3489"/>
      <c r="HX8" s="3489"/>
      <c r="HY8" s="3489"/>
      <c r="HZ8" s="3489"/>
      <c r="IA8" s="3489"/>
      <c r="IB8" s="3489"/>
      <c r="IC8" s="3489"/>
      <c r="ID8" s="3489"/>
      <c r="IE8" s="3489"/>
      <c r="IF8" s="3489"/>
      <c r="IG8" s="3489"/>
      <c r="IH8" s="3489"/>
      <c r="II8" s="3489"/>
      <c r="IJ8" s="3489"/>
      <c r="IK8" s="3489"/>
      <c r="IL8" s="3489"/>
      <c r="IM8" s="3489"/>
      <c r="IN8" s="3489"/>
      <c r="IO8" s="3489"/>
      <c r="IP8" s="3489"/>
      <c r="IQ8" s="3489"/>
      <c r="IR8" s="3489"/>
      <c r="IS8" s="3489"/>
      <c r="IT8" s="3489"/>
      <c r="IU8" s="3489"/>
      <c r="IV8" s="3489"/>
      <c r="IW8" s="3489"/>
      <c r="IX8" s="3489"/>
      <c r="IY8" s="3489"/>
      <c r="IZ8" s="3489"/>
      <c r="JA8" s="979"/>
      <c r="JB8" s="979"/>
      <c r="JC8" s="979"/>
      <c r="JD8" s="979"/>
      <c r="JE8" s="979"/>
      <c r="JF8" s="979"/>
      <c r="JG8" s="979"/>
      <c r="JH8" s="979"/>
      <c r="JI8" s="6029"/>
      <c r="JM8" s="6028"/>
      <c r="JN8" s="979"/>
      <c r="JO8" s="3489"/>
      <c r="JP8" s="3489"/>
      <c r="JQ8" s="3489"/>
      <c r="JR8" s="3489"/>
      <c r="JS8" s="3489"/>
      <c r="JT8" s="3489"/>
      <c r="JU8" s="3489"/>
      <c r="JV8" s="3489"/>
      <c r="JW8" s="3489"/>
      <c r="JX8" s="3489"/>
      <c r="JY8" s="3489"/>
      <c r="JZ8" s="3489"/>
      <c r="KA8" s="3489"/>
      <c r="KB8" s="3489"/>
      <c r="KC8" s="3489"/>
      <c r="KD8" s="3489"/>
      <c r="KE8" s="3489"/>
      <c r="KF8" s="3489"/>
      <c r="KG8" s="3489"/>
      <c r="KH8" s="3489"/>
      <c r="KI8" s="3489"/>
      <c r="KJ8" s="3489"/>
      <c r="KK8" s="3489"/>
      <c r="KL8" s="3489"/>
      <c r="KM8" s="3489"/>
      <c r="KN8" s="3489"/>
      <c r="KO8" s="3489"/>
      <c r="KP8" s="3489"/>
      <c r="KQ8" s="3489"/>
      <c r="KR8" s="3489"/>
      <c r="KS8" s="3489"/>
      <c r="KT8" s="979"/>
      <c r="KU8" s="979"/>
      <c r="KV8" s="979"/>
      <c r="KW8" s="979"/>
      <c r="KX8" s="979"/>
      <c r="KY8" s="979"/>
      <c r="KZ8" s="979"/>
      <c r="LA8" s="979"/>
      <c r="LB8" s="6029"/>
      <c r="LC8" s="7"/>
      <c r="LF8" s="6028"/>
      <c r="LG8" s="979"/>
      <c r="LH8" s="3489"/>
      <c r="LI8" s="3489"/>
      <c r="LJ8" s="3489"/>
      <c r="LK8" s="3489"/>
      <c r="LL8" s="3489"/>
      <c r="LM8" s="3489"/>
      <c r="LN8" s="3489"/>
      <c r="LO8" s="3489"/>
      <c r="LP8" s="3489"/>
      <c r="LQ8" s="3489"/>
      <c r="LR8" s="3489"/>
      <c r="LS8" s="3489"/>
      <c r="LT8" s="3489"/>
      <c r="LU8" s="3489"/>
      <c r="LV8" s="3489"/>
      <c r="LW8" s="3489"/>
      <c r="LX8" s="3489"/>
      <c r="LY8" s="3489"/>
      <c r="LZ8" s="3489"/>
      <c r="MA8" s="3489"/>
      <c r="MB8" s="3489"/>
      <c r="MC8" s="3489"/>
      <c r="MD8" s="3489"/>
      <c r="ME8" s="3489"/>
      <c r="MF8" s="3489"/>
      <c r="MG8" s="3489"/>
      <c r="MH8" s="3489"/>
      <c r="MI8" s="3489"/>
      <c r="MJ8" s="3489"/>
      <c r="MK8" s="3489"/>
      <c r="ML8" s="3489"/>
      <c r="MM8" s="979"/>
      <c r="MN8" s="979"/>
      <c r="MO8" s="979"/>
      <c r="MP8" s="979"/>
      <c r="MQ8" s="979"/>
      <c r="MR8" s="979"/>
      <c r="MS8" s="979"/>
      <c r="MT8" s="979"/>
      <c r="MU8" s="6029"/>
      <c r="MV8" s="7"/>
      <c r="MY8" s="6028"/>
      <c r="MZ8" s="979"/>
      <c r="NA8" s="3489"/>
      <c r="NB8" s="3489"/>
      <c r="NC8" s="3489"/>
      <c r="ND8" s="3489"/>
      <c r="NE8" s="3489"/>
      <c r="NF8" s="3489"/>
      <c r="NG8" s="3489"/>
      <c r="NH8" s="3489"/>
      <c r="NI8" s="3489"/>
      <c r="NJ8" s="3489"/>
      <c r="NK8" s="3489"/>
      <c r="NL8" s="3489"/>
      <c r="NM8" s="3489"/>
      <c r="NN8" s="3489"/>
      <c r="NO8" s="3489"/>
      <c r="NP8" s="3489"/>
      <c r="NQ8" s="3489"/>
      <c r="NR8" s="3489"/>
      <c r="NS8" s="3489"/>
      <c r="NT8" s="3489"/>
      <c r="NU8" s="3489"/>
      <c r="NV8" s="3489"/>
      <c r="NW8" s="3489"/>
      <c r="NX8" s="3489"/>
      <c r="NY8" s="3489"/>
      <c r="NZ8" s="3489"/>
      <c r="OA8" s="3489"/>
      <c r="OB8" s="3489"/>
      <c r="OC8" s="3489"/>
      <c r="OD8" s="3489"/>
      <c r="OE8" s="3489"/>
      <c r="OF8" s="979"/>
      <c r="OG8" s="979"/>
      <c r="OH8" s="979"/>
      <c r="OI8" s="979"/>
      <c r="OJ8" s="979"/>
      <c r="OK8" s="979"/>
      <c r="OL8" s="979"/>
      <c r="OM8" s="979"/>
      <c r="ON8" s="6029"/>
      <c r="OO8" s="7"/>
    </row>
    <row r="9" spans="3:405" s="6031" customFormat="1" ht="15" customHeight="1" thickBot="1" x14ac:dyDescent="0.25">
      <c r="C9" s="6018"/>
      <c r="D9" s="6019"/>
      <c r="E9" s="6778" t="str">
        <f>_Calcs!$T$19</f>
        <v/>
      </c>
      <c r="F9" s="6778"/>
      <c r="G9" s="6778"/>
      <c r="H9" s="6778"/>
      <c r="I9" s="6778"/>
      <c r="J9" s="6778"/>
      <c r="K9" s="6778"/>
      <c r="L9" s="6778"/>
      <c r="M9" s="6778"/>
      <c r="N9" s="6778"/>
      <c r="O9" s="6778"/>
      <c r="P9" s="6778"/>
      <c r="Q9" s="6778"/>
      <c r="R9" s="6778"/>
      <c r="S9" s="6778"/>
      <c r="T9" s="6778"/>
      <c r="U9" s="6778"/>
      <c r="V9" s="6778"/>
      <c r="W9" s="6778"/>
      <c r="X9" s="6778"/>
      <c r="Y9" s="6778"/>
      <c r="Z9" s="6778"/>
      <c r="AA9" s="6778"/>
      <c r="AB9" s="6778"/>
      <c r="AC9" s="6778"/>
      <c r="AD9" s="6778"/>
      <c r="AE9" s="6778"/>
      <c r="AF9" s="6778"/>
      <c r="AG9" s="6778"/>
      <c r="AH9" s="6778"/>
      <c r="AI9" s="6778"/>
      <c r="AJ9" s="6778"/>
      <c r="AK9" s="6778"/>
      <c r="AL9" s="6778"/>
      <c r="AM9" s="6778"/>
      <c r="AN9" s="6778"/>
      <c r="AO9" s="6778"/>
      <c r="AP9" s="6778"/>
      <c r="AQ9" s="6030"/>
      <c r="AR9" s="6026"/>
      <c r="AV9" s="6018"/>
      <c r="AW9" s="6019"/>
      <c r="AX9" s="6778" t="str">
        <f>_Calcs!$T$19</f>
        <v/>
      </c>
      <c r="AY9" s="6778"/>
      <c r="AZ9" s="6778"/>
      <c r="BA9" s="6778"/>
      <c r="BB9" s="6778"/>
      <c r="BC9" s="6778"/>
      <c r="BD9" s="6778"/>
      <c r="BE9" s="6778"/>
      <c r="BF9" s="6778"/>
      <c r="BG9" s="6778"/>
      <c r="BH9" s="6778"/>
      <c r="BI9" s="6778"/>
      <c r="BJ9" s="6778"/>
      <c r="BK9" s="6778"/>
      <c r="BL9" s="6778"/>
      <c r="BM9" s="6778"/>
      <c r="BN9" s="6778"/>
      <c r="BO9" s="6778"/>
      <c r="BP9" s="6778"/>
      <c r="BQ9" s="6778"/>
      <c r="BR9" s="6778"/>
      <c r="BS9" s="6778"/>
      <c r="BT9" s="6778"/>
      <c r="BU9" s="6778"/>
      <c r="BV9" s="6778"/>
      <c r="BW9" s="6778"/>
      <c r="BX9" s="6778"/>
      <c r="BY9" s="6778"/>
      <c r="BZ9" s="6778"/>
      <c r="CA9" s="6778"/>
      <c r="CB9" s="6778"/>
      <c r="CC9" s="6778"/>
      <c r="CD9" s="6778"/>
      <c r="CE9" s="6778"/>
      <c r="CF9" s="6778"/>
      <c r="CG9" s="6778"/>
      <c r="CH9" s="6778"/>
      <c r="CI9" s="6778"/>
      <c r="CJ9" s="6030"/>
      <c r="CK9" s="6026"/>
      <c r="CO9" s="6018"/>
      <c r="CP9" s="6019"/>
      <c r="CQ9" s="6778" t="str">
        <f>_Calcs!$T$19</f>
        <v/>
      </c>
      <c r="CR9" s="6778"/>
      <c r="CS9" s="6778"/>
      <c r="CT9" s="6778"/>
      <c r="CU9" s="6778"/>
      <c r="CV9" s="6778"/>
      <c r="CW9" s="6778"/>
      <c r="CX9" s="6778"/>
      <c r="CY9" s="6778"/>
      <c r="CZ9" s="6778"/>
      <c r="DA9" s="6778"/>
      <c r="DB9" s="6778"/>
      <c r="DC9" s="6778"/>
      <c r="DD9" s="6778"/>
      <c r="DE9" s="6778"/>
      <c r="DF9" s="6778"/>
      <c r="DG9" s="6778"/>
      <c r="DH9" s="6778"/>
      <c r="DI9" s="6778"/>
      <c r="DJ9" s="6778"/>
      <c r="DK9" s="6778"/>
      <c r="DL9" s="6778"/>
      <c r="DM9" s="6778"/>
      <c r="DN9" s="6778"/>
      <c r="DO9" s="6778"/>
      <c r="DP9" s="6778"/>
      <c r="DQ9" s="6778"/>
      <c r="DR9" s="6778"/>
      <c r="DS9" s="6778"/>
      <c r="DT9" s="6778"/>
      <c r="DU9" s="6778"/>
      <c r="DV9" s="6778"/>
      <c r="DW9" s="6778"/>
      <c r="DX9" s="6778"/>
      <c r="DY9" s="6778"/>
      <c r="DZ9" s="6778"/>
      <c r="EA9" s="6778"/>
      <c r="EB9" s="6778"/>
      <c r="EC9" s="6030"/>
      <c r="ED9" s="6026"/>
      <c r="EH9" s="6018"/>
      <c r="EI9" s="6019"/>
      <c r="EJ9" s="6778" t="str">
        <f>_Calcs!$T$19</f>
        <v/>
      </c>
      <c r="EK9" s="6778"/>
      <c r="EL9" s="6778"/>
      <c r="EM9" s="6778"/>
      <c r="EN9" s="6778"/>
      <c r="EO9" s="6778"/>
      <c r="EP9" s="6778"/>
      <c r="EQ9" s="6778"/>
      <c r="ER9" s="6778"/>
      <c r="ES9" s="6778"/>
      <c r="ET9" s="6778"/>
      <c r="EU9" s="6778"/>
      <c r="EV9" s="6778"/>
      <c r="EW9" s="6778"/>
      <c r="EX9" s="6778"/>
      <c r="EY9" s="6778"/>
      <c r="EZ9" s="6778"/>
      <c r="FA9" s="6778"/>
      <c r="FB9" s="6778"/>
      <c r="FC9" s="6778"/>
      <c r="FD9" s="6778"/>
      <c r="FE9" s="6778"/>
      <c r="FF9" s="6778"/>
      <c r="FG9" s="6778"/>
      <c r="FH9" s="6778"/>
      <c r="FI9" s="6778"/>
      <c r="FJ9" s="6778"/>
      <c r="FK9" s="6778"/>
      <c r="FL9" s="6778"/>
      <c r="FM9" s="6778"/>
      <c r="FN9" s="6778"/>
      <c r="FO9" s="6778"/>
      <c r="FP9" s="6778"/>
      <c r="FQ9" s="6778"/>
      <c r="FR9" s="6778"/>
      <c r="FS9" s="6778"/>
      <c r="FT9" s="6778"/>
      <c r="FU9" s="6778"/>
      <c r="FV9" s="6030"/>
      <c r="FW9" s="6026"/>
      <c r="GA9" s="6018"/>
      <c r="GB9" s="6019"/>
      <c r="GC9" s="6778" t="str">
        <f>_Calcs!$T$19</f>
        <v/>
      </c>
      <c r="GD9" s="6778"/>
      <c r="GE9" s="6778"/>
      <c r="GF9" s="6778"/>
      <c r="GG9" s="6778"/>
      <c r="GH9" s="6778"/>
      <c r="GI9" s="6778"/>
      <c r="GJ9" s="6778"/>
      <c r="GK9" s="6778"/>
      <c r="GL9" s="6778"/>
      <c r="GM9" s="6778"/>
      <c r="GN9" s="6778"/>
      <c r="GO9" s="6778"/>
      <c r="GP9" s="6778"/>
      <c r="GQ9" s="6778"/>
      <c r="GR9" s="6778"/>
      <c r="GS9" s="6778"/>
      <c r="GT9" s="6778"/>
      <c r="GU9" s="6778"/>
      <c r="GV9" s="6778"/>
      <c r="GW9" s="6778"/>
      <c r="GX9" s="6778"/>
      <c r="GY9" s="6778"/>
      <c r="GZ9" s="6778"/>
      <c r="HA9" s="6778"/>
      <c r="HB9" s="6778"/>
      <c r="HC9" s="6778"/>
      <c r="HD9" s="6778"/>
      <c r="HE9" s="6778"/>
      <c r="HF9" s="6778"/>
      <c r="HG9" s="6778"/>
      <c r="HH9" s="6778"/>
      <c r="HI9" s="6778"/>
      <c r="HJ9" s="6778"/>
      <c r="HK9" s="6778"/>
      <c r="HL9" s="6778"/>
      <c r="HM9" s="6778"/>
      <c r="HN9" s="6778"/>
      <c r="HO9" s="6030"/>
      <c r="HP9" s="6026"/>
      <c r="HT9" s="6018"/>
      <c r="HU9" s="6019"/>
      <c r="HV9" s="6778" t="str">
        <f>_Calcs!$T$19</f>
        <v/>
      </c>
      <c r="HW9" s="6778"/>
      <c r="HX9" s="6778"/>
      <c r="HY9" s="6778"/>
      <c r="HZ9" s="6778"/>
      <c r="IA9" s="6778"/>
      <c r="IB9" s="6778"/>
      <c r="IC9" s="6778"/>
      <c r="ID9" s="6778"/>
      <c r="IE9" s="6778"/>
      <c r="IF9" s="6778"/>
      <c r="IG9" s="6778"/>
      <c r="IH9" s="6778"/>
      <c r="II9" s="6778"/>
      <c r="IJ9" s="6778"/>
      <c r="IK9" s="6778"/>
      <c r="IL9" s="6778"/>
      <c r="IM9" s="6778"/>
      <c r="IN9" s="6778"/>
      <c r="IO9" s="6778"/>
      <c r="IP9" s="6778"/>
      <c r="IQ9" s="6778"/>
      <c r="IR9" s="6778"/>
      <c r="IS9" s="6778"/>
      <c r="IT9" s="6778"/>
      <c r="IU9" s="6778"/>
      <c r="IV9" s="6778"/>
      <c r="IW9" s="6778"/>
      <c r="IX9" s="6778"/>
      <c r="IY9" s="6778"/>
      <c r="IZ9" s="6778"/>
      <c r="JA9" s="6778"/>
      <c r="JB9" s="6778"/>
      <c r="JC9" s="6778"/>
      <c r="JD9" s="6778"/>
      <c r="JE9" s="6778"/>
      <c r="JF9" s="6778"/>
      <c r="JG9" s="6778"/>
      <c r="JH9" s="6030"/>
      <c r="JI9" s="6026"/>
      <c r="JM9" s="6018"/>
      <c r="JN9" s="6019"/>
      <c r="JO9" s="6778" t="str">
        <f>_Calcs!$T$19</f>
        <v/>
      </c>
      <c r="JP9" s="6778"/>
      <c r="JQ9" s="6778"/>
      <c r="JR9" s="6778"/>
      <c r="JS9" s="6778"/>
      <c r="JT9" s="6778"/>
      <c r="JU9" s="6778"/>
      <c r="JV9" s="6778"/>
      <c r="JW9" s="6778"/>
      <c r="JX9" s="6778"/>
      <c r="JY9" s="6778"/>
      <c r="JZ9" s="6778"/>
      <c r="KA9" s="6778"/>
      <c r="KB9" s="6778"/>
      <c r="KC9" s="6778"/>
      <c r="KD9" s="6778"/>
      <c r="KE9" s="6778"/>
      <c r="KF9" s="6778"/>
      <c r="KG9" s="6778"/>
      <c r="KH9" s="6778"/>
      <c r="KI9" s="6778"/>
      <c r="KJ9" s="6778"/>
      <c r="KK9" s="6778"/>
      <c r="KL9" s="6778"/>
      <c r="KM9" s="6778"/>
      <c r="KN9" s="6778"/>
      <c r="KO9" s="6778"/>
      <c r="KP9" s="6778"/>
      <c r="KQ9" s="6778"/>
      <c r="KR9" s="6778"/>
      <c r="KS9" s="6778"/>
      <c r="KT9" s="6778"/>
      <c r="KU9" s="6778"/>
      <c r="KV9" s="6778"/>
      <c r="KW9" s="6778"/>
      <c r="KX9" s="6778"/>
      <c r="KY9" s="6778"/>
      <c r="KZ9" s="6778"/>
      <c r="LA9" s="6030"/>
      <c r="LB9" s="6026"/>
      <c r="LC9" s="7"/>
      <c r="LF9" s="6018"/>
      <c r="LG9" s="6019"/>
      <c r="LH9" s="6778" t="str">
        <f>_Calcs!$T$19</f>
        <v/>
      </c>
      <c r="LI9" s="6778"/>
      <c r="LJ9" s="6778"/>
      <c r="LK9" s="6778"/>
      <c r="LL9" s="6778"/>
      <c r="LM9" s="6778"/>
      <c r="LN9" s="6778"/>
      <c r="LO9" s="6778"/>
      <c r="LP9" s="6778"/>
      <c r="LQ9" s="6778"/>
      <c r="LR9" s="6778"/>
      <c r="LS9" s="6778"/>
      <c r="LT9" s="6778"/>
      <c r="LU9" s="6778"/>
      <c r="LV9" s="6778"/>
      <c r="LW9" s="6778"/>
      <c r="LX9" s="6778"/>
      <c r="LY9" s="6778"/>
      <c r="LZ9" s="6778"/>
      <c r="MA9" s="6778"/>
      <c r="MB9" s="6778"/>
      <c r="MC9" s="6778"/>
      <c r="MD9" s="6778"/>
      <c r="ME9" s="6778"/>
      <c r="MF9" s="6778"/>
      <c r="MG9" s="6778"/>
      <c r="MH9" s="6778"/>
      <c r="MI9" s="6778"/>
      <c r="MJ9" s="6778"/>
      <c r="MK9" s="6778"/>
      <c r="ML9" s="6778"/>
      <c r="MM9" s="6778"/>
      <c r="MN9" s="6778"/>
      <c r="MO9" s="6778"/>
      <c r="MP9" s="6778"/>
      <c r="MQ9" s="6778"/>
      <c r="MR9" s="6778"/>
      <c r="MS9" s="6778"/>
      <c r="MT9" s="6030"/>
      <c r="MU9" s="6026"/>
      <c r="MV9" s="7"/>
      <c r="MY9" s="6018"/>
      <c r="MZ9" s="6019"/>
      <c r="NA9" s="6778" t="str">
        <f>_Calcs!$T$19</f>
        <v/>
      </c>
      <c r="NB9" s="6778"/>
      <c r="NC9" s="6778"/>
      <c r="ND9" s="6778"/>
      <c r="NE9" s="6778"/>
      <c r="NF9" s="6778"/>
      <c r="NG9" s="6778"/>
      <c r="NH9" s="6778"/>
      <c r="NI9" s="6778"/>
      <c r="NJ9" s="6778"/>
      <c r="NK9" s="6778"/>
      <c r="NL9" s="6778"/>
      <c r="NM9" s="6778"/>
      <c r="NN9" s="6778"/>
      <c r="NO9" s="6778"/>
      <c r="NP9" s="6778"/>
      <c r="NQ9" s="6778"/>
      <c r="NR9" s="6778"/>
      <c r="NS9" s="6778"/>
      <c r="NT9" s="6778"/>
      <c r="NU9" s="6778"/>
      <c r="NV9" s="6778"/>
      <c r="NW9" s="6778"/>
      <c r="NX9" s="6778"/>
      <c r="NY9" s="6778"/>
      <c r="NZ9" s="6778"/>
      <c r="OA9" s="6778"/>
      <c r="OB9" s="6778"/>
      <c r="OC9" s="6778"/>
      <c r="OD9" s="6778"/>
      <c r="OE9" s="6778"/>
      <c r="OF9" s="6778"/>
      <c r="OG9" s="6778"/>
      <c r="OH9" s="6778"/>
      <c r="OI9" s="6778"/>
      <c r="OJ9" s="6778"/>
      <c r="OK9" s="6778"/>
      <c r="OL9" s="6778"/>
      <c r="OM9" s="6030"/>
      <c r="ON9" s="6026"/>
      <c r="OO9" s="7"/>
    </row>
    <row r="10" spans="3:405" s="1466" customFormat="1" ht="9.9499999999999993" customHeight="1" thickBot="1" x14ac:dyDescent="0.25">
      <c r="C10" s="6028"/>
      <c r="E10" s="6032"/>
      <c r="F10" s="6032"/>
      <c r="G10" s="6032"/>
      <c r="H10" s="6032"/>
      <c r="I10" s="6032"/>
      <c r="J10" s="6032"/>
      <c r="K10" s="6032"/>
      <c r="L10" s="6032"/>
      <c r="M10" s="6032"/>
      <c r="N10" s="6032"/>
      <c r="O10" s="6032"/>
      <c r="P10" s="6032"/>
      <c r="Q10" s="6032"/>
      <c r="R10" s="6032"/>
      <c r="S10" s="6032"/>
      <c r="T10" s="6032"/>
      <c r="U10" s="6032"/>
      <c r="V10" s="6032"/>
      <c r="W10" s="6032"/>
      <c r="X10" s="6032"/>
      <c r="Y10" s="6032"/>
      <c r="Z10" s="6032"/>
      <c r="AA10" s="6032"/>
      <c r="AB10" s="6032"/>
      <c r="AC10" s="3489"/>
      <c r="AD10" s="3489"/>
      <c r="AE10" s="6033"/>
      <c r="AF10" s="6033"/>
      <c r="AG10" s="6033"/>
      <c r="AH10" s="6033"/>
      <c r="AI10" s="6033"/>
      <c r="AJ10" s="6033"/>
      <c r="AK10" s="6033"/>
      <c r="AL10" s="6033"/>
      <c r="AM10" s="6033"/>
      <c r="AN10" s="6033"/>
      <c r="AO10" s="6033"/>
      <c r="AP10" s="6033"/>
      <c r="AQ10" s="3489"/>
      <c r="AR10" s="6029"/>
      <c r="AV10" s="6028"/>
      <c r="AX10" s="6032"/>
      <c r="AY10" s="6032"/>
      <c r="AZ10" s="6032"/>
      <c r="BA10" s="6032"/>
      <c r="BB10" s="6032"/>
      <c r="BC10" s="6032"/>
      <c r="BD10" s="6032"/>
      <c r="BE10" s="6032"/>
      <c r="BF10" s="6032"/>
      <c r="BG10" s="6032"/>
      <c r="BH10" s="6032"/>
      <c r="BI10" s="6032"/>
      <c r="BJ10" s="6032"/>
      <c r="BK10" s="6032"/>
      <c r="BL10" s="6032"/>
      <c r="BM10" s="6032"/>
      <c r="BN10" s="6032"/>
      <c r="BO10" s="6032"/>
      <c r="BP10" s="6032"/>
      <c r="BQ10" s="6032"/>
      <c r="BR10" s="6032"/>
      <c r="BS10" s="6032"/>
      <c r="BT10" s="6032"/>
      <c r="BU10" s="6032"/>
      <c r="BV10" s="3489"/>
      <c r="BW10" s="3489"/>
      <c r="BX10" s="6033"/>
      <c r="BY10" s="6033"/>
      <c r="BZ10" s="6033"/>
      <c r="CA10" s="6033"/>
      <c r="CB10" s="6033"/>
      <c r="CC10" s="6033"/>
      <c r="CD10" s="6033"/>
      <c r="CE10" s="6033"/>
      <c r="CF10" s="6033"/>
      <c r="CG10" s="6033"/>
      <c r="CH10" s="6033"/>
      <c r="CI10" s="6033"/>
      <c r="CJ10" s="3489"/>
      <c r="CK10" s="6029"/>
      <c r="CO10" s="6028"/>
      <c r="CQ10" s="6032"/>
      <c r="CR10" s="6032"/>
      <c r="CS10" s="6032"/>
      <c r="CT10" s="6032"/>
      <c r="CU10" s="6032"/>
      <c r="CV10" s="6032"/>
      <c r="CW10" s="6032"/>
      <c r="CX10" s="6032"/>
      <c r="CY10" s="6032"/>
      <c r="CZ10" s="6032"/>
      <c r="DA10" s="6032"/>
      <c r="DB10" s="6032"/>
      <c r="DC10" s="6032"/>
      <c r="DD10" s="6032"/>
      <c r="DE10" s="6032"/>
      <c r="DF10" s="6032"/>
      <c r="DG10" s="6032"/>
      <c r="DH10" s="6032"/>
      <c r="DI10" s="6032"/>
      <c r="DJ10" s="6032"/>
      <c r="DK10" s="6032"/>
      <c r="DL10" s="6032"/>
      <c r="DM10" s="6032"/>
      <c r="DN10" s="6032"/>
      <c r="DO10" s="3489"/>
      <c r="DP10" s="3489"/>
      <c r="DQ10" s="6033"/>
      <c r="DR10" s="6033"/>
      <c r="DS10" s="6033"/>
      <c r="DT10" s="6033"/>
      <c r="DU10" s="6033"/>
      <c r="DV10" s="6033"/>
      <c r="DW10" s="6033"/>
      <c r="DX10" s="6033"/>
      <c r="DY10" s="6033"/>
      <c r="DZ10" s="6033"/>
      <c r="EA10" s="6033"/>
      <c r="EB10" s="6033"/>
      <c r="EC10" s="3489"/>
      <c r="ED10" s="6029"/>
      <c r="EH10" s="6028"/>
      <c r="EJ10" s="6032"/>
      <c r="EK10" s="6032"/>
      <c r="EL10" s="6032"/>
      <c r="EM10" s="6032"/>
      <c r="EN10" s="6032"/>
      <c r="EO10" s="6032"/>
      <c r="EP10" s="6032"/>
      <c r="EQ10" s="6032"/>
      <c r="ER10" s="6032"/>
      <c r="ES10" s="6032"/>
      <c r="ET10" s="6032"/>
      <c r="EU10" s="6032"/>
      <c r="EV10" s="6032"/>
      <c r="EW10" s="6032"/>
      <c r="EX10" s="6032"/>
      <c r="EY10" s="6032"/>
      <c r="EZ10" s="6032"/>
      <c r="FA10" s="6032"/>
      <c r="FB10" s="6032"/>
      <c r="FC10" s="6032"/>
      <c r="FD10" s="6032"/>
      <c r="FE10" s="6032"/>
      <c r="FF10" s="6032"/>
      <c r="FG10" s="6032"/>
      <c r="FH10" s="3489"/>
      <c r="FI10" s="3489"/>
      <c r="FJ10" s="6033"/>
      <c r="FK10" s="6033"/>
      <c r="FL10" s="6033"/>
      <c r="FM10" s="6033"/>
      <c r="FN10" s="6033"/>
      <c r="FO10" s="6033"/>
      <c r="FP10" s="6033"/>
      <c r="FQ10" s="6033"/>
      <c r="FR10" s="6033"/>
      <c r="FS10" s="6033"/>
      <c r="FT10" s="6033"/>
      <c r="FU10" s="6033"/>
      <c r="FV10" s="3489"/>
      <c r="FW10" s="6029"/>
      <c r="GA10" s="6028"/>
      <c r="GC10" s="6032"/>
      <c r="GD10" s="6032"/>
      <c r="GE10" s="6032"/>
      <c r="GF10" s="6032"/>
      <c r="GG10" s="6032"/>
      <c r="GH10" s="6032"/>
      <c r="GI10" s="6032"/>
      <c r="GJ10" s="6032"/>
      <c r="GK10" s="6032"/>
      <c r="GL10" s="6032"/>
      <c r="GM10" s="6032"/>
      <c r="GN10" s="6032"/>
      <c r="GO10" s="6032"/>
      <c r="GP10" s="6032"/>
      <c r="GQ10" s="6032"/>
      <c r="GR10" s="6032"/>
      <c r="GS10" s="6032"/>
      <c r="GT10" s="6032"/>
      <c r="GU10" s="6032"/>
      <c r="GV10" s="6032"/>
      <c r="GW10" s="6032"/>
      <c r="GX10" s="6032"/>
      <c r="GY10" s="6032"/>
      <c r="GZ10" s="6032"/>
      <c r="HA10" s="3489"/>
      <c r="HB10" s="3489"/>
      <c r="HC10" s="6033"/>
      <c r="HD10" s="6033"/>
      <c r="HE10" s="6033"/>
      <c r="HF10" s="6033"/>
      <c r="HG10" s="6033"/>
      <c r="HH10" s="6033"/>
      <c r="HI10" s="6033"/>
      <c r="HJ10" s="6033"/>
      <c r="HK10" s="6033"/>
      <c r="HL10" s="6033"/>
      <c r="HM10" s="6033"/>
      <c r="HN10" s="6033"/>
      <c r="HO10" s="3489"/>
      <c r="HP10" s="6029"/>
      <c r="HT10" s="6028"/>
      <c r="HV10" s="6032"/>
      <c r="HW10" s="6032"/>
      <c r="HX10" s="6032"/>
      <c r="HY10" s="6032"/>
      <c r="HZ10" s="6032"/>
      <c r="IA10" s="6032"/>
      <c r="IB10" s="6032"/>
      <c r="IC10" s="6032"/>
      <c r="ID10" s="6032"/>
      <c r="IE10" s="6032"/>
      <c r="IF10" s="6032"/>
      <c r="IG10" s="6032"/>
      <c r="IH10" s="6032"/>
      <c r="II10" s="6032"/>
      <c r="IJ10" s="6032"/>
      <c r="IK10" s="6032"/>
      <c r="IL10" s="6032"/>
      <c r="IM10" s="6032"/>
      <c r="IN10" s="6032"/>
      <c r="IO10" s="6032"/>
      <c r="IP10" s="6032"/>
      <c r="IQ10" s="6032"/>
      <c r="IR10" s="6032"/>
      <c r="IS10" s="6032"/>
      <c r="IT10" s="3489"/>
      <c r="IU10" s="3489"/>
      <c r="IV10" s="6033"/>
      <c r="IW10" s="6033"/>
      <c r="IX10" s="6033"/>
      <c r="IY10" s="6033"/>
      <c r="IZ10" s="6033"/>
      <c r="JA10" s="6033"/>
      <c r="JB10" s="6033"/>
      <c r="JC10" s="6033"/>
      <c r="JD10" s="6033"/>
      <c r="JE10" s="6033"/>
      <c r="JF10" s="6033"/>
      <c r="JG10" s="6033"/>
      <c r="JH10" s="3489"/>
      <c r="JI10" s="6029"/>
      <c r="JM10" s="6028"/>
      <c r="JO10" s="6032"/>
      <c r="JP10" s="6032"/>
      <c r="JQ10" s="6032"/>
      <c r="JR10" s="6032"/>
      <c r="JS10" s="6032"/>
      <c r="JT10" s="6032"/>
      <c r="JU10" s="6032"/>
      <c r="JV10" s="6032"/>
      <c r="JW10" s="6032"/>
      <c r="JX10" s="6032"/>
      <c r="JY10" s="6032"/>
      <c r="JZ10" s="6032"/>
      <c r="KA10" s="6032"/>
      <c r="KB10" s="6032"/>
      <c r="KC10" s="6032"/>
      <c r="KD10" s="6032"/>
      <c r="KE10" s="6032"/>
      <c r="KF10" s="6032"/>
      <c r="KG10" s="6032"/>
      <c r="KH10" s="6032"/>
      <c r="KI10" s="6032"/>
      <c r="KJ10" s="6032"/>
      <c r="KK10" s="6032"/>
      <c r="KL10" s="6032"/>
      <c r="KM10" s="3489"/>
      <c r="KN10" s="3489"/>
      <c r="KO10" s="6033"/>
      <c r="KP10" s="6033"/>
      <c r="KQ10" s="6033"/>
      <c r="KR10" s="6033"/>
      <c r="KS10" s="6033"/>
      <c r="KT10" s="6033"/>
      <c r="KU10" s="6033"/>
      <c r="KV10" s="6033"/>
      <c r="KW10" s="6033"/>
      <c r="KX10" s="6033"/>
      <c r="KY10" s="6033"/>
      <c r="KZ10" s="6033"/>
      <c r="LA10" s="3489"/>
      <c r="LB10" s="6029"/>
      <c r="LC10" s="130"/>
      <c r="LF10" s="6028"/>
      <c r="LH10" s="6032"/>
      <c r="LI10" s="6032"/>
      <c r="LJ10" s="6032"/>
      <c r="LK10" s="6032"/>
      <c r="LL10" s="6032"/>
      <c r="LM10" s="6032"/>
      <c r="LN10" s="6032"/>
      <c r="LO10" s="6032"/>
      <c r="LP10" s="6032"/>
      <c r="LQ10" s="6032"/>
      <c r="LR10" s="6032"/>
      <c r="LS10" s="6032"/>
      <c r="LT10" s="6032"/>
      <c r="LU10" s="6032"/>
      <c r="LV10" s="6032"/>
      <c r="LW10" s="6032"/>
      <c r="LX10" s="6032"/>
      <c r="LY10" s="6032"/>
      <c r="LZ10" s="6032"/>
      <c r="MA10" s="6032"/>
      <c r="MB10" s="6032"/>
      <c r="MC10" s="6032"/>
      <c r="MD10" s="6032"/>
      <c r="ME10" s="6032"/>
      <c r="MF10" s="3489"/>
      <c r="MG10" s="3489"/>
      <c r="MH10" s="6033"/>
      <c r="MI10" s="6033"/>
      <c r="MJ10" s="6033"/>
      <c r="MK10" s="6033"/>
      <c r="ML10" s="6033"/>
      <c r="MM10" s="6033"/>
      <c r="MN10" s="6033"/>
      <c r="MO10" s="6033"/>
      <c r="MP10" s="6033"/>
      <c r="MQ10" s="6033"/>
      <c r="MR10" s="6033"/>
      <c r="MS10" s="6033"/>
      <c r="MT10" s="3489"/>
      <c r="MU10" s="6029"/>
      <c r="MV10" s="130"/>
      <c r="MY10" s="6028"/>
      <c r="NA10" s="6032"/>
      <c r="NB10" s="6032"/>
      <c r="NC10" s="6032"/>
      <c r="ND10" s="6032"/>
      <c r="NE10" s="6032"/>
      <c r="NF10" s="6032"/>
      <c r="NG10" s="6032"/>
      <c r="NH10" s="6032"/>
      <c r="NI10" s="6032"/>
      <c r="NJ10" s="6032"/>
      <c r="NK10" s="6032"/>
      <c r="NL10" s="6032"/>
      <c r="NM10" s="6032"/>
      <c r="NN10" s="6032"/>
      <c r="NO10" s="6032"/>
      <c r="NP10" s="6032"/>
      <c r="NQ10" s="6032"/>
      <c r="NR10" s="6032"/>
      <c r="NS10" s="6032"/>
      <c r="NT10" s="6032"/>
      <c r="NU10" s="6032"/>
      <c r="NV10" s="6032"/>
      <c r="NW10" s="6032"/>
      <c r="NX10" s="6032"/>
      <c r="NY10" s="3489"/>
      <c r="NZ10" s="3489"/>
      <c r="OA10" s="6033"/>
      <c r="OB10" s="6033"/>
      <c r="OC10" s="6033"/>
      <c r="OD10" s="6033"/>
      <c r="OE10" s="6033"/>
      <c r="OF10" s="6033"/>
      <c r="OG10" s="6033"/>
      <c r="OH10" s="6033"/>
      <c r="OI10" s="6033"/>
      <c r="OJ10" s="6033"/>
      <c r="OK10" s="6033"/>
      <c r="OL10" s="6033"/>
      <c r="OM10" s="3489"/>
      <c r="ON10" s="6029"/>
      <c r="OO10" s="130"/>
    </row>
    <row r="11" spans="3:405" s="1466" customFormat="1" ht="6" customHeight="1" x14ac:dyDescent="0.2">
      <c r="C11" s="6028"/>
      <c r="D11" s="6785" t="str">
        <f>_Calcs!$II$96</f>
        <v>Begrunnelser for tidsjusteringer</v>
      </c>
      <c r="E11" s="6785"/>
      <c r="F11" s="6785"/>
      <c r="G11" s="6785"/>
      <c r="H11" s="6785"/>
      <c r="I11" s="6785"/>
      <c r="J11" s="6785"/>
      <c r="K11" s="6785"/>
      <c r="L11" s="6785"/>
      <c r="M11" s="6785"/>
      <c r="N11" s="6785"/>
      <c r="O11" s="6785"/>
      <c r="P11" s="6785"/>
      <c r="Q11" s="6785"/>
      <c r="R11" s="6785"/>
      <c r="S11" s="6785"/>
      <c r="T11" s="6785"/>
      <c r="U11" s="6785"/>
      <c r="V11" s="6785"/>
      <c r="W11" s="6785"/>
      <c r="X11" s="6785"/>
      <c r="Y11" s="6785"/>
      <c r="Z11" s="6785"/>
      <c r="AA11" s="6785"/>
      <c r="AB11" s="6785"/>
      <c r="AC11" s="6785"/>
      <c r="AD11" s="3489"/>
      <c r="AE11" s="6033"/>
      <c r="AF11" s="6033"/>
      <c r="AG11" s="6034"/>
      <c r="AH11" s="6786" t="str">
        <f>_Calcs!$IK$112</f>
        <v>Stuff 1-1</v>
      </c>
      <c r="AI11" s="6786"/>
      <c r="AJ11" s="6786"/>
      <c r="AK11" s="6786"/>
      <c r="AL11" s="6786"/>
      <c r="AM11" s="6786"/>
      <c r="AN11" s="6786"/>
      <c r="AO11" s="6786"/>
      <c r="AP11" s="6786"/>
      <c r="AQ11" s="6035"/>
      <c r="AR11" s="6029"/>
      <c r="AV11" s="6028"/>
      <c r="AW11" s="6785" t="str">
        <f>_Calcs!$II$96</f>
        <v>Begrunnelser for tidsjusteringer</v>
      </c>
      <c r="AX11" s="6785"/>
      <c r="AY11" s="6785"/>
      <c r="AZ11" s="6785"/>
      <c r="BA11" s="6785"/>
      <c r="BB11" s="6785"/>
      <c r="BC11" s="6785"/>
      <c r="BD11" s="6785"/>
      <c r="BE11" s="6785"/>
      <c r="BF11" s="6785"/>
      <c r="BG11" s="6785"/>
      <c r="BH11" s="6785"/>
      <c r="BI11" s="6785"/>
      <c r="BJ11" s="6785"/>
      <c r="BK11" s="6785"/>
      <c r="BL11" s="6785"/>
      <c r="BM11" s="6785"/>
      <c r="BN11" s="6785"/>
      <c r="BO11" s="6785"/>
      <c r="BP11" s="6785"/>
      <c r="BQ11" s="6785"/>
      <c r="BR11" s="6785"/>
      <c r="BS11" s="6785"/>
      <c r="BT11" s="6785"/>
      <c r="BU11" s="6785"/>
      <c r="BV11" s="6785"/>
      <c r="BW11" s="3489"/>
      <c r="BX11" s="6033"/>
      <c r="BY11" s="6033"/>
      <c r="BZ11" s="6034"/>
      <c r="CA11" s="6786" t="str">
        <f>_Calcs!$IL$112</f>
        <v/>
      </c>
      <c r="CB11" s="6786"/>
      <c r="CC11" s="6786"/>
      <c r="CD11" s="6786"/>
      <c r="CE11" s="6786"/>
      <c r="CF11" s="6786"/>
      <c r="CG11" s="6786"/>
      <c r="CH11" s="6786"/>
      <c r="CI11" s="6786"/>
      <c r="CJ11" s="6035"/>
      <c r="CK11" s="6029"/>
      <c r="CO11" s="6028"/>
      <c r="CP11" s="6785" t="str">
        <f>_Calcs!$II$96</f>
        <v>Begrunnelser for tidsjusteringer</v>
      </c>
      <c r="CQ11" s="6785"/>
      <c r="CR11" s="6785"/>
      <c r="CS11" s="6785"/>
      <c r="CT11" s="6785"/>
      <c r="CU11" s="6785"/>
      <c r="CV11" s="6785"/>
      <c r="CW11" s="6785"/>
      <c r="CX11" s="6785"/>
      <c r="CY11" s="6785"/>
      <c r="CZ11" s="6785"/>
      <c r="DA11" s="6785"/>
      <c r="DB11" s="6785"/>
      <c r="DC11" s="6785"/>
      <c r="DD11" s="6785"/>
      <c r="DE11" s="6785"/>
      <c r="DF11" s="6785"/>
      <c r="DG11" s="6785"/>
      <c r="DH11" s="6785"/>
      <c r="DI11" s="6785"/>
      <c r="DJ11" s="6785"/>
      <c r="DK11" s="6785"/>
      <c r="DL11" s="6785"/>
      <c r="DM11" s="6785"/>
      <c r="DN11" s="6785"/>
      <c r="DO11" s="6785"/>
      <c r="DP11" s="3489"/>
      <c r="DQ11" s="6033"/>
      <c r="DR11" s="6033"/>
      <c r="DS11" s="6034"/>
      <c r="DT11" s="6786" t="str">
        <f>_Calcs!$IM$112</f>
        <v/>
      </c>
      <c r="DU11" s="6786"/>
      <c r="DV11" s="6786"/>
      <c r="DW11" s="6786"/>
      <c r="DX11" s="6786"/>
      <c r="DY11" s="6786"/>
      <c r="DZ11" s="6786"/>
      <c r="EA11" s="6786"/>
      <c r="EB11" s="6786"/>
      <c r="EC11" s="6035"/>
      <c r="ED11" s="6029"/>
      <c r="EH11" s="6028"/>
      <c r="EI11" s="6785" t="str">
        <f>_Calcs!$II$96</f>
        <v>Begrunnelser for tidsjusteringer</v>
      </c>
      <c r="EJ11" s="6785"/>
      <c r="EK11" s="6785"/>
      <c r="EL11" s="6785"/>
      <c r="EM11" s="6785"/>
      <c r="EN11" s="6785"/>
      <c r="EO11" s="6785"/>
      <c r="EP11" s="6785"/>
      <c r="EQ11" s="6785"/>
      <c r="ER11" s="6785"/>
      <c r="ES11" s="6785"/>
      <c r="ET11" s="6785"/>
      <c r="EU11" s="6785"/>
      <c r="EV11" s="6785"/>
      <c r="EW11" s="6785"/>
      <c r="EX11" s="6785"/>
      <c r="EY11" s="6785"/>
      <c r="EZ11" s="6785"/>
      <c r="FA11" s="6785"/>
      <c r="FB11" s="6785"/>
      <c r="FC11" s="6785"/>
      <c r="FD11" s="6785"/>
      <c r="FE11" s="6785"/>
      <c r="FF11" s="6785"/>
      <c r="FG11" s="6785"/>
      <c r="FH11" s="6785"/>
      <c r="FI11" s="3489"/>
      <c r="FJ11" s="6033"/>
      <c r="FK11" s="6033"/>
      <c r="FL11" s="6034"/>
      <c r="FM11" s="6786" t="str">
        <f>_Calcs!$IN$112</f>
        <v/>
      </c>
      <c r="FN11" s="6786"/>
      <c r="FO11" s="6786"/>
      <c r="FP11" s="6786"/>
      <c r="FQ11" s="6786"/>
      <c r="FR11" s="6786"/>
      <c r="FS11" s="6786"/>
      <c r="FT11" s="6786"/>
      <c r="FU11" s="6786"/>
      <c r="FV11" s="6035"/>
      <c r="FW11" s="6029"/>
      <c r="GA11" s="6028"/>
      <c r="GB11" s="6785" t="str">
        <f>_Calcs!$II$96</f>
        <v>Begrunnelser for tidsjusteringer</v>
      </c>
      <c r="GC11" s="6785"/>
      <c r="GD11" s="6785"/>
      <c r="GE11" s="6785"/>
      <c r="GF11" s="6785"/>
      <c r="GG11" s="6785"/>
      <c r="GH11" s="6785"/>
      <c r="GI11" s="6785"/>
      <c r="GJ11" s="6785"/>
      <c r="GK11" s="6785"/>
      <c r="GL11" s="6785"/>
      <c r="GM11" s="6785"/>
      <c r="GN11" s="6785"/>
      <c r="GO11" s="6785"/>
      <c r="GP11" s="6785"/>
      <c r="GQ11" s="6785"/>
      <c r="GR11" s="6785"/>
      <c r="GS11" s="6785"/>
      <c r="GT11" s="6785"/>
      <c r="GU11" s="6785"/>
      <c r="GV11" s="6785"/>
      <c r="GW11" s="6785"/>
      <c r="GX11" s="6785"/>
      <c r="GY11" s="6785"/>
      <c r="GZ11" s="6785"/>
      <c r="HA11" s="6785"/>
      <c r="HB11" s="3489"/>
      <c r="HC11" s="6033"/>
      <c r="HD11" s="6033"/>
      <c r="HE11" s="6034"/>
      <c r="HF11" s="6786" t="str">
        <f>_Calcs!$IO$112</f>
        <v/>
      </c>
      <c r="HG11" s="6786"/>
      <c r="HH11" s="6786"/>
      <c r="HI11" s="6786"/>
      <c r="HJ11" s="6786"/>
      <c r="HK11" s="6786"/>
      <c r="HL11" s="6786"/>
      <c r="HM11" s="6786"/>
      <c r="HN11" s="6786"/>
      <c r="HO11" s="6035"/>
      <c r="HP11" s="6029"/>
      <c r="HT11" s="6028"/>
      <c r="HU11" s="6785" t="str">
        <f>_Calcs!$II$96</f>
        <v>Begrunnelser for tidsjusteringer</v>
      </c>
      <c r="HV11" s="6785"/>
      <c r="HW11" s="6785"/>
      <c r="HX11" s="6785"/>
      <c r="HY11" s="6785"/>
      <c r="HZ11" s="6785"/>
      <c r="IA11" s="6785"/>
      <c r="IB11" s="6785"/>
      <c r="IC11" s="6785"/>
      <c r="ID11" s="6785"/>
      <c r="IE11" s="6785"/>
      <c r="IF11" s="6785"/>
      <c r="IG11" s="6785"/>
      <c r="IH11" s="6785"/>
      <c r="II11" s="6785"/>
      <c r="IJ11" s="6785"/>
      <c r="IK11" s="6785"/>
      <c r="IL11" s="6785"/>
      <c r="IM11" s="6785"/>
      <c r="IN11" s="6785"/>
      <c r="IO11" s="6785"/>
      <c r="IP11" s="6785"/>
      <c r="IQ11" s="6785"/>
      <c r="IR11" s="6785"/>
      <c r="IS11" s="6785"/>
      <c r="IT11" s="6785"/>
      <c r="IU11" s="3489"/>
      <c r="IV11" s="6033"/>
      <c r="IW11" s="6033"/>
      <c r="IX11" s="6034"/>
      <c r="IY11" s="6786" t="str">
        <f>_Calcs!$IP$112</f>
        <v/>
      </c>
      <c r="IZ11" s="6786"/>
      <c r="JA11" s="6786"/>
      <c r="JB11" s="6786"/>
      <c r="JC11" s="6786"/>
      <c r="JD11" s="6786"/>
      <c r="JE11" s="6786"/>
      <c r="JF11" s="6786"/>
      <c r="JG11" s="6786"/>
      <c r="JH11" s="6035"/>
      <c r="JI11" s="6029"/>
      <c r="JM11" s="6028"/>
      <c r="JN11" s="6785" t="str">
        <f>_Calcs!$II$96</f>
        <v>Begrunnelser for tidsjusteringer</v>
      </c>
      <c r="JO11" s="6785"/>
      <c r="JP11" s="6785"/>
      <c r="JQ11" s="6785"/>
      <c r="JR11" s="6785"/>
      <c r="JS11" s="6785"/>
      <c r="JT11" s="6785"/>
      <c r="JU11" s="6785"/>
      <c r="JV11" s="6785"/>
      <c r="JW11" s="6785"/>
      <c r="JX11" s="6785"/>
      <c r="JY11" s="6785"/>
      <c r="JZ11" s="6785"/>
      <c r="KA11" s="6785"/>
      <c r="KB11" s="6785"/>
      <c r="KC11" s="6785"/>
      <c r="KD11" s="6785"/>
      <c r="KE11" s="6785"/>
      <c r="KF11" s="6785"/>
      <c r="KG11" s="6785"/>
      <c r="KH11" s="6785"/>
      <c r="KI11" s="6785"/>
      <c r="KJ11" s="6785"/>
      <c r="KK11" s="6785"/>
      <c r="KL11" s="6785"/>
      <c r="KM11" s="6785"/>
      <c r="KN11" s="3489"/>
      <c r="KO11" s="6033"/>
      <c r="KP11" s="6033"/>
      <c r="KQ11" s="6034"/>
      <c r="KR11" s="6786" t="str">
        <f>_Calcs!$IQ$112</f>
        <v/>
      </c>
      <c r="KS11" s="6786"/>
      <c r="KT11" s="6786"/>
      <c r="KU11" s="6786"/>
      <c r="KV11" s="6786"/>
      <c r="KW11" s="6786"/>
      <c r="KX11" s="6786"/>
      <c r="KY11" s="6786"/>
      <c r="KZ11" s="6786"/>
      <c r="LA11" s="6035"/>
      <c r="LB11" s="6029"/>
      <c r="LC11" s="130"/>
      <c r="LF11" s="6028"/>
      <c r="LG11" s="6785" t="str">
        <f>_Calcs!$II$96</f>
        <v>Begrunnelser for tidsjusteringer</v>
      </c>
      <c r="LH11" s="6785"/>
      <c r="LI11" s="6785"/>
      <c r="LJ11" s="6785"/>
      <c r="LK11" s="6785"/>
      <c r="LL11" s="6785"/>
      <c r="LM11" s="6785"/>
      <c r="LN11" s="6785"/>
      <c r="LO11" s="6785"/>
      <c r="LP11" s="6785"/>
      <c r="LQ11" s="6785"/>
      <c r="LR11" s="6785"/>
      <c r="LS11" s="6785"/>
      <c r="LT11" s="6785"/>
      <c r="LU11" s="6785"/>
      <c r="LV11" s="6785"/>
      <c r="LW11" s="6785"/>
      <c r="LX11" s="6785"/>
      <c r="LY11" s="6785"/>
      <c r="LZ11" s="6785"/>
      <c r="MA11" s="6785"/>
      <c r="MB11" s="6785"/>
      <c r="MC11" s="6785"/>
      <c r="MD11" s="6785"/>
      <c r="ME11" s="6785"/>
      <c r="MF11" s="6785"/>
      <c r="MG11" s="3489"/>
      <c r="MH11" s="6033"/>
      <c r="MI11" s="6033"/>
      <c r="MJ11" s="6034"/>
      <c r="MK11" s="6786" t="str">
        <f>_Calcs!$IR$112</f>
        <v/>
      </c>
      <c r="ML11" s="6786"/>
      <c r="MM11" s="6786"/>
      <c r="MN11" s="6786"/>
      <c r="MO11" s="6786"/>
      <c r="MP11" s="6786"/>
      <c r="MQ11" s="6786"/>
      <c r="MR11" s="6786"/>
      <c r="MS11" s="6786"/>
      <c r="MT11" s="6035"/>
      <c r="MU11" s="6029"/>
      <c r="MV11" s="130"/>
      <c r="MY11" s="6028"/>
      <c r="MZ11" s="6785" t="str">
        <f>_Calcs!$II$96</f>
        <v>Begrunnelser for tidsjusteringer</v>
      </c>
      <c r="NA11" s="6785"/>
      <c r="NB11" s="6785"/>
      <c r="NC11" s="6785"/>
      <c r="ND11" s="6785"/>
      <c r="NE11" s="6785"/>
      <c r="NF11" s="6785"/>
      <c r="NG11" s="6785"/>
      <c r="NH11" s="6785"/>
      <c r="NI11" s="6785"/>
      <c r="NJ11" s="6785"/>
      <c r="NK11" s="6785"/>
      <c r="NL11" s="6785"/>
      <c r="NM11" s="6785"/>
      <c r="NN11" s="6785"/>
      <c r="NO11" s="6785"/>
      <c r="NP11" s="6785"/>
      <c r="NQ11" s="6785"/>
      <c r="NR11" s="6785"/>
      <c r="NS11" s="6785"/>
      <c r="NT11" s="6785"/>
      <c r="NU11" s="6785"/>
      <c r="NV11" s="6785"/>
      <c r="NW11" s="6785"/>
      <c r="NX11" s="6785"/>
      <c r="NY11" s="6785"/>
      <c r="NZ11" s="3489"/>
      <c r="OA11" s="6033"/>
      <c r="OB11" s="6033"/>
      <c r="OC11" s="6034"/>
      <c r="OD11" s="6786" t="str">
        <f>_Calcs!$IS$112</f>
        <v/>
      </c>
      <c r="OE11" s="6786"/>
      <c r="OF11" s="6786"/>
      <c r="OG11" s="6786"/>
      <c r="OH11" s="6786"/>
      <c r="OI11" s="6786"/>
      <c r="OJ11" s="6786"/>
      <c r="OK11" s="6786"/>
      <c r="OL11" s="6786"/>
      <c r="OM11" s="6035"/>
      <c r="ON11" s="6029"/>
      <c r="OO11" s="130"/>
    </row>
    <row r="12" spans="3:405" s="5321" customFormat="1" ht="12" customHeight="1" x14ac:dyDescent="0.2">
      <c r="C12" s="6036"/>
      <c r="D12" s="6785"/>
      <c r="E12" s="6785"/>
      <c r="F12" s="6785"/>
      <c r="G12" s="6785"/>
      <c r="H12" s="6785"/>
      <c r="I12" s="6785"/>
      <c r="J12" s="6785"/>
      <c r="K12" s="6785"/>
      <c r="L12" s="6785"/>
      <c r="M12" s="6785"/>
      <c r="N12" s="6785"/>
      <c r="O12" s="6785"/>
      <c r="P12" s="6785"/>
      <c r="Q12" s="6785"/>
      <c r="R12" s="6785"/>
      <c r="S12" s="6785"/>
      <c r="T12" s="6785"/>
      <c r="U12" s="6785"/>
      <c r="V12" s="6785"/>
      <c r="W12" s="6785"/>
      <c r="X12" s="6785"/>
      <c r="Y12" s="6785"/>
      <c r="Z12" s="6785"/>
      <c r="AA12" s="6785"/>
      <c r="AB12" s="6785"/>
      <c r="AC12" s="6785"/>
      <c r="AE12" s="6033"/>
      <c r="AF12" s="6033"/>
      <c r="AG12" s="6037"/>
      <c r="AH12" s="6787"/>
      <c r="AI12" s="6787"/>
      <c r="AJ12" s="6787"/>
      <c r="AK12" s="6787"/>
      <c r="AL12" s="6787"/>
      <c r="AM12" s="6787"/>
      <c r="AN12" s="6787"/>
      <c r="AO12" s="6787"/>
      <c r="AP12" s="6787"/>
      <c r="AQ12" s="6038"/>
      <c r="AR12" s="6039"/>
      <c r="AV12" s="6036"/>
      <c r="AW12" s="6785"/>
      <c r="AX12" s="6785"/>
      <c r="AY12" s="6785"/>
      <c r="AZ12" s="6785"/>
      <c r="BA12" s="6785"/>
      <c r="BB12" s="6785"/>
      <c r="BC12" s="6785"/>
      <c r="BD12" s="6785"/>
      <c r="BE12" s="6785"/>
      <c r="BF12" s="6785"/>
      <c r="BG12" s="6785"/>
      <c r="BH12" s="6785"/>
      <c r="BI12" s="6785"/>
      <c r="BJ12" s="6785"/>
      <c r="BK12" s="6785"/>
      <c r="BL12" s="6785"/>
      <c r="BM12" s="6785"/>
      <c r="BN12" s="6785"/>
      <c r="BO12" s="6785"/>
      <c r="BP12" s="6785"/>
      <c r="BQ12" s="6785"/>
      <c r="BR12" s="6785"/>
      <c r="BS12" s="6785"/>
      <c r="BT12" s="6785"/>
      <c r="BU12" s="6785"/>
      <c r="BV12" s="6785"/>
      <c r="BX12" s="6033"/>
      <c r="BY12" s="6033"/>
      <c r="BZ12" s="6037"/>
      <c r="CA12" s="6787"/>
      <c r="CB12" s="6787"/>
      <c r="CC12" s="6787"/>
      <c r="CD12" s="6787"/>
      <c r="CE12" s="6787"/>
      <c r="CF12" s="6787"/>
      <c r="CG12" s="6787"/>
      <c r="CH12" s="6787"/>
      <c r="CI12" s="6787"/>
      <c r="CJ12" s="6038"/>
      <c r="CK12" s="6039"/>
      <c r="CO12" s="6036"/>
      <c r="CP12" s="6785"/>
      <c r="CQ12" s="6785"/>
      <c r="CR12" s="6785"/>
      <c r="CS12" s="6785"/>
      <c r="CT12" s="6785"/>
      <c r="CU12" s="6785"/>
      <c r="CV12" s="6785"/>
      <c r="CW12" s="6785"/>
      <c r="CX12" s="6785"/>
      <c r="CY12" s="6785"/>
      <c r="CZ12" s="6785"/>
      <c r="DA12" s="6785"/>
      <c r="DB12" s="6785"/>
      <c r="DC12" s="6785"/>
      <c r="DD12" s="6785"/>
      <c r="DE12" s="6785"/>
      <c r="DF12" s="6785"/>
      <c r="DG12" s="6785"/>
      <c r="DH12" s="6785"/>
      <c r="DI12" s="6785"/>
      <c r="DJ12" s="6785"/>
      <c r="DK12" s="6785"/>
      <c r="DL12" s="6785"/>
      <c r="DM12" s="6785"/>
      <c r="DN12" s="6785"/>
      <c r="DO12" s="6785"/>
      <c r="DQ12" s="6033"/>
      <c r="DR12" s="6033"/>
      <c r="DS12" s="6037"/>
      <c r="DT12" s="6787"/>
      <c r="DU12" s="6787"/>
      <c r="DV12" s="6787"/>
      <c r="DW12" s="6787"/>
      <c r="DX12" s="6787"/>
      <c r="DY12" s="6787"/>
      <c r="DZ12" s="6787"/>
      <c r="EA12" s="6787"/>
      <c r="EB12" s="6787"/>
      <c r="EC12" s="6038"/>
      <c r="ED12" s="6039"/>
      <c r="EH12" s="6036"/>
      <c r="EI12" s="6785"/>
      <c r="EJ12" s="6785"/>
      <c r="EK12" s="6785"/>
      <c r="EL12" s="6785"/>
      <c r="EM12" s="6785"/>
      <c r="EN12" s="6785"/>
      <c r="EO12" s="6785"/>
      <c r="EP12" s="6785"/>
      <c r="EQ12" s="6785"/>
      <c r="ER12" s="6785"/>
      <c r="ES12" s="6785"/>
      <c r="ET12" s="6785"/>
      <c r="EU12" s="6785"/>
      <c r="EV12" s="6785"/>
      <c r="EW12" s="6785"/>
      <c r="EX12" s="6785"/>
      <c r="EY12" s="6785"/>
      <c r="EZ12" s="6785"/>
      <c r="FA12" s="6785"/>
      <c r="FB12" s="6785"/>
      <c r="FC12" s="6785"/>
      <c r="FD12" s="6785"/>
      <c r="FE12" s="6785"/>
      <c r="FF12" s="6785"/>
      <c r="FG12" s="6785"/>
      <c r="FH12" s="6785"/>
      <c r="FJ12" s="6033"/>
      <c r="FK12" s="6033"/>
      <c r="FL12" s="6037"/>
      <c r="FM12" s="6787"/>
      <c r="FN12" s="6787"/>
      <c r="FO12" s="6787"/>
      <c r="FP12" s="6787"/>
      <c r="FQ12" s="6787"/>
      <c r="FR12" s="6787"/>
      <c r="FS12" s="6787"/>
      <c r="FT12" s="6787"/>
      <c r="FU12" s="6787"/>
      <c r="FV12" s="6038"/>
      <c r="FW12" s="6039"/>
      <c r="GA12" s="6036"/>
      <c r="GB12" s="6785"/>
      <c r="GC12" s="6785"/>
      <c r="GD12" s="6785"/>
      <c r="GE12" s="6785"/>
      <c r="GF12" s="6785"/>
      <c r="GG12" s="6785"/>
      <c r="GH12" s="6785"/>
      <c r="GI12" s="6785"/>
      <c r="GJ12" s="6785"/>
      <c r="GK12" s="6785"/>
      <c r="GL12" s="6785"/>
      <c r="GM12" s="6785"/>
      <c r="GN12" s="6785"/>
      <c r="GO12" s="6785"/>
      <c r="GP12" s="6785"/>
      <c r="GQ12" s="6785"/>
      <c r="GR12" s="6785"/>
      <c r="GS12" s="6785"/>
      <c r="GT12" s="6785"/>
      <c r="GU12" s="6785"/>
      <c r="GV12" s="6785"/>
      <c r="GW12" s="6785"/>
      <c r="GX12" s="6785"/>
      <c r="GY12" s="6785"/>
      <c r="GZ12" s="6785"/>
      <c r="HA12" s="6785"/>
      <c r="HC12" s="6033"/>
      <c r="HD12" s="6033"/>
      <c r="HE12" s="6037"/>
      <c r="HF12" s="6787"/>
      <c r="HG12" s="6787"/>
      <c r="HH12" s="6787"/>
      <c r="HI12" s="6787"/>
      <c r="HJ12" s="6787"/>
      <c r="HK12" s="6787"/>
      <c r="HL12" s="6787"/>
      <c r="HM12" s="6787"/>
      <c r="HN12" s="6787"/>
      <c r="HO12" s="6038"/>
      <c r="HP12" s="6039"/>
      <c r="HT12" s="6036"/>
      <c r="HU12" s="6785"/>
      <c r="HV12" s="6785"/>
      <c r="HW12" s="6785"/>
      <c r="HX12" s="6785"/>
      <c r="HY12" s="6785"/>
      <c r="HZ12" s="6785"/>
      <c r="IA12" s="6785"/>
      <c r="IB12" s="6785"/>
      <c r="IC12" s="6785"/>
      <c r="ID12" s="6785"/>
      <c r="IE12" s="6785"/>
      <c r="IF12" s="6785"/>
      <c r="IG12" s="6785"/>
      <c r="IH12" s="6785"/>
      <c r="II12" s="6785"/>
      <c r="IJ12" s="6785"/>
      <c r="IK12" s="6785"/>
      <c r="IL12" s="6785"/>
      <c r="IM12" s="6785"/>
      <c r="IN12" s="6785"/>
      <c r="IO12" s="6785"/>
      <c r="IP12" s="6785"/>
      <c r="IQ12" s="6785"/>
      <c r="IR12" s="6785"/>
      <c r="IS12" s="6785"/>
      <c r="IT12" s="6785"/>
      <c r="IV12" s="6033"/>
      <c r="IW12" s="6033"/>
      <c r="IX12" s="6037"/>
      <c r="IY12" s="6787"/>
      <c r="IZ12" s="6787"/>
      <c r="JA12" s="6787"/>
      <c r="JB12" s="6787"/>
      <c r="JC12" s="6787"/>
      <c r="JD12" s="6787"/>
      <c r="JE12" s="6787"/>
      <c r="JF12" s="6787"/>
      <c r="JG12" s="6787"/>
      <c r="JH12" s="6038"/>
      <c r="JI12" s="6039"/>
      <c r="JM12" s="6036"/>
      <c r="JN12" s="6785"/>
      <c r="JO12" s="6785"/>
      <c r="JP12" s="6785"/>
      <c r="JQ12" s="6785"/>
      <c r="JR12" s="6785"/>
      <c r="JS12" s="6785"/>
      <c r="JT12" s="6785"/>
      <c r="JU12" s="6785"/>
      <c r="JV12" s="6785"/>
      <c r="JW12" s="6785"/>
      <c r="JX12" s="6785"/>
      <c r="JY12" s="6785"/>
      <c r="JZ12" s="6785"/>
      <c r="KA12" s="6785"/>
      <c r="KB12" s="6785"/>
      <c r="KC12" s="6785"/>
      <c r="KD12" s="6785"/>
      <c r="KE12" s="6785"/>
      <c r="KF12" s="6785"/>
      <c r="KG12" s="6785"/>
      <c r="KH12" s="6785"/>
      <c r="KI12" s="6785"/>
      <c r="KJ12" s="6785"/>
      <c r="KK12" s="6785"/>
      <c r="KL12" s="6785"/>
      <c r="KM12" s="6785"/>
      <c r="KO12" s="6033"/>
      <c r="KP12" s="6033"/>
      <c r="KQ12" s="6037"/>
      <c r="KR12" s="6787"/>
      <c r="KS12" s="6787"/>
      <c r="KT12" s="6787"/>
      <c r="KU12" s="6787"/>
      <c r="KV12" s="6787"/>
      <c r="KW12" s="6787"/>
      <c r="KX12" s="6787"/>
      <c r="KY12" s="6787"/>
      <c r="KZ12" s="6787"/>
      <c r="LA12" s="6038"/>
      <c r="LB12" s="6039"/>
      <c r="LC12" s="7"/>
      <c r="LF12" s="6036"/>
      <c r="LG12" s="6785"/>
      <c r="LH12" s="6785"/>
      <c r="LI12" s="6785"/>
      <c r="LJ12" s="6785"/>
      <c r="LK12" s="6785"/>
      <c r="LL12" s="6785"/>
      <c r="LM12" s="6785"/>
      <c r="LN12" s="6785"/>
      <c r="LO12" s="6785"/>
      <c r="LP12" s="6785"/>
      <c r="LQ12" s="6785"/>
      <c r="LR12" s="6785"/>
      <c r="LS12" s="6785"/>
      <c r="LT12" s="6785"/>
      <c r="LU12" s="6785"/>
      <c r="LV12" s="6785"/>
      <c r="LW12" s="6785"/>
      <c r="LX12" s="6785"/>
      <c r="LY12" s="6785"/>
      <c r="LZ12" s="6785"/>
      <c r="MA12" s="6785"/>
      <c r="MB12" s="6785"/>
      <c r="MC12" s="6785"/>
      <c r="MD12" s="6785"/>
      <c r="ME12" s="6785"/>
      <c r="MF12" s="6785"/>
      <c r="MH12" s="6033"/>
      <c r="MI12" s="6033"/>
      <c r="MJ12" s="6037"/>
      <c r="MK12" s="6787"/>
      <c r="ML12" s="6787"/>
      <c r="MM12" s="6787"/>
      <c r="MN12" s="6787"/>
      <c r="MO12" s="6787"/>
      <c r="MP12" s="6787"/>
      <c r="MQ12" s="6787"/>
      <c r="MR12" s="6787"/>
      <c r="MS12" s="6787"/>
      <c r="MT12" s="6038"/>
      <c r="MU12" s="6039"/>
      <c r="MV12" s="7"/>
      <c r="MY12" s="6036"/>
      <c r="MZ12" s="6785"/>
      <c r="NA12" s="6785"/>
      <c r="NB12" s="6785"/>
      <c r="NC12" s="6785"/>
      <c r="ND12" s="6785"/>
      <c r="NE12" s="6785"/>
      <c r="NF12" s="6785"/>
      <c r="NG12" s="6785"/>
      <c r="NH12" s="6785"/>
      <c r="NI12" s="6785"/>
      <c r="NJ12" s="6785"/>
      <c r="NK12" s="6785"/>
      <c r="NL12" s="6785"/>
      <c r="NM12" s="6785"/>
      <c r="NN12" s="6785"/>
      <c r="NO12" s="6785"/>
      <c r="NP12" s="6785"/>
      <c r="NQ12" s="6785"/>
      <c r="NR12" s="6785"/>
      <c r="NS12" s="6785"/>
      <c r="NT12" s="6785"/>
      <c r="NU12" s="6785"/>
      <c r="NV12" s="6785"/>
      <c r="NW12" s="6785"/>
      <c r="NX12" s="6785"/>
      <c r="NY12" s="6785"/>
      <c r="OA12" s="6033"/>
      <c r="OB12" s="6033"/>
      <c r="OC12" s="6037"/>
      <c r="OD12" s="6787"/>
      <c r="OE12" s="6787"/>
      <c r="OF12" s="6787"/>
      <c r="OG12" s="6787"/>
      <c r="OH12" s="6787"/>
      <c r="OI12" s="6787"/>
      <c r="OJ12" s="6787"/>
      <c r="OK12" s="6787"/>
      <c r="OL12" s="6787"/>
      <c r="OM12" s="6038"/>
      <c r="ON12" s="6039"/>
      <c r="OO12" s="7"/>
    </row>
    <row r="13" spans="3:405" s="1466" customFormat="1" ht="6" customHeight="1" thickBot="1" x14ac:dyDescent="0.25">
      <c r="C13" s="6040"/>
      <c r="D13" s="6785"/>
      <c r="E13" s="6785"/>
      <c r="F13" s="6785"/>
      <c r="G13" s="6785"/>
      <c r="H13" s="6785"/>
      <c r="I13" s="6785"/>
      <c r="J13" s="6785"/>
      <c r="K13" s="6785"/>
      <c r="L13" s="6785"/>
      <c r="M13" s="6785"/>
      <c r="N13" s="6785"/>
      <c r="O13" s="6785"/>
      <c r="P13" s="6785"/>
      <c r="Q13" s="6785"/>
      <c r="R13" s="6785"/>
      <c r="S13" s="6785"/>
      <c r="T13" s="6785"/>
      <c r="U13" s="6785"/>
      <c r="V13" s="6785"/>
      <c r="W13" s="6785"/>
      <c r="X13" s="6785"/>
      <c r="Y13" s="6785"/>
      <c r="Z13" s="6785"/>
      <c r="AA13" s="6785"/>
      <c r="AB13" s="6785"/>
      <c r="AC13" s="6785"/>
      <c r="AE13" s="6033"/>
      <c r="AF13" s="6033"/>
      <c r="AG13" s="6041"/>
      <c r="AH13" s="6788"/>
      <c r="AI13" s="6788"/>
      <c r="AJ13" s="6788"/>
      <c r="AK13" s="6788"/>
      <c r="AL13" s="6788"/>
      <c r="AM13" s="6788"/>
      <c r="AN13" s="6788"/>
      <c r="AO13" s="6788"/>
      <c r="AP13" s="6788"/>
      <c r="AQ13" s="6042"/>
      <c r="AR13" s="6043"/>
      <c r="AV13" s="6040"/>
      <c r="AW13" s="6785"/>
      <c r="AX13" s="6785"/>
      <c r="AY13" s="6785"/>
      <c r="AZ13" s="6785"/>
      <c r="BA13" s="6785"/>
      <c r="BB13" s="6785"/>
      <c r="BC13" s="6785"/>
      <c r="BD13" s="6785"/>
      <c r="BE13" s="6785"/>
      <c r="BF13" s="6785"/>
      <c r="BG13" s="6785"/>
      <c r="BH13" s="6785"/>
      <c r="BI13" s="6785"/>
      <c r="BJ13" s="6785"/>
      <c r="BK13" s="6785"/>
      <c r="BL13" s="6785"/>
      <c r="BM13" s="6785"/>
      <c r="BN13" s="6785"/>
      <c r="BO13" s="6785"/>
      <c r="BP13" s="6785"/>
      <c r="BQ13" s="6785"/>
      <c r="BR13" s="6785"/>
      <c r="BS13" s="6785"/>
      <c r="BT13" s="6785"/>
      <c r="BU13" s="6785"/>
      <c r="BV13" s="6785"/>
      <c r="BX13" s="6033"/>
      <c r="BY13" s="6033"/>
      <c r="BZ13" s="6041"/>
      <c r="CA13" s="6788"/>
      <c r="CB13" s="6788"/>
      <c r="CC13" s="6788"/>
      <c r="CD13" s="6788"/>
      <c r="CE13" s="6788"/>
      <c r="CF13" s="6788"/>
      <c r="CG13" s="6788"/>
      <c r="CH13" s="6788"/>
      <c r="CI13" s="6788"/>
      <c r="CJ13" s="6042"/>
      <c r="CK13" s="6043"/>
      <c r="CO13" s="6040"/>
      <c r="CP13" s="6785"/>
      <c r="CQ13" s="6785"/>
      <c r="CR13" s="6785"/>
      <c r="CS13" s="6785"/>
      <c r="CT13" s="6785"/>
      <c r="CU13" s="6785"/>
      <c r="CV13" s="6785"/>
      <c r="CW13" s="6785"/>
      <c r="CX13" s="6785"/>
      <c r="CY13" s="6785"/>
      <c r="CZ13" s="6785"/>
      <c r="DA13" s="6785"/>
      <c r="DB13" s="6785"/>
      <c r="DC13" s="6785"/>
      <c r="DD13" s="6785"/>
      <c r="DE13" s="6785"/>
      <c r="DF13" s="6785"/>
      <c r="DG13" s="6785"/>
      <c r="DH13" s="6785"/>
      <c r="DI13" s="6785"/>
      <c r="DJ13" s="6785"/>
      <c r="DK13" s="6785"/>
      <c r="DL13" s="6785"/>
      <c r="DM13" s="6785"/>
      <c r="DN13" s="6785"/>
      <c r="DO13" s="6785"/>
      <c r="DQ13" s="6033"/>
      <c r="DR13" s="6033"/>
      <c r="DS13" s="6041"/>
      <c r="DT13" s="6788"/>
      <c r="DU13" s="6788"/>
      <c r="DV13" s="6788"/>
      <c r="DW13" s="6788"/>
      <c r="DX13" s="6788"/>
      <c r="DY13" s="6788"/>
      <c r="DZ13" s="6788"/>
      <c r="EA13" s="6788"/>
      <c r="EB13" s="6788"/>
      <c r="EC13" s="6042"/>
      <c r="ED13" s="6043"/>
      <c r="EH13" s="6040"/>
      <c r="EI13" s="6785"/>
      <c r="EJ13" s="6785"/>
      <c r="EK13" s="6785"/>
      <c r="EL13" s="6785"/>
      <c r="EM13" s="6785"/>
      <c r="EN13" s="6785"/>
      <c r="EO13" s="6785"/>
      <c r="EP13" s="6785"/>
      <c r="EQ13" s="6785"/>
      <c r="ER13" s="6785"/>
      <c r="ES13" s="6785"/>
      <c r="ET13" s="6785"/>
      <c r="EU13" s="6785"/>
      <c r="EV13" s="6785"/>
      <c r="EW13" s="6785"/>
      <c r="EX13" s="6785"/>
      <c r="EY13" s="6785"/>
      <c r="EZ13" s="6785"/>
      <c r="FA13" s="6785"/>
      <c r="FB13" s="6785"/>
      <c r="FC13" s="6785"/>
      <c r="FD13" s="6785"/>
      <c r="FE13" s="6785"/>
      <c r="FF13" s="6785"/>
      <c r="FG13" s="6785"/>
      <c r="FH13" s="6785"/>
      <c r="FJ13" s="6033"/>
      <c r="FK13" s="6033"/>
      <c r="FL13" s="6041"/>
      <c r="FM13" s="6788"/>
      <c r="FN13" s="6788"/>
      <c r="FO13" s="6788"/>
      <c r="FP13" s="6788"/>
      <c r="FQ13" s="6788"/>
      <c r="FR13" s="6788"/>
      <c r="FS13" s="6788"/>
      <c r="FT13" s="6788"/>
      <c r="FU13" s="6788"/>
      <c r="FV13" s="6042"/>
      <c r="FW13" s="6043"/>
      <c r="GA13" s="6040"/>
      <c r="GB13" s="6785"/>
      <c r="GC13" s="6785"/>
      <c r="GD13" s="6785"/>
      <c r="GE13" s="6785"/>
      <c r="GF13" s="6785"/>
      <c r="GG13" s="6785"/>
      <c r="GH13" s="6785"/>
      <c r="GI13" s="6785"/>
      <c r="GJ13" s="6785"/>
      <c r="GK13" s="6785"/>
      <c r="GL13" s="6785"/>
      <c r="GM13" s="6785"/>
      <c r="GN13" s="6785"/>
      <c r="GO13" s="6785"/>
      <c r="GP13" s="6785"/>
      <c r="GQ13" s="6785"/>
      <c r="GR13" s="6785"/>
      <c r="GS13" s="6785"/>
      <c r="GT13" s="6785"/>
      <c r="GU13" s="6785"/>
      <c r="GV13" s="6785"/>
      <c r="GW13" s="6785"/>
      <c r="GX13" s="6785"/>
      <c r="GY13" s="6785"/>
      <c r="GZ13" s="6785"/>
      <c r="HA13" s="6785"/>
      <c r="HC13" s="6033"/>
      <c r="HD13" s="6033"/>
      <c r="HE13" s="6041"/>
      <c r="HF13" s="6788"/>
      <c r="HG13" s="6788"/>
      <c r="HH13" s="6788"/>
      <c r="HI13" s="6788"/>
      <c r="HJ13" s="6788"/>
      <c r="HK13" s="6788"/>
      <c r="HL13" s="6788"/>
      <c r="HM13" s="6788"/>
      <c r="HN13" s="6788"/>
      <c r="HO13" s="6042"/>
      <c r="HP13" s="6043"/>
      <c r="HT13" s="6040"/>
      <c r="HU13" s="6785"/>
      <c r="HV13" s="6785"/>
      <c r="HW13" s="6785"/>
      <c r="HX13" s="6785"/>
      <c r="HY13" s="6785"/>
      <c r="HZ13" s="6785"/>
      <c r="IA13" s="6785"/>
      <c r="IB13" s="6785"/>
      <c r="IC13" s="6785"/>
      <c r="ID13" s="6785"/>
      <c r="IE13" s="6785"/>
      <c r="IF13" s="6785"/>
      <c r="IG13" s="6785"/>
      <c r="IH13" s="6785"/>
      <c r="II13" s="6785"/>
      <c r="IJ13" s="6785"/>
      <c r="IK13" s="6785"/>
      <c r="IL13" s="6785"/>
      <c r="IM13" s="6785"/>
      <c r="IN13" s="6785"/>
      <c r="IO13" s="6785"/>
      <c r="IP13" s="6785"/>
      <c r="IQ13" s="6785"/>
      <c r="IR13" s="6785"/>
      <c r="IS13" s="6785"/>
      <c r="IT13" s="6785"/>
      <c r="IV13" s="6033"/>
      <c r="IW13" s="6033"/>
      <c r="IX13" s="6041"/>
      <c r="IY13" s="6788"/>
      <c r="IZ13" s="6788"/>
      <c r="JA13" s="6788"/>
      <c r="JB13" s="6788"/>
      <c r="JC13" s="6788"/>
      <c r="JD13" s="6788"/>
      <c r="JE13" s="6788"/>
      <c r="JF13" s="6788"/>
      <c r="JG13" s="6788"/>
      <c r="JH13" s="6042"/>
      <c r="JI13" s="6043"/>
      <c r="JM13" s="6040"/>
      <c r="JN13" s="6785"/>
      <c r="JO13" s="6785"/>
      <c r="JP13" s="6785"/>
      <c r="JQ13" s="6785"/>
      <c r="JR13" s="6785"/>
      <c r="JS13" s="6785"/>
      <c r="JT13" s="6785"/>
      <c r="JU13" s="6785"/>
      <c r="JV13" s="6785"/>
      <c r="JW13" s="6785"/>
      <c r="JX13" s="6785"/>
      <c r="JY13" s="6785"/>
      <c r="JZ13" s="6785"/>
      <c r="KA13" s="6785"/>
      <c r="KB13" s="6785"/>
      <c r="KC13" s="6785"/>
      <c r="KD13" s="6785"/>
      <c r="KE13" s="6785"/>
      <c r="KF13" s="6785"/>
      <c r="KG13" s="6785"/>
      <c r="KH13" s="6785"/>
      <c r="KI13" s="6785"/>
      <c r="KJ13" s="6785"/>
      <c r="KK13" s="6785"/>
      <c r="KL13" s="6785"/>
      <c r="KM13" s="6785"/>
      <c r="KO13" s="6033"/>
      <c r="KP13" s="6033"/>
      <c r="KQ13" s="6041"/>
      <c r="KR13" s="6788"/>
      <c r="KS13" s="6788"/>
      <c r="KT13" s="6788"/>
      <c r="KU13" s="6788"/>
      <c r="KV13" s="6788"/>
      <c r="KW13" s="6788"/>
      <c r="KX13" s="6788"/>
      <c r="KY13" s="6788"/>
      <c r="KZ13" s="6788"/>
      <c r="LA13" s="6042"/>
      <c r="LB13" s="6043"/>
      <c r="LF13" s="6040"/>
      <c r="LG13" s="6785"/>
      <c r="LH13" s="6785"/>
      <c r="LI13" s="6785"/>
      <c r="LJ13" s="6785"/>
      <c r="LK13" s="6785"/>
      <c r="LL13" s="6785"/>
      <c r="LM13" s="6785"/>
      <c r="LN13" s="6785"/>
      <c r="LO13" s="6785"/>
      <c r="LP13" s="6785"/>
      <c r="LQ13" s="6785"/>
      <c r="LR13" s="6785"/>
      <c r="LS13" s="6785"/>
      <c r="LT13" s="6785"/>
      <c r="LU13" s="6785"/>
      <c r="LV13" s="6785"/>
      <c r="LW13" s="6785"/>
      <c r="LX13" s="6785"/>
      <c r="LY13" s="6785"/>
      <c r="LZ13" s="6785"/>
      <c r="MA13" s="6785"/>
      <c r="MB13" s="6785"/>
      <c r="MC13" s="6785"/>
      <c r="MD13" s="6785"/>
      <c r="ME13" s="6785"/>
      <c r="MF13" s="6785"/>
      <c r="MH13" s="6033"/>
      <c r="MI13" s="6033"/>
      <c r="MJ13" s="6041"/>
      <c r="MK13" s="6788"/>
      <c r="ML13" s="6788"/>
      <c r="MM13" s="6788"/>
      <c r="MN13" s="6788"/>
      <c r="MO13" s="6788"/>
      <c r="MP13" s="6788"/>
      <c r="MQ13" s="6788"/>
      <c r="MR13" s="6788"/>
      <c r="MS13" s="6788"/>
      <c r="MT13" s="6042"/>
      <c r="MU13" s="6043"/>
      <c r="MY13" s="6040"/>
      <c r="MZ13" s="6785"/>
      <c r="NA13" s="6785"/>
      <c r="NB13" s="6785"/>
      <c r="NC13" s="6785"/>
      <c r="ND13" s="6785"/>
      <c r="NE13" s="6785"/>
      <c r="NF13" s="6785"/>
      <c r="NG13" s="6785"/>
      <c r="NH13" s="6785"/>
      <c r="NI13" s="6785"/>
      <c r="NJ13" s="6785"/>
      <c r="NK13" s="6785"/>
      <c r="NL13" s="6785"/>
      <c r="NM13" s="6785"/>
      <c r="NN13" s="6785"/>
      <c r="NO13" s="6785"/>
      <c r="NP13" s="6785"/>
      <c r="NQ13" s="6785"/>
      <c r="NR13" s="6785"/>
      <c r="NS13" s="6785"/>
      <c r="NT13" s="6785"/>
      <c r="NU13" s="6785"/>
      <c r="NV13" s="6785"/>
      <c r="NW13" s="6785"/>
      <c r="NX13" s="6785"/>
      <c r="NY13" s="6785"/>
      <c r="OA13" s="6033"/>
      <c r="OB13" s="6033"/>
      <c r="OC13" s="6041"/>
      <c r="OD13" s="6788"/>
      <c r="OE13" s="6788"/>
      <c r="OF13" s="6788"/>
      <c r="OG13" s="6788"/>
      <c r="OH13" s="6788"/>
      <c r="OI13" s="6788"/>
      <c r="OJ13" s="6788"/>
      <c r="OK13" s="6788"/>
      <c r="OL13" s="6788"/>
      <c r="OM13" s="6042"/>
      <c r="ON13" s="6043"/>
    </row>
    <row r="14" spans="3:405" s="1466" customFormat="1" ht="9.9499999999999993" customHeight="1" thickBot="1" x14ac:dyDescent="0.25">
      <c r="C14" s="6044"/>
      <c r="D14" s="6045"/>
      <c r="E14" s="6045"/>
      <c r="F14" s="6045"/>
      <c r="G14" s="6045"/>
      <c r="H14" s="6045"/>
      <c r="I14" s="6045"/>
      <c r="J14" s="6045"/>
      <c r="K14" s="6045"/>
      <c r="L14" s="6045"/>
      <c r="M14" s="6045"/>
      <c r="N14" s="6045"/>
      <c r="O14" s="6045"/>
      <c r="P14" s="6045"/>
      <c r="Q14" s="6045"/>
      <c r="R14" s="6045"/>
      <c r="S14" s="6045"/>
      <c r="T14" s="6045"/>
      <c r="U14" s="6045"/>
      <c r="V14" s="6045"/>
      <c r="W14" s="6046"/>
      <c r="X14" s="6046"/>
      <c r="Y14" s="6046"/>
      <c r="Z14" s="6046"/>
      <c r="AA14" s="6046"/>
      <c r="AB14" s="6046"/>
      <c r="AC14" s="6046"/>
      <c r="AD14" s="6046"/>
      <c r="AE14" s="6047"/>
      <c r="AF14" s="6047"/>
      <c r="AG14" s="6047"/>
      <c r="AH14" s="6047"/>
      <c r="AI14" s="6047"/>
      <c r="AJ14" s="6047"/>
      <c r="AK14" s="6047"/>
      <c r="AL14" s="6047"/>
      <c r="AM14" s="6047"/>
      <c r="AN14" s="6047"/>
      <c r="AO14" s="6047"/>
      <c r="AP14" s="6047"/>
      <c r="AQ14" s="6046"/>
      <c r="AR14" s="6048"/>
      <c r="AV14" s="6044"/>
      <c r="AW14" s="6045"/>
      <c r="AX14" s="6045"/>
      <c r="AY14" s="6045"/>
      <c r="AZ14" s="6045"/>
      <c r="BA14" s="6045"/>
      <c r="BB14" s="6045"/>
      <c r="BC14" s="6045"/>
      <c r="BD14" s="6045"/>
      <c r="BE14" s="6045"/>
      <c r="BF14" s="6045"/>
      <c r="BG14" s="6045"/>
      <c r="BH14" s="6045"/>
      <c r="BI14" s="6045"/>
      <c r="BJ14" s="6045"/>
      <c r="BK14" s="6045"/>
      <c r="BL14" s="6045"/>
      <c r="BM14" s="6045"/>
      <c r="BN14" s="6045"/>
      <c r="BO14" s="6045"/>
      <c r="BP14" s="6046"/>
      <c r="BQ14" s="6046"/>
      <c r="BR14" s="6046"/>
      <c r="BS14" s="6046"/>
      <c r="BT14" s="6046"/>
      <c r="BU14" s="6046"/>
      <c r="BV14" s="6046"/>
      <c r="BW14" s="6046"/>
      <c r="BX14" s="6047"/>
      <c r="BY14" s="6047"/>
      <c r="BZ14" s="6047"/>
      <c r="CA14" s="6047"/>
      <c r="CB14" s="6047"/>
      <c r="CC14" s="6047"/>
      <c r="CD14" s="6047"/>
      <c r="CE14" s="6047"/>
      <c r="CF14" s="6047"/>
      <c r="CG14" s="6047"/>
      <c r="CH14" s="6047"/>
      <c r="CI14" s="6047"/>
      <c r="CJ14" s="6046"/>
      <c r="CK14" s="6048"/>
      <c r="CO14" s="6044"/>
      <c r="CP14" s="6045"/>
      <c r="CQ14" s="6045"/>
      <c r="CR14" s="6045"/>
      <c r="CS14" s="6045"/>
      <c r="CT14" s="6045"/>
      <c r="CU14" s="6045"/>
      <c r="CV14" s="6045"/>
      <c r="CW14" s="6045"/>
      <c r="CX14" s="6045"/>
      <c r="CY14" s="6045"/>
      <c r="CZ14" s="6045"/>
      <c r="DA14" s="6045"/>
      <c r="DB14" s="6045"/>
      <c r="DC14" s="6045"/>
      <c r="DD14" s="6045"/>
      <c r="DE14" s="6045"/>
      <c r="DF14" s="6045"/>
      <c r="DG14" s="6045"/>
      <c r="DH14" s="6045"/>
      <c r="DI14" s="6046"/>
      <c r="DJ14" s="6046"/>
      <c r="DK14" s="6046"/>
      <c r="DL14" s="6046"/>
      <c r="DM14" s="6046"/>
      <c r="DN14" s="6046"/>
      <c r="DO14" s="6046"/>
      <c r="DP14" s="6046"/>
      <c r="DQ14" s="6047"/>
      <c r="DR14" s="6047"/>
      <c r="DS14" s="6047"/>
      <c r="DT14" s="6047"/>
      <c r="DU14" s="6047"/>
      <c r="DV14" s="6047"/>
      <c r="DW14" s="6047"/>
      <c r="DX14" s="6047"/>
      <c r="DY14" s="6047"/>
      <c r="DZ14" s="6047"/>
      <c r="EA14" s="6047"/>
      <c r="EB14" s="6047"/>
      <c r="EC14" s="6046"/>
      <c r="ED14" s="6048"/>
      <c r="EH14" s="6044"/>
      <c r="EI14" s="6045"/>
      <c r="EJ14" s="6045"/>
      <c r="EK14" s="6045"/>
      <c r="EL14" s="6045"/>
      <c r="EM14" s="6045"/>
      <c r="EN14" s="6045"/>
      <c r="EO14" s="6045"/>
      <c r="EP14" s="6045"/>
      <c r="EQ14" s="6045"/>
      <c r="ER14" s="6045"/>
      <c r="ES14" s="6045"/>
      <c r="ET14" s="6045"/>
      <c r="EU14" s="6045"/>
      <c r="EV14" s="6045"/>
      <c r="EW14" s="6045"/>
      <c r="EX14" s="6045"/>
      <c r="EY14" s="6045"/>
      <c r="EZ14" s="6045"/>
      <c r="FA14" s="6045"/>
      <c r="FB14" s="6046"/>
      <c r="FC14" s="6046"/>
      <c r="FD14" s="6046"/>
      <c r="FE14" s="6046"/>
      <c r="FF14" s="6046"/>
      <c r="FG14" s="6046"/>
      <c r="FH14" s="6046"/>
      <c r="FI14" s="6046"/>
      <c r="FJ14" s="6047"/>
      <c r="FK14" s="6047"/>
      <c r="FL14" s="6047"/>
      <c r="FM14" s="6047"/>
      <c r="FN14" s="6047"/>
      <c r="FO14" s="6047"/>
      <c r="FP14" s="6047"/>
      <c r="FQ14" s="6047"/>
      <c r="FR14" s="6047"/>
      <c r="FS14" s="6047"/>
      <c r="FT14" s="6047"/>
      <c r="FU14" s="6047"/>
      <c r="FV14" s="6046"/>
      <c r="FW14" s="6048"/>
      <c r="GA14" s="6044"/>
      <c r="GB14" s="6045"/>
      <c r="GC14" s="6045"/>
      <c r="GD14" s="6045"/>
      <c r="GE14" s="6045"/>
      <c r="GF14" s="6045"/>
      <c r="GG14" s="6045"/>
      <c r="GH14" s="6045"/>
      <c r="GI14" s="6045"/>
      <c r="GJ14" s="6045"/>
      <c r="GK14" s="6045"/>
      <c r="GL14" s="6045"/>
      <c r="GM14" s="6045"/>
      <c r="GN14" s="6045"/>
      <c r="GO14" s="6045"/>
      <c r="GP14" s="6045"/>
      <c r="GQ14" s="6045"/>
      <c r="GR14" s="6045"/>
      <c r="GS14" s="6045"/>
      <c r="GT14" s="6045"/>
      <c r="GU14" s="6046"/>
      <c r="GV14" s="6046"/>
      <c r="GW14" s="6046"/>
      <c r="GX14" s="6046"/>
      <c r="GY14" s="6046"/>
      <c r="GZ14" s="6046"/>
      <c r="HA14" s="6046"/>
      <c r="HB14" s="6046"/>
      <c r="HC14" s="6047"/>
      <c r="HD14" s="6047"/>
      <c r="HE14" s="6047"/>
      <c r="HF14" s="6047"/>
      <c r="HG14" s="6047"/>
      <c r="HH14" s="6047"/>
      <c r="HI14" s="6047"/>
      <c r="HJ14" s="6047"/>
      <c r="HK14" s="6047"/>
      <c r="HL14" s="6047"/>
      <c r="HM14" s="6047"/>
      <c r="HN14" s="6047"/>
      <c r="HO14" s="6046"/>
      <c r="HP14" s="6048"/>
      <c r="HT14" s="6044"/>
      <c r="HU14" s="6045"/>
      <c r="HV14" s="6045"/>
      <c r="HW14" s="6045"/>
      <c r="HX14" s="6045"/>
      <c r="HY14" s="6045"/>
      <c r="HZ14" s="6045"/>
      <c r="IA14" s="6045"/>
      <c r="IB14" s="6045"/>
      <c r="IC14" s="6045"/>
      <c r="ID14" s="6045"/>
      <c r="IE14" s="6045"/>
      <c r="IF14" s="6045"/>
      <c r="IG14" s="6045"/>
      <c r="IH14" s="6045"/>
      <c r="II14" s="6045"/>
      <c r="IJ14" s="6045"/>
      <c r="IK14" s="6045"/>
      <c r="IL14" s="6045"/>
      <c r="IM14" s="6045"/>
      <c r="IN14" s="6046"/>
      <c r="IO14" s="6046"/>
      <c r="IP14" s="6046"/>
      <c r="IQ14" s="6046"/>
      <c r="IR14" s="6046"/>
      <c r="IS14" s="6046"/>
      <c r="IT14" s="6046"/>
      <c r="IU14" s="6046"/>
      <c r="IV14" s="6047"/>
      <c r="IW14" s="6047"/>
      <c r="IX14" s="6047"/>
      <c r="IY14" s="6047"/>
      <c r="IZ14" s="6047"/>
      <c r="JA14" s="6047"/>
      <c r="JB14" s="6047"/>
      <c r="JC14" s="6047"/>
      <c r="JD14" s="6047"/>
      <c r="JE14" s="6047"/>
      <c r="JF14" s="6047"/>
      <c r="JG14" s="6047"/>
      <c r="JH14" s="6046"/>
      <c r="JI14" s="6048"/>
      <c r="JM14" s="6044"/>
      <c r="JN14" s="6045"/>
      <c r="JO14" s="6045"/>
      <c r="JP14" s="6045"/>
      <c r="JQ14" s="6045"/>
      <c r="JR14" s="6045"/>
      <c r="JS14" s="6045"/>
      <c r="JT14" s="6045"/>
      <c r="JU14" s="6045"/>
      <c r="JV14" s="6045"/>
      <c r="JW14" s="6045"/>
      <c r="JX14" s="6045"/>
      <c r="JY14" s="6045"/>
      <c r="JZ14" s="6045"/>
      <c r="KA14" s="6045"/>
      <c r="KB14" s="6045"/>
      <c r="KC14" s="6045"/>
      <c r="KD14" s="6045"/>
      <c r="KE14" s="6045"/>
      <c r="KF14" s="6045"/>
      <c r="KG14" s="6046"/>
      <c r="KH14" s="6046"/>
      <c r="KI14" s="6046"/>
      <c r="KJ14" s="6046"/>
      <c r="KK14" s="6046"/>
      <c r="KL14" s="6046"/>
      <c r="KM14" s="6046"/>
      <c r="KN14" s="6046"/>
      <c r="KO14" s="6047"/>
      <c r="KP14" s="6047"/>
      <c r="KQ14" s="6047"/>
      <c r="KR14" s="6047"/>
      <c r="KS14" s="6047"/>
      <c r="KT14" s="6047"/>
      <c r="KU14" s="6047"/>
      <c r="KV14" s="6047"/>
      <c r="KW14" s="6047"/>
      <c r="KX14" s="6047"/>
      <c r="KY14" s="6047"/>
      <c r="KZ14" s="6047"/>
      <c r="LA14" s="6046"/>
      <c r="LB14" s="6048"/>
      <c r="LF14" s="6044"/>
      <c r="LG14" s="6045"/>
      <c r="LH14" s="6045"/>
      <c r="LI14" s="6045"/>
      <c r="LJ14" s="6045"/>
      <c r="LK14" s="6045"/>
      <c r="LL14" s="6045"/>
      <c r="LM14" s="6045"/>
      <c r="LN14" s="6045"/>
      <c r="LO14" s="6045"/>
      <c r="LP14" s="6045"/>
      <c r="LQ14" s="6045"/>
      <c r="LR14" s="6045"/>
      <c r="LS14" s="6045"/>
      <c r="LT14" s="6045"/>
      <c r="LU14" s="6045"/>
      <c r="LV14" s="6045"/>
      <c r="LW14" s="6045"/>
      <c r="LX14" s="6045"/>
      <c r="LY14" s="6045"/>
      <c r="LZ14" s="6046"/>
      <c r="MA14" s="6046"/>
      <c r="MB14" s="6046"/>
      <c r="MC14" s="6046"/>
      <c r="MD14" s="6046"/>
      <c r="ME14" s="6046"/>
      <c r="MF14" s="6046"/>
      <c r="MG14" s="6046"/>
      <c r="MH14" s="6047"/>
      <c r="MI14" s="6047"/>
      <c r="MJ14" s="6047"/>
      <c r="MK14" s="6047"/>
      <c r="ML14" s="6047"/>
      <c r="MM14" s="6047"/>
      <c r="MN14" s="6047"/>
      <c r="MO14" s="6047"/>
      <c r="MP14" s="6047"/>
      <c r="MQ14" s="6047"/>
      <c r="MR14" s="6047"/>
      <c r="MS14" s="6047"/>
      <c r="MT14" s="6046"/>
      <c r="MU14" s="6048"/>
      <c r="MY14" s="6044"/>
      <c r="MZ14" s="6045"/>
      <c r="NA14" s="6045"/>
      <c r="NB14" s="6045"/>
      <c r="NC14" s="6045"/>
      <c r="ND14" s="6045"/>
      <c r="NE14" s="6045"/>
      <c r="NF14" s="6045"/>
      <c r="NG14" s="6045"/>
      <c r="NH14" s="6045"/>
      <c r="NI14" s="6045"/>
      <c r="NJ14" s="6045"/>
      <c r="NK14" s="6045"/>
      <c r="NL14" s="6045"/>
      <c r="NM14" s="6045"/>
      <c r="NN14" s="6045"/>
      <c r="NO14" s="6045"/>
      <c r="NP14" s="6045"/>
      <c r="NQ14" s="6045"/>
      <c r="NR14" s="6045"/>
      <c r="NS14" s="6046"/>
      <c r="NT14" s="6046"/>
      <c r="NU14" s="6046"/>
      <c r="NV14" s="6046"/>
      <c r="NW14" s="6046"/>
      <c r="NX14" s="6046"/>
      <c r="NY14" s="6046"/>
      <c r="NZ14" s="6046"/>
      <c r="OA14" s="6047"/>
      <c r="OB14" s="6047"/>
      <c r="OC14" s="6047"/>
      <c r="OD14" s="6047"/>
      <c r="OE14" s="6047"/>
      <c r="OF14" s="6047"/>
      <c r="OG14" s="6047"/>
      <c r="OH14" s="6047"/>
      <c r="OI14" s="6047"/>
      <c r="OJ14" s="6047"/>
      <c r="OK14" s="6047"/>
      <c r="OL14" s="6047"/>
      <c r="OM14" s="6046"/>
      <c r="ON14" s="6048"/>
    </row>
    <row r="15" spans="3:405" ht="9.9499999999999993" customHeight="1" thickBot="1" x14ac:dyDescent="0.25"/>
    <row r="16" spans="3:405" ht="15" customHeight="1" x14ac:dyDescent="0.2">
      <c r="C16" s="6049"/>
      <c r="D16" s="6050"/>
      <c r="E16" s="6050"/>
      <c r="F16" s="6050"/>
      <c r="G16" s="6050"/>
      <c r="H16" s="6050"/>
      <c r="I16" s="6050"/>
      <c r="J16" s="6050"/>
      <c r="K16" s="6050"/>
      <c r="L16" s="6050"/>
      <c r="M16" s="6050"/>
      <c r="N16" s="6050"/>
      <c r="O16" s="6050"/>
      <c r="P16" s="6050"/>
      <c r="Q16" s="6050"/>
      <c r="R16" s="6050"/>
      <c r="S16" s="6050"/>
      <c r="T16" s="6050"/>
      <c r="U16" s="6050"/>
      <c r="V16" s="6051"/>
      <c r="W16" s="6051"/>
      <c r="X16" s="6051"/>
      <c r="Y16" s="6051"/>
      <c r="Z16" s="6051"/>
      <c r="AA16" s="6050"/>
      <c r="AB16" s="6051"/>
      <c r="AC16" s="6051"/>
      <c r="AD16" s="6051"/>
      <c r="AE16" s="6050"/>
      <c r="AF16" s="6051"/>
      <c r="AG16" s="6051"/>
      <c r="AH16" s="6051"/>
      <c r="AI16" s="6051"/>
      <c r="AJ16" s="6051"/>
      <c r="AK16" s="6050"/>
      <c r="AL16" s="6050"/>
      <c r="AM16" s="6050"/>
      <c r="AN16" s="6050"/>
      <c r="AO16" s="6050"/>
      <c r="AP16" s="6050"/>
      <c r="AQ16" s="6050"/>
      <c r="AR16" s="6052"/>
      <c r="AV16" s="6049"/>
      <c r="AW16" s="6050"/>
      <c r="AX16" s="6050"/>
      <c r="AY16" s="6050"/>
      <c r="AZ16" s="6050"/>
      <c r="BA16" s="6050"/>
      <c r="BB16" s="6050"/>
      <c r="BC16" s="6050"/>
      <c r="BD16" s="6050"/>
      <c r="BE16" s="6050"/>
      <c r="BF16" s="6050"/>
      <c r="BG16" s="6050"/>
      <c r="BH16" s="6050"/>
      <c r="BI16" s="6050"/>
      <c r="BJ16" s="6050"/>
      <c r="BK16" s="6050"/>
      <c r="BL16" s="6050"/>
      <c r="BM16" s="6050"/>
      <c r="BN16" s="6050"/>
      <c r="BO16" s="6051"/>
      <c r="BP16" s="6051"/>
      <c r="BQ16" s="6051"/>
      <c r="BR16" s="6051"/>
      <c r="BS16" s="6051"/>
      <c r="BT16" s="6050"/>
      <c r="BU16" s="6051"/>
      <c r="BV16" s="6051"/>
      <c r="BW16" s="6051"/>
      <c r="BX16" s="6050"/>
      <c r="BY16" s="6051"/>
      <c r="BZ16" s="6051"/>
      <c r="CA16" s="6051"/>
      <c r="CB16" s="6051"/>
      <c r="CC16" s="6051"/>
      <c r="CD16" s="6050"/>
      <c r="CE16" s="6050"/>
      <c r="CF16" s="6050"/>
      <c r="CG16" s="6050"/>
      <c r="CH16" s="6050"/>
      <c r="CI16" s="6050"/>
      <c r="CJ16" s="6050"/>
      <c r="CK16" s="6052"/>
      <c r="CO16" s="6049"/>
      <c r="CP16" s="6050"/>
      <c r="CQ16" s="6050"/>
      <c r="CR16" s="6050"/>
      <c r="CS16" s="6050"/>
      <c r="CT16" s="6050"/>
      <c r="CU16" s="6050"/>
      <c r="CV16" s="6050"/>
      <c r="CW16" s="6050"/>
      <c r="CX16" s="6050"/>
      <c r="CY16" s="6050"/>
      <c r="CZ16" s="6050"/>
      <c r="DA16" s="6050"/>
      <c r="DB16" s="6050"/>
      <c r="DC16" s="6050"/>
      <c r="DD16" s="6050"/>
      <c r="DE16" s="6050"/>
      <c r="DF16" s="6050"/>
      <c r="DG16" s="6050"/>
      <c r="DH16" s="6051"/>
      <c r="DI16" s="6051"/>
      <c r="DJ16" s="6051"/>
      <c r="DK16" s="6051"/>
      <c r="DL16" s="6051"/>
      <c r="DM16" s="6050"/>
      <c r="DN16" s="6051"/>
      <c r="DO16" s="6051"/>
      <c r="DP16" s="6051"/>
      <c r="DQ16" s="6050"/>
      <c r="DR16" s="6051"/>
      <c r="DS16" s="6051"/>
      <c r="DT16" s="6051"/>
      <c r="DU16" s="6051"/>
      <c r="DV16" s="6051"/>
      <c r="DW16" s="6050"/>
      <c r="DX16" s="6050"/>
      <c r="DY16" s="6050"/>
      <c r="DZ16" s="6050"/>
      <c r="EA16" s="6050"/>
      <c r="EB16" s="6050"/>
      <c r="EC16" s="6050"/>
      <c r="ED16" s="6052"/>
      <c r="EH16" s="6049"/>
      <c r="EI16" s="6050"/>
      <c r="EJ16" s="6050"/>
      <c r="EK16" s="6050"/>
      <c r="EL16" s="6050"/>
      <c r="EM16" s="6050"/>
      <c r="EN16" s="6050"/>
      <c r="EO16" s="6050"/>
      <c r="EP16" s="6050"/>
      <c r="EQ16" s="6050"/>
      <c r="ER16" s="6050"/>
      <c r="ES16" s="6050"/>
      <c r="ET16" s="6050"/>
      <c r="EU16" s="6050"/>
      <c r="EV16" s="6050"/>
      <c r="EW16" s="6050"/>
      <c r="EX16" s="6050"/>
      <c r="EY16" s="6050"/>
      <c r="EZ16" s="6050"/>
      <c r="FA16" s="6051"/>
      <c r="FB16" s="6051"/>
      <c r="FC16" s="6051"/>
      <c r="FD16" s="6051"/>
      <c r="FE16" s="6051"/>
      <c r="FF16" s="6050"/>
      <c r="FG16" s="6051"/>
      <c r="FH16" s="6051"/>
      <c r="FI16" s="6051"/>
      <c r="FJ16" s="6050"/>
      <c r="FK16" s="6051"/>
      <c r="FL16" s="6051"/>
      <c r="FM16" s="6051"/>
      <c r="FN16" s="6051"/>
      <c r="FO16" s="6051"/>
      <c r="FP16" s="6050"/>
      <c r="FQ16" s="6050"/>
      <c r="FR16" s="6050"/>
      <c r="FS16" s="6050"/>
      <c r="FT16" s="6050"/>
      <c r="FU16" s="6050"/>
      <c r="FV16" s="6050"/>
      <c r="FW16" s="6052"/>
      <c r="GA16" s="6049"/>
      <c r="GB16" s="6050"/>
      <c r="GC16" s="6050"/>
      <c r="GD16" s="6050"/>
      <c r="GE16" s="6050"/>
      <c r="GF16" s="6050"/>
      <c r="GG16" s="6050"/>
      <c r="GH16" s="6050"/>
      <c r="GI16" s="6050"/>
      <c r="GJ16" s="6050"/>
      <c r="GK16" s="6050"/>
      <c r="GL16" s="6050"/>
      <c r="GM16" s="6050"/>
      <c r="GN16" s="6050"/>
      <c r="GO16" s="6050"/>
      <c r="GP16" s="6050"/>
      <c r="GQ16" s="6050"/>
      <c r="GR16" s="6050"/>
      <c r="GS16" s="6050"/>
      <c r="GT16" s="6051"/>
      <c r="GU16" s="6051"/>
      <c r="GV16" s="6051"/>
      <c r="GW16" s="6051"/>
      <c r="GX16" s="6051"/>
      <c r="GY16" s="6050"/>
      <c r="GZ16" s="6051"/>
      <c r="HA16" s="6051"/>
      <c r="HB16" s="6051"/>
      <c r="HC16" s="6050"/>
      <c r="HD16" s="6051"/>
      <c r="HE16" s="6051"/>
      <c r="HF16" s="6051"/>
      <c r="HG16" s="6051"/>
      <c r="HH16" s="6051"/>
      <c r="HI16" s="6050"/>
      <c r="HJ16" s="6050"/>
      <c r="HK16" s="6050"/>
      <c r="HL16" s="6050"/>
      <c r="HM16" s="6050"/>
      <c r="HN16" s="6050"/>
      <c r="HO16" s="6050"/>
      <c r="HP16" s="6052"/>
      <c r="HT16" s="6049"/>
      <c r="HU16" s="6050"/>
      <c r="HV16" s="6050"/>
      <c r="HW16" s="6050"/>
      <c r="HX16" s="6050"/>
      <c r="HY16" s="6050"/>
      <c r="HZ16" s="6050"/>
      <c r="IA16" s="6050"/>
      <c r="IB16" s="6050"/>
      <c r="IC16" s="6050"/>
      <c r="ID16" s="6050"/>
      <c r="IE16" s="6050"/>
      <c r="IF16" s="6050"/>
      <c r="IG16" s="6050"/>
      <c r="IH16" s="6050"/>
      <c r="II16" s="6050"/>
      <c r="IJ16" s="6050"/>
      <c r="IK16" s="6050"/>
      <c r="IL16" s="6050"/>
      <c r="IM16" s="6051"/>
      <c r="IN16" s="6051"/>
      <c r="IO16" s="6051"/>
      <c r="IP16" s="6051"/>
      <c r="IQ16" s="6051"/>
      <c r="IR16" s="6050"/>
      <c r="IS16" s="6051"/>
      <c r="IT16" s="6051"/>
      <c r="IU16" s="6051"/>
      <c r="IV16" s="6050"/>
      <c r="IW16" s="6051"/>
      <c r="IX16" s="6051"/>
      <c r="IY16" s="6051"/>
      <c r="IZ16" s="6051"/>
      <c r="JA16" s="6051"/>
      <c r="JB16" s="6050"/>
      <c r="JC16" s="6050"/>
      <c r="JD16" s="6050"/>
      <c r="JE16" s="6050"/>
      <c r="JF16" s="6050"/>
      <c r="JG16" s="6050"/>
      <c r="JH16" s="6050"/>
      <c r="JI16" s="6052"/>
      <c r="JM16" s="6049"/>
      <c r="JN16" s="6050"/>
      <c r="JO16" s="6050"/>
      <c r="JP16" s="6050"/>
      <c r="JQ16" s="6050"/>
      <c r="JR16" s="6050"/>
      <c r="JS16" s="6050"/>
      <c r="JT16" s="6050"/>
      <c r="JU16" s="6050"/>
      <c r="JV16" s="6050"/>
      <c r="JW16" s="6050"/>
      <c r="JX16" s="6050"/>
      <c r="JY16" s="6050"/>
      <c r="JZ16" s="6050"/>
      <c r="KA16" s="6050"/>
      <c r="KB16" s="6050"/>
      <c r="KC16" s="6050"/>
      <c r="KD16" s="6050"/>
      <c r="KE16" s="6050"/>
      <c r="KF16" s="6051"/>
      <c r="KG16" s="6051"/>
      <c r="KH16" s="6051"/>
      <c r="KI16" s="6051"/>
      <c r="KJ16" s="6051"/>
      <c r="KK16" s="6050"/>
      <c r="KL16" s="6051"/>
      <c r="KM16" s="6051"/>
      <c r="KN16" s="6051"/>
      <c r="KO16" s="6050"/>
      <c r="KP16" s="6051"/>
      <c r="KQ16" s="6051"/>
      <c r="KR16" s="6051"/>
      <c r="KS16" s="6051"/>
      <c r="KT16" s="6051"/>
      <c r="KU16" s="6050"/>
      <c r="KV16" s="6050"/>
      <c r="KW16" s="6050"/>
      <c r="KX16" s="6050"/>
      <c r="KY16" s="6050"/>
      <c r="KZ16" s="6050"/>
      <c r="LA16" s="6050"/>
      <c r="LB16" s="6052"/>
      <c r="LF16" s="6049"/>
      <c r="LG16" s="6050"/>
      <c r="LH16" s="6050"/>
      <c r="LI16" s="6050"/>
      <c r="LJ16" s="6050"/>
      <c r="LK16" s="6050"/>
      <c r="LL16" s="6050"/>
      <c r="LM16" s="6050"/>
      <c r="LN16" s="6050"/>
      <c r="LO16" s="6050"/>
      <c r="LP16" s="6050"/>
      <c r="LQ16" s="6050"/>
      <c r="LR16" s="6050"/>
      <c r="LS16" s="6050"/>
      <c r="LT16" s="6050"/>
      <c r="LU16" s="6050"/>
      <c r="LV16" s="6050"/>
      <c r="LW16" s="6050"/>
      <c r="LX16" s="6050"/>
      <c r="LY16" s="6051"/>
      <c r="LZ16" s="6051"/>
      <c r="MA16" s="6051"/>
      <c r="MB16" s="6051"/>
      <c r="MC16" s="6051"/>
      <c r="MD16" s="6050"/>
      <c r="ME16" s="6051"/>
      <c r="MF16" s="6051"/>
      <c r="MG16" s="6051"/>
      <c r="MH16" s="6050"/>
      <c r="MI16" s="6051"/>
      <c r="MJ16" s="6051"/>
      <c r="MK16" s="6051"/>
      <c r="ML16" s="6051"/>
      <c r="MM16" s="6051"/>
      <c r="MN16" s="6050"/>
      <c r="MO16" s="6050"/>
      <c r="MP16" s="6050"/>
      <c r="MQ16" s="6050"/>
      <c r="MR16" s="6050"/>
      <c r="MS16" s="6050"/>
      <c r="MT16" s="6050"/>
      <c r="MU16" s="6052"/>
      <c r="MY16" s="6049"/>
      <c r="MZ16" s="6050"/>
      <c r="NA16" s="6050"/>
      <c r="NB16" s="6050"/>
      <c r="NC16" s="6050"/>
      <c r="ND16" s="6050"/>
      <c r="NE16" s="6050"/>
      <c r="NF16" s="6050"/>
      <c r="NG16" s="6050"/>
      <c r="NH16" s="6050"/>
      <c r="NI16" s="6050"/>
      <c r="NJ16" s="6050"/>
      <c r="NK16" s="6050"/>
      <c r="NL16" s="6050"/>
      <c r="NM16" s="6050"/>
      <c r="NN16" s="6050"/>
      <c r="NO16" s="6050"/>
      <c r="NP16" s="6050"/>
      <c r="NQ16" s="6050"/>
      <c r="NR16" s="6051"/>
      <c r="NS16" s="6051"/>
      <c r="NT16" s="6051"/>
      <c r="NU16" s="6051"/>
      <c r="NV16" s="6051"/>
      <c r="NW16" s="6050"/>
      <c r="NX16" s="6051"/>
      <c r="NY16" s="6051"/>
      <c r="NZ16" s="6051"/>
      <c r="OA16" s="6050"/>
      <c r="OB16" s="6051"/>
      <c r="OC16" s="6051"/>
      <c r="OD16" s="6051"/>
      <c r="OE16" s="6051"/>
      <c r="OF16" s="6051"/>
      <c r="OG16" s="6050"/>
      <c r="OH16" s="6050"/>
      <c r="OI16" s="6050"/>
      <c r="OJ16" s="6050"/>
      <c r="OK16" s="6050"/>
      <c r="OL16" s="6050"/>
      <c r="OM16" s="6050"/>
      <c r="ON16" s="6052"/>
    </row>
    <row r="17" spans="3:404" s="21" customFormat="1" ht="20.100000000000001" customHeight="1" x14ac:dyDescent="0.2">
      <c r="C17" s="6053"/>
      <c r="D17" s="6783" t="str">
        <f>_Calcs!$IK$115</f>
        <v>Framdriftsfaktor</v>
      </c>
      <c r="E17" s="6783"/>
      <c r="F17" s="6783"/>
      <c r="G17" s="6783"/>
      <c r="H17" s="6783"/>
      <c r="I17" s="6783"/>
      <c r="J17" s="6783"/>
      <c r="K17" s="6783"/>
      <c r="L17" s="6783"/>
      <c r="M17" s="6783"/>
      <c r="N17" s="6783"/>
      <c r="O17" s="6783"/>
      <c r="P17" s="6783"/>
      <c r="Q17" s="6783"/>
      <c r="R17" s="6783"/>
      <c r="S17" s="6783"/>
      <c r="T17" s="6783"/>
      <c r="U17" s="6783"/>
      <c r="V17" s="6783"/>
      <c r="W17" s="6783"/>
      <c r="X17" s="6783"/>
      <c r="Y17" s="6783"/>
      <c r="Z17" s="6783"/>
      <c r="AA17" s="6783"/>
      <c r="AB17" s="6783"/>
      <c r="AC17" s="6783"/>
      <c r="AD17" s="6783"/>
      <c r="AE17" s="6783"/>
      <c r="AF17" s="6783"/>
      <c r="AG17" s="6783"/>
      <c r="AH17" s="6783"/>
      <c r="AI17" s="6783"/>
      <c r="AJ17" s="6783"/>
      <c r="AK17" s="6783"/>
      <c r="AL17" s="6783"/>
      <c r="AM17" s="6783"/>
      <c r="AN17" s="6783"/>
      <c r="AO17" s="6783"/>
      <c r="AP17" s="6783"/>
      <c r="AQ17" s="6783"/>
      <c r="AR17" s="6054"/>
      <c r="AV17" s="6053"/>
      <c r="AW17" s="6783" t="str">
        <f>_Calcs!$IL$115</f>
        <v>Framdriftsfaktor</v>
      </c>
      <c r="AX17" s="6783"/>
      <c r="AY17" s="6783"/>
      <c r="AZ17" s="6783"/>
      <c r="BA17" s="6783"/>
      <c r="BB17" s="6783"/>
      <c r="BC17" s="6783"/>
      <c r="BD17" s="6783"/>
      <c r="BE17" s="6783"/>
      <c r="BF17" s="6783"/>
      <c r="BG17" s="6783"/>
      <c r="BH17" s="6783"/>
      <c r="BI17" s="6783"/>
      <c r="BJ17" s="6783"/>
      <c r="BK17" s="6783"/>
      <c r="BL17" s="6783"/>
      <c r="BM17" s="6783"/>
      <c r="BN17" s="6783"/>
      <c r="BO17" s="6783"/>
      <c r="BP17" s="6783"/>
      <c r="BQ17" s="6783"/>
      <c r="BR17" s="6783"/>
      <c r="BS17" s="6783"/>
      <c r="BT17" s="6783"/>
      <c r="BU17" s="6783"/>
      <c r="BV17" s="6783"/>
      <c r="BW17" s="6783"/>
      <c r="BX17" s="6783"/>
      <c r="BY17" s="6783"/>
      <c r="BZ17" s="6783"/>
      <c r="CA17" s="6783"/>
      <c r="CB17" s="6783"/>
      <c r="CC17" s="6783"/>
      <c r="CD17" s="6783"/>
      <c r="CE17" s="6783"/>
      <c r="CF17" s="6783"/>
      <c r="CG17" s="6783"/>
      <c r="CH17" s="6783"/>
      <c r="CI17" s="6783"/>
      <c r="CJ17" s="6783"/>
      <c r="CK17" s="6054"/>
      <c r="CO17" s="6053"/>
      <c r="CP17" s="6783" t="str">
        <f>_Calcs!$IM$115</f>
        <v>Framdriftsfaktor</v>
      </c>
      <c r="CQ17" s="6783"/>
      <c r="CR17" s="6783"/>
      <c r="CS17" s="6783"/>
      <c r="CT17" s="6783"/>
      <c r="CU17" s="6783"/>
      <c r="CV17" s="6783"/>
      <c r="CW17" s="6783"/>
      <c r="CX17" s="6783"/>
      <c r="CY17" s="6783"/>
      <c r="CZ17" s="6783"/>
      <c r="DA17" s="6783"/>
      <c r="DB17" s="6783"/>
      <c r="DC17" s="6783"/>
      <c r="DD17" s="6783"/>
      <c r="DE17" s="6783"/>
      <c r="DF17" s="6783"/>
      <c r="DG17" s="6783"/>
      <c r="DH17" s="6783"/>
      <c r="DI17" s="6783"/>
      <c r="DJ17" s="6783"/>
      <c r="DK17" s="6783"/>
      <c r="DL17" s="6783"/>
      <c r="DM17" s="6783"/>
      <c r="DN17" s="6783"/>
      <c r="DO17" s="6783"/>
      <c r="DP17" s="6783"/>
      <c r="DQ17" s="6783"/>
      <c r="DR17" s="6783"/>
      <c r="DS17" s="6783"/>
      <c r="DT17" s="6783"/>
      <c r="DU17" s="6783"/>
      <c r="DV17" s="6783"/>
      <c r="DW17" s="6783"/>
      <c r="DX17" s="6783"/>
      <c r="DY17" s="6783"/>
      <c r="DZ17" s="6783"/>
      <c r="EA17" s="6783"/>
      <c r="EB17" s="6783"/>
      <c r="EC17" s="6783"/>
      <c r="ED17" s="6054"/>
      <c r="EH17" s="6053"/>
      <c r="EI17" s="6783" t="str">
        <f>_Calcs!$IN$115</f>
        <v>Framdriftsfaktor</v>
      </c>
      <c r="EJ17" s="6783"/>
      <c r="EK17" s="6783"/>
      <c r="EL17" s="6783"/>
      <c r="EM17" s="6783"/>
      <c r="EN17" s="6783"/>
      <c r="EO17" s="6783"/>
      <c r="EP17" s="6783"/>
      <c r="EQ17" s="6783"/>
      <c r="ER17" s="6783"/>
      <c r="ES17" s="6783"/>
      <c r="ET17" s="6783"/>
      <c r="EU17" s="6783"/>
      <c r="EV17" s="6783"/>
      <c r="EW17" s="6783"/>
      <c r="EX17" s="6783"/>
      <c r="EY17" s="6783"/>
      <c r="EZ17" s="6783"/>
      <c r="FA17" s="6783"/>
      <c r="FB17" s="6783"/>
      <c r="FC17" s="6783"/>
      <c r="FD17" s="6783"/>
      <c r="FE17" s="6783"/>
      <c r="FF17" s="6783"/>
      <c r="FG17" s="6783"/>
      <c r="FH17" s="6783"/>
      <c r="FI17" s="6783"/>
      <c r="FJ17" s="6783"/>
      <c r="FK17" s="6783"/>
      <c r="FL17" s="6783"/>
      <c r="FM17" s="6783"/>
      <c r="FN17" s="6783"/>
      <c r="FO17" s="6783"/>
      <c r="FP17" s="6783"/>
      <c r="FQ17" s="6783"/>
      <c r="FR17" s="6783"/>
      <c r="FS17" s="6783"/>
      <c r="FT17" s="6783"/>
      <c r="FU17" s="6783"/>
      <c r="FV17" s="6783"/>
      <c r="FW17" s="6054"/>
      <c r="GA17" s="6053"/>
      <c r="GB17" s="6783" t="str">
        <f>_Calcs!$IO$115</f>
        <v>Framdriftsfaktor</v>
      </c>
      <c r="GC17" s="6783"/>
      <c r="GD17" s="6783"/>
      <c r="GE17" s="6783"/>
      <c r="GF17" s="6783"/>
      <c r="GG17" s="6783"/>
      <c r="GH17" s="6783"/>
      <c r="GI17" s="6783"/>
      <c r="GJ17" s="6783"/>
      <c r="GK17" s="6783"/>
      <c r="GL17" s="6783"/>
      <c r="GM17" s="6783"/>
      <c r="GN17" s="6783"/>
      <c r="GO17" s="6783"/>
      <c r="GP17" s="6783"/>
      <c r="GQ17" s="6783"/>
      <c r="GR17" s="6783"/>
      <c r="GS17" s="6783"/>
      <c r="GT17" s="6783"/>
      <c r="GU17" s="6783"/>
      <c r="GV17" s="6783"/>
      <c r="GW17" s="6783"/>
      <c r="GX17" s="6783"/>
      <c r="GY17" s="6783"/>
      <c r="GZ17" s="6783"/>
      <c r="HA17" s="6783"/>
      <c r="HB17" s="6783"/>
      <c r="HC17" s="6783"/>
      <c r="HD17" s="6783"/>
      <c r="HE17" s="6783"/>
      <c r="HF17" s="6783"/>
      <c r="HG17" s="6783"/>
      <c r="HH17" s="6783"/>
      <c r="HI17" s="6783"/>
      <c r="HJ17" s="6783"/>
      <c r="HK17" s="6783"/>
      <c r="HL17" s="6783"/>
      <c r="HM17" s="6783"/>
      <c r="HN17" s="6783"/>
      <c r="HO17" s="6783"/>
      <c r="HP17" s="6054"/>
      <c r="HT17" s="6053"/>
      <c r="HU17" s="6783" t="str">
        <f>_Calcs!$IP$115</f>
        <v>Framdriftsfaktor</v>
      </c>
      <c r="HV17" s="6783"/>
      <c r="HW17" s="6783"/>
      <c r="HX17" s="6783"/>
      <c r="HY17" s="6783"/>
      <c r="HZ17" s="6783"/>
      <c r="IA17" s="6783"/>
      <c r="IB17" s="6783"/>
      <c r="IC17" s="6783"/>
      <c r="ID17" s="6783"/>
      <c r="IE17" s="6783"/>
      <c r="IF17" s="6783"/>
      <c r="IG17" s="6783"/>
      <c r="IH17" s="6783"/>
      <c r="II17" s="6783"/>
      <c r="IJ17" s="6783"/>
      <c r="IK17" s="6783"/>
      <c r="IL17" s="6783"/>
      <c r="IM17" s="6783"/>
      <c r="IN17" s="6783"/>
      <c r="IO17" s="6783"/>
      <c r="IP17" s="6783"/>
      <c r="IQ17" s="6783"/>
      <c r="IR17" s="6783"/>
      <c r="IS17" s="6783"/>
      <c r="IT17" s="6783"/>
      <c r="IU17" s="6783"/>
      <c r="IV17" s="6783"/>
      <c r="IW17" s="6783"/>
      <c r="IX17" s="6783"/>
      <c r="IY17" s="6783"/>
      <c r="IZ17" s="6783"/>
      <c r="JA17" s="6783"/>
      <c r="JB17" s="6783"/>
      <c r="JC17" s="6783"/>
      <c r="JD17" s="6783"/>
      <c r="JE17" s="6783"/>
      <c r="JF17" s="6783"/>
      <c r="JG17" s="6783"/>
      <c r="JH17" s="6783"/>
      <c r="JI17" s="6054"/>
      <c r="JM17" s="6053"/>
      <c r="JN17" s="6783" t="str">
        <f>_Calcs!$IQ$115</f>
        <v>Framdriftsfaktor</v>
      </c>
      <c r="JO17" s="6783"/>
      <c r="JP17" s="6783"/>
      <c r="JQ17" s="6783"/>
      <c r="JR17" s="6783"/>
      <c r="JS17" s="6783"/>
      <c r="JT17" s="6783"/>
      <c r="JU17" s="6783"/>
      <c r="JV17" s="6783"/>
      <c r="JW17" s="6783"/>
      <c r="JX17" s="6783"/>
      <c r="JY17" s="6783"/>
      <c r="JZ17" s="6783"/>
      <c r="KA17" s="6783"/>
      <c r="KB17" s="6783"/>
      <c r="KC17" s="6783"/>
      <c r="KD17" s="6783"/>
      <c r="KE17" s="6783"/>
      <c r="KF17" s="6783"/>
      <c r="KG17" s="6783"/>
      <c r="KH17" s="6783"/>
      <c r="KI17" s="6783"/>
      <c r="KJ17" s="6783"/>
      <c r="KK17" s="6783"/>
      <c r="KL17" s="6783"/>
      <c r="KM17" s="6783"/>
      <c r="KN17" s="6783"/>
      <c r="KO17" s="6783"/>
      <c r="KP17" s="6783"/>
      <c r="KQ17" s="6783"/>
      <c r="KR17" s="6783"/>
      <c r="KS17" s="6783"/>
      <c r="KT17" s="6783"/>
      <c r="KU17" s="6783"/>
      <c r="KV17" s="6783"/>
      <c r="KW17" s="6783"/>
      <c r="KX17" s="6783"/>
      <c r="KY17" s="6783"/>
      <c r="KZ17" s="6783"/>
      <c r="LA17" s="6783"/>
      <c r="LB17" s="6054"/>
      <c r="LF17" s="6053"/>
      <c r="LG17" s="6783" t="str">
        <f>_Calcs!$IR$115</f>
        <v>Framdriftsfaktor</v>
      </c>
      <c r="LH17" s="6783"/>
      <c r="LI17" s="6783"/>
      <c r="LJ17" s="6783"/>
      <c r="LK17" s="6783"/>
      <c r="LL17" s="6783"/>
      <c r="LM17" s="6783"/>
      <c r="LN17" s="6783"/>
      <c r="LO17" s="6783"/>
      <c r="LP17" s="6783"/>
      <c r="LQ17" s="6783"/>
      <c r="LR17" s="6783"/>
      <c r="LS17" s="6783"/>
      <c r="LT17" s="6783"/>
      <c r="LU17" s="6783"/>
      <c r="LV17" s="6783"/>
      <c r="LW17" s="6783"/>
      <c r="LX17" s="6783"/>
      <c r="LY17" s="6783"/>
      <c r="LZ17" s="6783"/>
      <c r="MA17" s="6783"/>
      <c r="MB17" s="6783"/>
      <c r="MC17" s="6783"/>
      <c r="MD17" s="6783"/>
      <c r="ME17" s="6783"/>
      <c r="MF17" s="6783"/>
      <c r="MG17" s="6783"/>
      <c r="MH17" s="6783"/>
      <c r="MI17" s="6783"/>
      <c r="MJ17" s="6783"/>
      <c r="MK17" s="6783"/>
      <c r="ML17" s="6783"/>
      <c r="MM17" s="6783"/>
      <c r="MN17" s="6783"/>
      <c r="MO17" s="6783"/>
      <c r="MP17" s="6783"/>
      <c r="MQ17" s="6783"/>
      <c r="MR17" s="6783"/>
      <c r="MS17" s="6783"/>
      <c r="MT17" s="6783"/>
      <c r="MU17" s="6054"/>
      <c r="MY17" s="6053"/>
      <c r="MZ17" s="6783" t="str">
        <f>_Calcs!$IS$115</f>
        <v>Framdriftsfaktor</v>
      </c>
      <c r="NA17" s="6783"/>
      <c r="NB17" s="6783"/>
      <c r="NC17" s="6783"/>
      <c r="ND17" s="6783"/>
      <c r="NE17" s="6783"/>
      <c r="NF17" s="6783"/>
      <c r="NG17" s="6783"/>
      <c r="NH17" s="6783"/>
      <c r="NI17" s="6783"/>
      <c r="NJ17" s="6783"/>
      <c r="NK17" s="6783"/>
      <c r="NL17" s="6783"/>
      <c r="NM17" s="6783"/>
      <c r="NN17" s="6783"/>
      <c r="NO17" s="6783"/>
      <c r="NP17" s="6783"/>
      <c r="NQ17" s="6783"/>
      <c r="NR17" s="6783"/>
      <c r="NS17" s="6783"/>
      <c r="NT17" s="6783"/>
      <c r="NU17" s="6783"/>
      <c r="NV17" s="6783"/>
      <c r="NW17" s="6783"/>
      <c r="NX17" s="6783"/>
      <c r="NY17" s="6783"/>
      <c r="NZ17" s="6783"/>
      <c r="OA17" s="6783"/>
      <c r="OB17" s="6783"/>
      <c r="OC17" s="6783"/>
      <c r="OD17" s="6783"/>
      <c r="OE17" s="6783"/>
      <c r="OF17" s="6783"/>
      <c r="OG17" s="6783"/>
      <c r="OH17" s="6783"/>
      <c r="OI17" s="6783"/>
      <c r="OJ17" s="6783"/>
      <c r="OK17" s="6783"/>
      <c r="OL17" s="6783"/>
      <c r="OM17" s="6783"/>
      <c r="ON17" s="6054"/>
    </row>
    <row r="18" spans="3:404" ht="5.0999999999999996" customHeight="1" x14ac:dyDescent="0.2">
      <c r="C18" s="6055"/>
      <c r="D18" s="6056"/>
      <c r="E18" s="6056"/>
      <c r="F18" s="6056"/>
      <c r="G18" s="6056"/>
      <c r="H18" s="6056"/>
      <c r="I18" s="6056"/>
      <c r="J18" s="6056"/>
      <c r="K18" s="6056"/>
      <c r="L18" s="6056"/>
      <c r="M18" s="6056"/>
      <c r="N18" s="6056"/>
      <c r="O18" s="6056"/>
      <c r="P18" s="6056"/>
      <c r="Q18" s="6056"/>
      <c r="R18" s="6056"/>
      <c r="S18" s="6056"/>
      <c r="T18" s="6056"/>
      <c r="U18" s="6056"/>
      <c r="V18" s="6057"/>
      <c r="W18" s="6057"/>
      <c r="X18" s="6057"/>
      <c r="Y18" s="6057"/>
      <c r="Z18" s="6057"/>
      <c r="AA18" s="6056"/>
      <c r="AB18" s="6057"/>
      <c r="AC18" s="6057"/>
      <c r="AD18" s="6057"/>
      <c r="AE18" s="6056"/>
      <c r="AF18" s="6057"/>
      <c r="AG18" s="6057"/>
      <c r="AH18" s="6057"/>
      <c r="AI18" s="6057"/>
      <c r="AJ18" s="6057"/>
      <c r="AK18" s="6056"/>
      <c r="AL18" s="6056"/>
      <c r="AM18" s="6056"/>
      <c r="AN18" s="6056"/>
      <c r="AO18" s="6056"/>
      <c r="AP18" s="6056"/>
      <c r="AQ18" s="6056"/>
      <c r="AR18" s="6058"/>
      <c r="AV18" s="6055"/>
      <c r="AW18" s="6056"/>
      <c r="AX18" s="6056"/>
      <c r="AY18" s="6056"/>
      <c r="AZ18" s="6056"/>
      <c r="BA18" s="6056"/>
      <c r="BB18" s="6056"/>
      <c r="BC18" s="6056"/>
      <c r="BD18" s="6056"/>
      <c r="BE18" s="6056"/>
      <c r="BF18" s="6056"/>
      <c r="BG18" s="6056"/>
      <c r="BH18" s="6056"/>
      <c r="BI18" s="6056"/>
      <c r="BJ18" s="6056"/>
      <c r="BK18" s="6056"/>
      <c r="BL18" s="6056"/>
      <c r="BM18" s="6056"/>
      <c r="BN18" s="6056"/>
      <c r="BO18" s="6057"/>
      <c r="BP18" s="6057"/>
      <c r="BQ18" s="6057"/>
      <c r="BR18" s="6057"/>
      <c r="BS18" s="6057"/>
      <c r="BT18" s="6056"/>
      <c r="BU18" s="6057"/>
      <c r="BV18" s="6057"/>
      <c r="BW18" s="6057"/>
      <c r="BX18" s="6056"/>
      <c r="BY18" s="6057"/>
      <c r="BZ18" s="6057"/>
      <c r="CA18" s="6057"/>
      <c r="CB18" s="6057"/>
      <c r="CC18" s="6057"/>
      <c r="CD18" s="6056"/>
      <c r="CE18" s="6056"/>
      <c r="CF18" s="6056"/>
      <c r="CG18" s="6056"/>
      <c r="CH18" s="6056"/>
      <c r="CI18" s="6056"/>
      <c r="CJ18" s="6056"/>
      <c r="CK18" s="6058"/>
      <c r="CO18" s="6055"/>
      <c r="CP18" s="6056"/>
      <c r="CQ18" s="6056"/>
      <c r="CR18" s="6056"/>
      <c r="CS18" s="6056"/>
      <c r="CT18" s="6056"/>
      <c r="CU18" s="6056"/>
      <c r="CV18" s="6056"/>
      <c r="CW18" s="6056"/>
      <c r="CX18" s="6056"/>
      <c r="CY18" s="6056"/>
      <c r="CZ18" s="6056"/>
      <c r="DA18" s="6056"/>
      <c r="DB18" s="6056"/>
      <c r="DC18" s="6056"/>
      <c r="DD18" s="6056"/>
      <c r="DE18" s="6056"/>
      <c r="DF18" s="6056"/>
      <c r="DG18" s="6056"/>
      <c r="DH18" s="6057"/>
      <c r="DI18" s="6057"/>
      <c r="DJ18" s="6057"/>
      <c r="DK18" s="6057"/>
      <c r="DL18" s="6057"/>
      <c r="DM18" s="6056"/>
      <c r="DN18" s="6057"/>
      <c r="DO18" s="6057"/>
      <c r="DP18" s="6057"/>
      <c r="DQ18" s="6056"/>
      <c r="DR18" s="6057"/>
      <c r="DS18" s="6057"/>
      <c r="DT18" s="6057"/>
      <c r="DU18" s="6057"/>
      <c r="DV18" s="6057"/>
      <c r="DW18" s="6056"/>
      <c r="DX18" s="6056"/>
      <c r="DY18" s="6056"/>
      <c r="DZ18" s="6056"/>
      <c r="EA18" s="6056"/>
      <c r="EB18" s="6056"/>
      <c r="EC18" s="6056"/>
      <c r="ED18" s="6058"/>
      <c r="EH18" s="6055"/>
      <c r="EI18" s="6056"/>
      <c r="EJ18" s="6056"/>
      <c r="EK18" s="6056"/>
      <c r="EL18" s="6056"/>
      <c r="EM18" s="6056"/>
      <c r="EN18" s="6056"/>
      <c r="EO18" s="6056"/>
      <c r="EP18" s="6056"/>
      <c r="EQ18" s="6056"/>
      <c r="ER18" s="6056"/>
      <c r="ES18" s="6056"/>
      <c r="ET18" s="6056"/>
      <c r="EU18" s="6056"/>
      <c r="EV18" s="6056"/>
      <c r="EW18" s="6056"/>
      <c r="EX18" s="6056"/>
      <c r="EY18" s="6056"/>
      <c r="EZ18" s="6056"/>
      <c r="FA18" s="6057"/>
      <c r="FB18" s="6057"/>
      <c r="FC18" s="6057"/>
      <c r="FD18" s="6057"/>
      <c r="FE18" s="6057"/>
      <c r="FF18" s="6056"/>
      <c r="FG18" s="6057"/>
      <c r="FH18" s="6057"/>
      <c r="FI18" s="6057"/>
      <c r="FJ18" s="6056"/>
      <c r="FK18" s="6057"/>
      <c r="FL18" s="6057"/>
      <c r="FM18" s="6057"/>
      <c r="FN18" s="6057"/>
      <c r="FO18" s="6057"/>
      <c r="FP18" s="6056"/>
      <c r="FQ18" s="6056"/>
      <c r="FR18" s="6056"/>
      <c r="FS18" s="6056"/>
      <c r="FT18" s="6056"/>
      <c r="FU18" s="6056"/>
      <c r="FV18" s="6056"/>
      <c r="FW18" s="6058"/>
      <c r="GA18" s="6055"/>
      <c r="GB18" s="6056"/>
      <c r="GC18" s="6056"/>
      <c r="GD18" s="6056"/>
      <c r="GE18" s="6056"/>
      <c r="GF18" s="6056"/>
      <c r="GG18" s="6056"/>
      <c r="GH18" s="6056"/>
      <c r="GI18" s="6056"/>
      <c r="GJ18" s="6056"/>
      <c r="GK18" s="6056"/>
      <c r="GL18" s="6056"/>
      <c r="GM18" s="6056"/>
      <c r="GN18" s="6056"/>
      <c r="GO18" s="6056"/>
      <c r="GP18" s="6056"/>
      <c r="GQ18" s="6056"/>
      <c r="GR18" s="6056"/>
      <c r="GS18" s="6056"/>
      <c r="GT18" s="6057"/>
      <c r="GU18" s="6057"/>
      <c r="GV18" s="6057"/>
      <c r="GW18" s="6057"/>
      <c r="GX18" s="6057"/>
      <c r="GY18" s="6056"/>
      <c r="GZ18" s="6057"/>
      <c r="HA18" s="6057"/>
      <c r="HB18" s="6057"/>
      <c r="HC18" s="6056"/>
      <c r="HD18" s="6057"/>
      <c r="HE18" s="6057"/>
      <c r="HF18" s="6057"/>
      <c r="HG18" s="6057"/>
      <c r="HH18" s="6057"/>
      <c r="HI18" s="6056"/>
      <c r="HJ18" s="6056"/>
      <c r="HK18" s="6056"/>
      <c r="HL18" s="6056"/>
      <c r="HM18" s="6056"/>
      <c r="HN18" s="6056"/>
      <c r="HO18" s="6056"/>
      <c r="HP18" s="6058"/>
      <c r="HT18" s="6055"/>
      <c r="HU18" s="6056"/>
      <c r="HV18" s="6056"/>
      <c r="HW18" s="6056"/>
      <c r="HX18" s="6056"/>
      <c r="HY18" s="6056"/>
      <c r="HZ18" s="6056"/>
      <c r="IA18" s="6056"/>
      <c r="IB18" s="6056"/>
      <c r="IC18" s="6056"/>
      <c r="ID18" s="6056"/>
      <c r="IE18" s="6056"/>
      <c r="IF18" s="6056"/>
      <c r="IG18" s="6056"/>
      <c r="IH18" s="6056"/>
      <c r="II18" s="6056"/>
      <c r="IJ18" s="6056"/>
      <c r="IK18" s="6056"/>
      <c r="IL18" s="6056"/>
      <c r="IM18" s="6057"/>
      <c r="IN18" s="6057"/>
      <c r="IO18" s="6057"/>
      <c r="IP18" s="6057"/>
      <c r="IQ18" s="6057"/>
      <c r="IR18" s="6056"/>
      <c r="IS18" s="6057"/>
      <c r="IT18" s="6057"/>
      <c r="IU18" s="6057"/>
      <c r="IV18" s="6056"/>
      <c r="IW18" s="6057"/>
      <c r="IX18" s="6057"/>
      <c r="IY18" s="6057"/>
      <c r="IZ18" s="6057"/>
      <c r="JA18" s="6057"/>
      <c r="JB18" s="6056"/>
      <c r="JC18" s="6056"/>
      <c r="JD18" s="6056"/>
      <c r="JE18" s="6056"/>
      <c r="JF18" s="6056"/>
      <c r="JG18" s="6056"/>
      <c r="JH18" s="6056"/>
      <c r="JI18" s="6058"/>
      <c r="JM18" s="6055"/>
      <c r="JN18" s="6056"/>
      <c r="JO18" s="6056"/>
      <c r="JP18" s="6056"/>
      <c r="JQ18" s="6056"/>
      <c r="JR18" s="6056"/>
      <c r="JS18" s="6056"/>
      <c r="JT18" s="6056"/>
      <c r="JU18" s="6056"/>
      <c r="JV18" s="6056"/>
      <c r="JW18" s="6056"/>
      <c r="JX18" s="6056"/>
      <c r="JY18" s="6056"/>
      <c r="JZ18" s="6056"/>
      <c r="KA18" s="6056"/>
      <c r="KB18" s="6056"/>
      <c r="KC18" s="6056"/>
      <c r="KD18" s="6056"/>
      <c r="KE18" s="6056"/>
      <c r="KF18" s="6057"/>
      <c r="KG18" s="6057"/>
      <c r="KH18" s="6057"/>
      <c r="KI18" s="6057"/>
      <c r="KJ18" s="6057"/>
      <c r="KK18" s="6056"/>
      <c r="KL18" s="6057"/>
      <c r="KM18" s="6057"/>
      <c r="KN18" s="6057"/>
      <c r="KO18" s="6056"/>
      <c r="KP18" s="6057"/>
      <c r="KQ18" s="6057"/>
      <c r="KR18" s="6057"/>
      <c r="KS18" s="6057"/>
      <c r="KT18" s="6057"/>
      <c r="KU18" s="6056"/>
      <c r="KV18" s="6056"/>
      <c r="KW18" s="6056"/>
      <c r="KX18" s="6056"/>
      <c r="KY18" s="6056"/>
      <c r="KZ18" s="6056"/>
      <c r="LA18" s="6056"/>
      <c r="LB18" s="6058"/>
      <c r="LF18" s="6055"/>
      <c r="LG18" s="6056"/>
      <c r="LH18" s="6056"/>
      <c r="LI18" s="6056"/>
      <c r="LJ18" s="6056"/>
      <c r="LK18" s="6056"/>
      <c r="LL18" s="6056"/>
      <c r="LM18" s="6056"/>
      <c r="LN18" s="6056"/>
      <c r="LO18" s="6056"/>
      <c r="LP18" s="6056"/>
      <c r="LQ18" s="6056"/>
      <c r="LR18" s="6056"/>
      <c r="LS18" s="6056"/>
      <c r="LT18" s="6056"/>
      <c r="LU18" s="6056"/>
      <c r="LV18" s="6056"/>
      <c r="LW18" s="6056"/>
      <c r="LX18" s="6056"/>
      <c r="LY18" s="6057"/>
      <c r="LZ18" s="6057"/>
      <c r="MA18" s="6057"/>
      <c r="MB18" s="6057"/>
      <c r="MC18" s="6057"/>
      <c r="MD18" s="6056"/>
      <c r="ME18" s="6057"/>
      <c r="MF18" s="6057"/>
      <c r="MG18" s="6057"/>
      <c r="MH18" s="6056"/>
      <c r="MI18" s="6057"/>
      <c r="MJ18" s="6057"/>
      <c r="MK18" s="6057"/>
      <c r="ML18" s="6057"/>
      <c r="MM18" s="6057"/>
      <c r="MN18" s="6056"/>
      <c r="MO18" s="6056"/>
      <c r="MP18" s="6056"/>
      <c r="MQ18" s="6056"/>
      <c r="MR18" s="6056"/>
      <c r="MS18" s="6056"/>
      <c r="MT18" s="6056"/>
      <c r="MU18" s="6058"/>
      <c r="MY18" s="6055"/>
      <c r="MZ18" s="6056"/>
      <c r="NA18" s="6056"/>
      <c r="NB18" s="6056"/>
      <c r="NC18" s="6056"/>
      <c r="ND18" s="6056"/>
      <c r="NE18" s="6056"/>
      <c r="NF18" s="6056"/>
      <c r="NG18" s="6056"/>
      <c r="NH18" s="6056"/>
      <c r="NI18" s="6056"/>
      <c r="NJ18" s="6056"/>
      <c r="NK18" s="6056"/>
      <c r="NL18" s="6056"/>
      <c r="NM18" s="6056"/>
      <c r="NN18" s="6056"/>
      <c r="NO18" s="6056"/>
      <c r="NP18" s="6056"/>
      <c r="NQ18" s="6056"/>
      <c r="NR18" s="6057"/>
      <c r="NS18" s="6057"/>
      <c r="NT18" s="6057"/>
      <c r="NU18" s="6057"/>
      <c r="NV18" s="6057"/>
      <c r="NW18" s="6056"/>
      <c r="NX18" s="6057"/>
      <c r="NY18" s="6057"/>
      <c r="NZ18" s="6057"/>
      <c r="OA18" s="6056"/>
      <c r="OB18" s="6057"/>
      <c r="OC18" s="6057"/>
      <c r="OD18" s="6057"/>
      <c r="OE18" s="6057"/>
      <c r="OF18" s="6057"/>
      <c r="OG18" s="6056"/>
      <c r="OH18" s="6056"/>
      <c r="OI18" s="6056"/>
      <c r="OJ18" s="6056"/>
      <c r="OK18" s="6056"/>
      <c r="OL18" s="6056"/>
      <c r="OM18" s="6056"/>
      <c r="ON18" s="6058"/>
    </row>
    <row r="19" spans="3:404" s="6063" customFormat="1" ht="12" customHeight="1" x14ac:dyDescent="0.2">
      <c r="C19" s="6059"/>
      <c r="D19" s="6060" t="str">
        <f>Tunneldrift!$M$150</f>
        <v>Driftsform</v>
      </c>
      <c r="E19" s="6060"/>
      <c r="F19" s="6060"/>
      <c r="G19" s="6060"/>
      <c r="H19" s="6060"/>
      <c r="I19" s="6060"/>
      <c r="J19" s="6060"/>
      <c r="K19" s="6060"/>
      <c r="L19" s="6060"/>
      <c r="M19" s="6061"/>
      <c r="N19" s="6061"/>
      <c r="O19" s="6061"/>
      <c r="P19" s="6061"/>
      <c r="Q19" s="6061"/>
      <c r="R19" s="6061"/>
      <c r="S19" s="6061"/>
      <c r="T19" s="6061"/>
      <c r="U19" s="6061"/>
      <c r="V19" s="6061"/>
      <c r="W19" s="6061"/>
      <c r="X19" s="6060"/>
      <c r="Y19" s="6060"/>
      <c r="Z19" s="6060"/>
      <c r="AA19" s="6060"/>
      <c r="AB19" s="6060"/>
      <c r="AC19" s="6060"/>
      <c r="AD19" s="6060"/>
      <c r="AE19" s="6060"/>
      <c r="AF19" s="6060"/>
      <c r="AG19" s="6060"/>
      <c r="AH19" s="6060"/>
      <c r="AI19" s="6060"/>
      <c r="AJ19" s="6060"/>
      <c r="AK19" s="6060"/>
      <c r="AL19" s="6060"/>
      <c r="AM19" s="6060"/>
      <c r="AN19" s="6060"/>
      <c r="AO19" s="6060"/>
      <c r="AP19" s="6060"/>
      <c r="AQ19" s="6060"/>
      <c r="AR19" s="6062"/>
      <c r="AV19" s="6059"/>
      <c r="AW19" s="6060" t="str">
        <f>Tunneldrift!$M$150</f>
        <v>Driftsform</v>
      </c>
      <c r="AX19" s="6060"/>
      <c r="AY19" s="6060"/>
      <c r="AZ19" s="6060"/>
      <c r="BA19" s="6060"/>
      <c r="BB19" s="6060"/>
      <c r="BC19" s="6060"/>
      <c r="BD19" s="6060"/>
      <c r="BE19" s="6060"/>
      <c r="BF19" s="6061"/>
      <c r="BG19" s="6061"/>
      <c r="BH19" s="6061"/>
      <c r="BI19" s="6061"/>
      <c r="BJ19" s="6061"/>
      <c r="BK19" s="6061"/>
      <c r="BL19" s="6061"/>
      <c r="BM19" s="6061"/>
      <c r="BN19" s="6061"/>
      <c r="BO19" s="6061"/>
      <c r="BP19" s="6061"/>
      <c r="BQ19" s="6060"/>
      <c r="BR19" s="6060"/>
      <c r="BS19" s="6060"/>
      <c r="BT19" s="6060"/>
      <c r="BU19" s="6060"/>
      <c r="BV19" s="6060"/>
      <c r="BW19" s="6060"/>
      <c r="BX19" s="6060"/>
      <c r="BY19" s="6060"/>
      <c r="BZ19" s="6060"/>
      <c r="CA19" s="6060"/>
      <c r="CB19" s="6060"/>
      <c r="CC19" s="6060"/>
      <c r="CD19" s="6060"/>
      <c r="CE19" s="6060"/>
      <c r="CF19" s="6060"/>
      <c r="CG19" s="6060"/>
      <c r="CH19" s="6060"/>
      <c r="CI19" s="6060"/>
      <c r="CJ19" s="6060"/>
      <c r="CK19" s="6062"/>
      <c r="CO19" s="6059"/>
      <c r="CP19" s="6060" t="str">
        <f>Tunneldrift!$M$150</f>
        <v>Driftsform</v>
      </c>
      <c r="CQ19" s="6060"/>
      <c r="CR19" s="6060"/>
      <c r="CS19" s="6060"/>
      <c r="CT19" s="6060"/>
      <c r="CU19" s="6060"/>
      <c r="CV19" s="6060"/>
      <c r="CW19" s="6060"/>
      <c r="CX19" s="6060"/>
      <c r="CY19" s="6061"/>
      <c r="CZ19" s="6061"/>
      <c r="DA19" s="6061"/>
      <c r="DB19" s="6061"/>
      <c r="DC19" s="6061"/>
      <c r="DD19" s="6061"/>
      <c r="DE19" s="6061"/>
      <c r="DF19" s="6061"/>
      <c r="DG19" s="6061"/>
      <c r="DH19" s="6061"/>
      <c r="DI19" s="6061"/>
      <c r="DJ19" s="6060"/>
      <c r="DK19" s="6060"/>
      <c r="DL19" s="6060"/>
      <c r="DM19" s="6060"/>
      <c r="DN19" s="6060"/>
      <c r="DO19" s="6060"/>
      <c r="DP19" s="6060"/>
      <c r="DQ19" s="6060"/>
      <c r="DR19" s="6060"/>
      <c r="DS19" s="6060"/>
      <c r="DT19" s="6060"/>
      <c r="DU19" s="6060"/>
      <c r="DV19" s="6060"/>
      <c r="DW19" s="6060"/>
      <c r="DX19" s="6060"/>
      <c r="DY19" s="6060"/>
      <c r="DZ19" s="6060"/>
      <c r="EA19" s="6060"/>
      <c r="EB19" s="6060"/>
      <c r="EC19" s="6060"/>
      <c r="ED19" s="6062"/>
      <c r="EH19" s="6059"/>
      <c r="EI19" s="6060" t="str">
        <f>Tunneldrift!$M$150</f>
        <v>Driftsform</v>
      </c>
      <c r="EJ19" s="6060"/>
      <c r="EK19" s="6060"/>
      <c r="EL19" s="6060"/>
      <c r="EM19" s="6060"/>
      <c r="EN19" s="6060"/>
      <c r="EO19" s="6060"/>
      <c r="EP19" s="6060"/>
      <c r="EQ19" s="6060"/>
      <c r="ER19" s="6061"/>
      <c r="ES19" s="6061"/>
      <c r="ET19" s="6061"/>
      <c r="EU19" s="6061"/>
      <c r="EV19" s="6061"/>
      <c r="EW19" s="6061"/>
      <c r="EX19" s="6061"/>
      <c r="EY19" s="6061"/>
      <c r="EZ19" s="6061"/>
      <c r="FA19" s="6061"/>
      <c r="FB19" s="6061"/>
      <c r="FC19" s="6060"/>
      <c r="FD19" s="6060"/>
      <c r="FE19" s="6060"/>
      <c r="FF19" s="6060"/>
      <c r="FG19" s="6060"/>
      <c r="FH19" s="6060"/>
      <c r="FI19" s="6060"/>
      <c r="FJ19" s="6060"/>
      <c r="FK19" s="6060"/>
      <c r="FL19" s="6060"/>
      <c r="FM19" s="6060"/>
      <c r="FN19" s="6060"/>
      <c r="FO19" s="6060"/>
      <c r="FP19" s="6060"/>
      <c r="FQ19" s="6060"/>
      <c r="FR19" s="6060"/>
      <c r="FS19" s="6060"/>
      <c r="FT19" s="6060"/>
      <c r="FU19" s="6060"/>
      <c r="FV19" s="6060"/>
      <c r="FW19" s="6062"/>
      <c r="GA19" s="6059"/>
      <c r="GB19" s="6060" t="str">
        <f>Tunneldrift!$M$150</f>
        <v>Driftsform</v>
      </c>
      <c r="GC19" s="6060"/>
      <c r="GD19" s="6060"/>
      <c r="GE19" s="6060"/>
      <c r="GF19" s="6060"/>
      <c r="GG19" s="6060"/>
      <c r="GH19" s="6060"/>
      <c r="GI19" s="6060"/>
      <c r="GJ19" s="6060"/>
      <c r="GK19" s="6061"/>
      <c r="GL19" s="6061"/>
      <c r="GM19" s="6061"/>
      <c r="GN19" s="6061"/>
      <c r="GO19" s="6061"/>
      <c r="GP19" s="6061"/>
      <c r="GQ19" s="6061"/>
      <c r="GR19" s="6061"/>
      <c r="GS19" s="6061"/>
      <c r="GT19" s="6061"/>
      <c r="GU19" s="6061"/>
      <c r="GV19" s="6060"/>
      <c r="GW19" s="6060"/>
      <c r="GX19" s="6060"/>
      <c r="GY19" s="6060"/>
      <c r="GZ19" s="6060"/>
      <c r="HA19" s="6060"/>
      <c r="HB19" s="6060"/>
      <c r="HC19" s="6060"/>
      <c r="HD19" s="6060"/>
      <c r="HE19" s="6060"/>
      <c r="HF19" s="6060"/>
      <c r="HG19" s="6060"/>
      <c r="HH19" s="6060"/>
      <c r="HI19" s="6060"/>
      <c r="HJ19" s="6060"/>
      <c r="HK19" s="6060"/>
      <c r="HL19" s="6060"/>
      <c r="HM19" s="6060"/>
      <c r="HN19" s="6060"/>
      <c r="HO19" s="6060"/>
      <c r="HP19" s="6062"/>
      <c r="HT19" s="6059"/>
      <c r="HU19" s="6060" t="str">
        <f>Tunneldrift!$M$150</f>
        <v>Driftsform</v>
      </c>
      <c r="HV19" s="6060"/>
      <c r="HW19" s="6060"/>
      <c r="HX19" s="6060"/>
      <c r="HY19" s="6060"/>
      <c r="HZ19" s="6060"/>
      <c r="IA19" s="6060"/>
      <c r="IB19" s="6060"/>
      <c r="IC19" s="6060"/>
      <c r="ID19" s="6061"/>
      <c r="IE19" s="6061"/>
      <c r="IF19" s="6061"/>
      <c r="IG19" s="6061"/>
      <c r="IH19" s="6061"/>
      <c r="II19" s="6061"/>
      <c r="IJ19" s="6061"/>
      <c r="IK19" s="6061"/>
      <c r="IL19" s="6061"/>
      <c r="IM19" s="6061"/>
      <c r="IN19" s="6061"/>
      <c r="IO19" s="6060"/>
      <c r="IP19" s="6060"/>
      <c r="IQ19" s="6060"/>
      <c r="IR19" s="6060"/>
      <c r="IS19" s="6060"/>
      <c r="IT19" s="6060"/>
      <c r="IU19" s="6060"/>
      <c r="IV19" s="6060"/>
      <c r="IW19" s="6060"/>
      <c r="IX19" s="6060"/>
      <c r="IY19" s="6060"/>
      <c r="IZ19" s="6060"/>
      <c r="JA19" s="6060"/>
      <c r="JB19" s="6060"/>
      <c r="JC19" s="6060"/>
      <c r="JD19" s="6060"/>
      <c r="JE19" s="6060"/>
      <c r="JF19" s="6060"/>
      <c r="JG19" s="6060"/>
      <c r="JH19" s="6060"/>
      <c r="JI19" s="6062"/>
      <c r="JM19" s="6059"/>
      <c r="JN19" s="6060" t="str">
        <f>Tunneldrift!$M$150</f>
        <v>Driftsform</v>
      </c>
      <c r="JO19" s="6060"/>
      <c r="JP19" s="6060"/>
      <c r="JQ19" s="6060"/>
      <c r="JR19" s="6060"/>
      <c r="JS19" s="6060"/>
      <c r="JT19" s="6060"/>
      <c r="JU19" s="6060"/>
      <c r="JV19" s="6060"/>
      <c r="JW19" s="6061"/>
      <c r="JX19" s="6061"/>
      <c r="JY19" s="6061"/>
      <c r="JZ19" s="6061"/>
      <c r="KA19" s="6061"/>
      <c r="KB19" s="6061"/>
      <c r="KC19" s="6061"/>
      <c r="KD19" s="6061"/>
      <c r="KE19" s="6061"/>
      <c r="KF19" s="6061"/>
      <c r="KG19" s="6061"/>
      <c r="KH19" s="6060"/>
      <c r="KI19" s="6060"/>
      <c r="KJ19" s="6060"/>
      <c r="KK19" s="6060"/>
      <c r="KL19" s="6060"/>
      <c r="KM19" s="6060"/>
      <c r="KN19" s="6060"/>
      <c r="KO19" s="6060"/>
      <c r="KP19" s="6060"/>
      <c r="KQ19" s="6060"/>
      <c r="KR19" s="6060"/>
      <c r="KS19" s="6060"/>
      <c r="KT19" s="6060"/>
      <c r="KU19" s="6060"/>
      <c r="KV19" s="6060"/>
      <c r="KW19" s="6060"/>
      <c r="KX19" s="6060"/>
      <c r="KY19" s="6060"/>
      <c r="KZ19" s="6060"/>
      <c r="LA19" s="6060"/>
      <c r="LB19" s="6062"/>
      <c r="LF19" s="6059"/>
      <c r="LG19" s="6060" t="str">
        <f>Tunneldrift!$M$150</f>
        <v>Driftsform</v>
      </c>
      <c r="LH19" s="6060"/>
      <c r="LI19" s="6060"/>
      <c r="LJ19" s="6060"/>
      <c r="LK19" s="6060"/>
      <c r="LL19" s="6060"/>
      <c r="LM19" s="6060"/>
      <c r="LN19" s="6060"/>
      <c r="LO19" s="6060"/>
      <c r="LP19" s="6061"/>
      <c r="LQ19" s="6061"/>
      <c r="LR19" s="6061"/>
      <c r="LS19" s="6061"/>
      <c r="LT19" s="6061"/>
      <c r="LU19" s="6061"/>
      <c r="LV19" s="6061"/>
      <c r="LW19" s="6061"/>
      <c r="LX19" s="6061"/>
      <c r="LY19" s="6061"/>
      <c r="LZ19" s="6061"/>
      <c r="MA19" s="6060"/>
      <c r="MB19" s="6060"/>
      <c r="MC19" s="6060"/>
      <c r="MD19" s="6060"/>
      <c r="ME19" s="6060"/>
      <c r="MF19" s="6060"/>
      <c r="MG19" s="6060"/>
      <c r="MH19" s="6060"/>
      <c r="MI19" s="6060"/>
      <c r="MJ19" s="6060"/>
      <c r="MK19" s="6060"/>
      <c r="ML19" s="6060"/>
      <c r="MM19" s="6060"/>
      <c r="MN19" s="6060"/>
      <c r="MO19" s="6060"/>
      <c r="MP19" s="6060"/>
      <c r="MQ19" s="6060"/>
      <c r="MR19" s="6060"/>
      <c r="MS19" s="6060"/>
      <c r="MT19" s="6060"/>
      <c r="MU19" s="6062"/>
      <c r="MY19" s="6059"/>
      <c r="MZ19" s="6060" t="str">
        <f>Tunneldrift!$M$150</f>
        <v>Driftsform</v>
      </c>
      <c r="NA19" s="6060"/>
      <c r="NB19" s="6060"/>
      <c r="NC19" s="6060"/>
      <c r="ND19" s="6060"/>
      <c r="NE19" s="6060"/>
      <c r="NF19" s="6060"/>
      <c r="NG19" s="6060"/>
      <c r="NH19" s="6060"/>
      <c r="NI19" s="6061"/>
      <c r="NJ19" s="6061"/>
      <c r="NK19" s="6061"/>
      <c r="NL19" s="6061"/>
      <c r="NM19" s="6061"/>
      <c r="NN19" s="6061"/>
      <c r="NO19" s="6061"/>
      <c r="NP19" s="6061"/>
      <c r="NQ19" s="6061"/>
      <c r="NR19" s="6061"/>
      <c r="NS19" s="6061"/>
      <c r="NT19" s="6060"/>
      <c r="NU19" s="6060"/>
      <c r="NV19" s="6060"/>
      <c r="NW19" s="6060"/>
      <c r="NX19" s="6060"/>
      <c r="NY19" s="6060"/>
      <c r="NZ19" s="6060"/>
      <c r="OA19" s="6060"/>
      <c r="OB19" s="6060"/>
      <c r="OC19" s="6060"/>
      <c r="OD19" s="6060"/>
      <c r="OE19" s="6060"/>
      <c r="OF19" s="6060"/>
      <c r="OG19" s="6060"/>
      <c r="OH19" s="6060"/>
      <c r="OI19" s="6060"/>
      <c r="OJ19" s="6060"/>
      <c r="OK19" s="6060"/>
      <c r="OL19" s="6060"/>
      <c r="OM19" s="6060"/>
      <c r="ON19" s="6062"/>
    </row>
    <row r="20" spans="3:404" ht="5.0999999999999996" customHeight="1" thickBot="1" x14ac:dyDescent="0.25">
      <c r="C20" s="6055"/>
      <c r="D20" s="6057"/>
      <c r="E20" s="6057"/>
      <c r="F20" s="6056"/>
      <c r="G20" s="6056"/>
      <c r="H20" s="6056"/>
      <c r="I20" s="6056"/>
      <c r="J20" s="6056"/>
      <c r="K20" s="6056"/>
      <c r="L20" s="6056"/>
      <c r="M20" s="6061"/>
      <c r="N20" s="6061"/>
      <c r="O20" s="6061"/>
      <c r="P20" s="6061"/>
      <c r="Q20" s="6061"/>
      <c r="R20" s="6061"/>
      <c r="S20" s="6061"/>
      <c r="T20" s="6061"/>
      <c r="U20" s="6061"/>
      <c r="V20" s="6061"/>
      <c r="W20" s="6061"/>
      <c r="X20" s="6057"/>
      <c r="Y20" s="6057"/>
      <c r="Z20" s="6057"/>
      <c r="AA20" s="6056"/>
      <c r="AB20" s="6057"/>
      <c r="AC20" s="6057"/>
      <c r="AD20" s="6057"/>
      <c r="AE20" s="6056"/>
      <c r="AF20" s="6057"/>
      <c r="AG20" s="6057"/>
      <c r="AH20" s="6057"/>
      <c r="AI20" s="6056"/>
      <c r="AJ20" s="6056"/>
      <c r="AK20" s="6056"/>
      <c r="AL20" s="6056"/>
      <c r="AM20" s="6056"/>
      <c r="AN20" s="6056"/>
      <c r="AO20" s="6056"/>
      <c r="AP20" s="6056"/>
      <c r="AQ20" s="6056"/>
      <c r="AR20" s="6058"/>
      <c r="AV20" s="6055"/>
      <c r="AW20" s="6057"/>
      <c r="AX20" s="6057"/>
      <c r="AY20" s="6056"/>
      <c r="AZ20" s="6056"/>
      <c r="BA20" s="6056"/>
      <c r="BB20" s="6056"/>
      <c r="BC20" s="6056"/>
      <c r="BD20" s="6056"/>
      <c r="BE20" s="6056"/>
      <c r="BF20" s="6061"/>
      <c r="BG20" s="6061"/>
      <c r="BH20" s="6061"/>
      <c r="BI20" s="6061"/>
      <c r="BJ20" s="6061"/>
      <c r="BK20" s="6061"/>
      <c r="BL20" s="6061"/>
      <c r="BM20" s="6061"/>
      <c r="BN20" s="6061"/>
      <c r="BO20" s="6061"/>
      <c r="BP20" s="6061"/>
      <c r="BQ20" s="6057"/>
      <c r="BR20" s="6057"/>
      <c r="BS20" s="6057"/>
      <c r="BT20" s="6056"/>
      <c r="BU20" s="6057"/>
      <c r="BV20" s="6057"/>
      <c r="BW20" s="6057"/>
      <c r="BX20" s="6056"/>
      <c r="BY20" s="6057"/>
      <c r="BZ20" s="6057"/>
      <c r="CA20" s="6057"/>
      <c r="CB20" s="6056"/>
      <c r="CC20" s="6056"/>
      <c r="CD20" s="6056"/>
      <c r="CE20" s="6056"/>
      <c r="CF20" s="6056"/>
      <c r="CG20" s="6056"/>
      <c r="CH20" s="6056"/>
      <c r="CI20" s="6056"/>
      <c r="CJ20" s="6056"/>
      <c r="CK20" s="6058"/>
      <c r="CO20" s="6055"/>
      <c r="CP20" s="6057"/>
      <c r="CQ20" s="6057"/>
      <c r="CR20" s="6056"/>
      <c r="CS20" s="6056"/>
      <c r="CT20" s="6056"/>
      <c r="CU20" s="6056"/>
      <c r="CV20" s="6056"/>
      <c r="CW20" s="6056"/>
      <c r="CX20" s="6056"/>
      <c r="CY20" s="6061"/>
      <c r="CZ20" s="6061"/>
      <c r="DA20" s="6061"/>
      <c r="DB20" s="6061"/>
      <c r="DC20" s="6061"/>
      <c r="DD20" s="6061"/>
      <c r="DE20" s="6061"/>
      <c r="DF20" s="6061"/>
      <c r="DG20" s="6061"/>
      <c r="DH20" s="6061"/>
      <c r="DI20" s="6061"/>
      <c r="DJ20" s="6057"/>
      <c r="DK20" s="6057"/>
      <c r="DL20" s="6057"/>
      <c r="DM20" s="6056"/>
      <c r="DN20" s="6057"/>
      <c r="DO20" s="6057"/>
      <c r="DP20" s="6057"/>
      <c r="DQ20" s="6056"/>
      <c r="DR20" s="6057"/>
      <c r="DS20" s="6057"/>
      <c r="DT20" s="6057"/>
      <c r="DU20" s="6056"/>
      <c r="DV20" s="6056"/>
      <c r="DW20" s="6056"/>
      <c r="DX20" s="6056"/>
      <c r="DY20" s="6056"/>
      <c r="DZ20" s="6056"/>
      <c r="EA20" s="6056"/>
      <c r="EB20" s="6056"/>
      <c r="EC20" s="6056"/>
      <c r="ED20" s="6058"/>
      <c r="EH20" s="6055"/>
      <c r="EI20" s="6057"/>
      <c r="EJ20" s="6057"/>
      <c r="EK20" s="6056"/>
      <c r="EL20" s="6056"/>
      <c r="EM20" s="6056"/>
      <c r="EN20" s="6056"/>
      <c r="EO20" s="6056"/>
      <c r="EP20" s="6056"/>
      <c r="EQ20" s="6056"/>
      <c r="ER20" s="6061"/>
      <c r="ES20" s="6061"/>
      <c r="ET20" s="6061"/>
      <c r="EU20" s="6061"/>
      <c r="EV20" s="6061"/>
      <c r="EW20" s="6061"/>
      <c r="EX20" s="6061"/>
      <c r="EY20" s="6061"/>
      <c r="EZ20" s="6061"/>
      <c r="FA20" s="6061"/>
      <c r="FB20" s="6061"/>
      <c r="FC20" s="6057"/>
      <c r="FD20" s="6057"/>
      <c r="FE20" s="6057"/>
      <c r="FF20" s="6056"/>
      <c r="FG20" s="6057"/>
      <c r="FH20" s="6057"/>
      <c r="FI20" s="6057"/>
      <c r="FJ20" s="6056"/>
      <c r="FK20" s="6057"/>
      <c r="FL20" s="6057"/>
      <c r="FM20" s="6057"/>
      <c r="FN20" s="6056"/>
      <c r="FO20" s="6056"/>
      <c r="FP20" s="6056"/>
      <c r="FQ20" s="6056"/>
      <c r="FR20" s="6056"/>
      <c r="FS20" s="6056"/>
      <c r="FT20" s="6056"/>
      <c r="FU20" s="6056"/>
      <c r="FV20" s="6056"/>
      <c r="FW20" s="6058"/>
      <c r="GA20" s="6055"/>
      <c r="GB20" s="6057"/>
      <c r="GC20" s="6057"/>
      <c r="GD20" s="6056"/>
      <c r="GE20" s="6056"/>
      <c r="GF20" s="6056"/>
      <c r="GG20" s="6056"/>
      <c r="GH20" s="6056"/>
      <c r="GI20" s="6056"/>
      <c r="GJ20" s="6056"/>
      <c r="GK20" s="6061"/>
      <c r="GL20" s="6061"/>
      <c r="GM20" s="6061"/>
      <c r="GN20" s="6061"/>
      <c r="GO20" s="6061"/>
      <c r="GP20" s="6061"/>
      <c r="GQ20" s="6061"/>
      <c r="GR20" s="6061"/>
      <c r="GS20" s="6061"/>
      <c r="GT20" s="6061"/>
      <c r="GU20" s="6061"/>
      <c r="GV20" s="6057"/>
      <c r="GW20" s="6057"/>
      <c r="GX20" s="6057"/>
      <c r="GY20" s="6056"/>
      <c r="GZ20" s="6057"/>
      <c r="HA20" s="6057"/>
      <c r="HB20" s="6057"/>
      <c r="HC20" s="6056"/>
      <c r="HD20" s="6057"/>
      <c r="HE20" s="6057"/>
      <c r="HF20" s="6057"/>
      <c r="HG20" s="6056"/>
      <c r="HH20" s="6056"/>
      <c r="HI20" s="6056"/>
      <c r="HJ20" s="6056"/>
      <c r="HK20" s="6056"/>
      <c r="HL20" s="6056"/>
      <c r="HM20" s="6056"/>
      <c r="HN20" s="6056"/>
      <c r="HO20" s="6056"/>
      <c r="HP20" s="6058"/>
      <c r="HT20" s="6055"/>
      <c r="HU20" s="6057"/>
      <c r="HV20" s="6057"/>
      <c r="HW20" s="6056"/>
      <c r="HX20" s="6056"/>
      <c r="HY20" s="6056"/>
      <c r="HZ20" s="6056"/>
      <c r="IA20" s="6056"/>
      <c r="IB20" s="6056"/>
      <c r="IC20" s="6056"/>
      <c r="ID20" s="6061"/>
      <c r="IE20" s="6061"/>
      <c r="IF20" s="6061"/>
      <c r="IG20" s="6061"/>
      <c r="IH20" s="6061"/>
      <c r="II20" s="6061"/>
      <c r="IJ20" s="6061"/>
      <c r="IK20" s="6061"/>
      <c r="IL20" s="6061"/>
      <c r="IM20" s="6061"/>
      <c r="IN20" s="6061"/>
      <c r="IO20" s="6057"/>
      <c r="IP20" s="6057"/>
      <c r="IQ20" s="6057"/>
      <c r="IR20" s="6056"/>
      <c r="IS20" s="6057"/>
      <c r="IT20" s="6057"/>
      <c r="IU20" s="6057"/>
      <c r="IV20" s="6056"/>
      <c r="IW20" s="6057"/>
      <c r="IX20" s="6057"/>
      <c r="IY20" s="6057"/>
      <c r="IZ20" s="6056"/>
      <c r="JA20" s="6056"/>
      <c r="JB20" s="6056"/>
      <c r="JC20" s="6056"/>
      <c r="JD20" s="6056"/>
      <c r="JE20" s="6056"/>
      <c r="JF20" s="6056"/>
      <c r="JG20" s="6056"/>
      <c r="JH20" s="6056"/>
      <c r="JI20" s="6058"/>
      <c r="JM20" s="6055"/>
      <c r="JN20" s="6057"/>
      <c r="JO20" s="6057"/>
      <c r="JP20" s="6056"/>
      <c r="JQ20" s="6056"/>
      <c r="JR20" s="6056"/>
      <c r="JS20" s="6056"/>
      <c r="JT20" s="6056"/>
      <c r="JU20" s="6056"/>
      <c r="JV20" s="6056"/>
      <c r="JW20" s="6061"/>
      <c r="JX20" s="6061"/>
      <c r="JY20" s="6061"/>
      <c r="JZ20" s="6061"/>
      <c r="KA20" s="6061"/>
      <c r="KB20" s="6061"/>
      <c r="KC20" s="6061"/>
      <c r="KD20" s="6061"/>
      <c r="KE20" s="6061"/>
      <c r="KF20" s="6061"/>
      <c r="KG20" s="6061"/>
      <c r="KH20" s="6057"/>
      <c r="KI20" s="6057"/>
      <c r="KJ20" s="6057"/>
      <c r="KK20" s="6056"/>
      <c r="KL20" s="6057"/>
      <c r="KM20" s="6057"/>
      <c r="KN20" s="6057"/>
      <c r="KO20" s="6056"/>
      <c r="KP20" s="6057"/>
      <c r="KQ20" s="6057"/>
      <c r="KR20" s="6057"/>
      <c r="KS20" s="6056"/>
      <c r="KT20" s="6056"/>
      <c r="KU20" s="6056"/>
      <c r="KV20" s="6056"/>
      <c r="KW20" s="6056"/>
      <c r="KX20" s="6056"/>
      <c r="KY20" s="6056"/>
      <c r="KZ20" s="6056"/>
      <c r="LA20" s="6056"/>
      <c r="LB20" s="6058"/>
      <c r="LF20" s="6055"/>
      <c r="LG20" s="6057"/>
      <c r="LH20" s="6057"/>
      <c r="LI20" s="6056"/>
      <c r="LJ20" s="6056"/>
      <c r="LK20" s="6056"/>
      <c r="LL20" s="6056"/>
      <c r="LM20" s="6056"/>
      <c r="LN20" s="6056"/>
      <c r="LO20" s="6056"/>
      <c r="LP20" s="6061"/>
      <c r="LQ20" s="6061"/>
      <c r="LR20" s="6061"/>
      <c r="LS20" s="6061"/>
      <c r="LT20" s="6061"/>
      <c r="LU20" s="6061"/>
      <c r="LV20" s="6061"/>
      <c r="LW20" s="6061"/>
      <c r="LX20" s="6061"/>
      <c r="LY20" s="6061"/>
      <c r="LZ20" s="6061"/>
      <c r="MA20" s="6057"/>
      <c r="MB20" s="6057"/>
      <c r="MC20" s="6057"/>
      <c r="MD20" s="6056"/>
      <c r="ME20" s="6057"/>
      <c r="MF20" s="6057"/>
      <c r="MG20" s="6057"/>
      <c r="MH20" s="6056"/>
      <c r="MI20" s="6057"/>
      <c r="MJ20" s="6057"/>
      <c r="MK20" s="6057"/>
      <c r="ML20" s="6056"/>
      <c r="MM20" s="6056"/>
      <c r="MN20" s="6056"/>
      <c r="MO20" s="6056"/>
      <c r="MP20" s="6056"/>
      <c r="MQ20" s="6056"/>
      <c r="MR20" s="6056"/>
      <c r="MS20" s="6056"/>
      <c r="MT20" s="6056"/>
      <c r="MU20" s="6058"/>
      <c r="MY20" s="6055"/>
      <c r="MZ20" s="6057"/>
      <c r="NA20" s="6057"/>
      <c r="NB20" s="6056"/>
      <c r="NC20" s="6056"/>
      <c r="ND20" s="6056"/>
      <c r="NE20" s="6056"/>
      <c r="NF20" s="6056"/>
      <c r="NG20" s="6056"/>
      <c r="NH20" s="6056"/>
      <c r="NI20" s="6061"/>
      <c r="NJ20" s="6061"/>
      <c r="NK20" s="6061"/>
      <c r="NL20" s="6061"/>
      <c r="NM20" s="6061"/>
      <c r="NN20" s="6061"/>
      <c r="NO20" s="6061"/>
      <c r="NP20" s="6061"/>
      <c r="NQ20" s="6061"/>
      <c r="NR20" s="6061"/>
      <c r="NS20" s="6061"/>
      <c r="NT20" s="6057"/>
      <c r="NU20" s="6057"/>
      <c r="NV20" s="6057"/>
      <c r="NW20" s="6056"/>
      <c r="NX20" s="6057"/>
      <c r="NY20" s="6057"/>
      <c r="NZ20" s="6057"/>
      <c r="OA20" s="6056"/>
      <c r="OB20" s="6057"/>
      <c r="OC20" s="6057"/>
      <c r="OD20" s="6057"/>
      <c r="OE20" s="6056"/>
      <c r="OF20" s="6056"/>
      <c r="OG20" s="6056"/>
      <c r="OH20" s="6056"/>
      <c r="OI20" s="6056"/>
      <c r="OJ20" s="6056"/>
      <c r="OK20" s="6056"/>
      <c r="OL20" s="6056"/>
      <c r="OM20" s="6056"/>
      <c r="ON20" s="6058"/>
    </row>
    <row r="21" spans="3:404" s="6070" customFormat="1" ht="20.100000000000001" customHeight="1" thickBot="1" x14ac:dyDescent="0.25">
      <c r="C21" s="6064"/>
      <c r="D21" s="6065"/>
      <c r="E21" s="6789" t="str">
        <f>_Calcs!$IK$117</f>
        <v>Enstuffs drift</v>
      </c>
      <c r="F21" s="6789"/>
      <c r="G21" s="6789"/>
      <c r="H21" s="6789"/>
      <c r="I21" s="6789"/>
      <c r="J21" s="6789"/>
      <c r="K21" s="6789"/>
      <c r="L21" s="6066"/>
      <c r="M21" s="6061"/>
      <c r="N21" s="6061"/>
      <c r="O21" s="6061"/>
      <c r="P21" s="6061"/>
      <c r="Q21" s="6061"/>
      <c r="R21" s="6061"/>
      <c r="S21" s="6061"/>
      <c r="T21" s="6061"/>
      <c r="U21" s="6061"/>
      <c r="V21" s="6061"/>
      <c r="W21" s="6061"/>
      <c r="X21" s="6067"/>
      <c r="Y21" s="6067"/>
      <c r="Z21" s="6067"/>
      <c r="AA21" s="6068"/>
      <c r="AB21" s="6067"/>
      <c r="AC21" s="6068"/>
      <c r="AD21" s="6068"/>
      <c r="AE21" s="6068"/>
      <c r="AF21" s="6067"/>
      <c r="AG21" s="6068"/>
      <c r="AH21" s="6068"/>
      <c r="AI21" s="6068"/>
      <c r="AJ21" s="6068"/>
      <c r="AK21" s="6068"/>
      <c r="AL21" s="6068"/>
      <c r="AM21" s="6068"/>
      <c r="AN21" s="6068"/>
      <c r="AO21" s="6068"/>
      <c r="AP21" s="6068"/>
      <c r="AQ21" s="6068"/>
      <c r="AR21" s="6069"/>
      <c r="AS21" s="5758"/>
      <c r="AV21" s="6064"/>
      <c r="AW21" s="6065"/>
      <c r="AX21" s="6789" t="e">
        <f>_Calcs!$IL$117</f>
        <v>#N/A</v>
      </c>
      <c r="AY21" s="6789"/>
      <c r="AZ21" s="6789"/>
      <c r="BA21" s="6789"/>
      <c r="BB21" s="6789"/>
      <c r="BC21" s="6789"/>
      <c r="BD21" s="6789"/>
      <c r="BE21" s="6066"/>
      <c r="BF21" s="6061"/>
      <c r="BG21" s="6061"/>
      <c r="BH21" s="6061"/>
      <c r="BI21" s="6061"/>
      <c r="BJ21" s="6061"/>
      <c r="BK21" s="6061"/>
      <c r="BL21" s="6061"/>
      <c r="BM21" s="6061"/>
      <c r="BN21" s="6061"/>
      <c r="BO21" s="6061"/>
      <c r="BP21" s="6061"/>
      <c r="BQ21" s="6067"/>
      <c r="BR21" s="6067"/>
      <c r="BS21" s="6067"/>
      <c r="BT21" s="6068"/>
      <c r="BU21" s="6067"/>
      <c r="BV21" s="6068"/>
      <c r="BW21" s="6068"/>
      <c r="BX21" s="6068"/>
      <c r="BY21" s="6067"/>
      <c r="BZ21" s="6068"/>
      <c r="CA21" s="6068"/>
      <c r="CB21" s="6068"/>
      <c r="CC21" s="6068"/>
      <c r="CD21" s="6068"/>
      <c r="CE21" s="6068"/>
      <c r="CF21" s="6068"/>
      <c r="CG21" s="6068"/>
      <c r="CH21" s="6068"/>
      <c r="CI21" s="6068"/>
      <c r="CJ21" s="6068"/>
      <c r="CK21" s="6069"/>
      <c r="CL21" s="5758"/>
      <c r="CO21" s="6064"/>
      <c r="CP21" s="6065"/>
      <c r="CQ21" s="6789" t="e">
        <f>_Calcs!$IM$117</f>
        <v>#N/A</v>
      </c>
      <c r="CR21" s="6789"/>
      <c r="CS21" s="6789"/>
      <c r="CT21" s="6789"/>
      <c r="CU21" s="6789"/>
      <c r="CV21" s="6789"/>
      <c r="CW21" s="6789"/>
      <c r="CX21" s="6066"/>
      <c r="CY21" s="6061"/>
      <c r="CZ21" s="6061"/>
      <c r="DA21" s="6061"/>
      <c r="DB21" s="6061"/>
      <c r="DC21" s="6061"/>
      <c r="DD21" s="6061"/>
      <c r="DE21" s="6061"/>
      <c r="DF21" s="6061"/>
      <c r="DG21" s="6061"/>
      <c r="DH21" s="6061"/>
      <c r="DI21" s="6061"/>
      <c r="DJ21" s="6067"/>
      <c r="DK21" s="6067"/>
      <c r="DL21" s="6067"/>
      <c r="DM21" s="6068"/>
      <c r="DN21" s="6067"/>
      <c r="DO21" s="6068"/>
      <c r="DP21" s="6068"/>
      <c r="DQ21" s="6068"/>
      <c r="DR21" s="6067"/>
      <c r="DS21" s="6068"/>
      <c r="DT21" s="6068"/>
      <c r="DU21" s="6068"/>
      <c r="DV21" s="6068"/>
      <c r="DW21" s="6068"/>
      <c r="DX21" s="6068"/>
      <c r="DY21" s="6068"/>
      <c r="DZ21" s="6068"/>
      <c r="EA21" s="6068"/>
      <c r="EB21" s="6068"/>
      <c r="EC21" s="6068"/>
      <c r="ED21" s="6069"/>
      <c r="EE21" s="5758"/>
      <c r="EH21" s="6064"/>
      <c r="EI21" s="6065"/>
      <c r="EJ21" s="6789" t="e">
        <f>_Calcs!$IN$117</f>
        <v>#N/A</v>
      </c>
      <c r="EK21" s="6789"/>
      <c r="EL21" s="6789"/>
      <c r="EM21" s="6789"/>
      <c r="EN21" s="6789"/>
      <c r="EO21" s="6789"/>
      <c r="EP21" s="6789"/>
      <c r="EQ21" s="6066"/>
      <c r="ER21" s="6061"/>
      <c r="ES21" s="6061"/>
      <c r="ET21" s="6061"/>
      <c r="EU21" s="6061"/>
      <c r="EV21" s="6061"/>
      <c r="EW21" s="6061"/>
      <c r="EX21" s="6061"/>
      <c r="EY21" s="6061"/>
      <c r="EZ21" s="6061"/>
      <c r="FA21" s="6061"/>
      <c r="FB21" s="6061"/>
      <c r="FC21" s="6067"/>
      <c r="FD21" s="6067"/>
      <c r="FE21" s="6067"/>
      <c r="FF21" s="6068"/>
      <c r="FG21" s="6067"/>
      <c r="FH21" s="6068"/>
      <c r="FI21" s="6068"/>
      <c r="FJ21" s="6068"/>
      <c r="FK21" s="6067"/>
      <c r="FL21" s="6068"/>
      <c r="FM21" s="6068"/>
      <c r="FN21" s="6068"/>
      <c r="FO21" s="6068"/>
      <c r="FP21" s="6068"/>
      <c r="FQ21" s="6068"/>
      <c r="FR21" s="6068"/>
      <c r="FS21" s="6068"/>
      <c r="FT21" s="6068"/>
      <c r="FU21" s="6068"/>
      <c r="FV21" s="6068"/>
      <c r="FW21" s="6069"/>
      <c r="FX21" s="5758"/>
      <c r="GA21" s="6064"/>
      <c r="GB21" s="6065"/>
      <c r="GC21" s="6789" t="e">
        <f>_Calcs!$IO$117</f>
        <v>#N/A</v>
      </c>
      <c r="GD21" s="6789"/>
      <c r="GE21" s="6789"/>
      <c r="GF21" s="6789"/>
      <c r="GG21" s="6789"/>
      <c r="GH21" s="6789"/>
      <c r="GI21" s="6789"/>
      <c r="GJ21" s="6066"/>
      <c r="GK21" s="6061"/>
      <c r="GL21" s="6061"/>
      <c r="GM21" s="6061"/>
      <c r="GN21" s="6061"/>
      <c r="GO21" s="6061"/>
      <c r="GP21" s="6061"/>
      <c r="GQ21" s="6061"/>
      <c r="GR21" s="6061"/>
      <c r="GS21" s="6061"/>
      <c r="GT21" s="6061"/>
      <c r="GU21" s="6061"/>
      <c r="GV21" s="6067"/>
      <c r="GW21" s="6067"/>
      <c r="GX21" s="6067"/>
      <c r="GY21" s="6068"/>
      <c r="GZ21" s="6067"/>
      <c r="HA21" s="6068"/>
      <c r="HB21" s="6068"/>
      <c r="HC21" s="6068"/>
      <c r="HD21" s="6067"/>
      <c r="HE21" s="6068"/>
      <c r="HF21" s="6068"/>
      <c r="HG21" s="6068"/>
      <c r="HH21" s="6068"/>
      <c r="HI21" s="6068"/>
      <c r="HJ21" s="6068"/>
      <c r="HK21" s="6068"/>
      <c r="HL21" s="6068"/>
      <c r="HM21" s="6068"/>
      <c r="HN21" s="6068"/>
      <c r="HO21" s="6068"/>
      <c r="HP21" s="6069"/>
      <c r="HQ21" s="5758"/>
      <c r="HT21" s="6064"/>
      <c r="HU21" s="6065"/>
      <c r="HV21" s="6789" t="e">
        <f>_Calcs!$IP$117</f>
        <v>#N/A</v>
      </c>
      <c r="HW21" s="6789"/>
      <c r="HX21" s="6789"/>
      <c r="HY21" s="6789"/>
      <c r="HZ21" s="6789"/>
      <c r="IA21" s="6789"/>
      <c r="IB21" s="6789"/>
      <c r="IC21" s="6066"/>
      <c r="ID21" s="6061"/>
      <c r="IE21" s="6061"/>
      <c r="IF21" s="6061"/>
      <c r="IG21" s="6061"/>
      <c r="IH21" s="6061"/>
      <c r="II21" s="6061"/>
      <c r="IJ21" s="6061"/>
      <c r="IK21" s="6061"/>
      <c r="IL21" s="6061"/>
      <c r="IM21" s="6061"/>
      <c r="IN21" s="6061"/>
      <c r="IO21" s="6067"/>
      <c r="IP21" s="6067"/>
      <c r="IQ21" s="6067"/>
      <c r="IR21" s="6068"/>
      <c r="IS21" s="6067"/>
      <c r="IT21" s="6068"/>
      <c r="IU21" s="6068"/>
      <c r="IV21" s="6068"/>
      <c r="IW21" s="6067"/>
      <c r="IX21" s="6068"/>
      <c r="IY21" s="6068"/>
      <c r="IZ21" s="6068"/>
      <c r="JA21" s="6068"/>
      <c r="JB21" s="6068"/>
      <c r="JC21" s="6068"/>
      <c r="JD21" s="6068"/>
      <c r="JE21" s="6068"/>
      <c r="JF21" s="6068"/>
      <c r="JG21" s="6068"/>
      <c r="JH21" s="6068"/>
      <c r="JI21" s="6069"/>
      <c r="JJ21" s="5758"/>
      <c r="JM21" s="6064"/>
      <c r="JN21" s="6065"/>
      <c r="JO21" s="6789" t="e">
        <f>_Calcs!$IQ$117</f>
        <v>#N/A</v>
      </c>
      <c r="JP21" s="6789"/>
      <c r="JQ21" s="6789"/>
      <c r="JR21" s="6789"/>
      <c r="JS21" s="6789"/>
      <c r="JT21" s="6789"/>
      <c r="JU21" s="6789"/>
      <c r="JV21" s="6066"/>
      <c r="JW21" s="6061"/>
      <c r="JX21" s="6061"/>
      <c r="JY21" s="6061"/>
      <c r="JZ21" s="6061"/>
      <c r="KA21" s="6061"/>
      <c r="KB21" s="6061"/>
      <c r="KC21" s="6061"/>
      <c r="KD21" s="6061"/>
      <c r="KE21" s="6061"/>
      <c r="KF21" s="6061"/>
      <c r="KG21" s="6061"/>
      <c r="KH21" s="6067"/>
      <c r="KI21" s="6067"/>
      <c r="KJ21" s="6067"/>
      <c r="KK21" s="6068"/>
      <c r="KL21" s="6067"/>
      <c r="KM21" s="6068"/>
      <c r="KN21" s="6068"/>
      <c r="KO21" s="6068"/>
      <c r="KP21" s="6067"/>
      <c r="KQ21" s="6068"/>
      <c r="KR21" s="6068"/>
      <c r="KS21" s="6068"/>
      <c r="KT21" s="6068"/>
      <c r="KU21" s="6068"/>
      <c r="KV21" s="6068"/>
      <c r="KW21" s="6068"/>
      <c r="KX21" s="6068"/>
      <c r="KY21" s="6068"/>
      <c r="KZ21" s="6068"/>
      <c r="LA21" s="6068"/>
      <c r="LB21" s="6069"/>
      <c r="LF21" s="6064"/>
      <c r="LG21" s="6065"/>
      <c r="LH21" s="6789" t="e">
        <f>_Calcs!$IR$117</f>
        <v>#N/A</v>
      </c>
      <c r="LI21" s="6789"/>
      <c r="LJ21" s="6789"/>
      <c r="LK21" s="6789"/>
      <c r="LL21" s="6789"/>
      <c r="LM21" s="6789"/>
      <c r="LN21" s="6789"/>
      <c r="LO21" s="6066"/>
      <c r="LP21" s="6061"/>
      <c r="LQ21" s="6061"/>
      <c r="LR21" s="6061"/>
      <c r="LS21" s="6061"/>
      <c r="LT21" s="6061"/>
      <c r="LU21" s="6061"/>
      <c r="LV21" s="6061"/>
      <c r="LW21" s="6061"/>
      <c r="LX21" s="6061"/>
      <c r="LY21" s="6061"/>
      <c r="LZ21" s="6061"/>
      <c r="MA21" s="6067"/>
      <c r="MB21" s="6067"/>
      <c r="MC21" s="6067"/>
      <c r="MD21" s="6068"/>
      <c r="ME21" s="6067"/>
      <c r="MF21" s="6068"/>
      <c r="MG21" s="6068"/>
      <c r="MH21" s="6068"/>
      <c r="MI21" s="6067"/>
      <c r="MJ21" s="6068"/>
      <c r="MK21" s="6068"/>
      <c r="ML21" s="6068"/>
      <c r="MM21" s="6068"/>
      <c r="MN21" s="6068"/>
      <c r="MO21" s="6068"/>
      <c r="MP21" s="6068"/>
      <c r="MQ21" s="6068"/>
      <c r="MR21" s="6068"/>
      <c r="MS21" s="6068"/>
      <c r="MT21" s="6068"/>
      <c r="MU21" s="6069"/>
      <c r="MY21" s="6064"/>
      <c r="MZ21" s="6065"/>
      <c r="NA21" s="6789" t="e">
        <f>_Calcs!$IS$117</f>
        <v>#N/A</v>
      </c>
      <c r="NB21" s="6789"/>
      <c r="NC21" s="6789"/>
      <c r="ND21" s="6789"/>
      <c r="NE21" s="6789"/>
      <c r="NF21" s="6789"/>
      <c r="NG21" s="6789"/>
      <c r="NH21" s="6066"/>
      <c r="NI21" s="6061"/>
      <c r="NJ21" s="6061"/>
      <c r="NK21" s="6061"/>
      <c r="NL21" s="6061"/>
      <c r="NM21" s="6061"/>
      <c r="NN21" s="6061"/>
      <c r="NO21" s="6061"/>
      <c r="NP21" s="6061"/>
      <c r="NQ21" s="6061"/>
      <c r="NR21" s="6061"/>
      <c r="NS21" s="6061"/>
      <c r="NT21" s="6067"/>
      <c r="NU21" s="6067"/>
      <c r="NV21" s="6067"/>
      <c r="NW21" s="6068"/>
      <c r="NX21" s="6067"/>
      <c r="NY21" s="6068"/>
      <c r="NZ21" s="6068"/>
      <c r="OA21" s="6068"/>
      <c r="OB21" s="6067"/>
      <c r="OC21" s="6068"/>
      <c r="OD21" s="6068"/>
      <c r="OE21" s="6068"/>
      <c r="OF21" s="6068"/>
      <c r="OG21" s="6068"/>
      <c r="OH21" s="6068"/>
      <c r="OI21" s="6068"/>
      <c r="OJ21" s="6068"/>
      <c r="OK21" s="6068"/>
      <c r="OL21" s="6068"/>
      <c r="OM21" s="6068"/>
      <c r="ON21" s="6069"/>
    </row>
    <row r="22" spans="3:404" ht="8.1" customHeight="1" x14ac:dyDescent="0.2">
      <c r="C22" s="6055"/>
      <c r="D22" s="6056"/>
      <c r="E22" s="6056"/>
      <c r="F22" s="6056"/>
      <c r="G22" s="6056"/>
      <c r="H22" s="6056"/>
      <c r="I22" s="6056"/>
      <c r="J22" s="6056"/>
      <c r="K22" s="6056"/>
      <c r="L22" s="6056"/>
      <c r="M22" s="6056"/>
      <c r="N22" s="6056"/>
      <c r="O22" s="6056"/>
      <c r="P22" s="6056"/>
      <c r="Q22" s="6056"/>
      <c r="R22" s="6056"/>
      <c r="S22" s="6056"/>
      <c r="T22" s="6056"/>
      <c r="U22" s="6056"/>
      <c r="V22" s="6057"/>
      <c r="W22" s="6057"/>
      <c r="X22" s="6057"/>
      <c r="Y22" s="6057"/>
      <c r="Z22" s="6057"/>
      <c r="AA22" s="6056"/>
      <c r="AB22" s="6057"/>
      <c r="AC22" s="6057"/>
      <c r="AD22" s="6057"/>
      <c r="AE22" s="6056"/>
      <c r="AF22" s="6057"/>
      <c r="AG22" s="6057"/>
      <c r="AH22" s="6057"/>
      <c r="AI22" s="6057"/>
      <c r="AJ22" s="6057"/>
      <c r="AK22" s="6056"/>
      <c r="AL22" s="6056"/>
      <c r="AM22" s="6056"/>
      <c r="AN22" s="6056"/>
      <c r="AO22" s="6056"/>
      <c r="AP22" s="6056"/>
      <c r="AQ22" s="6056"/>
      <c r="AR22" s="6058"/>
      <c r="AV22" s="6055"/>
      <c r="AW22" s="6056"/>
      <c r="AX22" s="6056"/>
      <c r="AY22" s="6056"/>
      <c r="AZ22" s="6056"/>
      <c r="BA22" s="6056"/>
      <c r="BB22" s="6056"/>
      <c r="BC22" s="6056"/>
      <c r="BD22" s="6056"/>
      <c r="BE22" s="6056"/>
      <c r="BF22" s="6056"/>
      <c r="BG22" s="6056"/>
      <c r="BH22" s="6056"/>
      <c r="BI22" s="6056"/>
      <c r="BJ22" s="6056"/>
      <c r="BK22" s="6056"/>
      <c r="BL22" s="6056"/>
      <c r="BM22" s="6056"/>
      <c r="BN22" s="6056"/>
      <c r="BO22" s="6057"/>
      <c r="BP22" s="6057"/>
      <c r="BQ22" s="6057"/>
      <c r="BR22" s="6057"/>
      <c r="BS22" s="6057"/>
      <c r="BT22" s="6056"/>
      <c r="BU22" s="6057"/>
      <c r="BV22" s="6057"/>
      <c r="BW22" s="6057"/>
      <c r="BX22" s="6056"/>
      <c r="BY22" s="6057"/>
      <c r="BZ22" s="6057"/>
      <c r="CA22" s="6057"/>
      <c r="CB22" s="6057"/>
      <c r="CC22" s="6057"/>
      <c r="CD22" s="6056"/>
      <c r="CE22" s="6056"/>
      <c r="CF22" s="6056"/>
      <c r="CG22" s="6056"/>
      <c r="CH22" s="6056"/>
      <c r="CI22" s="6056"/>
      <c r="CJ22" s="6056"/>
      <c r="CK22" s="6058"/>
      <c r="CO22" s="6055"/>
      <c r="CP22" s="6056"/>
      <c r="CQ22" s="6056"/>
      <c r="CR22" s="6056"/>
      <c r="CS22" s="6056"/>
      <c r="CT22" s="6056"/>
      <c r="CU22" s="6056"/>
      <c r="CV22" s="6056"/>
      <c r="CW22" s="6056"/>
      <c r="CX22" s="6056"/>
      <c r="CY22" s="6056"/>
      <c r="CZ22" s="6056"/>
      <c r="DA22" s="6056"/>
      <c r="DB22" s="6056"/>
      <c r="DC22" s="6056"/>
      <c r="DD22" s="6056"/>
      <c r="DE22" s="6056"/>
      <c r="DF22" s="6056"/>
      <c r="DG22" s="6056"/>
      <c r="DH22" s="6057"/>
      <c r="DI22" s="6057"/>
      <c r="DJ22" s="6057"/>
      <c r="DK22" s="6057"/>
      <c r="DL22" s="6057"/>
      <c r="DM22" s="6056"/>
      <c r="DN22" s="6057"/>
      <c r="DO22" s="6057"/>
      <c r="DP22" s="6057"/>
      <c r="DQ22" s="6056"/>
      <c r="DR22" s="6057"/>
      <c r="DS22" s="6057"/>
      <c r="DT22" s="6057"/>
      <c r="DU22" s="6057"/>
      <c r="DV22" s="6057"/>
      <c r="DW22" s="6056"/>
      <c r="DX22" s="6056"/>
      <c r="DY22" s="6056"/>
      <c r="DZ22" s="6056"/>
      <c r="EA22" s="6056"/>
      <c r="EB22" s="6056"/>
      <c r="EC22" s="6056"/>
      <c r="ED22" s="6058"/>
      <c r="EH22" s="6055"/>
      <c r="EI22" s="6056"/>
      <c r="EJ22" s="6056"/>
      <c r="EK22" s="6056"/>
      <c r="EL22" s="6056"/>
      <c r="EM22" s="6056"/>
      <c r="EN22" s="6056"/>
      <c r="EO22" s="6056"/>
      <c r="EP22" s="6056"/>
      <c r="EQ22" s="6056"/>
      <c r="ER22" s="6056"/>
      <c r="ES22" s="6056"/>
      <c r="ET22" s="6056"/>
      <c r="EU22" s="6056"/>
      <c r="EV22" s="6056"/>
      <c r="EW22" s="6056"/>
      <c r="EX22" s="6056"/>
      <c r="EY22" s="6056"/>
      <c r="EZ22" s="6056"/>
      <c r="FA22" s="6057"/>
      <c r="FB22" s="6057"/>
      <c r="FC22" s="6057"/>
      <c r="FD22" s="6057"/>
      <c r="FE22" s="6057"/>
      <c r="FF22" s="6056"/>
      <c r="FG22" s="6057"/>
      <c r="FH22" s="6057"/>
      <c r="FI22" s="6057"/>
      <c r="FJ22" s="6056"/>
      <c r="FK22" s="6057"/>
      <c r="FL22" s="6057"/>
      <c r="FM22" s="6057"/>
      <c r="FN22" s="6057"/>
      <c r="FO22" s="6057"/>
      <c r="FP22" s="6056"/>
      <c r="FQ22" s="6056"/>
      <c r="FR22" s="6056"/>
      <c r="FS22" s="6056"/>
      <c r="FT22" s="6056"/>
      <c r="FU22" s="6056"/>
      <c r="FV22" s="6056"/>
      <c r="FW22" s="6058"/>
      <c r="GA22" s="6055"/>
      <c r="GB22" s="6056"/>
      <c r="GC22" s="6056"/>
      <c r="GD22" s="6056"/>
      <c r="GE22" s="6056"/>
      <c r="GF22" s="6056"/>
      <c r="GG22" s="6056"/>
      <c r="GH22" s="6056"/>
      <c r="GI22" s="6056"/>
      <c r="GJ22" s="6056"/>
      <c r="GK22" s="6056"/>
      <c r="GL22" s="6056"/>
      <c r="GM22" s="6056"/>
      <c r="GN22" s="6056"/>
      <c r="GO22" s="6056"/>
      <c r="GP22" s="6056"/>
      <c r="GQ22" s="6056"/>
      <c r="GR22" s="6056"/>
      <c r="GS22" s="6056"/>
      <c r="GT22" s="6057"/>
      <c r="GU22" s="6057"/>
      <c r="GV22" s="6057"/>
      <c r="GW22" s="6057"/>
      <c r="GX22" s="6057"/>
      <c r="GY22" s="6056"/>
      <c r="GZ22" s="6057"/>
      <c r="HA22" s="6057"/>
      <c r="HB22" s="6057"/>
      <c r="HC22" s="6056"/>
      <c r="HD22" s="6057"/>
      <c r="HE22" s="6057"/>
      <c r="HF22" s="6057"/>
      <c r="HG22" s="6057"/>
      <c r="HH22" s="6057"/>
      <c r="HI22" s="6056"/>
      <c r="HJ22" s="6056"/>
      <c r="HK22" s="6056"/>
      <c r="HL22" s="6056"/>
      <c r="HM22" s="6056"/>
      <c r="HN22" s="6056"/>
      <c r="HO22" s="6056"/>
      <c r="HP22" s="6058"/>
      <c r="HT22" s="6055"/>
      <c r="HU22" s="6056"/>
      <c r="HV22" s="6056"/>
      <c r="HW22" s="6056"/>
      <c r="HX22" s="6056"/>
      <c r="HY22" s="6056"/>
      <c r="HZ22" s="6056"/>
      <c r="IA22" s="6056"/>
      <c r="IB22" s="6056"/>
      <c r="IC22" s="6056"/>
      <c r="ID22" s="6056"/>
      <c r="IE22" s="6056"/>
      <c r="IF22" s="6056"/>
      <c r="IG22" s="6056"/>
      <c r="IH22" s="6056"/>
      <c r="II22" s="6056"/>
      <c r="IJ22" s="6056"/>
      <c r="IK22" s="6056"/>
      <c r="IL22" s="6056"/>
      <c r="IM22" s="6057"/>
      <c r="IN22" s="6057"/>
      <c r="IO22" s="6057"/>
      <c r="IP22" s="6057"/>
      <c r="IQ22" s="6057"/>
      <c r="IR22" s="6056"/>
      <c r="IS22" s="6057"/>
      <c r="IT22" s="6057"/>
      <c r="IU22" s="6057"/>
      <c r="IV22" s="6056"/>
      <c r="IW22" s="6057"/>
      <c r="IX22" s="6057"/>
      <c r="IY22" s="6057"/>
      <c r="IZ22" s="6057"/>
      <c r="JA22" s="6057"/>
      <c r="JB22" s="6056"/>
      <c r="JC22" s="6056"/>
      <c r="JD22" s="6056"/>
      <c r="JE22" s="6056"/>
      <c r="JF22" s="6056"/>
      <c r="JG22" s="6056"/>
      <c r="JH22" s="6056"/>
      <c r="JI22" s="6058"/>
      <c r="JM22" s="6055"/>
      <c r="JN22" s="6056"/>
      <c r="JO22" s="6056"/>
      <c r="JP22" s="6056"/>
      <c r="JQ22" s="6056"/>
      <c r="JR22" s="6056"/>
      <c r="JS22" s="6056"/>
      <c r="JT22" s="6056"/>
      <c r="JU22" s="6056"/>
      <c r="JV22" s="6056"/>
      <c r="JW22" s="6056"/>
      <c r="JX22" s="6056"/>
      <c r="JY22" s="6056"/>
      <c r="JZ22" s="6056"/>
      <c r="KA22" s="6056"/>
      <c r="KB22" s="6056"/>
      <c r="KC22" s="6056"/>
      <c r="KD22" s="6056"/>
      <c r="KE22" s="6056"/>
      <c r="KF22" s="6057"/>
      <c r="KG22" s="6057"/>
      <c r="KH22" s="6057"/>
      <c r="KI22" s="6057"/>
      <c r="KJ22" s="6057"/>
      <c r="KK22" s="6056"/>
      <c r="KL22" s="6057"/>
      <c r="KM22" s="6057"/>
      <c r="KN22" s="6057"/>
      <c r="KO22" s="6056"/>
      <c r="KP22" s="6057"/>
      <c r="KQ22" s="6057"/>
      <c r="KR22" s="6057"/>
      <c r="KS22" s="6057"/>
      <c r="KT22" s="6057"/>
      <c r="KU22" s="6056"/>
      <c r="KV22" s="6056"/>
      <c r="KW22" s="6056"/>
      <c r="KX22" s="6056"/>
      <c r="KY22" s="6056"/>
      <c r="KZ22" s="6056"/>
      <c r="LA22" s="6056"/>
      <c r="LB22" s="6058"/>
      <c r="LF22" s="6055"/>
      <c r="LG22" s="6056"/>
      <c r="LH22" s="6056"/>
      <c r="LI22" s="6056"/>
      <c r="LJ22" s="6056"/>
      <c r="LK22" s="6056"/>
      <c r="LL22" s="6056"/>
      <c r="LM22" s="6056"/>
      <c r="LN22" s="6056"/>
      <c r="LO22" s="6056"/>
      <c r="LP22" s="6056"/>
      <c r="LQ22" s="6056"/>
      <c r="LR22" s="6056"/>
      <c r="LS22" s="6056"/>
      <c r="LT22" s="6056"/>
      <c r="LU22" s="6056"/>
      <c r="LV22" s="6056"/>
      <c r="LW22" s="6056"/>
      <c r="LX22" s="6056"/>
      <c r="LY22" s="6057"/>
      <c r="LZ22" s="6057"/>
      <c r="MA22" s="6057"/>
      <c r="MB22" s="6057"/>
      <c r="MC22" s="6057"/>
      <c r="MD22" s="6056"/>
      <c r="ME22" s="6057"/>
      <c r="MF22" s="6057"/>
      <c r="MG22" s="6057"/>
      <c r="MH22" s="6056"/>
      <c r="MI22" s="6057"/>
      <c r="MJ22" s="6057"/>
      <c r="MK22" s="6057"/>
      <c r="ML22" s="6057"/>
      <c r="MM22" s="6057"/>
      <c r="MN22" s="6056"/>
      <c r="MO22" s="6056"/>
      <c r="MP22" s="6056"/>
      <c r="MQ22" s="6056"/>
      <c r="MR22" s="6056"/>
      <c r="MS22" s="6056"/>
      <c r="MT22" s="6056"/>
      <c r="MU22" s="6058"/>
      <c r="MY22" s="6055"/>
      <c r="MZ22" s="6056"/>
      <c r="NA22" s="6056"/>
      <c r="NB22" s="6056"/>
      <c r="NC22" s="6056"/>
      <c r="ND22" s="6056"/>
      <c r="NE22" s="6056"/>
      <c r="NF22" s="6056"/>
      <c r="NG22" s="6056"/>
      <c r="NH22" s="6056"/>
      <c r="NI22" s="6056"/>
      <c r="NJ22" s="6056"/>
      <c r="NK22" s="6056"/>
      <c r="NL22" s="6056"/>
      <c r="NM22" s="6056"/>
      <c r="NN22" s="6056"/>
      <c r="NO22" s="6056"/>
      <c r="NP22" s="6056"/>
      <c r="NQ22" s="6056"/>
      <c r="NR22" s="6057"/>
      <c r="NS22" s="6057"/>
      <c r="NT22" s="6057"/>
      <c r="NU22" s="6057"/>
      <c r="NV22" s="6057"/>
      <c r="NW22" s="6056"/>
      <c r="NX22" s="6057"/>
      <c r="NY22" s="6057"/>
      <c r="NZ22" s="6057"/>
      <c r="OA22" s="6056"/>
      <c r="OB22" s="6057"/>
      <c r="OC22" s="6057"/>
      <c r="OD22" s="6057"/>
      <c r="OE22" s="6057"/>
      <c r="OF22" s="6057"/>
      <c r="OG22" s="6056"/>
      <c r="OH22" s="6056"/>
      <c r="OI22" s="6056"/>
      <c r="OJ22" s="6056"/>
      <c r="OK22" s="6056"/>
      <c r="OL22" s="6056"/>
      <c r="OM22" s="6056"/>
      <c r="ON22" s="6058"/>
    </row>
    <row r="23" spans="3:404" s="6075" customFormat="1" ht="12" customHeight="1" x14ac:dyDescent="0.2">
      <c r="C23" s="6071"/>
      <c r="D23" s="6790" t="str">
        <f>_Calcs!$N$78</f>
        <v>Beregnet</v>
      </c>
      <c r="E23" s="6790"/>
      <c r="F23" s="6790"/>
      <c r="G23" s="6790"/>
      <c r="H23" s="6790"/>
      <c r="I23" s="6790"/>
      <c r="J23" s="6790"/>
      <c r="K23" s="6072"/>
      <c r="L23" s="6072"/>
      <c r="M23" s="6072"/>
      <c r="N23" s="6790" t="str">
        <f>_Calcs!$O$78</f>
        <v>Justert</v>
      </c>
      <c r="O23" s="6790"/>
      <c r="P23" s="6790"/>
      <c r="Q23" s="6790"/>
      <c r="R23" s="6790"/>
      <c r="S23" s="6790"/>
      <c r="T23" s="6790"/>
      <c r="U23" s="6073"/>
      <c r="V23" s="6072"/>
      <c r="W23" s="6072"/>
      <c r="X23" s="6072"/>
      <c r="Y23" s="6072"/>
      <c r="Z23" s="6072"/>
      <c r="AA23" s="6072"/>
      <c r="AB23" s="6072"/>
      <c r="AC23" s="6072"/>
      <c r="AD23" s="6072"/>
      <c r="AE23" s="6072"/>
      <c r="AF23" s="6072"/>
      <c r="AG23" s="6072"/>
      <c r="AH23" s="6072"/>
      <c r="AI23" s="6072"/>
      <c r="AJ23" s="6072"/>
      <c r="AK23" s="6072"/>
      <c r="AL23" s="6072"/>
      <c r="AM23" s="6072"/>
      <c r="AN23" s="6072"/>
      <c r="AO23" s="6072"/>
      <c r="AP23" s="6072"/>
      <c r="AQ23" s="6072"/>
      <c r="AR23" s="6074"/>
      <c r="AV23" s="6071"/>
      <c r="AW23" s="6790" t="str">
        <f>_Calcs!$N$78</f>
        <v>Beregnet</v>
      </c>
      <c r="AX23" s="6790"/>
      <c r="AY23" s="6790"/>
      <c r="AZ23" s="6790"/>
      <c r="BA23" s="6790"/>
      <c r="BB23" s="6790"/>
      <c r="BC23" s="6790"/>
      <c r="BD23" s="6072"/>
      <c r="BE23" s="6072"/>
      <c r="BF23" s="6072"/>
      <c r="BG23" s="6790" t="str">
        <f>_Calcs!$O$78</f>
        <v>Justert</v>
      </c>
      <c r="BH23" s="6790"/>
      <c r="BI23" s="6790"/>
      <c r="BJ23" s="6790"/>
      <c r="BK23" s="6790"/>
      <c r="BL23" s="6790"/>
      <c r="BM23" s="6790"/>
      <c r="BN23" s="6073"/>
      <c r="BO23" s="6072"/>
      <c r="BP23" s="6072"/>
      <c r="BQ23" s="6072"/>
      <c r="BR23" s="6072"/>
      <c r="BS23" s="6072"/>
      <c r="BT23" s="6072"/>
      <c r="BU23" s="6072"/>
      <c r="BV23" s="6072"/>
      <c r="BW23" s="6072"/>
      <c r="BX23" s="6072"/>
      <c r="BY23" s="6072"/>
      <c r="BZ23" s="6072"/>
      <c r="CA23" s="6072"/>
      <c r="CB23" s="6072"/>
      <c r="CC23" s="6072"/>
      <c r="CD23" s="6072"/>
      <c r="CE23" s="6072"/>
      <c r="CF23" s="6072"/>
      <c r="CG23" s="6072"/>
      <c r="CH23" s="6072"/>
      <c r="CI23" s="6072"/>
      <c r="CJ23" s="6072"/>
      <c r="CK23" s="6074"/>
      <c r="CO23" s="6071"/>
      <c r="CP23" s="6790" t="str">
        <f>_Calcs!$N$78</f>
        <v>Beregnet</v>
      </c>
      <c r="CQ23" s="6790"/>
      <c r="CR23" s="6790"/>
      <c r="CS23" s="6790"/>
      <c r="CT23" s="6790"/>
      <c r="CU23" s="6790"/>
      <c r="CV23" s="6790"/>
      <c r="CW23" s="6072"/>
      <c r="CX23" s="6072"/>
      <c r="CY23" s="6072"/>
      <c r="CZ23" s="6790" t="str">
        <f>_Calcs!$O$78</f>
        <v>Justert</v>
      </c>
      <c r="DA23" s="6790"/>
      <c r="DB23" s="6790"/>
      <c r="DC23" s="6790"/>
      <c r="DD23" s="6790"/>
      <c r="DE23" s="6790"/>
      <c r="DF23" s="6790"/>
      <c r="DG23" s="6073"/>
      <c r="DH23" s="6072"/>
      <c r="DI23" s="6072"/>
      <c r="DJ23" s="6072"/>
      <c r="DK23" s="6072"/>
      <c r="DL23" s="6072"/>
      <c r="DM23" s="6072"/>
      <c r="DN23" s="6072"/>
      <c r="DO23" s="6072"/>
      <c r="DP23" s="6072"/>
      <c r="DQ23" s="6072"/>
      <c r="DR23" s="6072"/>
      <c r="DS23" s="6072"/>
      <c r="DT23" s="6072"/>
      <c r="DU23" s="6072"/>
      <c r="DV23" s="6072"/>
      <c r="DW23" s="6072"/>
      <c r="DX23" s="6072"/>
      <c r="DY23" s="6072"/>
      <c r="DZ23" s="6072"/>
      <c r="EA23" s="6072"/>
      <c r="EB23" s="6072"/>
      <c r="EC23" s="6072"/>
      <c r="ED23" s="6074"/>
      <c r="EH23" s="6071"/>
      <c r="EI23" s="6790" t="str">
        <f>_Calcs!$N$78</f>
        <v>Beregnet</v>
      </c>
      <c r="EJ23" s="6790"/>
      <c r="EK23" s="6790"/>
      <c r="EL23" s="6790"/>
      <c r="EM23" s="6790"/>
      <c r="EN23" s="6790"/>
      <c r="EO23" s="6790"/>
      <c r="EP23" s="6072"/>
      <c r="EQ23" s="6072"/>
      <c r="ER23" s="6072"/>
      <c r="ES23" s="6790" t="str">
        <f>_Calcs!$O$78</f>
        <v>Justert</v>
      </c>
      <c r="ET23" s="6790"/>
      <c r="EU23" s="6790"/>
      <c r="EV23" s="6790"/>
      <c r="EW23" s="6790"/>
      <c r="EX23" s="6790"/>
      <c r="EY23" s="6790"/>
      <c r="EZ23" s="6073"/>
      <c r="FA23" s="6072"/>
      <c r="FB23" s="6072"/>
      <c r="FC23" s="6072"/>
      <c r="FD23" s="6072"/>
      <c r="FE23" s="6072"/>
      <c r="FF23" s="6072"/>
      <c r="FG23" s="6072"/>
      <c r="FH23" s="6072"/>
      <c r="FI23" s="6072"/>
      <c r="FJ23" s="6072"/>
      <c r="FK23" s="6072"/>
      <c r="FL23" s="6072"/>
      <c r="FM23" s="6072"/>
      <c r="FN23" s="6072"/>
      <c r="FO23" s="6072"/>
      <c r="FP23" s="6072"/>
      <c r="FQ23" s="6072"/>
      <c r="FR23" s="6072"/>
      <c r="FS23" s="6072"/>
      <c r="FT23" s="6072"/>
      <c r="FU23" s="6072"/>
      <c r="FV23" s="6072"/>
      <c r="FW23" s="6074"/>
      <c r="GA23" s="6071"/>
      <c r="GB23" s="6790" t="str">
        <f>_Calcs!$N$78</f>
        <v>Beregnet</v>
      </c>
      <c r="GC23" s="6790"/>
      <c r="GD23" s="6790"/>
      <c r="GE23" s="6790"/>
      <c r="GF23" s="6790"/>
      <c r="GG23" s="6790"/>
      <c r="GH23" s="6790"/>
      <c r="GI23" s="6072"/>
      <c r="GJ23" s="6072"/>
      <c r="GK23" s="6072"/>
      <c r="GL23" s="6790" t="str">
        <f>_Calcs!$O$78</f>
        <v>Justert</v>
      </c>
      <c r="GM23" s="6790"/>
      <c r="GN23" s="6790"/>
      <c r="GO23" s="6790"/>
      <c r="GP23" s="6790"/>
      <c r="GQ23" s="6790"/>
      <c r="GR23" s="6790"/>
      <c r="GS23" s="6073"/>
      <c r="GT23" s="6072"/>
      <c r="GU23" s="6072"/>
      <c r="GV23" s="6072"/>
      <c r="GW23" s="6072"/>
      <c r="GX23" s="6072"/>
      <c r="GY23" s="6072"/>
      <c r="GZ23" s="6072"/>
      <c r="HA23" s="6072"/>
      <c r="HB23" s="6072"/>
      <c r="HC23" s="6072"/>
      <c r="HD23" s="6072"/>
      <c r="HE23" s="6072"/>
      <c r="HF23" s="6072"/>
      <c r="HG23" s="6072"/>
      <c r="HH23" s="6072"/>
      <c r="HI23" s="6072"/>
      <c r="HJ23" s="6072"/>
      <c r="HK23" s="6072"/>
      <c r="HL23" s="6072"/>
      <c r="HM23" s="6072"/>
      <c r="HN23" s="6072"/>
      <c r="HO23" s="6072"/>
      <c r="HP23" s="6074"/>
      <c r="HT23" s="6071"/>
      <c r="HU23" s="6790" t="str">
        <f>_Calcs!$N$78</f>
        <v>Beregnet</v>
      </c>
      <c r="HV23" s="6790"/>
      <c r="HW23" s="6790"/>
      <c r="HX23" s="6790"/>
      <c r="HY23" s="6790"/>
      <c r="HZ23" s="6790"/>
      <c r="IA23" s="6790"/>
      <c r="IB23" s="6072"/>
      <c r="IC23" s="6072"/>
      <c r="ID23" s="6072"/>
      <c r="IE23" s="6790" t="str">
        <f>_Calcs!$O$78</f>
        <v>Justert</v>
      </c>
      <c r="IF23" s="6790"/>
      <c r="IG23" s="6790"/>
      <c r="IH23" s="6790"/>
      <c r="II23" s="6790"/>
      <c r="IJ23" s="6790"/>
      <c r="IK23" s="6790"/>
      <c r="IL23" s="6073"/>
      <c r="IM23" s="6072"/>
      <c r="IN23" s="6072"/>
      <c r="IO23" s="6072"/>
      <c r="IP23" s="6072"/>
      <c r="IQ23" s="6072"/>
      <c r="IR23" s="6072"/>
      <c r="IS23" s="6072"/>
      <c r="IT23" s="6072"/>
      <c r="IU23" s="6072"/>
      <c r="IV23" s="6072"/>
      <c r="IW23" s="6072"/>
      <c r="IX23" s="6072"/>
      <c r="IY23" s="6072"/>
      <c r="IZ23" s="6072"/>
      <c r="JA23" s="6072"/>
      <c r="JB23" s="6072"/>
      <c r="JC23" s="6072"/>
      <c r="JD23" s="6072"/>
      <c r="JE23" s="6072"/>
      <c r="JF23" s="6072"/>
      <c r="JG23" s="6072"/>
      <c r="JH23" s="6072"/>
      <c r="JI23" s="6074"/>
      <c r="JM23" s="6071"/>
      <c r="JN23" s="6790" t="str">
        <f>_Calcs!$N$78</f>
        <v>Beregnet</v>
      </c>
      <c r="JO23" s="6790"/>
      <c r="JP23" s="6790"/>
      <c r="JQ23" s="6790"/>
      <c r="JR23" s="6790"/>
      <c r="JS23" s="6790"/>
      <c r="JT23" s="6790"/>
      <c r="JU23" s="6072"/>
      <c r="JV23" s="6072"/>
      <c r="JW23" s="6072"/>
      <c r="JX23" s="6790" t="str">
        <f>_Calcs!$O$78</f>
        <v>Justert</v>
      </c>
      <c r="JY23" s="6790"/>
      <c r="JZ23" s="6790"/>
      <c r="KA23" s="6790"/>
      <c r="KB23" s="6790"/>
      <c r="KC23" s="6790"/>
      <c r="KD23" s="6790"/>
      <c r="KE23" s="6073"/>
      <c r="KF23" s="6072"/>
      <c r="KG23" s="6072"/>
      <c r="KH23" s="6072"/>
      <c r="KI23" s="6072"/>
      <c r="KJ23" s="6072"/>
      <c r="KK23" s="6072"/>
      <c r="KL23" s="6072"/>
      <c r="KM23" s="6072"/>
      <c r="KN23" s="6072"/>
      <c r="KO23" s="6072"/>
      <c r="KP23" s="6072"/>
      <c r="KQ23" s="6072"/>
      <c r="KR23" s="6072"/>
      <c r="KS23" s="6072"/>
      <c r="KT23" s="6072"/>
      <c r="KU23" s="6072"/>
      <c r="KV23" s="6072"/>
      <c r="KW23" s="6072"/>
      <c r="KX23" s="6072"/>
      <c r="KY23" s="6072"/>
      <c r="KZ23" s="6072"/>
      <c r="LA23" s="6072"/>
      <c r="LB23" s="6074"/>
      <c r="LF23" s="6071"/>
      <c r="LG23" s="6790" t="str">
        <f>_Calcs!$N$78</f>
        <v>Beregnet</v>
      </c>
      <c r="LH23" s="6790"/>
      <c r="LI23" s="6790"/>
      <c r="LJ23" s="6790"/>
      <c r="LK23" s="6790"/>
      <c r="LL23" s="6790"/>
      <c r="LM23" s="6790"/>
      <c r="LN23" s="6072"/>
      <c r="LO23" s="6072"/>
      <c r="LP23" s="6072"/>
      <c r="LQ23" s="6790" t="str">
        <f>_Calcs!$O$78</f>
        <v>Justert</v>
      </c>
      <c r="LR23" s="6790"/>
      <c r="LS23" s="6790"/>
      <c r="LT23" s="6790"/>
      <c r="LU23" s="6790"/>
      <c r="LV23" s="6790"/>
      <c r="LW23" s="6790"/>
      <c r="LX23" s="6073"/>
      <c r="LY23" s="6072"/>
      <c r="LZ23" s="6072"/>
      <c r="MA23" s="6072"/>
      <c r="MB23" s="6072"/>
      <c r="MC23" s="6072"/>
      <c r="MD23" s="6072"/>
      <c r="ME23" s="6072"/>
      <c r="MF23" s="6072"/>
      <c r="MG23" s="6072"/>
      <c r="MH23" s="6072"/>
      <c r="MI23" s="6072"/>
      <c r="MJ23" s="6072"/>
      <c r="MK23" s="6072"/>
      <c r="ML23" s="6072"/>
      <c r="MM23" s="6072"/>
      <c r="MN23" s="6072"/>
      <c r="MO23" s="6072"/>
      <c r="MP23" s="6072"/>
      <c r="MQ23" s="6072"/>
      <c r="MR23" s="6072"/>
      <c r="MS23" s="6072"/>
      <c r="MT23" s="6072"/>
      <c r="MU23" s="6074"/>
      <c r="MY23" s="6071"/>
      <c r="MZ23" s="6790" t="str">
        <f>_Calcs!$N$78</f>
        <v>Beregnet</v>
      </c>
      <c r="NA23" s="6790"/>
      <c r="NB23" s="6790"/>
      <c r="NC23" s="6790"/>
      <c r="ND23" s="6790"/>
      <c r="NE23" s="6790"/>
      <c r="NF23" s="6790"/>
      <c r="NG23" s="6072"/>
      <c r="NH23" s="6072"/>
      <c r="NI23" s="6072"/>
      <c r="NJ23" s="6790" t="str">
        <f>_Calcs!$O$78</f>
        <v>Justert</v>
      </c>
      <c r="NK23" s="6790"/>
      <c r="NL23" s="6790"/>
      <c r="NM23" s="6790"/>
      <c r="NN23" s="6790"/>
      <c r="NO23" s="6790"/>
      <c r="NP23" s="6790"/>
      <c r="NQ23" s="6073"/>
      <c r="NR23" s="6072"/>
      <c r="NS23" s="6072"/>
      <c r="NT23" s="6072"/>
      <c r="NU23" s="6072"/>
      <c r="NV23" s="6072"/>
      <c r="NW23" s="6072"/>
      <c r="NX23" s="6072"/>
      <c r="NY23" s="6072"/>
      <c r="NZ23" s="6072"/>
      <c r="OA23" s="6072"/>
      <c r="OB23" s="6072"/>
      <c r="OC23" s="6072"/>
      <c r="OD23" s="6072"/>
      <c r="OE23" s="6072"/>
      <c r="OF23" s="6072"/>
      <c r="OG23" s="6072"/>
      <c r="OH23" s="6072"/>
      <c r="OI23" s="6072"/>
      <c r="OJ23" s="6072"/>
      <c r="OK23" s="6072"/>
      <c r="OL23" s="6072"/>
      <c r="OM23" s="6072"/>
      <c r="ON23" s="6074"/>
    </row>
    <row r="24" spans="3:404" ht="5.0999999999999996" customHeight="1" thickBot="1" x14ac:dyDescent="0.25">
      <c r="C24" s="6055"/>
      <c r="D24" s="6056"/>
      <c r="E24" s="6056"/>
      <c r="F24" s="6056"/>
      <c r="G24" s="6056"/>
      <c r="H24" s="6056"/>
      <c r="I24" s="6056"/>
      <c r="J24" s="6056"/>
      <c r="K24" s="6056"/>
      <c r="L24" s="6056"/>
      <c r="M24" s="6057"/>
      <c r="N24" s="6057"/>
      <c r="O24" s="6057"/>
      <c r="P24" s="6057"/>
      <c r="Q24" s="6057"/>
      <c r="R24" s="6056"/>
      <c r="S24" s="6056"/>
      <c r="T24" s="6056"/>
      <c r="U24" s="6057"/>
      <c r="V24" s="6057"/>
      <c r="W24" s="6057"/>
      <c r="X24" s="6056"/>
      <c r="Y24" s="6056"/>
      <c r="Z24" s="6057"/>
      <c r="AA24" s="6056"/>
      <c r="AB24" s="6057"/>
      <c r="AC24" s="6057"/>
      <c r="AD24" s="6057"/>
      <c r="AE24" s="6056"/>
      <c r="AF24" s="6057"/>
      <c r="AG24" s="6057"/>
      <c r="AH24" s="6057"/>
      <c r="AI24" s="6057"/>
      <c r="AJ24" s="6057"/>
      <c r="AK24" s="6056"/>
      <c r="AL24" s="6056"/>
      <c r="AM24" s="6056"/>
      <c r="AN24" s="6056"/>
      <c r="AO24" s="6056"/>
      <c r="AP24" s="6056"/>
      <c r="AQ24" s="6056"/>
      <c r="AR24" s="6058"/>
      <c r="AV24" s="6055"/>
      <c r="AW24" s="6056"/>
      <c r="AX24" s="6056"/>
      <c r="AY24" s="6056"/>
      <c r="AZ24" s="6056"/>
      <c r="BA24" s="6056"/>
      <c r="BB24" s="6056"/>
      <c r="BC24" s="6056"/>
      <c r="BD24" s="6056"/>
      <c r="BE24" s="6056"/>
      <c r="BF24" s="6057"/>
      <c r="BG24" s="6057"/>
      <c r="BH24" s="6057"/>
      <c r="BI24" s="6057"/>
      <c r="BJ24" s="6057"/>
      <c r="BK24" s="6056"/>
      <c r="BL24" s="6056"/>
      <c r="BM24" s="6056"/>
      <c r="BN24" s="6057"/>
      <c r="BO24" s="6057"/>
      <c r="BP24" s="6057"/>
      <c r="BQ24" s="6056"/>
      <c r="BR24" s="6056"/>
      <c r="BS24" s="6057"/>
      <c r="BT24" s="6056"/>
      <c r="BU24" s="6057"/>
      <c r="BV24" s="6057"/>
      <c r="BW24" s="6057"/>
      <c r="BX24" s="6056"/>
      <c r="BY24" s="6057"/>
      <c r="BZ24" s="6057"/>
      <c r="CA24" s="6057"/>
      <c r="CB24" s="6057"/>
      <c r="CC24" s="6057"/>
      <c r="CD24" s="6056"/>
      <c r="CE24" s="6056"/>
      <c r="CF24" s="6056"/>
      <c r="CG24" s="6056"/>
      <c r="CH24" s="6056"/>
      <c r="CI24" s="6056"/>
      <c r="CJ24" s="6056"/>
      <c r="CK24" s="6058"/>
      <c r="CO24" s="6055"/>
      <c r="CP24" s="6056"/>
      <c r="CQ24" s="6056"/>
      <c r="CR24" s="6056"/>
      <c r="CS24" s="6056"/>
      <c r="CT24" s="6056"/>
      <c r="CU24" s="6056"/>
      <c r="CV24" s="6056"/>
      <c r="CW24" s="6056"/>
      <c r="CX24" s="6056"/>
      <c r="CY24" s="6057"/>
      <c r="CZ24" s="6057"/>
      <c r="DA24" s="6057"/>
      <c r="DB24" s="6057"/>
      <c r="DC24" s="6057"/>
      <c r="DD24" s="6056"/>
      <c r="DE24" s="6056"/>
      <c r="DF24" s="6056"/>
      <c r="DG24" s="6057"/>
      <c r="DH24" s="6057"/>
      <c r="DI24" s="6057"/>
      <c r="DJ24" s="6056"/>
      <c r="DK24" s="6056"/>
      <c r="DL24" s="6057"/>
      <c r="DM24" s="6056"/>
      <c r="DN24" s="6057"/>
      <c r="DO24" s="6057"/>
      <c r="DP24" s="6057"/>
      <c r="DQ24" s="6056"/>
      <c r="DR24" s="6057"/>
      <c r="DS24" s="6057"/>
      <c r="DT24" s="6057"/>
      <c r="DU24" s="6057"/>
      <c r="DV24" s="6057"/>
      <c r="DW24" s="6056"/>
      <c r="DX24" s="6056"/>
      <c r="DY24" s="6056"/>
      <c r="DZ24" s="6056"/>
      <c r="EA24" s="6056"/>
      <c r="EB24" s="6056"/>
      <c r="EC24" s="6056"/>
      <c r="ED24" s="6058"/>
      <c r="EH24" s="6055"/>
      <c r="EI24" s="6056"/>
      <c r="EJ24" s="6056"/>
      <c r="EK24" s="6056"/>
      <c r="EL24" s="6056"/>
      <c r="EM24" s="6056"/>
      <c r="EN24" s="6056"/>
      <c r="EO24" s="6056"/>
      <c r="EP24" s="6056"/>
      <c r="EQ24" s="6056"/>
      <c r="ER24" s="6057"/>
      <c r="ES24" s="6057"/>
      <c r="ET24" s="6057"/>
      <c r="EU24" s="6057"/>
      <c r="EV24" s="6057"/>
      <c r="EW24" s="6056"/>
      <c r="EX24" s="6056"/>
      <c r="EY24" s="6056"/>
      <c r="EZ24" s="6057"/>
      <c r="FA24" s="6057"/>
      <c r="FB24" s="6057"/>
      <c r="FC24" s="6056"/>
      <c r="FD24" s="6056"/>
      <c r="FE24" s="6057"/>
      <c r="FF24" s="6056"/>
      <c r="FG24" s="6057"/>
      <c r="FH24" s="6057"/>
      <c r="FI24" s="6057"/>
      <c r="FJ24" s="6056"/>
      <c r="FK24" s="6057"/>
      <c r="FL24" s="6057"/>
      <c r="FM24" s="6057"/>
      <c r="FN24" s="6057"/>
      <c r="FO24" s="6057"/>
      <c r="FP24" s="6056"/>
      <c r="FQ24" s="6056"/>
      <c r="FR24" s="6056"/>
      <c r="FS24" s="6056"/>
      <c r="FT24" s="6056"/>
      <c r="FU24" s="6056"/>
      <c r="FV24" s="6056"/>
      <c r="FW24" s="6058"/>
      <c r="GA24" s="6055"/>
      <c r="GB24" s="6056"/>
      <c r="GC24" s="6056"/>
      <c r="GD24" s="6056"/>
      <c r="GE24" s="6056"/>
      <c r="GF24" s="6056"/>
      <c r="GG24" s="6056"/>
      <c r="GH24" s="6056"/>
      <c r="GI24" s="6056"/>
      <c r="GJ24" s="6056"/>
      <c r="GK24" s="6057"/>
      <c r="GL24" s="6057"/>
      <c r="GM24" s="6057"/>
      <c r="GN24" s="6057"/>
      <c r="GO24" s="6057"/>
      <c r="GP24" s="6056"/>
      <c r="GQ24" s="6056"/>
      <c r="GR24" s="6056"/>
      <c r="GS24" s="6057"/>
      <c r="GT24" s="6057"/>
      <c r="GU24" s="6057"/>
      <c r="GV24" s="6056"/>
      <c r="GW24" s="6056"/>
      <c r="GX24" s="6057"/>
      <c r="GY24" s="6056"/>
      <c r="GZ24" s="6057"/>
      <c r="HA24" s="6057"/>
      <c r="HB24" s="6057"/>
      <c r="HC24" s="6056"/>
      <c r="HD24" s="6057"/>
      <c r="HE24" s="6057"/>
      <c r="HF24" s="6057"/>
      <c r="HG24" s="6057"/>
      <c r="HH24" s="6057"/>
      <c r="HI24" s="6056"/>
      <c r="HJ24" s="6056"/>
      <c r="HK24" s="6056"/>
      <c r="HL24" s="6056"/>
      <c r="HM24" s="6056"/>
      <c r="HN24" s="6056"/>
      <c r="HO24" s="6056"/>
      <c r="HP24" s="6058"/>
      <c r="HT24" s="6055"/>
      <c r="HU24" s="6056"/>
      <c r="HV24" s="6056"/>
      <c r="HW24" s="6056"/>
      <c r="HX24" s="6056"/>
      <c r="HY24" s="6056"/>
      <c r="HZ24" s="6056"/>
      <c r="IA24" s="6056"/>
      <c r="IB24" s="6056"/>
      <c r="IC24" s="6056"/>
      <c r="ID24" s="6057"/>
      <c r="IE24" s="6057"/>
      <c r="IF24" s="6057"/>
      <c r="IG24" s="6057"/>
      <c r="IH24" s="6057"/>
      <c r="II24" s="6056"/>
      <c r="IJ24" s="6056"/>
      <c r="IK24" s="6056"/>
      <c r="IL24" s="6057"/>
      <c r="IM24" s="6057"/>
      <c r="IN24" s="6057"/>
      <c r="IO24" s="6056"/>
      <c r="IP24" s="6056"/>
      <c r="IQ24" s="6057"/>
      <c r="IR24" s="6056"/>
      <c r="IS24" s="6057"/>
      <c r="IT24" s="6057"/>
      <c r="IU24" s="6057"/>
      <c r="IV24" s="6056"/>
      <c r="IW24" s="6057"/>
      <c r="IX24" s="6057"/>
      <c r="IY24" s="6057"/>
      <c r="IZ24" s="6057"/>
      <c r="JA24" s="6057"/>
      <c r="JB24" s="6056"/>
      <c r="JC24" s="6056"/>
      <c r="JD24" s="6056"/>
      <c r="JE24" s="6056"/>
      <c r="JF24" s="6056"/>
      <c r="JG24" s="6056"/>
      <c r="JH24" s="6056"/>
      <c r="JI24" s="6058"/>
      <c r="JM24" s="6055"/>
      <c r="JN24" s="6056"/>
      <c r="JO24" s="6056"/>
      <c r="JP24" s="6056"/>
      <c r="JQ24" s="6056"/>
      <c r="JR24" s="6056"/>
      <c r="JS24" s="6056"/>
      <c r="JT24" s="6056"/>
      <c r="JU24" s="6056"/>
      <c r="JV24" s="6056"/>
      <c r="JW24" s="6057"/>
      <c r="JX24" s="6057"/>
      <c r="JY24" s="6057"/>
      <c r="JZ24" s="6057"/>
      <c r="KA24" s="6057"/>
      <c r="KB24" s="6056"/>
      <c r="KC24" s="6056"/>
      <c r="KD24" s="6056"/>
      <c r="KE24" s="6057"/>
      <c r="KF24" s="6057"/>
      <c r="KG24" s="6057"/>
      <c r="KH24" s="6056"/>
      <c r="KI24" s="6056"/>
      <c r="KJ24" s="6057"/>
      <c r="KK24" s="6056"/>
      <c r="KL24" s="6057"/>
      <c r="KM24" s="6057"/>
      <c r="KN24" s="6057"/>
      <c r="KO24" s="6056"/>
      <c r="KP24" s="6057"/>
      <c r="KQ24" s="6057"/>
      <c r="KR24" s="6057"/>
      <c r="KS24" s="6057"/>
      <c r="KT24" s="6057"/>
      <c r="KU24" s="6056"/>
      <c r="KV24" s="6056"/>
      <c r="KW24" s="6056"/>
      <c r="KX24" s="6056"/>
      <c r="KY24" s="6056"/>
      <c r="KZ24" s="6056"/>
      <c r="LA24" s="6056"/>
      <c r="LB24" s="6058"/>
      <c r="LF24" s="6055"/>
      <c r="LG24" s="6056"/>
      <c r="LH24" s="6056"/>
      <c r="LI24" s="6056"/>
      <c r="LJ24" s="6056"/>
      <c r="LK24" s="6056"/>
      <c r="LL24" s="6056"/>
      <c r="LM24" s="6056"/>
      <c r="LN24" s="6056"/>
      <c r="LO24" s="6056"/>
      <c r="LP24" s="6057"/>
      <c r="LQ24" s="6057"/>
      <c r="LR24" s="6057"/>
      <c r="LS24" s="6057"/>
      <c r="LT24" s="6057"/>
      <c r="LU24" s="6056"/>
      <c r="LV24" s="6056"/>
      <c r="LW24" s="6056"/>
      <c r="LX24" s="6057"/>
      <c r="LY24" s="6057"/>
      <c r="LZ24" s="6057"/>
      <c r="MA24" s="6056"/>
      <c r="MB24" s="6056"/>
      <c r="MC24" s="6057"/>
      <c r="MD24" s="6056"/>
      <c r="ME24" s="6057"/>
      <c r="MF24" s="6057"/>
      <c r="MG24" s="6057"/>
      <c r="MH24" s="6056"/>
      <c r="MI24" s="6057"/>
      <c r="MJ24" s="6057"/>
      <c r="MK24" s="6057"/>
      <c r="ML24" s="6057"/>
      <c r="MM24" s="6057"/>
      <c r="MN24" s="6056"/>
      <c r="MO24" s="6056"/>
      <c r="MP24" s="6056"/>
      <c r="MQ24" s="6056"/>
      <c r="MR24" s="6056"/>
      <c r="MS24" s="6056"/>
      <c r="MT24" s="6056"/>
      <c r="MU24" s="6058"/>
      <c r="MY24" s="6055"/>
      <c r="MZ24" s="6056"/>
      <c r="NA24" s="6056"/>
      <c r="NB24" s="6056"/>
      <c r="NC24" s="6056"/>
      <c r="ND24" s="6056"/>
      <c r="NE24" s="6056"/>
      <c r="NF24" s="6056"/>
      <c r="NG24" s="6056"/>
      <c r="NH24" s="6056"/>
      <c r="NI24" s="6057"/>
      <c r="NJ24" s="6057"/>
      <c r="NK24" s="6057"/>
      <c r="NL24" s="6057"/>
      <c r="NM24" s="6057"/>
      <c r="NN24" s="6056"/>
      <c r="NO24" s="6056"/>
      <c r="NP24" s="6056"/>
      <c r="NQ24" s="6057"/>
      <c r="NR24" s="6057"/>
      <c r="NS24" s="6057"/>
      <c r="NT24" s="6056"/>
      <c r="NU24" s="6056"/>
      <c r="NV24" s="6057"/>
      <c r="NW24" s="6056"/>
      <c r="NX24" s="6057"/>
      <c r="NY24" s="6057"/>
      <c r="NZ24" s="6057"/>
      <c r="OA24" s="6056"/>
      <c r="OB24" s="6057"/>
      <c r="OC24" s="6057"/>
      <c r="OD24" s="6057"/>
      <c r="OE24" s="6057"/>
      <c r="OF24" s="6057"/>
      <c r="OG24" s="6056"/>
      <c r="OH24" s="6056"/>
      <c r="OI24" s="6056"/>
      <c r="OJ24" s="6056"/>
      <c r="OK24" s="6056"/>
      <c r="OL24" s="6056"/>
      <c r="OM24" s="6056"/>
      <c r="ON24" s="6058"/>
    </row>
    <row r="25" spans="3:404" ht="20.100000000000001" customHeight="1" thickBot="1" x14ac:dyDescent="0.25">
      <c r="C25" s="6055"/>
      <c r="D25" s="6076"/>
      <c r="E25" s="6791">
        <f>_Calcs!$IK$118</f>
        <v>1</v>
      </c>
      <c r="F25" s="6791"/>
      <c r="G25" s="6791"/>
      <c r="H25" s="6791"/>
      <c r="I25" s="6791"/>
      <c r="J25" s="6077"/>
      <c r="K25" s="6078"/>
      <c r="L25" s="6078"/>
      <c r="M25" s="6078"/>
      <c r="N25" s="6079"/>
      <c r="O25" s="6792" t="str">
        <f>_Calcs!$IK$119</f>
        <v/>
      </c>
      <c r="P25" s="6792"/>
      <c r="Q25" s="6792"/>
      <c r="R25" s="6792"/>
      <c r="S25" s="6792"/>
      <c r="T25" s="6080"/>
      <c r="U25" s="6081"/>
      <c r="V25" s="6057"/>
      <c r="W25" s="6057"/>
      <c r="X25" s="6056"/>
      <c r="Y25" s="6056"/>
      <c r="Z25" s="6057"/>
      <c r="AA25" s="6056"/>
      <c r="AB25" s="6057"/>
      <c r="AC25" s="6057"/>
      <c r="AD25" s="6057"/>
      <c r="AE25" s="6056"/>
      <c r="AF25" s="6057"/>
      <c r="AG25" s="6057"/>
      <c r="AH25" s="6057"/>
      <c r="AI25" s="6057"/>
      <c r="AJ25" s="6057"/>
      <c r="AK25" s="6056"/>
      <c r="AL25" s="6056"/>
      <c r="AM25" s="6056"/>
      <c r="AN25" s="6056"/>
      <c r="AO25" s="6056"/>
      <c r="AP25" s="6056"/>
      <c r="AQ25" s="6056"/>
      <c r="AR25" s="6058"/>
      <c r="AV25" s="6055"/>
      <c r="AW25" s="6076"/>
      <c r="AX25" s="6791" t="e">
        <f>_Calcs!$IL$118</f>
        <v>#N/A</v>
      </c>
      <c r="AY25" s="6791"/>
      <c r="AZ25" s="6791"/>
      <c r="BA25" s="6791"/>
      <c r="BB25" s="6791"/>
      <c r="BC25" s="6077"/>
      <c r="BD25" s="6078"/>
      <c r="BE25" s="6078"/>
      <c r="BF25" s="6078"/>
      <c r="BG25" s="6079"/>
      <c r="BH25" s="6792" t="e">
        <f>_Calcs!$IL$119</f>
        <v>#N/A</v>
      </c>
      <c r="BI25" s="6792"/>
      <c r="BJ25" s="6792"/>
      <c r="BK25" s="6792"/>
      <c r="BL25" s="6792"/>
      <c r="BM25" s="6080"/>
      <c r="BN25" s="6081"/>
      <c r="BO25" s="6057"/>
      <c r="BP25" s="6057"/>
      <c r="BQ25" s="6056"/>
      <c r="BR25" s="6056"/>
      <c r="BS25" s="6057"/>
      <c r="BT25" s="6056"/>
      <c r="BU25" s="6057"/>
      <c r="BV25" s="6057"/>
      <c r="BW25" s="6057"/>
      <c r="BX25" s="6056"/>
      <c r="BY25" s="6057"/>
      <c r="BZ25" s="6057"/>
      <c r="CA25" s="6057"/>
      <c r="CB25" s="6057"/>
      <c r="CC25" s="6057"/>
      <c r="CD25" s="6056"/>
      <c r="CE25" s="6056"/>
      <c r="CF25" s="6056"/>
      <c r="CG25" s="6056"/>
      <c r="CH25" s="6056"/>
      <c r="CI25" s="6056"/>
      <c r="CJ25" s="6056"/>
      <c r="CK25" s="6058"/>
      <c r="CO25" s="6055"/>
      <c r="CP25" s="6076"/>
      <c r="CQ25" s="6791" t="e">
        <f>_Calcs!$IM$118</f>
        <v>#N/A</v>
      </c>
      <c r="CR25" s="6791"/>
      <c r="CS25" s="6791"/>
      <c r="CT25" s="6791"/>
      <c r="CU25" s="6791"/>
      <c r="CV25" s="6077"/>
      <c r="CW25" s="6078"/>
      <c r="CX25" s="6078"/>
      <c r="CY25" s="6078"/>
      <c r="CZ25" s="6079"/>
      <c r="DA25" s="6792" t="e">
        <f>_Calcs!$IM$119</f>
        <v>#N/A</v>
      </c>
      <c r="DB25" s="6792"/>
      <c r="DC25" s="6792"/>
      <c r="DD25" s="6792"/>
      <c r="DE25" s="6792"/>
      <c r="DF25" s="6080"/>
      <c r="DG25" s="6081"/>
      <c r="DH25" s="6057"/>
      <c r="DI25" s="6057"/>
      <c r="DJ25" s="6056"/>
      <c r="DK25" s="6056"/>
      <c r="DL25" s="6057"/>
      <c r="DM25" s="6056"/>
      <c r="DN25" s="6057"/>
      <c r="DO25" s="6057"/>
      <c r="DP25" s="6057"/>
      <c r="DQ25" s="6056"/>
      <c r="DR25" s="6057"/>
      <c r="DS25" s="6057"/>
      <c r="DT25" s="6057"/>
      <c r="DU25" s="6057"/>
      <c r="DV25" s="6057"/>
      <c r="DW25" s="6056"/>
      <c r="DX25" s="6056"/>
      <c r="DY25" s="6056"/>
      <c r="DZ25" s="6056"/>
      <c r="EA25" s="6056"/>
      <c r="EB25" s="6056"/>
      <c r="EC25" s="6056"/>
      <c r="ED25" s="6058"/>
      <c r="EH25" s="6055"/>
      <c r="EI25" s="6076"/>
      <c r="EJ25" s="6791" t="e">
        <f>_Calcs!$IN$118</f>
        <v>#N/A</v>
      </c>
      <c r="EK25" s="6791"/>
      <c r="EL25" s="6791"/>
      <c r="EM25" s="6791"/>
      <c r="EN25" s="6791"/>
      <c r="EO25" s="6077"/>
      <c r="EP25" s="6078"/>
      <c r="EQ25" s="6078"/>
      <c r="ER25" s="6078"/>
      <c r="ES25" s="6079"/>
      <c r="ET25" s="6792" t="e">
        <f>_Calcs!$IN$119</f>
        <v>#N/A</v>
      </c>
      <c r="EU25" s="6792"/>
      <c r="EV25" s="6792"/>
      <c r="EW25" s="6792"/>
      <c r="EX25" s="6792"/>
      <c r="EY25" s="6080"/>
      <c r="EZ25" s="6081"/>
      <c r="FA25" s="6057"/>
      <c r="FB25" s="6057"/>
      <c r="FC25" s="6056"/>
      <c r="FD25" s="6056"/>
      <c r="FE25" s="6057"/>
      <c r="FF25" s="6056"/>
      <c r="FG25" s="6057"/>
      <c r="FH25" s="6057"/>
      <c r="FI25" s="6057"/>
      <c r="FJ25" s="6056"/>
      <c r="FK25" s="6057"/>
      <c r="FL25" s="6057"/>
      <c r="FM25" s="6057"/>
      <c r="FN25" s="6057"/>
      <c r="FO25" s="6057"/>
      <c r="FP25" s="6056"/>
      <c r="FQ25" s="6056"/>
      <c r="FR25" s="6056"/>
      <c r="FS25" s="6056"/>
      <c r="FT25" s="6056"/>
      <c r="FU25" s="6056"/>
      <c r="FV25" s="6056"/>
      <c r="FW25" s="6058"/>
      <c r="GA25" s="6055"/>
      <c r="GB25" s="6076"/>
      <c r="GC25" s="6791" t="e">
        <f>_Calcs!$IO$118</f>
        <v>#N/A</v>
      </c>
      <c r="GD25" s="6791"/>
      <c r="GE25" s="6791"/>
      <c r="GF25" s="6791"/>
      <c r="GG25" s="6791"/>
      <c r="GH25" s="6077"/>
      <c r="GI25" s="6078"/>
      <c r="GJ25" s="6078"/>
      <c r="GK25" s="6078"/>
      <c r="GL25" s="6079"/>
      <c r="GM25" s="6792" t="e">
        <f>_Calcs!$IO$119</f>
        <v>#N/A</v>
      </c>
      <c r="GN25" s="6792"/>
      <c r="GO25" s="6792"/>
      <c r="GP25" s="6792"/>
      <c r="GQ25" s="6792"/>
      <c r="GR25" s="6080"/>
      <c r="GS25" s="6081"/>
      <c r="GT25" s="6057"/>
      <c r="GU25" s="6057"/>
      <c r="GV25" s="6056"/>
      <c r="GW25" s="6056"/>
      <c r="GX25" s="6057"/>
      <c r="GY25" s="6056"/>
      <c r="GZ25" s="6057"/>
      <c r="HA25" s="6057"/>
      <c r="HB25" s="6057"/>
      <c r="HC25" s="6056"/>
      <c r="HD25" s="6057"/>
      <c r="HE25" s="6057"/>
      <c r="HF25" s="6057"/>
      <c r="HG25" s="6057"/>
      <c r="HH25" s="6057"/>
      <c r="HI25" s="6056"/>
      <c r="HJ25" s="6056"/>
      <c r="HK25" s="6056"/>
      <c r="HL25" s="6056"/>
      <c r="HM25" s="6056"/>
      <c r="HN25" s="6056"/>
      <c r="HO25" s="6056"/>
      <c r="HP25" s="6058"/>
      <c r="HT25" s="6055"/>
      <c r="HU25" s="6076"/>
      <c r="HV25" s="6791" t="e">
        <f>_Calcs!$IP$118</f>
        <v>#N/A</v>
      </c>
      <c r="HW25" s="6791"/>
      <c r="HX25" s="6791"/>
      <c r="HY25" s="6791"/>
      <c r="HZ25" s="6791"/>
      <c r="IA25" s="6077"/>
      <c r="IB25" s="6078"/>
      <c r="IC25" s="6078"/>
      <c r="ID25" s="6078"/>
      <c r="IE25" s="6079"/>
      <c r="IF25" s="6792" t="e">
        <f>_Calcs!$IP$119</f>
        <v>#N/A</v>
      </c>
      <c r="IG25" s="6792"/>
      <c r="IH25" s="6792"/>
      <c r="II25" s="6792"/>
      <c r="IJ25" s="6792"/>
      <c r="IK25" s="6080"/>
      <c r="IL25" s="6081"/>
      <c r="IM25" s="6057"/>
      <c r="IN25" s="6057"/>
      <c r="IO25" s="6056"/>
      <c r="IP25" s="6056"/>
      <c r="IQ25" s="6057"/>
      <c r="IR25" s="6056"/>
      <c r="IS25" s="6057"/>
      <c r="IT25" s="6057"/>
      <c r="IU25" s="6057"/>
      <c r="IV25" s="6056"/>
      <c r="IW25" s="6057"/>
      <c r="IX25" s="6057"/>
      <c r="IY25" s="6057"/>
      <c r="IZ25" s="6057"/>
      <c r="JA25" s="6057"/>
      <c r="JB25" s="6056"/>
      <c r="JC25" s="6056"/>
      <c r="JD25" s="6056"/>
      <c r="JE25" s="6056"/>
      <c r="JF25" s="6056"/>
      <c r="JG25" s="6056"/>
      <c r="JH25" s="6056"/>
      <c r="JI25" s="6058"/>
      <c r="JM25" s="6055"/>
      <c r="JN25" s="6076"/>
      <c r="JO25" s="6791" t="e">
        <f>_Calcs!$IQ$118</f>
        <v>#N/A</v>
      </c>
      <c r="JP25" s="6791"/>
      <c r="JQ25" s="6791"/>
      <c r="JR25" s="6791"/>
      <c r="JS25" s="6791"/>
      <c r="JT25" s="6077"/>
      <c r="JU25" s="6078"/>
      <c r="JV25" s="6078"/>
      <c r="JW25" s="6078"/>
      <c r="JX25" s="6079"/>
      <c r="JY25" s="6792" t="e">
        <f>_Calcs!$IQ$119</f>
        <v>#N/A</v>
      </c>
      <c r="JZ25" s="6792"/>
      <c r="KA25" s="6792"/>
      <c r="KB25" s="6792"/>
      <c r="KC25" s="6792"/>
      <c r="KD25" s="6080"/>
      <c r="KE25" s="6081"/>
      <c r="KF25" s="6057"/>
      <c r="KG25" s="6057"/>
      <c r="KH25" s="6056"/>
      <c r="KI25" s="6056"/>
      <c r="KJ25" s="6057"/>
      <c r="KK25" s="6056"/>
      <c r="KL25" s="6057"/>
      <c r="KM25" s="6057"/>
      <c r="KN25" s="6057"/>
      <c r="KO25" s="6056"/>
      <c r="KP25" s="6057"/>
      <c r="KQ25" s="6057"/>
      <c r="KR25" s="6057"/>
      <c r="KS25" s="6057"/>
      <c r="KT25" s="6057"/>
      <c r="KU25" s="6056"/>
      <c r="KV25" s="6056"/>
      <c r="KW25" s="6056"/>
      <c r="KX25" s="6056"/>
      <c r="KY25" s="6056"/>
      <c r="KZ25" s="6056"/>
      <c r="LA25" s="6056"/>
      <c r="LB25" s="6058"/>
      <c r="LF25" s="6055"/>
      <c r="LG25" s="6076"/>
      <c r="LH25" s="6791" t="e">
        <f>_Calcs!$IR$118</f>
        <v>#N/A</v>
      </c>
      <c r="LI25" s="6791"/>
      <c r="LJ25" s="6791"/>
      <c r="LK25" s="6791"/>
      <c r="LL25" s="6791"/>
      <c r="LM25" s="6077"/>
      <c r="LN25" s="6078"/>
      <c r="LO25" s="6078"/>
      <c r="LP25" s="6078"/>
      <c r="LQ25" s="6079"/>
      <c r="LR25" s="6792" t="e">
        <f>_Calcs!$IR$119</f>
        <v>#N/A</v>
      </c>
      <c r="LS25" s="6792"/>
      <c r="LT25" s="6792"/>
      <c r="LU25" s="6792"/>
      <c r="LV25" s="6792"/>
      <c r="LW25" s="6080"/>
      <c r="LX25" s="6081"/>
      <c r="LY25" s="6057"/>
      <c r="LZ25" s="6057"/>
      <c r="MA25" s="6056"/>
      <c r="MB25" s="6056"/>
      <c r="MC25" s="6057"/>
      <c r="MD25" s="6056"/>
      <c r="ME25" s="6057"/>
      <c r="MF25" s="6057"/>
      <c r="MG25" s="6057"/>
      <c r="MH25" s="6056"/>
      <c r="MI25" s="6057"/>
      <c r="MJ25" s="6057"/>
      <c r="MK25" s="6057"/>
      <c r="ML25" s="6057"/>
      <c r="MM25" s="6057"/>
      <c r="MN25" s="6056"/>
      <c r="MO25" s="6056"/>
      <c r="MP25" s="6056"/>
      <c r="MQ25" s="6056"/>
      <c r="MR25" s="6056"/>
      <c r="MS25" s="6056"/>
      <c r="MT25" s="6056"/>
      <c r="MU25" s="6058"/>
      <c r="MY25" s="6055"/>
      <c r="MZ25" s="6076"/>
      <c r="NA25" s="6791" t="e">
        <f>_Calcs!$IS$118</f>
        <v>#N/A</v>
      </c>
      <c r="NB25" s="6791"/>
      <c r="NC25" s="6791"/>
      <c r="ND25" s="6791"/>
      <c r="NE25" s="6791"/>
      <c r="NF25" s="6077"/>
      <c r="NG25" s="6078"/>
      <c r="NH25" s="6078"/>
      <c r="NI25" s="6078"/>
      <c r="NJ25" s="6079"/>
      <c r="NK25" s="6792" t="e">
        <f>_Calcs!$IS$119</f>
        <v>#N/A</v>
      </c>
      <c r="NL25" s="6792"/>
      <c r="NM25" s="6792"/>
      <c r="NN25" s="6792"/>
      <c r="NO25" s="6792"/>
      <c r="NP25" s="6080"/>
      <c r="NQ25" s="6081"/>
      <c r="NR25" s="6057"/>
      <c r="NS25" s="6057"/>
      <c r="NT25" s="6056"/>
      <c r="NU25" s="6056"/>
      <c r="NV25" s="6057"/>
      <c r="NW25" s="6056"/>
      <c r="NX25" s="6057"/>
      <c r="NY25" s="6057"/>
      <c r="NZ25" s="6057"/>
      <c r="OA25" s="6056"/>
      <c r="OB25" s="6057"/>
      <c r="OC25" s="6057"/>
      <c r="OD25" s="6057"/>
      <c r="OE25" s="6057"/>
      <c r="OF25" s="6057"/>
      <c r="OG25" s="6056"/>
      <c r="OH25" s="6056"/>
      <c r="OI25" s="6056"/>
      <c r="OJ25" s="6056"/>
      <c r="OK25" s="6056"/>
      <c r="OL25" s="6056"/>
      <c r="OM25" s="6056"/>
      <c r="ON25" s="6058"/>
    </row>
    <row r="26" spans="3:404" ht="8.1" customHeight="1" x14ac:dyDescent="0.2">
      <c r="C26" s="6055"/>
      <c r="D26" s="6056"/>
      <c r="E26" s="6056"/>
      <c r="F26" s="6056"/>
      <c r="G26" s="6056"/>
      <c r="H26" s="6056"/>
      <c r="I26" s="6056"/>
      <c r="J26" s="6056"/>
      <c r="K26" s="6056"/>
      <c r="L26" s="6056"/>
      <c r="M26" s="6056"/>
      <c r="N26" s="6056"/>
      <c r="O26" s="6056"/>
      <c r="P26" s="6056"/>
      <c r="Q26" s="6056"/>
      <c r="R26" s="6056"/>
      <c r="S26" s="6056"/>
      <c r="T26" s="6056"/>
      <c r="U26" s="6056"/>
      <c r="V26" s="6057"/>
      <c r="W26" s="6057"/>
      <c r="X26" s="6057"/>
      <c r="Y26" s="6057"/>
      <c r="Z26" s="6057"/>
      <c r="AA26" s="6056"/>
      <c r="AB26" s="6057"/>
      <c r="AC26" s="6057"/>
      <c r="AD26" s="6057"/>
      <c r="AE26" s="6056"/>
      <c r="AF26" s="6057"/>
      <c r="AG26" s="6057"/>
      <c r="AH26" s="6057"/>
      <c r="AI26" s="6057"/>
      <c r="AJ26" s="6057"/>
      <c r="AK26" s="6056"/>
      <c r="AL26" s="6056"/>
      <c r="AM26" s="6056"/>
      <c r="AN26" s="6056"/>
      <c r="AO26" s="6056"/>
      <c r="AP26" s="6056"/>
      <c r="AQ26" s="6056"/>
      <c r="AR26" s="6058"/>
      <c r="AV26" s="6055"/>
      <c r="AW26" s="6056"/>
      <c r="AX26" s="6056"/>
      <c r="AY26" s="6056"/>
      <c r="AZ26" s="6056"/>
      <c r="BA26" s="6056"/>
      <c r="BB26" s="6056"/>
      <c r="BC26" s="6056"/>
      <c r="BD26" s="6056"/>
      <c r="BE26" s="6056"/>
      <c r="BF26" s="6056"/>
      <c r="BG26" s="6056"/>
      <c r="BH26" s="6056"/>
      <c r="BI26" s="6056"/>
      <c r="BJ26" s="6056"/>
      <c r="BK26" s="6056"/>
      <c r="BL26" s="6056"/>
      <c r="BM26" s="6056"/>
      <c r="BN26" s="6056"/>
      <c r="BO26" s="6057"/>
      <c r="BP26" s="6057"/>
      <c r="BQ26" s="6057"/>
      <c r="BR26" s="6057"/>
      <c r="BS26" s="6057"/>
      <c r="BT26" s="6056"/>
      <c r="BU26" s="6057"/>
      <c r="BV26" s="6057"/>
      <c r="BW26" s="6057"/>
      <c r="BX26" s="6056"/>
      <c r="BY26" s="6057"/>
      <c r="BZ26" s="6057"/>
      <c r="CA26" s="6057"/>
      <c r="CB26" s="6057"/>
      <c r="CC26" s="6057"/>
      <c r="CD26" s="6056"/>
      <c r="CE26" s="6056"/>
      <c r="CF26" s="6056"/>
      <c r="CG26" s="6056"/>
      <c r="CH26" s="6056"/>
      <c r="CI26" s="6056"/>
      <c r="CJ26" s="6056"/>
      <c r="CK26" s="6058"/>
      <c r="CO26" s="6055"/>
      <c r="CP26" s="6056"/>
      <c r="CQ26" s="6056"/>
      <c r="CR26" s="6056"/>
      <c r="CS26" s="6056"/>
      <c r="CT26" s="6056"/>
      <c r="CU26" s="6056"/>
      <c r="CV26" s="6056"/>
      <c r="CW26" s="6056"/>
      <c r="CX26" s="6056"/>
      <c r="CY26" s="6056"/>
      <c r="CZ26" s="6056"/>
      <c r="DA26" s="6056"/>
      <c r="DB26" s="6056"/>
      <c r="DC26" s="6056"/>
      <c r="DD26" s="6056"/>
      <c r="DE26" s="6056"/>
      <c r="DF26" s="6056"/>
      <c r="DG26" s="6056"/>
      <c r="DH26" s="6057"/>
      <c r="DI26" s="6057"/>
      <c r="DJ26" s="6057"/>
      <c r="DK26" s="6057"/>
      <c r="DL26" s="6057"/>
      <c r="DM26" s="6056"/>
      <c r="DN26" s="6057"/>
      <c r="DO26" s="6057"/>
      <c r="DP26" s="6057"/>
      <c r="DQ26" s="6056"/>
      <c r="DR26" s="6057"/>
      <c r="DS26" s="6057"/>
      <c r="DT26" s="6057"/>
      <c r="DU26" s="6057"/>
      <c r="DV26" s="6057"/>
      <c r="DW26" s="6056"/>
      <c r="DX26" s="6056"/>
      <c r="DY26" s="6056"/>
      <c r="DZ26" s="6056"/>
      <c r="EA26" s="6056"/>
      <c r="EB26" s="6056"/>
      <c r="EC26" s="6056"/>
      <c r="ED26" s="6058"/>
      <c r="EH26" s="6055"/>
      <c r="EI26" s="6056"/>
      <c r="EJ26" s="6056"/>
      <c r="EK26" s="6056"/>
      <c r="EL26" s="6056"/>
      <c r="EM26" s="6056"/>
      <c r="EN26" s="6056"/>
      <c r="EO26" s="6056"/>
      <c r="EP26" s="6056"/>
      <c r="EQ26" s="6056"/>
      <c r="ER26" s="6056"/>
      <c r="ES26" s="6056"/>
      <c r="ET26" s="6056"/>
      <c r="EU26" s="6056"/>
      <c r="EV26" s="6056"/>
      <c r="EW26" s="6056"/>
      <c r="EX26" s="6056"/>
      <c r="EY26" s="6056"/>
      <c r="EZ26" s="6056"/>
      <c r="FA26" s="6057"/>
      <c r="FB26" s="6057"/>
      <c r="FC26" s="6057"/>
      <c r="FD26" s="6057"/>
      <c r="FE26" s="6057"/>
      <c r="FF26" s="6056"/>
      <c r="FG26" s="6057"/>
      <c r="FH26" s="6057"/>
      <c r="FI26" s="6057"/>
      <c r="FJ26" s="6056"/>
      <c r="FK26" s="6057"/>
      <c r="FL26" s="6057"/>
      <c r="FM26" s="6057"/>
      <c r="FN26" s="6057"/>
      <c r="FO26" s="6057"/>
      <c r="FP26" s="6056"/>
      <c r="FQ26" s="6056"/>
      <c r="FR26" s="6056"/>
      <c r="FS26" s="6056"/>
      <c r="FT26" s="6056"/>
      <c r="FU26" s="6056"/>
      <c r="FV26" s="6056"/>
      <c r="FW26" s="6058"/>
      <c r="GA26" s="6055"/>
      <c r="GB26" s="6056"/>
      <c r="GC26" s="6056"/>
      <c r="GD26" s="6056"/>
      <c r="GE26" s="6056"/>
      <c r="GF26" s="6056"/>
      <c r="GG26" s="6056"/>
      <c r="GH26" s="6056"/>
      <c r="GI26" s="6056"/>
      <c r="GJ26" s="6056"/>
      <c r="GK26" s="6056"/>
      <c r="GL26" s="6056"/>
      <c r="GM26" s="6056"/>
      <c r="GN26" s="6056"/>
      <c r="GO26" s="6056"/>
      <c r="GP26" s="6056"/>
      <c r="GQ26" s="6056"/>
      <c r="GR26" s="6056"/>
      <c r="GS26" s="6056"/>
      <c r="GT26" s="6057"/>
      <c r="GU26" s="6057"/>
      <c r="GV26" s="6057"/>
      <c r="GW26" s="6057"/>
      <c r="GX26" s="6057"/>
      <c r="GY26" s="6056"/>
      <c r="GZ26" s="6057"/>
      <c r="HA26" s="6057"/>
      <c r="HB26" s="6057"/>
      <c r="HC26" s="6056"/>
      <c r="HD26" s="6057"/>
      <c r="HE26" s="6057"/>
      <c r="HF26" s="6057"/>
      <c r="HG26" s="6057"/>
      <c r="HH26" s="6057"/>
      <c r="HI26" s="6056"/>
      <c r="HJ26" s="6056"/>
      <c r="HK26" s="6056"/>
      <c r="HL26" s="6056"/>
      <c r="HM26" s="6056"/>
      <c r="HN26" s="6056"/>
      <c r="HO26" s="6056"/>
      <c r="HP26" s="6058"/>
      <c r="HT26" s="6055"/>
      <c r="HU26" s="6056"/>
      <c r="HV26" s="6056"/>
      <c r="HW26" s="6056"/>
      <c r="HX26" s="6056"/>
      <c r="HY26" s="6056"/>
      <c r="HZ26" s="6056"/>
      <c r="IA26" s="6056"/>
      <c r="IB26" s="6056"/>
      <c r="IC26" s="6056"/>
      <c r="ID26" s="6056"/>
      <c r="IE26" s="6056"/>
      <c r="IF26" s="6056"/>
      <c r="IG26" s="6056"/>
      <c r="IH26" s="6056"/>
      <c r="II26" s="6056"/>
      <c r="IJ26" s="6056"/>
      <c r="IK26" s="6056"/>
      <c r="IL26" s="6056"/>
      <c r="IM26" s="6057"/>
      <c r="IN26" s="6057"/>
      <c r="IO26" s="6057"/>
      <c r="IP26" s="6057"/>
      <c r="IQ26" s="6057"/>
      <c r="IR26" s="6056"/>
      <c r="IS26" s="6057"/>
      <c r="IT26" s="6057"/>
      <c r="IU26" s="6057"/>
      <c r="IV26" s="6056"/>
      <c r="IW26" s="6057"/>
      <c r="IX26" s="6057"/>
      <c r="IY26" s="6057"/>
      <c r="IZ26" s="6057"/>
      <c r="JA26" s="6057"/>
      <c r="JB26" s="6056"/>
      <c r="JC26" s="6056"/>
      <c r="JD26" s="6056"/>
      <c r="JE26" s="6056"/>
      <c r="JF26" s="6056"/>
      <c r="JG26" s="6056"/>
      <c r="JH26" s="6056"/>
      <c r="JI26" s="6058"/>
      <c r="JM26" s="6055"/>
      <c r="JN26" s="6056"/>
      <c r="JO26" s="6056"/>
      <c r="JP26" s="6056"/>
      <c r="JQ26" s="6056"/>
      <c r="JR26" s="6056"/>
      <c r="JS26" s="6056"/>
      <c r="JT26" s="6056"/>
      <c r="JU26" s="6056"/>
      <c r="JV26" s="6056"/>
      <c r="JW26" s="6056"/>
      <c r="JX26" s="6056"/>
      <c r="JY26" s="6056"/>
      <c r="JZ26" s="6056"/>
      <c r="KA26" s="6056"/>
      <c r="KB26" s="6056"/>
      <c r="KC26" s="6056"/>
      <c r="KD26" s="6056"/>
      <c r="KE26" s="6056"/>
      <c r="KF26" s="6057"/>
      <c r="KG26" s="6057"/>
      <c r="KH26" s="6057"/>
      <c r="KI26" s="6057"/>
      <c r="KJ26" s="6057"/>
      <c r="KK26" s="6056"/>
      <c r="KL26" s="6057"/>
      <c r="KM26" s="6057"/>
      <c r="KN26" s="6057"/>
      <c r="KO26" s="6056"/>
      <c r="KP26" s="6057"/>
      <c r="KQ26" s="6057"/>
      <c r="KR26" s="6057"/>
      <c r="KS26" s="6057"/>
      <c r="KT26" s="6057"/>
      <c r="KU26" s="6056"/>
      <c r="KV26" s="6056"/>
      <c r="KW26" s="6056"/>
      <c r="KX26" s="6056"/>
      <c r="KY26" s="6056"/>
      <c r="KZ26" s="6056"/>
      <c r="LA26" s="6056"/>
      <c r="LB26" s="6058"/>
      <c r="LF26" s="6055"/>
      <c r="LG26" s="6056"/>
      <c r="LH26" s="6056"/>
      <c r="LI26" s="6056"/>
      <c r="LJ26" s="6056"/>
      <c r="LK26" s="6056"/>
      <c r="LL26" s="6056"/>
      <c r="LM26" s="6056"/>
      <c r="LN26" s="6056"/>
      <c r="LO26" s="6056"/>
      <c r="LP26" s="6056"/>
      <c r="LQ26" s="6056"/>
      <c r="LR26" s="6056"/>
      <c r="LS26" s="6056"/>
      <c r="LT26" s="6056"/>
      <c r="LU26" s="6056"/>
      <c r="LV26" s="6056"/>
      <c r="LW26" s="6056"/>
      <c r="LX26" s="6056"/>
      <c r="LY26" s="6057"/>
      <c r="LZ26" s="6057"/>
      <c r="MA26" s="6057"/>
      <c r="MB26" s="6057"/>
      <c r="MC26" s="6057"/>
      <c r="MD26" s="6056"/>
      <c r="ME26" s="6057"/>
      <c r="MF26" s="6057"/>
      <c r="MG26" s="6057"/>
      <c r="MH26" s="6056"/>
      <c r="MI26" s="6057"/>
      <c r="MJ26" s="6057"/>
      <c r="MK26" s="6057"/>
      <c r="ML26" s="6057"/>
      <c r="MM26" s="6057"/>
      <c r="MN26" s="6056"/>
      <c r="MO26" s="6056"/>
      <c r="MP26" s="6056"/>
      <c r="MQ26" s="6056"/>
      <c r="MR26" s="6056"/>
      <c r="MS26" s="6056"/>
      <c r="MT26" s="6056"/>
      <c r="MU26" s="6058"/>
      <c r="MY26" s="6055"/>
      <c r="MZ26" s="6056"/>
      <c r="NA26" s="6056"/>
      <c r="NB26" s="6056"/>
      <c r="NC26" s="6056"/>
      <c r="ND26" s="6056"/>
      <c r="NE26" s="6056"/>
      <c r="NF26" s="6056"/>
      <c r="NG26" s="6056"/>
      <c r="NH26" s="6056"/>
      <c r="NI26" s="6056"/>
      <c r="NJ26" s="6056"/>
      <c r="NK26" s="6056"/>
      <c r="NL26" s="6056"/>
      <c r="NM26" s="6056"/>
      <c r="NN26" s="6056"/>
      <c r="NO26" s="6056"/>
      <c r="NP26" s="6056"/>
      <c r="NQ26" s="6056"/>
      <c r="NR26" s="6057"/>
      <c r="NS26" s="6057"/>
      <c r="NT26" s="6057"/>
      <c r="NU26" s="6057"/>
      <c r="NV26" s="6057"/>
      <c r="NW26" s="6056"/>
      <c r="NX26" s="6057"/>
      <c r="NY26" s="6057"/>
      <c r="NZ26" s="6057"/>
      <c r="OA26" s="6056"/>
      <c r="OB26" s="6057"/>
      <c r="OC26" s="6057"/>
      <c r="OD26" s="6057"/>
      <c r="OE26" s="6057"/>
      <c r="OF26" s="6057"/>
      <c r="OG26" s="6056"/>
      <c r="OH26" s="6056"/>
      <c r="OI26" s="6056"/>
      <c r="OJ26" s="6056"/>
      <c r="OK26" s="6056"/>
      <c r="OL26" s="6056"/>
      <c r="OM26" s="6056"/>
      <c r="ON26" s="6058"/>
    </row>
    <row r="27" spans="3:404" s="6075" customFormat="1" ht="12" customHeight="1" x14ac:dyDescent="0.2">
      <c r="C27" s="6071"/>
      <c r="D27" s="6060" t="str">
        <f>_Calcs!$N$79</f>
        <v>Begrunnelse</v>
      </c>
      <c r="E27" s="6072"/>
      <c r="F27" s="6072"/>
      <c r="G27" s="6072"/>
      <c r="H27" s="6072"/>
      <c r="I27" s="6072"/>
      <c r="J27" s="6072"/>
      <c r="K27" s="6072"/>
      <c r="L27" s="6072"/>
      <c r="M27" s="6072"/>
      <c r="N27" s="6072"/>
      <c r="O27" s="6072"/>
      <c r="P27" s="6060"/>
      <c r="Q27" s="6060"/>
      <c r="R27" s="6060"/>
      <c r="S27" s="6060"/>
      <c r="T27" s="6072"/>
      <c r="U27" s="6072"/>
      <c r="V27" s="6072"/>
      <c r="W27" s="6072"/>
      <c r="X27" s="6072"/>
      <c r="Y27" s="6072"/>
      <c r="Z27" s="6072"/>
      <c r="AA27" s="6072"/>
      <c r="AB27" s="6072"/>
      <c r="AC27" s="6072"/>
      <c r="AD27" s="6072"/>
      <c r="AE27" s="6072"/>
      <c r="AF27" s="6072"/>
      <c r="AG27" s="6072"/>
      <c r="AH27" s="6072"/>
      <c r="AI27" s="6072"/>
      <c r="AJ27" s="6072"/>
      <c r="AK27" s="6072"/>
      <c r="AL27" s="6072"/>
      <c r="AM27" s="6072"/>
      <c r="AN27" s="6072"/>
      <c r="AO27" s="6072"/>
      <c r="AP27" s="6072"/>
      <c r="AQ27" s="6072"/>
      <c r="AR27" s="6074"/>
      <c r="AV27" s="6071"/>
      <c r="AW27" s="6060" t="str">
        <f>_Calcs!$N$79</f>
        <v>Begrunnelse</v>
      </c>
      <c r="AX27" s="6072"/>
      <c r="AY27" s="6072"/>
      <c r="AZ27" s="6072"/>
      <c r="BA27" s="6072"/>
      <c r="BB27" s="6072"/>
      <c r="BC27" s="6072"/>
      <c r="BD27" s="6072"/>
      <c r="BE27" s="6072"/>
      <c r="BF27" s="6072"/>
      <c r="BG27" s="6072"/>
      <c r="BH27" s="6072"/>
      <c r="BI27" s="6060"/>
      <c r="BJ27" s="6060"/>
      <c r="BK27" s="6060"/>
      <c r="BL27" s="6060"/>
      <c r="BM27" s="6072"/>
      <c r="BN27" s="6072"/>
      <c r="BO27" s="6072"/>
      <c r="BP27" s="6072"/>
      <c r="BQ27" s="6072"/>
      <c r="BR27" s="6072"/>
      <c r="BS27" s="6072"/>
      <c r="BT27" s="6072"/>
      <c r="BU27" s="6072"/>
      <c r="BV27" s="6072"/>
      <c r="BW27" s="6072"/>
      <c r="BX27" s="6072"/>
      <c r="BY27" s="6072"/>
      <c r="BZ27" s="6072"/>
      <c r="CA27" s="6072"/>
      <c r="CB27" s="6072"/>
      <c r="CC27" s="6072"/>
      <c r="CD27" s="6072"/>
      <c r="CE27" s="6072"/>
      <c r="CF27" s="6072"/>
      <c r="CG27" s="6072"/>
      <c r="CH27" s="6072"/>
      <c r="CI27" s="6072"/>
      <c r="CJ27" s="6072"/>
      <c r="CK27" s="6074"/>
      <c r="CO27" s="6071"/>
      <c r="CP27" s="6060" t="str">
        <f>_Calcs!$N$79</f>
        <v>Begrunnelse</v>
      </c>
      <c r="CQ27" s="6072"/>
      <c r="CR27" s="6072"/>
      <c r="CS27" s="6072"/>
      <c r="CT27" s="6072"/>
      <c r="CU27" s="6072"/>
      <c r="CV27" s="6072"/>
      <c r="CW27" s="6072"/>
      <c r="CX27" s="6072"/>
      <c r="CY27" s="6072"/>
      <c r="CZ27" s="6072"/>
      <c r="DA27" s="6072"/>
      <c r="DB27" s="6060"/>
      <c r="DC27" s="6060"/>
      <c r="DD27" s="6060"/>
      <c r="DE27" s="6060"/>
      <c r="DF27" s="6072"/>
      <c r="DG27" s="6072"/>
      <c r="DH27" s="6072"/>
      <c r="DI27" s="6072"/>
      <c r="DJ27" s="6072"/>
      <c r="DK27" s="6072"/>
      <c r="DL27" s="6072"/>
      <c r="DM27" s="6072"/>
      <c r="DN27" s="6072"/>
      <c r="DO27" s="6072"/>
      <c r="DP27" s="6072"/>
      <c r="DQ27" s="6072"/>
      <c r="DR27" s="6072"/>
      <c r="DS27" s="6072"/>
      <c r="DT27" s="6072"/>
      <c r="DU27" s="6072"/>
      <c r="DV27" s="6072"/>
      <c r="DW27" s="6072"/>
      <c r="DX27" s="6072"/>
      <c r="DY27" s="6072"/>
      <c r="DZ27" s="6072"/>
      <c r="EA27" s="6072"/>
      <c r="EB27" s="6072"/>
      <c r="EC27" s="6072"/>
      <c r="ED27" s="6074"/>
      <c r="EH27" s="6071"/>
      <c r="EI27" s="6060" t="str">
        <f>_Calcs!$N$79</f>
        <v>Begrunnelse</v>
      </c>
      <c r="EJ27" s="6072"/>
      <c r="EK27" s="6072"/>
      <c r="EL27" s="6072"/>
      <c r="EM27" s="6072"/>
      <c r="EN27" s="6072"/>
      <c r="EO27" s="6072"/>
      <c r="EP27" s="6072"/>
      <c r="EQ27" s="6072"/>
      <c r="ER27" s="6072"/>
      <c r="ES27" s="6072"/>
      <c r="ET27" s="6072"/>
      <c r="EU27" s="6060"/>
      <c r="EV27" s="6060"/>
      <c r="EW27" s="6060"/>
      <c r="EX27" s="6060"/>
      <c r="EY27" s="6072"/>
      <c r="EZ27" s="6072"/>
      <c r="FA27" s="6072"/>
      <c r="FB27" s="6072"/>
      <c r="FC27" s="6072"/>
      <c r="FD27" s="6072"/>
      <c r="FE27" s="6072"/>
      <c r="FF27" s="6072"/>
      <c r="FG27" s="6072"/>
      <c r="FH27" s="6072"/>
      <c r="FI27" s="6072"/>
      <c r="FJ27" s="6072"/>
      <c r="FK27" s="6072"/>
      <c r="FL27" s="6072"/>
      <c r="FM27" s="6072"/>
      <c r="FN27" s="6072"/>
      <c r="FO27" s="6072"/>
      <c r="FP27" s="6072"/>
      <c r="FQ27" s="6072"/>
      <c r="FR27" s="6072"/>
      <c r="FS27" s="6072"/>
      <c r="FT27" s="6072"/>
      <c r="FU27" s="6072"/>
      <c r="FV27" s="6072"/>
      <c r="FW27" s="6074"/>
      <c r="GA27" s="6071"/>
      <c r="GB27" s="6060" t="str">
        <f>_Calcs!$N$79</f>
        <v>Begrunnelse</v>
      </c>
      <c r="GC27" s="6072"/>
      <c r="GD27" s="6072"/>
      <c r="GE27" s="6072"/>
      <c r="GF27" s="6072"/>
      <c r="GG27" s="6072"/>
      <c r="GH27" s="6072"/>
      <c r="GI27" s="6072"/>
      <c r="GJ27" s="6072"/>
      <c r="GK27" s="6072"/>
      <c r="GL27" s="6072"/>
      <c r="GM27" s="6072"/>
      <c r="GN27" s="6060"/>
      <c r="GO27" s="6060"/>
      <c r="GP27" s="6060"/>
      <c r="GQ27" s="6060"/>
      <c r="GR27" s="6072"/>
      <c r="GS27" s="6072"/>
      <c r="GT27" s="6072"/>
      <c r="GU27" s="6072"/>
      <c r="GV27" s="6072"/>
      <c r="GW27" s="6072"/>
      <c r="GX27" s="6072"/>
      <c r="GY27" s="6072"/>
      <c r="GZ27" s="6072"/>
      <c r="HA27" s="6072"/>
      <c r="HB27" s="6072"/>
      <c r="HC27" s="6072"/>
      <c r="HD27" s="6072"/>
      <c r="HE27" s="6072"/>
      <c r="HF27" s="6072"/>
      <c r="HG27" s="6072"/>
      <c r="HH27" s="6072"/>
      <c r="HI27" s="6072"/>
      <c r="HJ27" s="6072"/>
      <c r="HK27" s="6072"/>
      <c r="HL27" s="6072"/>
      <c r="HM27" s="6072"/>
      <c r="HN27" s="6072"/>
      <c r="HO27" s="6072"/>
      <c r="HP27" s="6074"/>
      <c r="HT27" s="6071"/>
      <c r="HU27" s="6060" t="str">
        <f>_Calcs!$N$79</f>
        <v>Begrunnelse</v>
      </c>
      <c r="HV27" s="6072"/>
      <c r="HW27" s="6072"/>
      <c r="HX27" s="6072"/>
      <c r="HY27" s="6072"/>
      <c r="HZ27" s="6072"/>
      <c r="IA27" s="6072"/>
      <c r="IB27" s="6072"/>
      <c r="IC27" s="6072"/>
      <c r="ID27" s="6072"/>
      <c r="IE27" s="6072"/>
      <c r="IF27" s="6072"/>
      <c r="IG27" s="6060"/>
      <c r="IH27" s="6060"/>
      <c r="II27" s="6060"/>
      <c r="IJ27" s="6060"/>
      <c r="IK27" s="6072"/>
      <c r="IL27" s="6072"/>
      <c r="IM27" s="6072"/>
      <c r="IN27" s="6072"/>
      <c r="IO27" s="6072"/>
      <c r="IP27" s="6072"/>
      <c r="IQ27" s="6072"/>
      <c r="IR27" s="6072"/>
      <c r="IS27" s="6072"/>
      <c r="IT27" s="6072"/>
      <c r="IU27" s="6072"/>
      <c r="IV27" s="6072"/>
      <c r="IW27" s="6072"/>
      <c r="IX27" s="6072"/>
      <c r="IY27" s="6072"/>
      <c r="IZ27" s="6072"/>
      <c r="JA27" s="6072"/>
      <c r="JB27" s="6072"/>
      <c r="JC27" s="6072"/>
      <c r="JD27" s="6072"/>
      <c r="JE27" s="6072"/>
      <c r="JF27" s="6072"/>
      <c r="JG27" s="6072"/>
      <c r="JH27" s="6072"/>
      <c r="JI27" s="6074"/>
      <c r="JM27" s="6071"/>
      <c r="JN27" s="6060" t="str">
        <f>_Calcs!$N$79</f>
        <v>Begrunnelse</v>
      </c>
      <c r="JO27" s="6072"/>
      <c r="JP27" s="6072"/>
      <c r="JQ27" s="6072"/>
      <c r="JR27" s="6072"/>
      <c r="JS27" s="6072"/>
      <c r="JT27" s="6072"/>
      <c r="JU27" s="6072"/>
      <c r="JV27" s="6072"/>
      <c r="JW27" s="6072"/>
      <c r="JX27" s="6072"/>
      <c r="JY27" s="6072"/>
      <c r="JZ27" s="6060"/>
      <c r="KA27" s="6060"/>
      <c r="KB27" s="6060"/>
      <c r="KC27" s="6060"/>
      <c r="KD27" s="6072"/>
      <c r="KE27" s="6072"/>
      <c r="KF27" s="6072"/>
      <c r="KG27" s="6072"/>
      <c r="KH27" s="6072"/>
      <c r="KI27" s="6072"/>
      <c r="KJ27" s="6072"/>
      <c r="KK27" s="6072"/>
      <c r="KL27" s="6072"/>
      <c r="KM27" s="6072"/>
      <c r="KN27" s="6072"/>
      <c r="KO27" s="6072"/>
      <c r="KP27" s="6072"/>
      <c r="KQ27" s="6072"/>
      <c r="KR27" s="6072"/>
      <c r="KS27" s="6072"/>
      <c r="KT27" s="6072"/>
      <c r="KU27" s="6072"/>
      <c r="KV27" s="6072"/>
      <c r="KW27" s="6072"/>
      <c r="KX27" s="6072"/>
      <c r="KY27" s="6072"/>
      <c r="KZ27" s="6072"/>
      <c r="LA27" s="6072"/>
      <c r="LB27" s="6074"/>
      <c r="LF27" s="6071"/>
      <c r="LG27" s="6060" t="str">
        <f>_Calcs!$N$79</f>
        <v>Begrunnelse</v>
      </c>
      <c r="LH27" s="6072"/>
      <c r="LI27" s="6072"/>
      <c r="LJ27" s="6072"/>
      <c r="LK27" s="6072"/>
      <c r="LL27" s="6072"/>
      <c r="LM27" s="6072"/>
      <c r="LN27" s="6072"/>
      <c r="LO27" s="6072"/>
      <c r="LP27" s="6072"/>
      <c r="LQ27" s="6072"/>
      <c r="LR27" s="6072"/>
      <c r="LS27" s="6060"/>
      <c r="LT27" s="6060"/>
      <c r="LU27" s="6060"/>
      <c r="LV27" s="6060"/>
      <c r="LW27" s="6072"/>
      <c r="LX27" s="6072"/>
      <c r="LY27" s="6072"/>
      <c r="LZ27" s="6072"/>
      <c r="MA27" s="6072"/>
      <c r="MB27" s="6072"/>
      <c r="MC27" s="6072"/>
      <c r="MD27" s="6072"/>
      <c r="ME27" s="6072"/>
      <c r="MF27" s="6072"/>
      <c r="MG27" s="6072"/>
      <c r="MH27" s="6072"/>
      <c r="MI27" s="6072"/>
      <c r="MJ27" s="6072"/>
      <c r="MK27" s="6072"/>
      <c r="ML27" s="6072"/>
      <c r="MM27" s="6072"/>
      <c r="MN27" s="6072"/>
      <c r="MO27" s="6072"/>
      <c r="MP27" s="6072"/>
      <c r="MQ27" s="6072"/>
      <c r="MR27" s="6072"/>
      <c r="MS27" s="6072"/>
      <c r="MT27" s="6072"/>
      <c r="MU27" s="6074"/>
      <c r="MY27" s="6071"/>
      <c r="MZ27" s="6060" t="str">
        <f>_Calcs!$N$79</f>
        <v>Begrunnelse</v>
      </c>
      <c r="NA27" s="6072"/>
      <c r="NB27" s="6072"/>
      <c r="NC27" s="6072"/>
      <c r="ND27" s="6072"/>
      <c r="NE27" s="6072"/>
      <c r="NF27" s="6072"/>
      <c r="NG27" s="6072"/>
      <c r="NH27" s="6072"/>
      <c r="NI27" s="6072"/>
      <c r="NJ27" s="6072"/>
      <c r="NK27" s="6072"/>
      <c r="NL27" s="6060"/>
      <c r="NM27" s="6060"/>
      <c r="NN27" s="6060"/>
      <c r="NO27" s="6060"/>
      <c r="NP27" s="6072"/>
      <c r="NQ27" s="6072"/>
      <c r="NR27" s="6072"/>
      <c r="NS27" s="6072"/>
      <c r="NT27" s="6072"/>
      <c r="NU27" s="6072"/>
      <c r="NV27" s="6072"/>
      <c r="NW27" s="6072"/>
      <c r="NX27" s="6072"/>
      <c r="NY27" s="6072"/>
      <c r="NZ27" s="6072"/>
      <c r="OA27" s="6072"/>
      <c r="OB27" s="6072"/>
      <c r="OC27" s="6072"/>
      <c r="OD27" s="6072"/>
      <c r="OE27" s="6072"/>
      <c r="OF27" s="6072"/>
      <c r="OG27" s="6072"/>
      <c r="OH27" s="6072"/>
      <c r="OI27" s="6072"/>
      <c r="OJ27" s="6072"/>
      <c r="OK27" s="6072"/>
      <c r="OL27" s="6072"/>
      <c r="OM27" s="6072"/>
      <c r="ON27" s="6074"/>
    </row>
    <row r="28" spans="3:404" ht="5.0999999999999996" customHeight="1" thickBot="1" x14ac:dyDescent="0.25">
      <c r="C28" s="6055"/>
      <c r="D28" s="6056"/>
      <c r="E28" s="6056"/>
      <c r="F28" s="6056"/>
      <c r="G28" s="6056"/>
      <c r="H28" s="6056"/>
      <c r="I28" s="6056"/>
      <c r="J28" s="6056"/>
      <c r="K28" s="6056"/>
      <c r="L28" s="6056"/>
      <c r="M28" s="6056"/>
      <c r="N28" s="6056"/>
      <c r="O28" s="6056"/>
      <c r="P28" s="6056"/>
      <c r="Q28" s="6056"/>
      <c r="R28" s="6056"/>
      <c r="S28" s="6056"/>
      <c r="T28" s="6056"/>
      <c r="U28" s="6056"/>
      <c r="V28" s="6056"/>
      <c r="W28" s="6056"/>
      <c r="X28" s="6056"/>
      <c r="Y28" s="6056"/>
      <c r="Z28" s="6056"/>
      <c r="AA28" s="6056"/>
      <c r="AB28" s="6056"/>
      <c r="AC28" s="6056"/>
      <c r="AD28" s="6056"/>
      <c r="AE28" s="6056"/>
      <c r="AF28" s="6056"/>
      <c r="AG28" s="6056"/>
      <c r="AH28" s="6056"/>
      <c r="AI28" s="6056"/>
      <c r="AJ28" s="6056"/>
      <c r="AK28" s="6056"/>
      <c r="AL28" s="6056"/>
      <c r="AM28" s="6056"/>
      <c r="AN28" s="6056"/>
      <c r="AO28" s="6056"/>
      <c r="AP28" s="6056"/>
      <c r="AQ28" s="6056"/>
      <c r="AR28" s="6058"/>
      <c r="AV28" s="6055"/>
      <c r="AW28" s="6056"/>
      <c r="AX28" s="6056"/>
      <c r="AY28" s="6056"/>
      <c r="AZ28" s="6056"/>
      <c r="BA28" s="6056"/>
      <c r="BB28" s="6056"/>
      <c r="BC28" s="6056"/>
      <c r="BD28" s="6056"/>
      <c r="BE28" s="6056"/>
      <c r="BF28" s="6056"/>
      <c r="BG28" s="6056"/>
      <c r="BH28" s="6056"/>
      <c r="BI28" s="6056"/>
      <c r="BJ28" s="6056"/>
      <c r="BK28" s="6056"/>
      <c r="BL28" s="6056"/>
      <c r="BM28" s="6056"/>
      <c r="BN28" s="6056"/>
      <c r="BO28" s="6056"/>
      <c r="BP28" s="6056"/>
      <c r="BQ28" s="6056"/>
      <c r="BR28" s="6056"/>
      <c r="BS28" s="6056"/>
      <c r="BT28" s="6056"/>
      <c r="BU28" s="6056"/>
      <c r="BV28" s="6056"/>
      <c r="BW28" s="6056"/>
      <c r="BX28" s="6056"/>
      <c r="BY28" s="6056"/>
      <c r="BZ28" s="6056"/>
      <c r="CA28" s="6056"/>
      <c r="CB28" s="6056"/>
      <c r="CC28" s="6056"/>
      <c r="CD28" s="6056"/>
      <c r="CE28" s="6056"/>
      <c r="CF28" s="6056"/>
      <c r="CG28" s="6056"/>
      <c r="CH28" s="6056"/>
      <c r="CI28" s="6056"/>
      <c r="CJ28" s="6056"/>
      <c r="CK28" s="6058"/>
      <c r="CO28" s="6055"/>
      <c r="CP28" s="6056"/>
      <c r="CQ28" s="6056"/>
      <c r="CR28" s="6056"/>
      <c r="CS28" s="6056"/>
      <c r="CT28" s="6056"/>
      <c r="CU28" s="6056"/>
      <c r="CV28" s="6056"/>
      <c r="CW28" s="6056"/>
      <c r="CX28" s="6056"/>
      <c r="CY28" s="6056"/>
      <c r="CZ28" s="6056"/>
      <c r="DA28" s="6056"/>
      <c r="DB28" s="6056"/>
      <c r="DC28" s="6056"/>
      <c r="DD28" s="6056"/>
      <c r="DE28" s="6056"/>
      <c r="DF28" s="6056"/>
      <c r="DG28" s="6056"/>
      <c r="DH28" s="6056"/>
      <c r="DI28" s="6056"/>
      <c r="DJ28" s="6056"/>
      <c r="DK28" s="6056"/>
      <c r="DL28" s="6056"/>
      <c r="DM28" s="6056"/>
      <c r="DN28" s="6056"/>
      <c r="DO28" s="6056"/>
      <c r="DP28" s="6056"/>
      <c r="DQ28" s="6056"/>
      <c r="DR28" s="6056"/>
      <c r="DS28" s="6056"/>
      <c r="DT28" s="6056"/>
      <c r="DU28" s="6056"/>
      <c r="DV28" s="6056"/>
      <c r="DW28" s="6056"/>
      <c r="DX28" s="6056"/>
      <c r="DY28" s="6056"/>
      <c r="DZ28" s="6056"/>
      <c r="EA28" s="6056"/>
      <c r="EB28" s="6056"/>
      <c r="EC28" s="6056"/>
      <c r="ED28" s="6058"/>
      <c r="EH28" s="6055"/>
      <c r="EI28" s="6056"/>
      <c r="EJ28" s="6056"/>
      <c r="EK28" s="6056"/>
      <c r="EL28" s="6056"/>
      <c r="EM28" s="6056"/>
      <c r="EN28" s="6056"/>
      <c r="EO28" s="6056"/>
      <c r="EP28" s="6056"/>
      <c r="EQ28" s="6056"/>
      <c r="ER28" s="6056"/>
      <c r="ES28" s="6056"/>
      <c r="ET28" s="6056"/>
      <c r="EU28" s="6056"/>
      <c r="EV28" s="6056"/>
      <c r="EW28" s="6056"/>
      <c r="EX28" s="6056"/>
      <c r="EY28" s="6056"/>
      <c r="EZ28" s="6056"/>
      <c r="FA28" s="6056"/>
      <c r="FB28" s="6056"/>
      <c r="FC28" s="6056"/>
      <c r="FD28" s="6056"/>
      <c r="FE28" s="6056"/>
      <c r="FF28" s="6056"/>
      <c r="FG28" s="6056"/>
      <c r="FH28" s="6056"/>
      <c r="FI28" s="6056"/>
      <c r="FJ28" s="6056"/>
      <c r="FK28" s="6056"/>
      <c r="FL28" s="6056"/>
      <c r="FM28" s="6056"/>
      <c r="FN28" s="6056"/>
      <c r="FO28" s="6056"/>
      <c r="FP28" s="6056"/>
      <c r="FQ28" s="6056"/>
      <c r="FR28" s="6056"/>
      <c r="FS28" s="6056"/>
      <c r="FT28" s="6056"/>
      <c r="FU28" s="6056"/>
      <c r="FV28" s="6056"/>
      <c r="FW28" s="6058"/>
      <c r="GA28" s="6055"/>
      <c r="GB28" s="6056"/>
      <c r="GC28" s="6056"/>
      <c r="GD28" s="6056"/>
      <c r="GE28" s="6056"/>
      <c r="GF28" s="6056"/>
      <c r="GG28" s="6056"/>
      <c r="GH28" s="6056"/>
      <c r="GI28" s="6056"/>
      <c r="GJ28" s="6056"/>
      <c r="GK28" s="6056"/>
      <c r="GL28" s="6056"/>
      <c r="GM28" s="6056"/>
      <c r="GN28" s="6056"/>
      <c r="GO28" s="6056"/>
      <c r="GP28" s="6056"/>
      <c r="GQ28" s="6056"/>
      <c r="GR28" s="6056"/>
      <c r="GS28" s="6056"/>
      <c r="GT28" s="6056"/>
      <c r="GU28" s="6056"/>
      <c r="GV28" s="6056"/>
      <c r="GW28" s="6056"/>
      <c r="GX28" s="6056"/>
      <c r="GY28" s="6056"/>
      <c r="GZ28" s="6056"/>
      <c r="HA28" s="6056"/>
      <c r="HB28" s="6056"/>
      <c r="HC28" s="6056"/>
      <c r="HD28" s="6056"/>
      <c r="HE28" s="6056"/>
      <c r="HF28" s="6056"/>
      <c r="HG28" s="6056"/>
      <c r="HH28" s="6056"/>
      <c r="HI28" s="6056"/>
      <c r="HJ28" s="6056"/>
      <c r="HK28" s="6056"/>
      <c r="HL28" s="6056"/>
      <c r="HM28" s="6056"/>
      <c r="HN28" s="6056"/>
      <c r="HO28" s="6056"/>
      <c r="HP28" s="6058"/>
      <c r="HT28" s="6055"/>
      <c r="HU28" s="6056"/>
      <c r="HV28" s="6056"/>
      <c r="HW28" s="6056"/>
      <c r="HX28" s="6056"/>
      <c r="HY28" s="6056"/>
      <c r="HZ28" s="6056"/>
      <c r="IA28" s="6056"/>
      <c r="IB28" s="6056"/>
      <c r="IC28" s="6056"/>
      <c r="ID28" s="6056"/>
      <c r="IE28" s="6056"/>
      <c r="IF28" s="6056"/>
      <c r="IG28" s="6056"/>
      <c r="IH28" s="6056"/>
      <c r="II28" s="6056"/>
      <c r="IJ28" s="6056"/>
      <c r="IK28" s="6056"/>
      <c r="IL28" s="6056"/>
      <c r="IM28" s="6056"/>
      <c r="IN28" s="6056"/>
      <c r="IO28" s="6056"/>
      <c r="IP28" s="6056"/>
      <c r="IQ28" s="6056"/>
      <c r="IR28" s="6056"/>
      <c r="IS28" s="6056"/>
      <c r="IT28" s="6056"/>
      <c r="IU28" s="6056"/>
      <c r="IV28" s="6056"/>
      <c r="IW28" s="6056"/>
      <c r="IX28" s="6056"/>
      <c r="IY28" s="6056"/>
      <c r="IZ28" s="6056"/>
      <c r="JA28" s="6056"/>
      <c r="JB28" s="6056"/>
      <c r="JC28" s="6056"/>
      <c r="JD28" s="6056"/>
      <c r="JE28" s="6056"/>
      <c r="JF28" s="6056"/>
      <c r="JG28" s="6056"/>
      <c r="JH28" s="6056"/>
      <c r="JI28" s="6058"/>
      <c r="JM28" s="6055"/>
      <c r="JN28" s="6056"/>
      <c r="JO28" s="6056"/>
      <c r="JP28" s="6056"/>
      <c r="JQ28" s="6056"/>
      <c r="JR28" s="6056"/>
      <c r="JS28" s="6056"/>
      <c r="JT28" s="6056"/>
      <c r="JU28" s="6056"/>
      <c r="JV28" s="6056"/>
      <c r="JW28" s="6056"/>
      <c r="JX28" s="6056"/>
      <c r="JY28" s="6056"/>
      <c r="JZ28" s="6056"/>
      <c r="KA28" s="6056"/>
      <c r="KB28" s="6056"/>
      <c r="KC28" s="6056"/>
      <c r="KD28" s="6056"/>
      <c r="KE28" s="6056"/>
      <c r="KF28" s="6056"/>
      <c r="KG28" s="6056"/>
      <c r="KH28" s="6056"/>
      <c r="KI28" s="6056"/>
      <c r="KJ28" s="6056"/>
      <c r="KK28" s="6056"/>
      <c r="KL28" s="6056"/>
      <c r="KM28" s="6056"/>
      <c r="KN28" s="6056"/>
      <c r="KO28" s="6056"/>
      <c r="KP28" s="6056"/>
      <c r="KQ28" s="6056"/>
      <c r="KR28" s="6056"/>
      <c r="KS28" s="6056"/>
      <c r="KT28" s="6056"/>
      <c r="KU28" s="6056"/>
      <c r="KV28" s="6056"/>
      <c r="KW28" s="6056"/>
      <c r="KX28" s="6056"/>
      <c r="KY28" s="6056"/>
      <c r="KZ28" s="6056"/>
      <c r="LA28" s="6056"/>
      <c r="LB28" s="6058"/>
      <c r="LF28" s="6055"/>
      <c r="LG28" s="6056"/>
      <c r="LH28" s="6056"/>
      <c r="LI28" s="6056"/>
      <c r="LJ28" s="6056"/>
      <c r="LK28" s="6056"/>
      <c r="LL28" s="6056"/>
      <c r="LM28" s="6056"/>
      <c r="LN28" s="6056"/>
      <c r="LO28" s="6056"/>
      <c r="LP28" s="6056"/>
      <c r="LQ28" s="6056"/>
      <c r="LR28" s="6056"/>
      <c r="LS28" s="6056"/>
      <c r="LT28" s="6056"/>
      <c r="LU28" s="6056"/>
      <c r="LV28" s="6056"/>
      <c r="LW28" s="6056"/>
      <c r="LX28" s="6056"/>
      <c r="LY28" s="6056"/>
      <c r="LZ28" s="6056"/>
      <c r="MA28" s="6056"/>
      <c r="MB28" s="6056"/>
      <c r="MC28" s="6056"/>
      <c r="MD28" s="6056"/>
      <c r="ME28" s="6056"/>
      <c r="MF28" s="6056"/>
      <c r="MG28" s="6056"/>
      <c r="MH28" s="6056"/>
      <c r="MI28" s="6056"/>
      <c r="MJ28" s="6056"/>
      <c r="MK28" s="6056"/>
      <c r="ML28" s="6056"/>
      <c r="MM28" s="6056"/>
      <c r="MN28" s="6056"/>
      <c r="MO28" s="6056"/>
      <c r="MP28" s="6056"/>
      <c r="MQ28" s="6056"/>
      <c r="MR28" s="6056"/>
      <c r="MS28" s="6056"/>
      <c r="MT28" s="6056"/>
      <c r="MU28" s="6058"/>
      <c r="MY28" s="6055"/>
      <c r="MZ28" s="6056"/>
      <c r="NA28" s="6056"/>
      <c r="NB28" s="6056"/>
      <c r="NC28" s="6056"/>
      <c r="ND28" s="6056"/>
      <c r="NE28" s="6056"/>
      <c r="NF28" s="6056"/>
      <c r="NG28" s="6056"/>
      <c r="NH28" s="6056"/>
      <c r="NI28" s="6056"/>
      <c r="NJ28" s="6056"/>
      <c r="NK28" s="6056"/>
      <c r="NL28" s="6056"/>
      <c r="NM28" s="6056"/>
      <c r="NN28" s="6056"/>
      <c r="NO28" s="6056"/>
      <c r="NP28" s="6056"/>
      <c r="NQ28" s="6056"/>
      <c r="NR28" s="6056"/>
      <c r="NS28" s="6056"/>
      <c r="NT28" s="6056"/>
      <c r="NU28" s="6056"/>
      <c r="NV28" s="6056"/>
      <c r="NW28" s="6056"/>
      <c r="NX28" s="6056"/>
      <c r="NY28" s="6056"/>
      <c r="NZ28" s="6056"/>
      <c r="OA28" s="6056"/>
      <c r="OB28" s="6056"/>
      <c r="OC28" s="6056"/>
      <c r="OD28" s="6056"/>
      <c r="OE28" s="6056"/>
      <c r="OF28" s="6056"/>
      <c r="OG28" s="6056"/>
      <c r="OH28" s="6056"/>
      <c r="OI28" s="6056"/>
      <c r="OJ28" s="6056"/>
      <c r="OK28" s="6056"/>
      <c r="OL28" s="6056"/>
      <c r="OM28" s="6056"/>
      <c r="ON28" s="6058"/>
    </row>
    <row r="29" spans="3:404" ht="8.1" customHeight="1" x14ac:dyDescent="0.2">
      <c r="C29" s="6055"/>
      <c r="D29" s="6082"/>
      <c r="E29" s="6083"/>
      <c r="F29" s="6083"/>
      <c r="G29" s="6083"/>
      <c r="H29" s="6083"/>
      <c r="I29" s="6083"/>
      <c r="J29" s="6083"/>
      <c r="K29" s="6083"/>
      <c r="L29" s="6083"/>
      <c r="M29" s="6083"/>
      <c r="N29" s="6083"/>
      <c r="O29" s="6083"/>
      <c r="P29" s="6083"/>
      <c r="Q29" s="6083"/>
      <c r="R29" s="6083"/>
      <c r="S29" s="6083"/>
      <c r="T29" s="6083"/>
      <c r="U29" s="6083"/>
      <c r="V29" s="6083"/>
      <c r="W29" s="6083"/>
      <c r="X29" s="6083"/>
      <c r="Y29" s="6083"/>
      <c r="Z29" s="6083"/>
      <c r="AA29" s="6083"/>
      <c r="AB29" s="6083"/>
      <c r="AC29" s="6083"/>
      <c r="AD29" s="6083"/>
      <c r="AE29" s="6083"/>
      <c r="AF29" s="6083"/>
      <c r="AG29" s="6083"/>
      <c r="AH29" s="6083"/>
      <c r="AI29" s="6083"/>
      <c r="AJ29" s="6083"/>
      <c r="AK29" s="6083"/>
      <c r="AL29" s="6083"/>
      <c r="AM29" s="6083"/>
      <c r="AN29" s="6083"/>
      <c r="AO29" s="6083"/>
      <c r="AP29" s="6083"/>
      <c r="AQ29" s="6084"/>
      <c r="AR29" s="6058"/>
      <c r="AV29" s="6055"/>
      <c r="AW29" s="6082"/>
      <c r="AX29" s="6083"/>
      <c r="AY29" s="6083"/>
      <c r="AZ29" s="6083"/>
      <c r="BA29" s="6083"/>
      <c r="BB29" s="6083"/>
      <c r="BC29" s="6083"/>
      <c r="BD29" s="6083"/>
      <c r="BE29" s="6083"/>
      <c r="BF29" s="6083"/>
      <c r="BG29" s="6083"/>
      <c r="BH29" s="6083"/>
      <c r="BI29" s="6083"/>
      <c r="BJ29" s="6083"/>
      <c r="BK29" s="6083"/>
      <c r="BL29" s="6083"/>
      <c r="BM29" s="6083"/>
      <c r="BN29" s="6083"/>
      <c r="BO29" s="6083"/>
      <c r="BP29" s="6083"/>
      <c r="BQ29" s="6083"/>
      <c r="BR29" s="6083"/>
      <c r="BS29" s="6083"/>
      <c r="BT29" s="6083"/>
      <c r="BU29" s="6083"/>
      <c r="BV29" s="6083"/>
      <c r="BW29" s="6083"/>
      <c r="BX29" s="6083"/>
      <c r="BY29" s="6083"/>
      <c r="BZ29" s="6083"/>
      <c r="CA29" s="6083"/>
      <c r="CB29" s="6083"/>
      <c r="CC29" s="6083"/>
      <c r="CD29" s="6083"/>
      <c r="CE29" s="6083"/>
      <c r="CF29" s="6083"/>
      <c r="CG29" s="6083"/>
      <c r="CH29" s="6083"/>
      <c r="CI29" s="6083"/>
      <c r="CJ29" s="6084"/>
      <c r="CK29" s="6058"/>
      <c r="CO29" s="6055"/>
      <c r="CP29" s="6082"/>
      <c r="CQ29" s="6083"/>
      <c r="CR29" s="6083"/>
      <c r="CS29" s="6083"/>
      <c r="CT29" s="6083"/>
      <c r="CU29" s="6083"/>
      <c r="CV29" s="6083"/>
      <c r="CW29" s="6083"/>
      <c r="CX29" s="6083"/>
      <c r="CY29" s="6083"/>
      <c r="CZ29" s="6083"/>
      <c r="DA29" s="6083"/>
      <c r="DB29" s="6083"/>
      <c r="DC29" s="6083"/>
      <c r="DD29" s="6083"/>
      <c r="DE29" s="6083"/>
      <c r="DF29" s="6083"/>
      <c r="DG29" s="6083"/>
      <c r="DH29" s="6083"/>
      <c r="DI29" s="6083"/>
      <c r="DJ29" s="6083"/>
      <c r="DK29" s="6083"/>
      <c r="DL29" s="6083"/>
      <c r="DM29" s="6083"/>
      <c r="DN29" s="6083"/>
      <c r="DO29" s="6083"/>
      <c r="DP29" s="6083"/>
      <c r="DQ29" s="6083"/>
      <c r="DR29" s="6083"/>
      <c r="DS29" s="6083"/>
      <c r="DT29" s="6083"/>
      <c r="DU29" s="6083"/>
      <c r="DV29" s="6083"/>
      <c r="DW29" s="6083"/>
      <c r="DX29" s="6083"/>
      <c r="DY29" s="6083"/>
      <c r="DZ29" s="6083"/>
      <c r="EA29" s="6083"/>
      <c r="EB29" s="6083"/>
      <c r="EC29" s="6084"/>
      <c r="ED29" s="6058"/>
      <c r="EH29" s="6055"/>
      <c r="EI29" s="6082"/>
      <c r="EJ29" s="6083"/>
      <c r="EK29" s="6083"/>
      <c r="EL29" s="6083"/>
      <c r="EM29" s="6083"/>
      <c r="EN29" s="6083"/>
      <c r="EO29" s="6083"/>
      <c r="EP29" s="6083"/>
      <c r="EQ29" s="6083"/>
      <c r="ER29" s="6083"/>
      <c r="ES29" s="6083"/>
      <c r="ET29" s="6083"/>
      <c r="EU29" s="6083"/>
      <c r="EV29" s="6083"/>
      <c r="EW29" s="6083"/>
      <c r="EX29" s="6083"/>
      <c r="EY29" s="6083"/>
      <c r="EZ29" s="6083"/>
      <c r="FA29" s="6083"/>
      <c r="FB29" s="6083"/>
      <c r="FC29" s="6083"/>
      <c r="FD29" s="6083"/>
      <c r="FE29" s="6083"/>
      <c r="FF29" s="6083"/>
      <c r="FG29" s="6083"/>
      <c r="FH29" s="6083"/>
      <c r="FI29" s="6083"/>
      <c r="FJ29" s="6083"/>
      <c r="FK29" s="6083"/>
      <c r="FL29" s="6083"/>
      <c r="FM29" s="6083"/>
      <c r="FN29" s="6083"/>
      <c r="FO29" s="6083"/>
      <c r="FP29" s="6083"/>
      <c r="FQ29" s="6083"/>
      <c r="FR29" s="6083"/>
      <c r="FS29" s="6083"/>
      <c r="FT29" s="6083"/>
      <c r="FU29" s="6083"/>
      <c r="FV29" s="6084"/>
      <c r="FW29" s="6058"/>
      <c r="GA29" s="6055"/>
      <c r="GB29" s="6082"/>
      <c r="GC29" s="6083"/>
      <c r="GD29" s="6083"/>
      <c r="GE29" s="6083"/>
      <c r="GF29" s="6083"/>
      <c r="GG29" s="6083"/>
      <c r="GH29" s="6083"/>
      <c r="GI29" s="6083"/>
      <c r="GJ29" s="6083"/>
      <c r="GK29" s="6083"/>
      <c r="GL29" s="6083"/>
      <c r="GM29" s="6083"/>
      <c r="GN29" s="6083"/>
      <c r="GO29" s="6083"/>
      <c r="GP29" s="6083"/>
      <c r="GQ29" s="6083"/>
      <c r="GR29" s="6083"/>
      <c r="GS29" s="6083"/>
      <c r="GT29" s="6083"/>
      <c r="GU29" s="6083"/>
      <c r="GV29" s="6083"/>
      <c r="GW29" s="6083"/>
      <c r="GX29" s="6083"/>
      <c r="GY29" s="6083"/>
      <c r="GZ29" s="6083"/>
      <c r="HA29" s="6083"/>
      <c r="HB29" s="6083"/>
      <c r="HC29" s="6083"/>
      <c r="HD29" s="6083"/>
      <c r="HE29" s="6083"/>
      <c r="HF29" s="6083"/>
      <c r="HG29" s="6083"/>
      <c r="HH29" s="6083"/>
      <c r="HI29" s="6083"/>
      <c r="HJ29" s="6083"/>
      <c r="HK29" s="6083"/>
      <c r="HL29" s="6083"/>
      <c r="HM29" s="6083"/>
      <c r="HN29" s="6083"/>
      <c r="HO29" s="6084"/>
      <c r="HP29" s="6058"/>
      <c r="HT29" s="6055"/>
      <c r="HU29" s="6082"/>
      <c r="HV29" s="6083"/>
      <c r="HW29" s="6083"/>
      <c r="HX29" s="6083"/>
      <c r="HY29" s="6083"/>
      <c r="HZ29" s="6083"/>
      <c r="IA29" s="6083"/>
      <c r="IB29" s="6083"/>
      <c r="IC29" s="6083"/>
      <c r="ID29" s="6083"/>
      <c r="IE29" s="6083"/>
      <c r="IF29" s="6083"/>
      <c r="IG29" s="6083"/>
      <c r="IH29" s="6083"/>
      <c r="II29" s="6083"/>
      <c r="IJ29" s="6083"/>
      <c r="IK29" s="6083"/>
      <c r="IL29" s="6083"/>
      <c r="IM29" s="6083"/>
      <c r="IN29" s="6083"/>
      <c r="IO29" s="6083"/>
      <c r="IP29" s="6083"/>
      <c r="IQ29" s="6083"/>
      <c r="IR29" s="6083"/>
      <c r="IS29" s="6083"/>
      <c r="IT29" s="6083"/>
      <c r="IU29" s="6083"/>
      <c r="IV29" s="6083"/>
      <c r="IW29" s="6083"/>
      <c r="IX29" s="6083"/>
      <c r="IY29" s="6083"/>
      <c r="IZ29" s="6083"/>
      <c r="JA29" s="6083"/>
      <c r="JB29" s="6083"/>
      <c r="JC29" s="6083"/>
      <c r="JD29" s="6083"/>
      <c r="JE29" s="6083"/>
      <c r="JF29" s="6083"/>
      <c r="JG29" s="6083"/>
      <c r="JH29" s="6084"/>
      <c r="JI29" s="6058"/>
      <c r="JM29" s="6055"/>
      <c r="JN29" s="6082"/>
      <c r="JO29" s="6083"/>
      <c r="JP29" s="6083"/>
      <c r="JQ29" s="6083"/>
      <c r="JR29" s="6083"/>
      <c r="JS29" s="6083"/>
      <c r="JT29" s="6083"/>
      <c r="JU29" s="6083"/>
      <c r="JV29" s="6083"/>
      <c r="JW29" s="6083"/>
      <c r="JX29" s="6083"/>
      <c r="JY29" s="6083"/>
      <c r="JZ29" s="6083"/>
      <c r="KA29" s="6083"/>
      <c r="KB29" s="6083"/>
      <c r="KC29" s="6083"/>
      <c r="KD29" s="6083"/>
      <c r="KE29" s="6083"/>
      <c r="KF29" s="6083"/>
      <c r="KG29" s="6083"/>
      <c r="KH29" s="6083"/>
      <c r="KI29" s="6083"/>
      <c r="KJ29" s="6083"/>
      <c r="KK29" s="6083"/>
      <c r="KL29" s="6083"/>
      <c r="KM29" s="6083"/>
      <c r="KN29" s="6083"/>
      <c r="KO29" s="6083"/>
      <c r="KP29" s="6083"/>
      <c r="KQ29" s="6083"/>
      <c r="KR29" s="6083"/>
      <c r="KS29" s="6083"/>
      <c r="KT29" s="6083"/>
      <c r="KU29" s="6083"/>
      <c r="KV29" s="6083"/>
      <c r="KW29" s="6083"/>
      <c r="KX29" s="6083"/>
      <c r="KY29" s="6083"/>
      <c r="KZ29" s="6083"/>
      <c r="LA29" s="6084"/>
      <c r="LB29" s="6058"/>
      <c r="LF29" s="6055"/>
      <c r="LG29" s="6082"/>
      <c r="LH29" s="6083"/>
      <c r="LI29" s="6083"/>
      <c r="LJ29" s="6083"/>
      <c r="LK29" s="6083"/>
      <c r="LL29" s="6083"/>
      <c r="LM29" s="6083"/>
      <c r="LN29" s="6083"/>
      <c r="LO29" s="6083"/>
      <c r="LP29" s="6083"/>
      <c r="LQ29" s="6083"/>
      <c r="LR29" s="6083"/>
      <c r="LS29" s="6083"/>
      <c r="LT29" s="6083"/>
      <c r="LU29" s="6083"/>
      <c r="LV29" s="6083"/>
      <c r="LW29" s="6083"/>
      <c r="LX29" s="6083"/>
      <c r="LY29" s="6083"/>
      <c r="LZ29" s="6083"/>
      <c r="MA29" s="6083"/>
      <c r="MB29" s="6083"/>
      <c r="MC29" s="6083"/>
      <c r="MD29" s="6083"/>
      <c r="ME29" s="6083"/>
      <c r="MF29" s="6083"/>
      <c r="MG29" s="6083"/>
      <c r="MH29" s="6083"/>
      <c r="MI29" s="6083"/>
      <c r="MJ29" s="6083"/>
      <c r="MK29" s="6083"/>
      <c r="ML29" s="6083"/>
      <c r="MM29" s="6083"/>
      <c r="MN29" s="6083"/>
      <c r="MO29" s="6083"/>
      <c r="MP29" s="6083"/>
      <c r="MQ29" s="6083"/>
      <c r="MR29" s="6083"/>
      <c r="MS29" s="6083"/>
      <c r="MT29" s="6084"/>
      <c r="MU29" s="6058"/>
      <c r="MY29" s="6055"/>
      <c r="MZ29" s="6082"/>
      <c r="NA29" s="6083"/>
      <c r="NB29" s="6083"/>
      <c r="NC29" s="6083"/>
      <c r="ND29" s="6083"/>
      <c r="NE29" s="6083"/>
      <c r="NF29" s="6083"/>
      <c r="NG29" s="6083"/>
      <c r="NH29" s="6083"/>
      <c r="NI29" s="6083"/>
      <c r="NJ29" s="6083"/>
      <c r="NK29" s="6083"/>
      <c r="NL29" s="6083"/>
      <c r="NM29" s="6083"/>
      <c r="NN29" s="6083"/>
      <c r="NO29" s="6083"/>
      <c r="NP29" s="6083"/>
      <c r="NQ29" s="6083"/>
      <c r="NR29" s="6083"/>
      <c r="NS29" s="6083"/>
      <c r="NT29" s="6083"/>
      <c r="NU29" s="6083"/>
      <c r="NV29" s="6083"/>
      <c r="NW29" s="6083"/>
      <c r="NX29" s="6083"/>
      <c r="NY29" s="6083"/>
      <c r="NZ29" s="6083"/>
      <c r="OA29" s="6083"/>
      <c r="OB29" s="6083"/>
      <c r="OC29" s="6083"/>
      <c r="OD29" s="6083"/>
      <c r="OE29" s="6083"/>
      <c r="OF29" s="6083"/>
      <c r="OG29" s="6083"/>
      <c r="OH29" s="6083"/>
      <c r="OI29" s="6083"/>
      <c r="OJ29" s="6083"/>
      <c r="OK29" s="6083"/>
      <c r="OL29" s="6083"/>
      <c r="OM29" s="6084"/>
      <c r="ON29" s="6058"/>
    </row>
    <row r="30" spans="3:404" ht="408.95" customHeight="1" x14ac:dyDescent="0.2">
      <c r="C30" s="6055"/>
      <c r="D30" s="6040"/>
      <c r="E30" s="6793" t="str">
        <f>_Calcs!$IK$120</f>
        <v/>
      </c>
      <c r="F30" s="6793"/>
      <c r="G30" s="6793"/>
      <c r="H30" s="6793"/>
      <c r="I30" s="6793"/>
      <c r="J30" s="6793"/>
      <c r="K30" s="6793"/>
      <c r="L30" s="6793"/>
      <c r="M30" s="6793"/>
      <c r="N30" s="6793"/>
      <c r="O30" s="6793"/>
      <c r="P30" s="6793"/>
      <c r="Q30" s="6793"/>
      <c r="R30" s="6793"/>
      <c r="S30" s="6793"/>
      <c r="T30" s="6793"/>
      <c r="U30" s="6793"/>
      <c r="V30" s="6793"/>
      <c r="W30" s="6793"/>
      <c r="X30" s="6793"/>
      <c r="Y30" s="6793"/>
      <c r="Z30" s="6793"/>
      <c r="AA30" s="6793"/>
      <c r="AB30" s="6793"/>
      <c r="AC30" s="6793"/>
      <c r="AD30" s="6793"/>
      <c r="AE30" s="6793"/>
      <c r="AF30" s="6793"/>
      <c r="AG30" s="6793"/>
      <c r="AH30" s="6793"/>
      <c r="AI30" s="6793"/>
      <c r="AJ30" s="6793"/>
      <c r="AK30" s="6793"/>
      <c r="AL30" s="6793"/>
      <c r="AM30" s="6793"/>
      <c r="AN30" s="6793"/>
      <c r="AO30" s="6793"/>
      <c r="AP30" s="6793"/>
      <c r="AQ30" s="6085"/>
      <c r="AR30" s="6058"/>
      <c r="AV30" s="6055"/>
      <c r="AW30" s="6040"/>
      <c r="AX30" s="6793" t="e">
        <f>_Calcs!$IL$120</f>
        <v>#N/A</v>
      </c>
      <c r="AY30" s="6793"/>
      <c r="AZ30" s="6793"/>
      <c r="BA30" s="6793"/>
      <c r="BB30" s="6793"/>
      <c r="BC30" s="6793"/>
      <c r="BD30" s="6793"/>
      <c r="BE30" s="6793"/>
      <c r="BF30" s="6793"/>
      <c r="BG30" s="6793"/>
      <c r="BH30" s="6793"/>
      <c r="BI30" s="6793"/>
      <c r="BJ30" s="6793"/>
      <c r="BK30" s="6793"/>
      <c r="BL30" s="6793"/>
      <c r="BM30" s="6793"/>
      <c r="BN30" s="6793"/>
      <c r="BO30" s="6793"/>
      <c r="BP30" s="6793"/>
      <c r="BQ30" s="6793"/>
      <c r="BR30" s="6793"/>
      <c r="BS30" s="6793"/>
      <c r="BT30" s="6793"/>
      <c r="BU30" s="6793"/>
      <c r="BV30" s="6793"/>
      <c r="BW30" s="6793"/>
      <c r="BX30" s="6793"/>
      <c r="BY30" s="6793"/>
      <c r="BZ30" s="6793"/>
      <c r="CA30" s="6793"/>
      <c r="CB30" s="6793"/>
      <c r="CC30" s="6793"/>
      <c r="CD30" s="6793"/>
      <c r="CE30" s="6793"/>
      <c r="CF30" s="6793"/>
      <c r="CG30" s="6793"/>
      <c r="CH30" s="6793"/>
      <c r="CI30" s="6793"/>
      <c r="CJ30" s="6085"/>
      <c r="CK30" s="6058"/>
      <c r="CO30" s="6055"/>
      <c r="CP30" s="6040"/>
      <c r="CQ30" s="6793" t="e">
        <f>_Calcs!$IM$120</f>
        <v>#N/A</v>
      </c>
      <c r="CR30" s="6793"/>
      <c r="CS30" s="6793"/>
      <c r="CT30" s="6793"/>
      <c r="CU30" s="6793"/>
      <c r="CV30" s="6793"/>
      <c r="CW30" s="6793"/>
      <c r="CX30" s="6793"/>
      <c r="CY30" s="6793"/>
      <c r="CZ30" s="6793"/>
      <c r="DA30" s="6793"/>
      <c r="DB30" s="6793"/>
      <c r="DC30" s="6793"/>
      <c r="DD30" s="6793"/>
      <c r="DE30" s="6793"/>
      <c r="DF30" s="6793"/>
      <c r="DG30" s="6793"/>
      <c r="DH30" s="6793"/>
      <c r="DI30" s="6793"/>
      <c r="DJ30" s="6793"/>
      <c r="DK30" s="6793"/>
      <c r="DL30" s="6793"/>
      <c r="DM30" s="6793"/>
      <c r="DN30" s="6793"/>
      <c r="DO30" s="6793"/>
      <c r="DP30" s="6793"/>
      <c r="DQ30" s="6793"/>
      <c r="DR30" s="6793"/>
      <c r="DS30" s="6793"/>
      <c r="DT30" s="6793"/>
      <c r="DU30" s="6793"/>
      <c r="DV30" s="6793"/>
      <c r="DW30" s="6793"/>
      <c r="DX30" s="6793"/>
      <c r="DY30" s="6793"/>
      <c r="DZ30" s="6793"/>
      <c r="EA30" s="6793"/>
      <c r="EB30" s="6793"/>
      <c r="EC30" s="6085"/>
      <c r="ED30" s="6058"/>
      <c r="EH30" s="6055"/>
      <c r="EI30" s="6040"/>
      <c r="EJ30" s="6793" t="e">
        <f>_Calcs!$IN$120</f>
        <v>#N/A</v>
      </c>
      <c r="EK30" s="6793"/>
      <c r="EL30" s="6793"/>
      <c r="EM30" s="6793"/>
      <c r="EN30" s="6793"/>
      <c r="EO30" s="6793"/>
      <c r="EP30" s="6793"/>
      <c r="EQ30" s="6793"/>
      <c r="ER30" s="6793"/>
      <c r="ES30" s="6793"/>
      <c r="ET30" s="6793"/>
      <c r="EU30" s="6793"/>
      <c r="EV30" s="6793"/>
      <c r="EW30" s="6793"/>
      <c r="EX30" s="6793"/>
      <c r="EY30" s="6793"/>
      <c r="EZ30" s="6793"/>
      <c r="FA30" s="6793"/>
      <c r="FB30" s="6793"/>
      <c r="FC30" s="6793"/>
      <c r="FD30" s="6793"/>
      <c r="FE30" s="6793"/>
      <c r="FF30" s="6793"/>
      <c r="FG30" s="6793"/>
      <c r="FH30" s="6793"/>
      <c r="FI30" s="6793"/>
      <c r="FJ30" s="6793"/>
      <c r="FK30" s="6793"/>
      <c r="FL30" s="6793"/>
      <c r="FM30" s="6793"/>
      <c r="FN30" s="6793"/>
      <c r="FO30" s="6793"/>
      <c r="FP30" s="6793"/>
      <c r="FQ30" s="6793"/>
      <c r="FR30" s="6793"/>
      <c r="FS30" s="6793"/>
      <c r="FT30" s="6793"/>
      <c r="FU30" s="6793"/>
      <c r="FV30" s="6085"/>
      <c r="FW30" s="6058"/>
      <c r="GA30" s="6055"/>
      <c r="GB30" s="6040"/>
      <c r="GC30" s="6793" t="e">
        <f>_Calcs!$IO$120</f>
        <v>#N/A</v>
      </c>
      <c r="GD30" s="6793"/>
      <c r="GE30" s="6793"/>
      <c r="GF30" s="6793"/>
      <c r="GG30" s="6793"/>
      <c r="GH30" s="6793"/>
      <c r="GI30" s="6793"/>
      <c r="GJ30" s="6793"/>
      <c r="GK30" s="6793"/>
      <c r="GL30" s="6793"/>
      <c r="GM30" s="6793"/>
      <c r="GN30" s="6793"/>
      <c r="GO30" s="6793"/>
      <c r="GP30" s="6793"/>
      <c r="GQ30" s="6793"/>
      <c r="GR30" s="6793"/>
      <c r="GS30" s="6793"/>
      <c r="GT30" s="6793"/>
      <c r="GU30" s="6793"/>
      <c r="GV30" s="6793"/>
      <c r="GW30" s="6793"/>
      <c r="GX30" s="6793"/>
      <c r="GY30" s="6793"/>
      <c r="GZ30" s="6793"/>
      <c r="HA30" s="6793"/>
      <c r="HB30" s="6793"/>
      <c r="HC30" s="6793"/>
      <c r="HD30" s="6793"/>
      <c r="HE30" s="6793"/>
      <c r="HF30" s="6793"/>
      <c r="HG30" s="6793"/>
      <c r="HH30" s="6793"/>
      <c r="HI30" s="6793"/>
      <c r="HJ30" s="6793"/>
      <c r="HK30" s="6793"/>
      <c r="HL30" s="6793"/>
      <c r="HM30" s="6793"/>
      <c r="HN30" s="6793"/>
      <c r="HO30" s="6085"/>
      <c r="HP30" s="6058"/>
      <c r="HT30" s="6055"/>
      <c r="HU30" s="6040"/>
      <c r="HV30" s="6793" t="e">
        <f>_Calcs!$IP$120</f>
        <v>#N/A</v>
      </c>
      <c r="HW30" s="6793"/>
      <c r="HX30" s="6793"/>
      <c r="HY30" s="6793"/>
      <c r="HZ30" s="6793"/>
      <c r="IA30" s="6793"/>
      <c r="IB30" s="6793"/>
      <c r="IC30" s="6793"/>
      <c r="ID30" s="6793"/>
      <c r="IE30" s="6793"/>
      <c r="IF30" s="6793"/>
      <c r="IG30" s="6793"/>
      <c r="IH30" s="6793"/>
      <c r="II30" s="6793"/>
      <c r="IJ30" s="6793"/>
      <c r="IK30" s="6793"/>
      <c r="IL30" s="6793"/>
      <c r="IM30" s="6793"/>
      <c r="IN30" s="6793"/>
      <c r="IO30" s="6793"/>
      <c r="IP30" s="6793"/>
      <c r="IQ30" s="6793"/>
      <c r="IR30" s="6793"/>
      <c r="IS30" s="6793"/>
      <c r="IT30" s="6793"/>
      <c r="IU30" s="6793"/>
      <c r="IV30" s="6793"/>
      <c r="IW30" s="6793"/>
      <c r="IX30" s="6793"/>
      <c r="IY30" s="6793"/>
      <c r="IZ30" s="6793"/>
      <c r="JA30" s="6793"/>
      <c r="JB30" s="6793"/>
      <c r="JC30" s="6793"/>
      <c r="JD30" s="6793"/>
      <c r="JE30" s="6793"/>
      <c r="JF30" s="6793"/>
      <c r="JG30" s="6793"/>
      <c r="JH30" s="6085"/>
      <c r="JI30" s="6058"/>
      <c r="JM30" s="6055"/>
      <c r="JN30" s="6040"/>
      <c r="JO30" s="6793" t="e">
        <f>_Calcs!$IQ$120</f>
        <v>#N/A</v>
      </c>
      <c r="JP30" s="6793"/>
      <c r="JQ30" s="6793"/>
      <c r="JR30" s="6793"/>
      <c r="JS30" s="6793"/>
      <c r="JT30" s="6793"/>
      <c r="JU30" s="6793"/>
      <c r="JV30" s="6793"/>
      <c r="JW30" s="6793"/>
      <c r="JX30" s="6793"/>
      <c r="JY30" s="6793"/>
      <c r="JZ30" s="6793"/>
      <c r="KA30" s="6793"/>
      <c r="KB30" s="6793"/>
      <c r="KC30" s="6793"/>
      <c r="KD30" s="6793"/>
      <c r="KE30" s="6793"/>
      <c r="KF30" s="6793"/>
      <c r="KG30" s="6793"/>
      <c r="KH30" s="6793"/>
      <c r="KI30" s="6793"/>
      <c r="KJ30" s="6793"/>
      <c r="KK30" s="6793"/>
      <c r="KL30" s="6793"/>
      <c r="KM30" s="6793"/>
      <c r="KN30" s="6793"/>
      <c r="KO30" s="6793"/>
      <c r="KP30" s="6793"/>
      <c r="KQ30" s="6793"/>
      <c r="KR30" s="6793"/>
      <c r="KS30" s="6793"/>
      <c r="KT30" s="6793"/>
      <c r="KU30" s="6793"/>
      <c r="KV30" s="6793"/>
      <c r="KW30" s="6793"/>
      <c r="KX30" s="6793"/>
      <c r="KY30" s="6793"/>
      <c r="KZ30" s="6793"/>
      <c r="LA30" s="6085"/>
      <c r="LB30" s="6058"/>
      <c r="LF30" s="6055"/>
      <c r="LG30" s="6040"/>
      <c r="LH30" s="6793" t="e">
        <f>_Calcs!$IR$120</f>
        <v>#N/A</v>
      </c>
      <c r="LI30" s="6793"/>
      <c r="LJ30" s="6793"/>
      <c r="LK30" s="6793"/>
      <c r="LL30" s="6793"/>
      <c r="LM30" s="6793"/>
      <c r="LN30" s="6793"/>
      <c r="LO30" s="6793"/>
      <c r="LP30" s="6793"/>
      <c r="LQ30" s="6793"/>
      <c r="LR30" s="6793"/>
      <c r="LS30" s="6793"/>
      <c r="LT30" s="6793"/>
      <c r="LU30" s="6793"/>
      <c r="LV30" s="6793"/>
      <c r="LW30" s="6793"/>
      <c r="LX30" s="6793"/>
      <c r="LY30" s="6793"/>
      <c r="LZ30" s="6793"/>
      <c r="MA30" s="6793"/>
      <c r="MB30" s="6793"/>
      <c r="MC30" s="6793"/>
      <c r="MD30" s="6793"/>
      <c r="ME30" s="6793"/>
      <c r="MF30" s="6793"/>
      <c r="MG30" s="6793"/>
      <c r="MH30" s="6793"/>
      <c r="MI30" s="6793"/>
      <c r="MJ30" s="6793"/>
      <c r="MK30" s="6793"/>
      <c r="ML30" s="6793"/>
      <c r="MM30" s="6793"/>
      <c r="MN30" s="6793"/>
      <c r="MO30" s="6793"/>
      <c r="MP30" s="6793"/>
      <c r="MQ30" s="6793"/>
      <c r="MR30" s="6793"/>
      <c r="MS30" s="6793"/>
      <c r="MT30" s="6085"/>
      <c r="MU30" s="6058"/>
      <c r="MY30" s="6055"/>
      <c r="MZ30" s="6040"/>
      <c r="NA30" s="6793" t="e">
        <f>_Calcs!$IS$120</f>
        <v>#N/A</v>
      </c>
      <c r="NB30" s="6793"/>
      <c r="NC30" s="6793"/>
      <c r="ND30" s="6793"/>
      <c r="NE30" s="6793"/>
      <c r="NF30" s="6793"/>
      <c r="NG30" s="6793"/>
      <c r="NH30" s="6793"/>
      <c r="NI30" s="6793"/>
      <c r="NJ30" s="6793"/>
      <c r="NK30" s="6793"/>
      <c r="NL30" s="6793"/>
      <c r="NM30" s="6793"/>
      <c r="NN30" s="6793"/>
      <c r="NO30" s="6793"/>
      <c r="NP30" s="6793"/>
      <c r="NQ30" s="6793"/>
      <c r="NR30" s="6793"/>
      <c r="NS30" s="6793"/>
      <c r="NT30" s="6793"/>
      <c r="NU30" s="6793"/>
      <c r="NV30" s="6793"/>
      <c r="NW30" s="6793"/>
      <c r="NX30" s="6793"/>
      <c r="NY30" s="6793"/>
      <c r="NZ30" s="6793"/>
      <c r="OA30" s="6793"/>
      <c r="OB30" s="6793"/>
      <c r="OC30" s="6793"/>
      <c r="OD30" s="6793"/>
      <c r="OE30" s="6793"/>
      <c r="OF30" s="6793"/>
      <c r="OG30" s="6793"/>
      <c r="OH30" s="6793"/>
      <c r="OI30" s="6793"/>
      <c r="OJ30" s="6793"/>
      <c r="OK30" s="6793"/>
      <c r="OL30" s="6793"/>
      <c r="OM30" s="6085"/>
      <c r="ON30" s="6058"/>
    </row>
    <row r="31" spans="3:404" ht="8.1" customHeight="1" thickBot="1" x14ac:dyDescent="0.25">
      <c r="C31" s="6055"/>
      <c r="D31" s="6044"/>
      <c r="E31" s="6046"/>
      <c r="F31" s="6046"/>
      <c r="G31" s="6046"/>
      <c r="H31" s="6046"/>
      <c r="I31" s="6046"/>
      <c r="J31" s="6046"/>
      <c r="K31" s="6046"/>
      <c r="L31" s="6046"/>
      <c r="M31" s="6046"/>
      <c r="N31" s="6046"/>
      <c r="O31" s="6046"/>
      <c r="P31" s="6046"/>
      <c r="Q31" s="6046"/>
      <c r="R31" s="6046"/>
      <c r="S31" s="6046"/>
      <c r="T31" s="6046"/>
      <c r="U31" s="6046"/>
      <c r="V31" s="6086"/>
      <c r="W31" s="6086"/>
      <c r="X31" s="6086"/>
      <c r="Y31" s="6086"/>
      <c r="Z31" s="6086"/>
      <c r="AA31" s="6046"/>
      <c r="AB31" s="6086"/>
      <c r="AC31" s="6086"/>
      <c r="AD31" s="6086"/>
      <c r="AE31" s="6046"/>
      <c r="AF31" s="6086"/>
      <c r="AG31" s="6086"/>
      <c r="AH31" s="6086"/>
      <c r="AI31" s="6086"/>
      <c r="AJ31" s="6086"/>
      <c r="AK31" s="6086"/>
      <c r="AL31" s="6086"/>
      <c r="AM31" s="6086"/>
      <c r="AN31" s="6086"/>
      <c r="AO31" s="6086"/>
      <c r="AP31" s="6086"/>
      <c r="AQ31" s="6048"/>
      <c r="AR31" s="6058"/>
      <c r="AV31" s="6055"/>
      <c r="AW31" s="6044"/>
      <c r="AX31" s="6046"/>
      <c r="AY31" s="6046"/>
      <c r="AZ31" s="6046"/>
      <c r="BA31" s="6046"/>
      <c r="BB31" s="6046"/>
      <c r="BC31" s="6046"/>
      <c r="BD31" s="6046"/>
      <c r="BE31" s="6046"/>
      <c r="BF31" s="6046"/>
      <c r="BG31" s="6046"/>
      <c r="BH31" s="6046"/>
      <c r="BI31" s="6046"/>
      <c r="BJ31" s="6046"/>
      <c r="BK31" s="6046"/>
      <c r="BL31" s="6046"/>
      <c r="BM31" s="6046"/>
      <c r="BN31" s="6046"/>
      <c r="BO31" s="6086"/>
      <c r="BP31" s="6086"/>
      <c r="BQ31" s="6086"/>
      <c r="BR31" s="6086"/>
      <c r="BS31" s="6086"/>
      <c r="BT31" s="6046"/>
      <c r="BU31" s="6086"/>
      <c r="BV31" s="6086"/>
      <c r="BW31" s="6086"/>
      <c r="BX31" s="6046"/>
      <c r="BY31" s="6086"/>
      <c r="BZ31" s="6086"/>
      <c r="CA31" s="6086"/>
      <c r="CB31" s="6086"/>
      <c r="CC31" s="6086"/>
      <c r="CD31" s="6086"/>
      <c r="CE31" s="6086"/>
      <c r="CF31" s="6086"/>
      <c r="CG31" s="6086"/>
      <c r="CH31" s="6086"/>
      <c r="CI31" s="6086"/>
      <c r="CJ31" s="6048"/>
      <c r="CK31" s="6058"/>
      <c r="CO31" s="6055"/>
      <c r="CP31" s="6044"/>
      <c r="CQ31" s="6046"/>
      <c r="CR31" s="6046"/>
      <c r="CS31" s="6046"/>
      <c r="CT31" s="6046"/>
      <c r="CU31" s="6046"/>
      <c r="CV31" s="6046"/>
      <c r="CW31" s="6046"/>
      <c r="CX31" s="6046"/>
      <c r="CY31" s="6046"/>
      <c r="CZ31" s="6046"/>
      <c r="DA31" s="6046"/>
      <c r="DB31" s="6046"/>
      <c r="DC31" s="6046"/>
      <c r="DD31" s="6046"/>
      <c r="DE31" s="6046"/>
      <c r="DF31" s="6046"/>
      <c r="DG31" s="6046"/>
      <c r="DH31" s="6086"/>
      <c r="DI31" s="6086"/>
      <c r="DJ31" s="6086"/>
      <c r="DK31" s="6086"/>
      <c r="DL31" s="6086"/>
      <c r="DM31" s="6046"/>
      <c r="DN31" s="6086"/>
      <c r="DO31" s="6086"/>
      <c r="DP31" s="6086"/>
      <c r="DQ31" s="6046"/>
      <c r="DR31" s="6086"/>
      <c r="DS31" s="6086"/>
      <c r="DT31" s="6086"/>
      <c r="DU31" s="6086"/>
      <c r="DV31" s="6086"/>
      <c r="DW31" s="6086"/>
      <c r="DX31" s="6086"/>
      <c r="DY31" s="6086"/>
      <c r="DZ31" s="6086"/>
      <c r="EA31" s="6086"/>
      <c r="EB31" s="6086"/>
      <c r="EC31" s="6048"/>
      <c r="ED31" s="6058"/>
      <c r="EH31" s="6055"/>
      <c r="EI31" s="6044"/>
      <c r="EJ31" s="6046"/>
      <c r="EK31" s="6046"/>
      <c r="EL31" s="6046"/>
      <c r="EM31" s="6046"/>
      <c r="EN31" s="6046"/>
      <c r="EO31" s="6046"/>
      <c r="EP31" s="6046"/>
      <c r="EQ31" s="6046"/>
      <c r="ER31" s="6046"/>
      <c r="ES31" s="6046"/>
      <c r="ET31" s="6046"/>
      <c r="EU31" s="6046"/>
      <c r="EV31" s="6046"/>
      <c r="EW31" s="6046"/>
      <c r="EX31" s="6046"/>
      <c r="EY31" s="6046"/>
      <c r="EZ31" s="6046"/>
      <c r="FA31" s="6086"/>
      <c r="FB31" s="6086"/>
      <c r="FC31" s="6086"/>
      <c r="FD31" s="6086"/>
      <c r="FE31" s="6086"/>
      <c r="FF31" s="6046"/>
      <c r="FG31" s="6086"/>
      <c r="FH31" s="6086"/>
      <c r="FI31" s="6086"/>
      <c r="FJ31" s="6046"/>
      <c r="FK31" s="6086"/>
      <c r="FL31" s="6086"/>
      <c r="FM31" s="6086"/>
      <c r="FN31" s="6086"/>
      <c r="FO31" s="6086"/>
      <c r="FP31" s="6086"/>
      <c r="FQ31" s="6086"/>
      <c r="FR31" s="6086"/>
      <c r="FS31" s="6086"/>
      <c r="FT31" s="6086"/>
      <c r="FU31" s="6086"/>
      <c r="FV31" s="6048"/>
      <c r="FW31" s="6058"/>
      <c r="GA31" s="6055"/>
      <c r="GB31" s="6044"/>
      <c r="GC31" s="6046"/>
      <c r="GD31" s="6046"/>
      <c r="GE31" s="6046"/>
      <c r="GF31" s="6046"/>
      <c r="GG31" s="6046"/>
      <c r="GH31" s="6046"/>
      <c r="GI31" s="6046"/>
      <c r="GJ31" s="6046"/>
      <c r="GK31" s="6046"/>
      <c r="GL31" s="6046"/>
      <c r="GM31" s="6046"/>
      <c r="GN31" s="6046"/>
      <c r="GO31" s="6046"/>
      <c r="GP31" s="6046"/>
      <c r="GQ31" s="6046"/>
      <c r="GR31" s="6046"/>
      <c r="GS31" s="6046"/>
      <c r="GT31" s="6086"/>
      <c r="GU31" s="6086"/>
      <c r="GV31" s="6086"/>
      <c r="GW31" s="6086"/>
      <c r="GX31" s="6086"/>
      <c r="GY31" s="6046"/>
      <c r="GZ31" s="6086"/>
      <c r="HA31" s="6086"/>
      <c r="HB31" s="6086"/>
      <c r="HC31" s="6046"/>
      <c r="HD31" s="6086"/>
      <c r="HE31" s="6086"/>
      <c r="HF31" s="6086"/>
      <c r="HG31" s="6086"/>
      <c r="HH31" s="6086"/>
      <c r="HI31" s="6086"/>
      <c r="HJ31" s="6086"/>
      <c r="HK31" s="6086"/>
      <c r="HL31" s="6086"/>
      <c r="HM31" s="6086"/>
      <c r="HN31" s="6086"/>
      <c r="HO31" s="6048"/>
      <c r="HP31" s="6058"/>
      <c r="HT31" s="6055"/>
      <c r="HU31" s="6044"/>
      <c r="HV31" s="6046"/>
      <c r="HW31" s="6046"/>
      <c r="HX31" s="6046"/>
      <c r="HY31" s="6046"/>
      <c r="HZ31" s="6046"/>
      <c r="IA31" s="6046"/>
      <c r="IB31" s="6046"/>
      <c r="IC31" s="6046"/>
      <c r="ID31" s="6046"/>
      <c r="IE31" s="6046"/>
      <c r="IF31" s="6046"/>
      <c r="IG31" s="6046"/>
      <c r="IH31" s="6046"/>
      <c r="II31" s="6046"/>
      <c r="IJ31" s="6046"/>
      <c r="IK31" s="6046"/>
      <c r="IL31" s="6046"/>
      <c r="IM31" s="6086"/>
      <c r="IN31" s="6086"/>
      <c r="IO31" s="6086"/>
      <c r="IP31" s="6086"/>
      <c r="IQ31" s="6086"/>
      <c r="IR31" s="6046"/>
      <c r="IS31" s="6086"/>
      <c r="IT31" s="6086"/>
      <c r="IU31" s="6086"/>
      <c r="IV31" s="6046"/>
      <c r="IW31" s="6086"/>
      <c r="IX31" s="6086"/>
      <c r="IY31" s="6086"/>
      <c r="IZ31" s="6086"/>
      <c r="JA31" s="6086"/>
      <c r="JB31" s="6086"/>
      <c r="JC31" s="6086"/>
      <c r="JD31" s="6086"/>
      <c r="JE31" s="6086"/>
      <c r="JF31" s="6086"/>
      <c r="JG31" s="6086"/>
      <c r="JH31" s="6048"/>
      <c r="JI31" s="6058"/>
      <c r="JM31" s="6055"/>
      <c r="JN31" s="6044"/>
      <c r="JO31" s="6046"/>
      <c r="JP31" s="6046"/>
      <c r="JQ31" s="6046"/>
      <c r="JR31" s="6046"/>
      <c r="JS31" s="6046"/>
      <c r="JT31" s="6046"/>
      <c r="JU31" s="6046"/>
      <c r="JV31" s="6046"/>
      <c r="JW31" s="6046"/>
      <c r="JX31" s="6046"/>
      <c r="JY31" s="6046"/>
      <c r="JZ31" s="6046"/>
      <c r="KA31" s="6046"/>
      <c r="KB31" s="6046"/>
      <c r="KC31" s="6046"/>
      <c r="KD31" s="6046"/>
      <c r="KE31" s="6046"/>
      <c r="KF31" s="6086"/>
      <c r="KG31" s="6086"/>
      <c r="KH31" s="6086"/>
      <c r="KI31" s="6086"/>
      <c r="KJ31" s="6086"/>
      <c r="KK31" s="6046"/>
      <c r="KL31" s="6086"/>
      <c r="KM31" s="6086"/>
      <c r="KN31" s="6086"/>
      <c r="KO31" s="6046"/>
      <c r="KP31" s="6086"/>
      <c r="KQ31" s="6086"/>
      <c r="KR31" s="6086"/>
      <c r="KS31" s="6086"/>
      <c r="KT31" s="6086"/>
      <c r="KU31" s="6086"/>
      <c r="KV31" s="6086"/>
      <c r="KW31" s="6086"/>
      <c r="KX31" s="6086"/>
      <c r="KY31" s="6086"/>
      <c r="KZ31" s="6086"/>
      <c r="LA31" s="6048"/>
      <c r="LB31" s="6058"/>
      <c r="LF31" s="6055"/>
      <c r="LG31" s="6044"/>
      <c r="LH31" s="6046"/>
      <c r="LI31" s="6046"/>
      <c r="LJ31" s="6046"/>
      <c r="LK31" s="6046"/>
      <c r="LL31" s="6046"/>
      <c r="LM31" s="6046"/>
      <c r="LN31" s="6046"/>
      <c r="LO31" s="6046"/>
      <c r="LP31" s="6046"/>
      <c r="LQ31" s="6046"/>
      <c r="LR31" s="6046"/>
      <c r="LS31" s="6046"/>
      <c r="LT31" s="6046"/>
      <c r="LU31" s="6046"/>
      <c r="LV31" s="6046"/>
      <c r="LW31" s="6046"/>
      <c r="LX31" s="6046"/>
      <c r="LY31" s="6086"/>
      <c r="LZ31" s="6086"/>
      <c r="MA31" s="6086"/>
      <c r="MB31" s="6086"/>
      <c r="MC31" s="6086"/>
      <c r="MD31" s="6046"/>
      <c r="ME31" s="6086"/>
      <c r="MF31" s="6086"/>
      <c r="MG31" s="6086"/>
      <c r="MH31" s="6046"/>
      <c r="MI31" s="6086"/>
      <c r="MJ31" s="6086"/>
      <c r="MK31" s="6086"/>
      <c r="ML31" s="6086"/>
      <c r="MM31" s="6086"/>
      <c r="MN31" s="6086"/>
      <c r="MO31" s="6086"/>
      <c r="MP31" s="6086"/>
      <c r="MQ31" s="6086"/>
      <c r="MR31" s="6086"/>
      <c r="MS31" s="6086"/>
      <c r="MT31" s="6048"/>
      <c r="MU31" s="6058"/>
      <c r="MY31" s="6055"/>
      <c r="MZ31" s="6044"/>
      <c r="NA31" s="6046"/>
      <c r="NB31" s="6046"/>
      <c r="NC31" s="6046"/>
      <c r="ND31" s="6046"/>
      <c r="NE31" s="6046"/>
      <c r="NF31" s="6046"/>
      <c r="NG31" s="6046"/>
      <c r="NH31" s="6046"/>
      <c r="NI31" s="6046"/>
      <c r="NJ31" s="6046"/>
      <c r="NK31" s="6046"/>
      <c r="NL31" s="6046"/>
      <c r="NM31" s="6046"/>
      <c r="NN31" s="6046"/>
      <c r="NO31" s="6046"/>
      <c r="NP31" s="6046"/>
      <c r="NQ31" s="6046"/>
      <c r="NR31" s="6086"/>
      <c r="NS31" s="6086"/>
      <c r="NT31" s="6086"/>
      <c r="NU31" s="6086"/>
      <c r="NV31" s="6086"/>
      <c r="NW31" s="6046"/>
      <c r="NX31" s="6086"/>
      <c r="NY31" s="6086"/>
      <c r="NZ31" s="6086"/>
      <c r="OA31" s="6046"/>
      <c r="OB31" s="6086"/>
      <c r="OC31" s="6086"/>
      <c r="OD31" s="6086"/>
      <c r="OE31" s="6086"/>
      <c r="OF31" s="6086"/>
      <c r="OG31" s="6086"/>
      <c r="OH31" s="6086"/>
      <c r="OI31" s="6086"/>
      <c r="OJ31" s="6086"/>
      <c r="OK31" s="6086"/>
      <c r="OL31" s="6086"/>
      <c r="OM31" s="6048"/>
      <c r="ON31" s="6058"/>
    </row>
    <row r="32" spans="3:404" ht="15" customHeight="1" thickBot="1" x14ac:dyDescent="0.25">
      <c r="C32" s="6087"/>
      <c r="D32" s="6088"/>
      <c r="E32" s="6088"/>
      <c r="F32" s="6088"/>
      <c r="G32" s="6088"/>
      <c r="H32" s="6088"/>
      <c r="I32" s="6088"/>
      <c r="J32" s="6088"/>
      <c r="K32" s="6088"/>
      <c r="L32" s="6088"/>
      <c r="M32" s="6088"/>
      <c r="N32" s="6088"/>
      <c r="O32" s="6088"/>
      <c r="P32" s="6088"/>
      <c r="Q32" s="6088"/>
      <c r="R32" s="6088"/>
      <c r="S32" s="6088"/>
      <c r="T32" s="6088"/>
      <c r="U32" s="6088"/>
      <c r="V32" s="6088"/>
      <c r="W32" s="6088"/>
      <c r="X32" s="6088"/>
      <c r="Y32" s="6088"/>
      <c r="Z32" s="6088"/>
      <c r="AA32" s="6088"/>
      <c r="AB32" s="6088"/>
      <c r="AC32" s="6088"/>
      <c r="AD32" s="6088"/>
      <c r="AE32" s="6088"/>
      <c r="AF32" s="6088"/>
      <c r="AG32" s="6088"/>
      <c r="AH32" s="6088"/>
      <c r="AI32" s="6088"/>
      <c r="AJ32" s="6088"/>
      <c r="AK32" s="6088"/>
      <c r="AL32" s="6088"/>
      <c r="AM32" s="6088"/>
      <c r="AN32" s="6088"/>
      <c r="AO32" s="6088"/>
      <c r="AP32" s="6088"/>
      <c r="AQ32" s="6088"/>
      <c r="AR32" s="6089"/>
      <c r="AV32" s="6087"/>
      <c r="AW32" s="6088"/>
      <c r="AX32" s="6088"/>
      <c r="AY32" s="6088"/>
      <c r="AZ32" s="6088"/>
      <c r="BA32" s="6088"/>
      <c r="BB32" s="6088"/>
      <c r="BC32" s="6088"/>
      <c r="BD32" s="6088"/>
      <c r="BE32" s="6088"/>
      <c r="BF32" s="6088"/>
      <c r="BG32" s="6088"/>
      <c r="BH32" s="6088"/>
      <c r="BI32" s="6088"/>
      <c r="BJ32" s="6088"/>
      <c r="BK32" s="6088"/>
      <c r="BL32" s="6088"/>
      <c r="BM32" s="6088"/>
      <c r="BN32" s="6088"/>
      <c r="BO32" s="6088"/>
      <c r="BP32" s="6088"/>
      <c r="BQ32" s="6088"/>
      <c r="BR32" s="6088"/>
      <c r="BS32" s="6088"/>
      <c r="BT32" s="6088"/>
      <c r="BU32" s="6088"/>
      <c r="BV32" s="6088"/>
      <c r="BW32" s="6088"/>
      <c r="BX32" s="6088"/>
      <c r="BY32" s="6088"/>
      <c r="BZ32" s="6088"/>
      <c r="CA32" s="6088"/>
      <c r="CB32" s="6088"/>
      <c r="CC32" s="6088"/>
      <c r="CD32" s="6088"/>
      <c r="CE32" s="6088"/>
      <c r="CF32" s="6088"/>
      <c r="CG32" s="6088"/>
      <c r="CH32" s="6088"/>
      <c r="CI32" s="6088"/>
      <c r="CJ32" s="6088"/>
      <c r="CK32" s="6089"/>
      <c r="CO32" s="6087"/>
      <c r="CP32" s="6088"/>
      <c r="CQ32" s="6088"/>
      <c r="CR32" s="6088"/>
      <c r="CS32" s="6088"/>
      <c r="CT32" s="6088"/>
      <c r="CU32" s="6088"/>
      <c r="CV32" s="6088"/>
      <c r="CW32" s="6088"/>
      <c r="CX32" s="6088"/>
      <c r="CY32" s="6088"/>
      <c r="CZ32" s="6088"/>
      <c r="DA32" s="6088"/>
      <c r="DB32" s="6088"/>
      <c r="DC32" s="6088"/>
      <c r="DD32" s="6088"/>
      <c r="DE32" s="6088"/>
      <c r="DF32" s="6088"/>
      <c r="DG32" s="6088"/>
      <c r="DH32" s="6088"/>
      <c r="DI32" s="6088"/>
      <c r="DJ32" s="6088"/>
      <c r="DK32" s="6088"/>
      <c r="DL32" s="6088"/>
      <c r="DM32" s="6088"/>
      <c r="DN32" s="6088"/>
      <c r="DO32" s="6088"/>
      <c r="DP32" s="6088"/>
      <c r="DQ32" s="6088"/>
      <c r="DR32" s="6088"/>
      <c r="DS32" s="6088"/>
      <c r="DT32" s="6088"/>
      <c r="DU32" s="6088"/>
      <c r="DV32" s="6088"/>
      <c r="DW32" s="6088"/>
      <c r="DX32" s="6088"/>
      <c r="DY32" s="6088"/>
      <c r="DZ32" s="6088"/>
      <c r="EA32" s="6088"/>
      <c r="EB32" s="6088"/>
      <c r="EC32" s="6088"/>
      <c r="ED32" s="6089"/>
      <c r="EH32" s="6087"/>
      <c r="EI32" s="6088"/>
      <c r="EJ32" s="6088"/>
      <c r="EK32" s="6088"/>
      <c r="EL32" s="6088"/>
      <c r="EM32" s="6088"/>
      <c r="EN32" s="6088"/>
      <c r="EO32" s="6088"/>
      <c r="EP32" s="6088"/>
      <c r="EQ32" s="6088"/>
      <c r="ER32" s="6088"/>
      <c r="ES32" s="6088"/>
      <c r="ET32" s="6088"/>
      <c r="EU32" s="6088"/>
      <c r="EV32" s="6088"/>
      <c r="EW32" s="6088"/>
      <c r="EX32" s="6088"/>
      <c r="EY32" s="6088"/>
      <c r="EZ32" s="6088"/>
      <c r="FA32" s="6088"/>
      <c r="FB32" s="6088"/>
      <c r="FC32" s="6088"/>
      <c r="FD32" s="6088"/>
      <c r="FE32" s="6088"/>
      <c r="FF32" s="6088"/>
      <c r="FG32" s="6088"/>
      <c r="FH32" s="6088"/>
      <c r="FI32" s="6088"/>
      <c r="FJ32" s="6088"/>
      <c r="FK32" s="6088"/>
      <c r="FL32" s="6088"/>
      <c r="FM32" s="6088"/>
      <c r="FN32" s="6088"/>
      <c r="FO32" s="6088"/>
      <c r="FP32" s="6088"/>
      <c r="FQ32" s="6088"/>
      <c r="FR32" s="6088"/>
      <c r="FS32" s="6088"/>
      <c r="FT32" s="6088"/>
      <c r="FU32" s="6088"/>
      <c r="FV32" s="6088"/>
      <c r="FW32" s="6089"/>
      <c r="GA32" s="6087"/>
      <c r="GB32" s="6088"/>
      <c r="GC32" s="6088"/>
      <c r="GD32" s="6088"/>
      <c r="GE32" s="6088"/>
      <c r="GF32" s="6088"/>
      <c r="GG32" s="6088"/>
      <c r="GH32" s="6088"/>
      <c r="GI32" s="6088"/>
      <c r="GJ32" s="6088"/>
      <c r="GK32" s="6088"/>
      <c r="GL32" s="6088"/>
      <c r="GM32" s="6088"/>
      <c r="GN32" s="6088"/>
      <c r="GO32" s="6088"/>
      <c r="GP32" s="6088"/>
      <c r="GQ32" s="6088"/>
      <c r="GR32" s="6088"/>
      <c r="GS32" s="6088"/>
      <c r="GT32" s="6088"/>
      <c r="GU32" s="6088"/>
      <c r="GV32" s="6088"/>
      <c r="GW32" s="6088"/>
      <c r="GX32" s="6088"/>
      <c r="GY32" s="6088"/>
      <c r="GZ32" s="6088"/>
      <c r="HA32" s="6088"/>
      <c r="HB32" s="6088"/>
      <c r="HC32" s="6088"/>
      <c r="HD32" s="6088"/>
      <c r="HE32" s="6088"/>
      <c r="HF32" s="6088"/>
      <c r="HG32" s="6088"/>
      <c r="HH32" s="6088"/>
      <c r="HI32" s="6088"/>
      <c r="HJ32" s="6088"/>
      <c r="HK32" s="6088"/>
      <c r="HL32" s="6088"/>
      <c r="HM32" s="6088"/>
      <c r="HN32" s="6088"/>
      <c r="HO32" s="6088"/>
      <c r="HP32" s="6089"/>
      <c r="HT32" s="6087"/>
      <c r="HU32" s="6088"/>
      <c r="HV32" s="6088"/>
      <c r="HW32" s="6088"/>
      <c r="HX32" s="6088"/>
      <c r="HY32" s="6088"/>
      <c r="HZ32" s="6088"/>
      <c r="IA32" s="6088"/>
      <c r="IB32" s="6088"/>
      <c r="IC32" s="6088"/>
      <c r="ID32" s="6088"/>
      <c r="IE32" s="6088"/>
      <c r="IF32" s="6088"/>
      <c r="IG32" s="6088"/>
      <c r="IH32" s="6088"/>
      <c r="II32" s="6088"/>
      <c r="IJ32" s="6088"/>
      <c r="IK32" s="6088"/>
      <c r="IL32" s="6088"/>
      <c r="IM32" s="6088"/>
      <c r="IN32" s="6088"/>
      <c r="IO32" s="6088"/>
      <c r="IP32" s="6088"/>
      <c r="IQ32" s="6088"/>
      <c r="IR32" s="6088"/>
      <c r="IS32" s="6088"/>
      <c r="IT32" s="6088"/>
      <c r="IU32" s="6088"/>
      <c r="IV32" s="6088"/>
      <c r="IW32" s="6088"/>
      <c r="IX32" s="6088"/>
      <c r="IY32" s="6088"/>
      <c r="IZ32" s="6088"/>
      <c r="JA32" s="6088"/>
      <c r="JB32" s="6088"/>
      <c r="JC32" s="6088"/>
      <c r="JD32" s="6088"/>
      <c r="JE32" s="6088"/>
      <c r="JF32" s="6088"/>
      <c r="JG32" s="6088"/>
      <c r="JH32" s="6088"/>
      <c r="JI32" s="6089"/>
      <c r="JM32" s="6087"/>
      <c r="JN32" s="6088"/>
      <c r="JO32" s="6088"/>
      <c r="JP32" s="6088"/>
      <c r="JQ32" s="6088"/>
      <c r="JR32" s="6088"/>
      <c r="JS32" s="6088"/>
      <c r="JT32" s="6088"/>
      <c r="JU32" s="6088"/>
      <c r="JV32" s="6088"/>
      <c r="JW32" s="6088"/>
      <c r="JX32" s="6088"/>
      <c r="JY32" s="6088"/>
      <c r="JZ32" s="6088"/>
      <c r="KA32" s="6088"/>
      <c r="KB32" s="6088"/>
      <c r="KC32" s="6088"/>
      <c r="KD32" s="6088"/>
      <c r="KE32" s="6088"/>
      <c r="KF32" s="6088"/>
      <c r="KG32" s="6088"/>
      <c r="KH32" s="6088"/>
      <c r="KI32" s="6088"/>
      <c r="KJ32" s="6088"/>
      <c r="KK32" s="6088"/>
      <c r="KL32" s="6088"/>
      <c r="KM32" s="6088"/>
      <c r="KN32" s="6088"/>
      <c r="KO32" s="6088"/>
      <c r="KP32" s="6088"/>
      <c r="KQ32" s="6088"/>
      <c r="KR32" s="6088"/>
      <c r="KS32" s="6088"/>
      <c r="KT32" s="6088"/>
      <c r="KU32" s="6088"/>
      <c r="KV32" s="6088"/>
      <c r="KW32" s="6088"/>
      <c r="KX32" s="6088"/>
      <c r="KY32" s="6088"/>
      <c r="KZ32" s="6088"/>
      <c r="LA32" s="6088"/>
      <c r="LB32" s="6089"/>
      <c r="LF32" s="6087"/>
      <c r="LG32" s="6088"/>
      <c r="LH32" s="6088"/>
      <c r="LI32" s="6088"/>
      <c r="LJ32" s="6088"/>
      <c r="LK32" s="6088"/>
      <c r="LL32" s="6088"/>
      <c r="LM32" s="6088"/>
      <c r="LN32" s="6088"/>
      <c r="LO32" s="6088"/>
      <c r="LP32" s="6088"/>
      <c r="LQ32" s="6088"/>
      <c r="LR32" s="6088"/>
      <c r="LS32" s="6088"/>
      <c r="LT32" s="6088"/>
      <c r="LU32" s="6088"/>
      <c r="LV32" s="6088"/>
      <c r="LW32" s="6088"/>
      <c r="LX32" s="6088"/>
      <c r="LY32" s="6088"/>
      <c r="LZ32" s="6088"/>
      <c r="MA32" s="6088"/>
      <c r="MB32" s="6088"/>
      <c r="MC32" s="6088"/>
      <c r="MD32" s="6088"/>
      <c r="ME32" s="6088"/>
      <c r="MF32" s="6088"/>
      <c r="MG32" s="6088"/>
      <c r="MH32" s="6088"/>
      <c r="MI32" s="6088"/>
      <c r="MJ32" s="6088"/>
      <c r="MK32" s="6088"/>
      <c r="ML32" s="6088"/>
      <c r="MM32" s="6088"/>
      <c r="MN32" s="6088"/>
      <c r="MO32" s="6088"/>
      <c r="MP32" s="6088"/>
      <c r="MQ32" s="6088"/>
      <c r="MR32" s="6088"/>
      <c r="MS32" s="6088"/>
      <c r="MT32" s="6088"/>
      <c r="MU32" s="6089"/>
      <c r="MY32" s="6087"/>
      <c r="MZ32" s="6088"/>
      <c r="NA32" s="6088"/>
      <c r="NB32" s="6088"/>
      <c r="NC32" s="6088"/>
      <c r="ND32" s="6088"/>
      <c r="NE32" s="6088"/>
      <c r="NF32" s="6088"/>
      <c r="NG32" s="6088"/>
      <c r="NH32" s="6088"/>
      <c r="NI32" s="6088"/>
      <c r="NJ32" s="6088"/>
      <c r="NK32" s="6088"/>
      <c r="NL32" s="6088"/>
      <c r="NM32" s="6088"/>
      <c r="NN32" s="6088"/>
      <c r="NO32" s="6088"/>
      <c r="NP32" s="6088"/>
      <c r="NQ32" s="6088"/>
      <c r="NR32" s="6088"/>
      <c r="NS32" s="6088"/>
      <c r="NT32" s="6088"/>
      <c r="NU32" s="6088"/>
      <c r="NV32" s="6088"/>
      <c r="NW32" s="6088"/>
      <c r="NX32" s="6088"/>
      <c r="NY32" s="6088"/>
      <c r="NZ32" s="6088"/>
      <c r="OA32" s="6088"/>
      <c r="OB32" s="6088"/>
      <c r="OC32" s="6088"/>
      <c r="OD32" s="6088"/>
      <c r="OE32" s="6088"/>
      <c r="OF32" s="6088"/>
      <c r="OG32" s="6088"/>
      <c r="OH32" s="6088"/>
      <c r="OI32" s="6088"/>
      <c r="OJ32" s="6088"/>
      <c r="OK32" s="6088"/>
      <c r="OL32" s="6088"/>
      <c r="OM32" s="6088"/>
      <c r="ON32" s="6089"/>
    </row>
    <row r="33" spans="3:405" ht="9.9499999999999993" customHeight="1" x14ac:dyDescent="0.2"/>
    <row r="34" spans="3:405" ht="8.1" customHeight="1" x14ac:dyDescent="0.2">
      <c r="C34" s="6090"/>
      <c r="D34" s="6090"/>
      <c r="E34" s="6090"/>
      <c r="F34" s="6090"/>
      <c r="G34" s="6090"/>
      <c r="H34" s="6090"/>
      <c r="I34" s="6090"/>
      <c r="J34" s="6090"/>
      <c r="K34" s="6090"/>
      <c r="L34" s="6090"/>
      <c r="M34" s="6090"/>
      <c r="N34" s="6090"/>
      <c r="O34" s="6090"/>
      <c r="P34" s="6090"/>
      <c r="Q34" s="6090"/>
      <c r="R34" s="6090"/>
      <c r="S34" s="6090"/>
      <c r="T34" s="6090"/>
      <c r="U34" s="6090"/>
      <c r="V34" s="6090"/>
      <c r="W34" s="6090"/>
      <c r="X34" s="6090"/>
      <c r="Y34" s="6090"/>
      <c r="Z34" s="6090"/>
      <c r="AA34" s="6090"/>
      <c r="AB34" s="6090"/>
      <c r="AC34" s="6090"/>
      <c r="AD34" s="6090"/>
      <c r="AE34" s="6090"/>
      <c r="AF34" s="6090"/>
      <c r="AG34" s="6090"/>
      <c r="AH34" s="6090"/>
      <c r="AI34" s="6090"/>
      <c r="AJ34" s="6090"/>
      <c r="AK34" s="6090"/>
      <c r="AL34" s="6090"/>
      <c r="AM34" s="6090"/>
      <c r="AN34" s="6090"/>
      <c r="AO34" s="6090"/>
      <c r="AP34" s="6090"/>
      <c r="AQ34" s="6090"/>
      <c r="AR34" s="6090"/>
      <c r="AV34" s="6090"/>
      <c r="AW34" s="6090"/>
      <c r="AX34" s="6090"/>
      <c r="AY34" s="6090"/>
      <c r="AZ34" s="6090"/>
      <c r="BA34" s="6090"/>
      <c r="BB34" s="6090"/>
      <c r="BC34" s="6090"/>
      <c r="BD34" s="6090"/>
      <c r="BE34" s="6090"/>
      <c r="BF34" s="6090"/>
      <c r="BG34" s="6090"/>
      <c r="BH34" s="6090"/>
      <c r="BI34" s="6090"/>
      <c r="BJ34" s="6090"/>
      <c r="BK34" s="6090"/>
      <c r="BL34" s="6090"/>
      <c r="BM34" s="6090"/>
      <c r="BN34" s="6090"/>
      <c r="BO34" s="6090"/>
      <c r="BP34" s="6090"/>
      <c r="BQ34" s="6090"/>
      <c r="BR34" s="6090"/>
      <c r="BS34" s="6090"/>
      <c r="BT34" s="6090"/>
      <c r="BU34" s="6090"/>
      <c r="BV34" s="6090"/>
      <c r="BW34" s="6090"/>
      <c r="BX34" s="6090"/>
      <c r="BY34" s="6090"/>
      <c r="BZ34" s="6090"/>
      <c r="CA34" s="6090"/>
      <c r="CB34" s="6090"/>
      <c r="CC34" s="6090"/>
      <c r="CD34" s="6090"/>
      <c r="CE34" s="6090"/>
      <c r="CF34" s="6090"/>
      <c r="CG34" s="6090"/>
      <c r="CH34" s="6090"/>
      <c r="CI34" s="6090"/>
      <c r="CJ34" s="6090"/>
      <c r="CK34" s="6090"/>
      <c r="CO34" s="6090"/>
      <c r="CP34" s="6090"/>
      <c r="CQ34" s="6090"/>
      <c r="CR34" s="6090"/>
      <c r="CS34" s="6090"/>
      <c r="CT34" s="6090"/>
      <c r="CU34" s="6090"/>
      <c r="CV34" s="6090"/>
      <c r="CW34" s="6090"/>
      <c r="CX34" s="6090"/>
      <c r="CY34" s="6090"/>
      <c r="CZ34" s="6090"/>
      <c r="DA34" s="6090"/>
      <c r="DB34" s="6090"/>
      <c r="DC34" s="6090"/>
      <c r="DD34" s="6090"/>
      <c r="DE34" s="6090"/>
      <c r="DF34" s="6090"/>
      <c r="DG34" s="6090"/>
      <c r="DH34" s="6090"/>
      <c r="DI34" s="6090"/>
      <c r="DJ34" s="6090"/>
      <c r="DK34" s="6090"/>
      <c r="DL34" s="6090"/>
      <c r="DM34" s="6090"/>
      <c r="DN34" s="6090"/>
      <c r="DO34" s="6090"/>
      <c r="DP34" s="6090"/>
      <c r="DQ34" s="6090"/>
      <c r="DR34" s="6090"/>
      <c r="DS34" s="6090"/>
      <c r="DT34" s="6090"/>
      <c r="DU34" s="6090"/>
      <c r="DV34" s="6090"/>
      <c r="DW34" s="6090"/>
      <c r="DX34" s="6090"/>
      <c r="DY34" s="6090"/>
      <c r="DZ34" s="6090"/>
      <c r="EA34" s="6090"/>
      <c r="EB34" s="6090"/>
      <c r="EC34" s="6090"/>
      <c r="ED34" s="6090"/>
      <c r="EH34" s="6090"/>
      <c r="EI34" s="6090"/>
      <c r="EJ34" s="6090"/>
      <c r="EK34" s="6090"/>
      <c r="EL34" s="6090"/>
      <c r="EM34" s="6090"/>
      <c r="EN34" s="6090"/>
      <c r="EO34" s="6090"/>
      <c r="EP34" s="6090"/>
      <c r="EQ34" s="6090"/>
      <c r="ER34" s="6090"/>
      <c r="ES34" s="6090"/>
      <c r="ET34" s="6090"/>
      <c r="EU34" s="6090"/>
      <c r="EV34" s="6090"/>
      <c r="EW34" s="6090"/>
      <c r="EX34" s="6090"/>
      <c r="EY34" s="6090"/>
      <c r="EZ34" s="6090"/>
      <c r="FA34" s="6090"/>
      <c r="FB34" s="6090"/>
      <c r="FC34" s="6090"/>
      <c r="FD34" s="6090"/>
      <c r="FE34" s="6090"/>
      <c r="FF34" s="6090"/>
      <c r="FG34" s="6090"/>
      <c r="FH34" s="6090"/>
      <c r="FI34" s="6090"/>
      <c r="FJ34" s="6090"/>
      <c r="FK34" s="6090"/>
      <c r="FL34" s="6090"/>
      <c r="FM34" s="6090"/>
      <c r="FN34" s="6090"/>
      <c r="FO34" s="6090"/>
      <c r="FP34" s="6090"/>
      <c r="FQ34" s="6090"/>
      <c r="FR34" s="6090"/>
      <c r="FS34" s="6090"/>
      <c r="FT34" s="6090"/>
      <c r="FU34" s="6090"/>
      <c r="FV34" s="6090"/>
      <c r="FW34" s="6090"/>
      <c r="GA34" s="6090"/>
      <c r="GB34" s="6090"/>
      <c r="GC34" s="6090"/>
      <c r="GD34" s="6090"/>
      <c r="GE34" s="6090"/>
      <c r="GF34" s="6090"/>
      <c r="GG34" s="6090"/>
      <c r="GH34" s="6090"/>
      <c r="GI34" s="6090"/>
      <c r="GJ34" s="6090"/>
      <c r="GK34" s="6090"/>
      <c r="GL34" s="6090"/>
      <c r="GM34" s="6090"/>
      <c r="GN34" s="6090"/>
      <c r="GO34" s="6090"/>
      <c r="GP34" s="6090"/>
      <c r="GQ34" s="6090"/>
      <c r="GR34" s="6090"/>
      <c r="GS34" s="6090"/>
      <c r="GT34" s="6090"/>
      <c r="GU34" s="6090"/>
      <c r="GV34" s="6090"/>
      <c r="GW34" s="6090"/>
      <c r="GX34" s="6090"/>
      <c r="GY34" s="6090"/>
      <c r="GZ34" s="6090"/>
      <c r="HA34" s="6090"/>
      <c r="HB34" s="6090"/>
      <c r="HC34" s="6090"/>
      <c r="HD34" s="6090"/>
      <c r="HE34" s="6090"/>
      <c r="HF34" s="6090"/>
      <c r="HG34" s="6090"/>
      <c r="HH34" s="6090"/>
      <c r="HI34" s="6090"/>
      <c r="HJ34" s="6090"/>
      <c r="HK34" s="6090"/>
      <c r="HL34" s="6090"/>
      <c r="HM34" s="6090"/>
      <c r="HN34" s="6090"/>
      <c r="HO34" s="6090"/>
      <c r="HP34" s="6090"/>
      <c r="HT34" s="6090"/>
      <c r="HU34" s="6090"/>
      <c r="HV34" s="6090"/>
      <c r="HW34" s="6090"/>
      <c r="HX34" s="6090"/>
      <c r="HY34" s="6090"/>
      <c r="HZ34" s="6090"/>
      <c r="IA34" s="6090"/>
      <c r="IB34" s="6090"/>
      <c r="IC34" s="6090"/>
      <c r="ID34" s="6090"/>
      <c r="IE34" s="6090"/>
      <c r="IF34" s="6090"/>
      <c r="IG34" s="6090"/>
      <c r="IH34" s="6090"/>
      <c r="II34" s="6090"/>
      <c r="IJ34" s="6090"/>
      <c r="IK34" s="6090"/>
      <c r="IL34" s="6090"/>
      <c r="IM34" s="6090"/>
      <c r="IN34" s="6090"/>
      <c r="IO34" s="6090"/>
      <c r="IP34" s="6090"/>
      <c r="IQ34" s="6090"/>
      <c r="IR34" s="6090"/>
      <c r="IS34" s="6090"/>
      <c r="IT34" s="6090"/>
      <c r="IU34" s="6090"/>
      <c r="IV34" s="6090"/>
      <c r="IW34" s="6090"/>
      <c r="IX34" s="6090"/>
      <c r="IY34" s="6090"/>
      <c r="IZ34" s="6090"/>
      <c r="JA34" s="6090"/>
      <c r="JB34" s="6090"/>
      <c r="JC34" s="6090"/>
      <c r="JD34" s="6090"/>
      <c r="JE34" s="6090"/>
      <c r="JF34" s="6090"/>
      <c r="JG34" s="6090"/>
      <c r="JH34" s="6090"/>
      <c r="JI34" s="6090"/>
      <c r="JM34" s="6090"/>
      <c r="JN34" s="6090"/>
      <c r="JO34" s="6090"/>
      <c r="JP34" s="6090"/>
      <c r="JQ34" s="6090"/>
      <c r="JR34" s="6090"/>
      <c r="JS34" s="6090"/>
      <c r="JT34" s="6090"/>
      <c r="JU34" s="6090"/>
      <c r="JV34" s="6090"/>
      <c r="JW34" s="6090"/>
      <c r="JX34" s="6090"/>
      <c r="JY34" s="6090"/>
      <c r="JZ34" s="6090"/>
      <c r="KA34" s="6090"/>
      <c r="KB34" s="6090"/>
      <c r="KC34" s="6090"/>
      <c r="KD34" s="6090"/>
      <c r="KE34" s="6090"/>
      <c r="KF34" s="6090"/>
      <c r="KG34" s="6090"/>
      <c r="KH34" s="6090"/>
      <c r="KI34" s="6090"/>
      <c r="KJ34" s="6090"/>
      <c r="KK34" s="6090"/>
      <c r="KL34" s="6090"/>
      <c r="KM34" s="6090"/>
      <c r="KN34" s="6090"/>
      <c r="KO34" s="6090"/>
      <c r="KP34" s="6090"/>
      <c r="KQ34" s="6090"/>
      <c r="KR34" s="6090"/>
      <c r="KS34" s="6090"/>
      <c r="KT34" s="6090"/>
      <c r="KU34" s="6090"/>
      <c r="KV34" s="6090"/>
      <c r="KW34" s="6090"/>
      <c r="KX34" s="6090"/>
      <c r="KY34" s="6090"/>
      <c r="KZ34" s="6090"/>
      <c r="LA34" s="6090"/>
      <c r="LB34" s="6090"/>
      <c r="LF34" s="6090"/>
      <c r="LG34" s="6090"/>
      <c r="LH34" s="6090"/>
      <c r="LI34" s="6090"/>
      <c r="LJ34" s="6090"/>
      <c r="LK34" s="6090"/>
      <c r="LL34" s="6090"/>
      <c r="LM34" s="6090"/>
      <c r="LN34" s="6090"/>
      <c r="LO34" s="6090"/>
      <c r="LP34" s="6090"/>
      <c r="LQ34" s="6090"/>
      <c r="LR34" s="6090"/>
      <c r="LS34" s="6090"/>
      <c r="LT34" s="6090"/>
      <c r="LU34" s="6090"/>
      <c r="LV34" s="6090"/>
      <c r="LW34" s="6090"/>
      <c r="LX34" s="6090"/>
      <c r="LY34" s="6090"/>
      <c r="LZ34" s="6090"/>
      <c r="MA34" s="6090"/>
      <c r="MB34" s="6090"/>
      <c r="MC34" s="6090"/>
      <c r="MD34" s="6090"/>
      <c r="ME34" s="6090"/>
      <c r="MF34" s="6090"/>
      <c r="MG34" s="6090"/>
      <c r="MH34" s="6090"/>
      <c r="MI34" s="6090"/>
      <c r="MJ34" s="6090"/>
      <c r="MK34" s="6090"/>
      <c r="ML34" s="6090"/>
      <c r="MM34" s="6090"/>
      <c r="MN34" s="6090"/>
      <c r="MO34" s="6090"/>
      <c r="MP34" s="6090"/>
      <c r="MQ34" s="6090"/>
      <c r="MR34" s="6090"/>
      <c r="MS34" s="6090"/>
      <c r="MT34" s="6090"/>
      <c r="MU34" s="6090"/>
      <c r="MY34" s="6090"/>
      <c r="MZ34" s="6090"/>
      <c r="NA34" s="6090"/>
      <c r="NB34" s="6090"/>
      <c r="NC34" s="6090"/>
      <c r="ND34" s="6090"/>
      <c r="NE34" s="6090"/>
      <c r="NF34" s="6090"/>
      <c r="NG34" s="6090"/>
      <c r="NH34" s="6090"/>
      <c r="NI34" s="6090"/>
      <c r="NJ34" s="6090"/>
      <c r="NK34" s="6090"/>
      <c r="NL34" s="6090"/>
      <c r="NM34" s="6090"/>
      <c r="NN34" s="6090"/>
      <c r="NO34" s="6090"/>
      <c r="NP34" s="6090"/>
      <c r="NQ34" s="6090"/>
      <c r="NR34" s="6090"/>
      <c r="NS34" s="6090"/>
      <c r="NT34" s="6090"/>
      <c r="NU34" s="6090"/>
      <c r="NV34" s="6090"/>
      <c r="NW34" s="6090"/>
      <c r="NX34" s="6090"/>
      <c r="NY34" s="6090"/>
      <c r="NZ34" s="6090"/>
      <c r="OA34" s="6090"/>
      <c r="OB34" s="6090"/>
      <c r="OC34" s="6090"/>
      <c r="OD34" s="6090"/>
      <c r="OE34" s="6090"/>
      <c r="OF34" s="6090"/>
      <c r="OG34" s="6090"/>
      <c r="OH34" s="6090"/>
      <c r="OI34" s="6090"/>
      <c r="OJ34" s="6090"/>
      <c r="OK34" s="6090"/>
      <c r="OL34" s="6090"/>
      <c r="OM34" s="6090"/>
      <c r="ON34" s="6090"/>
    </row>
    <row r="35" spans="3:405" ht="5.0999999999999996" customHeight="1" x14ac:dyDescent="0.2"/>
    <row r="36" spans="3:405" ht="5.0999999999999996" customHeight="1" x14ac:dyDescent="0.2"/>
    <row r="37" spans="3:405" ht="8.1" customHeight="1" x14ac:dyDescent="0.2">
      <c r="C37" s="6090"/>
      <c r="D37" s="6090"/>
      <c r="E37" s="6090"/>
      <c r="F37" s="6090"/>
      <c r="G37" s="6090"/>
      <c r="H37" s="6090"/>
      <c r="I37" s="6090"/>
      <c r="J37" s="6090"/>
      <c r="K37" s="6090"/>
      <c r="L37" s="6090"/>
      <c r="M37" s="6090"/>
      <c r="N37" s="6090"/>
      <c r="O37" s="6090"/>
      <c r="P37" s="6090"/>
      <c r="Q37" s="6090"/>
      <c r="R37" s="6090"/>
      <c r="S37" s="6090"/>
      <c r="T37" s="6090"/>
      <c r="U37" s="6090"/>
      <c r="V37" s="6090"/>
      <c r="W37" s="6090"/>
      <c r="X37" s="6090"/>
      <c r="Y37" s="6090"/>
      <c r="Z37" s="6090"/>
      <c r="AA37" s="6090"/>
      <c r="AB37" s="6090"/>
      <c r="AC37" s="6090"/>
      <c r="AD37" s="6090"/>
      <c r="AE37" s="6090"/>
      <c r="AF37" s="6090"/>
      <c r="AG37" s="6090"/>
      <c r="AH37" s="6090"/>
      <c r="AI37" s="6090"/>
      <c r="AJ37" s="6090"/>
      <c r="AK37" s="6090"/>
      <c r="AL37" s="6090"/>
      <c r="AM37" s="6090"/>
      <c r="AN37" s="6090"/>
      <c r="AO37" s="6090"/>
      <c r="AP37" s="6090"/>
      <c r="AQ37" s="6090"/>
      <c r="AR37" s="6090"/>
      <c r="AV37" s="6090"/>
      <c r="AW37" s="6090"/>
      <c r="AX37" s="6090"/>
      <c r="AY37" s="6090"/>
      <c r="AZ37" s="6090"/>
      <c r="BA37" s="6090"/>
      <c r="BB37" s="6090"/>
      <c r="BC37" s="6090"/>
      <c r="BD37" s="6090"/>
      <c r="BE37" s="6090"/>
      <c r="BF37" s="6090"/>
      <c r="BG37" s="6090"/>
      <c r="BH37" s="6090"/>
      <c r="BI37" s="6090"/>
      <c r="BJ37" s="6090"/>
      <c r="BK37" s="6090"/>
      <c r="BL37" s="6090"/>
      <c r="BM37" s="6090"/>
      <c r="BN37" s="6090"/>
      <c r="BO37" s="6090"/>
      <c r="BP37" s="6090"/>
      <c r="BQ37" s="6090"/>
      <c r="BR37" s="6090"/>
      <c r="BS37" s="6090"/>
      <c r="BT37" s="6090"/>
      <c r="BU37" s="6090"/>
      <c r="BV37" s="6090"/>
      <c r="BW37" s="6090"/>
      <c r="BX37" s="6090"/>
      <c r="BY37" s="6090"/>
      <c r="BZ37" s="6090"/>
      <c r="CA37" s="6090"/>
      <c r="CB37" s="6090"/>
      <c r="CC37" s="6090"/>
      <c r="CD37" s="6090"/>
      <c r="CE37" s="6090"/>
      <c r="CF37" s="6090"/>
      <c r="CG37" s="6090"/>
      <c r="CH37" s="6090"/>
      <c r="CI37" s="6090"/>
      <c r="CJ37" s="6090"/>
      <c r="CK37" s="6090"/>
      <c r="CO37" s="6090"/>
      <c r="CP37" s="6090"/>
      <c r="CQ37" s="6090"/>
      <c r="CR37" s="6090"/>
      <c r="CS37" s="6090"/>
      <c r="CT37" s="6090"/>
      <c r="CU37" s="6090"/>
      <c r="CV37" s="6090"/>
      <c r="CW37" s="6090"/>
      <c r="CX37" s="6090"/>
      <c r="CY37" s="6090"/>
      <c r="CZ37" s="6090"/>
      <c r="DA37" s="6090"/>
      <c r="DB37" s="6090"/>
      <c r="DC37" s="6090"/>
      <c r="DD37" s="6090"/>
      <c r="DE37" s="6090"/>
      <c r="DF37" s="6090"/>
      <c r="DG37" s="6090"/>
      <c r="DH37" s="6090"/>
      <c r="DI37" s="6090"/>
      <c r="DJ37" s="6090"/>
      <c r="DK37" s="6090"/>
      <c r="DL37" s="6090"/>
      <c r="DM37" s="6090"/>
      <c r="DN37" s="6090"/>
      <c r="DO37" s="6090"/>
      <c r="DP37" s="6090"/>
      <c r="DQ37" s="6090"/>
      <c r="DR37" s="6090"/>
      <c r="DS37" s="6090"/>
      <c r="DT37" s="6090"/>
      <c r="DU37" s="6090"/>
      <c r="DV37" s="6090"/>
      <c r="DW37" s="6090"/>
      <c r="DX37" s="6090"/>
      <c r="DY37" s="6090"/>
      <c r="DZ37" s="6090"/>
      <c r="EA37" s="6090"/>
      <c r="EB37" s="6090"/>
      <c r="EC37" s="6090"/>
      <c r="ED37" s="6090"/>
      <c r="EH37" s="6090"/>
      <c r="EI37" s="6090"/>
      <c r="EJ37" s="6090"/>
      <c r="EK37" s="6090"/>
      <c r="EL37" s="6090"/>
      <c r="EM37" s="6090"/>
      <c r="EN37" s="6090"/>
      <c r="EO37" s="6090"/>
      <c r="EP37" s="6090"/>
      <c r="EQ37" s="6090"/>
      <c r="ER37" s="6090"/>
      <c r="ES37" s="6090"/>
      <c r="ET37" s="6090"/>
      <c r="EU37" s="6090"/>
      <c r="EV37" s="6090"/>
      <c r="EW37" s="6090"/>
      <c r="EX37" s="6090"/>
      <c r="EY37" s="6090"/>
      <c r="EZ37" s="6090"/>
      <c r="FA37" s="6090"/>
      <c r="FB37" s="6090"/>
      <c r="FC37" s="6090"/>
      <c r="FD37" s="6090"/>
      <c r="FE37" s="6090"/>
      <c r="FF37" s="6090"/>
      <c r="FG37" s="6090"/>
      <c r="FH37" s="6090"/>
      <c r="FI37" s="6090"/>
      <c r="FJ37" s="6090"/>
      <c r="FK37" s="6090"/>
      <c r="FL37" s="6090"/>
      <c r="FM37" s="6090"/>
      <c r="FN37" s="6090"/>
      <c r="FO37" s="6090"/>
      <c r="FP37" s="6090"/>
      <c r="FQ37" s="6090"/>
      <c r="FR37" s="6090"/>
      <c r="FS37" s="6090"/>
      <c r="FT37" s="6090"/>
      <c r="FU37" s="6090"/>
      <c r="FV37" s="6090"/>
      <c r="FW37" s="6090"/>
      <c r="GA37" s="6090"/>
      <c r="GB37" s="6090"/>
      <c r="GC37" s="6090"/>
      <c r="GD37" s="6090"/>
      <c r="GE37" s="6090"/>
      <c r="GF37" s="6090"/>
      <c r="GG37" s="6090"/>
      <c r="GH37" s="6090"/>
      <c r="GI37" s="6090"/>
      <c r="GJ37" s="6090"/>
      <c r="GK37" s="6090"/>
      <c r="GL37" s="6090"/>
      <c r="GM37" s="6090"/>
      <c r="GN37" s="6090"/>
      <c r="GO37" s="6090"/>
      <c r="GP37" s="6090"/>
      <c r="GQ37" s="6090"/>
      <c r="GR37" s="6090"/>
      <c r="GS37" s="6090"/>
      <c r="GT37" s="6090"/>
      <c r="GU37" s="6090"/>
      <c r="GV37" s="6090"/>
      <c r="GW37" s="6090"/>
      <c r="GX37" s="6090"/>
      <c r="GY37" s="6090"/>
      <c r="GZ37" s="6090"/>
      <c r="HA37" s="6090"/>
      <c r="HB37" s="6090"/>
      <c r="HC37" s="6090"/>
      <c r="HD37" s="6090"/>
      <c r="HE37" s="6090"/>
      <c r="HF37" s="6090"/>
      <c r="HG37" s="6090"/>
      <c r="HH37" s="6090"/>
      <c r="HI37" s="6090"/>
      <c r="HJ37" s="6090"/>
      <c r="HK37" s="6090"/>
      <c r="HL37" s="6090"/>
      <c r="HM37" s="6090"/>
      <c r="HN37" s="6090"/>
      <c r="HO37" s="6090"/>
      <c r="HP37" s="6090"/>
      <c r="HT37" s="6090"/>
      <c r="HU37" s="6090"/>
      <c r="HV37" s="6090"/>
      <c r="HW37" s="6090"/>
      <c r="HX37" s="6090"/>
      <c r="HY37" s="6090"/>
      <c r="HZ37" s="6090"/>
      <c r="IA37" s="6090"/>
      <c r="IB37" s="6090"/>
      <c r="IC37" s="6090"/>
      <c r="ID37" s="6090"/>
      <c r="IE37" s="6090"/>
      <c r="IF37" s="6090"/>
      <c r="IG37" s="6090"/>
      <c r="IH37" s="6090"/>
      <c r="II37" s="6090"/>
      <c r="IJ37" s="6090"/>
      <c r="IK37" s="6090"/>
      <c r="IL37" s="6090"/>
      <c r="IM37" s="6090"/>
      <c r="IN37" s="6090"/>
      <c r="IO37" s="6090"/>
      <c r="IP37" s="6090"/>
      <c r="IQ37" s="6090"/>
      <c r="IR37" s="6090"/>
      <c r="IS37" s="6090"/>
      <c r="IT37" s="6090"/>
      <c r="IU37" s="6090"/>
      <c r="IV37" s="6090"/>
      <c r="IW37" s="6090"/>
      <c r="IX37" s="6090"/>
      <c r="IY37" s="6090"/>
      <c r="IZ37" s="6090"/>
      <c r="JA37" s="6090"/>
      <c r="JB37" s="6090"/>
      <c r="JC37" s="6090"/>
      <c r="JD37" s="6090"/>
      <c r="JE37" s="6090"/>
      <c r="JF37" s="6090"/>
      <c r="JG37" s="6090"/>
      <c r="JH37" s="6090"/>
      <c r="JI37" s="6090"/>
      <c r="JM37" s="6090"/>
      <c r="JN37" s="6090"/>
      <c r="JO37" s="6090"/>
      <c r="JP37" s="6090"/>
      <c r="JQ37" s="6090"/>
      <c r="JR37" s="6090"/>
      <c r="JS37" s="6090"/>
      <c r="JT37" s="6090"/>
      <c r="JU37" s="6090"/>
      <c r="JV37" s="6090"/>
      <c r="JW37" s="6090"/>
      <c r="JX37" s="6090"/>
      <c r="JY37" s="6090"/>
      <c r="JZ37" s="6090"/>
      <c r="KA37" s="6090"/>
      <c r="KB37" s="6090"/>
      <c r="KC37" s="6090"/>
      <c r="KD37" s="6090"/>
      <c r="KE37" s="6090"/>
      <c r="KF37" s="6090"/>
      <c r="KG37" s="6090"/>
      <c r="KH37" s="6090"/>
      <c r="KI37" s="6090"/>
      <c r="KJ37" s="6090"/>
      <c r="KK37" s="6090"/>
      <c r="KL37" s="6090"/>
      <c r="KM37" s="6090"/>
      <c r="KN37" s="6090"/>
      <c r="KO37" s="6090"/>
      <c r="KP37" s="6090"/>
      <c r="KQ37" s="6090"/>
      <c r="KR37" s="6090"/>
      <c r="KS37" s="6090"/>
      <c r="KT37" s="6090"/>
      <c r="KU37" s="6090"/>
      <c r="KV37" s="6090"/>
      <c r="KW37" s="6090"/>
      <c r="KX37" s="6090"/>
      <c r="KY37" s="6090"/>
      <c r="KZ37" s="6090"/>
      <c r="LA37" s="6090"/>
      <c r="LB37" s="6090"/>
      <c r="LF37" s="6090"/>
      <c r="LG37" s="6090"/>
      <c r="LH37" s="6090"/>
      <c r="LI37" s="6090"/>
      <c r="LJ37" s="6090"/>
      <c r="LK37" s="6090"/>
      <c r="LL37" s="6090"/>
      <c r="LM37" s="6090"/>
      <c r="LN37" s="6090"/>
      <c r="LO37" s="6090"/>
      <c r="LP37" s="6090"/>
      <c r="LQ37" s="6090"/>
      <c r="LR37" s="6090"/>
      <c r="LS37" s="6090"/>
      <c r="LT37" s="6090"/>
      <c r="LU37" s="6090"/>
      <c r="LV37" s="6090"/>
      <c r="LW37" s="6090"/>
      <c r="LX37" s="6090"/>
      <c r="LY37" s="6090"/>
      <c r="LZ37" s="6090"/>
      <c r="MA37" s="6090"/>
      <c r="MB37" s="6090"/>
      <c r="MC37" s="6090"/>
      <c r="MD37" s="6090"/>
      <c r="ME37" s="6090"/>
      <c r="MF37" s="6090"/>
      <c r="MG37" s="6090"/>
      <c r="MH37" s="6090"/>
      <c r="MI37" s="6090"/>
      <c r="MJ37" s="6090"/>
      <c r="MK37" s="6090"/>
      <c r="ML37" s="6090"/>
      <c r="MM37" s="6090"/>
      <c r="MN37" s="6090"/>
      <c r="MO37" s="6090"/>
      <c r="MP37" s="6090"/>
      <c r="MQ37" s="6090"/>
      <c r="MR37" s="6090"/>
      <c r="MS37" s="6090"/>
      <c r="MT37" s="6090"/>
      <c r="MU37" s="6090"/>
      <c r="MY37" s="6090"/>
      <c r="MZ37" s="6090"/>
      <c r="NA37" s="6090"/>
      <c r="NB37" s="6090"/>
      <c r="NC37" s="6090"/>
      <c r="ND37" s="6090"/>
      <c r="NE37" s="6090"/>
      <c r="NF37" s="6090"/>
      <c r="NG37" s="6090"/>
      <c r="NH37" s="6090"/>
      <c r="NI37" s="6090"/>
      <c r="NJ37" s="6090"/>
      <c r="NK37" s="6090"/>
      <c r="NL37" s="6090"/>
      <c r="NM37" s="6090"/>
      <c r="NN37" s="6090"/>
      <c r="NO37" s="6090"/>
      <c r="NP37" s="6090"/>
      <c r="NQ37" s="6090"/>
      <c r="NR37" s="6090"/>
      <c r="NS37" s="6090"/>
      <c r="NT37" s="6090"/>
      <c r="NU37" s="6090"/>
      <c r="NV37" s="6090"/>
      <c r="NW37" s="6090"/>
      <c r="NX37" s="6090"/>
      <c r="NY37" s="6090"/>
      <c r="NZ37" s="6090"/>
      <c r="OA37" s="6090"/>
      <c r="OB37" s="6090"/>
      <c r="OC37" s="6090"/>
      <c r="OD37" s="6090"/>
      <c r="OE37" s="6090"/>
      <c r="OF37" s="6090"/>
      <c r="OG37" s="6090"/>
      <c r="OH37" s="6090"/>
      <c r="OI37" s="6090"/>
      <c r="OJ37" s="6090"/>
      <c r="OK37" s="6090"/>
      <c r="OL37" s="6090"/>
      <c r="OM37" s="6090"/>
      <c r="ON37" s="6090"/>
    </row>
    <row r="38" spans="3:405" ht="9.9499999999999993" customHeight="1" thickBot="1" x14ac:dyDescent="0.25"/>
    <row r="39" spans="3:405" ht="9.9499999999999993" customHeight="1" thickBot="1" x14ac:dyDescent="0.25">
      <c r="C39" s="6015"/>
      <c r="D39" s="6016"/>
      <c r="E39" s="6016"/>
      <c r="F39" s="6016"/>
      <c r="G39" s="6016"/>
      <c r="H39" s="6016"/>
      <c r="I39" s="6016"/>
      <c r="J39" s="6016"/>
      <c r="K39" s="6016"/>
      <c r="L39" s="6016"/>
      <c r="M39" s="6016"/>
      <c r="N39" s="6016"/>
      <c r="O39" s="6016"/>
      <c r="P39" s="6016"/>
      <c r="Q39" s="6016"/>
      <c r="R39" s="6016"/>
      <c r="S39" s="6016"/>
      <c r="T39" s="6016"/>
      <c r="U39" s="6016"/>
      <c r="V39" s="6016"/>
      <c r="W39" s="6016"/>
      <c r="X39" s="6016"/>
      <c r="Y39" s="6016"/>
      <c r="Z39" s="6016"/>
      <c r="AA39" s="6016"/>
      <c r="AB39" s="6016"/>
      <c r="AC39" s="6016"/>
      <c r="AD39" s="6016"/>
      <c r="AE39" s="6016"/>
      <c r="AF39" s="6016"/>
      <c r="AG39" s="6016"/>
      <c r="AH39" s="6016"/>
      <c r="AI39" s="6016"/>
      <c r="AJ39" s="6016"/>
      <c r="AK39" s="6016"/>
      <c r="AL39" s="6016"/>
      <c r="AM39" s="6016"/>
      <c r="AN39" s="6016"/>
      <c r="AO39" s="6016"/>
      <c r="AP39" s="6016"/>
      <c r="AQ39" s="6016"/>
      <c r="AR39" s="6017"/>
      <c r="AV39" s="6015"/>
      <c r="AW39" s="6016"/>
      <c r="AX39" s="6016"/>
      <c r="AY39" s="6016"/>
      <c r="AZ39" s="6016"/>
      <c r="BA39" s="6016"/>
      <c r="BB39" s="6016"/>
      <c r="BC39" s="6016"/>
      <c r="BD39" s="6016"/>
      <c r="BE39" s="6016"/>
      <c r="BF39" s="6016"/>
      <c r="BG39" s="6016"/>
      <c r="BH39" s="6016"/>
      <c r="BI39" s="6016"/>
      <c r="BJ39" s="6016"/>
      <c r="BK39" s="6016"/>
      <c r="BL39" s="6016"/>
      <c r="BM39" s="6016"/>
      <c r="BN39" s="6016"/>
      <c r="BO39" s="6016"/>
      <c r="BP39" s="6016"/>
      <c r="BQ39" s="6016"/>
      <c r="BR39" s="6016"/>
      <c r="BS39" s="6016"/>
      <c r="BT39" s="6016"/>
      <c r="BU39" s="6016"/>
      <c r="BV39" s="6016"/>
      <c r="BW39" s="6016"/>
      <c r="BX39" s="6016"/>
      <c r="BY39" s="6016"/>
      <c r="BZ39" s="6016"/>
      <c r="CA39" s="6016"/>
      <c r="CB39" s="6016"/>
      <c r="CC39" s="6016"/>
      <c r="CD39" s="6016"/>
      <c r="CE39" s="6016"/>
      <c r="CF39" s="6016"/>
      <c r="CG39" s="6016"/>
      <c r="CH39" s="6016"/>
      <c r="CI39" s="6016"/>
      <c r="CJ39" s="6016"/>
      <c r="CK39" s="6017"/>
      <c r="CO39" s="6015"/>
      <c r="CP39" s="6016"/>
      <c r="CQ39" s="6016"/>
      <c r="CR39" s="6016"/>
      <c r="CS39" s="6016"/>
      <c r="CT39" s="6016"/>
      <c r="CU39" s="6016"/>
      <c r="CV39" s="6016"/>
      <c r="CW39" s="6016"/>
      <c r="CX39" s="6016"/>
      <c r="CY39" s="6016"/>
      <c r="CZ39" s="6016"/>
      <c r="DA39" s="6016"/>
      <c r="DB39" s="6016"/>
      <c r="DC39" s="6016"/>
      <c r="DD39" s="6016"/>
      <c r="DE39" s="6016"/>
      <c r="DF39" s="6016"/>
      <c r="DG39" s="6016"/>
      <c r="DH39" s="6016"/>
      <c r="DI39" s="6016"/>
      <c r="DJ39" s="6016"/>
      <c r="DK39" s="6016"/>
      <c r="DL39" s="6016"/>
      <c r="DM39" s="6016"/>
      <c r="DN39" s="6016"/>
      <c r="DO39" s="6016"/>
      <c r="DP39" s="6016"/>
      <c r="DQ39" s="6016"/>
      <c r="DR39" s="6016"/>
      <c r="DS39" s="6016"/>
      <c r="DT39" s="6016"/>
      <c r="DU39" s="6016"/>
      <c r="DV39" s="6016"/>
      <c r="DW39" s="6016"/>
      <c r="DX39" s="6016"/>
      <c r="DY39" s="6016"/>
      <c r="DZ39" s="6016"/>
      <c r="EA39" s="6016"/>
      <c r="EB39" s="6016"/>
      <c r="EC39" s="6016"/>
      <c r="ED39" s="6017"/>
      <c r="EH39" s="6015"/>
      <c r="EI39" s="6016"/>
      <c r="EJ39" s="6016"/>
      <c r="EK39" s="6016"/>
      <c r="EL39" s="6016"/>
      <c r="EM39" s="6016"/>
      <c r="EN39" s="6016"/>
      <c r="EO39" s="6016"/>
      <c r="EP39" s="6016"/>
      <c r="EQ39" s="6016"/>
      <c r="ER39" s="6016"/>
      <c r="ES39" s="6016"/>
      <c r="ET39" s="6016"/>
      <c r="EU39" s="6016"/>
      <c r="EV39" s="6016"/>
      <c r="EW39" s="6016"/>
      <c r="EX39" s="6016"/>
      <c r="EY39" s="6016"/>
      <c r="EZ39" s="6016"/>
      <c r="FA39" s="6016"/>
      <c r="FB39" s="6016"/>
      <c r="FC39" s="6016"/>
      <c r="FD39" s="6016"/>
      <c r="FE39" s="6016"/>
      <c r="FF39" s="6016"/>
      <c r="FG39" s="6016"/>
      <c r="FH39" s="6016"/>
      <c r="FI39" s="6016"/>
      <c r="FJ39" s="6016"/>
      <c r="FK39" s="6016"/>
      <c r="FL39" s="6016"/>
      <c r="FM39" s="6016"/>
      <c r="FN39" s="6016"/>
      <c r="FO39" s="6016"/>
      <c r="FP39" s="6016"/>
      <c r="FQ39" s="6016"/>
      <c r="FR39" s="6016"/>
      <c r="FS39" s="6016"/>
      <c r="FT39" s="6016"/>
      <c r="FU39" s="6016"/>
      <c r="FV39" s="6016"/>
      <c r="FW39" s="6017"/>
      <c r="GA39" s="6015"/>
      <c r="GB39" s="6016"/>
      <c r="GC39" s="6016"/>
      <c r="GD39" s="6016"/>
      <c r="GE39" s="6016"/>
      <c r="GF39" s="6016"/>
      <c r="GG39" s="6016"/>
      <c r="GH39" s="6016"/>
      <c r="GI39" s="6016"/>
      <c r="GJ39" s="6016"/>
      <c r="GK39" s="6016"/>
      <c r="GL39" s="6016"/>
      <c r="GM39" s="6016"/>
      <c r="GN39" s="6016"/>
      <c r="GO39" s="6016"/>
      <c r="GP39" s="6016"/>
      <c r="GQ39" s="6016"/>
      <c r="GR39" s="6016"/>
      <c r="GS39" s="6016"/>
      <c r="GT39" s="6016"/>
      <c r="GU39" s="6016"/>
      <c r="GV39" s="6016"/>
      <c r="GW39" s="6016"/>
      <c r="GX39" s="6016"/>
      <c r="GY39" s="6016"/>
      <c r="GZ39" s="6016"/>
      <c r="HA39" s="6016"/>
      <c r="HB39" s="6016"/>
      <c r="HC39" s="6016"/>
      <c r="HD39" s="6016"/>
      <c r="HE39" s="6016"/>
      <c r="HF39" s="6016"/>
      <c r="HG39" s="6016"/>
      <c r="HH39" s="6016"/>
      <c r="HI39" s="6016"/>
      <c r="HJ39" s="6016"/>
      <c r="HK39" s="6016"/>
      <c r="HL39" s="6016"/>
      <c r="HM39" s="6016"/>
      <c r="HN39" s="6016"/>
      <c r="HO39" s="6016"/>
      <c r="HP39" s="6017"/>
      <c r="HT39" s="6015"/>
      <c r="HU39" s="6016"/>
      <c r="HV39" s="6016"/>
      <c r="HW39" s="6016"/>
      <c r="HX39" s="6016"/>
      <c r="HY39" s="6016"/>
      <c r="HZ39" s="6016"/>
      <c r="IA39" s="6016"/>
      <c r="IB39" s="6016"/>
      <c r="IC39" s="6016"/>
      <c r="ID39" s="6016"/>
      <c r="IE39" s="6016"/>
      <c r="IF39" s="6016"/>
      <c r="IG39" s="6016"/>
      <c r="IH39" s="6016"/>
      <c r="II39" s="6016"/>
      <c r="IJ39" s="6016"/>
      <c r="IK39" s="6016"/>
      <c r="IL39" s="6016"/>
      <c r="IM39" s="6016"/>
      <c r="IN39" s="6016"/>
      <c r="IO39" s="6016"/>
      <c r="IP39" s="6016"/>
      <c r="IQ39" s="6016"/>
      <c r="IR39" s="6016"/>
      <c r="IS39" s="6016"/>
      <c r="IT39" s="6016"/>
      <c r="IU39" s="6016"/>
      <c r="IV39" s="6016"/>
      <c r="IW39" s="6016"/>
      <c r="IX39" s="6016"/>
      <c r="IY39" s="6016"/>
      <c r="IZ39" s="6016"/>
      <c r="JA39" s="6016"/>
      <c r="JB39" s="6016"/>
      <c r="JC39" s="6016"/>
      <c r="JD39" s="6016"/>
      <c r="JE39" s="6016"/>
      <c r="JF39" s="6016"/>
      <c r="JG39" s="6016"/>
      <c r="JH39" s="6016"/>
      <c r="JI39" s="6017"/>
      <c r="JM39" s="6015"/>
      <c r="JN39" s="6016"/>
      <c r="JO39" s="6016"/>
      <c r="JP39" s="6016"/>
      <c r="JQ39" s="6016"/>
      <c r="JR39" s="6016"/>
      <c r="JS39" s="6016"/>
      <c r="JT39" s="6016"/>
      <c r="JU39" s="6016"/>
      <c r="JV39" s="6016"/>
      <c r="JW39" s="6016"/>
      <c r="JX39" s="6016"/>
      <c r="JY39" s="6016"/>
      <c r="JZ39" s="6016"/>
      <c r="KA39" s="6016"/>
      <c r="KB39" s="6016"/>
      <c r="KC39" s="6016"/>
      <c r="KD39" s="6016"/>
      <c r="KE39" s="6016"/>
      <c r="KF39" s="6016"/>
      <c r="KG39" s="6016"/>
      <c r="KH39" s="6016"/>
      <c r="KI39" s="6016"/>
      <c r="KJ39" s="6016"/>
      <c r="KK39" s="6016"/>
      <c r="KL39" s="6016"/>
      <c r="KM39" s="6016"/>
      <c r="KN39" s="6016"/>
      <c r="KO39" s="6016"/>
      <c r="KP39" s="6016"/>
      <c r="KQ39" s="6016"/>
      <c r="KR39" s="6016"/>
      <c r="KS39" s="6016"/>
      <c r="KT39" s="6016"/>
      <c r="KU39" s="6016"/>
      <c r="KV39" s="6016"/>
      <c r="KW39" s="6016"/>
      <c r="KX39" s="6016"/>
      <c r="KY39" s="6016"/>
      <c r="KZ39" s="6016"/>
      <c r="LA39" s="6016"/>
      <c r="LB39" s="6017"/>
      <c r="LC39" s="7"/>
      <c r="LF39" s="6015"/>
      <c r="LG39" s="6016"/>
      <c r="LH39" s="6016"/>
      <c r="LI39" s="6016"/>
      <c r="LJ39" s="6016"/>
      <c r="LK39" s="6016"/>
      <c r="LL39" s="6016"/>
      <c r="LM39" s="6016"/>
      <c r="LN39" s="6016"/>
      <c r="LO39" s="6016"/>
      <c r="LP39" s="6016"/>
      <c r="LQ39" s="6016"/>
      <c r="LR39" s="6016"/>
      <c r="LS39" s="6016"/>
      <c r="LT39" s="6016"/>
      <c r="LU39" s="6016"/>
      <c r="LV39" s="6016"/>
      <c r="LW39" s="6016"/>
      <c r="LX39" s="6016"/>
      <c r="LY39" s="6016"/>
      <c r="LZ39" s="6016"/>
      <c r="MA39" s="6016"/>
      <c r="MB39" s="6016"/>
      <c r="MC39" s="6016"/>
      <c r="MD39" s="6016"/>
      <c r="ME39" s="6016"/>
      <c r="MF39" s="6016"/>
      <c r="MG39" s="6016"/>
      <c r="MH39" s="6016"/>
      <c r="MI39" s="6016"/>
      <c r="MJ39" s="6016"/>
      <c r="MK39" s="6016"/>
      <c r="ML39" s="6016"/>
      <c r="MM39" s="6016"/>
      <c r="MN39" s="6016"/>
      <c r="MO39" s="6016"/>
      <c r="MP39" s="6016"/>
      <c r="MQ39" s="6016"/>
      <c r="MR39" s="6016"/>
      <c r="MS39" s="6016"/>
      <c r="MT39" s="6016"/>
      <c r="MU39" s="6017"/>
      <c r="MV39" s="7"/>
      <c r="MY39" s="6015"/>
      <c r="MZ39" s="6016"/>
      <c r="NA39" s="6016"/>
      <c r="NB39" s="6016"/>
      <c r="NC39" s="6016"/>
      <c r="ND39" s="6016"/>
      <c r="NE39" s="6016"/>
      <c r="NF39" s="6016"/>
      <c r="NG39" s="6016"/>
      <c r="NH39" s="6016"/>
      <c r="NI39" s="6016"/>
      <c r="NJ39" s="6016"/>
      <c r="NK39" s="6016"/>
      <c r="NL39" s="6016"/>
      <c r="NM39" s="6016"/>
      <c r="NN39" s="6016"/>
      <c r="NO39" s="6016"/>
      <c r="NP39" s="6016"/>
      <c r="NQ39" s="6016"/>
      <c r="NR39" s="6016"/>
      <c r="NS39" s="6016"/>
      <c r="NT39" s="6016"/>
      <c r="NU39" s="6016"/>
      <c r="NV39" s="6016"/>
      <c r="NW39" s="6016"/>
      <c r="NX39" s="6016"/>
      <c r="NY39" s="6016"/>
      <c r="NZ39" s="6016"/>
      <c r="OA39" s="6016"/>
      <c r="OB39" s="6016"/>
      <c r="OC39" s="6016"/>
      <c r="OD39" s="6016"/>
      <c r="OE39" s="6016"/>
      <c r="OF39" s="6016"/>
      <c r="OG39" s="6016"/>
      <c r="OH39" s="6016"/>
      <c r="OI39" s="6016"/>
      <c r="OJ39" s="6016"/>
      <c r="OK39" s="6016"/>
      <c r="OL39" s="6016"/>
      <c r="OM39" s="6016"/>
      <c r="ON39" s="6017"/>
      <c r="OO39" s="7"/>
    </row>
    <row r="40" spans="3:405" s="6027" customFormat="1" ht="15" customHeight="1" thickBot="1" x14ac:dyDescent="0.25">
      <c r="C40" s="6018"/>
      <c r="D40" s="6019"/>
      <c r="E40" s="6779" t="str">
        <f>_Calcs!$II$94</f>
        <v/>
      </c>
      <c r="F40" s="6779"/>
      <c r="G40" s="6779"/>
      <c r="H40" s="6779"/>
      <c r="I40" s="6779"/>
      <c r="J40" s="6779"/>
      <c r="K40" s="6779"/>
      <c r="L40" s="6779"/>
      <c r="M40" s="6779"/>
      <c r="N40" s="6779"/>
      <c r="O40" s="6779"/>
      <c r="P40" s="6779"/>
      <c r="Q40" s="6779"/>
      <c r="R40" s="6779"/>
      <c r="S40" s="6779"/>
      <c r="T40" s="6779"/>
      <c r="U40" s="6779"/>
      <c r="V40" s="6779"/>
      <c r="W40" s="6779"/>
      <c r="X40" s="6779"/>
      <c r="Y40" s="6779"/>
      <c r="Z40" s="6779"/>
      <c r="AA40" s="6779"/>
      <c r="AB40" s="6779"/>
      <c r="AC40" s="6779"/>
      <c r="AD40" s="6779"/>
      <c r="AE40" s="6779"/>
      <c r="AF40" s="6779"/>
      <c r="AG40" s="6779"/>
      <c r="AH40" s="6779"/>
      <c r="AI40" s="6779"/>
      <c r="AJ40" s="6020"/>
      <c r="AK40" s="6021"/>
      <c r="AL40" s="6022"/>
      <c r="AM40" s="6023" t="str">
        <f>_Calcs!$IK$123</f>
        <v>Side 2 av 9</v>
      </c>
      <c r="AN40" s="6024"/>
      <c r="AO40" s="6024"/>
      <c r="AP40" s="6024"/>
      <c r="AQ40" s="6025"/>
      <c r="AR40" s="6026"/>
      <c r="AV40" s="6018"/>
      <c r="AW40" s="6019"/>
      <c r="AX40" s="6779" t="str">
        <f>_Calcs!$II$94</f>
        <v/>
      </c>
      <c r="AY40" s="6779"/>
      <c r="AZ40" s="6779"/>
      <c r="BA40" s="6779"/>
      <c r="BB40" s="6779"/>
      <c r="BC40" s="6779"/>
      <c r="BD40" s="6779"/>
      <c r="BE40" s="6779"/>
      <c r="BF40" s="6779"/>
      <c r="BG40" s="6779"/>
      <c r="BH40" s="6779"/>
      <c r="BI40" s="6779"/>
      <c r="BJ40" s="6779"/>
      <c r="BK40" s="6779"/>
      <c r="BL40" s="6779"/>
      <c r="BM40" s="6779"/>
      <c r="BN40" s="6779"/>
      <c r="BO40" s="6779"/>
      <c r="BP40" s="6779"/>
      <c r="BQ40" s="6779"/>
      <c r="BR40" s="6779"/>
      <c r="BS40" s="6779"/>
      <c r="BT40" s="6779"/>
      <c r="BU40" s="6779"/>
      <c r="BV40" s="6779"/>
      <c r="BW40" s="6779"/>
      <c r="BX40" s="6779"/>
      <c r="BY40" s="6779"/>
      <c r="BZ40" s="6779"/>
      <c r="CA40" s="6779"/>
      <c r="CB40" s="6779"/>
      <c r="CC40" s="6020"/>
      <c r="CD40" s="6021"/>
      <c r="CE40" s="6022"/>
      <c r="CF40" s="6023" t="str">
        <f>_Calcs!$IL$123</f>
        <v>Side 2 av 9</v>
      </c>
      <c r="CG40" s="6024"/>
      <c r="CH40" s="6024"/>
      <c r="CI40" s="6024"/>
      <c r="CJ40" s="6025"/>
      <c r="CK40" s="6026"/>
      <c r="CO40" s="6018"/>
      <c r="CP40" s="6019"/>
      <c r="CQ40" s="6779" t="str">
        <f>_Calcs!$II$94</f>
        <v/>
      </c>
      <c r="CR40" s="6779"/>
      <c r="CS40" s="6779"/>
      <c r="CT40" s="6779"/>
      <c r="CU40" s="6779"/>
      <c r="CV40" s="6779"/>
      <c r="CW40" s="6779"/>
      <c r="CX40" s="6779"/>
      <c r="CY40" s="6779"/>
      <c r="CZ40" s="6779"/>
      <c r="DA40" s="6779"/>
      <c r="DB40" s="6779"/>
      <c r="DC40" s="6779"/>
      <c r="DD40" s="6779"/>
      <c r="DE40" s="6779"/>
      <c r="DF40" s="6779"/>
      <c r="DG40" s="6779"/>
      <c r="DH40" s="6779"/>
      <c r="DI40" s="6779"/>
      <c r="DJ40" s="6779"/>
      <c r="DK40" s="6779"/>
      <c r="DL40" s="6779"/>
      <c r="DM40" s="6779"/>
      <c r="DN40" s="6779"/>
      <c r="DO40" s="6779"/>
      <c r="DP40" s="6779"/>
      <c r="DQ40" s="6779"/>
      <c r="DR40" s="6779"/>
      <c r="DS40" s="6779"/>
      <c r="DT40" s="6779"/>
      <c r="DU40" s="6779"/>
      <c r="DV40" s="6020"/>
      <c r="DW40" s="6021"/>
      <c r="DX40" s="6022"/>
      <c r="DY40" s="6023" t="str">
        <f>_Calcs!$IM$123</f>
        <v>Side 2 av 9</v>
      </c>
      <c r="DZ40" s="6024"/>
      <c r="EA40" s="6024"/>
      <c r="EB40" s="6024"/>
      <c r="EC40" s="6025"/>
      <c r="ED40" s="6026"/>
      <c r="EH40" s="6018"/>
      <c r="EI40" s="6019"/>
      <c r="EJ40" s="6779" t="str">
        <f>_Calcs!$II$94</f>
        <v/>
      </c>
      <c r="EK40" s="6779"/>
      <c r="EL40" s="6779"/>
      <c r="EM40" s="6779"/>
      <c r="EN40" s="6779"/>
      <c r="EO40" s="6779"/>
      <c r="EP40" s="6779"/>
      <c r="EQ40" s="6779"/>
      <c r="ER40" s="6779"/>
      <c r="ES40" s="6779"/>
      <c r="ET40" s="6779"/>
      <c r="EU40" s="6779"/>
      <c r="EV40" s="6779"/>
      <c r="EW40" s="6779"/>
      <c r="EX40" s="6779"/>
      <c r="EY40" s="6779"/>
      <c r="EZ40" s="6779"/>
      <c r="FA40" s="6779"/>
      <c r="FB40" s="6779"/>
      <c r="FC40" s="6779"/>
      <c r="FD40" s="6779"/>
      <c r="FE40" s="6779"/>
      <c r="FF40" s="6779"/>
      <c r="FG40" s="6779"/>
      <c r="FH40" s="6779"/>
      <c r="FI40" s="6779"/>
      <c r="FJ40" s="6779"/>
      <c r="FK40" s="6779"/>
      <c r="FL40" s="6779"/>
      <c r="FM40" s="6779"/>
      <c r="FN40" s="6779"/>
      <c r="FO40" s="6020"/>
      <c r="FP40" s="6021"/>
      <c r="FQ40" s="6022"/>
      <c r="FR40" s="6023" t="str">
        <f>_Calcs!$IN$123</f>
        <v>Side 2 av 9</v>
      </c>
      <c r="FS40" s="6024"/>
      <c r="FT40" s="6024"/>
      <c r="FU40" s="6024"/>
      <c r="FV40" s="6025"/>
      <c r="FW40" s="6026"/>
      <c r="GA40" s="6018"/>
      <c r="GB40" s="6019"/>
      <c r="GC40" s="6779" t="str">
        <f>_Calcs!$II$94</f>
        <v/>
      </c>
      <c r="GD40" s="6779"/>
      <c r="GE40" s="6779"/>
      <c r="GF40" s="6779"/>
      <c r="GG40" s="6779"/>
      <c r="GH40" s="6779"/>
      <c r="GI40" s="6779"/>
      <c r="GJ40" s="6779"/>
      <c r="GK40" s="6779"/>
      <c r="GL40" s="6779"/>
      <c r="GM40" s="6779"/>
      <c r="GN40" s="6779"/>
      <c r="GO40" s="6779"/>
      <c r="GP40" s="6779"/>
      <c r="GQ40" s="6779"/>
      <c r="GR40" s="6779"/>
      <c r="GS40" s="6779"/>
      <c r="GT40" s="6779"/>
      <c r="GU40" s="6779"/>
      <c r="GV40" s="6779"/>
      <c r="GW40" s="6779"/>
      <c r="GX40" s="6779"/>
      <c r="GY40" s="6779"/>
      <c r="GZ40" s="6779"/>
      <c r="HA40" s="6779"/>
      <c r="HB40" s="6779"/>
      <c r="HC40" s="6779"/>
      <c r="HD40" s="6779"/>
      <c r="HE40" s="6779"/>
      <c r="HF40" s="6779"/>
      <c r="HG40" s="6779"/>
      <c r="HH40" s="6020"/>
      <c r="HI40" s="6021"/>
      <c r="HJ40" s="6022"/>
      <c r="HK40" s="6023" t="str">
        <f>_Calcs!$IO$123</f>
        <v>Side 2 av 9</v>
      </c>
      <c r="HL40" s="6024"/>
      <c r="HM40" s="6024"/>
      <c r="HN40" s="6024"/>
      <c r="HO40" s="6025"/>
      <c r="HP40" s="6026"/>
      <c r="HT40" s="6018"/>
      <c r="HU40" s="6019"/>
      <c r="HV40" s="6779" t="str">
        <f>_Calcs!$II$94</f>
        <v/>
      </c>
      <c r="HW40" s="6779"/>
      <c r="HX40" s="6779"/>
      <c r="HY40" s="6779"/>
      <c r="HZ40" s="6779"/>
      <c r="IA40" s="6779"/>
      <c r="IB40" s="6779"/>
      <c r="IC40" s="6779"/>
      <c r="ID40" s="6779"/>
      <c r="IE40" s="6779"/>
      <c r="IF40" s="6779"/>
      <c r="IG40" s="6779"/>
      <c r="IH40" s="6779"/>
      <c r="II40" s="6779"/>
      <c r="IJ40" s="6779"/>
      <c r="IK40" s="6779"/>
      <c r="IL40" s="6779"/>
      <c r="IM40" s="6779"/>
      <c r="IN40" s="6779"/>
      <c r="IO40" s="6779"/>
      <c r="IP40" s="6779"/>
      <c r="IQ40" s="6779"/>
      <c r="IR40" s="6779"/>
      <c r="IS40" s="6779"/>
      <c r="IT40" s="6779"/>
      <c r="IU40" s="6779"/>
      <c r="IV40" s="6779"/>
      <c r="IW40" s="6779"/>
      <c r="IX40" s="6779"/>
      <c r="IY40" s="6779"/>
      <c r="IZ40" s="6779"/>
      <c r="JA40" s="6020"/>
      <c r="JB40" s="6021"/>
      <c r="JC40" s="6022"/>
      <c r="JD40" s="6023" t="str">
        <f>_Calcs!$IP$123</f>
        <v>Side 2 av 9</v>
      </c>
      <c r="JE40" s="6024"/>
      <c r="JF40" s="6024"/>
      <c r="JG40" s="6024"/>
      <c r="JH40" s="6025"/>
      <c r="JI40" s="6026"/>
      <c r="JM40" s="6018"/>
      <c r="JN40" s="6019"/>
      <c r="JO40" s="6779" t="str">
        <f>_Calcs!$II$94</f>
        <v/>
      </c>
      <c r="JP40" s="6779"/>
      <c r="JQ40" s="6779"/>
      <c r="JR40" s="6779"/>
      <c r="JS40" s="6779"/>
      <c r="JT40" s="6779"/>
      <c r="JU40" s="6779"/>
      <c r="JV40" s="6779"/>
      <c r="JW40" s="6779"/>
      <c r="JX40" s="6779"/>
      <c r="JY40" s="6779"/>
      <c r="JZ40" s="6779"/>
      <c r="KA40" s="6779"/>
      <c r="KB40" s="6779"/>
      <c r="KC40" s="6779"/>
      <c r="KD40" s="6779"/>
      <c r="KE40" s="6779"/>
      <c r="KF40" s="6779"/>
      <c r="KG40" s="6779"/>
      <c r="KH40" s="6779"/>
      <c r="KI40" s="6779"/>
      <c r="KJ40" s="6779"/>
      <c r="KK40" s="6779"/>
      <c r="KL40" s="6779"/>
      <c r="KM40" s="6779"/>
      <c r="KN40" s="6779"/>
      <c r="KO40" s="6779"/>
      <c r="KP40" s="6779"/>
      <c r="KQ40" s="6779"/>
      <c r="KR40" s="6779"/>
      <c r="KS40" s="6779"/>
      <c r="KT40" s="6020"/>
      <c r="KU40" s="6021"/>
      <c r="KV40" s="6022"/>
      <c r="KW40" s="6023" t="str">
        <f>_Calcs!$IQ$123</f>
        <v>Side 2 av 9</v>
      </c>
      <c r="KX40" s="6024"/>
      <c r="KY40" s="6024"/>
      <c r="KZ40" s="6024"/>
      <c r="LA40" s="6025"/>
      <c r="LB40" s="6026"/>
      <c r="LC40" s="7"/>
      <c r="LF40" s="6018"/>
      <c r="LG40" s="6019"/>
      <c r="LH40" s="6779" t="str">
        <f>_Calcs!$II$94</f>
        <v/>
      </c>
      <c r="LI40" s="6779"/>
      <c r="LJ40" s="6779"/>
      <c r="LK40" s="6779"/>
      <c r="LL40" s="6779"/>
      <c r="LM40" s="6779"/>
      <c r="LN40" s="6779"/>
      <c r="LO40" s="6779"/>
      <c r="LP40" s="6779"/>
      <c r="LQ40" s="6779"/>
      <c r="LR40" s="6779"/>
      <c r="LS40" s="6779"/>
      <c r="LT40" s="6779"/>
      <c r="LU40" s="6779"/>
      <c r="LV40" s="6779"/>
      <c r="LW40" s="6779"/>
      <c r="LX40" s="6779"/>
      <c r="LY40" s="6779"/>
      <c r="LZ40" s="6779"/>
      <c r="MA40" s="6779"/>
      <c r="MB40" s="6779"/>
      <c r="MC40" s="6779"/>
      <c r="MD40" s="6779"/>
      <c r="ME40" s="6779"/>
      <c r="MF40" s="6779"/>
      <c r="MG40" s="6779"/>
      <c r="MH40" s="6779"/>
      <c r="MI40" s="6779"/>
      <c r="MJ40" s="6779"/>
      <c r="MK40" s="6779"/>
      <c r="ML40" s="6779"/>
      <c r="MM40" s="6020"/>
      <c r="MN40" s="6021"/>
      <c r="MO40" s="6022"/>
      <c r="MP40" s="6023" t="str">
        <f>_Calcs!$IR$123</f>
        <v>Side 2 av 9</v>
      </c>
      <c r="MQ40" s="6024"/>
      <c r="MR40" s="6024"/>
      <c r="MS40" s="6024"/>
      <c r="MT40" s="6025"/>
      <c r="MU40" s="6026"/>
      <c r="MV40" s="7"/>
      <c r="MY40" s="6018"/>
      <c r="MZ40" s="6019"/>
      <c r="NA40" s="6779" t="str">
        <f>_Calcs!$II$94</f>
        <v/>
      </c>
      <c r="NB40" s="6779"/>
      <c r="NC40" s="6779"/>
      <c r="ND40" s="6779"/>
      <c r="NE40" s="6779"/>
      <c r="NF40" s="6779"/>
      <c r="NG40" s="6779"/>
      <c r="NH40" s="6779"/>
      <c r="NI40" s="6779"/>
      <c r="NJ40" s="6779"/>
      <c r="NK40" s="6779"/>
      <c r="NL40" s="6779"/>
      <c r="NM40" s="6779"/>
      <c r="NN40" s="6779"/>
      <c r="NO40" s="6779"/>
      <c r="NP40" s="6779"/>
      <c r="NQ40" s="6779"/>
      <c r="NR40" s="6779"/>
      <c r="NS40" s="6779"/>
      <c r="NT40" s="6779"/>
      <c r="NU40" s="6779"/>
      <c r="NV40" s="6779"/>
      <c r="NW40" s="6779"/>
      <c r="NX40" s="6779"/>
      <c r="NY40" s="6779"/>
      <c r="NZ40" s="6779"/>
      <c r="OA40" s="6779"/>
      <c r="OB40" s="6779"/>
      <c r="OC40" s="6779"/>
      <c r="OD40" s="6779"/>
      <c r="OE40" s="6779"/>
      <c r="OF40" s="6020"/>
      <c r="OG40" s="6021"/>
      <c r="OH40" s="6022"/>
      <c r="OI40" s="6023" t="str">
        <f>_Calcs!$IS$123</f>
        <v>Side 2 av 9</v>
      </c>
      <c r="OJ40" s="6024"/>
      <c r="OK40" s="6024"/>
      <c r="OL40" s="6024"/>
      <c r="OM40" s="6025"/>
      <c r="ON40" s="6026"/>
      <c r="OO40" s="7"/>
    </row>
    <row r="41" spans="3:405" ht="5.0999999999999996" customHeight="1" thickBot="1" x14ac:dyDescent="0.25">
      <c r="C41" s="6028"/>
      <c r="D41" s="979"/>
      <c r="E41" s="3489"/>
      <c r="F41" s="3489"/>
      <c r="G41" s="3489"/>
      <c r="H41" s="3489"/>
      <c r="I41" s="3489"/>
      <c r="J41" s="3489"/>
      <c r="K41" s="3489"/>
      <c r="L41" s="3489"/>
      <c r="M41" s="3489"/>
      <c r="N41" s="3489"/>
      <c r="O41" s="3489"/>
      <c r="P41" s="3489"/>
      <c r="Q41" s="3489"/>
      <c r="R41" s="3489"/>
      <c r="S41" s="3489"/>
      <c r="T41" s="3489"/>
      <c r="U41" s="3489"/>
      <c r="V41" s="3489"/>
      <c r="W41" s="3489"/>
      <c r="X41" s="3489"/>
      <c r="Y41" s="3489"/>
      <c r="Z41" s="3489"/>
      <c r="AA41" s="3489"/>
      <c r="AB41" s="3489"/>
      <c r="AC41" s="3489"/>
      <c r="AD41" s="3489"/>
      <c r="AE41" s="3489"/>
      <c r="AF41" s="3489"/>
      <c r="AG41" s="3489"/>
      <c r="AH41" s="3489"/>
      <c r="AI41" s="3489"/>
      <c r="AJ41" s="979"/>
      <c r="AK41" s="979"/>
      <c r="AL41" s="979"/>
      <c r="AM41" s="979"/>
      <c r="AN41" s="979"/>
      <c r="AO41" s="979"/>
      <c r="AP41" s="979"/>
      <c r="AQ41" s="979"/>
      <c r="AR41" s="6029"/>
      <c r="AV41" s="6028"/>
      <c r="AW41" s="979"/>
      <c r="AX41" s="3489"/>
      <c r="AY41" s="3489"/>
      <c r="AZ41" s="3489"/>
      <c r="BA41" s="3489"/>
      <c r="BB41" s="3489"/>
      <c r="BC41" s="3489"/>
      <c r="BD41" s="3489"/>
      <c r="BE41" s="3489"/>
      <c r="BF41" s="3489"/>
      <c r="BG41" s="3489"/>
      <c r="BH41" s="3489"/>
      <c r="BI41" s="3489"/>
      <c r="BJ41" s="3489"/>
      <c r="BK41" s="3489"/>
      <c r="BL41" s="3489"/>
      <c r="BM41" s="3489"/>
      <c r="BN41" s="3489"/>
      <c r="BO41" s="3489"/>
      <c r="BP41" s="3489"/>
      <c r="BQ41" s="3489"/>
      <c r="BR41" s="3489"/>
      <c r="BS41" s="3489"/>
      <c r="BT41" s="3489"/>
      <c r="BU41" s="3489"/>
      <c r="BV41" s="3489"/>
      <c r="BW41" s="3489"/>
      <c r="BX41" s="3489"/>
      <c r="BY41" s="3489"/>
      <c r="BZ41" s="3489"/>
      <c r="CA41" s="3489"/>
      <c r="CB41" s="3489"/>
      <c r="CC41" s="979"/>
      <c r="CD41" s="979"/>
      <c r="CE41" s="979"/>
      <c r="CF41" s="979"/>
      <c r="CG41" s="979"/>
      <c r="CH41" s="979"/>
      <c r="CI41" s="979"/>
      <c r="CJ41" s="979"/>
      <c r="CK41" s="6029"/>
      <c r="CO41" s="6028"/>
      <c r="CP41" s="979"/>
      <c r="CQ41" s="3489"/>
      <c r="CR41" s="3489"/>
      <c r="CS41" s="3489"/>
      <c r="CT41" s="3489"/>
      <c r="CU41" s="3489"/>
      <c r="CV41" s="3489"/>
      <c r="CW41" s="3489"/>
      <c r="CX41" s="3489"/>
      <c r="CY41" s="3489"/>
      <c r="CZ41" s="3489"/>
      <c r="DA41" s="3489"/>
      <c r="DB41" s="3489"/>
      <c r="DC41" s="3489"/>
      <c r="DD41" s="3489"/>
      <c r="DE41" s="3489"/>
      <c r="DF41" s="3489"/>
      <c r="DG41" s="3489"/>
      <c r="DH41" s="3489"/>
      <c r="DI41" s="3489"/>
      <c r="DJ41" s="3489"/>
      <c r="DK41" s="3489"/>
      <c r="DL41" s="3489"/>
      <c r="DM41" s="3489"/>
      <c r="DN41" s="3489"/>
      <c r="DO41" s="3489"/>
      <c r="DP41" s="3489"/>
      <c r="DQ41" s="3489"/>
      <c r="DR41" s="3489"/>
      <c r="DS41" s="3489"/>
      <c r="DT41" s="3489"/>
      <c r="DU41" s="3489"/>
      <c r="DV41" s="979"/>
      <c r="DW41" s="979"/>
      <c r="DX41" s="979"/>
      <c r="DY41" s="979"/>
      <c r="DZ41" s="979"/>
      <c r="EA41" s="979"/>
      <c r="EB41" s="979"/>
      <c r="EC41" s="979"/>
      <c r="ED41" s="6029"/>
      <c r="EH41" s="6028"/>
      <c r="EI41" s="979"/>
      <c r="EJ41" s="3489"/>
      <c r="EK41" s="3489"/>
      <c r="EL41" s="3489"/>
      <c r="EM41" s="3489"/>
      <c r="EN41" s="3489"/>
      <c r="EO41" s="3489"/>
      <c r="EP41" s="3489"/>
      <c r="EQ41" s="3489"/>
      <c r="ER41" s="3489"/>
      <c r="ES41" s="3489"/>
      <c r="ET41" s="3489"/>
      <c r="EU41" s="3489"/>
      <c r="EV41" s="3489"/>
      <c r="EW41" s="3489"/>
      <c r="EX41" s="3489"/>
      <c r="EY41" s="3489"/>
      <c r="EZ41" s="3489"/>
      <c r="FA41" s="3489"/>
      <c r="FB41" s="3489"/>
      <c r="FC41" s="3489"/>
      <c r="FD41" s="3489"/>
      <c r="FE41" s="3489"/>
      <c r="FF41" s="3489"/>
      <c r="FG41" s="3489"/>
      <c r="FH41" s="3489"/>
      <c r="FI41" s="3489"/>
      <c r="FJ41" s="3489"/>
      <c r="FK41" s="3489"/>
      <c r="FL41" s="3489"/>
      <c r="FM41" s="3489"/>
      <c r="FN41" s="3489"/>
      <c r="FO41" s="979"/>
      <c r="FP41" s="979"/>
      <c r="FQ41" s="979"/>
      <c r="FR41" s="979"/>
      <c r="FS41" s="979"/>
      <c r="FT41" s="979"/>
      <c r="FU41" s="979"/>
      <c r="FV41" s="979"/>
      <c r="FW41" s="6029"/>
      <c r="GA41" s="6028"/>
      <c r="GB41" s="979"/>
      <c r="GC41" s="3489"/>
      <c r="GD41" s="3489"/>
      <c r="GE41" s="3489"/>
      <c r="GF41" s="3489"/>
      <c r="GG41" s="3489"/>
      <c r="GH41" s="3489"/>
      <c r="GI41" s="3489"/>
      <c r="GJ41" s="3489"/>
      <c r="GK41" s="3489"/>
      <c r="GL41" s="3489"/>
      <c r="GM41" s="3489"/>
      <c r="GN41" s="3489"/>
      <c r="GO41" s="3489"/>
      <c r="GP41" s="3489"/>
      <c r="GQ41" s="3489"/>
      <c r="GR41" s="3489"/>
      <c r="GS41" s="3489"/>
      <c r="GT41" s="3489"/>
      <c r="GU41" s="3489"/>
      <c r="GV41" s="3489"/>
      <c r="GW41" s="3489"/>
      <c r="GX41" s="3489"/>
      <c r="GY41" s="3489"/>
      <c r="GZ41" s="3489"/>
      <c r="HA41" s="3489"/>
      <c r="HB41" s="3489"/>
      <c r="HC41" s="3489"/>
      <c r="HD41" s="3489"/>
      <c r="HE41" s="3489"/>
      <c r="HF41" s="3489"/>
      <c r="HG41" s="3489"/>
      <c r="HH41" s="979"/>
      <c r="HI41" s="979"/>
      <c r="HJ41" s="979"/>
      <c r="HK41" s="979"/>
      <c r="HL41" s="979"/>
      <c r="HM41" s="979"/>
      <c r="HN41" s="979"/>
      <c r="HO41" s="979"/>
      <c r="HP41" s="6029"/>
      <c r="HT41" s="6028"/>
      <c r="HU41" s="979"/>
      <c r="HV41" s="3489"/>
      <c r="HW41" s="3489"/>
      <c r="HX41" s="3489"/>
      <c r="HY41" s="3489"/>
      <c r="HZ41" s="3489"/>
      <c r="IA41" s="3489"/>
      <c r="IB41" s="3489"/>
      <c r="IC41" s="3489"/>
      <c r="ID41" s="3489"/>
      <c r="IE41" s="3489"/>
      <c r="IF41" s="3489"/>
      <c r="IG41" s="3489"/>
      <c r="IH41" s="3489"/>
      <c r="II41" s="3489"/>
      <c r="IJ41" s="3489"/>
      <c r="IK41" s="3489"/>
      <c r="IL41" s="3489"/>
      <c r="IM41" s="3489"/>
      <c r="IN41" s="3489"/>
      <c r="IO41" s="3489"/>
      <c r="IP41" s="3489"/>
      <c r="IQ41" s="3489"/>
      <c r="IR41" s="3489"/>
      <c r="IS41" s="3489"/>
      <c r="IT41" s="3489"/>
      <c r="IU41" s="3489"/>
      <c r="IV41" s="3489"/>
      <c r="IW41" s="3489"/>
      <c r="IX41" s="3489"/>
      <c r="IY41" s="3489"/>
      <c r="IZ41" s="3489"/>
      <c r="JA41" s="979"/>
      <c r="JB41" s="979"/>
      <c r="JC41" s="979"/>
      <c r="JD41" s="979"/>
      <c r="JE41" s="979"/>
      <c r="JF41" s="979"/>
      <c r="JG41" s="979"/>
      <c r="JH41" s="979"/>
      <c r="JI41" s="6029"/>
      <c r="JM41" s="6028"/>
      <c r="JN41" s="979"/>
      <c r="JO41" s="3489"/>
      <c r="JP41" s="3489"/>
      <c r="JQ41" s="3489"/>
      <c r="JR41" s="3489"/>
      <c r="JS41" s="3489"/>
      <c r="JT41" s="3489"/>
      <c r="JU41" s="3489"/>
      <c r="JV41" s="3489"/>
      <c r="JW41" s="3489"/>
      <c r="JX41" s="3489"/>
      <c r="JY41" s="3489"/>
      <c r="JZ41" s="3489"/>
      <c r="KA41" s="3489"/>
      <c r="KB41" s="3489"/>
      <c r="KC41" s="3489"/>
      <c r="KD41" s="3489"/>
      <c r="KE41" s="3489"/>
      <c r="KF41" s="3489"/>
      <c r="KG41" s="3489"/>
      <c r="KH41" s="3489"/>
      <c r="KI41" s="3489"/>
      <c r="KJ41" s="3489"/>
      <c r="KK41" s="3489"/>
      <c r="KL41" s="3489"/>
      <c r="KM41" s="3489"/>
      <c r="KN41" s="3489"/>
      <c r="KO41" s="3489"/>
      <c r="KP41" s="3489"/>
      <c r="KQ41" s="3489"/>
      <c r="KR41" s="3489"/>
      <c r="KS41" s="3489"/>
      <c r="KT41" s="979"/>
      <c r="KU41" s="979"/>
      <c r="KV41" s="979"/>
      <c r="KW41" s="979"/>
      <c r="KX41" s="979"/>
      <c r="KY41" s="979"/>
      <c r="KZ41" s="979"/>
      <c r="LA41" s="979"/>
      <c r="LB41" s="6029"/>
      <c r="LC41" s="7"/>
      <c r="LF41" s="6028"/>
      <c r="LG41" s="979"/>
      <c r="LH41" s="3489"/>
      <c r="LI41" s="3489"/>
      <c r="LJ41" s="3489"/>
      <c r="LK41" s="3489"/>
      <c r="LL41" s="3489"/>
      <c r="LM41" s="3489"/>
      <c r="LN41" s="3489"/>
      <c r="LO41" s="3489"/>
      <c r="LP41" s="3489"/>
      <c r="LQ41" s="3489"/>
      <c r="LR41" s="3489"/>
      <c r="LS41" s="3489"/>
      <c r="LT41" s="3489"/>
      <c r="LU41" s="3489"/>
      <c r="LV41" s="3489"/>
      <c r="LW41" s="3489"/>
      <c r="LX41" s="3489"/>
      <c r="LY41" s="3489"/>
      <c r="LZ41" s="3489"/>
      <c r="MA41" s="3489"/>
      <c r="MB41" s="3489"/>
      <c r="MC41" s="3489"/>
      <c r="MD41" s="3489"/>
      <c r="ME41" s="3489"/>
      <c r="MF41" s="3489"/>
      <c r="MG41" s="3489"/>
      <c r="MH41" s="3489"/>
      <c r="MI41" s="3489"/>
      <c r="MJ41" s="3489"/>
      <c r="MK41" s="3489"/>
      <c r="ML41" s="3489"/>
      <c r="MM41" s="979"/>
      <c r="MN41" s="979"/>
      <c r="MO41" s="979"/>
      <c r="MP41" s="979"/>
      <c r="MQ41" s="979"/>
      <c r="MR41" s="979"/>
      <c r="MS41" s="979"/>
      <c r="MT41" s="979"/>
      <c r="MU41" s="6029"/>
      <c r="MV41" s="7"/>
      <c r="MY41" s="6028"/>
      <c r="MZ41" s="979"/>
      <c r="NA41" s="3489"/>
      <c r="NB41" s="3489"/>
      <c r="NC41" s="3489"/>
      <c r="ND41" s="3489"/>
      <c r="NE41" s="3489"/>
      <c r="NF41" s="3489"/>
      <c r="NG41" s="3489"/>
      <c r="NH41" s="3489"/>
      <c r="NI41" s="3489"/>
      <c r="NJ41" s="3489"/>
      <c r="NK41" s="3489"/>
      <c r="NL41" s="3489"/>
      <c r="NM41" s="3489"/>
      <c r="NN41" s="3489"/>
      <c r="NO41" s="3489"/>
      <c r="NP41" s="3489"/>
      <c r="NQ41" s="3489"/>
      <c r="NR41" s="3489"/>
      <c r="NS41" s="3489"/>
      <c r="NT41" s="3489"/>
      <c r="NU41" s="3489"/>
      <c r="NV41" s="3489"/>
      <c r="NW41" s="3489"/>
      <c r="NX41" s="3489"/>
      <c r="NY41" s="3489"/>
      <c r="NZ41" s="3489"/>
      <c r="OA41" s="3489"/>
      <c r="OB41" s="3489"/>
      <c r="OC41" s="3489"/>
      <c r="OD41" s="3489"/>
      <c r="OE41" s="3489"/>
      <c r="OF41" s="979"/>
      <c r="OG41" s="979"/>
      <c r="OH41" s="979"/>
      <c r="OI41" s="979"/>
      <c r="OJ41" s="979"/>
      <c r="OK41" s="979"/>
      <c r="OL41" s="979"/>
      <c r="OM41" s="979"/>
      <c r="ON41" s="6029"/>
      <c r="OO41" s="7"/>
    </row>
    <row r="42" spans="3:405" s="6031" customFormat="1" ht="15" customHeight="1" thickBot="1" x14ac:dyDescent="0.25">
      <c r="C42" s="6018"/>
      <c r="D42" s="6019"/>
      <c r="E42" s="6778" t="str">
        <f>_Calcs!$T$19</f>
        <v/>
      </c>
      <c r="F42" s="6778"/>
      <c r="G42" s="6778"/>
      <c r="H42" s="6778"/>
      <c r="I42" s="6778"/>
      <c r="J42" s="6778"/>
      <c r="K42" s="6778"/>
      <c r="L42" s="6778"/>
      <c r="M42" s="6778"/>
      <c r="N42" s="6778"/>
      <c r="O42" s="6778"/>
      <c r="P42" s="6778"/>
      <c r="Q42" s="6778"/>
      <c r="R42" s="6778"/>
      <c r="S42" s="6778"/>
      <c r="T42" s="6778"/>
      <c r="U42" s="6778"/>
      <c r="V42" s="6778"/>
      <c r="W42" s="6778"/>
      <c r="X42" s="6778"/>
      <c r="Y42" s="6778"/>
      <c r="Z42" s="6778"/>
      <c r="AA42" s="6778"/>
      <c r="AB42" s="6778"/>
      <c r="AC42" s="6778"/>
      <c r="AD42" s="6778"/>
      <c r="AE42" s="6778"/>
      <c r="AF42" s="6778"/>
      <c r="AG42" s="6778"/>
      <c r="AH42" s="6778"/>
      <c r="AI42" s="6778"/>
      <c r="AJ42" s="6778"/>
      <c r="AK42" s="6778"/>
      <c r="AL42" s="6778"/>
      <c r="AM42" s="6778"/>
      <c r="AN42" s="6778"/>
      <c r="AO42" s="6778"/>
      <c r="AP42" s="6778"/>
      <c r="AQ42" s="6030"/>
      <c r="AR42" s="6026"/>
      <c r="AV42" s="6018"/>
      <c r="AW42" s="6019"/>
      <c r="AX42" s="6778" t="str">
        <f>_Calcs!$T$19</f>
        <v/>
      </c>
      <c r="AY42" s="6778"/>
      <c r="AZ42" s="6778"/>
      <c r="BA42" s="6778"/>
      <c r="BB42" s="6778"/>
      <c r="BC42" s="6778"/>
      <c r="BD42" s="6778"/>
      <c r="BE42" s="6778"/>
      <c r="BF42" s="6778"/>
      <c r="BG42" s="6778"/>
      <c r="BH42" s="6778"/>
      <c r="BI42" s="6778"/>
      <c r="BJ42" s="6778"/>
      <c r="BK42" s="6778"/>
      <c r="BL42" s="6778"/>
      <c r="BM42" s="6778"/>
      <c r="BN42" s="6778"/>
      <c r="BO42" s="6778"/>
      <c r="BP42" s="6778"/>
      <c r="BQ42" s="6778"/>
      <c r="BR42" s="6778"/>
      <c r="BS42" s="6778"/>
      <c r="BT42" s="6778"/>
      <c r="BU42" s="6778"/>
      <c r="BV42" s="6778"/>
      <c r="BW42" s="6778"/>
      <c r="BX42" s="6778"/>
      <c r="BY42" s="6778"/>
      <c r="BZ42" s="6778"/>
      <c r="CA42" s="6778"/>
      <c r="CB42" s="6778"/>
      <c r="CC42" s="6778"/>
      <c r="CD42" s="6778"/>
      <c r="CE42" s="6778"/>
      <c r="CF42" s="6778"/>
      <c r="CG42" s="6778"/>
      <c r="CH42" s="6778"/>
      <c r="CI42" s="6778"/>
      <c r="CJ42" s="6030"/>
      <c r="CK42" s="6026"/>
      <c r="CO42" s="6018"/>
      <c r="CP42" s="6019"/>
      <c r="CQ42" s="6778" t="str">
        <f>_Calcs!$T$19</f>
        <v/>
      </c>
      <c r="CR42" s="6778"/>
      <c r="CS42" s="6778"/>
      <c r="CT42" s="6778"/>
      <c r="CU42" s="6778"/>
      <c r="CV42" s="6778"/>
      <c r="CW42" s="6778"/>
      <c r="CX42" s="6778"/>
      <c r="CY42" s="6778"/>
      <c r="CZ42" s="6778"/>
      <c r="DA42" s="6778"/>
      <c r="DB42" s="6778"/>
      <c r="DC42" s="6778"/>
      <c r="DD42" s="6778"/>
      <c r="DE42" s="6778"/>
      <c r="DF42" s="6778"/>
      <c r="DG42" s="6778"/>
      <c r="DH42" s="6778"/>
      <c r="DI42" s="6778"/>
      <c r="DJ42" s="6778"/>
      <c r="DK42" s="6778"/>
      <c r="DL42" s="6778"/>
      <c r="DM42" s="6778"/>
      <c r="DN42" s="6778"/>
      <c r="DO42" s="6778"/>
      <c r="DP42" s="6778"/>
      <c r="DQ42" s="6778"/>
      <c r="DR42" s="6778"/>
      <c r="DS42" s="6778"/>
      <c r="DT42" s="6778"/>
      <c r="DU42" s="6778"/>
      <c r="DV42" s="6778"/>
      <c r="DW42" s="6778"/>
      <c r="DX42" s="6778"/>
      <c r="DY42" s="6778"/>
      <c r="DZ42" s="6778"/>
      <c r="EA42" s="6778"/>
      <c r="EB42" s="6778"/>
      <c r="EC42" s="6030"/>
      <c r="ED42" s="6026"/>
      <c r="EH42" s="6018"/>
      <c r="EI42" s="6019"/>
      <c r="EJ42" s="6778" t="str">
        <f>_Calcs!$T$19</f>
        <v/>
      </c>
      <c r="EK42" s="6778"/>
      <c r="EL42" s="6778"/>
      <c r="EM42" s="6778"/>
      <c r="EN42" s="6778"/>
      <c r="EO42" s="6778"/>
      <c r="EP42" s="6778"/>
      <c r="EQ42" s="6778"/>
      <c r="ER42" s="6778"/>
      <c r="ES42" s="6778"/>
      <c r="ET42" s="6778"/>
      <c r="EU42" s="6778"/>
      <c r="EV42" s="6778"/>
      <c r="EW42" s="6778"/>
      <c r="EX42" s="6778"/>
      <c r="EY42" s="6778"/>
      <c r="EZ42" s="6778"/>
      <c r="FA42" s="6778"/>
      <c r="FB42" s="6778"/>
      <c r="FC42" s="6778"/>
      <c r="FD42" s="6778"/>
      <c r="FE42" s="6778"/>
      <c r="FF42" s="6778"/>
      <c r="FG42" s="6778"/>
      <c r="FH42" s="6778"/>
      <c r="FI42" s="6778"/>
      <c r="FJ42" s="6778"/>
      <c r="FK42" s="6778"/>
      <c r="FL42" s="6778"/>
      <c r="FM42" s="6778"/>
      <c r="FN42" s="6778"/>
      <c r="FO42" s="6778"/>
      <c r="FP42" s="6778"/>
      <c r="FQ42" s="6778"/>
      <c r="FR42" s="6778"/>
      <c r="FS42" s="6778"/>
      <c r="FT42" s="6778"/>
      <c r="FU42" s="6778"/>
      <c r="FV42" s="6030"/>
      <c r="FW42" s="6026"/>
      <c r="GA42" s="6018"/>
      <c r="GB42" s="6019"/>
      <c r="GC42" s="6778" t="str">
        <f>_Calcs!$T$19</f>
        <v/>
      </c>
      <c r="GD42" s="6778"/>
      <c r="GE42" s="6778"/>
      <c r="GF42" s="6778"/>
      <c r="GG42" s="6778"/>
      <c r="GH42" s="6778"/>
      <c r="GI42" s="6778"/>
      <c r="GJ42" s="6778"/>
      <c r="GK42" s="6778"/>
      <c r="GL42" s="6778"/>
      <c r="GM42" s="6778"/>
      <c r="GN42" s="6778"/>
      <c r="GO42" s="6778"/>
      <c r="GP42" s="6778"/>
      <c r="GQ42" s="6778"/>
      <c r="GR42" s="6778"/>
      <c r="GS42" s="6778"/>
      <c r="GT42" s="6778"/>
      <c r="GU42" s="6778"/>
      <c r="GV42" s="6778"/>
      <c r="GW42" s="6778"/>
      <c r="GX42" s="6778"/>
      <c r="GY42" s="6778"/>
      <c r="GZ42" s="6778"/>
      <c r="HA42" s="6778"/>
      <c r="HB42" s="6778"/>
      <c r="HC42" s="6778"/>
      <c r="HD42" s="6778"/>
      <c r="HE42" s="6778"/>
      <c r="HF42" s="6778"/>
      <c r="HG42" s="6778"/>
      <c r="HH42" s="6778"/>
      <c r="HI42" s="6778"/>
      <c r="HJ42" s="6778"/>
      <c r="HK42" s="6778"/>
      <c r="HL42" s="6778"/>
      <c r="HM42" s="6778"/>
      <c r="HN42" s="6778"/>
      <c r="HO42" s="6030"/>
      <c r="HP42" s="6026"/>
      <c r="HT42" s="6018"/>
      <c r="HU42" s="6019"/>
      <c r="HV42" s="6778" t="str">
        <f>_Calcs!$T$19</f>
        <v/>
      </c>
      <c r="HW42" s="6778"/>
      <c r="HX42" s="6778"/>
      <c r="HY42" s="6778"/>
      <c r="HZ42" s="6778"/>
      <c r="IA42" s="6778"/>
      <c r="IB42" s="6778"/>
      <c r="IC42" s="6778"/>
      <c r="ID42" s="6778"/>
      <c r="IE42" s="6778"/>
      <c r="IF42" s="6778"/>
      <c r="IG42" s="6778"/>
      <c r="IH42" s="6778"/>
      <c r="II42" s="6778"/>
      <c r="IJ42" s="6778"/>
      <c r="IK42" s="6778"/>
      <c r="IL42" s="6778"/>
      <c r="IM42" s="6778"/>
      <c r="IN42" s="6778"/>
      <c r="IO42" s="6778"/>
      <c r="IP42" s="6778"/>
      <c r="IQ42" s="6778"/>
      <c r="IR42" s="6778"/>
      <c r="IS42" s="6778"/>
      <c r="IT42" s="6778"/>
      <c r="IU42" s="6778"/>
      <c r="IV42" s="6778"/>
      <c r="IW42" s="6778"/>
      <c r="IX42" s="6778"/>
      <c r="IY42" s="6778"/>
      <c r="IZ42" s="6778"/>
      <c r="JA42" s="6778"/>
      <c r="JB42" s="6778"/>
      <c r="JC42" s="6778"/>
      <c r="JD42" s="6778"/>
      <c r="JE42" s="6778"/>
      <c r="JF42" s="6778"/>
      <c r="JG42" s="6778"/>
      <c r="JH42" s="6030"/>
      <c r="JI42" s="6026"/>
      <c r="JM42" s="6018"/>
      <c r="JN42" s="6019"/>
      <c r="JO42" s="6778" t="str">
        <f>_Calcs!$T$19</f>
        <v/>
      </c>
      <c r="JP42" s="6778"/>
      <c r="JQ42" s="6778"/>
      <c r="JR42" s="6778"/>
      <c r="JS42" s="6778"/>
      <c r="JT42" s="6778"/>
      <c r="JU42" s="6778"/>
      <c r="JV42" s="6778"/>
      <c r="JW42" s="6778"/>
      <c r="JX42" s="6778"/>
      <c r="JY42" s="6778"/>
      <c r="JZ42" s="6778"/>
      <c r="KA42" s="6778"/>
      <c r="KB42" s="6778"/>
      <c r="KC42" s="6778"/>
      <c r="KD42" s="6778"/>
      <c r="KE42" s="6778"/>
      <c r="KF42" s="6778"/>
      <c r="KG42" s="6778"/>
      <c r="KH42" s="6778"/>
      <c r="KI42" s="6778"/>
      <c r="KJ42" s="6778"/>
      <c r="KK42" s="6778"/>
      <c r="KL42" s="6778"/>
      <c r="KM42" s="6778"/>
      <c r="KN42" s="6778"/>
      <c r="KO42" s="6778"/>
      <c r="KP42" s="6778"/>
      <c r="KQ42" s="6778"/>
      <c r="KR42" s="6778"/>
      <c r="KS42" s="6778"/>
      <c r="KT42" s="6778"/>
      <c r="KU42" s="6778"/>
      <c r="KV42" s="6778"/>
      <c r="KW42" s="6778"/>
      <c r="KX42" s="6778"/>
      <c r="KY42" s="6778"/>
      <c r="KZ42" s="6778"/>
      <c r="LA42" s="6030"/>
      <c r="LB42" s="6026"/>
      <c r="LC42" s="7"/>
      <c r="LF42" s="6018"/>
      <c r="LG42" s="6019"/>
      <c r="LH42" s="6778" t="str">
        <f>_Calcs!$T$19</f>
        <v/>
      </c>
      <c r="LI42" s="6778"/>
      <c r="LJ42" s="6778"/>
      <c r="LK42" s="6778"/>
      <c r="LL42" s="6778"/>
      <c r="LM42" s="6778"/>
      <c r="LN42" s="6778"/>
      <c r="LO42" s="6778"/>
      <c r="LP42" s="6778"/>
      <c r="LQ42" s="6778"/>
      <c r="LR42" s="6778"/>
      <c r="LS42" s="6778"/>
      <c r="LT42" s="6778"/>
      <c r="LU42" s="6778"/>
      <c r="LV42" s="6778"/>
      <c r="LW42" s="6778"/>
      <c r="LX42" s="6778"/>
      <c r="LY42" s="6778"/>
      <c r="LZ42" s="6778"/>
      <c r="MA42" s="6778"/>
      <c r="MB42" s="6778"/>
      <c r="MC42" s="6778"/>
      <c r="MD42" s="6778"/>
      <c r="ME42" s="6778"/>
      <c r="MF42" s="6778"/>
      <c r="MG42" s="6778"/>
      <c r="MH42" s="6778"/>
      <c r="MI42" s="6778"/>
      <c r="MJ42" s="6778"/>
      <c r="MK42" s="6778"/>
      <c r="ML42" s="6778"/>
      <c r="MM42" s="6778"/>
      <c r="MN42" s="6778"/>
      <c r="MO42" s="6778"/>
      <c r="MP42" s="6778"/>
      <c r="MQ42" s="6778"/>
      <c r="MR42" s="6778"/>
      <c r="MS42" s="6778"/>
      <c r="MT42" s="6030"/>
      <c r="MU42" s="6026"/>
      <c r="MV42" s="7"/>
      <c r="MY42" s="6018"/>
      <c r="MZ42" s="6019"/>
      <c r="NA42" s="6778" t="str">
        <f>_Calcs!$T$19</f>
        <v/>
      </c>
      <c r="NB42" s="6778"/>
      <c r="NC42" s="6778"/>
      <c r="ND42" s="6778"/>
      <c r="NE42" s="6778"/>
      <c r="NF42" s="6778"/>
      <c r="NG42" s="6778"/>
      <c r="NH42" s="6778"/>
      <c r="NI42" s="6778"/>
      <c r="NJ42" s="6778"/>
      <c r="NK42" s="6778"/>
      <c r="NL42" s="6778"/>
      <c r="NM42" s="6778"/>
      <c r="NN42" s="6778"/>
      <c r="NO42" s="6778"/>
      <c r="NP42" s="6778"/>
      <c r="NQ42" s="6778"/>
      <c r="NR42" s="6778"/>
      <c r="NS42" s="6778"/>
      <c r="NT42" s="6778"/>
      <c r="NU42" s="6778"/>
      <c r="NV42" s="6778"/>
      <c r="NW42" s="6778"/>
      <c r="NX42" s="6778"/>
      <c r="NY42" s="6778"/>
      <c r="NZ42" s="6778"/>
      <c r="OA42" s="6778"/>
      <c r="OB42" s="6778"/>
      <c r="OC42" s="6778"/>
      <c r="OD42" s="6778"/>
      <c r="OE42" s="6778"/>
      <c r="OF42" s="6778"/>
      <c r="OG42" s="6778"/>
      <c r="OH42" s="6778"/>
      <c r="OI42" s="6778"/>
      <c r="OJ42" s="6778"/>
      <c r="OK42" s="6778"/>
      <c r="OL42" s="6778"/>
      <c r="OM42" s="6030"/>
      <c r="ON42" s="6026"/>
      <c r="OO42" s="7"/>
    </row>
    <row r="43" spans="3:405" s="1466" customFormat="1" ht="9.9499999999999993" customHeight="1" thickBot="1" x14ac:dyDescent="0.25">
      <c r="C43" s="6028"/>
      <c r="E43" s="6032"/>
      <c r="F43" s="6032"/>
      <c r="G43" s="6032"/>
      <c r="H43" s="6032"/>
      <c r="I43" s="6032"/>
      <c r="J43" s="6032"/>
      <c r="K43" s="6032"/>
      <c r="L43" s="6032"/>
      <c r="M43" s="6032"/>
      <c r="N43" s="6032"/>
      <c r="O43" s="6032"/>
      <c r="P43" s="6032"/>
      <c r="Q43" s="6032"/>
      <c r="R43" s="6032"/>
      <c r="S43" s="6032"/>
      <c r="T43" s="6032"/>
      <c r="U43" s="6032"/>
      <c r="V43" s="6032"/>
      <c r="W43" s="6032"/>
      <c r="X43" s="6032"/>
      <c r="Y43" s="6032"/>
      <c r="Z43" s="6032"/>
      <c r="AA43" s="6032"/>
      <c r="AB43" s="6032"/>
      <c r="AC43" s="3489"/>
      <c r="AD43" s="3489"/>
      <c r="AE43" s="6033"/>
      <c r="AF43" s="6033"/>
      <c r="AG43" s="6033"/>
      <c r="AH43" s="6033"/>
      <c r="AI43" s="6033"/>
      <c r="AJ43" s="6033"/>
      <c r="AK43" s="6033"/>
      <c r="AL43" s="6033"/>
      <c r="AM43" s="6033"/>
      <c r="AN43" s="6033"/>
      <c r="AO43" s="6033"/>
      <c r="AP43" s="6033"/>
      <c r="AQ43" s="3489"/>
      <c r="AR43" s="6029"/>
      <c r="AV43" s="6028"/>
      <c r="AX43" s="6032"/>
      <c r="AY43" s="6032"/>
      <c r="AZ43" s="6032"/>
      <c r="BA43" s="6032"/>
      <c r="BB43" s="6032"/>
      <c r="BC43" s="6032"/>
      <c r="BD43" s="6032"/>
      <c r="BE43" s="6032"/>
      <c r="BF43" s="6032"/>
      <c r="BG43" s="6032"/>
      <c r="BH43" s="6032"/>
      <c r="BI43" s="6032"/>
      <c r="BJ43" s="6032"/>
      <c r="BK43" s="6032"/>
      <c r="BL43" s="6032"/>
      <c r="BM43" s="6032"/>
      <c r="BN43" s="6032"/>
      <c r="BO43" s="6032"/>
      <c r="BP43" s="6032"/>
      <c r="BQ43" s="6032"/>
      <c r="BR43" s="6032"/>
      <c r="BS43" s="6032"/>
      <c r="BT43" s="6032"/>
      <c r="BU43" s="6032"/>
      <c r="BV43" s="3489"/>
      <c r="BW43" s="3489"/>
      <c r="BX43" s="6033"/>
      <c r="BY43" s="6033"/>
      <c r="BZ43" s="6033"/>
      <c r="CA43" s="6033"/>
      <c r="CB43" s="6033"/>
      <c r="CC43" s="6033"/>
      <c r="CD43" s="6033"/>
      <c r="CE43" s="6033"/>
      <c r="CF43" s="6033"/>
      <c r="CG43" s="6033"/>
      <c r="CH43" s="6033"/>
      <c r="CI43" s="6033"/>
      <c r="CJ43" s="3489"/>
      <c r="CK43" s="6029"/>
      <c r="CO43" s="6028"/>
      <c r="CQ43" s="6032"/>
      <c r="CR43" s="6032"/>
      <c r="CS43" s="6032"/>
      <c r="CT43" s="6032"/>
      <c r="CU43" s="6032"/>
      <c r="CV43" s="6032"/>
      <c r="CW43" s="6032"/>
      <c r="CX43" s="6032"/>
      <c r="CY43" s="6032"/>
      <c r="CZ43" s="6032"/>
      <c r="DA43" s="6032"/>
      <c r="DB43" s="6032"/>
      <c r="DC43" s="6032"/>
      <c r="DD43" s="6032"/>
      <c r="DE43" s="6032"/>
      <c r="DF43" s="6032"/>
      <c r="DG43" s="6032"/>
      <c r="DH43" s="6032"/>
      <c r="DI43" s="6032"/>
      <c r="DJ43" s="6032"/>
      <c r="DK43" s="6032"/>
      <c r="DL43" s="6032"/>
      <c r="DM43" s="6032"/>
      <c r="DN43" s="6032"/>
      <c r="DO43" s="3489"/>
      <c r="DP43" s="3489"/>
      <c r="DQ43" s="6033"/>
      <c r="DR43" s="6033"/>
      <c r="DS43" s="6033"/>
      <c r="DT43" s="6033"/>
      <c r="DU43" s="6033"/>
      <c r="DV43" s="6033"/>
      <c r="DW43" s="6033"/>
      <c r="DX43" s="6033"/>
      <c r="DY43" s="6033"/>
      <c r="DZ43" s="6033"/>
      <c r="EA43" s="6033"/>
      <c r="EB43" s="6033"/>
      <c r="EC43" s="3489"/>
      <c r="ED43" s="6029"/>
      <c r="EH43" s="6028"/>
      <c r="EJ43" s="6032"/>
      <c r="EK43" s="6032"/>
      <c r="EL43" s="6032"/>
      <c r="EM43" s="6032"/>
      <c r="EN43" s="6032"/>
      <c r="EO43" s="6032"/>
      <c r="EP43" s="6032"/>
      <c r="EQ43" s="6032"/>
      <c r="ER43" s="6032"/>
      <c r="ES43" s="6032"/>
      <c r="ET43" s="6032"/>
      <c r="EU43" s="6032"/>
      <c r="EV43" s="6032"/>
      <c r="EW43" s="6032"/>
      <c r="EX43" s="6032"/>
      <c r="EY43" s="6032"/>
      <c r="EZ43" s="6032"/>
      <c r="FA43" s="6032"/>
      <c r="FB43" s="6032"/>
      <c r="FC43" s="6032"/>
      <c r="FD43" s="6032"/>
      <c r="FE43" s="6032"/>
      <c r="FF43" s="6032"/>
      <c r="FG43" s="6032"/>
      <c r="FH43" s="3489"/>
      <c r="FI43" s="3489"/>
      <c r="FJ43" s="6033"/>
      <c r="FK43" s="6033"/>
      <c r="FL43" s="6033"/>
      <c r="FM43" s="6033"/>
      <c r="FN43" s="6033"/>
      <c r="FO43" s="6033"/>
      <c r="FP43" s="6033"/>
      <c r="FQ43" s="6033"/>
      <c r="FR43" s="6033"/>
      <c r="FS43" s="6033"/>
      <c r="FT43" s="6033"/>
      <c r="FU43" s="6033"/>
      <c r="FV43" s="3489"/>
      <c r="FW43" s="6029"/>
      <c r="GA43" s="6028"/>
      <c r="GC43" s="6032"/>
      <c r="GD43" s="6032"/>
      <c r="GE43" s="6032"/>
      <c r="GF43" s="6032"/>
      <c r="GG43" s="6032"/>
      <c r="GH43" s="6032"/>
      <c r="GI43" s="6032"/>
      <c r="GJ43" s="6032"/>
      <c r="GK43" s="6032"/>
      <c r="GL43" s="6032"/>
      <c r="GM43" s="6032"/>
      <c r="GN43" s="6032"/>
      <c r="GO43" s="6032"/>
      <c r="GP43" s="6032"/>
      <c r="GQ43" s="6032"/>
      <c r="GR43" s="6032"/>
      <c r="GS43" s="6032"/>
      <c r="GT43" s="6032"/>
      <c r="GU43" s="6032"/>
      <c r="GV43" s="6032"/>
      <c r="GW43" s="6032"/>
      <c r="GX43" s="6032"/>
      <c r="GY43" s="6032"/>
      <c r="GZ43" s="6032"/>
      <c r="HA43" s="3489"/>
      <c r="HB43" s="3489"/>
      <c r="HC43" s="6033"/>
      <c r="HD43" s="6033"/>
      <c r="HE43" s="6033"/>
      <c r="HF43" s="6033"/>
      <c r="HG43" s="6033"/>
      <c r="HH43" s="6033"/>
      <c r="HI43" s="6033"/>
      <c r="HJ43" s="6033"/>
      <c r="HK43" s="6033"/>
      <c r="HL43" s="6033"/>
      <c r="HM43" s="6033"/>
      <c r="HN43" s="6033"/>
      <c r="HO43" s="3489"/>
      <c r="HP43" s="6029"/>
      <c r="HT43" s="6028"/>
      <c r="HV43" s="6032"/>
      <c r="HW43" s="6032"/>
      <c r="HX43" s="6032"/>
      <c r="HY43" s="6032"/>
      <c r="HZ43" s="6032"/>
      <c r="IA43" s="6032"/>
      <c r="IB43" s="6032"/>
      <c r="IC43" s="6032"/>
      <c r="ID43" s="6032"/>
      <c r="IE43" s="6032"/>
      <c r="IF43" s="6032"/>
      <c r="IG43" s="6032"/>
      <c r="IH43" s="6032"/>
      <c r="II43" s="6032"/>
      <c r="IJ43" s="6032"/>
      <c r="IK43" s="6032"/>
      <c r="IL43" s="6032"/>
      <c r="IM43" s="6032"/>
      <c r="IN43" s="6032"/>
      <c r="IO43" s="6032"/>
      <c r="IP43" s="6032"/>
      <c r="IQ43" s="6032"/>
      <c r="IR43" s="6032"/>
      <c r="IS43" s="6032"/>
      <c r="IT43" s="3489"/>
      <c r="IU43" s="3489"/>
      <c r="IV43" s="6033"/>
      <c r="IW43" s="6033"/>
      <c r="IX43" s="6033"/>
      <c r="IY43" s="6033"/>
      <c r="IZ43" s="6033"/>
      <c r="JA43" s="6033"/>
      <c r="JB43" s="6033"/>
      <c r="JC43" s="6033"/>
      <c r="JD43" s="6033"/>
      <c r="JE43" s="6033"/>
      <c r="JF43" s="6033"/>
      <c r="JG43" s="6033"/>
      <c r="JH43" s="3489"/>
      <c r="JI43" s="6029"/>
      <c r="JM43" s="6028"/>
      <c r="JO43" s="6032"/>
      <c r="JP43" s="6032"/>
      <c r="JQ43" s="6032"/>
      <c r="JR43" s="6032"/>
      <c r="JS43" s="6032"/>
      <c r="JT43" s="6032"/>
      <c r="JU43" s="6032"/>
      <c r="JV43" s="6032"/>
      <c r="JW43" s="6032"/>
      <c r="JX43" s="6032"/>
      <c r="JY43" s="6032"/>
      <c r="JZ43" s="6032"/>
      <c r="KA43" s="6032"/>
      <c r="KB43" s="6032"/>
      <c r="KC43" s="6032"/>
      <c r="KD43" s="6032"/>
      <c r="KE43" s="6032"/>
      <c r="KF43" s="6032"/>
      <c r="KG43" s="6032"/>
      <c r="KH43" s="6032"/>
      <c r="KI43" s="6032"/>
      <c r="KJ43" s="6032"/>
      <c r="KK43" s="6032"/>
      <c r="KL43" s="6032"/>
      <c r="KM43" s="3489"/>
      <c r="KN43" s="3489"/>
      <c r="KO43" s="6033"/>
      <c r="KP43" s="6033"/>
      <c r="KQ43" s="6033"/>
      <c r="KR43" s="6033"/>
      <c r="KS43" s="6033"/>
      <c r="KT43" s="6033"/>
      <c r="KU43" s="6033"/>
      <c r="KV43" s="6033"/>
      <c r="KW43" s="6033"/>
      <c r="KX43" s="6033"/>
      <c r="KY43" s="6033"/>
      <c r="KZ43" s="6033"/>
      <c r="LA43" s="3489"/>
      <c r="LB43" s="6029"/>
      <c r="LC43" s="130"/>
      <c r="LF43" s="6028"/>
      <c r="LH43" s="6032"/>
      <c r="LI43" s="6032"/>
      <c r="LJ43" s="6032"/>
      <c r="LK43" s="6032"/>
      <c r="LL43" s="6032"/>
      <c r="LM43" s="6032"/>
      <c r="LN43" s="6032"/>
      <c r="LO43" s="6032"/>
      <c r="LP43" s="6032"/>
      <c r="LQ43" s="6032"/>
      <c r="LR43" s="6032"/>
      <c r="LS43" s="6032"/>
      <c r="LT43" s="6032"/>
      <c r="LU43" s="6032"/>
      <c r="LV43" s="6032"/>
      <c r="LW43" s="6032"/>
      <c r="LX43" s="6032"/>
      <c r="LY43" s="6032"/>
      <c r="LZ43" s="6032"/>
      <c r="MA43" s="6032"/>
      <c r="MB43" s="6032"/>
      <c r="MC43" s="6032"/>
      <c r="MD43" s="6032"/>
      <c r="ME43" s="6032"/>
      <c r="MF43" s="3489"/>
      <c r="MG43" s="3489"/>
      <c r="MH43" s="6033"/>
      <c r="MI43" s="6033"/>
      <c r="MJ43" s="6033"/>
      <c r="MK43" s="6033"/>
      <c r="ML43" s="6033"/>
      <c r="MM43" s="6033"/>
      <c r="MN43" s="6033"/>
      <c r="MO43" s="6033"/>
      <c r="MP43" s="6033"/>
      <c r="MQ43" s="6033"/>
      <c r="MR43" s="6033"/>
      <c r="MS43" s="6033"/>
      <c r="MT43" s="3489"/>
      <c r="MU43" s="6029"/>
      <c r="MV43" s="130"/>
      <c r="MY43" s="6028"/>
      <c r="NA43" s="6032"/>
      <c r="NB43" s="6032"/>
      <c r="NC43" s="6032"/>
      <c r="ND43" s="6032"/>
      <c r="NE43" s="6032"/>
      <c r="NF43" s="6032"/>
      <c r="NG43" s="6032"/>
      <c r="NH43" s="6032"/>
      <c r="NI43" s="6032"/>
      <c r="NJ43" s="6032"/>
      <c r="NK43" s="6032"/>
      <c r="NL43" s="6032"/>
      <c r="NM43" s="6032"/>
      <c r="NN43" s="6032"/>
      <c r="NO43" s="6032"/>
      <c r="NP43" s="6032"/>
      <c r="NQ43" s="6032"/>
      <c r="NR43" s="6032"/>
      <c r="NS43" s="6032"/>
      <c r="NT43" s="6032"/>
      <c r="NU43" s="6032"/>
      <c r="NV43" s="6032"/>
      <c r="NW43" s="6032"/>
      <c r="NX43" s="6032"/>
      <c r="NY43" s="3489"/>
      <c r="NZ43" s="3489"/>
      <c r="OA43" s="6033"/>
      <c r="OB43" s="6033"/>
      <c r="OC43" s="6033"/>
      <c r="OD43" s="6033"/>
      <c r="OE43" s="6033"/>
      <c r="OF43" s="6033"/>
      <c r="OG43" s="6033"/>
      <c r="OH43" s="6033"/>
      <c r="OI43" s="6033"/>
      <c r="OJ43" s="6033"/>
      <c r="OK43" s="6033"/>
      <c r="OL43" s="6033"/>
      <c r="OM43" s="3489"/>
      <c r="ON43" s="6029"/>
      <c r="OO43" s="130"/>
    </row>
    <row r="44" spans="3:405" s="1466" customFormat="1" ht="6" customHeight="1" x14ac:dyDescent="0.2">
      <c r="C44" s="6028"/>
      <c r="D44" s="6785" t="str">
        <f>_Calcs!$II$96</f>
        <v>Begrunnelser for tidsjusteringer</v>
      </c>
      <c r="E44" s="6785"/>
      <c r="F44" s="6785"/>
      <c r="G44" s="6785"/>
      <c r="H44" s="6785"/>
      <c r="I44" s="6785"/>
      <c r="J44" s="6785"/>
      <c r="K44" s="6785"/>
      <c r="L44" s="6785"/>
      <c r="M44" s="6785"/>
      <c r="N44" s="6785"/>
      <c r="O44" s="6785"/>
      <c r="P44" s="6785"/>
      <c r="Q44" s="6785"/>
      <c r="R44" s="6785"/>
      <c r="S44" s="6785"/>
      <c r="T44" s="6785"/>
      <c r="U44" s="6785"/>
      <c r="V44" s="6785"/>
      <c r="W44" s="6785"/>
      <c r="X44" s="6785"/>
      <c r="Y44" s="6785"/>
      <c r="Z44" s="6785"/>
      <c r="AA44" s="6785"/>
      <c r="AB44" s="6785"/>
      <c r="AC44" s="6785"/>
      <c r="AD44" s="3489"/>
      <c r="AE44" s="6033"/>
      <c r="AF44" s="6033"/>
      <c r="AG44" s="6034"/>
      <c r="AH44" s="6786" t="str">
        <f>_Calcs!$IK$122</f>
        <v>Stuff 1-1</v>
      </c>
      <c r="AI44" s="6786"/>
      <c r="AJ44" s="6786"/>
      <c r="AK44" s="6786"/>
      <c r="AL44" s="6786"/>
      <c r="AM44" s="6786"/>
      <c r="AN44" s="6786"/>
      <c r="AO44" s="6786"/>
      <c r="AP44" s="6786"/>
      <c r="AQ44" s="6035"/>
      <c r="AR44" s="6029"/>
      <c r="AV44" s="6028"/>
      <c r="AW44" s="6785" t="str">
        <f>_Calcs!$II$96</f>
        <v>Begrunnelser for tidsjusteringer</v>
      </c>
      <c r="AX44" s="6785"/>
      <c r="AY44" s="6785"/>
      <c r="AZ44" s="6785"/>
      <c r="BA44" s="6785"/>
      <c r="BB44" s="6785"/>
      <c r="BC44" s="6785"/>
      <c r="BD44" s="6785"/>
      <c r="BE44" s="6785"/>
      <c r="BF44" s="6785"/>
      <c r="BG44" s="6785"/>
      <c r="BH44" s="6785"/>
      <c r="BI44" s="6785"/>
      <c r="BJ44" s="6785"/>
      <c r="BK44" s="6785"/>
      <c r="BL44" s="6785"/>
      <c r="BM44" s="6785"/>
      <c r="BN44" s="6785"/>
      <c r="BO44" s="6785"/>
      <c r="BP44" s="6785"/>
      <c r="BQ44" s="6785"/>
      <c r="BR44" s="6785"/>
      <c r="BS44" s="6785"/>
      <c r="BT44" s="6785"/>
      <c r="BU44" s="6785"/>
      <c r="BV44" s="6785"/>
      <c r="BW44" s="3489"/>
      <c r="BX44" s="6033"/>
      <c r="BY44" s="6033"/>
      <c r="BZ44" s="6034"/>
      <c r="CA44" s="6786" t="str">
        <f>_Calcs!$IL$122</f>
        <v/>
      </c>
      <c r="CB44" s="6786"/>
      <c r="CC44" s="6786"/>
      <c r="CD44" s="6786"/>
      <c r="CE44" s="6786"/>
      <c r="CF44" s="6786"/>
      <c r="CG44" s="6786"/>
      <c r="CH44" s="6786"/>
      <c r="CI44" s="6786"/>
      <c r="CJ44" s="6035"/>
      <c r="CK44" s="6029"/>
      <c r="CO44" s="6028"/>
      <c r="CP44" s="6785" t="str">
        <f>_Calcs!$II$96</f>
        <v>Begrunnelser for tidsjusteringer</v>
      </c>
      <c r="CQ44" s="6785"/>
      <c r="CR44" s="6785"/>
      <c r="CS44" s="6785"/>
      <c r="CT44" s="6785"/>
      <c r="CU44" s="6785"/>
      <c r="CV44" s="6785"/>
      <c r="CW44" s="6785"/>
      <c r="CX44" s="6785"/>
      <c r="CY44" s="6785"/>
      <c r="CZ44" s="6785"/>
      <c r="DA44" s="6785"/>
      <c r="DB44" s="6785"/>
      <c r="DC44" s="6785"/>
      <c r="DD44" s="6785"/>
      <c r="DE44" s="6785"/>
      <c r="DF44" s="6785"/>
      <c r="DG44" s="6785"/>
      <c r="DH44" s="6785"/>
      <c r="DI44" s="6785"/>
      <c r="DJ44" s="6785"/>
      <c r="DK44" s="6785"/>
      <c r="DL44" s="6785"/>
      <c r="DM44" s="6785"/>
      <c r="DN44" s="6785"/>
      <c r="DO44" s="6785"/>
      <c r="DP44" s="3489"/>
      <c r="DQ44" s="6033"/>
      <c r="DR44" s="6033"/>
      <c r="DS44" s="6034"/>
      <c r="DT44" s="6786" t="str">
        <f>_Calcs!$IM$122</f>
        <v/>
      </c>
      <c r="DU44" s="6786"/>
      <c r="DV44" s="6786"/>
      <c r="DW44" s="6786"/>
      <c r="DX44" s="6786"/>
      <c r="DY44" s="6786"/>
      <c r="DZ44" s="6786"/>
      <c r="EA44" s="6786"/>
      <c r="EB44" s="6786"/>
      <c r="EC44" s="6035"/>
      <c r="ED44" s="6029"/>
      <c r="EH44" s="6028"/>
      <c r="EI44" s="6785" t="str">
        <f>_Calcs!$II$96</f>
        <v>Begrunnelser for tidsjusteringer</v>
      </c>
      <c r="EJ44" s="6785"/>
      <c r="EK44" s="6785"/>
      <c r="EL44" s="6785"/>
      <c r="EM44" s="6785"/>
      <c r="EN44" s="6785"/>
      <c r="EO44" s="6785"/>
      <c r="EP44" s="6785"/>
      <c r="EQ44" s="6785"/>
      <c r="ER44" s="6785"/>
      <c r="ES44" s="6785"/>
      <c r="ET44" s="6785"/>
      <c r="EU44" s="6785"/>
      <c r="EV44" s="6785"/>
      <c r="EW44" s="6785"/>
      <c r="EX44" s="6785"/>
      <c r="EY44" s="6785"/>
      <c r="EZ44" s="6785"/>
      <c r="FA44" s="6785"/>
      <c r="FB44" s="6785"/>
      <c r="FC44" s="6785"/>
      <c r="FD44" s="6785"/>
      <c r="FE44" s="6785"/>
      <c r="FF44" s="6785"/>
      <c r="FG44" s="6785"/>
      <c r="FH44" s="6785"/>
      <c r="FI44" s="3489"/>
      <c r="FJ44" s="6033"/>
      <c r="FK44" s="6033"/>
      <c r="FL44" s="6034"/>
      <c r="FM44" s="6786" t="str">
        <f>_Calcs!$IN$122</f>
        <v/>
      </c>
      <c r="FN44" s="6786"/>
      <c r="FO44" s="6786"/>
      <c r="FP44" s="6786"/>
      <c r="FQ44" s="6786"/>
      <c r="FR44" s="6786"/>
      <c r="FS44" s="6786"/>
      <c r="FT44" s="6786"/>
      <c r="FU44" s="6786"/>
      <c r="FV44" s="6035"/>
      <c r="FW44" s="6029"/>
      <c r="GA44" s="6028"/>
      <c r="GB44" s="6785" t="str">
        <f>_Calcs!$II$96</f>
        <v>Begrunnelser for tidsjusteringer</v>
      </c>
      <c r="GC44" s="6785"/>
      <c r="GD44" s="6785"/>
      <c r="GE44" s="6785"/>
      <c r="GF44" s="6785"/>
      <c r="GG44" s="6785"/>
      <c r="GH44" s="6785"/>
      <c r="GI44" s="6785"/>
      <c r="GJ44" s="6785"/>
      <c r="GK44" s="6785"/>
      <c r="GL44" s="6785"/>
      <c r="GM44" s="6785"/>
      <c r="GN44" s="6785"/>
      <c r="GO44" s="6785"/>
      <c r="GP44" s="6785"/>
      <c r="GQ44" s="6785"/>
      <c r="GR44" s="6785"/>
      <c r="GS44" s="6785"/>
      <c r="GT44" s="6785"/>
      <c r="GU44" s="6785"/>
      <c r="GV44" s="6785"/>
      <c r="GW44" s="6785"/>
      <c r="GX44" s="6785"/>
      <c r="GY44" s="6785"/>
      <c r="GZ44" s="6785"/>
      <c r="HA44" s="6785"/>
      <c r="HB44" s="3489"/>
      <c r="HC44" s="6033"/>
      <c r="HD44" s="6033"/>
      <c r="HE44" s="6034"/>
      <c r="HF44" s="6786" t="str">
        <f>_Calcs!$IO$122</f>
        <v/>
      </c>
      <c r="HG44" s="6786"/>
      <c r="HH44" s="6786"/>
      <c r="HI44" s="6786"/>
      <c r="HJ44" s="6786"/>
      <c r="HK44" s="6786"/>
      <c r="HL44" s="6786"/>
      <c r="HM44" s="6786"/>
      <c r="HN44" s="6786"/>
      <c r="HO44" s="6035"/>
      <c r="HP44" s="6029"/>
      <c r="HT44" s="6028"/>
      <c r="HU44" s="6785" t="str">
        <f>_Calcs!$II$96</f>
        <v>Begrunnelser for tidsjusteringer</v>
      </c>
      <c r="HV44" s="6785"/>
      <c r="HW44" s="6785"/>
      <c r="HX44" s="6785"/>
      <c r="HY44" s="6785"/>
      <c r="HZ44" s="6785"/>
      <c r="IA44" s="6785"/>
      <c r="IB44" s="6785"/>
      <c r="IC44" s="6785"/>
      <c r="ID44" s="6785"/>
      <c r="IE44" s="6785"/>
      <c r="IF44" s="6785"/>
      <c r="IG44" s="6785"/>
      <c r="IH44" s="6785"/>
      <c r="II44" s="6785"/>
      <c r="IJ44" s="6785"/>
      <c r="IK44" s="6785"/>
      <c r="IL44" s="6785"/>
      <c r="IM44" s="6785"/>
      <c r="IN44" s="6785"/>
      <c r="IO44" s="6785"/>
      <c r="IP44" s="6785"/>
      <c r="IQ44" s="6785"/>
      <c r="IR44" s="6785"/>
      <c r="IS44" s="6785"/>
      <c r="IT44" s="6785"/>
      <c r="IU44" s="3489"/>
      <c r="IV44" s="6033"/>
      <c r="IW44" s="6033"/>
      <c r="IX44" s="6034"/>
      <c r="IY44" s="6786" t="str">
        <f>_Calcs!$IP$122</f>
        <v/>
      </c>
      <c r="IZ44" s="6786"/>
      <c r="JA44" s="6786"/>
      <c r="JB44" s="6786"/>
      <c r="JC44" s="6786"/>
      <c r="JD44" s="6786"/>
      <c r="JE44" s="6786"/>
      <c r="JF44" s="6786"/>
      <c r="JG44" s="6786"/>
      <c r="JH44" s="6035"/>
      <c r="JI44" s="6029"/>
      <c r="JM44" s="6028"/>
      <c r="JN44" s="6785" t="str">
        <f>_Calcs!$II$96</f>
        <v>Begrunnelser for tidsjusteringer</v>
      </c>
      <c r="JO44" s="6785"/>
      <c r="JP44" s="6785"/>
      <c r="JQ44" s="6785"/>
      <c r="JR44" s="6785"/>
      <c r="JS44" s="6785"/>
      <c r="JT44" s="6785"/>
      <c r="JU44" s="6785"/>
      <c r="JV44" s="6785"/>
      <c r="JW44" s="6785"/>
      <c r="JX44" s="6785"/>
      <c r="JY44" s="6785"/>
      <c r="JZ44" s="6785"/>
      <c r="KA44" s="6785"/>
      <c r="KB44" s="6785"/>
      <c r="KC44" s="6785"/>
      <c r="KD44" s="6785"/>
      <c r="KE44" s="6785"/>
      <c r="KF44" s="6785"/>
      <c r="KG44" s="6785"/>
      <c r="KH44" s="6785"/>
      <c r="KI44" s="6785"/>
      <c r="KJ44" s="6785"/>
      <c r="KK44" s="6785"/>
      <c r="KL44" s="6785"/>
      <c r="KM44" s="6785"/>
      <c r="KN44" s="3489"/>
      <c r="KO44" s="6033"/>
      <c r="KP44" s="6033"/>
      <c r="KQ44" s="6034"/>
      <c r="KR44" s="6786" t="str">
        <f>_Calcs!$IQ$122</f>
        <v/>
      </c>
      <c r="KS44" s="6786"/>
      <c r="KT44" s="6786"/>
      <c r="KU44" s="6786"/>
      <c r="KV44" s="6786"/>
      <c r="KW44" s="6786"/>
      <c r="KX44" s="6786"/>
      <c r="KY44" s="6786"/>
      <c r="KZ44" s="6786"/>
      <c r="LA44" s="6035"/>
      <c r="LB44" s="6029"/>
      <c r="LC44" s="130"/>
      <c r="LF44" s="6028"/>
      <c r="LG44" s="6785" t="str">
        <f>_Calcs!$II$96</f>
        <v>Begrunnelser for tidsjusteringer</v>
      </c>
      <c r="LH44" s="6785"/>
      <c r="LI44" s="6785"/>
      <c r="LJ44" s="6785"/>
      <c r="LK44" s="6785"/>
      <c r="LL44" s="6785"/>
      <c r="LM44" s="6785"/>
      <c r="LN44" s="6785"/>
      <c r="LO44" s="6785"/>
      <c r="LP44" s="6785"/>
      <c r="LQ44" s="6785"/>
      <c r="LR44" s="6785"/>
      <c r="LS44" s="6785"/>
      <c r="LT44" s="6785"/>
      <c r="LU44" s="6785"/>
      <c r="LV44" s="6785"/>
      <c r="LW44" s="6785"/>
      <c r="LX44" s="6785"/>
      <c r="LY44" s="6785"/>
      <c r="LZ44" s="6785"/>
      <c r="MA44" s="6785"/>
      <c r="MB44" s="6785"/>
      <c r="MC44" s="6785"/>
      <c r="MD44" s="6785"/>
      <c r="ME44" s="6785"/>
      <c r="MF44" s="6785"/>
      <c r="MG44" s="3489"/>
      <c r="MH44" s="6033"/>
      <c r="MI44" s="6033"/>
      <c r="MJ44" s="6034"/>
      <c r="MK44" s="6786" t="str">
        <f>_Calcs!$IR$122</f>
        <v/>
      </c>
      <c r="ML44" s="6786"/>
      <c r="MM44" s="6786"/>
      <c r="MN44" s="6786"/>
      <c r="MO44" s="6786"/>
      <c r="MP44" s="6786"/>
      <c r="MQ44" s="6786"/>
      <c r="MR44" s="6786"/>
      <c r="MS44" s="6786"/>
      <c r="MT44" s="6035"/>
      <c r="MU44" s="6029"/>
      <c r="MV44" s="130"/>
      <c r="MY44" s="6028"/>
      <c r="MZ44" s="6785" t="str">
        <f>_Calcs!$II$96</f>
        <v>Begrunnelser for tidsjusteringer</v>
      </c>
      <c r="NA44" s="6785"/>
      <c r="NB44" s="6785"/>
      <c r="NC44" s="6785"/>
      <c r="ND44" s="6785"/>
      <c r="NE44" s="6785"/>
      <c r="NF44" s="6785"/>
      <c r="NG44" s="6785"/>
      <c r="NH44" s="6785"/>
      <c r="NI44" s="6785"/>
      <c r="NJ44" s="6785"/>
      <c r="NK44" s="6785"/>
      <c r="NL44" s="6785"/>
      <c r="NM44" s="6785"/>
      <c r="NN44" s="6785"/>
      <c r="NO44" s="6785"/>
      <c r="NP44" s="6785"/>
      <c r="NQ44" s="6785"/>
      <c r="NR44" s="6785"/>
      <c r="NS44" s="6785"/>
      <c r="NT44" s="6785"/>
      <c r="NU44" s="6785"/>
      <c r="NV44" s="6785"/>
      <c r="NW44" s="6785"/>
      <c r="NX44" s="6785"/>
      <c r="NY44" s="6785"/>
      <c r="NZ44" s="3489"/>
      <c r="OA44" s="6033"/>
      <c r="OB44" s="6033"/>
      <c r="OC44" s="6034"/>
      <c r="OD44" s="6786" t="str">
        <f>_Calcs!$IS$122</f>
        <v/>
      </c>
      <c r="OE44" s="6786"/>
      <c r="OF44" s="6786"/>
      <c r="OG44" s="6786"/>
      <c r="OH44" s="6786"/>
      <c r="OI44" s="6786"/>
      <c r="OJ44" s="6786"/>
      <c r="OK44" s="6786"/>
      <c r="OL44" s="6786"/>
      <c r="OM44" s="6035"/>
      <c r="ON44" s="6029"/>
      <c r="OO44" s="130"/>
    </row>
    <row r="45" spans="3:405" s="5321" customFormat="1" ht="12" customHeight="1" x14ac:dyDescent="0.2">
      <c r="C45" s="6036"/>
      <c r="D45" s="6785"/>
      <c r="E45" s="6785"/>
      <c r="F45" s="6785"/>
      <c r="G45" s="6785"/>
      <c r="H45" s="6785"/>
      <c r="I45" s="6785"/>
      <c r="J45" s="6785"/>
      <c r="K45" s="6785"/>
      <c r="L45" s="6785"/>
      <c r="M45" s="6785"/>
      <c r="N45" s="6785"/>
      <c r="O45" s="6785"/>
      <c r="P45" s="6785"/>
      <c r="Q45" s="6785"/>
      <c r="R45" s="6785"/>
      <c r="S45" s="6785"/>
      <c r="T45" s="6785"/>
      <c r="U45" s="6785"/>
      <c r="V45" s="6785"/>
      <c r="W45" s="6785"/>
      <c r="X45" s="6785"/>
      <c r="Y45" s="6785"/>
      <c r="Z45" s="6785"/>
      <c r="AA45" s="6785"/>
      <c r="AB45" s="6785"/>
      <c r="AC45" s="6785"/>
      <c r="AE45" s="6033"/>
      <c r="AF45" s="6033"/>
      <c r="AG45" s="6037"/>
      <c r="AH45" s="6787"/>
      <c r="AI45" s="6787"/>
      <c r="AJ45" s="6787"/>
      <c r="AK45" s="6787"/>
      <c r="AL45" s="6787"/>
      <c r="AM45" s="6787"/>
      <c r="AN45" s="6787"/>
      <c r="AO45" s="6787"/>
      <c r="AP45" s="6787"/>
      <c r="AQ45" s="6038"/>
      <c r="AR45" s="6039"/>
      <c r="AV45" s="6036"/>
      <c r="AW45" s="6785"/>
      <c r="AX45" s="6785"/>
      <c r="AY45" s="6785"/>
      <c r="AZ45" s="6785"/>
      <c r="BA45" s="6785"/>
      <c r="BB45" s="6785"/>
      <c r="BC45" s="6785"/>
      <c r="BD45" s="6785"/>
      <c r="BE45" s="6785"/>
      <c r="BF45" s="6785"/>
      <c r="BG45" s="6785"/>
      <c r="BH45" s="6785"/>
      <c r="BI45" s="6785"/>
      <c r="BJ45" s="6785"/>
      <c r="BK45" s="6785"/>
      <c r="BL45" s="6785"/>
      <c r="BM45" s="6785"/>
      <c r="BN45" s="6785"/>
      <c r="BO45" s="6785"/>
      <c r="BP45" s="6785"/>
      <c r="BQ45" s="6785"/>
      <c r="BR45" s="6785"/>
      <c r="BS45" s="6785"/>
      <c r="BT45" s="6785"/>
      <c r="BU45" s="6785"/>
      <c r="BV45" s="6785"/>
      <c r="BX45" s="6033"/>
      <c r="BY45" s="6033"/>
      <c r="BZ45" s="6037"/>
      <c r="CA45" s="6787"/>
      <c r="CB45" s="6787"/>
      <c r="CC45" s="6787"/>
      <c r="CD45" s="6787"/>
      <c r="CE45" s="6787"/>
      <c r="CF45" s="6787"/>
      <c r="CG45" s="6787"/>
      <c r="CH45" s="6787"/>
      <c r="CI45" s="6787"/>
      <c r="CJ45" s="6038"/>
      <c r="CK45" s="6039"/>
      <c r="CO45" s="6036"/>
      <c r="CP45" s="6785"/>
      <c r="CQ45" s="6785"/>
      <c r="CR45" s="6785"/>
      <c r="CS45" s="6785"/>
      <c r="CT45" s="6785"/>
      <c r="CU45" s="6785"/>
      <c r="CV45" s="6785"/>
      <c r="CW45" s="6785"/>
      <c r="CX45" s="6785"/>
      <c r="CY45" s="6785"/>
      <c r="CZ45" s="6785"/>
      <c r="DA45" s="6785"/>
      <c r="DB45" s="6785"/>
      <c r="DC45" s="6785"/>
      <c r="DD45" s="6785"/>
      <c r="DE45" s="6785"/>
      <c r="DF45" s="6785"/>
      <c r="DG45" s="6785"/>
      <c r="DH45" s="6785"/>
      <c r="DI45" s="6785"/>
      <c r="DJ45" s="6785"/>
      <c r="DK45" s="6785"/>
      <c r="DL45" s="6785"/>
      <c r="DM45" s="6785"/>
      <c r="DN45" s="6785"/>
      <c r="DO45" s="6785"/>
      <c r="DQ45" s="6033"/>
      <c r="DR45" s="6033"/>
      <c r="DS45" s="6037"/>
      <c r="DT45" s="6787"/>
      <c r="DU45" s="6787"/>
      <c r="DV45" s="6787"/>
      <c r="DW45" s="6787"/>
      <c r="DX45" s="6787"/>
      <c r="DY45" s="6787"/>
      <c r="DZ45" s="6787"/>
      <c r="EA45" s="6787"/>
      <c r="EB45" s="6787"/>
      <c r="EC45" s="6038"/>
      <c r="ED45" s="6039"/>
      <c r="EH45" s="6036"/>
      <c r="EI45" s="6785"/>
      <c r="EJ45" s="6785"/>
      <c r="EK45" s="6785"/>
      <c r="EL45" s="6785"/>
      <c r="EM45" s="6785"/>
      <c r="EN45" s="6785"/>
      <c r="EO45" s="6785"/>
      <c r="EP45" s="6785"/>
      <c r="EQ45" s="6785"/>
      <c r="ER45" s="6785"/>
      <c r="ES45" s="6785"/>
      <c r="ET45" s="6785"/>
      <c r="EU45" s="6785"/>
      <c r="EV45" s="6785"/>
      <c r="EW45" s="6785"/>
      <c r="EX45" s="6785"/>
      <c r="EY45" s="6785"/>
      <c r="EZ45" s="6785"/>
      <c r="FA45" s="6785"/>
      <c r="FB45" s="6785"/>
      <c r="FC45" s="6785"/>
      <c r="FD45" s="6785"/>
      <c r="FE45" s="6785"/>
      <c r="FF45" s="6785"/>
      <c r="FG45" s="6785"/>
      <c r="FH45" s="6785"/>
      <c r="FJ45" s="6033"/>
      <c r="FK45" s="6033"/>
      <c r="FL45" s="6037"/>
      <c r="FM45" s="6787"/>
      <c r="FN45" s="6787"/>
      <c r="FO45" s="6787"/>
      <c r="FP45" s="6787"/>
      <c r="FQ45" s="6787"/>
      <c r="FR45" s="6787"/>
      <c r="FS45" s="6787"/>
      <c r="FT45" s="6787"/>
      <c r="FU45" s="6787"/>
      <c r="FV45" s="6038"/>
      <c r="FW45" s="6039"/>
      <c r="GA45" s="6036"/>
      <c r="GB45" s="6785"/>
      <c r="GC45" s="6785"/>
      <c r="GD45" s="6785"/>
      <c r="GE45" s="6785"/>
      <c r="GF45" s="6785"/>
      <c r="GG45" s="6785"/>
      <c r="GH45" s="6785"/>
      <c r="GI45" s="6785"/>
      <c r="GJ45" s="6785"/>
      <c r="GK45" s="6785"/>
      <c r="GL45" s="6785"/>
      <c r="GM45" s="6785"/>
      <c r="GN45" s="6785"/>
      <c r="GO45" s="6785"/>
      <c r="GP45" s="6785"/>
      <c r="GQ45" s="6785"/>
      <c r="GR45" s="6785"/>
      <c r="GS45" s="6785"/>
      <c r="GT45" s="6785"/>
      <c r="GU45" s="6785"/>
      <c r="GV45" s="6785"/>
      <c r="GW45" s="6785"/>
      <c r="GX45" s="6785"/>
      <c r="GY45" s="6785"/>
      <c r="GZ45" s="6785"/>
      <c r="HA45" s="6785"/>
      <c r="HC45" s="6033"/>
      <c r="HD45" s="6033"/>
      <c r="HE45" s="6037"/>
      <c r="HF45" s="6787"/>
      <c r="HG45" s="6787"/>
      <c r="HH45" s="6787"/>
      <c r="HI45" s="6787"/>
      <c r="HJ45" s="6787"/>
      <c r="HK45" s="6787"/>
      <c r="HL45" s="6787"/>
      <c r="HM45" s="6787"/>
      <c r="HN45" s="6787"/>
      <c r="HO45" s="6038"/>
      <c r="HP45" s="6039"/>
      <c r="HT45" s="6036"/>
      <c r="HU45" s="6785"/>
      <c r="HV45" s="6785"/>
      <c r="HW45" s="6785"/>
      <c r="HX45" s="6785"/>
      <c r="HY45" s="6785"/>
      <c r="HZ45" s="6785"/>
      <c r="IA45" s="6785"/>
      <c r="IB45" s="6785"/>
      <c r="IC45" s="6785"/>
      <c r="ID45" s="6785"/>
      <c r="IE45" s="6785"/>
      <c r="IF45" s="6785"/>
      <c r="IG45" s="6785"/>
      <c r="IH45" s="6785"/>
      <c r="II45" s="6785"/>
      <c r="IJ45" s="6785"/>
      <c r="IK45" s="6785"/>
      <c r="IL45" s="6785"/>
      <c r="IM45" s="6785"/>
      <c r="IN45" s="6785"/>
      <c r="IO45" s="6785"/>
      <c r="IP45" s="6785"/>
      <c r="IQ45" s="6785"/>
      <c r="IR45" s="6785"/>
      <c r="IS45" s="6785"/>
      <c r="IT45" s="6785"/>
      <c r="IV45" s="6033"/>
      <c r="IW45" s="6033"/>
      <c r="IX45" s="6037"/>
      <c r="IY45" s="6787"/>
      <c r="IZ45" s="6787"/>
      <c r="JA45" s="6787"/>
      <c r="JB45" s="6787"/>
      <c r="JC45" s="6787"/>
      <c r="JD45" s="6787"/>
      <c r="JE45" s="6787"/>
      <c r="JF45" s="6787"/>
      <c r="JG45" s="6787"/>
      <c r="JH45" s="6038"/>
      <c r="JI45" s="6039"/>
      <c r="JM45" s="6036"/>
      <c r="JN45" s="6785"/>
      <c r="JO45" s="6785"/>
      <c r="JP45" s="6785"/>
      <c r="JQ45" s="6785"/>
      <c r="JR45" s="6785"/>
      <c r="JS45" s="6785"/>
      <c r="JT45" s="6785"/>
      <c r="JU45" s="6785"/>
      <c r="JV45" s="6785"/>
      <c r="JW45" s="6785"/>
      <c r="JX45" s="6785"/>
      <c r="JY45" s="6785"/>
      <c r="JZ45" s="6785"/>
      <c r="KA45" s="6785"/>
      <c r="KB45" s="6785"/>
      <c r="KC45" s="6785"/>
      <c r="KD45" s="6785"/>
      <c r="KE45" s="6785"/>
      <c r="KF45" s="6785"/>
      <c r="KG45" s="6785"/>
      <c r="KH45" s="6785"/>
      <c r="KI45" s="6785"/>
      <c r="KJ45" s="6785"/>
      <c r="KK45" s="6785"/>
      <c r="KL45" s="6785"/>
      <c r="KM45" s="6785"/>
      <c r="KO45" s="6033"/>
      <c r="KP45" s="6033"/>
      <c r="KQ45" s="6037"/>
      <c r="KR45" s="6787"/>
      <c r="KS45" s="6787"/>
      <c r="KT45" s="6787"/>
      <c r="KU45" s="6787"/>
      <c r="KV45" s="6787"/>
      <c r="KW45" s="6787"/>
      <c r="KX45" s="6787"/>
      <c r="KY45" s="6787"/>
      <c r="KZ45" s="6787"/>
      <c r="LA45" s="6038"/>
      <c r="LB45" s="6039"/>
      <c r="LC45" s="7"/>
      <c r="LF45" s="6036"/>
      <c r="LG45" s="6785"/>
      <c r="LH45" s="6785"/>
      <c r="LI45" s="6785"/>
      <c r="LJ45" s="6785"/>
      <c r="LK45" s="6785"/>
      <c r="LL45" s="6785"/>
      <c r="LM45" s="6785"/>
      <c r="LN45" s="6785"/>
      <c r="LO45" s="6785"/>
      <c r="LP45" s="6785"/>
      <c r="LQ45" s="6785"/>
      <c r="LR45" s="6785"/>
      <c r="LS45" s="6785"/>
      <c r="LT45" s="6785"/>
      <c r="LU45" s="6785"/>
      <c r="LV45" s="6785"/>
      <c r="LW45" s="6785"/>
      <c r="LX45" s="6785"/>
      <c r="LY45" s="6785"/>
      <c r="LZ45" s="6785"/>
      <c r="MA45" s="6785"/>
      <c r="MB45" s="6785"/>
      <c r="MC45" s="6785"/>
      <c r="MD45" s="6785"/>
      <c r="ME45" s="6785"/>
      <c r="MF45" s="6785"/>
      <c r="MH45" s="6033"/>
      <c r="MI45" s="6033"/>
      <c r="MJ45" s="6037"/>
      <c r="MK45" s="6787"/>
      <c r="ML45" s="6787"/>
      <c r="MM45" s="6787"/>
      <c r="MN45" s="6787"/>
      <c r="MO45" s="6787"/>
      <c r="MP45" s="6787"/>
      <c r="MQ45" s="6787"/>
      <c r="MR45" s="6787"/>
      <c r="MS45" s="6787"/>
      <c r="MT45" s="6038"/>
      <c r="MU45" s="6039"/>
      <c r="MV45" s="7"/>
      <c r="MY45" s="6036"/>
      <c r="MZ45" s="6785"/>
      <c r="NA45" s="6785"/>
      <c r="NB45" s="6785"/>
      <c r="NC45" s="6785"/>
      <c r="ND45" s="6785"/>
      <c r="NE45" s="6785"/>
      <c r="NF45" s="6785"/>
      <c r="NG45" s="6785"/>
      <c r="NH45" s="6785"/>
      <c r="NI45" s="6785"/>
      <c r="NJ45" s="6785"/>
      <c r="NK45" s="6785"/>
      <c r="NL45" s="6785"/>
      <c r="NM45" s="6785"/>
      <c r="NN45" s="6785"/>
      <c r="NO45" s="6785"/>
      <c r="NP45" s="6785"/>
      <c r="NQ45" s="6785"/>
      <c r="NR45" s="6785"/>
      <c r="NS45" s="6785"/>
      <c r="NT45" s="6785"/>
      <c r="NU45" s="6785"/>
      <c r="NV45" s="6785"/>
      <c r="NW45" s="6785"/>
      <c r="NX45" s="6785"/>
      <c r="NY45" s="6785"/>
      <c r="OA45" s="6033"/>
      <c r="OB45" s="6033"/>
      <c r="OC45" s="6037"/>
      <c r="OD45" s="6787"/>
      <c r="OE45" s="6787"/>
      <c r="OF45" s="6787"/>
      <c r="OG45" s="6787"/>
      <c r="OH45" s="6787"/>
      <c r="OI45" s="6787"/>
      <c r="OJ45" s="6787"/>
      <c r="OK45" s="6787"/>
      <c r="OL45" s="6787"/>
      <c r="OM45" s="6038"/>
      <c r="ON45" s="6039"/>
      <c r="OO45" s="7"/>
    </row>
    <row r="46" spans="3:405" s="1466" customFormat="1" ht="6" customHeight="1" thickBot="1" x14ac:dyDescent="0.25">
      <c r="C46" s="6040"/>
      <c r="D46" s="6785"/>
      <c r="E46" s="6785"/>
      <c r="F46" s="6785"/>
      <c r="G46" s="6785"/>
      <c r="H46" s="6785"/>
      <c r="I46" s="6785"/>
      <c r="J46" s="6785"/>
      <c r="K46" s="6785"/>
      <c r="L46" s="6785"/>
      <c r="M46" s="6785"/>
      <c r="N46" s="6785"/>
      <c r="O46" s="6785"/>
      <c r="P46" s="6785"/>
      <c r="Q46" s="6785"/>
      <c r="R46" s="6785"/>
      <c r="S46" s="6785"/>
      <c r="T46" s="6785"/>
      <c r="U46" s="6785"/>
      <c r="V46" s="6785"/>
      <c r="W46" s="6785"/>
      <c r="X46" s="6785"/>
      <c r="Y46" s="6785"/>
      <c r="Z46" s="6785"/>
      <c r="AA46" s="6785"/>
      <c r="AB46" s="6785"/>
      <c r="AC46" s="6785"/>
      <c r="AE46" s="6033"/>
      <c r="AF46" s="6033"/>
      <c r="AG46" s="6041"/>
      <c r="AH46" s="6788"/>
      <c r="AI46" s="6788"/>
      <c r="AJ46" s="6788"/>
      <c r="AK46" s="6788"/>
      <c r="AL46" s="6788"/>
      <c r="AM46" s="6788"/>
      <c r="AN46" s="6788"/>
      <c r="AO46" s="6788"/>
      <c r="AP46" s="6788"/>
      <c r="AQ46" s="6042"/>
      <c r="AR46" s="6043"/>
      <c r="AV46" s="6040"/>
      <c r="AW46" s="6785"/>
      <c r="AX46" s="6785"/>
      <c r="AY46" s="6785"/>
      <c r="AZ46" s="6785"/>
      <c r="BA46" s="6785"/>
      <c r="BB46" s="6785"/>
      <c r="BC46" s="6785"/>
      <c r="BD46" s="6785"/>
      <c r="BE46" s="6785"/>
      <c r="BF46" s="6785"/>
      <c r="BG46" s="6785"/>
      <c r="BH46" s="6785"/>
      <c r="BI46" s="6785"/>
      <c r="BJ46" s="6785"/>
      <c r="BK46" s="6785"/>
      <c r="BL46" s="6785"/>
      <c r="BM46" s="6785"/>
      <c r="BN46" s="6785"/>
      <c r="BO46" s="6785"/>
      <c r="BP46" s="6785"/>
      <c r="BQ46" s="6785"/>
      <c r="BR46" s="6785"/>
      <c r="BS46" s="6785"/>
      <c r="BT46" s="6785"/>
      <c r="BU46" s="6785"/>
      <c r="BV46" s="6785"/>
      <c r="BX46" s="6033"/>
      <c r="BY46" s="6033"/>
      <c r="BZ46" s="6041"/>
      <c r="CA46" s="6788"/>
      <c r="CB46" s="6788"/>
      <c r="CC46" s="6788"/>
      <c r="CD46" s="6788"/>
      <c r="CE46" s="6788"/>
      <c r="CF46" s="6788"/>
      <c r="CG46" s="6788"/>
      <c r="CH46" s="6788"/>
      <c r="CI46" s="6788"/>
      <c r="CJ46" s="6042"/>
      <c r="CK46" s="6043"/>
      <c r="CO46" s="6040"/>
      <c r="CP46" s="6785"/>
      <c r="CQ46" s="6785"/>
      <c r="CR46" s="6785"/>
      <c r="CS46" s="6785"/>
      <c r="CT46" s="6785"/>
      <c r="CU46" s="6785"/>
      <c r="CV46" s="6785"/>
      <c r="CW46" s="6785"/>
      <c r="CX46" s="6785"/>
      <c r="CY46" s="6785"/>
      <c r="CZ46" s="6785"/>
      <c r="DA46" s="6785"/>
      <c r="DB46" s="6785"/>
      <c r="DC46" s="6785"/>
      <c r="DD46" s="6785"/>
      <c r="DE46" s="6785"/>
      <c r="DF46" s="6785"/>
      <c r="DG46" s="6785"/>
      <c r="DH46" s="6785"/>
      <c r="DI46" s="6785"/>
      <c r="DJ46" s="6785"/>
      <c r="DK46" s="6785"/>
      <c r="DL46" s="6785"/>
      <c r="DM46" s="6785"/>
      <c r="DN46" s="6785"/>
      <c r="DO46" s="6785"/>
      <c r="DQ46" s="6033"/>
      <c r="DR46" s="6033"/>
      <c r="DS46" s="6041"/>
      <c r="DT46" s="6788"/>
      <c r="DU46" s="6788"/>
      <c r="DV46" s="6788"/>
      <c r="DW46" s="6788"/>
      <c r="DX46" s="6788"/>
      <c r="DY46" s="6788"/>
      <c r="DZ46" s="6788"/>
      <c r="EA46" s="6788"/>
      <c r="EB46" s="6788"/>
      <c r="EC46" s="6042"/>
      <c r="ED46" s="6043"/>
      <c r="EH46" s="6040"/>
      <c r="EI46" s="6785"/>
      <c r="EJ46" s="6785"/>
      <c r="EK46" s="6785"/>
      <c r="EL46" s="6785"/>
      <c r="EM46" s="6785"/>
      <c r="EN46" s="6785"/>
      <c r="EO46" s="6785"/>
      <c r="EP46" s="6785"/>
      <c r="EQ46" s="6785"/>
      <c r="ER46" s="6785"/>
      <c r="ES46" s="6785"/>
      <c r="ET46" s="6785"/>
      <c r="EU46" s="6785"/>
      <c r="EV46" s="6785"/>
      <c r="EW46" s="6785"/>
      <c r="EX46" s="6785"/>
      <c r="EY46" s="6785"/>
      <c r="EZ46" s="6785"/>
      <c r="FA46" s="6785"/>
      <c r="FB46" s="6785"/>
      <c r="FC46" s="6785"/>
      <c r="FD46" s="6785"/>
      <c r="FE46" s="6785"/>
      <c r="FF46" s="6785"/>
      <c r="FG46" s="6785"/>
      <c r="FH46" s="6785"/>
      <c r="FJ46" s="6033"/>
      <c r="FK46" s="6033"/>
      <c r="FL46" s="6041"/>
      <c r="FM46" s="6788"/>
      <c r="FN46" s="6788"/>
      <c r="FO46" s="6788"/>
      <c r="FP46" s="6788"/>
      <c r="FQ46" s="6788"/>
      <c r="FR46" s="6788"/>
      <c r="FS46" s="6788"/>
      <c r="FT46" s="6788"/>
      <c r="FU46" s="6788"/>
      <c r="FV46" s="6042"/>
      <c r="FW46" s="6043"/>
      <c r="GA46" s="6040"/>
      <c r="GB46" s="6785"/>
      <c r="GC46" s="6785"/>
      <c r="GD46" s="6785"/>
      <c r="GE46" s="6785"/>
      <c r="GF46" s="6785"/>
      <c r="GG46" s="6785"/>
      <c r="GH46" s="6785"/>
      <c r="GI46" s="6785"/>
      <c r="GJ46" s="6785"/>
      <c r="GK46" s="6785"/>
      <c r="GL46" s="6785"/>
      <c r="GM46" s="6785"/>
      <c r="GN46" s="6785"/>
      <c r="GO46" s="6785"/>
      <c r="GP46" s="6785"/>
      <c r="GQ46" s="6785"/>
      <c r="GR46" s="6785"/>
      <c r="GS46" s="6785"/>
      <c r="GT46" s="6785"/>
      <c r="GU46" s="6785"/>
      <c r="GV46" s="6785"/>
      <c r="GW46" s="6785"/>
      <c r="GX46" s="6785"/>
      <c r="GY46" s="6785"/>
      <c r="GZ46" s="6785"/>
      <c r="HA46" s="6785"/>
      <c r="HC46" s="6033"/>
      <c r="HD46" s="6033"/>
      <c r="HE46" s="6041"/>
      <c r="HF46" s="6788"/>
      <c r="HG46" s="6788"/>
      <c r="HH46" s="6788"/>
      <c r="HI46" s="6788"/>
      <c r="HJ46" s="6788"/>
      <c r="HK46" s="6788"/>
      <c r="HL46" s="6788"/>
      <c r="HM46" s="6788"/>
      <c r="HN46" s="6788"/>
      <c r="HO46" s="6042"/>
      <c r="HP46" s="6043"/>
      <c r="HT46" s="6040"/>
      <c r="HU46" s="6785"/>
      <c r="HV46" s="6785"/>
      <c r="HW46" s="6785"/>
      <c r="HX46" s="6785"/>
      <c r="HY46" s="6785"/>
      <c r="HZ46" s="6785"/>
      <c r="IA46" s="6785"/>
      <c r="IB46" s="6785"/>
      <c r="IC46" s="6785"/>
      <c r="ID46" s="6785"/>
      <c r="IE46" s="6785"/>
      <c r="IF46" s="6785"/>
      <c r="IG46" s="6785"/>
      <c r="IH46" s="6785"/>
      <c r="II46" s="6785"/>
      <c r="IJ46" s="6785"/>
      <c r="IK46" s="6785"/>
      <c r="IL46" s="6785"/>
      <c r="IM46" s="6785"/>
      <c r="IN46" s="6785"/>
      <c r="IO46" s="6785"/>
      <c r="IP46" s="6785"/>
      <c r="IQ46" s="6785"/>
      <c r="IR46" s="6785"/>
      <c r="IS46" s="6785"/>
      <c r="IT46" s="6785"/>
      <c r="IV46" s="6033"/>
      <c r="IW46" s="6033"/>
      <c r="IX46" s="6041"/>
      <c r="IY46" s="6788"/>
      <c r="IZ46" s="6788"/>
      <c r="JA46" s="6788"/>
      <c r="JB46" s="6788"/>
      <c r="JC46" s="6788"/>
      <c r="JD46" s="6788"/>
      <c r="JE46" s="6788"/>
      <c r="JF46" s="6788"/>
      <c r="JG46" s="6788"/>
      <c r="JH46" s="6042"/>
      <c r="JI46" s="6043"/>
      <c r="JM46" s="6040"/>
      <c r="JN46" s="6785"/>
      <c r="JO46" s="6785"/>
      <c r="JP46" s="6785"/>
      <c r="JQ46" s="6785"/>
      <c r="JR46" s="6785"/>
      <c r="JS46" s="6785"/>
      <c r="JT46" s="6785"/>
      <c r="JU46" s="6785"/>
      <c r="JV46" s="6785"/>
      <c r="JW46" s="6785"/>
      <c r="JX46" s="6785"/>
      <c r="JY46" s="6785"/>
      <c r="JZ46" s="6785"/>
      <c r="KA46" s="6785"/>
      <c r="KB46" s="6785"/>
      <c r="KC46" s="6785"/>
      <c r="KD46" s="6785"/>
      <c r="KE46" s="6785"/>
      <c r="KF46" s="6785"/>
      <c r="KG46" s="6785"/>
      <c r="KH46" s="6785"/>
      <c r="KI46" s="6785"/>
      <c r="KJ46" s="6785"/>
      <c r="KK46" s="6785"/>
      <c r="KL46" s="6785"/>
      <c r="KM46" s="6785"/>
      <c r="KO46" s="6033"/>
      <c r="KP46" s="6033"/>
      <c r="KQ46" s="6041"/>
      <c r="KR46" s="6788"/>
      <c r="KS46" s="6788"/>
      <c r="KT46" s="6788"/>
      <c r="KU46" s="6788"/>
      <c r="KV46" s="6788"/>
      <c r="KW46" s="6788"/>
      <c r="KX46" s="6788"/>
      <c r="KY46" s="6788"/>
      <c r="KZ46" s="6788"/>
      <c r="LA46" s="6042"/>
      <c r="LB46" s="6043"/>
      <c r="LF46" s="6040"/>
      <c r="LG46" s="6785"/>
      <c r="LH46" s="6785"/>
      <c r="LI46" s="6785"/>
      <c r="LJ46" s="6785"/>
      <c r="LK46" s="6785"/>
      <c r="LL46" s="6785"/>
      <c r="LM46" s="6785"/>
      <c r="LN46" s="6785"/>
      <c r="LO46" s="6785"/>
      <c r="LP46" s="6785"/>
      <c r="LQ46" s="6785"/>
      <c r="LR46" s="6785"/>
      <c r="LS46" s="6785"/>
      <c r="LT46" s="6785"/>
      <c r="LU46" s="6785"/>
      <c r="LV46" s="6785"/>
      <c r="LW46" s="6785"/>
      <c r="LX46" s="6785"/>
      <c r="LY46" s="6785"/>
      <c r="LZ46" s="6785"/>
      <c r="MA46" s="6785"/>
      <c r="MB46" s="6785"/>
      <c r="MC46" s="6785"/>
      <c r="MD46" s="6785"/>
      <c r="ME46" s="6785"/>
      <c r="MF46" s="6785"/>
      <c r="MH46" s="6033"/>
      <c r="MI46" s="6033"/>
      <c r="MJ46" s="6041"/>
      <c r="MK46" s="6788"/>
      <c r="ML46" s="6788"/>
      <c r="MM46" s="6788"/>
      <c r="MN46" s="6788"/>
      <c r="MO46" s="6788"/>
      <c r="MP46" s="6788"/>
      <c r="MQ46" s="6788"/>
      <c r="MR46" s="6788"/>
      <c r="MS46" s="6788"/>
      <c r="MT46" s="6042"/>
      <c r="MU46" s="6043"/>
      <c r="MY46" s="6040"/>
      <c r="MZ46" s="6785"/>
      <c r="NA46" s="6785"/>
      <c r="NB46" s="6785"/>
      <c r="NC46" s="6785"/>
      <c r="ND46" s="6785"/>
      <c r="NE46" s="6785"/>
      <c r="NF46" s="6785"/>
      <c r="NG46" s="6785"/>
      <c r="NH46" s="6785"/>
      <c r="NI46" s="6785"/>
      <c r="NJ46" s="6785"/>
      <c r="NK46" s="6785"/>
      <c r="NL46" s="6785"/>
      <c r="NM46" s="6785"/>
      <c r="NN46" s="6785"/>
      <c r="NO46" s="6785"/>
      <c r="NP46" s="6785"/>
      <c r="NQ46" s="6785"/>
      <c r="NR46" s="6785"/>
      <c r="NS46" s="6785"/>
      <c r="NT46" s="6785"/>
      <c r="NU46" s="6785"/>
      <c r="NV46" s="6785"/>
      <c r="NW46" s="6785"/>
      <c r="NX46" s="6785"/>
      <c r="NY46" s="6785"/>
      <c r="OA46" s="6033"/>
      <c r="OB46" s="6033"/>
      <c r="OC46" s="6041"/>
      <c r="OD46" s="6788"/>
      <c r="OE46" s="6788"/>
      <c r="OF46" s="6788"/>
      <c r="OG46" s="6788"/>
      <c r="OH46" s="6788"/>
      <c r="OI46" s="6788"/>
      <c r="OJ46" s="6788"/>
      <c r="OK46" s="6788"/>
      <c r="OL46" s="6788"/>
      <c r="OM46" s="6042"/>
      <c r="ON46" s="6043"/>
    </row>
    <row r="47" spans="3:405" s="1466" customFormat="1" ht="9.9499999999999993" customHeight="1" thickBot="1" x14ac:dyDescent="0.25">
      <c r="C47" s="6044"/>
      <c r="D47" s="6045"/>
      <c r="E47" s="6045"/>
      <c r="F47" s="6045"/>
      <c r="G47" s="6045"/>
      <c r="H47" s="6045"/>
      <c r="I47" s="6045"/>
      <c r="J47" s="6045"/>
      <c r="K47" s="6045"/>
      <c r="L47" s="6045"/>
      <c r="M47" s="6045"/>
      <c r="N47" s="6045"/>
      <c r="O47" s="6045"/>
      <c r="P47" s="6045"/>
      <c r="Q47" s="6045"/>
      <c r="R47" s="6045"/>
      <c r="S47" s="6045"/>
      <c r="T47" s="6045"/>
      <c r="U47" s="6045"/>
      <c r="V47" s="6045"/>
      <c r="W47" s="6046"/>
      <c r="X47" s="6046"/>
      <c r="Y47" s="6046"/>
      <c r="Z47" s="6046"/>
      <c r="AA47" s="6046"/>
      <c r="AB47" s="6046"/>
      <c r="AC47" s="6046"/>
      <c r="AD47" s="6046"/>
      <c r="AE47" s="6047"/>
      <c r="AF47" s="6047"/>
      <c r="AG47" s="6047"/>
      <c r="AH47" s="6047"/>
      <c r="AI47" s="6047"/>
      <c r="AJ47" s="6047"/>
      <c r="AK47" s="6047"/>
      <c r="AL47" s="6047"/>
      <c r="AM47" s="6047"/>
      <c r="AN47" s="6047"/>
      <c r="AO47" s="6047"/>
      <c r="AP47" s="6047"/>
      <c r="AQ47" s="6046"/>
      <c r="AR47" s="6048"/>
      <c r="AV47" s="6044"/>
      <c r="AW47" s="6045"/>
      <c r="AX47" s="6045"/>
      <c r="AY47" s="6045"/>
      <c r="AZ47" s="6045"/>
      <c r="BA47" s="6045"/>
      <c r="BB47" s="6045"/>
      <c r="BC47" s="6045"/>
      <c r="BD47" s="6045"/>
      <c r="BE47" s="6045"/>
      <c r="BF47" s="6045"/>
      <c r="BG47" s="6045"/>
      <c r="BH47" s="6045"/>
      <c r="BI47" s="6045"/>
      <c r="BJ47" s="6045"/>
      <c r="BK47" s="6045"/>
      <c r="BL47" s="6045"/>
      <c r="BM47" s="6045"/>
      <c r="BN47" s="6045"/>
      <c r="BO47" s="6045"/>
      <c r="BP47" s="6046"/>
      <c r="BQ47" s="6046"/>
      <c r="BR47" s="6046"/>
      <c r="BS47" s="6046"/>
      <c r="BT47" s="6046"/>
      <c r="BU47" s="6046"/>
      <c r="BV47" s="6046"/>
      <c r="BW47" s="6046"/>
      <c r="BX47" s="6047"/>
      <c r="BY47" s="6047"/>
      <c r="BZ47" s="6047"/>
      <c r="CA47" s="6047"/>
      <c r="CB47" s="6047"/>
      <c r="CC47" s="6047"/>
      <c r="CD47" s="6047"/>
      <c r="CE47" s="6047"/>
      <c r="CF47" s="6047"/>
      <c r="CG47" s="6047"/>
      <c r="CH47" s="6047"/>
      <c r="CI47" s="6047"/>
      <c r="CJ47" s="6046"/>
      <c r="CK47" s="6048"/>
      <c r="CO47" s="6044"/>
      <c r="CP47" s="6045"/>
      <c r="CQ47" s="6045"/>
      <c r="CR47" s="6045"/>
      <c r="CS47" s="6045"/>
      <c r="CT47" s="6045"/>
      <c r="CU47" s="6045"/>
      <c r="CV47" s="6045"/>
      <c r="CW47" s="6045"/>
      <c r="CX47" s="6045"/>
      <c r="CY47" s="6045"/>
      <c r="CZ47" s="6045"/>
      <c r="DA47" s="6045"/>
      <c r="DB47" s="6045"/>
      <c r="DC47" s="6045"/>
      <c r="DD47" s="6045"/>
      <c r="DE47" s="6045"/>
      <c r="DF47" s="6045"/>
      <c r="DG47" s="6045"/>
      <c r="DH47" s="6045"/>
      <c r="DI47" s="6046"/>
      <c r="DJ47" s="6046"/>
      <c r="DK47" s="6046"/>
      <c r="DL47" s="6046"/>
      <c r="DM47" s="6046"/>
      <c r="DN47" s="6046"/>
      <c r="DO47" s="6046"/>
      <c r="DP47" s="6046"/>
      <c r="DQ47" s="6047"/>
      <c r="DR47" s="6047"/>
      <c r="DS47" s="6047"/>
      <c r="DT47" s="6047"/>
      <c r="DU47" s="6047"/>
      <c r="DV47" s="6047"/>
      <c r="DW47" s="6047"/>
      <c r="DX47" s="6047"/>
      <c r="DY47" s="6047"/>
      <c r="DZ47" s="6047"/>
      <c r="EA47" s="6047"/>
      <c r="EB47" s="6047"/>
      <c r="EC47" s="6046"/>
      <c r="ED47" s="6048"/>
      <c r="EH47" s="6044"/>
      <c r="EI47" s="6045"/>
      <c r="EJ47" s="6045"/>
      <c r="EK47" s="6045"/>
      <c r="EL47" s="6045"/>
      <c r="EM47" s="6045"/>
      <c r="EN47" s="6045"/>
      <c r="EO47" s="6045"/>
      <c r="EP47" s="6045"/>
      <c r="EQ47" s="6045"/>
      <c r="ER47" s="6045"/>
      <c r="ES47" s="6045"/>
      <c r="ET47" s="6045"/>
      <c r="EU47" s="6045"/>
      <c r="EV47" s="6045"/>
      <c r="EW47" s="6045"/>
      <c r="EX47" s="6045"/>
      <c r="EY47" s="6045"/>
      <c r="EZ47" s="6045"/>
      <c r="FA47" s="6045"/>
      <c r="FB47" s="6046"/>
      <c r="FC47" s="6046"/>
      <c r="FD47" s="6046"/>
      <c r="FE47" s="6046"/>
      <c r="FF47" s="6046"/>
      <c r="FG47" s="6046"/>
      <c r="FH47" s="6046"/>
      <c r="FI47" s="6046"/>
      <c r="FJ47" s="6047"/>
      <c r="FK47" s="6047"/>
      <c r="FL47" s="6047"/>
      <c r="FM47" s="6047"/>
      <c r="FN47" s="6047"/>
      <c r="FO47" s="6047"/>
      <c r="FP47" s="6047"/>
      <c r="FQ47" s="6047"/>
      <c r="FR47" s="6047"/>
      <c r="FS47" s="6047"/>
      <c r="FT47" s="6047"/>
      <c r="FU47" s="6047"/>
      <c r="FV47" s="6046"/>
      <c r="FW47" s="6048"/>
      <c r="GA47" s="6044"/>
      <c r="GB47" s="6045"/>
      <c r="GC47" s="6045"/>
      <c r="GD47" s="6045"/>
      <c r="GE47" s="6045"/>
      <c r="GF47" s="6045"/>
      <c r="GG47" s="6045"/>
      <c r="GH47" s="6045"/>
      <c r="GI47" s="6045"/>
      <c r="GJ47" s="6045"/>
      <c r="GK47" s="6045"/>
      <c r="GL47" s="6045"/>
      <c r="GM47" s="6045"/>
      <c r="GN47" s="6045"/>
      <c r="GO47" s="6045"/>
      <c r="GP47" s="6045"/>
      <c r="GQ47" s="6045"/>
      <c r="GR47" s="6045"/>
      <c r="GS47" s="6045"/>
      <c r="GT47" s="6045"/>
      <c r="GU47" s="6046"/>
      <c r="GV47" s="6046"/>
      <c r="GW47" s="6046"/>
      <c r="GX47" s="6046"/>
      <c r="GY47" s="6046"/>
      <c r="GZ47" s="6046"/>
      <c r="HA47" s="6046"/>
      <c r="HB47" s="6046"/>
      <c r="HC47" s="6047"/>
      <c r="HD47" s="6047"/>
      <c r="HE47" s="6047"/>
      <c r="HF47" s="6047"/>
      <c r="HG47" s="6047"/>
      <c r="HH47" s="6047"/>
      <c r="HI47" s="6047"/>
      <c r="HJ47" s="6047"/>
      <c r="HK47" s="6047"/>
      <c r="HL47" s="6047"/>
      <c r="HM47" s="6047"/>
      <c r="HN47" s="6047"/>
      <c r="HO47" s="6046"/>
      <c r="HP47" s="6048"/>
      <c r="HT47" s="6044"/>
      <c r="HU47" s="6045"/>
      <c r="HV47" s="6045"/>
      <c r="HW47" s="6045"/>
      <c r="HX47" s="6045"/>
      <c r="HY47" s="6045"/>
      <c r="HZ47" s="6045"/>
      <c r="IA47" s="6045"/>
      <c r="IB47" s="6045"/>
      <c r="IC47" s="6045"/>
      <c r="ID47" s="6045"/>
      <c r="IE47" s="6045"/>
      <c r="IF47" s="6045"/>
      <c r="IG47" s="6045"/>
      <c r="IH47" s="6045"/>
      <c r="II47" s="6045"/>
      <c r="IJ47" s="6045"/>
      <c r="IK47" s="6045"/>
      <c r="IL47" s="6045"/>
      <c r="IM47" s="6045"/>
      <c r="IN47" s="6046"/>
      <c r="IO47" s="6046"/>
      <c r="IP47" s="6046"/>
      <c r="IQ47" s="6046"/>
      <c r="IR47" s="6046"/>
      <c r="IS47" s="6046"/>
      <c r="IT47" s="6046"/>
      <c r="IU47" s="6046"/>
      <c r="IV47" s="6047"/>
      <c r="IW47" s="6047"/>
      <c r="IX47" s="6047"/>
      <c r="IY47" s="6047"/>
      <c r="IZ47" s="6047"/>
      <c r="JA47" s="6047"/>
      <c r="JB47" s="6047"/>
      <c r="JC47" s="6047"/>
      <c r="JD47" s="6047"/>
      <c r="JE47" s="6047"/>
      <c r="JF47" s="6047"/>
      <c r="JG47" s="6047"/>
      <c r="JH47" s="6046"/>
      <c r="JI47" s="6048"/>
      <c r="JM47" s="6044"/>
      <c r="JN47" s="6045"/>
      <c r="JO47" s="6045"/>
      <c r="JP47" s="6045"/>
      <c r="JQ47" s="6045"/>
      <c r="JR47" s="6045"/>
      <c r="JS47" s="6045"/>
      <c r="JT47" s="6045"/>
      <c r="JU47" s="6045"/>
      <c r="JV47" s="6045"/>
      <c r="JW47" s="6045"/>
      <c r="JX47" s="6045"/>
      <c r="JY47" s="6045"/>
      <c r="JZ47" s="6045"/>
      <c r="KA47" s="6045"/>
      <c r="KB47" s="6045"/>
      <c r="KC47" s="6045"/>
      <c r="KD47" s="6045"/>
      <c r="KE47" s="6045"/>
      <c r="KF47" s="6045"/>
      <c r="KG47" s="6046"/>
      <c r="KH47" s="6046"/>
      <c r="KI47" s="6046"/>
      <c r="KJ47" s="6046"/>
      <c r="KK47" s="6046"/>
      <c r="KL47" s="6046"/>
      <c r="KM47" s="6046"/>
      <c r="KN47" s="6046"/>
      <c r="KO47" s="6047"/>
      <c r="KP47" s="6047"/>
      <c r="KQ47" s="6047"/>
      <c r="KR47" s="6047"/>
      <c r="KS47" s="6047"/>
      <c r="KT47" s="6047"/>
      <c r="KU47" s="6047"/>
      <c r="KV47" s="6047"/>
      <c r="KW47" s="6047"/>
      <c r="KX47" s="6047"/>
      <c r="KY47" s="6047"/>
      <c r="KZ47" s="6047"/>
      <c r="LA47" s="6046"/>
      <c r="LB47" s="6048"/>
      <c r="LF47" s="6044"/>
      <c r="LG47" s="6045"/>
      <c r="LH47" s="6045"/>
      <c r="LI47" s="6045"/>
      <c r="LJ47" s="6045"/>
      <c r="LK47" s="6045"/>
      <c r="LL47" s="6045"/>
      <c r="LM47" s="6045"/>
      <c r="LN47" s="6045"/>
      <c r="LO47" s="6045"/>
      <c r="LP47" s="6045"/>
      <c r="LQ47" s="6045"/>
      <c r="LR47" s="6045"/>
      <c r="LS47" s="6045"/>
      <c r="LT47" s="6045"/>
      <c r="LU47" s="6045"/>
      <c r="LV47" s="6045"/>
      <c r="LW47" s="6045"/>
      <c r="LX47" s="6045"/>
      <c r="LY47" s="6045"/>
      <c r="LZ47" s="6046"/>
      <c r="MA47" s="6046"/>
      <c r="MB47" s="6046"/>
      <c r="MC47" s="6046"/>
      <c r="MD47" s="6046"/>
      <c r="ME47" s="6046"/>
      <c r="MF47" s="6046"/>
      <c r="MG47" s="6046"/>
      <c r="MH47" s="6047"/>
      <c r="MI47" s="6047"/>
      <c r="MJ47" s="6047"/>
      <c r="MK47" s="6047"/>
      <c r="ML47" s="6047"/>
      <c r="MM47" s="6047"/>
      <c r="MN47" s="6047"/>
      <c r="MO47" s="6047"/>
      <c r="MP47" s="6047"/>
      <c r="MQ47" s="6047"/>
      <c r="MR47" s="6047"/>
      <c r="MS47" s="6047"/>
      <c r="MT47" s="6046"/>
      <c r="MU47" s="6048"/>
      <c r="MY47" s="6044"/>
      <c r="MZ47" s="6045"/>
      <c r="NA47" s="6045"/>
      <c r="NB47" s="6045"/>
      <c r="NC47" s="6045"/>
      <c r="ND47" s="6045"/>
      <c r="NE47" s="6045"/>
      <c r="NF47" s="6045"/>
      <c r="NG47" s="6045"/>
      <c r="NH47" s="6045"/>
      <c r="NI47" s="6045"/>
      <c r="NJ47" s="6045"/>
      <c r="NK47" s="6045"/>
      <c r="NL47" s="6045"/>
      <c r="NM47" s="6045"/>
      <c r="NN47" s="6045"/>
      <c r="NO47" s="6045"/>
      <c r="NP47" s="6045"/>
      <c r="NQ47" s="6045"/>
      <c r="NR47" s="6045"/>
      <c r="NS47" s="6046"/>
      <c r="NT47" s="6046"/>
      <c r="NU47" s="6046"/>
      <c r="NV47" s="6046"/>
      <c r="NW47" s="6046"/>
      <c r="NX47" s="6046"/>
      <c r="NY47" s="6046"/>
      <c r="NZ47" s="6046"/>
      <c r="OA47" s="6047"/>
      <c r="OB47" s="6047"/>
      <c r="OC47" s="6047"/>
      <c r="OD47" s="6047"/>
      <c r="OE47" s="6047"/>
      <c r="OF47" s="6047"/>
      <c r="OG47" s="6047"/>
      <c r="OH47" s="6047"/>
      <c r="OI47" s="6047"/>
      <c r="OJ47" s="6047"/>
      <c r="OK47" s="6047"/>
      <c r="OL47" s="6047"/>
      <c r="OM47" s="6046"/>
      <c r="ON47" s="6048"/>
    </row>
    <row r="48" spans="3:405" ht="9.9499999999999993" customHeight="1" thickBot="1" x14ac:dyDescent="0.25">
      <c r="D48" s="6091"/>
      <c r="AW48" s="6091"/>
      <c r="CP48" s="6091"/>
      <c r="EI48" s="6091"/>
      <c r="GB48" s="6091"/>
      <c r="HU48" s="6091"/>
      <c r="JN48" s="6091"/>
      <c r="LG48" s="6091"/>
      <c r="MZ48" s="6091"/>
    </row>
    <row r="49" spans="3:404" ht="15" customHeight="1" x14ac:dyDescent="0.2">
      <c r="C49" s="6049"/>
      <c r="D49" s="6050"/>
      <c r="E49" s="6050"/>
      <c r="F49" s="6050"/>
      <c r="G49" s="6050"/>
      <c r="H49" s="6050"/>
      <c r="I49" s="6050"/>
      <c r="J49" s="6050"/>
      <c r="K49" s="6050"/>
      <c r="L49" s="6050"/>
      <c r="M49" s="6050"/>
      <c r="N49" s="6050"/>
      <c r="O49" s="6050"/>
      <c r="P49" s="6050"/>
      <c r="Q49" s="6050"/>
      <c r="R49" s="6050"/>
      <c r="S49" s="6050"/>
      <c r="T49" s="6050"/>
      <c r="U49" s="6050"/>
      <c r="V49" s="6050"/>
      <c r="W49" s="6050"/>
      <c r="X49" s="6050"/>
      <c r="Y49" s="6050"/>
      <c r="Z49" s="6050"/>
      <c r="AA49" s="6050"/>
      <c r="AB49" s="6050"/>
      <c r="AC49" s="6050"/>
      <c r="AD49" s="6050"/>
      <c r="AE49" s="6050"/>
      <c r="AF49" s="6050"/>
      <c r="AG49" s="6050"/>
      <c r="AH49" s="6050"/>
      <c r="AI49" s="6050"/>
      <c r="AJ49" s="6050"/>
      <c r="AK49" s="6050"/>
      <c r="AL49" s="6050"/>
      <c r="AM49" s="6050"/>
      <c r="AN49" s="6050"/>
      <c r="AO49" s="6050"/>
      <c r="AP49" s="6050"/>
      <c r="AQ49" s="6050"/>
      <c r="AR49" s="6052"/>
      <c r="AV49" s="6049"/>
      <c r="AW49" s="6050"/>
      <c r="AX49" s="6050"/>
      <c r="AY49" s="6050"/>
      <c r="AZ49" s="6050"/>
      <c r="BA49" s="6050"/>
      <c r="BB49" s="6050"/>
      <c r="BC49" s="6050"/>
      <c r="BD49" s="6050"/>
      <c r="BE49" s="6050"/>
      <c r="BF49" s="6050"/>
      <c r="BG49" s="6050"/>
      <c r="BH49" s="6050"/>
      <c r="BI49" s="6050"/>
      <c r="BJ49" s="6050"/>
      <c r="BK49" s="6050"/>
      <c r="BL49" s="6050"/>
      <c r="BM49" s="6050"/>
      <c r="BN49" s="6050"/>
      <c r="BO49" s="6050"/>
      <c r="BP49" s="6050"/>
      <c r="BQ49" s="6050"/>
      <c r="BR49" s="6050"/>
      <c r="BS49" s="6050"/>
      <c r="BT49" s="6050"/>
      <c r="BU49" s="6050"/>
      <c r="BV49" s="6050"/>
      <c r="BW49" s="6050"/>
      <c r="BX49" s="6050"/>
      <c r="BY49" s="6050"/>
      <c r="BZ49" s="6050"/>
      <c r="CA49" s="6050"/>
      <c r="CB49" s="6050"/>
      <c r="CC49" s="6050"/>
      <c r="CD49" s="6050"/>
      <c r="CE49" s="6050"/>
      <c r="CF49" s="6050"/>
      <c r="CG49" s="6050"/>
      <c r="CH49" s="6050"/>
      <c r="CI49" s="6050"/>
      <c r="CJ49" s="6050"/>
      <c r="CK49" s="6052"/>
      <c r="CO49" s="6049"/>
      <c r="CP49" s="6050"/>
      <c r="CQ49" s="6050"/>
      <c r="CR49" s="6050"/>
      <c r="CS49" s="6050"/>
      <c r="CT49" s="6050"/>
      <c r="CU49" s="6050"/>
      <c r="CV49" s="6050"/>
      <c r="CW49" s="6050"/>
      <c r="CX49" s="6050"/>
      <c r="CY49" s="6050"/>
      <c r="CZ49" s="6050"/>
      <c r="DA49" s="6050"/>
      <c r="DB49" s="6050"/>
      <c r="DC49" s="6050"/>
      <c r="DD49" s="6050"/>
      <c r="DE49" s="6050"/>
      <c r="DF49" s="6050"/>
      <c r="DG49" s="6050"/>
      <c r="DH49" s="6050"/>
      <c r="DI49" s="6050"/>
      <c r="DJ49" s="6050"/>
      <c r="DK49" s="6050"/>
      <c r="DL49" s="6050"/>
      <c r="DM49" s="6050"/>
      <c r="DN49" s="6050"/>
      <c r="DO49" s="6050"/>
      <c r="DP49" s="6050"/>
      <c r="DQ49" s="6050"/>
      <c r="DR49" s="6050"/>
      <c r="DS49" s="6050"/>
      <c r="DT49" s="6050"/>
      <c r="DU49" s="6050"/>
      <c r="DV49" s="6050"/>
      <c r="DW49" s="6050"/>
      <c r="DX49" s="6050"/>
      <c r="DY49" s="6050"/>
      <c r="DZ49" s="6050"/>
      <c r="EA49" s="6050"/>
      <c r="EB49" s="6050"/>
      <c r="EC49" s="6050"/>
      <c r="ED49" s="6052"/>
      <c r="EH49" s="6049"/>
      <c r="EI49" s="6050"/>
      <c r="EJ49" s="6050"/>
      <c r="EK49" s="6050"/>
      <c r="EL49" s="6050"/>
      <c r="EM49" s="6050"/>
      <c r="EN49" s="6050"/>
      <c r="EO49" s="6050"/>
      <c r="EP49" s="6050"/>
      <c r="EQ49" s="6050"/>
      <c r="ER49" s="6050"/>
      <c r="ES49" s="6050"/>
      <c r="ET49" s="6050"/>
      <c r="EU49" s="6050"/>
      <c r="EV49" s="6050"/>
      <c r="EW49" s="6050"/>
      <c r="EX49" s="6050"/>
      <c r="EY49" s="6050"/>
      <c r="EZ49" s="6050"/>
      <c r="FA49" s="6050"/>
      <c r="FB49" s="6050"/>
      <c r="FC49" s="6050"/>
      <c r="FD49" s="6050"/>
      <c r="FE49" s="6050"/>
      <c r="FF49" s="6050"/>
      <c r="FG49" s="6050"/>
      <c r="FH49" s="6050"/>
      <c r="FI49" s="6050"/>
      <c r="FJ49" s="6050"/>
      <c r="FK49" s="6050"/>
      <c r="FL49" s="6050"/>
      <c r="FM49" s="6050"/>
      <c r="FN49" s="6050"/>
      <c r="FO49" s="6050"/>
      <c r="FP49" s="6050"/>
      <c r="FQ49" s="6050"/>
      <c r="FR49" s="6050"/>
      <c r="FS49" s="6050"/>
      <c r="FT49" s="6050"/>
      <c r="FU49" s="6050"/>
      <c r="FV49" s="6050"/>
      <c r="FW49" s="6052"/>
      <c r="GA49" s="6049"/>
      <c r="GB49" s="6050"/>
      <c r="GC49" s="6050"/>
      <c r="GD49" s="6050"/>
      <c r="GE49" s="6050"/>
      <c r="GF49" s="6050"/>
      <c r="GG49" s="6050"/>
      <c r="GH49" s="6050"/>
      <c r="GI49" s="6050"/>
      <c r="GJ49" s="6050"/>
      <c r="GK49" s="6050"/>
      <c r="GL49" s="6050"/>
      <c r="GM49" s="6050"/>
      <c r="GN49" s="6050"/>
      <c r="GO49" s="6050"/>
      <c r="GP49" s="6050"/>
      <c r="GQ49" s="6050"/>
      <c r="GR49" s="6050"/>
      <c r="GS49" s="6050"/>
      <c r="GT49" s="6050"/>
      <c r="GU49" s="6050"/>
      <c r="GV49" s="6050"/>
      <c r="GW49" s="6050"/>
      <c r="GX49" s="6050"/>
      <c r="GY49" s="6050"/>
      <c r="GZ49" s="6050"/>
      <c r="HA49" s="6050"/>
      <c r="HB49" s="6050"/>
      <c r="HC49" s="6050"/>
      <c r="HD49" s="6050"/>
      <c r="HE49" s="6050"/>
      <c r="HF49" s="6050"/>
      <c r="HG49" s="6050"/>
      <c r="HH49" s="6050"/>
      <c r="HI49" s="6050"/>
      <c r="HJ49" s="6050"/>
      <c r="HK49" s="6050"/>
      <c r="HL49" s="6050"/>
      <c r="HM49" s="6050"/>
      <c r="HN49" s="6050"/>
      <c r="HO49" s="6050"/>
      <c r="HP49" s="6052"/>
      <c r="HT49" s="6049"/>
      <c r="HU49" s="6050"/>
      <c r="HV49" s="6050"/>
      <c r="HW49" s="6050"/>
      <c r="HX49" s="6050"/>
      <c r="HY49" s="6050"/>
      <c r="HZ49" s="6050"/>
      <c r="IA49" s="6050"/>
      <c r="IB49" s="6050"/>
      <c r="IC49" s="6050"/>
      <c r="ID49" s="6050"/>
      <c r="IE49" s="6050"/>
      <c r="IF49" s="6050"/>
      <c r="IG49" s="6050"/>
      <c r="IH49" s="6050"/>
      <c r="II49" s="6050"/>
      <c r="IJ49" s="6050"/>
      <c r="IK49" s="6050"/>
      <c r="IL49" s="6050"/>
      <c r="IM49" s="6050"/>
      <c r="IN49" s="6050"/>
      <c r="IO49" s="6050"/>
      <c r="IP49" s="6050"/>
      <c r="IQ49" s="6050"/>
      <c r="IR49" s="6050"/>
      <c r="IS49" s="6050"/>
      <c r="IT49" s="6050"/>
      <c r="IU49" s="6050"/>
      <c r="IV49" s="6050"/>
      <c r="IW49" s="6050"/>
      <c r="IX49" s="6050"/>
      <c r="IY49" s="6050"/>
      <c r="IZ49" s="6050"/>
      <c r="JA49" s="6050"/>
      <c r="JB49" s="6050"/>
      <c r="JC49" s="6050"/>
      <c r="JD49" s="6050"/>
      <c r="JE49" s="6050"/>
      <c r="JF49" s="6050"/>
      <c r="JG49" s="6050"/>
      <c r="JH49" s="6050"/>
      <c r="JI49" s="6052"/>
      <c r="JM49" s="6049"/>
      <c r="JN49" s="6050"/>
      <c r="JO49" s="6050"/>
      <c r="JP49" s="6050"/>
      <c r="JQ49" s="6050"/>
      <c r="JR49" s="6050"/>
      <c r="JS49" s="6050"/>
      <c r="JT49" s="6050"/>
      <c r="JU49" s="6050"/>
      <c r="JV49" s="6050"/>
      <c r="JW49" s="6050"/>
      <c r="JX49" s="6050"/>
      <c r="JY49" s="6050"/>
      <c r="JZ49" s="6050"/>
      <c r="KA49" s="6050"/>
      <c r="KB49" s="6050"/>
      <c r="KC49" s="6050"/>
      <c r="KD49" s="6050"/>
      <c r="KE49" s="6050"/>
      <c r="KF49" s="6050"/>
      <c r="KG49" s="6050"/>
      <c r="KH49" s="6050"/>
      <c r="KI49" s="6050"/>
      <c r="KJ49" s="6050"/>
      <c r="KK49" s="6050"/>
      <c r="KL49" s="6050"/>
      <c r="KM49" s="6050"/>
      <c r="KN49" s="6050"/>
      <c r="KO49" s="6050"/>
      <c r="KP49" s="6050"/>
      <c r="KQ49" s="6050"/>
      <c r="KR49" s="6050"/>
      <c r="KS49" s="6050"/>
      <c r="KT49" s="6050"/>
      <c r="KU49" s="6050"/>
      <c r="KV49" s="6050"/>
      <c r="KW49" s="6050"/>
      <c r="KX49" s="6050"/>
      <c r="KY49" s="6050"/>
      <c r="KZ49" s="6050"/>
      <c r="LA49" s="6050"/>
      <c r="LB49" s="6052"/>
      <c r="LF49" s="6049"/>
      <c r="LG49" s="6050"/>
      <c r="LH49" s="6050"/>
      <c r="LI49" s="6050"/>
      <c r="LJ49" s="6050"/>
      <c r="LK49" s="6050"/>
      <c r="LL49" s="6050"/>
      <c r="LM49" s="6050"/>
      <c r="LN49" s="6050"/>
      <c r="LO49" s="6050"/>
      <c r="LP49" s="6050"/>
      <c r="LQ49" s="6050"/>
      <c r="LR49" s="6050"/>
      <c r="LS49" s="6050"/>
      <c r="LT49" s="6050"/>
      <c r="LU49" s="6050"/>
      <c r="LV49" s="6050"/>
      <c r="LW49" s="6050"/>
      <c r="LX49" s="6050"/>
      <c r="LY49" s="6050"/>
      <c r="LZ49" s="6050"/>
      <c r="MA49" s="6050"/>
      <c r="MB49" s="6050"/>
      <c r="MC49" s="6050"/>
      <c r="MD49" s="6050"/>
      <c r="ME49" s="6050"/>
      <c r="MF49" s="6050"/>
      <c r="MG49" s="6050"/>
      <c r="MH49" s="6050"/>
      <c r="MI49" s="6050"/>
      <c r="MJ49" s="6050"/>
      <c r="MK49" s="6050"/>
      <c r="ML49" s="6050"/>
      <c r="MM49" s="6050"/>
      <c r="MN49" s="6050"/>
      <c r="MO49" s="6050"/>
      <c r="MP49" s="6050"/>
      <c r="MQ49" s="6050"/>
      <c r="MR49" s="6050"/>
      <c r="MS49" s="6050"/>
      <c r="MT49" s="6050"/>
      <c r="MU49" s="6052"/>
      <c r="MY49" s="6049"/>
      <c r="MZ49" s="6050"/>
      <c r="NA49" s="6050"/>
      <c r="NB49" s="6050"/>
      <c r="NC49" s="6050"/>
      <c r="ND49" s="6050"/>
      <c r="NE49" s="6050"/>
      <c r="NF49" s="6050"/>
      <c r="NG49" s="6050"/>
      <c r="NH49" s="6050"/>
      <c r="NI49" s="6050"/>
      <c r="NJ49" s="6050"/>
      <c r="NK49" s="6050"/>
      <c r="NL49" s="6050"/>
      <c r="NM49" s="6050"/>
      <c r="NN49" s="6050"/>
      <c r="NO49" s="6050"/>
      <c r="NP49" s="6050"/>
      <c r="NQ49" s="6050"/>
      <c r="NR49" s="6050"/>
      <c r="NS49" s="6050"/>
      <c r="NT49" s="6050"/>
      <c r="NU49" s="6050"/>
      <c r="NV49" s="6050"/>
      <c r="NW49" s="6050"/>
      <c r="NX49" s="6050"/>
      <c r="NY49" s="6050"/>
      <c r="NZ49" s="6050"/>
      <c r="OA49" s="6050"/>
      <c r="OB49" s="6050"/>
      <c r="OC49" s="6050"/>
      <c r="OD49" s="6050"/>
      <c r="OE49" s="6050"/>
      <c r="OF49" s="6050"/>
      <c r="OG49" s="6050"/>
      <c r="OH49" s="6050"/>
      <c r="OI49" s="6050"/>
      <c r="OJ49" s="6050"/>
      <c r="OK49" s="6050"/>
      <c r="OL49" s="6050"/>
      <c r="OM49" s="6050"/>
      <c r="ON49" s="6052"/>
    </row>
    <row r="50" spans="3:404" s="21" customFormat="1" ht="20.100000000000001" customHeight="1" x14ac:dyDescent="0.2">
      <c r="C50" s="6053"/>
      <c r="D50" s="6783" t="str">
        <f>_Calcs!$IK$125</f>
        <v>Justeringer</v>
      </c>
      <c r="E50" s="6783"/>
      <c r="F50" s="6783"/>
      <c r="G50" s="6783"/>
      <c r="H50" s="6783"/>
      <c r="I50" s="6783"/>
      <c r="J50" s="6783"/>
      <c r="K50" s="6783"/>
      <c r="L50" s="6783"/>
      <c r="M50" s="6783"/>
      <c r="N50" s="6783"/>
      <c r="O50" s="6783"/>
      <c r="P50" s="6783"/>
      <c r="Q50" s="6783"/>
      <c r="R50" s="6783"/>
      <c r="S50" s="6783"/>
      <c r="T50" s="6783"/>
      <c r="U50" s="6783"/>
      <c r="V50" s="6783"/>
      <c r="W50" s="6783"/>
      <c r="X50" s="6783"/>
      <c r="Y50" s="6783"/>
      <c r="Z50" s="6783"/>
      <c r="AA50" s="6783"/>
      <c r="AB50" s="6783"/>
      <c r="AC50" s="6783"/>
      <c r="AD50" s="6783"/>
      <c r="AE50" s="6783"/>
      <c r="AF50" s="6783"/>
      <c r="AG50" s="6783"/>
      <c r="AH50" s="6783"/>
      <c r="AI50" s="6783"/>
      <c r="AJ50" s="6783"/>
      <c r="AK50" s="6783"/>
      <c r="AL50" s="6783"/>
      <c r="AM50" s="6783"/>
      <c r="AN50" s="6783"/>
      <c r="AO50" s="6783"/>
      <c r="AP50" s="6783"/>
      <c r="AQ50" s="6783"/>
      <c r="AR50" s="6054"/>
      <c r="AV50" s="6053"/>
      <c r="AW50" s="6783" t="str">
        <f>_Calcs!$IL$125</f>
        <v>Justeringer</v>
      </c>
      <c r="AX50" s="6783"/>
      <c r="AY50" s="6783"/>
      <c r="AZ50" s="6783"/>
      <c r="BA50" s="6783"/>
      <c r="BB50" s="6783"/>
      <c r="BC50" s="6783"/>
      <c r="BD50" s="6783"/>
      <c r="BE50" s="6783"/>
      <c r="BF50" s="6783"/>
      <c r="BG50" s="6783"/>
      <c r="BH50" s="6783"/>
      <c r="BI50" s="6783"/>
      <c r="BJ50" s="6783"/>
      <c r="BK50" s="6783"/>
      <c r="BL50" s="6783"/>
      <c r="BM50" s="6783"/>
      <c r="BN50" s="6783"/>
      <c r="BO50" s="6783"/>
      <c r="BP50" s="6783"/>
      <c r="BQ50" s="6783"/>
      <c r="BR50" s="6783"/>
      <c r="BS50" s="6783"/>
      <c r="BT50" s="6783"/>
      <c r="BU50" s="6783"/>
      <c r="BV50" s="6783"/>
      <c r="BW50" s="6783"/>
      <c r="BX50" s="6783"/>
      <c r="BY50" s="6783"/>
      <c r="BZ50" s="6783"/>
      <c r="CA50" s="6783"/>
      <c r="CB50" s="6783"/>
      <c r="CC50" s="6783"/>
      <c r="CD50" s="6783"/>
      <c r="CE50" s="6783"/>
      <c r="CF50" s="6783"/>
      <c r="CG50" s="6783"/>
      <c r="CH50" s="6783"/>
      <c r="CI50" s="6783"/>
      <c r="CJ50" s="6783"/>
      <c r="CK50" s="6054"/>
      <c r="CO50" s="6053"/>
      <c r="CP50" s="6783" t="str">
        <f>_Calcs!$IM$125</f>
        <v>Justeringer</v>
      </c>
      <c r="CQ50" s="6783"/>
      <c r="CR50" s="6783"/>
      <c r="CS50" s="6783"/>
      <c r="CT50" s="6783"/>
      <c r="CU50" s="6783"/>
      <c r="CV50" s="6783"/>
      <c r="CW50" s="6783"/>
      <c r="CX50" s="6783"/>
      <c r="CY50" s="6783"/>
      <c r="CZ50" s="6783"/>
      <c r="DA50" s="6783"/>
      <c r="DB50" s="6783"/>
      <c r="DC50" s="6783"/>
      <c r="DD50" s="6783"/>
      <c r="DE50" s="6783"/>
      <c r="DF50" s="6783"/>
      <c r="DG50" s="6783"/>
      <c r="DH50" s="6783"/>
      <c r="DI50" s="6783"/>
      <c r="DJ50" s="6783"/>
      <c r="DK50" s="6783"/>
      <c r="DL50" s="6783"/>
      <c r="DM50" s="6783"/>
      <c r="DN50" s="6783"/>
      <c r="DO50" s="6783"/>
      <c r="DP50" s="6783"/>
      <c r="DQ50" s="6783"/>
      <c r="DR50" s="6783"/>
      <c r="DS50" s="6783"/>
      <c r="DT50" s="6783"/>
      <c r="DU50" s="6783"/>
      <c r="DV50" s="6783"/>
      <c r="DW50" s="6783"/>
      <c r="DX50" s="6783"/>
      <c r="DY50" s="6783"/>
      <c r="DZ50" s="6783"/>
      <c r="EA50" s="6783"/>
      <c r="EB50" s="6783"/>
      <c r="EC50" s="6783"/>
      <c r="ED50" s="6054"/>
      <c r="EH50" s="6053"/>
      <c r="EI50" s="6783" t="str">
        <f>_Calcs!$IN$125</f>
        <v>Justeringer</v>
      </c>
      <c r="EJ50" s="6783"/>
      <c r="EK50" s="6783"/>
      <c r="EL50" s="6783"/>
      <c r="EM50" s="6783"/>
      <c r="EN50" s="6783"/>
      <c r="EO50" s="6783"/>
      <c r="EP50" s="6783"/>
      <c r="EQ50" s="6783"/>
      <c r="ER50" s="6783"/>
      <c r="ES50" s="6783"/>
      <c r="ET50" s="6783"/>
      <c r="EU50" s="6783"/>
      <c r="EV50" s="6783"/>
      <c r="EW50" s="6783"/>
      <c r="EX50" s="6783"/>
      <c r="EY50" s="6783"/>
      <c r="EZ50" s="6783"/>
      <c r="FA50" s="6783"/>
      <c r="FB50" s="6783"/>
      <c r="FC50" s="6783"/>
      <c r="FD50" s="6783"/>
      <c r="FE50" s="6783"/>
      <c r="FF50" s="6783"/>
      <c r="FG50" s="6783"/>
      <c r="FH50" s="6783"/>
      <c r="FI50" s="6783"/>
      <c r="FJ50" s="6783"/>
      <c r="FK50" s="6783"/>
      <c r="FL50" s="6783"/>
      <c r="FM50" s="6783"/>
      <c r="FN50" s="6783"/>
      <c r="FO50" s="6783"/>
      <c r="FP50" s="6783"/>
      <c r="FQ50" s="6783"/>
      <c r="FR50" s="6783"/>
      <c r="FS50" s="6783"/>
      <c r="FT50" s="6783"/>
      <c r="FU50" s="6783"/>
      <c r="FV50" s="6783"/>
      <c r="FW50" s="6054"/>
      <c r="GA50" s="6053"/>
      <c r="GB50" s="6783" t="str">
        <f>_Calcs!$IO$125</f>
        <v>Justeringer</v>
      </c>
      <c r="GC50" s="6783"/>
      <c r="GD50" s="6783"/>
      <c r="GE50" s="6783"/>
      <c r="GF50" s="6783"/>
      <c r="GG50" s="6783"/>
      <c r="GH50" s="6783"/>
      <c r="GI50" s="6783"/>
      <c r="GJ50" s="6783"/>
      <c r="GK50" s="6783"/>
      <c r="GL50" s="6783"/>
      <c r="GM50" s="6783"/>
      <c r="GN50" s="6783"/>
      <c r="GO50" s="6783"/>
      <c r="GP50" s="6783"/>
      <c r="GQ50" s="6783"/>
      <c r="GR50" s="6783"/>
      <c r="GS50" s="6783"/>
      <c r="GT50" s="6783"/>
      <c r="GU50" s="6783"/>
      <c r="GV50" s="6783"/>
      <c r="GW50" s="6783"/>
      <c r="GX50" s="6783"/>
      <c r="GY50" s="6783"/>
      <c r="GZ50" s="6783"/>
      <c r="HA50" s="6783"/>
      <c r="HB50" s="6783"/>
      <c r="HC50" s="6783"/>
      <c r="HD50" s="6783"/>
      <c r="HE50" s="6783"/>
      <c r="HF50" s="6783"/>
      <c r="HG50" s="6783"/>
      <c r="HH50" s="6783"/>
      <c r="HI50" s="6783"/>
      <c r="HJ50" s="6783"/>
      <c r="HK50" s="6783"/>
      <c r="HL50" s="6783"/>
      <c r="HM50" s="6783"/>
      <c r="HN50" s="6783"/>
      <c r="HO50" s="6783"/>
      <c r="HP50" s="6054"/>
      <c r="HT50" s="6053"/>
      <c r="HU50" s="6783" t="str">
        <f>_Calcs!$IP$125</f>
        <v>Justeringer</v>
      </c>
      <c r="HV50" s="6783"/>
      <c r="HW50" s="6783"/>
      <c r="HX50" s="6783"/>
      <c r="HY50" s="6783"/>
      <c r="HZ50" s="6783"/>
      <c r="IA50" s="6783"/>
      <c r="IB50" s="6783"/>
      <c r="IC50" s="6783"/>
      <c r="ID50" s="6783"/>
      <c r="IE50" s="6783"/>
      <c r="IF50" s="6783"/>
      <c r="IG50" s="6783"/>
      <c r="IH50" s="6783"/>
      <c r="II50" s="6783"/>
      <c r="IJ50" s="6783"/>
      <c r="IK50" s="6783"/>
      <c r="IL50" s="6783"/>
      <c r="IM50" s="6783"/>
      <c r="IN50" s="6783"/>
      <c r="IO50" s="6783"/>
      <c r="IP50" s="6783"/>
      <c r="IQ50" s="6783"/>
      <c r="IR50" s="6783"/>
      <c r="IS50" s="6783"/>
      <c r="IT50" s="6783"/>
      <c r="IU50" s="6783"/>
      <c r="IV50" s="6783"/>
      <c r="IW50" s="6783"/>
      <c r="IX50" s="6783"/>
      <c r="IY50" s="6783"/>
      <c r="IZ50" s="6783"/>
      <c r="JA50" s="6783"/>
      <c r="JB50" s="6783"/>
      <c r="JC50" s="6783"/>
      <c r="JD50" s="6783"/>
      <c r="JE50" s="6783"/>
      <c r="JF50" s="6783"/>
      <c r="JG50" s="6783"/>
      <c r="JH50" s="6783"/>
      <c r="JI50" s="6054"/>
      <c r="JM50" s="6053"/>
      <c r="JN50" s="6783" t="str">
        <f>_Calcs!$IQ$125</f>
        <v>Justeringer</v>
      </c>
      <c r="JO50" s="6783"/>
      <c r="JP50" s="6783"/>
      <c r="JQ50" s="6783"/>
      <c r="JR50" s="6783"/>
      <c r="JS50" s="6783"/>
      <c r="JT50" s="6783"/>
      <c r="JU50" s="6783"/>
      <c r="JV50" s="6783"/>
      <c r="JW50" s="6783"/>
      <c r="JX50" s="6783"/>
      <c r="JY50" s="6783"/>
      <c r="JZ50" s="6783"/>
      <c r="KA50" s="6783"/>
      <c r="KB50" s="6783"/>
      <c r="KC50" s="6783"/>
      <c r="KD50" s="6783"/>
      <c r="KE50" s="6783"/>
      <c r="KF50" s="6783"/>
      <c r="KG50" s="6783"/>
      <c r="KH50" s="6783"/>
      <c r="KI50" s="6783"/>
      <c r="KJ50" s="6783"/>
      <c r="KK50" s="6783"/>
      <c r="KL50" s="6783"/>
      <c r="KM50" s="6783"/>
      <c r="KN50" s="6783"/>
      <c r="KO50" s="6783"/>
      <c r="KP50" s="6783"/>
      <c r="KQ50" s="6783"/>
      <c r="KR50" s="6783"/>
      <c r="KS50" s="6783"/>
      <c r="KT50" s="6783"/>
      <c r="KU50" s="6783"/>
      <c r="KV50" s="6783"/>
      <c r="KW50" s="6783"/>
      <c r="KX50" s="6783"/>
      <c r="KY50" s="6783"/>
      <c r="KZ50" s="6783"/>
      <c r="LA50" s="6783"/>
      <c r="LB50" s="6054"/>
      <c r="LF50" s="6053"/>
      <c r="LG50" s="6783" t="str">
        <f>_Calcs!$IR$125</f>
        <v>Justeringer</v>
      </c>
      <c r="LH50" s="6783"/>
      <c r="LI50" s="6783"/>
      <c r="LJ50" s="6783"/>
      <c r="LK50" s="6783"/>
      <c r="LL50" s="6783"/>
      <c r="LM50" s="6783"/>
      <c r="LN50" s="6783"/>
      <c r="LO50" s="6783"/>
      <c r="LP50" s="6783"/>
      <c r="LQ50" s="6783"/>
      <c r="LR50" s="6783"/>
      <c r="LS50" s="6783"/>
      <c r="LT50" s="6783"/>
      <c r="LU50" s="6783"/>
      <c r="LV50" s="6783"/>
      <c r="LW50" s="6783"/>
      <c r="LX50" s="6783"/>
      <c r="LY50" s="6783"/>
      <c r="LZ50" s="6783"/>
      <c r="MA50" s="6783"/>
      <c r="MB50" s="6783"/>
      <c r="MC50" s="6783"/>
      <c r="MD50" s="6783"/>
      <c r="ME50" s="6783"/>
      <c r="MF50" s="6783"/>
      <c r="MG50" s="6783"/>
      <c r="MH50" s="6783"/>
      <c r="MI50" s="6783"/>
      <c r="MJ50" s="6783"/>
      <c r="MK50" s="6783"/>
      <c r="ML50" s="6783"/>
      <c r="MM50" s="6783"/>
      <c r="MN50" s="6783"/>
      <c r="MO50" s="6783"/>
      <c r="MP50" s="6783"/>
      <c r="MQ50" s="6783"/>
      <c r="MR50" s="6783"/>
      <c r="MS50" s="6783"/>
      <c r="MT50" s="6783"/>
      <c r="MU50" s="6054"/>
      <c r="MY50" s="6053"/>
      <c r="MZ50" s="6783" t="str">
        <f>_Calcs!$IS$125</f>
        <v>Justeringer</v>
      </c>
      <c r="NA50" s="6783"/>
      <c r="NB50" s="6783"/>
      <c r="NC50" s="6783"/>
      <c r="ND50" s="6783"/>
      <c r="NE50" s="6783"/>
      <c r="NF50" s="6783"/>
      <c r="NG50" s="6783"/>
      <c r="NH50" s="6783"/>
      <c r="NI50" s="6783"/>
      <c r="NJ50" s="6783"/>
      <c r="NK50" s="6783"/>
      <c r="NL50" s="6783"/>
      <c r="NM50" s="6783"/>
      <c r="NN50" s="6783"/>
      <c r="NO50" s="6783"/>
      <c r="NP50" s="6783"/>
      <c r="NQ50" s="6783"/>
      <c r="NR50" s="6783"/>
      <c r="NS50" s="6783"/>
      <c r="NT50" s="6783"/>
      <c r="NU50" s="6783"/>
      <c r="NV50" s="6783"/>
      <c r="NW50" s="6783"/>
      <c r="NX50" s="6783"/>
      <c r="NY50" s="6783"/>
      <c r="NZ50" s="6783"/>
      <c r="OA50" s="6783"/>
      <c r="OB50" s="6783"/>
      <c r="OC50" s="6783"/>
      <c r="OD50" s="6783"/>
      <c r="OE50" s="6783"/>
      <c r="OF50" s="6783"/>
      <c r="OG50" s="6783"/>
      <c r="OH50" s="6783"/>
      <c r="OI50" s="6783"/>
      <c r="OJ50" s="6783"/>
      <c r="OK50" s="6783"/>
      <c r="OL50" s="6783"/>
      <c r="OM50" s="6783"/>
      <c r="ON50" s="6054"/>
    </row>
    <row r="51" spans="3:404" ht="5.0999999999999996" customHeight="1" x14ac:dyDescent="0.2">
      <c r="C51" s="6055"/>
      <c r="D51" s="6056"/>
      <c r="E51" s="6056"/>
      <c r="F51" s="6056"/>
      <c r="G51" s="6056"/>
      <c r="H51" s="6056"/>
      <c r="I51" s="6056"/>
      <c r="J51" s="6056"/>
      <c r="K51" s="6056"/>
      <c r="L51" s="6056"/>
      <c r="M51" s="6056"/>
      <c r="N51" s="6056"/>
      <c r="O51" s="6056"/>
      <c r="P51" s="6056"/>
      <c r="Q51" s="6056"/>
      <c r="R51" s="6056"/>
      <c r="S51" s="6056"/>
      <c r="T51" s="6056"/>
      <c r="U51" s="6056"/>
      <c r="V51" s="6056"/>
      <c r="W51" s="6056"/>
      <c r="X51" s="6056"/>
      <c r="Y51" s="6056"/>
      <c r="Z51" s="6056"/>
      <c r="AA51" s="6056"/>
      <c r="AB51" s="6056"/>
      <c r="AC51" s="6056"/>
      <c r="AD51" s="6056"/>
      <c r="AE51" s="6056"/>
      <c r="AF51" s="6056"/>
      <c r="AG51" s="6056"/>
      <c r="AH51" s="6056"/>
      <c r="AI51" s="6056"/>
      <c r="AJ51" s="6056"/>
      <c r="AK51" s="6056"/>
      <c r="AL51" s="6056"/>
      <c r="AM51" s="6056"/>
      <c r="AN51" s="6056"/>
      <c r="AO51" s="6056"/>
      <c r="AP51" s="6056"/>
      <c r="AQ51" s="6056"/>
      <c r="AR51" s="6058"/>
      <c r="AV51" s="6055"/>
      <c r="AW51" s="6056"/>
      <c r="AX51" s="6056"/>
      <c r="AY51" s="6056"/>
      <c r="AZ51" s="6056"/>
      <c r="BA51" s="6056"/>
      <c r="BB51" s="6056"/>
      <c r="BC51" s="6056"/>
      <c r="BD51" s="6056"/>
      <c r="BE51" s="6056"/>
      <c r="BF51" s="6056"/>
      <c r="BG51" s="6056"/>
      <c r="BH51" s="6056"/>
      <c r="BI51" s="6056"/>
      <c r="BJ51" s="6056"/>
      <c r="BK51" s="6056"/>
      <c r="BL51" s="6056"/>
      <c r="BM51" s="6056"/>
      <c r="BN51" s="6056"/>
      <c r="BO51" s="6056"/>
      <c r="BP51" s="6056"/>
      <c r="BQ51" s="6056"/>
      <c r="BR51" s="6056"/>
      <c r="BS51" s="6056"/>
      <c r="BT51" s="6056"/>
      <c r="BU51" s="6056"/>
      <c r="BV51" s="6056"/>
      <c r="BW51" s="6056"/>
      <c r="BX51" s="6056"/>
      <c r="BY51" s="6056"/>
      <c r="BZ51" s="6056"/>
      <c r="CA51" s="6056"/>
      <c r="CB51" s="6056"/>
      <c r="CC51" s="6056"/>
      <c r="CD51" s="6056"/>
      <c r="CE51" s="6056"/>
      <c r="CF51" s="6056"/>
      <c r="CG51" s="6056"/>
      <c r="CH51" s="6056"/>
      <c r="CI51" s="6056"/>
      <c r="CJ51" s="6056"/>
      <c r="CK51" s="6058"/>
      <c r="CO51" s="6055"/>
      <c r="CP51" s="6056"/>
      <c r="CQ51" s="6056"/>
      <c r="CR51" s="6056"/>
      <c r="CS51" s="6056"/>
      <c r="CT51" s="6056"/>
      <c r="CU51" s="6056"/>
      <c r="CV51" s="6056"/>
      <c r="CW51" s="6056"/>
      <c r="CX51" s="6056"/>
      <c r="CY51" s="6056"/>
      <c r="CZ51" s="6056"/>
      <c r="DA51" s="6056"/>
      <c r="DB51" s="6056"/>
      <c r="DC51" s="6056"/>
      <c r="DD51" s="6056"/>
      <c r="DE51" s="6056"/>
      <c r="DF51" s="6056"/>
      <c r="DG51" s="6056"/>
      <c r="DH51" s="6056"/>
      <c r="DI51" s="6056"/>
      <c r="DJ51" s="6056"/>
      <c r="DK51" s="6056"/>
      <c r="DL51" s="6056"/>
      <c r="DM51" s="6056"/>
      <c r="DN51" s="6056"/>
      <c r="DO51" s="6056"/>
      <c r="DP51" s="6056"/>
      <c r="DQ51" s="6056"/>
      <c r="DR51" s="6056"/>
      <c r="DS51" s="6056"/>
      <c r="DT51" s="6056"/>
      <c r="DU51" s="6056"/>
      <c r="DV51" s="6056"/>
      <c r="DW51" s="6056"/>
      <c r="DX51" s="6056"/>
      <c r="DY51" s="6056"/>
      <c r="DZ51" s="6056"/>
      <c r="EA51" s="6056"/>
      <c r="EB51" s="6056"/>
      <c r="EC51" s="6056"/>
      <c r="ED51" s="6058"/>
      <c r="EH51" s="6055"/>
      <c r="EI51" s="6056"/>
      <c r="EJ51" s="6056"/>
      <c r="EK51" s="6056"/>
      <c r="EL51" s="6056"/>
      <c r="EM51" s="6056"/>
      <c r="EN51" s="6056"/>
      <c r="EO51" s="6056"/>
      <c r="EP51" s="6056"/>
      <c r="EQ51" s="6056"/>
      <c r="ER51" s="6056"/>
      <c r="ES51" s="6056"/>
      <c r="ET51" s="6056"/>
      <c r="EU51" s="6056"/>
      <c r="EV51" s="6056"/>
      <c r="EW51" s="6056"/>
      <c r="EX51" s="6056"/>
      <c r="EY51" s="6056"/>
      <c r="EZ51" s="6056"/>
      <c r="FA51" s="6056"/>
      <c r="FB51" s="6056"/>
      <c r="FC51" s="6056"/>
      <c r="FD51" s="6056"/>
      <c r="FE51" s="6056"/>
      <c r="FF51" s="6056"/>
      <c r="FG51" s="6056"/>
      <c r="FH51" s="6056"/>
      <c r="FI51" s="6056"/>
      <c r="FJ51" s="6056"/>
      <c r="FK51" s="6056"/>
      <c r="FL51" s="6056"/>
      <c r="FM51" s="6056"/>
      <c r="FN51" s="6056"/>
      <c r="FO51" s="6056"/>
      <c r="FP51" s="6056"/>
      <c r="FQ51" s="6056"/>
      <c r="FR51" s="6056"/>
      <c r="FS51" s="6056"/>
      <c r="FT51" s="6056"/>
      <c r="FU51" s="6056"/>
      <c r="FV51" s="6056"/>
      <c r="FW51" s="6058"/>
      <c r="GA51" s="6055"/>
      <c r="GB51" s="6056"/>
      <c r="GC51" s="6056"/>
      <c r="GD51" s="6056"/>
      <c r="GE51" s="6056"/>
      <c r="GF51" s="6056"/>
      <c r="GG51" s="6056"/>
      <c r="GH51" s="6056"/>
      <c r="GI51" s="6056"/>
      <c r="GJ51" s="6056"/>
      <c r="GK51" s="6056"/>
      <c r="GL51" s="6056"/>
      <c r="GM51" s="6056"/>
      <c r="GN51" s="6056"/>
      <c r="GO51" s="6056"/>
      <c r="GP51" s="6056"/>
      <c r="GQ51" s="6056"/>
      <c r="GR51" s="6056"/>
      <c r="GS51" s="6056"/>
      <c r="GT51" s="6056"/>
      <c r="GU51" s="6056"/>
      <c r="GV51" s="6056"/>
      <c r="GW51" s="6056"/>
      <c r="GX51" s="6056"/>
      <c r="GY51" s="6056"/>
      <c r="GZ51" s="6056"/>
      <c r="HA51" s="6056"/>
      <c r="HB51" s="6056"/>
      <c r="HC51" s="6056"/>
      <c r="HD51" s="6056"/>
      <c r="HE51" s="6056"/>
      <c r="HF51" s="6056"/>
      <c r="HG51" s="6056"/>
      <c r="HH51" s="6056"/>
      <c r="HI51" s="6056"/>
      <c r="HJ51" s="6056"/>
      <c r="HK51" s="6056"/>
      <c r="HL51" s="6056"/>
      <c r="HM51" s="6056"/>
      <c r="HN51" s="6056"/>
      <c r="HO51" s="6056"/>
      <c r="HP51" s="6058"/>
      <c r="HT51" s="6055"/>
      <c r="HU51" s="6056"/>
      <c r="HV51" s="6056"/>
      <c r="HW51" s="6056"/>
      <c r="HX51" s="6056"/>
      <c r="HY51" s="6056"/>
      <c r="HZ51" s="6056"/>
      <c r="IA51" s="6056"/>
      <c r="IB51" s="6056"/>
      <c r="IC51" s="6056"/>
      <c r="ID51" s="6056"/>
      <c r="IE51" s="6056"/>
      <c r="IF51" s="6056"/>
      <c r="IG51" s="6056"/>
      <c r="IH51" s="6056"/>
      <c r="II51" s="6056"/>
      <c r="IJ51" s="6056"/>
      <c r="IK51" s="6056"/>
      <c r="IL51" s="6056"/>
      <c r="IM51" s="6056"/>
      <c r="IN51" s="6056"/>
      <c r="IO51" s="6056"/>
      <c r="IP51" s="6056"/>
      <c r="IQ51" s="6056"/>
      <c r="IR51" s="6056"/>
      <c r="IS51" s="6056"/>
      <c r="IT51" s="6056"/>
      <c r="IU51" s="6056"/>
      <c r="IV51" s="6056"/>
      <c r="IW51" s="6056"/>
      <c r="IX51" s="6056"/>
      <c r="IY51" s="6056"/>
      <c r="IZ51" s="6056"/>
      <c r="JA51" s="6056"/>
      <c r="JB51" s="6056"/>
      <c r="JC51" s="6056"/>
      <c r="JD51" s="6056"/>
      <c r="JE51" s="6056"/>
      <c r="JF51" s="6056"/>
      <c r="JG51" s="6056"/>
      <c r="JH51" s="6056"/>
      <c r="JI51" s="6058"/>
      <c r="JM51" s="6055"/>
      <c r="JN51" s="6056"/>
      <c r="JO51" s="6056"/>
      <c r="JP51" s="6056"/>
      <c r="JQ51" s="6056"/>
      <c r="JR51" s="6056"/>
      <c r="JS51" s="6056"/>
      <c r="JT51" s="6056"/>
      <c r="JU51" s="6056"/>
      <c r="JV51" s="6056"/>
      <c r="JW51" s="6056"/>
      <c r="JX51" s="6056"/>
      <c r="JY51" s="6056"/>
      <c r="JZ51" s="6056"/>
      <c r="KA51" s="6056"/>
      <c r="KB51" s="6056"/>
      <c r="KC51" s="6056"/>
      <c r="KD51" s="6056"/>
      <c r="KE51" s="6056"/>
      <c r="KF51" s="6056"/>
      <c r="KG51" s="6056"/>
      <c r="KH51" s="6056"/>
      <c r="KI51" s="6056"/>
      <c r="KJ51" s="6056"/>
      <c r="KK51" s="6056"/>
      <c r="KL51" s="6056"/>
      <c r="KM51" s="6056"/>
      <c r="KN51" s="6056"/>
      <c r="KO51" s="6056"/>
      <c r="KP51" s="6056"/>
      <c r="KQ51" s="6056"/>
      <c r="KR51" s="6056"/>
      <c r="KS51" s="6056"/>
      <c r="KT51" s="6056"/>
      <c r="KU51" s="6056"/>
      <c r="KV51" s="6056"/>
      <c r="KW51" s="6056"/>
      <c r="KX51" s="6056"/>
      <c r="KY51" s="6056"/>
      <c r="KZ51" s="6056"/>
      <c r="LA51" s="6056"/>
      <c r="LB51" s="6058"/>
      <c r="LF51" s="6055"/>
      <c r="LG51" s="6056"/>
      <c r="LH51" s="6056"/>
      <c r="LI51" s="6056"/>
      <c r="LJ51" s="6056"/>
      <c r="LK51" s="6056"/>
      <c r="LL51" s="6056"/>
      <c r="LM51" s="6056"/>
      <c r="LN51" s="6056"/>
      <c r="LO51" s="6056"/>
      <c r="LP51" s="6056"/>
      <c r="LQ51" s="6056"/>
      <c r="LR51" s="6056"/>
      <c r="LS51" s="6056"/>
      <c r="LT51" s="6056"/>
      <c r="LU51" s="6056"/>
      <c r="LV51" s="6056"/>
      <c r="LW51" s="6056"/>
      <c r="LX51" s="6056"/>
      <c r="LY51" s="6056"/>
      <c r="LZ51" s="6056"/>
      <c r="MA51" s="6056"/>
      <c r="MB51" s="6056"/>
      <c r="MC51" s="6056"/>
      <c r="MD51" s="6056"/>
      <c r="ME51" s="6056"/>
      <c r="MF51" s="6056"/>
      <c r="MG51" s="6056"/>
      <c r="MH51" s="6056"/>
      <c r="MI51" s="6056"/>
      <c r="MJ51" s="6056"/>
      <c r="MK51" s="6056"/>
      <c r="ML51" s="6056"/>
      <c r="MM51" s="6056"/>
      <c r="MN51" s="6056"/>
      <c r="MO51" s="6056"/>
      <c r="MP51" s="6056"/>
      <c r="MQ51" s="6056"/>
      <c r="MR51" s="6056"/>
      <c r="MS51" s="6056"/>
      <c r="MT51" s="6056"/>
      <c r="MU51" s="6058"/>
      <c r="MY51" s="6055"/>
      <c r="MZ51" s="6056"/>
      <c r="NA51" s="6056"/>
      <c r="NB51" s="6056"/>
      <c r="NC51" s="6056"/>
      <c r="ND51" s="6056"/>
      <c r="NE51" s="6056"/>
      <c r="NF51" s="6056"/>
      <c r="NG51" s="6056"/>
      <c r="NH51" s="6056"/>
      <c r="NI51" s="6056"/>
      <c r="NJ51" s="6056"/>
      <c r="NK51" s="6056"/>
      <c r="NL51" s="6056"/>
      <c r="NM51" s="6056"/>
      <c r="NN51" s="6056"/>
      <c r="NO51" s="6056"/>
      <c r="NP51" s="6056"/>
      <c r="NQ51" s="6056"/>
      <c r="NR51" s="6056"/>
      <c r="NS51" s="6056"/>
      <c r="NT51" s="6056"/>
      <c r="NU51" s="6056"/>
      <c r="NV51" s="6056"/>
      <c r="NW51" s="6056"/>
      <c r="NX51" s="6056"/>
      <c r="NY51" s="6056"/>
      <c r="NZ51" s="6056"/>
      <c r="OA51" s="6056"/>
      <c r="OB51" s="6056"/>
      <c r="OC51" s="6056"/>
      <c r="OD51" s="6056"/>
      <c r="OE51" s="6056"/>
      <c r="OF51" s="6056"/>
      <c r="OG51" s="6056"/>
      <c r="OH51" s="6056"/>
      <c r="OI51" s="6056"/>
      <c r="OJ51" s="6056"/>
      <c r="OK51" s="6056"/>
      <c r="OL51" s="6056"/>
      <c r="OM51" s="6056"/>
      <c r="ON51" s="6058"/>
    </row>
    <row r="52" spans="3:404" s="6063" customFormat="1" ht="12" customHeight="1" x14ac:dyDescent="0.2">
      <c r="C52" s="6059"/>
      <c r="D52" s="6060" t="str">
        <f>_Calcs!$N$77</f>
        <v>Faktor</v>
      </c>
      <c r="E52" s="6060"/>
      <c r="F52" s="6060"/>
      <c r="G52" s="6060"/>
      <c r="H52" s="6060"/>
      <c r="I52" s="6060"/>
      <c r="J52" s="6060"/>
      <c r="K52" s="6060"/>
      <c r="L52" s="6060"/>
      <c r="M52" s="6060"/>
      <c r="N52" s="6060"/>
      <c r="O52" s="6060"/>
      <c r="P52" s="6060"/>
      <c r="Q52" s="6060"/>
      <c r="R52" s="6060"/>
      <c r="S52" s="6060"/>
      <c r="T52" s="6060"/>
      <c r="U52" s="6060"/>
      <c r="V52" s="6060"/>
      <c r="W52" s="6060"/>
      <c r="X52" s="6060"/>
      <c r="Y52" s="6060"/>
      <c r="Z52" s="6060"/>
      <c r="AA52" s="6060"/>
      <c r="AB52" s="6060"/>
      <c r="AC52" s="6060"/>
      <c r="AD52" s="6060"/>
      <c r="AE52" s="6060"/>
      <c r="AF52" s="6060"/>
      <c r="AG52" s="6060"/>
      <c r="AH52" s="6060"/>
      <c r="AI52" s="6092"/>
      <c r="AJ52" s="6092"/>
      <c r="AK52" s="6092"/>
      <c r="AL52" s="6060"/>
      <c r="AM52" s="6060" t="str">
        <f>_Calcs!$N$81</f>
        <v>Påvirkning</v>
      </c>
      <c r="AN52" s="6060"/>
      <c r="AO52" s="6060"/>
      <c r="AP52" s="6060"/>
      <c r="AQ52" s="6060"/>
      <c r="AR52" s="6062"/>
      <c r="AV52" s="6059"/>
      <c r="AW52" s="6060" t="str">
        <f>_Calcs!$N$77</f>
        <v>Faktor</v>
      </c>
      <c r="AX52" s="6060"/>
      <c r="AY52" s="6060"/>
      <c r="AZ52" s="6060"/>
      <c r="BA52" s="6060"/>
      <c r="BB52" s="6060"/>
      <c r="BC52" s="6060"/>
      <c r="BD52" s="6060"/>
      <c r="BE52" s="6060"/>
      <c r="BF52" s="6060"/>
      <c r="BG52" s="6060"/>
      <c r="BH52" s="6060"/>
      <c r="BI52" s="6060"/>
      <c r="BJ52" s="6060"/>
      <c r="BK52" s="6060"/>
      <c r="BL52" s="6060"/>
      <c r="BM52" s="6060"/>
      <c r="BN52" s="6060"/>
      <c r="BO52" s="6060"/>
      <c r="BP52" s="6060"/>
      <c r="BQ52" s="6060"/>
      <c r="BR52" s="6060"/>
      <c r="BS52" s="6060"/>
      <c r="BT52" s="6060"/>
      <c r="BU52" s="6060"/>
      <c r="BV52" s="6060"/>
      <c r="BW52" s="6060"/>
      <c r="BX52" s="6060"/>
      <c r="BY52" s="6060"/>
      <c r="BZ52" s="6060"/>
      <c r="CA52" s="6060"/>
      <c r="CB52" s="6092"/>
      <c r="CC52" s="6092"/>
      <c r="CD52" s="6092"/>
      <c r="CE52" s="6060"/>
      <c r="CF52" s="6060" t="str">
        <f>_Calcs!$N$81</f>
        <v>Påvirkning</v>
      </c>
      <c r="CG52" s="6060"/>
      <c r="CH52" s="6060"/>
      <c r="CI52" s="6060"/>
      <c r="CJ52" s="6060"/>
      <c r="CK52" s="6062"/>
      <c r="CO52" s="6059"/>
      <c r="CP52" s="6060" t="str">
        <f>_Calcs!$N$77</f>
        <v>Faktor</v>
      </c>
      <c r="CQ52" s="6060"/>
      <c r="CR52" s="6060"/>
      <c r="CS52" s="6060"/>
      <c r="CT52" s="6060"/>
      <c r="CU52" s="6060"/>
      <c r="CV52" s="6060"/>
      <c r="CW52" s="6060"/>
      <c r="CX52" s="6060"/>
      <c r="CY52" s="6060"/>
      <c r="CZ52" s="6060"/>
      <c r="DA52" s="6060"/>
      <c r="DB52" s="6060"/>
      <c r="DC52" s="6060"/>
      <c r="DD52" s="6060"/>
      <c r="DE52" s="6060"/>
      <c r="DF52" s="6060"/>
      <c r="DG52" s="6060"/>
      <c r="DH52" s="6060"/>
      <c r="DI52" s="6060"/>
      <c r="DJ52" s="6060"/>
      <c r="DK52" s="6060"/>
      <c r="DL52" s="6060"/>
      <c r="DM52" s="6060"/>
      <c r="DN52" s="6060"/>
      <c r="DO52" s="6060"/>
      <c r="DP52" s="6060"/>
      <c r="DQ52" s="6060"/>
      <c r="DR52" s="6060"/>
      <c r="DS52" s="6060"/>
      <c r="DT52" s="6060"/>
      <c r="DU52" s="6092"/>
      <c r="DV52" s="6092"/>
      <c r="DW52" s="6092"/>
      <c r="DX52" s="6060"/>
      <c r="DY52" s="6060" t="str">
        <f>_Calcs!$N$81</f>
        <v>Påvirkning</v>
      </c>
      <c r="DZ52" s="6060"/>
      <c r="EA52" s="6060"/>
      <c r="EB52" s="6060"/>
      <c r="EC52" s="6060"/>
      <c r="ED52" s="6062"/>
      <c r="EH52" s="6059"/>
      <c r="EI52" s="6060" t="str">
        <f>_Calcs!$N$77</f>
        <v>Faktor</v>
      </c>
      <c r="EJ52" s="6060"/>
      <c r="EK52" s="6060"/>
      <c r="EL52" s="6060"/>
      <c r="EM52" s="6060"/>
      <c r="EN52" s="6060"/>
      <c r="EO52" s="6060"/>
      <c r="EP52" s="6060"/>
      <c r="EQ52" s="6060"/>
      <c r="ER52" s="6060"/>
      <c r="ES52" s="6060"/>
      <c r="ET52" s="6060"/>
      <c r="EU52" s="6060"/>
      <c r="EV52" s="6060"/>
      <c r="EW52" s="6060"/>
      <c r="EX52" s="6060"/>
      <c r="EY52" s="6060"/>
      <c r="EZ52" s="6060"/>
      <c r="FA52" s="6060"/>
      <c r="FB52" s="6060"/>
      <c r="FC52" s="6060"/>
      <c r="FD52" s="6060"/>
      <c r="FE52" s="6060"/>
      <c r="FF52" s="6060"/>
      <c r="FG52" s="6060"/>
      <c r="FH52" s="6060"/>
      <c r="FI52" s="6060"/>
      <c r="FJ52" s="6060"/>
      <c r="FK52" s="6060"/>
      <c r="FL52" s="6060"/>
      <c r="FM52" s="6060"/>
      <c r="FN52" s="6092"/>
      <c r="FO52" s="6092"/>
      <c r="FP52" s="6092"/>
      <c r="FQ52" s="6060"/>
      <c r="FR52" s="6060" t="str">
        <f>_Calcs!$N$81</f>
        <v>Påvirkning</v>
      </c>
      <c r="FS52" s="6060"/>
      <c r="FT52" s="6060"/>
      <c r="FU52" s="6060"/>
      <c r="FV52" s="6060"/>
      <c r="FW52" s="6062"/>
      <c r="GA52" s="6059"/>
      <c r="GB52" s="6060" t="str">
        <f>_Calcs!$N$77</f>
        <v>Faktor</v>
      </c>
      <c r="GC52" s="6060"/>
      <c r="GD52" s="6060"/>
      <c r="GE52" s="6060"/>
      <c r="GF52" s="6060"/>
      <c r="GG52" s="6060"/>
      <c r="GH52" s="6060"/>
      <c r="GI52" s="6060"/>
      <c r="GJ52" s="6060"/>
      <c r="GK52" s="6060"/>
      <c r="GL52" s="6060"/>
      <c r="GM52" s="6060"/>
      <c r="GN52" s="6060"/>
      <c r="GO52" s="6060"/>
      <c r="GP52" s="6060"/>
      <c r="GQ52" s="6060"/>
      <c r="GR52" s="6060"/>
      <c r="GS52" s="6060"/>
      <c r="GT52" s="6060"/>
      <c r="GU52" s="6060"/>
      <c r="GV52" s="6060"/>
      <c r="GW52" s="6060"/>
      <c r="GX52" s="6060"/>
      <c r="GY52" s="6060"/>
      <c r="GZ52" s="6060"/>
      <c r="HA52" s="6060"/>
      <c r="HB52" s="6060"/>
      <c r="HC52" s="6060"/>
      <c r="HD52" s="6060"/>
      <c r="HE52" s="6060"/>
      <c r="HF52" s="6060"/>
      <c r="HG52" s="6092"/>
      <c r="HH52" s="6092"/>
      <c r="HI52" s="6092"/>
      <c r="HJ52" s="6060"/>
      <c r="HK52" s="6060" t="str">
        <f>_Calcs!$N$81</f>
        <v>Påvirkning</v>
      </c>
      <c r="HL52" s="6060"/>
      <c r="HM52" s="6060"/>
      <c r="HN52" s="6060"/>
      <c r="HO52" s="6060"/>
      <c r="HP52" s="6062"/>
      <c r="HT52" s="6059"/>
      <c r="HU52" s="6060" t="str">
        <f>_Calcs!$N$77</f>
        <v>Faktor</v>
      </c>
      <c r="HV52" s="6060"/>
      <c r="HW52" s="6060"/>
      <c r="HX52" s="6060"/>
      <c r="HY52" s="6060"/>
      <c r="HZ52" s="6060"/>
      <c r="IA52" s="6060"/>
      <c r="IB52" s="6060"/>
      <c r="IC52" s="6060"/>
      <c r="ID52" s="6060"/>
      <c r="IE52" s="6060"/>
      <c r="IF52" s="6060"/>
      <c r="IG52" s="6060"/>
      <c r="IH52" s="6060"/>
      <c r="II52" s="6060"/>
      <c r="IJ52" s="6060"/>
      <c r="IK52" s="6060"/>
      <c r="IL52" s="6060"/>
      <c r="IM52" s="6060"/>
      <c r="IN52" s="6060"/>
      <c r="IO52" s="6060"/>
      <c r="IP52" s="6060"/>
      <c r="IQ52" s="6060"/>
      <c r="IR52" s="6060"/>
      <c r="IS52" s="6060"/>
      <c r="IT52" s="6060"/>
      <c r="IU52" s="6060"/>
      <c r="IV52" s="6060"/>
      <c r="IW52" s="6060"/>
      <c r="IX52" s="6060"/>
      <c r="IY52" s="6060"/>
      <c r="IZ52" s="6092"/>
      <c r="JA52" s="6092"/>
      <c r="JB52" s="6092"/>
      <c r="JC52" s="6060"/>
      <c r="JD52" s="6060" t="str">
        <f>_Calcs!$N$81</f>
        <v>Påvirkning</v>
      </c>
      <c r="JE52" s="6060"/>
      <c r="JF52" s="6060"/>
      <c r="JG52" s="6060"/>
      <c r="JH52" s="6060"/>
      <c r="JI52" s="6062"/>
      <c r="JM52" s="6059"/>
      <c r="JN52" s="6060" t="str">
        <f>_Calcs!$N$77</f>
        <v>Faktor</v>
      </c>
      <c r="JO52" s="6060"/>
      <c r="JP52" s="6060"/>
      <c r="JQ52" s="6060"/>
      <c r="JR52" s="6060"/>
      <c r="JS52" s="6060"/>
      <c r="JT52" s="6060"/>
      <c r="JU52" s="6060"/>
      <c r="JV52" s="6060"/>
      <c r="JW52" s="6060"/>
      <c r="JX52" s="6060"/>
      <c r="JY52" s="6060"/>
      <c r="JZ52" s="6060"/>
      <c r="KA52" s="6060"/>
      <c r="KB52" s="6060"/>
      <c r="KC52" s="6060"/>
      <c r="KD52" s="6060"/>
      <c r="KE52" s="6060"/>
      <c r="KF52" s="6060"/>
      <c r="KG52" s="6060"/>
      <c r="KH52" s="6060"/>
      <c r="KI52" s="6060"/>
      <c r="KJ52" s="6060"/>
      <c r="KK52" s="6060"/>
      <c r="KL52" s="6060"/>
      <c r="KM52" s="6060"/>
      <c r="KN52" s="6060"/>
      <c r="KO52" s="6060"/>
      <c r="KP52" s="6060"/>
      <c r="KQ52" s="6060"/>
      <c r="KR52" s="6060"/>
      <c r="KS52" s="6092"/>
      <c r="KT52" s="6092"/>
      <c r="KU52" s="6092"/>
      <c r="KV52" s="6060"/>
      <c r="KW52" s="6060" t="str">
        <f>_Calcs!$N$81</f>
        <v>Påvirkning</v>
      </c>
      <c r="KX52" s="6060"/>
      <c r="KY52" s="6060"/>
      <c r="KZ52" s="6060"/>
      <c r="LA52" s="6060"/>
      <c r="LB52" s="6062"/>
      <c r="LF52" s="6059"/>
      <c r="LG52" s="6060" t="str">
        <f>_Calcs!$N$77</f>
        <v>Faktor</v>
      </c>
      <c r="LH52" s="6060"/>
      <c r="LI52" s="6060"/>
      <c r="LJ52" s="6060"/>
      <c r="LK52" s="6060"/>
      <c r="LL52" s="6060"/>
      <c r="LM52" s="6060"/>
      <c r="LN52" s="6060"/>
      <c r="LO52" s="6060"/>
      <c r="LP52" s="6060"/>
      <c r="LQ52" s="6060"/>
      <c r="LR52" s="6060"/>
      <c r="LS52" s="6060"/>
      <c r="LT52" s="6060"/>
      <c r="LU52" s="6060"/>
      <c r="LV52" s="6060"/>
      <c r="LW52" s="6060"/>
      <c r="LX52" s="6060"/>
      <c r="LY52" s="6060"/>
      <c r="LZ52" s="6060"/>
      <c r="MA52" s="6060"/>
      <c r="MB52" s="6060"/>
      <c r="MC52" s="6060"/>
      <c r="MD52" s="6060"/>
      <c r="ME52" s="6060"/>
      <c r="MF52" s="6060"/>
      <c r="MG52" s="6060"/>
      <c r="MH52" s="6060"/>
      <c r="MI52" s="6060"/>
      <c r="MJ52" s="6060"/>
      <c r="MK52" s="6060"/>
      <c r="ML52" s="6092"/>
      <c r="MM52" s="6092"/>
      <c r="MN52" s="6092"/>
      <c r="MO52" s="6060"/>
      <c r="MP52" s="6060" t="str">
        <f>_Calcs!$N$81</f>
        <v>Påvirkning</v>
      </c>
      <c r="MQ52" s="6060"/>
      <c r="MR52" s="6060"/>
      <c r="MS52" s="6060"/>
      <c r="MT52" s="6060"/>
      <c r="MU52" s="6062"/>
      <c r="MY52" s="6059"/>
      <c r="MZ52" s="6060" t="str">
        <f>_Calcs!$N$77</f>
        <v>Faktor</v>
      </c>
      <c r="NA52" s="6060"/>
      <c r="NB52" s="6060"/>
      <c r="NC52" s="6060"/>
      <c r="ND52" s="6060"/>
      <c r="NE52" s="6060"/>
      <c r="NF52" s="6060"/>
      <c r="NG52" s="6060"/>
      <c r="NH52" s="6060"/>
      <c r="NI52" s="6060"/>
      <c r="NJ52" s="6060"/>
      <c r="NK52" s="6060"/>
      <c r="NL52" s="6060"/>
      <c r="NM52" s="6060"/>
      <c r="NN52" s="6060"/>
      <c r="NO52" s="6060"/>
      <c r="NP52" s="6060"/>
      <c r="NQ52" s="6060"/>
      <c r="NR52" s="6060"/>
      <c r="NS52" s="6060"/>
      <c r="NT52" s="6060"/>
      <c r="NU52" s="6060"/>
      <c r="NV52" s="6060"/>
      <c r="NW52" s="6060"/>
      <c r="NX52" s="6060"/>
      <c r="NY52" s="6060"/>
      <c r="NZ52" s="6060"/>
      <c r="OA52" s="6060"/>
      <c r="OB52" s="6060"/>
      <c r="OC52" s="6060"/>
      <c r="OD52" s="6060"/>
      <c r="OE52" s="6092"/>
      <c r="OF52" s="6092"/>
      <c r="OG52" s="6092"/>
      <c r="OH52" s="6060"/>
      <c r="OI52" s="6060" t="str">
        <f>_Calcs!$N$81</f>
        <v>Påvirkning</v>
      </c>
      <c r="OJ52" s="6060"/>
      <c r="OK52" s="6060"/>
      <c r="OL52" s="6060"/>
      <c r="OM52" s="6060"/>
      <c r="ON52" s="6062"/>
    </row>
    <row r="53" spans="3:404" ht="5.0999999999999996" customHeight="1" thickBot="1" x14ac:dyDescent="0.25">
      <c r="C53" s="6055"/>
      <c r="D53" s="6056"/>
      <c r="E53" s="6056"/>
      <c r="F53" s="6056"/>
      <c r="G53" s="6056"/>
      <c r="H53" s="6056"/>
      <c r="I53" s="6056"/>
      <c r="J53" s="6056"/>
      <c r="K53" s="6056"/>
      <c r="L53" s="6056"/>
      <c r="M53" s="6056"/>
      <c r="N53" s="6056"/>
      <c r="O53" s="6056"/>
      <c r="P53" s="6056"/>
      <c r="Q53" s="6056"/>
      <c r="R53" s="6056"/>
      <c r="S53" s="6056"/>
      <c r="T53" s="6056"/>
      <c r="U53" s="6056"/>
      <c r="V53" s="6056"/>
      <c r="W53" s="6056"/>
      <c r="X53" s="6056"/>
      <c r="Y53" s="6056"/>
      <c r="Z53" s="6056"/>
      <c r="AA53" s="6056"/>
      <c r="AB53" s="6056"/>
      <c r="AC53" s="6056"/>
      <c r="AD53" s="6056"/>
      <c r="AE53" s="6056"/>
      <c r="AF53" s="6056"/>
      <c r="AG53" s="6056"/>
      <c r="AH53" s="6056"/>
      <c r="AI53" s="6061"/>
      <c r="AJ53" s="6061"/>
      <c r="AK53" s="6061"/>
      <c r="AL53" s="6056"/>
      <c r="AM53" s="6056"/>
      <c r="AN53" s="6056"/>
      <c r="AO53" s="6056"/>
      <c r="AP53" s="6056"/>
      <c r="AQ53" s="6056"/>
      <c r="AR53" s="6058"/>
      <c r="AV53" s="6055"/>
      <c r="AW53" s="6056"/>
      <c r="AX53" s="6056"/>
      <c r="AY53" s="6056"/>
      <c r="AZ53" s="6056"/>
      <c r="BA53" s="6056"/>
      <c r="BB53" s="6056"/>
      <c r="BC53" s="6056"/>
      <c r="BD53" s="6056"/>
      <c r="BE53" s="6056"/>
      <c r="BF53" s="6056"/>
      <c r="BG53" s="6056"/>
      <c r="BH53" s="6056"/>
      <c r="BI53" s="6056"/>
      <c r="BJ53" s="6056"/>
      <c r="BK53" s="6056"/>
      <c r="BL53" s="6056"/>
      <c r="BM53" s="6056"/>
      <c r="BN53" s="6056"/>
      <c r="BO53" s="6056"/>
      <c r="BP53" s="6056"/>
      <c r="BQ53" s="6056"/>
      <c r="BR53" s="6056"/>
      <c r="BS53" s="6056"/>
      <c r="BT53" s="6056"/>
      <c r="BU53" s="6056"/>
      <c r="BV53" s="6056"/>
      <c r="BW53" s="6056"/>
      <c r="BX53" s="6056"/>
      <c r="BY53" s="6056"/>
      <c r="BZ53" s="6056"/>
      <c r="CA53" s="6056"/>
      <c r="CB53" s="6061"/>
      <c r="CC53" s="6061"/>
      <c r="CD53" s="6061"/>
      <c r="CE53" s="6056"/>
      <c r="CF53" s="6056"/>
      <c r="CG53" s="6056"/>
      <c r="CH53" s="6056"/>
      <c r="CI53" s="6056"/>
      <c r="CJ53" s="6056"/>
      <c r="CK53" s="6058"/>
      <c r="CO53" s="6055"/>
      <c r="CP53" s="6056"/>
      <c r="CQ53" s="6056"/>
      <c r="CR53" s="6056"/>
      <c r="CS53" s="6056"/>
      <c r="CT53" s="6056"/>
      <c r="CU53" s="6056"/>
      <c r="CV53" s="6056"/>
      <c r="CW53" s="6056"/>
      <c r="CX53" s="6056"/>
      <c r="CY53" s="6056"/>
      <c r="CZ53" s="6056"/>
      <c r="DA53" s="6056"/>
      <c r="DB53" s="6056"/>
      <c r="DC53" s="6056"/>
      <c r="DD53" s="6056"/>
      <c r="DE53" s="6056"/>
      <c r="DF53" s="6056"/>
      <c r="DG53" s="6056"/>
      <c r="DH53" s="6056"/>
      <c r="DI53" s="6056"/>
      <c r="DJ53" s="6056"/>
      <c r="DK53" s="6056"/>
      <c r="DL53" s="6056"/>
      <c r="DM53" s="6056"/>
      <c r="DN53" s="6056"/>
      <c r="DO53" s="6056"/>
      <c r="DP53" s="6056"/>
      <c r="DQ53" s="6056"/>
      <c r="DR53" s="6056"/>
      <c r="DS53" s="6056"/>
      <c r="DT53" s="6056"/>
      <c r="DU53" s="6061"/>
      <c r="DV53" s="6061"/>
      <c r="DW53" s="6061"/>
      <c r="DX53" s="6056"/>
      <c r="DY53" s="6056"/>
      <c r="DZ53" s="6056"/>
      <c r="EA53" s="6056"/>
      <c r="EB53" s="6056"/>
      <c r="EC53" s="6056"/>
      <c r="ED53" s="6058"/>
      <c r="EH53" s="6055"/>
      <c r="EI53" s="6056"/>
      <c r="EJ53" s="6056"/>
      <c r="EK53" s="6056"/>
      <c r="EL53" s="6056"/>
      <c r="EM53" s="6056"/>
      <c r="EN53" s="6056"/>
      <c r="EO53" s="6056"/>
      <c r="EP53" s="6056"/>
      <c r="EQ53" s="6056"/>
      <c r="ER53" s="6056"/>
      <c r="ES53" s="6056"/>
      <c r="ET53" s="6056"/>
      <c r="EU53" s="6056"/>
      <c r="EV53" s="6056"/>
      <c r="EW53" s="6056"/>
      <c r="EX53" s="6056"/>
      <c r="EY53" s="6056"/>
      <c r="EZ53" s="6056"/>
      <c r="FA53" s="6056"/>
      <c r="FB53" s="6056"/>
      <c r="FC53" s="6056"/>
      <c r="FD53" s="6056"/>
      <c r="FE53" s="6056"/>
      <c r="FF53" s="6056"/>
      <c r="FG53" s="6056"/>
      <c r="FH53" s="6056"/>
      <c r="FI53" s="6056"/>
      <c r="FJ53" s="6056"/>
      <c r="FK53" s="6056"/>
      <c r="FL53" s="6056"/>
      <c r="FM53" s="6056"/>
      <c r="FN53" s="6061"/>
      <c r="FO53" s="6061"/>
      <c r="FP53" s="6061"/>
      <c r="FQ53" s="6056"/>
      <c r="FR53" s="6056"/>
      <c r="FS53" s="6056"/>
      <c r="FT53" s="6056"/>
      <c r="FU53" s="6056"/>
      <c r="FV53" s="6056"/>
      <c r="FW53" s="6058"/>
      <c r="GA53" s="6055"/>
      <c r="GB53" s="6056"/>
      <c r="GC53" s="6056"/>
      <c r="GD53" s="6056"/>
      <c r="GE53" s="6056"/>
      <c r="GF53" s="6056"/>
      <c r="GG53" s="6056"/>
      <c r="GH53" s="6056"/>
      <c r="GI53" s="6056"/>
      <c r="GJ53" s="6056"/>
      <c r="GK53" s="6056"/>
      <c r="GL53" s="6056"/>
      <c r="GM53" s="6056"/>
      <c r="GN53" s="6056"/>
      <c r="GO53" s="6056"/>
      <c r="GP53" s="6056"/>
      <c r="GQ53" s="6056"/>
      <c r="GR53" s="6056"/>
      <c r="GS53" s="6056"/>
      <c r="GT53" s="6056"/>
      <c r="GU53" s="6056"/>
      <c r="GV53" s="6056"/>
      <c r="GW53" s="6056"/>
      <c r="GX53" s="6056"/>
      <c r="GY53" s="6056"/>
      <c r="GZ53" s="6056"/>
      <c r="HA53" s="6056"/>
      <c r="HB53" s="6056"/>
      <c r="HC53" s="6056"/>
      <c r="HD53" s="6056"/>
      <c r="HE53" s="6056"/>
      <c r="HF53" s="6056"/>
      <c r="HG53" s="6061"/>
      <c r="HH53" s="6061"/>
      <c r="HI53" s="6061"/>
      <c r="HJ53" s="6056"/>
      <c r="HK53" s="6056"/>
      <c r="HL53" s="6056"/>
      <c r="HM53" s="6056"/>
      <c r="HN53" s="6056"/>
      <c r="HO53" s="6056"/>
      <c r="HP53" s="6058"/>
      <c r="HT53" s="6055"/>
      <c r="HU53" s="6056"/>
      <c r="HV53" s="6056"/>
      <c r="HW53" s="6056"/>
      <c r="HX53" s="6056"/>
      <c r="HY53" s="6056"/>
      <c r="HZ53" s="6056"/>
      <c r="IA53" s="6056"/>
      <c r="IB53" s="6056"/>
      <c r="IC53" s="6056"/>
      <c r="ID53" s="6056"/>
      <c r="IE53" s="6056"/>
      <c r="IF53" s="6056"/>
      <c r="IG53" s="6056"/>
      <c r="IH53" s="6056"/>
      <c r="II53" s="6056"/>
      <c r="IJ53" s="6056"/>
      <c r="IK53" s="6056"/>
      <c r="IL53" s="6056"/>
      <c r="IM53" s="6056"/>
      <c r="IN53" s="6056"/>
      <c r="IO53" s="6056"/>
      <c r="IP53" s="6056"/>
      <c r="IQ53" s="6056"/>
      <c r="IR53" s="6056"/>
      <c r="IS53" s="6056"/>
      <c r="IT53" s="6056"/>
      <c r="IU53" s="6056"/>
      <c r="IV53" s="6056"/>
      <c r="IW53" s="6056"/>
      <c r="IX53" s="6056"/>
      <c r="IY53" s="6056"/>
      <c r="IZ53" s="6061"/>
      <c r="JA53" s="6061"/>
      <c r="JB53" s="6061"/>
      <c r="JC53" s="6056"/>
      <c r="JD53" s="6056"/>
      <c r="JE53" s="6056"/>
      <c r="JF53" s="6056"/>
      <c r="JG53" s="6056"/>
      <c r="JH53" s="6056"/>
      <c r="JI53" s="6058"/>
      <c r="JM53" s="6055"/>
      <c r="JN53" s="6056"/>
      <c r="JO53" s="6056"/>
      <c r="JP53" s="6056"/>
      <c r="JQ53" s="6056"/>
      <c r="JR53" s="6056"/>
      <c r="JS53" s="6056"/>
      <c r="JT53" s="6056"/>
      <c r="JU53" s="6056"/>
      <c r="JV53" s="6056"/>
      <c r="JW53" s="6056"/>
      <c r="JX53" s="6056"/>
      <c r="JY53" s="6056"/>
      <c r="JZ53" s="6056"/>
      <c r="KA53" s="6056"/>
      <c r="KB53" s="6056"/>
      <c r="KC53" s="6056"/>
      <c r="KD53" s="6056"/>
      <c r="KE53" s="6056"/>
      <c r="KF53" s="6056"/>
      <c r="KG53" s="6056"/>
      <c r="KH53" s="6056"/>
      <c r="KI53" s="6056"/>
      <c r="KJ53" s="6056"/>
      <c r="KK53" s="6056"/>
      <c r="KL53" s="6056"/>
      <c r="KM53" s="6056"/>
      <c r="KN53" s="6056"/>
      <c r="KO53" s="6056"/>
      <c r="KP53" s="6056"/>
      <c r="KQ53" s="6056"/>
      <c r="KR53" s="6056"/>
      <c r="KS53" s="6061"/>
      <c r="KT53" s="6061"/>
      <c r="KU53" s="6061"/>
      <c r="KV53" s="6056"/>
      <c r="KW53" s="6056"/>
      <c r="KX53" s="6056"/>
      <c r="KY53" s="6056"/>
      <c r="KZ53" s="6056"/>
      <c r="LA53" s="6056"/>
      <c r="LB53" s="6058"/>
      <c r="LF53" s="6055"/>
      <c r="LG53" s="6056"/>
      <c r="LH53" s="6056"/>
      <c r="LI53" s="6056"/>
      <c r="LJ53" s="6056"/>
      <c r="LK53" s="6056"/>
      <c r="LL53" s="6056"/>
      <c r="LM53" s="6056"/>
      <c r="LN53" s="6056"/>
      <c r="LO53" s="6056"/>
      <c r="LP53" s="6056"/>
      <c r="LQ53" s="6056"/>
      <c r="LR53" s="6056"/>
      <c r="LS53" s="6056"/>
      <c r="LT53" s="6056"/>
      <c r="LU53" s="6056"/>
      <c r="LV53" s="6056"/>
      <c r="LW53" s="6056"/>
      <c r="LX53" s="6056"/>
      <c r="LY53" s="6056"/>
      <c r="LZ53" s="6056"/>
      <c r="MA53" s="6056"/>
      <c r="MB53" s="6056"/>
      <c r="MC53" s="6056"/>
      <c r="MD53" s="6056"/>
      <c r="ME53" s="6056"/>
      <c r="MF53" s="6056"/>
      <c r="MG53" s="6056"/>
      <c r="MH53" s="6056"/>
      <c r="MI53" s="6056"/>
      <c r="MJ53" s="6056"/>
      <c r="MK53" s="6056"/>
      <c r="ML53" s="6061"/>
      <c r="MM53" s="6061"/>
      <c r="MN53" s="6061"/>
      <c r="MO53" s="6056"/>
      <c r="MP53" s="6056"/>
      <c r="MQ53" s="6056"/>
      <c r="MR53" s="6056"/>
      <c r="MS53" s="6056"/>
      <c r="MT53" s="6056"/>
      <c r="MU53" s="6058"/>
      <c r="MY53" s="6055"/>
      <c r="MZ53" s="6056"/>
      <c r="NA53" s="6056"/>
      <c r="NB53" s="6056"/>
      <c r="NC53" s="6056"/>
      <c r="ND53" s="6056"/>
      <c r="NE53" s="6056"/>
      <c r="NF53" s="6056"/>
      <c r="NG53" s="6056"/>
      <c r="NH53" s="6056"/>
      <c r="NI53" s="6056"/>
      <c r="NJ53" s="6056"/>
      <c r="NK53" s="6056"/>
      <c r="NL53" s="6056"/>
      <c r="NM53" s="6056"/>
      <c r="NN53" s="6056"/>
      <c r="NO53" s="6056"/>
      <c r="NP53" s="6056"/>
      <c r="NQ53" s="6056"/>
      <c r="NR53" s="6056"/>
      <c r="NS53" s="6056"/>
      <c r="NT53" s="6056"/>
      <c r="NU53" s="6056"/>
      <c r="NV53" s="6056"/>
      <c r="NW53" s="6056"/>
      <c r="NX53" s="6056"/>
      <c r="NY53" s="6056"/>
      <c r="NZ53" s="6056"/>
      <c r="OA53" s="6056"/>
      <c r="OB53" s="6056"/>
      <c r="OC53" s="6056"/>
      <c r="OD53" s="6056"/>
      <c r="OE53" s="6061"/>
      <c r="OF53" s="6061"/>
      <c r="OG53" s="6061"/>
      <c r="OH53" s="6056"/>
      <c r="OI53" s="6056"/>
      <c r="OJ53" s="6056"/>
      <c r="OK53" s="6056"/>
      <c r="OL53" s="6056"/>
      <c r="OM53" s="6056"/>
      <c r="ON53" s="6058"/>
    </row>
    <row r="54" spans="3:404" s="6070" customFormat="1" ht="20.100000000000001" customHeight="1" thickBot="1" x14ac:dyDescent="0.25">
      <c r="C54" s="6064"/>
      <c r="D54" s="6093"/>
      <c r="E54" s="6784" t="str">
        <f>_Calcs!$IK$126</f>
        <v>Samlet justering</v>
      </c>
      <c r="F54" s="6784"/>
      <c r="G54" s="6784"/>
      <c r="H54" s="6784"/>
      <c r="I54" s="6784"/>
      <c r="J54" s="6784"/>
      <c r="K54" s="6784"/>
      <c r="L54" s="6784"/>
      <c r="M54" s="6784"/>
      <c r="N54" s="6784"/>
      <c r="O54" s="6784"/>
      <c r="P54" s="6784"/>
      <c r="Q54" s="6784"/>
      <c r="R54" s="6784"/>
      <c r="S54" s="6784"/>
      <c r="T54" s="6784"/>
      <c r="U54" s="6784"/>
      <c r="V54" s="6784"/>
      <c r="W54" s="6094"/>
      <c r="X54" s="6095"/>
      <c r="Y54" s="6095"/>
      <c r="Z54" s="6095"/>
      <c r="AA54" s="6095"/>
      <c r="AB54" s="6095"/>
      <c r="AC54" s="6095"/>
      <c r="AD54" s="6095"/>
      <c r="AE54" s="6095"/>
      <c r="AF54" s="6095"/>
      <c r="AG54" s="6095"/>
      <c r="AH54" s="6095"/>
      <c r="AI54" s="6061"/>
      <c r="AJ54" s="6061"/>
      <c r="AK54" s="6061"/>
      <c r="AL54" s="6068"/>
      <c r="AM54" s="6096"/>
      <c r="AN54" s="6780" t="str">
        <f>_Calcs!$IK$127</f>
        <v>Nei</v>
      </c>
      <c r="AO54" s="6780"/>
      <c r="AP54" s="6780"/>
      <c r="AQ54" s="6097"/>
      <c r="AR54" s="6098"/>
      <c r="AV54" s="6064"/>
      <c r="AW54" s="6093"/>
      <c r="AX54" s="6784" t="str">
        <f>_Calcs!$IL$126</f>
        <v>Samlet justering</v>
      </c>
      <c r="AY54" s="6784"/>
      <c r="AZ54" s="6784"/>
      <c r="BA54" s="6784"/>
      <c r="BB54" s="6784"/>
      <c r="BC54" s="6784"/>
      <c r="BD54" s="6784"/>
      <c r="BE54" s="6784"/>
      <c r="BF54" s="6784"/>
      <c r="BG54" s="6784"/>
      <c r="BH54" s="6784"/>
      <c r="BI54" s="6784"/>
      <c r="BJ54" s="6784"/>
      <c r="BK54" s="6784"/>
      <c r="BL54" s="6784"/>
      <c r="BM54" s="6784"/>
      <c r="BN54" s="6784"/>
      <c r="BO54" s="6784"/>
      <c r="BP54" s="6094"/>
      <c r="BQ54" s="6095"/>
      <c r="BR54" s="6095"/>
      <c r="BS54" s="6095"/>
      <c r="BT54" s="6095"/>
      <c r="BU54" s="6095"/>
      <c r="BV54" s="6095"/>
      <c r="BW54" s="6095"/>
      <c r="BX54" s="6095"/>
      <c r="BY54" s="6095"/>
      <c r="BZ54" s="6095"/>
      <c r="CA54" s="6095"/>
      <c r="CB54" s="6061"/>
      <c r="CC54" s="6061"/>
      <c r="CD54" s="6061"/>
      <c r="CE54" s="6068"/>
      <c r="CF54" s="6096"/>
      <c r="CG54" s="6780" t="str">
        <f>_Calcs!$IL$127</f>
        <v>Nei</v>
      </c>
      <c r="CH54" s="6780"/>
      <c r="CI54" s="6780"/>
      <c r="CJ54" s="6097"/>
      <c r="CK54" s="6098"/>
      <c r="CO54" s="6064"/>
      <c r="CP54" s="6093"/>
      <c r="CQ54" s="6784" t="str">
        <f>_Calcs!$IM$126</f>
        <v>Samlet justering</v>
      </c>
      <c r="CR54" s="6784"/>
      <c r="CS54" s="6784"/>
      <c r="CT54" s="6784"/>
      <c r="CU54" s="6784"/>
      <c r="CV54" s="6784"/>
      <c r="CW54" s="6784"/>
      <c r="CX54" s="6784"/>
      <c r="CY54" s="6784"/>
      <c r="CZ54" s="6784"/>
      <c r="DA54" s="6784"/>
      <c r="DB54" s="6784"/>
      <c r="DC54" s="6784"/>
      <c r="DD54" s="6784"/>
      <c r="DE54" s="6784"/>
      <c r="DF54" s="6784"/>
      <c r="DG54" s="6784"/>
      <c r="DH54" s="6784"/>
      <c r="DI54" s="6094"/>
      <c r="DJ54" s="6095"/>
      <c r="DK54" s="6095"/>
      <c r="DL54" s="6095"/>
      <c r="DM54" s="6095"/>
      <c r="DN54" s="6095"/>
      <c r="DO54" s="6095"/>
      <c r="DP54" s="6095"/>
      <c r="DQ54" s="6095"/>
      <c r="DR54" s="6095"/>
      <c r="DS54" s="6095"/>
      <c r="DT54" s="6095"/>
      <c r="DU54" s="6061"/>
      <c r="DV54" s="6061"/>
      <c r="DW54" s="6061"/>
      <c r="DX54" s="6068"/>
      <c r="DY54" s="6096"/>
      <c r="DZ54" s="6780" t="str">
        <f>_Calcs!$IM$127</f>
        <v>Nei</v>
      </c>
      <c r="EA54" s="6780"/>
      <c r="EB54" s="6780"/>
      <c r="EC54" s="6097"/>
      <c r="ED54" s="6098"/>
      <c r="EH54" s="6064"/>
      <c r="EI54" s="6093"/>
      <c r="EJ54" s="6784" t="str">
        <f>_Calcs!$IN$126</f>
        <v>Samlet justering</v>
      </c>
      <c r="EK54" s="6784"/>
      <c r="EL54" s="6784"/>
      <c r="EM54" s="6784"/>
      <c r="EN54" s="6784"/>
      <c r="EO54" s="6784"/>
      <c r="EP54" s="6784"/>
      <c r="EQ54" s="6784"/>
      <c r="ER54" s="6784"/>
      <c r="ES54" s="6784"/>
      <c r="ET54" s="6784"/>
      <c r="EU54" s="6784"/>
      <c r="EV54" s="6784"/>
      <c r="EW54" s="6784"/>
      <c r="EX54" s="6784"/>
      <c r="EY54" s="6784"/>
      <c r="EZ54" s="6784"/>
      <c r="FA54" s="6784"/>
      <c r="FB54" s="6094"/>
      <c r="FC54" s="6095"/>
      <c r="FD54" s="6095"/>
      <c r="FE54" s="6095"/>
      <c r="FF54" s="6095"/>
      <c r="FG54" s="6095"/>
      <c r="FH54" s="6095"/>
      <c r="FI54" s="6095"/>
      <c r="FJ54" s="6095"/>
      <c r="FK54" s="6095"/>
      <c r="FL54" s="6095"/>
      <c r="FM54" s="6095"/>
      <c r="FN54" s="6061"/>
      <c r="FO54" s="6061"/>
      <c r="FP54" s="6061"/>
      <c r="FQ54" s="6068"/>
      <c r="FR54" s="6096"/>
      <c r="FS54" s="6780" t="str">
        <f>_Calcs!$IN$127</f>
        <v>Nei</v>
      </c>
      <c r="FT54" s="6780"/>
      <c r="FU54" s="6780"/>
      <c r="FV54" s="6097"/>
      <c r="FW54" s="6098"/>
      <c r="GA54" s="6064"/>
      <c r="GB54" s="6093"/>
      <c r="GC54" s="6784" t="str">
        <f>_Calcs!$IO$126</f>
        <v>Samlet justering</v>
      </c>
      <c r="GD54" s="6784"/>
      <c r="GE54" s="6784"/>
      <c r="GF54" s="6784"/>
      <c r="GG54" s="6784"/>
      <c r="GH54" s="6784"/>
      <c r="GI54" s="6784"/>
      <c r="GJ54" s="6784"/>
      <c r="GK54" s="6784"/>
      <c r="GL54" s="6784"/>
      <c r="GM54" s="6784"/>
      <c r="GN54" s="6784"/>
      <c r="GO54" s="6784"/>
      <c r="GP54" s="6784"/>
      <c r="GQ54" s="6784"/>
      <c r="GR54" s="6784"/>
      <c r="GS54" s="6784"/>
      <c r="GT54" s="6784"/>
      <c r="GU54" s="6094"/>
      <c r="GV54" s="6095"/>
      <c r="GW54" s="6095"/>
      <c r="GX54" s="6095"/>
      <c r="GY54" s="6095"/>
      <c r="GZ54" s="6095"/>
      <c r="HA54" s="6095"/>
      <c r="HB54" s="6095"/>
      <c r="HC54" s="6095"/>
      <c r="HD54" s="6095"/>
      <c r="HE54" s="6095"/>
      <c r="HF54" s="6095"/>
      <c r="HG54" s="6061"/>
      <c r="HH54" s="6061"/>
      <c r="HI54" s="6061"/>
      <c r="HJ54" s="6068"/>
      <c r="HK54" s="6096"/>
      <c r="HL54" s="6780" t="str">
        <f>_Calcs!$IO$127</f>
        <v>Nei</v>
      </c>
      <c r="HM54" s="6780"/>
      <c r="HN54" s="6780"/>
      <c r="HO54" s="6097"/>
      <c r="HP54" s="6098"/>
      <c r="HT54" s="6064"/>
      <c r="HU54" s="6093"/>
      <c r="HV54" s="6784" t="str">
        <f>_Calcs!$IP$126</f>
        <v>Samlet justering</v>
      </c>
      <c r="HW54" s="6784"/>
      <c r="HX54" s="6784"/>
      <c r="HY54" s="6784"/>
      <c r="HZ54" s="6784"/>
      <c r="IA54" s="6784"/>
      <c r="IB54" s="6784"/>
      <c r="IC54" s="6784"/>
      <c r="ID54" s="6784"/>
      <c r="IE54" s="6784"/>
      <c r="IF54" s="6784"/>
      <c r="IG54" s="6784"/>
      <c r="IH54" s="6784"/>
      <c r="II54" s="6784"/>
      <c r="IJ54" s="6784"/>
      <c r="IK54" s="6784"/>
      <c r="IL54" s="6784"/>
      <c r="IM54" s="6784"/>
      <c r="IN54" s="6094"/>
      <c r="IO54" s="6095"/>
      <c r="IP54" s="6095"/>
      <c r="IQ54" s="6095"/>
      <c r="IR54" s="6095"/>
      <c r="IS54" s="6095"/>
      <c r="IT54" s="6095"/>
      <c r="IU54" s="6095"/>
      <c r="IV54" s="6095"/>
      <c r="IW54" s="6095"/>
      <c r="IX54" s="6095"/>
      <c r="IY54" s="6095"/>
      <c r="IZ54" s="6061"/>
      <c r="JA54" s="6061"/>
      <c r="JB54" s="6061"/>
      <c r="JC54" s="6068"/>
      <c r="JD54" s="6096"/>
      <c r="JE54" s="6780" t="str">
        <f>_Calcs!$IP$127</f>
        <v>Nei</v>
      </c>
      <c r="JF54" s="6780"/>
      <c r="JG54" s="6780"/>
      <c r="JH54" s="6097"/>
      <c r="JI54" s="6098"/>
      <c r="JM54" s="6064"/>
      <c r="JN54" s="6093"/>
      <c r="JO54" s="6784" t="str">
        <f>_Calcs!$IQ$126</f>
        <v>Samlet justering</v>
      </c>
      <c r="JP54" s="6784"/>
      <c r="JQ54" s="6784"/>
      <c r="JR54" s="6784"/>
      <c r="JS54" s="6784"/>
      <c r="JT54" s="6784"/>
      <c r="JU54" s="6784"/>
      <c r="JV54" s="6784"/>
      <c r="JW54" s="6784"/>
      <c r="JX54" s="6784"/>
      <c r="JY54" s="6784"/>
      <c r="JZ54" s="6784"/>
      <c r="KA54" s="6784"/>
      <c r="KB54" s="6784"/>
      <c r="KC54" s="6784"/>
      <c r="KD54" s="6784"/>
      <c r="KE54" s="6784"/>
      <c r="KF54" s="6784"/>
      <c r="KG54" s="6094"/>
      <c r="KH54" s="6095"/>
      <c r="KI54" s="6095"/>
      <c r="KJ54" s="6095"/>
      <c r="KK54" s="6095"/>
      <c r="KL54" s="6095"/>
      <c r="KM54" s="6095"/>
      <c r="KN54" s="6095"/>
      <c r="KO54" s="6095"/>
      <c r="KP54" s="6095"/>
      <c r="KQ54" s="6095"/>
      <c r="KR54" s="6095"/>
      <c r="KS54" s="6061"/>
      <c r="KT54" s="6061"/>
      <c r="KU54" s="6061"/>
      <c r="KV54" s="6068"/>
      <c r="KW54" s="6096"/>
      <c r="KX54" s="6780" t="str">
        <f>_Calcs!$IQ$127</f>
        <v>Nei</v>
      </c>
      <c r="KY54" s="6780"/>
      <c r="KZ54" s="6780"/>
      <c r="LA54" s="6097"/>
      <c r="LB54" s="6098"/>
      <c r="LF54" s="6064"/>
      <c r="LG54" s="6093"/>
      <c r="LH54" s="6784" t="str">
        <f>_Calcs!$IR$126</f>
        <v>Samlet justering</v>
      </c>
      <c r="LI54" s="6784"/>
      <c r="LJ54" s="6784"/>
      <c r="LK54" s="6784"/>
      <c r="LL54" s="6784"/>
      <c r="LM54" s="6784"/>
      <c r="LN54" s="6784"/>
      <c r="LO54" s="6784"/>
      <c r="LP54" s="6784"/>
      <c r="LQ54" s="6784"/>
      <c r="LR54" s="6784"/>
      <c r="LS54" s="6784"/>
      <c r="LT54" s="6784"/>
      <c r="LU54" s="6784"/>
      <c r="LV54" s="6784"/>
      <c r="LW54" s="6784"/>
      <c r="LX54" s="6784"/>
      <c r="LY54" s="6784"/>
      <c r="LZ54" s="6094"/>
      <c r="MA54" s="6095"/>
      <c r="MB54" s="6095"/>
      <c r="MC54" s="6095"/>
      <c r="MD54" s="6095"/>
      <c r="ME54" s="6095"/>
      <c r="MF54" s="6095"/>
      <c r="MG54" s="6095"/>
      <c r="MH54" s="6095"/>
      <c r="MI54" s="6095"/>
      <c r="MJ54" s="6095"/>
      <c r="MK54" s="6095"/>
      <c r="ML54" s="6061"/>
      <c r="MM54" s="6061"/>
      <c r="MN54" s="6061"/>
      <c r="MO54" s="6068"/>
      <c r="MP54" s="6096"/>
      <c r="MQ54" s="6780" t="str">
        <f>_Calcs!$IR$127</f>
        <v>Nei</v>
      </c>
      <c r="MR54" s="6780"/>
      <c r="MS54" s="6780"/>
      <c r="MT54" s="6097"/>
      <c r="MU54" s="6098"/>
      <c r="MY54" s="6064"/>
      <c r="MZ54" s="6093"/>
      <c r="NA54" s="6784" t="str">
        <f>_Calcs!$IS$126</f>
        <v>Samlet justering</v>
      </c>
      <c r="NB54" s="6784"/>
      <c r="NC54" s="6784"/>
      <c r="ND54" s="6784"/>
      <c r="NE54" s="6784"/>
      <c r="NF54" s="6784"/>
      <c r="NG54" s="6784"/>
      <c r="NH54" s="6784"/>
      <c r="NI54" s="6784"/>
      <c r="NJ54" s="6784"/>
      <c r="NK54" s="6784"/>
      <c r="NL54" s="6784"/>
      <c r="NM54" s="6784"/>
      <c r="NN54" s="6784"/>
      <c r="NO54" s="6784"/>
      <c r="NP54" s="6784"/>
      <c r="NQ54" s="6784"/>
      <c r="NR54" s="6784"/>
      <c r="NS54" s="6094"/>
      <c r="NT54" s="6095"/>
      <c r="NU54" s="6095"/>
      <c r="NV54" s="6095"/>
      <c r="NW54" s="6095"/>
      <c r="NX54" s="6095"/>
      <c r="NY54" s="6095"/>
      <c r="NZ54" s="6095"/>
      <c r="OA54" s="6095"/>
      <c r="OB54" s="6095"/>
      <c r="OC54" s="6095"/>
      <c r="OD54" s="6095"/>
      <c r="OE54" s="6061"/>
      <c r="OF54" s="6061"/>
      <c r="OG54" s="6061"/>
      <c r="OH54" s="6068"/>
      <c r="OI54" s="6096"/>
      <c r="OJ54" s="6780" t="str">
        <f>_Calcs!$IS$127</f>
        <v>Nei</v>
      </c>
      <c r="OK54" s="6780"/>
      <c r="OL54" s="6780"/>
      <c r="OM54" s="6097"/>
      <c r="ON54" s="6098"/>
    </row>
    <row r="55" spans="3:404" ht="8.1" customHeight="1" x14ac:dyDescent="0.2">
      <c r="C55" s="6055"/>
      <c r="D55" s="6056"/>
      <c r="E55" s="6056"/>
      <c r="F55" s="6056"/>
      <c r="G55" s="6056"/>
      <c r="H55" s="6056"/>
      <c r="I55" s="6056"/>
      <c r="J55" s="6056"/>
      <c r="K55" s="6056"/>
      <c r="L55" s="6056"/>
      <c r="M55" s="6056"/>
      <c r="N55" s="6056"/>
      <c r="O55" s="6056"/>
      <c r="P55" s="6056"/>
      <c r="Q55" s="6056"/>
      <c r="R55" s="6056"/>
      <c r="S55" s="6056"/>
      <c r="T55" s="6056"/>
      <c r="U55" s="6056"/>
      <c r="V55" s="6057"/>
      <c r="W55" s="6057"/>
      <c r="X55" s="6057"/>
      <c r="Y55" s="6057"/>
      <c r="Z55" s="6057"/>
      <c r="AA55" s="6056"/>
      <c r="AB55" s="6057"/>
      <c r="AC55" s="6057"/>
      <c r="AD55" s="6057"/>
      <c r="AE55" s="6056"/>
      <c r="AF55" s="6057"/>
      <c r="AG55" s="6057"/>
      <c r="AH55" s="6057"/>
      <c r="AI55" s="6057"/>
      <c r="AJ55" s="6057"/>
      <c r="AK55" s="6056"/>
      <c r="AL55" s="6056"/>
      <c r="AM55" s="6056"/>
      <c r="AN55" s="6056"/>
      <c r="AO55" s="6056"/>
      <c r="AP55" s="6056"/>
      <c r="AQ55" s="6056"/>
      <c r="AR55" s="6058"/>
      <c r="AV55" s="6055"/>
      <c r="AW55" s="6056"/>
      <c r="AX55" s="6056"/>
      <c r="AY55" s="6056"/>
      <c r="AZ55" s="6056"/>
      <c r="BA55" s="6056"/>
      <c r="BB55" s="6056"/>
      <c r="BC55" s="6056"/>
      <c r="BD55" s="6056"/>
      <c r="BE55" s="6056"/>
      <c r="BF55" s="6056"/>
      <c r="BG55" s="6056"/>
      <c r="BH55" s="6056"/>
      <c r="BI55" s="6056"/>
      <c r="BJ55" s="6056"/>
      <c r="BK55" s="6056"/>
      <c r="BL55" s="6056"/>
      <c r="BM55" s="6056"/>
      <c r="BN55" s="6056"/>
      <c r="BO55" s="6057"/>
      <c r="BP55" s="6057"/>
      <c r="BQ55" s="6057"/>
      <c r="BR55" s="6057"/>
      <c r="BS55" s="6057"/>
      <c r="BT55" s="6056"/>
      <c r="BU55" s="6057"/>
      <c r="BV55" s="6057"/>
      <c r="BW55" s="6057"/>
      <c r="BX55" s="6056"/>
      <c r="BY55" s="6057"/>
      <c r="BZ55" s="6057"/>
      <c r="CA55" s="6057"/>
      <c r="CB55" s="6057"/>
      <c r="CC55" s="6057"/>
      <c r="CD55" s="6056"/>
      <c r="CE55" s="6056"/>
      <c r="CF55" s="6056"/>
      <c r="CG55" s="6056"/>
      <c r="CH55" s="6056"/>
      <c r="CI55" s="6056"/>
      <c r="CJ55" s="6056"/>
      <c r="CK55" s="6058"/>
      <c r="CO55" s="6055"/>
      <c r="CP55" s="6056"/>
      <c r="CQ55" s="6056"/>
      <c r="CR55" s="6056"/>
      <c r="CS55" s="6056"/>
      <c r="CT55" s="6056"/>
      <c r="CU55" s="6056"/>
      <c r="CV55" s="6056"/>
      <c r="CW55" s="6056"/>
      <c r="CX55" s="6056"/>
      <c r="CY55" s="6056"/>
      <c r="CZ55" s="6056"/>
      <c r="DA55" s="6056"/>
      <c r="DB55" s="6056"/>
      <c r="DC55" s="6056"/>
      <c r="DD55" s="6056"/>
      <c r="DE55" s="6056"/>
      <c r="DF55" s="6056"/>
      <c r="DG55" s="6056"/>
      <c r="DH55" s="6057"/>
      <c r="DI55" s="6057"/>
      <c r="DJ55" s="6057"/>
      <c r="DK55" s="6057"/>
      <c r="DL55" s="6057"/>
      <c r="DM55" s="6056"/>
      <c r="DN55" s="6057"/>
      <c r="DO55" s="6057"/>
      <c r="DP55" s="6057"/>
      <c r="DQ55" s="6056"/>
      <c r="DR55" s="6057"/>
      <c r="DS55" s="6057"/>
      <c r="DT55" s="6057"/>
      <c r="DU55" s="6057"/>
      <c r="DV55" s="6057"/>
      <c r="DW55" s="6056"/>
      <c r="DX55" s="6056"/>
      <c r="DY55" s="6056"/>
      <c r="DZ55" s="6056"/>
      <c r="EA55" s="6056"/>
      <c r="EB55" s="6056"/>
      <c r="EC55" s="6056"/>
      <c r="ED55" s="6058"/>
      <c r="EH55" s="6055"/>
      <c r="EI55" s="6056"/>
      <c r="EJ55" s="6056"/>
      <c r="EK55" s="6056"/>
      <c r="EL55" s="6056"/>
      <c r="EM55" s="6056"/>
      <c r="EN55" s="6056"/>
      <c r="EO55" s="6056"/>
      <c r="EP55" s="6056"/>
      <c r="EQ55" s="6056"/>
      <c r="ER55" s="6056"/>
      <c r="ES55" s="6056"/>
      <c r="ET55" s="6056"/>
      <c r="EU55" s="6056"/>
      <c r="EV55" s="6056"/>
      <c r="EW55" s="6056"/>
      <c r="EX55" s="6056"/>
      <c r="EY55" s="6056"/>
      <c r="EZ55" s="6056"/>
      <c r="FA55" s="6057"/>
      <c r="FB55" s="6057"/>
      <c r="FC55" s="6057"/>
      <c r="FD55" s="6057"/>
      <c r="FE55" s="6057"/>
      <c r="FF55" s="6056"/>
      <c r="FG55" s="6057"/>
      <c r="FH55" s="6057"/>
      <c r="FI55" s="6057"/>
      <c r="FJ55" s="6056"/>
      <c r="FK55" s="6057"/>
      <c r="FL55" s="6057"/>
      <c r="FM55" s="6057"/>
      <c r="FN55" s="6057"/>
      <c r="FO55" s="6057"/>
      <c r="FP55" s="6056"/>
      <c r="FQ55" s="6056"/>
      <c r="FR55" s="6056"/>
      <c r="FS55" s="6056"/>
      <c r="FT55" s="6056"/>
      <c r="FU55" s="6056"/>
      <c r="FV55" s="6056"/>
      <c r="FW55" s="6058"/>
      <c r="GA55" s="6055"/>
      <c r="GB55" s="6056"/>
      <c r="GC55" s="6056"/>
      <c r="GD55" s="6056"/>
      <c r="GE55" s="6056"/>
      <c r="GF55" s="6056"/>
      <c r="GG55" s="6056"/>
      <c r="GH55" s="6056"/>
      <c r="GI55" s="6056"/>
      <c r="GJ55" s="6056"/>
      <c r="GK55" s="6056"/>
      <c r="GL55" s="6056"/>
      <c r="GM55" s="6056"/>
      <c r="GN55" s="6056"/>
      <c r="GO55" s="6056"/>
      <c r="GP55" s="6056"/>
      <c r="GQ55" s="6056"/>
      <c r="GR55" s="6056"/>
      <c r="GS55" s="6056"/>
      <c r="GT55" s="6057"/>
      <c r="GU55" s="6057"/>
      <c r="GV55" s="6057"/>
      <c r="GW55" s="6057"/>
      <c r="GX55" s="6057"/>
      <c r="GY55" s="6056"/>
      <c r="GZ55" s="6057"/>
      <c r="HA55" s="6057"/>
      <c r="HB55" s="6057"/>
      <c r="HC55" s="6056"/>
      <c r="HD55" s="6057"/>
      <c r="HE55" s="6057"/>
      <c r="HF55" s="6057"/>
      <c r="HG55" s="6057"/>
      <c r="HH55" s="6057"/>
      <c r="HI55" s="6056"/>
      <c r="HJ55" s="6056"/>
      <c r="HK55" s="6056"/>
      <c r="HL55" s="6056"/>
      <c r="HM55" s="6056"/>
      <c r="HN55" s="6056"/>
      <c r="HO55" s="6056"/>
      <c r="HP55" s="6058"/>
      <c r="HT55" s="6055"/>
      <c r="HU55" s="6056"/>
      <c r="HV55" s="6056"/>
      <c r="HW55" s="6056"/>
      <c r="HX55" s="6056"/>
      <c r="HY55" s="6056"/>
      <c r="HZ55" s="6056"/>
      <c r="IA55" s="6056"/>
      <c r="IB55" s="6056"/>
      <c r="IC55" s="6056"/>
      <c r="ID55" s="6056"/>
      <c r="IE55" s="6056"/>
      <c r="IF55" s="6056"/>
      <c r="IG55" s="6056"/>
      <c r="IH55" s="6056"/>
      <c r="II55" s="6056"/>
      <c r="IJ55" s="6056"/>
      <c r="IK55" s="6056"/>
      <c r="IL55" s="6056"/>
      <c r="IM55" s="6057"/>
      <c r="IN55" s="6057"/>
      <c r="IO55" s="6057"/>
      <c r="IP55" s="6057"/>
      <c r="IQ55" s="6057"/>
      <c r="IR55" s="6056"/>
      <c r="IS55" s="6057"/>
      <c r="IT55" s="6057"/>
      <c r="IU55" s="6057"/>
      <c r="IV55" s="6056"/>
      <c r="IW55" s="6057"/>
      <c r="IX55" s="6057"/>
      <c r="IY55" s="6057"/>
      <c r="IZ55" s="6057"/>
      <c r="JA55" s="6057"/>
      <c r="JB55" s="6056"/>
      <c r="JC55" s="6056"/>
      <c r="JD55" s="6056"/>
      <c r="JE55" s="6056"/>
      <c r="JF55" s="6056"/>
      <c r="JG55" s="6056"/>
      <c r="JH55" s="6056"/>
      <c r="JI55" s="6058"/>
      <c r="JM55" s="6055"/>
      <c r="JN55" s="6056"/>
      <c r="JO55" s="6056"/>
      <c r="JP55" s="6056"/>
      <c r="JQ55" s="6056"/>
      <c r="JR55" s="6056"/>
      <c r="JS55" s="6056"/>
      <c r="JT55" s="6056"/>
      <c r="JU55" s="6056"/>
      <c r="JV55" s="6056"/>
      <c r="JW55" s="6056"/>
      <c r="JX55" s="6056"/>
      <c r="JY55" s="6056"/>
      <c r="JZ55" s="6056"/>
      <c r="KA55" s="6056"/>
      <c r="KB55" s="6056"/>
      <c r="KC55" s="6056"/>
      <c r="KD55" s="6056"/>
      <c r="KE55" s="6056"/>
      <c r="KF55" s="6057"/>
      <c r="KG55" s="6057"/>
      <c r="KH55" s="6057"/>
      <c r="KI55" s="6057"/>
      <c r="KJ55" s="6057"/>
      <c r="KK55" s="6056"/>
      <c r="KL55" s="6057"/>
      <c r="KM55" s="6057"/>
      <c r="KN55" s="6057"/>
      <c r="KO55" s="6056"/>
      <c r="KP55" s="6057"/>
      <c r="KQ55" s="6057"/>
      <c r="KR55" s="6057"/>
      <c r="KS55" s="6057"/>
      <c r="KT55" s="6057"/>
      <c r="KU55" s="6056"/>
      <c r="KV55" s="6056"/>
      <c r="KW55" s="6056"/>
      <c r="KX55" s="6056"/>
      <c r="KY55" s="6056"/>
      <c r="KZ55" s="6056"/>
      <c r="LA55" s="6056"/>
      <c r="LB55" s="6058"/>
      <c r="LF55" s="6055"/>
      <c r="LG55" s="6056"/>
      <c r="LH55" s="6056"/>
      <c r="LI55" s="6056"/>
      <c r="LJ55" s="6056"/>
      <c r="LK55" s="6056"/>
      <c r="LL55" s="6056"/>
      <c r="LM55" s="6056"/>
      <c r="LN55" s="6056"/>
      <c r="LO55" s="6056"/>
      <c r="LP55" s="6056"/>
      <c r="LQ55" s="6056"/>
      <c r="LR55" s="6056"/>
      <c r="LS55" s="6056"/>
      <c r="LT55" s="6056"/>
      <c r="LU55" s="6056"/>
      <c r="LV55" s="6056"/>
      <c r="LW55" s="6056"/>
      <c r="LX55" s="6056"/>
      <c r="LY55" s="6057"/>
      <c r="LZ55" s="6057"/>
      <c r="MA55" s="6057"/>
      <c r="MB55" s="6057"/>
      <c r="MC55" s="6057"/>
      <c r="MD55" s="6056"/>
      <c r="ME55" s="6057"/>
      <c r="MF55" s="6057"/>
      <c r="MG55" s="6057"/>
      <c r="MH55" s="6056"/>
      <c r="MI55" s="6057"/>
      <c r="MJ55" s="6057"/>
      <c r="MK55" s="6057"/>
      <c r="ML55" s="6057"/>
      <c r="MM55" s="6057"/>
      <c r="MN55" s="6056"/>
      <c r="MO55" s="6056"/>
      <c r="MP55" s="6056"/>
      <c r="MQ55" s="6056"/>
      <c r="MR55" s="6056"/>
      <c r="MS55" s="6056"/>
      <c r="MT55" s="6056"/>
      <c r="MU55" s="6058"/>
      <c r="MY55" s="6055"/>
      <c r="MZ55" s="6056"/>
      <c r="NA55" s="6056"/>
      <c r="NB55" s="6056"/>
      <c r="NC55" s="6056"/>
      <c r="ND55" s="6056"/>
      <c r="NE55" s="6056"/>
      <c r="NF55" s="6056"/>
      <c r="NG55" s="6056"/>
      <c r="NH55" s="6056"/>
      <c r="NI55" s="6056"/>
      <c r="NJ55" s="6056"/>
      <c r="NK55" s="6056"/>
      <c r="NL55" s="6056"/>
      <c r="NM55" s="6056"/>
      <c r="NN55" s="6056"/>
      <c r="NO55" s="6056"/>
      <c r="NP55" s="6056"/>
      <c r="NQ55" s="6056"/>
      <c r="NR55" s="6057"/>
      <c r="NS55" s="6057"/>
      <c r="NT55" s="6057"/>
      <c r="NU55" s="6057"/>
      <c r="NV55" s="6057"/>
      <c r="NW55" s="6056"/>
      <c r="NX55" s="6057"/>
      <c r="NY55" s="6057"/>
      <c r="NZ55" s="6057"/>
      <c r="OA55" s="6056"/>
      <c r="OB55" s="6057"/>
      <c r="OC55" s="6057"/>
      <c r="OD55" s="6057"/>
      <c r="OE55" s="6057"/>
      <c r="OF55" s="6057"/>
      <c r="OG55" s="6056"/>
      <c r="OH55" s="6056"/>
      <c r="OI55" s="6056"/>
      <c r="OJ55" s="6056"/>
      <c r="OK55" s="6056"/>
      <c r="OL55" s="6056"/>
      <c r="OM55" s="6056"/>
      <c r="ON55" s="6058"/>
    </row>
    <row r="56" spans="3:404" s="6075" customFormat="1" ht="12" customHeight="1" x14ac:dyDescent="0.2">
      <c r="C56" s="6071"/>
      <c r="D56" s="6060" t="str">
        <f>_Calcs!$N$80</f>
        <v>Tidjustering</v>
      </c>
      <c r="E56" s="6072"/>
      <c r="F56" s="6072"/>
      <c r="G56" s="6072"/>
      <c r="H56" s="6072"/>
      <c r="I56" s="6072"/>
      <c r="J56" s="6072"/>
      <c r="K56" s="6072"/>
      <c r="L56" s="6072"/>
      <c r="M56" s="6099"/>
      <c r="N56" s="6099"/>
      <c r="O56" s="6099"/>
      <c r="P56" s="6099"/>
      <c r="Q56" s="6099"/>
      <c r="R56" s="6099"/>
      <c r="S56" s="6099"/>
      <c r="T56" s="6099"/>
      <c r="U56" s="6072"/>
      <c r="V56" s="6072"/>
      <c r="W56" s="6072"/>
      <c r="X56" s="6072"/>
      <c r="Y56" s="6072"/>
      <c r="Z56" s="6072"/>
      <c r="AA56" s="6072"/>
      <c r="AB56" s="6072"/>
      <c r="AC56" s="6072"/>
      <c r="AD56" s="6072"/>
      <c r="AE56" s="6072"/>
      <c r="AF56" s="6072"/>
      <c r="AG56" s="6072"/>
      <c r="AH56" s="6072"/>
      <c r="AI56" s="6072"/>
      <c r="AJ56" s="6072"/>
      <c r="AK56" s="6072"/>
      <c r="AL56" s="6072"/>
      <c r="AM56" s="6072"/>
      <c r="AN56" s="6072"/>
      <c r="AO56" s="6072"/>
      <c r="AP56" s="6072"/>
      <c r="AQ56" s="6072"/>
      <c r="AR56" s="6074"/>
      <c r="AV56" s="6071"/>
      <c r="AW56" s="6060" t="str">
        <f>_Calcs!$N$80</f>
        <v>Tidjustering</v>
      </c>
      <c r="AX56" s="6072"/>
      <c r="AY56" s="6072"/>
      <c r="AZ56" s="6072"/>
      <c r="BA56" s="6072"/>
      <c r="BB56" s="6072"/>
      <c r="BC56" s="6072"/>
      <c r="BD56" s="6072"/>
      <c r="BE56" s="6072"/>
      <c r="BF56" s="6099"/>
      <c r="BG56" s="6099"/>
      <c r="BH56" s="6099"/>
      <c r="BI56" s="6099"/>
      <c r="BJ56" s="6099"/>
      <c r="BK56" s="6099"/>
      <c r="BL56" s="6099"/>
      <c r="BM56" s="6099"/>
      <c r="BN56" s="6072"/>
      <c r="BO56" s="6072"/>
      <c r="BP56" s="6072"/>
      <c r="BQ56" s="6072"/>
      <c r="BR56" s="6072"/>
      <c r="BS56" s="6072"/>
      <c r="BT56" s="6072"/>
      <c r="BU56" s="6072"/>
      <c r="BV56" s="6072"/>
      <c r="BW56" s="6072"/>
      <c r="BX56" s="6072"/>
      <c r="BY56" s="6072"/>
      <c r="BZ56" s="6072"/>
      <c r="CA56" s="6072"/>
      <c r="CB56" s="6072"/>
      <c r="CC56" s="6072"/>
      <c r="CD56" s="6072"/>
      <c r="CE56" s="6072"/>
      <c r="CF56" s="6072"/>
      <c r="CG56" s="6072"/>
      <c r="CH56" s="6072"/>
      <c r="CI56" s="6072"/>
      <c r="CJ56" s="6072"/>
      <c r="CK56" s="6074"/>
      <c r="CO56" s="6071"/>
      <c r="CP56" s="6060" t="str">
        <f>_Calcs!$N$80</f>
        <v>Tidjustering</v>
      </c>
      <c r="CQ56" s="6072"/>
      <c r="CR56" s="6072"/>
      <c r="CS56" s="6072"/>
      <c r="CT56" s="6072"/>
      <c r="CU56" s="6072"/>
      <c r="CV56" s="6072"/>
      <c r="CW56" s="6072"/>
      <c r="CX56" s="6072"/>
      <c r="CY56" s="6099"/>
      <c r="CZ56" s="6099"/>
      <c r="DA56" s="6099"/>
      <c r="DB56" s="6099"/>
      <c r="DC56" s="6099"/>
      <c r="DD56" s="6099"/>
      <c r="DE56" s="6099"/>
      <c r="DF56" s="6099"/>
      <c r="DG56" s="6072"/>
      <c r="DH56" s="6072"/>
      <c r="DI56" s="6072"/>
      <c r="DJ56" s="6072"/>
      <c r="DK56" s="6072"/>
      <c r="DL56" s="6072"/>
      <c r="DM56" s="6072"/>
      <c r="DN56" s="6072"/>
      <c r="DO56" s="6072"/>
      <c r="DP56" s="6072"/>
      <c r="DQ56" s="6072"/>
      <c r="DR56" s="6072"/>
      <c r="DS56" s="6072"/>
      <c r="DT56" s="6072"/>
      <c r="DU56" s="6072"/>
      <c r="DV56" s="6072"/>
      <c r="DW56" s="6072"/>
      <c r="DX56" s="6072"/>
      <c r="DY56" s="6072"/>
      <c r="DZ56" s="6072"/>
      <c r="EA56" s="6072"/>
      <c r="EB56" s="6072"/>
      <c r="EC56" s="6072"/>
      <c r="ED56" s="6074"/>
      <c r="EH56" s="6071"/>
      <c r="EI56" s="6060" t="str">
        <f>_Calcs!$N$80</f>
        <v>Tidjustering</v>
      </c>
      <c r="EJ56" s="6072"/>
      <c r="EK56" s="6072"/>
      <c r="EL56" s="6072"/>
      <c r="EM56" s="6072"/>
      <c r="EN56" s="6072"/>
      <c r="EO56" s="6072"/>
      <c r="EP56" s="6072"/>
      <c r="EQ56" s="6072"/>
      <c r="ER56" s="6099"/>
      <c r="ES56" s="6099"/>
      <c r="ET56" s="6099"/>
      <c r="EU56" s="6099"/>
      <c r="EV56" s="6099"/>
      <c r="EW56" s="6099"/>
      <c r="EX56" s="6099"/>
      <c r="EY56" s="6099"/>
      <c r="EZ56" s="6072"/>
      <c r="FA56" s="6072"/>
      <c r="FB56" s="6072"/>
      <c r="FC56" s="6072"/>
      <c r="FD56" s="6072"/>
      <c r="FE56" s="6072"/>
      <c r="FF56" s="6072"/>
      <c r="FG56" s="6072"/>
      <c r="FH56" s="6072"/>
      <c r="FI56" s="6072"/>
      <c r="FJ56" s="6072"/>
      <c r="FK56" s="6072"/>
      <c r="FL56" s="6072"/>
      <c r="FM56" s="6072"/>
      <c r="FN56" s="6072"/>
      <c r="FO56" s="6072"/>
      <c r="FP56" s="6072"/>
      <c r="FQ56" s="6072"/>
      <c r="FR56" s="6072"/>
      <c r="FS56" s="6072"/>
      <c r="FT56" s="6072"/>
      <c r="FU56" s="6072"/>
      <c r="FV56" s="6072"/>
      <c r="FW56" s="6074"/>
      <c r="GA56" s="6071"/>
      <c r="GB56" s="6060" t="str">
        <f>_Calcs!$N$80</f>
        <v>Tidjustering</v>
      </c>
      <c r="GC56" s="6072"/>
      <c r="GD56" s="6072"/>
      <c r="GE56" s="6072"/>
      <c r="GF56" s="6072"/>
      <c r="GG56" s="6072"/>
      <c r="GH56" s="6072"/>
      <c r="GI56" s="6072"/>
      <c r="GJ56" s="6072"/>
      <c r="GK56" s="6099"/>
      <c r="GL56" s="6099"/>
      <c r="GM56" s="6099"/>
      <c r="GN56" s="6099"/>
      <c r="GO56" s="6099"/>
      <c r="GP56" s="6099"/>
      <c r="GQ56" s="6099"/>
      <c r="GR56" s="6099"/>
      <c r="GS56" s="6072"/>
      <c r="GT56" s="6072"/>
      <c r="GU56" s="6072"/>
      <c r="GV56" s="6072"/>
      <c r="GW56" s="6072"/>
      <c r="GX56" s="6072"/>
      <c r="GY56" s="6072"/>
      <c r="GZ56" s="6072"/>
      <c r="HA56" s="6072"/>
      <c r="HB56" s="6072"/>
      <c r="HC56" s="6072"/>
      <c r="HD56" s="6072"/>
      <c r="HE56" s="6072"/>
      <c r="HF56" s="6072"/>
      <c r="HG56" s="6072"/>
      <c r="HH56" s="6072"/>
      <c r="HI56" s="6072"/>
      <c r="HJ56" s="6072"/>
      <c r="HK56" s="6072"/>
      <c r="HL56" s="6072"/>
      <c r="HM56" s="6072"/>
      <c r="HN56" s="6072"/>
      <c r="HO56" s="6072"/>
      <c r="HP56" s="6074"/>
      <c r="HT56" s="6071"/>
      <c r="HU56" s="6060" t="str">
        <f>_Calcs!$N$80</f>
        <v>Tidjustering</v>
      </c>
      <c r="HV56" s="6072"/>
      <c r="HW56" s="6072"/>
      <c r="HX56" s="6072"/>
      <c r="HY56" s="6072"/>
      <c r="HZ56" s="6072"/>
      <c r="IA56" s="6072"/>
      <c r="IB56" s="6072"/>
      <c r="IC56" s="6072"/>
      <c r="ID56" s="6099"/>
      <c r="IE56" s="6099"/>
      <c r="IF56" s="6099"/>
      <c r="IG56" s="6099"/>
      <c r="IH56" s="6099"/>
      <c r="II56" s="6099"/>
      <c r="IJ56" s="6099"/>
      <c r="IK56" s="6099"/>
      <c r="IL56" s="6072"/>
      <c r="IM56" s="6072"/>
      <c r="IN56" s="6072"/>
      <c r="IO56" s="6072"/>
      <c r="IP56" s="6072"/>
      <c r="IQ56" s="6072"/>
      <c r="IR56" s="6072"/>
      <c r="IS56" s="6072"/>
      <c r="IT56" s="6072"/>
      <c r="IU56" s="6072"/>
      <c r="IV56" s="6072"/>
      <c r="IW56" s="6072"/>
      <c r="IX56" s="6072"/>
      <c r="IY56" s="6072"/>
      <c r="IZ56" s="6072"/>
      <c r="JA56" s="6072"/>
      <c r="JB56" s="6072"/>
      <c r="JC56" s="6072"/>
      <c r="JD56" s="6072"/>
      <c r="JE56" s="6072"/>
      <c r="JF56" s="6072"/>
      <c r="JG56" s="6072"/>
      <c r="JH56" s="6072"/>
      <c r="JI56" s="6074"/>
      <c r="JM56" s="6071"/>
      <c r="JN56" s="6060" t="str">
        <f>_Calcs!$N$80</f>
        <v>Tidjustering</v>
      </c>
      <c r="JO56" s="6072"/>
      <c r="JP56" s="6072"/>
      <c r="JQ56" s="6072"/>
      <c r="JR56" s="6072"/>
      <c r="JS56" s="6072"/>
      <c r="JT56" s="6072"/>
      <c r="JU56" s="6072"/>
      <c r="JV56" s="6072"/>
      <c r="JW56" s="6099"/>
      <c r="JX56" s="6099"/>
      <c r="JY56" s="6099"/>
      <c r="JZ56" s="6099"/>
      <c r="KA56" s="6099"/>
      <c r="KB56" s="6099"/>
      <c r="KC56" s="6099"/>
      <c r="KD56" s="6099"/>
      <c r="KE56" s="6072"/>
      <c r="KF56" s="6072"/>
      <c r="KG56" s="6072"/>
      <c r="KH56" s="6072"/>
      <c r="KI56" s="6072"/>
      <c r="KJ56" s="6072"/>
      <c r="KK56" s="6072"/>
      <c r="KL56" s="6072"/>
      <c r="KM56" s="6072"/>
      <c r="KN56" s="6072"/>
      <c r="KO56" s="6072"/>
      <c r="KP56" s="6072"/>
      <c r="KQ56" s="6072"/>
      <c r="KR56" s="6072"/>
      <c r="KS56" s="6072"/>
      <c r="KT56" s="6072"/>
      <c r="KU56" s="6072"/>
      <c r="KV56" s="6072"/>
      <c r="KW56" s="6072"/>
      <c r="KX56" s="6072"/>
      <c r="KY56" s="6072"/>
      <c r="KZ56" s="6072"/>
      <c r="LA56" s="6072"/>
      <c r="LB56" s="6074"/>
      <c r="LF56" s="6071"/>
      <c r="LG56" s="6060" t="str">
        <f>_Calcs!$N$80</f>
        <v>Tidjustering</v>
      </c>
      <c r="LH56" s="6072"/>
      <c r="LI56" s="6072"/>
      <c r="LJ56" s="6072"/>
      <c r="LK56" s="6072"/>
      <c r="LL56" s="6072"/>
      <c r="LM56" s="6072"/>
      <c r="LN56" s="6072"/>
      <c r="LO56" s="6072"/>
      <c r="LP56" s="6099"/>
      <c r="LQ56" s="6099"/>
      <c r="LR56" s="6099"/>
      <c r="LS56" s="6099"/>
      <c r="LT56" s="6099"/>
      <c r="LU56" s="6099"/>
      <c r="LV56" s="6099"/>
      <c r="LW56" s="6099"/>
      <c r="LX56" s="6072"/>
      <c r="LY56" s="6072"/>
      <c r="LZ56" s="6072"/>
      <c r="MA56" s="6072"/>
      <c r="MB56" s="6072"/>
      <c r="MC56" s="6072"/>
      <c r="MD56" s="6072"/>
      <c r="ME56" s="6072"/>
      <c r="MF56" s="6072"/>
      <c r="MG56" s="6072"/>
      <c r="MH56" s="6072"/>
      <c r="MI56" s="6072"/>
      <c r="MJ56" s="6072"/>
      <c r="MK56" s="6072"/>
      <c r="ML56" s="6072"/>
      <c r="MM56" s="6072"/>
      <c r="MN56" s="6072"/>
      <c r="MO56" s="6072"/>
      <c r="MP56" s="6072"/>
      <c r="MQ56" s="6072"/>
      <c r="MR56" s="6072"/>
      <c r="MS56" s="6072"/>
      <c r="MT56" s="6072"/>
      <c r="MU56" s="6074"/>
      <c r="MY56" s="6071"/>
      <c r="MZ56" s="6060" t="str">
        <f>_Calcs!$N$80</f>
        <v>Tidjustering</v>
      </c>
      <c r="NA56" s="6072"/>
      <c r="NB56" s="6072"/>
      <c r="NC56" s="6072"/>
      <c r="ND56" s="6072"/>
      <c r="NE56" s="6072"/>
      <c r="NF56" s="6072"/>
      <c r="NG56" s="6072"/>
      <c r="NH56" s="6072"/>
      <c r="NI56" s="6099"/>
      <c r="NJ56" s="6099"/>
      <c r="NK56" s="6099"/>
      <c r="NL56" s="6099"/>
      <c r="NM56" s="6099"/>
      <c r="NN56" s="6099"/>
      <c r="NO56" s="6099"/>
      <c r="NP56" s="6099"/>
      <c r="NQ56" s="6072"/>
      <c r="NR56" s="6072"/>
      <c r="NS56" s="6072"/>
      <c r="NT56" s="6072"/>
      <c r="NU56" s="6072"/>
      <c r="NV56" s="6072"/>
      <c r="NW56" s="6072"/>
      <c r="NX56" s="6072"/>
      <c r="NY56" s="6072"/>
      <c r="NZ56" s="6072"/>
      <c r="OA56" s="6072"/>
      <c r="OB56" s="6072"/>
      <c r="OC56" s="6072"/>
      <c r="OD56" s="6072"/>
      <c r="OE56" s="6072"/>
      <c r="OF56" s="6072"/>
      <c r="OG56" s="6072"/>
      <c r="OH56" s="6072"/>
      <c r="OI56" s="6072"/>
      <c r="OJ56" s="6072"/>
      <c r="OK56" s="6072"/>
      <c r="OL56" s="6072"/>
      <c r="OM56" s="6072"/>
      <c r="ON56" s="6074"/>
    </row>
    <row r="57" spans="3:404" ht="5.0999999999999996" customHeight="1" thickBot="1" x14ac:dyDescent="0.25">
      <c r="C57" s="6055"/>
      <c r="D57" s="6056"/>
      <c r="E57" s="6056"/>
      <c r="F57" s="6056"/>
      <c r="G57" s="6056"/>
      <c r="H57" s="6056"/>
      <c r="I57" s="6056"/>
      <c r="J57" s="6056"/>
      <c r="K57" s="6056"/>
      <c r="L57" s="6056"/>
      <c r="M57" s="6100"/>
      <c r="N57" s="6100"/>
      <c r="O57" s="6100"/>
      <c r="P57" s="6100"/>
      <c r="Q57" s="6100"/>
      <c r="R57" s="6100"/>
      <c r="S57" s="6100"/>
      <c r="T57" s="6100"/>
      <c r="U57" s="6056"/>
      <c r="V57" s="6057"/>
      <c r="W57" s="6057"/>
      <c r="X57" s="6057"/>
      <c r="Y57" s="6057"/>
      <c r="Z57" s="6057"/>
      <c r="AA57" s="6056"/>
      <c r="AB57" s="6057"/>
      <c r="AC57" s="6057"/>
      <c r="AD57" s="6057"/>
      <c r="AE57" s="6056"/>
      <c r="AF57" s="6057"/>
      <c r="AG57" s="6057"/>
      <c r="AH57" s="6057"/>
      <c r="AI57" s="6057"/>
      <c r="AJ57" s="6057"/>
      <c r="AK57" s="6056"/>
      <c r="AL57" s="6056"/>
      <c r="AM57" s="6056"/>
      <c r="AN57" s="6056"/>
      <c r="AO57" s="6056"/>
      <c r="AP57" s="6056"/>
      <c r="AQ57" s="6056"/>
      <c r="AR57" s="6058"/>
      <c r="AV57" s="6055"/>
      <c r="AW57" s="6056"/>
      <c r="AX57" s="6056"/>
      <c r="AY57" s="6056"/>
      <c r="AZ57" s="6056"/>
      <c r="BA57" s="6056"/>
      <c r="BB57" s="6056"/>
      <c r="BC57" s="6056"/>
      <c r="BD57" s="6056"/>
      <c r="BE57" s="6056"/>
      <c r="BF57" s="6100"/>
      <c r="BG57" s="6100"/>
      <c r="BH57" s="6100"/>
      <c r="BI57" s="6100"/>
      <c r="BJ57" s="6100"/>
      <c r="BK57" s="6100"/>
      <c r="BL57" s="6100"/>
      <c r="BM57" s="6100"/>
      <c r="BN57" s="6056"/>
      <c r="BO57" s="6057"/>
      <c r="BP57" s="6057"/>
      <c r="BQ57" s="6057"/>
      <c r="BR57" s="6057"/>
      <c r="BS57" s="6057"/>
      <c r="BT57" s="6056"/>
      <c r="BU57" s="6057"/>
      <c r="BV57" s="6057"/>
      <c r="BW57" s="6057"/>
      <c r="BX57" s="6056"/>
      <c r="BY57" s="6057"/>
      <c r="BZ57" s="6057"/>
      <c r="CA57" s="6057"/>
      <c r="CB57" s="6057"/>
      <c r="CC57" s="6057"/>
      <c r="CD57" s="6056"/>
      <c r="CE57" s="6056"/>
      <c r="CF57" s="6056"/>
      <c r="CG57" s="6056"/>
      <c r="CH57" s="6056"/>
      <c r="CI57" s="6056"/>
      <c r="CJ57" s="6056"/>
      <c r="CK57" s="6058"/>
      <c r="CO57" s="6055"/>
      <c r="CP57" s="6056"/>
      <c r="CQ57" s="6056"/>
      <c r="CR57" s="6056"/>
      <c r="CS57" s="6056"/>
      <c r="CT57" s="6056"/>
      <c r="CU57" s="6056"/>
      <c r="CV57" s="6056"/>
      <c r="CW57" s="6056"/>
      <c r="CX57" s="6056"/>
      <c r="CY57" s="6100"/>
      <c r="CZ57" s="6100"/>
      <c r="DA57" s="6100"/>
      <c r="DB57" s="6100"/>
      <c r="DC57" s="6100"/>
      <c r="DD57" s="6100"/>
      <c r="DE57" s="6100"/>
      <c r="DF57" s="6100"/>
      <c r="DG57" s="6056"/>
      <c r="DH57" s="6057"/>
      <c r="DI57" s="6057"/>
      <c r="DJ57" s="6057"/>
      <c r="DK57" s="6057"/>
      <c r="DL57" s="6057"/>
      <c r="DM57" s="6056"/>
      <c r="DN57" s="6057"/>
      <c r="DO57" s="6057"/>
      <c r="DP57" s="6057"/>
      <c r="DQ57" s="6056"/>
      <c r="DR57" s="6057"/>
      <c r="DS57" s="6057"/>
      <c r="DT57" s="6057"/>
      <c r="DU57" s="6057"/>
      <c r="DV57" s="6057"/>
      <c r="DW57" s="6056"/>
      <c r="DX57" s="6056"/>
      <c r="DY57" s="6056"/>
      <c r="DZ57" s="6056"/>
      <c r="EA57" s="6056"/>
      <c r="EB57" s="6056"/>
      <c r="EC57" s="6056"/>
      <c r="ED57" s="6058"/>
      <c r="EH57" s="6055"/>
      <c r="EI57" s="6056"/>
      <c r="EJ57" s="6056"/>
      <c r="EK57" s="6056"/>
      <c r="EL57" s="6056"/>
      <c r="EM57" s="6056"/>
      <c r="EN57" s="6056"/>
      <c r="EO57" s="6056"/>
      <c r="EP57" s="6056"/>
      <c r="EQ57" s="6056"/>
      <c r="ER57" s="6100"/>
      <c r="ES57" s="6100"/>
      <c r="ET57" s="6100"/>
      <c r="EU57" s="6100"/>
      <c r="EV57" s="6100"/>
      <c r="EW57" s="6100"/>
      <c r="EX57" s="6100"/>
      <c r="EY57" s="6100"/>
      <c r="EZ57" s="6056"/>
      <c r="FA57" s="6057"/>
      <c r="FB57" s="6057"/>
      <c r="FC57" s="6057"/>
      <c r="FD57" s="6057"/>
      <c r="FE57" s="6057"/>
      <c r="FF57" s="6056"/>
      <c r="FG57" s="6057"/>
      <c r="FH57" s="6057"/>
      <c r="FI57" s="6057"/>
      <c r="FJ57" s="6056"/>
      <c r="FK57" s="6057"/>
      <c r="FL57" s="6057"/>
      <c r="FM57" s="6057"/>
      <c r="FN57" s="6057"/>
      <c r="FO57" s="6057"/>
      <c r="FP57" s="6056"/>
      <c r="FQ57" s="6056"/>
      <c r="FR57" s="6056"/>
      <c r="FS57" s="6056"/>
      <c r="FT57" s="6056"/>
      <c r="FU57" s="6056"/>
      <c r="FV57" s="6056"/>
      <c r="FW57" s="6058"/>
      <c r="GA57" s="6055"/>
      <c r="GB57" s="6056"/>
      <c r="GC57" s="6056"/>
      <c r="GD57" s="6056"/>
      <c r="GE57" s="6056"/>
      <c r="GF57" s="6056"/>
      <c r="GG57" s="6056"/>
      <c r="GH57" s="6056"/>
      <c r="GI57" s="6056"/>
      <c r="GJ57" s="6056"/>
      <c r="GK57" s="6100"/>
      <c r="GL57" s="6100"/>
      <c r="GM57" s="6100"/>
      <c r="GN57" s="6100"/>
      <c r="GO57" s="6100"/>
      <c r="GP57" s="6100"/>
      <c r="GQ57" s="6100"/>
      <c r="GR57" s="6100"/>
      <c r="GS57" s="6056"/>
      <c r="GT57" s="6057"/>
      <c r="GU57" s="6057"/>
      <c r="GV57" s="6057"/>
      <c r="GW57" s="6057"/>
      <c r="GX57" s="6057"/>
      <c r="GY57" s="6056"/>
      <c r="GZ57" s="6057"/>
      <c r="HA57" s="6057"/>
      <c r="HB57" s="6057"/>
      <c r="HC57" s="6056"/>
      <c r="HD57" s="6057"/>
      <c r="HE57" s="6057"/>
      <c r="HF57" s="6057"/>
      <c r="HG57" s="6057"/>
      <c r="HH57" s="6057"/>
      <c r="HI57" s="6056"/>
      <c r="HJ57" s="6056"/>
      <c r="HK57" s="6056"/>
      <c r="HL57" s="6056"/>
      <c r="HM57" s="6056"/>
      <c r="HN57" s="6056"/>
      <c r="HO57" s="6056"/>
      <c r="HP57" s="6058"/>
      <c r="HT57" s="6055"/>
      <c r="HU57" s="6056"/>
      <c r="HV57" s="6056"/>
      <c r="HW57" s="6056"/>
      <c r="HX57" s="6056"/>
      <c r="HY57" s="6056"/>
      <c r="HZ57" s="6056"/>
      <c r="IA57" s="6056"/>
      <c r="IB57" s="6056"/>
      <c r="IC57" s="6056"/>
      <c r="ID57" s="6100"/>
      <c r="IE57" s="6100"/>
      <c r="IF57" s="6100"/>
      <c r="IG57" s="6100"/>
      <c r="IH57" s="6100"/>
      <c r="II57" s="6100"/>
      <c r="IJ57" s="6100"/>
      <c r="IK57" s="6100"/>
      <c r="IL57" s="6056"/>
      <c r="IM57" s="6057"/>
      <c r="IN57" s="6057"/>
      <c r="IO57" s="6057"/>
      <c r="IP57" s="6057"/>
      <c r="IQ57" s="6057"/>
      <c r="IR57" s="6056"/>
      <c r="IS57" s="6057"/>
      <c r="IT57" s="6057"/>
      <c r="IU57" s="6057"/>
      <c r="IV57" s="6056"/>
      <c r="IW57" s="6057"/>
      <c r="IX57" s="6057"/>
      <c r="IY57" s="6057"/>
      <c r="IZ57" s="6057"/>
      <c r="JA57" s="6057"/>
      <c r="JB57" s="6056"/>
      <c r="JC57" s="6056"/>
      <c r="JD57" s="6056"/>
      <c r="JE57" s="6056"/>
      <c r="JF57" s="6056"/>
      <c r="JG57" s="6056"/>
      <c r="JH57" s="6056"/>
      <c r="JI57" s="6058"/>
      <c r="JM57" s="6055"/>
      <c r="JN57" s="6056"/>
      <c r="JO57" s="6056"/>
      <c r="JP57" s="6056"/>
      <c r="JQ57" s="6056"/>
      <c r="JR57" s="6056"/>
      <c r="JS57" s="6056"/>
      <c r="JT57" s="6056"/>
      <c r="JU57" s="6056"/>
      <c r="JV57" s="6056"/>
      <c r="JW57" s="6100"/>
      <c r="JX57" s="6100"/>
      <c r="JY57" s="6100"/>
      <c r="JZ57" s="6100"/>
      <c r="KA57" s="6100"/>
      <c r="KB57" s="6100"/>
      <c r="KC57" s="6100"/>
      <c r="KD57" s="6100"/>
      <c r="KE57" s="6056"/>
      <c r="KF57" s="6057"/>
      <c r="KG57" s="6057"/>
      <c r="KH57" s="6057"/>
      <c r="KI57" s="6057"/>
      <c r="KJ57" s="6057"/>
      <c r="KK57" s="6056"/>
      <c r="KL57" s="6057"/>
      <c r="KM57" s="6057"/>
      <c r="KN57" s="6057"/>
      <c r="KO57" s="6056"/>
      <c r="KP57" s="6057"/>
      <c r="KQ57" s="6057"/>
      <c r="KR57" s="6057"/>
      <c r="KS57" s="6057"/>
      <c r="KT57" s="6057"/>
      <c r="KU57" s="6056"/>
      <c r="KV57" s="6056"/>
      <c r="KW57" s="6056"/>
      <c r="KX57" s="6056"/>
      <c r="KY57" s="6056"/>
      <c r="KZ57" s="6056"/>
      <c r="LA57" s="6056"/>
      <c r="LB57" s="6058"/>
      <c r="LF57" s="6055"/>
      <c r="LG57" s="6056"/>
      <c r="LH57" s="6056"/>
      <c r="LI57" s="6056"/>
      <c r="LJ57" s="6056"/>
      <c r="LK57" s="6056"/>
      <c r="LL57" s="6056"/>
      <c r="LM57" s="6056"/>
      <c r="LN57" s="6056"/>
      <c r="LO57" s="6056"/>
      <c r="LP57" s="6100"/>
      <c r="LQ57" s="6100"/>
      <c r="LR57" s="6100"/>
      <c r="LS57" s="6100"/>
      <c r="LT57" s="6100"/>
      <c r="LU57" s="6100"/>
      <c r="LV57" s="6100"/>
      <c r="LW57" s="6100"/>
      <c r="LX57" s="6056"/>
      <c r="LY57" s="6057"/>
      <c r="LZ57" s="6057"/>
      <c r="MA57" s="6057"/>
      <c r="MB57" s="6057"/>
      <c r="MC57" s="6057"/>
      <c r="MD57" s="6056"/>
      <c r="ME57" s="6057"/>
      <c r="MF57" s="6057"/>
      <c r="MG57" s="6057"/>
      <c r="MH57" s="6056"/>
      <c r="MI57" s="6057"/>
      <c r="MJ57" s="6057"/>
      <c r="MK57" s="6057"/>
      <c r="ML57" s="6057"/>
      <c r="MM57" s="6057"/>
      <c r="MN57" s="6056"/>
      <c r="MO57" s="6056"/>
      <c r="MP57" s="6056"/>
      <c r="MQ57" s="6056"/>
      <c r="MR57" s="6056"/>
      <c r="MS57" s="6056"/>
      <c r="MT57" s="6056"/>
      <c r="MU57" s="6058"/>
      <c r="MY57" s="6055"/>
      <c r="MZ57" s="6056"/>
      <c r="NA57" s="6056"/>
      <c r="NB57" s="6056"/>
      <c r="NC57" s="6056"/>
      <c r="ND57" s="6056"/>
      <c r="NE57" s="6056"/>
      <c r="NF57" s="6056"/>
      <c r="NG57" s="6056"/>
      <c r="NH57" s="6056"/>
      <c r="NI57" s="6100"/>
      <c r="NJ57" s="6100"/>
      <c r="NK57" s="6100"/>
      <c r="NL57" s="6100"/>
      <c r="NM57" s="6100"/>
      <c r="NN57" s="6100"/>
      <c r="NO57" s="6100"/>
      <c r="NP57" s="6100"/>
      <c r="NQ57" s="6056"/>
      <c r="NR57" s="6057"/>
      <c r="NS57" s="6057"/>
      <c r="NT57" s="6057"/>
      <c r="NU57" s="6057"/>
      <c r="NV57" s="6057"/>
      <c r="NW57" s="6056"/>
      <c r="NX57" s="6057"/>
      <c r="NY57" s="6057"/>
      <c r="NZ57" s="6057"/>
      <c r="OA57" s="6056"/>
      <c r="OB57" s="6057"/>
      <c r="OC57" s="6057"/>
      <c r="OD57" s="6057"/>
      <c r="OE57" s="6057"/>
      <c r="OF57" s="6057"/>
      <c r="OG57" s="6056"/>
      <c r="OH57" s="6056"/>
      <c r="OI57" s="6056"/>
      <c r="OJ57" s="6056"/>
      <c r="OK57" s="6056"/>
      <c r="OL57" s="6056"/>
      <c r="OM57" s="6056"/>
      <c r="ON57" s="6058"/>
    </row>
    <row r="58" spans="3:404" s="6070" customFormat="1" ht="20.100000000000001" customHeight="1" thickBot="1" x14ac:dyDescent="0.25">
      <c r="C58" s="6064"/>
      <c r="D58" s="6076"/>
      <c r="E58" s="6781" t="str">
        <f>_Calcs!$IK$128</f>
        <v/>
      </c>
      <c r="F58" s="6781"/>
      <c r="G58" s="6781"/>
      <c r="H58" s="6781"/>
      <c r="I58" s="6781"/>
      <c r="J58" s="6781"/>
      <c r="K58" s="6080"/>
      <c r="L58" s="6101"/>
      <c r="M58" s="6101"/>
      <c r="N58" s="6101"/>
      <c r="O58" s="6101"/>
      <c r="P58" s="6101"/>
      <c r="Q58" s="6101"/>
      <c r="R58" s="6101"/>
      <c r="S58" s="6101"/>
      <c r="T58" s="6101"/>
      <c r="U58" s="6068"/>
      <c r="V58" s="6067"/>
      <c r="W58" s="6067"/>
      <c r="X58" s="6067"/>
      <c r="Y58" s="6067"/>
      <c r="Z58" s="6067"/>
      <c r="AA58" s="6068"/>
      <c r="AB58" s="6067"/>
      <c r="AC58" s="6067"/>
      <c r="AD58" s="6067"/>
      <c r="AE58" s="6068"/>
      <c r="AF58" s="6067"/>
      <c r="AG58" s="6067"/>
      <c r="AH58" s="6067"/>
      <c r="AI58" s="6067"/>
      <c r="AJ58" s="6067"/>
      <c r="AK58" s="6068"/>
      <c r="AL58" s="6068"/>
      <c r="AM58" s="6068"/>
      <c r="AN58" s="6068"/>
      <c r="AO58" s="6068"/>
      <c r="AP58" s="6068"/>
      <c r="AQ58" s="6068"/>
      <c r="AR58" s="6098"/>
      <c r="AV58" s="6064"/>
      <c r="AW58" s="6076"/>
      <c r="AX58" s="6781" t="str">
        <f>_Calcs!$IL$128</f>
        <v/>
      </c>
      <c r="AY58" s="6781"/>
      <c r="AZ58" s="6781"/>
      <c r="BA58" s="6781"/>
      <c r="BB58" s="6781"/>
      <c r="BC58" s="6781"/>
      <c r="BD58" s="6080"/>
      <c r="BE58" s="6101"/>
      <c r="BF58" s="6101"/>
      <c r="BG58" s="6101"/>
      <c r="BH58" s="6101"/>
      <c r="BI58" s="6101"/>
      <c r="BJ58" s="6101"/>
      <c r="BK58" s="6101"/>
      <c r="BL58" s="6101"/>
      <c r="BM58" s="6101"/>
      <c r="BN58" s="6068"/>
      <c r="BO58" s="6067"/>
      <c r="BP58" s="6067"/>
      <c r="BQ58" s="6067"/>
      <c r="BR58" s="6067"/>
      <c r="BS58" s="6067"/>
      <c r="BT58" s="6068"/>
      <c r="BU58" s="6067"/>
      <c r="BV58" s="6067"/>
      <c r="BW58" s="6067"/>
      <c r="BX58" s="6068"/>
      <c r="BY58" s="6067"/>
      <c r="BZ58" s="6067"/>
      <c r="CA58" s="6067"/>
      <c r="CB58" s="6067"/>
      <c r="CC58" s="6067"/>
      <c r="CD58" s="6068"/>
      <c r="CE58" s="6068"/>
      <c r="CF58" s="6068"/>
      <c r="CG58" s="6068"/>
      <c r="CH58" s="6068"/>
      <c r="CI58" s="6068"/>
      <c r="CJ58" s="6068"/>
      <c r="CK58" s="6098"/>
      <c r="CO58" s="6064"/>
      <c r="CP58" s="6076"/>
      <c r="CQ58" s="6781" t="str">
        <f>_Calcs!$IM$128</f>
        <v/>
      </c>
      <c r="CR58" s="6781"/>
      <c r="CS58" s="6781"/>
      <c r="CT58" s="6781"/>
      <c r="CU58" s="6781"/>
      <c r="CV58" s="6781"/>
      <c r="CW58" s="6080"/>
      <c r="CX58" s="6101"/>
      <c r="CY58" s="6101"/>
      <c r="CZ58" s="6101"/>
      <c r="DA58" s="6101"/>
      <c r="DB58" s="6101"/>
      <c r="DC58" s="6101"/>
      <c r="DD58" s="6101"/>
      <c r="DE58" s="6101"/>
      <c r="DF58" s="6101"/>
      <c r="DG58" s="6068"/>
      <c r="DH58" s="6067"/>
      <c r="DI58" s="6067"/>
      <c r="DJ58" s="6067"/>
      <c r="DK58" s="6067"/>
      <c r="DL58" s="6067"/>
      <c r="DM58" s="6068"/>
      <c r="DN58" s="6067"/>
      <c r="DO58" s="6067"/>
      <c r="DP58" s="6067"/>
      <c r="DQ58" s="6068"/>
      <c r="DR58" s="6067"/>
      <c r="DS58" s="6067"/>
      <c r="DT58" s="6067"/>
      <c r="DU58" s="6067"/>
      <c r="DV58" s="6067"/>
      <c r="DW58" s="6068"/>
      <c r="DX58" s="6068"/>
      <c r="DY58" s="6068"/>
      <c r="DZ58" s="6068"/>
      <c r="EA58" s="6068"/>
      <c r="EB58" s="6068"/>
      <c r="EC58" s="6068"/>
      <c r="ED58" s="6098"/>
      <c r="EH58" s="6064"/>
      <c r="EI58" s="6076"/>
      <c r="EJ58" s="6781" t="str">
        <f>_Calcs!$IN$128</f>
        <v/>
      </c>
      <c r="EK58" s="6781"/>
      <c r="EL58" s="6781"/>
      <c r="EM58" s="6781"/>
      <c r="EN58" s="6781"/>
      <c r="EO58" s="6781"/>
      <c r="EP58" s="6080"/>
      <c r="EQ58" s="6101"/>
      <c r="ER58" s="6101"/>
      <c r="ES58" s="6101"/>
      <c r="ET58" s="6101"/>
      <c r="EU58" s="6101"/>
      <c r="EV58" s="6101"/>
      <c r="EW58" s="6101"/>
      <c r="EX58" s="6101"/>
      <c r="EY58" s="6101"/>
      <c r="EZ58" s="6068"/>
      <c r="FA58" s="6067"/>
      <c r="FB58" s="6067"/>
      <c r="FC58" s="6067"/>
      <c r="FD58" s="6067"/>
      <c r="FE58" s="6067"/>
      <c r="FF58" s="6068"/>
      <c r="FG58" s="6067"/>
      <c r="FH58" s="6067"/>
      <c r="FI58" s="6067"/>
      <c r="FJ58" s="6068"/>
      <c r="FK58" s="6067"/>
      <c r="FL58" s="6067"/>
      <c r="FM58" s="6067"/>
      <c r="FN58" s="6067"/>
      <c r="FO58" s="6067"/>
      <c r="FP58" s="6068"/>
      <c r="FQ58" s="6068"/>
      <c r="FR58" s="6068"/>
      <c r="FS58" s="6068"/>
      <c r="FT58" s="6068"/>
      <c r="FU58" s="6068"/>
      <c r="FV58" s="6068"/>
      <c r="FW58" s="6098"/>
      <c r="GA58" s="6064"/>
      <c r="GB58" s="6076"/>
      <c r="GC58" s="6781" t="str">
        <f>_Calcs!$IO$128</f>
        <v/>
      </c>
      <c r="GD58" s="6781"/>
      <c r="GE58" s="6781"/>
      <c r="GF58" s="6781"/>
      <c r="GG58" s="6781"/>
      <c r="GH58" s="6781"/>
      <c r="GI58" s="6080"/>
      <c r="GJ58" s="6101"/>
      <c r="GK58" s="6101"/>
      <c r="GL58" s="6101"/>
      <c r="GM58" s="6101"/>
      <c r="GN58" s="6101"/>
      <c r="GO58" s="6101"/>
      <c r="GP58" s="6101"/>
      <c r="GQ58" s="6101"/>
      <c r="GR58" s="6101"/>
      <c r="GS58" s="6068"/>
      <c r="GT58" s="6067"/>
      <c r="GU58" s="6067"/>
      <c r="GV58" s="6067"/>
      <c r="GW58" s="6067"/>
      <c r="GX58" s="6067"/>
      <c r="GY58" s="6068"/>
      <c r="GZ58" s="6067"/>
      <c r="HA58" s="6067"/>
      <c r="HB58" s="6067"/>
      <c r="HC58" s="6068"/>
      <c r="HD58" s="6067"/>
      <c r="HE58" s="6067"/>
      <c r="HF58" s="6067"/>
      <c r="HG58" s="6067"/>
      <c r="HH58" s="6067"/>
      <c r="HI58" s="6068"/>
      <c r="HJ58" s="6068"/>
      <c r="HK58" s="6068"/>
      <c r="HL58" s="6068"/>
      <c r="HM58" s="6068"/>
      <c r="HN58" s="6068"/>
      <c r="HO58" s="6068"/>
      <c r="HP58" s="6098"/>
      <c r="HT58" s="6064"/>
      <c r="HU58" s="6076"/>
      <c r="HV58" s="6781" t="str">
        <f>_Calcs!$IP$128</f>
        <v/>
      </c>
      <c r="HW58" s="6781"/>
      <c r="HX58" s="6781"/>
      <c r="HY58" s="6781"/>
      <c r="HZ58" s="6781"/>
      <c r="IA58" s="6781"/>
      <c r="IB58" s="6080"/>
      <c r="IC58" s="6101"/>
      <c r="ID58" s="6101"/>
      <c r="IE58" s="6101"/>
      <c r="IF58" s="6101"/>
      <c r="IG58" s="6101"/>
      <c r="IH58" s="6101"/>
      <c r="II58" s="6101"/>
      <c r="IJ58" s="6101"/>
      <c r="IK58" s="6101"/>
      <c r="IL58" s="6068"/>
      <c r="IM58" s="6067"/>
      <c r="IN58" s="6067"/>
      <c r="IO58" s="6067"/>
      <c r="IP58" s="6067"/>
      <c r="IQ58" s="6067"/>
      <c r="IR58" s="6068"/>
      <c r="IS58" s="6067"/>
      <c r="IT58" s="6067"/>
      <c r="IU58" s="6067"/>
      <c r="IV58" s="6068"/>
      <c r="IW58" s="6067"/>
      <c r="IX58" s="6067"/>
      <c r="IY58" s="6067"/>
      <c r="IZ58" s="6067"/>
      <c r="JA58" s="6067"/>
      <c r="JB58" s="6068"/>
      <c r="JC58" s="6068"/>
      <c r="JD58" s="6068"/>
      <c r="JE58" s="6068"/>
      <c r="JF58" s="6068"/>
      <c r="JG58" s="6068"/>
      <c r="JH58" s="6068"/>
      <c r="JI58" s="6098"/>
      <c r="JM58" s="6064"/>
      <c r="JN58" s="6076"/>
      <c r="JO58" s="6781" t="str">
        <f>_Calcs!$IQ$128</f>
        <v/>
      </c>
      <c r="JP58" s="6781"/>
      <c r="JQ58" s="6781"/>
      <c r="JR58" s="6781"/>
      <c r="JS58" s="6781"/>
      <c r="JT58" s="6781"/>
      <c r="JU58" s="6080"/>
      <c r="JV58" s="6101"/>
      <c r="JW58" s="6101"/>
      <c r="JX58" s="6101"/>
      <c r="JY58" s="6101"/>
      <c r="JZ58" s="6101"/>
      <c r="KA58" s="6101"/>
      <c r="KB58" s="6101"/>
      <c r="KC58" s="6101"/>
      <c r="KD58" s="6101"/>
      <c r="KE58" s="6068"/>
      <c r="KF58" s="6067"/>
      <c r="KG58" s="6067"/>
      <c r="KH58" s="6067"/>
      <c r="KI58" s="6067"/>
      <c r="KJ58" s="6067"/>
      <c r="KK58" s="6068"/>
      <c r="KL58" s="6067"/>
      <c r="KM58" s="6067"/>
      <c r="KN58" s="6067"/>
      <c r="KO58" s="6068"/>
      <c r="KP58" s="6067"/>
      <c r="KQ58" s="6067"/>
      <c r="KR58" s="6067"/>
      <c r="KS58" s="6067"/>
      <c r="KT58" s="6067"/>
      <c r="KU58" s="6068"/>
      <c r="KV58" s="6068"/>
      <c r="KW58" s="6068"/>
      <c r="KX58" s="6068"/>
      <c r="KY58" s="6068"/>
      <c r="KZ58" s="6068"/>
      <c r="LA58" s="6068"/>
      <c r="LB58" s="6098"/>
      <c r="LF58" s="6064"/>
      <c r="LG58" s="6076"/>
      <c r="LH58" s="6781" t="str">
        <f>_Calcs!$IR$128</f>
        <v/>
      </c>
      <c r="LI58" s="6781"/>
      <c r="LJ58" s="6781"/>
      <c r="LK58" s="6781"/>
      <c r="LL58" s="6781"/>
      <c r="LM58" s="6781"/>
      <c r="LN58" s="6080"/>
      <c r="LO58" s="6101"/>
      <c r="LP58" s="6101"/>
      <c r="LQ58" s="6101"/>
      <c r="LR58" s="6101"/>
      <c r="LS58" s="6101"/>
      <c r="LT58" s="6101"/>
      <c r="LU58" s="6101"/>
      <c r="LV58" s="6101"/>
      <c r="LW58" s="6101"/>
      <c r="LX58" s="6068"/>
      <c r="LY58" s="6067"/>
      <c r="LZ58" s="6067"/>
      <c r="MA58" s="6067"/>
      <c r="MB58" s="6067"/>
      <c r="MC58" s="6067"/>
      <c r="MD58" s="6068"/>
      <c r="ME58" s="6067"/>
      <c r="MF58" s="6067"/>
      <c r="MG58" s="6067"/>
      <c r="MH58" s="6068"/>
      <c r="MI58" s="6067"/>
      <c r="MJ58" s="6067"/>
      <c r="MK58" s="6067"/>
      <c r="ML58" s="6067"/>
      <c r="MM58" s="6067"/>
      <c r="MN58" s="6068"/>
      <c r="MO58" s="6068"/>
      <c r="MP58" s="6068"/>
      <c r="MQ58" s="6068"/>
      <c r="MR58" s="6068"/>
      <c r="MS58" s="6068"/>
      <c r="MT58" s="6068"/>
      <c r="MU58" s="6098"/>
      <c r="MY58" s="6064"/>
      <c r="MZ58" s="6076"/>
      <c r="NA58" s="6781" t="str">
        <f>_Calcs!$IS$128</f>
        <v/>
      </c>
      <c r="NB58" s="6781"/>
      <c r="NC58" s="6781"/>
      <c r="ND58" s="6781"/>
      <c r="NE58" s="6781"/>
      <c r="NF58" s="6781"/>
      <c r="NG58" s="6080"/>
      <c r="NH58" s="6101"/>
      <c r="NI58" s="6101"/>
      <c r="NJ58" s="6101"/>
      <c r="NK58" s="6101"/>
      <c r="NL58" s="6101"/>
      <c r="NM58" s="6101"/>
      <c r="NN58" s="6101"/>
      <c r="NO58" s="6101"/>
      <c r="NP58" s="6101"/>
      <c r="NQ58" s="6068"/>
      <c r="NR58" s="6067"/>
      <c r="NS58" s="6067"/>
      <c r="NT58" s="6067"/>
      <c r="NU58" s="6067"/>
      <c r="NV58" s="6067"/>
      <c r="NW58" s="6068"/>
      <c r="NX58" s="6067"/>
      <c r="NY58" s="6067"/>
      <c r="NZ58" s="6067"/>
      <c r="OA58" s="6068"/>
      <c r="OB58" s="6067"/>
      <c r="OC58" s="6067"/>
      <c r="OD58" s="6067"/>
      <c r="OE58" s="6067"/>
      <c r="OF58" s="6067"/>
      <c r="OG58" s="6068"/>
      <c r="OH58" s="6068"/>
      <c r="OI58" s="6068"/>
      <c r="OJ58" s="6068"/>
      <c r="OK58" s="6068"/>
      <c r="OL58" s="6068"/>
      <c r="OM58" s="6068"/>
      <c r="ON58" s="6098"/>
    </row>
    <row r="59" spans="3:404" ht="8.1" customHeight="1" x14ac:dyDescent="0.2">
      <c r="C59" s="6055"/>
      <c r="D59" s="6056"/>
      <c r="E59" s="6056"/>
      <c r="F59" s="6056"/>
      <c r="G59" s="6056"/>
      <c r="H59" s="6056"/>
      <c r="I59" s="6056"/>
      <c r="J59" s="6056"/>
      <c r="K59" s="6056"/>
      <c r="L59" s="6056"/>
      <c r="M59" s="6056"/>
      <c r="N59" s="6056"/>
      <c r="O59" s="6056"/>
      <c r="P59" s="6056"/>
      <c r="Q59" s="6056"/>
      <c r="R59" s="6056"/>
      <c r="S59" s="6056"/>
      <c r="T59" s="6056"/>
      <c r="U59" s="6056"/>
      <c r="V59" s="6057"/>
      <c r="W59" s="6057"/>
      <c r="X59" s="6057"/>
      <c r="Y59" s="6057"/>
      <c r="Z59" s="6057"/>
      <c r="AA59" s="6056"/>
      <c r="AB59" s="6057"/>
      <c r="AC59" s="6057"/>
      <c r="AD59" s="6057"/>
      <c r="AE59" s="6056"/>
      <c r="AF59" s="6057"/>
      <c r="AG59" s="6057"/>
      <c r="AH59" s="6057"/>
      <c r="AI59" s="6057"/>
      <c r="AJ59" s="6057"/>
      <c r="AK59" s="6056"/>
      <c r="AL59" s="6056"/>
      <c r="AM59" s="6056"/>
      <c r="AN59" s="6056"/>
      <c r="AO59" s="6056"/>
      <c r="AP59" s="6056"/>
      <c r="AQ59" s="6056"/>
      <c r="AR59" s="6058"/>
      <c r="AV59" s="6055"/>
      <c r="AW59" s="6056"/>
      <c r="AX59" s="6056"/>
      <c r="AY59" s="6056"/>
      <c r="AZ59" s="6056"/>
      <c r="BA59" s="6056"/>
      <c r="BB59" s="6056"/>
      <c r="BC59" s="6056"/>
      <c r="BD59" s="6056"/>
      <c r="BE59" s="6056"/>
      <c r="BF59" s="6056"/>
      <c r="BG59" s="6056"/>
      <c r="BH59" s="6056"/>
      <c r="BI59" s="6056"/>
      <c r="BJ59" s="6056"/>
      <c r="BK59" s="6056"/>
      <c r="BL59" s="6056"/>
      <c r="BM59" s="6056"/>
      <c r="BN59" s="6056"/>
      <c r="BO59" s="6057"/>
      <c r="BP59" s="6057"/>
      <c r="BQ59" s="6057"/>
      <c r="BR59" s="6057"/>
      <c r="BS59" s="6057"/>
      <c r="BT59" s="6056"/>
      <c r="BU59" s="6057"/>
      <c r="BV59" s="6057"/>
      <c r="BW59" s="6057"/>
      <c r="BX59" s="6056"/>
      <c r="BY59" s="6057"/>
      <c r="BZ59" s="6057"/>
      <c r="CA59" s="6057"/>
      <c r="CB59" s="6057"/>
      <c r="CC59" s="6057"/>
      <c r="CD59" s="6056"/>
      <c r="CE59" s="6056"/>
      <c r="CF59" s="6056"/>
      <c r="CG59" s="6056"/>
      <c r="CH59" s="6056"/>
      <c r="CI59" s="6056"/>
      <c r="CJ59" s="6056"/>
      <c r="CK59" s="6058"/>
      <c r="CO59" s="6055"/>
      <c r="CP59" s="6056"/>
      <c r="CQ59" s="6056"/>
      <c r="CR59" s="6056"/>
      <c r="CS59" s="6056"/>
      <c r="CT59" s="6056"/>
      <c r="CU59" s="6056"/>
      <c r="CV59" s="6056"/>
      <c r="CW59" s="6056"/>
      <c r="CX59" s="6056"/>
      <c r="CY59" s="6056"/>
      <c r="CZ59" s="6056"/>
      <c r="DA59" s="6056"/>
      <c r="DB59" s="6056"/>
      <c r="DC59" s="6056"/>
      <c r="DD59" s="6056"/>
      <c r="DE59" s="6056"/>
      <c r="DF59" s="6056"/>
      <c r="DG59" s="6056"/>
      <c r="DH59" s="6057"/>
      <c r="DI59" s="6057"/>
      <c r="DJ59" s="6057"/>
      <c r="DK59" s="6057"/>
      <c r="DL59" s="6057"/>
      <c r="DM59" s="6056"/>
      <c r="DN59" s="6057"/>
      <c r="DO59" s="6057"/>
      <c r="DP59" s="6057"/>
      <c r="DQ59" s="6056"/>
      <c r="DR59" s="6057"/>
      <c r="DS59" s="6057"/>
      <c r="DT59" s="6057"/>
      <c r="DU59" s="6057"/>
      <c r="DV59" s="6057"/>
      <c r="DW59" s="6056"/>
      <c r="DX59" s="6056"/>
      <c r="DY59" s="6056"/>
      <c r="DZ59" s="6056"/>
      <c r="EA59" s="6056"/>
      <c r="EB59" s="6056"/>
      <c r="EC59" s="6056"/>
      <c r="ED59" s="6058"/>
      <c r="EH59" s="6055"/>
      <c r="EI59" s="6056"/>
      <c r="EJ59" s="6056"/>
      <c r="EK59" s="6056"/>
      <c r="EL59" s="6056"/>
      <c r="EM59" s="6056"/>
      <c r="EN59" s="6056"/>
      <c r="EO59" s="6056"/>
      <c r="EP59" s="6056"/>
      <c r="EQ59" s="6056"/>
      <c r="ER59" s="6056"/>
      <c r="ES59" s="6056"/>
      <c r="ET59" s="6056"/>
      <c r="EU59" s="6056"/>
      <c r="EV59" s="6056"/>
      <c r="EW59" s="6056"/>
      <c r="EX59" s="6056"/>
      <c r="EY59" s="6056"/>
      <c r="EZ59" s="6056"/>
      <c r="FA59" s="6057"/>
      <c r="FB59" s="6057"/>
      <c r="FC59" s="6057"/>
      <c r="FD59" s="6057"/>
      <c r="FE59" s="6057"/>
      <c r="FF59" s="6056"/>
      <c r="FG59" s="6057"/>
      <c r="FH59" s="6057"/>
      <c r="FI59" s="6057"/>
      <c r="FJ59" s="6056"/>
      <c r="FK59" s="6057"/>
      <c r="FL59" s="6057"/>
      <c r="FM59" s="6057"/>
      <c r="FN59" s="6057"/>
      <c r="FO59" s="6057"/>
      <c r="FP59" s="6056"/>
      <c r="FQ59" s="6056"/>
      <c r="FR59" s="6056"/>
      <c r="FS59" s="6056"/>
      <c r="FT59" s="6056"/>
      <c r="FU59" s="6056"/>
      <c r="FV59" s="6056"/>
      <c r="FW59" s="6058"/>
      <c r="GA59" s="6055"/>
      <c r="GB59" s="6056"/>
      <c r="GC59" s="6056"/>
      <c r="GD59" s="6056"/>
      <c r="GE59" s="6056"/>
      <c r="GF59" s="6056"/>
      <c r="GG59" s="6056"/>
      <c r="GH59" s="6056"/>
      <c r="GI59" s="6056"/>
      <c r="GJ59" s="6056"/>
      <c r="GK59" s="6056"/>
      <c r="GL59" s="6056"/>
      <c r="GM59" s="6056"/>
      <c r="GN59" s="6056"/>
      <c r="GO59" s="6056"/>
      <c r="GP59" s="6056"/>
      <c r="GQ59" s="6056"/>
      <c r="GR59" s="6056"/>
      <c r="GS59" s="6056"/>
      <c r="GT59" s="6057"/>
      <c r="GU59" s="6057"/>
      <c r="GV59" s="6057"/>
      <c r="GW59" s="6057"/>
      <c r="GX59" s="6057"/>
      <c r="GY59" s="6056"/>
      <c r="GZ59" s="6057"/>
      <c r="HA59" s="6057"/>
      <c r="HB59" s="6057"/>
      <c r="HC59" s="6056"/>
      <c r="HD59" s="6057"/>
      <c r="HE59" s="6057"/>
      <c r="HF59" s="6057"/>
      <c r="HG59" s="6057"/>
      <c r="HH59" s="6057"/>
      <c r="HI59" s="6056"/>
      <c r="HJ59" s="6056"/>
      <c r="HK59" s="6056"/>
      <c r="HL59" s="6056"/>
      <c r="HM59" s="6056"/>
      <c r="HN59" s="6056"/>
      <c r="HO59" s="6056"/>
      <c r="HP59" s="6058"/>
      <c r="HT59" s="6055"/>
      <c r="HU59" s="6056"/>
      <c r="HV59" s="6056"/>
      <c r="HW59" s="6056"/>
      <c r="HX59" s="6056"/>
      <c r="HY59" s="6056"/>
      <c r="HZ59" s="6056"/>
      <c r="IA59" s="6056"/>
      <c r="IB59" s="6056"/>
      <c r="IC59" s="6056"/>
      <c r="ID59" s="6056"/>
      <c r="IE59" s="6056"/>
      <c r="IF59" s="6056"/>
      <c r="IG59" s="6056"/>
      <c r="IH59" s="6056"/>
      <c r="II59" s="6056"/>
      <c r="IJ59" s="6056"/>
      <c r="IK59" s="6056"/>
      <c r="IL59" s="6056"/>
      <c r="IM59" s="6057"/>
      <c r="IN59" s="6057"/>
      <c r="IO59" s="6057"/>
      <c r="IP59" s="6057"/>
      <c r="IQ59" s="6057"/>
      <c r="IR59" s="6056"/>
      <c r="IS59" s="6057"/>
      <c r="IT59" s="6057"/>
      <c r="IU59" s="6057"/>
      <c r="IV59" s="6056"/>
      <c r="IW59" s="6057"/>
      <c r="IX59" s="6057"/>
      <c r="IY59" s="6057"/>
      <c r="IZ59" s="6057"/>
      <c r="JA59" s="6057"/>
      <c r="JB59" s="6056"/>
      <c r="JC59" s="6056"/>
      <c r="JD59" s="6056"/>
      <c r="JE59" s="6056"/>
      <c r="JF59" s="6056"/>
      <c r="JG59" s="6056"/>
      <c r="JH59" s="6056"/>
      <c r="JI59" s="6058"/>
      <c r="JM59" s="6055"/>
      <c r="JN59" s="6056"/>
      <c r="JO59" s="6056"/>
      <c r="JP59" s="6056"/>
      <c r="JQ59" s="6056"/>
      <c r="JR59" s="6056"/>
      <c r="JS59" s="6056"/>
      <c r="JT59" s="6056"/>
      <c r="JU59" s="6056"/>
      <c r="JV59" s="6056"/>
      <c r="JW59" s="6056"/>
      <c r="JX59" s="6056"/>
      <c r="JY59" s="6056"/>
      <c r="JZ59" s="6056"/>
      <c r="KA59" s="6056"/>
      <c r="KB59" s="6056"/>
      <c r="KC59" s="6056"/>
      <c r="KD59" s="6056"/>
      <c r="KE59" s="6056"/>
      <c r="KF59" s="6057"/>
      <c r="KG59" s="6057"/>
      <c r="KH59" s="6057"/>
      <c r="KI59" s="6057"/>
      <c r="KJ59" s="6057"/>
      <c r="KK59" s="6056"/>
      <c r="KL59" s="6057"/>
      <c r="KM59" s="6057"/>
      <c r="KN59" s="6057"/>
      <c r="KO59" s="6056"/>
      <c r="KP59" s="6057"/>
      <c r="KQ59" s="6057"/>
      <c r="KR59" s="6057"/>
      <c r="KS59" s="6057"/>
      <c r="KT59" s="6057"/>
      <c r="KU59" s="6056"/>
      <c r="KV59" s="6056"/>
      <c r="KW59" s="6056"/>
      <c r="KX59" s="6056"/>
      <c r="KY59" s="6056"/>
      <c r="KZ59" s="6056"/>
      <c r="LA59" s="6056"/>
      <c r="LB59" s="6058"/>
      <c r="LF59" s="6055"/>
      <c r="LG59" s="6056"/>
      <c r="LH59" s="6056"/>
      <c r="LI59" s="6056"/>
      <c r="LJ59" s="6056"/>
      <c r="LK59" s="6056"/>
      <c r="LL59" s="6056"/>
      <c r="LM59" s="6056"/>
      <c r="LN59" s="6056"/>
      <c r="LO59" s="6056"/>
      <c r="LP59" s="6056"/>
      <c r="LQ59" s="6056"/>
      <c r="LR59" s="6056"/>
      <c r="LS59" s="6056"/>
      <c r="LT59" s="6056"/>
      <c r="LU59" s="6056"/>
      <c r="LV59" s="6056"/>
      <c r="LW59" s="6056"/>
      <c r="LX59" s="6056"/>
      <c r="LY59" s="6057"/>
      <c r="LZ59" s="6057"/>
      <c r="MA59" s="6057"/>
      <c r="MB59" s="6057"/>
      <c r="MC59" s="6057"/>
      <c r="MD59" s="6056"/>
      <c r="ME59" s="6057"/>
      <c r="MF59" s="6057"/>
      <c r="MG59" s="6057"/>
      <c r="MH59" s="6056"/>
      <c r="MI59" s="6057"/>
      <c r="MJ59" s="6057"/>
      <c r="MK59" s="6057"/>
      <c r="ML59" s="6057"/>
      <c r="MM59" s="6057"/>
      <c r="MN59" s="6056"/>
      <c r="MO59" s="6056"/>
      <c r="MP59" s="6056"/>
      <c r="MQ59" s="6056"/>
      <c r="MR59" s="6056"/>
      <c r="MS59" s="6056"/>
      <c r="MT59" s="6056"/>
      <c r="MU59" s="6058"/>
      <c r="MY59" s="6055"/>
      <c r="MZ59" s="6056"/>
      <c r="NA59" s="6056"/>
      <c r="NB59" s="6056"/>
      <c r="NC59" s="6056"/>
      <c r="ND59" s="6056"/>
      <c r="NE59" s="6056"/>
      <c r="NF59" s="6056"/>
      <c r="NG59" s="6056"/>
      <c r="NH59" s="6056"/>
      <c r="NI59" s="6056"/>
      <c r="NJ59" s="6056"/>
      <c r="NK59" s="6056"/>
      <c r="NL59" s="6056"/>
      <c r="NM59" s="6056"/>
      <c r="NN59" s="6056"/>
      <c r="NO59" s="6056"/>
      <c r="NP59" s="6056"/>
      <c r="NQ59" s="6056"/>
      <c r="NR59" s="6057"/>
      <c r="NS59" s="6057"/>
      <c r="NT59" s="6057"/>
      <c r="NU59" s="6057"/>
      <c r="NV59" s="6057"/>
      <c r="NW59" s="6056"/>
      <c r="NX59" s="6057"/>
      <c r="NY59" s="6057"/>
      <c r="NZ59" s="6057"/>
      <c r="OA59" s="6056"/>
      <c r="OB59" s="6057"/>
      <c r="OC59" s="6057"/>
      <c r="OD59" s="6057"/>
      <c r="OE59" s="6057"/>
      <c r="OF59" s="6057"/>
      <c r="OG59" s="6056"/>
      <c r="OH59" s="6056"/>
      <c r="OI59" s="6056"/>
      <c r="OJ59" s="6056"/>
      <c r="OK59" s="6056"/>
      <c r="OL59" s="6056"/>
      <c r="OM59" s="6056"/>
      <c r="ON59" s="6058"/>
    </row>
    <row r="60" spans="3:404" s="6075" customFormat="1" ht="12" customHeight="1" x14ac:dyDescent="0.2">
      <c r="C60" s="6071"/>
      <c r="D60" s="6060" t="str">
        <f>_Calcs!$N$79</f>
        <v>Begrunnelse</v>
      </c>
      <c r="E60" s="6099"/>
      <c r="F60" s="6060"/>
      <c r="G60" s="6060"/>
      <c r="H60" s="6060"/>
      <c r="I60" s="6060"/>
      <c r="J60" s="6060"/>
      <c r="K60" s="6060"/>
      <c r="L60" s="6060"/>
      <c r="M60" s="6060"/>
      <c r="N60" s="6060"/>
      <c r="O60" s="6060"/>
      <c r="P60" s="6060"/>
      <c r="Q60" s="6060"/>
      <c r="R60" s="6060"/>
      <c r="S60" s="6060"/>
      <c r="T60" s="6072"/>
      <c r="U60" s="6072"/>
      <c r="V60" s="6072"/>
      <c r="W60" s="6072"/>
      <c r="X60" s="6072"/>
      <c r="Y60" s="6072"/>
      <c r="Z60" s="6072"/>
      <c r="AA60" s="6072"/>
      <c r="AB60" s="6072"/>
      <c r="AC60" s="6072"/>
      <c r="AD60" s="6072"/>
      <c r="AE60" s="6072"/>
      <c r="AF60" s="6072"/>
      <c r="AG60" s="6072"/>
      <c r="AH60" s="6072"/>
      <c r="AI60" s="6072"/>
      <c r="AJ60" s="6072"/>
      <c r="AK60" s="6072"/>
      <c r="AL60" s="6072"/>
      <c r="AM60" s="6072"/>
      <c r="AN60" s="6072"/>
      <c r="AO60" s="6072"/>
      <c r="AP60" s="6072"/>
      <c r="AQ60" s="6072"/>
      <c r="AR60" s="6074"/>
      <c r="AV60" s="6071"/>
      <c r="AW60" s="6060" t="str">
        <f>_Calcs!$N$79</f>
        <v>Begrunnelse</v>
      </c>
      <c r="AX60" s="6099"/>
      <c r="AY60" s="6060"/>
      <c r="AZ60" s="6060"/>
      <c r="BA60" s="6060"/>
      <c r="BB60" s="6060"/>
      <c r="BC60" s="6060"/>
      <c r="BD60" s="6060"/>
      <c r="BE60" s="6060"/>
      <c r="BF60" s="6060"/>
      <c r="BG60" s="6060"/>
      <c r="BH60" s="6060"/>
      <c r="BI60" s="6060"/>
      <c r="BJ60" s="6060"/>
      <c r="BK60" s="6060"/>
      <c r="BL60" s="6060"/>
      <c r="BM60" s="6072"/>
      <c r="BN60" s="6072"/>
      <c r="BO60" s="6072"/>
      <c r="BP60" s="6072"/>
      <c r="BQ60" s="6072"/>
      <c r="BR60" s="6072"/>
      <c r="BS60" s="6072"/>
      <c r="BT60" s="6072"/>
      <c r="BU60" s="6072"/>
      <c r="BV60" s="6072"/>
      <c r="BW60" s="6072"/>
      <c r="BX60" s="6072"/>
      <c r="BY60" s="6072"/>
      <c r="BZ60" s="6072"/>
      <c r="CA60" s="6072"/>
      <c r="CB60" s="6072"/>
      <c r="CC60" s="6072"/>
      <c r="CD60" s="6072"/>
      <c r="CE60" s="6072"/>
      <c r="CF60" s="6072"/>
      <c r="CG60" s="6072"/>
      <c r="CH60" s="6072"/>
      <c r="CI60" s="6072"/>
      <c r="CJ60" s="6072"/>
      <c r="CK60" s="6074"/>
      <c r="CO60" s="6071"/>
      <c r="CP60" s="6060" t="str">
        <f>_Calcs!$N$79</f>
        <v>Begrunnelse</v>
      </c>
      <c r="CQ60" s="6099"/>
      <c r="CR60" s="6060"/>
      <c r="CS60" s="6060"/>
      <c r="CT60" s="6060"/>
      <c r="CU60" s="6060"/>
      <c r="CV60" s="6060"/>
      <c r="CW60" s="6060"/>
      <c r="CX60" s="6060"/>
      <c r="CY60" s="6060"/>
      <c r="CZ60" s="6060"/>
      <c r="DA60" s="6060"/>
      <c r="DB60" s="6060"/>
      <c r="DC60" s="6060"/>
      <c r="DD60" s="6060"/>
      <c r="DE60" s="6060"/>
      <c r="DF60" s="6072"/>
      <c r="DG60" s="6072"/>
      <c r="DH60" s="6072"/>
      <c r="DI60" s="6072"/>
      <c r="DJ60" s="6072"/>
      <c r="DK60" s="6072"/>
      <c r="DL60" s="6072"/>
      <c r="DM60" s="6072"/>
      <c r="DN60" s="6072"/>
      <c r="DO60" s="6072"/>
      <c r="DP60" s="6072"/>
      <c r="DQ60" s="6072"/>
      <c r="DR60" s="6072"/>
      <c r="DS60" s="6072"/>
      <c r="DT60" s="6072"/>
      <c r="DU60" s="6072"/>
      <c r="DV60" s="6072"/>
      <c r="DW60" s="6072"/>
      <c r="DX60" s="6072"/>
      <c r="DY60" s="6072"/>
      <c r="DZ60" s="6072"/>
      <c r="EA60" s="6072"/>
      <c r="EB60" s="6072"/>
      <c r="EC60" s="6072"/>
      <c r="ED60" s="6074"/>
      <c r="EH60" s="6071"/>
      <c r="EI60" s="6060" t="str">
        <f>_Calcs!$N$79</f>
        <v>Begrunnelse</v>
      </c>
      <c r="EJ60" s="6099"/>
      <c r="EK60" s="6060"/>
      <c r="EL60" s="6060"/>
      <c r="EM60" s="6060"/>
      <c r="EN60" s="6060"/>
      <c r="EO60" s="6060"/>
      <c r="EP60" s="6060"/>
      <c r="EQ60" s="6060"/>
      <c r="ER60" s="6060"/>
      <c r="ES60" s="6060"/>
      <c r="ET60" s="6060"/>
      <c r="EU60" s="6060"/>
      <c r="EV60" s="6060"/>
      <c r="EW60" s="6060"/>
      <c r="EX60" s="6060"/>
      <c r="EY60" s="6072"/>
      <c r="EZ60" s="6072"/>
      <c r="FA60" s="6072"/>
      <c r="FB60" s="6072"/>
      <c r="FC60" s="6072"/>
      <c r="FD60" s="6072"/>
      <c r="FE60" s="6072"/>
      <c r="FF60" s="6072"/>
      <c r="FG60" s="6072"/>
      <c r="FH60" s="6072"/>
      <c r="FI60" s="6072"/>
      <c r="FJ60" s="6072"/>
      <c r="FK60" s="6072"/>
      <c r="FL60" s="6072"/>
      <c r="FM60" s="6072"/>
      <c r="FN60" s="6072"/>
      <c r="FO60" s="6072"/>
      <c r="FP60" s="6072"/>
      <c r="FQ60" s="6072"/>
      <c r="FR60" s="6072"/>
      <c r="FS60" s="6072"/>
      <c r="FT60" s="6072"/>
      <c r="FU60" s="6072"/>
      <c r="FV60" s="6072"/>
      <c r="FW60" s="6074"/>
      <c r="GA60" s="6071"/>
      <c r="GB60" s="6060" t="str">
        <f>_Calcs!$N$79</f>
        <v>Begrunnelse</v>
      </c>
      <c r="GC60" s="6099"/>
      <c r="GD60" s="6060"/>
      <c r="GE60" s="6060"/>
      <c r="GF60" s="6060"/>
      <c r="GG60" s="6060"/>
      <c r="GH60" s="6060"/>
      <c r="GI60" s="6060"/>
      <c r="GJ60" s="6060"/>
      <c r="GK60" s="6060"/>
      <c r="GL60" s="6060"/>
      <c r="GM60" s="6060"/>
      <c r="GN60" s="6060"/>
      <c r="GO60" s="6060"/>
      <c r="GP60" s="6060"/>
      <c r="GQ60" s="6060"/>
      <c r="GR60" s="6072"/>
      <c r="GS60" s="6072"/>
      <c r="GT60" s="6072"/>
      <c r="GU60" s="6072"/>
      <c r="GV60" s="6072"/>
      <c r="GW60" s="6072"/>
      <c r="GX60" s="6072"/>
      <c r="GY60" s="6072"/>
      <c r="GZ60" s="6072"/>
      <c r="HA60" s="6072"/>
      <c r="HB60" s="6072"/>
      <c r="HC60" s="6072"/>
      <c r="HD60" s="6072"/>
      <c r="HE60" s="6072"/>
      <c r="HF60" s="6072"/>
      <c r="HG60" s="6072"/>
      <c r="HH60" s="6072"/>
      <c r="HI60" s="6072"/>
      <c r="HJ60" s="6072"/>
      <c r="HK60" s="6072"/>
      <c r="HL60" s="6072"/>
      <c r="HM60" s="6072"/>
      <c r="HN60" s="6072"/>
      <c r="HO60" s="6072"/>
      <c r="HP60" s="6074"/>
      <c r="HT60" s="6071"/>
      <c r="HU60" s="6060" t="str">
        <f>_Calcs!$N$79</f>
        <v>Begrunnelse</v>
      </c>
      <c r="HV60" s="6099"/>
      <c r="HW60" s="6060"/>
      <c r="HX60" s="6060"/>
      <c r="HY60" s="6060"/>
      <c r="HZ60" s="6060"/>
      <c r="IA60" s="6060"/>
      <c r="IB60" s="6060"/>
      <c r="IC60" s="6060"/>
      <c r="ID60" s="6060"/>
      <c r="IE60" s="6060"/>
      <c r="IF60" s="6060"/>
      <c r="IG60" s="6060"/>
      <c r="IH60" s="6060"/>
      <c r="II60" s="6060"/>
      <c r="IJ60" s="6060"/>
      <c r="IK60" s="6072"/>
      <c r="IL60" s="6072"/>
      <c r="IM60" s="6072"/>
      <c r="IN60" s="6072"/>
      <c r="IO60" s="6072"/>
      <c r="IP60" s="6072"/>
      <c r="IQ60" s="6072"/>
      <c r="IR60" s="6072"/>
      <c r="IS60" s="6072"/>
      <c r="IT60" s="6072"/>
      <c r="IU60" s="6072"/>
      <c r="IV60" s="6072"/>
      <c r="IW60" s="6072"/>
      <c r="IX60" s="6072"/>
      <c r="IY60" s="6072"/>
      <c r="IZ60" s="6072"/>
      <c r="JA60" s="6072"/>
      <c r="JB60" s="6072"/>
      <c r="JC60" s="6072"/>
      <c r="JD60" s="6072"/>
      <c r="JE60" s="6072"/>
      <c r="JF60" s="6072"/>
      <c r="JG60" s="6072"/>
      <c r="JH60" s="6072"/>
      <c r="JI60" s="6074"/>
      <c r="JM60" s="6071"/>
      <c r="JN60" s="6060" t="str">
        <f>_Calcs!$N$79</f>
        <v>Begrunnelse</v>
      </c>
      <c r="JO60" s="6099"/>
      <c r="JP60" s="6060"/>
      <c r="JQ60" s="6060"/>
      <c r="JR60" s="6060"/>
      <c r="JS60" s="6060"/>
      <c r="JT60" s="6060"/>
      <c r="JU60" s="6060"/>
      <c r="JV60" s="6060"/>
      <c r="JW60" s="6060"/>
      <c r="JX60" s="6060"/>
      <c r="JY60" s="6060"/>
      <c r="JZ60" s="6060"/>
      <c r="KA60" s="6060"/>
      <c r="KB60" s="6060"/>
      <c r="KC60" s="6060"/>
      <c r="KD60" s="6072"/>
      <c r="KE60" s="6072"/>
      <c r="KF60" s="6072"/>
      <c r="KG60" s="6072"/>
      <c r="KH60" s="6072"/>
      <c r="KI60" s="6072"/>
      <c r="KJ60" s="6072"/>
      <c r="KK60" s="6072"/>
      <c r="KL60" s="6072"/>
      <c r="KM60" s="6072"/>
      <c r="KN60" s="6072"/>
      <c r="KO60" s="6072"/>
      <c r="KP60" s="6072"/>
      <c r="KQ60" s="6072"/>
      <c r="KR60" s="6072"/>
      <c r="KS60" s="6072"/>
      <c r="KT60" s="6072"/>
      <c r="KU60" s="6072"/>
      <c r="KV60" s="6072"/>
      <c r="KW60" s="6072"/>
      <c r="KX60" s="6072"/>
      <c r="KY60" s="6072"/>
      <c r="KZ60" s="6072"/>
      <c r="LA60" s="6072"/>
      <c r="LB60" s="6074"/>
      <c r="LF60" s="6071"/>
      <c r="LG60" s="6060" t="str">
        <f>_Calcs!$N$79</f>
        <v>Begrunnelse</v>
      </c>
      <c r="LH60" s="6099"/>
      <c r="LI60" s="6060"/>
      <c r="LJ60" s="6060"/>
      <c r="LK60" s="6060"/>
      <c r="LL60" s="6060"/>
      <c r="LM60" s="6060"/>
      <c r="LN60" s="6060"/>
      <c r="LO60" s="6060"/>
      <c r="LP60" s="6060"/>
      <c r="LQ60" s="6060"/>
      <c r="LR60" s="6060"/>
      <c r="LS60" s="6060"/>
      <c r="LT60" s="6060"/>
      <c r="LU60" s="6060"/>
      <c r="LV60" s="6060"/>
      <c r="LW60" s="6072"/>
      <c r="LX60" s="6072"/>
      <c r="LY60" s="6072"/>
      <c r="LZ60" s="6072"/>
      <c r="MA60" s="6072"/>
      <c r="MB60" s="6072"/>
      <c r="MC60" s="6072"/>
      <c r="MD60" s="6072"/>
      <c r="ME60" s="6072"/>
      <c r="MF60" s="6072"/>
      <c r="MG60" s="6072"/>
      <c r="MH60" s="6072"/>
      <c r="MI60" s="6072"/>
      <c r="MJ60" s="6072"/>
      <c r="MK60" s="6072"/>
      <c r="ML60" s="6072"/>
      <c r="MM60" s="6072"/>
      <c r="MN60" s="6072"/>
      <c r="MO60" s="6072"/>
      <c r="MP60" s="6072"/>
      <c r="MQ60" s="6072"/>
      <c r="MR60" s="6072"/>
      <c r="MS60" s="6072"/>
      <c r="MT60" s="6072"/>
      <c r="MU60" s="6074"/>
      <c r="MY60" s="6071"/>
      <c r="MZ60" s="6060" t="str">
        <f>_Calcs!$N$79</f>
        <v>Begrunnelse</v>
      </c>
      <c r="NA60" s="6099"/>
      <c r="NB60" s="6060"/>
      <c r="NC60" s="6060"/>
      <c r="ND60" s="6060"/>
      <c r="NE60" s="6060"/>
      <c r="NF60" s="6060"/>
      <c r="NG60" s="6060"/>
      <c r="NH60" s="6060"/>
      <c r="NI60" s="6060"/>
      <c r="NJ60" s="6060"/>
      <c r="NK60" s="6060"/>
      <c r="NL60" s="6060"/>
      <c r="NM60" s="6060"/>
      <c r="NN60" s="6060"/>
      <c r="NO60" s="6060"/>
      <c r="NP60" s="6072"/>
      <c r="NQ60" s="6072"/>
      <c r="NR60" s="6072"/>
      <c r="NS60" s="6072"/>
      <c r="NT60" s="6072"/>
      <c r="NU60" s="6072"/>
      <c r="NV60" s="6072"/>
      <c r="NW60" s="6072"/>
      <c r="NX60" s="6072"/>
      <c r="NY60" s="6072"/>
      <c r="NZ60" s="6072"/>
      <c r="OA60" s="6072"/>
      <c r="OB60" s="6072"/>
      <c r="OC60" s="6072"/>
      <c r="OD60" s="6072"/>
      <c r="OE60" s="6072"/>
      <c r="OF60" s="6072"/>
      <c r="OG60" s="6072"/>
      <c r="OH60" s="6072"/>
      <c r="OI60" s="6072"/>
      <c r="OJ60" s="6072"/>
      <c r="OK60" s="6072"/>
      <c r="OL60" s="6072"/>
      <c r="OM60" s="6072"/>
      <c r="ON60" s="6074"/>
    </row>
    <row r="61" spans="3:404" ht="5.0999999999999996" customHeight="1" thickBot="1" x14ac:dyDescent="0.25">
      <c r="C61" s="6055"/>
      <c r="D61" s="6056"/>
      <c r="E61" s="6056"/>
      <c r="F61" s="6056"/>
      <c r="G61" s="6056"/>
      <c r="H61" s="6056"/>
      <c r="I61" s="6056"/>
      <c r="J61" s="6056"/>
      <c r="K61" s="6056"/>
      <c r="L61" s="6056"/>
      <c r="M61" s="6056"/>
      <c r="N61" s="6056"/>
      <c r="O61" s="6056"/>
      <c r="P61" s="6056"/>
      <c r="Q61" s="6056"/>
      <c r="R61" s="6056"/>
      <c r="S61" s="6056"/>
      <c r="T61" s="6056"/>
      <c r="U61" s="6056"/>
      <c r="V61" s="6056"/>
      <c r="W61" s="6056"/>
      <c r="X61" s="6056"/>
      <c r="Y61" s="6056"/>
      <c r="Z61" s="6056"/>
      <c r="AA61" s="6056"/>
      <c r="AB61" s="6056"/>
      <c r="AC61" s="6056"/>
      <c r="AD61" s="6056"/>
      <c r="AE61" s="6056"/>
      <c r="AF61" s="6056"/>
      <c r="AG61" s="6056"/>
      <c r="AH61" s="6056"/>
      <c r="AI61" s="6056"/>
      <c r="AJ61" s="6056"/>
      <c r="AK61" s="6056"/>
      <c r="AL61" s="6056"/>
      <c r="AM61" s="6056"/>
      <c r="AN61" s="6056"/>
      <c r="AO61" s="6056"/>
      <c r="AP61" s="6056"/>
      <c r="AQ61" s="6056"/>
      <c r="AR61" s="6058"/>
      <c r="AV61" s="6055"/>
      <c r="AW61" s="6056"/>
      <c r="AX61" s="6056"/>
      <c r="AY61" s="6056"/>
      <c r="AZ61" s="6056"/>
      <c r="BA61" s="6056"/>
      <c r="BB61" s="6056"/>
      <c r="BC61" s="6056"/>
      <c r="BD61" s="6056"/>
      <c r="BE61" s="6056"/>
      <c r="BF61" s="6056"/>
      <c r="BG61" s="6056"/>
      <c r="BH61" s="6056"/>
      <c r="BI61" s="6056"/>
      <c r="BJ61" s="6056"/>
      <c r="BK61" s="6056"/>
      <c r="BL61" s="6056"/>
      <c r="BM61" s="6056"/>
      <c r="BN61" s="6056"/>
      <c r="BO61" s="6056"/>
      <c r="BP61" s="6056"/>
      <c r="BQ61" s="6056"/>
      <c r="BR61" s="6056"/>
      <c r="BS61" s="6056"/>
      <c r="BT61" s="6056"/>
      <c r="BU61" s="6056"/>
      <c r="BV61" s="6056"/>
      <c r="BW61" s="6056"/>
      <c r="BX61" s="6056"/>
      <c r="BY61" s="6056"/>
      <c r="BZ61" s="6056"/>
      <c r="CA61" s="6056"/>
      <c r="CB61" s="6056"/>
      <c r="CC61" s="6056"/>
      <c r="CD61" s="6056"/>
      <c r="CE61" s="6056"/>
      <c r="CF61" s="6056"/>
      <c r="CG61" s="6056"/>
      <c r="CH61" s="6056"/>
      <c r="CI61" s="6056"/>
      <c r="CJ61" s="6056"/>
      <c r="CK61" s="6058"/>
      <c r="CO61" s="6055"/>
      <c r="CP61" s="6056"/>
      <c r="CQ61" s="6056"/>
      <c r="CR61" s="6056"/>
      <c r="CS61" s="6056"/>
      <c r="CT61" s="6056"/>
      <c r="CU61" s="6056"/>
      <c r="CV61" s="6056"/>
      <c r="CW61" s="6056"/>
      <c r="CX61" s="6056"/>
      <c r="CY61" s="6056"/>
      <c r="CZ61" s="6056"/>
      <c r="DA61" s="6056"/>
      <c r="DB61" s="6056"/>
      <c r="DC61" s="6056"/>
      <c r="DD61" s="6056"/>
      <c r="DE61" s="6056"/>
      <c r="DF61" s="6056"/>
      <c r="DG61" s="6056"/>
      <c r="DH61" s="6056"/>
      <c r="DI61" s="6056"/>
      <c r="DJ61" s="6056"/>
      <c r="DK61" s="6056"/>
      <c r="DL61" s="6056"/>
      <c r="DM61" s="6056"/>
      <c r="DN61" s="6056"/>
      <c r="DO61" s="6056"/>
      <c r="DP61" s="6056"/>
      <c r="DQ61" s="6056"/>
      <c r="DR61" s="6056"/>
      <c r="DS61" s="6056"/>
      <c r="DT61" s="6056"/>
      <c r="DU61" s="6056"/>
      <c r="DV61" s="6056"/>
      <c r="DW61" s="6056"/>
      <c r="DX61" s="6056"/>
      <c r="DY61" s="6056"/>
      <c r="DZ61" s="6056"/>
      <c r="EA61" s="6056"/>
      <c r="EB61" s="6056"/>
      <c r="EC61" s="6056"/>
      <c r="ED61" s="6058"/>
      <c r="EH61" s="6055"/>
      <c r="EI61" s="6056"/>
      <c r="EJ61" s="6056"/>
      <c r="EK61" s="6056"/>
      <c r="EL61" s="6056"/>
      <c r="EM61" s="6056"/>
      <c r="EN61" s="6056"/>
      <c r="EO61" s="6056"/>
      <c r="EP61" s="6056"/>
      <c r="EQ61" s="6056"/>
      <c r="ER61" s="6056"/>
      <c r="ES61" s="6056"/>
      <c r="ET61" s="6056"/>
      <c r="EU61" s="6056"/>
      <c r="EV61" s="6056"/>
      <c r="EW61" s="6056"/>
      <c r="EX61" s="6056"/>
      <c r="EY61" s="6056"/>
      <c r="EZ61" s="6056"/>
      <c r="FA61" s="6056"/>
      <c r="FB61" s="6056"/>
      <c r="FC61" s="6056"/>
      <c r="FD61" s="6056"/>
      <c r="FE61" s="6056"/>
      <c r="FF61" s="6056"/>
      <c r="FG61" s="6056"/>
      <c r="FH61" s="6056"/>
      <c r="FI61" s="6056"/>
      <c r="FJ61" s="6056"/>
      <c r="FK61" s="6056"/>
      <c r="FL61" s="6056"/>
      <c r="FM61" s="6056"/>
      <c r="FN61" s="6056"/>
      <c r="FO61" s="6056"/>
      <c r="FP61" s="6056"/>
      <c r="FQ61" s="6056"/>
      <c r="FR61" s="6056"/>
      <c r="FS61" s="6056"/>
      <c r="FT61" s="6056"/>
      <c r="FU61" s="6056"/>
      <c r="FV61" s="6056"/>
      <c r="FW61" s="6058"/>
      <c r="GA61" s="6055"/>
      <c r="GB61" s="6056"/>
      <c r="GC61" s="6056"/>
      <c r="GD61" s="6056"/>
      <c r="GE61" s="6056"/>
      <c r="GF61" s="6056"/>
      <c r="GG61" s="6056"/>
      <c r="GH61" s="6056"/>
      <c r="GI61" s="6056"/>
      <c r="GJ61" s="6056"/>
      <c r="GK61" s="6056"/>
      <c r="GL61" s="6056"/>
      <c r="GM61" s="6056"/>
      <c r="GN61" s="6056"/>
      <c r="GO61" s="6056"/>
      <c r="GP61" s="6056"/>
      <c r="GQ61" s="6056"/>
      <c r="GR61" s="6056"/>
      <c r="GS61" s="6056"/>
      <c r="GT61" s="6056"/>
      <c r="GU61" s="6056"/>
      <c r="GV61" s="6056"/>
      <c r="GW61" s="6056"/>
      <c r="GX61" s="6056"/>
      <c r="GY61" s="6056"/>
      <c r="GZ61" s="6056"/>
      <c r="HA61" s="6056"/>
      <c r="HB61" s="6056"/>
      <c r="HC61" s="6056"/>
      <c r="HD61" s="6056"/>
      <c r="HE61" s="6056"/>
      <c r="HF61" s="6056"/>
      <c r="HG61" s="6056"/>
      <c r="HH61" s="6056"/>
      <c r="HI61" s="6056"/>
      <c r="HJ61" s="6056"/>
      <c r="HK61" s="6056"/>
      <c r="HL61" s="6056"/>
      <c r="HM61" s="6056"/>
      <c r="HN61" s="6056"/>
      <c r="HO61" s="6056"/>
      <c r="HP61" s="6058"/>
      <c r="HT61" s="6055"/>
      <c r="HU61" s="6056"/>
      <c r="HV61" s="6056"/>
      <c r="HW61" s="6056"/>
      <c r="HX61" s="6056"/>
      <c r="HY61" s="6056"/>
      <c r="HZ61" s="6056"/>
      <c r="IA61" s="6056"/>
      <c r="IB61" s="6056"/>
      <c r="IC61" s="6056"/>
      <c r="ID61" s="6056"/>
      <c r="IE61" s="6056"/>
      <c r="IF61" s="6056"/>
      <c r="IG61" s="6056"/>
      <c r="IH61" s="6056"/>
      <c r="II61" s="6056"/>
      <c r="IJ61" s="6056"/>
      <c r="IK61" s="6056"/>
      <c r="IL61" s="6056"/>
      <c r="IM61" s="6056"/>
      <c r="IN61" s="6056"/>
      <c r="IO61" s="6056"/>
      <c r="IP61" s="6056"/>
      <c r="IQ61" s="6056"/>
      <c r="IR61" s="6056"/>
      <c r="IS61" s="6056"/>
      <c r="IT61" s="6056"/>
      <c r="IU61" s="6056"/>
      <c r="IV61" s="6056"/>
      <c r="IW61" s="6056"/>
      <c r="IX61" s="6056"/>
      <c r="IY61" s="6056"/>
      <c r="IZ61" s="6056"/>
      <c r="JA61" s="6056"/>
      <c r="JB61" s="6056"/>
      <c r="JC61" s="6056"/>
      <c r="JD61" s="6056"/>
      <c r="JE61" s="6056"/>
      <c r="JF61" s="6056"/>
      <c r="JG61" s="6056"/>
      <c r="JH61" s="6056"/>
      <c r="JI61" s="6058"/>
      <c r="JM61" s="6055"/>
      <c r="JN61" s="6056"/>
      <c r="JO61" s="6056"/>
      <c r="JP61" s="6056"/>
      <c r="JQ61" s="6056"/>
      <c r="JR61" s="6056"/>
      <c r="JS61" s="6056"/>
      <c r="JT61" s="6056"/>
      <c r="JU61" s="6056"/>
      <c r="JV61" s="6056"/>
      <c r="JW61" s="6056"/>
      <c r="JX61" s="6056"/>
      <c r="JY61" s="6056"/>
      <c r="JZ61" s="6056"/>
      <c r="KA61" s="6056"/>
      <c r="KB61" s="6056"/>
      <c r="KC61" s="6056"/>
      <c r="KD61" s="6056"/>
      <c r="KE61" s="6056"/>
      <c r="KF61" s="6056"/>
      <c r="KG61" s="6056"/>
      <c r="KH61" s="6056"/>
      <c r="KI61" s="6056"/>
      <c r="KJ61" s="6056"/>
      <c r="KK61" s="6056"/>
      <c r="KL61" s="6056"/>
      <c r="KM61" s="6056"/>
      <c r="KN61" s="6056"/>
      <c r="KO61" s="6056"/>
      <c r="KP61" s="6056"/>
      <c r="KQ61" s="6056"/>
      <c r="KR61" s="6056"/>
      <c r="KS61" s="6056"/>
      <c r="KT61" s="6056"/>
      <c r="KU61" s="6056"/>
      <c r="KV61" s="6056"/>
      <c r="KW61" s="6056"/>
      <c r="KX61" s="6056"/>
      <c r="KY61" s="6056"/>
      <c r="KZ61" s="6056"/>
      <c r="LA61" s="6056"/>
      <c r="LB61" s="6058"/>
      <c r="LF61" s="6055"/>
      <c r="LG61" s="6056"/>
      <c r="LH61" s="6056"/>
      <c r="LI61" s="6056"/>
      <c r="LJ61" s="6056"/>
      <c r="LK61" s="6056"/>
      <c r="LL61" s="6056"/>
      <c r="LM61" s="6056"/>
      <c r="LN61" s="6056"/>
      <c r="LO61" s="6056"/>
      <c r="LP61" s="6056"/>
      <c r="LQ61" s="6056"/>
      <c r="LR61" s="6056"/>
      <c r="LS61" s="6056"/>
      <c r="LT61" s="6056"/>
      <c r="LU61" s="6056"/>
      <c r="LV61" s="6056"/>
      <c r="LW61" s="6056"/>
      <c r="LX61" s="6056"/>
      <c r="LY61" s="6056"/>
      <c r="LZ61" s="6056"/>
      <c r="MA61" s="6056"/>
      <c r="MB61" s="6056"/>
      <c r="MC61" s="6056"/>
      <c r="MD61" s="6056"/>
      <c r="ME61" s="6056"/>
      <c r="MF61" s="6056"/>
      <c r="MG61" s="6056"/>
      <c r="MH61" s="6056"/>
      <c r="MI61" s="6056"/>
      <c r="MJ61" s="6056"/>
      <c r="MK61" s="6056"/>
      <c r="ML61" s="6056"/>
      <c r="MM61" s="6056"/>
      <c r="MN61" s="6056"/>
      <c r="MO61" s="6056"/>
      <c r="MP61" s="6056"/>
      <c r="MQ61" s="6056"/>
      <c r="MR61" s="6056"/>
      <c r="MS61" s="6056"/>
      <c r="MT61" s="6056"/>
      <c r="MU61" s="6058"/>
      <c r="MY61" s="6055"/>
      <c r="MZ61" s="6056"/>
      <c r="NA61" s="6056"/>
      <c r="NB61" s="6056"/>
      <c r="NC61" s="6056"/>
      <c r="ND61" s="6056"/>
      <c r="NE61" s="6056"/>
      <c r="NF61" s="6056"/>
      <c r="NG61" s="6056"/>
      <c r="NH61" s="6056"/>
      <c r="NI61" s="6056"/>
      <c r="NJ61" s="6056"/>
      <c r="NK61" s="6056"/>
      <c r="NL61" s="6056"/>
      <c r="NM61" s="6056"/>
      <c r="NN61" s="6056"/>
      <c r="NO61" s="6056"/>
      <c r="NP61" s="6056"/>
      <c r="NQ61" s="6056"/>
      <c r="NR61" s="6056"/>
      <c r="NS61" s="6056"/>
      <c r="NT61" s="6056"/>
      <c r="NU61" s="6056"/>
      <c r="NV61" s="6056"/>
      <c r="NW61" s="6056"/>
      <c r="NX61" s="6056"/>
      <c r="NY61" s="6056"/>
      <c r="NZ61" s="6056"/>
      <c r="OA61" s="6056"/>
      <c r="OB61" s="6056"/>
      <c r="OC61" s="6056"/>
      <c r="OD61" s="6056"/>
      <c r="OE61" s="6056"/>
      <c r="OF61" s="6056"/>
      <c r="OG61" s="6056"/>
      <c r="OH61" s="6056"/>
      <c r="OI61" s="6056"/>
      <c r="OJ61" s="6056"/>
      <c r="OK61" s="6056"/>
      <c r="OL61" s="6056"/>
      <c r="OM61" s="6056"/>
      <c r="ON61" s="6058"/>
    </row>
    <row r="62" spans="3:404" ht="8.1" customHeight="1" x14ac:dyDescent="0.2">
      <c r="C62" s="6055"/>
      <c r="D62" s="6082"/>
      <c r="E62" s="6083"/>
      <c r="F62" s="6083"/>
      <c r="G62" s="6083"/>
      <c r="H62" s="6083"/>
      <c r="I62" s="6083"/>
      <c r="J62" s="6083"/>
      <c r="K62" s="6083"/>
      <c r="L62" s="6083"/>
      <c r="M62" s="6083"/>
      <c r="N62" s="6083"/>
      <c r="O62" s="6083"/>
      <c r="P62" s="6083"/>
      <c r="Q62" s="6083"/>
      <c r="R62" s="6083"/>
      <c r="S62" s="6083"/>
      <c r="T62" s="6083"/>
      <c r="U62" s="6083"/>
      <c r="V62" s="6083"/>
      <c r="W62" s="6083"/>
      <c r="X62" s="6083"/>
      <c r="Y62" s="6083"/>
      <c r="Z62" s="6083"/>
      <c r="AA62" s="6083"/>
      <c r="AB62" s="6083"/>
      <c r="AC62" s="6083"/>
      <c r="AD62" s="6083"/>
      <c r="AE62" s="6083"/>
      <c r="AF62" s="6083"/>
      <c r="AG62" s="6083"/>
      <c r="AH62" s="6083"/>
      <c r="AI62" s="6083"/>
      <c r="AJ62" s="6083"/>
      <c r="AK62" s="6083"/>
      <c r="AL62" s="6083"/>
      <c r="AM62" s="6083"/>
      <c r="AN62" s="6083"/>
      <c r="AO62" s="6083"/>
      <c r="AP62" s="6083"/>
      <c r="AQ62" s="6084"/>
      <c r="AR62" s="6058"/>
      <c r="AV62" s="6055"/>
      <c r="AW62" s="6082"/>
      <c r="AX62" s="6083"/>
      <c r="AY62" s="6083"/>
      <c r="AZ62" s="6083"/>
      <c r="BA62" s="6083"/>
      <c r="BB62" s="6083"/>
      <c r="BC62" s="6083"/>
      <c r="BD62" s="6083"/>
      <c r="BE62" s="6083"/>
      <c r="BF62" s="6083"/>
      <c r="BG62" s="6083"/>
      <c r="BH62" s="6083"/>
      <c r="BI62" s="6083"/>
      <c r="BJ62" s="6083"/>
      <c r="BK62" s="6083"/>
      <c r="BL62" s="6083"/>
      <c r="BM62" s="6083"/>
      <c r="BN62" s="6083"/>
      <c r="BO62" s="6083"/>
      <c r="BP62" s="6083"/>
      <c r="BQ62" s="6083"/>
      <c r="BR62" s="6083"/>
      <c r="BS62" s="6083"/>
      <c r="BT62" s="6083"/>
      <c r="BU62" s="6083"/>
      <c r="BV62" s="6083"/>
      <c r="BW62" s="6083"/>
      <c r="BX62" s="6083"/>
      <c r="BY62" s="6083"/>
      <c r="BZ62" s="6083"/>
      <c r="CA62" s="6083"/>
      <c r="CB62" s="6083"/>
      <c r="CC62" s="6083"/>
      <c r="CD62" s="6083"/>
      <c r="CE62" s="6083"/>
      <c r="CF62" s="6083"/>
      <c r="CG62" s="6083"/>
      <c r="CH62" s="6083"/>
      <c r="CI62" s="6083"/>
      <c r="CJ62" s="6084"/>
      <c r="CK62" s="6058"/>
      <c r="CO62" s="6055"/>
      <c r="CP62" s="6082"/>
      <c r="CQ62" s="6083"/>
      <c r="CR62" s="6083"/>
      <c r="CS62" s="6083"/>
      <c r="CT62" s="6083"/>
      <c r="CU62" s="6083"/>
      <c r="CV62" s="6083"/>
      <c r="CW62" s="6083"/>
      <c r="CX62" s="6083"/>
      <c r="CY62" s="6083"/>
      <c r="CZ62" s="6083"/>
      <c r="DA62" s="6083"/>
      <c r="DB62" s="6083"/>
      <c r="DC62" s="6083"/>
      <c r="DD62" s="6083"/>
      <c r="DE62" s="6083"/>
      <c r="DF62" s="6083"/>
      <c r="DG62" s="6083"/>
      <c r="DH62" s="6083"/>
      <c r="DI62" s="6083"/>
      <c r="DJ62" s="6083"/>
      <c r="DK62" s="6083"/>
      <c r="DL62" s="6083"/>
      <c r="DM62" s="6083"/>
      <c r="DN62" s="6083"/>
      <c r="DO62" s="6083"/>
      <c r="DP62" s="6083"/>
      <c r="DQ62" s="6083"/>
      <c r="DR62" s="6083"/>
      <c r="DS62" s="6083"/>
      <c r="DT62" s="6083"/>
      <c r="DU62" s="6083"/>
      <c r="DV62" s="6083"/>
      <c r="DW62" s="6083"/>
      <c r="DX62" s="6083"/>
      <c r="DY62" s="6083"/>
      <c r="DZ62" s="6083"/>
      <c r="EA62" s="6083"/>
      <c r="EB62" s="6083"/>
      <c r="EC62" s="6084"/>
      <c r="ED62" s="6058"/>
      <c r="EH62" s="6055"/>
      <c r="EI62" s="6082"/>
      <c r="EJ62" s="6083"/>
      <c r="EK62" s="6083"/>
      <c r="EL62" s="6083"/>
      <c r="EM62" s="6083"/>
      <c r="EN62" s="6083"/>
      <c r="EO62" s="6083"/>
      <c r="EP62" s="6083"/>
      <c r="EQ62" s="6083"/>
      <c r="ER62" s="6083"/>
      <c r="ES62" s="6083"/>
      <c r="ET62" s="6083"/>
      <c r="EU62" s="6083"/>
      <c r="EV62" s="6083"/>
      <c r="EW62" s="6083"/>
      <c r="EX62" s="6083"/>
      <c r="EY62" s="6083"/>
      <c r="EZ62" s="6083"/>
      <c r="FA62" s="6083"/>
      <c r="FB62" s="6083"/>
      <c r="FC62" s="6083"/>
      <c r="FD62" s="6083"/>
      <c r="FE62" s="6083"/>
      <c r="FF62" s="6083"/>
      <c r="FG62" s="6083"/>
      <c r="FH62" s="6083"/>
      <c r="FI62" s="6083"/>
      <c r="FJ62" s="6083"/>
      <c r="FK62" s="6083"/>
      <c r="FL62" s="6083"/>
      <c r="FM62" s="6083"/>
      <c r="FN62" s="6083"/>
      <c r="FO62" s="6083"/>
      <c r="FP62" s="6083"/>
      <c r="FQ62" s="6083"/>
      <c r="FR62" s="6083"/>
      <c r="FS62" s="6083"/>
      <c r="FT62" s="6083"/>
      <c r="FU62" s="6083"/>
      <c r="FV62" s="6084"/>
      <c r="FW62" s="6058"/>
      <c r="GA62" s="6055"/>
      <c r="GB62" s="6082"/>
      <c r="GC62" s="6083"/>
      <c r="GD62" s="6083"/>
      <c r="GE62" s="6083"/>
      <c r="GF62" s="6083"/>
      <c r="GG62" s="6083"/>
      <c r="GH62" s="6083"/>
      <c r="GI62" s="6083"/>
      <c r="GJ62" s="6083"/>
      <c r="GK62" s="6083"/>
      <c r="GL62" s="6083"/>
      <c r="GM62" s="6083"/>
      <c r="GN62" s="6083"/>
      <c r="GO62" s="6083"/>
      <c r="GP62" s="6083"/>
      <c r="GQ62" s="6083"/>
      <c r="GR62" s="6083"/>
      <c r="GS62" s="6083"/>
      <c r="GT62" s="6083"/>
      <c r="GU62" s="6083"/>
      <c r="GV62" s="6083"/>
      <c r="GW62" s="6083"/>
      <c r="GX62" s="6083"/>
      <c r="GY62" s="6083"/>
      <c r="GZ62" s="6083"/>
      <c r="HA62" s="6083"/>
      <c r="HB62" s="6083"/>
      <c r="HC62" s="6083"/>
      <c r="HD62" s="6083"/>
      <c r="HE62" s="6083"/>
      <c r="HF62" s="6083"/>
      <c r="HG62" s="6083"/>
      <c r="HH62" s="6083"/>
      <c r="HI62" s="6083"/>
      <c r="HJ62" s="6083"/>
      <c r="HK62" s="6083"/>
      <c r="HL62" s="6083"/>
      <c r="HM62" s="6083"/>
      <c r="HN62" s="6083"/>
      <c r="HO62" s="6084"/>
      <c r="HP62" s="6058"/>
      <c r="HT62" s="6055"/>
      <c r="HU62" s="6082"/>
      <c r="HV62" s="6083"/>
      <c r="HW62" s="6083"/>
      <c r="HX62" s="6083"/>
      <c r="HY62" s="6083"/>
      <c r="HZ62" s="6083"/>
      <c r="IA62" s="6083"/>
      <c r="IB62" s="6083"/>
      <c r="IC62" s="6083"/>
      <c r="ID62" s="6083"/>
      <c r="IE62" s="6083"/>
      <c r="IF62" s="6083"/>
      <c r="IG62" s="6083"/>
      <c r="IH62" s="6083"/>
      <c r="II62" s="6083"/>
      <c r="IJ62" s="6083"/>
      <c r="IK62" s="6083"/>
      <c r="IL62" s="6083"/>
      <c r="IM62" s="6083"/>
      <c r="IN62" s="6083"/>
      <c r="IO62" s="6083"/>
      <c r="IP62" s="6083"/>
      <c r="IQ62" s="6083"/>
      <c r="IR62" s="6083"/>
      <c r="IS62" s="6083"/>
      <c r="IT62" s="6083"/>
      <c r="IU62" s="6083"/>
      <c r="IV62" s="6083"/>
      <c r="IW62" s="6083"/>
      <c r="IX62" s="6083"/>
      <c r="IY62" s="6083"/>
      <c r="IZ62" s="6083"/>
      <c r="JA62" s="6083"/>
      <c r="JB62" s="6083"/>
      <c r="JC62" s="6083"/>
      <c r="JD62" s="6083"/>
      <c r="JE62" s="6083"/>
      <c r="JF62" s="6083"/>
      <c r="JG62" s="6083"/>
      <c r="JH62" s="6084"/>
      <c r="JI62" s="6058"/>
      <c r="JM62" s="6055"/>
      <c r="JN62" s="6082"/>
      <c r="JO62" s="6083"/>
      <c r="JP62" s="6083"/>
      <c r="JQ62" s="6083"/>
      <c r="JR62" s="6083"/>
      <c r="JS62" s="6083"/>
      <c r="JT62" s="6083"/>
      <c r="JU62" s="6083"/>
      <c r="JV62" s="6083"/>
      <c r="JW62" s="6083"/>
      <c r="JX62" s="6083"/>
      <c r="JY62" s="6083"/>
      <c r="JZ62" s="6083"/>
      <c r="KA62" s="6083"/>
      <c r="KB62" s="6083"/>
      <c r="KC62" s="6083"/>
      <c r="KD62" s="6083"/>
      <c r="KE62" s="6083"/>
      <c r="KF62" s="6083"/>
      <c r="KG62" s="6083"/>
      <c r="KH62" s="6083"/>
      <c r="KI62" s="6083"/>
      <c r="KJ62" s="6083"/>
      <c r="KK62" s="6083"/>
      <c r="KL62" s="6083"/>
      <c r="KM62" s="6083"/>
      <c r="KN62" s="6083"/>
      <c r="KO62" s="6083"/>
      <c r="KP62" s="6083"/>
      <c r="KQ62" s="6083"/>
      <c r="KR62" s="6083"/>
      <c r="KS62" s="6083"/>
      <c r="KT62" s="6083"/>
      <c r="KU62" s="6083"/>
      <c r="KV62" s="6083"/>
      <c r="KW62" s="6083"/>
      <c r="KX62" s="6083"/>
      <c r="KY62" s="6083"/>
      <c r="KZ62" s="6083"/>
      <c r="LA62" s="6084"/>
      <c r="LB62" s="6058"/>
      <c r="LF62" s="6055"/>
      <c r="LG62" s="6082"/>
      <c r="LH62" s="6083"/>
      <c r="LI62" s="6083"/>
      <c r="LJ62" s="6083"/>
      <c r="LK62" s="6083"/>
      <c r="LL62" s="6083"/>
      <c r="LM62" s="6083"/>
      <c r="LN62" s="6083"/>
      <c r="LO62" s="6083"/>
      <c r="LP62" s="6083"/>
      <c r="LQ62" s="6083"/>
      <c r="LR62" s="6083"/>
      <c r="LS62" s="6083"/>
      <c r="LT62" s="6083"/>
      <c r="LU62" s="6083"/>
      <c r="LV62" s="6083"/>
      <c r="LW62" s="6083"/>
      <c r="LX62" s="6083"/>
      <c r="LY62" s="6083"/>
      <c r="LZ62" s="6083"/>
      <c r="MA62" s="6083"/>
      <c r="MB62" s="6083"/>
      <c r="MC62" s="6083"/>
      <c r="MD62" s="6083"/>
      <c r="ME62" s="6083"/>
      <c r="MF62" s="6083"/>
      <c r="MG62" s="6083"/>
      <c r="MH62" s="6083"/>
      <c r="MI62" s="6083"/>
      <c r="MJ62" s="6083"/>
      <c r="MK62" s="6083"/>
      <c r="ML62" s="6083"/>
      <c r="MM62" s="6083"/>
      <c r="MN62" s="6083"/>
      <c r="MO62" s="6083"/>
      <c r="MP62" s="6083"/>
      <c r="MQ62" s="6083"/>
      <c r="MR62" s="6083"/>
      <c r="MS62" s="6083"/>
      <c r="MT62" s="6084"/>
      <c r="MU62" s="6058"/>
      <c r="MY62" s="6055"/>
      <c r="MZ62" s="6082"/>
      <c r="NA62" s="6083"/>
      <c r="NB62" s="6083"/>
      <c r="NC62" s="6083"/>
      <c r="ND62" s="6083"/>
      <c r="NE62" s="6083"/>
      <c r="NF62" s="6083"/>
      <c r="NG62" s="6083"/>
      <c r="NH62" s="6083"/>
      <c r="NI62" s="6083"/>
      <c r="NJ62" s="6083"/>
      <c r="NK62" s="6083"/>
      <c r="NL62" s="6083"/>
      <c r="NM62" s="6083"/>
      <c r="NN62" s="6083"/>
      <c r="NO62" s="6083"/>
      <c r="NP62" s="6083"/>
      <c r="NQ62" s="6083"/>
      <c r="NR62" s="6083"/>
      <c r="NS62" s="6083"/>
      <c r="NT62" s="6083"/>
      <c r="NU62" s="6083"/>
      <c r="NV62" s="6083"/>
      <c r="NW62" s="6083"/>
      <c r="NX62" s="6083"/>
      <c r="NY62" s="6083"/>
      <c r="NZ62" s="6083"/>
      <c r="OA62" s="6083"/>
      <c r="OB62" s="6083"/>
      <c r="OC62" s="6083"/>
      <c r="OD62" s="6083"/>
      <c r="OE62" s="6083"/>
      <c r="OF62" s="6083"/>
      <c r="OG62" s="6083"/>
      <c r="OH62" s="6083"/>
      <c r="OI62" s="6083"/>
      <c r="OJ62" s="6083"/>
      <c r="OK62" s="6083"/>
      <c r="OL62" s="6083"/>
      <c r="OM62" s="6084"/>
      <c r="ON62" s="6058"/>
    </row>
    <row r="63" spans="3:404" ht="408.95" customHeight="1" x14ac:dyDescent="0.2">
      <c r="C63" s="6055"/>
      <c r="D63" s="6040"/>
      <c r="E63" s="6782" t="str">
        <f>_Calcs!$IK$129</f>
        <v/>
      </c>
      <c r="F63" s="6782"/>
      <c r="G63" s="6782"/>
      <c r="H63" s="6782"/>
      <c r="I63" s="6782"/>
      <c r="J63" s="6782"/>
      <c r="K63" s="6782"/>
      <c r="L63" s="6782"/>
      <c r="M63" s="6782"/>
      <c r="N63" s="6782"/>
      <c r="O63" s="6782"/>
      <c r="P63" s="6782"/>
      <c r="Q63" s="6782"/>
      <c r="R63" s="6782"/>
      <c r="S63" s="6782"/>
      <c r="T63" s="6782"/>
      <c r="U63" s="6782"/>
      <c r="V63" s="6782"/>
      <c r="W63" s="6782"/>
      <c r="X63" s="6782"/>
      <c r="Y63" s="6782"/>
      <c r="Z63" s="6782"/>
      <c r="AA63" s="6782"/>
      <c r="AB63" s="6782"/>
      <c r="AC63" s="6782"/>
      <c r="AD63" s="6782"/>
      <c r="AE63" s="6782"/>
      <c r="AF63" s="6782"/>
      <c r="AG63" s="6782"/>
      <c r="AH63" s="6782"/>
      <c r="AI63" s="6782"/>
      <c r="AJ63" s="6782"/>
      <c r="AK63" s="6782"/>
      <c r="AL63" s="6782"/>
      <c r="AM63" s="6782"/>
      <c r="AN63" s="6782"/>
      <c r="AO63" s="6782"/>
      <c r="AP63" s="6782"/>
      <c r="AQ63" s="6085"/>
      <c r="AR63" s="6058"/>
      <c r="AV63" s="6055"/>
      <c r="AW63" s="6040"/>
      <c r="AX63" s="6782" t="str">
        <f>_Calcs!$IL$129</f>
        <v/>
      </c>
      <c r="AY63" s="6782"/>
      <c r="AZ63" s="6782"/>
      <c r="BA63" s="6782"/>
      <c r="BB63" s="6782"/>
      <c r="BC63" s="6782"/>
      <c r="BD63" s="6782"/>
      <c r="BE63" s="6782"/>
      <c r="BF63" s="6782"/>
      <c r="BG63" s="6782"/>
      <c r="BH63" s="6782"/>
      <c r="BI63" s="6782"/>
      <c r="BJ63" s="6782"/>
      <c r="BK63" s="6782"/>
      <c r="BL63" s="6782"/>
      <c r="BM63" s="6782"/>
      <c r="BN63" s="6782"/>
      <c r="BO63" s="6782"/>
      <c r="BP63" s="6782"/>
      <c r="BQ63" s="6782"/>
      <c r="BR63" s="6782"/>
      <c r="BS63" s="6782"/>
      <c r="BT63" s="6782"/>
      <c r="BU63" s="6782"/>
      <c r="BV63" s="6782"/>
      <c r="BW63" s="6782"/>
      <c r="BX63" s="6782"/>
      <c r="BY63" s="6782"/>
      <c r="BZ63" s="6782"/>
      <c r="CA63" s="6782"/>
      <c r="CB63" s="6782"/>
      <c r="CC63" s="6782"/>
      <c r="CD63" s="6782"/>
      <c r="CE63" s="6782"/>
      <c r="CF63" s="6782"/>
      <c r="CG63" s="6782"/>
      <c r="CH63" s="6782"/>
      <c r="CI63" s="6782"/>
      <c r="CJ63" s="6085"/>
      <c r="CK63" s="6058"/>
      <c r="CO63" s="6055"/>
      <c r="CP63" s="6040"/>
      <c r="CQ63" s="6782" t="str">
        <f>_Calcs!$IM$129</f>
        <v/>
      </c>
      <c r="CR63" s="6782"/>
      <c r="CS63" s="6782"/>
      <c r="CT63" s="6782"/>
      <c r="CU63" s="6782"/>
      <c r="CV63" s="6782"/>
      <c r="CW63" s="6782"/>
      <c r="CX63" s="6782"/>
      <c r="CY63" s="6782"/>
      <c r="CZ63" s="6782"/>
      <c r="DA63" s="6782"/>
      <c r="DB63" s="6782"/>
      <c r="DC63" s="6782"/>
      <c r="DD63" s="6782"/>
      <c r="DE63" s="6782"/>
      <c r="DF63" s="6782"/>
      <c r="DG63" s="6782"/>
      <c r="DH63" s="6782"/>
      <c r="DI63" s="6782"/>
      <c r="DJ63" s="6782"/>
      <c r="DK63" s="6782"/>
      <c r="DL63" s="6782"/>
      <c r="DM63" s="6782"/>
      <c r="DN63" s="6782"/>
      <c r="DO63" s="6782"/>
      <c r="DP63" s="6782"/>
      <c r="DQ63" s="6782"/>
      <c r="DR63" s="6782"/>
      <c r="DS63" s="6782"/>
      <c r="DT63" s="6782"/>
      <c r="DU63" s="6782"/>
      <c r="DV63" s="6782"/>
      <c r="DW63" s="6782"/>
      <c r="DX63" s="6782"/>
      <c r="DY63" s="6782"/>
      <c r="DZ63" s="6782"/>
      <c r="EA63" s="6782"/>
      <c r="EB63" s="6782"/>
      <c r="EC63" s="6085"/>
      <c r="ED63" s="6058"/>
      <c r="EH63" s="6055"/>
      <c r="EI63" s="6040"/>
      <c r="EJ63" s="6782" t="str">
        <f>_Calcs!$IN$129</f>
        <v/>
      </c>
      <c r="EK63" s="6782"/>
      <c r="EL63" s="6782"/>
      <c r="EM63" s="6782"/>
      <c r="EN63" s="6782"/>
      <c r="EO63" s="6782"/>
      <c r="EP63" s="6782"/>
      <c r="EQ63" s="6782"/>
      <c r="ER63" s="6782"/>
      <c r="ES63" s="6782"/>
      <c r="ET63" s="6782"/>
      <c r="EU63" s="6782"/>
      <c r="EV63" s="6782"/>
      <c r="EW63" s="6782"/>
      <c r="EX63" s="6782"/>
      <c r="EY63" s="6782"/>
      <c r="EZ63" s="6782"/>
      <c r="FA63" s="6782"/>
      <c r="FB63" s="6782"/>
      <c r="FC63" s="6782"/>
      <c r="FD63" s="6782"/>
      <c r="FE63" s="6782"/>
      <c r="FF63" s="6782"/>
      <c r="FG63" s="6782"/>
      <c r="FH63" s="6782"/>
      <c r="FI63" s="6782"/>
      <c r="FJ63" s="6782"/>
      <c r="FK63" s="6782"/>
      <c r="FL63" s="6782"/>
      <c r="FM63" s="6782"/>
      <c r="FN63" s="6782"/>
      <c r="FO63" s="6782"/>
      <c r="FP63" s="6782"/>
      <c r="FQ63" s="6782"/>
      <c r="FR63" s="6782"/>
      <c r="FS63" s="6782"/>
      <c r="FT63" s="6782"/>
      <c r="FU63" s="6782"/>
      <c r="FV63" s="6085"/>
      <c r="FW63" s="6058"/>
      <c r="GA63" s="6055"/>
      <c r="GB63" s="6040"/>
      <c r="GC63" s="6782" t="str">
        <f>_Calcs!$IO$129</f>
        <v/>
      </c>
      <c r="GD63" s="6782"/>
      <c r="GE63" s="6782"/>
      <c r="GF63" s="6782"/>
      <c r="GG63" s="6782"/>
      <c r="GH63" s="6782"/>
      <c r="GI63" s="6782"/>
      <c r="GJ63" s="6782"/>
      <c r="GK63" s="6782"/>
      <c r="GL63" s="6782"/>
      <c r="GM63" s="6782"/>
      <c r="GN63" s="6782"/>
      <c r="GO63" s="6782"/>
      <c r="GP63" s="6782"/>
      <c r="GQ63" s="6782"/>
      <c r="GR63" s="6782"/>
      <c r="GS63" s="6782"/>
      <c r="GT63" s="6782"/>
      <c r="GU63" s="6782"/>
      <c r="GV63" s="6782"/>
      <c r="GW63" s="6782"/>
      <c r="GX63" s="6782"/>
      <c r="GY63" s="6782"/>
      <c r="GZ63" s="6782"/>
      <c r="HA63" s="6782"/>
      <c r="HB63" s="6782"/>
      <c r="HC63" s="6782"/>
      <c r="HD63" s="6782"/>
      <c r="HE63" s="6782"/>
      <c r="HF63" s="6782"/>
      <c r="HG63" s="6782"/>
      <c r="HH63" s="6782"/>
      <c r="HI63" s="6782"/>
      <c r="HJ63" s="6782"/>
      <c r="HK63" s="6782"/>
      <c r="HL63" s="6782"/>
      <c r="HM63" s="6782"/>
      <c r="HN63" s="6782"/>
      <c r="HO63" s="6085"/>
      <c r="HP63" s="6058"/>
      <c r="HT63" s="6055"/>
      <c r="HU63" s="6040"/>
      <c r="HV63" s="6782" t="str">
        <f>_Calcs!$IP$129</f>
        <v/>
      </c>
      <c r="HW63" s="6782"/>
      <c r="HX63" s="6782"/>
      <c r="HY63" s="6782"/>
      <c r="HZ63" s="6782"/>
      <c r="IA63" s="6782"/>
      <c r="IB63" s="6782"/>
      <c r="IC63" s="6782"/>
      <c r="ID63" s="6782"/>
      <c r="IE63" s="6782"/>
      <c r="IF63" s="6782"/>
      <c r="IG63" s="6782"/>
      <c r="IH63" s="6782"/>
      <c r="II63" s="6782"/>
      <c r="IJ63" s="6782"/>
      <c r="IK63" s="6782"/>
      <c r="IL63" s="6782"/>
      <c r="IM63" s="6782"/>
      <c r="IN63" s="6782"/>
      <c r="IO63" s="6782"/>
      <c r="IP63" s="6782"/>
      <c r="IQ63" s="6782"/>
      <c r="IR63" s="6782"/>
      <c r="IS63" s="6782"/>
      <c r="IT63" s="6782"/>
      <c r="IU63" s="6782"/>
      <c r="IV63" s="6782"/>
      <c r="IW63" s="6782"/>
      <c r="IX63" s="6782"/>
      <c r="IY63" s="6782"/>
      <c r="IZ63" s="6782"/>
      <c r="JA63" s="6782"/>
      <c r="JB63" s="6782"/>
      <c r="JC63" s="6782"/>
      <c r="JD63" s="6782"/>
      <c r="JE63" s="6782"/>
      <c r="JF63" s="6782"/>
      <c r="JG63" s="6782"/>
      <c r="JH63" s="6085"/>
      <c r="JI63" s="6058"/>
      <c r="JM63" s="6055"/>
      <c r="JN63" s="6040"/>
      <c r="JO63" s="6782" t="str">
        <f>_Calcs!$IQ$129</f>
        <v/>
      </c>
      <c r="JP63" s="6782"/>
      <c r="JQ63" s="6782"/>
      <c r="JR63" s="6782"/>
      <c r="JS63" s="6782"/>
      <c r="JT63" s="6782"/>
      <c r="JU63" s="6782"/>
      <c r="JV63" s="6782"/>
      <c r="JW63" s="6782"/>
      <c r="JX63" s="6782"/>
      <c r="JY63" s="6782"/>
      <c r="JZ63" s="6782"/>
      <c r="KA63" s="6782"/>
      <c r="KB63" s="6782"/>
      <c r="KC63" s="6782"/>
      <c r="KD63" s="6782"/>
      <c r="KE63" s="6782"/>
      <c r="KF63" s="6782"/>
      <c r="KG63" s="6782"/>
      <c r="KH63" s="6782"/>
      <c r="KI63" s="6782"/>
      <c r="KJ63" s="6782"/>
      <c r="KK63" s="6782"/>
      <c r="KL63" s="6782"/>
      <c r="KM63" s="6782"/>
      <c r="KN63" s="6782"/>
      <c r="KO63" s="6782"/>
      <c r="KP63" s="6782"/>
      <c r="KQ63" s="6782"/>
      <c r="KR63" s="6782"/>
      <c r="KS63" s="6782"/>
      <c r="KT63" s="6782"/>
      <c r="KU63" s="6782"/>
      <c r="KV63" s="6782"/>
      <c r="KW63" s="6782"/>
      <c r="KX63" s="6782"/>
      <c r="KY63" s="6782"/>
      <c r="KZ63" s="6782"/>
      <c r="LA63" s="6085"/>
      <c r="LB63" s="6058"/>
      <c r="LF63" s="6055"/>
      <c r="LG63" s="6040"/>
      <c r="LH63" s="6782" t="str">
        <f>_Calcs!$IR$129</f>
        <v/>
      </c>
      <c r="LI63" s="6782"/>
      <c r="LJ63" s="6782"/>
      <c r="LK63" s="6782"/>
      <c r="LL63" s="6782"/>
      <c r="LM63" s="6782"/>
      <c r="LN63" s="6782"/>
      <c r="LO63" s="6782"/>
      <c r="LP63" s="6782"/>
      <c r="LQ63" s="6782"/>
      <c r="LR63" s="6782"/>
      <c r="LS63" s="6782"/>
      <c r="LT63" s="6782"/>
      <c r="LU63" s="6782"/>
      <c r="LV63" s="6782"/>
      <c r="LW63" s="6782"/>
      <c r="LX63" s="6782"/>
      <c r="LY63" s="6782"/>
      <c r="LZ63" s="6782"/>
      <c r="MA63" s="6782"/>
      <c r="MB63" s="6782"/>
      <c r="MC63" s="6782"/>
      <c r="MD63" s="6782"/>
      <c r="ME63" s="6782"/>
      <c r="MF63" s="6782"/>
      <c r="MG63" s="6782"/>
      <c r="MH63" s="6782"/>
      <c r="MI63" s="6782"/>
      <c r="MJ63" s="6782"/>
      <c r="MK63" s="6782"/>
      <c r="ML63" s="6782"/>
      <c r="MM63" s="6782"/>
      <c r="MN63" s="6782"/>
      <c r="MO63" s="6782"/>
      <c r="MP63" s="6782"/>
      <c r="MQ63" s="6782"/>
      <c r="MR63" s="6782"/>
      <c r="MS63" s="6782"/>
      <c r="MT63" s="6085"/>
      <c r="MU63" s="6058"/>
      <c r="MY63" s="6055"/>
      <c r="MZ63" s="6040"/>
      <c r="NA63" s="6782" t="str">
        <f>_Calcs!$IS$129</f>
        <v/>
      </c>
      <c r="NB63" s="6782"/>
      <c r="NC63" s="6782"/>
      <c r="ND63" s="6782"/>
      <c r="NE63" s="6782"/>
      <c r="NF63" s="6782"/>
      <c r="NG63" s="6782"/>
      <c r="NH63" s="6782"/>
      <c r="NI63" s="6782"/>
      <c r="NJ63" s="6782"/>
      <c r="NK63" s="6782"/>
      <c r="NL63" s="6782"/>
      <c r="NM63" s="6782"/>
      <c r="NN63" s="6782"/>
      <c r="NO63" s="6782"/>
      <c r="NP63" s="6782"/>
      <c r="NQ63" s="6782"/>
      <c r="NR63" s="6782"/>
      <c r="NS63" s="6782"/>
      <c r="NT63" s="6782"/>
      <c r="NU63" s="6782"/>
      <c r="NV63" s="6782"/>
      <c r="NW63" s="6782"/>
      <c r="NX63" s="6782"/>
      <c r="NY63" s="6782"/>
      <c r="NZ63" s="6782"/>
      <c r="OA63" s="6782"/>
      <c r="OB63" s="6782"/>
      <c r="OC63" s="6782"/>
      <c r="OD63" s="6782"/>
      <c r="OE63" s="6782"/>
      <c r="OF63" s="6782"/>
      <c r="OG63" s="6782"/>
      <c r="OH63" s="6782"/>
      <c r="OI63" s="6782"/>
      <c r="OJ63" s="6782"/>
      <c r="OK63" s="6782"/>
      <c r="OL63" s="6782"/>
      <c r="OM63" s="6085"/>
      <c r="ON63" s="6058"/>
    </row>
    <row r="64" spans="3:404" ht="8.1" customHeight="1" thickBot="1" x14ac:dyDescent="0.25">
      <c r="C64" s="6055"/>
      <c r="D64" s="6044"/>
      <c r="E64" s="6046"/>
      <c r="F64" s="6046"/>
      <c r="G64" s="6046"/>
      <c r="H64" s="6046"/>
      <c r="I64" s="6046"/>
      <c r="J64" s="6046"/>
      <c r="K64" s="6046"/>
      <c r="L64" s="6046"/>
      <c r="M64" s="6046"/>
      <c r="N64" s="6046"/>
      <c r="O64" s="6046"/>
      <c r="P64" s="6046"/>
      <c r="Q64" s="6046"/>
      <c r="R64" s="6046"/>
      <c r="S64" s="6046"/>
      <c r="T64" s="6046"/>
      <c r="U64" s="6046"/>
      <c r="V64" s="6086"/>
      <c r="W64" s="6086"/>
      <c r="X64" s="6086"/>
      <c r="Y64" s="6086"/>
      <c r="Z64" s="6086"/>
      <c r="AA64" s="6046"/>
      <c r="AB64" s="6086"/>
      <c r="AC64" s="6086"/>
      <c r="AD64" s="6086"/>
      <c r="AE64" s="6046"/>
      <c r="AF64" s="6086"/>
      <c r="AG64" s="6086"/>
      <c r="AH64" s="6086"/>
      <c r="AI64" s="6086"/>
      <c r="AJ64" s="6086"/>
      <c r="AK64" s="6086"/>
      <c r="AL64" s="6086"/>
      <c r="AM64" s="6086"/>
      <c r="AN64" s="6086"/>
      <c r="AO64" s="6086"/>
      <c r="AP64" s="6086"/>
      <c r="AQ64" s="6048"/>
      <c r="AR64" s="6058"/>
      <c r="AV64" s="6055"/>
      <c r="AW64" s="6044"/>
      <c r="AX64" s="6046"/>
      <c r="AY64" s="6046"/>
      <c r="AZ64" s="6046"/>
      <c r="BA64" s="6046"/>
      <c r="BB64" s="6046"/>
      <c r="BC64" s="6046"/>
      <c r="BD64" s="6046"/>
      <c r="BE64" s="6046"/>
      <c r="BF64" s="6046"/>
      <c r="BG64" s="6046"/>
      <c r="BH64" s="6046"/>
      <c r="BI64" s="6046"/>
      <c r="BJ64" s="6046"/>
      <c r="BK64" s="6046"/>
      <c r="BL64" s="6046"/>
      <c r="BM64" s="6046"/>
      <c r="BN64" s="6046"/>
      <c r="BO64" s="6086"/>
      <c r="BP64" s="6086"/>
      <c r="BQ64" s="6086"/>
      <c r="BR64" s="6086"/>
      <c r="BS64" s="6086"/>
      <c r="BT64" s="6046"/>
      <c r="BU64" s="6086"/>
      <c r="BV64" s="6086"/>
      <c r="BW64" s="6086"/>
      <c r="BX64" s="6046"/>
      <c r="BY64" s="6086"/>
      <c r="BZ64" s="6086"/>
      <c r="CA64" s="6086"/>
      <c r="CB64" s="6086"/>
      <c r="CC64" s="6086"/>
      <c r="CD64" s="6086"/>
      <c r="CE64" s="6086"/>
      <c r="CF64" s="6086"/>
      <c r="CG64" s="6086"/>
      <c r="CH64" s="6086"/>
      <c r="CI64" s="6086"/>
      <c r="CJ64" s="6048"/>
      <c r="CK64" s="6058"/>
      <c r="CO64" s="6055"/>
      <c r="CP64" s="6044"/>
      <c r="CQ64" s="6046"/>
      <c r="CR64" s="6046"/>
      <c r="CS64" s="6046"/>
      <c r="CT64" s="6046"/>
      <c r="CU64" s="6046"/>
      <c r="CV64" s="6046"/>
      <c r="CW64" s="6046"/>
      <c r="CX64" s="6046"/>
      <c r="CY64" s="6046"/>
      <c r="CZ64" s="6046"/>
      <c r="DA64" s="6046"/>
      <c r="DB64" s="6046"/>
      <c r="DC64" s="6046"/>
      <c r="DD64" s="6046"/>
      <c r="DE64" s="6046"/>
      <c r="DF64" s="6046"/>
      <c r="DG64" s="6046"/>
      <c r="DH64" s="6086"/>
      <c r="DI64" s="6086"/>
      <c r="DJ64" s="6086"/>
      <c r="DK64" s="6086"/>
      <c r="DL64" s="6086"/>
      <c r="DM64" s="6046"/>
      <c r="DN64" s="6086"/>
      <c r="DO64" s="6086"/>
      <c r="DP64" s="6086"/>
      <c r="DQ64" s="6046"/>
      <c r="DR64" s="6086"/>
      <c r="DS64" s="6086"/>
      <c r="DT64" s="6086"/>
      <c r="DU64" s="6086"/>
      <c r="DV64" s="6086"/>
      <c r="DW64" s="6086"/>
      <c r="DX64" s="6086"/>
      <c r="DY64" s="6086"/>
      <c r="DZ64" s="6086"/>
      <c r="EA64" s="6086"/>
      <c r="EB64" s="6086"/>
      <c r="EC64" s="6048"/>
      <c r="ED64" s="6058"/>
      <c r="EH64" s="6055"/>
      <c r="EI64" s="6044"/>
      <c r="EJ64" s="6046"/>
      <c r="EK64" s="6046"/>
      <c r="EL64" s="6046"/>
      <c r="EM64" s="6046"/>
      <c r="EN64" s="6046"/>
      <c r="EO64" s="6046"/>
      <c r="EP64" s="6046"/>
      <c r="EQ64" s="6046"/>
      <c r="ER64" s="6046"/>
      <c r="ES64" s="6046"/>
      <c r="ET64" s="6046"/>
      <c r="EU64" s="6046"/>
      <c r="EV64" s="6046"/>
      <c r="EW64" s="6046"/>
      <c r="EX64" s="6046"/>
      <c r="EY64" s="6046"/>
      <c r="EZ64" s="6046"/>
      <c r="FA64" s="6086"/>
      <c r="FB64" s="6086"/>
      <c r="FC64" s="6086"/>
      <c r="FD64" s="6086"/>
      <c r="FE64" s="6086"/>
      <c r="FF64" s="6046"/>
      <c r="FG64" s="6086"/>
      <c r="FH64" s="6086"/>
      <c r="FI64" s="6086"/>
      <c r="FJ64" s="6046"/>
      <c r="FK64" s="6086"/>
      <c r="FL64" s="6086"/>
      <c r="FM64" s="6086"/>
      <c r="FN64" s="6086"/>
      <c r="FO64" s="6086"/>
      <c r="FP64" s="6086"/>
      <c r="FQ64" s="6086"/>
      <c r="FR64" s="6086"/>
      <c r="FS64" s="6086"/>
      <c r="FT64" s="6086"/>
      <c r="FU64" s="6086"/>
      <c r="FV64" s="6048"/>
      <c r="FW64" s="6058"/>
      <c r="GA64" s="6055"/>
      <c r="GB64" s="6044"/>
      <c r="GC64" s="6046"/>
      <c r="GD64" s="6046"/>
      <c r="GE64" s="6046"/>
      <c r="GF64" s="6046"/>
      <c r="GG64" s="6046"/>
      <c r="GH64" s="6046"/>
      <c r="GI64" s="6046"/>
      <c r="GJ64" s="6046"/>
      <c r="GK64" s="6046"/>
      <c r="GL64" s="6046"/>
      <c r="GM64" s="6046"/>
      <c r="GN64" s="6046"/>
      <c r="GO64" s="6046"/>
      <c r="GP64" s="6046"/>
      <c r="GQ64" s="6046"/>
      <c r="GR64" s="6046"/>
      <c r="GS64" s="6046"/>
      <c r="GT64" s="6086"/>
      <c r="GU64" s="6086"/>
      <c r="GV64" s="6086"/>
      <c r="GW64" s="6086"/>
      <c r="GX64" s="6086"/>
      <c r="GY64" s="6046"/>
      <c r="GZ64" s="6086"/>
      <c r="HA64" s="6086"/>
      <c r="HB64" s="6086"/>
      <c r="HC64" s="6046"/>
      <c r="HD64" s="6086"/>
      <c r="HE64" s="6086"/>
      <c r="HF64" s="6086"/>
      <c r="HG64" s="6086"/>
      <c r="HH64" s="6086"/>
      <c r="HI64" s="6086"/>
      <c r="HJ64" s="6086"/>
      <c r="HK64" s="6086"/>
      <c r="HL64" s="6086"/>
      <c r="HM64" s="6086"/>
      <c r="HN64" s="6086"/>
      <c r="HO64" s="6048"/>
      <c r="HP64" s="6058"/>
      <c r="HT64" s="6055"/>
      <c r="HU64" s="6044"/>
      <c r="HV64" s="6046"/>
      <c r="HW64" s="6046"/>
      <c r="HX64" s="6046"/>
      <c r="HY64" s="6046"/>
      <c r="HZ64" s="6046"/>
      <c r="IA64" s="6046"/>
      <c r="IB64" s="6046"/>
      <c r="IC64" s="6046"/>
      <c r="ID64" s="6046"/>
      <c r="IE64" s="6046"/>
      <c r="IF64" s="6046"/>
      <c r="IG64" s="6046"/>
      <c r="IH64" s="6046"/>
      <c r="II64" s="6046"/>
      <c r="IJ64" s="6046"/>
      <c r="IK64" s="6046"/>
      <c r="IL64" s="6046"/>
      <c r="IM64" s="6086"/>
      <c r="IN64" s="6086"/>
      <c r="IO64" s="6086"/>
      <c r="IP64" s="6086"/>
      <c r="IQ64" s="6086"/>
      <c r="IR64" s="6046"/>
      <c r="IS64" s="6086"/>
      <c r="IT64" s="6086"/>
      <c r="IU64" s="6086"/>
      <c r="IV64" s="6046"/>
      <c r="IW64" s="6086"/>
      <c r="IX64" s="6086"/>
      <c r="IY64" s="6086"/>
      <c r="IZ64" s="6086"/>
      <c r="JA64" s="6086"/>
      <c r="JB64" s="6086"/>
      <c r="JC64" s="6086"/>
      <c r="JD64" s="6086"/>
      <c r="JE64" s="6086"/>
      <c r="JF64" s="6086"/>
      <c r="JG64" s="6086"/>
      <c r="JH64" s="6048"/>
      <c r="JI64" s="6058"/>
      <c r="JM64" s="6055"/>
      <c r="JN64" s="6044"/>
      <c r="JO64" s="6046"/>
      <c r="JP64" s="6046"/>
      <c r="JQ64" s="6046"/>
      <c r="JR64" s="6046"/>
      <c r="JS64" s="6046"/>
      <c r="JT64" s="6046"/>
      <c r="JU64" s="6046"/>
      <c r="JV64" s="6046"/>
      <c r="JW64" s="6046"/>
      <c r="JX64" s="6046"/>
      <c r="JY64" s="6046"/>
      <c r="JZ64" s="6046"/>
      <c r="KA64" s="6046"/>
      <c r="KB64" s="6046"/>
      <c r="KC64" s="6046"/>
      <c r="KD64" s="6046"/>
      <c r="KE64" s="6046"/>
      <c r="KF64" s="6086"/>
      <c r="KG64" s="6086"/>
      <c r="KH64" s="6086"/>
      <c r="KI64" s="6086"/>
      <c r="KJ64" s="6086"/>
      <c r="KK64" s="6046"/>
      <c r="KL64" s="6086"/>
      <c r="KM64" s="6086"/>
      <c r="KN64" s="6086"/>
      <c r="KO64" s="6046"/>
      <c r="KP64" s="6086"/>
      <c r="KQ64" s="6086"/>
      <c r="KR64" s="6086"/>
      <c r="KS64" s="6086"/>
      <c r="KT64" s="6086"/>
      <c r="KU64" s="6086"/>
      <c r="KV64" s="6086"/>
      <c r="KW64" s="6086"/>
      <c r="KX64" s="6086"/>
      <c r="KY64" s="6086"/>
      <c r="KZ64" s="6086"/>
      <c r="LA64" s="6048"/>
      <c r="LB64" s="6058"/>
      <c r="LF64" s="6055"/>
      <c r="LG64" s="6044"/>
      <c r="LH64" s="6046"/>
      <c r="LI64" s="6046"/>
      <c r="LJ64" s="6046"/>
      <c r="LK64" s="6046"/>
      <c r="LL64" s="6046"/>
      <c r="LM64" s="6046"/>
      <c r="LN64" s="6046"/>
      <c r="LO64" s="6046"/>
      <c r="LP64" s="6046"/>
      <c r="LQ64" s="6046"/>
      <c r="LR64" s="6046"/>
      <c r="LS64" s="6046"/>
      <c r="LT64" s="6046"/>
      <c r="LU64" s="6046"/>
      <c r="LV64" s="6046"/>
      <c r="LW64" s="6046"/>
      <c r="LX64" s="6046"/>
      <c r="LY64" s="6086"/>
      <c r="LZ64" s="6086"/>
      <c r="MA64" s="6086"/>
      <c r="MB64" s="6086"/>
      <c r="MC64" s="6086"/>
      <c r="MD64" s="6046"/>
      <c r="ME64" s="6086"/>
      <c r="MF64" s="6086"/>
      <c r="MG64" s="6086"/>
      <c r="MH64" s="6046"/>
      <c r="MI64" s="6086"/>
      <c r="MJ64" s="6086"/>
      <c r="MK64" s="6086"/>
      <c r="ML64" s="6086"/>
      <c r="MM64" s="6086"/>
      <c r="MN64" s="6086"/>
      <c r="MO64" s="6086"/>
      <c r="MP64" s="6086"/>
      <c r="MQ64" s="6086"/>
      <c r="MR64" s="6086"/>
      <c r="MS64" s="6086"/>
      <c r="MT64" s="6048"/>
      <c r="MU64" s="6058"/>
      <c r="MY64" s="6055"/>
      <c r="MZ64" s="6044"/>
      <c r="NA64" s="6046"/>
      <c r="NB64" s="6046"/>
      <c r="NC64" s="6046"/>
      <c r="ND64" s="6046"/>
      <c r="NE64" s="6046"/>
      <c r="NF64" s="6046"/>
      <c r="NG64" s="6046"/>
      <c r="NH64" s="6046"/>
      <c r="NI64" s="6046"/>
      <c r="NJ64" s="6046"/>
      <c r="NK64" s="6046"/>
      <c r="NL64" s="6046"/>
      <c r="NM64" s="6046"/>
      <c r="NN64" s="6046"/>
      <c r="NO64" s="6046"/>
      <c r="NP64" s="6046"/>
      <c r="NQ64" s="6046"/>
      <c r="NR64" s="6086"/>
      <c r="NS64" s="6086"/>
      <c r="NT64" s="6086"/>
      <c r="NU64" s="6086"/>
      <c r="NV64" s="6086"/>
      <c r="NW64" s="6046"/>
      <c r="NX64" s="6086"/>
      <c r="NY64" s="6086"/>
      <c r="NZ64" s="6086"/>
      <c r="OA64" s="6046"/>
      <c r="OB64" s="6086"/>
      <c r="OC64" s="6086"/>
      <c r="OD64" s="6086"/>
      <c r="OE64" s="6086"/>
      <c r="OF64" s="6086"/>
      <c r="OG64" s="6086"/>
      <c r="OH64" s="6086"/>
      <c r="OI64" s="6086"/>
      <c r="OJ64" s="6086"/>
      <c r="OK64" s="6086"/>
      <c r="OL64" s="6086"/>
      <c r="OM64" s="6048"/>
      <c r="ON64" s="6058"/>
    </row>
    <row r="65" spans="3:405" ht="15" thickBot="1" x14ac:dyDescent="0.25">
      <c r="C65" s="6087"/>
      <c r="D65" s="6088"/>
      <c r="E65" s="6088"/>
      <c r="F65" s="6088"/>
      <c r="G65" s="6088"/>
      <c r="H65" s="6088"/>
      <c r="I65" s="6088"/>
      <c r="J65" s="6088"/>
      <c r="K65" s="6088"/>
      <c r="L65" s="6088"/>
      <c r="M65" s="6088"/>
      <c r="N65" s="6088"/>
      <c r="O65" s="6088"/>
      <c r="P65" s="6088"/>
      <c r="Q65" s="6088"/>
      <c r="R65" s="6088"/>
      <c r="S65" s="6088"/>
      <c r="T65" s="6088"/>
      <c r="U65" s="6088"/>
      <c r="V65" s="6088"/>
      <c r="W65" s="6088"/>
      <c r="X65" s="6088"/>
      <c r="Y65" s="6088"/>
      <c r="Z65" s="6088"/>
      <c r="AA65" s="6088"/>
      <c r="AB65" s="6088"/>
      <c r="AC65" s="6088"/>
      <c r="AD65" s="6088"/>
      <c r="AE65" s="6088"/>
      <c r="AF65" s="6088"/>
      <c r="AG65" s="6088"/>
      <c r="AH65" s="6088"/>
      <c r="AI65" s="6088"/>
      <c r="AJ65" s="6088"/>
      <c r="AK65" s="6088"/>
      <c r="AL65" s="6088"/>
      <c r="AM65" s="6088"/>
      <c r="AN65" s="6088"/>
      <c r="AO65" s="6088"/>
      <c r="AP65" s="6088"/>
      <c r="AQ65" s="6088"/>
      <c r="AR65" s="6089"/>
      <c r="AV65" s="6087"/>
      <c r="AW65" s="6088"/>
      <c r="AX65" s="6088"/>
      <c r="AY65" s="6088"/>
      <c r="AZ65" s="6088"/>
      <c r="BA65" s="6088"/>
      <c r="BB65" s="6088"/>
      <c r="BC65" s="6088"/>
      <c r="BD65" s="6088"/>
      <c r="BE65" s="6088"/>
      <c r="BF65" s="6088"/>
      <c r="BG65" s="6088"/>
      <c r="BH65" s="6088"/>
      <c r="BI65" s="6088"/>
      <c r="BJ65" s="6088"/>
      <c r="BK65" s="6088"/>
      <c r="BL65" s="6088"/>
      <c r="BM65" s="6088"/>
      <c r="BN65" s="6088"/>
      <c r="BO65" s="6088"/>
      <c r="BP65" s="6088"/>
      <c r="BQ65" s="6088"/>
      <c r="BR65" s="6088"/>
      <c r="BS65" s="6088"/>
      <c r="BT65" s="6088"/>
      <c r="BU65" s="6088"/>
      <c r="BV65" s="6088"/>
      <c r="BW65" s="6088"/>
      <c r="BX65" s="6088"/>
      <c r="BY65" s="6088"/>
      <c r="BZ65" s="6088"/>
      <c r="CA65" s="6088"/>
      <c r="CB65" s="6088"/>
      <c r="CC65" s="6088"/>
      <c r="CD65" s="6088"/>
      <c r="CE65" s="6088"/>
      <c r="CF65" s="6088"/>
      <c r="CG65" s="6088"/>
      <c r="CH65" s="6088"/>
      <c r="CI65" s="6088"/>
      <c r="CJ65" s="6088"/>
      <c r="CK65" s="6089"/>
      <c r="CO65" s="6087"/>
      <c r="CP65" s="6088"/>
      <c r="CQ65" s="6088"/>
      <c r="CR65" s="6088"/>
      <c r="CS65" s="6088"/>
      <c r="CT65" s="6088"/>
      <c r="CU65" s="6088"/>
      <c r="CV65" s="6088"/>
      <c r="CW65" s="6088"/>
      <c r="CX65" s="6088"/>
      <c r="CY65" s="6088"/>
      <c r="CZ65" s="6088"/>
      <c r="DA65" s="6088"/>
      <c r="DB65" s="6088"/>
      <c r="DC65" s="6088"/>
      <c r="DD65" s="6088"/>
      <c r="DE65" s="6088"/>
      <c r="DF65" s="6088"/>
      <c r="DG65" s="6088"/>
      <c r="DH65" s="6088"/>
      <c r="DI65" s="6088"/>
      <c r="DJ65" s="6088"/>
      <c r="DK65" s="6088"/>
      <c r="DL65" s="6088"/>
      <c r="DM65" s="6088"/>
      <c r="DN65" s="6088"/>
      <c r="DO65" s="6088"/>
      <c r="DP65" s="6088"/>
      <c r="DQ65" s="6088"/>
      <c r="DR65" s="6088"/>
      <c r="DS65" s="6088"/>
      <c r="DT65" s="6088"/>
      <c r="DU65" s="6088"/>
      <c r="DV65" s="6088"/>
      <c r="DW65" s="6088"/>
      <c r="DX65" s="6088"/>
      <c r="DY65" s="6088"/>
      <c r="DZ65" s="6088"/>
      <c r="EA65" s="6088"/>
      <c r="EB65" s="6088"/>
      <c r="EC65" s="6088"/>
      <c r="ED65" s="6089"/>
      <c r="EH65" s="6087"/>
      <c r="EI65" s="6088"/>
      <c r="EJ65" s="6088"/>
      <c r="EK65" s="6088"/>
      <c r="EL65" s="6088"/>
      <c r="EM65" s="6088"/>
      <c r="EN65" s="6088"/>
      <c r="EO65" s="6088"/>
      <c r="EP65" s="6088"/>
      <c r="EQ65" s="6088"/>
      <c r="ER65" s="6088"/>
      <c r="ES65" s="6088"/>
      <c r="ET65" s="6088"/>
      <c r="EU65" s="6088"/>
      <c r="EV65" s="6088"/>
      <c r="EW65" s="6088"/>
      <c r="EX65" s="6088"/>
      <c r="EY65" s="6088"/>
      <c r="EZ65" s="6088"/>
      <c r="FA65" s="6088"/>
      <c r="FB65" s="6088"/>
      <c r="FC65" s="6088"/>
      <c r="FD65" s="6088"/>
      <c r="FE65" s="6088"/>
      <c r="FF65" s="6088"/>
      <c r="FG65" s="6088"/>
      <c r="FH65" s="6088"/>
      <c r="FI65" s="6088"/>
      <c r="FJ65" s="6088"/>
      <c r="FK65" s="6088"/>
      <c r="FL65" s="6088"/>
      <c r="FM65" s="6088"/>
      <c r="FN65" s="6088"/>
      <c r="FO65" s="6088"/>
      <c r="FP65" s="6088"/>
      <c r="FQ65" s="6088"/>
      <c r="FR65" s="6088"/>
      <c r="FS65" s="6088"/>
      <c r="FT65" s="6088"/>
      <c r="FU65" s="6088"/>
      <c r="FV65" s="6088"/>
      <c r="FW65" s="6089"/>
      <c r="GA65" s="6087"/>
      <c r="GB65" s="6088"/>
      <c r="GC65" s="6088"/>
      <c r="GD65" s="6088"/>
      <c r="GE65" s="6088"/>
      <c r="GF65" s="6088"/>
      <c r="GG65" s="6088"/>
      <c r="GH65" s="6088"/>
      <c r="GI65" s="6088"/>
      <c r="GJ65" s="6088"/>
      <c r="GK65" s="6088"/>
      <c r="GL65" s="6088"/>
      <c r="GM65" s="6088"/>
      <c r="GN65" s="6088"/>
      <c r="GO65" s="6088"/>
      <c r="GP65" s="6088"/>
      <c r="GQ65" s="6088"/>
      <c r="GR65" s="6088"/>
      <c r="GS65" s="6088"/>
      <c r="GT65" s="6088"/>
      <c r="GU65" s="6088"/>
      <c r="GV65" s="6088"/>
      <c r="GW65" s="6088"/>
      <c r="GX65" s="6088"/>
      <c r="GY65" s="6088"/>
      <c r="GZ65" s="6088"/>
      <c r="HA65" s="6088"/>
      <c r="HB65" s="6088"/>
      <c r="HC65" s="6088"/>
      <c r="HD65" s="6088"/>
      <c r="HE65" s="6088"/>
      <c r="HF65" s="6088"/>
      <c r="HG65" s="6088"/>
      <c r="HH65" s="6088"/>
      <c r="HI65" s="6088"/>
      <c r="HJ65" s="6088"/>
      <c r="HK65" s="6088"/>
      <c r="HL65" s="6088"/>
      <c r="HM65" s="6088"/>
      <c r="HN65" s="6088"/>
      <c r="HO65" s="6088"/>
      <c r="HP65" s="6089"/>
      <c r="HT65" s="6087"/>
      <c r="HU65" s="6088"/>
      <c r="HV65" s="6088"/>
      <c r="HW65" s="6088"/>
      <c r="HX65" s="6088"/>
      <c r="HY65" s="6088"/>
      <c r="HZ65" s="6088"/>
      <c r="IA65" s="6088"/>
      <c r="IB65" s="6088"/>
      <c r="IC65" s="6088"/>
      <c r="ID65" s="6088"/>
      <c r="IE65" s="6088"/>
      <c r="IF65" s="6088"/>
      <c r="IG65" s="6088"/>
      <c r="IH65" s="6088"/>
      <c r="II65" s="6088"/>
      <c r="IJ65" s="6088"/>
      <c r="IK65" s="6088"/>
      <c r="IL65" s="6088"/>
      <c r="IM65" s="6088"/>
      <c r="IN65" s="6088"/>
      <c r="IO65" s="6088"/>
      <c r="IP65" s="6088"/>
      <c r="IQ65" s="6088"/>
      <c r="IR65" s="6088"/>
      <c r="IS65" s="6088"/>
      <c r="IT65" s="6088"/>
      <c r="IU65" s="6088"/>
      <c r="IV65" s="6088"/>
      <c r="IW65" s="6088"/>
      <c r="IX65" s="6088"/>
      <c r="IY65" s="6088"/>
      <c r="IZ65" s="6088"/>
      <c r="JA65" s="6088"/>
      <c r="JB65" s="6088"/>
      <c r="JC65" s="6088"/>
      <c r="JD65" s="6088"/>
      <c r="JE65" s="6088"/>
      <c r="JF65" s="6088"/>
      <c r="JG65" s="6088"/>
      <c r="JH65" s="6088"/>
      <c r="JI65" s="6089"/>
      <c r="JM65" s="6087"/>
      <c r="JN65" s="6088"/>
      <c r="JO65" s="6088"/>
      <c r="JP65" s="6088"/>
      <c r="JQ65" s="6088"/>
      <c r="JR65" s="6088"/>
      <c r="JS65" s="6088"/>
      <c r="JT65" s="6088"/>
      <c r="JU65" s="6088"/>
      <c r="JV65" s="6088"/>
      <c r="JW65" s="6088"/>
      <c r="JX65" s="6088"/>
      <c r="JY65" s="6088"/>
      <c r="JZ65" s="6088"/>
      <c r="KA65" s="6088"/>
      <c r="KB65" s="6088"/>
      <c r="KC65" s="6088"/>
      <c r="KD65" s="6088"/>
      <c r="KE65" s="6088"/>
      <c r="KF65" s="6088"/>
      <c r="KG65" s="6088"/>
      <c r="KH65" s="6088"/>
      <c r="KI65" s="6088"/>
      <c r="KJ65" s="6088"/>
      <c r="KK65" s="6088"/>
      <c r="KL65" s="6088"/>
      <c r="KM65" s="6088"/>
      <c r="KN65" s="6088"/>
      <c r="KO65" s="6088"/>
      <c r="KP65" s="6088"/>
      <c r="KQ65" s="6088"/>
      <c r="KR65" s="6088"/>
      <c r="KS65" s="6088"/>
      <c r="KT65" s="6088"/>
      <c r="KU65" s="6088"/>
      <c r="KV65" s="6088"/>
      <c r="KW65" s="6088"/>
      <c r="KX65" s="6088"/>
      <c r="KY65" s="6088"/>
      <c r="KZ65" s="6088"/>
      <c r="LA65" s="6088"/>
      <c r="LB65" s="6089"/>
      <c r="LF65" s="6087"/>
      <c r="LG65" s="6088"/>
      <c r="LH65" s="6088"/>
      <c r="LI65" s="6088"/>
      <c r="LJ65" s="6088"/>
      <c r="LK65" s="6088"/>
      <c r="LL65" s="6088"/>
      <c r="LM65" s="6088"/>
      <c r="LN65" s="6088"/>
      <c r="LO65" s="6088"/>
      <c r="LP65" s="6088"/>
      <c r="LQ65" s="6088"/>
      <c r="LR65" s="6088"/>
      <c r="LS65" s="6088"/>
      <c r="LT65" s="6088"/>
      <c r="LU65" s="6088"/>
      <c r="LV65" s="6088"/>
      <c r="LW65" s="6088"/>
      <c r="LX65" s="6088"/>
      <c r="LY65" s="6088"/>
      <c r="LZ65" s="6088"/>
      <c r="MA65" s="6088"/>
      <c r="MB65" s="6088"/>
      <c r="MC65" s="6088"/>
      <c r="MD65" s="6088"/>
      <c r="ME65" s="6088"/>
      <c r="MF65" s="6088"/>
      <c r="MG65" s="6088"/>
      <c r="MH65" s="6088"/>
      <c r="MI65" s="6088"/>
      <c r="MJ65" s="6088"/>
      <c r="MK65" s="6088"/>
      <c r="ML65" s="6088"/>
      <c r="MM65" s="6088"/>
      <c r="MN65" s="6088"/>
      <c r="MO65" s="6088"/>
      <c r="MP65" s="6088"/>
      <c r="MQ65" s="6088"/>
      <c r="MR65" s="6088"/>
      <c r="MS65" s="6088"/>
      <c r="MT65" s="6088"/>
      <c r="MU65" s="6089"/>
      <c r="MY65" s="6087"/>
      <c r="MZ65" s="6088"/>
      <c r="NA65" s="6088"/>
      <c r="NB65" s="6088"/>
      <c r="NC65" s="6088"/>
      <c r="ND65" s="6088"/>
      <c r="NE65" s="6088"/>
      <c r="NF65" s="6088"/>
      <c r="NG65" s="6088"/>
      <c r="NH65" s="6088"/>
      <c r="NI65" s="6088"/>
      <c r="NJ65" s="6088"/>
      <c r="NK65" s="6088"/>
      <c r="NL65" s="6088"/>
      <c r="NM65" s="6088"/>
      <c r="NN65" s="6088"/>
      <c r="NO65" s="6088"/>
      <c r="NP65" s="6088"/>
      <c r="NQ65" s="6088"/>
      <c r="NR65" s="6088"/>
      <c r="NS65" s="6088"/>
      <c r="NT65" s="6088"/>
      <c r="NU65" s="6088"/>
      <c r="NV65" s="6088"/>
      <c r="NW65" s="6088"/>
      <c r="NX65" s="6088"/>
      <c r="NY65" s="6088"/>
      <c r="NZ65" s="6088"/>
      <c r="OA65" s="6088"/>
      <c r="OB65" s="6088"/>
      <c r="OC65" s="6088"/>
      <c r="OD65" s="6088"/>
      <c r="OE65" s="6088"/>
      <c r="OF65" s="6088"/>
      <c r="OG65" s="6088"/>
      <c r="OH65" s="6088"/>
      <c r="OI65" s="6088"/>
      <c r="OJ65" s="6088"/>
      <c r="OK65" s="6088"/>
      <c r="OL65" s="6088"/>
      <c r="OM65" s="6088"/>
      <c r="ON65" s="6089"/>
    </row>
    <row r="66" spans="3:405" ht="9.9499999999999993" customHeight="1" x14ac:dyDescent="0.2"/>
    <row r="67" spans="3:405" ht="7.5" customHeight="1" x14ac:dyDescent="0.2">
      <c r="C67" s="6090"/>
      <c r="D67" s="6090"/>
      <c r="E67" s="6090"/>
      <c r="F67" s="6090"/>
      <c r="G67" s="6090"/>
      <c r="H67" s="6090"/>
      <c r="I67" s="6090"/>
      <c r="J67" s="6090"/>
      <c r="K67" s="6090"/>
      <c r="L67" s="6090"/>
      <c r="M67" s="6090"/>
      <c r="N67" s="6090"/>
      <c r="O67" s="6090"/>
      <c r="P67" s="6090"/>
      <c r="Q67" s="6090"/>
      <c r="R67" s="6090"/>
      <c r="S67" s="6090"/>
      <c r="T67" s="6090"/>
      <c r="U67" s="6090"/>
      <c r="V67" s="6090"/>
      <c r="W67" s="6090"/>
      <c r="X67" s="6090"/>
      <c r="Y67" s="6090"/>
      <c r="Z67" s="6090"/>
      <c r="AA67" s="6090"/>
      <c r="AB67" s="6090"/>
      <c r="AC67" s="6090"/>
      <c r="AD67" s="6090"/>
      <c r="AE67" s="6090"/>
      <c r="AF67" s="6090"/>
      <c r="AG67" s="6090"/>
      <c r="AH67" s="6090"/>
      <c r="AI67" s="6090"/>
      <c r="AJ67" s="6090"/>
      <c r="AK67" s="6090"/>
      <c r="AL67" s="6090"/>
      <c r="AM67" s="6090"/>
      <c r="AN67" s="6090"/>
      <c r="AO67" s="6090"/>
      <c r="AP67" s="6090"/>
      <c r="AQ67" s="6090"/>
      <c r="AR67" s="6090"/>
      <c r="AV67" s="6090"/>
      <c r="AW67" s="6090"/>
      <c r="AX67" s="6090"/>
      <c r="AY67" s="6090"/>
      <c r="AZ67" s="6090"/>
      <c r="BA67" s="6090"/>
      <c r="BB67" s="6090"/>
      <c r="BC67" s="6090"/>
      <c r="BD67" s="6090"/>
      <c r="BE67" s="6090"/>
      <c r="BF67" s="6090"/>
      <c r="BG67" s="6090"/>
      <c r="BH67" s="6090"/>
      <c r="BI67" s="6090"/>
      <c r="BJ67" s="6090"/>
      <c r="BK67" s="6090"/>
      <c r="BL67" s="6090"/>
      <c r="BM67" s="6090"/>
      <c r="BN67" s="6090"/>
      <c r="BO67" s="6090"/>
      <c r="BP67" s="6090"/>
      <c r="BQ67" s="6090"/>
      <c r="BR67" s="6090"/>
      <c r="BS67" s="6090"/>
      <c r="BT67" s="6090"/>
      <c r="BU67" s="6090"/>
      <c r="BV67" s="6090"/>
      <c r="BW67" s="6090"/>
      <c r="BX67" s="6090"/>
      <c r="BY67" s="6090"/>
      <c r="BZ67" s="6090"/>
      <c r="CA67" s="6090"/>
      <c r="CB67" s="6090"/>
      <c r="CC67" s="6090"/>
      <c r="CD67" s="6090"/>
      <c r="CE67" s="6090"/>
      <c r="CF67" s="6090"/>
      <c r="CG67" s="6090"/>
      <c r="CH67" s="6090"/>
      <c r="CI67" s="6090"/>
      <c r="CJ67" s="6090"/>
      <c r="CK67" s="6090"/>
      <c r="CO67" s="6090"/>
      <c r="CP67" s="6090"/>
      <c r="CQ67" s="6090"/>
      <c r="CR67" s="6090"/>
      <c r="CS67" s="6090"/>
      <c r="CT67" s="6090"/>
      <c r="CU67" s="6090"/>
      <c r="CV67" s="6090"/>
      <c r="CW67" s="6090"/>
      <c r="CX67" s="6090"/>
      <c r="CY67" s="6090"/>
      <c r="CZ67" s="6090"/>
      <c r="DA67" s="6090"/>
      <c r="DB67" s="6090"/>
      <c r="DC67" s="6090"/>
      <c r="DD67" s="6090"/>
      <c r="DE67" s="6090"/>
      <c r="DF67" s="6090"/>
      <c r="DG67" s="6090"/>
      <c r="DH67" s="6090"/>
      <c r="DI67" s="6090"/>
      <c r="DJ67" s="6090"/>
      <c r="DK67" s="6090"/>
      <c r="DL67" s="6090"/>
      <c r="DM67" s="6090"/>
      <c r="DN67" s="6090"/>
      <c r="DO67" s="6090"/>
      <c r="DP67" s="6090"/>
      <c r="DQ67" s="6090"/>
      <c r="DR67" s="6090"/>
      <c r="DS67" s="6090"/>
      <c r="DT67" s="6090"/>
      <c r="DU67" s="6090"/>
      <c r="DV67" s="6090"/>
      <c r="DW67" s="6090"/>
      <c r="DX67" s="6090"/>
      <c r="DY67" s="6090"/>
      <c r="DZ67" s="6090"/>
      <c r="EA67" s="6090"/>
      <c r="EB67" s="6090"/>
      <c r="EC67" s="6090"/>
      <c r="ED67" s="6090"/>
      <c r="EH67" s="6090"/>
      <c r="EI67" s="6090"/>
      <c r="EJ67" s="6090"/>
      <c r="EK67" s="6090"/>
      <c r="EL67" s="6090"/>
      <c r="EM67" s="6090"/>
      <c r="EN67" s="6090"/>
      <c r="EO67" s="6090"/>
      <c r="EP67" s="6090"/>
      <c r="EQ67" s="6090"/>
      <c r="ER67" s="6090"/>
      <c r="ES67" s="6090"/>
      <c r="ET67" s="6090"/>
      <c r="EU67" s="6090"/>
      <c r="EV67" s="6090"/>
      <c r="EW67" s="6090"/>
      <c r="EX67" s="6090"/>
      <c r="EY67" s="6090"/>
      <c r="EZ67" s="6090"/>
      <c r="FA67" s="6090"/>
      <c r="FB67" s="6090"/>
      <c r="FC67" s="6090"/>
      <c r="FD67" s="6090"/>
      <c r="FE67" s="6090"/>
      <c r="FF67" s="6090"/>
      <c r="FG67" s="6090"/>
      <c r="FH67" s="6090"/>
      <c r="FI67" s="6090"/>
      <c r="FJ67" s="6090"/>
      <c r="FK67" s="6090"/>
      <c r="FL67" s="6090"/>
      <c r="FM67" s="6090"/>
      <c r="FN67" s="6090"/>
      <c r="FO67" s="6090"/>
      <c r="FP67" s="6090"/>
      <c r="FQ67" s="6090"/>
      <c r="FR67" s="6090"/>
      <c r="FS67" s="6090"/>
      <c r="FT67" s="6090"/>
      <c r="FU67" s="6090"/>
      <c r="FV67" s="6090"/>
      <c r="FW67" s="6090"/>
      <c r="GA67" s="6090"/>
      <c r="GB67" s="6090"/>
      <c r="GC67" s="6090"/>
      <c r="GD67" s="6090"/>
      <c r="GE67" s="6090"/>
      <c r="GF67" s="6090"/>
      <c r="GG67" s="6090"/>
      <c r="GH67" s="6090"/>
      <c r="GI67" s="6090"/>
      <c r="GJ67" s="6090"/>
      <c r="GK67" s="6090"/>
      <c r="GL67" s="6090"/>
      <c r="GM67" s="6090"/>
      <c r="GN67" s="6090"/>
      <c r="GO67" s="6090"/>
      <c r="GP67" s="6090"/>
      <c r="GQ67" s="6090"/>
      <c r="GR67" s="6090"/>
      <c r="GS67" s="6090"/>
      <c r="GT67" s="6090"/>
      <c r="GU67" s="6090"/>
      <c r="GV67" s="6090"/>
      <c r="GW67" s="6090"/>
      <c r="GX67" s="6090"/>
      <c r="GY67" s="6090"/>
      <c r="GZ67" s="6090"/>
      <c r="HA67" s="6090"/>
      <c r="HB67" s="6090"/>
      <c r="HC67" s="6090"/>
      <c r="HD67" s="6090"/>
      <c r="HE67" s="6090"/>
      <c r="HF67" s="6090"/>
      <c r="HG67" s="6090"/>
      <c r="HH67" s="6090"/>
      <c r="HI67" s="6090"/>
      <c r="HJ67" s="6090"/>
      <c r="HK67" s="6090"/>
      <c r="HL67" s="6090"/>
      <c r="HM67" s="6090"/>
      <c r="HN67" s="6090"/>
      <c r="HO67" s="6090"/>
      <c r="HP67" s="6090"/>
      <c r="HT67" s="6090"/>
      <c r="HU67" s="6090"/>
      <c r="HV67" s="6090"/>
      <c r="HW67" s="6090"/>
      <c r="HX67" s="6090"/>
      <c r="HY67" s="6090"/>
      <c r="HZ67" s="6090"/>
      <c r="IA67" s="6090"/>
      <c r="IB67" s="6090"/>
      <c r="IC67" s="6090"/>
      <c r="ID67" s="6090"/>
      <c r="IE67" s="6090"/>
      <c r="IF67" s="6090"/>
      <c r="IG67" s="6090"/>
      <c r="IH67" s="6090"/>
      <c r="II67" s="6090"/>
      <c r="IJ67" s="6090"/>
      <c r="IK67" s="6090"/>
      <c r="IL67" s="6090"/>
      <c r="IM67" s="6090"/>
      <c r="IN67" s="6090"/>
      <c r="IO67" s="6090"/>
      <c r="IP67" s="6090"/>
      <c r="IQ67" s="6090"/>
      <c r="IR67" s="6090"/>
      <c r="IS67" s="6090"/>
      <c r="IT67" s="6090"/>
      <c r="IU67" s="6090"/>
      <c r="IV67" s="6090"/>
      <c r="IW67" s="6090"/>
      <c r="IX67" s="6090"/>
      <c r="IY67" s="6090"/>
      <c r="IZ67" s="6090"/>
      <c r="JA67" s="6090"/>
      <c r="JB67" s="6090"/>
      <c r="JC67" s="6090"/>
      <c r="JD67" s="6090"/>
      <c r="JE67" s="6090"/>
      <c r="JF67" s="6090"/>
      <c r="JG67" s="6090"/>
      <c r="JH67" s="6090"/>
      <c r="JI67" s="6090"/>
      <c r="JM67" s="6090"/>
      <c r="JN67" s="6090"/>
      <c r="JO67" s="6090"/>
      <c r="JP67" s="6090"/>
      <c r="JQ67" s="6090"/>
      <c r="JR67" s="6090"/>
      <c r="JS67" s="6090"/>
      <c r="JT67" s="6090"/>
      <c r="JU67" s="6090"/>
      <c r="JV67" s="6090"/>
      <c r="JW67" s="6090"/>
      <c r="JX67" s="6090"/>
      <c r="JY67" s="6090"/>
      <c r="JZ67" s="6090"/>
      <c r="KA67" s="6090"/>
      <c r="KB67" s="6090"/>
      <c r="KC67" s="6090"/>
      <c r="KD67" s="6090"/>
      <c r="KE67" s="6090"/>
      <c r="KF67" s="6090"/>
      <c r="KG67" s="6090"/>
      <c r="KH67" s="6090"/>
      <c r="KI67" s="6090"/>
      <c r="KJ67" s="6090"/>
      <c r="KK67" s="6090"/>
      <c r="KL67" s="6090"/>
      <c r="KM67" s="6090"/>
      <c r="KN67" s="6090"/>
      <c r="KO67" s="6090"/>
      <c r="KP67" s="6090"/>
      <c r="KQ67" s="6090"/>
      <c r="KR67" s="6090"/>
      <c r="KS67" s="6090"/>
      <c r="KT67" s="6090"/>
      <c r="KU67" s="6090"/>
      <c r="KV67" s="6090"/>
      <c r="KW67" s="6090"/>
      <c r="KX67" s="6090"/>
      <c r="KY67" s="6090"/>
      <c r="KZ67" s="6090"/>
      <c r="LA67" s="6090"/>
      <c r="LB67" s="6090"/>
      <c r="LF67" s="6090"/>
      <c r="LG67" s="6090"/>
      <c r="LH67" s="6090"/>
      <c r="LI67" s="6090"/>
      <c r="LJ67" s="6090"/>
      <c r="LK67" s="6090"/>
      <c r="LL67" s="6090"/>
      <c r="LM67" s="6090"/>
      <c r="LN67" s="6090"/>
      <c r="LO67" s="6090"/>
      <c r="LP67" s="6090"/>
      <c r="LQ67" s="6090"/>
      <c r="LR67" s="6090"/>
      <c r="LS67" s="6090"/>
      <c r="LT67" s="6090"/>
      <c r="LU67" s="6090"/>
      <c r="LV67" s="6090"/>
      <c r="LW67" s="6090"/>
      <c r="LX67" s="6090"/>
      <c r="LY67" s="6090"/>
      <c r="LZ67" s="6090"/>
      <c r="MA67" s="6090"/>
      <c r="MB67" s="6090"/>
      <c r="MC67" s="6090"/>
      <c r="MD67" s="6090"/>
      <c r="ME67" s="6090"/>
      <c r="MF67" s="6090"/>
      <c r="MG67" s="6090"/>
      <c r="MH67" s="6090"/>
      <c r="MI67" s="6090"/>
      <c r="MJ67" s="6090"/>
      <c r="MK67" s="6090"/>
      <c r="ML67" s="6090"/>
      <c r="MM67" s="6090"/>
      <c r="MN67" s="6090"/>
      <c r="MO67" s="6090"/>
      <c r="MP67" s="6090"/>
      <c r="MQ67" s="6090"/>
      <c r="MR67" s="6090"/>
      <c r="MS67" s="6090"/>
      <c r="MT67" s="6090"/>
      <c r="MU67" s="6090"/>
      <c r="MY67" s="6090"/>
      <c r="MZ67" s="6090"/>
      <c r="NA67" s="6090"/>
      <c r="NB67" s="6090"/>
      <c r="NC67" s="6090"/>
      <c r="ND67" s="6090"/>
      <c r="NE67" s="6090"/>
      <c r="NF67" s="6090"/>
      <c r="NG67" s="6090"/>
      <c r="NH67" s="6090"/>
      <c r="NI67" s="6090"/>
      <c r="NJ67" s="6090"/>
      <c r="NK67" s="6090"/>
      <c r="NL67" s="6090"/>
      <c r="NM67" s="6090"/>
      <c r="NN67" s="6090"/>
      <c r="NO67" s="6090"/>
      <c r="NP67" s="6090"/>
      <c r="NQ67" s="6090"/>
      <c r="NR67" s="6090"/>
      <c r="NS67" s="6090"/>
      <c r="NT67" s="6090"/>
      <c r="NU67" s="6090"/>
      <c r="NV67" s="6090"/>
      <c r="NW67" s="6090"/>
      <c r="NX67" s="6090"/>
      <c r="NY67" s="6090"/>
      <c r="NZ67" s="6090"/>
      <c r="OA67" s="6090"/>
      <c r="OB67" s="6090"/>
      <c r="OC67" s="6090"/>
      <c r="OD67" s="6090"/>
      <c r="OE67" s="6090"/>
      <c r="OF67" s="6090"/>
      <c r="OG67" s="6090"/>
      <c r="OH67" s="6090"/>
      <c r="OI67" s="6090"/>
      <c r="OJ67" s="6090"/>
      <c r="OK67" s="6090"/>
      <c r="OL67" s="6090"/>
      <c r="OM67" s="6090"/>
      <c r="ON67" s="6090"/>
    </row>
    <row r="68" spans="3:405" ht="5.0999999999999996" customHeight="1" x14ac:dyDescent="0.2">
      <c r="D68" s="6091"/>
      <c r="AW68" s="6091"/>
      <c r="CP68" s="6091"/>
      <c r="EI68" s="6091"/>
      <c r="GB68" s="6091"/>
      <c r="HU68" s="6091"/>
      <c r="JN68" s="6091"/>
      <c r="LG68" s="6091"/>
      <c r="MZ68" s="6091"/>
    </row>
    <row r="69" spans="3:405" ht="5.0999999999999996" customHeight="1" x14ac:dyDescent="0.2"/>
    <row r="70" spans="3:405" ht="8.1" customHeight="1" x14ac:dyDescent="0.2">
      <c r="C70" s="6090"/>
      <c r="D70" s="6090"/>
      <c r="E70" s="6090"/>
      <c r="F70" s="6090"/>
      <c r="G70" s="6090"/>
      <c r="H70" s="6090"/>
      <c r="I70" s="6090"/>
      <c r="J70" s="6090"/>
      <c r="K70" s="6090"/>
      <c r="L70" s="6090"/>
      <c r="M70" s="6090"/>
      <c r="N70" s="6090"/>
      <c r="O70" s="6090"/>
      <c r="P70" s="6090"/>
      <c r="Q70" s="6090"/>
      <c r="R70" s="6090"/>
      <c r="S70" s="6090"/>
      <c r="T70" s="6090"/>
      <c r="U70" s="6090"/>
      <c r="V70" s="6090"/>
      <c r="W70" s="6090"/>
      <c r="X70" s="6090"/>
      <c r="Y70" s="6090"/>
      <c r="Z70" s="6090"/>
      <c r="AA70" s="6090"/>
      <c r="AB70" s="6090"/>
      <c r="AC70" s="6090"/>
      <c r="AD70" s="6090"/>
      <c r="AE70" s="6090"/>
      <c r="AF70" s="6090"/>
      <c r="AG70" s="6090"/>
      <c r="AH70" s="6090"/>
      <c r="AI70" s="6090"/>
      <c r="AJ70" s="6090"/>
      <c r="AK70" s="6090"/>
      <c r="AL70" s="6090"/>
      <c r="AM70" s="6090"/>
      <c r="AN70" s="6090"/>
      <c r="AO70" s="6090"/>
      <c r="AP70" s="6090"/>
      <c r="AQ70" s="6090"/>
      <c r="AR70" s="6090"/>
      <c r="AV70" s="6090"/>
      <c r="AW70" s="6090"/>
      <c r="AX70" s="6090"/>
      <c r="AY70" s="6090"/>
      <c r="AZ70" s="6090"/>
      <c r="BA70" s="6090"/>
      <c r="BB70" s="6090"/>
      <c r="BC70" s="6090"/>
      <c r="BD70" s="6090"/>
      <c r="BE70" s="6090"/>
      <c r="BF70" s="6090"/>
      <c r="BG70" s="6090"/>
      <c r="BH70" s="6090"/>
      <c r="BI70" s="6090"/>
      <c r="BJ70" s="6090"/>
      <c r="BK70" s="6090"/>
      <c r="BL70" s="6090"/>
      <c r="BM70" s="6090"/>
      <c r="BN70" s="6090"/>
      <c r="BO70" s="6090"/>
      <c r="BP70" s="6090"/>
      <c r="BQ70" s="6090"/>
      <c r="BR70" s="6090"/>
      <c r="BS70" s="6090"/>
      <c r="BT70" s="6090"/>
      <c r="BU70" s="6090"/>
      <c r="BV70" s="6090"/>
      <c r="BW70" s="6090"/>
      <c r="BX70" s="6090"/>
      <c r="BY70" s="6090"/>
      <c r="BZ70" s="6090"/>
      <c r="CA70" s="6090"/>
      <c r="CB70" s="6090"/>
      <c r="CC70" s="6090"/>
      <c r="CD70" s="6090"/>
      <c r="CE70" s="6090"/>
      <c r="CF70" s="6090"/>
      <c r="CG70" s="6090"/>
      <c r="CH70" s="6090"/>
      <c r="CI70" s="6090"/>
      <c r="CJ70" s="6090"/>
      <c r="CK70" s="6090"/>
      <c r="CO70" s="6090"/>
      <c r="CP70" s="6090"/>
      <c r="CQ70" s="6090"/>
      <c r="CR70" s="6090"/>
      <c r="CS70" s="6090"/>
      <c r="CT70" s="6090"/>
      <c r="CU70" s="6090"/>
      <c r="CV70" s="6090"/>
      <c r="CW70" s="6090"/>
      <c r="CX70" s="6090"/>
      <c r="CY70" s="6090"/>
      <c r="CZ70" s="6090"/>
      <c r="DA70" s="6090"/>
      <c r="DB70" s="6090"/>
      <c r="DC70" s="6090"/>
      <c r="DD70" s="6090"/>
      <c r="DE70" s="6090"/>
      <c r="DF70" s="6090"/>
      <c r="DG70" s="6090"/>
      <c r="DH70" s="6090"/>
      <c r="DI70" s="6090"/>
      <c r="DJ70" s="6090"/>
      <c r="DK70" s="6090"/>
      <c r="DL70" s="6090"/>
      <c r="DM70" s="6090"/>
      <c r="DN70" s="6090"/>
      <c r="DO70" s="6090"/>
      <c r="DP70" s="6090"/>
      <c r="DQ70" s="6090"/>
      <c r="DR70" s="6090"/>
      <c r="DS70" s="6090"/>
      <c r="DT70" s="6090"/>
      <c r="DU70" s="6090"/>
      <c r="DV70" s="6090"/>
      <c r="DW70" s="6090"/>
      <c r="DX70" s="6090"/>
      <c r="DY70" s="6090"/>
      <c r="DZ70" s="6090"/>
      <c r="EA70" s="6090"/>
      <c r="EB70" s="6090"/>
      <c r="EC70" s="6090"/>
      <c r="ED70" s="6090"/>
      <c r="EH70" s="6090"/>
      <c r="EI70" s="6090"/>
      <c r="EJ70" s="6090"/>
      <c r="EK70" s="6090"/>
      <c r="EL70" s="6090"/>
      <c r="EM70" s="6090"/>
      <c r="EN70" s="6090"/>
      <c r="EO70" s="6090"/>
      <c r="EP70" s="6090"/>
      <c r="EQ70" s="6090"/>
      <c r="ER70" s="6090"/>
      <c r="ES70" s="6090"/>
      <c r="ET70" s="6090"/>
      <c r="EU70" s="6090"/>
      <c r="EV70" s="6090"/>
      <c r="EW70" s="6090"/>
      <c r="EX70" s="6090"/>
      <c r="EY70" s="6090"/>
      <c r="EZ70" s="6090"/>
      <c r="FA70" s="6090"/>
      <c r="FB70" s="6090"/>
      <c r="FC70" s="6090"/>
      <c r="FD70" s="6090"/>
      <c r="FE70" s="6090"/>
      <c r="FF70" s="6090"/>
      <c r="FG70" s="6090"/>
      <c r="FH70" s="6090"/>
      <c r="FI70" s="6090"/>
      <c r="FJ70" s="6090"/>
      <c r="FK70" s="6090"/>
      <c r="FL70" s="6090"/>
      <c r="FM70" s="6090"/>
      <c r="FN70" s="6090"/>
      <c r="FO70" s="6090"/>
      <c r="FP70" s="6090"/>
      <c r="FQ70" s="6090"/>
      <c r="FR70" s="6090"/>
      <c r="FS70" s="6090"/>
      <c r="FT70" s="6090"/>
      <c r="FU70" s="6090"/>
      <c r="FV70" s="6090"/>
      <c r="FW70" s="6090"/>
      <c r="GA70" s="6090"/>
      <c r="GB70" s="6090"/>
      <c r="GC70" s="6090"/>
      <c r="GD70" s="6090"/>
      <c r="GE70" s="6090"/>
      <c r="GF70" s="6090"/>
      <c r="GG70" s="6090"/>
      <c r="GH70" s="6090"/>
      <c r="GI70" s="6090"/>
      <c r="GJ70" s="6090"/>
      <c r="GK70" s="6090"/>
      <c r="GL70" s="6090"/>
      <c r="GM70" s="6090"/>
      <c r="GN70" s="6090"/>
      <c r="GO70" s="6090"/>
      <c r="GP70" s="6090"/>
      <c r="GQ70" s="6090"/>
      <c r="GR70" s="6090"/>
      <c r="GS70" s="6090"/>
      <c r="GT70" s="6090"/>
      <c r="GU70" s="6090"/>
      <c r="GV70" s="6090"/>
      <c r="GW70" s="6090"/>
      <c r="GX70" s="6090"/>
      <c r="GY70" s="6090"/>
      <c r="GZ70" s="6090"/>
      <c r="HA70" s="6090"/>
      <c r="HB70" s="6090"/>
      <c r="HC70" s="6090"/>
      <c r="HD70" s="6090"/>
      <c r="HE70" s="6090"/>
      <c r="HF70" s="6090"/>
      <c r="HG70" s="6090"/>
      <c r="HH70" s="6090"/>
      <c r="HI70" s="6090"/>
      <c r="HJ70" s="6090"/>
      <c r="HK70" s="6090"/>
      <c r="HL70" s="6090"/>
      <c r="HM70" s="6090"/>
      <c r="HN70" s="6090"/>
      <c r="HO70" s="6090"/>
      <c r="HP70" s="6090"/>
      <c r="HT70" s="6090"/>
      <c r="HU70" s="6090"/>
      <c r="HV70" s="6090"/>
      <c r="HW70" s="6090"/>
      <c r="HX70" s="6090"/>
      <c r="HY70" s="6090"/>
      <c r="HZ70" s="6090"/>
      <c r="IA70" s="6090"/>
      <c r="IB70" s="6090"/>
      <c r="IC70" s="6090"/>
      <c r="ID70" s="6090"/>
      <c r="IE70" s="6090"/>
      <c r="IF70" s="6090"/>
      <c r="IG70" s="6090"/>
      <c r="IH70" s="6090"/>
      <c r="II70" s="6090"/>
      <c r="IJ70" s="6090"/>
      <c r="IK70" s="6090"/>
      <c r="IL70" s="6090"/>
      <c r="IM70" s="6090"/>
      <c r="IN70" s="6090"/>
      <c r="IO70" s="6090"/>
      <c r="IP70" s="6090"/>
      <c r="IQ70" s="6090"/>
      <c r="IR70" s="6090"/>
      <c r="IS70" s="6090"/>
      <c r="IT70" s="6090"/>
      <c r="IU70" s="6090"/>
      <c r="IV70" s="6090"/>
      <c r="IW70" s="6090"/>
      <c r="IX70" s="6090"/>
      <c r="IY70" s="6090"/>
      <c r="IZ70" s="6090"/>
      <c r="JA70" s="6090"/>
      <c r="JB70" s="6090"/>
      <c r="JC70" s="6090"/>
      <c r="JD70" s="6090"/>
      <c r="JE70" s="6090"/>
      <c r="JF70" s="6090"/>
      <c r="JG70" s="6090"/>
      <c r="JH70" s="6090"/>
      <c r="JI70" s="6090"/>
      <c r="JM70" s="6090"/>
      <c r="JN70" s="6090"/>
      <c r="JO70" s="6090"/>
      <c r="JP70" s="6090"/>
      <c r="JQ70" s="6090"/>
      <c r="JR70" s="6090"/>
      <c r="JS70" s="6090"/>
      <c r="JT70" s="6090"/>
      <c r="JU70" s="6090"/>
      <c r="JV70" s="6090"/>
      <c r="JW70" s="6090"/>
      <c r="JX70" s="6090"/>
      <c r="JY70" s="6090"/>
      <c r="JZ70" s="6090"/>
      <c r="KA70" s="6090"/>
      <c r="KB70" s="6090"/>
      <c r="KC70" s="6090"/>
      <c r="KD70" s="6090"/>
      <c r="KE70" s="6090"/>
      <c r="KF70" s="6090"/>
      <c r="KG70" s="6090"/>
      <c r="KH70" s="6090"/>
      <c r="KI70" s="6090"/>
      <c r="KJ70" s="6090"/>
      <c r="KK70" s="6090"/>
      <c r="KL70" s="6090"/>
      <c r="KM70" s="6090"/>
      <c r="KN70" s="6090"/>
      <c r="KO70" s="6090"/>
      <c r="KP70" s="6090"/>
      <c r="KQ70" s="6090"/>
      <c r="KR70" s="6090"/>
      <c r="KS70" s="6090"/>
      <c r="KT70" s="6090"/>
      <c r="KU70" s="6090"/>
      <c r="KV70" s="6090"/>
      <c r="KW70" s="6090"/>
      <c r="KX70" s="6090"/>
      <c r="KY70" s="6090"/>
      <c r="KZ70" s="6090"/>
      <c r="LA70" s="6090"/>
      <c r="LB70" s="6090"/>
      <c r="LF70" s="6090"/>
      <c r="LG70" s="6090"/>
      <c r="LH70" s="6090"/>
      <c r="LI70" s="6090"/>
      <c r="LJ70" s="6090"/>
      <c r="LK70" s="6090"/>
      <c r="LL70" s="6090"/>
      <c r="LM70" s="6090"/>
      <c r="LN70" s="6090"/>
      <c r="LO70" s="6090"/>
      <c r="LP70" s="6090"/>
      <c r="LQ70" s="6090"/>
      <c r="LR70" s="6090"/>
      <c r="LS70" s="6090"/>
      <c r="LT70" s="6090"/>
      <c r="LU70" s="6090"/>
      <c r="LV70" s="6090"/>
      <c r="LW70" s="6090"/>
      <c r="LX70" s="6090"/>
      <c r="LY70" s="6090"/>
      <c r="LZ70" s="6090"/>
      <c r="MA70" s="6090"/>
      <c r="MB70" s="6090"/>
      <c r="MC70" s="6090"/>
      <c r="MD70" s="6090"/>
      <c r="ME70" s="6090"/>
      <c r="MF70" s="6090"/>
      <c r="MG70" s="6090"/>
      <c r="MH70" s="6090"/>
      <c r="MI70" s="6090"/>
      <c r="MJ70" s="6090"/>
      <c r="MK70" s="6090"/>
      <c r="ML70" s="6090"/>
      <c r="MM70" s="6090"/>
      <c r="MN70" s="6090"/>
      <c r="MO70" s="6090"/>
      <c r="MP70" s="6090"/>
      <c r="MQ70" s="6090"/>
      <c r="MR70" s="6090"/>
      <c r="MS70" s="6090"/>
      <c r="MT70" s="6090"/>
      <c r="MU70" s="6090"/>
      <c r="MY70" s="6090"/>
      <c r="MZ70" s="6090"/>
      <c r="NA70" s="6090"/>
      <c r="NB70" s="6090"/>
      <c r="NC70" s="6090"/>
      <c r="ND70" s="6090"/>
      <c r="NE70" s="6090"/>
      <c r="NF70" s="6090"/>
      <c r="NG70" s="6090"/>
      <c r="NH70" s="6090"/>
      <c r="NI70" s="6090"/>
      <c r="NJ70" s="6090"/>
      <c r="NK70" s="6090"/>
      <c r="NL70" s="6090"/>
      <c r="NM70" s="6090"/>
      <c r="NN70" s="6090"/>
      <c r="NO70" s="6090"/>
      <c r="NP70" s="6090"/>
      <c r="NQ70" s="6090"/>
      <c r="NR70" s="6090"/>
      <c r="NS70" s="6090"/>
      <c r="NT70" s="6090"/>
      <c r="NU70" s="6090"/>
      <c r="NV70" s="6090"/>
      <c r="NW70" s="6090"/>
      <c r="NX70" s="6090"/>
      <c r="NY70" s="6090"/>
      <c r="NZ70" s="6090"/>
      <c r="OA70" s="6090"/>
      <c r="OB70" s="6090"/>
      <c r="OC70" s="6090"/>
      <c r="OD70" s="6090"/>
      <c r="OE70" s="6090"/>
      <c r="OF70" s="6090"/>
      <c r="OG70" s="6090"/>
      <c r="OH70" s="6090"/>
      <c r="OI70" s="6090"/>
      <c r="OJ70" s="6090"/>
      <c r="OK70" s="6090"/>
      <c r="OL70" s="6090"/>
      <c r="OM70" s="6090"/>
      <c r="ON70" s="6090"/>
    </row>
    <row r="71" spans="3:405" ht="9.9499999999999993" customHeight="1" thickBot="1" x14ac:dyDescent="0.25"/>
    <row r="72" spans="3:405" ht="9.9499999999999993" customHeight="1" thickBot="1" x14ac:dyDescent="0.25">
      <c r="C72" s="6015"/>
      <c r="D72" s="6016"/>
      <c r="E72" s="6016"/>
      <c r="F72" s="6016"/>
      <c r="G72" s="6016"/>
      <c r="H72" s="6016"/>
      <c r="I72" s="6016"/>
      <c r="J72" s="6016"/>
      <c r="K72" s="6016"/>
      <c r="L72" s="6016"/>
      <c r="M72" s="6016"/>
      <c r="N72" s="6016"/>
      <c r="O72" s="6016"/>
      <c r="P72" s="6016"/>
      <c r="Q72" s="6016"/>
      <c r="R72" s="6016"/>
      <c r="S72" s="6016"/>
      <c r="T72" s="6016"/>
      <c r="U72" s="6016"/>
      <c r="V72" s="6016"/>
      <c r="W72" s="6016"/>
      <c r="X72" s="6016"/>
      <c r="Y72" s="6016"/>
      <c r="Z72" s="6016"/>
      <c r="AA72" s="6016"/>
      <c r="AB72" s="6016"/>
      <c r="AC72" s="6016"/>
      <c r="AD72" s="6016"/>
      <c r="AE72" s="6016"/>
      <c r="AF72" s="6016"/>
      <c r="AG72" s="6016"/>
      <c r="AH72" s="6016"/>
      <c r="AI72" s="6016"/>
      <c r="AJ72" s="6016"/>
      <c r="AK72" s="6016"/>
      <c r="AL72" s="6016"/>
      <c r="AM72" s="6016"/>
      <c r="AN72" s="6016"/>
      <c r="AO72" s="6016"/>
      <c r="AP72" s="6016"/>
      <c r="AQ72" s="6016"/>
      <c r="AR72" s="6017"/>
      <c r="AV72" s="6015"/>
      <c r="AW72" s="6016"/>
      <c r="AX72" s="6016"/>
      <c r="AY72" s="6016"/>
      <c r="AZ72" s="6016"/>
      <c r="BA72" s="6016"/>
      <c r="BB72" s="6016"/>
      <c r="BC72" s="6016"/>
      <c r="BD72" s="6016"/>
      <c r="BE72" s="6016"/>
      <c r="BF72" s="6016"/>
      <c r="BG72" s="6016"/>
      <c r="BH72" s="6016"/>
      <c r="BI72" s="6016"/>
      <c r="BJ72" s="6016"/>
      <c r="BK72" s="6016"/>
      <c r="BL72" s="6016"/>
      <c r="BM72" s="6016"/>
      <c r="BN72" s="6016"/>
      <c r="BO72" s="6016"/>
      <c r="BP72" s="6016"/>
      <c r="BQ72" s="6016"/>
      <c r="BR72" s="6016"/>
      <c r="BS72" s="6016"/>
      <c r="BT72" s="6016"/>
      <c r="BU72" s="6016"/>
      <c r="BV72" s="6016"/>
      <c r="BW72" s="6016"/>
      <c r="BX72" s="6016"/>
      <c r="BY72" s="6016"/>
      <c r="BZ72" s="6016"/>
      <c r="CA72" s="6016"/>
      <c r="CB72" s="6016"/>
      <c r="CC72" s="6016"/>
      <c r="CD72" s="6016"/>
      <c r="CE72" s="6016"/>
      <c r="CF72" s="6016"/>
      <c r="CG72" s="6016"/>
      <c r="CH72" s="6016"/>
      <c r="CI72" s="6016"/>
      <c r="CJ72" s="6016"/>
      <c r="CK72" s="6017"/>
      <c r="CO72" s="6015"/>
      <c r="CP72" s="6016"/>
      <c r="CQ72" s="6016"/>
      <c r="CR72" s="6016"/>
      <c r="CS72" s="6016"/>
      <c r="CT72" s="6016"/>
      <c r="CU72" s="6016"/>
      <c r="CV72" s="6016"/>
      <c r="CW72" s="6016"/>
      <c r="CX72" s="6016"/>
      <c r="CY72" s="6016"/>
      <c r="CZ72" s="6016"/>
      <c r="DA72" s="6016"/>
      <c r="DB72" s="6016"/>
      <c r="DC72" s="6016"/>
      <c r="DD72" s="6016"/>
      <c r="DE72" s="6016"/>
      <c r="DF72" s="6016"/>
      <c r="DG72" s="6016"/>
      <c r="DH72" s="6016"/>
      <c r="DI72" s="6016"/>
      <c r="DJ72" s="6016"/>
      <c r="DK72" s="6016"/>
      <c r="DL72" s="6016"/>
      <c r="DM72" s="6016"/>
      <c r="DN72" s="6016"/>
      <c r="DO72" s="6016"/>
      <c r="DP72" s="6016"/>
      <c r="DQ72" s="6016"/>
      <c r="DR72" s="6016"/>
      <c r="DS72" s="6016"/>
      <c r="DT72" s="6016"/>
      <c r="DU72" s="6016"/>
      <c r="DV72" s="6016"/>
      <c r="DW72" s="6016"/>
      <c r="DX72" s="6016"/>
      <c r="DY72" s="6016"/>
      <c r="DZ72" s="6016"/>
      <c r="EA72" s="6016"/>
      <c r="EB72" s="6016"/>
      <c r="EC72" s="6016"/>
      <c r="ED72" s="6017"/>
      <c r="EH72" s="6015"/>
      <c r="EI72" s="6016"/>
      <c r="EJ72" s="6016"/>
      <c r="EK72" s="6016"/>
      <c r="EL72" s="6016"/>
      <c r="EM72" s="6016"/>
      <c r="EN72" s="6016"/>
      <c r="EO72" s="6016"/>
      <c r="EP72" s="6016"/>
      <c r="EQ72" s="6016"/>
      <c r="ER72" s="6016"/>
      <c r="ES72" s="6016"/>
      <c r="ET72" s="6016"/>
      <c r="EU72" s="6016"/>
      <c r="EV72" s="6016"/>
      <c r="EW72" s="6016"/>
      <c r="EX72" s="6016"/>
      <c r="EY72" s="6016"/>
      <c r="EZ72" s="6016"/>
      <c r="FA72" s="6016"/>
      <c r="FB72" s="6016"/>
      <c r="FC72" s="6016"/>
      <c r="FD72" s="6016"/>
      <c r="FE72" s="6016"/>
      <c r="FF72" s="6016"/>
      <c r="FG72" s="6016"/>
      <c r="FH72" s="6016"/>
      <c r="FI72" s="6016"/>
      <c r="FJ72" s="6016"/>
      <c r="FK72" s="6016"/>
      <c r="FL72" s="6016"/>
      <c r="FM72" s="6016"/>
      <c r="FN72" s="6016"/>
      <c r="FO72" s="6016"/>
      <c r="FP72" s="6016"/>
      <c r="FQ72" s="6016"/>
      <c r="FR72" s="6016"/>
      <c r="FS72" s="6016"/>
      <c r="FT72" s="6016"/>
      <c r="FU72" s="6016"/>
      <c r="FV72" s="6016"/>
      <c r="FW72" s="6017"/>
      <c r="GA72" s="6015"/>
      <c r="GB72" s="6016"/>
      <c r="GC72" s="6016"/>
      <c r="GD72" s="6016"/>
      <c r="GE72" s="6016"/>
      <c r="GF72" s="6016"/>
      <c r="GG72" s="6016"/>
      <c r="GH72" s="6016"/>
      <c r="GI72" s="6016"/>
      <c r="GJ72" s="6016"/>
      <c r="GK72" s="6016"/>
      <c r="GL72" s="6016"/>
      <c r="GM72" s="6016"/>
      <c r="GN72" s="6016"/>
      <c r="GO72" s="6016"/>
      <c r="GP72" s="6016"/>
      <c r="GQ72" s="6016"/>
      <c r="GR72" s="6016"/>
      <c r="GS72" s="6016"/>
      <c r="GT72" s="6016"/>
      <c r="GU72" s="6016"/>
      <c r="GV72" s="6016"/>
      <c r="GW72" s="6016"/>
      <c r="GX72" s="6016"/>
      <c r="GY72" s="6016"/>
      <c r="GZ72" s="6016"/>
      <c r="HA72" s="6016"/>
      <c r="HB72" s="6016"/>
      <c r="HC72" s="6016"/>
      <c r="HD72" s="6016"/>
      <c r="HE72" s="6016"/>
      <c r="HF72" s="6016"/>
      <c r="HG72" s="6016"/>
      <c r="HH72" s="6016"/>
      <c r="HI72" s="6016"/>
      <c r="HJ72" s="6016"/>
      <c r="HK72" s="6016"/>
      <c r="HL72" s="6016"/>
      <c r="HM72" s="6016"/>
      <c r="HN72" s="6016"/>
      <c r="HO72" s="6016"/>
      <c r="HP72" s="6017"/>
      <c r="HT72" s="6015"/>
      <c r="HU72" s="6016"/>
      <c r="HV72" s="6016"/>
      <c r="HW72" s="6016"/>
      <c r="HX72" s="6016"/>
      <c r="HY72" s="6016"/>
      <c r="HZ72" s="6016"/>
      <c r="IA72" s="6016"/>
      <c r="IB72" s="6016"/>
      <c r="IC72" s="6016"/>
      <c r="ID72" s="6016"/>
      <c r="IE72" s="6016"/>
      <c r="IF72" s="6016"/>
      <c r="IG72" s="6016"/>
      <c r="IH72" s="6016"/>
      <c r="II72" s="6016"/>
      <c r="IJ72" s="6016"/>
      <c r="IK72" s="6016"/>
      <c r="IL72" s="6016"/>
      <c r="IM72" s="6016"/>
      <c r="IN72" s="6016"/>
      <c r="IO72" s="6016"/>
      <c r="IP72" s="6016"/>
      <c r="IQ72" s="6016"/>
      <c r="IR72" s="6016"/>
      <c r="IS72" s="6016"/>
      <c r="IT72" s="6016"/>
      <c r="IU72" s="6016"/>
      <c r="IV72" s="6016"/>
      <c r="IW72" s="6016"/>
      <c r="IX72" s="6016"/>
      <c r="IY72" s="6016"/>
      <c r="IZ72" s="6016"/>
      <c r="JA72" s="6016"/>
      <c r="JB72" s="6016"/>
      <c r="JC72" s="6016"/>
      <c r="JD72" s="6016"/>
      <c r="JE72" s="6016"/>
      <c r="JF72" s="6016"/>
      <c r="JG72" s="6016"/>
      <c r="JH72" s="6016"/>
      <c r="JI72" s="6017"/>
      <c r="JM72" s="6015"/>
      <c r="JN72" s="6016"/>
      <c r="JO72" s="6016"/>
      <c r="JP72" s="6016"/>
      <c r="JQ72" s="6016"/>
      <c r="JR72" s="6016"/>
      <c r="JS72" s="6016"/>
      <c r="JT72" s="6016"/>
      <c r="JU72" s="6016"/>
      <c r="JV72" s="6016"/>
      <c r="JW72" s="6016"/>
      <c r="JX72" s="6016"/>
      <c r="JY72" s="6016"/>
      <c r="JZ72" s="6016"/>
      <c r="KA72" s="6016"/>
      <c r="KB72" s="6016"/>
      <c r="KC72" s="6016"/>
      <c r="KD72" s="6016"/>
      <c r="KE72" s="6016"/>
      <c r="KF72" s="6016"/>
      <c r="KG72" s="6016"/>
      <c r="KH72" s="6016"/>
      <c r="KI72" s="6016"/>
      <c r="KJ72" s="6016"/>
      <c r="KK72" s="6016"/>
      <c r="KL72" s="6016"/>
      <c r="KM72" s="6016"/>
      <c r="KN72" s="6016"/>
      <c r="KO72" s="6016"/>
      <c r="KP72" s="6016"/>
      <c r="KQ72" s="6016"/>
      <c r="KR72" s="6016"/>
      <c r="KS72" s="6016"/>
      <c r="KT72" s="6016"/>
      <c r="KU72" s="6016"/>
      <c r="KV72" s="6016"/>
      <c r="KW72" s="6016"/>
      <c r="KX72" s="6016"/>
      <c r="KY72" s="6016"/>
      <c r="KZ72" s="6016"/>
      <c r="LA72" s="6016"/>
      <c r="LB72" s="6017"/>
      <c r="LC72" s="7"/>
      <c r="LF72" s="6015"/>
      <c r="LG72" s="6016"/>
      <c r="LH72" s="6016"/>
      <c r="LI72" s="6016"/>
      <c r="LJ72" s="6016"/>
      <c r="LK72" s="6016"/>
      <c r="LL72" s="6016"/>
      <c r="LM72" s="6016"/>
      <c r="LN72" s="6016"/>
      <c r="LO72" s="6016"/>
      <c r="LP72" s="6016"/>
      <c r="LQ72" s="6016"/>
      <c r="LR72" s="6016"/>
      <c r="LS72" s="6016"/>
      <c r="LT72" s="6016"/>
      <c r="LU72" s="6016"/>
      <c r="LV72" s="6016"/>
      <c r="LW72" s="6016"/>
      <c r="LX72" s="6016"/>
      <c r="LY72" s="6016"/>
      <c r="LZ72" s="6016"/>
      <c r="MA72" s="6016"/>
      <c r="MB72" s="6016"/>
      <c r="MC72" s="6016"/>
      <c r="MD72" s="6016"/>
      <c r="ME72" s="6016"/>
      <c r="MF72" s="6016"/>
      <c r="MG72" s="6016"/>
      <c r="MH72" s="6016"/>
      <c r="MI72" s="6016"/>
      <c r="MJ72" s="6016"/>
      <c r="MK72" s="6016"/>
      <c r="ML72" s="6016"/>
      <c r="MM72" s="6016"/>
      <c r="MN72" s="6016"/>
      <c r="MO72" s="6016"/>
      <c r="MP72" s="6016"/>
      <c r="MQ72" s="6016"/>
      <c r="MR72" s="6016"/>
      <c r="MS72" s="6016"/>
      <c r="MT72" s="6016"/>
      <c r="MU72" s="6017"/>
      <c r="MV72" s="7"/>
      <c r="MY72" s="6015"/>
      <c r="MZ72" s="6016"/>
      <c r="NA72" s="6016"/>
      <c r="NB72" s="6016"/>
      <c r="NC72" s="6016"/>
      <c r="ND72" s="6016"/>
      <c r="NE72" s="6016"/>
      <c r="NF72" s="6016"/>
      <c r="NG72" s="6016"/>
      <c r="NH72" s="6016"/>
      <c r="NI72" s="6016"/>
      <c r="NJ72" s="6016"/>
      <c r="NK72" s="6016"/>
      <c r="NL72" s="6016"/>
      <c r="NM72" s="6016"/>
      <c r="NN72" s="6016"/>
      <c r="NO72" s="6016"/>
      <c r="NP72" s="6016"/>
      <c r="NQ72" s="6016"/>
      <c r="NR72" s="6016"/>
      <c r="NS72" s="6016"/>
      <c r="NT72" s="6016"/>
      <c r="NU72" s="6016"/>
      <c r="NV72" s="6016"/>
      <c r="NW72" s="6016"/>
      <c r="NX72" s="6016"/>
      <c r="NY72" s="6016"/>
      <c r="NZ72" s="6016"/>
      <c r="OA72" s="6016"/>
      <c r="OB72" s="6016"/>
      <c r="OC72" s="6016"/>
      <c r="OD72" s="6016"/>
      <c r="OE72" s="6016"/>
      <c r="OF72" s="6016"/>
      <c r="OG72" s="6016"/>
      <c r="OH72" s="6016"/>
      <c r="OI72" s="6016"/>
      <c r="OJ72" s="6016"/>
      <c r="OK72" s="6016"/>
      <c r="OL72" s="6016"/>
      <c r="OM72" s="6016"/>
      <c r="ON72" s="6017"/>
      <c r="OO72" s="7"/>
    </row>
    <row r="73" spans="3:405" s="6027" customFormat="1" ht="15" customHeight="1" thickBot="1" x14ac:dyDescent="0.25">
      <c r="C73" s="6018"/>
      <c r="D73" s="6019"/>
      <c r="E73" s="6779" t="str">
        <f>_Calcs!$II$94</f>
        <v/>
      </c>
      <c r="F73" s="6779"/>
      <c r="G73" s="6779"/>
      <c r="H73" s="6779"/>
      <c r="I73" s="6779"/>
      <c r="J73" s="6779"/>
      <c r="K73" s="6779"/>
      <c r="L73" s="6779"/>
      <c r="M73" s="6779"/>
      <c r="N73" s="6779"/>
      <c r="O73" s="6779"/>
      <c r="P73" s="6779"/>
      <c r="Q73" s="6779"/>
      <c r="R73" s="6779"/>
      <c r="S73" s="6779"/>
      <c r="T73" s="6779"/>
      <c r="U73" s="6779"/>
      <c r="V73" s="6779"/>
      <c r="W73" s="6779"/>
      <c r="X73" s="6779"/>
      <c r="Y73" s="6779"/>
      <c r="Z73" s="6779"/>
      <c r="AA73" s="6779"/>
      <c r="AB73" s="6779"/>
      <c r="AC73" s="6779"/>
      <c r="AD73" s="6779"/>
      <c r="AE73" s="6779"/>
      <c r="AF73" s="6779"/>
      <c r="AG73" s="6779"/>
      <c r="AH73" s="6779"/>
      <c r="AI73" s="6779"/>
      <c r="AJ73" s="6020"/>
      <c r="AK73" s="6021"/>
      <c r="AL73" s="6022"/>
      <c r="AM73" s="6023" t="str">
        <f>_Calcs!$IK$132</f>
        <v>Side 3 av 9</v>
      </c>
      <c r="AN73" s="6024"/>
      <c r="AO73" s="6024"/>
      <c r="AP73" s="6024"/>
      <c r="AQ73" s="6025"/>
      <c r="AR73" s="6026"/>
      <c r="AV73" s="6018"/>
      <c r="AW73" s="6019"/>
      <c r="AX73" s="6779" t="str">
        <f>_Calcs!$II$94</f>
        <v/>
      </c>
      <c r="AY73" s="6779"/>
      <c r="AZ73" s="6779"/>
      <c r="BA73" s="6779"/>
      <c r="BB73" s="6779"/>
      <c r="BC73" s="6779"/>
      <c r="BD73" s="6779"/>
      <c r="BE73" s="6779"/>
      <c r="BF73" s="6779"/>
      <c r="BG73" s="6779"/>
      <c r="BH73" s="6779"/>
      <c r="BI73" s="6779"/>
      <c r="BJ73" s="6779"/>
      <c r="BK73" s="6779"/>
      <c r="BL73" s="6779"/>
      <c r="BM73" s="6779"/>
      <c r="BN73" s="6779"/>
      <c r="BO73" s="6779"/>
      <c r="BP73" s="6779"/>
      <c r="BQ73" s="6779"/>
      <c r="BR73" s="6779"/>
      <c r="BS73" s="6779"/>
      <c r="BT73" s="6779"/>
      <c r="BU73" s="6779"/>
      <c r="BV73" s="6779"/>
      <c r="BW73" s="6779"/>
      <c r="BX73" s="6779"/>
      <c r="BY73" s="6779"/>
      <c r="BZ73" s="6779"/>
      <c r="CA73" s="6779"/>
      <c r="CB73" s="6779"/>
      <c r="CC73" s="6020"/>
      <c r="CD73" s="6021"/>
      <c r="CE73" s="6022"/>
      <c r="CF73" s="6023" t="str">
        <f>_Calcs!$IL$132</f>
        <v>Side 3 av 9</v>
      </c>
      <c r="CG73" s="6024"/>
      <c r="CH73" s="6024"/>
      <c r="CI73" s="6024"/>
      <c r="CJ73" s="6025"/>
      <c r="CK73" s="6026"/>
      <c r="CO73" s="6018"/>
      <c r="CP73" s="6019"/>
      <c r="CQ73" s="6779" t="str">
        <f>_Calcs!$II$94</f>
        <v/>
      </c>
      <c r="CR73" s="6779"/>
      <c r="CS73" s="6779"/>
      <c r="CT73" s="6779"/>
      <c r="CU73" s="6779"/>
      <c r="CV73" s="6779"/>
      <c r="CW73" s="6779"/>
      <c r="CX73" s="6779"/>
      <c r="CY73" s="6779"/>
      <c r="CZ73" s="6779"/>
      <c r="DA73" s="6779"/>
      <c r="DB73" s="6779"/>
      <c r="DC73" s="6779"/>
      <c r="DD73" s="6779"/>
      <c r="DE73" s="6779"/>
      <c r="DF73" s="6779"/>
      <c r="DG73" s="6779"/>
      <c r="DH73" s="6779"/>
      <c r="DI73" s="6779"/>
      <c r="DJ73" s="6779"/>
      <c r="DK73" s="6779"/>
      <c r="DL73" s="6779"/>
      <c r="DM73" s="6779"/>
      <c r="DN73" s="6779"/>
      <c r="DO73" s="6779"/>
      <c r="DP73" s="6779"/>
      <c r="DQ73" s="6779"/>
      <c r="DR73" s="6779"/>
      <c r="DS73" s="6779"/>
      <c r="DT73" s="6779"/>
      <c r="DU73" s="6779"/>
      <c r="DV73" s="6020"/>
      <c r="DW73" s="6021"/>
      <c r="DX73" s="6022"/>
      <c r="DY73" s="6023" t="str">
        <f>_Calcs!$IM$132</f>
        <v>Side 3 av 9</v>
      </c>
      <c r="DZ73" s="6024"/>
      <c r="EA73" s="6024"/>
      <c r="EB73" s="6024"/>
      <c r="EC73" s="6025"/>
      <c r="ED73" s="6026"/>
      <c r="EH73" s="6018"/>
      <c r="EI73" s="6019"/>
      <c r="EJ73" s="6779" t="str">
        <f>_Calcs!$II$94</f>
        <v/>
      </c>
      <c r="EK73" s="6779"/>
      <c r="EL73" s="6779"/>
      <c r="EM73" s="6779"/>
      <c r="EN73" s="6779"/>
      <c r="EO73" s="6779"/>
      <c r="EP73" s="6779"/>
      <c r="EQ73" s="6779"/>
      <c r="ER73" s="6779"/>
      <c r="ES73" s="6779"/>
      <c r="ET73" s="6779"/>
      <c r="EU73" s="6779"/>
      <c r="EV73" s="6779"/>
      <c r="EW73" s="6779"/>
      <c r="EX73" s="6779"/>
      <c r="EY73" s="6779"/>
      <c r="EZ73" s="6779"/>
      <c r="FA73" s="6779"/>
      <c r="FB73" s="6779"/>
      <c r="FC73" s="6779"/>
      <c r="FD73" s="6779"/>
      <c r="FE73" s="6779"/>
      <c r="FF73" s="6779"/>
      <c r="FG73" s="6779"/>
      <c r="FH73" s="6779"/>
      <c r="FI73" s="6779"/>
      <c r="FJ73" s="6779"/>
      <c r="FK73" s="6779"/>
      <c r="FL73" s="6779"/>
      <c r="FM73" s="6779"/>
      <c r="FN73" s="6779"/>
      <c r="FO73" s="6020"/>
      <c r="FP73" s="6021"/>
      <c r="FQ73" s="6022"/>
      <c r="FR73" s="6023" t="str">
        <f>_Calcs!$IN$132</f>
        <v>Side 3 av 9</v>
      </c>
      <c r="FS73" s="6024"/>
      <c r="FT73" s="6024"/>
      <c r="FU73" s="6024"/>
      <c r="FV73" s="6025"/>
      <c r="FW73" s="6026"/>
      <c r="GA73" s="6018"/>
      <c r="GB73" s="6019"/>
      <c r="GC73" s="6779" t="str">
        <f>_Calcs!$II$94</f>
        <v/>
      </c>
      <c r="GD73" s="6779"/>
      <c r="GE73" s="6779"/>
      <c r="GF73" s="6779"/>
      <c r="GG73" s="6779"/>
      <c r="GH73" s="6779"/>
      <c r="GI73" s="6779"/>
      <c r="GJ73" s="6779"/>
      <c r="GK73" s="6779"/>
      <c r="GL73" s="6779"/>
      <c r="GM73" s="6779"/>
      <c r="GN73" s="6779"/>
      <c r="GO73" s="6779"/>
      <c r="GP73" s="6779"/>
      <c r="GQ73" s="6779"/>
      <c r="GR73" s="6779"/>
      <c r="GS73" s="6779"/>
      <c r="GT73" s="6779"/>
      <c r="GU73" s="6779"/>
      <c r="GV73" s="6779"/>
      <c r="GW73" s="6779"/>
      <c r="GX73" s="6779"/>
      <c r="GY73" s="6779"/>
      <c r="GZ73" s="6779"/>
      <c r="HA73" s="6779"/>
      <c r="HB73" s="6779"/>
      <c r="HC73" s="6779"/>
      <c r="HD73" s="6779"/>
      <c r="HE73" s="6779"/>
      <c r="HF73" s="6779"/>
      <c r="HG73" s="6779"/>
      <c r="HH73" s="6020"/>
      <c r="HI73" s="6021"/>
      <c r="HJ73" s="6022"/>
      <c r="HK73" s="6023" t="str">
        <f>_Calcs!$IO$132</f>
        <v>Side 3 av 9</v>
      </c>
      <c r="HL73" s="6024"/>
      <c r="HM73" s="6024"/>
      <c r="HN73" s="6024"/>
      <c r="HO73" s="6025"/>
      <c r="HP73" s="6026"/>
      <c r="HT73" s="6018"/>
      <c r="HU73" s="6019"/>
      <c r="HV73" s="6779" t="str">
        <f>_Calcs!$II$94</f>
        <v/>
      </c>
      <c r="HW73" s="6779"/>
      <c r="HX73" s="6779"/>
      <c r="HY73" s="6779"/>
      <c r="HZ73" s="6779"/>
      <c r="IA73" s="6779"/>
      <c r="IB73" s="6779"/>
      <c r="IC73" s="6779"/>
      <c r="ID73" s="6779"/>
      <c r="IE73" s="6779"/>
      <c r="IF73" s="6779"/>
      <c r="IG73" s="6779"/>
      <c r="IH73" s="6779"/>
      <c r="II73" s="6779"/>
      <c r="IJ73" s="6779"/>
      <c r="IK73" s="6779"/>
      <c r="IL73" s="6779"/>
      <c r="IM73" s="6779"/>
      <c r="IN73" s="6779"/>
      <c r="IO73" s="6779"/>
      <c r="IP73" s="6779"/>
      <c r="IQ73" s="6779"/>
      <c r="IR73" s="6779"/>
      <c r="IS73" s="6779"/>
      <c r="IT73" s="6779"/>
      <c r="IU73" s="6779"/>
      <c r="IV73" s="6779"/>
      <c r="IW73" s="6779"/>
      <c r="IX73" s="6779"/>
      <c r="IY73" s="6779"/>
      <c r="IZ73" s="6779"/>
      <c r="JA73" s="6020"/>
      <c r="JB73" s="6021"/>
      <c r="JC73" s="6022"/>
      <c r="JD73" s="6023" t="str">
        <f>_Calcs!$IP$132</f>
        <v>Side 3 av 9</v>
      </c>
      <c r="JE73" s="6024"/>
      <c r="JF73" s="6024"/>
      <c r="JG73" s="6024"/>
      <c r="JH73" s="6025"/>
      <c r="JI73" s="6026"/>
      <c r="JM73" s="6018"/>
      <c r="JN73" s="6019"/>
      <c r="JO73" s="6779" t="str">
        <f>_Calcs!$II$94</f>
        <v/>
      </c>
      <c r="JP73" s="6779"/>
      <c r="JQ73" s="6779"/>
      <c r="JR73" s="6779"/>
      <c r="JS73" s="6779"/>
      <c r="JT73" s="6779"/>
      <c r="JU73" s="6779"/>
      <c r="JV73" s="6779"/>
      <c r="JW73" s="6779"/>
      <c r="JX73" s="6779"/>
      <c r="JY73" s="6779"/>
      <c r="JZ73" s="6779"/>
      <c r="KA73" s="6779"/>
      <c r="KB73" s="6779"/>
      <c r="KC73" s="6779"/>
      <c r="KD73" s="6779"/>
      <c r="KE73" s="6779"/>
      <c r="KF73" s="6779"/>
      <c r="KG73" s="6779"/>
      <c r="KH73" s="6779"/>
      <c r="KI73" s="6779"/>
      <c r="KJ73" s="6779"/>
      <c r="KK73" s="6779"/>
      <c r="KL73" s="6779"/>
      <c r="KM73" s="6779"/>
      <c r="KN73" s="6779"/>
      <c r="KO73" s="6779"/>
      <c r="KP73" s="6779"/>
      <c r="KQ73" s="6779"/>
      <c r="KR73" s="6779"/>
      <c r="KS73" s="6779"/>
      <c r="KT73" s="6020"/>
      <c r="KU73" s="6021"/>
      <c r="KV73" s="6022"/>
      <c r="KW73" s="6023" t="str">
        <f>_Calcs!$IQ$132</f>
        <v>Side 3 av 9</v>
      </c>
      <c r="KX73" s="6024"/>
      <c r="KY73" s="6024"/>
      <c r="KZ73" s="6024"/>
      <c r="LA73" s="6025"/>
      <c r="LB73" s="6026"/>
      <c r="LC73" s="7"/>
      <c r="LF73" s="6018"/>
      <c r="LG73" s="6019"/>
      <c r="LH73" s="6779" t="str">
        <f>_Calcs!$II$94</f>
        <v/>
      </c>
      <c r="LI73" s="6779"/>
      <c r="LJ73" s="6779"/>
      <c r="LK73" s="6779"/>
      <c r="LL73" s="6779"/>
      <c r="LM73" s="6779"/>
      <c r="LN73" s="6779"/>
      <c r="LO73" s="6779"/>
      <c r="LP73" s="6779"/>
      <c r="LQ73" s="6779"/>
      <c r="LR73" s="6779"/>
      <c r="LS73" s="6779"/>
      <c r="LT73" s="6779"/>
      <c r="LU73" s="6779"/>
      <c r="LV73" s="6779"/>
      <c r="LW73" s="6779"/>
      <c r="LX73" s="6779"/>
      <c r="LY73" s="6779"/>
      <c r="LZ73" s="6779"/>
      <c r="MA73" s="6779"/>
      <c r="MB73" s="6779"/>
      <c r="MC73" s="6779"/>
      <c r="MD73" s="6779"/>
      <c r="ME73" s="6779"/>
      <c r="MF73" s="6779"/>
      <c r="MG73" s="6779"/>
      <c r="MH73" s="6779"/>
      <c r="MI73" s="6779"/>
      <c r="MJ73" s="6779"/>
      <c r="MK73" s="6779"/>
      <c r="ML73" s="6779"/>
      <c r="MM73" s="6020"/>
      <c r="MN73" s="6021"/>
      <c r="MO73" s="6022"/>
      <c r="MP73" s="6023" t="str">
        <f>_Calcs!$IR$132</f>
        <v>Side 3 av 9</v>
      </c>
      <c r="MQ73" s="6024"/>
      <c r="MR73" s="6024"/>
      <c r="MS73" s="6024"/>
      <c r="MT73" s="6025"/>
      <c r="MU73" s="6026"/>
      <c r="MV73" s="7"/>
      <c r="MY73" s="6018"/>
      <c r="MZ73" s="6019"/>
      <c r="NA73" s="6779" t="str">
        <f>_Calcs!$II$94</f>
        <v/>
      </c>
      <c r="NB73" s="6779"/>
      <c r="NC73" s="6779"/>
      <c r="ND73" s="6779"/>
      <c r="NE73" s="6779"/>
      <c r="NF73" s="6779"/>
      <c r="NG73" s="6779"/>
      <c r="NH73" s="6779"/>
      <c r="NI73" s="6779"/>
      <c r="NJ73" s="6779"/>
      <c r="NK73" s="6779"/>
      <c r="NL73" s="6779"/>
      <c r="NM73" s="6779"/>
      <c r="NN73" s="6779"/>
      <c r="NO73" s="6779"/>
      <c r="NP73" s="6779"/>
      <c r="NQ73" s="6779"/>
      <c r="NR73" s="6779"/>
      <c r="NS73" s="6779"/>
      <c r="NT73" s="6779"/>
      <c r="NU73" s="6779"/>
      <c r="NV73" s="6779"/>
      <c r="NW73" s="6779"/>
      <c r="NX73" s="6779"/>
      <c r="NY73" s="6779"/>
      <c r="NZ73" s="6779"/>
      <c r="OA73" s="6779"/>
      <c r="OB73" s="6779"/>
      <c r="OC73" s="6779"/>
      <c r="OD73" s="6779"/>
      <c r="OE73" s="6779"/>
      <c r="OF73" s="6020"/>
      <c r="OG73" s="6021"/>
      <c r="OH73" s="6022"/>
      <c r="OI73" s="6023" t="str">
        <f>_Calcs!$IS$132</f>
        <v>Side 3 av 9</v>
      </c>
      <c r="OJ73" s="6024"/>
      <c r="OK73" s="6024"/>
      <c r="OL73" s="6024"/>
      <c r="OM73" s="6025"/>
      <c r="ON73" s="6026"/>
      <c r="OO73" s="7"/>
    </row>
    <row r="74" spans="3:405" ht="5.0999999999999996" customHeight="1" thickBot="1" x14ac:dyDescent="0.25">
      <c r="C74" s="6028"/>
      <c r="D74" s="979"/>
      <c r="E74" s="3489"/>
      <c r="F74" s="3489"/>
      <c r="G74" s="3489"/>
      <c r="H74" s="3489"/>
      <c r="I74" s="3489"/>
      <c r="J74" s="3489"/>
      <c r="K74" s="3489"/>
      <c r="L74" s="3489"/>
      <c r="M74" s="3489"/>
      <c r="N74" s="3489"/>
      <c r="O74" s="3489"/>
      <c r="P74" s="3489"/>
      <c r="Q74" s="3489"/>
      <c r="R74" s="3489"/>
      <c r="S74" s="3489"/>
      <c r="T74" s="3489"/>
      <c r="U74" s="3489"/>
      <c r="V74" s="3489"/>
      <c r="W74" s="3489"/>
      <c r="X74" s="3489"/>
      <c r="Y74" s="3489"/>
      <c r="Z74" s="3489"/>
      <c r="AA74" s="3489"/>
      <c r="AB74" s="3489"/>
      <c r="AC74" s="3489"/>
      <c r="AD74" s="3489"/>
      <c r="AE74" s="3489"/>
      <c r="AF74" s="3489"/>
      <c r="AG74" s="3489"/>
      <c r="AH74" s="3489"/>
      <c r="AI74" s="3489"/>
      <c r="AJ74" s="979"/>
      <c r="AK74" s="979"/>
      <c r="AL74" s="979"/>
      <c r="AM74" s="979"/>
      <c r="AN74" s="979"/>
      <c r="AO74" s="979"/>
      <c r="AP74" s="979"/>
      <c r="AQ74" s="979"/>
      <c r="AR74" s="6029"/>
      <c r="AV74" s="6028"/>
      <c r="AW74" s="979"/>
      <c r="AX74" s="3489"/>
      <c r="AY74" s="3489"/>
      <c r="AZ74" s="3489"/>
      <c r="BA74" s="3489"/>
      <c r="BB74" s="3489"/>
      <c r="BC74" s="3489"/>
      <c r="BD74" s="3489"/>
      <c r="BE74" s="3489"/>
      <c r="BF74" s="3489"/>
      <c r="BG74" s="3489"/>
      <c r="BH74" s="3489"/>
      <c r="BI74" s="3489"/>
      <c r="BJ74" s="3489"/>
      <c r="BK74" s="3489"/>
      <c r="BL74" s="3489"/>
      <c r="BM74" s="3489"/>
      <c r="BN74" s="3489"/>
      <c r="BO74" s="3489"/>
      <c r="BP74" s="3489"/>
      <c r="BQ74" s="3489"/>
      <c r="BR74" s="3489"/>
      <c r="BS74" s="3489"/>
      <c r="BT74" s="3489"/>
      <c r="BU74" s="3489"/>
      <c r="BV74" s="3489"/>
      <c r="BW74" s="3489"/>
      <c r="BX74" s="3489"/>
      <c r="BY74" s="3489"/>
      <c r="BZ74" s="3489"/>
      <c r="CA74" s="3489"/>
      <c r="CB74" s="3489"/>
      <c r="CC74" s="979"/>
      <c r="CD74" s="979"/>
      <c r="CE74" s="979"/>
      <c r="CF74" s="979"/>
      <c r="CG74" s="979"/>
      <c r="CH74" s="979"/>
      <c r="CI74" s="979"/>
      <c r="CJ74" s="979"/>
      <c r="CK74" s="6029"/>
      <c r="CO74" s="6028"/>
      <c r="CP74" s="979"/>
      <c r="CQ74" s="3489"/>
      <c r="CR74" s="3489"/>
      <c r="CS74" s="3489"/>
      <c r="CT74" s="3489"/>
      <c r="CU74" s="3489"/>
      <c r="CV74" s="3489"/>
      <c r="CW74" s="3489"/>
      <c r="CX74" s="3489"/>
      <c r="CY74" s="3489"/>
      <c r="CZ74" s="3489"/>
      <c r="DA74" s="3489"/>
      <c r="DB74" s="3489"/>
      <c r="DC74" s="3489"/>
      <c r="DD74" s="3489"/>
      <c r="DE74" s="3489"/>
      <c r="DF74" s="3489"/>
      <c r="DG74" s="3489"/>
      <c r="DH74" s="3489"/>
      <c r="DI74" s="3489"/>
      <c r="DJ74" s="3489"/>
      <c r="DK74" s="3489"/>
      <c r="DL74" s="3489"/>
      <c r="DM74" s="3489"/>
      <c r="DN74" s="3489"/>
      <c r="DO74" s="3489"/>
      <c r="DP74" s="3489"/>
      <c r="DQ74" s="3489"/>
      <c r="DR74" s="3489"/>
      <c r="DS74" s="3489"/>
      <c r="DT74" s="3489"/>
      <c r="DU74" s="3489"/>
      <c r="DV74" s="979"/>
      <c r="DW74" s="979"/>
      <c r="DX74" s="979"/>
      <c r="DY74" s="979"/>
      <c r="DZ74" s="979"/>
      <c r="EA74" s="979"/>
      <c r="EB74" s="979"/>
      <c r="EC74" s="979"/>
      <c r="ED74" s="6029"/>
      <c r="EH74" s="6028"/>
      <c r="EI74" s="979"/>
      <c r="EJ74" s="3489"/>
      <c r="EK74" s="3489"/>
      <c r="EL74" s="3489"/>
      <c r="EM74" s="3489"/>
      <c r="EN74" s="3489"/>
      <c r="EO74" s="3489"/>
      <c r="EP74" s="3489"/>
      <c r="EQ74" s="3489"/>
      <c r="ER74" s="3489"/>
      <c r="ES74" s="3489"/>
      <c r="ET74" s="3489"/>
      <c r="EU74" s="3489"/>
      <c r="EV74" s="3489"/>
      <c r="EW74" s="3489"/>
      <c r="EX74" s="3489"/>
      <c r="EY74" s="3489"/>
      <c r="EZ74" s="3489"/>
      <c r="FA74" s="3489"/>
      <c r="FB74" s="3489"/>
      <c r="FC74" s="3489"/>
      <c r="FD74" s="3489"/>
      <c r="FE74" s="3489"/>
      <c r="FF74" s="3489"/>
      <c r="FG74" s="3489"/>
      <c r="FH74" s="3489"/>
      <c r="FI74" s="3489"/>
      <c r="FJ74" s="3489"/>
      <c r="FK74" s="3489"/>
      <c r="FL74" s="3489"/>
      <c r="FM74" s="3489"/>
      <c r="FN74" s="3489"/>
      <c r="FO74" s="979"/>
      <c r="FP74" s="979"/>
      <c r="FQ74" s="979"/>
      <c r="FR74" s="979"/>
      <c r="FS74" s="979"/>
      <c r="FT74" s="979"/>
      <c r="FU74" s="979"/>
      <c r="FV74" s="979"/>
      <c r="FW74" s="6029"/>
      <c r="GA74" s="6028"/>
      <c r="GB74" s="979"/>
      <c r="GC74" s="3489"/>
      <c r="GD74" s="3489"/>
      <c r="GE74" s="3489"/>
      <c r="GF74" s="3489"/>
      <c r="GG74" s="3489"/>
      <c r="GH74" s="3489"/>
      <c r="GI74" s="3489"/>
      <c r="GJ74" s="3489"/>
      <c r="GK74" s="3489"/>
      <c r="GL74" s="3489"/>
      <c r="GM74" s="3489"/>
      <c r="GN74" s="3489"/>
      <c r="GO74" s="3489"/>
      <c r="GP74" s="3489"/>
      <c r="GQ74" s="3489"/>
      <c r="GR74" s="3489"/>
      <c r="GS74" s="3489"/>
      <c r="GT74" s="3489"/>
      <c r="GU74" s="3489"/>
      <c r="GV74" s="3489"/>
      <c r="GW74" s="3489"/>
      <c r="GX74" s="3489"/>
      <c r="GY74" s="3489"/>
      <c r="GZ74" s="3489"/>
      <c r="HA74" s="3489"/>
      <c r="HB74" s="3489"/>
      <c r="HC74" s="3489"/>
      <c r="HD74" s="3489"/>
      <c r="HE74" s="3489"/>
      <c r="HF74" s="3489"/>
      <c r="HG74" s="3489"/>
      <c r="HH74" s="979"/>
      <c r="HI74" s="979"/>
      <c r="HJ74" s="979"/>
      <c r="HK74" s="979"/>
      <c r="HL74" s="979"/>
      <c r="HM74" s="979"/>
      <c r="HN74" s="979"/>
      <c r="HO74" s="979"/>
      <c r="HP74" s="6029"/>
      <c r="HT74" s="6028"/>
      <c r="HU74" s="979"/>
      <c r="HV74" s="3489"/>
      <c r="HW74" s="3489"/>
      <c r="HX74" s="3489"/>
      <c r="HY74" s="3489"/>
      <c r="HZ74" s="3489"/>
      <c r="IA74" s="3489"/>
      <c r="IB74" s="3489"/>
      <c r="IC74" s="3489"/>
      <c r="ID74" s="3489"/>
      <c r="IE74" s="3489"/>
      <c r="IF74" s="3489"/>
      <c r="IG74" s="3489"/>
      <c r="IH74" s="3489"/>
      <c r="II74" s="3489"/>
      <c r="IJ74" s="3489"/>
      <c r="IK74" s="3489"/>
      <c r="IL74" s="3489"/>
      <c r="IM74" s="3489"/>
      <c r="IN74" s="3489"/>
      <c r="IO74" s="3489"/>
      <c r="IP74" s="3489"/>
      <c r="IQ74" s="3489"/>
      <c r="IR74" s="3489"/>
      <c r="IS74" s="3489"/>
      <c r="IT74" s="3489"/>
      <c r="IU74" s="3489"/>
      <c r="IV74" s="3489"/>
      <c r="IW74" s="3489"/>
      <c r="IX74" s="3489"/>
      <c r="IY74" s="3489"/>
      <c r="IZ74" s="3489"/>
      <c r="JA74" s="979"/>
      <c r="JB74" s="979"/>
      <c r="JC74" s="979"/>
      <c r="JD74" s="979"/>
      <c r="JE74" s="979"/>
      <c r="JF74" s="979"/>
      <c r="JG74" s="979"/>
      <c r="JH74" s="979"/>
      <c r="JI74" s="6029"/>
      <c r="JM74" s="6028"/>
      <c r="JN74" s="979"/>
      <c r="JO74" s="3489"/>
      <c r="JP74" s="3489"/>
      <c r="JQ74" s="3489"/>
      <c r="JR74" s="3489"/>
      <c r="JS74" s="3489"/>
      <c r="JT74" s="3489"/>
      <c r="JU74" s="3489"/>
      <c r="JV74" s="3489"/>
      <c r="JW74" s="3489"/>
      <c r="JX74" s="3489"/>
      <c r="JY74" s="3489"/>
      <c r="JZ74" s="3489"/>
      <c r="KA74" s="3489"/>
      <c r="KB74" s="3489"/>
      <c r="KC74" s="3489"/>
      <c r="KD74" s="3489"/>
      <c r="KE74" s="3489"/>
      <c r="KF74" s="3489"/>
      <c r="KG74" s="3489"/>
      <c r="KH74" s="3489"/>
      <c r="KI74" s="3489"/>
      <c r="KJ74" s="3489"/>
      <c r="KK74" s="3489"/>
      <c r="KL74" s="3489"/>
      <c r="KM74" s="3489"/>
      <c r="KN74" s="3489"/>
      <c r="KO74" s="3489"/>
      <c r="KP74" s="3489"/>
      <c r="KQ74" s="3489"/>
      <c r="KR74" s="3489"/>
      <c r="KS74" s="3489"/>
      <c r="KT74" s="979"/>
      <c r="KU74" s="979"/>
      <c r="KV74" s="979"/>
      <c r="KW74" s="979"/>
      <c r="KX74" s="979"/>
      <c r="KY74" s="979"/>
      <c r="KZ74" s="979"/>
      <c r="LA74" s="979"/>
      <c r="LB74" s="6029"/>
      <c r="LC74" s="7"/>
      <c r="LF74" s="6028"/>
      <c r="LG74" s="979"/>
      <c r="LH74" s="3489"/>
      <c r="LI74" s="3489"/>
      <c r="LJ74" s="3489"/>
      <c r="LK74" s="3489"/>
      <c r="LL74" s="3489"/>
      <c r="LM74" s="3489"/>
      <c r="LN74" s="3489"/>
      <c r="LO74" s="3489"/>
      <c r="LP74" s="3489"/>
      <c r="LQ74" s="3489"/>
      <c r="LR74" s="3489"/>
      <c r="LS74" s="3489"/>
      <c r="LT74" s="3489"/>
      <c r="LU74" s="3489"/>
      <c r="LV74" s="3489"/>
      <c r="LW74" s="3489"/>
      <c r="LX74" s="3489"/>
      <c r="LY74" s="3489"/>
      <c r="LZ74" s="3489"/>
      <c r="MA74" s="3489"/>
      <c r="MB74" s="3489"/>
      <c r="MC74" s="3489"/>
      <c r="MD74" s="3489"/>
      <c r="ME74" s="3489"/>
      <c r="MF74" s="3489"/>
      <c r="MG74" s="3489"/>
      <c r="MH74" s="3489"/>
      <c r="MI74" s="3489"/>
      <c r="MJ74" s="3489"/>
      <c r="MK74" s="3489"/>
      <c r="ML74" s="3489"/>
      <c r="MM74" s="979"/>
      <c r="MN74" s="979"/>
      <c r="MO74" s="979"/>
      <c r="MP74" s="979"/>
      <c r="MQ74" s="979"/>
      <c r="MR74" s="979"/>
      <c r="MS74" s="979"/>
      <c r="MT74" s="979"/>
      <c r="MU74" s="6029"/>
      <c r="MV74" s="7"/>
      <c r="MY74" s="6028"/>
      <c r="MZ74" s="979"/>
      <c r="NA74" s="3489"/>
      <c r="NB74" s="3489"/>
      <c r="NC74" s="3489"/>
      <c r="ND74" s="3489"/>
      <c r="NE74" s="3489"/>
      <c r="NF74" s="3489"/>
      <c r="NG74" s="3489"/>
      <c r="NH74" s="3489"/>
      <c r="NI74" s="3489"/>
      <c r="NJ74" s="3489"/>
      <c r="NK74" s="3489"/>
      <c r="NL74" s="3489"/>
      <c r="NM74" s="3489"/>
      <c r="NN74" s="3489"/>
      <c r="NO74" s="3489"/>
      <c r="NP74" s="3489"/>
      <c r="NQ74" s="3489"/>
      <c r="NR74" s="3489"/>
      <c r="NS74" s="3489"/>
      <c r="NT74" s="3489"/>
      <c r="NU74" s="3489"/>
      <c r="NV74" s="3489"/>
      <c r="NW74" s="3489"/>
      <c r="NX74" s="3489"/>
      <c r="NY74" s="3489"/>
      <c r="NZ74" s="3489"/>
      <c r="OA74" s="3489"/>
      <c r="OB74" s="3489"/>
      <c r="OC74" s="3489"/>
      <c r="OD74" s="3489"/>
      <c r="OE74" s="3489"/>
      <c r="OF74" s="979"/>
      <c r="OG74" s="979"/>
      <c r="OH74" s="979"/>
      <c r="OI74" s="979"/>
      <c r="OJ74" s="979"/>
      <c r="OK74" s="979"/>
      <c r="OL74" s="979"/>
      <c r="OM74" s="979"/>
      <c r="ON74" s="6029"/>
      <c r="OO74" s="7"/>
    </row>
    <row r="75" spans="3:405" s="6031" customFormat="1" ht="15" customHeight="1" thickBot="1" x14ac:dyDescent="0.25">
      <c r="C75" s="6018"/>
      <c r="D75" s="6019"/>
      <c r="E75" s="6778" t="str">
        <f>_Calcs!$T$19</f>
        <v/>
      </c>
      <c r="F75" s="6778"/>
      <c r="G75" s="6778"/>
      <c r="H75" s="6778"/>
      <c r="I75" s="6778"/>
      <c r="J75" s="6778"/>
      <c r="K75" s="6778"/>
      <c r="L75" s="6778"/>
      <c r="M75" s="6778"/>
      <c r="N75" s="6778"/>
      <c r="O75" s="6778"/>
      <c r="P75" s="6778"/>
      <c r="Q75" s="6778"/>
      <c r="R75" s="6778"/>
      <c r="S75" s="6778"/>
      <c r="T75" s="6778"/>
      <c r="U75" s="6778"/>
      <c r="V75" s="6778"/>
      <c r="W75" s="6778"/>
      <c r="X75" s="6778"/>
      <c r="Y75" s="6778"/>
      <c r="Z75" s="6778"/>
      <c r="AA75" s="6778"/>
      <c r="AB75" s="6778"/>
      <c r="AC75" s="6778"/>
      <c r="AD75" s="6778"/>
      <c r="AE75" s="6778"/>
      <c r="AF75" s="6778"/>
      <c r="AG75" s="6778"/>
      <c r="AH75" s="6778"/>
      <c r="AI75" s="6778"/>
      <c r="AJ75" s="6778"/>
      <c r="AK75" s="6778"/>
      <c r="AL75" s="6778"/>
      <c r="AM75" s="6778"/>
      <c r="AN75" s="6778"/>
      <c r="AO75" s="6778"/>
      <c r="AP75" s="6778"/>
      <c r="AQ75" s="6030"/>
      <c r="AR75" s="6026"/>
      <c r="AV75" s="6018"/>
      <c r="AW75" s="6019"/>
      <c r="AX75" s="6778" t="str">
        <f>_Calcs!$T$19</f>
        <v/>
      </c>
      <c r="AY75" s="6778"/>
      <c r="AZ75" s="6778"/>
      <c r="BA75" s="6778"/>
      <c r="BB75" s="6778"/>
      <c r="BC75" s="6778"/>
      <c r="BD75" s="6778"/>
      <c r="BE75" s="6778"/>
      <c r="BF75" s="6778"/>
      <c r="BG75" s="6778"/>
      <c r="BH75" s="6778"/>
      <c r="BI75" s="6778"/>
      <c r="BJ75" s="6778"/>
      <c r="BK75" s="6778"/>
      <c r="BL75" s="6778"/>
      <c r="BM75" s="6778"/>
      <c r="BN75" s="6778"/>
      <c r="BO75" s="6778"/>
      <c r="BP75" s="6778"/>
      <c r="BQ75" s="6778"/>
      <c r="BR75" s="6778"/>
      <c r="BS75" s="6778"/>
      <c r="BT75" s="6778"/>
      <c r="BU75" s="6778"/>
      <c r="BV75" s="6778"/>
      <c r="BW75" s="6778"/>
      <c r="BX75" s="6778"/>
      <c r="BY75" s="6778"/>
      <c r="BZ75" s="6778"/>
      <c r="CA75" s="6778"/>
      <c r="CB75" s="6778"/>
      <c r="CC75" s="6778"/>
      <c r="CD75" s="6778"/>
      <c r="CE75" s="6778"/>
      <c r="CF75" s="6778"/>
      <c r="CG75" s="6778"/>
      <c r="CH75" s="6778"/>
      <c r="CI75" s="6778"/>
      <c r="CJ75" s="6030"/>
      <c r="CK75" s="6026"/>
      <c r="CO75" s="6018"/>
      <c r="CP75" s="6019"/>
      <c r="CQ75" s="6778" t="str">
        <f>_Calcs!$T$19</f>
        <v/>
      </c>
      <c r="CR75" s="6778"/>
      <c r="CS75" s="6778"/>
      <c r="CT75" s="6778"/>
      <c r="CU75" s="6778"/>
      <c r="CV75" s="6778"/>
      <c r="CW75" s="6778"/>
      <c r="CX75" s="6778"/>
      <c r="CY75" s="6778"/>
      <c r="CZ75" s="6778"/>
      <c r="DA75" s="6778"/>
      <c r="DB75" s="6778"/>
      <c r="DC75" s="6778"/>
      <c r="DD75" s="6778"/>
      <c r="DE75" s="6778"/>
      <c r="DF75" s="6778"/>
      <c r="DG75" s="6778"/>
      <c r="DH75" s="6778"/>
      <c r="DI75" s="6778"/>
      <c r="DJ75" s="6778"/>
      <c r="DK75" s="6778"/>
      <c r="DL75" s="6778"/>
      <c r="DM75" s="6778"/>
      <c r="DN75" s="6778"/>
      <c r="DO75" s="6778"/>
      <c r="DP75" s="6778"/>
      <c r="DQ75" s="6778"/>
      <c r="DR75" s="6778"/>
      <c r="DS75" s="6778"/>
      <c r="DT75" s="6778"/>
      <c r="DU75" s="6778"/>
      <c r="DV75" s="6778"/>
      <c r="DW75" s="6778"/>
      <c r="DX75" s="6778"/>
      <c r="DY75" s="6778"/>
      <c r="DZ75" s="6778"/>
      <c r="EA75" s="6778"/>
      <c r="EB75" s="6778"/>
      <c r="EC75" s="6030"/>
      <c r="ED75" s="6026"/>
      <c r="EH75" s="6018"/>
      <c r="EI75" s="6019"/>
      <c r="EJ75" s="6778" t="str">
        <f>_Calcs!$T$19</f>
        <v/>
      </c>
      <c r="EK75" s="6778"/>
      <c r="EL75" s="6778"/>
      <c r="EM75" s="6778"/>
      <c r="EN75" s="6778"/>
      <c r="EO75" s="6778"/>
      <c r="EP75" s="6778"/>
      <c r="EQ75" s="6778"/>
      <c r="ER75" s="6778"/>
      <c r="ES75" s="6778"/>
      <c r="ET75" s="6778"/>
      <c r="EU75" s="6778"/>
      <c r="EV75" s="6778"/>
      <c r="EW75" s="6778"/>
      <c r="EX75" s="6778"/>
      <c r="EY75" s="6778"/>
      <c r="EZ75" s="6778"/>
      <c r="FA75" s="6778"/>
      <c r="FB75" s="6778"/>
      <c r="FC75" s="6778"/>
      <c r="FD75" s="6778"/>
      <c r="FE75" s="6778"/>
      <c r="FF75" s="6778"/>
      <c r="FG75" s="6778"/>
      <c r="FH75" s="6778"/>
      <c r="FI75" s="6778"/>
      <c r="FJ75" s="6778"/>
      <c r="FK75" s="6778"/>
      <c r="FL75" s="6778"/>
      <c r="FM75" s="6778"/>
      <c r="FN75" s="6778"/>
      <c r="FO75" s="6778"/>
      <c r="FP75" s="6778"/>
      <c r="FQ75" s="6778"/>
      <c r="FR75" s="6778"/>
      <c r="FS75" s="6778"/>
      <c r="FT75" s="6778"/>
      <c r="FU75" s="6778"/>
      <c r="FV75" s="6030"/>
      <c r="FW75" s="6026"/>
      <c r="GA75" s="6018"/>
      <c r="GB75" s="6019"/>
      <c r="GC75" s="6778" t="str">
        <f>_Calcs!$T$19</f>
        <v/>
      </c>
      <c r="GD75" s="6778"/>
      <c r="GE75" s="6778"/>
      <c r="GF75" s="6778"/>
      <c r="GG75" s="6778"/>
      <c r="GH75" s="6778"/>
      <c r="GI75" s="6778"/>
      <c r="GJ75" s="6778"/>
      <c r="GK75" s="6778"/>
      <c r="GL75" s="6778"/>
      <c r="GM75" s="6778"/>
      <c r="GN75" s="6778"/>
      <c r="GO75" s="6778"/>
      <c r="GP75" s="6778"/>
      <c r="GQ75" s="6778"/>
      <c r="GR75" s="6778"/>
      <c r="GS75" s="6778"/>
      <c r="GT75" s="6778"/>
      <c r="GU75" s="6778"/>
      <c r="GV75" s="6778"/>
      <c r="GW75" s="6778"/>
      <c r="GX75" s="6778"/>
      <c r="GY75" s="6778"/>
      <c r="GZ75" s="6778"/>
      <c r="HA75" s="6778"/>
      <c r="HB75" s="6778"/>
      <c r="HC75" s="6778"/>
      <c r="HD75" s="6778"/>
      <c r="HE75" s="6778"/>
      <c r="HF75" s="6778"/>
      <c r="HG75" s="6778"/>
      <c r="HH75" s="6778"/>
      <c r="HI75" s="6778"/>
      <c r="HJ75" s="6778"/>
      <c r="HK75" s="6778"/>
      <c r="HL75" s="6778"/>
      <c r="HM75" s="6778"/>
      <c r="HN75" s="6778"/>
      <c r="HO75" s="6030"/>
      <c r="HP75" s="6026"/>
      <c r="HT75" s="6018"/>
      <c r="HU75" s="6019"/>
      <c r="HV75" s="6778" t="str">
        <f>_Calcs!$T$19</f>
        <v/>
      </c>
      <c r="HW75" s="6778"/>
      <c r="HX75" s="6778"/>
      <c r="HY75" s="6778"/>
      <c r="HZ75" s="6778"/>
      <c r="IA75" s="6778"/>
      <c r="IB75" s="6778"/>
      <c r="IC75" s="6778"/>
      <c r="ID75" s="6778"/>
      <c r="IE75" s="6778"/>
      <c r="IF75" s="6778"/>
      <c r="IG75" s="6778"/>
      <c r="IH75" s="6778"/>
      <c r="II75" s="6778"/>
      <c r="IJ75" s="6778"/>
      <c r="IK75" s="6778"/>
      <c r="IL75" s="6778"/>
      <c r="IM75" s="6778"/>
      <c r="IN75" s="6778"/>
      <c r="IO75" s="6778"/>
      <c r="IP75" s="6778"/>
      <c r="IQ75" s="6778"/>
      <c r="IR75" s="6778"/>
      <c r="IS75" s="6778"/>
      <c r="IT75" s="6778"/>
      <c r="IU75" s="6778"/>
      <c r="IV75" s="6778"/>
      <c r="IW75" s="6778"/>
      <c r="IX75" s="6778"/>
      <c r="IY75" s="6778"/>
      <c r="IZ75" s="6778"/>
      <c r="JA75" s="6778"/>
      <c r="JB75" s="6778"/>
      <c r="JC75" s="6778"/>
      <c r="JD75" s="6778"/>
      <c r="JE75" s="6778"/>
      <c r="JF75" s="6778"/>
      <c r="JG75" s="6778"/>
      <c r="JH75" s="6030"/>
      <c r="JI75" s="6026"/>
      <c r="JM75" s="6018"/>
      <c r="JN75" s="6019"/>
      <c r="JO75" s="6778" t="str">
        <f>_Calcs!$T$19</f>
        <v/>
      </c>
      <c r="JP75" s="6778"/>
      <c r="JQ75" s="6778"/>
      <c r="JR75" s="6778"/>
      <c r="JS75" s="6778"/>
      <c r="JT75" s="6778"/>
      <c r="JU75" s="6778"/>
      <c r="JV75" s="6778"/>
      <c r="JW75" s="6778"/>
      <c r="JX75" s="6778"/>
      <c r="JY75" s="6778"/>
      <c r="JZ75" s="6778"/>
      <c r="KA75" s="6778"/>
      <c r="KB75" s="6778"/>
      <c r="KC75" s="6778"/>
      <c r="KD75" s="6778"/>
      <c r="KE75" s="6778"/>
      <c r="KF75" s="6778"/>
      <c r="KG75" s="6778"/>
      <c r="KH75" s="6778"/>
      <c r="KI75" s="6778"/>
      <c r="KJ75" s="6778"/>
      <c r="KK75" s="6778"/>
      <c r="KL75" s="6778"/>
      <c r="KM75" s="6778"/>
      <c r="KN75" s="6778"/>
      <c r="KO75" s="6778"/>
      <c r="KP75" s="6778"/>
      <c r="KQ75" s="6778"/>
      <c r="KR75" s="6778"/>
      <c r="KS75" s="6778"/>
      <c r="KT75" s="6778"/>
      <c r="KU75" s="6778"/>
      <c r="KV75" s="6778"/>
      <c r="KW75" s="6778"/>
      <c r="KX75" s="6778"/>
      <c r="KY75" s="6778"/>
      <c r="KZ75" s="6778"/>
      <c r="LA75" s="6030"/>
      <c r="LB75" s="6026"/>
      <c r="LC75" s="7"/>
      <c r="LF75" s="6018"/>
      <c r="LG75" s="6019"/>
      <c r="LH75" s="6778" t="str">
        <f>_Calcs!$T$19</f>
        <v/>
      </c>
      <c r="LI75" s="6778"/>
      <c r="LJ75" s="6778"/>
      <c r="LK75" s="6778"/>
      <c r="LL75" s="6778"/>
      <c r="LM75" s="6778"/>
      <c r="LN75" s="6778"/>
      <c r="LO75" s="6778"/>
      <c r="LP75" s="6778"/>
      <c r="LQ75" s="6778"/>
      <c r="LR75" s="6778"/>
      <c r="LS75" s="6778"/>
      <c r="LT75" s="6778"/>
      <c r="LU75" s="6778"/>
      <c r="LV75" s="6778"/>
      <c r="LW75" s="6778"/>
      <c r="LX75" s="6778"/>
      <c r="LY75" s="6778"/>
      <c r="LZ75" s="6778"/>
      <c r="MA75" s="6778"/>
      <c r="MB75" s="6778"/>
      <c r="MC75" s="6778"/>
      <c r="MD75" s="6778"/>
      <c r="ME75" s="6778"/>
      <c r="MF75" s="6778"/>
      <c r="MG75" s="6778"/>
      <c r="MH75" s="6778"/>
      <c r="MI75" s="6778"/>
      <c r="MJ75" s="6778"/>
      <c r="MK75" s="6778"/>
      <c r="ML75" s="6778"/>
      <c r="MM75" s="6778"/>
      <c r="MN75" s="6778"/>
      <c r="MO75" s="6778"/>
      <c r="MP75" s="6778"/>
      <c r="MQ75" s="6778"/>
      <c r="MR75" s="6778"/>
      <c r="MS75" s="6778"/>
      <c r="MT75" s="6030"/>
      <c r="MU75" s="6026"/>
      <c r="MV75" s="7"/>
      <c r="MY75" s="6018"/>
      <c r="MZ75" s="6019"/>
      <c r="NA75" s="6778" t="str">
        <f>_Calcs!$T$19</f>
        <v/>
      </c>
      <c r="NB75" s="6778"/>
      <c r="NC75" s="6778"/>
      <c r="ND75" s="6778"/>
      <c r="NE75" s="6778"/>
      <c r="NF75" s="6778"/>
      <c r="NG75" s="6778"/>
      <c r="NH75" s="6778"/>
      <c r="NI75" s="6778"/>
      <c r="NJ75" s="6778"/>
      <c r="NK75" s="6778"/>
      <c r="NL75" s="6778"/>
      <c r="NM75" s="6778"/>
      <c r="NN75" s="6778"/>
      <c r="NO75" s="6778"/>
      <c r="NP75" s="6778"/>
      <c r="NQ75" s="6778"/>
      <c r="NR75" s="6778"/>
      <c r="NS75" s="6778"/>
      <c r="NT75" s="6778"/>
      <c r="NU75" s="6778"/>
      <c r="NV75" s="6778"/>
      <c r="NW75" s="6778"/>
      <c r="NX75" s="6778"/>
      <c r="NY75" s="6778"/>
      <c r="NZ75" s="6778"/>
      <c r="OA75" s="6778"/>
      <c r="OB75" s="6778"/>
      <c r="OC75" s="6778"/>
      <c r="OD75" s="6778"/>
      <c r="OE75" s="6778"/>
      <c r="OF75" s="6778"/>
      <c r="OG75" s="6778"/>
      <c r="OH75" s="6778"/>
      <c r="OI75" s="6778"/>
      <c r="OJ75" s="6778"/>
      <c r="OK75" s="6778"/>
      <c r="OL75" s="6778"/>
      <c r="OM75" s="6030"/>
      <c r="ON75" s="6026"/>
      <c r="OO75" s="7"/>
    </row>
    <row r="76" spans="3:405" s="1466" customFormat="1" ht="9.9499999999999993" customHeight="1" thickBot="1" x14ac:dyDescent="0.25">
      <c r="C76" s="6028"/>
      <c r="E76" s="6032"/>
      <c r="F76" s="6032"/>
      <c r="G76" s="6032"/>
      <c r="H76" s="6032"/>
      <c r="I76" s="6032"/>
      <c r="J76" s="6032"/>
      <c r="K76" s="6032"/>
      <c r="L76" s="6032"/>
      <c r="M76" s="6032"/>
      <c r="N76" s="6032"/>
      <c r="O76" s="6032"/>
      <c r="P76" s="6032"/>
      <c r="Q76" s="6032"/>
      <c r="R76" s="6032"/>
      <c r="S76" s="6032"/>
      <c r="T76" s="6032"/>
      <c r="U76" s="6032"/>
      <c r="V76" s="6032"/>
      <c r="W76" s="6032"/>
      <c r="X76" s="6032"/>
      <c r="Y76" s="6032"/>
      <c r="Z76" s="6032"/>
      <c r="AA76" s="6032"/>
      <c r="AB76" s="6032"/>
      <c r="AC76" s="3489"/>
      <c r="AD76" s="3489"/>
      <c r="AE76" s="6033"/>
      <c r="AF76" s="6033"/>
      <c r="AG76" s="6033"/>
      <c r="AH76" s="6033"/>
      <c r="AI76" s="6033"/>
      <c r="AJ76" s="6033"/>
      <c r="AK76" s="6033"/>
      <c r="AL76" s="6033"/>
      <c r="AM76" s="6033"/>
      <c r="AN76" s="6033"/>
      <c r="AO76" s="6033"/>
      <c r="AP76" s="6033"/>
      <c r="AQ76" s="3489"/>
      <c r="AR76" s="6029"/>
      <c r="AV76" s="6028"/>
      <c r="AX76" s="6032"/>
      <c r="AY76" s="6032"/>
      <c r="AZ76" s="6032"/>
      <c r="BA76" s="6032"/>
      <c r="BB76" s="6032"/>
      <c r="BC76" s="6032"/>
      <c r="BD76" s="6032"/>
      <c r="BE76" s="6032"/>
      <c r="BF76" s="6032"/>
      <c r="BG76" s="6032"/>
      <c r="BH76" s="6032"/>
      <c r="BI76" s="6032"/>
      <c r="BJ76" s="6032"/>
      <c r="BK76" s="6032"/>
      <c r="BL76" s="6032"/>
      <c r="BM76" s="6032"/>
      <c r="BN76" s="6032"/>
      <c r="BO76" s="6032"/>
      <c r="BP76" s="6032"/>
      <c r="BQ76" s="6032"/>
      <c r="BR76" s="6032"/>
      <c r="BS76" s="6032"/>
      <c r="BT76" s="6032"/>
      <c r="BU76" s="6032"/>
      <c r="BV76" s="3489"/>
      <c r="BW76" s="3489"/>
      <c r="BX76" s="6033"/>
      <c r="BY76" s="6033"/>
      <c r="BZ76" s="6033"/>
      <c r="CA76" s="6033"/>
      <c r="CB76" s="6033"/>
      <c r="CC76" s="6033"/>
      <c r="CD76" s="6033"/>
      <c r="CE76" s="6033"/>
      <c r="CF76" s="6033"/>
      <c r="CG76" s="6033"/>
      <c r="CH76" s="6033"/>
      <c r="CI76" s="6033"/>
      <c r="CJ76" s="3489"/>
      <c r="CK76" s="6029"/>
      <c r="CO76" s="6028"/>
      <c r="CQ76" s="6032"/>
      <c r="CR76" s="6032"/>
      <c r="CS76" s="6032"/>
      <c r="CT76" s="6032"/>
      <c r="CU76" s="6032"/>
      <c r="CV76" s="6032"/>
      <c r="CW76" s="6032"/>
      <c r="CX76" s="6032"/>
      <c r="CY76" s="6032"/>
      <c r="CZ76" s="6032"/>
      <c r="DA76" s="6032"/>
      <c r="DB76" s="6032"/>
      <c r="DC76" s="6032"/>
      <c r="DD76" s="6032"/>
      <c r="DE76" s="6032"/>
      <c r="DF76" s="6032"/>
      <c r="DG76" s="6032"/>
      <c r="DH76" s="6032"/>
      <c r="DI76" s="6032"/>
      <c r="DJ76" s="6032"/>
      <c r="DK76" s="6032"/>
      <c r="DL76" s="6032"/>
      <c r="DM76" s="6032"/>
      <c r="DN76" s="6032"/>
      <c r="DO76" s="3489"/>
      <c r="DP76" s="3489"/>
      <c r="DQ76" s="6033"/>
      <c r="DR76" s="6033"/>
      <c r="DS76" s="6033"/>
      <c r="DT76" s="6033"/>
      <c r="DU76" s="6033"/>
      <c r="DV76" s="6033"/>
      <c r="DW76" s="6033"/>
      <c r="DX76" s="6033"/>
      <c r="DY76" s="6033"/>
      <c r="DZ76" s="6033"/>
      <c r="EA76" s="6033"/>
      <c r="EB76" s="6033"/>
      <c r="EC76" s="3489"/>
      <c r="ED76" s="6029"/>
      <c r="EH76" s="6028"/>
      <c r="EJ76" s="6032"/>
      <c r="EK76" s="6032"/>
      <c r="EL76" s="6032"/>
      <c r="EM76" s="6032"/>
      <c r="EN76" s="6032"/>
      <c r="EO76" s="6032"/>
      <c r="EP76" s="6032"/>
      <c r="EQ76" s="6032"/>
      <c r="ER76" s="6032"/>
      <c r="ES76" s="6032"/>
      <c r="ET76" s="6032"/>
      <c r="EU76" s="6032"/>
      <c r="EV76" s="6032"/>
      <c r="EW76" s="6032"/>
      <c r="EX76" s="6032"/>
      <c r="EY76" s="6032"/>
      <c r="EZ76" s="6032"/>
      <c r="FA76" s="6032"/>
      <c r="FB76" s="6032"/>
      <c r="FC76" s="6032"/>
      <c r="FD76" s="6032"/>
      <c r="FE76" s="6032"/>
      <c r="FF76" s="6032"/>
      <c r="FG76" s="6032"/>
      <c r="FH76" s="3489"/>
      <c r="FI76" s="3489"/>
      <c r="FJ76" s="6033"/>
      <c r="FK76" s="6033"/>
      <c r="FL76" s="6033"/>
      <c r="FM76" s="6033"/>
      <c r="FN76" s="6033"/>
      <c r="FO76" s="6033"/>
      <c r="FP76" s="6033"/>
      <c r="FQ76" s="6033"/>
      <c r="FR76" s="6033"/>
      <c r="FS76" s="6033"/>
      <c r="FT76" s="6033"/>
      <c r="FU76" s="6033"/>
      <c r="FV76" s="3489"/>
      <c r="FW76" s="6029"/>
      <c r="GA76" s="6028"/>
      <c r="GC76" s="6032"/>
      <c r="GD76" s="6032"/>
      <c r="GE76" s="6032"/>
      <c r="GF76" s="6032"/>
      <c r="GG76" s="6032"/>
      <c r="GH76" s="6032"/>
      <c r="GI76" s="6032"/>
      <c r="GJ76" s="6032"/>
      <c r="GK76" s="6032"/>
      <c r="GL76" s="6032"/>
      <c r="GM76" s="6032"/>
      <c r="GN76" s="6032"/>
      <c r="GO76" s="6032"/>
      <c r="GP76" s="6032"/>
      <c r="GQ76" s="6032"/>
      <c r="GR76" s="6032"/>
      <c r="GS76" s="6032"/>
      <c r="GT76" s="6032"/>
      <c r="GU76" s="6032"/>
      <c r="GV76" s="6032"/>
      <c r="GW76" s="6032"/>
      <c r="GX76" s="6032"/>
      <c r="GY76" s="6032"/>
      <c r="GZ76" s="6032"/>
      <c r="HA76" s="3489"/>
      <c r="HB76" s="3489"/>
      <c r="HC76" s="6033"/>
      <c r="HD76" s="6033"/>
      <c r="HE76" s="6033"/>
      <c r="HF76" s="6033"/>
      <c r="HG76" s="6033"/>
      <c r="HH76" s="6033"/>
      <c r="HI76" s="6033"/>
      <c r="HJ76" s="6033"/>
      <c r="HK76" s="6033"/>
      <c r="HL76" s="6033"/>
      <c r="HM76" s="6033"/>
      <c r="HN76" s="6033"/>
      <c r="HO76" s="3489"/>
      <c r="HP76" s="6029"/>
      <c r="HT76" s="6028"/>
      <c r="HV76" s="6032"/>
      <c r="HW76" s="6032"/>
      <c r="HX76" s="6032"/>
      <c r="HY76" s="6032"/>
      <c r="HZ76" s="6032"/>
      <c r="IA76" s="6032"/>
      <c r="IB76" s="6032"/>
      <c r="IC76" s="6032"/>
      <c r="ID76" s="6032"/>
      <c r="IE76" s="6032"/>
      <c r="IF76" s="6032"/>
      <c r="IG76" s="6032"/>
      <c r="IH76" s="6032"/>
      <c r="II76" s="6032"/>
      <c r="IJ76" s="6032"/>
      <c r="IK76" s="6032"/>
      <c r="IL76" s="6032"/>
      <c r="IM76" s="6032"/>
      <c r="IN76" s="6032"/>
      <c r="IO76" s="6032"/>
      <c r="IP76" s="6032"/>
      <c r="IQ76" s="6032"/>
      <c r="IR76" s="6032"/>
      <c r="IS76" s="6032"/>
      <c r="IT76" s="3489"/>
      <c r="IU76" s="3489"/>
      <c r="IV76" s="6033"/>
      <c r="IW76" s="6033"/>
      <c r="IX76" s="6033"/>
      <c r="IY76" s="6033"/>
      <c r="IZ76" s="6033"/>
      <c r="JA76" s="6033"/>
      <c r="JB76" s="6033"/>
      <c r="JC76" s="6033"/>
      <c r="JD76" s="6033"/>
      <c r="JE76" s="6033"/>
      <c r="JF76" s="6033"/>
      <c r="JG76" s="6033"/>
      <c r="JH76" s="3489"/>
      <c r="JI76" s="6029"/>
      <c r="JM76" s="6028"/>
      <c r="JO76" s="6032"/>
      <c r="JP76" s="6032"/>
      <c r="JQ76" s="6032"/>
      <c r="JR76" s="6032"/>
      <c r="JS76" s="6032"/>
      <c r="JT76" s="6032"/>
      <c r="JU76" s="6032"/>
      <c r="JV76" s="6032"/>
      <c r="JW76" s="6032"/>
      <c r="JX76" s="6032"/>
      <c r="JY76" s="6032"/>
      <c r="JZ76" s="6032"/>
      <c r="KA76" s="6032"/>
      <c r="KB76" s="6032"/>
      <c r="KC76" s="6032"/>
      <c r="KD76" s="6032"/>
      <c r="KE76" s="6032"/>
      <c r="KF76" s="6032"/>
      <c r="KG76" s="6032"/>
      <c r="KH76" s="6032"/>
      <c r="KI76" s="6032"/>
      <c r="KJ76" s="6032"/>
      <c r="KK76" s="6032"/>
      <c r="KL76" s="6032"/>
      <c r="KM76" s="3489"/>
      <c r="KN76" s="3489"/>
      <c r="KO76" s="6033"/>
      <c r="KP76" s="6033"/>
      <c r="KQ76" s="6033"/>
      <c r="KR76" s="6033"/>
      <c r="KS76" s="6033"/>
      <c r="KT76" s="6033"/>
      <c r="KU76" s="6033"/>
      <c r="KV76" s="6033"/>
      <c r="KW76" s="6033"/>
      <c r="KX76" s="6033"/>
      <c r="KY76" s="6033"/>
      <c r="KZ76" s="6033"/>
      <c r="LA76" s="3489"/>
      <c r="LB76" s="6029"/>
      <c r="LC76" s="130"/>
      <c r="LF76" s="6028"/>
      <c r="LH76" s="6032"/>
      <c r="LI76" s="6032"/>
      <c r="LJ76" s="6032"/>
      <c r="LK76" s="6032"/>
      <c r="LL76" s="6032"/>
      <c r="LM76" s="6032"/>
      <c r="LN76" s="6032"/>
      <c r="LO76" s="6032"/>
      <c r="LP76" s="6032"/>
      <c r="LQ76" s="6032"/>
      <c r="LR76" s="6032"/>
      <c r="LS76" s="6032"/>
      <c r="LT76" s="6032"/>
      <c r="LU76" s="6032"/>
      <c r="LV76" s="6032"/>
      <c r="LW76" s="6032"/>
      <c r="LX76" s="6032"/>
      <c r="LY76" s="6032"/>
      <c r="LZ76" s="6032"/>
      <c r="MA76" s="6032"/>
      <c r="MB76" s="6032"/>
      <c r="MC76" s="6032"/>
      <c r="MD76" s="6032"/>
      <c r="ME76" s="6032"/>
      <c r="MF76" s="3489"/>
      <c r="MG76" s="3489"/>
      <c r="MH76" s="6033"/>
      <c r="MI76" s="6033"/>
      <c r="MJ76" s="6033"/>
      <c r="MK76" s="6033"/>
      <c r="ML76" s="6033"/>
      <c r="MM76" s="6033"/>
      <c r="MN76" s="6033"/>
      <c r="MO76" s="6033"/>
      <c r="MP76" s="6033"/>
      <c r="MQ76" s="6033"/>
      <c r="MR76" s="6033"/>
      <c r="MS76" s="6033"/>
      <c r="MT76" s="3489"/>
      <c r="MU76" s="6029"/>
      <c r="MV76" s="130"/>
      <c r="MY76" s="6028"/>
      <c r="NA76" s="6032"/>
      <c r="NB76" s="6032"/>
      <c r="NC76" s="6032"/>
      <c r="ND76" s="6032"/>
      <c r="NE76" s="6032"/>
      <c r="NF76" s="6032"/>
      <c r="NG76" s="6032"/>
      <c r="NH76" s="6032"/>
      <c r="NI76" s="6032"/>
      <c r="NJ76" s="6032"/>
      <c r="NK76" s="6032"/>
      <c r="NL76" s="6032"/>
      <c r="NM76" s="6032"/>
      <c r="NN76" s="6032"/>
      <c r="NO76" s="6032"/>
      <c r="NP76" s="6032"/>
      <c r="NQ76" s="6032"/>
      <c r="NR76" s="6032"/>
      <c r="NS76" s="6032"/>
      <c r="NT76" s="6032"/>
      <c r="NU76" s="6032"/>
      <c r="NV76" s="6032"/>
      <c r="NW76" s="6032"/>
      <c r="NX76" s="6032"/>
      <c r="NY76" s="3489"/>
      <c r="NZ76" s="3489"/>
      <c r="OA76" s="6033"/>
      <c r="OB76" s="6033"/>
      <c r="OC76" s="6033"/>
      <c r="OD76" s="6033"/>
      <c r="OE76" s="6033"/>
      <c r="OF76" s="6033"/>
      <c r="OG76" s="6033"/>
      <c r="OH76" s="6033"/>
      <c r="OI76" s="6033"/>
      <c r="OJ76" s="6033"/>
      <c r="OK76" s="6033"/>
      <c r="OL76" s="6033"/>
      <c r="OM76" s="3489"/>
      <c r="ON76" s="6029"/>
      <c r="OO76" s="130"/>
    </row>
    <row r="77" spans="3:405" s="1466" customFormat="1" ht="6" customHeight="1" x14ac:dyDescent="0.2">
      <c r="C77" s="6028"/>
      <c r="D77" s="6785" t="str">
        <f>_Calcs!$II$96</f>
        <v>Begrunnelser for tidsjusteringer</v>
      </c>
      <c r="E77" s="6785"/>
      <c r="F77" s="6785"/>
      <c r="G77" s="6785"/>
      <c r="H77" s="6785"/>
      <c r="I77" s="6785"/>
      <c r="J77" s="6785"/>
      <c r="K77" s="6785"/>
      <c r="L77" s="6785"/>
      <c r="M77" s="6785"/>
      <c r="N77" s="6785"/>
      <c r="O77" s="6785"/>
      <c r="P77" s="6785"/>
      <c r="Q77" s="6785"/>
      <c r="R77" s="6785"/>
      <c r="S77" s="6785"/>
      <c r="T77" s="6785"/>
      <c r="U77" s="6785"/>
      <c r="V77" s="6785"/>
      <c r="W77" s="6785"/>
      <c r="X77" s="6785"/>
      <c r="Y77" s="6785"/>
      <c r="Z77" s="6785"/>
      <c r="AA77" s="6785"/>
      <c r="AB77" s="6785"/>
      <c r="AC77" s="6785"/>
      <c r="AD77" s="3489"/>
      <c r="AE77" s="6033"/>
      <c r="AF77" s="6033"/>
      <c r="AG77" s="6034"/>
      <c r="AH77" s="6786" t="str">
        <f>_Calcs!$IK$131</f>
        <v>Stuff 1-1</v>
      </c>
      <c r="AI77" s="6786"/>
      <c r="AJ77" s="6786"/>
      <c r="AK77" s="6786"/>
      <c r="AL77" s="6786"/>
      <c r="AM77" s="6786"/>
      <c r="AN77" s="6786"/>
      <c r="AO77" s="6786"/>
      <c r="AP77" s="6786"/>
      <c r="AQ77" s="6035"/>
      <c r="AR77" s="6029"/>
      <c r="AV77" s="6028"/>
      <c r="AW77" s="6785" t="str">
        <f>_Calcs!$II$96</f>
        <v>Begrunnelser for tidsjusteringer</v>
      </c>
      <c r="AX77" s="6785"/>
      <c r="AY77" s="6785"/>
      <c r="AZ77" s="6785"/>
      <c r="BA77" s="6785"/>
      <c r="BB77" s="6785"/>
      <c r="BC77" s="6785"/>
      <c r="BD77" s="6785"/>
      <c r="BE77" s="6785"/>
      <c r="BF77" s="6785"/>
      <c r="BG77" s="6785"/>
      <c r="BH77" s="6785"/>
      <c r="BI77" s="6785"/>
      <c r="BJ77" s="6785"/>
      <c r="BK77" s="6785"/>
      <c r="BL77" s="6785"/>
      <c r="BM77" s="6785"/>
      <c r="BN77" s="6785"/>
      <c r="BO77" s="6785"/>
      <c r="BP77" s="6785"/>
      <c r="BQ77" s="6785"/>
      <c r="BR77" s="6785"/>
      <c r="BS77" s="6785"/>
      <c r="BT77" s="6785"/>
      <c r="BU77" s="6785"/>
      <c r="BV77" s="6785"/>
      <c r="BW77" s="3489"/>
      <c r="BX77" s="6033"/>
      <c r="BY77" s="6033"/>
      <c r="BZ77" s="6034"/>
      <c r="CA77" s="6786" t="str">
        <f>_Calcs!$IL$131</f>
        <v/>
      </c>
      <c r="CB77" s="6786"/>
      <c r="CC77" s="6786"/>
      <c r="CD77" s="6786"/>
      <c r="CE77" s="6786"/>
      <c r="CF77" s="6786"/>
      <c r="CG77" s="6786"/>
      <c r="CH77" s="6786"/>
      <c r="CI77" s="6786"/>
      <c r="CJ77" s="6035"/>
      <c r="CK77" s="6029"/>
      <c r="CO77" s="6028"/>
      <c r="CP77" s="6785" t="str">
        <f>_Calcs!$II$96</f>
        <v>Begrunnelser for tidsjusteringer</v>
      </c>
      <c r="CQ77" s="6785"/>
      <c r="CR77" s="6785"/>
      <c r="CS77" s="6785"/>
      <c r="CT77" s="6785"/>
      <c r="CU77" s="6785"/>
      <c r="CV77" s="6785"/>
      <c r="CW77" s="6785"/>
      <c r="CX77" s="6785"/>
      <c r="CY77" s="6785"/>
      <c r="CZ77" s="6785"/>
      <c r="DA77" s="6785"/>
      <c r="DB77" s="6785"/>
      <c r="DC77" s="6785"/>
      <c r="DD77" s="6785"/>
      <c r="DE77" s="6785"/>
      <c r="DF77" s="6785"/>
      <c r="DG77" s="6785"/>
      <c r="DH77" s="6785"/>
      <c r="DI77" s="6785"/>
      <c r="DJ77" s="6785"/>
      <c r="DK77" s="6785"/>
      <c r="DL77" s="6785"/>
      <c r="DM77" s="6785"/>
      <c r="DN77" s="6785"/>
      <c r="DO77" s="6785"/>
      <c r="DP77" s="3489"/>
      <c r="DQ77" s="6033"/>
      <c r="DR77" s="6033"/>
      <c r="DS77" s="6034"/>
      <c r="DT77" s="6786" t="str">
        <f>_Calcs!$IM$131</f>
        <v/>
      </c>
      <c r="DU77" s="6786"/>
      <c r="DV77" s="6786"/>
      <c r="DW77" s="6786"/>
      <c r="DX77" s="6786"/>
      <c r="DY77" s="6786"/>
      <c r="DZ77" s="6786"/>
      <c r="EA77" s="6786"/>
      <c r="EB77" s="6786"/>
      <c r="EC77" s="6035"/>
      <c r="ED77" s="6029"/>
      <c r="EH77" s="6028"/>
      <c r="EI77" s="6785" t="str">
        <f>_Calcs!$II$96</f>
        <v>Begrunnelser for tidsjusteringer</v>
      </c>
      <c r="EJ77" s="6785"/>
      <c r="EK77" s="6785"/>
      <c r="EL77" s="6785"/>
      <c r="EM77" s="6785"/>
      <c r="EN77" s="6785"/>
      <c r="EO77" s="6785"/>
      <c r="EP77" s="6785"/>
      <c r="EQ77" s="6785"/>
      <c r="ER77" s="6785"/>
      <c r="ES77" s="6785"/>
      <c r="ET77" s="6785"/>
      <c r="EU77" s="6785"/>
      <c r="EV77" s="6785"/>
      <c r="EW77" s="6785"/>
      <c r="EX77" s="6785"/>
      <c r="EY77" s="6785"/>
      <c r="EZ77" s="6785"/>
      <c r="FA77" s="6785"/>
      <c r="FB77" s="6785"/>
      <c r="FC77" s="6785"/>
      <c r="FD77" s="6785"/>
      <c r="FE77" s="6785"/>
      <c r="FF77" s="6785"/>
      <c r="FG77" s="6785"/>
      <c r="FH77" s="6785"/>
      <c r="FI77" s="3489"/>
      <c r="FJ77" s="6033"/>
      <c r="FK77" s="6033"/>
      <c r="FL77" s="6034"/>
      <c r="FM77" s="6786" t="str">
        <f>_Calcs!$IN$131</f>
        <v/>
      </c>
      <c r="FN77" s="6786"/>
      <c r="FO77" s="6786"/>
      <c r="FP77" s="6786"/>
      <c r="FQ77" s="6786"/>
      <c r="FR77" s="6786"/>
      <c r="FS77" s="6786"/>
      <c r="FT77" s="6786"/>
      <c r="FU77" s="6786"/>
      <c r="FV77" s="6035"/>
      <c r="FW77" s="6029"/>
      <c r="GA77" s="6028"/>
      <c r="GB77" s="6785" t="str">
        <f>_Calcs!$II$96</f>
        <v>Begrunnelser for tidsjusteringer</v>
      </c>
      <c r="GC77" s="6785"/>
      <c r="GD77" s="6785"/>
      <c r="GE77" s="6785"/>
      <c r="GF77" s="6785"/>
      <c r="GG77" s="6785"/>
      <c r="GH77" s="6785"/>
      <c r="GI77" s="6785"/>
      <c r="GJ77" s="6785"/>
      <c r="GK77" s="6785"/>
      <c r="GL77" s="6785"/>
      <c r="GM77" s="6785"/>
      <c r="GN77" s="6785"/>
      <c r="GO77" s="6785"/>
      <c r="GP77" s="6785"/>
      <c r="GQ77" s="6785"/>
      <c r="GR77" s="6785"/>
      <c r="GS77" s="6785"/>
      <c r="GT77" s="6785"/>
      <c r="GU77" s="6785"/>
      <c r="GV77" s="6785"/>
      <c r="GW77" s="6785"/>
      <c r="GX77" s="6785"/>
      <c r="GY77" s="6785"/>
      <c r="GZ77" s="6785"/>
      <c r="HA77" s="6785"/>
      <c r="HB77" s="3489"/>
      <c r="HC77" s="6033"/>
      <c r="HD77" s="6033"/>
      <c r="HE77" s="6034"/>
      <c r="HF77" s="6786" t="str">
        <f>_Calcs!$IO$131</f>
        <v/>
      </c>
      <c r="HG77" s="6786"/>
      <c r="HH77" s="6786"/>
      <c r="HI77" s="6786"/>
      <c r="HJ77" s="6786"/>
      <c r="HK77" s="6786"/>
      <c r="HL77" s="6786"/>
      <c r="HM77" s="6786"/>
      <c r="HN77" s="6786"/>
      <c r="HO77" s="6035"/>
      <c r="HP77" s="6029"/>
      <c r="HT77" s="6028"/>
      <c r="HU77" s="6785" t="str">
        <f>_Calcs!$II$96</f>
        <v>Begrunnelser for tidsjusteringer</v>
      </c>
      <c r="HV77" s="6785"/>
      <c r="HW77" s="6785"/>
      <c r="HX77" s="6785"/>
      <c r="HY77" s="6785"/>
      <c r="HZ77" s="6785"/>
      <c r="IA77" s="6785"/>
      <c r="IB77" s="6785"/>
      <c r="IC77" s="6785"/>
      <c r="ID77" s="6785"/>
      <c r="IE77" s="6785"/>
      <c r="IF77" s="6785"/>
      <c r="IG77" s="6785"/>
      <c r="IH77" s="6785"/>
      <c r="II77" s="6785"/>
      <c r="IJ77" s="6785"/>
      <c r="IK77" s="6785"/>
      <c r="IL77" s="6785"/>
      <c r="IM77" s="6785"/>
      <c r="IN77" s="6785"/>
      <c r="IO77" s="6785"/>
      <c r="IP77" s="6785"/>
      <c r="IQ77" s="6785"/>
      <c r="IR77" s="6785"/>
      <c r="IS77" s="6785"/>
      <c r="IT77" s="6785"/>
      <c r="IU77" s="3489"/>
      <c r="IV77" s="6033"/>
      <c r="IW77" s="6033"/>
      <c r="IX77" s="6034"/>
      <c r="IY77" s="6786" t="str">
        <f>_Calcs!$IP$131</f>
        <v/>
      </c>
      <c r="IZ77" s="6786"/>
      <c r="JA77" s="6786"/>
      <c r="JB77" s="6786"/>
      <c r="JC77" s="6786"/>
      <c r="JD77" s="6786"/>
      <c r="JE77" s="6786"/>
      <c r="JF77" s="6786"/>
      <c r="JG77" s="6786"/>
      <c r="JH77" s="6035"/>
      <c r="JI77" s="6029"/>
      <c r="JM77" s="6028"/>
      <c r="JN77" s="6785" t="str">
        <f>_Calcs!$II$96</f>
        <v>Begrunnelser for tidsjusteringer</v>
      </c>
      <c r="JO77" s="6785"/>
      <c r="JP77" s="6785"/>
      <c r="JQ77" s="6785"/>
      <c r="JR77" s="6785"/>
      <c r="JS77" s="6785"/>
      <c r="JT77" s="6785"/>
      <c r="JU77" s="6785"/>
      <c r="JV77" s="6785"/>
      <c r="JW77" s="6785"/>
      <c r="JX77" s="6785"/>
      <c r="JY77" s="6785"/>
      <c r="JZ77" s="6785"/>
      <c r="KA77" s="6785"/>
      <c r="KB77" s="6785"/>
      <c r="KC77" s="6785"/>
      <c r="KD77" s="6785"/>
      <c r="KE77" s="6785"/>
      <c r="KF77" s="6785"/>
      <c r="KG77" s="6785"/>
      <c r="KH77" s="6785"/>
      <c r="KI77" s="6785"/>
      <c r="KJ77" s="6785"/>
      <c r="KK77" s="6785"/>
      <c r="KL77" s="6785"/>
      <c r="KM77" s="6785"/>
      <c r="KN77" s="3489"/>
      <c r="KO77" s="6033"/>
      <c r="KP77" s="6033"/>
      <c r="KQ77" s="6034"/>
      <c r="KR77" s="6786" t="str">
        <f>_Calcs!$IQ$131</f>
        <v/>
      </c>
      <c r="KS77" s="6786"/>
      <c r="KT77" s="6786"/>
      <c r="KU77" s="6786"/>
      <c r="KV77" s="6786"/>
      <c r="KW77" s="6786"/>
      <c r="KX77" s="6786"/>
      <c r="KY77" s="6786"/>
      <c r="KZ77" s="6786"/>
      <c r="LA77" s="6035"/>
      <c r="LB77" s="6029"/>
      <c r="LC77" s="130"/>
      <c r="LF77" s="6028"/>
      <c r="LG77" s="6785" t="str">
        <f>_Calcs!$II$96</f>
        <v>Begrunnelser for tidsjusteringer</v>
      </c>
      <c r="LH77" s="6785"/>
      <c r="LI77" s="6785"/>
      <c r="LJ77" s="6785"/>
      <c r="LK77" s="6785"/>
      <c r="LL77" s="6785"/>
      <c r="LM77" s="6785"/>
      <c r="LN77" s="6785"/>
      <c r="LO77" s="6785"/>
      <c r="LP77" s="6785"/>
      <c r="LQ77" s="6785"/>
      <c r="LR77" s="6785"/>
      <c r="LS77" s="6785"/>
      <c r="LT77" s="6785"/>
      <c r="LU77" s="6785"/>
      <c r="LV77" s="6785"/>
      <c r="LW77" s="6785"/>
      <c r="LX77" s="6785"/>
      <c r="LY77" s="6785"/>
      <c r="LZ77" s="6785"/>
      <c r="MA77" s="6785"/>
      <c r="MB77" s="6785"/>
      <c r="MC77" s="6785"/>
      <c r="MD77" s="6785"/>
      <c r="ME77" s="6785"/>
      <c r="MF77" s="6785"/>
      <c r="MG77" s="3489"/>
      <c r="MH77" s="6033"/>
      <c r="MI77" s="6033"/>
      <c r="MJ77" s="6034"/>
      <c r="MK77" s="6786" t="str">
        <f>_Calcs!$IR$131</f>
        <v/>
      </c>
      <c r="ML77" s="6786"/>
      <c r="MM77" s="6786"/>
      <c r="MN77" s="6786"/>
      <c r="MO77" s="6786"/>
      <c r="MP77" s="6786"/>
      <c r="MQ77" s="6786"/>
      <c r="MR77" s="6786"/>
      <c r="MS77" s="6786"/>
      <c r="MT77" s="6035"/>
      <c r="MU77" s="6029"/>
      <c r="MV77" s="130"/>
      <c r="MY77" s="6028"/>
      <c r="MZ77" s="6785" t="str">
        <f>_Calcs!$II$96</f>
        <v>Begrunnelser for tidsjusteringer</v>
      </c>
      <c r="NA77" s="6785"/>
      <c r="NB77" s="6785"/>
      <c r="NC77" s="6785"/>
      <c r="ND77" s="6785"/>
      <c r="NE77" s="6785"/>
      <c r="NF77" s="6785"/>
      <c r="NG77" s="6785"/>
      <c r="NH77" s="6785"/>
      <c r="NI77" s="6785"/>
      <c r="NJ77" s="6785"/>
      <c r="NK77" s="6785"/>
      <c r="NL77" s="6785"/>
      <c r="NM77" s="6785"/>
      <c r="NN77" s="6785"/>
      <c r="NO77" s="6785"/>
      <c r="NP77" s="6785"/>
      <c r="NQ77" s="6785"/>
      <c r="NR77" s="6785"/>
      <c r="NS77" s="6785"/>
      <c r="NT77" s="6785"/>
      <c r="NU77" s="6785"/>
      <c r="NV77" s="6785"/>
      <c r="NW77" s="6785"/>
      <c r="NX77" s="6785"/>
      <c r="NY77" s="6785"/>
      <c r="NZ77" s="3489"/>
      <c r="OA77" s="6033"/>
      <c r="OB77" s="6033"/>
      <c r="OC77" s="6034"/>
      <c r="OD77" s="6786" t="str">
        <f>_Calcs!$IS$131</f>
        <v/>
      </c>
      <c r="OE77" s="6786"/>
      <c r="OF77" s="6786"/>
      <c r="OG77" s="6786"/>
      <c r="OH77" s="6786"/>
      <c r="OI77" s="6786"/>
      <c r="OJ77" s="6786"/>
      <c r="OK77" s="6786"/>
      <c r="OL77" s="6786"/>
      <c r="OM77" s="6035"/>
      <c r="ON77" s="6029"/>
      <c r="OO77" s="130"/>
    </row>
    <row r="78" spans="3:405" s="5321" customFormat="1" ht="12" customHeight="1" x14ac:dyDescent="0.2">
      <c r="C78" s="6036"/>
      <c r="D78" s="6785"/>
      <c r="E78" s="6785"/>
      <c r="F78" s="6785"/>
      <c r="G78" s="6785"/>
      <c r="H78" s="6785"/>
      <c r="I78" s="6785"/>
      <c r="J78" s="6785"/>
      <c r="K78" s="6785"/>
      <c r="L78" s="6785"/>
      <c r="M78" s="6785"/>
      <c r="N78" s="6785"/>
      <c r="O78" s="6785"/>
      <c r="P78" s="6785"/>
      <c r="Q78" s="6785"/>
      <c r="R78" s="6785"/>
      <c r="S78" s="6785"/>
      <c r="T78" s="6785"/>
      <c r="U78" s="6785"/>
      <c r="V78" s="6785"/>
      <c r="W78" s="6785"/>
      <c r="X78" s="6785"/>
      <c r="Y78" s="6785"/>
      <c r="Z78" s="6785"/>
      <c r="AA78" s="6785"/>
      <c r="AB78" s="6785"/>
      <c r="AC78" s="6785"/>
      <c r="AE78" s="6033"/>
      <c r="AF78" s="6033"/>
      <c r="AG78" s="6037"/>
      <c r="AH78" s="6787"/>
      <c r="AI78" s="6787"/>
      <c r="AJ78" s="6787"/>
      <c r="AK78" s="6787"/>
      <c r="AL78" s="6787"/>
      <c r="AM78" s="6787"/>
      <c r="AN78" s="6787"/>
      <c r="AO78" s="6787"/>
      <c r="AP78" s="6787"/>
      <c r="AQ78" s="6038"/>
      <c r="AR78" s="6039"/>
      <c r="AV78" s="6036"/>
      <c r="AW78" s="6785"/>
      <c r="AX78" s="6785"/>
      <c r="AY78" s="6785"/>
      <c r="AZ78" s="6785"/>
      <c r="BA78" s="6785"/>
      <c r="BB78" s="6785"/>
      <c r="BC78" s="6785"/>
      <c r="BD78" s="6785"/>
      <c r="BE78" s="6785"/>
      <c r="BF78" s="6785"/>
      <c r="BG78" s="6785"/>
      <c r="BH78" s="6785"/>
      <c r="BI78" s="6785"/>
      <c r="BJ78" s="6785"/>
      <c r="BK78" s="6785"/>
      <c r="BL78" s="6785"/>
      <c r="BM78" s="6785"/>
      <c r="BN78" s="6785"/>
      <c r="BO78" s="6785"/>
      <c r="BP78" s="6785"/>
      <c r="BQ78" s="6785"/>
      <c r="BR78" s="6785"/>
      <c r="BS78" s="6785"/>
      <c r="BT78" s="6785"/>
      <c r="BU78" s="6785"/>
      <c r="BV78" s="6785"/>
      <c r="BX78" s="6033"/>
      <c r="BY78" s="6033"/>
      <c r="BZ78" s="6037"/>
      <c r="CA78" s="6787"/>
      <c r="CB78" s="6787"/>
      <c r="CC78" s="6787"/>
      <c r="CD78" s="6787"/>
      <c r="CE78" s="6787"/>
      <c r="CF78" s="6787"/>
      <c r="CG78" s="6787"/>
      <c r="CH78" s="6787"/>
      <c r="CI78" s="6787"/>
      <c r="CJ78" s="6038"/>
      <c r="CK78" s="6039"/>
      <c r="CO78" s="6036"/>
      <c r="CP78" s="6785"/>
      <c r="CQ78" s="6785"/>
      <c r="CR78" s="6785"/>
      <c r="CS78" s="6785"/>
      <c r="CT78" s="6785"/>
      <c r="CU78" s="6785"/>
      <c r="CV78" s="6785"/>
      <c r="CW78" s="6785"/>
      <c r="CX78" s="6785"/>
      <c r="CY78" s="6785"/>
      <c r="CZ78" s="6785"/>
      <c r="DA78" s="6785"/>
      <c r="DB78" s="6785"/>
      <c r="DC78" s="6785"/>
      <c r="DD78" s="6785"/>
      <c r="DE78" s="6785"/>
      <c r="DF78" s="6785"/>
      <c r="DG78" s="6785"/>
      <c r="DH78" s="6785"/>
      <c r="DI78" s="6785"/>
      <c r="DJ78" s="6785"/>
      <c r="DK78" s="6785"/>
      <c r="DL78" s="6785"/>
      <c r="DM78" s="6785"/>
      <c r="DN78" s="6785"/>
      <c r="DO78" s="6785"/>
      <c r="DQ78" s="6033"/>
      <c r="DR78" s="6033"/>
      <c r="DS78" s="6037"/>
      <c r="DT78" s="6787"/>
      <c r="DU78" s="6787"/>
      <c r="DV78" s="6787"/>
      <c r="DW78" s="6787"/>
      <c r="DX78" s="6787"/>
      <c r="DY78" s="6787"/>
      <c r="DZ78" s="6787"/>
      <c r="EA78" s="6787"/>
      <c r="EB78" s="6787"/>
      <c r="EC78" s="6038"/>
      <c r="ED78" s="6039"/>
      <c r="EH78" s="6036"/>
      <c r="EI78" s="6785"/>
      <c r="EJ78" s="6785"/>
      <c r="EK78" s="6785"/>
      <c r="EL78" s="6785"/>
      <c r="EM78" s="6785"/>
      <c r="EN78" s="6785"/>
      <c r="EO78" s="6785"/>
      <c r="EP78" s="6785"/>
      <c r="EQ78" s="6785"/>
      <c r="ER78" s="6785"/>
      <c r="ES78" s="6785"/>
      <c r="ET78" s="6785"/>
      <c r="EU78" s="6785"/>
      <c r="EV78" s="6785"/>
      <c r="EW78" s="6785"/>
      <c r="EX78" s="6785"/>
      <c r="EY78" s="6785"/>
      <c r="EZ78" s="6785"/>
      <c r="FA78" s="6785"/>
      <c r="FB78" s="6785"/>
      <c r="FC78" s="6785"/>
      <c r="FD78" s="6785"/>
      <c r="FE78" s="6785"/>
      <c r="FF78" s="6785"/>
      <c r="FG78" s="6785"/>
      <c r="FH78" s="6785"/>
      <c r="FJ78" s="6033"/>
      <c r="FK78" s="6033"/>
      <c r="FL78" s="6037"/>
      <c r="FM78" s="6787"/>
      <c r="FN78" s="6787"/>
      <c r="FO78" s="6787"/>
      <c r="FP78" s="6787"/>
      <c r="FQ78" s="6787"/>
      <c r="FR78" s="6787"/>
      <c r="FS78" s="6787"/>
      <c r="FT78" s="6787"/>
      <c r="FU78" s="6787"/>
      <c r="FV78" s="6038"/>
      <c r="FW78" s="6039"/>
      <c r="GA78" s="6036"/>
      <c r="GB78" s="6785"/>
      <c r="GC78" s="6785"/>
      <c r="GD78" s="6785"/>
      <c r="GE78" s="6785"/>
      <c r="GF78" s="6785"/>
      <c r="GG78" s="6785"/>
      <c r="GH78" s="6785"/>
      <c r="GI78" s="6785"/>
      <c r="GJ78" s="6785"/>
      <c r="GK78" s="6785"/>
      <c r="GL78" s="6785"/>
      <c r="GM78" s="6785"/>
      <c r="GN78" s="6785"/>
      <c r="GO78" s="6785"/>
      <c r="GP78" s="6785"/>
      <c r="GQ78" s="6785"/>
      <c r="GR78" s="6785"/>
      <c r="GS78" s="6785"/>
      <c r="GT78" s="6785"/>
      <c r="GU78" s="6785"/>
      <c r="GV78" s="6785"/>
      <c r="GW78" s="6785"/>
      <c r="GX78" s="6785"/>
      <c r="GY78" s="6785"/>
      <c r="GZ78" s="6785"/>
      <c r="HA78" s="6785"/>
      <c r="HC78" s="6033"/>
      <c r="HD78" s="6033"/>
      <c r="HE78" s="6037"/>
      <c r="HF78" s="6787"/>
      <c r="HG78" s="6787"/>
      <c r="HH78" s="6787"/>
      <c r="HI78" s="6787"/>
      <c r="HJ78" s="6787"/>
      <c r="HK78" s="6787"/>
      <c r="HL78" s="6787"/>
      <c r="HM78" s="6787"/>
      <c r="HN78" s="6787"/>
      <c r="HO78" s="6038"/>
      <c r="HP78" s="6039"/>
      <c r="HT78" s="6036"/>
      <c r="HU78" s="6785"/>
      <c r="HV78" s="6785"/>
      <c r="HW78" s="6785"/>
      <c r="HX78" s="6785"/>
      <c r="HY78" s="6785"/>
      <c r="HZ78" s="6785"/>
      <c r="IA78" s="6785"/>
      <c r="IB78" s="6785"/>
      <c r="IC78" s="6785"/>
      <c r="ID78" s="6785"/>
      <c r="IE78" s="6785"/>
      <c r="IF78" s="6785"/>
      <c r="IG78" s="6785"/>
      <c r="IH78" s="6785"/>
      <c r="II78" s="6785"/>
      <c r="IJ78" s="6785"/>
      <c r="IK78" s="6785"/>
      <c r="IL78" s="6785"/>
      <c r="IM78" s="6785"/>
      <c r="IN78" s="6785"/>
      <c r="IO78" s="6785"/>
      <c r="IP78" s="6785"/>
      <c r="IQ78" s="6785"/>
      <c r="IR78" s="6785"/>
      <c r="IS78" s="6785"/>
      <c r="IT78" s="6785"/>
      <c r="IV78" s="6033"/>
      <c r="IW78" s="6033"/>
      <c r="IX78" s="6037"/>
      <c r="IY78" s="6787"/>
      <c r="IZ78" s="6787"/>
      <c r="JA78" s="6787"/>
      <c r="JB78" s="6787"/>
      <c r="JC78" s="6787"/>
      <c r="JD78" s="6787"/>
      <c r="JE78" s="6787"/>
      <c r="JF78" s="6787"/>
      <c r="JG78" s="6787"/>
      <c r="JH78" s="6038"/>
      <c r="JI78" s="6039"/>
      <c r="JM78" s="6036"/>
      <c r="JN78" s="6785"/>
      <c r="JO78" s="6785"/>
      <c r="JP78" s="6785"/>
      <c r="JQ78" s="6785"/>
      <c r="JR78" s="6785"/>
      <c r="JS78" s="6785"/>
      <c r="JT78" s="6785"/>
      <c r="JU78" s="6785"/>
      <c r="JV78" s="6785"/>
      <c r="JW78" s="6785"/>
      <c r="JX78" s="6785"/>
      <c r="JY78" s="6785"/>
      <c r="JZ78" s="6785"/>
      <c r="KA78" s="6785"/>
      <c r="KB78" s="6785"/>
      <c r="KC78" s="6785"/>
      <c r="KD78" s="6785"/>
      <c r="KE78" s="6785"/>
      <c r="KF78" s="6785"/>
      <c r="KG78" s="6785"/>
      <c r="KH78" s="6785"/>
      <c r="KI78" s="6785"/>
      <c r="KJ78" s="6785"/>
      <c r="KK78" s="6785"/>
      <c r="KL78" s="6785"/>
      <c r="KM78" s="6785"/>
      <c r="KO78" s="6033"/>
      <c r="KP78" s="6033"/>
      <c r="KQ78" s="6037"/>
      <c r="KR78" s="6787"/>
      <c r="KS78" s="6787"/>
      <c r="KT78" s="6787"/>
      <c r="KU78" s="6787"/>
      <c r="KV78" s="6787"/>
      <c r="KW78" s="6787"/>
      <c r="KX78" s="6787"/>
      <c r="KY78" s="6787"/>
      <c r="KZ78" s="6787"/>
      <c r="LA78" s="6038"/>
      <c r="LB78" s="6039"/>
      <c r="LC78" s="7"/>
      <c r="LF78" s="6036"/>
      <c r="LG78" s="6785"/>
      <c r="LH78" s="6785"/>
      <c r="LI78" s="6785"/>
      <c r="LJ78" s="6785"/>
      <c r="LK78" s="6785"/>
      <c r="LL78" s="6785"/>
      <c r="LM78" s="6785"/>
      <c r="LN78" s="6785"/>
      <c r="LO78" s="6785"/>
      <c r="LP78" s="6785"/>
      <c r="LQ78" s="6785"/>
      <c r="LR78" s="6785"/>
      <c r="LS78" s="6785"/>
      <c r="LT78" s="6785"/>
      <c r="LU78" s="6785"/>
      <c r="LV78" s="6785"/>
      <c r="LW78" s="6785"/>
      <c r="LX78" s="6785"/>
      <c r="LY78" s="6785"/>
      <c r="LZ78" s="6785"/>
      <c r="MA78" s="6785"/>
      <c r="MB78" s="6785"/>
      <c r="MC78" s="6785"/>
      <c r="MD78" s="6785"/>
      <c r="ME78" s="6785"/>
      <c r="MF78" s="6785"/>
      <c r="MH78" s="6033"/>
      <c r="MI78" s="6033"/>
      <c r="MJ78" s="6037"/>
      <c r="MK78" s="6787"/>
      <c r="ML78" s="6787"/>
      <c r="MM78" s="6787"/>
      <c r="MN78" s="6787"/>
      <c r="MO78" s="6787"/>
      <c r="MP78" s="6787"/>
      <c r="MQ78" s="6787"/>
      <c r="MR78" s="6787"/>
      <c r="MS78" s="6787"/>
      <c r="MT78" s="6038"/>
      <c r="MU78" s="6039"/>
      <c r="MV78" s="7"/>
      <c r="MY78" s="6036"/>
      <c r="MZ78" s="6785"/>
      <c r="NA78" s="6785"/>
      <c r="NB78" s="6785"/>
      <c r="NC78" s="6785"/>
      <c r="ND78" s="6785"/>
      <c r="NE78" s="6785"/>
      <c r="NF78" s="6785"/>
      <c r="NG78" s="6785"/>
      <c r="NH78" s="6785"/>
      <c r="NI78" s="6785"/>
      <c r="NJ78" s="6785"/>
      <c r="NK78" s="6785"/>
      <c r="NL78" s="6785"/>
      <c r="NM78" s="6785"/>
      <c r="NN78" s="6785"/>
      <c r="NO78" s="6785"/>
      <c r="NP78" s="6785"/>
      <c r="NQ78" s="6785"/>
      <c r="NR78" s="6785"/>
      <c r="NS78" s="6785"/>
      <c r="NT78" s="6785"/>
      <c r="NU78" s="6785"/>
      <c r="NV78" s="6785"/>
      <c r="NW78" s="6785"/>
      <c r="NX78" s="6785"/>
      <c r="NY78" s="6785"/>
      <c r="OA78" s="6033"/>
      <c r="OB78" s="6033"/>
      <c r="OC78" s="6037"/>
      <c r="OD78" s="6787"/>
      <c r="OE78" s="6787"/>
      <c r="OF78" s="6787"/>
      <c r="OG78" s="6787"/>
      <c r="OH78" s="6787"/>
      <c r="OI78" s="6787"/>
      <c r="OJ78" s="6787"/>
      <c r="OK78" s="6787"/>
      <c r="OL78" s="6787"/>
      <c r="OM78" s="6038"/>
      <c r="ON78" s="6039"/>
      <c r="OO78" s="7"/>
    </row>
    <row r="79" spans="3:405" s="1466" customFormat="1" ht="6" customHeight="1" thickBot="1" x14ac:dyDescent="0.25">
      <c r="C79" s="6040"/>
      <c r="D79" s="6785"/>
      <c r="E79" s="6785"/>
      <c r="F79" s="6785"/>
      <c r="G79" s="6785"/>
      <c r="H79" s="6785"/>
      <c r="I79" s="6785"/>
      <c r="J79" s="6785"/>
      <c r="K79" s="6785"/>
      <c r="L79" s="6785"/>
      <c r="M79" s="6785"/>
      <c r="N79" s="6785"/>
      <c r="O79" s="6785"/>
      <c r="P79" s="6785"/>
      <c r="Q79" s="6785"/>
      <c r="R79" s="6785"/>
      <c r="S79" s="6785"/>
      <c r="T79" s="6785"/>
      <c r="U79" s="6785"/>
      <c r="V79" s="6785"/>
      <c r="W79" s="6785"/>
      <c r="X79" s="6785"/>
      <c r="Y79" s="6785"/>
      <c r="Z79" s="6785"/>
      <c r="AA79" s="6785"/>
      <c r="AB79" s="6785"/>
      <c r="AC79" s="6785"/>
      <c r="AE79" s="6033"/>
      <c r="AF79" s="6033"/>
      <c r="AG79" s="6041"/>
      <c r="AH79" s="6788"/>
      <c r="AI79" s="6788"/>
      <c r="AJ79" s="6788"/>
      <c r="AK79" s="6788"/>
      <c r="AL79" s="6788"/>
      <c r="AM79" s="6788"/>
      <c r="AN79" s="6788"/>
      <c r="AO79" s="6788"/>
      <c r="AP79" s="6788"/>
      <c r="AQ79" s="6042"/>
      <c r="AR79" s="6043"/>
      <c r="AV79" s="6040"/>
      <c r="AW79" s="6785"/>
      <c r="AX79" s="6785"/>
      <c r="AY79" s="6785"/>
      <c r="AZ79" s="6785"/>
      <c r="BA79" s="6785"/>
      <c r="BB79" s="6785"/>
      <c r="BC79" s="6785"/>
      <c r="BD79" s="6785"/>
      <c r="BE79" s="6785"/>
      <c r="BF79" s="6785"/>
      <c r="BG79" s="6785"/>
      <c r="BH79" s="6785"/>
      <c r="BI79" s="6785"/>
      <c r="BJ79" s="6785"/>
      <c r="BK79" s="6785"/>
      <c r="BL79" s="6785"/>
      <c r="BM79" s="6785"/>
      <c r="BN79" s="6785"/>
      <c r="BO79" s="6785"/>
      <c r="BP79" s="6785"/>
      <c r="BQ79" s="6785"/>
      <c r="BR79" s="6785"/>
      <c r="BS79" s="6785"/>
      <c r="BT79" s="6785"/>
      <c r="BU79" s="6785"/>
      <c r="BV79" s="6785"/>
      <c r="BX79" s="6033"/>
      <c r="BY79" s="6033"/>
      <c r="BZ79" s="6041"/>
      <c r="CA79" s="6788"/>
      <c r="CB79" s="6788"/>
      <c r="CC79" s="6788"/>
      <c r="CD79" s="6788"/>
      <c r="CE79" s="6788"/>
      <c r="CF79" s="6788"/>
      <c r="CG79" s="6788"/>
      <c r="CH79" s="6788"/>
      <c r="CI79" s="6788"/>
      <c r="CJ79" s="6042"/>
      <c r="CK79" s="6043"/>
      <c r="CO79" s="6040"/>
      <c r="CP79" s="6785"/>
      <c r="CQ79" s="6785"/>
      <c r="CR79" s="6785"/>
      <c r="CS79" s="6785"/>
      <c r="CT79" s="6785"/>
      <c r="CU79" s="6785"/>
      <c r="CV79" s="6785"/>
      <c r="CW79" s="6785"/>
      <c r="CX79" s="6785"/>
      <c r="CY79" s="6785"/>
      <c r="CZ79" s="6785"/>
      <c r="DA79" s="6785"/>
      <c r="DB79" s="6785"/>
      <c r="DC79" s="6785"/>
      <c r="DD79" s="6785"/>
      <c r="DE79" s="6785"/>
      <c r="DF79" s="6785"/>
      <c r="DG79" s="6785"/>
      <c r="DH79" s="6785"/>
      <c r="DI79" s="6785"/>
      <c r="DJ79" s="6785"/>
      <c r="DK79" s="6785"/>
      <c r="DL79" s="6785"/>
      <c r="DM79" s="6785"/>
      <c r="DN79" s="6785"/>
      <c r="DO79" s="6785"/>
      <c r="DQ79" s="6033"/>
      <c r="DR79" s="6033"/>
      <c r="DS79" s="6041"/>
      <c r="DT79" s="6788"/>
      <c r="DU79" s="6788"/>
      <c r="DV79" s="6788"/>
      <c r="DW79" s="6788"/>
      <c r="DX79" s="6788"/>
      <c r="DY79" s="6788"/>
      <c r="DZ79" s="6788"/>
      <c r="EA79" s="6788"/>
      <c r="EB79" s="6788"/>
      <c r="EC79" s="6042"/>
      <c r="ED79" s="6043"/>
      <c r="EH79" s="6040"/>
      <c r="EI79" s="6785"/>
      <c r="EJ79" s="6785"/>
      <c r="EK79" s="6785"/>
      <c r="EL79" s="6785"/>
      <c r="EM79" s="6785"/>
      <c r="EN79" s="6785"/>
      <c r="EO79" s="6785"/>
      <c r="EP79" s="6785"/>
      <c r="EQ79" s="6785"/>
      <c r="ER79" s="6785"/>
      <c r="ES79" s="6785"/>
      <c r="ET79" s="6785"/>
      <c r="EU79" s="6785"/>
      <c r="EV79" s="6785"/>
      <c r="EW79" s="6785"/>
      <c r="EX79" s="6785"/>
      <c r="EY79" s="6785"/>
      <c r="EZ79" s="6785"/>
      <c r="FA79" s="6785"/>
      <c r="FB79" s="6785"/>
      <c r="FC79" s="6785"/>
      <c r="FD79" s="6785"/>
      <c r="FE79" s="6785"/>
      <c r="FF79" s="6785"/>
      <c r="FG79" s="6785"/>
      <c r="FH79" s="6785"/>
      <c r="FJ79" s="6033"/>
      <c r="FK79" s="6033"/>
      <c r="FL79" s="6041"/>
      <c r="FM79" s="6788"/>
      <c r="FN79" s="6788"/>
      <c r="FO79" s="6788"/>
      <c r="FP79" s="6788"/>
      <c r="FQ79" s="6788"/>
      <c r="FR79" s="6788"/>
      <c r="FS79" s="6788"/>
      <c r="FT79" s="6788"/>
      <c r="FU79" s="6788"/>
      <c r="FV79" s="6042"/>
      <c r="FW79" s="6043"/>
      <c r="GA79" s="6040"/>
      <c r="GB79" s="6785"/>
      <c r="GC79" s="6785"/>
      <c r="GD79" s="6785"/>
      <c r="GE79" s="6785"/>
      <c r="GF79" s="6785"/>
      <c r="GG79" s="6785"/>
      <c r="GH79" s="6785"/>
      <c r="GI79" s="6785"/>
      <c r="GJ79" s="6785"/>
      <c r="GK79" s="6785"/>
      <c r="GL79" s="6785"/>
      <c r="GM79" s="6785"/>
      <c r="GN79" s="6785"/>
      <c r="GO79" s="6785"/>
      <c r="GP79" s="6785"/>
      <c r="GQ79" s="6785"/>
      <c r="GR79" s="6785"/>
      <c r="GS79" s="6785"/>
      <c r="GT79" s="6785"/>
      <c r="GU79" s="6785"/>
      <c r="GV79" s="6785"/>
      <c r="GW79" s="6785"/>
      <c r="GX79" s="6785"/>
      <c r="GY79" s="6785"/>
      <c r="GZ79" s="6785"/>
      <c r="HA79" s="6785"/>
      <c r="HC79" s="6033"/>
      <c r="HD79" s="6033"/>
      <c r="HE79" s="6041"/>
      <c r="HF79" s="6788"/>
      <c r="HG79" s="6788"/>
      <c r="HH79" s="6788"/>
      <c r="HI79" s="6788"/>
      <c r="HJ79" s="6788"/>
      <c r="HK79" s="6788"/>
      <c r="HL79" s="6788"/>
      <c r="HM79" s="6788"/>
      <c r="HN79" s="6788"/>
      <c r="HO79" s="6042"/>
      <c r="HP79" s="6043"/>
      <c r="HT79" s="6040"/>
      <c r="HU79" s="6785"/>
      <c r="HV79" s="6785"/>
      <c r="HW79" s="6785"/>
      <c r="HX79" s="6785"/>
      <c r="HY79" s="6785"/>
      <c r="HZ79" s="6785"/>
      <c r="IA79" s="6785"/>
      <c r="IB79" s="6785"/>
      <c r="IC79" s="6785"/>
      <c r="ID79" s="6785"/>
      <c r="IE79" s="6785"/>
      <c r="IF79" s="6785"/>
      <c r="IG79" s="6785"/>
      <c r="IH79" s="6785"/>
      <c r="II79" s="6785"/>
      <c r="IJ79" s="6785"/>
      <c r="IK79" s="6785"/>
      <c r="IL79" s="6785"/>
      <c r="IM79" s="6785"/>
      <c r="IN79" s="6785"/>
      <c r="IO79" s="6785"/>
      <c r="IP79" s="6785"/>
      <c r="IQ79" s="6785"/>
      <c r="IR79" s="6785"/>
      <c r="IS79" s="6785"/>
      <c r="IT79" s="6785"/>
      <c r="IV79" s="6033"/>
      <c r="IW79" s="6033"/>
      <c r="IX79" s="6041"/>
      <c r="IY79" s="6788"/>
      <c r="IZ79" s="6788"/>
      <c r="JA79" s="6788"/>
      <c r="JB79" s="6788"/>
      <c r="JC79" s="6788"/>
      <c r="JD79" s="6788"/>
      <c r="JE79" s="6788"/>
      <c r="JF79" s="6788"/>
      <c r="JG79" s="6788"/>
      <c r="JH79" s="6042"/>
      <c r="JI79" s="6043"/>
      <c r="JM79" s="6040"/>
      <c r="JN79" s="6785"/>
      <c r="JO79" s="6785"/>
      <c r="JP79" s="6785"/>
      <c r="JQ79" s="6785"/>
      <c r="JR79" s="6785"/>
      <c r="JS79" s="6785"/>
      <c r="JT79" s="6785"/>
      <c r="JU79" s="6785"/>
      <c r="JV79" s="6785"/>
      <c r="JW79" s="6785"/>
      <c r="JX79" s="6785"/>
      <c r="JY79" s="6785"/>
      <c r="JZ79" s="6785"/>
      <c r="KA79" s="6785"/>
      <c r="KB79" s="6785"/>
      <c r="KC79" s="6785"/>
      <c r="KD79" s="6785"/>
      <c r="KE79" s="6785"/>
      <c r="KF79" s="6785"/>
      <c r="KG79" s="6785"/>
      <c r="KH79" s="6785"/>
      <c r="KI79" s="6785"/>
      <c r="KJ79" s="6785"/>
      <c r="KK79" s="6785"/>
      <c r="KL79" s="6785"/>
      <c r="KM79" s="6785"/>
      <c r="KO79" s="6033"/>
      <c r="KP79" s="6033"/>
      <c r="KQ79" s="6041"/>
      <c r="KR79" s="6788"/>
      <c r="KS79" s="6788"/>
      <c r="KT79" s="6788"/>
      <c r="KU79" s="6788"/>
      <c r="KV79" s="6788"/>
      <c r="KW79" s="6788"/>
      <c r="KX79" s="6788"/>
      <c r="KY79" s="6788"/>
      <c r="KZ79" s="6788"/>
      <c r="LA79" s="6042"/>
      <c r="LB79" s="6043"/>
      <c r="LF79" s="6040"/>
      <c r="LG79" s="6785"/>
      <c r="LH79" s="6785"/>
      <c r="LI79" s="6785"/>
      <c r="LJ79" s="6785"/>
      <c r="LK79" s="6785"/>
      <c r="LL79" s="6785"/>
      <c r="LM79" s="6785"/>
      <c r="LN79" s="6785"/>
      <c r="LO79" s="6785"/>
      <c r="LP79" s="6785"/>
      <c r="LQ79" s="6785"/>
      <c r="LR79" s="6785"/>
      <c r="LS79" s="6785"/>
      <c r="LT79" s="6785"/>
      <c r="LU79" s="6785"/>
      <c r="LV79" s="6785"/>
      <c r="LW79" s="6785"/>
      <c r="LX79" s="6785"/>
      <c r="LY79" s="6785"/>
      <c r="LZ79" s="6785"/>
      <c r="MA79" s="6785"/>
      <c r="MB79" s="6785"/>
      <c r="MC79" s="6785"/>
      <c r="MD79" s="6785"/>
      <c r="ME79" s="6785"/>
      <c r="MF79" s="6785"/>
      <c r="MH79" s="6033"/>
      <c r="MI79" s="6033"/>
      <c r="MJ79" s="6041"/>
      <c r="MK79" s="6788"/>
      <c r="ML79" s="6788"/>
      <c r="MM79" s="6788"/>
      <c r="MN79" s="6788"/>
      <c r="MO79" s="6788"/>
      <c r="MP79" s="6788"/>
      <c r="MQ79" s="6788"/>
      <c r="MR79" s="6788"/>
      <c r="MS79" s="6788"/>
      <c r="MT79" s="6042"/>
      <c r="MU79" s="6043"/>
      <c r="MY79" s="6040"/>
      <c r="MZ79" s="6785"/>
      <c r="NA79" s="6785"/>
      <c r="NB79" s="6785"/>
      <c r="NC79" s="6785"/>
      <c r="ND79" s="6785"/>
      <c r="NE79" s="6785"/>
      <c r="NF79" s="6785"/>
      <c r="NG79" s="6785"/>
      <c r="NH79" s="6785"/>
      <c r="NI79" s="6785"/>
      <c r="NJ79" s="6785"/>
      <c r="NK79" s="6785"/>
      <c r="NL79" s="6785"/>
      <c r="NM79" s="6785"/>
      <c r="NN79" s="6785"/>
      <c r="NO79" s="6785"/>
      <c r="NP79" s="6785"/>
      <c r="NQ79" s="6785"/>
      <c r="NR79" s="6785"/>
      <c r="NS79" s="6785"/>
      <c r="NT79" s="6785"/>
      <c r="NU79" s="6785"/>
      <c r="NV79" s="6785"/>
      <c r="NW79" s="6785"/>
      <c r="NX79" s="6785"/>
      <c r="NY79" s="6785"/>
      <c r="OA79" s="6033"/>
      <c r="OB79" s="6033"/>
      <c r="OC79" s="6041"/>
      <c r="OD79" s="6788"/>
      <c r="OE79" s="6788"/>
      <c r="OF79" s="6788"/>
      <c r="OG79" s="6788"/>
      <c r="OH79" s="6788"/>
      <c r="OI79" s="6788"/>
      <c r="OJ79" s="6788"/>
      <c r="OK79" s="6788"/>
      <c r="OL79" s="6788"/>
      <c r="OM79" s="6042"/>
      <c r="ON79" s="6043"/>
    </row>
    <row r="80" spans="3:405" s="1466" customFormat="1" ht="9.9499999999999993" customHeight="1" thickBot="1" x14ac:dyDescent="0.25">
      <c r="C80" s="6044"/>
      <c r="D80" s="6045"/>
      <c r="E80" s="6045"/>
      <c r="F80" s="6045"/>
      <c r="G80" s="6045"/>
      <c r="H80" s="6045"/>
      <c r="I80" s="6045"/>
      <c r="J80" s="6045"/>
      <c r="K80" s="6045"/>
      <c r="L80" s="6045"/>
      <c r="M80" s="6045"/>
      <c r="N80" s="6045"/>
      <c r="O80" s="6045"/>
      <c r="P80" s="6045"/>
      <c r="Q80" s="6045"/>
      <c r="R80" s="6045"/>
      <c r="S80" s="6045"/>
      <c r="T80" s="6045"/>
      <c r="U80" s="6045"/>
      <c r="V80" s="6045"/>
      <c r="W80" s="6046"/>
      <c r="X80" s="6046"/>
      <c r="Y80" s="6046"/>
      <c r="Z80" s="6046"/>
      <c r="AA80" s="6046"/>
      <c r="AB80" s="6046"/>
      <c r="AC80" s="6046"/>
      <c r="AD80" s="6046"/>
      <c r="AE80" s="6047"/>
      <c r="AF80" s="6047"/>
      <c r="AG80" s="6047"/>
      <c r="AH80" s="6047"/>
      <c r="AI80" s="6047"/>
      <c r="AJ80" s="6047"/>
      <c r="AK80" s="6047"/>
      <c r="AL80" s="6047"/>
      <c r="AM80" s="6047"/>
      <c r="AN80" s="6047"/>
      <c r="AO80" s="6047"/>
      <c r="AP80" s="6047"/>
      <c r="AQ80" s="6046"/>
      <c r="AR80" s="6048"/>
      <c r="AV80" s="6044"/>
      <c r="AW80" s="6045"/>
      <c r="AX80" s="6045"/>
      <c r="AY80" s="6045"/>
      <c r="AZ80" s="6045"/>
      <c r="BA80" s="6045"/>
      <c r="BB80" s="6045"/>
      <c r="BC80" s="6045"/>
      <c r="BD80" s="6045"/>
      <c r="BE80" s="6045"/>
      <c r="BF80" s="6045"/>
      <c r="BG80" s="6045"/>
      <c r="BH80" s="6045"/>
      <c r="BI80" s="6045"/>
      <c r="BJ80" s="6045"/>
      <c r="BK80" s="6045"/>
      <c r="BL80" s="6045"/>
      <c r="BM80" s="6045"/>
      <c r="BN80" s="6045"/>
      <c r="BO80" s="6045"/>
      <c r="BP80" s="6046"/>
      <c r="BQ80" s="6046"/>
      <c r="BR80" s="6046"/>
      <c r="BS80" s="6046"/>
      <c r="BT80" s="6046"/>
      <c r="BU80" s="6046"/>
      <c r="BV80" s="6046"/>
      <c r="BW80" s="6046"/>
      <c r="BX80" s="6047"/>
      <c r="BY80" s="6047"/>
      <c r="BZ80" s="6047"/>
      <c r="CA80" s="6047"/>
      <c r="CB80" s="6047"/>
      <c r="CC80" s="6047"/>
      <c r="CD80" s="6047"/>
      <c r="CE80" s="6047"/>
      <c r="CF80" s="6047"/>
      <c r="CG80" s="6047"/>
      <c r="CH80" s="6047"/>
      <c r="CI80" s="6047"/>
      <c r="CJ80" s="6046"/>
      <c r="CK80" s="6048"/>
      <c r="CO80" s="6044"/>
      <c r="CP80" s="6045"/>
      <c r="CQ80" s="6045"/>
      <c r="CR80" s="6045"/>
      <c r="CS80" s="6045"/>
      <c r="CT80" s="6045"/>
      <c r="CU80" s="6045"/>
      <c r="CV80" s="6045"/>
      <c r="CW80" s="6045"/>
      <c r="CX80" s="6045"/>
      <c r="CY80" s="6045"/>
      <c r="CZ80" s="6045"/>
      <c r="DA80" s="6045"/>
      <c r="DB80" s="6045"/>
      <c r="DC80" s="6045"/>
      <c r="DD80" s="6045"/>
      <c r="DE80" s="6045"/>
      <c r="DF80" s="6045"/>
      <c r="DG80" s="6045"/>
      <c r="DH80" s="6045"/>
      <c r="DI80" s="6046"/>
      <c r="DJ80" s="6046"/>
      <c r="DK80" s="6046"/>
      <c r="DL80" s="6046"/>
      <c r="DM80" s="6046"/>
      <c r="DN80" s="6046"/>
      <c r="DO80" s="6046"/>
      <c r="DP80" s="6046"/>
      <c r="DQ80" s="6047"/>
      <c r="DR80" s="6047"/>
      <c r="DS80" s="6047"/>
      <c r="DT80" s="6047"/>
      <c r="DU80" s="6047"/>
      <c r="DV80" s="6047"/>
      <c r="DW80" s="6047"/>
      <c r="DX80" s="6047"/>
      <c r="DY80" s="6047"/>
      <c r="DZ80" s="6047"/>
      <c r="EA80" s="6047"/>
      <c r="EB80" s="6047"/>
      <c r="EC80" s="6046"/>
      <c r="ED80" s="6048"/>
      <c r="EH80" s="6044"/>
      <c r="EI80" s="6045"/>
      <c r="EJ80" s="6045"/>
      <c r="EK80" s="6045"/>
      <c r="EL80" s="6045"/>
      <c r="EM80" s="6045"/>
      <c r="EN80" s="6045"/>
      <c r="EO80" s="6045"/>
      <c r="EP80" s="6045"/>
      <c r="EQ80" s="6045"/>
      <c r="ER80" s="6045"/>
      <c r="ES80" s="6045"/>
      <c r="ET80" s="6045"/>
      <c r="EU80" s="6045"/>
      <c r="EV80" s="6045"/>
      <c r="EW80" s="6045"/>
      <c r="EX80" s="6045"/>
      <c r="EY80" s="6045"/>
      <c r="EZ80" s="6045"/>
      <c r="FA80" s="6045"/>
      <c r="FB80" s="6046"/>
      <c r="FC80" s="6046"/>
      <c r="FD80" s="6046"/>
      <c r="FE80" s="6046"/>
      <c r="FF80" s="6046"/>
      <c r="FG80" s="6046"/>
      <c r="FH80" s="6046"/>
      <c r="FI80" s="6046"/>
      <c r="FJ80" s="6047"/>
      <c r="FK80" s="6047"/>
      <c r="FL80" s="6047"/>
      <c r="FM80" s="6047"/>
      <c r="FN80" s="6047"/>
      <c r="FO80" s="6047"/>
      <c r="FP80" s="6047"/>
      <c r="FQ80" s="6047"/>
      <c r="FR80" s="6047"/>
      <c r="FS80" s="6047"/>
      <c r="FT80" s="6047"/>
      <c r="FU80" s="6047"/>
      <c r="FV80" s="6046"/>
      <c r="FW80" s="6048"/>
      <c r="GA80" s="6044"/>
      <c r="GB80" s="6045"/>
      <c r="GC80" s="6045"/>
      <c r="GD80" s="6045"/>
      <c r="GE80" s="6045"/>
      <c r="GF80" s="6045"/>
      <c r="GG80" s="6045"/>
      <c r="GH80" s="6045"/>
      <c r="GI80" s="6045"/>
      <c r="GJ80" s="6045"/>
      <c r="GK80" s="6045"/>
      <c r="GL80" s="6045"/>
      <c r="GM80" s="6045"/>
      <c r="GN80" s="6045"/>
      <c r="GO80" s="6045"/>
      <c r="GP80" s="6045"/>
      <c r="GQ80" s="6045"/>
      <c r="GR80" s="6045"/>
      <c r="GS80" s="6045"/>
      <c r="GT80" s="6045"/>
      <c r="GU80" s="6046"/>
      <c r="GV80" s="6046"/>
      <c r="GW80" s="6046"/>
      <c r="GX80" s="6046"/>
      <c r="GY80" s="6046"/>
      <c r="GZ80" s="6046"/>
      <c r="HA80" s="6046"/>
      <c r="HB80" s="6046"/>
      <c r="HC80" s="6047"/>
      <c r="HD80" s="6047"/>
      <c r="HE80" s="6047"/>
      <c r="HF80" s="6047"/>
      <c r="HG80" s="6047"/>
      <c r="HH80" s="6047"/>
      <c r="HI80" s="6047"/>
      <c r="HJ80" s="6047"/>
      <c r="HK80" s="6047"/>
      <c r="HL80" s="6047"/>
      <c r="HM80" s="6047"/>
      <c r="HN80" s="6047"/>
      <c r="HO80" s="6046"/>
      <c r="HP80" s="6048"/>
      <c r="HT80" s="6044"/>
      <c r="HU80" s="6045"/>
      <c r="HV80" s="6045"/>
      <c r="HW80" s="6045"/>
      <c r="HX80" s="6045"/>
      <c r="HY80" s="6045"/>
      <c r="HZ80" s="6045"/>
      <c r="IA80" s="6045"/>
      <c r="IB80" s="6045"/>
      <c r="IC80" s="6045"/>
      <c r="ID80" s="6045"/>
      <c r="IE80" s="6045"/>
      <c r="IF80" s="6045"/>
      <c r="IG80" s="6045"/>
      <c r="IH80" s="6045"/>
      <c r="II80" s="6045"/>
      <c r="IJ80" s="6045"/>
      <c r="IK80" s="6045"/>
      <c r="IL80" s="6045"/>
      <c r="IM80" s="6045"/>
      <c r="IN80" s="6046"/>
      <c r="IO80" s="6046"/>
      <c r="IP80" s="6046"/>
      <c r="IQ80" s="6046"/>
      <c r="IR80" s="6046"/>
      <c r="IS80" s="6046"/>
      <c r="IT80" s="6046"/>
      <c r="IU80" s="6046"/>
      <c r="IV80" s="6047"/>
      <c r="IW80" s="6047"/>
      <c r="IX80" s="6047"/>
      <c r="IY80" s="6047"/>
      <c r="IZ80" s="6047"/>
      <c r="JA80" s="6047"/>
      <c r="JB80" s="6047"/>
      <c r="JC80" s="6047"/>
      <c r="JD80" s="6047"/>
      <c r="JE80" s="6047"/>
      <c r="JF80" s="6047"/>
      <c r="JG80" s="6047"/>
      <c r="JH80" s="6046"/>
      <c r="JI80" s="6048"/>
      <c r="JM80" s="6044"/>
      <c r="JN80" s="6045"/>
      <c r="JO80" s="6045"/>
      <c r="JP80" s="6045"/>
      <c r="JQ80" s="6045"/>
      <c r="JR80" s="6045"/>
      <c r="JS80" s="6045"/>
      <c r="JT80" s="6045"/>
      <c r="JU80" s="6045"/>
      <c r="JV80" s="6045"/>
      <c r="JW80" s="6045"/>
      <c r="JX80" s="6045"/>
      <c r="JY80" s="6045"/>
      <c r="JZ80" s="6045"/>
      <c r="KA80" s="6045"/>
      <c r="KB80" s="6045"/>
      <c r="KC80" s="6045"/>
      <c r="KD80" s="6045"/>
      <c r="KE80" s="6045"/>
      <c r="KF80" s="6045"/>
      <c r="KG80" s="6046"/>
      <c r="KH80" s="6046"/>
      <c r="KI80" s="6046"/>
      <c r="KJ80" s="6046"/>
      <c r="KK80" s="6046"/>
      <c r="KL80" s="6046"/>
      <c r="KM80" s="6046"/>
      <c r="KN80" s="6046"/>
      <c r="KO80" s="6047"/>
      <c r="KP80" s="6047"/>
      <c r="KQ80" s="6047"/>
      <c r="KR80" s="6047"/>
      <c r="KS80" s="6047"/>
      <c r="KT80" s="6047"/>
      <c r="KU80" s="6047"/>
      <c r="KV80" s="6047"/>
      <c r="KW80" s="6047"/>
      <c r="KX80" s="6047"/>
      <c r="KY80" s="6047"/>
      <c r="KZ80" s="6047"/>
      <c r="LA80" s="6046"/>
      <c r="LB80" s="6048"/>
      <c r="LF80" s="6044"/>
      <c r="LG80" s="6045"/>
      <c r="LH80" s="6045"/>
      <c r="LI80" s="6045"/>
      <c r="LJ80" s="6045"/>
      <c r="LK80" s="6045"/>
      <c r="LL80" s="6045"/>
      <c r="LM80" s="6045"/>
      <c r="LN80" s="6045"/>
      <c r="LO80" s="6045"/>
      <c r="LP80" s="6045"/>
      <c r="LQ80" s="6045"/>
      <c r="LR80" s="6045"/>
      <c r="LS80" s="6045"/>
      <c r="LT80" s="6045"/>
      <c r="LU80" s="6045"/>
      <c r="LV80" s="6045"/>
      <c r="LW80" s="6045"/>
      <c r="LX80" s="6045"/>
      <c r="LY80" s="6045"/>
      <c r="LZ80" s="6046"/>
      <c r="MA80" s="6046"/>
      <c r="MB80" s="6046"/>
      <c r="MC80" s="6046"/>
      <c r="MD80" s="6046"/>
      <c r="ME80" s="6046"/>
      <c r="MF80" s="6046"/>
      <c r="MG80" s="6046"/>
      <c r="MH80" s="6047"/>
      <c r="MI80" s="6047"/>
      <c r="MJ80" s="6047"/>
      <c r="MK80" s="6047"/>
      <c r="ML80" s="6047"/>
      <c r="MM80" s="6047"/>
      <c r="MN80" s="6047"/>
      <c r="MO80" s="6047"/>
      <c r="MP80" s="6047"/>
      <c r="MQ80" s="6047"/>
      <c r="MR80" s="6047"/>
      <c r="MS80" s="6047"/>
      <c r="MT80" s="6046"/>
      <c r="MU80" s="6048"/>
      <c r="MY80" s="6044"/>
      <c r="MZ80" s="6045"/>
      <c r="NA80" s="6045"/>
      <c r="NB80" s="6045"/>
      <c r="NC80" s="6045"/>
      <c r="ND80" s="6045"/>
      <c r="NE80" s="6045"/>
      <c r="NF80" s="6045"/>
      <c r="NG80" s="6045"/>
      <c r="NH80" s="6045"/>
      <c r="NI80" s="6045"/>
      <c r="NJ80" s="6045"/>
      <c r="NK80" s="6045"/>
      <c r="NL80" s="6045"/>
      <c r="NM80" s="6045"/>
      <c r="NN80" s="6045"/>
      <c r="NO80" s="6045"/>
      <c r="NP80" s="6045"/>
      <c r="NQ80" s="6045"/>
      <c r="NR80" s="6045"/>
      <c r="NS80" s="6046"/>
      <c r="NT80" s="6046"/>
      <c r="NU80" s="6046"/>
      <c r="NV80" s="6046"/>
      <c r="NW80" s="6046"/>
      <c r="NX80" s="6046"/>
      <c r="NY80" s="6046"/>
      <c r="NZ80" s="6046"/>
      <c r="OA80" s="6047"/>
      <c r="OB80" s="6047"/>
      <c r="OC80" s="6047"/>
      <c r="OD80" s="6047"/>
      <c r="OE80" s="6047"/>
      <c r="OF80" s="6047"/>
      <c r="OG80" s="6047"/>
      <c r="OH80" s="6047"/>
      <c r="OI80" s="6047"/>
      <c r="OJ80" s="6047"/>
      <c r="OK80" s="6047"/>
      <c r="OL80" s="6047"/>
      <c r="OM80" s="6046"/>
      <c r="ON80" s="6048"/>
    </row>
    <row r="81" spans="3:404" ht="9.9499999999999993" customHeight="1" thickBot="1" x14ac:dyDescent="0.25">
      <c r="D81" s="6091"/>
      <c r="AW81" s="6091"/>
      <c r="CP81" s="6091"/>
      <c r="EI81" s="6091"/>
      <c r="GB81" s="6091"/>
      <c r="HU81" s="6091"/>
      <c r="JN81" s="6091"/>
      <c r="LG81" s="6091"/>
      <c r="MZ81" s="6091"/>
    </row>
    <row r="82" spans="3:404" ht="15" customHeight="1" x14ac:dyDescent="0.2">
      <c r="C82" s="6049"/>
      <c r="D82" s="6050"/>
      <c r="E82" s="6050"/>
      <c r="F82" s="6050"/>
      <c r="G82" s="6050"/>
      <c r="H82" s="6050"/>
      <c r="I82" s="6050"/>
      <c r="J82" s="6050"/>
      <c r="K82" s="6050"/>
      <c r="L82" s="6050"/>
      <c r="M82" s="6050"/>
      <c r="N82" s="6050"/>
      <c r="O82" s="6050"/>
      <c r="P82" s="6050"/>
      <c r="Q82" s="6050"/>
      <c r="R82" s="6050"/>
      <c r="S82" s="6050"/>
      <c r="T82" s="6050"/>
      <c r="U82" s="6050"/>
      <c r="V82" s="6050"/>
      <c r="W82" s="6050"/>
      <c r="X82" s="6050"/>
      <c r="Y82" s="6050"/>
      <c r="Z82" s="6050"/>
      <c r="AA82" s="6050"/>
      <c r="AB82" s="6050"/>
      <c r="AC82" s="6050"/>
      <c r="AD82" s="6050"/>
      <c r="AE82" s="6050"/>
      <c r="AF82" s="6050"/>
      <c r="AG82" s="6050"/>
      <c r="AH82" s="6050"/>
      <c r="AI82" s="6050"/>
      <c r="AJ82" s="6050"/>
      <c r="AK82" s="6050"/>
      <c r="AL82" s="6050"/>
      <c r="AM82" s="6050"/>
      <c r="AN82" s="6050"/>
      <c r="AO82" s="6050"/>
      <c r="AP82" s="6050"/>
      <c r="AQ82" s="6050"/>
      <c r="AR82" s="6052"/>
      <c r="AV82" s="6049"/>
      <c r="AW82" s="6050"/>
      <c r="AX82" s="6050"/>
      <c r="AY82" s="6050"/>
      <c r="AZ82" s="6050"/>
      <c r="BA82" s="6050"/>
      <c r="BB82" s="6050"/>
      <c r="BC82" s="6050"/>
      <c r="BD82" s="6050"/>
      <c r="BE82" s="6050"/>
      <c r="BF82" s="6050"/>
      <c r="BG82" s="6050"/>
      <c r="BH82" s="6050"/>
      <c r="BI82" s="6050"/>
      <c r="BJ82" s="6050"/>
      <c r="BK82" s="6050"/>
      <c r="BL82" s="6050"/>
      <c r="BM82" s="6050"/>
      <c r="BN82" s="6050"/>
      <c r="BO82" s="6050"/>
      <c r="BP82" s="6050"/>
      <c r="BQ82" s="6050"/>
      <c r="BR82" s="6050"/>
      <c r="BS82" s="6050"/>
      <c r="BT82" s="6050"/>
      <c r="BU82" s="6050"/>
      <c r="BV82" s="6050"/>
      <c r="BW82" s="6050"/>
      <c r="BX82" s="6050"/>
      <c r="BY82" s="6050"/>
      <c r="BZ82" s="6050"/>
      <c r="CA82" s="6050"/>
      <c r="CB82" s="6050"/>
      <c r="CC82" s="6050"/>
      <c r="CD82" s="6050"/>
      <c r="CE82" s="6050"/>
      <c r="CF82" s="6050"/>
      <c r="CG82" s="6050"/>
      <c r="CH82" s="6050"/>
      <c r="CI82" s="6050"/>
      <c r="CJ82" s="6050"/>
      <c r="CK82" s="6052"/>
      <c r="CO82" s="6049"/>
      <c r="CP82" s="6050"/>
      <c r="CQ82" s="6050"/>
      <c r="CR82" s="6050"/>
      <c r="CS82" s="6050"/>
      <c r="CT82" s="6050"/>
      <c r="CU82" s="6050"/>
      <c r="CV82" s="6050"/>
      <c r="CW82" s="6050"/>
      <c r="CX82" s="6050"/>
      <c r="CY82" s="6050"/>
      <c r="CZ82" s="6050"/>
      <c r="DA82" s="6050"/>
      <c r="DB82" s="6050"/>
      <c r="DC82" s="6050"/>
      <c r="DD82" s="6050"/>
      <c r="DE82" s="6050"/>
      <c r="DF82" s="6050"/>
      <c r="DG82" s="6050"/>
      <c r="DH82" s="6050"/>
      <c r="DI82" s="6050"/>
      <c r="DJ82" s="6050"/>
      <c r="DK82" s="6050"/>
      <c r="DL82" s="6050"/>
      <c r="DM82" s="6050"/>
      <c r="DN82" s="6050"/>
      <c r="DO82" s="6050"/>
      <c r="DP82" s="6050"/>
      <c r="DQ82" s="6050"/>
      <c r="DR82" s="6050"/>
      <c r="DS82" s="6050"/>
      <c r="DT82" s="6050"/>
      <c r="DU82" s="6050"/>
      <c r="DV82" s="6050"/>
      <c r="DW82" s="6050"/>
      <c r="DX82" s="6050"/>
      <c r="DY82" s="6050"/>
      <c r="DZ82" s="6050"/>
      <c r="EA82" s="6050"/>
      <c r="EB82" s="6050"/>
      <c r="EC82" s="6050"/>
      <c r="ED82" s="6052"/>
      <c r="EH82" s="6049"/>
      <c r="EI82" s="6050"/>
      <c r="EJ82" s="6050"/>
      <c r="EK82" s="6050"/>
      <c r="EL82" s="6050"/>
      <c r="EM82" s="6050"/>
      <c r="EN82" s="6050"/>
      <c r="EO82" s="6050"/>
      <c r="EP82" s="6050"/>
      <c r="EQ82" s="6050"/>
      <c r="ER82" s="6050"/>
      <c r="ES82" s="6050"/>
      <c r="ET82" s="6050"/>
      <c r="EU82" s="6050"/>
      <c r="EV82" s="6050"/>
      <c r="EW82" s="6050"/>
      <c r="EX82" s="6050"/>
      <c r="EY82" s="6050"/>
      <c r="EZ82" s="6050"/>
      <c r="FA82" s="6050"/>
      <c r="FB82" s="6050"/>
      <c r="FC82" s="6050"/>
      <c r="FD82" s="6050"/>
      <c r="FE82" s="6050"/>
      <c r="FF82" s="6050"/>
      <c r="FG82" s="6050"/>
      <c r="FH82" s="6050"/>
      <c r="FI82" s="6050"/>
      <c r="FJ82" s="6050"/>
      <c r="FK82" s="6050"/>
      <c r="FL82" s="6050"/>
      <c r="FM82" s="6050"/>
      <c r="FN82" s="6050"/>
      <c r="FO82" s="6050"/>
      <c r="FP82" s="6050"/>
      <c r="FQ82" s="6050"/>
      <c r="FR82" s="6050"/>
      <c r="FS82" s="6050"/>
      <c r="FT82" s="6050"/>
      <c r="FU82" s="6050"/>
      <c r="FV82" s="6050"/>
      <c r="FW82" s="6052"/>
      <c r="GA82" s="6049"/>
      <c r="GB82" s="6050"/>
      <c r="GC82" s="6050"/>
      <c r="GD82" s="6050"/>
      <c r="GE82" s="6050"/>
      <c r="GF82" s="6050"/>
      <c r="GG82" s="6050"/>
      <c r="GH82" s="6050"/>
      <c r="GI82" s="6050"/>
      <c r="GJ82" s="6050"/>
      <c r="GK82" s="6050"/>
      <c r="GL82" s="6050"/>
      <c r="GM82" s="6050"/>
      <c r="GN82" s="6050"/>
      <c r="GO82" s="6050"/>
      <c r="GP82" s="6050"/>
      <c r="GQ82" s="6050"/>
      <c r="GR82" s="6050"/>
      <c r="GS82" s="6050"/>
      <c r="GT82" s="6050"/>
      <c r="GU82" s="6050"/>
      <c r="GV82" s="6050"/>
      <c r="GW82" s="6050"/>
      <c r="GX82" s="6050"/>
      <c r="GY82" s="6050"/>
      <c r="GZ82" s="6050"/>
      <c r="HA82" s="6050"/>
      <c r="HB82" s="6050"/>
      <c r="HC82" s="6050"/>
      <c r="HD82" s="6050"/>
      <c r="HE82" s="6050"/>
      <c r="HF82" s="6050"/>
      <c r="HG82" s="6050"/>
      <c r="HH82" s="6050"/>
      <c r="HI82" s="6050"/>
      <c r="HJ82" s="6050"/>
      <c r="HK82" s="6050"/>
      <c r="HL82" s="6050"/>
      <c r="HM82" s="6050"/>
      <c r="HN82" s="6050"/>
      <c r="HO82" s="6050"/>
      <c r="HP82" s="6052"/>
      <c r="HT82" s="6049"/>
      <c r="HU82" s="6050"/>
      <c r="HV82" s="6050"/>
      <c r="HW82" s="6050"/>
      <c r="HX82" s="6050"/>
      <c r="HY82" s="6050"/>
      <c r="HZ82" s="6050"/>
      <c r="IA82" s="6050"/>
      <c r="IB82" s="6050"/>
      <c r="IC82" s="6050"/>
      <c r="ID82" s="6050"/>
      <c r="IE82" s="6050"/>
      <c r="IF82" s="6050"/>
      <c r="IG82" s="6050"/>
      <c r="IH82" s="6050"/>
      <c r="II82" s="6050"/>
      <c r="IJ82" s="6050"/>
      <c r="IK82" s="6050"/>
      <c r="IL82" s="6050"/>
      <c r="IM82" s="6050"/>
      <c r="IN82" s="6050"/>
      <c r="IO82" s="6050"/>
      <c r="IP82" s="6050"/>
      <c r="IQ82" s="6050"/>
      <c r="IR82" s="6050"/>
      <c r="IS82" s="6050"/>
      <c r="IT82" s="6050"/>
      <c r="IU82" s="6050"/>
      <c r="IV82" s="6050"/>
      <c r="IW82" s="6050"/>
      <c r="IX82" s="6050"/>
      <c r="IY82" s="6050"/>
      <c r="IZ82" s="6050"/>
      <c r="JA82" s="6050"/>
      <c r="JB82" s="6050"/>
      <c r="JC82" s="6050"/>
      <c r="JD82" s="6050"/>
      <c r="JE82" s="6050"/>
      <c r="JF82" s="6050"/>
      <c r="JG82" s="6050"/>
      <c r="JH82" s="6050"/>
      <c r="JI82" s="6052"/>
      <c r="JM82" s="6049"/>
      <c r="JN82" s="6050"/>
      <c r="JO82" s="6050"/>
      <c r="JP82" s="6050"/>
      <c r="JQ82" s="6050"/>
      <c r="JR82" s="6050"/>
      <c r="JS82" s="6050"/>
      <c r="JT82" s="6050"/>
      <c r="JU82" s="6050"/>
      <c r="JV82" s="6050"/>
      <c r="JW82" s="6050"/>
      <c r="JX82" s="6050"/>
      <c r="JY82" s="6050"/>
      <c r="JZ82" s="6050"/>
      <c r="KA82" s="6050"/>
      <c r="KB82" s="6050"/>
      <c r="KC82" s="6050"/>
      <c r="KD82" s="6050"/>
      <c r="KE82" s="6050"/>
      <c r="KF82" s="6050"/>
      <c r="KG82" s="6050"/>
      <c r="KH82" s="6050"/>
      <c r="KI82" s="6050"/>
      <c r="KJ82" s="6050"/>
      <c r="KK82" s="6050"/>
      <c r="KL82" s="6050"/>
      <c r="KM82" s="6050"/>
      <c r="KN82" s="6050"/>
      <c r="KO82" s="6050"/>
      <c r="KP82" s="6050"/>
      <c r="KQ82" s="6050"/>
      <c r="KR82" s="6050"/>
      <c r="KS82" s="6050"/>
      <c r="KT82" s="6050"/>
      <c r="KU82" s="6050"/>
      <c r="KV82" s="6050"/>
      <c r="KW82" s="6050"/>
      <c r="KX82" s="6050"/>
      <c r="KY82" s="6050"/>
      <c r="KZ82" s="6050"/>
      <c r="LA82" s="6050"/>
      <c r="LB82" s="6052"/>
      <c r="LF82" s="6049"/>
      <c r="LG82" s="6050"/>
      <c r="LH82" s="6050"/>
      <c r="LI82" s="6050"/>
      <c r="LJ82" s="6050"/>
      <c r="LK82" s="6050"/>
      <c r="LL82" s="6050"/>
      <c r="LM82" s="6050"/>
      <c r="LN82" s="6050"/>
      <c r="LO82" s="6050"/>
      <c r="LP82" s="6050"/>
      <c r="LQ82" s="6050"/>
      <c r="LR82" s="6050"/>
      <c r="LS82" s="6050"/>
      <c r="LT82" s="6050"/>
      <c r="LU82" s="6050"/>
      <c r="LV82" s="6050"/>
      <c r="LW82" s="6050"/>
      <c r="LX82" s="6050"/>
      <c r="LY82" s="6050"/>
      <c r="LZ82" s="6050"/>
      <c r="MA82" s="6050"/>
      <c r="MB82" s="6050"/>
      <c r="MC82" s="6050"/>
      <c r="MD82" s="6050"/>
      <c r="ME82" s="6050"/>
      <c r="MF82" s="6050"/>
      <c r="MG82" s="6050"/>
      <c r="MH82" s="6050"/>
      <c r="MI82" s="6050"/>
      <c r="MJ82" s="6050"/>
      <c r="MK82" s="6050"/>
      <c r="ML82" s="6050"/>
      <c r="MM82" s="6050"/>
      <c r="MN82" s="6050"/>
      <c r="MO82" s="6050"/>
      <c r="MP82" s="6050"/>
      <c r="MQ82" s="6050"/>
      <c r="MR82" s="6050"/>
      <c r="MS82" s="6050"/>
      <c r="MT82" s="6050"/>
      <c r="MU82" s="6052"/>
      <c r="MY82" s="6049"/>
      <c r="MZ82" s="6050"/>
      <c r="NA82" s="6050"/>
      <c r="NB82" s="6050"/>
      <c r="NC82" s="6050"/>
      <c r="ND82" s="6050"/>
      <c r="NE82" s="6050"/>
      <c r="NF82" s="6050"/>
      <c r="NG82" s="6050"/>
      <c r="NH82" s="6050"/>
      <c r="NI82" s="6050"/>
      <c r="NJ82" s="6050"/>
      <c r="NK82" s="6050"/>
      <c r="NL82" s="6050"/>
      <c r="NM82" s="6050"/>
      <c r="NN82" s="6050"/>
      <c r="NO82" s="6050"/>
      <c r="NP82" s="6050"/>
      <c r="NQ82" s="6050"/>
      <c r="NR82" s="6050"/>
      <c r="NS82" s="6050"/>
      <c r="NT82" s="6050"/>
      <c r="NU82" s="6050"/>
      <c r="NV82" s="6050"/>
      <c r="NW82" s="6050"/>
      <c r="NX82" s="6050"/>
      <c r="NY82" s="6050"/>
      <c r="NZ82" s="6050"/>
      <c r="OA82" s="6050"/>
      <c r="OB82" s="6050"/>
      <c r="OC82" s="6050"/>
      <c r="OD82" s="6050"/>
      <c r="OE82" s="6050"/>
      <c r="OF82" s="6050"/>
      <c r="OG82" s="6050"/>
      <c r="OH82" s="6050"/>
      <c r="OI82" s="6050"/>
      <c r="OJ82" s="6050"/>
      <c r="OK82" s="6050"/>
      <c r="OL82" s="6050"/>
      <c r="OM82" s="6050"/>
      <c r="ON82" s="6052"/>
    </row>
    <row r="83" spans="3:404" s="21" customFormat="1" ht="20.100000000000001" customHeight="1" x14ac:dyDescent="0.2">
      <c r="C83" s="6053"/>
      <c r="D83" s="6783" t="str">
        <f>_Calcs!$IK$134</f>
        <v>Justeringer</v>
      </c>
      <c r="E83" s="6783"/>
      <c r="F83" s="6783"/>
      <c r="G83" s="6783"/>
      <c r="H83" s="6783"/>
      <c r="I83" s="6783"/>
      <c r="J83" s="6783"/>
      <c r="K83" s="6783"/>
      <c r="L83" s="6783"/>
      <c r="M83" s="6783"/>
      <c r="N83" s="6783"/>
      <c r="O83" s="6783"/>
      <c r="P83" s="6783"/>
      <c r="Q83" s="6783"/>
      <c r="R83" s="6783"/>
      <c r="S83" s="6783"/>
      <c r="T83" s="6783"/>
      <c r="U83" s="6783"/>
      <c r="V83" s="6783"/>
      <c r="W83" s="6783"/>
      <c r="X83" s="6783"/>
      <c r="Y83" s="6783"/>
      <c r="Z83" s="6783"/>
      <c r="AA83" s="6783"/>
      <c r="AB83" s="6783"/>
      <c r="AC83" s="6783"/>
      <c r="AD83" s="6783"/>
      <c r="AE83" s="6783"/>
      <c r="AF83" s="6783"/>
      <c r="AG83" s="6783"/>
      <c r="AH83" s="6783"/>
      <c r="AI83" s="6783"/>
      <c r="AJ83" s="6783"/>
      <c r="AK83" s="6783"/>
      <c r="AL83" s="6783"/>
      <c r="AM83" s="6783"/>
      <c r="AN83" s="6783"/>
      <c r="AO83" s="6783"/>
      <c r="AP83" s="6783"/>
      <c r="AQ83" s="6783"/>
      <c r="AR83" s="6054"/>
      <c r="AV83" s="6053"/>
      <c r="AW83" s="6783" t="str">
        <f>_Calcs!$IL$134</f>
        <v>Justeringer</v>
      </c>
      <c r="AX83" s="6783"/>
      <c r="AY83" s="6783"/>
      <c r="AZ83" s="6783"/>
      <c r="BA83" s="6783"/>
      <c r="BB83" s="6783"/>
      <c r="BC83" s="6783"/>
      <c r="BD83" s="6783"/>
      <c r="BE83" s="6783"/>
      <c r="BF83" s="6783"/>
      <c r="BG83" s="6783"/>
      <c r="BH83" s="6783"/>
      <c r="BI83" s="6783"/>
      <c r="BJ83" s="6783"/>
      <c r="BK83" s="6783"/>
      <c r="BL83" s="6783"/>
      <c r="BM83" s="6783"/>
      <c r="BN83" s="6783"/>
      <c r="BO83" s="6783"/>
      <c r="BP83" s="6783"/>
      <c r="BQ83" s="6783"/>
      <c r="BR83" s="6783"/>
      <c r="BS83" s="6783"/>
      <c r="BT83" s="6783"/>
      <c r="BU83" s="6783"/>
      <c r="BV83" s="6783"/>
      <c r="BW83" s="6783"/>
      <c r="BX83" s="6783"/>
      <c r="BY83" s="6783"/>
      <c r="BZ83" s="6783"/>
      <c r="CA83" s="6783"/>
      <c r="CB83" s="6783"/>
      <c r="CC83" s="6783"/>
      <c r="CD83" s="6783"/>
      <c r="CE83" s="6783"/>
      <c r="CF83" s="6783"/>
      <c r="CG83" s="6783"/>
      <c r="CH83" s="6783"/>
      <c r="CI83" s="6783"/>
      <c r="CJ83" s="6783"/>
      <c r="CK83" s="6054"/>
      <c r="CO83" s="6053"/>
      <c r="CP83" s="6783" t="str">
        <f>_Calcs!$IM$134</f>
        <v>Justeringer</v>
      </c>
      <c r="CQ83" s="6783"/>
      <c r="CR83" s="6783"/>
      <c r="CS83" s="6783"/>
      <c r="CT83" s="6783"/>
      <c r="CU83" s="6783"/>
      <c r="CV83" s="6783"/>
      <c r="CW83" s="6783"/>
      <c r="CX83" s="6783"/>
      <c r="CY83" s="6783"/>
      <c r="CZ83" s="6783"/>
      <c r="DA83" s="6783"/>
      <c r="DB83" s="6783"/>
      <c r="DC83" s="6783"/>
      <c r="DD83" s="6783"/>
      <c r="DE83" s="6783"/>
      <c r="DF83" s="6783"/>
      <c r="DG83" s="6783"/>
      <c r="DH83" s="6783"/>
      <c r="DI83" s="6783"/>
      <c r="DJ83" s="6783"/>
      <c r="DK83" s="6783"/>
      <c r="DL83" s="6783"/>
      <c r="DM83" s="6783"/>
      <c r="DN83" s="6783"/>
      <c r="DO83" s="6783"/>
      <c r="DP83" s="6783"/>
      <c r="DQ83" s="6783"/>
      <c r="DR83" s="6783"/>
      <c r="DS83" s="6783"/>
      <c r="DT83" s="6783"/>
      <c r="DU83" s="6783"/>
      <c r="DV83" s="6783"/>
      <c r="DW83" s="6783"/>
      <c r="DX83" s="6783"/>
      <c r="DY83" s="6783"/>
      <c r="DZ83" s="6783"/>
      <c r="EA83" s="6783"/>
      <c r="EB83" s="6783"/>
      <c r="EC83" s="6783"/>
      <c r="ED83" s="6054"/>
      <c r="EH83" s="6053"/>
      <c r="EI83" s="6783" t="str">
        <f>_Calcs!$IN$134</f>
        <v>Justeringer</v>
      </c>
      <c r="EJ83" s="6783"/>
      <c r="EK83" s="6783"/>
      <c r="EL83" s="6783"/>
      <c r="EM83" s="6783"/>
      <c r="EN83" s="6783"/>
      <c r="EO83" s="6783"/>
      <c r="EP83" s="6783"/>
      <c r="EQ83" s="6783"/>
      <c r="ER83" s="6783"/>
      <c r="ES83" s="6783"/>
      <c r="ET83" s="6783"/>
      <c r="EU83" s="6783"/>
      <c r="EV83" s="6783"/>
      <c r="EW83" s="6783"/>
      <c r="EX83" s="6783"/>
      <c r="EY83" s="6783"/>
      <c r="EZ83" s="6783"/>
      <c r="FA83" s="6783"/>
      <c r="FB83" s="6783"/>
      <c r="FC83" s="6783"/>
      <c r="FD83" s="6783"/>
      <c r="FE83" s="6783"/>
      <c r="FF83" s="6783"/>
      <c r="FG83" s="6783"/>
      <c r="FH83" s="6783"/>
      <c r="FI83" s="6783"/>
      <c r="FJ83" s="6783"/>
      <c r="FK83" s="6783"/>
      <c r="FL83" s="6783"/>
      <c r="FM83" s="6783"/>
      <c r="FN83" s="6783"/>
      <c r="FO83" s="6783"/>
      <c r="FP83" s="6783"/>
      <c r="FQ83" s="6783"/>
      <c r="FR83" s="6783"/>
      <c r="FS83" s="6783"/>
      <c r="FT83" s="6783"/>
      <c r="FU83" s="6783"/>
      <c r="FV83" s="6783"/>
      <c r="FW83" s="6054"/>
      <c r="GA83" s="6053"/>
      <c r="GB83" s="6783" t="str">
        <f>_Calcs!$IO$134</f>
        <v>Justeringer</v>
      </c>
      <c r="GC83" s="6783"/>
      <c r="GD83" s="6783"/>
      <c r="GE83" s="6783"/>
      <c r="GF83" s="6783"/>
      <c r="GG83" s="6783"/>
      <c r="GH83" s="6783"/>
      <c r="GI83" s="6783"/>
      <c r="GJ83" s="6783"/>
      <c r="GK83" s="6783"/>
      <c r="GL83" s="6783"/>
      <c r="GM83" s="6783"/>
      <c r="GN83" s="6783"/>
      <c r="GO83" s="6783"/>
      <c r="GP83" s="6783"/>
      <c r="GQ83" s="6783"/>
      <c r="GR83" s="6783"/>
      <c r="GS83" s="6783"/>
      <c r="GT83" s="6783"/>
      <c r="GU83" s="6783"/>
      <c r="GV83" s="6783"/>
      <c r="GW83" s="6783"/>
      <c r="GX83" s="6783"/>
      <c r="GY83" s="6783"/>
      <c r="GZ83" s="6783"/>
      <c r="HA83" s="6783"/>
      <c r="HB83" s="6783"/>
      <c r="HC83" s="6783"/>
      <c r="HD83" s="6783"/>
      <c r="HE83" s="6783"/>
      <c r="HF83" s="6783"/>
      <c r="HG83" s="6783"/>
      <c r="HH83" s="6783"/>
      <c r="HI83" s="6783"/>
      <c r="HJ83" s="6783"/>
      <c r="HK83" s="6783"/>
      <c r="HL83" s="6783"/>
      <c r="HM83" s="6783"/>
      <c r="HN83" s="6783"/>
      <c r="HO83" s="6783"/>
      <c r="HP83" s="6054"/>
      <c r="HT83" s="6053"/>
      <c r="HU83" s="6783" t="str">
        <f>_Calcs!$IP$134</f>
        <v>Justeringer</v>
      </c>
      <c r="HV83" s="6783"/>
      <c r="HW83" s="6783"/>
      <c r="HX83" s="6783"/>
      <c r="HY83" s="6783"/>
      <c r="HZ83" s="6783"/>
      <c r="IA83" s="6783"/>
      <c r="IB83" s="6783"/>
      <c r="IC83" s="6783"/>
      <c r="ID83" s="6783"/>
      <c r="IE83" s="6783"/>
      <c r="IF83" s="6783"/>
      <c r="IG83" s="6783"/>
      <c r="IH83" s="6783"/>
      <c r="II83" s="6783"/>
      <c r="IJ83" s="6783"/>
      <c r="IK83" s="6783"/>
      <c r="IL83" s="6783"/>
      <c r="IM83" s="6783"/>
      <c r="IN83" s="6783"/>
      <c r="IO83" s="6783"/>
      <c r="IP83" s="6783"/>
      <c r="IQ83" s="6783"/>
      <c r="IR83" s="6783"/>
      <c r="IS83" s="6783"/>
      <c r="IT83" s="6783"/>
      <c r="IU83" s="6783"/>
      <c r="IV83" s="6783"/>
      <c r="IW83" s="6783"/>
      <c r="IX83" s="6783"/>
      <c r="IY83" s="6783"/>
      <c r="IZ83" s="6783"/>
      <c r="JA83" s="6783"/>
      <c r="JB83" s="6783"/>
      <c r="JC83" s="6783"/>
      <c r="JD83" s="6783"/>
      <c r="JE83" s="6783"/>
      <c r="JF83" s="6783"/>
      <c r="JG83" s="6783"/>
      <c r="JH83" s="6783"/>
      <c r="JI83" s="6054"/>
      <c r="JM83" s="6053"/>
      <c r="JN83" s="6783" t="str">
        <f>_Calcs!$IQ$134</f>
        <v>Justeringer</v>
      </c>
      <c r="JO83" s="6783"/>
      <c r="JP83" s="6783"/>
      <c r="JQ83" s="6783"/>
      <c r="JR83" s="6783"/>
      <c r="JS83" s="6783"/>
      <c r="JT83" s="6783"/>
      <c r="JU83" s="6783"/>
      <c r="JV83" s="6783"/>
      <c r="JW83" s="6783"/>
      <c r="JX83" s="6783"/>
      <c r="JY83" s="6783"/>
      <c r="JZ83" s="6783"/>
      <c r="KA83" s="6783"/>
      <c r="KB83" s="6783"/>
      <c r="KC83" s="6783"/>
      <c r="KD83" s="6783"/>
      <c r="KE83" s="6783"/>
      <c r="KF83" s="6783"/>
      <c r="KG83" s="6783"/>
      <c r="KH83" s="6783"/>
      <c r="KI83" s="6783"/>
      <c r="KJ83" s="6783"/>
      <c r="KK83" s="6783"/>
      <c r="KL83" s="6783"/>
      <c r="KM83" s="6783"/>
      <c r="KN83" s="6783"/>
      <c r="KO83" s="6783"/>
      <c r="KP83" s="6783"/>
      <c r="KQ83" s="6783"/>
      <c r="KR83" s="6783"/>
      <c r="KS83" s="6783"/>
      <c r="KT83" s="6783"/>
      <c r="KU83" s="6783"/>
      <c r="KV83" s="6783"/>
      <c r="KW83" s="6783"/>
      <c r="KX83" s="6783"/>
      <c r="KY83" s="6783"/>
      <c r="KZ83" s="6783"/>
      <c r="LA83" s="6783"/>
      <c r="LB83" s="6054"/>
      <c r="LF83" s="6053"/>
      <c r="LG83" s="6783" t="str">
        <f>_Calcs!$IR$134</f>
        <v>Justeringer</v>
      </c>
      <c r="LH83" s="6783"/>
      <c r="LI83" s="6783"/>
      <c r="LJ83" s="6783"/>
      <c r="LK83" s="6783"/>
      <c r="LL83" s="6783"/>
      <c r="LM83" s="6783"/>
      <c r="LN83" s="6783"/>
      <c r="LO83" s="6783"/>
      <c r="LP83" s="6783"/>
      <c r="LQ83" s="6783"/>
      <c r="LR83" s="6783"/>
      <c r="LS83" s="6783"/>
      <c r="LT83" s="6783"/>
      <c r="LU83" s="6783"/>
      <c r="LV83" s="6783"/>
      <c r="LW83" s="6783"/>
      <c r="LX83" s="6783"/>
      <c r="LY83" s="6783"/>
      <c r="LZ83" s="6783"/>
      <c r="MA83" s="6783"/>
      <c r="MB83" s="6783"/>
      <c r="MC83" s="6783"/>
      <c r="MD83" s="6783"/>
      <c r="ME83" s="6783"/>
      <c r="MF83" s="6783"/>
      <c r="MG83" s="6783"/>
      <c r="MH83" s="6783"/>
      <c r="MI83" s="6783"/>
      <c r="MJ83" s="6783"/>
      <c r="MK83" s="6783"/>
      <c r="ML83" s="6783"/>
      <c r="MM83" s="6783"/>
      <c r="MN83" s="6783"/>
      <c r="MO83" s="6783"/>
      <c r="MP83" s="6783"/>
      <c r="MQ83" s="6783"/>
      <c r="MR83" s="6783"/>
      <c r="MS83" s="6783"/>
      <c r="MT83" s="6783"/>
      <c r="MU83" s="6054"/>
      <c r="MY83" s="6053"/>
      <c r="MZ83" s="6783" t="str">
        <f>_Calcs!$IS$134</f>
        <v>Justeringer</v>
      </c>
      <c r="NA83" s="6783"/>
      <c r="NB83" s="6783"/>
      <c r="NC83" s="6783"/>
      <c r="ND83" s="6783"/>
      <c r="NE83" s="6783"/>
      <c r="NF83" s="6783"/>
      <c r="NG83" s="6783"/>
      <c r="NH83" s="6783"/>
      <c r="NI83" s="6783"/>
      <c r="NJ83" s="6783"/>
      <c r="NK83" s="6783"/>
      <c r="NL83" s="6783"/>
      <c r="NM83" s="6783"/>
      <c r="NN83" s="6783"/>
      <c r="NO83" s="6783"/>
      <c r="NP83" s="6783"/>
      <c r="NQ83" s="6783"/>
      <c r="NR83" s="6783"/>
      <c r="NS83" s="6783"/>
      <c r="NT83" s="6783"/>
      <c r="NU83" s="6783"/>
      <c r="NV83" s="6783"/>
      <c r="NW83" s="6783"/>
      <c r="NX83" s="6783"/>
      <c r="NY83" s="6783"/>
      <c r="NZ83" s="6783"/>
      <c r="OA83" s="6783"/>
      <c r="OB83" s="6783"/>
      <c r="OC83" s="6783"/>
      <c r="OD83" s="6783"/>
      <c r="OE83" s="6783"/>
      <c r="OF83" s="6783"/>
      <c r="OG83" s="6783"/>
      <c r="OH83" s="6783"/>
      <c r="OI83" s="6783"/>
      <c r="OJ83" s="6783"/>
      <c r="OK83" s="6783"/>
      <c r="OL83" s="6783"/>
      <c r="OM83" s="6783"/>
      <c r="ON83" s="6054"/>
    </row>
    <row r="84" spans="3:404" ht="5.0999999999999996" customHeight="1" x14ac:dyDescent="0.2">
      <c r="C84" s="6055"/>
      <c r="D84" s="6056"/>
      <c r="E84" s="6056"/>
      <c r="F84" s="6056"/>
      <c r="G84" s="6056"/>
      <c r="H84" s="6056"/>
      <c r="I84" s="6056"/>
      <c r="J84" s="6056"/>
      <c r="K84" s="6056"/>
      <c r="L84" s="6056"/>
      <c r="M84" s="6056"/>
      <c r="N84" s="6056"/>
      <c r="O84" s="6056"/>
      <c r="P84" s="6056"/>
      <c r="Q84" s="6056"/>
      <c r="R84" s="6056"/>
      <c r="S84" s="6056"/>
      <c r="T84" s="6056"/>
      <c r="U84" s="6056"/>
      <c r="V84" s="6056"/>
      <c r="W84" s="6056"/>
      <c r="X84" s="6056"/>
      <c r="Y84" s="6056"/>
      <c r="Z84" s="6056"/>
      <c r="AA84" s="6056"/>
      <c r="AB84" s="6056"/>
      <c r="AC84" s="6056"/>
      <c r="AD84" s="6056"/>
      <c r="AE84" s="6056"/>
      <c r="AF84" s="6056"/>
      <c r="AG84" s="6056"/>
      <c r="AH84" s="6056"/>
      <c r="AI84" s="6056"/>
      <c r="AJ84" s="6056"/>
      <c r="AK84" s="6056"/>
      <c r="AL84" s="6056"/>
      <c r="AM84" s="6056"/>
      <c r="AN84" s="6056"/>
      <c r="AO84" s="6056"/>
      <c r="AP84" s="6056"/>
      <c r="AQ84" s="6056"/>
      <c r="AR84" s="6058"/>
      <c r="AV84" s="6055"/>
      <c r="AW84" s="6056"/>
      <c r="AX84" s="6056"/>
      <c r="AY84" s="6056"/>
      <c r="AZ84" s="6056"/>
      <c r="BA84" s="6056"/>
      <c r="BB84" s="6056"/>
      <c r="BC84" s="6056"/>
      <c r="BD84" s="6056"/>
      <c r="BE84" s="6056"/>
      <c r="BF84" s="6056"/>
      <c r="BG84" s="6056"/>
      <c r="BH84" s="6056"/>
      <c r="BI84" s="6056"/>
      <c r="BJ84" s="6056"/>
      <c r="BK84" s="6056"/>
      <c r="BL84" s="6056"/>
      <c r="BM84" s="6056"/>
      <c r="BN84" s="6056"/>
      <c r="BO84" s="6056"/>
      <c r="BP84" s="6056"/>
      <c r="BQ84" s="6056"/>
      <c r="BR84" s="6056"/>
      <c r="BS84" s="6056"/>
      <c r="BT84" s="6056"/>
      <c r="BU84" s="6056"/>
      <c r="BV84" s="6056"/>
      <c r="BW84" s="6056"/>
      <c r="BX84" s="6056"/>
      <c r="BY84" s="6056"/>
      <c r="BZ84" s="6056"/>
      <c r="CA84" s="6056"/>
      <c r="CB84" s="6056"/>
      <c r="CC84" s="6056"/>
      <c r="CD84" s="6056"/>
      <c r="CE84" s="6056"/>
      <c r="CF84" s="6056"/>
      <c r="CG84" s="6056"/>
      <c r="CH84" s="6056"/>
      <c r="CI84" s="6056"/>
      <c r="CJ84" s="6056"/>
      <c r="CK84" s="6058"/>
      <c r="CO84" s="6055"/>
      <c r="CP84" s="6056"/>
      <c r="CQ84" s="6056"/>
      <c r="CR84" s="6056"/>
      <c r="CS84" s="6056"/>
      <c r="CT84" s="6056"/>
      <c r="CU84" s="6056"/>
      <c r="CV84" s="6056"/>
      <c r="CW84" s="6056"/>
      <c r="CX84" s="6056"/>
      <c r="CY84" s="6056"/>
      <c r="CZ84" s="6056"/>
      <c r="DA84" s="6056"/>
      <c r="DB84" s="6056"/>
      <c r="DC84" s="6056"/>
      <c r="DD84" s="6056"/>
      <c r="DE84" s="6056"/>
      <c r="DF84" s="6056"/>
      <c r="DG84" s="6056"/>
      <c r="DH84" s="6056"/>
      <c r="DI84" s="6056"/>
      <c r="DJ84" s="6056"/>
      <c r="DK84" s="6056"/>
      <c r="DL84" s="6056"/>
      <c r="DM84" s="6056"/>
      <c r="DN84" s="6056"/>
      <c r="DO84" s="6056"/>
      <c r="DP84" s="6056"/>
      <c r="DQ84" s="6056"/>
      <c r="DR84" s="6056"/>
      <c r="DS84" s="6056"/>
      <c r="DT84" s="6056"/>
      <c r="DU84" s="6056"/>
      <c r="DV84" s="6056"/>
      <c r="DW84" s="6056"/>
      <c r="DX84" s="6056"/>
      <c r="DY84" s="6056"/>
      <c r="DZ84" s="6056"/>
      <c r="EA84" s="6056"/>
      <c r="EB84" s="6056"/>
      <c r="EC84" s="6056"/>
      <c r="ED84" s="6058"/>
      <c r="EH84" s="6055"/>
      <c r="EI84" s="6056"/>
      <c r="EJ84" s="6056"/>
      <c r="EK84" s="6056"/>
      <c r="EL84" s="6056"/>
      <c r="EM84" s="6056"/>
      <c r="EN84" s="6056"/>
      <c r="EO84" s="6056"/>
      <c r="EP84" s="6056"/>
      <c r="EQ84" s="6056"/>
      <c r="ER84" s="6056"/>
      <c r="ES84" s="6056"/>
      <c r="ET84" s="6056"/>
      <c r="EU84" s="6056"/>
      <c r="EV84" s="6056"/>
      <c r="EW84" s="6056"/>
      <c r="EX84" s="6056"/>
      <c r="EY84" s="6056"/>
      <c r="EZ84" s="6056"/>
      <c r="FA84" s="6056"/>
      <c r="FB84" s="6056"/>
      <c r="FC84" s="6056"/>
      <c r="FD84" s="6056"/>
      <c r="FE84" s="6056"/>
      <c r="FF84" s="6056"/>
      <c r="FG84" s="6056"/>
      <c r="FH84" s="6056"/>
      <c r="FI84" s="6056"/>
      <c r="FJ84" s="6056"/>
      <c r="FK84" s="6056"/>
      <c r="FL84" s="6056"/>
      <c r="FM84" s="6056"/>
      <c r="FN84" s="6056"/>
      <c r="FO84" s="6056"/>
      <c r="FP84" s="6056"/>
      <c r="FQ84" s="6056"/>
      <c r="FR84" s="6056"/>
      <c r="FS84" s="6056"/>
      <c r="FT84" s="6056"/>
      <c r="FU84" s="6056"/>
      <c r="FV84" s="6056"/>
      <c r="FW84" s="6058"/>
      <c r="GA84" s="6055"/>
      <c r="GB84" s="6056"/>
      <c r="GC84" s="6056"/>
      <c r="GD84" s="6056"/>
      <c r="GE84" s="6056"/>
      <c r="GF84" s="6056"/>
      <c r="GG84" s="6056"/>
      <c r="GH84" s="6056"/>
      <c r="GI84" s="6056"/>
      <c r="GJ84" s="6056"/>
      <c r="GK84" s="6056"/>
      <c r="GL84" s="6056"/>
      <c r="GM84" s="6056"/>
      <c r="GN84" s="6056"/>
      <c r="GO84" s="6056"/>
      <c r="GP84" s="6056"/>
      <c r="GQ84" s="6056"/>
      <c r="GR84" s="6056"/>
      <c r="GS84" s="6056"/>
      <c r="GT84" s="6056"/>
      <c r="GU84" s="6056"/>
      <c r="GV84" s="6056"/>
      <c r="GW84" s="6056"/>
      <c r="GX84" s="6056"/>
      <c r="GY84" s="6056"/>
      <c r="GZ84" s="6056"/>
      <c r="HA84" s="6056"/>
      <c r="HB84" s="6056"/>
      <c r="HC84" s="6056"/>
      <c r="HD84" s="6056"/>
      <c r="HE84" s="6056"/>
      <c r="HF84" s="6056"/>
      <c r="HG84" s="6056"/>
      <c r="HH84" s="6056"/>
      <c r="HI84" s="6056"/>
      <c r="HJ84" s="6056"/>
      <c r="HK84" s="6056"/>
      <c r="HL84" s="6056"/>
      <c r="HM84" s="6056"/>
      <c r="HN84" s="6056"/>
      <c r="HO84" s="6056"/>
      <c r="HP84" s="6058"/>
      <c r="HT84" s="6055"/>
      <c r="HU84" s="6056"/>
      <c r="HV84" s="6056"/>
      <c r="HW84" s="6056"/>
      <c r="HX84" s="6056"/>
      <c r="HY84" s="6056"/>
      <c r="HZ84" s="6056"/>
      <c r="IA84" s="6056"/>
      <c r="IB84" s="6056"/>
      <c r="IC84" s="6056"/>
      <c r="ID84" s="6056"/>
      <c r="IE84" s="6056"/>
      <c r="IF84" s="6056"/>
      <c r="IG84" s="6056"/>
      <c r="IH84" s="6056"/>
      <c r="II84" s="6056"/>
      <c r="IJ84" s="6056"/>
      <c r="IK84" s="6056"/>
      <c r="IL84" s="6056"/>
      <c r="IM84" s="6056"/>
      <c r="IN84" s="6056"/>
      <c r="IO84" s="6056"/>
      <c r="IP84" s="6056"/>
      <c r="IQ84" s="6056"/>
      <c r="IR84" s="6056"/>
      <c r="IS84" s="6056"/>
      <c r="IT84" s="6056"/>
      <c r="IU84" s="6056"/>
      <c r="IV84" s="6056"/>
      <c r="IW84" s="6056"/>
      <c r="IX84" s="6056"/>
      <c r="IY84" s="6056"/>
      <c r="IZ84" s="6056"/>
      <c r="JA84" s="6056"/>
      <c r="JB84" s="6056"/>
      <c r="JC84" s="6056"/>
      <c r="JD84" s="6056"/>
      <c r="JE84" s="6056"/>
      <c r="JF84" s="6056"/>
      <c r="JG84" s="6056"/>
      <c r="JH84" s="6056"/>
      <c r="JI84" s="6058"/>
      <c r="JM84" s="6055"/>
      <c r="JN84" s="6056"/>
      <c r="JO84" s="6056"/>
      <c r="JP84" s="6056"/>
      <c r="JQ84" s="6056"/>
      <c r="JR84" s="6056"/>
      <c r="JS84" s="6056"/>
      <c r="JT84" s="6056"/>
      <c r="JU84" s="6056"/>
      <c r="JV84" s="6056"/>
      <c r="JW84" s="6056"/>
      <c r="JX84" s="6056"/>
      <c r="JY84" s="6056"/>
      <c r="JZ84" s="6056"/>
      <c r="KA84" s="6056"/>
      <c r="KB84" s="6056"/>
      <c r="KC84" s="6056"/>
      <c r="KD84" s="6056"/>
      <c r="KE84" s="6056"/>
      <c r="KF84" s="6056"/>
      <c r="KG84" s="6056"/>
      <c r="KH84" s="6056"/>
      <c r="KI84" s="6056"/>
      <c r="KJ84" s="6056"/>
      <c r="KK84" s="6056"/>
      <c r="KL84" s="6056"/>
      <c r="KM84" s="6056"/>
      <c r="KN84" s="6056"/>
      <c r="KO84" s="6056"/>
      <c r="KP84" s="6056"/>
      <c r="KQ84" s="6056"/>
      <c r="KR84" s="6056"/>
      <c r="KS84" s="6056"/>
      <c r="KT84" s="6056"/>
      <c r="KU84" s="6056"/>
      <c r="KV84" s="6056"/>
      <c r="KW84" s="6056"/>
      <c r="KX84" s="6056"/>
      <c r="KY84" s="6056"/>
      <c r="KZ84" s="6056"/>
      <c r="LA84" s="6056"/>
      <c r="LB84" s="6058"/>
      <c r="LF84" s="6055"/>
      <c r="LG84" s="6056"/>
      <c r="LH84" s="6056"/>
      <c r="LI84" s="6056"/>
      <c r="LJ84" s="6056"/>
      <c r="LK84" s="6056"/>
      <c r="LL84" s="6056"/>
      <c r="LM84" s="6056"/>
      <c r="LN84" s="6056"/>
      <c r="LO84" s="6056"/>
      <c r="LP84" s="6056"/>
      <c r="LQ84" s="6056"/>
      <c r="LR84" s="6056"/>
      <c r="LS84" s="6056"/>
      <c r="LT84" s="6056"/>
      <c r="LU84" s="6056"/>
      <c r="LV84" s="6056"/>
      <c r="LW84" s="6056"/>
      <c r="LX84" s="6056"/>
      <c r="LY84" s="6056"/>
      <c r="LZ84" s="6056"/>
      <c r="MA84" s="6056"/>
      <c r="MB84" s="6056"/>
      <c r="MC84" s="6056"/>
      <c r="MD84" s="6056"/>
      <c r="ME84" s="6056"/>
      <c r="MF84" s="6056"/>
      <c r="MG84" s="6056"/>
      <c r="MH84" s="6056"/>
      <c r="MI84" s="6056"/>
      <c r="MJ84" s="6056"/>
      <c r="MK84" s="6056"/>
      <c r="ML84" s="6056"/>
      <c r="MM84" s="6056"/>
      <c r="MN84" s="6056"/>
      <c r="MO84" s="6056"/>
      <c r="MP84" s="6056"/>
      <c r="MQ84" s="6056"/>
      <c r="MR84" s="6056"/>
      <c r="MS84" s="6056"/>
      <c r="MT84" s="6056"/>
      <c r="MU84" s="6058"/>
      <c r="MY84" s="6055"/>
      <c r="MZ84" s="6056"/>
      <c r="NA84" s="6056"/>
      <c r="NB84" s="6056"/>
      <c r="NC84" s="6056"/>
      <c r="ND84" s="6056"/>
      <c r="NE84" s="6056"/>
      <c r="NF84" s="6056"/>
      <c r="NG84" s="6056"/>
      <c r="NH84" s="6056"/>
      <c r="NI84" s="6056"/>
      <c r="NJ84" s="6056"/>
      <c r="NK84" s="6056"/>
      <c r="NL84" s="6056"/>
      <c r="NM84" s="6056"/>
      <c r="NN84" s="6056"/>
      <c r="NO84" s="6056"/>
      <c r="NP84" s="6056"/>
      <c r="NQ84" s="6056"/>
      <c r="NR84" s="6056"/>
      <c r="NS84" s="6056"/>
      <c r="NT84" s="6056"/>
      <c r="NU84" s="6056"/>
      <c r="NV84" s="6056"/>
      <c r="NW84" s="6056"/>
      <c r="NX84" s="6056"/>
      <c r="NY84" s="6056"/>
      <c r="NZ84" s="6056"/>
      <c r="OA84" s="6056"/>
      <c r="OB84" s="6056"/>
      <c r="OC84" s="6056"/>
      <c r="OD84" s="6056"/>
      <c r="OE84" s="6056"/>
      <c r="OF84" s="6056"/>
      <c r="OG84" s="6056"/>
      <c r="OH84" s="6056"/>
      <c r="OI84" s="6056"/>
      <c r="OJ84" s="6056"/>
      <c r="OK84" s="6056"/>
      <c r="OL84" s="6056"/>
      <c r="OM84" s="6056"/>
      <c r="ON84" s="6058"/>
    </row>
    <row r="85" spans="3:404" s="6063" customFormat="1" ht="12" customHeight="1" x14ac:dyDescent="0.2">
      <c r="C85" s="6059"/>
      <c r="D85" s="6060" t="str">
        <f>_Calcs!$N$77</f>
        <v>Faktor</v>
      </c>
      <c r="E85" s="6060"/>
      <c r="F85" s="6060"/>
      <c r="G85" s="6060"/>
      <c r="H85" s="6060"/>
      <c r="I85" s="6060"/>
      <c r="J85" s="6060"/>
      <c r="K85" s="6060"/>
      <c r="L85" s="6060"/>
      <c r="M85" s="6060"/>
      <c r="N85" s="6060"/>
      <c r="O85" s="6060"/>
      <c r="P85" s="6060"/>
      <c r="Q85" s="6060"/>
      <c r="R85" s="6060"/>
      <c r="S85" s="6060"/>
      <c r="T85" s="6060"/>
      <c r="U85" s="6060"/>
      <c r="V85" s="6060"/>
      <c r="W85" s="6060"/>
      <c r="X85" s="6060"/>
      <c r="Y85" s="6060"/>
      <c r="Z85" s="6060"/>
      <c r="AA85" s="6060"/>
      <c r="AB85" s="6060"/>
      <c r="AC85" s="6060"/>
      <c r="AD85" s="6060"/>
      <c r="AE85" s="6060"/>
      <c r="AF85" s="6060"/>
      <c r="AG85" s="6060"/>
      <c r="AH85" s="6060"/>
      <c r="AI85" s="6092"/>
      <c r="AJ85" s="6092"/>
      <c r="AK85" s="6092"/>
      <c r="AL85" s="6060"/>
      <c r="AM85" s="6060" t="str">
        <f>_Calcs!$N$81</f>
        <v>Påvirkning</v>
      </c>
      <c r="AN85" s="6060"/>
      <c r="AO85" s="6060"/>
      <c r="AP85" s="6060"/>
      <c r="AQ85" s="6060"/>
      <c r="AR85" s="6062"/>
      <c r="AV85" s="6059"/>
      <c r="AW85" s="6060" t="str">
        <f>_Calcs!$N$77</f>
        <v>Faktor</v>
      </c>
      <c r="AX85" s="6060"/>
      <c r="AY85" s="6060"/>
      <c r="AZ85" s="6060"/>
      <c r="BA85" s="6060"/>
      <c r="BB85" s="6060"/>
      <c r="BC85" s="6060"/>
      <c r="BD85" s="6060"/>
      <c r="BE85" s="6060"/>
      <c r="BF85" s="6060"/>
      <c r="BG85" s="6060"/>
      <c r="BH85" s="6060"/>
      <c r="BI85" s="6060"/>
      <c r="BJ85" s="6060"/>
      <c r="BK85" s="6060"/>
      <c r="BL85" s="6060"/>
      <c r="BM85" s="6060"/>
      <c r="BN85" s="6060"/>
      <c r="BO85" s="6060"/>
      <c r="BP85" s="6060"/>
      <c r="BQ85" s="6060"/>
      <c r="BR85" s="6060"/>
      <c r="BS85" s="6060"/>
      <c r="BT85" s="6060"/>
      <c r="BU85" s="6060"/>
      <c r="BV85" s="6060"/>
      <c r="BW85" s="6060"/>
      <c r="BX85" s="6060"/>
      <c r="BY85" s="6060"/>
      <c r="BZ85" s="6060"/>
      <c r="CA85" s="6060"/>
      <c r="CB85" s="6092"/>
      <c r="CC85" s="6092"/>
      <c r="CD85" s="6092"/>
      <c r="CE85" s="6060"/>
      <c r="CF85" s="6060" t="str">
        <f>_Calcs!$N$81</f>
        <v>Påvirkning</v>
      </c>
      <c r="CG85" s="6060"/>
      <c r="CH85" s="6060"/>
      <c r="CI85" s="6060"/>
      <c r="CJ85" s="6060"/>
      <c r="CK85" s="6062"/>
      <c r="CO85" s="6059"/>
      <c r="CP85" s="6060" t="str">
        <f>_Calcs!$N$77</f>
        <v>Faktor</v>
      </c>
      <c r="CQ85" s="6060"/>
      <c r="CR85" s="6060"/>
      <c r="CS85" s="6060"/>
      <c r="CT85" s="6060"/>
      <c r="CU85" s="6060"/>
      <c r="CV85" s="6060"/>
      <c r="CW85" s="6060"/>
      <c r="CX85" s="6060"/>
      <c r="CY85" s="6060"/>
      <c r="CZ85" s="6060"/>
      <c r="DA85" s="6060"/>
      <c r="DB85" s="6060"/>
      <c r="DC85" s="6060"/>
      <c r="DD85" s="6060"/>
      <c r="DE85" s="6060"/>
      <c r="DF85" s="6060"/>
      <c r="DG85" s="6060"/>
      <c r="DH85" s="6060"/>
      <c r="DI85" s="6060"/>
      <c r="DJ85" s="6060"/>
      <c r="DK85" s="6060"/>
      <c r="DL85" s="6060"/>
      <c r="DM85" s="6060"/>
      <c r="DN85" s="6060"/>
      <c r="DO85" s="6060"/>
      <c r="DP85" s="6060"/>
      <c r="DQ85" s="6060"/>
      <c r="DR85" s="6060"/>
      <c r="DS85" s="6060"/>
      <c r="DT85" s="6060"/>
      <c r="DU85" s="6092"/>
      <c r="DV85" s="6092"/>
      <c r="DW85" s="6092"/>
      <c r="DX85" s="6060"/>
      <c r="DY85" s="6060" t="str">
        <f>_Calcs!$N$81</f>
        <v>Påvirkning</v>
      </c>
      <c r="DZ85" s="6060"/>
      <c r="EA85" s="6060"/>
      <c r="EB85" s="6060"/>
      <c r="EC85" s="6060"/>
      <c r="ED85" s="6062"/>
      <c r="EH85" s="6059"/>
      <c r="EI85" s="6060" t="str">
        <f>_Calcs!$N$77</f>
        <v>Faktor</v>
      </c>
      <c r="EJ85" s="6060"/>
      <c r="EK85" s="6060"/>
      <c r="EL85" s="6060"/>
      <c r="EM85" s="6060"/>
      <c r="EN85" s="6060"/>
      <c r="EO85" s="6060"/>
      <c r="EP85" s="6060"/>
      <c r="EQ85" s="6060"/>
      <c r="ER85" s="6060"/>
      <c r="ES85" s="6060"/>
      <c r="ET85" s="6060"/>
      <c r="EU85" s="6060"/>
      <c r="EV85" s="6060"/>
      <c r="EW85" s="6060"/>
      <c r="EX85" s="6060"/>
      <c r="EY85" s="6060"/>
      <c r="EZ85" s="6060"/>
      <c r="FA85" s="6060"/>
      <c r="FB85" s="6060"/>
      <c r="FC85" s="6060"/>
      <c r="FD85" s="6060"/>
      <c r="FE85" s="6060"/>
      <c r="FF85" s="6060"/>
      <c r="FG85" s="6060"/>
      <c r="FH85" s="6060"/>
      <c r="FI85" s="6060"/>
      <c r="FJ85" s="6060"/>
      <c r="FK85" s="6060"/>
      <c r="FL85" s="6060"/>
      <c r="FM85" s="6060"/>
      <c r="FN85" s="6092"/>
      <c r="FO85" s="6092"/>
      <c r="FP85" s="6092"/>
      <c r="FQ85" s="6060"/>
      <c r="FR85" s="6060" t="str">
        <f>_Calcs!$N$81</f>
        <v>Påvirkning</v>
      </c>
      <c r="FS85" s="6060"/>
      <c r="FT85" s="6060"/>
      <c r="FU85" s="6060"/>
      <c r="FV85" s="6060"/>
      <c r="FW85" s="6062"/>
      <c r="GA85" s="6059"/>
      <c r="GB85" s="6060" t="str">
        <f>_Calcs!$N$77</f>
        <v>Faktor</v>
      </c>
      <c r="GC85" s="6060"/>
      <c r="GD85" s="6060"/>
      <c r="GE85" s="6060"/>
      <c r="GF85" s="6060"/>
      <c r="GG85" s="6060"/>
      <c r="GH85" s="6060"/>
      <c r="GI85" s="6060"/>
      <c r="GJ85" s="6060"/>
      <c r="GK85" s="6060"/>
      <c r="GL85" s="6060"/>
      <c r="GM85" s="6060"/>
      <c r="GN85" s="6060"/>
      <c r="GO85" s="6060"/>
      <c r="GP85" s="6060"/>
      <c r="GQ85" s="6060"/>
      <c r="GR85" s="6060"/>
      <c r="GS85" s="6060"/>
      <c r="GT85" s="6060"/>
      <c r="GU85" s="6060"/>
      <c r="GV85" s="6060"/>
      <c r="GW85" s="6060"/>
      <c r="GX85" s="6060"/>
      <c r="GY85" s="6060"/>
      <c r="GZ85" s="6060"/>
      <c r="HA85" s="6060"/>
      <c r="HB85" s="6060"/>
      <c r="HC85" s="6060"/>
      <c r="HD85" s="6060"/>
      <c r="HE85" s="6060"/>
      <c r="HF85" s="6060"/>
      <c r="HG85" s="6092"/>
      <c r="HH85" s="6092"/>
      <c r="HI85" s="6092"/>
      <c r="HJ85" s="6060"/>
      <c r="HK85" s="6060" t="str">
        <f>_Calcs!$N$81</f>
        <v>Påvirkning</v>
      </c>
      <c r="HL85" s="6060"/>
      <c r="HM85" s="6060"/>
      <c r="HN85" s="6060"/>
      <c r="HO85" s="6060"/>
      <c r="HP85" s="6062"/>
      <c r="HT85" s="6059"/>
      <c r="HU85" s="6060" t="str">
        <f>_Calcs!$N$77</f>
        <v>Faktor</v>
      </c>
      <c r="HV85" s="6060"/>
      <c r="HW85" s="6060"/>
      <c r="HX85" s="6060"/>
      <c r="HY85" s="6060"/>
      <c r="HZ85" s="6060"/>
      <c r="IA85" s="6060"/>
      <c r="IB85" s="6060"/>
      <c r="IC85" s="6060"/>
      <c r="ID85" s="6060"/>
      <c r="IE85" s="6060"/>
      <c r="IF85" s="6060"/>
      <c r="IG85" s="6060"/>
      <c r="IH85" s="6060"/>
      <c r="II85" s="6060"/>
      <c r="IJ85" s="6060"/>
      <c r="IK85" s="6060"/>
      <c r="IL85" s="6060"/>
      <c r="IM85" s="6060"/>
      <c r="IN85" s="6060"/>
      <c r="IO85" s="6060"/>
      <c r="IP85" s="6060"/>
      <c r="IQ85" s="6060"/>
      <c r="IR85" s="6060"/>
      <c r="IS85" s="6060"/>
      <c r="IT85" s="6060"/>
      <c r="IU85" s="6060"/>
      <c r="IV85" s="6060"/>
      <c r="IW85" s="6060"/>
      <c r="IX85" s="6060"/>
      <c r="IY85" s="6060"/>
      <c r="IZ85" s="6092"/>
      <c r="JA85" s="6092"/>
      <c r="JB85" s="6092"/>
      <c r="JC85" s="6060"/>
      <c r="JD85" s="6060" t="str">
        <f>_Calcs!$N$81</f>
        <v>Påvirkning</v>
      </c>
      <c r="JE85" s="6060"/>
      <c r="JF85" s="6060"/>
      <c r="JG85" s="6060"/>
      <c r="JH85" s="6060"/>
      <c r="JI85" s="6062"/>
      <c r="JM85" s="6059"/>
      <c r="JN85" s="6060" t="str">
        <f>_Calcs!$N$77</f>
        <v>Faktor</v>
      </c>
      <c r="JO85" s="6060"/>
      <c r="JP85" s="6060"/>
      <c r="JQ85" s="6060"/>
      <c r="JR85" s="6060"/>
      <c r="JS85" s="6060"/>
      <c r="JT85" s="6060"/>
      <c r="JU85" s="6060"/>
      <c r="JV85" s="6060"/>
      <c r="JW85" s="6060"/>
      <c r="JX85" s="6060"/>
      <c r="JY85" s="6060"/>
      <c r="JZ85" s="6060"/>
      <c r="KA85" s="6060"/>
      <c r="KB85" s="6060"/>
      <c r="KC85" s="6060"/>
      <c r="KD85" s="6060"/>
      <c r="KE85" s="6060"/>
      <c r="KF85" s="6060"/>
      <c r="KG85" s="6060"/>
      <c r="KH85" s="6060"/>
      <c r="KI85" s="6060"/>
      <c r="KJ85" s="6060"/>
      <c r="KK85" s="6060"/>
      <c r="KL85" s="6060"/>
      <c r="KM85" s="6060"/>
      <c r="KN85" s="6060"/>
      <c r="KO85" s="6060"/>
      <c r="KP85" s="6060"/>
      <c r="KQ85" s="6060"/>
      <c r="KR85" s="6060"/>
      <c r="KS85" s="6092"/>
      <c r="KT85" s="6092"/>
      <c r="KU85" s="6092"/>
      <c r="KV85" s="6060"/>
      <c r="KW85" s="6060" t="str">
        <f>_Calcs!$N$81</f>
        <v>Påvirkning</v>
      </c>
      <c r="KX85" s="6060"/>
      <c r="KY85" s="6060"/>
      <c r="KZ85" s="6060"/>
      <c r="LA85" s="6060"/>
      <c r="LB85" s="6062"/>
      <c r="LF85" s="6059"/>
      <c r="LG85" s="6060" t="str">
        <f>_Calcs!$N$77</f>
        <v>Faktor</v>
      </c>
      <c r="LH85" s="6060"/>
      <c r="LI85" s="6060"/>
      <c r="LJ85" s="6060"/>
      <c r="LK85" s="6060"/>
      <c r="LL85" s="6060"/>
      <c r="LM85" s="6060"/>
      <c r="LN85" s="6060"/>
      <c r="LO85" s="6060"/>
      <c r="LP85" s="6060"/>
      <c r="LQ85" s="6060"/>
      <c r="LR85" s="6060"/>
      <c r="LS85" s="6060"/>
      <c r="LT85" s="6060"/>
      <c r="LU85" s="6060"/>
      <c r="LV85" s="6060"/>
      <c r="LW85" s="6060"/>
      <c r="LX85" s="6060"/>
      <c r="LY85" s="6060"/>
      <c r="LZ85" s="6060"/>
      <c r="MA85" s="6060"/>
      <c r="MB85" s="6060"/>
      <c r="MC85" s="6060"/>
      <c r="MD85" s="6060"/>
      <c r="ME85" s="6060"/>
      <c r="MF85" s="6060"/>
      <c r="MG85" s="6060"/>
      <c r="MH85" s="6060"/>
      <c r="MI85" s="6060"/>
      <c r="MJ85" s="6060"/>
      <c r="MK85" s="6060"/>
      <c r="ML85" s="6092"/>
      <c r="MM85" s="6092"/>
      <c r="MN85" s="6092"/>
      <c r="MO85" s="6060"/>
      <c r="MP85" s="6060" t="str">
        <f>_Calcs!$N$81</f>
        <v>Påvirkning</v>
      </c>
      <c r="MQ85" s="6060"/>
      <c r="MR85" s="6060"/>
      <c r="MS85" s="6060"/>
      <c r="MT85" s="6060"/>
      <c r="MU85" s="6062"/>
      <c r="MY85" s="6059"/>
      <c r="MZ85" s="6060" t="str">
        <f>_Calcs!$N$77</f>
        <v>Faktor</v>
      </c>
      <c r="NA85" s="6060"/>
      <c r="NB85" s="6060"/>
      <c r="NC85" s="6060"/>
      <c r="ND85" s="6060"/>
      <c r="NE85" s="6060"/>
      <c r="NF85" s="6060"/>
      <c r="NG85" s="6060"/>
      <c r="NH85" s="6060"/>
      <c r="NI85" s="6060"/>
      <c r="NJ85" s="6060"/>
      <c r="NK85" s="6060"/>
      <c r="NL85" s="6060"/>
      <c r="NM85" s="6060"/>
      <c r="NN85" s="6060"/>
      <c r="NO85" s="6060"/>
      <c r="NP85" s="6060"/>
      <c r="NQ85" s="6060"/>
      <c r="NR85" s="6060"/>
      <c r="NS85" s="6060"/>
      <c r="NT85" s="6060"/>
      <c r="NU85" s="6060"/>
      <c r="NV85" s="6060"/>
      <c r="NW85" s="6060"/>
      <c r="NX85" s="6060"/>
      <c r="NY85" s="6060"/>
      <c r="NZ85" s="6060"/>
      <c r="OA85" s="6060"/>
      <c r="OB85" s="6060"/>
      <c r="OC85" s="6060"/>
      <c r="OD85" s="6060"/>
      <c r="OE85" s="6092"/>
      <c r="OF85" s="6092"/>
      <c r="OG85" s="6092"/>
      <c r="OH85" s="6060"/>
      <c r="OI85" s="6060" t="str">
        <f>_Calcs!$N$81</f>
        <v>Påvirkning</v>
      </c>
      <c r="OJ85" s="6060"/>
      <c r="OK85" s="6060"/>
      <c r="OL85" s="6060"/>
      <c r="OM85" s="6060"/>
      <c r="ON85" s="6062"/>
    </row>
    <row r="86" spans="3:404" ht="5.0999999999999996" customHeight="1" thickBot="1" x14ac:dyDescent="0.25">
      <c r="C86" s="6055"/>
      <c r="D86" s="6056"/>
      <c r="E86" s="6056"/>
      <c r="F86" s="6056"/>
      <c r="G86" s="6056"/>
      <c r="H86" s="6056"/>
      <c r="I86" s="6056"/>
      <c r="J86" s="6056"/>
      <c r="K86" s="6056"/>
      <c r="L86" s="6056"/>
      <c r="M86" s="6056"/>
      <c r="N86" s="6056"/>
      <c r="O86" s="6056"/>
      <c r="P86" s="6056"/>
      <c r="Q86" s="6056"/>
      <c r="R86" s="6056"/>
      <c r="S86" s="6056"/>
      <c r="T86" s="6056"/>
      <c r="U86" s="6056"/>
      <c r="V86" s="6056"/>
      <c r="W86" s="6056"/>
      <c r="X86" s="6056"/>
      <c r="Y86" s="6056"/>
      <c r="Z86" s="6056"/>
      <c r="AA86" s="6056"/>
      <c r="AB86" s="6056"/>
      <c r="AC86" s="6056"/>
      <c r="AD86" s="6056"/>
      <c r="AE86" s="6056"/>
      <c r="AF86" s="6056"/>
      <c r="AG86" s="6056"/>
      <c r="AH86" s="6056"/>
      <c r="AI86" s="6061"/>
      <c r="AJ86" s="6061"/>
      <c r="AK86" s="6061"/>
      <c r="AL86" s="6056"/>
      <c r="AM86" s="6056"/>
      <c r="AN86" s="6056"/>
      <c r="AO86" s="6056"/>
      <c r="AP86" s="6056"/>
      <c r="AQ86" s="6056"/>
      <c r="AR86" s="6058"/>
      <c r="AV86" s="6055"/>
      <c r="AW86" s="6056"/>
      <c r="AX86" s="6056"/>
      <c r="AY86" s="6056"/>
      <c r="AZ86" s="6056"/>
      <c r="BA86" s="6056"/>
      <c r="BB86" s="6056"/>
      <c r="BC86" s="6056"/>
      <c r="BD86" s="6056"/>
      <c r="BE86" s="6056"/>
      <c r="BF86" s="6056"/>
      <c r="BG86" s="6056"/>
      <c r="BH86" s="6056"/>
      <c r="BI86" s="6056"/>
      <c r="BJ86" s="6056"/>
      <c r="BK86" s="6056"/>
      <c r="BL86" s="6056"/>
      <c r="BM86" s="6056"/>
      <c r="BN86" s="6056"/>
      <c r="BO86" s="6056"/>
      <c r="BP86" s="6056"/>
      <c r="BQ86" s="6056"/>
      <c r="BR86" s="6056"/>
      <c r="BS86" s="6056"/>
      <c r="BT86" s="6056"/>
      <c r="BU86" s="6056"/>
      <c r="BV86" s="6056"/>
      <c r="BW86" s="6056"/>
      <c r="BX86" s="6056"/>
      <c r="BY86" s="6056"/>
      <c r="BZ86" s="6056"/>
      <c r="CA86" s="6056"/>
      <c r="CB86" s="6061"/>
      <c r="CC86" s="6061"/>
      <c r="CD86" s="6061"/>
      <c r="CE86" s="6056"/>
      <c r="CF86" s="6056"/>
      <c r="CG86" s="6056"/>
      <c r="CH86" s="6056"/>
      <c r="CI86" s="6056"/>
      <c r="CJ86" s="6056"/>
      <c r="CK86" s="6058"/>
      <c r="CO86" s="6055"/>
      <c r="CP86" s="6056"/>
      <c r="CQ86" s="6056"/>
      <c r="CR86" s="6056"/>
      <c r="CS86" s="6056"/>
      <c r="CT86" s="6056"/>
      <c r="CU86" s="6056"/>
      <c r="CV86" s="6056"/>
      <c r="CW86" s="6056"/>
      <c r="CX86" s="6056"/>
      <c r="CY86" s="6056"/>
      <c r="CZ86" s="6056"/>
      <c r="DA86" s="6056"/>
      <c r="DB86" s="6056"/>
      <c r="DC86" s="6056"/>
      <c r="DD86" s="6056"/>
      <c r="DE86" s="6056"/>
      <c r="DF86" s="6056"/>
      <c r="DG86" s="6056"/>
      <c r="DH86" s="6056"/>
      <c r="DI86" s="6056"/>
      <c r="DJ86" s="6056"/>
      <c r="DK86" s="6056"/>
      <c r="DL86" s="6056"/>
      <c r="DM86" s="6056"/>
      <c r="DN86" s="6056"/>
      <c r="DO86" s="6056"/>
      <c r="DP86" s="6056"/>
      <c r="DQ86" s="6056"/>
      <c r="DR86" s="6056"/>
      <c r="DS86" s="6056"/>
      <c r="DT86" s="6056"/>
      <c r="DU86" s="6061"/>
      <c r="DV86" s="6061"/>
      <c r="DW86" s="6061"/>
      <c r="DX86" s="6056"/>
      <c r="DY86" s="6056"/>
      <c r="DZ86" s="6056"/>
      <c r="EA86" s="6056"/>
      <c r="EB86" s="6056"/>
      <c r="EC86" s="6056"/>
      <c r="ED86" s="6058"/>
      <c r="EH86" s="6055"/>
      <c r="EI86" s="6056"/>
      <c r="EJ86" s="6056"/>
      <c r="EK86" s="6056"/>
      <c r="EL86" s="6056"/>
      <c r="EM86" s="6056"/>
      <c r="EN86" s="6056"/>
      <c r="EO86" s="6056"/>
      <c r="EP86" s="6056"/>
      <c r="EQ86" s="6056"/>
      <c r="ER86" s="6056"/>
      <c r="ES86" s="6056"/>
      <c r="ET86" s="6056"/>
      <c r="EU86" s="6056"/>
      <c r="EV86" s="6056"/>
      <c r="EW86" s="6056"/>
      <c r="EX86" s="6056"/>
      <c r="EY86" s="6056"/>
      <c r="EZ86" s="6056"/>
      <c r="FA86" s="6056"/>
      <c r="FB86" s="6056"/>
      <c r="FC86" s="6056"/>
      <c r="FD86" s="6056"/>
      <c r="FE86" s="6056"/>
      <c r="FF86" s="6056"/>
      <c r="FG86" s="6056"/>
      <c r="FH86" s="6056"/>
      <c r="FI86" s="6056"/>
      <c r="FJ86" s="6056"/>
      <c r="FK86" s="6056"/>
      <c r="FL86" s="6056"/>
      <c r="FM86" s="6056"/>
      <c r="FN86" s="6061"/>
      <c r="FO86" s="6061"/>
      <c r="FP86" s="6061"/>
      <c r="FQ86" s="6056"/>
      <c r="FR86" s="6056"/>
      <c r="FS86" s="6056"/>
      <c r="FT86" s="6056"/>
      <c r="FU86" s="6056"/>
      <c r="FV86" s="6056"/>
      <c r="FW86" s="6058"/>
      <c r="GA86" s="6055"/>
      <c r="GB86" s="6056"/>
      <c r="GC86" s="6056"/>
      <c r="GD86" s="6056"/>
      <c r="GE86" s="6056"/>
      <c r="GF86" s="6056"/>
      <c r="GG86" s="6056"/>
      <c r="GH86" s="6056"/>
      <c r="GI86" s="6056"/>
      <c r="GJ86" s="6056"/>
      <c r="GK86" s="6056"/>
      <c r="GL86" s="6056"/>
      <c r="GM86" s="6056"/>
      <c r="GN86" s="6056"/>
      <c r="GO86" s="6056"/>
      <c r="GP86" s="6056"/>
      <c r="GQ86" s="6056"/>
      <c r="GR86" s="6056"/>
      <c r="GS86" s="6056"/>
      <c r="GT86" s="6056"/>
      <c r="GU86" s="6056"/>
      <c r="GV86" s="6056"/>
      <c r="GW86" s="6056"/>
      <c r="GX86" s="6056"/>
      <c r="GY86" s="6056"/>
      <c r="GZ86" s="6056"/>
      <c r="HA86" s="6056"/>
      <c r="HB86" s="6056"/>
      <c r="HC86" s="6056"/>
      <c r="HD86" s="6056"/>
      <c r="HE86" s="6056"/>
      <c r="HF86" s="6056"/>
      <c r="HG86" s="6061"/>
      <c r="HH86" s="6061"/>
      <c r="HI86" s="6061"/>
      <c r="HJ86" s="6056"/>
      <c r="HK86" s="6056"/>
      <c r="HL86" s="6056"/>
      <c r="HM86" s="6056"/>
      <c r="HN86" s="6056"/>
      <c r="HO86" s="6056"/>
      <c r="HP86" s="6058"/>
      <c r="HT86" s="6055"/>
      <c r="HU86" s="6056"/>
      <c r="HV86" s="6056"/>
      <c r="HW86" s="6056"/>
      <c r="HX86" s="6056"/>
      <c r="HY86" s="6056"/>
      <c r="HZ86" s="6056"/>
      <c r="IA86" s="6056"/>
      <c r="IB86" s="6056"/>
      <c r="IC86" s="6056"/>
      <c r="ID86" s="6056"/>
      <c r="IE86" s="6056"/>
      <c r="IF86" s="6056"/>
      <c r="IG86" s="6056"/>
      <c r="IH86" s="6056"/>
      <c r="II86" s="6056"/>
      <c r="IJ86" s="6056"/>
      <c r="IK86" s="6056"/>
      <c r="IL86" s="6056"/>
      <c r="IM86" s="6056"/>
      <c r="IN86" s="6056"/>
      <c r="IO86" s="6056"/>
      <c r="IP86" s="6056"/>
      <c r="IQ86" s="6056"/>
      <c r="IR86" s="6056"/>
      <c r="IS86" s="6056"/>
      <c r="IT86" s="6056"/>
      <c r="IU86" s="6056"/>
      <c r="IV86" s="6056"/>
      <c r="IW86" s="6056"/>
      <c r="IX86" s="6056"/>
      <c r="IY86" s="6056"/>
      <c r="IZ86" s="6061"/>
      <c r="JA86" s="6061"/>
      <c r="JB86" s="6061"/>
      <c r="JC86" s="6056"/>
      <c r="JD86" s="6056"/>
      <c r="JE86" s="6056"/>
      <c r="JF86" s="6056"/>
      <c r="JG86" s="6056"/>
      <c r="JH86" s="6056"/>
      <c r="JI86" s="6058"/>
      <c r="JM86" s="6055"/>
      <c r="JN86" s="6056"/>
      <c r="JO86" s="6056"/>
      <c r="JP86" s="6056"/>
      <c r="JQ86" s="6056"/>
      <c r="JR86" s="6056"/>
      <c r="JS86" s="6056"/>
      <c r="JT86" s="6056"/>
      <c r="JU86" s="6056"/>
      <c r="JV86" s="6056"/>
      <c r="JW86" s="6056"/>
      <c r="JX86" s="6056"/>
      <c r="JY86" s="6056"/>
      <c r="JZ86" s="6056"/>
      <c r="KA86" s="6056"/>
      <c r="KB86" s="6056"/>
      <c r="KC86" s="6056"/>
      <c r="KD86" s="6056"/>
      <c r="KE86" s="6056"/>
      <c r="KF86" s="6056"/>
      <c r="KG86" s="6056"/>
      <c r="KH86" s="6056"/>
      <c r="KI86" s="6056"/>
      <c r="KJ86" s="6056"/>
      <c r="KK86" s="6056"/>
      <c r="KL86" s="6056"/>
      <c r="KM86" s="6056"/>
      <c r="KN86" s="6056"/>
      <c r="KO86" s="6056"/>
      <c r="KP86" s="6056"/>
      <c r="KQ86" s="6056"/>
      <c r="KR86" s="6056"/>
      <c r="KS86" s="6061"/>
      <c r="KT86" s="6061"/>
      <c r="KU86" s="6061"/>
      <c r="KV86" s="6056"/>
      <c r="KW86" s="6056"/>
      <c r="KX86" s="6056"/>
      <c r="KY86" s="6056"/>
      <c r="KZ86" s="6056"/>
      <c r="LA86" s="6056"/>
      <c r="LB86" s="6058"/>
      <c r="LF86" s="6055"/>
      <c r="LG86" s="6056"/>
      <c r="LH86" s="6056"/>
      <c r="LI86" s="6056"/>
      <c r="LJ86" s="6056"/>
      <c r="LK86" s="6056"/>
      <c r="LL86" s="6056"/>
      <c r="LM86" s="6056"/>
      <c r="LN86" s="6056"/>
      <c r="LO86" s="6056"/>
      <c r="LP86" s="6056"/>
      <c r="LQ86" s="6056"/>
      <c r="LR86" s="6056"/>
      <c r="LS86" s="6056"/>
      <c r="LT86" s="6056"/>
      <c r="LU86" s="6056"/>
      <c r="LV86" s="6056"/>
      <c r="LW86" s="6056"/>
      <c r="LX86" s="6056"/>
      <c r="LY86" s="6056"/>
      <c r="LZ86" s="6056"/>
      <c r="MA86" s="6056"/>
      <c r="MB86" s="6056"/>
      <c r="MC86" s="6056"/>
      <c r="MD86" s="6056"/>
      <c r="ME86" s="6056"/>
      <c r="MF86" s="6056"/>
      <c r="MG86" s="6056"/>
      <c r="MH86" s="6056"/>
      <c r="MI86" s="6056"/>
      <c r="MJ86" s="6056"/>
      <c r="MK86" s="6056"/>
      <c r="ML86" s="6061"/>
      <c r="MM86" s="6061"/>
      <c r="MN86" s="6061"/>
      <c r="MO86" s="6056"/>
      <c r="MP86" s="6056"/>
      <c r="MQ86" s="6056"/>
      <c r="MR86" s="6056"/>
      <c r="MS86" s="6056"/>
      <c r="MT86" s="6056"/>
      <c r="MU86" s="6058"/>
      <c r="MY86" s="6055"/>
      <c r="MZ86" s="6056"/>
      <c r="NA86" s="6056"/>
      <c r="NB86" s="6056"/>
      <c r="NC86" s="6056"/>
      <c r="ND86" s="6056"/>
      <c r="NE86" s="6056"/>
      <c r="NF86" s="6056"/>
      <c r="NG86" s="6056"/>
      <c r="NH86" s="6056"/>
      <c r="NI86" s="6056"/>
      <c r="NJ86" s="6056"/>
      <c r="NK86" s="6056"/>
      <c r="NL86" s="6056"/>
      <c r="NM86" s="6056"/>
      <c r="NN86" s="6056"/>
      <c r="NO86" s="6056"/>
      <c r="NP86" s="6056"/>
      <c r="NQ86" s="6056"/>
      <c r="NR86" s="6056"/>
      <c r="NS86" s="6056"/>
      <c r="NT86" s="6056"/>
      <c r="NU86" s="6056"/>
      <c r="NV86" s="6056"/>
      <c r="NW86" s="6056"/>
      <c r="NX86" s="6056"/>
      <c r="NY86" s="6056"/>
      <c r="NZ86" s="6056"/>
      <c r="OA86" s="6056"/>
      <c r="OB86" s="6056"/>
      <c r="OC86" s="6056"/>
      <c r="OD86" s="6056"/>
      <c r="OE86" s="6061"/>
      <c r="OF86" s="6061"/>
      <c r="OG86" s="6061"/>
      <c r="OH86" s="6056"/>
      <c r="OI86" s="6056"/>
      <c r="OJ86" s="6056"/>
      <c r="OK86" s="6056"/>
      <c r="OL86" s="6056"/>
      <c r="OM86" s="6056"/>
      <c r="ON86" s="6058"/>
    </row>
    <row r="87" spans="3:404" s="6070" customFormat="1" ht="20.100000000000001" customHeight="1" thickBot="1" x14ac:dyDescent="0.25">
      <c r="C87" s="6064"/>
      <c r="D87" s="6093"/>
      <c r="E87" s="6784" t="str">
        <f>_Calcs!$IK$135</f>
        <v>Krevende geologi / svakhetssoner</v>
      </c>
      <c r="F87" s="6784"/>
      <c r="G87" s="6784"/>
      <c r="H87" s="6784"/>
      <c r="I87" s="6784"/>
      <c r="J87" s="6784"/>
      <c r="K87" s="6784"/>
      <c r="L87" s="6784"/>
      <c r="M87" s="6784"/>
      <c r="N87" s="6784"/>
      <c r="O87" s="6784"/>
      <c r="P87" s="6784"/>
      <c r="Q87" s="6784"/>
      <c r="R87" s="6784"/>
      <c r="S87" s="6784"/>
      <c r="T87" s="6784"/>
      <c r="U87" s="6784"/>
      <c r="V87" s="6784"/>
      <c r="W87" s="6094"/>
      <c r="X87" s="6095"/>
      <c r="Y87" s="6095"/>
      <c r="Z87" s="6095"/>
      <c r="AA87" s="6095"/>
      <c r="AB87" s="6095"/>
      <c r="AC87" s="6095"/>
      <c r="AD87" s="6095"/>
      <c r="AE87" s="6095"/>
      <c r="AF87" s="6095"/>
      <c r="AG87" s="6095"/>
      <c r="AH87" s="6095"/>
      <c r="AI87" s="6061"/>
      <c r="AJ87" s="6061"/>
      <c r="AK87" s="6061"/>
      <c r="AL87" s="6068"/>
      <c r="AM87" s="6096"/>
      <c r="AN87" s="6780" t="str">
        <f>_Calcs!$IK$136</f>
        <v>Nei</v>
      </c>
      <c r="AO87" s="6780"/>
      <c r="AP87" s="6780"/>
      <c r="AQ87" s="6097"/>
      <c r="AR87" s="6098"/>
      <c r="AV87" s="6064"/>
      <c r="AW87" s="6093"/>
      <c r="AX87" s="6784" t="str">
        <f>_Calcs!$IL$135</f>
        <v>Krevende geologi / svakhetssoner</v>
      </c>
      <c r="AY87" s="6784"/>
      <c r="AZ87" s="6784"/>
      <c r="BA87" s="6784"/>
      <c r="BB87" s="6784"/>
      <c r="BC87" s="6784"/>
      <c r="BD87" s="6784"/>
      <c r="BE87" s="6784"/>
      <c r="BF87" s="6784"/>
      <c r="BG87" s="6784"/>
      <c r="BH87" s="6784"/>
      <c r="BI87" s="6784"/>
      <c r="BJ87" s="6784"/>
      <c r="BK87" s="6784"/>
      <c r="BL87" s="6784"/>
      <c r="BM87" s="6784"/>
      <c r="BN87" s="6784"/>
      <c r="BO87" s="6784"/>
      <c r="BP87" s="6094"/>
      <c r="BQ87" s="6095"/>
      <c r="BR87" s="6095"/>
      <c r="BS87" s="6095"/>
      <c r="BT87" s="6095"/>
      <c r="BU87" s="6095"/>
      <c r="BV87" s="6095"/>
      <c r="BW87" s="6095"/>
      <c r="BX87" s="6095"/>
      <c r="BY87" s="6095"/>
      <c r="BZ87" s="6095"/>
      <c r="CA87" s="6095"/>
      <c r="CB87" s="6061"/>
      <c r="CC87" s="6061"/>
      <c r="CD87" s="6061"/>
      <c r="CE87" s="6068"/>
      <c r="CF87" s="6096"/>
      <c r="CG87" s="6780" t="str">
        <f>_Calcs!$IL$136</f>
        <v>Nei</v>
      </c>
      <c r="CH87" s="6780"/>
      <c r="CI87" s="6780"/>
      <c r="CJ87" s="6097"/>
      <c r="CK87" s="6098"/>
      <c r="CO87" s="6064"/>
      <c r="CP87" s="6093"/>
      <c r="CQ87" s="6784" t="str">
        <f>_Calcs!$IM$135</f>
        <v>Krevende geologi / svakhetssoner</v>
      </c>
      <c r="CR87" s="6784"/>
      <c r="CS87" s="6784"/>
      <c r="CT87" s="6784"/>
      <c r="CU87" s="6784"/>
      <c r="CV87" s="6784"/>
      <c r="CW87" s="6784"/>
      <c r="CX87" s="6784"/>
      <c r="CY87" s="6784"/>
      <c r="CZ87" s="6784"/>
      <c r="DA87" s="6784"/>
      <c r="DB87" s="6784"/>
      <c r="DC87" s="6784"/>
      <c r="DD87" s="6784"/>
      <c r="DE87" s="6784"/>
      <c r="DF87" s="6784"/>
      <c r="DG87" s="6784"/>
      <c r="DH87" s="6784"/>
      <c r="DI87" s="6094"/>
      <c r="DJ87" s="6095"/>
      <c r="DK87" s="6095"/>
      <c r="DL87" s="6095"/>
      <c r="DM87" s="6095"/>
      <c r="DN87" s="6095"/>
      <c r="DO87" s="6095"/>
      <c r="DP87" s="6095"/>
      <c r="DQ87" s="6095"/>
      <c r="DR87" s="6095"/>
      <c r="DS87" s="6095"/>
      <c r="DT87" s="6095"/>
      <c r="DU87" s="6061"/>
      <c r="DV87" s="6061"/>
      <c r="DW87" s="6061"/>
      <c r="DX87" s="6068"/>
      <c r="DY87" s="6096"/>
      <c r="DZ87" s="6780" t="str">
        <f>_Calcs!$IM$136</f>
        <v>Nei</v>
      </c>
      <c r="EA87" s="6780"/>
      <c r="EB87" s="6780"/>
      <c r="EC87" s="6097"/>
      <c r="ED87" s="6098"/>
      <c r="EH87" s="6064"/>
      <c r="EI87" s="6093"/>
      <c r="EJ87" s="6784" t="str">
        <f>_Calcs!$IN$135</f>
        <v>Krevende geologi / svakhetssoner</v>
      </c>
      <c r="EK87" s="6784"/>
      <c r="EL87" s="6784"/>
      <c r="EM87" s="6784"/>
      <c r="EN87" s="6784"/>
      <c r="EO87" s="6784"/>
      <c r="EP87" s="6784"/>
      <c r="EQ87" s="6784"/>
      <c r="ER87" s="6784"/>
      <c r="ES87" s="6784"/>
      <c r="ET87" s="6784"/>
      <c r="EU87" s="6784"/>
      <c r="EV87" s="6784"/>
      <c r="EW87" s="6784"/>
      <c r="EX87" s="6784"/>
      <c r="EY87" s="6784"/>
      <c r="EZ87" s="6784"/>
      <c r="FA87" s="6784"/>
      <c r="FB87" s="6094"/>
      <c r="FC87" s="6095"/>
      <c r="FD87" s="6095"/>
      <c r="FE87" s="6095"/>
      <c r="FF87" s="6095"/>
      <c r="FG87" s="6095"/>
      <c r="FH87" s="6095"/>
      <c r="FI87" s="6095"/>
      <c r="FJ87" s="6095"/>
      <c r="FK87" s="6095"/>
      <c r="FL87" s="6095"/>
      <c r="FM87" s="6095"/>
      <c r="FN87" s="6061"/>
      <c r="FO87" s="6061"/>
      <c r="FP87" s="6061"/>
      <c r="FQ87" s="6068"/>
      <c r="FR87" s="6096"/>
      <c r="FS87" s="6780" t="str">
        <f>_Calcs!$IN$136</f>
        <v>Nei</v>
      </c>
      <c r="FT87" s="6780"/>
      <c r="FU87" s="6780"/>
      <c r="FV87" s="6097"/>
      <c r="FW87" s="6098"/>
      <c r="GA87" s="6064"/>
      <c r="GB87" s="6093"/>
      <c r="GC87" s="6784" t="str">
        <f>_Calcs!$IO$135</f>
        <v>Krevende geologi / svakhetssoner</v>
      </c>
      <c r="GD87" s="6784"/>
      <c r="GE87" s="6784"/>
      <c r="GF87" s="6784"/>
      <c r="GG87" s="6784"/>
      <c r="GH87" s="6784"/>
      <c r="GI87" s="6784"/>
      <c r="GJ87" s="6784"/>
      <c r="GK87" s="6784"/>
      <c r="GL87" s="6784"/>
      <c r="GM87" s="6784"/>
      <c r="GN87" s="6784"/>
      <c r="GO87" s="6784"/>
      <c r="GP87" s="6784"/>
      <c r="GQ87" s="6784"/>
      <c r="GR87" s="6784"/>
      <c r="GS87" s="6784"/>
      <c r="GT87" s="6784"/>
      <c r="GU87" s="6094"/>
      <c r="GV87" s="6095"/>
      <c r="GW87" s="6095"/>
      <c r="GX87" s="6095"/>
      <c r="GY87" s="6095"/>
      <c r="GZ87" s="6095"/>
      <c r="HA87" s="6095"/>
      <c r="HB87" s="6095"/>
      <c r="HC87" s="6095"/>
      <c r="HD87" s="6095"/>
      <c r="HE87" s="6095"/>
      <c r="HF87" s="6095"/>
      <c r="HG87" s="6061"/>
      <c r="HH87" s="6061"/>
      <c r="HI87" s="6061"/>
      <c r="HJ87" s="6068"/>
      <c r="HK87" s="6096"/>
      <c r="HL87" s="6780" t="str">
        <f>_Calcs!$IO$136</f>
        <v>Nei</v>
      </c>
      <c r="HM87" s="6780"/>
      <c r="HN87" s="6780"/>
      <c r="HO87" s="6097"/>
      <c r="HP87" s="6098"/>
      <c r="HT87" s="6064"/>
      <c r="HU87" s="6093"/>
      <c r="HV87" s="6784" t="str">
        <f>_Calcs!$IP$135</f>
        <v>Krevende geologi / svakhetssoner</v>
      </c>
      <c r="HW87" s="6784"/>
      <c r="HX87" s="6784"/>
      <c r="HY87" s="6784"/>
      <c r="HZ87" s="6784"/>
      <c r="IA87" s="6784"/>
      <c r="IB87" s="6784"/>
      <c r="IC87" s="6784"/>
      <c r="ID87" s="6784"/>
      <c r="IE87" s="6784"/>
      <c r="IF87" s="6784"/>
      <c r="IG87" s="6784"/>
      <c r="IH87" s="6784"/>
      <c r="II87" s="6784"/>
      <c r="IJ87" s="6784"/>
      <c r="IK87" s="6784"/>
      <c r="IL87" s="6784"/>
      <c r="IM87" s="6784"/>
      <c r="IN87" s="6094"/>
      <c r="IO87" s="6095"/>
      <c r="IP87" s="6095"/>
      <c r="IQ87" s="6095"/>
      <c r="IR87" s="6095"/>
      <c r="IS87" s="6095"/>
      <c r="IT87" s="6095"/>
      <c r="IU87" s="6095"/>
      <c r="IV87" s="6095"/>
      <c r="IW87" s="6095"/>
      <c r="IX87" s="6095"/>
      <c r="IY87" s="6095"/>
      <c r="IZ87" s="6061"/>
      <c r="JA87" s="6061"/>
      <c r="JB87" s="6061"/>
      <c r="JC87" s="6068"/>
      <c r="JD87" s="6096"/>
      <c r="JE87" s="6780" t="str">
        <f>_Calcs!$IP$136</f>
        <v>Nei</v>
      </c>
      <c r="JF87" s="6780"/>
      <c r="JG87" s="6780"/>
      <c r="JH87" s="6097"/>
      <c r="JI87" s="6098"/>
      <c r="JM87" s="6064"/>
      <c r="JN87" s="6093"/>
      <c r="JO87" s="6784" t="str">
        <f>_Calcs!$IQ$135</f>
        <v>Krevende geologi / svakhetssoner</v>
      </c>
      <c r="JP87" s="6784"/>
      <c r="JQ87" s="6784"/>
      <c r="JR87" s="6784"/>
      <c r="JS87" s="6784"/>
      <c r="JT87" s="6784"/>
      <c r="JU87" s="6784"/>
      <c r="JV87" s="6784"/>
      <c r="JW87" s="6784"/>
      <c r="JX87" s="6784"/>
      <c r="JY87" s="6784"/>
      <c r="JZ87" s="6784"/>
      <c r="KA87" s="6784"/>
      <c r="KB87" s="6784"/>
      <c r="KC87" s="6784"/>
      <c r="KD87" s="6784"/>
      <c r="KE87" s="6784"/>
      <c r="KF87" s="6784"/>
      <c r="KG87" s="6094"/>
      <c r="KH87" s="6095"/>
      <c r="KI87" s="6095"/>
      <c r="KJ87" s="6095"/>
      <c r="KK87" s="6095"/>
      <c r="KL87" s="6095"/>
      <c r="KM87" s="6095"/>
      <c r="KN87" s="6095"/>
      <c r="KO87" s="6095"/>
      <c r="KP87" s="6095"/>
      <c r="KQ87" s="6095"/>
      <c r="KR87" s="6095"/>
      <c r="KS87" s="6061"/>
      <c r="KT87" s="6061"/>
      <c r="KU87" s="6061"/>
      <c r="KV87" s="6068"/>
      <c r="KW87" s="6096"/>
      <c r="KX87" s="6780" t="str">
        <f>_Calcs!$IQ$136</f>
        <v>Nei</v>
      </c>
      <c r="KY87" s="6780"/>
      <c r="KZ87" s="6780"/>
      <c r="LA87" s="6097"/>
      <c r="LB87" s="6098"/>
      <c r="LF87" s="6064"/>
      <c r="LG87" s="6093"/>
      <c r="LH87" s="6784" t="str">
        <f>_Calcs!$IR$135</f>
        <v>Krevende geologi / svakhetssoner</v>
      </c>
      <c r="LI87" s="6784"/>
      <c r="LJ87" s="6784"/>
      <c r="LK87" s="6784"/>
      <c r="LL87" s="6784"/>
      <c r="LM87" s="6784"/>
      <c r="LN87" s="6784"/>
      <c r="LO87" s="6784"/>
      <c r="LP87" s="6784"/>
      <c r="LQ87" s="6784"/>
      <c r="LR87" s="6784"/>
      <c r="LS87" s="6784"/>
      <c r="LT87" s="6784"/>
      <c r="LU87" s="6784"/>
      <c r="LV87" s="6784"/>
      <c r="LW87" s="6784"/>
      <c r="LX87" s="6784"/>
      <c r="LY87" s="6784"/>
      <c r="LZ87" s="6094"/>
      <c r="MA87" s="6095"/>
      <c r="MB87" s="6095"/>
      <c r="MC87" s="6095"/>
      <c r="MD87" s="6095"/>
      <c r="ME87" s="6095"/>
      <c r="MF87" s="6095"/>
      <c r="MG87" s="6095"/>
      <c r="MH87" s="6095"/>
      <c r="MI87" s="6095"/>
      <c r="MJ87" s="6095"/>
      <c r="MK87" s="6095"/>
      <c r="ML87" s="6061"/>
      <c r="MM87" s="6061"/>
      <c r="MN87" s="6061"/>
      <c r="MO87" s="6068"/>
      <c r="MP87" s="6096"/>
      <c r="MQ87" s="6780" t="str">
        <f>_Calcs!$IR$136</f>
        <v>Nei</v>
      </c>
      <c r="MR87" s="6780"/>
      <c r="MS87" s="6780"/>
      <c r="MT87" s="6097"/>
      <c r="MU87" s="6098"/>
      <c r="MY87" s="6064"/>
      <c r="MZ87" s="6093"/>
      <c r="NA87" s="6784" t="str">
        <f>_Calcs!$IS$135</f>
        <v>Krevende geologi / svakhetssoner</v>
      </c>
      <c r="NB87" s="6784"/>
      <c r="NC87" s="6784"/>
      <c r="ND87" s="6784"/>
      <c r="NE87" s="6784"/>
      <c r="NF87" s="6784"/>
      <c r="NG87" s="6784"/>
      <c r="NH87" s="6784"/>
      <c r="NI87" s="6784"/>
      <c r="NJ87" s="6784"/>
      <c r="NK87" s="6784"/>
      <c r="NL87" s="6784"/>
      <c r="NM87" s="6784"/>
      <c r="NN87" s="6784"/>
      <c r="NO87" s="6784"/>
      <c r="NP87" s="6784"/>
      <c r="NQ87" s="6784"/>
      <c r="NR87" s="6784"/>
      <c r="NS87" s="6094"/>
      <c r="NT87" s="6095"/>
      <c r="NU87" s="6095"/>
      <c r="NV87" s="6095"/>
      <c r="NW87" s="6095"/>
      <c r="NX87" s="6095"/>
      <c r="NY87" s="6095"/>
      <c r="NZ87" s="6095"/>
      <c r="OA87" s="6095"/>
      <c r="OB87" s="6095"/>
      <c r="OC87" s="6095"/>
      <c r="OD87" s="6095"/>
      <c r="OE87" s="6061"/>
      <c r="OF87" s="6061"/>
      <c r="OG87" s="6061"/>
      <c r="OH87" s="6068"/>
      <c r="OI87" s="6096"/>
      <c r="OJ87" s="6780" t="str">
        <f>_Calcs!$IS$136</f>
        <v>Nei</v>
      </c>
      <c r="OK87" s="6780"/>
      <c r="OL87" s="6780"/>
      <c r="OM87" s="6097"/>
      <c r="ON87" s="6098"/>
    </row>
    <row r="88" spans="3:404" ht="8.1" customHeight="1" x14ac:dyDescent="0.2">
      <c r="C88" s="6055"/>
      <c r="D88" s="6056"/>
      <c r="E88" s="6056"/>
      <c r="F88" s="6056"/>
      <c r="G88" s="6056"/>
      <c r="H88" s="6056"/>
      <c r="I88" s="6056"/>
      <c r="J88" s="6056"/>
      <c r="K88" s="6056"/>
      <c r="L88" s="6056"/>
      <c r="M88" s="6056"/>
      <c r="N88" s="6056"/>
      <c r="O88" s="6056"/>
      <c r="P88" s="6056"/>
      <c r="Q88" s="6056"/>
      <c r="R88" s="6056"/>
      <c r="S88" s="6056"/>
      <c r="T88" s="6056"/>
      <c r="U88" s="6056"/>
      <c r="V88" s="6057"/>
      <c r="W88" s="6057"/>
      <c r="X88" s="6057"/>
      <c r="Y88" s="6057"/>
      <c r="Z88" s="6057"/>
      <c r="AA88" s="6056"/>
      <c r="AB88" s="6057"/>
      <c r="AC88" s="6057"/>
      <c r="AD88" s="6057"/>
      <c r="AE88" s="6056"/>
      <c r="AF88" s="6057"/>
      <c r="AG88" s="6057"/>
      <c r="AH88" s="6057"/>
      <c r="AI88" s="6057"/>
      <c r="AJ88" s="6057"/>
      <c r="AK88" s="6056"/>
      <c r="AL88" s="6056"/>
      <c r="AM88" s="6056"/>
      <c r="AN88" s="6056"/>
      <c r="AO88" s="6056"/>
      <c r="AP88" s="6056"/>
      <c r="AQ88" s="6056"/>
      <c r="AR88" s="6058"/>
      <c r="AV88" s="6055"/>
      <c r="AW88" s="6056"/>
      <c r="AX88" s="6056"/>
      <c r="AY88" s="6056"/>
      <c r="AZ88" s="6056"/>
      <c r="BA88" s="6056"/>
      <c r="BB88" s="6056"/>
      <c r="BC88" s="6056"/>
      <c r="BD88" s="6056"/>
      <c r="BE88" s="6056"/>
      <c r="BF88" s="6056"/>
      <c r="BG88" s="6056"/>
      <c r="BH88" s="6056"/>
      <c r="BI88" s="6056"/>
      <c r="BJ88" s="6056"/>
      <c r="BK88" s="6056"/>
      <c r="BL88" s="6056"/>
      <c r="BM88" s="6056"/>
      <c r="BN88" s="6056"/>
      <c r="BO88" s="6057"/>
      <c r="BP88" s="6057"/>
      <c r="BQ88" s="6057"/>
      <c r="BR88" s="6057"/>
      <c r="BS88" s="6057"/>
      <c r="BT88" s="6056"/>
      <c r="BU88" s="6057"/>
      <c r="BV88" s="6057"/>
      <c r="BW88" s="6057"/>
      <c r="BX88" s="6056"/>
      <c r="BY88" s="6057"/>
      <c r="BZ88" s="6057"/>
      <c r="CA88" s="6057"/>
      <c r="CB88" s="6057"/>
      <c r="CC88" s="6057"/>
      <c r="CD88" s="6056"/>
      <c r="CE88" s="6056"/>
      <c r="CF88" s="6056"/>
      <c r="CG88" s="6056"/>
      <c r="CH88" s="6056"/>
      <c r="CI88" s="6056"/>
      <c r="CJ88" s="6056"/>
      <c r="CK88" s="6058"/>
      <c r="CO88" s="6055"/>
      <c r="CP88" s="6056"/>
      <c r="CQ88" s="6056"/>
      <c r="CR88" s="6056"/>
      <c r="CS88" s="6056"/>
      <c r="CT88" s="6056"/>
      <c r="CU88" s="6056"/>
      <c r="CV88" s="6056"/>
      <c r="CW88" s="6056"/>
      <c r="CX88" s="6056"/>
      <c r="CY88" s="6056"/>
      <c r="CZ88" s="6056"/>
      <c r="DA88" s="6056"/>
      <c r="DB88" s="6056"/>
      <c r="DC88" s="6056"/>
      <c r="DD88" s="6056"/>
      <c r="DE88" s="6056"/>
      <c r="DF88" s="6056"/>
      <c r="DG88" s="6056"/>
      <c r="DH88" s="6057"/>
      <c r="DI88" s="6057"/>
      <c r="DJ88" s="6057"/>
      <c r="DK88" s="6057"/>
      <c r="DL88" s="6057"/>
      <c r="DM88" s="6056"/>
      <c r="DN88" s="6057"/>
      <c r="DO88" s="6057"/>
      <c r="DP88" s="6057"/>
      <c r="DQ88" s="6056"/>
      <c r="DR88" s="6057"/>
      <c r="DS88" s="6057"/>
      <c r="DT88" s="6057"/>
      <c r="DU88" s="6057"/>
      <c r="DV88" s="6057"/>
      <c r="DW88" s="6056"/>
      <c r="DX88" s="6056"/>
      <c r="DY88" s="6056"/>
      <c r="DZ88" s="6056"/>
      <c r="EA88" s="6056"/>
      <c r="EB88" s="6056"/>
      <c r="EC88" s="6056"/>
      <c r="ED88" s="6058"/>
      <c r="EH88" s="6055"/>
      <c r="EI88" s="6056"/>
      <c r="EJ88" s="6056"/>
      <c r="EK88" s="6056"/>
      <c r="EL88" s="6056"/>
      <c r="EM88" s="6056"/>
      <c r="EN88" s="6056"/>
      <c r="EO88" s="6056"/>
      <c r="EP88" s="6056"/>
      <c r="EQ88" s="6056"/>
      <c r="ER88" s="6056"/>
      <c r="ES88" s="6056"/>
      <c r="ET88" s="6056"/>
      <c r="EU88" s="6056"/>
      <c r="EV88" s="6056"/>
      <c r="EW88" s="6056"/>
      <c r="EX88" s="6056"/>
      <c r="EY88" s="6056"/>
      <c r="EZ88" s="6056"/>
      <c r="FA88" s="6057"/>
      <c r="FB88" s="6057"/>
      <c r="FC88" s="6057"/>
      <c r="FD88" s="6057"/>
      <c r="FE88" s="6057"/>
      <c r="FF88" s="6056"/>
      <c r="FG88" s="6057"/>
      <c r="FH88" s="6057"/>
      <c r="FI88" s="6057"/>
      <c r="FJ88" s="6056"/>
      <c r="FK88" s="6057"/>
      <c r="FL88" s="6057"/>
      <c r="FM88" s="6057"/>
      <c r="FN88" s="6057"/>
      <c r="FO88" s="6057"/>
      <c r="FP88" s="6056"/>
      <c r="FQ88" s="6056"/>
      <c r="FR88" s="6056"/>
      <c r="FS88" s="6056"/>
      <c r="FT88" s="6056"/>
      <c r="FU88" s="6056"/>
      <c r="FV88" s="6056"/>
      <c r="FW88" s="6058"/>
      <c r="GA88" s="6055"/>
      <c r="GB88" s="6056"/>
      <c r="GC88" s="6056"/>
      <c r="GD88" s="6056"/>
      <c r="GE88" s="6056"/>
      <c r="GF88" s="6056"/>
      <c r="GG88" s="6056"/>
      <c r="GH88" s="6056"/>
      <c r="GI88" s="6056"/>
      <c r="GJ88" s="6056"/>
      <c r="GK88" s="6056"/>
      <c r="GL88" s="6056"/>
      <c r="GM88" s="6056"/>
      <c r="GN88" s="6056"/>
      <c r="GO88" s="6056"/>
      <c r="GP88" s="6056"/>
      <c r="GQ88" s="6056"/>
      <c r="GR88" s="6056"/>
      <c r="GS88" s="6056"/>
      <c r="GT88" s="6057"/>
      <c r="GU88" s="6057"/>
      <c r="GV88" s="6057"/>
      <c r="GW88" s="6057"/>
      <c r="GX88" s="6057"/>
      <c r="GY88" s="6056"/>
      <c r="GZ88" s="6057"/>
      <c r="HA88" s="6057"/>
      <c r="HB88" s="6057"/>
      <c r="HC88" s="6056"/>
      <c r="HD88" s="6057"/>
      <c r="HE88" s="6057"/>
      <c r="HF88" s="6057"/>
      <c r="HG88" s="6057"/>
      <c r="HH88" s="6057"/>
      <c r="HI88" s="6056"/>
      <c r="HJ88" s="6056"/>
      <c r="HK88" s="6056"/>
      <c r="HL88" s="6056"/>
      <c r="HM88" s="6056"/>
      <c r="HN88" s="6056"/>
      <c r="HO88" s="6056"/>
      <c r="HP88" s="6058"/>
      <c r="HT88" s="6055"/>
      <c r="HU88" s="6056"/>
      <c r="HV88" s="6056"/>
      <c r="HW88" s="6056"/>
      <c r="HX88" s="6056"/>
      <c r="HY88" s="6056"/>
      <c r="HZ88" s="6056"/>
      <c r="IA88" s="6056"/>
      <c r="IB88" s="6056"/>
      <c r="IC88" s="6056"/>
      <c r="ID88" s="6056"/>
      <c r="IE88" s="6056"/>
      <c r="IF88" s="6056"/>
      <c r="IG88" s="6056"/>
      <c r="IH88" s="6056"/>
      <c r="II88" s="6056"/>
      <c r="IJ88" s="6056"/>
      <c r="IK88" s="6056"/>
      <c r="IL88" s="6056"/>
      <c r="IM88" s="6057"/>
      <c r="IN88" s="6057"/>
      <c r="IO88" s="6057"/>
      <c r="IP88" s="6057"/>
      <c r="IQ88" s="6057"/>
      <c r="IR88" s="6056"/>
      <c r="IS88" s="6057"/>
      <c r="IT88" s="6057"/>
      <c r="IU88" s="6057"/>
      <c r="IV88" s="6056"/>
      <c r="IW88" s="6057"/>
      <c r="IX88" s="6057"/>
      <c r="IY88" s="6057"/>
      <c r="IZ88" s="6057"/>
      <c r="JA88" s="6057"/>
      <c r="JB88" s="6056"/>
      <c r="JC88" s="6056"/>
      <c r="JD88" s="6056"/>
      <c r="JE88" s="6056"/>
      <c r="JF88" s="6056"/>
      <c r="JG88" s="6056"/>
      <c r="JH88" s="6056"/>
      <c r="JI88" s="6058"/>
      <c r="JM88" s="6055"/>
      <c r="JN88" s="6056"/>
      <c r="JO88" s="6056"/>
      <c r="JP88" s="6056"/>
      <c r="JQ88" s="6056"/>
      <c r="JR88" s="6056"/>
      <c r="JS88" s="6056"/>
      <c r="JT88" s="6056"/>
      <c r="JU88" s="6056"/>
      <c r="JV88" s="6056"/>
      <c r="JW88" s="6056"/>
      <c r="JX88" s="6056"/>
      <c r="JY88" s="6056"/>
      <c r="JZ88" s="6056"/>
      <c r="KA88" s="6056"/>
      <c r="KB88" s="6056"/>
      <c r="KC88" s="6056"/>
      <c r="KD88" s="6056"/>
      <c r="KE88" s="6056"/>
      <c r="KF88" s="6057"/>
      <c r="KG88" s="6057"/>
      <c r="KH88" s="6057"/>
      <c r="KI88" s="6057"/>
      <c r="KJ88" s="6057"/>
      <c r="KK88" s="6056"/>
      <c r="KL88" s="6057"/>
      <c r="KM88" s="6057"/>
      <c r="KN88" s="6057"/>
      <c r="KO88" s="6056"/>
      <c r="KP88" s="6057"/>
      <c r="KQ88" s="6057"/>
      <c r="KR88" s="6057"/>
      <c r="KS88" s="6057"/>
      <c r="KT88" s="6057"/>
      <c r="KU88" s="6056"/>
      <c r="KV88" s="6056"/>
      <c r="KW88" s="6056"/>
      <c r="KX88" s="6056"/>
      <c r="KY88" s="6056"/>
      <c r="KZ88" s="6056"/>
      <c r="LA88" s="6056"/>
      <c r="LB88" s="6058"/>
      <c r="LF88" s="6055"/>
      <c r="LG88" s="6056"/>
      <c r="LH88" s="6056"/>
      <c r="LI88" s="6056"/>
      <c r="LJ88" s="6056"/>
      <c r="LK88" s="6056"/>
      <c r="LL88" s="6056"/>
      <c r="LM88" s="6056"/>
      <c r="LN88" s="6056"/>
      <c r="LO88" s="6056"/>
      <c r="LP88" s="6056"/>
      <c r="LQ88" s="6056"/>
      <c r="LR88" s="6056"/>
      <c r="LS88" s="6056"/>
      <c r="LT88" s="6056"/>
      <c r="LU88" s="6056"/>
      <c r="LV88" s="6056"/>
      <c r="LW88" s="6056"/>
      <c r="LX88" s="6056"/>
      <c r="LY88" s="6057"/>
      <c r="LZ88" s="6057"/>
      <c r="MA88" s="6057"/>
      <c r="MB88" s="6057"/>
      <c r="MC88" s="6057"/>
      <c r="MD88" s="6056"/>
      <c r="ME88" s="6057"/>
      <c r="MF88" s="6057"/>
      <c r="MG88" s="6057"/>
      <c r="MH88" s="6056"/>
      <c r="MI88" s="6057"/>
      <c r="MJ88" s="6057"/>
      <c r="MK88" s="6057"/>
      <c r="ML88" s="6057"/>
      <c r="MM88" s="6057"/>
      <c r="MN88" s="6056"/>
      <c r="MO88" s="6056"/>
      <c r="MP88" s="6056"/>
      <c r="MQ88" s="6056"/>
      <c r="MR88" s="6056"/>
      <c r="MS88" s="6056"/>
      <c r="MT88" s="6056"/>
      <c r="MU88" s="6058"/>
      <c r="MY88" s="6055"/>
      <c r="MZ88" s="6056"/>
      <c r="NA88" s="6056"/>
      <c r="NB88" s="6056"/>
      <c r="NC88" s="6056"/>
      <c r="ND88" s="6056"/>
      <c r="NE88" s="6056"/>
      <c r="NF88" s="6056"/>
      <c r="NG88" s="6056"/>
      <c r="NH88" s="6056"/>
      <c r="NI88" s="6056"/>
      <c r="NJ88" s="6056"/>
      <c r="NK88" s="6056"/>
      <c r="NL88" s="6056"/>
      <c r="NM88" s="6056"/>
      <c r="NN88" s="6056"/>
      <c r="NO88" s="6056"/>
      <c r="NP88" s="6056"/>
      <c r="NQ88" s="6056"/>
      <c r="NR88" s="6057"/>
      <c r="NS88" s="6057"/>
      <c r="NT88" s="6057"/>
      <c r="NU88" s="6057"/>
      <c r="NV88" s="6057"/>
      <c r="NW88" s="6056"/>
      <c r="NX88" s="6057"/>
      <c r="NY88" s="6057"/>
      <c r="NZ88" s="6057"/>
      <c r="OA88" s="6056"/>
      <c r="OB88" s="6057"/>
      <c r="OC88" s="6057"/>
      <c r="OD88" s="6057"/>
      <c r="OE88" s="6057"/>
      <c r="OF88" s="6057"/>
      <c r="OG88" s="6056"/>
      <c r="OH88" s="6056"/>
      <c r="OI88" s="6056"/>
      <c r="OJ88" s="6056"/>
      <c r="OK88" s="6056"/>
      <c r="OL88" s="6056"/>
      <c r="OM88" s="6056"/>
      <c r="ON88" s="6058"/>
    </row>
    <row r="89" spans="3:404" s="6075" customFormat="1" ht="12" customHeight="1" x14ac:dyDescent="0.2">
      <c r="C89" s="6071"/>
      <c r="D89" s="6060" t="str">
        <f>_Calcs!$N$80</f>
        <v>Tidjustering</v>
      </c>
      <c r="E89" s="6072"/>
      <c r="F89" s="6072"/>
      <c r="G89" s="6072"/>
      <c r="H89" s="6072"/>
      <c r="I89" s="6072"/>
      <c r="J89" s="6072"/>
      <c r="K89" s="6072"/>
      <c r="L89" s="6072"/>
      <c r="M89" s="6099"/>
      <c r="N89" s="6099"/>
      <c r="O89" s="6099"/>
      <c r="P89" s="6099"/>
      <c r="Q89" s="6099"/>
      <c r="R89" s="6099"/>
      <c r="S89" s="6099"/>
      <c r="T89" s="6099"/>
      <c r="U89" s="6072"/>
      <c r="V89" s="6072"/>
      <c r="W89" s="6072"/>
      <c r="X89" s="6072"/>
      <c r="Y89" s="6072"/>
      <c r="Z89" s="6072"/>
      <c r="AA89" s="6072"/>
      <c r="AB89" s="6072"/>
      <c r="AC89" s="6072"/>
      <c r="AD89" s="6072"/>
      <c r="AE89" s="6072"/>
      <c r="AF89" s="6072"/>
      <c r="AG89" s="6072"/>
      <c r="AH89" s="6072"/>
      <c r="AI89" s="6072"/>
      <c r="AJ89" s="6072"/>
      <c r="AK89" s="6072"/>
      <c r="AL89" s="6072"/>
      <c r="AM89" s="6072"/>
      <c r="AN89" s="6072"/>
      <c r="AO89" s="6072"/>
      <c r="AP89" s="6072"/>
      <c r="AQ89" s="6072"/>
      <c r="AR89" s="6074"/>
      <c r="AV89" s="6071"/>
      <c r="AW89" s="6060" t="str">
        <f>_Calcs!$N$80</f>
        <v>Tidjustering</v>
      </c>
      <c r="AX89" s="6072"/>
      <c r="AY89" s="6072"/>
      <c r="AZ89" s="6072"/>
      <c r="BA89" s="6072"/>
      <c r="BB89" s="6072"/>
      <c r="BC89" s="6072"/>
      <c r="BD89" s="6072"/>
      <c r="BE89" s="6072"/>
      <c r="BF89" s="6099"/>
      <c r="BG89" s="6099"/>
      <c r="BH89" s="6099"/>
      <c r="BI89" s="6099"/>
      <c r="BJ89" s="6099"/>
      <c r="BK89" s="6099"/>
      <c r="BL89" s="6099"/>
      <c r="BM89" s="6099"/>
      <c r="BN89" s="6072"/>
      <c r="BO89" s="6072"/>
      <c r="BP89" s="6072"/>
      <c r="BQ89" s="6072"/>
      <c r="BR89" s="6072"/>
      <c r="BS89" s="6072"/>
      <c r="BT89" s="6072"/>
      <c r="BU89" s="6072"/>
      <c r="BV89" s="6072"/>
      <c r="BW89" s="6072"/>
      <c r="BX89" s="6072"/>
      <c r="BY89" s="6072"/>
      <c r="BZ89" s="6072"/>
      <c r="CA89" s="6072"/>
      <c r="CB89" s="6072"/>
      <c r="CC89" s="6072"/>
      <c r="CD89" s="6072"/>
      <c r="CE89" s="6072"/>
      <c r="CF89" s="6072"/>
      <c r="CG89" s="6072"/>
      <c r="CH89" s="6072"/>
      <c r="CI89" s="6072"/>
      <c r="CJ89" s="6072"/>
      <c r="CK89" s="6074"/>
      <c r="CO89" s="6071"/>
      <c r="CP89" s="6060" t="str">
        <f>_Calcs!$N$80</f>
        <v>Tidjustering</v>
      </c>
      <c r="CQ89" s="6072"/>
      <c r="CR89" s="6072"/>
      <c r="CS89" s="6072"/>
      <c r="CT89" s="6072"/>
      <c r="CU89" s="6072"/>
      <c r="CV89" s="6072"/>
      <c r="CW89" s="6072"/>
      <c r="CX89" s="6072"/>
      <c r="CY89" s="6099"/>
      <c r="CZ89" s="6099"/>
      <c r="DA89" s="6099"/>
      <c r="DB89" s="6099"/>
      <c r="DC89" s="6099"/>
      <c r="DD89" s="6099"/>
      <c r="DE89" s="6099"/>
      <c r="DF89" s="6099"/>
      <c r="DG89" s="6072"/>
      <c r="DH89" s="6072"/>
      <c r="DI89" s="6072"/>
      <c r="DJ89" s="6072"/>
      <c r="DK89" s="6072"/>
      <c r="DL89" s="6072"/>
      <c r="DM89" s="6072"/>
      <c r="DN89" s="6072"/>
      <c r="DO89" s="6072"/>
      <c r="DP89" s="6072"/>
      <c r="DQ89" s="6072"/>
      <c r="DR89" s="6072"/>
      <c r="DS89" s="6072"/>
      <c r="DT89" s="6072"/>
      <c r="DU89" s="6072"/>
      <c r="DV89" s="6072"/>
      <c r="DW89" s="6072"/>
      <c r="DX89" s="6072"/>
      <c r="DY89" s="6072"/>
      <c r="DZ89" s="6072"/>
      <c r="EA89" s="6072"/>
      <c r="EB89" s="6072"/>
      <c r="EC89" s="6072"/>
      <c r="ED89" s="6074"/>
      <c r="EH89" s="6071"/>
      <c r="EI89" s="6060" t="str">
        <f>_Calcs!$N$80</f>
        <v>Tidjustering</v>
      </c>
      <c r="EJ89" s="6072"/>
      <c r="EK89" s="6072"/>
      <c r="EL89" s="6072"/>
      <c r="EM89" s="6072"/>
      <c r="EN89" s="6072"/>
      <c r="EO89" s="6072"/>
      <c r="EP89" s="6072"/>
      <c r="EQ89" s="6072"/>
      <c r="ER89" s="6099"/>
      <c r="ES89" s="6099"/>
      <c r="ET89" s="6099"/>
      <c r="EU89" s="6099"/>
      <c r="EV89" s="6099"/>
      <c r="EW89" s="6099"/>
      <c r="EX89" s="6099"/>
      <c r="EY89" s="6099"/>
      <c r="EZ89" s="6072"/>
      <c r="FA89" s="6072"/>
      <c r="FB89" s="6072"/>
      <c r="FC89" s="6072"/>
      <c r="FD89" s="6072"/>
      <c r="FE89" s="6072"/>
      <c r="FF89" s="6072"/>
      <c r="FG89" s="6072"/>
      <c r="FH89" s="6072"/>
      <c r="FI89" s="6072"/>
      <c r="FJ89" s="6072"/>
      <c r="FK89" s="6072"/>
      <c r="FL89" s="6072"/>
      <c r="FM89" s="6072"/>
      <c r="FN89" s="6072"/>
      <c r="FO89" s="6072"/>
      <c r="FP89" s="6072"/>
      <c r="FQ89" s="6072"/>
      <c r="FR89" s="6072"/>
      <c r="FS89" s="6072"/>
      <c r="FT89" s="6072"/>
      <c r="FU89" s="6072"/>
      <c r="FV89" s="6072"/>
      <c r="FW89" s="6074"/>
      <c r="GA89" s="6071"/>
      <c r="GB89" s="6060" t="str">
        <f>_Calcs!$N$80</f>
        <v>Tidjustering</v>
      </c>
      <c r="GC89" s="6072"/>
      <c r="GD89" s="6072"/>
      <c r="GE89" s="6072"/>
      <c r="GF89" s="6072"/>
      <c r="GG89" s="6072"/>
      <c r="GH89" s="6072"/>
      <c r="GI89" s="6072"/>
      <c r="GJ89" s="6072"/>
      <c r="GK89" s="6099"/>
      <c r="GL89" s="6099"/>
      <c r="GM89" s="6099"/>
      <c r="GN89" s="6099"/>
      <c r="GO89" s="6099"/>
      <c r="GP89" s="6099"/>
      <c r="GQ89" s="6099"/>
      <c r="GR89" s="6099"/>
      <c r="GS89" s="6072"/>
      <c r="GT89" s="6072"/>
      <c r="GU89" s="6072"/>
      <c r="GV89" s="6072"/>
      <c r="GW89" s="6072"/>
      <c r="GX89" s="6072"/>
      <c r="GY89" s="6072"/>
      <c r="GZ89" s="6072"/>
      <c r="HA89" s="6072"/>
      <c r="HB89" s="6072"/>
      <c r="HC89" s="6072"/>
      <c r="HD89" s="6072"/>
      <c r="HE89" s="6072"/>
      <c r="HF89" s="6072"/>
      <c r="HG89" s="6072"/>
      <c r="HH89" s="6072"/>
      <c r="HI89" s="6072"/>
      <c r="HJ89" s="6072"/>
      <c r="HK89" s="6072"/>
      <c r="HL89" s="6072"/>
      <c r="HM89" s="6072"/>
      <c r="HN89" s="6072"/>
      <c r="HO89" s="6072"/>
      <c r="HP89" s="6074"/>
      <c r="HT89" s="6071"/>
      <c r="HU89" s="6060" t="str">
        <f>_Calcs!$N$80</f>
        <v>Tidjustering</v>
      </c>
      <c r="HV89" s="6072"/>
      <c r="HW89" s="6072"/>
      <c r="HX89" s="6072"/>
      <c r="HY89" s="6072"/>
      <c r="HZ89" s="6072"/>
      <c r="IA89" s="6072"/>
      <c r="IB89" s="6072"/>
      <c r="IC89" s="6072"/>
      <c r="ID89" s="6099"/>
      <c r="IE89" s="6099"/>
      <c r="IF89" s="6099"/>
      <c r="IG89" s="6099"/>
      <c r="IH89" s="6099"/>
      <c r="II89" s="6099"/>
      <c r="IJ89" s="6099"/>
      <c r="IK89" s="6099"/>
      <c r="IL89" s="6072"/>
      <c r="IM89" s="6072"/>
      <c r="IN89" s="6072"/>
      <c r="IO89" s="6072"/>
      <c r="IP89" s="6072"/>
      <c r="IQ89" s="6072"/>
      <c r="IR89" s="6072"/>
      <c r="IS89" s="6072"/>
      <c r="IT89" s="6072"/>
      <c r="IU89" s="6072"/>
      <c r="IV89" s="6072"/>
      <c r="IW89" s="6072"/>
      <c r="IX89" s="6072"/>
      <c r="IY89" s="6072"/>
      <c r="IZ89" s="6072"/>
      <c r="JA89" s="6072"/>
      <c r="JB89" s="6072"/>
      <c r="JC89" s="6072"/>
      <c r="JD89" s="6072"/>
      <c r="JE89" s="6072"/>
      <c r="JF89" s="6072"/>
      <c r="JG89" s="6072"/>
      <c r="JH89" s="6072"/>
      <c r="JI89" s="6074"/>
      <c r="JM89" s="6071"/>
      <c r="JN89" s="6060" t="str">
        <f>_Calcs!$N$80</f>
        <v>Tidjustering</v>
      </c>
      <c r="JO89" s="6072"/>
      <c r="JP89" s="6072"/>
      <c r="JQ89" s="6072"/>
      <c r="JR89" s="6072"/>
      <c r="JS89" s="6072"/>
      <c r="JT89" s="6072"/>
      <c r="JU89" s="6072"/>
      <c r="JV89" s="6072"/>
      <c r="JW89" s="6099"/>
      <c r="JX89" s="6099"/>
      <c r="JY89" s="6099"/>
      <c r="JZ89" s="6099"/>
      <c r="KA89" s="6099"/>
      <c r="KB89" s="6099"/>
      <c r="KC89" s="6099"/>
      <c r="KD89" s="6099"/>
      <c r="KE89" s="6072"/>
      <c r="KF89" s="6072"/>
      <c r="KG89" s="6072"/>
      <c r="KH89" s="6072"/>
      <c r="KI89" s="6072"/>
      <c r="KJ89" s="6072"/>
      <c r="KK89" s="6072"/>
      <c r="KL89" s="6072"/>
      <c r="KM89" s="6072"/>
      <c r="KN89" s="6072"/>
      <c r="KO89" s="6072"/>
      <c r="KP89" s="6072"/>
      <c r="KQ89" s="6072"/>
      <c r="KR89" s="6072"/>
      <c r="KS89" s="6072"/>
      <c r="KT89" s="6072"/>
      <c r="KU89" s="6072"/>
      <c r="KV89" s="6072"/>
      <c r="KW89" s="6072"/>
      <c r="KX89" s="6072"/>
      <c r="KY89" s="6072"/>
      <c r="KZ89" s="6072"/>
      <c r="LA89" s="6072"/>
      <c r="LB89" s="6074"/>
      <c r="LF89" s="6071"/>
      <c r="LG89" s="6060" t="str">
        <f>_Calcs!$N$80</f>
        <v>Tidjustering</v>
      </c>
      <c r="LH89" s="6072"/>
      <c r="LI89" s="6072"/>
      <c r="LJ89" s="6072"/>
      <c r="LK89" s="6072"/>
      <c r="LL89" s="6072"/>
      <c r="LM89" s="6072"/>
      <c r="LN89" s="6072"/>
      <c r="LO89" s="6072"/>
      <c r="LP89" s="6099"/>
      <c r="LQ89" s="6099"/>
      <c r="LR89" s="6099"/>
      <c r="LS89" s="6099"/>
      <c r="LT89" s="6099"/>
      <c r="LU89" s="6099"/>
      <c r="LV89" s="6099"/>
      <c r="LW89" s="6099"/>
      <c r="LX89" s="6072"/>
      <c r="LY89" s="6072"/>
      <c r="LZ89" s="6072"/>
      <c r="MA89" s="6072"/>
      <c r="MB89" s="6072"/>
      <c r="MC89" s="6072"/>
      <c r="MD89" s="6072"/>
      <c r="ME89" s="6072"/>
      <c r="MF89" s="6072"/>
      <c r="MG89" s="6072"/>
      <c r="MH89" s="6072"/>
      <c r="MI89" s="6072"/>
      <c r="MJ89" s="6072"/>
      <c r="MK89" s="6072"/>
      <c r="ML89" s="6072"/>
      <c r="MM89" s="6072"/>
      <c r="MN89" s="6072"/>
      <c r="MO89" s="6072"/>
      <c r="MP89" s="6072"/>
      <c r="MQ89" s="6072"/>
      <c r="MR89" s="6072"/>
      <c r="MS89" s="6072"/>
      <c r="MT89" s="6072"/>
      <c r="MU89" s="6074"/>
      <c r="MY89" s="6071"/>
      <c r="MZ89" s="6060" t="str">
        <f>_Calcs!$N$80</f>
        <v>Tidjustering</v>
      </c>
      <c r="NA89" s="6072"/>
      <c r="NB89" s="6072"/>
      <c r="NC89" s="6072"/>
      <c r="ND89" s="6072"/>
      <c r="NE89" s="6072"/>
      <c r="NF89" s="6072"/>
      <c r="NG89" s="6072"/>
      <c r="NH89" s="6072"/>
      <c r="NI89" s="6099"/>
      <c r="NJ89" s="6099"/>
      <c r="NK89" s="6099"/>
      <c r="NL89" s="6099"/>
      <c r="NM89" s="6099"/>
      <c r="NN89" s="6099"/>
      <c r="NO89" s="6099"/>
      <c r="NP89" s="6099"/>
      <c r="NQ89" s="6072"/>
      <c r="NR89" s="6072"/>
      <c r="NS89" s="6072"/>
      <c r="NT89" s="6072"/>
      <c r="NU89" s="6072"/>
      <c r="NV89" s="6072"/>
      <c r="NW89" s="6072"/>
      <c r="NX89" s="6072"/>
      <c r="NY89" s="6072"/>
      <c r="NZ89" s="6072"/>
      <c r="OA89" s="6072"/>
      <c r="OB89" s="6072"/>
      <c r="OC89" s="6072"/>
      <c r="OD89" s="6072"/>
      <c r="OE89" s="6072"/>
      <c r="OF89" s="6072"/>
      <c r="OG89" s="6072"/>
      <c r="OH89" s="6072"/>
      <c r="OI89" s="6072"/>
      <c r="OJ89" s="6072"/>
      <c r="OK89" s="6072"/>
      <c r="OL89" s="6072"/>
      <c r="OM89" s="6072"/>
      <c r="ON89" s="6074"/>
    </row>
    <row r="90" spans="3:404" ht="5.0999999999999996" customHeight="1" thickBot="1" x14ac:dyDescent="0.25">
      <c r="C90" s="6055"/>
      <c r="D90" s="6056"/>
      <c r="E90" s="6056"/>
      <c r="F90" s="6056"/>
      <c r="G90" s="6056"/>
      <c r="H90" s="6056"/>
      <c r="I90" s="6056"/>
      <c r="J90" s="6056"/>
      <c r="K90" s="6056"/>
      <c r="L90" s="6056"/>
      <c r="M90" s="6100"/>
      <c r="N90" s="6100"/>
      <c r="O90" s="6100"/>
      <c r="P90" s="6100"/>
      <c r="Q90" s="6100"/>
      <c r="R90" s="6100"/>
      <c r="S90" s="6100"/>
      <c r="T90" s="6100"/>
      <c r="U90" s="6056"/>
      <c r="V90" s="6057"/>
      <c r="W90" s="6057"/>
      <c r="X90" s="6057"/>
      <c r="Y90" s="6057"/>
      <c r="Z90" s="6057"/>
      <c r="AA90" s="6056"/>
      <c r="AB90" s="6057"/>
      <c r="AC90" s="6057"/>
      <c r="AD90" s="6057"/>
      <c r="AE90" s="6056"/>
      <c r="AF90" s="6057"/>
      <c r="AG90" s="6057"/>
      <c r="AH90" s="6057"/>
      <c r="AI90" s="6057"/>
      <c r="AJ90" s="6057"/>
      <c r="AK90" s="6056"/>
      <c r="AL90" s="6056"/>
      <c r="AM90" s="6056"/>
      <c r="AN90" s="6056"/>
      <c r="AO90" s="6056"/>
      <c r="AP90" s="6056"/>
      <c r="AQ90" s="6056"/>
      <c r="AR90" s="6058"/>
      <c r="AV90" s="6055"/>
      <c r="AW90" s="6056"/>
      <c r="AX90" s="6056"/>
      <c r="AY90" s="6056"/>
      <c r="AZ90" s="6056"/>
      <c r="BA90" s="6056"/>
      <c r="BB90" s="6056"/>
      <c r="BC90" s="6056"/>
      <c r="BD90" s="6056"/>
      <c r="BE90" s="6056"/>
      <c r="BF90" s="6100"/>
      <c r="BG90" s="6100"/>
      <c r="BH90" s="6100"/>
      <c r="BI90" s="6100"/>
      <c r="BJ90" s="6100"/>
      <c r="BK90" s="6100"/>
      <c r="BL90" s="6100"/>
      <c r="BM90" s="6100"/>
      <c r="BN90" s="6056"/>
      <c r="BO90" s="6057"/>
      <c r="BP90" s="6057"/>
      <c r="BQ90" s="6057"/>
      <c r="BR90" s="6057"/>
      <c r="BS90" s="6057"/>
      <c r="BT90" s="6056"/>
      <c r="BU90" s="6057"/>
      <c r="BV90" s="6057"/>
      <c r="BW90" s="6057"/>
      <c r="BX90" s="6056"/>
      <c r="BY90" s="6057"/>
      <c r="BZ90" s="6057"/>
      <c r="CA90" s="6057"/>
      <c r="CB90" s="6057"/>
      <c r="CC90" s="6057"/>
      <c r="CD90" s="6056"/>
      <c r="CE90" s="6056"/>
      <c r="CF90" s="6056"/>
      <c r="CG90" s="6056"/>
      <c r="CH90" s="6056"/>
      <c r="CI90" s="6056"/>
      <c r="CJ90" s="6056"/>
      <c r="CK90" s="6058"/>
      <c r="CO90" s="6055"/>
      <c r="CP90" s="6056"/>
      <c r="CQ90" s="6056"/>
      <c r="CR90" s="6056"/>
      <c r="CS90" s="6056"/>
      <c r="CT90" s="6056"/>
      <c r="CU90" s="6056"/>
      <c r="CV90" s="6056"/>
      <c r="CW90" s="6056"/>
      <c r="CX90" s="6056"/>
      <c r="CY90" s="6100"/>
      <c r="CZ90" s="6100"/>
      <c r="DA90" s="6100"/>
      <c r="DB90" s="6100"/>
      <c r="DC90" s="6100"/>
      <c r="DD90" s="6100"/>
      <c r="DE90" s="6100"/>
      <c r="DF90" s="6100"/>
      <c r="DG90" s="6056"/>
      <c r="DH90" s="6057"/>
      <c r="DI90" s="6057"/>
      <c r="DJ90" s="6057"/>
      <c r="DK90" s="6057"/>
      <c r="DL90" s="6057"/>
      <c r="DM90" s="6056"/>
      <c r="DN90" s="6057"/>
      <c r="DO90" s="6057"/>
      <c r="DP90" s="6057"/>
      <c r="DQ90" s="6056"/>
      <c r="DR90" s="6057"/>
      <c r="DS90" s="6057"/>
      <c r="DT90" s="6057"/>
      <c r="DU90" s="6057"/>
      <c r="DV90" s="6057"/>
      <c r="DW90" s="6056"/>
      <c r="DX90" s="6056"/>
      <c r="DY90" s="6056"/>
      <c r="DZ90" s="6056"/>
      <c r="EA90" s="6056"/>
      <c r="EB90" s="6056"/>
      <c r="EC90" s="6056"/>
      <c r="ED90" s="6058"/>
      <c r="EH90" s="6055"/>
      <c r="EI90" s="6056"/>
      <c r="EJ90" s="6056"/>
      <c r="EK90" s="6056"/>
      <c r="EL90" s="6056"/>
      <c r="EM90" s="6056"/>
      <c r="EN90" s="6056"/>
      <c r="EO90" s="6056"/>
      <c r="EP90" s="6056"/>
      <c r="EQ90" s="6056"/>
      <c r="ER90" s="6100"/>
      <c r="ES90" s="6100"/>
      <c r="ET90" s="6100"/>
      <c r="EU90" s="6100"/>
      <c r="EV90" s="6100"/>
      <c r="EW90" s="6100"/>
      <c r="EX90" s="6100"/>
      <c r="EY90" s="6100"/>
      <c r="EZ90" s="6056"/>
      <c r="FA90" s="6057"/>
      <c r="FB90" s="6057"/>
      <c r="FC90" s="6057"/>
      <c r="FD90" s="6057"/>
      <c r="FE90" s="6057"/>
      <c r="FF90" s="6056"/>
      <c r="FG90" s="6057"/>
      <c r="FH90" s="6057"/>
      <c r="FI90" s="6057"/>
      <c r="FJ90" s="6056"/>
      <c r="FK90" s="6057"/>
      <c r="FL90" s="6057"/>
      <c r="FM90" s="6057"/>
      <c r="FN90" s="6057"/>
      <c r="FO90" s="6057"/>
      <c r="FP90" s="6056"/>
      <c r="FQ90" s="6056"/>
      <c r="FR90" s="6056"/>
      <c r="FS90" s="6056"/>
      <c r="FT90" s="6056"/>
      <c r="FU90" s="6056"/>
      <c r="FV90" s="6056"/>
      <c r="FW90" s="6058"/>
      <c r="GA90" s="6055"/>
      <c r="GB90" s="6056"/>
      <c r="GC90" s="6056"/>
      <c r="GD90" s="6056"/>
      <c r="GE90" s="6056"/>
      <c r="GF90" s="6056"/>
      <c r="GG90" s="6056"/>
      <c r="GH90" s="6056"/>
      <c r="GI90" s="6056"/>
      <c r="GJ90" s="6056"/>
      <c r="GK90" s="6100"/>
      <c r="GL90" s="6100"/>
      <c r="GM90" s="6100"/>
      <c r="GN90" s="6100"/>
      <c r="GO90" s="6100"/>
      <c r="GP90" s="6100"/>
      <c r="GQ90" s="6100"/>
      <c r="GR90" s="6100"/>
      <c r="GS90" s="6056"/>
      <c r="GT90" s="6057"/>
      <c r="GU90" s="6057"/>
      <c r="GV90" s="6057"/>
      <c r="GW90" s="6057"/>
      <c r="GX90" s="6057"/>
      <c r="GY90" s="6056"/>
      <c r="GZ90" s="6057"/>
      <c r="HA90" s="6057"/>
      <c r="HB90" s="6057"/>
      <c r="HC90" s="6056"/>
      <c r="HD90" s="6057"/>
      <c r="HE90" s="6057"/>
      <c r="HF90" s="6057"/>
      <c r="HG90" s="6057"/>
      <c r="HH90" s="6057"/>
      <c r="HI90" s="6056"/>
      <c r="HJ90" s="6056"/>
      <c r="HK90" s="6056"/>
      <c r="HL90" s="6056"/>
      <c r="HM90" s="6056"/>
      <c r="HN90" s="6056"/>
      <c r="HO90" s="6056"/>
      <c r="HP90" s="6058"/>
      <c r="HT90" s="6055"/>
      <c r="HU90" s="6056"/>
      <c r="HV90" s="6056"/>
      <c r="HW90" s="6056"/>
      <c r="HX90" s="6056"/>
      <c r="HY90" s="6056"/>
      <c r="HZ90" s="6056"/>
      <c r="IA90" s="6056"/>
      <c r="IB90" s="6056"/>
      <c r="IC90" s="6056"/>
      <c r="ID90" s="6100"/>
      <c r="IE90" s="6100"/>
      <c r="IF90" s="6100"/>
      <c r="IG90" s="6100"/>
      <c r="IH90" s="6100"/>
      <c r="II90" s="6100"/>
      <c r="IJ90" s="6100"/>
      <c r="IK90" s="6100"/>
      <c r="IL90" s="6056"/>
      <c r="IM90" s="6057"/>
      <c r="IN90" s="6057"/>
      <c r="IO90" s="6057"/>
      <c r="IP90" s="6057"/>
      <c r="IQ90" s="6057"/>
      <c r="IR90" s="6056"/>
      <c r="IS90" s="6057"/>
      <c r="IT90" s="6057"/>
      <c r="IU90" s="6057"/>
      <c r="IV90" s="6056"/>
      <c r="IW90" s="6057"/>
      <c r="IX90" s="6057"/>
      <c r="IY90" s="6057"/>
      <c r="IZ90" s="6057"/>
      <c r="JA90" s="6057"/>
      <c r="JB90" s="6056"/>
      <c r="JC90" s="6056"/>
      <c r="JD90" s="6056"/>
      <c r="JE90" s="6056"/>
      <c r="JF90" s="6056"/>
      <c r="JG90" s="6056"/>
      <c r="JH90" s="6056"/>
      <c r="JI90" s="6058"/>
      <c r="JM90" s="6055"/>
      <c r="JN90" s="6056"/>
      <c r="JO90" s="6056"/>
      <c r="JP90" s="6056"/>
      <c r="JQ90" s="6056"/>
      <c r="JR90" s="6056"/>
      <c r="JS90" s="6056"/>
      <c r="JT90" s="6056"/>
      <c r="JU90" s="6056"/>
      <c r="JV90" s="6056"/>
      <c r="JW90" s="6100"/>
      <c r="JX90" s="6100"/>
      <c r="JY90" s="6100"/>
      <c r="JZ90" s="6100"/>
      <c r="KA90" s="6100"/>
      <c r="KB90" s="6100"/>
      <c r="KC90" s="6100"/>
      <c r="KD90" s="6100"/>
      <c r="KE90" s="6056"/>
      <c r="KF90" s="6057"/>
      <c r="KG90" s="6057"/>
      <c r="KH90" s="6057"/>
      <c r="KI90" s="6057"/>
      <c r="KJ90" s="6057"/>
      <c r="KK90" s="6056"/>
      <c r="KL90" s="6057"/>
      <c r="KM90" s="6057"/>
      <c r="KN90" s="6057"/>
      <c r="KO90" s="6056"/>
      <c r="KP90" s="6057"/>
      <c r="KQ90" s="6057"/>
      <c r="KR90" s="6057"/>
      <c r="KS90" s="6057"/>
      <c r="KT90" s="6057"/>
      <c r="KU90" s="6056"/>
      <c r="KV90" s="6056"/>
      <c r="KW90" s="6056"/>
      <c r="KX90" s="6056"/>
      <c r="KY90" s="6056"/>
      <c r="KZ90" s="6056"/>
      <c r="LA90" s="6056"/>
      <c r="LB90" s="6058"/>
      <c r="LF90" s="6055"/>
      <c r="LG90" s="6056"/>
      <c r="LH90" s="6056"/>
      <c r="LI90" s="6056"/>
      <c r="LJ90" s="6056"/>
      <c r="LK90" s="6056"/>
      <c r="LL90" s="6056"/>
      <c r="LM90" s="6056"/>
      <c r="LN90" s="6056"/>
      <c r="LO90" s="6056"/>
      <c r="LP90" s="6100"/>
      <c r="LQ90" s="6100"/>
      <c r="LR90" s="6100"/>
      <c r="LS90" s="6100"/>
      <c r="LT90" s="6100"/>
      <c r="LU90" s="6100"/>
      <c r="LV90" s="6100"/>
      <c r="LW90" s="6100"/>
      <c r="LX90" s="6056"/>
      <c r="LY90" s="6057"/>
      <c r="LZ90" s="6057"/>
      <c r="MA90" s="6057"/>
      <c r="MB90" s="6057"/>
      <c r="MC90" s="6057"/>
      <c r="MD90" s="6056"/>
      <c r="ME90" s="6057"/>
      <c r="MF90" s="6057"/>
      <c r="MG90" s="6057"/>
      <c r="MH90" s="6056"/>
      <c r="MI90" s="6057"/>
      <c r="MJ90" s="6057"/>
      <c r="MK90" s="6057"/>
      <c r="ML90" s="6057"/>
      <c r="MM90" s="6057"/>
      <c r="MN90" s="6056"/>
      <c r="MO90" s="6056"/>
      <c r="MP90" s="6056"/>
      <c r="MQ90" s="6056"/>
      <c r="MR90" s="6056"/>
      <c r="MS90" s="6056"/>
      <c r="MT90" s="6056"/>
      <c r="MU90" s="6058"/>
      <c r="MY90" s="6055"/>
      <c r="MZ90" s="6056"/>
      <c r="NA90" s="6056"/>
      <c r="NB90" s="6056"/>
      <c r="NC90" s="6056"/>
      <c r="ND90" s="6056"/>
      <c r="NE90" s="6056"/>
      <c r="NF90" s="6056"/>
      <c r="NG90" s="6056"/>
      <c r="NH90" s="6056"/>
      <c r="NI90" s="6100"/>
      <c r="NJ90" s="6100"/>
      <c r="NK90" s="6100"/>
      <c r="NL90" s="6100"/>
      <c r="NM90" s="6100"/>
      <c r="NN90" s="6100"/>
      <c r="NO90" s="6100"/>
      <c r="NP90" s="6100"/>
      <c r="NQ90" s="6056"/>
      <c r="NR90" s="6057"/>
      <c r="NS90" s="6057"/>
      <c r="NT90" s="6057"/>
      <c r="NU90" s="6057"/>
      <c r="NV90" s="6057"/>
      <c r="NW90" s="6056"/>
      <c r="NX90" s="6057"/>
      <c r="NY90" s="6057"/>
      <c r="NZ90" s="6057"/>
      <c r="OA90" s="6056"/>
      <c r="OB90" s="6057"/>
      <c r="OC90" s="6057"/>
      <c r="OD90" s="6057"/>
      <c r="OE90" s="6057"/>
      <c r="OF90" s="6057"/>
      <c r="OG90" s="6056"/>
      <c r="OH90" s="6056"/>
      <c r="OI90" s="6056"/>
      <c r="OJ90" s="6056"/>
      <c r="OK90" s="6056"/>
      <c r="OL90" s="6056"/>
      <c r="OM90" s="6056"/>
      <c r="ON90" s="6058"/>
    </row>
    <row r="91" spans="3:404" s="6070" customFormat="1" ht="20.100000000000001" customHeight="1" thickBot="1" x14ac:dyDescent="0.25">
      <c r="C91" s="6064"/>
      <c r="D91" s="6076"/>
      <c r="E91" s="6781" t="str">
        <f>_Calcs!$IK$137</f>
        <v/>
      </c>
      <c r="F91" s="6781"/>
      <c r="G91" s="6781"/>
      <c r="H91" s="6781"/>
      <c r="I91" s="6781"/>
      <c r="J91" s="6781"/>
      <c r="K91" s="6080"/>
      <c r="L91" s="6101"/>
      <c r="M91" s="6101"/>
      <c r="N91" s="6101"/>
      <c r="O91" s="6101"/>
      <c r="P91" s="6101"/>
      <c r="Q91" s="6101"/>
      <c r="R91" s="6101"/>
      <c r="S91" s="6101"/>
      <c r="T91" s="6101"/>
      <c r="U91" s="6068"/>
      <c r="V91" s="6067"/>
      <c r="W91" s="6067"/>
      <c r="X91" s="6067"/>
      <c r="Y91" s="6067"/>
      <c r="Z91" s="6067"/>
      <c r="AA91" s="6068"/>
      <c r="AB91" s="6067"/>
      <c r="AC91" s="6067"/>
      <c r="AD91" s="6067"/>
      <c r="AE91" s="6068"/>
      <c r="AF91" s="6067"/>
      <c r="AG91" s="6067"/>
      <c r="AH91" s="6067"/>
      <c r="AI91" s="6067"/>
      <c r="AJ91" s="6067"/>
      <c r="AK91" s="6068"/>
      <c r="AL91" s="6068"/>
      <c r="AM91" s="6068"/>
      <c r="AN91" s="6068"/>
      <c r="AO91" s="6068"/>
      <c r="AP91" s="6068"/>
      <c r="AQ91" s="6068"/>
      <c r="AR91" s="6098"/>
      <c r="AV91" s="6064"/>
      <c r="AW91" s="6076"/>
      <c r="AX91" s="6781" t="str">
        <f>_Calcs!$IL$137</f>
        <v/>
      </c>
      <c r="AY91" s="6781"/>
      <c r="AZ91" s="6781"/>
      <c r="BA91" s="6781"/>
      <c r="BB91" s="6781"/>
      <c r="BC91" s="6781"/>
      <c r="BD91" s="6080"/>
      <c r="BE91" s="6101"/>
      <c r="BF91" s="6101"/>
      <c r="BG91" s="6101"/>
      <c r="BH91" s="6101"/>
      <c r="BI91" s="6101"/>
      <c r="BJ91" s="6101"/>
      <c r="BK91" s="6101"/>
      <c r="BL91" s="6101"/>
      <c r="BM91" s="6101"/>
      <c r="BN91" s="6068"/>
      <c r="BO91" s="6067"/>
      <c r="BP91" s="6067"/>
      <c r="BQ91" s="6067"/>
      <c r="BR91" s="6067"/>
      <c r="BS91" s="6067"/>
      <c r="BT91" s="6068"/>
      <c r="BU91" s="6067"/>
      <c r="BV91" s="6067"/>
      <c r="BW91" s="6067"/>
      <c r="BX91" s="6068"/>
      <c r="BY91" s="6067"/>
      <c r="BZ91" s="6067"/>
      <c r="CA91" s="6067"/>
      <c r="CB91" s="6067"/>
      <c r="CC91" s="6067"/>
      <c r="CD91" s="6068"/>
      <c r="CE91" s="6068"/>
      <c r="CF91" s="6068"/>
      <c r="CG91" s="6068"/>
      <c r="CH91" s="6068"/>
      <c r="CI91" s="6068"/>
      <c r="CJ91" s="6068"/>
      <c r="CK91" s="6098"/>
      <c r="CO91" s="6064"/>
      <c r="CP91" s="6076"/>
      <c r="CQ91" s="6781" t="str">
        <f>_Calcs!$IM$137</f>
        <v/>
      </c>
      <c r="CR91" s="6781"/>
      <c r="CS91" s="6781"/>
      <c r="CT91" s="6781"/>
      <c r="CU91" s="6781"/>
      <c r="CV91" s="6781"/>
      <c r="CW91" s="6080"/>
      <c r="CX91" s="6101"/>
      <c r="CY91" s="6101"/>
      <c r="CZ91" s="6101"/>
      <c r="DA91" s="6101"/>
      <c r="DB91" s="6101"/>
      <c r="DC91" s="6101"/>
      <c r="DD91" s="6101"/>
      <c r="DE91" s="6101"/>
      <c r="DF91" s="6101"/>
      <c r="DG91" s="6068"/>
      <c r="DH91" s="6067"/>
      <c r="DI91" s="6067"/>
      <c r="DJ91" s="6067"/>
      <c r="DK91" s="6067"/>
      <c r="DL91" s="6067"/>
      <c r="DM91" s="6068"/>
      <c r="DN91" s="6067"/>
      <c r="DO91" s="6067"/>
      <c r="DP91" s="6067"/>
      <c r="DQ91" s="6068"/>
      <c r="DR91" s="6067"/>
      <c r="DS91" s="6067"/>
      <c r="DT91" s="6067"/>
      <c r="DU91" s="6067"/>
      <c r="DV91" s="6067"/>
      <c r="DW91" s="6068"/>
      <c r="DX91" s="6068"/>
      <c r="DY91" s="6068"/>
      <c r="DZ91" s="6068"/>
      <c r="EA91" s="6068"/>
      <c r="EB91" s="6068"/>
      <c r="EC91" s="6068"/>
      <c r="ED91" s="6098"/>
      <c r="EH91" s="6064"/>
      <c r="EI91" s="6076"/>
      <c r="EJ91" s="6781" t="str">
        <f>_Calcs!$IN$137</f>
        <v/>
      </c>
      <c r="EK91" s="6781"/>
      <c r="EL91" s="6781"/>
      <c r="EM91" s="6781"/>
      <c r="EN91" s="6781"/>
      <c r="EO91" s="6781"/>
      <c r="EP91" s="6080"/>
      <c r="EQ91" s="6101"/>
      <c r="ER91" s="6101"/>
      <c r="ES91" s="6101"/>
      <c r="ET91" s="6101"/>
      <c r="EU91" s="6101"/>
      <c r="EV91" s="6101"/>
      <c r="EW91" s="6101"/>
      <c r="EX91" s="6101"/>
      <c r="EY91" s="6101"/>
      <c r="EZ91" s="6068"/>
      <c r="FA91" s="6067"/>
      <c r="FB91" s="6067"/>
      <c r="FC91" s="6067"/>
      <c r="FD91" s="6067"/>
      <c r="FE91" s="6067"/>
      <c r="FF91" s="6068"/>
      <c r="FG91" s="6067"/>
      <c r="FH91" s="6067"/>
      <c r="FI91" s="6067"/>
      <c r="FJ91" s="6068"/>
      <c r="FK91" s="6067"/>
      <c r="FL91" s="6067"/>
      <c r="FM91" s="6067"/>
      <c r="FN91" s="6067"/>
      <c r="FO91" s="6067"/>
      <c r="FP91" s="6068"/>
      <c r="FQ91" s="6068"/>
      <c r="FR91" s="6068"/>
      <c r="FS91" s="6068"/>
      <c r="FT91" s="6068"/>
      <c r="FU91" s="6068"/>
      <c r="FV91" s="6068"/>
      <c r="FW91" s="6098"/>
      <c r="GA91" s="6064"/>
      <c r="GB91" s="6076"/>
      <c r="GC91" s="6781" t="str">
        <f>_Calcs!$IO$137</f>
        <v/>
      </c>
      <c r="GD91" s="6781"/>
      <c r="GE91" s="6781"/>
      <c r="GF91" s="6781"/>
      <c r="GG91" s="6781"/>
      <c r="GH91" s="6781"/>
      <c r="GI91" s="6080"/>
      <c r="GJ91" s="6101"/>
      <c r="GK91" s="6101"/>
      <c r="GL91" s="6101"/>
      <c r="GM91" s="6101"/>
      <c r="GN91" s="6101"/>
      <c r="GO91" s="6101"/>
      <c r="GP91" s="6101"/>
      <c r="GQ91" s="6101"/>
      <c r="GR91" s="6101"/>
      <c r="GS91" s="6068"/>
      <c r="GT91" s="6067"/>
      <c r="GU91" s="6067"/>
      <c r="GV91" s="6067"/>
      <c r="GW91" s="6067"/>
      <c r="GX91" s="6067"/>
      <c r="GY91" s="6068"/>
      <c r="GZ91" s="6067"/>
      <c r="HA91" s="6067"/>
      <c r="HB91" s="6067"/>
      <c r="HC91" s="6068"/>
      <c r="HD91" s="6067"/>
      <c r="HE91" s="6067"/>
      <c r="HF91" s="6067"/>
      <c r="HG91" s="6067"/>
      <c r="HH91" s="6067"/>
      <c r="HI91" s="6068"/>
      <c r="HJ91" s="6068"/>
      <c r="HK91" s="6068"/>
      <c r="HL91" s="6068"/>
      <c r="HM91" s="6068"/>
      <c r="HN91" s="6068"/>
      <c r="HO91" s="6068"/>
      <c r="HP91" s="6098"/>
      <c r="HT91" s="6064"/>
      <c r="HU91" s="6076"/>
      <c r="HV91" s="6781" t="str">
        <f>_Calcs!$IP$137</f>
        <v/>
      </c>
      <c r="HW91" s="6781"/>
      <c r="HX91" s="6781"/>
      <c r="HY91" s="6781"/>
      <c r="HZ91" s="6781"/>
      <c r="IA91" s="6781"/>
      <c r="IB91" s="6080"/>
      <c r="IC91" s="6101"/>
      <c r="ID91" s="6101"/>
      <c r="IE91" s="6101"/>
      <c r="IF91" s="6101"/>
      <c r="IG91" s="6101"/>
      <c r="IH91" s="6101"/>
      <c r="II91" s="6101"/>
      <c r="IJ91" s="6101"/>
      <c r="IK91" s="6101"/>
      <c r="IL91" s="6068"/>
      <c r="IM91" s="6067"/>
      <c r="IN91" s="6067"/>
      <c r="IO91" s="6067"/>
      <c r="IP91" s="6067"/>
      <c r="IQ91" s="6067"/>
      <c r="IR91" s="6068"/>
      <c r="IS91" s="6067"/>
      <c r="IT91" s="6067"/>
      <c r="IU91" s="6067"/>
      <c r="IV91" s="6068"/>
      <c r="IW91" s="6067"/>
      <c r="IX91" s="6067"/>
      <c r="IY91" s="6067"/>
      <c r="IZ91" s="6067"/>
      <c r="JA91" s="6067"/>
      <c r="JB91" s="6068"/>
      <c r="JC91" s="6068"/>
      <c r="JD91" s="6068"/>
      <c r="JE91" s="6068"/>
      <c r="JF91" s="6068"/>
      <c r="JG91" s="6068"/>
      <c r="JH91" s="6068"/>
      <c r="JI91" s="6098"/>
      <c r="JM91" s="6064"/>
      <c r="JN91" s="6076"/>
      <c r="JO91" s="6781" t="str">
        <f>_Calcs!$IQ$137</f>
        <v/>
      </c>
      <c r="JP91" s="6781"/>
      <c r="JQ91" s="6781"/>
      <c r="JR91" s="6781"/>
      <c r="JS91" s="6781"/>
      <c r="JT91" s="6781"/>
      <c r="JU91" s="6080"/>
      <c r="JV91" s="6101"/>
      <c r="JW91" s="6101"/>
      <c r="JX91" s="6101"/>
      <c r="JY91" s="6101"/>
      <c r="JZ91" s="6101"/>
      <c r="KA91" s="6101"/>
      <c r="KB91" s="6101"/>
      <c r="KC91" s="6101"/>
      <c r="KD91" s="6101"/>
      <c r="KE91" s="6068"/>
      <c r="KF91" s="6067"/>
      <c r="KG91" s="6067"/>
      <c r="KH91" s="6067"/>
      <c r="KI91" s="6067"/>
      <c r="KJ91" s="6067"/>
      <c r="KK91" s="6068"/>
      <c r="KL91" s="6067"/>
      <c r="KM91" s="6067"/>
      <c r="KN91" s="6067"/>
      <c r="KO91" s="6068"/>
      <c r="KP91" s="6067"/>
      <c r="KQ91" s="6067"/>
      <c r="KR91" s="6067"/>
      <c r="KS91" s="6067"/>
      <c r="KT91" s="6067"/>
      <c r="KU91" s="6068"/>
      <c r="KV91" s="6068"/>
      <c r="KW91" s="6068"/>
      <c r="KX91" s="6068"/>
      <c r="KY91" s="6068"/>
      <c r="KZ91" s="6068"/>
      <c r="LA91" s="6068"/>
      <c r="LB91" s="6098"/>
      <c r="LF91" s="6064"/>
      <c r="LG91" s="6076"/>
      <c r="LH91" s="6781" t="str">
        <f>_Calcs!$IR$137</f>
        <v/>
      </c>
      <c r="LI91" s="6781"/>
      <c r="LJ91" s="6781"/>
      <c r="LK91" s="6781"/>
      <c r="LL91" s="6781"/>
      <c r="LM91" s="6781"/>
      <c r="LN91" s="6080"/>
      <c r="LO91" s="6101"/>
      <c r="LP91" s="6101"/>
      <c r="LQ91" s="6101"/>
      <c r="LR91" s="6101"/>
      <c r="LS91" s="6101"/>
      <c r="LT91" s="6101"/>
      <c r="LU91" s="6101"/>
      <c r="LV91" s="6101"/>
      <c r="LW91" s="6101"/>
      <c r="LX91" s="6068"/>
      <c r="LY91" s="6067"/>
      <c r="LZ91" s="6067"/>
      <c r="MA91" s="6067"/>
      <c r="MB91" s="6067"/>
      <c r="MC91" s="6067"/>
      <c r="MD91" s="6068"/>
      <c r="ME91" s="6067"/>
      <c r="MF91" s="6067"/>
      <c r="MG91" s="6067"/>
      <c r="MH91" s="6068"/>
      <c r="MI91" s="6067"/>
      <c r="MJ91" s="6067"/>
      <c r="MK91" s="6067"/>
      <c r="ML91" s="6067"/>
      <c r="MM91" s="6067"/>
      <c r="MN91" s="6068"/>
      <c r="MO91" s="6068"/>
      <c r="MP91" s="6068"/>
      <c r="MQ91" s="6068"/>
      <c r="MR91" s="6068"/>
      <c r="MS91" s="6068"/>
      <c r="MT91" s="6068"/>
      <c r="MU91" s="6098"/>
      <c r="MY91" s="6064"/>
      <c r="MZ91" s="6076"/>
      <c r="NA91" s="6781" t="str">
        <f>_Calcs!$IS$137</f>
        <v/>
      </c>
      <c r="NB91" s="6781"/>
      <c r="NC91" s="6781"/>
      <c r="ND91" s="6781"/>
      <c r="NE91" s="6781"/>
      <c r="NF91" s="6781"/>
      <c r="NG91" s="6080"/>
      <c r="NH91" s="6101"/>
      <c r="NI91" s="6101"/>
      <c r="NJ91" s="6101"/>
      <c r="NK91" s="6101"/>
      <c r="NL91" s="6101"/>
      <c r="NM91" s="6101"/>
      <c r="NN91" s="6101"/>
      <c r="NO91" s="6101"/>
      <c r="NP91" s="6101"/>
      <c r="NQ91" s="6068"/>
      <c r="NR91" s="6067"/>
      <c r="NS91" s="6067"/>
      <c r="NT91" s="6067"/>
      <c r="NU91" s="6067"/>
      <c r="NV91" s="6067"/>
      <c r="NW91" s="6068"/>
      <c r="NX91" s="6067"/>
      <c r="NY91" s="6067"/>
      <c r="NZ91" s="6067"/>
      <c r="OA91" s="6068"/>
      <c r="OB91" s="6067"/>
      <c r="OC91" s="6067"/>
      <c r="OD91" s="6067"/>
      <c r="OE91" s="6067"/>
      <c r="OF91" s="6067"/>
      <c r="OG91" s="6068"/>
      <c r="OH91" s="6068"/>
      <c r="OI91" s="6068"/>
      <c r="OJ91" s="6068"/>
      <c r="OK91" s="6068"/>
      <c r="OL91" s="6068"/>
      <c r="OM91" s="6068"/>
      <c r="ON91" s="6098"/>
    </row>
    <row r="92" spans="3:404" ht="8.1" customHeight="1" x14ac:dyDescent="0.2">
      <c r="C92" s="6055"/>
      <c r="D92" s="6056"/>
      <c r="E92" s="6056"/>
      <c r="F92" s="6056"/>
      <c r="G92" s="6056"/>
      <c r="H92" s="6056"/>
      <c r="I92" s="6056"/>
      <c r="J92" s="6056"/>
      <c r="K92" s="6056"/>
      <c r="L92" s="6056"/>
      <c r="M92" s="6056"/>
      <c r="N92" s="6056"/>
      <c r="O92" s="6056"/>
      <c r="P92" s="6056"/>
      <c r="Q92" s="6056"/>
      <c r="R92" s="6056"/>
      <c r="S92" s="6056"/>
      <c r="T92" s="6056"/>
      <c r="U92" s="6056"/>
      <c r="V92" s="6057"/>
      <c r="W92" s="6057"/>
      <c r="X92" s="6057"/>
      <c r="Y92" s="6057"/>
      <c r="Z92" s="6057"/>
      <c r="AA92" s="6056"/>
      <c r="AB92" s="6057"/>
      <c r="AC92" s="6057"/>
      <c r="AD92" s="6057"/>
      <c r="AE92" s="6056"/>
      <c r="AF92" s="6057"/>
      <c r="AG92" s="6057"/>
      <c r="AH92" s="6057"/>
      <c r="AI92" s="6057"/>
      <c r="AJ92" s="6057"/>
      <c r="AK92" s="6056"/>
      <c r="AL92" s="6056"/>
      <c r="AM92" s="6056"/>
      <c r="AN92" s="6056"/>
      <c r="AO92" s="6056"/>
      <c r="AP92" s="6056"/>
      <c r="AQ92" s="6056"/>
      <c r="AR92" s="6058"/>
      <c r="AV92" s="6055"/>
      <c r="AW92" s="6056"/>
      <c r="AX92" s="6056"/>
      <c r="AY92" s="6056"/>
      <c r="AZ92" s="6056"/>
      <c r="BA92" s="6056"/>
      <c r="BB92" s="6056"/>
      <c r="BC92" s="6056"/>
      <c r="BD92" s="6056"/>
      <c r="BE92" s="6056"/>
      <c r="BF92" s="6056"/>
      <c r="BG92" s="6056"/>
      <c r="BH92" s="6056"/>
      <c r="BI92" s="6056"/>
      <c r="BJ92" s="6056"/>
      <c r="BK92" s="6056"/>
      <c r="BL92" s="6056"/>
      <c r="BM92" s="6056"/>
      <c r="BN92" s="6056"/>
      <c r="BO92" s="6057"/>
      <c r="BP92" s="6057"/>
      <c r="BQ92" s="6057"/>
      <c r="BR92" s="6057"/>
      <c r="BS92" s="6057"/>
      <c r="BT92" s="6056"/>
      <c r="BU92" s="6057"/>
      <c r="BV92" s="6057"/>
      <c r="BW92" s="6057"/>
      <c r="BX92" s="6056"/>
      <c r="BY92" s="6057"/>
      <c r="BZ92" s="6057"/>
      <c r="CA92" s="6057"/>
      <c r="CB92" s="6057"/>
      <c r="CC92" s="6057"/>
      <c r="CD92" s="6056"/>
      <c r="CE92" s="6056"/>
      <c r="CF92" s="6056"/>
      <c r="CG92" s="6056"/>
      <c r="CH92" s="6056"/>
      <c r="CI92" s="6056"/>
      <c r="CJ92" s="6056"/>
      <c r="CK92" s="6058"/>
      <c r="CO92" s="6055"/>
      <c r="CP92" s="6056"/>
      <c r="CQ92" s="6056"/>
      <c r="CR92" s="6056"/>
      <c r="CS92" s="6056"/>
      <c r="CT92" s="6056"/>
      <c r="CU92" s="6056"/>
      <c r="CV92" s="6056"/>
      <c r="CW92" s="6056"/>
      <c r="CX92" s="6056"/>
      <c r="CY92" s="6056"/>
      <c r="CZ92" s="6056"/>
      <c r="DA92" s="6056"/>
      <c r="DB92" s="6056"/>
      <c r="DC92" s="6056"/>
      <c r="DD92" s="6056"/>
      <c r="DE92" s="6056"/>
      <c r="DF92" s="6056"/>
      <c r="DG92" s="6056"/>
      <c r="DH92" s="6057"/>
      <c r="DI92" s="6057"/>
      <c r="DJ92" s="6057"/>
      <c r="DK92" s="6057"/>
      <c r="DL92" s="6057"/>
      <c r="DM92" s="6056"/>
      <c r="DN92" s="6057"/>
      <c r="DO92" s="6057"/>
      <c r="DP92" s="6057"/>
      <c r="DQ92" s="6056"/>
      <c r="DR92" s="6057"/>
      <c r="DS92" s="6057"/>
      <c r="DT92" s="6057"/>
      <c r="DU92" s="6057"/>
      <c r="DV92" s="6057"/>
      <c r="DW92" s="6056"/>
      <c r="DX92" s="6056"/>
      <c r="DY92" s="6056"/>
      <c r="DZ92" s="6056"/>
      <c r="EA92" s="6056"/>
      <c r="EB92" s="6056"/>
      <c r="EC92" s="6056"/>
      <c r="ED92" s="6058"/>
      <c r="EH92" s="6055"/>
      <c r="EI92" s="6056"/>
      <c r="EJ92" s="6056"/>
      <c r="EK92" s="6056"/>
      <c r="EL92" s="6056"/>
      <c r="EM92" s="6056"/>
      <c r="EN92" s="6056"/>
      <c r="EO92" s="6056"/>
      <c r="EP92" s="6056"/>
      <c r="EQ92" s="6056"/>
      <c r="ER92" s="6056"/>
      <c r="ES92" s="6056"/>
      <c r="ET92" s="6056"/>
      <c r="EU92" s="6056"/>
      <c r="EV92" s="6056"/>
      <c r="EW92" s="6056"/>
      <c r="EX92" s="6056"/>
      <c r="EY92" s="6056"/>
      <c r="EZ92" s="6056"/>
      <c r="FA92" s="6057"/>
      <c r="FB92" s="6057"/>
      <c r="FC92" s="6057"/>
      <c r="FD92" s="6057"/>
      <c r="FE92" s="6057"/>
      <c r="FF92" s="6056"/>
      <c r="FG92" s="6057"/>
      <c r="FH92" s="6057"/>
      <c r="FI92" s="6057"/>
      <c r="FJ92" s="6056"/>
      <c r="FK92" s="6057"/>
      <c r="FL92" s="6057"/>
      <c r="FM92" s="6057"/>
      <c r="FN92" s="6057"/>
      <c r="FO92" s="6057"/>
      <c r="FP92" s="6056"/>
      <c r="FQ92" s="6056"/>
      <c r="FR92" s="6056"/>
      <c r="FS92" s="6056"/>
      <c r="FT92" s="6056"/>
      <c r="FU92" s="6056"/>
      <c r="FV92" s="6056"/>
      <c r="FW92" s="6058"/>
      <c r="GA92" s="6055"/>
      <c r="GB92" s="6056"/>
      <c r="GC92" s="6056"/>
      <c r="GD92" s="6056"/>
      <c r="GE92" s="6056"/>
      <c r="GF92" s="6056"/>
      <c r="GG92" s="6056"/>
      <c r="GH92" s="6056"/>
      <c r="GI92" s="6056"/>
      <c r="GJ92" s="6056"/>
      <c r="GK92" s="6056"/>
      <c r="GL92" s="6056"/>
      <c r="GM92" s="6056"/>
      <c r="GN92" s="6056"/>
      <c r="GO92" s="6056"/>
      <c r="GP92" s="6056"/>
      <c r="GQ92" s="6056"/>
      <c r="GR92" s="6056"/>
      <c r="GS92" s="6056"/>
      <c r="GT92" s="6057"/>
      <c r="GU92" s="6057"/>
      <c r="GV92" s="6057"/>
      <c r="GW92" s="6057"/>
      <c r="GX92" s="6057"/>
      <c r="GY92" s="6056"/>
      <c r="GZ92" s="6057"/>
      <c r="HA92" s="6057"/>
      <c r="HB92" s="6057"/>
      <c r="HC92" s="6056"/>
      <c r="HD92" s="6057"/>
      <c r="HE92" s="6057"/>
      <c r="HF92" s="6057"/>
      <c r="HG92" s="6057"/>
      <c r="HH92" s="6057"/>
      <c r="HI92" s="6056"/>
      <c r="HJ92" s="6056"/>
      <c r="HK92" s="6056"/>
      <c r="HL92" s="6056"/>
      <c r="HM92" s="6056"/>
      <c r="HN92" s="6056"/>
      <c r="HO92" s="6056"/>
      <c r="HP92" s="6058"/>
      <c r="HT92" s="6055"/>
      <c r="HU92" s="6056"/>
      <c r="HV92" s="6056"/>
      <c r="HW92" s="6056"/>
      <c r="HX92" s="6056"/>
      <c r="HY92" s="6056"/>
      <c r="HZ92" s="6056"/>
      <c r="IA92" s="6056"/>
      <c r="IB92" s="6056"/>
      <c r="IC92" s="6056"/>
      <c r="ID92" s="6056"/>
      <c r="IE92" s="6056"/>
      <c r="IF92" s="6056"/>
      <c r="IG92" s="6056"/>
      <c r="IH92" s="6056"/>
      <c r="II92" s="6056"/>
      <c r="IJ92" s="6056"/>
      <c r="IK92" s="6056"/>
      <c r="IL92" s="6056"/>
      <c r="IM92" s="6057"/>
      <c r="IN92" s="6057"/>
      <c r="IO92" s="6057"/>
      <c r="IP92" s="6057"/>
      <c r="IQ92" s="6057"/>
      <c r="IR92" s="6056"/>
      <c r="IS92" s="6057"/>
      <c r="IT92" s="6057"/>
      <c r="IU92" s="6057"/>
      <c r="IV92" s="6056"/>
      <c r="IW92" s="6057"/>
      <c r="IX92" s="6057"/>
      <c r="IY92" s="6057"/>
      <c r="IZ92" s="6057"/>
      <c r="JA92" s="6057"/>
      <c r="JB92" s="6056"/>
      <c r="JC92" s="6056"/>
      <c r="JD92" s="6056"/>
      <c r="JE92" s="6056"/>
      <c r="JF92" s="6056"/>
      <c r="JG92" s="6056"/>
      <c r="JH92" s="6056"/>
      <c r="JI92" s="6058"/>
      <c r="JM92" s="6055"/>
      <c r="JN92" s="6056"/>
      <c r="JO92" s="6056"/>
      <c r="JP92" s="6056"/>
      <c r="JQ92" s="6056"/>
      <c r="JR92" s="6056"/>
      <c r="JS92" s="6056"/>
      <c r="JT92" s="6056"/>
      <c r="JU92" s="6056"/>
      <c r="JV92" s="6056"/>
      <c r="JW92" s="6056"/>
      <c r="JX92" s="6056"/>
      <c r="JY92" s="6056"/>
      <c r="JZ92" s="6056"/>
      <c r="KA92" s="6056"/>
      <c r="KB92" s="6056"/>
      <c r="KC92" s="6056"/>
      <c r="KD92" s="6056"/>
      <c r="KE92" s="6056"/>
      <c r="KF92" s="6057"/>
      <c r="KG92" s="6057"/>
      <c r="KH92" s="6057"/>
      <c r="KI92" s="6057"/>
      <c r="KJ92" s="6057"/>
      <c r="KK92" s="6056"/>
      <c r="KL92" s="6057"/>
      <c r="KM92" s="6057"/>
      <c r="KN92" s="6057"/>
      <c r="KO92" s="6056"/>
      <c r="KP92" s="6057"/>
      <c r="KQ92" s="6057"/>
      <c r="KR92" s="6057"/>
      <c r="KS92" s="6057"/>
      <c r="KT92" s="6057"/>
      <c r="KU92" s="6056"/>
      <c r="KV92" s="6056"/>
      <c r="KW92" s="6056"/>
      <c r="KX92" s="6056"/>
      <c r="KY92" s="6056"/>
      <c r="KZ92" s="6056"/>
      <c r="LA92" s="6056"/>
      <c r="LB92" s="6058"/>
      <c r="LF92" s="6055"/>
      <c r="LG92" s="6056"/>
      <c r="LH92" s="6056"/>
      <c r="LI92" s="6056"/>
      <c r="LJ92" s="6056"/>
      <c r="LK92" s="6056"/>
      <c r="LL92" s="6056"/>
      <c r="LM92" s="6056"/>
      <c r="LN92" s="6056"/>
      <c r="LO92" s="6056"/>
      <c r="LP92" s="6056"/>
      <c r="LQ92" s="6056"/>
      <c r="LR92" s="6056"/>
      <c r="LS92" s="6056"/>
      <c r="LT92" s="6056"/>
      <c r="LU92" s="6056"/>
      <c r="LV92" s="6056"/>
      <c r="LW92" s="6056"/>
      <c r="LX92" s="6056"/>
      <c r="LY92" s="6057"/>
      <c r="LZ92" s="6057"/>
      <c r="MA92" s="6057"/>
      <c r="MB92" s="6057"/>
      <c r="MC92" s="6057"/>
      <c r="MD92" s="6056"/>
      <c r="ME92" s="6057"/>
      <c r="MF92" s="6057"/>
      <c r="MG92" s="6057"/>
      <c r="MH92" s="6056"/>
      <c r="MI92" s="6057"/>
      <c r="MJ92" s="6057"/>
      <c r="MK92" s="6057"/>
      <c r="ML92" s="6057"/>
      <c r="MM92" s="6057"/>
      <c r="MN92" s="6056"/>
      <c r="MO92" s="6056"/>
      <c r="MP92" s="6056"/>
      <c r="MQ92" s="6056"/>
      <c r="MR92" s="6056"/>
      <c r="MS92" s="6056"/>
      <c r="MT92" s="6056"/>
      <c r="MU92" s="6058"/>
      <c r="MY92" s="6055"/>
      <c r="MZ92" s="6056"/>
      <c r="NA92" s="6056"/>
      <c r="NB92" s="6056"/>
      <c r="NC92" s="6056"/>
      <c r="ND92" s="6056"/>
      <c r="NE92" s="6056"/>
      <c r="NF92" s="6056"/>
      <c r="NG92" s="6056"/>
      <c r="NH92" s="6056"/>
      <c r="NI92" s="6056"/>
      <c r="NJ92" s="6056"/>
      <c r="NK92" s="6056"/>
      <c r="NL92" s="6056"/>
      <c r="NM92" s="6056"/>
      <c r="NN92" s="6056"/>
      <c r="NO92" s="6056"/>
      <c r="NP92" s="6056"/>
      <c r="NQ92" s="6056"/>
      <c r="NR92" s="6057"/>
      <c r="NS92" s="6057"/>
      <c r="NT92" s="6057"/>
      <c r="NU92" s="6057"/>
      <c r="NV92" s="6057"/>
      <c r="NW92" s="6056"/>
      <c r="NX92" s="6057"/>
      <c r="NY92" s="6057"/>
      <c r="NZ92" s="6057"/>
      <c r="OA92" s="6056"/>
      <c r="OB92" s="6057"/>
      <c r="OC92" s="6057"/>
      <c r="OD92" s="6057"/>
      <c r="OE92" s="6057"/>
      <c r="OF92" s="6057"/>
      <c r="OG92" s="6056"/>
      <c r="OH92" s="6056"/>
      <c r="OI92" s="6056"/>
      <c r="OJ92" s="6056"/>
      <c r="OK92" s="6056"/>
      <c r="OL92" s="6056"/>
      <c r="OM92" s="6056"/>
      <c r="ON92" s="6058"/>
    </row>
    <row r="93" spans="3:404" s="6075" customFormat="1" ht="12" customHeight="1" x14ac:dyDescent="0.2">
      <c r="C93" s="6071"/>
      <c r="D93" s="6060" t="str">
        <f>_Calcs!$N$79</f>
        <v>Begrunnelse</v>
      </c>
      <c r="E93" s="6099"/>
      <c r="F93" s="6060"/>
      <c r="G93" s="6060"/>
      <c r="H93" s="6060"/>
      <c r="I93" s="6060"/>
      <c r="J93" s="6060"/>
      <c r="K93" s="6060"/>
      <c r="L93" s="6060"/>
      <c r="M93" s="6060"/>
      <c r="N93" s="6060"/>
      <c r="O93" s="6060"/>
      <c r="P93" s="6060"/>
      <c r="Q93" s="6060"/>
      <c r="R93" s="6060"/>
      <c r="S93" s="6060"/>
      <c r="T93" s="6072"/>
      <c r="U93" s="6072"/>
      <c r="V93" s="6072"/>
      <c r="W93" s="6072"/>
      <c r="X93" s="6072"/>
      <c r="Y93" s="6072"/>
      <c r="Z93" s="6072"/>
      <c r="AA93" s="6072"/>
      <c r="AB93" s="6072"/>
      <c r="AC93" s="6072"/>
      <c r="AD93" s="6072"/>
      <c r="AE93" s="6072"/>
      <c r="AF93" s="6072"/>
      <c r="AG93" s="6072"/>
      <c r="AH93" s="6072"/>
      <c r="AI93" s="6072"/>
      <c r="AJ93" s="6072"/>
      <c r="AK93" s="6072"/>
      <c r="AL93" s="6072"/>
      <c r="AM93" s="6072"/>
      <c r="AN93" s="6072"/>
      <c r="AO93" s="6072"/>
      <c r="AP93" s="6072"/>
      <c r="AQ93" s="6072"/>
      <c r="AR93" s="6074"/>
      <c r="AV93" s="6071"/>
      <c r="AW93" s="6060" t="str">
        <f>_Calcs!$N$79</f>
        <v>Begrunnelse</v>
      </c>
      <c r="AX93" s="6099"/>
      <c r="AY93" s="6060"/>
      <c r="AZ93" s="6060"/>
      <c r="BA93" s="6060"/>
      <c r="BB93" s="6060"/>
      <c r="BC93" s="6060"/>
      <c r="BD93" s="6060"/>
      <c r="BE93" s="6060"/>
      <c r="BF93" s="6060"/>
      <c r="BG93" s="6060"/>
      <c r="BH93" s="6060"/>
      <c r="BI93" s="6060"/>
      <c r="BJ93" s="6060"/>
      <c r="BK93" s="6060"/>
      <c r="BL93" s="6060"/>
      <c r="BM93" s="6072"/>
      <c r="BN93" s="6072"/>
      <c r="BO93" s="6072"/>
      <c r="BP93" s="6072"/>
      <c r="BQ93" s="6072"/>
      <c r="BR93" s="6072"/>
      <c r="BS93" s="6072"/>
      <c r="BT93" s="6072"/>
      <c r="BU93" s="6072"/>
      <c r="BV93" s="6072"/>
      <c r="BW93" s="6072"/>
      <c r="BX93" s="6072"/>
      <c r="BY93" s="6072"/>
      <c r="BZ93" s="6072"/>
      <c r="CA93" s="6072"/>
      <c r="CB93" s="6072"/>
      <c r="CC93" s="6072"/>
      <c r="CD93" s="6072"/>
      <c r="CE93" s="6072"/>
      <c r="CF93" s="6072"/>
      <c r="CG93" s="6072"/>
      <c r="CH93" s="6072"/>
      <c r="CI93" s="6072"/>
      <c r="CJ93" s="6072"/>
      <c r="CK93" s="6074"/>
      <c r="CO93" s="6071"/>
      <c r="CP93" s="6060" t="str">
        <f>_Calcs!$N$79</f>
        <v>Begrunnelse</v>
      </c>
      <c r="CQ93" s="6099"/>
      <c r="CR93" s="6060"/>
      <c r="CS93" s="6060"/>
      <c r="CT93" s="6060"/>
      <c r="CU93" s="6060"/>
      <c r="CV93" s="6060"/>
      <c r="CW93" s="6060"/>
      <c r="CX93" s="6060"/>
      <c r="CY93" s="6060"/>
      <c r="CZ93" s="6060"/>
      <c r="DA93" s="6060"/>
      <c r="DB93" s="6060"/>
      <c r="DC93" s="6060"/>
      <c r="DD93" s="6060"/>
      <c r="DE93" s="6060"/>
      <c r="DF93" s="6072"/>
      <c r="DG93" s="6072"/>
      <c r="DH93" s="6072"/>
      <c r="DI93" s="6072"/>
      <c r="DJ93" s="6072"/>
      <c r="DK93" s="6072"/>
      <c r="DL93" s="6072"/>
      <c r="DM93" s="6072"/>
      <c r="DN93" s="6072"/>
      <c r="DO93" s="6072"/>
      <c r="DP93" s="6072"/>
      <c r="DQ93" s="6072"/>
      <c r="DR93" s="6072"/>
      <c r="DS93" s="6072"/>
      <c r="DT93" s="6072"/>
      <c r="DU93" s="6072"/>
      <c r="DV93" s="6072"/>
      <c r="DW93" s="6072"/>
      <c r="DX93" s="6072"/>
      <c r="DY93" s="6072"/>
      <c r="DZ93" s="6072"/>
      <c r="EA93" s="6072"/>
      <c r="EB93" s="6072"/>
      <c r="EC93" s="6072"/>
      <c r="ED93" s="6074"/>
      <c r="EH93" s="6071"/>
      <c r="EI93" s="6060" t="str">
        <f>_Calcs!$N$79</f>
        <v>Begrunnelse</v>
      </c>
      <c r="EJ93" s="6099"/>
      <c r="EK93" s="6060"/>
      <c r="EL93" s="6060"/>
      <c r="EM93" s="6060"/>
      <c r="EN93" s="6060"/>
      <c r="EO93" s="6060"/>
      <c r="EP93" s="6060"/>
      <c r="EQ93" s="6060"/>
      <c r="ER93" s="6060"/>
      <c r="ES93" s="6060"/>
      <c r="ET93" s="6060"/>
      <c r="EU93" s="6060"/>
      <c r="EV93" s="6060"/>
      <c r="EW93" s="6060"/>
      <c r="EX93" s="6060"/>
      <c r="EY93" s="6072"/>
      <c r="EZ93" s="6072"/>
      <c r="FA93" s="6072"/>
      <c r="FB93" s="6072"/>
      <c r="FC93" s="6072"/>
      <c r="FD93" s="6072"/>
      <c r="FE93" s="6072"/>
      <c r="FF93" s="6072"/>
      <c r="FG93" s="6072"/>
      <c r="FH93" s="6072"/>
      <c r="FI93" s="6072"/>
      <c r="FJ93" s="6072"/>
      <c r="FK93" s="6072"/>
      <c r="FL93" s="6072"/>
      <c r="FM93" s="6072"/>
      <c r="FN93" s="6072"/>
      <c r="FO93" s="6072"/>
      <c r="FP93" s="6072"/>
      <c r="FQ93" s="6072"/>
      <c r="FR93" s="6072"/>
      <c r="FS93" s="6072"/>
      <c r="FT93" s="6072"/>
      <c r="FU93" s="6072"/>
      <c r="FV93" s="6072"/>
      <c r="FW93" s="6074"/>
      <c r="GA93" s="6071"/>
      <c r="GB93" s="6060" t="str">
        <f>_Calcs!$N$79</f>
        <v>Begrunnelse</v>
      </c>
      <c r="GC93" s="6099"/>
      <c r="GD93" s="6060"/>
      <c r="GE93" s="6060"/>
      <c r="GF93" s="6060"/>
      <c r="GG93" s="6060"/>
      <c r="GH93" s="6060"/>
      <c r="GI93" s="6060"/>
      <c r="GJ93" s="6060"/>
      <c r="GK93" s="6060"/>
      <c r="GL93" s="6060"/>
      <c r="GM93" s="6060"/>
      <c r="GN93" s="6060"/>
      <c r="GO93" s="6060"/>
      <c r="GP93" s="6060"/>
      <c r="GQ93" s="6060"/>
      <c r="GR93" s="6072"/>
      <c r="GS93" s="6072"/>
      <c r="GT93" s="6072"/>
      <c r="GU93" s="6072"/>
      <c r="GV93" s="6072"/>
      <c r="GW93" s="6072"/>
      <c r="GX93" s="6072"/>
      <c r="GY93" s="6072"/>
      <c r="GZ93" s="6072"/>
      <c r="HA93" s="6072"/>
      <c r="HB93" s="6072"/>
      <c r="HC93" s="6072"/>
      <c r="HD93" s="6072"/>
      <c r="HE93" s="6072"/>
      <c r="HF93" s="6072"/>
      <c r="HG93" s="6072"/>
      <c r="HH93" s="6072"/>
      <c r="HI93" s="6072"/>
      <c r="HJ93" s="6072"/>
      <c r="HK93" s="6072"/>
      <c r="HL93" s="6072"/>
      <c r="HM93" s="6072"/>
      <c r="HN93" s="6072"/>
      <c r="HO93" s="6072"/>
      <c r="HP93" s="6074"/>
      <c r="HT93" s="6071"/>
      <c r="HU93" s="6060" t="str">
        <f>_Calcs!$N$79</f>
        <v>Begrunnelse</v>
      </c>
      <c r="HV93" s="6099"/>
      <c r="HW93" s="6060"/>
      <c r="HX93" s="6060"/>
      <c r="HY93" s="6060"/>
      <c r="HZ93" s="6060"/>
      <c r="IA93" s="6060"/>
      <c r="IB93" s="6060"/>
      <c r="IC93" s="6060"/>
      <c r="ID93" s="6060"/>
      <c r="IE93" s="6060"/>
      <c r="IF93" s="6060"/>
      <c r="IG93" s="6060"/>
      <c r="IH93" s="6060"/>
      <c r="II93" s="6060"/>
      <c r="IJ93" s="6060"/>
      <c r="IK93" s="6072"/>
      <c r="IL93" s="6072"/>
      <c r="IM93" s="6072"/>
      <c r="IN93" s="6072"/>
      <c r="IO93" s="6072"/>
      <c r="IP93" s="6072"/>
      <c r="IQ93" s="6072"/>
      <c r="IR93" s="6072"/>
      <c r="IS93" s="6072"/>
      <c r="IT93" s="6072"/>
      <c r="IU93" s="6072"/>
      <c r="IV93" s="6072"/>
      <c r="IW93" s="6072"/>
      <c r="IX93" s="6072"/>
      <c r="IY93" s="6072"/>
      <c r="IZ93" s="6072"/>
      <c r="JA93" s="6072"/>
      <c r="JB93" s="6072"/>
      <c r="JC93" s="6072"/>
      <c r="JD93" s="6072"/>
      <c r="JE93" s="6072"/>
      <c r="JF93" s="6072"/>
      <c r="JG93" s="6072"/>
      <c r="JH93" s="6072"/>
      <c r="JI93" s="6074"/>
      <c r="JM93" s="6071"/>
      <c r="JN93" s="6060" t="str">
        <f>_Calcs!$N$79</f>
        <v>Begrunnelse</v>
      </c>
      <c r="JO93" s="6099"/>
      <c r="JP93" s="6060"/>
      <c r="JQ93" s="6060"/>
      <c r="JR93" s="6060"/>
      <c r="JS93" s="6060"/>
      <c r="JT93" s="6060"/>
      <c r="JU93" s="6060"/>
      <c r="JV93" s="6060"/>
      <c r="JW93" s="6060"/>
      <c r="JX93" s="6060"/>
      <c r="JY93" s="6060"/>
      <c r="JZ93" s="6060"/>
      <c r="KA93" s="6060"/>
      <c r="KB93" s="6060"/>
      <c r="KC93" s="6060"/>
      <c r="KD93" s="6072"/>
      <c r="KE93" s="6072"/>
      <c r="KF93" s="6072"/>
      <c r="KG93" s="6072"/>
      <c r="KH93" s="6072"/>
      <c r="KI93" s="6072"/>
      <c r="KJ93" s="6072"/>
      <c r="KK93" s="6072"/>
      <c r="KL93" s="6072"/>
      <c r="KM93" s="6072"/>
      <c r="KN93" s="6072"/>
      <c r="KO93" s="6072"/>
      <c r="KP93" s="6072"/>
      <c r="KQ93" s="6072"/>
      <c r="KR93" s="6072"/>
      <c r="KS93" s="6072"/>
      <c r="KT93" s="6072"/>
      <c r="KU93" s="6072"/>
      <c r="KV93" s="6072"/>
      <c r="KW93" s="6072"/>
      <c r="KX93" s="6072"/>
      <c r="KY93" s="6072"/>
      <c r="KZ93" s="6072"/>
      <c r="LA93" s="6072"/>
      <c r="LB93" s="6074"/>
      <c r="LF93" s="6071"/>
      <c r="LG93" s="6060" t="str">
        <f>_Calcs!$N$79</f>
        <v>Begrunnelse</v>
      </c>
      <c r="LH93" s="6099"/>
      <c r="LI93" s="6060"/>
      <c r="LJ93" s="6060"/>
      <c r="LK93" s="6060"/>
      <c r="LL93" s="6060"/>
      <c r="LM93" s="6060"/>
      <c r="LN93" s="6060"/>
      <c r="LO93" s="6060"/>
      <c r="LP93" s="6060"/>
      <c r="LQ93" s="6060"/>
      <c r="LR93" s="6060"/>
      <c r="LS93" s="6060"/>
      <c r="LT93" s="6060"/>
      <c r="LU93" s="6060"/>
      <c r="LV93" s="6060"/>
      <c r="LW93" s="6072"/>
      <c r="LX93" s="6072"/>
      <c r="LY93" s="6072"/>
      <c r="LZ93" s="6072"/>
      <c r="MA93" s="6072"/>
      <c r="MB93" s="6072"/>
      <c r="MC93" s="6072"/>
      <c r="MD93" s="6072"/>
      <c r="ME93" s="6072"/>
      <c r="MF93" s="6072"/>
      <c r="MG93" s="6072"/>
      <c r="MH93" s="6072"/>
      <c r="MI93" s="6072"/>
      <c r="MJ93" s="6072"/>
      <c r="MK93" s="6072"/>
      <c r="ML93" s="6072"/>
      <c r="MM93" s="6072"/>
      <c r="MN93" s="6072"/>
      <c r="MO93" s="6072"/>
      <c r="MP93" s="6072"/>
      <c r="MQ93" s="6072"/>
      <c r="MR93" s="6072"/>
      <c r="MS93" s="6072"/>
      <c r="MT93" s="6072"/>
      <c r="MU93" s="6074"/>
      <c r="MY93" s="6071"/>
      <c r="MZ93" s="6060" t="str">
        <f>_Calcs!$N$79</f>
        <v>Begrunnelse</v>
      </c>
      <c r="NA93" s="6099"/>
      <c r="NB93" s="6060"/>
      <c r="NC93" s="6060"/>
      <c r="ND93" s="6060"/>
      <c r="NE93" s="6060"/>
      <c r="NF93" s="6060"/>
      <c r="NG93" s="6060"/>
      <c r="NH93" s="6060"/>
      <c r="NI93" s="6060"/>
      <c r="NJ93" s="6060"/>
      <c r="NK93" s="6060"/>
      <c r="NL93" s="6060"/>
      <c r="NM93" s="6060"/>
      <c r="NN93" s="6060"/>
      <c r="NO93" s="6060"/>
      <c r="NP93" s="6072"/>
      <c r="NQ93" s="6072"/>
      <c r="NR93" s="6072"/>
      <c r="NS93" s="6072"/>
      <c r="NT93" s="6072"/>
      <c r="NU93" s="6072"/>
      <c r="NV93" s="6072"/>
      <c r="NW93" s="6072"/>
      <c r="NX93" s="6072"/>
      <c r="NY93" s="6072"/>
      <c r="NZ93" s="6072"/>
      <c r="OA93" s="6072"/>
      <c r="OB93" s="6072"/>
      <c r="OC93" s="6072"/>
      <c r="OD93" s="6072"/>
      <c r="OE93" s="6072"/>
      <c r="OF93" s="6072"/>
      <c r="OG93" s="6072"/>
      <c r="OH93" s="6072"/>
      <c r="OI93" s="6072"/>
      <c r="OJ93" s="6072"/>
      <c r="OK93" s="6072"/>
      <c r="OL93" s="6072"/>
      <c r="OM93" s="6072"/>
      <c r="ON93" s="6074"/>
    </row>
    <row r="94" spans="3:404" ht="5.0999999999999996" customHeight="1" thickBot="1" x14ac:dyDescent="0.25">
      <c r="C94" s="6055"/>
      <c r="D94" s="6056"/>
      <c r="E94" s="6056"/>
      <c r="F94" s="6056"/>
      <c r="G94" s="6056"/>
      <c r="H94" s="6056"/>
      <c r="I94" s="6056"/>
      <c r="J94" s="6056"/>
      <c r="K94" s="6056"/>
      <c r="L94" s="6056"/>
      <c r="M94" s="6056"/>
      <c r="N94" s="6056"/>
      <c r="O94" s="6056"/>
      <c r="P94" s="6056"/>
      <c r="Q94" s="6056"/>
      <c r="R94" s="6056"/>
      <c r="S94" s="6056"/>
      <c r="T94" s="6056"/>
      <c r="U94" s="6056"/>
      <c r="V94" s="6056"/>
      <c r="W94" s="6056"/>
      <c r="X94" s="6056"/>
      <c r="Y94" s="6056"/>
      <c r="Z94" s="6056"/>
      <c r="AA94" s="6056"/>
      <c r="AB94" s="6056"/>
      <c r="AC94" s="6056"/>
      <c r="AD94" s="6056"/>
      <c r="AE94" s="6056"/>
      <c r="AF94" s="6056"/>
      <c r="AG94" s="6056"/>
      <c r="AH94" s="6056"/>
      <c r="AI94" s="6056"/>
      <c r="AJ94" s="6056"/>
      <c r="AK94" s="6056"/>
      <c r="AL94" s="6056"/>
      <c r="AM94" s="6056"/>
      <c r="AN94" s="6056"/>
      <c r="AO94" s="6056"/>
      <c r="AP94" s="6056"/>
      <c r="AQ94" s="6056"/>
      <c r="AR94" s="6058"/>
      <c r="AV94" s="6055"/>
      <c r="AW94" s="6056"/>
      <c r="AX94" s="6056"/>
      <c r="AY94" s="6056"/>
      <c r="AZ94" s="6056"/>
      <c r="BA94" s="6056"/>
      <c r="BB94" s="6056"/>
      <c r="BC94" s="6056"/>
      <c r="BD94" s="6056"/>
      <c r="BE94" s="6056"/>
      <c r="BF94" s="6056"/>
      <c r="BG94" s="6056"/>
      <c r="BH94" s="6056"/>
      <c r="BI94" s="6056"/>
      <c r="BJ94" s="6056"/>
      <c r="BK94" s="6056"/>
      <c r="BL94" s="6056"/>
      <c r="BM94" s="6056"/>
      <c r="BN94" s="6056"/>
      <c r="BO94" s="6056"/>
      <c r="BP94" s="6056"/>
      <c r="BQ94" s="6056"/>
      <c r="BR94" s="6056"/>
      <c r="BS94" s="6056"/>
      <c r="BT94" s="6056"/>
      <c r="BU94" s="6056"/>
      <c r="BV94" s="6056"/>
      <c r="BW94" s="6056"/>
      <c r="BX94" s="6056"/>
      <c r="BY94" s="6056"/>
      <c r="BZ94" s="6056"/>
      <c r="CA94" s="6056"/>
      <c r="CB94" s="6056"/>
      <c r="CC94" s="6056"/>
      <c r="CD94" s="6056"/>
      <c r="CE94" s="6056"/>
      <c r="CF94" s="6056"/>
      <c r="CG94" s="6056"/>
      <c r="CH94" s="6056"/>
      <c r="CI94" s="6056"/>
      <c r="CJ94" s="6056"/>
      <c r="CK94" s="6058"/>
      <c r="CO94" s="6055"/>
      <c r="CP94" s="6056"/>
      <c r="CQ94" s="6056"/>
      <c r="CR94" s="6056"/>
      <c r="CS94" s="6056"/>
      <c r="CT94" s="6056"/>
      <c r="CU94" s="6056"/>
      <c r="CV94" s="6056"/>
      <c r="CW94" s="6056"/>
      <c r="CX94" s="6056"/>
      <c r="CY94" s="6056"/>
      <c r="CZ94" s="6056"/>
      <c r="DA94" s="6056"/>
      <c r="DB94" s="6056"/>
      <c r="DC94" s="6056"/>
      <c r="DD94" s="6056"/>
      <c r="DE94" s="6056"/>
      <c r="DF94" s="6056"/>
      <c r="DG94" s="6056"/>
      <c r="DH94" s="6056"/>
      <c r="DI94" s="6056"/>
      <c r="DJ94" s="6056"/>
      <c r="DK94" s="6056"/>
      <c r="DL94" s="6056"/>
      <c r="DM94" s="6056"/>
      <c r="DN94" s="6056"/>
      <c r="DO94" s="6056"/>
      <c r="DP94" s="6056"/>
      <c r="DQ94" s="6056"/>
      <c r="DR94" s="6056"/>
      <c r="DS94" s="6056"/>
      <c r="DT94" s="6056"/>
      <c r="DU94" s="6056"/>
      <c r="DV94" s="6056"/>
      <c r="DW94" s="6056"/>
      <c r="DX94" s="6056"/>
      <c r="DY94" s="6056"/>
      <c r="DZ94" s="6056"/>
      <c r="EA94" s="6056"/>
      <c r="EB94" s="6056"/>
      <c r="EC94" s="6056"/>
      <c r="ED94" s="6058"/>
      <c r="EH94" s="6055"/>
      <c r="EI94" s="6056"/>
      <c r="EJ94" s="6056"/>
      <c r="EK94" s="6056"/>
      <c r="EL94" s="6056"/>
      <c r="EM94" s="6056"/>
      <c r="EN94" s="6056"/>
      <c r="EO94" s="6056"/>
      <c r="EP94" s="6056"/>
      <c r="EQ94" s="6056"/>
      <c r="ER94" s="6056"/>
      <c r="ES94" s="6056"/>
      <c r="ET94" s="6056"/>
      <c r="EU94" s="6056"/>
      <c r="EV94" s="6056"/>
      <c r="EW94" s="6056"/>
      <c r="EX94" s="6056"/>
      <c r="EY94" s="6056"/>
      <c r="EZ94" s="6056"/>
      <c r="FA94" s="6056"/>
      <c r="FB94" s="6056"/>
      <c r="FC94" s="6056"/>
      <c r="FD94" s="6056"/>
      <c r="FE94" s="6056"/>
      <c r="FF94" s="6056"/>
      <c r="FG94" s="6056"/>
      <c r="FH94" s="6056"/>
      <c r="FI94" s="6056"/>
      <c r="FJ94" s="6056"/>
      <c r="FK94" s="6056"/>
      <c r="FL94" s="6056"/>
      <c r="FM94" s="6056"/>
      <c r="FN94" s="6056"/>
      <c r="FO94" s="6056"/>
      <c r="FP94" s="6056"/>
      <c r="FQ94" s="6056"/>
      <c r="FR94" s="6056"/>
      <c r="FS94" s="6056"/>
      <c r="FT94" s="6056"/>
      <c r="FU94" s="6056"/>
      <c r="FV94" s="6056"/>
      <c r="FW94" s="6058"/>
      <c r="GA94" s="6055"/>
      <c r="GB94" s="6056"/>
      <c r="GC94" s="6056"/>
      <c r="GD94" s="6056"/>
      <c r="GE94" s="6056"/>
      <c r="GF94" s="6056"/>
      <c r="GG94" s="6056"/>
      <c r="GH94" s="6056"/>
      <c r="GI94" s="6056"/>
      <c r="GJ94" s="6056"/>
      <c r="GK94" s="6056"/>
      <c r="GL94" s="6056"/>
      <c r="GM94" s="6056"/>
      <c r="GN94" s="6056"/>
      <c r="GO94" s="6056"/>
      <c r="GP94" s="6056"/>
      <c r="GQ94" s="6056"/>
      <c r="GR94" s="6056"/>
      <c r="GS94" s="6056"/>
      <c r="GT94" s="6056"/>
      <c r="GU94" s="6056"/>
      <c r="GV94" s="6056"/>
      <c r="GW94" s="6056"/>
      <c r="GX94" s="6056"/>
      <c r="GY94" s="6056"/>
      <c r="GZ94" s="6056"/>
      <c r="HA94" s="6056"/>
      <c r="HB94" s="6056"/>
      <c r="HC94" s="6056"/>
      <c r="HD94" s="6056"/>
      <c r="HE94" s="6056"/>
      <c r="HF94" s="6056"/>
      <c r="HG94" s="6056"/>
      <c r="HH94" s="6056"/>
      <c r="HI94" s="6056"/>
      <c r="HJ94" s="6056"/>
      <c r="HK94" s="6056"/>
      <c r="HL94" s="6056"/>
      <c r="HM94" s="6056"/>
      <c r="HN94" s="6056"/>
      <c r="HO94" s="6056"/>
      <c r="HP94" s="6058"/>
      <c r="HT94" s="6055"/>
      <c r="HU94" s="6056"/>
      <c r="HV94" s="6056"/>
      <c r="HW94" s="6056"/>
      <c r="HX94" s="6056"/>
      <c r="HY94" s="6056"/>
      <c r="HZ94" s="6056"/>
      <c r="IA94" s="6056"/>
      <c r="IB94" s="6056"/>
      <c r="IC94" s="6056"/>
      <c r="ID94" s="6056"/>
      <c r="IE94" s="6056"/>
      <c r="IF94" s="6056"/>
      <c r="IG94" s="6056"/>
      <c r="IH94" s="6056"/>
      <c r="II94" s="6056"/>
      <c r="IJ94" s="6056"/>
      <c r="IK94" s="6056"/>
      <c r="IL94" s="6056"/>
      <c r="IM94" s="6056"/>
      <c r="IN94" s="6056"/>
      <c r="IO94" s="6056"/>
      <c r="IP94" s="6056"/>
      <c r="IQ94" s="6056"/>
      <c r="IR94" s="6056"/>
      <c r="IS94" s="6056"/>
      <c r="IT94" s="6056"/>
      <c r="IU94" s="6056"/>
      <c r="IV94" s="6056"/>
      <c r="IW94" s="6056"/>
      <c r="IX94" s="6056"/>
      <c r="IY94" s="6056"/>
      <c r="IZ94" s="6056"/>
      <c r="JA94" s="6056"/>
      <c r="JB94" s="6056"/>
      <c r="JC94" s="6056"/>
      <c r="JD94" s="6056"/>
      <c r="JE94" s="6056"/>
      <c r="JF94" s="6056"/>
      <c r="JG94" s="6056"/>
      <c r="JH94" s="6056"/>
      <c r="JI94" s="6058"/>
      <c r="JM94" s="6055"/>
      <c r="JN94" s="6056"/>
      <c r="JO94" s="6056"/>
      <c r="JP94" s="6056"/>
      <c r="JQ94" s="6056"/>
      <c r="JR94" s="6056"/>
      <c r="JS94" s="6056"/>
      <c r="JT94" s="6056"/>
      <c r="JU94" s="6056"/>
      <c r="JV94" s="6056"/>
      <c r="JW94" s="6056"/>
      <c r="JX94" s="6056"/>
      <c r="JY94" s="6056"/>
      <c r="JZ94" s="6056"/>
      <c r="KA94" s="6056"/>
      <c r="KB94" s="6056"/>
      <c r="KC94" s="6056"/>
      <c r="KD94" s="6056"/>
      <c r="KE94" s="6056"/>
      <c r="KF94" s="6056"/>
      <c r="KG94" s="6056"/>
      <c r="KH94" s="6056"/>
      <c r="KI94" s="6056"/>
      <c r="KJ94" s="6056"/>
      <c r="KK94" s="6056"/>
      <c r="KL94" s="6056"/>
      <c r="KM94" s="6056"/>
      <c r="KN94" s="6056"/>
      <c r="KO94" s="6056"/>
      <c r="KP94" s="6056"/>
      <c r="KQ94" s="6056"/>
      <c r="KR94" s="6056"/>
      <c r="KS94" s="6056"/>
      <c r="KT94" s="6056"/>
      <c r="KU94" s="6056"/>
      <c r="KV94" s="6056"/>
      <c r="KW94" s="6056"/>
      <c r="KX94" s="6056"/>
      <c r="KY94" s="6056"/>
      <c r="KZ94" s="6056"/>
      <c r="LA94" s="6056"/>
      <c r="LB94" s="6058"/>
      <c r="LF94" s="6055"/>
      <c r="LG94" s="6056"/>
      <c r="LH94" s="6056"/>
      <c r="LI94" s="6056"/>
      <c r="LJ94" s="6056"/>
      <c r="LK94" s="6056"/>
      <c r="LL94" s="6056"/>
      <c r="LM94" s="6056"/>
      <c r="LN94" s="6056"/>
      <c r="LO94" s="6056"/>
      <c r="LP94" s="6056"/>
      <c r="LQ94" s="6056"/>
      <c r="LR94" s="6056"/>
      <c r="LS94" s="6056"/>
      <c r="LT94" s="6056"/>
      <c r="LU94" s="6056"/>
      <c r="LV94" s="6056"/>
      <c r="LW94" s="6056"/>
      <c r="LX94" s="6056"/>
      <c r="LY94" s="6056"/>
      <c r="LZ94" s="6056"/>
      <c r="MA94" s="6056"/>
      <c r="MB94" s="6056"/>
      <c r="MC94" s="6056"/>
      <c r="MD94" s="6056"/>
      <c r="ME94" s="6056"/>
      <c r="MF94" s="6056"/>
      <c r="MG94" s="6056"/>
      <c r="MH94" s="6056"/>
      <c r="MI94" s="6056"/>
      <c r="MJ94" s="6056"/>
      <c r="MK94" s="6056"/>
      <c r="ML94" s="6056"/>
      <c r="MM94" s="6056"/>
      <c r="MN94" s="6056"/>
      <c r="MO94" s="6056"/>
      <c r="MP94" s="6056"/>
      <c r="MQ94" s="6056"/>
      <c r="MR94" s="6056"/>
      <c r="MS94" s="6056"/>
      <c r="MT94" s="6056"/>
      <c r="MU94" s="6058"/>
      <c r="MY94" s="6055"/>
      <c r="MZ94" s="6056"/>
      <c r="NA94" s="6056"/>
      <c r="NB94" s="6056"/>
      <c r="NC94" s="6056"/>
      <c r="ND94" s="6056"/>
      <c r="NE94" s="6056"/>
      <c r="NF94" s="6056"/>
      <c r="NG94" s="6056"/>
      <c r="NH94" s="6056"/>
      <c r="NI94" s="6056"/>
      <c r="NJ94" s="6056"/>
      <c r="NK94" s="6056"/>
      <c r="NL94" s="6056"/>
      <c r="NM94" s="6056"/>
      <c r="NN94" s="6056"/>
      <c r="NO94" s="6056"/>
      <c r="NP94" s="6056"/>
      <c r="NQ94" s="6056"/>
      <c r="NR94" s="6056"/>
      <c r="NS94" s="6056"/>
      <c r="NT94" s="6056"/>
      <c r="NU94" s="6056"/>
      <c r="NV94" s="6056"/>
      <c r="NW94" s="6056"/>
      <c r="NX94" s="6056"/>
      <c r="NY94" s="6056"/>
      <c r="NZ94" s="6056"/>
      <c r="OA94" s="6056"/>
      <c r="OB94" s="6056"/>
      <c r="OC94" s="6056"/>
      <c r="OD94" s="6056"/>
      <c r="OE94" s="6056"/>
      <c r="OF94" s="6056"/>
      <c r="OG94" s="6056"/>
      <c r="OH94" s="6056"/>
      <c r="OI94" s="6056"/>
      <c r="OJ94" s="6056"/>
      <c r="OK94" s="6056"/>
      <c r="OL94" s="6056"/>
      <c r="OM94" s="6056"/>
      <c r="ON94" s="6058"/>
    </row>
    <row r="95" spans="3:404" ht="8.1" customHeight="1" x14ac:dyDescent="0.2">
      <c r="C95" s="6055"/>
      <c r="D95" s="6082"/>
      <c r="E95" s="6083"/>
      <c r="F95" s="6083"/>
      <c r="G95" s="6083"/>
      <c r="H95" s="6083"/>
      <c r="I95" s="6083"/>
      <c r="J95" s="6083"/>
      <c r="K95" s="6083"/>
      <c r="L95" s="6083"/>
      <c r="M95" s="6083"/>
      <c r="N95" s="6083"/>
      <c r="O95" s="6083"/>
      <c r="P95" s="6083"/>
      <c r="Q95" s="6083"/>
      <c r="R95" s="6083"/>
      <c r="S95" s="6083"/>
      <c r="T95" s="6083"/>
      <c r="U95" s="6083"/>
      <c r="V95" s="6083"/>
      <c r="W95" s="6083"/>
      <c r="X95" s="6083"/>
      <c r="Y95" s="6083"/>
      <c r="Z95" s="6083"/>
      <c r="AA95" s="6083"/>
      <c r="AB95" s="6083"/>
      <c r="AC95" s="6083"/>
      <c r="AD95" s="6083"/>
      <c r="AE95" s="6083"/>
      <c r="AF95" s="6083"/>
      <c r="AG95" s="6083"/>
      <c r="AH95" s="6083"/>
      <c r="AI95" s="6083"/>
      <c r="AJ95" s="6083"/>
      <c r="AK95" s="6083"/>
      <c r="AL95" s="6083"/>
      <c r="AM95" s="6083"/>
      <c r="AN95" s="6083"/>
      <c r="AO95" s="6083"/>
      <c r="AP95" s="6083"/>
      <c r="AQ95" s="6084"/>
      <c r="AR95" s="6058"/>
      <c r="AV95" s="6055"/>
      <c r="AW95" s="6082"/>
      <c r="AX95" s="6083"/>
      <c r="AY95" s="6083"/>
      <c r="AZ95" s="6083"/>
      <c r="BA95" s="6083"/>
      <c r="BB95" s="6083"/>
      <c r="BC95" s="6083"/>
      <c r="BD95" s="6083"/>
      <c r="BE95" s="6083"/>
      <c r="BF95" s="6083"/>
      <c r="BG95" s="6083"/>
      <c r="BH95" s="6083"/>
      <c r="BI95" s="6083"/>
      <c r="BJ95" s="6083"/>
      <c r="BK95" s="6083"/>
      <c r="BL95" s="6083"/>
      <c r="BM95" s="6083"/>
      <c r="BN95" s="6083"/>
      <c r="BO95" s="6083"/>
      <c r="BP95" s="6083"/>
      <c r="BQ95" s="6083"/>
      <c r="BR95" s="6083"/>
      <c r="BS95" s="6083"/>
      <c r="BT95" s="6083"/>
      <c r="BU95" s="6083"/>
      <c r="BV95" s="6083"/>
      <c r="BW95" s="6083"/>
      <c r="BX95" s="6083"/>
      <c r="BY95" s="6083"/>
      <c r="BZ95" s="6083"/>
      <c r="CA95" s="6083"/>
      <c r="CB95" s="6083"/>
      <c r="CC95" s="6083"/>
      <c r="CD95" s="6083"/>
      <c r="CE95" s="6083"/>
      <c r="CF95" s="6083"/>
      <c r="CG95" s="6083"/>
      <c r="CH95" s="6083"/>
      <c r="CI95" s="6083"/>
      <c r="CJ95" s="6084"/>
      <c r="CK95" s="6058"/>
      <c r="CO95" s="6055"/>
      <c r="CP95" s="6082"/>
      <c r="CQ95" s="6083"/>
      <c r="CR95" s="6083"/>
      <c r="CS95" s="6083"/>
      <c r="CT95" s="6083"/>
      <c r="CU95" s="6083"/>
      <c r="CV95" s="6083"/>
      <c r="CW95" s="6083"/>
      <c r="CX95" s="6083"/>
      <c r="CY95" s="6083"/>
      <c r="CZ95" s="6083"/>
      <c r="DA95" s="6083"/>
      <c r="DB95" s="6083"/>
      <c r="DC95" s="6083"/>
      <c r="DD95" s="6083"/>
      <c r="DE95" s="6083"/>
      <c r="DF95" s="6083"/>
      <c r="DG95" s="6083"/>
      <c r="DH95" s="6083"/>
      <c r="DI95" s="6083"/>
      <c r="DJ95" s="6083"/>
      <c r="DK95" s="6083"/>
      <c r="DL95" s="6083"/>
      <c r="DM95" s="6083"/>
      <c r="DN95" s="6083"/>
      <c r="DO95" s="6083"/>
      <c r="DP95" s="6083"/>
      <c r="DQ95" s="6083"/>
      <c r="DR95" s="6083"/>
      <c r="DS95" s="6083"/>
      <c r="DT95" s="6083"/>
      <c r="DU95" s="6083"/>
      <c r="DV95" s="6083"/>
      <c r="DW95" s="6083"/>
      <c r="DX95" s="6083"/>
      <c r="DY95" s="6083"/>
      <c r="DZ95" s="6083"/>
      <c r="EA95" s="6083"/>
      <c r="EB95" s="6083"/>
      <c r="EC95" s="6084"/>
      <c r="ED95" s="6058"/>
      <c r="EH95" s="6055"/>
      <c r="EI95" s="6082"/>
      <c r="EJ95" s="6083"/>
      <c r="EK95" s="6083"/>
      <c r="EL95" s="6083"/>
      <c r="EM95" s="6083"/>
      <c r="EN95" s="6083"/>
      <c r="EO95" s="6083"/>
      <c r="EP95" s="6083"/>
      <c r="EQ95" s="6083"/>
      <c r="ER95" s="6083"/>
      <c r="ES95" s="6083"/>
      <c r="ET95" s="6083"/>
      <c r="EU95" s="6083"/>
      <c r="EV95" s="6083"/>
      <c r="EW95" s="6083"/>
      <c r="EX95" s="6083"/>
      <c r="EY95" s="6083"/>
      <c r="EZ95" s="6083"/>
      <c r="FA95" s="6083"/>
      <c r="FB95" s="6083"/>
      <c r="FC95" s="6083"/>
      <c r="FD95" s="6083"/>
      <c r="FE95" s="6083"/>
      <c r="FF95" s="6083"/>
      <c r="FG95" s="6083"/>
      <c r="FH95" s="6083"/>
      <c r="FI95" s="6083"/>
      <c r="FJ95" s="6083"/>
      <c r="FK95" s="6083"/>
      <c r="FL95" s="6083"/>
      <c r="FM95" s="6083"/>
      <c r="FN95" s="6083"/>
      <c r="FO95" s="6083"/>
      <c r="FP95" s="6083"/>
      <c r="FQ95" s="6083"/>
      <c r="FR95" s="6083"/>
      <c r="FS95" s="6083"/>
      <c r="FT95" s="6083"/>
      <c r="FU95" s="6083"/>
      <c r="FV95" s="6084"/>
      <c r="FW95" s="6058"/>
      <c r="GA95" s="6055"/>
      <c r="GB95" s="6082"/>
      <c r="GC95" s="6083"/>
      <c r="GD95" s="6083"/>
      <c r="GE95" s="6083"/>
      <c r="GF95" s="6083"/>
      <c r="GG95" s="6083"/>
      <c r="GH95" s="6083"/>
      <c r="GI95" s="6083"/>
      <c r="GJ95" s="6083"/>
      <c r="GK95" s="6083"/>
      <c r="GL95" s="6083"/>
      <c r="GM95" s="6083"/>
      <c r="GN95" s="6083"/>
      <c r="GO95" s="6083"/>
      <c r="GP95" s="6083"/>
      <c r="GQ95" s="6083"/>
      <c r="GR95" s="6083"/>
      <c r="GS95" s="6083"/>
      <c r="GT95" s="6083"/>
      <c r="GU95" s="6083"/>
      <c r="GV95" s="6083"/>
      <c r="GW95" s="6083"/>
      <c r="GX95" s="6083"/>
      <c r="GY95" s="6083"/>
      <c r="GZ95" s="6083"/>
      <c r="HA95" s="6083"/>
      <c r="HB95" s="6083"/>
      <c r="HC95" s="6083"/>
      <c r="HD95" s="6083"/>
      <c r="HE95" s="6083"/>
      <c r="HF95" s="6083"/>
      <c r="HG95" s="6083"/>
      <c r="HH95" s="6083"/>
      <c r="HI95" s="6083"/>
      <c r="HJ95" s="6083"/>
      <c r="HK95" s="6083"/>
      <c r="HL95" s="6083"/>
      <c r="HM95" s="6083"/>
      <c r="HN95" s="6083"/>
      <c r="HO95" s="6084"/>
      <c r="HP95" s="6058"/>
      <c r="HT95" s="6055"/>
      <c r="HU95" s="6082"/>
      <c r="HV95" s="6083"/>
      <c r="HW95" s="6083"/>
      <c r="HX95" s="6083"/>
      <c r="HY95" s="6083"/>
      <c r="HZ95" s="6083"/>
      <c r="IA95" s="6083"/>
      <c r="IB95" s="6083"/>
      <c r="IC95" s="6083"/>
      <c r="ID95" s="6083"/>
      <c r="IE95" s="6083"/>
      <c r="IF95" s="6083"/>
      <c r="IG95" s="6083"/>
      <c r="IH95" s="6083"/>
      <c r="II95" s="6083"/>
      <c r="IJ95" s="6083"/>
      <c r="IK95" s="6083"/>
      <c r="IL95" s="6083"/>
      <c r="IM95" s="6083"/>
      <c r="IN95" s="6083"/>
      <c r="IO95" s="6083"/>
      <c r="IP95" s="6083"/>
      <c r="IQ95" s="6083"/>
      <c r="IR95" s="6083"/>
      <c r="IS95" s="6083"/>
      <c r="IT95" s="6083"/>
      <c r="IU95" s="6083"/>
      <c r="IV95" s="6083"/>
      <c r="IW95" s="6083"/>
      <c r="IX95" s="6083"/>
      <c r="IY95" s="6083"/>
      <c r="IZ95" s="6083"/>
      <c r="JA95" s="6083"/>
      <c r="JB95" s="6083"/>
      <c r="JC95" s="6083"/>
      <c r="JD95" s="6083"/>
      <c r="JE95" s="6083"/>
      <c r="JF95" s="6083"/>
      <c r="JG95" s="6083"/>
      <c r="JH95" s="6084"/>
      <c r="JI95" s="6058"/>
      <c r="JM95" s="6055"/>
      <c r="JN95" s="6082"/>
      <c r="JO95" s="6083"/>
      <c r="JP95" s="6083"/>
      <c r="JQ95" s="6083"/>
      <c r="JR95" s="6083"/>
      <c r="JS95" s="6083"/>
      <c r="JT95" s="6083"/>
      <c r="JU95" s="6083"/>
      <c r="JV95" s="6083"/>
      <c r="JW95" s="6083"/>
      <c r="JX95" s="6083"/>
      <c r="JY95" s="6083"/>
      <c r="JZ95" s="6083"/>
      <c r="KA95" s="6083"/>
      <c r="KB95" s="6083"/>
      <c r="KC95" s="6083"/>
      <c r="KD95" s="6083"/>
      <c r="KE95" s="6083"/>
      <c r="KF95" s="6083"/>
      <c r="KG95" s="6083"/>
      <c r="KH95" s="6083"/>
      <c r="KI95" s="6083"/>
      <c r="KJ95" s="6083"/>
      <c r="KK95" s="6083"/>
      <c r="KL95" s="6083"/>
      <c r="KM95" s="6083"/>
      <c r="KN95" s="6083"/>
      <c r="KO95" s="6083"/>
      <c r="KP95" s="6083"/>
      <c r="KQ95" s="6083"/>
      <c r="KR95" s="6083"/>
      <c r="KS95" s="6083"/>
      <c r="KT95" s="6083"/>
      <c r="KU95" s="6083"/>
      <c r="KV95" s="6083"/>
      <c r="KW95" s="6083"/>
      <c r="KX95" s="6083"/>
      <c r="KY95" s="6083"/>
      <c r="KZ95" s="6083"/>
      <c r="LA95" s="6084"/>
      <c r="LB95" s="6058"/>
      <c r="LF95" s="6055"/>
      <c r="LG95" s="6082"/>
      <c r="LH95" s="6083"/>
      <c r="LI95" s="6083"/>
      <c r="LJ95" s="6083"/>
      <c r="LK95" s="6083"/>
      <c r="LL95" s="6083"/>
      <c r="LM95" s="6083"/>
      <c r="LN95" s="6083"/>
      <c r="LO95" s="6083"/>
      <c r="LP95" s="6083"/>
      <c r="LQ95" s="6083"/>
      <c r="LR95" s="6083"/>
      <c r="LS95" s="6083"/>
      <c r="LT95" s="6083"/>
      <c r="LU95" s="6083"/>
      <c r="LV95" s="6083"/>
      <c r="LW95" s="6083"/>
      <c r="LX95" s="6083"/>
      <c r="LY95" s="6083"/>
      <c r="LZ95" s="6083"/>
      <c r="MA95" s="6083"/>
      <c r="MB95" s="6083"/>
      <c r="MC95" s="6083"/>
      <c r="MD95" s="6083"/>
      <c r="ME95" s="6083"/>
      <c r="MF95" s="6083"/>
      <c r="MG95" s="6083"/>
      <c r="MH95" s="6083"/>
      <c r="MI95" s="6083"/>
      <c r="MJ95" s="6083"/>
      <c r="MK95" s="6083"/>
      <c r="ML95" s="6083"/>
      <c r="MM95" s="6083"/>
      <c r="MN95" s="6083"/>
      <c r="MO95" s="6083"/>
      <c r="MP95" s="6083"/>
      <c r="MQ95" s="6083"/>
      <c r="MR95" s="6083"/>
      <c r="MS95" s="6083"/>
      <c r="MT95" s="6084"/>
      <c r="MU95" s="6058"/>
      <c r="MY95" s="6055"/>
      <c r="MZ95" s="6082"/>
      <c r="NA95" s="6083"/>
      <c r="NB95" s="6083"/>
      <c r="NC95" s="6083"/>
      <c r="ND95" s="6083"/>
      <c r="NE95" s="6083"/>
      <c r="NF95" s="6083"/>
      <c r="NG95" s="6083"/>
      <c r="NH95" s="6083"/>
      <c r="NI95" s="6083"/>
      <c r="NJ95" s="6083"/>
      <c r="NK95" s="6083"/>
      <c r="NL95" s="6083"/>
      <c r="NM95" s="6083"/>
      <c r="NN95" s="6083"/>
      <c r="NO95" s="6083"/>
      <c r="NP95" s="6083"/>
      <c r="NQ95" s="6083"/>
      <c r="NR95" s="6083"/>
      <c r="NS95" s="6083"/>
      <c r="NT95" s="6083"/>
      <c r="NU95" s="6083"/>
      <c r="NV95" s="6083"/>
      <c r="NW95" s="6083"/>
      <c r="NX95" s="6083"/>
      <c r="NY95" s="6083"/>
      <c r="NZ95" s="6083"/>
      <c r="OA95" s="6083"/>
      <c r="OB95" s="6083"/>
      <c r="OC95" s="6083"/>
      <c r="OD95" s="6083"/>
      <c r="OE95" s="6083"/>
      <c r="OF95" s="6083"/>
      <c r="OG95" s="6083"/>
      <c r="OH95" s="6083"/>
      <c r="OI95" s="6083"/>
      <c r="OJ95" s="6083"/>
      <c r="OK95" s="6083"/>
      <c r="OL95" s="6083"/>
      <c r="OM95" s="6084"/>
      <c r="ON95" s="6058"/>
    </row>
    <row r="96" spans="3:404" ht="408.95" customHeight="1" x14ac:dyDescent="0.2">
      <c r="C96" s="6055"/>
      <c r="D96" s="6040"/>
      <c r="E96" s="6782" t="str">
        <f>_Calcs!$IK$138</f>
        <v>-</v>
      </c>
      <c r="F96" s="6782"/>
      <c r="G96" s="6782"/>
      <c r="H96" s="6782"/>
      <c r="I96" s="6782"/>
      <c r="J96" s="6782"/>
      <c r="K96" s="6782"/>
      <c r="L96" s="6782"/>
      <c r="M96" s="6782"/>
      <c r="N96" s="6782"/>
      <c r="O96" s="6782"/>
      <c r="P96" s="6782"/>
      <c r="Q96" s="6782"/>
      <c r="R96" s="6782"/>
      <c r="S96" s="6782"/>
      <c r="T96" s="6782"/>
      <c r="U96" s="6782"/>
      <c r="V96" s="6782"/>
      <c r="W96" s="6782"/>
      <c r="X96" s="6782"/>
      <c r="Y96" s="6782"/>
      <c r="Z96" s="6782"/>
      <c r="AA96" s="6782"/>
      <c r="AB96" s="6782"/>
      <c r="AC96" s="6782"/>
      <c r="AD96" s="6782"/>
      <c r="AE96" s="6782"/>
      <c r="AF96" s="6782"/>
      <c r="AG96" s="6782"/>
      <c r="AH96" s="6782"/>
      <c r="AI96" s="6782"/>
      <c r="AJ96" s="6782"/>
      <c r="AK96" s="6782"/>
      <c r="AL96" s="6782"/>
      <c r="AM96" s="6782"/>
      <c r="AN96" s="6782"/>
      <c r="AO96" s="6782"/>
      <c r="AP96" s="6782"/>
      <c r="AQ96" s="6085"/>
      <c r="AR96" s="6058"/>
      <c r="AV96" s="6055"/>
      <c r="AW96" s="6040"/>
      <c r="AX96" s="6782" t="str">
        <f>_Calcs!$IL$138</f>
        <v>-</v>
      </c>
      <c r="AY96" s="6782"/>
      <c r="AZ96" s="6782"/>
      <c r="BA96" s="6782"/>
      <c r="BB96" s="6782"/>
      <c r="BC96" s="6782"/>
      <c r="BD96" s="6782"/>
      <c r="BE96" s="6782"/>
      <c r="BF96" s="6782"/>
      <c r="BG96" s="6782"/>
      <c r="BH96" s="6782"/>
      <c r="BI96" s="6782"/>
      <c r="BJ96" s="6782"/>
      <c r="BK96" s="6782"/>
      <c r="BL96" s="6782"/>
      <c r="BM96" s="6782"/>
      <c r="BN96" s="6782"/>
      <c r="BO96" s="6782"/>
      <c r="BP96" s="6782"/>
      <c r="BQ96" s="6782"/>
      <c r="BR96" s="6782"/>
      <c r="BS96" s="6782"/>
      <c r="BT96" s="6782"/>
      <c r="BU96" s="6782"/>
      <c r="BV96" s="6782"/>
      <c r="BW96" s="6782"/>
      <c r="BX96" s="6782"/>
      <c r="BY96" s="6782"/>
      <c r="BZ96" s="6782"/>
      <c r="CA96" s="6782"/>
      <c r="CB96" s="6782"/>
      <c r="CC96" s="6782"/>
      <c r="CD96" s="6782"/>
      <c r="CE96" s="6782"/>
      <c r="CF96" s="6782"/>
      <c r="CG96" s="6782"/>
      <c r="CH96" s="6782"/>
      <c r="CI96" s="6782"/>
      <c r="CJ96" s="6085"/>
      <c r="CK96" s="6058"/>
      <c r="CO96" s="6055"/>
      <c r="CP96" s="6040"/>
      <c r="CQ96" s="6782" t="str">
        <f>_Calcs!$IM$138</f>
        <v>-</v>
      </c>
      <c r="CR96" s="6782"/>
      <c r="CS96" s="6782"/>
      <c r="CT96" s="6782"/>
      <c r="CU96" s="6782"/>
      <c r="CV96" s="6782"/>
      <c r="CW96" s="6782"/>
      <c r="CX96" s="6782"/>
      <c r="CY96" s="6782"/>
      <c r="CZ96" s="6782"/>
      <c r="DA96" s="6782"/>
      <c r="DB96" s="6782"/>
      <c r="DC96" s="6782"/>
      <c r="DD96" s="6782"/>
      <c r="DE96" s="6782"/>
      <c r="DF96" s="6782"/>
      <c r="DG96" s="6782"/>
      <c r="DH96" s="6782"/>
      <c r="DI96" s="6782"/>
      <c r="DJ96" s="6782"/>
      <c r="DK96" s="6782"/>
      <c r="DL96" s="6782"/>
      <c r="DM96" s="6782"/>
      <c r="DN96" s="6782"/>
      <c r="DO96" s="6782"/>
      <c r="DP96" s="6782"/>
      <c r="DQ96" s="6782"/>
      <c r="DR96" s="6782"/>
      <c r="DS96" s="6782"/>
      <c r="DT96" s="6782"/>
      <c r="DU96" s="6782"/>
      <c r="DV96" s="6782"/>
      <c r="DW96" s="6782"/>
      <c r="DX96" s="6782"/>
      <c r="DY96" s="6782"/>
      <c r="DZ96" s="6782"/>
      <c r="EA96" s="6782"/>
      <c r="EB96" s="6782"/>
      <c r="EC96" s="6085"/>
      <c r="ED96" s="6058"/>
      <c r="EH96" s="6055"/>
      <c r="EI96" s="6040"/>
      <c r="EJ96" s="6782" t="str">
        <f>_Calcs!$IN$138</f>
        <v>-</v>
      </c>
      <c r="EK96" s="6782"/>
      <c r="EL96" s="6782"/>
      <c r="EM96" s="6782"/>
      <c r="EN96" s="6782"/>
      <c r="EO96" s="6782"/>
      <c r="EP96" s="6782"/>
      <c r="EQ96" s="6782"/>
      <c r="ER96" s="6782"/>
      <c r="ES96" s="6782"/>
      <c r="ET96" s="6782"/>
      <c r="EU96" s="6782"/>
      <c r="EV96" s="6782"/>
      <c r="EW96" s="6782"/>
      <c r="EX96" s="6782"/>
      <c r="EY96" s="6782"/>
      <c r="EZ96" s="6782"/>
      <c r="FA96" s="6782"/>
      <c r="FB96" s="6782"/>
      <c r="FC96" s="6782"/>
      <c r="FD96" s="6782"/>
      <c r="FE96" s="6782"/>
      <c r="FF96" s="6782"/>
      <c r="FG96" s="6782"/>
      <c r="FH96" s="6782"/>
      <c r="FI96" s="6782"/>
      <c r="FJ96" s="6782"/>
      <c r="FK96" s="6782"/>
      <c r="FL96" s="6782"/>
      <c r="FM96" s="6782"/>
      <c r="FN96" s="6782"/>
      <c r="FO96" s="6782"/>
      <c r="FP96" s="6782"/>
      <c r="FQ96" s="6782"/>
      <c r="FR96" s="6782"/>
      <c r="FS96" s="6782"/>
      <c r="FT96" s="6782"/>
      <c r="FU96" s="6782"/>
      <c r="FV96" s="6085"/>
      <c r="FW96" s="6058"/>
      <c r="GA96" s="6055"/>
      <c r="GB96" s="6040"/>
      <c r="GC96" s="6782" t="str">
        <f>_Calcs!$IO$138</f>
        <v>-</v>
      </c>
      <c r="GD96" s="6782"/>
      <c r="GE96" s="6782"/>
      <c r="GF96" s="6782"/>
      <c r="GG96" s="6782"/>
      <c r="GH96" s="6782"/>
      <c r="GI96" s="6782"/>
      <c r="GJ96" s="6782"/>
      <c r="GK96" s="6782"/>
      <c r="GL96" s="6782"/>
      <c r="GM96" s="6782"/>
      <c r="GN96" s="6782"/>
      <c r="GO96" s="6782"/>
      <c r="GP96" s="6782"/>
      <c r="GQ96" s="6782"/>
      <c r="GR96" s="6782"/>
      <c r="GS96" s="6782"/>
      <c r="GT96" s="6782"/>
      <c r="GU96" s="6782"/>
      <c r="GV96" s="6782"/>
      <c r="GW96" s="6782"/>
      <c r="GX96" s="6782"/>
      <c r="GY96" s="6782"/>
      <c r="GZ96" s="6782"/>
      <c r="HA96" s="6782"/>
      <c r="HB96" s="6782"/>
      <c r="HC96" s="6782"/>
      <c r="HD96" s="6782"/>
      <c r="HE96" s="6782"/>
      <c r="HF96" s="6782"/>
      <c r="HG96" s="6782"/>
      <c r="HH96" s="6782"/>
      <c r="HI96" s="6782"/>
      <c r="HJ96" s="6782"/>
      <c r="HK96" s="6782"/>
      <c r="HL96" s="6782"/>
      <c r="HM96" s="6782"/>
      <c r="HN96" s="6782"/>
      <c r="HO96" s="6085"/>
      <c r="HP96" s="6058"/>
      <c r="HT96" s="6055"/>
      <c r="HU96" s="6040"/>
      <c r="HV96" s="6782" t="str">
        <f>_Calcs!$IP$138</f>
        <v>-</v>
      </c>
      <c r="HW96" s="6782"/>
      <c r="HX96" s="6782"/>
      <c r="HY96" s="6782"/>
      <c r="HZ96" s="6782"/>
      <c r="IA96" s="6782"/>
      <c r="IB96" s="6782"/>
      <c r="IC96" s="6782"/>
      <c r="ID96" s="6782"/>
      <c r="IE96" s="6782"/>
      <c r="IF96" s="6782"/>
      <c r="IG96" s="6782"/>
      <c r="IH96" s="6782"/>
      <c r="II96" s="6782"/>
      <c r="IJ96" s="6782"/>
      <c r="IK96" s="6782"/>
      <c r="IL96" s="6782"/>
      <c r="IM96" s="6782"/>
      <c r="IN96" s="6782"/>
      <c r="IO96" s="6782"/>
      <c r="IP96" s="6782"/>
      <c r="IQ96" s="6782"/>
      <c r="IR96" s="6782"/>
      <c r="IS96" s="6782"/>
      <c r="IT96" s="6782"/>
      <c r="IU96" s="6782"/>
      <c r="IV96" s="6782"/>
      <c r="IW96" s="6782"/>
      <c r="IX96" s="6782"/>
      <c r="IY96" s="6782"/>
      <c r="IZ96" s="6782"/>
      <c r="JA96" s="6782"/>
      <c r="JB96" s="6782"/>
      <c r="JC96" s="6782"/>
      <c r="JD96" s="6782"/>
      <c r="JE96" s="6782"/>
      <c r="JF96" s="6782"/>
      <c r="JG96" s="6782"/>
      <c r="JH96" s="6085"/>
      <c r="JI96" s="6058"/>
      <c r="JM96" s="6055"/>
      <c r="JN96" s="6040"/>
      <c r="JO96" s="6782" t="str">
        <f>_Calcs!$IQ$138</f>
        <v>-</v>
      </c>
      <c r="JP96" s="6782"/>
      <c r="JQ96" s="6782"/>
      <c r="JR96" s="6782"/>
      <c r="JS96" s="6782"/>
      <c r="JT96" s="6782"/>
      <c r="JU96" s="6782"/>
      <c r="JV96" s="6782"/>
      <c r="JW96" s="6782"/>
      <c r="JX96" s="6782"/>
      <c r="JY96" s="6782"/>
      <c r="JZ96" s="6782"/>
      <c r="KA96" s="6782"/>
      <c r="KB96" s="6782"/>
      <c r="KC96" s="6782"/>
      <c r="KD96" s="6782"/>
      <c r="KE96" s="6782"/>
      <c r="KF96" s="6782"/>
      <c r="KG96" s="6782"/>
      <c r="KH96" s="6782"/>
      <c r="KI96" s="6782"/>
      <c r="KJ96" s="6782"/>
      <c r="KK96" s="6782"/>
      <c r="KL96" s="6782"/>
      <c r="KM96" s="6782"/>
      <c r="KN96" s="6782"/>
      <c r="KO96" s="6782"/>
      <c r="KP96" s="6782"/>
      <c r="KQ96" s="6782"/>
      <c r="KR96" s="6782"/>
      <c r="KS96" s="6782"/>
      <c r="KT96" s="6782"/>
      <c r="KU96" s="6782"/>
      <c r="KV96" s="6782"/>
      <c r="KW96" s="6782"/>
      <c r="KX96" s="6782"/>
      <c r="KY96" s="6782"/>
      <c r="KZ96" s="6782"/>
      <c r="LA96" s="6085"/>
      <c r="LB96" s="6058"/>
      <c r="LF96" s="6055"/>
      <c r="LG96" s="6040"/>
      <c r="LH96" s="6782" t="str">
        <f>_Calcs!$IR$138</f>
        <v>-</v>
      </c>
      <c r="LI96" s="6782"/>
      <c r="LJ96" s="6782"/>
      <c r="LK96" s="6782"/>
      <c r="LL96" s="6782"/>
      <c r="LM96" s="6782"/>
      <c r="LN96" s="6782"/>
      <c r="LO96" s="6782"/>
      <c r="LP96" s="6782"/>
      <c r="LQ96" s="6782"/>
      <c r="LR96" s="6782"/>
      <c r="LS96" s="6782"/>
      <c r="LT96" s="6782"/>
      <c r="LU96" s="6782"/>
      <c r="LV96" s="6782"/>
      <c r="LW96" s="6782"/>
      <c r="LX96" s="6782"/>
      <c r="LY96" s="6782"/>
      <c r="LZ96" s="6782"/>
      <c r="MA96" s="6782"/>
      <c r="MB96" s="6782"/>
      <c r="MC96" s="6782"/>
      <c r="MD96" s="6782"/>
      <c r="ME96" s="6782"/>
      <c r="MF96" s="6782"/>
      <c r="MG96" s="6782"/>
      <c r="MH96" s="6782"/>
      <c r="MI96" s="6782"/>
      <c r="MJ96" s="6782"/>
      <c r="MK96" s="6782"/>
      <c r="ML96" s="6782"/>
      <c r="MM96" s="6782"/>
      <c r="MN96" s="6782"/>
      <c r="MO96" s="6782"/>
      <c r="MP96" s="6782"/>
      <c r="MQ96" s="6782"/>
      <c r="MR96" s="6782"/>
      <c r="MS96" s="6782"/>
      <c r="MT96" s="6085"/>
      <c r="MU96" s="6058"/>
      <c r="MY96" s="6055"/>
      <c r="MZ96" s="6040"/>
      <c r="NA96" s="6782" t="str">
        <f>_Calcs!$IS$138</f>
        <v>-</v>
      </c>
      <c r="NB96" s="6782"/>
      <c r="NC96" s="6782"/>
      <c r="ND96" s="6782"/>
      <c r="NE96" s="6782"/>
      <c r="NF96" s="6782"/>
      <c r="NG96" s="6782"/>
      <c r="NH96" s="6782"/>
      <c r="NI96" s="6782"/>
      <c r="NJ96" s="6782"/>
      <c r="NK96" s="6782"/>
      <c r="NL96" s="6782"/>
      <c r="NM96" s="6782"/>
      <c r="NN96" s="6782"/>
      <c r="NO96" s="6782"/>
      <c r="NP96" s="6782"/>
      <c r="NQ96" s="6782"/>
      <c r="NR96" s="6782"/>
      <c r="NS96" s="6782"/>
      <c r="NT96" s="6782"/>
      <c r="NU96" s="6782"/>
      <c r="NV96" s="6782"/>
      <c r="NW96" s="6782"/>
      <c r="NX96" s="6782"/>
      <c r="NY96" s="6782"/>
      <c r="NZ96" s="6782"/>
      <c r="OA96" s="6782"/>
      <c r="OB96" s="6782"/>
      <c r="OC96" s="6782"/>
      <c r="OD96" s="6782"/>
      <c r="OE96" s="6782"/>
      <c r="OF96" s="6782"/>
      <c r="OG96" s="6782"/>
      <c r="OH96" s="6782"/>
      <c r="OI96" s="6782"/>
      <c r="OJ96" s="6782"/>
      <c r="OK96" s="6782"/>
      <c r="OL96" s="6782"/>
      <c r="OM96" s="6085"/>
      <c r="ON96" s="6058"/>
    </row>
    <row r="97" spans="3:405" ht="8.1" customHeight="1" thickBot="1" x14ac:dyDescent="0.25">
      <c r="C97" s="6055"/>
      <c r="D97" s="6044"/>
      <c r="E97" s="6046"/>
      <c r="F97" s="6046"/>
      <c r="G97" s="6046"/>
      <c r="H97" s="6046"/>
      <c r="I97" s="6046"/>
      <c r="J97" s="6046"/>
      <c r="K97" s="6046"/>
      <c r="L97" s="6046"/>
      <c r="M97" s="6046"/>
      <c r="N97" s="6046"/>
      <c r="O97" s="6046"/>
      <c r="P97" s="6046"/>
      <c r="Q97" s="6046"/>
      <c r="R97" s="6046"/>
      <c r="S97" s="6046"/>
      <c r="T97" s="6046"/>
      <c r="U97" s="6046"/>
      <c r="V97" s="6086"/>
      <c r="W97" s="6086"/>
      <c r="X97" s="6086"/>
      <c r="Y97" s="6086"/>
      <c r="Z97" s="6086"/>
      <c r="AA97" s="6046"/>
      <c r="AB97" s="6086"/>
      <c r="AC97" s="6086"/>
      <c r="AD97" s="6086"/>
      <c r="AE97" s="6046"/>
      <c r="AF97" s="6086"/>
      <c r="AG97" s="6086"/>
      <c r="AH97" s="6086"/>
      <c r="AI97" s="6086"/>
      <c r="AJ97" s="6086"/>
      <c r="AK97" s="6086"/>
      <c r="AL97" s="6086"/>
      <c r="AM97" s="6086"/>
      <c r="AN97" s="6086"/>
      <c r="AO97" s="6086"/>
      <c r="AP97" s="6086"/>
      <c r="AQ97" s="6048"/>
      <c r="AR97" s="6058"/>
      <c r="AV97" s="6055"/>
      <c r="AW97" s="6044"/>
      <c r="AX97" s="6046"/>
      <c r="AY97" s="6046"/>
      <c r="AZ97" s="6046"/>
      <c r="BA97" s="6046"/>
      <c r="BB97" s="6046"/>
      <c r="BC97" s="6046"/>
      <c r="BD97" s="6046"/>
      <c r="BE97" s="6046"/>
      <c r="BF97" s="6046"/>
      <c r="BG97" s="6046"/>
      <c r="BH97" s="6046"/>
      <c r="BI97" s="6046"/>
      <c r="BJ97" s="6046"/>
      <c r="BK97" s="6046"/>
      <c r="BL97" s="6046"/>
      <c r="BM97" s="6046"/>
      <c r="BN97" s="6046"/>
      <c r="BO97" s="6086"/>
      <c r="BP97" s="6086"/>
      <c r="BQ97" s="6086"/>
      <c r="BR97" s="6086"/>
      <c r="BS97" s="6086"/>
      <c r="BT97" s="6046"/>
      <c r="BU97" s="6086"/>
      <c r="BV97" s="6086"/>
      <c r="BW97" s="6086"/>
      <c r="BX97" s="6046"/>
      <c r="BY97" s="6086"/>
      <c r="BZ97" s="6086"/>
      <c r="CA97" s="6086"/>
      <c r="CB97" s="6086"/>
      <c r="CC97" s="6086"/>
      <c r="CD97" s="6086"/>
      <c r="CE97" s="6086"/>
      <c r="CF97" s="6086"/>
      <c r="CG97" s="6086"/>
      <c r="CH97" s="6086"/>
      <c r="CI97" s="6086"/>
      <c r="CJ97" s="6048"/>
      <c r="CK97" s="6058"/>
      <c r="CO97" s="6055"/>
      <c r="CP97" s="6044"/>
      <c r="CQ97" s="6046"/>
      <c r="CR97" s="6046"/>
      <c r="CS97" s="6046"/>
      <c r="CT97" s="6046"/>
      <c r="CU97" s="6046"/>
      <c r="CV97" s="6046"/>
      <c r="CW97" s="6046"/>
      <c r="CX97" s="6046"/>
      <c r="CY97" s="6046"/>
      <c r="CZ97" s="6046"/>
      <c r="DA97" s="6046"/>
      <c r="DB97" s="6046"/>
      <c r="DC97" s="6046"/>
      <c r="DD97" s="6046"/>
      <c r="DE97" s="6046"/>
      <c r="DF97" s="6046"/>
      <c r="DG97" s="6046"/>
      <c r="DH97" s="6086"/>
      <c r="DI97" s="6086"/>
      <c r="DJ97" s="6086"/>
      <c r="DK97" s="6086"/>
      <c r="DL97" s="6086"/>
      <c r="DM97" s="6046"/>
      <c r="DN97" s="6086"/>
      <c r="DO97" s="6086"/>
      <c r="DP97" s="6086"/>
      <c r="DQ97" s="6046"/>
      <c r="DR97" s="6086"/>
      <c r="DS97" s="6086"/>
      <c r="DT97" s="6086"/>
      <c r="DU97" s="6086"/>
      <c r="DV97" s="6086"/>
      <c r="DW97" s="6086"/>
      <c r="DX97" s="6086"/>
      <c r="DY97" s="6086"/>
      <c r="DZ97" s="6086"/>
      <c r="EA97" s="6086"/>
      <c r="EB97" s="6086"/>
      <c r="EC97" s="6048"/>
      <c r="ED97" s="6058"/>
      <c r="EH97" s="6055"/>
      <c r="EI97" s="6044"/>
      <c r="EJ97" s="6046"/>
      <c r="EK97" s="6046"/>
      <c r="EL97" s="6046"/>
      <c r="EM97" s="6046"/>
      <c r="EN97" s="6046"/>
      <c r="EO97" s="6046"/>
      <c r="EP97" s="6046"/>
      <c r="EQ97" s="6046"/>
      <c r="ER97" s="6046"/>
      <c r="ES97" s="6046"/>
      <c r="ET97" s="6046"/>
      <c r="EU97" s="6046"/>
      <c r="EV97" s="6046"/>
      <c r="EW97" s="6046"/>
      <c r="EX97" s="6046"/>
      <c r="EY97" s="6046"/>
      <c r="EZ97" s="6046"/>
      <c r="FA97" s="6086"/>
      <c r="FB97" s="6086"/>
      <c r="FC97" s="6086"/>
      <c r="FD97" s="6086"/>
      <c r="FE97" s="6086"/>
      <c r="FF97" s="6046"/>
      <c r="FG97" s="6086"/>
      <c r="FH97" s="6086"/>
      <c r="FI97" s="6086"/>
      <c r="FJ97" s="6046"/>
      <c r="FK97" s="6086"/>
      <c r="FL97" s="6086"/>
      <c r="FM97" s="6086"/>
      <c r="FN97" s="6086"/>
      <c r="FO97" s="6086"/>
      <c r="FP97" s="6086"/>
      <c r="FQ97" s="6086"/>
      <c r="FR97" s="6086"/>
      <c r="FS97" s="6086"/>
      <c r="FT97" s="6086"/>
      <c r="FU97" s="6086"/>
      <c r="FV97" s="6048"/>
      <c r="FW97" s="6058"/>
      <c r="GA97" s="6055"/>
      <c r="GB97" s="6044"/>
      <c r="GC97" s="6046"/>
      <c r="GD97" s="6046"/>
      <c r="GE97" s="6046"/>
      <c r="GF97" s="6046"/>
      <c r="GG97" s="6046"/>
      <c r="GH97" s="6046"/>
      <c r="GI97" s="6046"/>
      <c r="GJ97" s="6046"/>
      <c r="GK97" s="6046"/>
      <c r="GL97" s="6046"/>
      <c r="GM97" s="6046"/>
      <c r="GN97" s="6046"/>
      <c r="GO97" s="6046"/>
      <c r="GP97" s="6046"/>
      <c r="GQ97" s="6046"/>
      <c r="GR97" s="6046"/>
      <c r="GS97" s="6046"/>
      <c r="GT97" s="6086"/>
      <c r="GU97" s="6086"/>
      <c r="GV97" s="6086"/>
      <c r="GW97" s="6086"/>
      <c r="GX97" s="6086"/>
      <c r="GY97" s="6046"/>
      <c r="GZ97" s="6086"/>
      <c r="HA97" s="6086"/>
      <c r="HB97" s="6086"/>
      <c r="HC97" s="6046"/>
      <c r="HD97" s="6086"/>
      <c r="HE97" s="6086"/>
      <c r="HF97" s="6086"/>
      <c r="HG97" s="6086"/>
      <c r="HH97" s="6086"/>
      <c r="HI97" s="6086"/>
      <c r="HJ97" s="6086"/>
      <c r="HK97" s="6086"/>
      <c r="HL97" s="6086"/>
      <c r="HM97" s="6086"/>
      <c r="HN97" s="6086"/>
      <c r="HO97" s="6048"/>
      <c r="HP97" s="6058"/>
      <c r="HT97" s="6055"/>
      <c r="HU97" s="6044"/>
      <c r="HV97" s="6046"/>
      <c r="HW97" s="6046"/>
      <c r="HX97" s="6046"/>
      <c r="HY97" s="6046"/>
      <c r="HZ97" s="6046"/>
      <c r="IA97" s="6046"/>
      <c r="IB97" s="6046"/>
      <c r="IC97" s="6046"/>
      <c r="ID97" s="6046"/>
      <c r="IE97" s="6046"/>
      <c r="IF97" s="6046"/>
      <c r="IG97" s="6046"/>
      <c r="IH97" s="6046"/>
      <c r="II97" s="6046"/>
      <c r="IJ97" s="6046"/>
      <c r="IK97" s="6046"/>
      <c r="IL97" s="6046"/>
      <c r="IM97" s="6086"/>
      <c r="IN97" s="6086"/>
      <c r="IO97" s="6086"/>
      <c r="IP97" s="6086"/>
      <c r="IQ97" s="6086"/>
      <c r="IR97" s="6046"/>
      <c r="IS97" s="6086"/>
      <c r="IT97" s="6086"/>
      <c r="IU97" s="6086"/>
      <c r="IV97" s="6046"/>
      <c r="IW97" s="6086"/>
      <c r="IX97" s="6086"/>
      <c r="IY97" s="6086"/>
      <c r="IZ97" s="6086"/>
      <c r="JA97" s="6086"/>
      <c r="JB97" s="6086"/>
      <c r="JC97" s="6086"/>
      <c r="JD97" s="6086"/>
      <c r="JE97" s="6086"/>
      <c r="JF97" s="6086"/>
      <c r="JG97" s="6086"/>
      <c r="JH97" s="6048"/>
      <c r="JI97" s="6058"/>
      <c r="JM97" s="6055"/>
      <c r="JN97" s="6044"/>
      <c r="JO97" s="6046"/>
      <c r="JP97" s="6046"/>
      <c r="JQ97" s="6046"/>
      <c r="JR97" s="6046"/>
      <c r="JS97" s="6046"/>
      <c r="JT97" s="6046"/>
      <c r="JU97" s="6046"/>
      <c r="JV97" s="6046"/>
      <c r="JW97" s="6046"/>
      <c r="JX97" s="6046"/>
      <c r="JY97" s="6046"/>
      <c r="JZ97" s="6046"/>
      <c r="KA97" s="6046"/>
      <c r="KB97" s="6046"/>
      <c r="KC97" s="6046"/>
      <c r="KD97" s="6046"/>
      <c r="KE97" s="6046"/>
      <c r="KF97" s="6086"/>
      <c r="KG97" s="6086"/>
      <c r="KH97" s="6086"/>
      <c r="KI97" s="6086"/>
      <c r="KJ97" s="6086"/>
      <c r="KK97" s="6046"/>
      <c r="KL97" s="6086"/>
      <c r="KM97" s="6086"/>
      <c r="KN97" s="6086"/>
      <c r="KO97" s="6046"/>
      <c r="KP97" s="6086"/>
      <c r="KQ97" s="6086"/>
      <c r="KR97" s="6086"/>
      <c r="KS97" s="6086"/>
      <c r="KT97" s="6086"/>
      <c r="KU97" s="6086"/>
      <c r="KV97" s="6086"/>
      <c r="KW97" s="6086"/>
      <c r="KX97" s="6086"/>
      <c r="KY97" s="6086"/>
      <c r="KZ97" s="6086"/>
      <c r="LA97" s="6048"/>
      <c r="LB97" s="6058"/>
      <c r="LF97" s="6055"/>
      <c r="LG97" s="6044"/>
      <c r="LH97" s="6046"/>
      <c r="LI97" s="6046"/>
      <c r="LJ97" s="6046"/>
      <c r="LK97" s="6046"/>
      <c r="LL97" s="6046"/>
      <c r="LM97" s="6046"/>
      <c r="LN97" s="6046"/>
      <c r="LO97" s="6046"/>
      <c r="LP97" s="6046"/>
      <c r="LQ97" s="6046"/>
      <c r="LR97" s="6046"/>
      <c r="LS97" s="6046"/>
      <c r="LT97" s="6046"/>
      <c r="LU97" s="6046"/>
      <c r="LV97" s="6046"/>
      <c r="LW97" s="6046"/>
      <c r="LX97" s="6046"/>
      <c r="LY97" s="6086"/>
      <c r="LZ97" s="6086"/>
      <c r="MA97" s="6086"/>
      <c r="MB97" s="6086"/>
      <c r="MC97" s="6086"/>
      <c r="MD97" s="6046"/>
      <c r="ME97" s="6086"/>
      <c r="MF97" s="6086"/>
      <c r="MG97" s="6086"/>
      <c r="MH97" s="6046"/>
      <c r="MI97" s="6086"/>
      <c r="MJ97" s="6086"/>
      <c r="MK97" s="6086"/>
      <c r="ML97" s="6086"/>
      <c r="MM97" s="6086"/>
      <c r="MN97" s="6086"/>
      <c r="MO97" s="6086"/>
      <c r="MP97" s="6086"/>
      <c r="MQ97" s="6086"/>
      <c r="MR97" s="6086"/>
      <c r="MS97" s="6086"/>
      <c r="MT97" s="6048"/>
      <c r="MU97" s="6058"/>
      <c r="MY97" s="6055"/>
      <c r="MZ97" s="6044"/>
      <c r="NA97" s="6046"/>
      <c r="NB97" s="6046"/>
      <c r="NC97" s="6046"/>
      <c r="ND97" s="6046"/>
      <c r="NE97" s="6046"/>
      <c r="NF97" s="6046"/>
      <c r="NG97" s="6046"/>
      <c r="NH97" s="6046"/>
      <c r="NI97" s="6046"/>
      <c r="NJ97" s="6046"/>
      <c r="NK97" s="6046"/>
      <c r="NL97" s="6046"/>
      <c r="NM97" s="6046"/>
      <c r="NN97" s="6046"/>
      <c r="NO97" s="6046"/>
      <c r="NP97" s="6046"/>
      <c r="NQ97" s="6046"/>
      <c r="NR97" s="6086"/>
      <c r="NS97" s="6086"/>
      <c r="NT97" s="6086"/>
      <c r="NU97" s="6086"/>
      <c r="NV97" s="6086"/>
      <c r="NW97" s="6046"/>
      <c r="NX97" s="6086"/>
      <c r="NY97" s="6086"/>
      <c r="NZ97" s="6086"/>
      <c r="OA97" s="6046"/>
      <c r="OB97" s="6086"/>
      <c r="OC97" s="6086"/>
      <c r="OD97" s="6086"/>
      <c r="OE97" s="6086"/>
      <c r="OF97" s="6086"/>
      <c r="OG97" s="6086"/>
      <c r="OH97" s="6086"/>
      <c r="OI97" s="6086"/>
      <c r="OJ97" s="6086"/>
      <c r="OK97" s="6086"/>
      <c r="OL97" s="6086"/>
      <c r="OM97" s="6048"/>
      <c r="ON97" s="6058"/>
    </row>
    <row r="98" spans="3:405" ht="15" thickBot="1" x14ac:dyDescent="0.25">
      <c r="C98" s="6087"/>
      <c r="D98" s="6088"/>
      <c r="E98" s="6088"/>
      <c r="F98" s="6088"/>
      <c r="G98" s="6088"/>
      <c r="H98" s="6088"/>
      <c r="I98" s="6088"/>
      <c r="J98" s="6088"/>
      <c r="K98" s="6088"/>
      <c r="L98" s="6088"/>
      <c r="M98" s="6088"/>
      <c r="N98" s="6088"/>
      <c r="O98" s="6088"/>
      <c r="P98" s="6088"/>
      <c r="Q98" s="6088"/>
      <c r="R98" s="6088"/>
      <c r="S98" s="6088"/>
      <c r="T98" s="6088"/>
      <c r="U98" s="6088"/>
      <c r="V98" s="6088"/>
      <c r="W98" s="6088"/>
      <c r="X98" s="6088"/>
      <c r="Y98" s="6088"/>
      <c r="Z98" s="6088"/>
      <c r="AA98" s="6088"/>
      <c r="AB98" s="6088"/>
      <c r="AC98" s="6088"/>
      <c r="AD98" s="6088"/>
      <c r="AE98" s="6088"/>
      <c r="AF98" s="6088"/>
      <c r="AG98" s="6088"/>
      <c r="AH98" s="6088"/>
      <c r="AI98" s="6088"/>
      <c r="AJ98" s="6088"/>
      <c r="AK98" s="6088"/>
      <c r="AL98" s="6088"/>
      <c r="AM98" s="6088"/>
      <c r="AN98" s="6088"/>
      <c r="AO98" s="6088"/>
      <c r="AP98" s="6088"/>
      <c r="AQ98" s="6088"/>
      <c r="AR98" s="6089"/>
      <c r="AV98" s="6087"/>
      <c r="AW98" s="6088"/>
      <c r="AX98" s="6088"/>
      <c r="AY98" s="6088"/>
      <c r="AZ98" s="6088"/>
      <c r="BA98" s="6088"/>
      <c r="BB98" s="6088"/>
      <c r="BC98" s="6088"/>
      <c r="BD98" s="6088"/>
      <c r="BE98" s="6088"/>
      <c r="BF98" s="6088"/>
      <c r="BG98" s="6088"/>
      <c r="BH98" s="6088"/>
      <c r="BI98" s="6088"/>
      <c r="BJ98" s="6088"/>
      <c r="BK98" s="6088"/>
      <c r="BL98" s="6088"/>
      <c r="BM98" s="6088"/>
      <c r="BN98" s="6088"/>
      <c r="BO98" s="6088"/>
      <c r="BP98" s="6088"/>
      <c r="BQ98" s="6088"/>
      <c r="BR98" s="6088"/>
      <c r="BS98" s="6088"/>
      <c r="BT98" s="6088"/>
      <c r="BU98" s="6088"/>
      <c r="BV98" s="6088"/>
      <c r="BW98" s="6088"/>
      <c r="BX98" s="6088"/>
      <c r="BY98" s="6088"/>
      <c r="BZ98" s="6088"/>
      <c r="CA98" s="6088"/>
      <c r="CB98" s="6088"/>
      <c r="CC98" s="6088"/>
      <c r="CD98" s="6088"/>
      <c r="CE98" s="6088"/>
      <c r="CF98" s="6088"/>
      <c r="CG98" s="6088"/>
      <c r="CH98" s="6088"/>
      <c r="CI98" s="6088"/>
      <c r="CJ98" s="6088"/>
      <c r="CK98" s="6089"/>
      <c r="CO98" s="6087"/>
      <c r="CP98" s="6088"/>
      <c r="CQ98" s="6088"/>
      <c r="CR98" s="6088"/>
      <c r="CS98" s="6088"/>
      <c r="CT98" s="6088"/>
      <c r="CU98" s="6088"/>
      <c r="CV98" s="6088"/>
      <c r="CW98" s="6088"/>
      <c r="CX98" s="6088"/>
      <c r="CY98" s="6088"/>
      <c r="CZ98" s="6088"/>
      <c r="DA98" s="6088"/>
      <c r="DB98" s="6088"/>
      <c r="DC98" s="6088"/>
      <c r="DD98" s="6088"/>
      <c r="DE98" s="6088"/>
      <c r="DF98" s="6088"/>
      <c r="DG98" s="6088"/>
      <c r="DH98" s="6088"/>
      <c r="DI98" s="6088"/>
      <c r="DJ98" s="6088"/>
      <c r="DK98" s="6088"/>
      <c r="DL98" s="6088"/>
      <c r="DM98" s="6088"/>
      <c r="DN98" s="6088"/>
      <c r="DO98" s="6088"/>
      <c r="DP98" s="6088"/>
      <c r="DQ98" s="6088"/>
      <c r="DR98" s="6088"/>
      <c r="DS98" s="6088"/>
      <c r="DT98" s="6088"/>
      <c r="DU98" s="6088"/>
      <c r="DV98" s="6088"/>
      <c r="DW98" s="6088"/>
      <c r="DX98" s="6088"/>
      <c r="DY98" s="6088"/>
      <c r="DZ98" s="6088"/>
      <c r="EA98" s="6088"/>
      <c r="EB98" s="6088"/>
      <c r="EC98" s="6088"/>
      <c r="ED98" s="6089"/>
      <c r="EH98" s="6087"/>
      <c r="EI98" s="6088"/>
      <c r="EJ98" s="6088"/>
      <c r="EK98" s="6088"/>
      <c r="EL98" s="6088"/>
      <c r="EM98" s="6088"/>
      <c r="EN98" s="6088"/>
      <c r="EO98" s="6088"/>
      <c r="EP98" s="6088"/>
      <c r="EQ98" s="6088"/>
      <c r="ER98" s="6088"/>
      <c r="ES98" s="6088"/>
      <c r="ET98" s="6088"/>
      <c r="EU98" s="6088"/>
      <c r="EV98" s="6088"/>
      <c r="EW98" s="6088"/>
      <c r="EX98" s="6088"/>
      <c r="EY98" s="6088"/>
      <c r="EZ98" s="6088"/>
      <c r="FA98" s="6088"/>
      <c r="FB98" s="6088"/>
      <c r="FC98" s="6088"/>
      <c r="FD98" s="6088"/>
      <c r="FE98" s="6088"/>
      <c r="FF98" s="6088"/>
      <c r="FG98" s="6088"/>
      <c r="FH98" s="6088"/>
      <c r="FI98" s="6088"/>
      <c r="FJ98" s="6088"/>
      <c r="FK98" s="6088"/>
      <c r="FL98" s="6088"/>
      <c r="FM98" s="6088"/>
      <c r="FN98" s="6088"/>
      <c r="FO98" s="6088"/>
      <c r="FP98" s="6088"/>
      <c r="FQ98" s="6088"/>
      <c r="FR98" s="6088"/>
      <c r="FS98" s="6088"/>
      <c r="FT98" s="6088"/>
      <c r="FU98" s="6088"/>
      <c r="FV98" s="6088"/>
      <c r="FW98" s="6089"/>
      <c r="GA98" s="6087"/>
      <c r="GB98" s="6088"/>
      <c r="GC98" s="6088"/>
      <c r="GD98" s="6088"/>
      <c r="GE98" s="6088"/>
      <c r="GF98" s="6088"/>
      <c r="GG98" s="6088"/>
      <c r="GH98" s="6088"/>
      <c r="GI98" s="6088"/>
      <c r="GJ98" s="6088"/>
      <c r="GK98" s="6088"/>
      <c r="GL98" s="6088"/>
      <c r="GM98" s="6088"/>
      <c r="GN98" s="6088"/>
      <c r="GO98" s="6088"/>
      <c r="GP98" s="6088"/>
      <c r="GQ98" s="6088"/>
      <c r="GR98" s="6088"/>
      <c r="GS98" s="6088"/>
      <c r="GT98" s="6088"/>
      <c r="GU98" s="6088"/>
      <c r="GV98" s="6088"/>
      <c r="GW98" s="6088"/>
      <c r="GX98" s="6088"/>
      <c r="GY98" s="6088"/>
      <c r="GZ98" s="6088"/>
      <c r="HA98" s="6088"/>
      <c r="HB98" s="6088"/>
      <c r="HC98" s="6088"/>
      <c r="HD98" s="6088"/>
      <c r="HE98" s="6088"/>
      <c r="HF98" s="6088"/>
      <c r="HG98" s="6088"/>
      <c r="HH98" s="6088"/>
      <c r="HI98" s="6088"/>
      <c r="HJ98" s="6088"/>
      <c r="HK98" s="6088"/>
      <c r="HL98" s="6088"/>
      <c r="HM98" s="6088"/>
      <c r="HN98" s="6088"/>
      <c r="HO98" s="6088"/>
      <c r="HP98" s="6089"/>
      <c r="HT98" s="6087"/>
      <c r="HU98" s="6088"/>
      <c r="HV98" s="6088"/>
      <c r="HW98" s="6088"/>
      <c r="HX98" s="6088"/>
      <c r="HY98" s="6088"/>
      <c r="HZ98" s="6088"/>
      <c r="IA98" s="6088"/>
      <c r="IB98" s="6088"/>
      <c r="IC98" s="6088"/>
      <c r="ID98" s="6088"/>
      <c r="IE98" s="6088"/>
      <c r="IF98" s="6088"/>
      <c r="IG98" s="6088"/>
      <c r="IH98" s="6088"/>
      <c r="II98" s="6088"/>
      <c r="IJ98" s="6088"/>
      <c r="IK98" s="6088"/>
      <c r="IL98" s="6088"/>
      <c r="IM98" s="6088"/>
      <c r="IN98" s="6088"/>
      <c r="IO98" s="6088"/>
      <c r="IP98" s="6088"/>
      <c r="IQ98" s="6088"/>
      <c r="IR98" s="6088"/>
      <c r="IS98" s="6088"/>
      <c r="IT98" s="6088"/>
      <c r="IU98" s="6088"/>
      <c r="IV98" s="6088"/>
      <c r="IW98" s="6088"/>
      <c r="IX98" s="6088"/>
      <c r="IY98" s="6088"/>
      <c r="IZ98" s="6088"/>
      <c r="JA98" s="6088"/>
      <c r="JB98" s="6088"/>
      <c r="JC98" s="6088"/>
      <c r="JD98" s="6088"/>
      <c r="JE98" s="6088"/>
      <c r="JF98" s="6088"/>
      <c r="JG98" s="6088"/>
      <c r="JH98" s="6088"/>
      <c r="JI98" s="6089"/>
      <c r="JM98" s="6087"/>
      <c r="JN98" s="6088"/>
      <c r="JO98" s="6088"/>
      <c r="JP98" s="6088"/>
      <c r="JQ98" s="6088"/>
      <c r="JR98" s="6088"/>
      <c r="JS98" s="6088"/>
      <c r="JT98" s="6088"/>
      <c r="JU98" s="6088"/>
      <c r="JV98" s="6088"/>
      <c r="JW98" s="6088"/>
      <c r="JX98" s="6088"/>
      <c r="JY98" s="6088"/>
      <c r="JZ98" s="6088"/>
      <c r="KA98" s="6088"/>
      <c r="KB98" s="6088"/>
      <c r="KC98" s="6088"/>
      <c r="KD98" s="6088"/>
      <c r="KE98" s="6088"/>
      <c r="KF98" s="6088"/>
      <c r="KG98" s="6088"/>
      <c r="KH98" s="6088"/>
      <c r="KI98" s="6088"/>
      <c r="KJ98" s="6088"/>
      <c r="KK98" s="6088"/>
      <c r="KL98" s="6088"/>
      <c r="KM98" s="6088"/>
      <c r="KN98" s="6088"/>
      <c r="KO98" s="6088"/>
      <c r="KP98" s="6088"/>
      <c r="KQ98" s="6088"/>
      <c r="KR98" s="6088"/>
      <c r="KS98" s="6088"/>
      <c r="KT98" s="6088"/>
      <c r="KU98" s="6088"/>
      <c r="KV98" s="6088"/>
      <c r="KW98" s="6088"/>
      <c r="KX98" s="6088"/>
      <c r="KY98" s="6088"/>
      <c r="KZ98" s="6088"/>
      <c r="LA98" s="6088"/>
      <c r="LB98" s="6089"/>
      <c r="LF98" s="6087"/>
      <c r="LG98" s="6088"/>
      <c r="LH98" s="6088"/>
      <c r="LI98" s="6088"/>
      <c r="LJ98" s="6088"/>
      <c r="LK98" s="6088"/>
      <c r="LL98" s="6088"/>
      <c r="LM98" s="6088"/>
      <c r="LN98" s="6088"/>
      <c r="LO98" s="6088"/>
      <c r="LP98" s="6088"/>
      <c r="LQ98" s="6088"/>
      <c r="LR98" s="6088"/>
      <c r="LS98" s="6088"/>
      <c r="LT98" s="6088"/>
      <c r="LU98" s="6088"/>
      <c r="LV98" s="6088"/>
      <c r="LW98" s="6088"/>
      <c r="LX98" s="6088"/>
      <c r="LY98" s="6088"/>
      <c r="LZ98" s="6088"/>
      <c r="MA98" s="6088"/>
      <c r="MB98" s="6088"/>
      <c r="MC98" s="6088"/>
      <c r="MD98" s="6088"/>
      <c r="ME98" s="6088"/>
      <c r="MF98" s="6088"/>
      <c r="MG98" s="6088"/>
      <c r="MH98" s="6088"/>
      <c r="MI98" s="6088"/>
      <c r="MJ98" s="6088"/>
      <c r="MK98" s="6088"/>
      <c r="ML98" s="6088"/>
      <c r="MM98" s="6088"/>
      <c r="MN98" s="6088"/>
      <c r="MO98" s="6088"/>
      <c r="MP98" s="6088"/>
      <c r="MQ98" s="6088"/>
      <c r="MR98" s="6088"/>
      <c r="MS98" s="6088"/>
      <c r="MT98" s="6088"/>
      <c r="MU98" s="6089"/>
      <c r="MY98" s="6087"/>
      <c r="MZ98" s="6088"/>
      <c r="NA98" s="6088"/>
      <c r="NB98" s="6088"/>
      <c r="NC98" s="6088"/>
      <c r="ND98" s="6088"/>
      <c r="NE98" s="6088"/>
      <c r="NF98" s="6088"/>
      <c r="NG98" s="6088"/>
      <c r="NH98" s="6088"/>
      <c r="NI98" s="6088"/>
      <c r="NJ98" s="6088"/>
      <c r="NK98" s="6088"/>
      <c r="NL98" s="6088"/>
      <c r="NM98" s="6088"/>
      <c r="NN98" s="6088"/>
      <c r="NO98" s="6088"/>
      <c r="NP98" s="6088"/>
      <c r="NQ98" s="6088"/>
      <c r="NR98" s="6088"/>
      <c r="NS98" s="6088"/>
      <c r="NT98" s="6088"/>
      <c r="NU98" s="6088"/>
      <c r="NV98" s="6088"/>
      <c r="NW98" s="6088"/>
      <c r="NX98" s="6088"/>
      <c r="NY98" s="6088"/>
      <c r="NZ98" s="6088"/>
      <c r="OA98" s="6088"/>
      <c r="OB98" s="6088"/>
      <c r="OC98" s="6088"/>
      <c r="OD98" s="6088"/>
      <c r="OE98" s="6088"/>
      <c r="OF98" s="6088"/>
      <c r="OG98" s="6088"/>
      <c r="OH98" s="6088"/>
      <c r="OI98" s="6088"/>
      <c r="OJ98" s="6088"/>
      <c r="OK98" s="6088"/>
      <c r="OL98" s="6088"/>
      <c r="OM98" s="6088"/>
      <c r="ON98" s="6089"/>
    </row>
    <row r="99" spans="3:405" ht="9.9499999999999993" customHeight="1" x14ac:dyDescent="0.2"/>
    <row r="100" spans="3:405" ht="7.5" customHeight="1" x14ac:dyDescent="0.2">
      <c r="C100" s="6090"/>
      <c r="D100" s="6090"/>
      <c r="E100" s="6090"/>
      <c r="F100" s="6090"/>
      <c r="G100" s="6090"/>
      <c r="H100" s="6090"/>
      <c r="I100" s="6090"/>
      <c r="J100" s="6090"/>
      <c r="K100" s="6090"/>
      <c r="L100" s="6090"/>
      <c r="M100" s="6090"/>
      <c r="N100" s="6090"/>
      <c r="O100" s="6090"/>
      <c r="P100" s="6090"/>
      <c r="Q100" s="6090"/>
      <c r="R100" s="6090"/>
      <c r="S100" s="6090"/>
      <c r="T100" s="6090"/>
      <c r="U100" s="6090"/>
      <c r="V100" s="6090"/>
      <c r="W100" s="6090"/>
      <c r="X100" s="6090"/>
      <c r="Y100" s="6090"/>
      <c r="Z100" s="6090"/>
      <c r="AA100" s="6090"/>
      <c r="AB100" s="6090"/>
      <c r="AC100" s="6090"/>
      <c r="AD100" s="6090"/>
      <c r="AE100" s="6090"/>
      <c r="AF100" s="6090"/>
      <c r="AG100" s="6090"/>
      <c r="AH100" s="6090"/>
      <c r="AI100" s="6090"/>
      <c r="AJ100" s="6090"/>
      <c r="AK100" s="6090"/>
      <c r="AL100" s="6090"/>
      <c r="AM100" s="6090"/>
      <c r="AN100" s="6090"/>
      <c r="AO100" s="6090"/>
      <c r="AP100" s="6090"/>
      <c r="AQ100" s="6090"/>
      <c r="AR100" s="6090"/>
      <c r="AV100" s="6090"/>
      <c r="AW100" s="6090"/>
      <c r="AX100" s="6090"/>
      <c r="AY100" s="6090"/>
      <c r="AZ100" s="6090"/>
      <c r="BA100" s="6090"/>
      <c r="BB100" s="6090"/>
      <c r="BC100" s="6090"/>
      <c r="BD100" s="6090"/>
      <c r="BE100" s="6090"/>
      <c r="BF100" s="6090"/>
      <c r="BG100" s="6090"/>
      <c r="BH100" s="6090"/>
      <c r="BI100" s="6090"/>
      <c r="BJ100" s="6090"/>
      <c r="BK100" s="6090"/>
      <c r="BL100" s="6090"/>
      <c r="BM100" s="6090"/>
      <c r="BN100" s="6090"/>
      <c r="BO100" s="6090"/>
      <c r="BP100" s="6090"/>
      <c r="BQ100" s="6090"/>
      <c r="BR100" s="6090"/>
      <c r="BS100" s="6090"/>
      <c r="BT100" s="6090"/>
      <c r="BU100" s="6090"/>
      <c r="BV100" s="6090"/>
      <c r="BW100" s="6090"/>
      <c r="BX100" s="6090"/>
      <c r="BY100" s="6090"/>
      <c r="BZ100" s="6090"/>
      <c r="CA100" s="6090"/>
      <c r="CB100" s="6090"/>
      <c r="CC100" s="6090"/>
      <c r="CD100" s="6090"/>
      <c r="CE100" s="6090"/>
      <c r="CF100" s="6090"/>
      <c r="CG100" s="6090"/>
      <c r="CH100" s="6090"/>
      <c r="CI100" s="6090"/>
      <c r="CJ100" s="6090"/>
      <c r="CK100" s="6090"/>
      <c r="CO100" s="6090"/>
      <c r="CP100" s="6090"/>
      <c r="CQ100" s="6090"/>
      <c r="CR100" s="6090"/>
      <c r="CS100" s="6090"/>
      <c r="CT100" s="6090"/>
      <c r="CU100" s="6090"/>
      <c r="CV100" s="6090"/>
      <c r="CW100" s="6090"/>
      <c r="CX100" s="6090"/>
      <c r="CY100" s="6090"/>
      <c r="CZ100" s="6090"/>
      <c r="DA100" s="6090"/>
      <c r="DB100" s="6090"/>
      <c r="DC100" s="6090"/>
      <c r="DD100" s="6090"/>
      <c r="DE100" s="6090"/>
      <c r="DF100" s="6090"/>
      <c r="DG100" s="6090"/>
      <c r="DH100" s="6090"/>
      <c r="DI100" s="6090"/>
      <c r="DJ100" s="6090"/>
      <c r="DK100" s="6090"/>
      <c r="DL100" s="6090"/>
      <c r="DM100" s="6090"/>
      <c r="DN100" s="6090"/>
      <c r="DO100" s="6090"/>
      <c r="DP100" s="6090"/>
      <c r="DQ100" s="6090"/>
      <c r="DR100" s="6090"/>
      <c r="DS100" s="6090"/>
      <c r="DT100" s="6090"/>
      <c r="DU100" s="6090"/>
      <c r="DV100" s="6090"/>
      <c r="DW100" s="6090"/>
      <c r="DX100" s="6090"/>
      <c r="DY100" s="6090"/>
      <c r="DZ100" s="6090"/>
      <c r="EA100" s="6090"/>
      <c r="EB100" s="6090"/>
      <c r="EC100" s="6090"/>
      <c r="ED100" s="6090"/>
      <c r="EH100" s="6090"/>
      <c r="EI100" s="6090"/>
      <c r="EJ100" s="6090"/>
      <c r="EK100" s="6090"/>
      <c r="EL100" s="6090"/>
      <c r="EM100" s="6090"/>
      <c r="EN100" s="6090"/>
      <c r="EO100" s="6090"/>
      <c r="EP100" s="6090"/>
      <c r="EQ100" s="6090"/>
      <c r="ER100" s="6090"/>
      <c r="ES100" s="6090"/>
      <c r="ET100" s="6090"/>
      <c r="EU100" s="6090"/>
      <c r="EV100" s="6090"/>
      <c r="EW100" s="6090"/>
      <c r="EX100" s="6090"/>
      <c r="EY100" s="6090"/>
      <c r="EZ100" s="6090"/>
      <c r="FA100" s="6090"/>
      <c r="FB100" s="6090"/>
      <c r="FC100" s="6090"/>
      <c r="FD100" s="6090"/>
      <c r="FE100" s="6090"/>
      <c r="FF100" s="6090"/>
      <c r="FG100" s="6090"/>
      <c r="FH100" s="6090"/>
      <c r="FI100" s="6090"/>
      <c r="FJ100" s="6090"/>
      <c r="FK100" s="6090"/>
      <c r="FL100" s="6090"/>
      <c r="FM100" s="6090"/>
      <c r="FN100" s="6090"/>
      <c r="FO100" s="6090"/>
      <c r="FP100" s="6090"/>
      <c r="FQ100" s="6090"/>
      <c r="FR100" s="6090"/>
      <c r="FS100" s="6090"/>
      <c r="FT100" s="6090"/>
      <c r="FU100" s="6090"/>
      <c r="FV100" s="6090"/>
      <c r="FW100" s="6090"/>
      <c r="GA100" s="6090"/>
      <c r="GB100" s="6090"/>
      <c r="GC100" s="6090"/>
      <c r="GD100" s="6090"/>
      <c r="GE100" s="6090"/>
      <c r="GF100" s="6090"/>
      <c r="GG100" s="6090"/>
      <c r="GH100" s="6090"/>
      <c r="GI100" s="6090"/>
      <c r="GJ100" s="6090"/>
      <c r="GK100" s="6090"/>
      <c r="GL100" s="6090"/>
      <c r="GM100" s="6090"/>
      <c r="GN100" s="6090"/>
      <c r="GO100" s="6090"/>
      <c r="GP100" s="6090"/>
      <c r="GQ100" s="6090"/>
      <c r="GR100" s="6090"/>
      <c r="GS100" s="6090"/>
      <c r="GT100" s="6090"/>
      <c r="GU100" s="6090"/>
      <c r="GV100" s="6090"/>
      <c r="GW100" s="6090"/>
      <c r="GX100" s="6090"/>
      <c r="GY100" s="6090"/>
      <c r="GZ100" s="6090"/>
      <c r="HA100" s="6090"/>
      <c r="HB100" s="6090"/>
      <c r="HC100" s="6090"/>
      <c r="HD100" s="6090"/>
      <c r="HE100" s="6090"/>
      <c r="HF100" s="6090"/>
      <c r="HG100" s="6090"/>
      <c r="HH100" s="6090"/>
      <c r="HI100" s="6090"/>
      <c r="HJ100" s="6090"/>
      <c r="HK100" s="6090"/>
      <c r="HL100" s="6090"/>
      <c r="HM100" s="6090"/>
      <c r="HN100" s="6090"/>
      <c r="HO100" s="6090"/>
      <c r="HP100" s="6090"/>
      <c r="HT100" s="6090"/>
      <c r="HU100" s="6090"/>
      <c r="HV100" s="6090"/>
      <c r="HW100" s="6090"/>
      <c r="HX100" s="6090"/>
      <c r="HY100" s="6090"/>
      <c r="HZ100" s="6090"/>
      <c r="IA100" s="6090"/>
      <c r="IB100" s="6090"/>
      <c r="IC100" s="6090"/>
      <c r="ID100" s="6090"/>
      <c r="IE100" s="6090"/>
      <c r="IF100" s="6090"/>
      <c r="IG100" s="6090"/>
      <c r="IH100" s="6090"/>
      <c r="II100" s="6090"/>
      <c r="IJ100" s="6090"/>
      <c r="IK100" s="6090"/>
      <c r="IL100" s="6090"/>
      <c r="IM100" s="6090"/>
      <c r="IN100" s="6090"/>
      <c r="IO100" s="6090"/>
      <c r="IP100" s="6090"/>
      <c r="IQ100" s="6090"/>
      <c r="IR100" s="6090"/>
      <c r="IS100" s="6090"/>
      <c r="IT100" s="6090"/>
      <c r="IU100" s="6090"/>
      <c r="IV100" s="6090"/>
      <c r="IW100" s="6090"/>
      <c r="IX100" s="6090"/>
      <c r="IY100" s="6090"/>
      <c r="IZ100" s="6090"/>
      <c r="JA100" s="6090"/>
      <c r="JB100" s="6090"/>
      <c r="JC100" s="6090"/>
      <c r="JD100" s="6090"/>
      <c r="JE100" s="6090"/>
      <c r="JF100" s="6090"/>
      <c r="JG100" s="6090"/>
      <c r="JH100" s="6090"/>
      <c r="JI100" s="6090"/>
      <c r="JM100" s="6090"/>
      <c r="JN100" s="6090"/>
      <c r="JO100" s="6090"/>
      <c r="JP100" s="6090"/>
      <c r="JQ100" s="6090"/>
      <c r="JR100" s="6090"/>
      <c r="JS100" s="6090"/>
      <c r="JT100" s="6090"/>
      <c r="JU100" s="6090"/>
      <c r="JV100" s="6090"/>
      <c r="JW100" s="6090"/>
      <c r="JX100" s="6090"/>
      <c r="JY100" s="6090"/>
      <c r="JZ100" s="6090"/>
      <c r="KA100" s="6090"/>
      <c r="KB100" s="6090"/>
      <c r="KC100" s="6090"/>
      <c r="KD100" s="6090"/>
      <c r="KE100" s="6090"/>
      <c r="KF100" s="6090"/>
      <c r="KG100" s="6090"/>
      <c r="KH100" s="6090"/>
      <c r="KI100" s="6090"/>
      <c r="KJ100" s="6090"/>
      <c r="KK100" s="6090"/>
      <c r="KL100" s="6090"/>
      <c r="KM100" s="6090"/>
      <c r="KN100" s="6090"/>
      <c r="KO100" s="6090"/>
      <c r="KP100" s="6090"/>
      <c r="KQ100" s="6090"/>
      <c r="KR100" s="6090"/>
      <c r="KS100" s="6090"/>
      <c r="KT100" s="6090"/>
      <c r="KU100" s="6090"/>
      <c r="KV100" s="6090"/>
      <c r="KW100" s="6090"/>
      <c r="KX100" s="6090"/>
      <c r="KY100" s="6090"/>
      <c r="KZ100" s="6090"/>
      <c r="LA100" s="6090"/>
      <c r="LB100" s="6090"/>
      <c r="LF100" s="6090"/>
      <c r="LG100" s="6090"/>
      <c r="LH100" s="6090"/>
      <c r="LI100" s="6090"/>
      <c r="LJ100" s="6090"/>
      <c r="LK100" s="6090"/>
      <c r="LL100" s="6090"/>
      <c r="LM100" s="6090"/>
      <c r="LN100" s="6090"/>
      <c r="LO100" s="6090"/>
      <c r="LP100" s="6090"/>
      <c r="LQ100" s="6090"/>
      <c r="LR100" s="6090"/>
      <c r="LS100" s="6090"/>
      <c r="LT100" s="6090"/>
      <c r="LU100" s="6090"/>
      <c r="LV100" s="6090"/>
      <c r="LW100" s="6090"/>
      <c r="LX100" s="6090"/>
      <c r="LY100" s="6090"/>
      <c r="LZ100" s="6090"/>
      <c r="MA100" s="6090"/>
      <c r="MB100" s="6090"/>
      <c r="MC100" s="6090"/>
      <c r="MD100" s="6090"/>
      <c r="ME100" s="6090"/>
      <c r="MF100" s="6090"/>
      <c r="MG100" s="6090"/>
      <c r="MH100" s="6090"/>
      <c r="MI100" s="6090"/>
      <c r="MJ100" s="6090"/>
      <c r="MK100" s="6090"/>
      <c r="ML100" s="6090"/>
      <c r="MM100" s="6090"/>
      <c r="MN100" s="6090"/>
      <c r="MO100" s="6090"/>
      <c r="MP100" s="6090"/>
      <c r="MQ100" s="6090"/>
      <c r="MR100" s="6090"/>
      <c r="MS100" s="6090"/>
      <c r="MT100" s="6090"/>
      <c r="MU100" s="6090"/>
      <c r="MY100" s="6090"/>
      <c r="MZ100" s="6090"/>
      <c r="NA100" s="6090"/>
      <c r="NB100" s="6090"/>
      <c r="NC100" s="6090"/>
      <c r="ND100" s="6090"/>
      <c r="NE100" s="6090"/>
      <c r="NF100" s="6090"/>
      <c r="NG100" s="6090"/>
      <c r="NH100" s="6090"/>
      <c r="NI100" s="6090"/>
      <c r="NJ100" s="6090"/>
      <c r="NK100" s="6090"/>
      <c r="NL100" s="6090"/>
      <c r="NM100" s="6090"/>
      <c r="NN100" s="6090"/>
      <c r="NO100" s="6090"/>
      <c r="NP100" s="6090"/>
      <c r="NQ100" s="6090"/>
      <c r="NR100" s="6090"/>
      <c r="NS100" s="6090"/>
      <c r="NT100" s="6090"/>
      <c r="NU100" s="6090"/>
      <c r="NV100" s="6090"/>
      <c r="NW100" s="6090"/>
      <c r="NX100" s="6090"/>
      <c r="NY100" s="6090"/>
      <c r="NZ100" s="6090"/>
      <c r="OA100" s="6090"/>
      <c r="OB100" s="6090"/>
      <c r="OC100" s="6090"/>
      <c r="OD100" s="6090"/>
      <c r="OE100" s="6090"/>
      <c r="OF100" s="6090"/>
      <c r="OG100" s="6090"/>
      <c r="OH100" s="6090"/>
      <c r="OI100" s="6090"/>
      <c r="OJ100" s="6090"/>
      <c r="OK100" s="6090"/>
      <c r="OL100" s="6090"/>
      <c r="OM100" s="6090"/>
      <c r="ON100" s="6090"/>
    </row>
    <row r="101" spans="3:405" ht="5.0999999999999996" customHeight="1" x14ac:dyDescent="0.2">
      <c r="D101" s="6091"/>
      <c r="AW101" s="6091"/>
      <c r="CP101" s="6091"/>
      <c r="EI101" s="6091"/>
      <c r="GB101" s="6091"/>
      <c r="HU101" s="6091"/>
      <c r="JN101" s="6091"/>
      <c r="LG101" s="6091"/>
      <c r="MZ101" s="6091"/>
    </row>
    <row r="102" spans="3:405" ht="5.0999999999999996" customHeight="1" x14ac:dyDescent="0.2"/>
    <row r="103" spans="3:405" ht="8.1" customHeight="1" x14ac:dyDescent="0.2">
      <c r="C103" s="6090"/>
      <c r="D103" s="6090"/>
      <c r="E103" s="6090"/>
      <c r="F103" s="6090"/>
      <c r="G103" s="6090"/>
      <c r="H103" s="6090"/>
      <c r="I103" s="6090"/>
      <c r="J103" s="6090"/>
      <c r="K103" s="6090"/>
      <c r="L103" s="6090"/>
      <c r="M103" s="6090"/>
      <c r="N103" s="6090"/>
      <c r="O103" s="6090"/>
      <c r="P103" s="6090"/>
      <c r="Q103" s="6090"/>
      <c r="R103" s="6090"/>
      <c r="S103" s="6090"/>
      <c r="T103" s="6090"/>
      <c r="U103" s="6090"/>
      <c r="V103" s="6090"/>
      <c r="W103" s="6090"/>
      <c r="X103" s="6090"/>
      <c r="Y103" s="6090"/>
      <c r="Z103" s="6090"/>
      <c r="AA103" s="6090"/>
      <c r="AB103" s="6090"/>
      <c r="AC103" s="6090"/>
      <c r="AD103" s="6090"/>
      <c r="AE103" s="6090"/>
      <c r="AF103" s="6090"/>
      <c r="AG103" s="6090"/>
      <c r="AH103" s="6090"/>
      <c r="AI103" s="6090"/>
      <c r="AJ103" s="6090"/>
      <c r="AK103" s="6090"/>
      <c r="AL103" s="6090"/>
      <c r="AM103" s="6090"/>
      <c r="AN103" s="6090"/>
      <c r="AO103" s="6090"/>
      <c r="AP103" s="6090"/>
      <c r="AQ103" s="6090"/>
      <c r="AR103" s="6090"/>
      <c r="AV103" s="6090"/>
      <c r="AW103" s="6090"/>
      <c r="AX103" s="6090"/>
      <c r="AY103" s="6090"/>
      <c r="AZ103" s="6090"/>
      <c r="BA103" s="6090"/>
      <c r="BB103" s="6090"/>
      <c r="BC103" s="6090"/>
      <c r="BD103" s="6090"/>
      <c r="BE103" s="6090"/>
      <c r="BF103" s="6090"/>
      <c r="BG103" s="6090"/>
      <c r="BH103" s="6090"/>
      <c r="BI103" s="6090"/>
      <c r="BJ103" s="6090"/>
      <c r="BK103" s="6090"/>
      <c r="BL103" s="6090"/>
      <c r="BM103" s="6090"/>
      <c r="BN103" s="6090"/>
      <c r="BO103" s="6090"/>
      <c r="BP103" s="6090"/>
      <c r="BQ103" s="6090"/>
      <c r="BR103" s="6090"/>
      <c r="BS103" s="6090"/>
      <c r="BT103" s="6090"/>
      <c r="BU103" s="6090"/>
      <c r="BV103" s="6090"/>
      <c r="BW103" s="6090"/>
      <c r="BX103" s="6090"/>
      <c r="BY103" s="6090"/>
      <c r="BZ103" s="6090"/>
      <c r="CA103" s="6090"/>
      <c r="CB103" s="6090"/>
      <c r="CC103" s="6090"/>
      <c r="CD103" s="6090"/>
      <c r="CE103" s="6090"/>
      <c r="CF103" s="6090"/>
      <c r="CG103" s="6090"/>
      <c r="CH103" s="6090"/>
      <c r="CI103" s="6090"/>
      <c r="CJ103" s="6090"/>
      <c r="CK103" s="6090"/>
      <c r="CO103" s="6090"/>
      <c r="CP103" s="6090"/>
      <c r="CQ103" s="6090"/>
      <c r="CR103" s="6090"/>
      <c r="CS103" s="6090"/>
      <c r="CT103" s="6090"/>
      <c r="CU103" s="6090"/>
      <c r="CV103" s="6090"/>
      <c r="CW103" s="6090"/>
      <c r="CX103" s="6090"/>
      <c r="CY103" s="6090"/>
      <c r="CZ103" s="6090"/>
      <c r="DA103" s="6090"/>
      <c r="DB103" s="6090"/>
      <c r="DC103" s="6090"/>
      <c r="DD103" s="6090"/>
      <c r="DE103" s="6090"/>
      <c r="DF103" s="6090"/>
      <c r="DG103" s="6090"/>
      <c r="DH103" s="6090"/>
      <c r="DI103" s="6090"/>
      <c r="DJ103" s="6090"/>
      <c r="DK103" s="6090"/>
      <c r="DL103" s="6090"/>
      <c r="DM103" s="6090"/>
      <c r="DN103" s="6090"/>
      <c r="DO103" s="6090"/>
      <c r="DP103" s="6090"/>
      <c r="DQ103" s="6090"/>
      <c r="DR103" s="6090"/>
      <c r="DS103" s="6090"/>
      <c r="DT103" s="6090"/>
      <c r="DU103" s="6090"/>
      <c r="DV103" s="6090"/>
      <c r="DW103" s="6090"/>
      <c r="DX103" s="6090"/>
      <c r="DY103" s="6090"/>
      <c r="DZ103" s="6090"/>
      <c r="EA103" s="6090"/>
      <c r="EB103" s="6090"/>
      <c r="EC103" s="6090"/>
      <c r="ED103" s="6090"/>
      <c r="EH103" s="6090"/>
      <c r="EI103" s="6090"/>
      <c r="EJ103" s="6090"/>
      <c r="EK103" s="6090"/>
      <c r="EL103" s="6090"/>
      <c r="EM103" s="6090"/>
      <c r="EN103" s="6090"/>
      <c r="EO103" s="6090"/>
      <c r="EP103" s="6090"/>
      <c r="EQ103" s="6090"/>
      <c r="ER103" s="6090"/>
      <c r="ES103" s="6090"/>
      <c r="ET103" s="6090"/>
      <c r="EU103" s="6090"/>
      <c r="EV103" s="6090"/>
      <c r="EW103" s="6090"/>
      <c r="EX103" s="6090"/>
      <c r="EY103" s="6090"/>
      <c r="EZ103" s="6090"/>
      <c r="FA103" s="6090"/>
      <c r="FB103" s="6090"/>
      <c r="FC103" s="6090"/>
      <c r="FD103" s="6090"/>
      <c r="FE103" s="6090"/>
      <c r="FF103" s="6090"/>
      <c r="FG103" s="6090"/>
      <c r="FH103" s="6090"/>
      <c r="FI103" s="6090"/>
      <c r="FJ103" s="6090"/>
      <c r="FK103" s="6090"/>
      <c r="FL103" s="6090"/>
      <c r="FM103" s="6090"/>
      <c r="FN103" s="6090"/>
      <c r="FO103" s="6090"/>
      <c r="FP103" s="6090"/>
      <c r="FQ103" s="6090"/>
      <c r="FR103" s="6090"/>
      <c r="FS103" s="6090"/>
      <c r="FT103" s="6090"/>
      <c r="FU103" s="6090"/>
      <c r="FV103" s="6090"/>
      <c r="FW103" s="6090"/>
      <c r="GA103" s="6090"/>
      <c r="GB103" s="6090"/>
      <c r="GC103" s="6090"/>
      <c r="GD103" s="6090"/>
      <c r="GE103" s="6090"/>
      <c r="GF103" s="6090"/>
      <c r="GG103" s="6090"/>
      <c r="GH103" s="6090"/>
      <c r="GI103" s="6090"/>
      <c r="GJ103" s="6090"/>
      <c r="GK103" s="6090"/>
      <c r="GL103" s="6090"/>
      <c r="GM103" s="6090"/>
      <c r="GN103" s="6090"/>
      <c r="GO103" s="6090"/>
      <c r="GP103" s="6090"/>
      <c r="GQ103" s="6090"/>
      <c r="GR103" s="6090"/>
      <c r="GS103" s="6090"/>
      <c r="GT103" s="6090"/>
      <c r="GU103" s="6090"/>
      <c r="GV103" s="6090"/>
      <c r="GW103" s="6090"/>
      <c r="GX103" s="6090"/>
      <c r="GY103" s="6090"/>
      <c r="GZ103" s="6090"/>
      <c r="HA103" s="6090"/>
      <c r="HB103" s="6090"/>
      <c r="HC103" s="6090"/>
      <c r="HD103" s="6090"/>
      <c r="HE103" s="6090"/>
      <c r="HF103" s="6090"/>
      <c r="HG103" s="6090"/>
      <c r="HH103" s="6090"/>
      <c r="HI103" s="6090"/>
      <c r="HJ103" s="6090"/>
      <c r="HK103" s="6090"/>
      <c r="HL103" s="6090"/>
      <c r="HM103" s="6090"/>
      <c r="HN103" s="6090"/>
      <c r="HO103" s="6090"/>
      <c r="HP103" s="6090"/>
      <c r="HT103" s="6090"/>
      <c r="HU103" s="6090"/>
      <c r="HV103" s="6090"/>
      <c r="HW103" s="6090"/>
      <c r="HX103" s="6090"/>
      <c r="HY103" s="6090"/>
      <c r="HZ103" s="6090"/>
      <c r="IA103" s="6090"/>
      <c r="IB103" s="6090"/>
      <c r="IC103" s="6090"/>
      <c r="ID103" s="6090"/>
      <c r="IE103" s="6090"/>
      <c r="IF103" s="6090"/>
      <c r="IG103" s="6090"/>
      <c r="IH103" s="6090"/>
      <c r="II103" s="6090"/>
      <c r="IJ103" s="6090"/>
      <c r="IK103" s="6090"/>
      <c r="IL103" s="6090"/>
      <c r="IM103" s="6090"/>
      <c r="IN103" s="6090"/>
      <c r="IO103" s="6090"/>
      <c r="IP103" s="6090"/>
      <c r="IQ103" s="6090"/>
      <c r="IR103" s="6090"/>
      <c r="IS103" s="6090"/>
      <c r="IT103" s="6090"/>
      <c r="IU103" s="6090"/>
      <c r="IV103" s="6090"/>
      <c r="IW103" s="6090"/>
      <c r="IX103" s="6090"/>
      <c r="IY103" s="6090"/>
      <c r="IZ103" s="6090"/>
      <c r="JA103" s="6090"/>
      <c r="JB103" s="6090"/>
      <c r="JC103" s="6090"/>
      <c r="JD103" s="6090"/>
      <c r="JE103" s="6090"/>
      <c r="JF103" s="6090"/>
      <c r="JG103" s="6090"/>
      <c r="JH103" s="6090"/>
      <c r="JI103" s="6090"/>
      <c r="JM103" s="6090"/>
      <c r="JN103" s="6090"/>
      <c r="JO103" s="6090"/>
      <c r="JP103" s="6090"/>
      <c r="JQ103" s="6090"/>
      <c r="JR103" s="6090"/>
      <c r="JS103" s="6090"/>
      <c r="JT103" s="6090"/>
      <c r="JU103" s="6090"/>
      <c r="JV103" s="6090"/>
      <c r="JW103" s="6090"/>
      <c r="JX103" s="6090"/>
      <c r="JY103" s="6090"/>
      <c r="JZ103" s="6090"/>
      <c r="KA103" s="6090"/>
      <c r="KB103" s="6090"/>
      <c r="KC103" s="6090"/>
      <c r="KD103" s="6090"/>
      <c r="KE103" s="6090"/>
      <c r="KF103" s="6090"/>
      <c r="KG103" s="6090"/>
      <c r="KH103" s="6090"/>
      <c r="KI103" s="6090"/>
      <c r="KJ103" s="6090"/>
      <c r="KK103" s="6090"/>
      <c r="KL103" s="6090"/>
      <c r="KM103" s="6090"/>
      <c r="KN103" s="6090"/>
      <c r="KO103" s="6090"/>
      <c r="KP103" s="6090"/>
      <c r="KQ103" s="6090"/>
      <c r="KR103" s="6090"/>
      <c r="KS103" s="6090"/>
      <c r="KT103" s="6090"/>
      <c r="KU103" s="6090"/>
      <c r="KV103" s="6090"/>
      <c r="KW103" s="6090"/>
      <c r="KX103" s="6090"/>
      <c r="KY103" s="6090"/>
      <c r="KZ103" s="6090"/>
      <c r="LA103" s="6090"/>
      <c r="LB103" s="6090"/>
      <c r="LF103" s="6090"/>
      <c r="LG103" s="6090"/>
      <c r="LH103" s="6090"/>
      <c r="LI103" s="6090"/>
      <c r="LJ103" s="6090"/>
      <c r="LK103" s="6090"/>
      <c r="LL103" s="6090"/>
      <c r="LM103" s="6090"/>
      <c r="LN103" s="6090"/>
      <c r="LO103" s="6090"/>
      <c r="LP103" s="6090"/>
      <c r="LQ103" s="6090"/>
      <c r="LR103" s="6090"/>
      <c r="LS103" s="6090"/>
      <c r="LT103" s="6090"/>
      <c r="LU103" s="6090"/>
      <c r="LV103" s="6090"/>
      <c r="LW103" s="6090"/>
      <c r="LX103" s="6090"/>
      <c r="LY103" s="6090"/>
      <c r="LZ103" s="6090"/>
      <c r="MA103" s="6090"/>
      <c r="MB103" s="6090"/>
      <c r="MC103" s="6090"/>
      <c r="MD103" s="6090"/>
      <c r="ME103" s="6090"/>
      <c r="MF103" s="6090"/>
      <c r="MG103" s="6090"/>
      <c r="MH103" s="6090"/>
      <c r="MI103" s="6090"/>
      <c r="MJ103" s="6090"/>
      <c r="MK103" s="6090"/>
      <c r="ML103" s="6090"/>
      <c r="MM103" s="6090"/>
      <c r="MN103" s="6090"/>
      <c r="MO103" s="6090"/>
      <c r="MP103" s="6090"/>
      <c r="MQ103" s="6090"/>
      <c r="MR103" s="6090"/>
      <c r="MS103" s="6090"/>
      <c r="MT103" s="6090"/>
      <c r="MU103" s="6090"/>
      <c r="MY103" s="6090"/>
      <c r="MZ103" s="6090"/>
      <c r="NA103" s="6090"/>
      <c r="NB103" s="6090"/>
      <c r="NC103" s="6090"/>
      <c r="ND103" s="6090"/>
      <c r="NE103" s="6090"/>
      <c r="NF103" s="6090"/>
      <c r="NG103" s="6090"/>
      <c r="NH103" s="6090"/>
      <c r="NI103" s="6090"/>
      <c r="NJ103" s="6090"/>
      <c r="NK103" s="6090"/>
      <c r="NL103" s="6090"/>
      <c r="NM103" s="6090"/>
      <c r="NN103" s="6090"/>
      <c r="NO103" s="6090"/>
      <c r="NP103" s="6090"/>
      <c r="NQ103" s="6090"/>
      <c r="NR103" s="6090"/>
      <c r="NS103" s="6090"/>
      <c r="NT103" s="6090"/>
      <c r="NU103" s="6090"/>
      <c r="NV103" s="6090"/>
      <c r="NW103" s="6090"/>
      <c r="NX103" s="6090"/>
      <c r="NY103" s="6090"/>
      <c r="NZ103" s="6090"/>
      <c r="OA103" s="6090"/>
      <c r="OB103" s="6090"/>
      <c r="OC103" s="6090"/>
      <c r="OD103" s="6090"/>
      <c r="OE103" s="6090"/>
      <c r="OF103" s="6090"/>
      <c r="OG103" s="6090"/>
      <c r="OH103" s="6090"/>
      <c r="OI103" s="6090"/>
      <c r="OJ103" s="6090"/>
      <c r="OK103" s="6090"/>
      <c r="OL103" s="6090"/>
      <c r="OM103" s="6090"/>
      <c r="ON103" s="6090"/>
    </row>
    <row r="104" spans="3:405" ht="9.9499999999999993" customHeight="1" thickBot="1" x14ac:dyDescent="0.25"/>
    <row r="105" spans="3:405" ht="9.9499999999999993" customHeight="1" thickBot="1" x14ac:dyDescent="0.25">
      <c r="C105" s="6015"/>
      <c r="D105" s="6016"/>
      <c r="E105" s="6016"/>
      <c r="F105" s="6016"/>
      <c r="G105" s="6016"/>
      <c r="H105" s="6016"/>
      <c r="I105" s="6016"/>
      <c r="J105" s="6016"/>
      <c r="K105" s="6016"/>
      <c r="L105" s="6016"/>
      <c r="M105" s="6016"/>
      <c r="N105" s="6016"/>
      <c r="O105" s="6016"/>
      <c r="P105" s="6016"/>
      <c r="Q105" s="6016"/>
      <c r="R105" s="6016"/>
      <c r="S105" s="6016"/>
      <c r="T105" s="6016"/>
      <c r="U105" s="6016"/>
      <c r="V105" s="6016"/>
      <c r="W105" s="6016"/>
      <c r="X105" s="6016"/>
      <c r="Y105" s="6016"/>
      <c r="Z105" s="6016"/>
      <c r="AA105" s="6016"/>
      <c r="AB105" s="6016"/>
      <c r="AC105" s="6016"/>
      <c r="AD105" s="6016"/>
      <c r="AE105" s="6016"/>
      <c r="AF105" s="6016"/>
      <c r="AG105" s="6016"/>
      <c r="AH105" s="6016"/>
      <c r="AI105" s="6016"/>
      <c r="AJ105" s="6016"/>
      <c r="AK105" s="6016"/>
      <c r="AL105" s="6016"/>
      <c r="AM105" s="6016"/>
      <c r="AN105" s="6016"/>
      <c r="AO105" s="6016"/>
      <c r="AP105" s="6016"/>
      <c r="AQ105" s="6016"/>
      <c r="AR105" s="6017"/>
      <c r="AV105" s="6015"/>
      <c r="AW105" s="6016"/>
      <c r="AX105" s="6016"/>
      <c r="AY105" s="6016"/>
      <c r="AZ105" s="6016"/>
      <c r="BA105" s="6016"/>
      <c r="BB105" s="6016"/>
      <c r="BC105" s="6016"/>
      <c r="BD105" s="6016"/>
      <c r="BE105" s="6016"/>
      <c r="BF105" s="6016"/>
      <c r="BG105" s="6016"/>
      <c r="BH105" s="6016"/>
      <c r="BI105" s="6016"/>
      <c r="BJ105" s="6016"/>
      <c r="BK105" s="6016"/>
      <c r="BL105" s="6016"/>
      <c r="BM105" s="6016"/>
      <c r="BN105" s="6016"/>
      <c r="BO105" s="6016"/>
      <c r="BP105" s="6016"/>
      <c r="BQ105" s="6016"/>
      <c r="BR105" s="6016"/>
      <c r="BS105" s="6016"/>
      <c r="BT105" s="6016"/>
      <c r="BU105" s="6016"/>
      <c r="BV105" s="6016"/>
      <c r="BW105" s="6016"/>
      <c r="BX105" s="6016"/>
      <c r="BY105" s="6016"/>
      <c r="BZ105" s="6016"/>
      <c r="CA105" s="6016"/>
      <c r="CB105" s="6016"/>
      <c r="CC105" s="6016"/>
      <c r="CD105" s="6016"/>
      <c r="CE105" s="6016"/>
      <c r="CF105" s="6016"/>
      <c r="CG105" s="6016"/>
      <c r="CH105" s="6016"/>
      <c r="CI105" s="6016"/>
      <c r="CJ105" s="6016"/>
      <c r="CK105" s="6017"/>
      <c r="CO105" s="6015"/>
      <c r="CP105" s="6016"/>
      <c r="CQ105" s="6016"/>
      <c r="CR105" s="6016"/>
      <c r="CS105" s="6016"/>
      <c r="CT105" s="6016"/>
      <c r="CU105" s="6016"/>
      <c r="CV105" s="6016"/>
      <c r="CW105" s="6016"/>
      <c r="CX105" s="6016"/>
      <c r="CY105" s="6016"/>
      <c r="CZ105" s="6016"/>
      <c r="DA105" s="6016"/>
      <c r="DB105" s="6016"/>
      <c r="DC105" s="6016"/>
      <c r="DD105" s="6016"/>
      <c r="DE105" s="6016"/>
      <c r="DF105" s="6016"/>
      <c r="DG105" s="6016"/>
      <c r="DH105" s="6016"/>
      <c r="DI105" s="6016"/>
      <c r="DJ105" s="6016"/>
      <c r="DK105" s="6016"/>
      <c r="DL105" s="6016"/>
      <c r="DM105" s="6016"/>
      <c r="DN105" s="6016"/>
      <c r="DO105" s="6016"/>
      <c r="DP105" s="6016"/>
      <c r="DQ105" s="6016"/>
      <c r="DR105" s="6016"/>
      <c r="DS105" s="6016"/>
      <c r="DT105" s="6016"/>
      <c r="DU105" s="6016"/>
      <c r="DV105" s="6016"/>
      <c r="DW105" s="6016"/>
      <c r="DX105" s="6016"/>
      <c r="DY105" s="6016"/>
      <c r="DZ105" s="6016"/>
      <c r="EA105" s="6016"/>
      <c r="EB105" s="6016"/>
      <c r="EC105" s="6016"/>
      <c r="ED105" s="6017"/>
      <c r="EH105" s="6015"/>
      <c r="EI105" s="6016"/>
      <c r="EJ105" s="6016"/>
      <c r="EK105" s="6016"/>
      <c r="EL105" s="6016"/>
      <c r="EM105" s="6016"/>
      <c r="EN105" s="6016"/>
      <c r="EO105" s="6016"/>
      <c r="EP105" s="6016"/>
      <c r="EQ105" s="6016"/>
      <c r="ER105" s="6016"/>
      <c r="ES105" s="6016"/>
      <c r="ET105" s="6016"/>
      <c r="EU105" s="6016"/>
      <c r="EV105" s="6016"/>
      <c r="EW105" s="6016"/>
      <c r="EX105" s="6016"/>
      <c r="EY105" s="6016"/>
      <c r="EZ105" s="6016"/>
      <c r="FA105" s="6016"/>
      <c r="FB105" s="6016"/>
      <c r="FC105" s="6016"/>
      <c r="FD105" s="6016"/>
      <c r="FE105" s="6016"/>
      <c r="FF105" s="6016"/>
      <c r="FG105" s="6016"/>
      <c r="FH105" s="6016"/>
      <c r="FI105" s="6016"/>
      <c r="FJ105" s="6016"/>
      <c r="FK105" s="6016"/>
      <c r="FL105" s="6016"/>
      <c r="FM105" s="6016"/>
      <c r="FN105" s="6016"/>
      <c r="FO105" s="6016"/>
      <c r="FP105" s="6016"/>
      <c r="FQ105" s="6016"/>
      <c r="FR105" s="6016"/>
      <c r="FS105" s="6016"/>
      <c r="FT105" s="6016"/>
      <c r="FU105" s="6016"/>
      <c r="FV105" s="6016"/>
      <c r="FW105" s="6017"/>
      <c r="GA105" s="6015"/>
      <c r="GB105" s="6016"/>
      <c r="GC105" s="6016"/>
      <c r="GD105" s="6016"/>
      <c r="GE105" s="6016"/>
      <c r="GF105" s="6016"/>
      <c r="GG105" s="6016"/>
      <c r="GH105" s="6016"/>
      <c r="GI105" s="6016"/>
      <c r="GJ105" s="6016"/>
      <c r="GK105" s="6016"/>
      <c r="GL105" s="6016"/>
      <c r="GM105" s="6016"/>
      <c r="GN105" s="6016"/>
      <c r="GO105" s="6016"/>
      <c r="GP105" s="6016"/>
      <c r="GQ105" s="6016"/>
      <c r="GR105" s="6016"/>
      <c r="GS105" s="6016"/>
      <c r="GT105" s="6016"/>
      <c r="GU105" s="6016"/>
      <c r="GV105" s="6016"/>
      <c r="GW105" s="6016"/>
      <c r="GX105" s="6016"/>
      <c r="GY105" s="6016"/>
      <c r="GZ105" s="6016"/>
      <c r="HA105" s="6016"/>
      <c r="HB105" s="6016"/>
      <c r="HC105" s="6016"/>
      <c r="HD105" s="6016"/>
      <c r="HE105" s="6016"/>
      <c r="HF105" s="6016"/>
      <c r="HG105" s="6016"/>
      <c r="HH105" s="6016"/>
      <c r="HI105" s="6016"/>
      <c r="HJ105" s="6016"/>
      <c r="HK105" s="6016"/>
      <c r="HL105" s="6016"/>
      <c r="HM105" s="6016"/>
      <c r="HN105" s="6016"/>
      <c r="HO105" s="6016"/>
      <c r="HP105" s="6017"/>
      <c r="HT105" s="6015"/>
      <c r="HU105" s="6016"/>
      <c r="HV105" s="6016"/>
      <c r="HW105" s="6016"/>
      <c r="HX105" s="6016"/>
      <c r="HY105" s="6016"/>
      <c r="HZ105" s="6016"/>
      <c r="IA105" s="6016"/>
      <c r="IB105" s="6016"/>
      <c r="IC105" s="6016"/>
      <c r="ID105" s="6016"/>
      <c r="IE105" s="6016"/>
      <c r="IF105" s="6016"/>
      <c r="IG105" s="6016"/>
      <c r="IH105" s="6016"/>
      <c r="II105" s="6016"/>
      <c r="IJ105" s="6016"/>
      <c r="IK105" s="6016"/>
      <c r="IL105" s="6016"/>
      <c r="IM105" s="6016"/>
      <c r="IN105" s="6016"/>
      <c r="IO105" s="6016"/>
      <c r="IP105" s="6016"/>
      <c r="IQ105" s="6016"/>
      <c r="IR105" s="6016"/>
      <c r="IS105" s="6016"/>
      <c r="IT105" s="6016"/>
      <c r="IU105" s="6016"/>
      <c r="IV105" s="6016"/>
      <c r="IW105" s="6016"/>
      <c r="IX105" s="6016"/>
      <c r="IY105" s="6016"/>
      <c r="IZ105" s="6016"/>
      <c r="JA105" s="6016"/>
      <c r="JB105" s="6016"/>
      <c r="JC105" s="6016"/>
      <c r="JD105" s="6016"/>
      <c r="JE105" s="6016"/>
      <c r="JF105" s="6016"/>
      <c r="JG105" s="6016"/>
      <c r="JH105" s="6016"/>
      <c r="JI105" s="6017"/>
      <c r="JM105" s="6015"/>
      <c r="JN105" s="6016"/>
      <c r="JO105" s="6016"/>
      <c r="JP105" s="6016"/>
      <c r="JQ105" s="6016"/>
      <c r="JR105" s="6016"/>
      <c r="JS105" s="6016"/>
      <c r="JT105" s="6016"/>
      <c r="JU105" s="6016"/>
      <c r="JV105" s="6016"/>
      <c r="JW105" s="6016"/>
      <c r="JX105" s="6016"/>
      <c r="JY105" s="6016"/>
      <c r="JZ105" s="6016"/>
      <c r="KA105" s="6016"/>
      <c r="KB105" s="6016"/>
      <c r="KC105" s="6016"/>
      <c r="KD105" s="6016"/>
      <c r="KE105" s="6016"/>
      <c r="KF105" s="6016"/>
      <c r="KG105" s="6016"/>
      <c r="KH105" s="6016"/>
      <c r="KI105" s="6016"/>
      <c r="KJ105" s="6016"/>
      <c r="KK105" s="6016"/>
      <c r="KL105" s="6016"/>
      <c r="KM105" s="6016"/>
      <c r="KN105" s="6016"/>
      <c r="KO105" s="6016"/>
      <c r="KP105" s="6016"/>
      <c r="KQ105" s="6016"/>
      <c r="KR105" s="6016"/>
      <c r="KS105" s="6016"/>
      <c r="KT105" s="6016"/>
      <c r="KU105" s="6016"/>
      <c r="KV105" s="6016"/>
      <c r="KW105" s="6016"/>
      <c r="KX105" s="6016"/>
      <c r="KY105" s="6016"/>
      <c r="KZ105" s="6016"/>
      <c r="LA105" s="6016"/>
      <c r="LB105" s="6017"/>
      <c r="LC105" s="7"/>
      <c r="LF105" s="6015"/>
      <c r="LG105" s="6016"/>
      <c r="LH105" s="6016"/>
      <c r="LI105" s="6016"/>
      <c r="LJ105" s="6016"/>
      <c r="LK105" s="6016"/>
      <c r="LL105" s="6016"/>
      <c r="LM105" s="6016"/>
      <c r="LN105" s="6016"/>
      <c r="LO105" s="6016"/>
      <c r="LP105" s="6016"/>
      <c r="LQ105" s="6016"/>
      <c r="LR105" s="6016"/>
      <c r="LS105" s="6016"/>
      <c r="LT105" s="6016"/>
      <c r="LU105" s="6016"/>
      <c r="LV105" s="6016"/>
      <c r="LW105" s="6016"/>
      <c r="LX105" s="6016"/>
      <c r="LY105" s="6016"/>
      <c r="LZ105" s="6016"/>
      <c r="MA105" s="6016"/>
      <c r="MB105" s="6016"/>
      <c r="MC105" s="6016"/>
      <c r="MD105" s="6016"/>
      <c r="ME105" s="6016"/>
      <c r="MF105" s="6016"/>
      <c r="MG105" s="6016"/>
      <c r="MH105" s="6016"/>
      <c r="MI105" s="6016"/>
      <c r="MJ105" s="6016"/>
      <c r="MK105" s="6016"/>
      <c r="ML105" s="6016"/>
      <c r="MM105" s="6016"/>
      <c r="MN105" s="6016"/>
      <c r="MO105" s="6016"/>
      <c r="MP105" s="6016"/>
      <c r="MQ105" s="6016"/>
      <c r="MR105" s="6016"/>
      <c r="MS105" s="6016"/>
      <c r="MT105" s="6016"/>
      <c r="MU105" s="6017"/>
      <c r="MV105" s="7"/>
      <c r="MY105" s="6015"/>
      <c r="MZ105" s="6016"/>
      <c r="NA105" s="6016"/>
      <c r="NB105" s="6016"/>
      <c r="NC105" s="6016"/>
      <c r="ND105" s="6016"/>
      <c r="NE105" s="6016"/>
      <c r="NF105" s="6016"/>
      <c r="NG105" s="6016"/>
      <c r="NH105" s="6016"/>
      <c r="NI105" s="6016"/>
      <c r="NJ105" s="6016"/>
      <c r="NK105" s="6016"/>
      <c r="NL105" s="6016"/>
      <c r="NM105" s="6016"/>
      <c r="NN105" s="6016"/>
      <c r="NO105" s="6016"/>
      <c r="NP105" s="6016"/>
      <c r="NQ105" s="6016"/>
      <c r="NR105" s="6016"/>
      <c r="NS105" s="6016"/>
      <c r="NT105" s="6016"/>
      <c r="NU105" s="6016"/>
      <c r="NV105" s="6016"/>
      <c r="NW105" s="6016"/>
      <c r="NX105" s="6016"/>
      <c r="NY105" s="6016"/>
      <c r="NZ105" s="6016"/>
      <c r="OA105" s="6016"/>
      <c r="OB105" s="6016"/>
      <c r="OC105" s="6016"/>
      <c r="OD105" s="6016"/>
      <c r="OE105" s="6016"/>
      <c r="OF105" s="6016"/>
      <c r="OG105" s="6016"/>
      <c r="OH105" s="6016"/>
      <c r="OI105" s="6016"/>
      <c r="OJ105" s="6016"/>
      <c r="OK105" s="6016"/>
      <c r="OL105" s="6016"/>
      <c r="OM105" s="6016"/>
      <c r="ON105" s="6017"/>
      <c r="OO105" s="7"/>
    </row>
    <row r="106" spans="3:405" s="6027" customFormat="1" ht="15" customHeight="1" thickBot="1" x14ac:dyDescent="0.25">
      <c r="C106" s="6018"/>
      <c r="D106" s="6019"/>
      <c r="E106" s="6779" t="str">
        <f>_Calcs!$II$94</f>
        <v/>
      </c>
      <c r="F106" s="6779"/>
      <c r="G106" s="6779"/>
      <c r="H106" s="6779"/>
      <c r="I106" s="6779"/>
      <c r="J106" s="6779"/>
      <c r="K106" s="6779"/>
      <c r="L106" s="6779"/>
      <c r="M106" s="6779"/>
      <c r="N106" s="6779"/>
      <c r="O106" s="6779"/>
      <c r="P106" s="6779"/>
      <c r="Q106" s="6779"/>
      <c r="R106" s="6779"/>
      <c r="S106" s="6779"/>
      <c r="T106" s="6779"/>
      <c r="U106" s="6779"/>
      <c r="V106" s="6779"/>
      <c r="W106" s="6779"/>
      <c r="X106" s="6779"/>
      <c r="Y106" s="6779"/>
      <c r="Z106" s="6779"/>
      <c r="AA106" s="6779"/>
      <c r="AB106" s="6779"/>
      <c r="AC106" s="6779"/>
      <c r="AD106" s="6779"/>
      <c r="AE106" s="6779"/>
      <c r="AF106" s="6779"/>
      <c r="AG106" s="6779"/>
      <c r="AH106" s="6779"/>
      <c r="AI106" s="6779"/>
      <c r="AJ106" s="6020"/>
      <c r="AK106" s="6021"/>
      <c r="AL106" s="6022"/>
      <c r="AM106" s="6023" t="str">
        <f>_Calcs!$IK$141</f>
        <v>Side 4 av 9</v>
      </c>
      <c r="AN106" s="6024"/>
      <c r="AO106" s="6024"/>
      <c r="AP106" s="6024"/>
      <c r="AQ106" s="6025"/>
      <c r="AR106" s="6026"/>
      <c r="AV106" s="6018"/>
      <c r="AW106" s="6019"/>
      <c r="AX106" s="6779" t="str">
        <f>_Calcs!$II$94</f>
        <v/>
      </c>
      <c r="AY106" s="6779"/>
      <c r="AZ106" s="6779"/>
      <c r="BA106" s="6779"/>
      <c r="BB106" s="6779"/>
      <c r="BC106" s="6779"/>
      <c r="BD106" s="6779"/>
      <c r="BE106" s="6779"/>
      <c r="BF106" s="6779"/>
      <c r="BG106" s="6779"/>
      <c r="BH106" s="6779"/>
      <c r="BI106" s="6779"/>
      <c r="BJ106" s="6779"/>
      <c r="BK106" s="6779"/>
      <c r="BL106" s="6779"/>
      <c r="BM106" s="6779"/>
      <c r="BN106" s="6779"/>
      <c r="BO106" s="6779"/>
      <c r="BP106" s="6779"/>
      <c r="BQ106" s="6779"/>
      <c r="BR106" s="6779"/>
      <c r="BS106" s="6779"/>
      <c r="BT106" s="6779"/>
      <c r="BU106" s="6779"/>
      <c r="BV106" s="6779"/>
      <c r="BW106" s="6779"/>
      <c r="BX106" s="6779"/>
      <c r="BY106" s="6779"/>
      <c r="BZ106" s="6779"/>
      <c r="CA106" s="6779"/>
      <c r="CB106" s="6779"/>
      <c r="CC106" s="6020"/>
      <c r="CD106" s="6021"/>
      <c r="CE106" s="6022"/>
      <c r="CF106" s="6023" t="str">
        <f>_Calcs!$IL$141</f>
        <v>Side 4 av 9</v>
      </c>
      <c r="CG106" s="6024"/>
      <c r="CH106" s="6024"/>
      <c r="CI106" s="6024"/>
      <c r="CJ106" s="6025"/>
      <c r="CK106" s="6026"/>
      <c r="CO106" s="6018"/>
      <c r="CP106" s="6019"/>
      <c r="CQ106" s="6779" t="str">
        <f>_Calcs!$II$94</f>
        <v/>
      </c>
      <c r="CR106" s="6779"/>
      <c r="CS106" s="6779"/>
      <c r="CT106" s="6779"/>
      <c r="CU106" s="6779"/>
      <c r="CV106" s="6779"/>
      <c r="CW106" s="6779"/>
      <c r="CX106" s="6779"/>
      <c r="CY106" s="6779"/>
      <c r="CZ106" s="6779"/>
      <c r="DA106" s="6779"/>
      <c r="DB106" s="6779"/>
      <c r="DC106" s="6779"/>
      <c r="DD106" s="6779"/>
      <c r="DE106" s="6779"/>
      <c r="DF106" s="6779"/>
      <c r="DG106" s="6779"/>
      <c r="DH106" s="6779"/>
      <c r="DI106" s="6779"/>
      <c r="DJ106" s="6779"/>
      <c r="DK106" s="6779"/>
      <c r="DL106" s="6779"/>
      <c r="DM106" s="6779"/>
      <c r="DN106" s="6779"/>
      <c r="DO106" s="6779"/>
      <c r="DP106" s="6779"/>
      <c r="DQ106" s="6779"/>
      <c r="DR106" s="6779"/>
      <c r="DS106" s="6779"/>
      <c r="DT106" s="6779"/>
      <c r="DU106" s="6779"/>
      <c r="DV106" s="6020"/>
      <c r="DW106" s="6021"/>
      <c r="DX106" s="6022"/>
      <c r="DY106" s="6023" t="str">
        <f>_Calcs!$IM$141</f>
        <v>Side 4 av 9</v>
      </c>
      <c r="DZ106" s="6024"/>
      <c r="EA106" s="6024"/>
      <c r="EB106" s="6024"/>
      <c r="EC106" s="6025"/>
      <c r="ED106" s="6026"/>
      <c r="EH106" s="6018"/>
      <c r="EI106" s="6019"/>
      <c r="EJ106" s="6779" t="str">
        <f>_Calcs!$II$94</f>
        <v/>
      </c>
      <c r="EK106" s="6779"/>
      <c r="EL106" s="6779"/>
      <c r="EM106" s="6779"/>
      <c r="EN106" s="6779"/>
      <c r="EO106" s="6779"/>
      <c r="EP106" s="6779"/>
      <c r="EQ106" s="6779"/>
      <c r="ER106" s="6779"/>
      <c r="ES106" s="6779"/>
      <c r="ET106" s="6779"/>
      <c r="EU106" s="6779"/>
      <c r="EV106" s="6779"/>
      <c r="EW106" s="6779"/>
      <c r="EX106" s="6779"/>
      <c r="EY106" s="6779"/>
      <c r="EZ106" s="6779"/>
      <c r="FA106" s="6779"/>
      <c r="FB106" s="6779"/>
      <c r="FC106" s="6779"/>
      <c r="FD106" s="6779"/>
      <c r="FE106" s="6779"/>
      <c r="FF106" s="6779"/>
      <c r="FG106" s="6779"/>
      <c r="FH106" s="6779"/>
      <c r="FI106" s="6779"/>
      <c r="FJ106" s="6779"/>
      <c r="FK106" s="6779"/>
      <c r="FL106" s="6779"/>
      <c r="FM106" s="6779"/>
      <c r="FN106" s="6779"/>
      <c r="FO106" s="6020"/>
      <c r="FP106" s="6021"/>
      <c r="FQ106" s="6022"/>
      <c r="FR106" s="6023" t="str">
        <f>_Calcs!$IN$141</f>
        <v>Side 4 av 9</v>
      </c>
      <c r="FS106" s="6024"/>
      <c r="FT106" s="6024"/>
      <c r="FU106" s="6024"/>
      <c r="FV106" s="6025"/>
      <c r="FW106" s="6026"/>
      <c r="GA106" s="6018"/>
      <c r="GB106" s="6019"/>
      <c r="GC106" s="6779" t="str">
        <f>_Calcs!$II$94</f>
        <v/>
      </c>
      <c r="GD106" s="6779"/>
      <c r="GE106" s="6779"/>
      <c r="GF106" s="6779"/>
      <c r="GG106" s="6779"/>
      <c r="GH106" s="6779"/>
      <c r="GI106" s="6779"/>
      <c r="GJ106" s="6779"/>
      <c r="GK106" s="6779"/>
      <c r="GL106" s="6779"/>
      <c r="GM106" s="6779"/>
      <c r="GN106" s="6779"/>
      <c r="GO106" s="6779"/>
      <c r="GP106" s="6779"/>
      <c r="GQ106" s="6779"/>
      <c r="GR106" s="6779"/>
      <c r="GS106" s="6779"/>
      <c r="GT106" s="6779"/>
      <c r="GU106" s="6779"/>
      <c r="GV106" s="6779"/>
      <c r="GW106" s="6779"/>
      <c r="GX106" s="6779"/>
      <c r="GY106" s="6779"/>
      <c r="GZ106" s="6779"/>
      <c r="HA106" s="6779"/>
      <c r="HB106" s="6779"/>
      <c r="HC106" s="6779"/>
      <c r="HD106" s="6779"/>
      <c r="HE106" s="6779"/>
      <c r="HF106" s="6779"/>
      <c r="HG106" s="6779"/>
      <c r="HH106" s="6020"/>
      <c r="HI106" s="6021"/>
      <c r="HJ106" s="6022"/>
      <c r="HK106" s="6023" t="str">
        <f>_Calcs!$IO$141</f>
        <v>Side 4 av 9</v>
      </c>
      <c r="HL106" s="6024"/>
      <c r="HM106" s="6024"/>
      <c r="HN106" s="6024"/>
      <c r="HO106" s="6025"/>
      <c r="HP106" s="6026"/>
      <c r="HT106" s="6018"/>
      <c r="HU106" s="6019"/>
      <c r="HV106" s="6779" t="str">
        <f>_Calcs!$II$94</f>
        <v/>
      </c>
      <c r="HW106" s="6779"/>
      <c r="HX106" s="6779"/>
      <c r="HY106" s="6779"/>
      <c r="HZ106" s="6779"/>
      <c r="IA106" s="6779"/>
      <c r="IB106" s="6779"/>
      <c r="IC106" s="6779"/>
      <c r="ID106" s="6779"/>
      <c r="IE106" s="6779"/>
      <c r="IF106" s="6779"/>
      <c r="IG106" s="6779"/>
      <c r="IH106" s="6779"/>
      <c r="II106" s="6779"/>
      <c r="IJ106" s="6779"/>
      <c r="IK106" s="6779"/>
      <c r="IL106" s="6779"/>
      <c r="IM106" s="6779"/>
      <c r="IN106" s="6779"/>
      <c r="IO106" s="6779"/>
      <c r="IP106" s="6779"/>
      <c r="IQ106" s="6779"/>
      <c r="IR106" s="6779"/>
      <c r="IS106" s="6779"/>
      <c r="IT106" s="6779"/>
      <c r="IU106" s="6779"/>
      <c r="IV106" s="6779"/>
      <c r="IW106" s="6779"/>
      <c r="IX106" s="6779"/>
      <c r="IY106" s="6779"/>
      <c r="IZ106" s="6779"/>
      <c r="JA106" s="6020"/>
      <c r="JB106" s="6021"/>
      <c r="JC106" s="6022"/>
      <c r="JD106" s="6023" t="str">
        <f>_Calcs!$IP$141</f>
        <v>Side 4 av 9</v>
      </c>
      <c r="JE106" s="6024"/>
      <c r="JF106" s="6024"/>
      <c r="JG106" s="6024"/>
      <c r="JH106" s="6025"/>
      <c r="JI106" s="6026"/>
      <c r="JM106" s="6018"/>
      <c r="JN106" s="6019"/>
      <c r="JO106" s="6779" t="str">
        <f>_Calcs!$II$94</f>
        <v/>
      </c>
      <c r="JP106" s="6779"/>
      <c r="JQ106" s="6779"/>
      <c r="JR106" s="6779"/>
      <c r="JS106" s="6779"/>
      <c r="JT106" s="6779"/>
      <c r="JU106" s="6779"/>
      <c r="JV106" s="6779"/>
      <c r="JW106" s="6779"/>
      <c r="JX106" s="6779"/>
      <c r="JY106" s="6779"/>
      <c r="JZ106" s="6779"/>
      <c r="KA106" s="6779"/>
      <c r="KB106" s="6779"/>
      <c r="KC106" s="6779"/>
      <c r="KD106" s="6779"/>
      <c r="KE106" s="6779"/>
      <c r="KF106" s="6779"/>
      <c r="KG106" s="6779"/>
      <c r="KH106" s="6779"/>
      <c r="KI106" s="6779"/>
      <c r="KJ106" s="6779"/>
      <c r="KK106" s="6779"/>
      <c r="KL106" s="6779"/>
      <c r="KM106" s="6779"/>
      <c r="KN106" s="6779"/>
      <c r="KO106" s="6779"/>
      <c r="KP106" s="6779"/>
      <c r="KQ106" s="6779"/>
      <c r="KR106" s="6779"/>
      <c r="KS106" s="6779"/>
      <c r="KT106" s="6020"/>
      <c r="KU106" s="6021"/>
      <c r="KV106" s="6022"/>
      <c r="KW106" s="6023" t="str">
        <f>_Calcs!$IQ$141</f>
        <v>Side 4 av 9</v>
      </c>
      <c r="KX106" s="6024"/>
      <c r="KY106" s="6024"/>
      <c r="KZ106" s="6024"/>
      <c r="LA106" s="6025"/>
      <c r="LB106" s="6026"/>
      <c r="LC106" s="7"/>
      <c r="LF106" s="6018"/>
      <c r="LG106" s="6019"/>
      <c r="LH106" s="6779" t="str">
        <f>_Calcs!$II$94</f>
        <v/>
      </c>
      <c r="LI106" s="6779"/>
      <c r="LJ106" s="6779"/>
      <c r="LK106" s="6779"/>
      <c r="LL106" s="6779"/>
      <c r="LM106" s="6779"/>
      <c r="LN106" s="6779"/>
      <c r="LO106" s="6779"/>
      <c r="LP106" s="6779"/>
      <c r="LQ106" s="6779"/>
      <c r="LR106" s="6779"/>
      <c r="LS106" s="6779"/>
      <c r="LT106" s="6779"/>
      <c r="LU106" s="6779"/>
      <c r="LV106" s="6779"/>
      <c r="LW106" s="6779"/>
      <c r="LX106" s="6779"/>
      <c r="LY106" s="6779"/>
      <c r="LZ106" s="6779"/>
      <c r="MA106" s="6779"/>
      <c r="MB106" s="6779"/>
      <c r="MC106" s="6779"/>
      <c r="MD106" s="6779"/>
      <c r="ME106" s="6779"/>
      <c r="MF106" s="6779"/>
      <c r="MG106" s="6779"/>
      <c r="MH106" s="6779"/>
      <c r="MI106" s="6779"/>
      <c r="MJ106" s="6779"/>
      <c r="MK106" s="6779"/>
      <c r="ML106" s="6779"/>
      <c r="MM106" s="6020"/>
      <c r="MN106" s="6021"/>
      <c r="MO106" s="6022"/>
      <c r="MP106" s="6023" t="str">
        <f>_Calcs!$IR$141</f>
        <v>Side 4 av 9</v>
      </c>
      <c r="MQ106" s="6024"/>
      <c r="MR106" s="6024"/>
      <c r="MS106" s="6024"/>
      <c r="MT106" s="6025"/>
      <c r="MU106" s="6026"/>
      <c r="MV106" s="7"/>
      <c r="MY106" s="6018"/>
      <c r="MZ106" s="6019"/>
      <c r="NA106" s="6779" t="str">
        <f>_Calcs!$II$94</f>
        <v/>
      </c>
      <c r="NB106" s="6779"/>
      <c r="NC106" s="6779"/>
      <c r="ND106" s="6779"/>
      <c r="NE106" s="6779"/>
      <c r="NF106" s="6779"/>
      <c r="NG106" s="6779"/>
      <c r="NH106" s="6779"/>
      <c r="NI106" s="6779"/>
      <c r="NJ106" s="6779"/>
      <c r="NK106" s="6779"/>
      <c r="NL106" s="6779"/>
      <c r="NM106" s="6779"/>
      <c r="NN106" s="6779"/>
      <c r="NO106" s="6779"/>
      <c r="NP106" s="6779"/>
      <c r="NQ106" s="6779"/>
      <c r="NR106" s="6779"/>
      <c r="NS106" s="6779"/>
      <c r="NT106" s="6779"/>
      <c r="NU106" s="6779"/>
      <c r="NV106" s="6779"/>
      <c r="NW106" s="6779"/>
      <c r="NX106" s="6779"/>
      <c r="NY106" s="6779"/>
      <c r="NZ106" s="6779"/>
      <c r="OA106" s="6779"/>
      <c r="OB106" s="6779"/>
      <c r="OC106" s="6779"/>
      <c r="OD106" s="6779"/>
      <c r="OE106" s="6779"/>
      <c r="OF106" s="6020"/>
      <c r="OG106" s="6021"/>
      <c r="OH106" s="6022"/>
      <c r="OI106" s="6023" t="str">
        <f>_Calcs!$IS$141</f>
        <v>Side 4 av 9</v>
      </c>
      <c r="OJ106" s="6024"/>
      <c r="OK106" s="6024"/>
      <c r="OL106" s="6024"/>
      <c r="OM106" s="6025"/>
      <c r="ON106" s="6026"/>
      <c r="OO106" s="7"/>
    </row>
    <row r="107" spans="3:405" ht="5.0999999999999996" customHeight="1" thickBot="1" x14ac:dyDescent="0.25">
      <c r="C107" s="6028"/>
      <c r="D107" s="979"/>
      <c r="E107" s="3489"/>
      <c r="F107" s="3489"/>
      <c r="G107" s="3489"/>
      <c r="H107" s="3489"/>
      <c r="I107" s="3489"/>
      <c r="J107" s="3489"/>
      <c r="K107" s="3489"/>
      <c r="L107" s="3489"/>
      <c r="M107" s="3489"/>
      <c r="N107" s="3489"/>
      <c r="O107" s="3489"/>
      <c r="P107" s="3489"/>
      <c r="Q107" s="3489"/>
      <c r="R107" s="3489"/>
      <c r="S107" s="3489"/>
      <c r="T107" s="3489"/>
      <c r="U107" s="3489"/>
      <c r="V107" s="3489"/>
      <c r="W107" s="3489"/>
      <c r="X107" s="3489"/>
      <c r="Y107" s="3489"/>
      <c r="Z107" s="3489"/>
      <c r="AA107" s="3489"/>
      <c r="AB107" s="3489"/>
      <c r="AC107" s="3489"/>
      <c r="AD107" s="3489"/>
      <c r="AE107" s="3489"/>
      <c r="AF107" s="3489"/>
      <c r="AG107" s="3489"/>
      <c r="AH107" s="3489"/>
      <c r="AI107" s="3489"/>
      <c r="AJ107" s="979"/>
      <c r="AK107" s="979"/>
      <c r="AL107" s="979"/>
      <c r="AM107" s="979"/>
      <c r="AN107" s="979"/>
      <c r="AO107" s="979"/>
      <c r="AP107" s="979"/>
      <c r="AQ107" s="979"/>
      <c r="AR107" s="6029"/>
      <c r="AV107" s="6028"/>
      <c r="AW107" s="979"/>
      <c r="AX107" s="3489"/>
      <c r="AY107" s="3489"/>
      <c r="AZ107" s="3489"/>
      <c r="BA107" s="3489"/>
      <c r="BB107" s="3489"/>
      <c r="BC107" s="3489"/>
      <c r="BD107" s="3489"/>
      <c r="BE107" s="3489"/>
      <c r="BF107" s="3489"/>
      <c r="BG107" s="3489"/>
      <c r="BH107" s="3489"/>
      <c r="BI107" s="3489"/>
      <c r="BJ107" s="3489"/>
      <c r="BK107" s="3489"/>
      <c r="BL107" s="3489"/>
      <c r="BM107" s="3489"/>
      <c r="BN107" s="3489"/>
      <c r="BO107" s="3489"/>
      <c r="BP107" s="3489"/>
      <c r="BQ107" s="3489"/>
      <c r="BR107" s="3489"/>
      <c r="BS107" s="3489"/>
      <c r="BT107" s="3489"/>
      <c r="BU107" s="3489"/>
      <c r="BV107" s="3489"/>
      <c r="BW107" s="3489"/>
      <c r="BX107" s="3489"/>
      <c r="BY107" s="3489"/>
      <c r="BZ107" s="3489"/>
      <c r="CA107" s="3489"/>
      <c r="CB107" s="3489"/>
      <c r="CC107" s="979"/>
      <c r="CD107" s="979"/>
      <c r="CE107" s="979"/>
      <c r="CF107" s="979"/>
      <c r="CG107" s="979"/>
      <c r="CH107" s="979"/>
      <c r="CI107" s="979"/>
      <c r="CJ107" s="979"/>
      <c r="CK107" s="6029"/>
      <c r="CO107" s="6028"/>
      <c r="CP107" s="979"/>
      <c r="CQ107" s="3489"/>
      <c r="CR107" s="3489"/>
      <c r="CS107" s="3489"/>
      <c r="CT107" s="3489"/>
      <c r="CU107" s="3489"/>
      <c r="CV107" s="3489"/>
      <c r="CW107" s="3489"/>
      <c r="CX107" s="3489"/>
      <c r="CY107" s="3489"/>
      <c r="CZ107" s="3489"/>
      <c r="DA107" s="3489"/>
      <c r="DB107" s="3489"/>
      <c r="DC107" s="3489"/>
      <c r="DD107" s="3489"/>
      <c r="DE107" s="3489"/>
      <c r="DF107" s="3489"/>
      <c r="DG107" s="3489"/>
      <c r="DH107" s="3489"/>
      <c r="DI107" s="3489"/>
      <c r="DJ107" s="3489"/>
      <c r="DK107" s="3489"/>
      <c r="DL107" s="3489"/>
      <c r="DM107" s="3489"/>
      <c r="DN107" s="3489"/>
      <c r="DO107" s="3489"/>
      <c r="DP107" s="3489"/>
      <c r="DQ107" s="3489"/>
      <c r="DR107" s="3489"/>
      <c r="DS107" s="3489"/>
      <c r="DT107" s="3489"/>
      <c r="DU107" s="3489"/>
      <c r="DV107" s="979"/>
      <c r="DW107" s="979"/>
      <c r="DX107" s="979"/>
      <c r="DY107" s="979"/>
      <c r="DZ107" s="979"/>
      <c r="EA107" s="979"/>
      <c r="EB107" s="979"/>
      <c r="EC107" s="979"/>
      <c r="ED107" s="6029"/>
      <c r="EH107" s="6028"/>
      <c r="EI107" s="979"/>
      <c r="EJ107" s="3489"/>
      <c r="EK107" s="3489"/>
      <c r="EL107" s="3489"/>
      <c r="EM107" s="3489"/>
      <c r="EN107" s="3489"/>
      <c r="EO107" s="3489"/>
      <c r="EP107" s="3489"/>
      <c r="EQ107" s="3489"/>
      <c r="ER107" s="3489"/>
      <c r="ES107" s="3489"/>
      <c r="ET107" s="3489"/>
      <c r="EU107" s="3489"/>
      <c r="EV107" s="3489"/>
      <c r="EW107" s="3489"/>
      <c r="EX107" s="3489"/>
      <c r="EY107" s="3489"/>
      <c r="EZ107" s="3489"/>
      <c r="FA107" s="3489"/>
      <c r="FB107" s="3489"/>
      <c r="FC107" s="3489"/>
      <c r="FD107" s="3489"/>
      <c r="FE107" s="3489"/>
      <c r="FF107" s="3489"/>
      <c r="FG107" s="3489"/>
      <c r="FH107" s="3489"/>
      <c r="FI107" s="3489"/>
      <c r="FJ107" s="3489"/>
      <c r="FK107" s="3489"/>
      <c r="FL107" s="3489"/>
      <c r="FM107" s="3489"/>
      <c r="FN107" s="3489"/>
      <c r="FO107" s="979"/>
      <c r="FP107" s="979"/>
      <c r="FQ107" s="979"/>
      <c r="FR107" s="979"/>
      <c r="FS107" s="979"/>
      <c r="FT107" s="979"/>
      <c r="FU107" s="979"/>
      <c r="FV107" s="979"/>
      <c r="FW107" s="6029"/>
      <c r="GA107" s="6028"/>
      <c r="GB107" s="979"/>
      <c r="GC107" s="3489"/>
      <c r="GD107" s="3489"/>
      <c r="GE107" s="3489"/>
      <c r="GF107" s="3489"/>
      <c r="GG107" s="3489"/>
      <c r="GH107" s="3489"/>
      <c r="GI107" s="3489"/>
      <c r="GJ107" s="3489"/>
      <c r="GK107" s="3489"/>
      <c r="GL107" s="3489"/>
      <c r="GM107" s="3489"/>
      <c r="GN107" s="3489"/>
      <c r="GO107" s="3489"/>
      <c r="GP107" s="3489"/>
      <c r="GQ107" s="3489"/>
      <c r="GR107" s="3489"/>
      <c r="GS107" s="3489"/>
      <c r="GT107" s="3489"/>
      <c r="GU107" s="3489"/>
      <c r="GV107" s="3489"/>
      <c r="GW107" s="3489"/>
      <c r="GX107" s="3489"/>
      <c r="GY107" s="3489"/>
      <c r="GZ107" s="3489"/>
      <c r="HA107" s="3489"/>
      <c r="HB107" s="3489"/>
      <c r="HC107" s="3489"/>
      <c r="HD107" s="3489"/>
      <c r="HE107" s="3489"/>
      <c r="HF107" s="3489"/>
      <c r="HG107" s="3489"/>
      <c r="HH107" s="979"/>
      <c r="HI107" s="979"/>
      <c r="HJ107" s="979"/>
      <c r="HK107" s="979"/>
      <c r="HL107" s="979"/>
      <c r="HM107" s="979"/>
      <c r="HN107" s="979"/>
      <c r="HO107" s="979"/>
      <c r="HP107" s="6029"/>
      <c r="HT107" s="6028"/>
      <c r="HU107" s="979"/>
      <c r="HV107" s="3489"/>
      <c r="HW107" s="3489"/>
      <c r="HX107" s="3489"/>
      <c r="HY107" s="3489"/>
      <c r="HZ107" s="3489"/>
      <c r="IA107" s="3489"/>
      <c r="IB107" s="3489"/>
      <c r="IC107" s="3489"/>
      <c r="ID107" s="3489"/>
      <c r="IE107" s="3489"/>
      <c r="IF107" s="3489"/>
      <c r="IG107" s="3489"/>
      <c r="IH107" s="3489"/>
      <c r="II107" s="3489"/>
      <c r="IJ107" s="3489"/>
      <c r="IK107" s="3489"/>
      <c r="IL107" s="3489"/>
      <c r="IM107" s="3489"/>
      <c r="IN107" s="3489"/>
      <c r="IO107" s="3489"/>
      <c r="IP107" s="3489"/>
      <c r="IQ107" s="3489"/>
      <c r="IR107" s="3489"/>
      <c r="IS107" s="3489"/>
      <c r="IT107" s="3489"/>
      <c r="IU107" s="3489"/>
      <c r="IV107" s="3489"/>
      <c r="IW107" s="3489"/>
      <c r="IX107" s="3489"/>
      <c r="IY107" s="3489"/>
      <c r="IZ107" s="3489"/>
      <c r="JA107" s="979"/>
      <c r="JB107" s="979"/>
      <c r="JC107" s="979"/>
      <c r="JD107" s="979"/>
      <c r="JE107" s="979"/>
      <c r="JF107" s="979"/>
      <c r="JG107" s="979"/>
      <c r="JH107" s="979"/>
      <c r="JI107" s="6029"/>
      <c r="JM107" s="6028"/>
      <c r="JN107" s="979"/>
      <c r="JO107" s="3489"/>
      <c r="JP107" s="3489"/>
      <c r="JQ107" s="3489"/>
      <c r="JR107" s="3489"/>
      <c r="JS107" s="3489"/>
      <c r="JT107" s="3489"/>
      <c r="JU107" s="3489"/>
      <c r="JV107" s="3489"/>
      <c r="JW107" s="3489"/>
      <c r="JX107" s="3489"/>
      <c r="JY107" s="3489"/>
      <c r="JZ107" s="3489"/>
      <c r="KA107" s="3489"/>
      <c r="KB107" s="3489"/>
      <c r="KC107" s="3489"/>
      <c r="KD107" s="3489"/>
      <c r="KE107" s="3489"/>
      <c r="KF107" s="3489"/>
      <c r="KG107" s="3489"/>
      <c r="KH107" s="3489"/>
      <c r="KI107" s="3489"/>
      <c r="KJ107" s="3489"/>
      <c r="KK107" s="3489"/>
      <c r="KL107" s="3489"/>
      <c r="KM107" s="3489"/>
      <c r="KN107" s="3489"/>
      <c r="KO107" s="3489"/>
      <c r="KP107" s="3489"/>
      <c r="KQ107" s="3489"/>
      <c r="KR107" s="3489"/>
      <c r="KS107" s="3489"/>
      <c r="KT107" s="979"/>
      <c r="KU107" s="979"/>
      <c r="KV107" s="979"/>
      <c r="KW107" s="979"/>
      <c r="KX107" s="979"/>
      <c r="KY107" s="979"/>
      <c r="KZ107" s="979"/>
      <c r="LA107" s="979"/>
      <c r="LB107" s="6029"/>
      <c r="LC107" s="7"/>
      <c r="LF107" s="6028"/>
      <c r="LG107" s="979"/>
      <c r="LH107" s="3489"/>
      <c r="LI107" s="3489"/>
      <c r="LJ107" s="3489"/>
      <c r="LK107" s="3489"/>
      <c r="LL107" s="3489"/>
      <c r="LM107" s="3489"/>
      <c r="LN107" s="3489"/>
      <c r="LO107" s="3489"/>
      <c r="LP107" s="3489"/>
      <c r="LQ107" s="3489"/>
      <c r="LR107" s="3489"/>
      <c r="LS107" s="3489"/>
      <c r="LT107" s="3489"/>
      <c r="LU107" s="3489"/>
      <c r="LV107" s="3489"/>
      <c r="LW107" s="3489"/>
      <c r="LX107" s="3489"/>
      <c r="LY107" s="3489"/>
      <c r="LZ107" s="3489"/>
      <c r="MA107" s="3489"/>
      <c r="MB107" s="3489"/>
      <c r="MC107" s="3489"/>
      <c r="MD107" s="3489"/>
      <c r="ME107" s="3489"/>
      <c r="MF107" s="3489"/>
      <c r="MG107" s="3489"/>
      <c r="MH107" s="3489"/>
      <c r="MI107" s="3489"/>
      <c r="MJ107" s="3489"/>
      <c r="MK107" s="3489"/>
      <c r="ML107" s="3489"/>
      <c r="MM107" s="979"/>
      <c r="MN107" s="979"/>
      <c r="MO107" s="979"/>
      <c r="MP107" s="979"/>
      <c r="MQ107" s="979"/>
      <c r="MR107" s="979"/>
      <c r="MS107" s="979"/>
      <c r="MT107" s="979"/>
      <c r="MU107" s="6029"/>
      <c r="MV107" s="7"/>
      <c r="MY107" s="6028"/>
      <c r="MZ107" s="979"/>
      <c r="NA107" s="3489"/>
      <c r="NB107" s="3489"/>
      <c r="NC107" s="3489"/>
      <c r="ND107" s="3489"/>
      <c r="NE107" s="3489"/>
      <c r="NF107" s="3489"/>
      <c r="NG107" s="3489"/>
      <c r="NH107" s="3489"/>
      <c r="NI107" s="3489"/>
      <c r="NJ107" s="3489"/>
      <c r="NK107" s="3489"/>
      <c r="NL107" s="3489"/>
      <c r="NM107" s="3489"/>
      <c r="NN107" s="3489"/>
      <c r="NO107" s="3489"/>
      <c r="NP107" s="3489"/>
      <c r="NQ107" s="3489"/>
      <c r="NR107" s="3489"/>
      <c r="NS107" s="3489"/>
      <c r="NT107" s="3489"/>
      <c r="NU107" s="3489"/>
      <c r="NV107" s="3489"/>
      <c r="NW107" s="3489"/>
      <c r="NX107" s="3489"/>
      <c r="NY107" s="3489"/>
      <c r="NZ107" s="3489"/>
      <c r="OA107" s="3489"/>
      <c r="OB107" s="3489"/>
      <c r="OC107" s="3489"/>
      <c r="OD107" s="3489"/>
      <c r="OE107" s="3489"/>
      <c r="OF107" s="979"/>
      <c r="OG107" s="979"/>
      <c r="OH107" s="979"/>
      <c r="OI107" s="979"/>
      <c r="OJ107" s="979"/>
      <c r="OK107" s="979"/>
      <c r="OL107" s="979"/>
      <c r="OM107" s="979"/>
      <c r="ON107" s="6029"/>
      <c r="OO107" s="7"/>
    </row>
    <row r="108" spans="3:405" s="6031" customFormat="1" ht="15" customHeight="1" thickBot="1" x14ac:dyDescent="0.25">
      <c r="C108" s="6018"/>
      <c r="D108" s="6019"/>
      <c r="E108" s="6778" t="str">
        <f>_Calcs!$T$19</f>
        <v/>
      </c>
      <c r="F108" s="6778"/>
      <c r="G108" s="6778"/>
      <c r="H108" s="6778"/>
      <c r="I108" s="6778"/>
      <c r="J108" s="6778"/>
      <c r="K108" s="6778"/>
      <c r="L108" s="6778"/>
      <c r="M108" s="6778"/>
      <c r="N108" s="6778"/>
      <c r="O108" s="6778"/>
      <c r="P108" s="6778"/>
      <c r="Q108" s="6778"/>
      <c r="R108" s="6778"/>
      <c r="S108" s="6778"/>
      <c r="T108" s="6778"/>
      <c r="U108" s="6778"/>
      <c r="V108" s="6778"/>
      <c r="W108" s="6778"/>
      <c r="X108" s="6778"/>
      <c r="Y108" s="6778"/>
      <c r="Z108" s="6778"/>
      <c r="AA108" s="6778"/>
      <c r="AB108" s="6778"/>
      <c r="AC108" s="6778"/>
      <c r="AD108" s="6778"/>
      <c r="AE108" s="6778"/>
      <c r="AF108" s="6778"/>
      <c r="AG108" s="6778"/>
      <c r="AH108" s="6778"/>
      <c r="AI108" s="6778"/>
      <c r="AJ108" s="6778"/>
      <c r="AK108" s="6778"/>
      <c r="AL108" s="6778"/>
      <c r="AM108" s="6778"/>
      <c r="AN108" s="6778"/>
      <c r="AO108" s="6778"/>
      <c r="AP108" s="6778"/>
      <c r="AQ108" s="6030"/>
      <c r="AR108" s="6026"/>
      <c r="AV108" s="6018"/>
      <c r="AW108" s="6019"/>
      <c r="AX108" s="6778" t="str">
        <f>_Calcs!$T$19</f>
        <v/>
      </c>
      <c r="AY108" s="6778"/>
      <c r="AZ108" s="6778"/>
      <c r="BA108" s="6778"/>
      <c r="BB108" s="6778"/>
      <c r="BC108" s="6778"/>
      <c r="BD108" s="6778"/>
      <c r="BE108" s="6778"/>
      <c r="BF108" s="6778"/>
      <c r="BG108" s="6778"/>
      <c r="BH108" s="6778"/>
      <c r="BI108" s="6778"/>
      <c r="BJ108" s="6778"/>
      <c r="BK108" s="6778"/>
      <c r="BL108" s="6778"/>
      <c r="BM108" s="6778"/>
      <c r="BN108" s="6778"/>
      <c r="BO108" s="6778"/>
      <c r="BP108" s="6778"/>
      <c r="BQ108" s="6778"/>
      <c r="BR108" s="6778"/>
      <c r="BS108" s="6778"/>
      <c r="BT108" s="6778"/>
      <c r="BU108" s="6778"/>
      <c r="BV108" s="6778"/>
      <c r="BW108" s="6778"/>
      <c r="BX108" s="6778"/>
      <c r="BY108" s="6778"/>
      <c r="BZ108" s="6778"/>
      <c r="CA108" s="6778"/>
      <c r="CB108" s="6778"/>
      <c r="CC108" s="6778"/>
      <c r="CD108" s="6778"/>
      <c r="CE108" s="6778"/>
      <c r="CF108" s="6778"/>
      <c r="CG108" s="6778"/>
      <c r="CH108" s="6778"/>
      <c r="CI108" s="6778"/>
      <c r="CJ108" s="6030"/>
      <c r="CK108" s="6026"/>
      <c r="CO108" s="6018"/>
      <c r="CP108" s="6019"/>
      <c r="CQ108" s="6778" t="str">
        <f>_Calcs!$T$19</f>
        <v/>
      </c>
      <c r="CR108" s="6778"/>
      <c r="CS108" s="6778"/>
      <c r="CT108" s="6778"/>
      <c r="CU108" s="6778"/>
      <c r="CV108" s="6778"/>
      <c r="CW108" s="6778"/>
      <c r="CX108" s="6778"/>
      <c r="CY108" s="6778"/>
      <c r="CZ108" s="6778"/>
      <c r="DA108" s="6778"/>
      <c r="DB108" s="6778"/>
      <c r="DC108" s="6778"/>
      <c r="DD108" s="6778"/>
      <c r="DE108" s="6778"/>
      <c r="DF108" s="6778"/>
      <c r="DG108" s="6778"/>
      <c r="DH108" s="6778"/>
      <c r="DI108" s="6778"/>
      <c r="DJ108" s="6778"/>
      <c r="DK108" s="6778"/>
      <c r="DL108" s="6778"/>
      <c r="DM108" s="6778"/>
      <c r="DN108" s="6778"/>
      <c r="DO108" s="6778"/>
      <c r="DP108" s="6778"/>
      <c r="DQ108" s="6778"/>
      <c r="DR108" s="6778"/>
      <c r="DS108" s="6778"/>
      <c r="DT108" s="6778"/>
      <c r="DU108" s="6778"/>
      <c r="DV108" s="6778"/>
      <c r="DW108" s="6778"/>
      <c r="DX108" s="6778"/>
      <c r="DY108" s="6778"/>
      <c r="DZ108" s="6778"/>
      <c r="EA108" s="6778"/>
      <c r="EB108" s="6778"/>
      <c r="EC108" s="6030"/>
      <c r="ED108" s="6026"/>
      <c r="EH108" s="6018"/>
      <c r="EI108" s="6019"/>
      <c r="EJ108" s="6778" t="str">
        <f>_Calcs!$T$19</f>
        <v/>
      </c>
      <c r="EK108" s="6778"/>
      <c r="EL108" s="6778"/>
      <c r="EM108" s="6778"/>
      <c r="EN108" s="6778"/>
      <c r="EO108" s="6778"/>
      <c r="EP108" s="6778"/>
      <c r="EQ108" s="6778"/>
      <c r="ER108" s="6778"/>
      <c r="ES108" s="6778"/>
      <c r="ET108" s="6778"/>
      <c r="EU108" s="6778"/>
      <c r="EV108" s="6778"/>
      <c r="EW108" s="6778"/>
      <c r="EX108" s="6778"/>
      <c r="EY108" s="6778"/>
      <c r="EZ108" s="6778"/>
      <c r="FA108" s="6778"/>
      <c r="FB108" s="6778"/>
      <c r="FC108" s="6778"/>
      <c r="FD108" s="6778"/>
      <c r="FE108" s="6778"/>
      <c r="FF108" s="6778"/>
      <c r="FG108" s="6778"/>
      <c r="FH108" s="6778"/>
      <c r="FI108" s="6778"/>
      <c r="FJ108" s="6778"/>
      <c r="FK108" s="6778"/>
      <c r="FL108" s="6778"/>
      <c r="FM108" s="6778"/>
      <c r="FN108" s="6778"/>
      <c r="FO108" s="6778"/>
      <c r="FP108" s="6778"/>
      <c r="FQ108" s="6778"/>
      <c r="FR108" s="6778"/>
      <c r="FS108" s="6778"/>
      <c r="FT108" s="6778"/>
      <c r="FU108" s="6778"/>
      <c r="FV108" s="6030"/>
      <c r="FW108" s="6026"/>
      <c r="GA108" s="6018"/>
      <c r="GB108" s="6019"/>
      <c r="GC108" s="6778" t="str">
        <f>_Calcs!$T$19</f>
        <v/>
      </c>
      <c r="GD108" s="6778"/>
      <c r="GE108" s="6778"/>
      <c r="GF108" s="6778"/>
      <c r="GG108" s="6778"/>
      <c r="GH108" s="6778"/>
      <c r="GI108" s="6778"/>
      <c r="GJ108" s="6778"/>
      <c r="GK108" s="6778"/>
      <c r="GL108" s="6778"/>
      <c r="GM108" s="6778"/>
      <c r="GN108" s="6778"/>
      <c r="GO108" s="6778"/>
      <c r="GP108" s="6778"/>
      <c r="GQ108" s="6778"/>
      <c r="GR108" s="6778"/>
      <c r="GS108" s="6778"/>
      <c r="GT108" s="6778"/>
      <c r="GU108" s="6778"/>
      <c r="GV108" s="6778"/>
      <c r="GW108" s="6778"/>
      <c r="GX108" s="6778"/>
      <c r="GY108" s="6778"/>
      <c r="GZ108" s="6778"/>
      <c r="HA108" s="6778"/>
      <c r="HB108" s="6778"/>
      <c r="HC108" s="6778"/>
      <c r="HD108" s="6778"/>
      <c r="HE108" s="6778"/>
      <c r="HF108" s="6778"/>
      <c r="HG108" s="6778"/>
      <c r="HH108" s="6778"/>
      <c r="HI108" s="6778"/>
      <c r="HJ108" s="6778"/>
      <c r="HK108" s="6778"/>
      <c r="HL108" s="6778"/>
      <c r="HM108" s="6778"/>
      <c r="HN108" s="6778"/>
      <c r="HO108" s="6030"/>
      <c r="HP108" s="6026"/>
      <c r="HT108" s="6018"/>
      <c r="HU108" s="6019"/>
      <c r="HV108" s="6778" t="str">
        <f>_Calcs!$T$19</f>
        <v/>
      </c>
      <c r="HW108" s="6778"/>
      <c r="HX108" s="6778"/>
      <c r="HY108" s="6778"/>
      <c r="HZ108" s="6778"/>
      <c r="IA108" s="6778"/>
      <c r="IB108" s="6778"/>
      <c r="IC108" s="6778"/>
      <c r="ID108" s="6778"/>
      <c r="IE108" s="6778"/>
      <c r="IF108" s="6778"/>
      <c r="IG108" s="6778"/>
      <c r="IH108" s="6778"/>
      <c r="II108" s="6778"/>
      <c r="IJ108" s="6778"/>
      <c r="IK108" s="6778"/>
      <c r="IL108" s="6778"/>
      <c r="IM108" s="6778"/>
      <c r="IN108" s="6778"/>
      <c r="IO108" s="6778"/>
      <c r="IP108" s="6778"/>
      <c r="IQ108" s="6778"/>
      <c r="IR108" s="6778"/>
      <c r="IS108" s="6778"/>
      <c r="IT108" s="6778"/>
      <c r="IU108" s="6778"/>
      <c r="IV108" s="6778"/>
      <c r="IW108" s="6778"/>
      <c r="IX108" s="6778"/>
      <c r="IY108" s="6778"/>
      <c r="IZ108" s="6778"/>
      <c r="JA108" s="6778"/>
      <c r="JB108" s="6778"/>
      <c r="JC108" s="6778"/>
      <c r="JD108" s="6778"/>
      <c r="JE108" s="6778"/>
      <c r="JF108" s="6778"/>
      <c r="JG108" s="6778"/>
      <c r="JH108" s="6030"/>
      <c r="JI108" s="6026"/>
      <c r="JM108" s="6018"/>
      <c r="JN108" s="6019"/>
      <c r="JO108" s="6778" t="str">
        <f>_Calcs!$T$19</f>
        <v/>
      </c>
      <c r="JP108" s="6778"/>
      <c r="JQ108" s="6778"/>
      <c r="JR108" s="6778"/>
      <c r="JS108" s="6778"/>
      <c r="JT108" s="6778"/>
      <c r="JU108" s="6778"/>
      <c r="JV108" s="6778"/>
      <c r="JW108" s="6778"/>
      <c r="JX108" s="6778"/>
      <c r="JY108" s="6778"/>
      <c r="JZ108" s="6778"/>
      <c r="KA108" s="6778"/>
      <c r="KB108" s="6778"/>
      <c r="KC108" s="6778"/>
      <c r="KD108" s="6778"/>
      <c r="KE108" s="6778"/>
      <c r="KF108" s="6778"/>
      <c r="KG108" s="6778"/>
      <c r="KH108" s="6778"/>
      <c r="KI108" s="6778"/>
      <c r="KJ108" s="6778"/>
      <c r="KK108" s="6778"/>
      <c r="KL108" s="6778"/>
      <c r="KM108" s="6778"/>
      <c r="KN108" s="6778"/>
      <c r="KO108" s="6778"/>
      <c r="KP108" s="6778"/>
      <c r="KQ108" s="6778"/>
      <c r="KR108" s="6778"/>
      <c r="KS108" s="6778"/>
      <c r="KT108" s="6778"/>
      <c r="KU108" s="6778"/>
      <c r="KV108" s="6778"/>
      <c r="KW108" s="6778"/>
      <c r="KX108" s="6778"/>
      <c r="KY108" s="6778"/>
      <c r="KZ108" s="6778"/>
      <c r="LA108" s="6030"/>
      <c r="LB108" s="6026"/>
      <c r="LC108" s="7"/>
      <c r="LF108" s="6018"/>
      <c r="LG108" s="6019"/>
      <c r="LH108" s="6778" t="str">
        <f>_Calcs!$T$19</f>
        <v/>
      </c>
      <c r="LI108" s="6778"/>
      <c r="LJ108" s="6778"/>
      <c r="LK108" s="6778"/>
      <c r="LL108" s="6778"/>
      <c r="LM108" s="6778"/>
      <c r="LN108" s="6778"/>
      <c r="LO108" s="6778"/>
      <c r="LP108" s="6778"/>
      <c r="LQ108" s="6778"/>
      <c r="LR108" s="6778"/>
      <c r="LS108" s="6778"/>
      <c r="LT108" s="6778"/>
      <c r="LU108" s="6778"/>
      <c r="LV108" s="6778"/>
      <c r="LW108" s="6778"/>
      <c r="LX108" s="6778"/>
      <c r="LY108" s="6778"/>
      <c r="LZ108" s="6778"/>
      <c r="MA108" s="6778"/>
      <c r="MB108" s="6778"/>
      <c r="MC108" s="6778"/>
      <c r="MD108" s="6778"/>
      <c r="ME108" s="6778"/>
      <c r="MF108" s="6778"/>
      <c r="MG108" s="6778"/>
      <c r="MH108" s="6778"/>
      <c r="MI108" s="6778"/>
      <c r="MJ108" s="6778"/>
      <c r="MK108" s="6778"/>
      <c r="ML108" s="6778"/>
      <c r="MM108" s="6778"/>
      <c r="MN108" s="6778"/>
      <c r="MO108" s="6778"/>
      <c r="MP108" s="6778"/>
      <c r="MQ108" s="6778"/>
      <c r="MR108" s="6778"/>
      <c r="MS108" s="6778"/>
      <c r="MT108" s="6030"/>
      <c r="MU108" s="6026"/>
      <c r="MV108" s="7"/>
      <c r="MY108" s="6018"/>
      <c r="MZ108" s="6019"/>
      <c r="NA108" s="6778" t="str">
        <f>_Calcs!$T$19</f>
        <v/>
      </c>
      <c r="NB108" s="6778"/>
      <c r="NC108" s="6778"/>
      <c r="ND108" s="6778"/>
      <c r="NE108" s="6778"/>
      <c r="NF108" s="6778"/>
      <c r="NG108" s="6778"/>
      <c r="NH108" s="6778"/>
      <c r="NI108" s="6778"/>
      <c r="NJ108" s="6778"/>
      <c r="NK108" s="6778"/>
      <c r="NL108" s="6778"/>
      <c r="NM108" s="6778"/>
      <c r="NN108" s="6778"/>
      <c r="NO108" s="6778"/>
      <c r="NP108" s="6778"/>
      <c r="NQ108" s="6778"/>
      <c r="NR108" s="6778"/>
      <c r="NS108" s="6778"/>
      <c r="NT108" s="6778"/>
      <c r="NU108" s="6778"/>
      <c r="NV108" s="6778"/>
      <c r="NW108" s="6778"/>
      <c r="NX108" s="6778"/>
      <c r="NY108" s="6778"/>
      <c r="NZ108" s="6778"/>
      <c r="OA108" s="6778"/>
      <c r="OB108" s="6778"/>
      <c r="OC108" s="6778"/>
      <c r="OD108" s="6778"/>
      <c r="OE108" s="6778"/>
      <c r="OF108" s="6778"/>
      <c r="OG108" s="6778"/>
      <c r="OH108" s="6778"/>
      <c r="OI108" s="6778"/>
      <c r="OJ108" s="6778"/>
      <c r="OK108" s="6778"/>
      <c r="OL108" s="6778"/>
      <c r="OM108" s="6030"/>
      <c r="ON108" s="6026"/>
      <c r="OO108" s="7"/>
    </row>
    <row r="109" spans="3:405" s="1466" customFormat="1" ht="9.9499999999999993" customHeight="1" thickBot="1" x14ac:dyDescent="0.25">
      <c r="C109" s="6028"/>
      <c r="E109" s="6032"/>
      <c r="F109" s="6032"/>
      <c r="G109" s="6032"/>
      <c r="H109" s="6032"/>
      <c r="I109" s="6032"/>
      <c r="J109" s="6032"/>
      <c r="K109" s="6032"/>
      <c r="L109" s="6032"/>
      <c r="M109" s="6032"/>
      <c r="N109" s="6032"/>
      <c r="O109" s="6032"/>
      <c r="P109" s="6032"/>
      <c r="Q109" s="6032"/>
      <c r="R109" s="6032"/>
      <c r="S109" s="6032"/>
      <c r="T109" s="6032"/>
      <c r="U109" s="6032"/>
      <c r="V109" s="6032"/>
      <c r="W109" s="6032"/>
      <c r="X109" s="6032"/>
      <c r="Y109" s="6032"/>
      <c r="Z109" s="6032"/>
      <c r="AA109" s="6032"/>
      <c r="AB109" s="6032"/>
      <c r="AC109" s="3489"/>
      <c r="AD109" s="3489"/>
      <c r="AE109" s="6033"/>
      <c r="AF109" s="6033"/>
      <c r="AG109" s="6033"/>
      <c r="AH109" s="6033"/>
      <c r="AI109" s="6033"/>
      <c r="AJ109" s="6033"/>
      <c r="AK109" s="6033"/>
      <c r="AL109" s="6033"/>
      <c r="AM109" s="6033"/>
      <c r="AN109" s="6033"/>
      <c r="AO109" s="6033"/>
      <c r="AP109" s="6033"/>
      <c r="AQ109" s="3489"/>
      <c r="AR109" s="6029"/>
      <c r="AV109" s="6028"/>
      <c r="AX109" s="6032"/>
      <c r="AY109" s="6032"/>
      <c r="AZ109" s="6032"/>
      <c r="BA109" s="6032"/>
      <c r="BB109" s="6032"/>
      <c r="BC109" s="6032"/>
      <c r="BD109" s="6032"/>
      <c r="BE109" s="6032"/>
      <c r="BF109" s="6032"/>
      <c r="BG109" s="6032"/>
      <c r="BH109" s="6032"/>
      <c r="BI109" s="6032"/>
      <c r="BJ109" s="6032"/>
      <c r="BK109" s="6032"/>
      <c r="BL109" s="6032"/>
      <c r="BM109" s="6032"/>
      <c r="BN109" s="6032"/>
      <c r="BO109" s="6032"/>
      <c r="BP109" s="6032"/>
      <c r="BQ109" s="6032"/>
      <c r="BR109" s="6032"/>
      <c r="BS109" s="6032"/>
      <c r="BT109" s="6032"/>
      <c r="BU109" s="6032"/>
      <c r="BV109" s="3489"/>
      <c r="BW109" s="3489"/>
      <c r="BX109" s="6033"/>
      <c r="BY109" s="6033"/>
      <c r="BZ109" s="6033"/>
      <c r="CA109" s="6033"/>
      <c r="CB109" s="6033"/>
      <c r="CC109" s="6033"/>
      <c r="CD109" s="6033"/>
      <c r="CE109" s="6033"/>
      <c r="CF109" s="6033"/>
      <c r="CG109" s="6033"/>
      <c r="CH109" s="6033"/>
      <c r="CI109" s="6033"/>
      <c r="CJ109" s="3489"/>
      <c r="CK109" s="6029"/>
      <c r="CO109" s="6028"/>
      <c r="CQ109" s="6032"/>
      <c r="CR109" s="6032"/>
      <c r="CS109" s="6032"/>
      <c r="CT109" s="6032"/>
      <c r="CU109" s="6032"/>
      <c r="CV109" s="6032"/>
      <c r="CW109" s="6032"/>
      <c r="CX109" s="6032"/>
      <c r="CY109" s="6032"/>
      <c r="CZ109" s="6032"/>
      <c r="DA109" s="6032"/>
      <c r="DB109" s="6032"/>
      <c r="DC109" s="6032"/>
      <c r="DD109" s="6032"/>
      <c r="DE109" s="6032"/>
      <c r="DF109" s="6032"/>
      <c r="DG109" s="6032"/>
      <c r="DH109" s="6032"/>
      <c r="DI109" s="6032"/>
      <c r="DJ109" s="6032"/>
      <c r="DK109" s="6032"/>
      <c r="DL109" s="6032"/>
      <c r="DM109" s="6032"/>
      <c r="DN109" s="6032"/>
      <c r="DO109" s="3489"/>
      <c r="DP109" s="3489"/>
      <c r="DQ109" s="6033"/>
      <c r="DR109" s="6033"/>
      <c r="DS109" s="6033"/>
      <c r="DT109" s="6033"/>
      <c r="DU109" s="6033"/>
      <c r="DV109" s="6033"/>
      <c r="DW109" s="6033"/>
      <c r="DX109" s="6033"/>
      <c r="DY109" s="6033"/>
      <c r="DZ109" s="6033"/>
      <c r="EA109" s="6033"/>
      <c r="EB109" s="6033"/>
      <c r="EC109" s="3489"/>
      <c r="ED109" s="6029"/>
      <c r="EH109" s="6028"/>
      <c r="EJ109" s="6032"/>
      <c r="EK109" s="6032"/>
      <c r="EL109" s="6032"/>
      <c r="EM109" s="6032"/>
      <c r="EN109" s="6032"/>
      <c r="EO109" s="6032"/>
      <c r="EP109" s="6032"/>
      <c r="EQ109" s="6032"/>
      <c r="ER109" s="6032"/>
      <c r="ES109" s="6032"/>
      <c r="ET109" s="6032"/>
      <c r="EU109" s="6032"/>
      <c r="EV109" s="6032"/>
      <c r="EW109" s="6032"/>
      <c r="EX109" s="6032"/>
      <c r="EY109" s="6032"/>
      <c r="EZ109" s="6032"/>
      <c r="FA109" s="6032"/>
      <c r="FB109" s="6032"/>
      <c r="FC109" s="6032"/>
      <c r="FD109" s="6032"/>
      <c r="FE109" s="6032"/>
      <c r="FF109" s="6032"/>
      <c r="FG109" s="6032"/>
      <c r="FH109" s="3489"/>
      <c r="FI109" s="3489"/>
      <c r="FJ109" s="6033"/>
      <c r="FK109" s="6033"/>
      <c r="FL109" s="6033"/>
      <c r="FM109" s="6033"/>
      <c r="FN109" s="6033"/>
      <c r="FO109" s="6033"/>
      <c r="FP109" s="6033"/>
      <c r="FQ109" s="6033"/>
      <c r="FR109" s="6033"/>
      <c r="FS109" s="6033"/>
      <c r="FT109" s="6033"/>
      <c r="FU109" s="6033"/>
      <c r="FV109" s="3489"/>
      <c r="FW109" s="6029"/>
      <c r="GA109" s="6028"/>
      <c r="GC109" s="6032"/>
      <c r="GD109" s="6032"/>
      <c r="GE109" s="6032"/>
      <c r="GF109" s="6032"/>
      <c r="GG109" s="6032"/>
      <c r="GH109" s="6032"/>
      <c r="GI109" s="6032"/>
      <c r="GJ109" s="6032"/>
      <c r="GK109" s="6032"/>
      <c r="GL109" s="6032"/>
      <c r="GM109" s="6032"/>
      <c r="GN109" s="6032"/>
      <c r="GO109" s="6032"/>
      <c r="GP109" s="6032"/>
      <c r="GQ109" s="6032"/>
      <c r="GR109" s="6032"/>
      <c r="GS109" s="6032"/>
      <c r="GT109" s="6032"/>
      <c r="GU109" s="6032"/>
      <c r="GV109" s="6032"/>
      <c r="GW109" s="6032"/>
      <c r="GX109" s="6032"/>
      <c r="GY109" s="6032"/>
      <c r="GZ109" s="6032"/>
      <c r="HA109" s="3489"/>
      <c r="HB109" s="3489"/>
      <c r="HC109" s="6033"/>
      <c r="HD109" s="6033"/>
      <c r="HE109" s="6033"/>
      <c r="HF109" s="6033"/>
      <c r="HG109" s="6033"/>
      <c r="HH109" s="6033"/>
      <c r="HI109" s="6033"/>
      <c r="HJ109" s="6033"/>
      <c r="HK109" s="6033"/>
      <c r="HL109" s="6033"/>
      <c r="HM109" s="6033"/>
      <c r="HN109" s="6033"/>
      <c r="HO109" s="3489"/>
      <c r="HP109" s="6029"/>
      <c r="HT109" s="6028"/>
      <c r="HV109" s="6032"/>
      <c r="HW109" s="6032"/>
      <c r="HX109" s="6032"/>
      <c r="HY109" s="6032"/>
      <c r="HZ109" s="6032"/>
      <c r="IA109" s="6032"/>
      <c r="IB109" s="6032"/>
      <c r="IC109" s="6032"/>
      <c r="ID109" s="6032"/>
      <c r="IE109" s="6032"/>
      <c r="IF109" s="6032"/>
      <c r="IG109" s="6032"/>
      <c r="IH109" s="6032"/>
      <c r="II109" s="6032"/>
      <c r="IJ109" s="6032"/>
      <c r="IK109" s="6032"/>
      <c r="IL109" s="6032"/>
      <c r="IM109" s="6032"/>
      <c r="IN109" s="6032"/>
      <c r="IO109" s="6032"/>
      <c r="IP109" s="6032"/>
      <c r="IQ109" s="6032"/>
      <c r="IR109" s="6032"/>
      <c r="IS109" s="6032"/>
      <c r="IT109" s="3489"/>
      <c r="IU109" s="3489"/>
      <c r="IV109" s="6033"/>
      <c r="IW109" s="6033"/>
      <c r="IX109" s="6033"/>
      <c r="IY109" s="6033"/>
      <c r="IZ109" s="6033"/>
      <c r="JA109" s="6033"/>
      <c r="JB109" s="6033"/>
      <c r="JC109" s="6033"/>
      <c r="JD109" s="6033"/>
      <c r="JE109" s="6033"/>
      <c r="JF109" s="6033"/>
      <c r="JG109" s="6033"/>
      <c r="JH109" s="3489"/>
      <c r="JI109" s="6029"/>
      <c r="JM109" s="6028"/>
      <c r="JO109" s="6032"/>
      <c r="JP109" s="6032"/>
      <c r="JQ109" s="6032"/>
      <c r="JR109" s="6032"/>
      <c r="JS109" s="6032"/>
      <c r="JT109" s="6032"/>
      <c r="JU109" s="6032"/>
      <c r="JV109" s="6032"/>
      <c r="JW109" s="6032"/>
      <c r="JX109" s="6032"/>
      <c r="JY109" s="6032"/>
      <c r="JZ109" s="6032"/>
      <c r="KA109" s="6032"/>
      <c r="KB109" s="6032"/>
      <c r="KC109" s="6032"/>
      <c r="KD109" s="6032"/>
      <c r="KE109" s="6032"/>
      <c r="KF109" s="6032"/>
      <c r="KG109" s="6032"/>
      <c r="KH109" s="6032"/>
      <c r="KI109" s="6032"/>
      <c r="KJ109" s="6032"/>
      <c r="KK109" s="6032"/>
      <c r="KL109" s="6032"/>
      <c r="KM109" s="3489"/>
      <c r="KN109" s="3489"/>
      <c r="KO109" s="6033"/>
      <c r="KP109" s="6033"/>
      <c r="KQ109" s="6033"/>
      <c r="KR109" s="6033"/>
      <c r="KS109" s="6033"/>
      <c r="KT109" s="6033"/>
      <c r="KU109" s="6033"/>
      <c r="KV109" s="6033"/>
      <c r="KW109" s="6033"/>
      <c r="KX109" s="6033"/>
      <c r="KY109" s="6033"/>
      <c r="KZ109" s="6033"/>
      <c r="LA109" s="3489"/>
      <c r="LB109" s="6029"/>
      <c r="LC109" s="130"/>
      <c r="LF109" s="6028"/>
      <c r="LH109" s="6032"/>
      <c r="LI109" s="6032"/>
      <c r="LJ109" s="6032"/>
      <c r="LK109" s="6032"/>
      <c r="LL109" s="6032"/>
      <c r="LM109" s="6032"/>
      <c r="LN109" s="6032"/>
      <c r="LO109" s="6032"/>
      <c r="LP109" s="6032"/>
      <c r="LQ109" s="6032"/>
      <c r="LR109" s="6032"/>
      <c r="LS109" s="6032"/>
      <c r="LT109" s="6032"/>
      <c r="LU109" s="6032"/>
      <c r="LV109" s="6032"/>
      <c r="LW109" s="6032"/>
      <c r="LX109" s="6032"/>
      <c r="LY109" s="6032"/>
      <c r="LZ109" s="6032"/>
      <c r="MA109" s="6032"/>
      <c r="MB109" s="6032"/>
      <c r="MC109" s="6032"/>
      <c r="MD109" s="6032"/>
      <c r="ME109" s="6032"/>
      <c r="MF109" s="3489"/>
      <c r="MG109" s="3489"/>
      <c r="MH109" s="6033"/>
      <c r="MI109" s="6033"/>
      <c r="MJ109" s="6033"/>
      <c r="MK109" s="6033"/>
      <c r="ML109" s="6033"/>
      <c r="MM109" s="6033"/>
      <c r="MN109" s="6033"/>
      <c r="MO109" s="6033"/>
      <c r="MP109" s="6033"/>
      <c r="MQ109" s="6033"/>
      <c r="MR109" s="6033"/>
      <c r="MS109" s="6033"/>
      <c r="MT109" s="3489"/>
      <c r="MU109" s="6029"/>
      <c r="MV109" s="130"/>
      <c r="MY109" s="6028"/>
      <c r="NA109" s="6032"/>
      <c r="NB109" s="6032"/>
      <c r="NC109" s="6032"/>
      <c r="ND109" s="6032"/>
      <c r="NE109" s="6032"/>
      <c r="NF109" s="6032"/>
      <c r="NG109" s="6032"/>
      <c r="NH109" s="6032"/>
      <c r="NI109" s="6032"/>
      <c r="NJ109" s="6032"/>
      <c r="NK109" s="6032"/>
      <c r="NL109" s="6032"/>
      <c r="NM109" s="6032"/>
      <c r="NN109" s="6032"/>
      <c r="NO109" s="6032"/>
      <c r="NP109" s="6032"/>
      <c r="NQ109" s="6032"/>
      <c r="NR109" s="6032"/>
      <c r="NS109" s="6032"/>
      <c r="NT109" s="6032"/>
      <c r="NU109" s="6032"/>
      <c r="NV109" s="6032"/>
      <c r="NW109" s="6032"/>
      <c r="NX109" s="6032"/>
      <c r="NY109" s="3489"/>
      <c r="NZ109" s="3489"/>
      <c r="OA109" s="6033"/>
      <c r="OB109" s="6033"/>
      <c r="OC109" s="6033"/>
      <c r="OD109" s="6033"/>
      <c r="OE109" s="6033"/>
      <c r="OF109" s="6033"/>
      <c r="OG109" s="6033"/>
      <c r="OH109" s="6033"/>
      <c r="OI109" s="6033"/>
      <c r="OJ109" s="6033"/>
      <c r="OK109" s="6033"/>
      <c r="OL109" s="6033"/>
      <c r="OM109" s="3489"/>
      <c r="ON109" s="6029"/>
      <c r="OO109" s="130"/>
    </row>
    <row r="110" spans="3:405" s="1466" customFormat="1" ht="6" customHeight="1" x14ac:dyDescent="0.2">
      <c r="C110" s="6028"/>
      <c r="D110" s="6785" t="str">
        <f>_Calcs!$II$96</f>
        <v>Begrunnelser for tidsjusteringer</v>
      </c>
      <c r="E110" s="6785"/>
      <c r="F110" s="6785"/>
      <c r="G110" s="6785"/>
      <c r="H110" s="6785"/>
      <c r="I110" s="6785"/>
      <c r="J110" s="6785"/>
      <c r="K110" s="6785"/>
      <c r="L110" s="6785"/>
      <c r="M110" s="6785"/>
      <c r="N110" s="6785"/>
      <c r="O110" s="6785"/>
      <c r="P110" s="6785"/>
      <c r="Q110" s="6785"/>
      <c r="R110" s="6785"/>
      <c r="S110" s="6785"/>
      <c r="T110" s="6785"/>
      <c r="U110" s="6785"/>
      <c r="V110" s="6785"/>
      <c r="W110" s="6785"/>
      <c r="X110" s="6785"/>
      <c r="Y110" s="6785"/>
      <c r="Z110" s="6785"/>
      <c r="AA110" s="6785"/>
      <c r="AB110" s="6785"/>
      <c r="AC110" s="6785"/>
      <c r="AD110" s="3489"/>
      <c r="AE110" s="6033"/>
      <c r="AF110" s="6033"/>
      <c r="AG110" s="6034"/>
      <c r="AH110" s="6786" t="str">
        <f>_Calcs!$IK$140</f>
        <v>Stuff 1-1</v>
      </c>
      <c r="AI110" s="6786"/>
      <c r="AJ110" s="6786"/>
      <c r="AK110" s="6786"/>
      <c r="AL110" s="6786"/>
      <c r="AM110" s="6786"/>
      <c r="AN110" s="6786"/>
      <c r="AO110" s="6786"/>
      <c r="AP110" s="6786"/>
      <c r="AQ110" s="6035"/>
      <c r="AR110" s="6029"/>
      <c r="AV110" s="6028"/>
      <c r="AW110" s="6785" t="str">
        <f>_Calcs!$II$96</f>
        <v>Begrunnelser for tidsjusteringer</v>
      </c>
      <c r="AX110" s="6785"/>
      <c r="AY110" s="6785"/>
      <c r="AZ110" s="6785"/>
      <c r="BA110" s="6785"/>
      <c r="BB110" s="6785"/>
      <c r="BC110" s="6785"/>
      <c r="BD110" s="6785"/>
      <c r="BE110" s="6785"/>
      <c r="BF110" s="6785"/>
      <c r="BG110" s="6785"/>
      <c r="BH110" s="6785"/>
      <c r="BI110" s="6785"/>
      <c r="BJ110" s="6785"/>
      <c r="BK110" s="6785"/>
      <c r="BL110" s="6785"/>
      <c r="BM110" s="6785"/>
      <c r="BN110" s="6785"/>
      <c r="BO110" s="6785"/>
      <c r="BP110" s="6785"/>
      <c r="BQ110" s="6785"/>
      <c r="BR110" s="6785"/>
      <c r="BS110" s="6785"/>
      <c r="BT110" s="6785"/>
      <c r="BU110" s="6785"/>
      <c r="BV110" s="6785"/>
      <c r="BW110" s="3489"/>
      <c r="BX110" s="6033"/>
      <c r="BY110" s="6033"/>
      <c r="BZ110" s="6034"/>
      <c r="CA110" s="6786" t="str">
        <f>_Calcs!$IL$140</f>
        <v/>
      </c>
      <c r="CB110" s="6786"/>
      <c r="CC110" s="6786"/>
      <c r="CD110" s="6786"/>
      <c r="CE110" s="6786"/>
      <c r="CF110" s="6786"/>
      <c r="CG110" s="6786"/>
      <c r="CH110" s="6786"/>
      <c r="CI110" s="6786"/>
      <c r="CJ110" s="6035"/>
      <c r="CK110" s="6029"/>
      <c r="CO110" s="6028"/>
      <c r="CP110" s="6785" t="str">
        <f>_Calcs!$II$96</f>
        <v>Begrunnelser for tidsjusteringer</v>
      </c>
      <c r="CQ110" s="6785"/>
      <c r="CR110" s="6785"/>
      <c r="CS110" s="6785"/>
      <c r="CT110" s="6785"/>
      <c r="CU110" s="6785"/>
      <c r="CV110" s="6785"/>
      <c r="CW110" s="6785"/>
      <c r="CX110" s="6785"/>
      <c r="CY110" s="6785"/>
      <c r="CZ110" s="6785"/>
      <c r="DA110" s="6785"/>
      <c r="DB110" s="6785"/>
      <c r="DC110" s="6785"/>
      <c r="DD110" s="6785"/>
      <c r="DE110" s="6785"/>
      <c r="DF110" s="6785"/>
      <c r="DG110" s="6785"/>
      <c r="DH110" s="6785"/>
      <c r="DI110" s="6785"/>
      <c r="DJ110" s="6785"/>
      <c r="DK110" s="6785"/>
      <c r="DL110" s="6785"/>
      <c r="DM110" s="6785"/>
      <c r="DN110" s="6785"/>
      <c r="DO110" s="6785"/>
      <c r="DP110" s="3489"/>
      <c r="DQ110" s="6033"/>
      <c r="DR110" s="6033"/>
      <c r="DS110" s="6034"/>
      <c r="DT110" s="6786" t="str">
        <f>_Calcs!$IM$140</f>
        <v/>
      </c>
      <c r="DU110" s="6786"/>
      <c r="DV110" s="6786"/>
      <c r="DW110" s="6786"/>
      <c r="DX110" s="6786"/>
      <c r="DY110" s="6786"/>
      <c r="DZ110" s="6786"/>
      <c r="EA110" s="6786"/>
      <c r="EB110" s="6786"/>
      <c r="EC110" s="6035"/>
      <c r="ED110" s="6029"/>
      <c r="EH110" s="6028"/>
      <c r="EI110" s="6785" t="str">
        <f>_Calcs!$II$96</f>
        <v>Begrunnelser for tidsjusteringer</v>
      </c>
      <c r="EJ110" s="6785"/>
      <c r="EK110" s="6785"/>
      <c r="EL110" s="6785"/>
      <c r="EM110" s="6785"/>
      <c r="EN110" s="6785"/>
      <c r="EO110" s="6785"/>
      <c r="EP110" s="6785"/>
      <c r="EQ110" s="6785"/>
      <c r="ER110" s="6785"/>
      <c r="ES110" s="6785"/>
      <c r="ET110" s="6785"/>
      <c r="EU110" s="6785"/>
      <c r="EV110" s="6785"/>
      <c r="EW110" s="6785"/>
      <c r="EX110" s="6785"/>
      <c r="EY110" s="6785"/>
      <c r="EZ110" s="6785"/>
      <c r="FA110" s="6785"/>
      <c r="FB110" s="6785"/>
      <c r="FC110" s="6785"/>
      <c r="FD110" s="6785"/>
      <c r="FE110" s="6785"/>
      <c r="FF110" s="6785"/>
      <c r="FG110" s="6785"/>
      <c r="FH110" s="6785"/>
      <c r="FI110" s="3489"/>
      <c r="FJ110" s="6033"/>
      <c r="FK110" s="6033"/>
      <c r="FL110" s="6034"/>
      <c r="FM110" s="6786" t="str">
        <f>_Calcs!$IN$140</f>
        <v/>
      </c>
      <c r="FN110" s="6786"/>
      <c r="FO110" s="6786"/>
      <c r="FP110" s="6786"/>
      <c r="FQ110" s="6786"/>
      <c r="FR110" s="6786"/>
      <c r="FS110" s="6786"/>
      <c r="FT110" s="6786"/>
      <c r="FU110" s="6786"/>
      <c r="FV110" s="6035"/>
      <c r="FW110" s="6029"/>
      <c r="GA110" s="6028"/>
      <c r="GB110" s="6785" t="str">
        <f>_Calcs!$II$96</f>
        <v>Begrunnelser for tidsjusteringer</v>
      </c>
      <c r="GC110" s="6785"/>
      <c r="GD110" s="6785"/>
      <c r="GE110" s="6785"/>
      <c r="GF110" s="6785"/>
      <c r="GG110" s="6785"/>
      <c r="GH110" s="6785"/>
      <c r="GI110" s="6785"/>
      <c r="GJ110" s="6785"/>
      <c r="GK110" s="6785"/>
      <c r="GL110" s="6785"/>
      <c r="GM110" s="6785"/>
      <c r="GN110" s="6785"/>
      <c r="GO110" s="6785"/>
      <c r="GP110" s="6785"/>
      <c r="GQ110" s="6785"/>
      <c r="GR110" s="6785"/>
      <c r="GS110" s="6785"/>
      <c r="GT110" s="6785"/>
      <c r="GU110" s="6785"/>
      <c r="GV110" s="6785"/>
      <c r="GW110" s="6785"/>
      <c r="GX110" s="6785"/>
      <c r="GY110" s="6785"/>
      <c r="GZ110" s="6785"/>
      <c r="HA110" s="6785"/>
      <c r="HB110" s="3489"/>
      <c r="HC110" s="6033"/>
      <c r="HD110" s="6033"/>
      <c r="HE110" s="6034"/>
      <c r="HF110" s="6786" t="str">
        <f>_Calcs!$IO$140</f>
        <v/>
      </c>
      <c r="HG110" s="6786"/>
      <c r="HH110" s="6786"/>
      <c r="HI110" s="6786"/>
      <c r="HJ110" s="6786"/>
      <c r="HK110" s="6786"/>
      <c r="HL110" s="6786"/>
      <c r="HM110" s="6786"/>
      <c r="HN110" s="6786"/>
      <c r="HO110" s="6035"/>
      <c r="HP110" s="6029"/>
      <c r="HT110" s="6028"/>
      <c r="HU110" s="6785" t="str">
        <f>_Calcs!$II$96</f>
        <v>Begrunnelser for tidsjusteringer</v>
      </c>
      <c r="HV110" s="6785"/>
      <c r="HW110" s="6785"/>
      <c r="HX110" s="6785"/>
      <c r="HY110" s="6785"/>
      <c r="HZ110" s="6785"/>
      <c r="IA110" s="6785"/>
      <c r="IB110" s="6785"/>
      <c r="IC110" s="6785"/>
      <c r="ID110" s="6785"/>
      <c r="IE110" s="6785"/>
      <c r="IF110" s="6785"/>
      <c r="IG110" s="6785"/>
      <c r="IH110" s="6785"/>
      <c r="II110" s="6785"/>
      <c r="IJ110" s="6785"/>
      <c r="IK110" s="6785"/>
      <c r="IL110" s="6785"/>
      <c r="IM110" s="6785"/>
      <c r="IN110" s="6785"/>
      <c r="IO110" s="6785"/>
      <c r="IP110" s="6785"/>
      <c r="IQ110" s="6785"/>
      <c r="IR110" s="6785"/>
      <c r="IS110" s="6785"/>
      <c r="IT110" s="6785"/>
      <c r="IU110" s="3489"/>
      <c r="IV110" s="6033"/>
      <c r="IW110" s="6033"/>
      <c r="IX110" s="6034"/>
      <c r="IY110" s="6786" t="str">
        <f>_Calcs!$IP$140</f>
        <v/>
      </c>
      <c r="IZ110" s="6786"/>
      <c r="JA110" s="6786"/>
      <c r="JB110" s="6786"/>
      <c r="JC110" s="6786"/>
      <c r="JD110" s="6786"/>
      <c r="JE110" s="6786"/>
      <c r="JF110" s="6786"/>
      <c r="JG110" s="6786"/>
      <c r="JH110" s="6035"/>
      <c r="JI110" s="6029"/>
      <c r="JM110" s="6028"/>
      <c r="JN110" s="6785" t="str">
        <f>_Calcs!$II$96</f>
        <v>Begrunnelser for tidsjusteringer</v>
      </c>
      <c r="JO110" s="6785"/>
      <c r="JP110" s="6785"/>
      <c r="JQ110" s="6785"/>
      <c r="JR110" s="6785"/>
      <c r="JS110" s="6785"/>
      <c r="JT110" s="6785"/>
      <c r="JU110" s="6785"/>
      <c r="JV110" s="6785"/>
      <c r="JW110" s="6785"/>
      <c r="JX110" s="6785"/>
      <c r="JY110" s="6785"/>
      <c r="JZ110" s="6785"/>
      <c r="KA110" s="6785"/>
      <c r="KB110" s="6785"/>
      <c r="KC110" s="6785"/>
      <c r="KD110" s="6785"/>
      <c r="KE110" s="6785"/>
      <c r="KF110" s="6785"/>
      <c r="KG110" s="6785"/>
      <c r="KH110" s="6785"/>
      <c r="KI110" s="6785"/>
      <c r="KJ110" s="6785"/>
      <c r="KK110" s="6785"/>
      <c r="KL110" s="6785"/>
      <c r="KM110" s="6785"/>
      <c r="KN110" s="3489"/>
      <c r="KO110" s="6033"/>
      <c r="KP110" s="6033"/>
      <c r="KQ110" s="6034"/>
      <c r="KR110" s="6786" t="str">
        <f>_Calcs!$IQ$140</f>
        <v/>
      </c>
      <c r="KS110" s="6786"/>
      <c r="KT110" s="6786"/>
      <c r="KU110" s="6786"/>
      <c r="KV110" s="6786"/>
      <c r="KW110" s="6786"/>
      <c r="KX110" s="6786"/>
      <c r="KY110" s="6786"/>
      <c r="KZ110" s="6786"/>
      <c r="LA110" s="6035"/>
      <c r="LB110" s="6029"/>
      <c r="LC110" s="130"/>
      <c r="LF110" s="6028"/>
      <c r="LG110" s="6785" t="str">
        <f>_Calcs!$II$96</f>
        <v>Begrunnelser for tidsjusteringer</v>
      </c>
      <c r="LH110" s="6785"/>
      <c r="LI110" s="6785"/>
      <c r="LJ110" s="6785"/>
      <c r="LK110" s="6785"/>
      <c r="LL110" s="6785"/>
      <c r="LM110" s="6785"/>
      <c r="LN110" s="6785"/>
      <c r="LO110" s="6785"/>
      <c r="LP110" s="6785"/>
      <c r="LQ110" s="6785"/>
      <c r="LR110" s="6785"/>
      <c r="LS110" s="6785"/>
      <c r="LT110" s="6785"/>
      <c r="LU110" s="6785"/>
      <c r="LV110" s="6785"/>
      <c r="LW110" s="6785"/>
      <c r="LX110" s="6785"/>
      <c r="LY110" s="6785"/>
      <c r="LZ110" s="6785"/>
      <c r="MA110" s="6785"/>
      <c r="MB110" s="6785"/>
      <c r="MC110" s="6785"/>
      <c r="MD110" s="6785"/>
      <c r="ME110" s="6785"/>
      <c r="MF110" s="6785"/>
      <c r="MG110" s="3489"/>
      <c r="MH110" s="6033"/>
      <c r="MI110" s="6033"/>
      <c r="MJ110" s="6034"/>
      <c r="MK110" s="6786" t="str">
        <f>_Calcs!$IR$140</f>
        <v/>
      </c>
      <c r="ML110" s="6786"/>
      <c r="MM110" s="6786"/>
      <c r="MN110" s="6786"/>
      <c r="MO110" s="6786"/>
      <c r="MP110" s="6786"/>
      <c r="MQ110" s="6786"/>
      <c r="MR110" s="6786"/>
      <c r="MS110" s="6786"/>
      <c r="MT110" s="6035"/>
      <c r="MU110" s="6029"/>
      <c r="MV110" s="130"/>
      <c r="MY110" s="6028"/>
      <c r="MZ110" s="6785" t="str">
        <f>_Calcs!$II$96</f>
        <v>Begrunnelser for tidsjusteringer</v>
      </c>
      <c r="NA110" s="6785"/>
      <c r="NB110" s="6785"/>
      <c r="NC110" s="6785"/>
      <c r="ND110" s="6785"/>
      <c r="NE110" s="6785"/>
      <c r="NF110" s="6785"/>
      <c r="NG110" s="6785"/>
      <c r="NH110" s="6785"/>
      <c r="NI110" s="6785"/>
      <c r="NJ110" s="6785"/>
      <c r="NK110" s="6785"/>
      <c r="NL110" s="6785"/>
      <c r="NM110" s="6785"/>
      <c r="NN110" s="6785"/>
      <c r="NO110" s="6785"/>
      <c r="NP110" s="6785"/>
      <c r="NQ110" s="6785"/>
      <c r="NR110" s="6785"/>
      <c r="NS110" s="6785"/>
      <c r="NT110" s="6785"/>
      <c r="NU110" s="6785"/>
      <c r="NV110" s="6785"/>
      <c r="NW110" s="6785"/>
      <c r="NX110" s="6785"/>
      <c r="NY110" s="6785"/>
      <c r="NZ110" s="3489"/>
      <c r="OA110" s="6033"/>
      <c r="OB110" s="6033"/>
      <c r="OC110" s="6034"/>
      <c r="OD110" s="6786" t="str">
        <f>_Calcs!$IS$140</f>
        <v/>
      </c>
      <c r="OE110" s="6786"/>
      <c r="OF110" s="6786"/>
      <c r="OG110" s="6786"/>
      <c r="OH110" s="6786"/>
      <c r="OI110" s="6786"/>
      <c r="OJ110" s="6786"/>
      <c r="OK110" s="6786"/>
      <c r="OL110" s="6786"/>
      <c r="OM110" s="6035"/>
      <c r="ON110" s="6029"/>
      <c r="OO110" s="130"/>
    </row>
    <row r="111" spans="3:405" s="5321" customFormat="1" ht="12" customHeight="1" x14ac:dyDescent="0.2">
      <c r="C111" s="6036"/>
      <c r="D111" s="6785"/>
      <c r="E111" s="6785"/>
      <c r="F111" s="6785"/>
      <c r="G111" s="6785"/>
      <c r="H111" s="6785"/>
      <c r="I111" s="6785"/>
      <c r="J111" s="6785"/>
      <c r="K111" s="6785"/>
      <c r="L111" s="6785"/>
      <c r="M111" s="6785"/>
      <c r="N111" s="6785"/>
      <c r="O111" s="6785"/>
      <c r="P111" s="6785"/>
      <c r="Q111" s="6785"/>
      <c r="R111" s="6785"/>
      <c r="S111" s="6785"/>
      <c r="T111" s="6785"/>
      <c r="U111" s="6785"/>
      <c r="V111" s="6785"/>
      <c r="W111" s="6785"/>
      <c r="X111" s="6785"/>
      <c r="Y111" s="6785"/>
      <c r="Z111" s="6785"/>
      <c r="AA111" s="6785"/>
      <c r="AB111" s="6785"/>
      <c r="AC111" s="6785"/>
      <c r="AE111" s="6033"/>
      <c r="AF111" s="6033"/>
      <c r="AG111" s="6037"/>
      <c r="AH111" s="6787"/>
      <c r="AI111" s="6787"/>
      <c r="AJ111" s="6787"/>
      <c r="AK111" s="6787"/>
      <c r="AL111" s="6787"/>
      <c r="AM111" s="6787"/>
      <c r="AN111" s="6787"/>
      <c r="AO111" s="6787"/>
      <c r="AP111" s="6787"/>
      <c r="AQ111" s="6038"/>
      <c r="AR111" s="6039"/>
      <c r="AV111" s="6036"/>
      <c r="AW111" s="6785"/>
      <c r="AX111" s="6785"/>
      <c r="AY111" s="6785"/>
      <c r="AZ111" s="6785"/>
      <c r="BA111" s="6785"/>
      <c r="BB111" s="6785"/>
      <c r="BC111" s="6785"/>
      <c r="BD111" s="6785"/>
      <c r="BE111" s="6785"/>
      <c r="BF111" s="6785"/>
      <c r="BG111" s="6785"/>
      <c r="BH111" s="6785"/>
      <c r="BI111" s="6785"/>
      <c r="BJ111" s="6785"/>
      <c r="BK111" s="6785"/>
      <c r="BL111" s="6785"/>
      <c r="BM111" s="6785"/>
      <c r="BN111" s="6785"/>
      <c r="BO111" s="6785"/>
      <c r="BP111" s="6785"/>
      <c r="BQ111" s="6785"/>
      <c r="BR111" s="6785"/>
      <c r="BS111" s="6785"/>
      <c r="BT111" s="6785"/>
      <c r="BU111" s="6785"/>
      <c r="BV111" s="6785"/>
      <c r="BX111" s="6033"/>
      <c r="BY111" s="6033"/>
      <c r="BZ111" s="6037"/>
      <c r="CA111" s="6787"/>
      <c r="CB111" s="6787"/>
      <c r="CC111" s="6787"/>
      <c r="CD111" s="6787"/>
      <c r="CE111" s="6787"/>
      <c r="CF111" s="6787"/>
      <c r="CG111" s="6787"/>
      <c r="CH111" s="6787"/>
      <c r="CI111" s="6787"/>
      <c r="CJ111" s="6038"/>
      <c r="CK111" s="6039"/>
      <c r="CO111" s="6036"/>
      <c r="CP111" s="6785"/>
      <c r="CQ111" s="6785"/>
      <c r="CR111" s="6785"/>
      <c r="CS111" s="6785"/>
      <c r="CT111" s="6785"/>
      <c r="CU111" s="6785"/>
      <c r="CV111" s="6785"/>
      <c r="CW111" s="6785"/>
      <c r="CX111" s="6785"/>
      <c r="CY111" s="6785"/>
      <c r="CZ111" s="6785"/>
      <c r="DA111" s="6785"/>
      <c r="DB111" s="6785"/>
      <c r="DC111" s="6785"/>
      <c r="DD111" s="6785"/>
      <c r="DE111" s="6785"/>
      <c r="DF111" s="6785"/>
      <c r="DG111" s="6785"/>
      <c r="DH111" s="6785"/>
      <c r="DI111" s="6785"/>
      <c r="DJ111" s="6785"/>
      <c r="DK111" s="6785"/>
      <c r="DL111" s="6785"/>
      <c r="DM111" s="6785"/>
      <c r="DN111" s="6785"/>
      <c r="DO111" s="6785"/>
      <c r="DQ111" s="6033"/>
      <c r="DR111" s="6033"/>
      <c r="DS111" s="6037"/>
      <c r="DT111" s="6787"/>
      <c r="DU111" s="6787"/>
      <c r="DV111" s="6787"/>
      <c r="DW111" s="6787"/>
      <c r="DX111" s="6787"/>
      <c r="DY111" s="6787"/>
      <c r="DZ111" s="6787"/>
      <c r="EA111" s="6787"/>
      <c r="EB111" s="6787"/>
      <c r="EC111" s="6038"/>
      <c r="ED111" s="6039"/>
      <c r="EH111" s="6036"/>
      <c r="EI111" s="6785"/>
      <c r="EJ111" s="6785"/>
      <c r="EK111" s="6785"/>
      <c r="EL111" s="6785"/>
      <c r="EM111" s="6785"/>
      <c r="EN111" s="6785"/>
      <c r="EO111" s="6785"/>
      <c r="EP111" s="6785"/>
      <c r="EQ111" s="6785"/>
      <c r="ER111" s="6785"/>
      <c r="ES111" s="6785"/>
      <c r="ET111" s="6785"/>
      <c r="EU111" s="6785"/>
      <c r="EV111" s="6785"/>
      <c r="EW111" s="6785"/>
      <c r="EX111" s="6785"/>
      <c r="EY111" s="6785"/>
      <c r="EZ111" s="6785"/>
      <c r="FA111" s="6785"/>
      <c r="FB111" s="6785"/>
      <c r="FC111" s="6785"/>
      <c r="FD111" s="6785"/>
      <c r="FE111" s="6785"/>
      <c r="FF111" s="6785"/>
      <c r="FG111" s="6785"/>
      <c r="FH111" s="6785"/>
      <c r="FJ111" s="6033"/>
      <c r="FK111" s="6033"/>
      <c r="FL111" s="6037"/>
      <c r="FM111" s="6787"/>
      <c r="FN111" s="6787"/>
      <c r="FO111" s="6787"/>
      <c r="FP111" s="6787"/>
      <c r="FQ111" s="6787"/>
      <c r="FR111" s="6787"/>
      <c r="FS111" s="6787"/>
      <c r="FT111" s="6787"/>
      <c r="FU111" s="6787"/>
      <c r="FV111" s="6038"/>
      <c r="FW111" s="6039"/>
      <c r="GA111" s="6036"/>
      <c r="GB111" s="6785"/>
      <c r="GC111" s="6785"/>
      <c r="GD111" s="6785"/>
      <c r="GE111" s="6785"/>
      <c r="GF111" s="6785"/>
      <c r="GG111" s="6785"/>
      <c r="GH111" s="6785"/>
      <c r="GI111" s="6785"/>
      <c r="GJ111" s="6785"/>
      <c r="GK111" s="6785"/>
      <c r="GL111" s="6785"/>
      <c r="GM111" s="6785"/>
      <c r="GN111" s="6785"/>
      <c r="GO111" s="6785"/>
      <c r="GP111" s="6785"/>
      <c r="GQ111" s="6785"/>
      <c r="GR111" s="6785"/>
      <c r="GS111" s="6785"/>
      <c r="GT111" s="6785"/>
      <c r="GU111" s="6785"/>
      <c r="GV111" s="6785"/>
      <c r="GW111" s="6785"/>
      <c r="GX111" s="6785"/>
      <c r="GY111" s="6785"/>
      <c r="GZ111" s="6785"/>
      <c r="HA111" s="6785"/>
      <c r="HC111" s="6033"/>
      <c r="HD111" s="6033"/>
      <c r="HE111" s="6037"/>
      <c r="HF111" s="6787"/>
      <c r="HG111" s="6787"/>
      <c r="HH111" s="6787"/>
      <c r="HI111" s="6787"/>
      <c r="HJ111" s="6787"/>
      <c r="HK111" s="6787"/>
      <c r="HL111" s="6787"/>
      <c r="HM111" s="6787"/>
      <c r="HN111" s="6787"/>
      <c r="HO111" s="6038"/>
      <c r="HP111" s="6039"/>
      <c r="HT111" s="6036"/>
      <c r="HU111" s="6785"/>
      <c r="HV111" s="6785"/>
      <c r="HW111" s="6785"/>
      <c r="HX111" s="6785"/>
      <c r="HY111" s="6785"/>
      <c r="HZ111" s="6785"/>
      <c r="IA111" s="6785"/>
      <c r="IB111" s="6785"/>
      <c r="IC111" s="6785"/>
      <c r="ID111" s="6785"/>
      <c r="IE111" s="6785"/>
      <c r="IF111" s="6785"/>
      <c r="IG111" s="6785"/>
      <c r="IH111" s="6785"/>
      <c r="II111" s="6785"/>
      <c r="IJ111" s="6785"/>
      <c r="IK111" s="6785"/>
      <c r="IL111" s="6785"/>
      <c r="IM111" s="6785"/>
      <c r="IN111" s="6785"/>
      <c r="IO111" s="6785"/>
      <c r="IP111" s="6785"/>
      <c r="IQ111" s="6785"/>
      <c r="IR111" s="6785"/>
      <c r="IS111" s="6785"/>
      <c r="IT111" s="6785"/>
      <c r="IV111" s="6033"/>
      <c r="IW111" s="6033"/>
      <c r="IX111" s="6037"/>
      <c r="IY111" s="6787"/>
      <c r="IZ111" s="6787"/>
      <c r="JA111" s="6787"/>
      <c r="JB111" s="6787"/>
      <c r="JC111" s="6787"/>
      <c r="JD111" s="6787"/>
      <c r="JE111" s="6787"/>
      <c r="JF111" s="6787"/>
      <c r="JG111" s="6787"/>
      <c r="JH111" s="6038"/>
      <c r="JI111" s="6039"/>
      <c r="JM111" s="6036"/>
      <c r="JN111" s="6785"/>
      <c r="JO111" s="6785"/>
      <c r="JP111" s="6785"/>
      <c r="JQ111" s="6785"/>
      <c r="JR111" s="6785"/>
      <c r="JS111" s="6785"/>
      <c r="JT111" s="6785"/>
      <c r="JU111" s="6785"/>
      <c r="JV111" s="6785"/>
      <c r="JW111" s="6785"/>
      <c r="JX111" s="6785"/>
      <c r="JY111" s="6785"/>
      <c r="JZ111" s="6785"/>
      <c r="KA111" s="6785"/>
      <c r="KB111" s="6785"/>
      <c r="KC111" s="6785"/>
      <c r="KD111" s="6785"/>
      <c r="KE111" s="6785"/>
      <c r="KF111" s="6785"/>
      <c r="KG111" s="6785"/>
      <c r="KH111" s="6785"/>
      <c r="KI111" s="6785"/>
      <c r="KJ111" s="6785"/>
      <c r="KK111" s="6785"/>
      <c r="KL111" s="6785"/>
      <c r="KM111" s="6785"/>
      <c r="KO111" s="6033"/>
      <c r="KP111" s="6033"/>
      <c r="KQ111" s="6037"/>
      <c r="KR111" s="6787"/>
      <c r="KS111" s="6787"/>
      <c r="KT111" s="6787"/>
      <c r="KU111" s="6787"/>
      <c r="KV111" s="6787"/>
      <c r="KW111" s="6787"/>
      <c r="KX111" s="6787"/>
      <c r="KY111" s="6787"/>
      <c r="KZ111" s="6787"/>
      <c r="LA111" s="6038"/>
      <c r="LB111" s="6039"/>
      <c r="LC111" s="7"/>
      <c r="LF111" s="6036"/>
      <c r="LG111" s="6785"/>
      <c r="LH111" s="6785"/>
      <c r="LI111" s="6785"/>
      <c r="LJ111" s="6785"/>
      <c r="LK111" s="6785"/>
      <c r="LL111" s="6785"/>
      <c r="LM111" s="6785"/>
      <c r="LN111" s="6785"/>
      <c r="LO111" s="6785"/>
      <c r="LP111" s="6785"/>
      <c r="LQ111" s="6785"/>
      <c r="LR111" s="6785"/>
      <c r="LS111" s="6785"/>
      <c r="LT111" s="6785"/>
      <c r="LU111" s="6785"/>
      <c r="LV111" s="6785"/>
      <c r="LW111" s="6785"/>
      <c r="LX111" s="6785"/>
      <c r="LY111" s="6785"/>
      <c r="LZ111" s="6785"/>
      <c r="MA111" s="6785"/>
      <c r="MB111" s="6785"/>
      <c r="MC111" s="6785"/>
      <c r="MD111" s="6785"/>
      <c r="ME111" s="6785"/>
      <c r="MF111" s="6785"/>
      <c r="MH111" s="6033"/>
      <c r="MI111" s="6033"/>
      <c r="MJ111" s="6037"/>
      <c r="MK111" s="6787"/>
      <c r="ML111" s="6787"/>
      <c r="MM111" s="6787"/>
      <c r="MN111" s="6787"/>
      <c r="MO111" s="6787"/>
      <c r="MP111" s="6787"/>
      <c r="MQ111" s="6787"/>
      <c r="MR111" s="6787"/>
      <c r="MS111" s="6787"/>
      <c r="MT111" s="6038"/>
      <c r="MU111" s="6039"/>
      <c r="MV111" s="7"/>
      <c r="MY111" s="6036"/>
      <c r="MZ111" s="6785"/>
      <c r="NA111" s="6785"/>
      <c r="NB111" s="6785"/>
      <c r="NC111" s="6785"/>
      <c r="ND111" s="6785"/>
      <c r="NE111" s="6785"/>
      <c r="NF111" s="6785"/>
      <c r="NG111" s="6785"/>
      <c r="NH111" s="6785"/>
      <c r="NI111" s="6785"/>
      <c r="NJ111" s="6785"/>
      <c r="NK111" s="6785"/>
      <c r="NL111" s="6785"/>
      <c r="NM111" s="6785"/>
      <c r="NN111" s="6785"/>
      <c r="NO111" s="6785"/>
      <c r="NP111" s="6785"/>
      <c r="NQ111" s="6785"/>
      <c r="NR111" s="6785"/>
      <c r="NS111" s="6785"/>
      <c r="NT111" s="6785"/>
      <c r="NU111" s="6785"/>
      <c r="NV111" s="6785"/>
      <c r="NW111" s="6785"/>
      <c r="NX111" s="6785"/>
      <c r="NY111" s="6785"/>
      <c r="OA111" s="6033"/>
      <c r="OB111" s="6033"/>
      <c r="OC111" s="6037"/>
      <c r="OD111" s="6787"/>
      <c r="OE111" s="6787"/>
      <c r="OF111" s="6787"/>
      <c r="OG111" s="6787"/>
      <c r="OH111" s="6787"/>
      <c r="OI111" s="6787"/>
      <c r="OJ111" s="6787"/>
      <c r="OK111" s="6787"/>
      <c r="OL111" s="6787"/>
      <c r="OM111" s="6038"/>
      <c r="ON111" s="6039"/>
      <c r="OO111" s="7"/>
    </row>
    <row r="112" spans="3:405" s="1466" customFormat="1" ht="6" customHeight="1" thickBot="1" x14ac:dyDescent="0.25">
      <c r="C112" s="6040"/>
      <c r="D112" s="6785"/>
      <c r="E112" s="6785"/>
      <c r="F112" s="6785"/>
      <c r="G112" s="6785"/>
      <c r="H112" s="6785"/>
      <c r="I112" s="6785"/>
      <c r="J112" s="6785"/>
      <c r="K112" s="6785"/>
      <c r="L112" s="6785"/>
      <c r="M112" s="6785"/>
      <c r="N112" s="6785"/>
      <c r="O112" s="6785"/>
      <c r="P112" s="6785"/>
      <c r="Q112" s="6785"/>
      <c r="R112" s="6785"/>
      <c r="S112" s="6785"/>
      <c r="T112" s="6785"/>
      <c r="U112" s="6785"/>
      <c r="V112" s="6785"/>
      <c r="W112" s="6785"/>
      <c r="X112" s="6785"/>
      <c r="Y112" s="6785"/>
      <c r="Z112" s="6785"/>
      <c r="AA112" s="6785"/>
      <c r="AB112" s="6785"/>
      <c r="AC112" s="6785"/>
      <c r="AE112" s="6033"/>
      <c r="AF112" s="6033"/>
      <c r="AG112" s="6041"/>
      <c r="AH112" s="6788"/>
      <c r="AI112" s="6788"/>
      <c r="AJ112" s="6788"/>
      <c r="AK112" s="6788"/>
      <c r="AL112" s="6788"/>
      <c r="AM112" s="6788"/>
      <c r="AN112" s="6788"/>
      <c r="AO112" s="6788"/>
      <c r="AP112" s="6788"/>
      <c r="AQ112" s="6042"/>
      <c r="AR112" s="6043"/>
      <c r="AV112" s="6040"/>
      <c r="AW112" s="6785"/>
      <c r="AX112" s="6785"/>
      <c r="AY112" s="6785"/>
      <c r="AZ112" s="6785"/>
      <c r="BA112" s="6785"/>
      <c r="BB112" s="6785"/>
      <c r="BC112" s="6785"/>
      <c r="BD112" s="6785"/>
      <c r="BE112" s="6785"/>
      <c r="BF112" s="6785"/>
      <c r="BG112" s="6785"/>
      <c r="BH112" s="6785"/>
      <c r="BI112" s="6785"/>
      <c r="BJ112" s="6785"/>
      <c r="BK112" s="6785"/>
      <c r="BL112" s="6785"/>
      <c r="BM112" s="6785"/>
      <c r="BN112" s="6785"/>
      <c r="BO112" s="6785"/>
      <c r="BP112" s="6785"/>
      <c r="BQ112" s="6785"/>
      <c r="BR112" s="6785"/>
      <c r="BS112" s="6785"/>
      <c r="BT112" s="6785"/>
      <c r="BU112" s="6785"/>
      <c r="BV112" s="6785"/>
      <c r="BX112" s="6033"/>
      <c r="BY112" s="6033"/>
      <c r="BZ112" s="6041"/>
      <c r="CA112" s="6788"/>
      <c r="CB112" s="6788"/>
      <c r="CC112" s="6788"/>
      <c r="CD112" s="6788"/>
      <c r="CE112" s="6788"/>
      <c r="CF112" s="6788"/>
      <c r="CG112" s="6788"/>
      <c r="CH112" s="6788"/>
      <c r="CI112" s="6788"/>
      <c r="CJ112" s="6042"/>
      <c r="CK112" s="6043"/>
      <c r="CO112" s="6040"/>
      <c r="CP112" s="6785"/>
      <c r="CQ112" s="6785"/>
      <c r="CR112" s="6785"/>
      <c r="CS112" s="6785"/>
      <c r="CT112" s="6785"/>
      <c r="CU112" s="6785"/>
      <c r="CV112" s="6785"/>
      <c r="CW112" s="6785"/>
      <c r="CX112" s="6785"/>
      <c r="CY112" s="6785"/>
      <c r="CZ112" s="6785"/>
      <c r="DA112" s="6785"/>
      <c r="DB112" s="6785"/>
      <c r="DC112" s="6785"/>
      <c r="DD112" s="6785"/>
      <c r="DE112" s="6785"/>
      <c r="DF112" s="6785"/>
      <c r="DG112" s="6785"/>
      <c r="DH112" s="6785"/>
      <c r="DI112" s="6785"/>
      <c r="DJ112" s="6785"/>
      <c r="DK112" s="6785"/>
      <c r="DL112" s="6785"/>
      <c r="DM112" s="6785"/>
      <c r="DN112" s="6785"/>
      <c r="DO112" s="6785"/>
      <c r="DQ112" s="6033"/>
      <c r="DR112" s="6033"/>
      <c r="DS112" s="6041"/>
      <c r="DT112" s="6788"/>
      <c r="DU112" s="6788"/>
      <c r="DV112" s="6788"/>
      <c r="DW112" s="6788"/>
      <c r="DX112" s="6788"/>
      <c r="DY112" s="6788"/>
      <c r="DZ112" s="6788"/>
      <c r="EA112" s="6788"/>
      <c r="EB112" s="6788"/>
      <c r="EC112" s="6042"/>
      <c r="ED112" s="6043"/>
      <c r="EH112" s="6040"/>
      <c r="EI112" s="6785"/>
      <c r="EJ112" s="6785"/>
      <c r="EK112" s="6785"/>
      <c r="EL112" s="6785"/>
      <c r="EM112" s="6785"/>
      <c r="EN112" s="6785"/>
      <c r="EO112" s="6785"/>
      <c r="EP112" s="6785"/>
      <c r="EQ112" s="6785"/>
      <c r="ER112" s="6785"/>
      <c r="ES112" s="6785"/>
      <c r="ET112" s="6785"/>
      <c r="EU112" s="6785"/>
      <c r="EV112" s="6785"/>
      <c r="EW112" s="6785"/>
      <c r="EX112" s="6785"/>
      <c r="EY112" s="6785"/>
      <c r="EZ112" s="6785"/>
      <c r="FA112" s="6785"/>
      <c r="FB112" s="6785"/>
      <c r="FC112" s="6785"/>
      <c r="FD112" s="6785"/>
      <c r="FE112" s="6785"/>
      <c r="FF112" s="6785"/>
      <c r="FG112" s="6785"/>
      <c r="FH112" s="6785"/>
      <c r="FJ112" s="6033"/>
      <c r="FK112" s="6033"/>
      <c r="FL112" s="6041"/>
      <c r="FM112" s="6788"/>
      <c r="FN112" s="6788"/>
      <c r="FO112" s="6788"/>
      <c r="FP112" s="6788"/>
      <c r="FQ112" s="6788"/>
      <c r="FR112" s="6788"/>
      <c r="FS112" s="6788"/>
      <c r="FT112" s="6788"/>
      <c r="FU112" s="6788"/>
      <c r="FV112" s="6042"/>
      <c r="FW112" s="6043"/>
      <c r="GA112" s="6040"/>
      <c r="GB112" s="6785"/>
      <c r="GC112" s="6785"/>
      <c r="GD112" s="6785"/>
      <c r="GE112" s="6785"/>
      <c r="GF112" s="6785"/>
      <c r="GG112" s="6785"/>
      <c r="GH112" s="6785"/>
      <c r="GI112" s="6785"/>
      <c r="GJ112" s="6785"/>
      <c r="GK112" s="6785"/>
      <c r="GL112" s="6785"/>
      <c r="GM112" s="6785"/>
      <c r="GN112" s="6785"/>
      <c r="GO112" s="6785"/>
      <c r="GP112" s="6785"/>
      <c r="GQ112" s="6785"/>
      <c r="GR112" s="6785"/>
      <c r="GS112" s="6785"/>
      <c r="GT112" s="6785"/>
      <c r="GU112" s="6785"/>
      <c r="GV112" s="6785"/>
      <c r="GW112" s="6785"/>
      <c r="GX112" s="6785"/>
      <c r="GY112" s="6785"/>
      <c r="GZ112" s="6785"/>
      <c r="HA112" s="6785"/>
      <c r="HC112" s="6033"/>
      <c r="HD112" s="6033"/>
      <c r="HE112" s="6041"/>
      <c r="HF112" s="6788"/>
      <c r="HG112" s="6788"/>
      <c r="HH112" s="6788"/>
      <c r="HI112" s="6788"/>
      <c r="HJ112" s="6788"/>
      <c r="HK112" s="6788"/>
      <c r="HL112" s="6788"/>
      <c r="HM112" s="6788"/>
      <c r="HN112" s="6788"/>
      <c r="HO112" s="6042"/>
      <c r="HP112" s="6043"/>
      <c r="HT112" s="6040"/>
      <c r="HU112" s="6785"/>
      <c r="HV112" s="6785"/>
      <c r="HW112" s="6785"/>
      <c r="HX112" s="6785"/>
      <c r="HY112" s="6785"/>
      <c r="HZ112" s="6785"/>
      <c r="IA112" s="6785"/>
      <c r="IB112" s="6785"/>
      <c r="IC112" s="6785"/>
      <c r="ID112" s="6785"/>
      <c r="IE112" s="6785"/>
      <c r="IF112" s="6785"/>
      <c r="IG112" s="6785"/>
      <c r="IH112" s="6785"/>
      <c r="II112" s="6785"/>
      <c r="IJ112" s="6785"/>
      <c r="IK112" s="6785"/>
      <c r="IL112" s="6785"/>
      <c r="IM112" s="6785"/>
      <c r="IN112" s="6785"/>
      <c r="IO112" s="6785"/>
      <c r="IP112" s="6785"/>
      <c r="IQ112" s="6785"/>
      <c r="IR112" s="6785"/>
      <c r="IS112" s="6785"/>
      <c r="IT112" s="6785"/>
      <c r="IV112" s="6033"/>
      <c r="IW112" s="6033"/>
      <c r="IX112" s="6041"/>
      <c r="IY112" s="6788"/>
      <c r="IZ112" s="6788"/>
      <c r="JA112" s="6788"/>
      <c r="JB112" s="6788"/>
      <c r="JC112" s="6788"/>
      <c r="JD112" s="6788"/>
      <c r="JE112" s="6788"/>
      <c r="JF112" s="6788"/>
      <c r="JG112" s="6788"/>
      <c r="JH112" s="6042"/>
      <c r="JI112" s="6043"/>
      <c r="JM112" s="6040"/>
      <c r="JN112" s="6785"/>
      <c r="JO112" s="6785"/>
      <c r="JP112" s="6785"/>
      <c r="JQ112" s="6785"/>
      <c r="JR112" s="6785"/>
      <c r="JS112" s="6785"/>
      <c r="JT112" s="6785"/>
      <c r="JU112" s="6785"/>
      <c r="JV112" s="6785"/>
      <c r="JW112" s="6785"/>
      <c r="JX112" s="6785"/>
      <c r="JY112" s="6785"/>
      <c r="JZ112" s="6785"/>
      <c r="KA112" s="6785"/>
      <c r="KB112" s="6785"/>
      <c r="KC112" s="6785"/>
      <c r="KD112" s="6785"/>
      <c r="KE112" s="6785"/>
      <c r="KF112" s="6785"/>
      <c r="KG112" s="6785"/>
      <c r="KH112" s="6785"/>
      <c r="KI112" s="6785"/>
      <c r="KJ112" s="6785"/>
      <c r="KK112" s="6785"/>
      <c r="KL112" s="6785"/>
      <c r="KM112" s="6785"/>
      <c r="KO112" s="6033"/>
      <c r="KP112" s="6033"/>
      <c r="KQ112" s="6041"/>
      <c r="KR112" s="6788"/>
      <c r="KS112" s="6788"/>
      <c r="KT112" s="6788"/>
      <c r="KU112" s="6788"/>
      <c r="KV112" s="6788"/>
      <c r="KW112" s="6788"/>
      <c r="KX112" s="6788"/>
      <c r="KY112" s="6788"/>
      <c r="KZ112" s="6788"/>
      <c r="LA112" s="6042"/>
      <c r="LB112" s="6043"/>
      <c r="LF112" s="6040"/>
      <c r="LG112" s="6785"/>
      <c r="LH112" s="6785"/>
      <c r="LI112" s="6785"/>
      <c r="LJ112" s="6785"/>
      <c r="LK112" s="6785"/>
      <c r="LL112" s="6785"/>
      <c r="LM112" s="6785"/>
      <c r="LN112" s="6785"/>
      <c r="LO112" s="6785"/>
      <c r="LP112" s="6785"/>
      <c r="LQ112" s="6785"/>
      <c r="LR112" s="6785"/>
      <c r="LS112" s="6785"/>
      <c r="LT112" s="6785"/>
      <c r="LU112" s="6785"/>
      <c r="LV112" s="6785"/>
      <c r="LW112" s="6785"/>
      <c r="LX112" s="6785"/>
      <c r="LY112" s="6785"/>
      <c r="LZ112" s="6785"/>
      <c r="MA112" s="6785"/>
      <c r="MB112" s="6785"/>
      <c r="MC112" s="6785"/>
      <c r="MD112" s="6785"/>
      <c r="ME112" s="6785"/>
      <c r="MF112" s="6785"/>
      <c r="MH112" s="6033"/>
      <c r="MI112" s="6033"/>
      <c r="MJ112" s="6041"/>
      <c r="MK112" s="6788"/>
      <c r="ML112" s="6788"/>
      <c r="MM112" s="6788"/>
      <c r="MN112" s="6788"/>
      <c r="MO112" s="6788"/>
      <c r="MP112" s="6788"/>
      <c r="MQ112" s="6788"/>
      <c r="MR112" s="6788"/>
      <c r="MS112" s="6788"/>
      <c r="MT112" s="6042"/>
      <c r="MU112" s="6043"/>
      <c r="MY112" s="6040"/>
      <c r="MZ112" s="6785"/>
      <c r="NA112" s="6785"/>
      <c r="NB112" s="6785"/>
      <c r="NC112" s="6785"/>
      <c r="ND112" s="6785"/>
      <c r="NE112" s="6785"/>
      <c r="NF112" s="6785"/>
      <c r="NG112" s="6785"/>
      <c r="NH112" s="6785"/>
      <c r="NI112" s="6785"/>
      <c r="NJ112" s="6785"/>
      <c r="NK112" s="6785"/>
      <c r="NL112" s="6785"/>
      <c r="NM112" s="6785"/>
      <c r="NN112" s="6785"/>
      <c r="NO112" s="6785"/>
      <c r="NP112" s="6785"/>
      <c r="NQ112" s="6785"/>
      <c r="NR112" s="6785"/>
      <c r="NS112" s="6785"/>
      <c r="NT112" s="6785"/>
      <c r="NU112" s="6785"/>
      <c r="NV112" s="6785"/>
      <c r="NW112" s="6785"/>
      <c r="NX112" s="6785"/>
      <c r="NY112" s="6785"/>
      <c r="OA112" s="6033"/>
      <c r="OB112" s="6033"/>
      <c r="OC112" s="6041"/>
      <c r="OD112" s="6788"/>
      <c r="OE112" s="6788"/>
      <c r="OF112" s="6788"/>
      <c r="OG112" s="6788"/>
      <c r="OH112" s="6788"/>
      <c r="OI112" s="6788"/>
      <c r="OJ112" s="6788"/>
      <c r="OK112" s="6788"/>
      <c r="OL112" s="6788"/>
      <c r="OM112" s="6042"/>
      <c r="ON112" s="6043"/>
    </row>
    <row r="113" spans="3:404" s="1466" customFormat="1" ht="9.9499999999999993" customHeight="1" thickBot="1" x14ac:dyDescent="0.25">
      <c r="C113" s="6044"/>
      <c r="D113" s="6045"/>
      <c r="E113" s="6045"/>
      <c r="F113" s="6045"/>
      <c r="G113" s="6045"/>
      <c r="H113" s="6045"/>
      <c r="I113" s="6045"/>
      <c r="J113" s="6045"/>
      <c r="K113" s="6045"/>
      <c r="L113" s="6045"/>
      <c r="M113" s="6045"/>
      <c r="N113" s="6045"/>
      <c r="O113" s="6045"/>
      <c r="P113" s="6045"/>
      <c r="Q113" s="6045"/>
      <c r="R113" s="6045"/>
      <c r="S113" s="6045"/>
      <c r="T113" s="6045"/>
      <c r="U113" s="6045"/>
      <c r="V113" s="6045"/>
      <c r="W113" s="6046"/>
      <c r="X113" s="6046"/>
      <c r="Y113" s="6046"/>
      <c r="Z113" s="6046"/>
      <c r="AA113" s="6046"/>
      <c r="AB113" s="6046"/>
      <c r="AC113" s="6046"/>
      <c r="AD113" s="6046"/>
      <c r="AE113" s="6047"/>
      <c r="AF113" s="6047"/>
      <c r="AG113" s="6047"/>
      <c r="AH113" s="6047"/>
      <c r="AI113" s="6047"/>
      <c r="AJ113" s="6047"/>
      <c r="AK113" s="6047"/>
      <c r="AL113" s="6047"/>
      <c r="AM113" s="6047"/>
      <c r="AN113" s="6047"/>
      <c r="AO113" s="6047"/>
      <c r="AP113" s="6047"/>
      <c r="AQ113" s="6046"/>
      <c r="AR113" s="6048"/>
      <c r="AV113" s="6044"/>
      <c r="AW113" s="6045"/>
      <c r="AX113" s="6045"/>
      <c r="AY113" s="6045"/>
      <c r="AZ113" s="6045"/>
      <c r="BA113" s="6045"/>
      <c r="BB113" s="6045"/>
      <c r="BC113" s="6045"/>
      <c r="BD113" s="6045"/>
      <c r="BE113" s="6045"/>
      <c r="BF113" s="6045"/>
      <c r="BG113" s="6045"/>
      <c r="BH113" s="6045"/>
      <c r="BI113" s="6045"/>
      <c r="BJ113" s="6045"/>
      <c r="BK113" s="6045"/>
      <c r="BL113" s="6045"/>
      <c r="BM113" s="6045"/>
      <c r="BN113" s="6045"/>
      <c r="BO113" s="6045"/>
      <c r="BP113" s="6046"/>
      <c r="BQ113" s="6046"/>
      <c r="BR113" s="6046"/>
      <c r="BS113" s="6046"/>
      <c r="BT113" s="6046"/>
      <c r="BU113" s="6046"/>
      <c r="BV113" s="6046"/>
      <c r="BW113" s="6046"/>
      <c r="BX113" s="6047"/>
      <c r="BY113" s="6047"/>
      <c r="BZ113" s="6047"/>
      <c r="CA113" s="6047"/>
      <c r="CB113" s="6047"/>
      <c r="CC113" s="6047"/>
      <c r="CD113" s="6047"/>
      <c r="CE113" s="6047"/>
      <c r="CF113" s="6047"/>
      <c r="CG113" s="6047"/>
      <c r="CH113" s="6047"/>
      <c r="CI113" s="6047"/>
      <c r="CJ113" s="6046"/>
      <c r="CK113" s="6048"/>
      <c r="CO113" s="6044"/>
      <c r="CP113" s="6045"/>
      <c r="CQ113" s="6045"/>
      <c r="CR113" s="6045"/>
      <c r="CS113" s="6045"/>
      <c r="CT113" s="6045"/>
      <c r="CU113" s="6045"/>
      <c r="CV113" s="6045"/>
      <c r="CW113" s="6045"/>
      <c r="CX113" s="6045"/>
      <c r="CY113" s="6045"/>
      <c r="CZ113" s="6045"/>
      <c r="DA113" s="6045"/>
      <c r="DB113" s="6045"/>
      <c r="DC113" s="6045"/>
      <c r="DD113" s="6045"/>
      <c r="DE113" s="6045"/>
      <c r="DF113" s="6045"/>
      <c r="DG113" s="6045"/>
      <c r="DH113" s="6045"/>
      <c r="DI113" s="6046"/>
      <c r="DJ113" s="6046"/>
      <c r="DK113" s="6046"/>
      <c r="DL113" s="6046"/>
      <c r="DM113" s="6046"/>
      <c r="DN113" s="6046"/>
      <c r="DO113" s="6046"/>
      <c r="DP113" s="6046"/>
      <c r="DQ113" s="6047"/>
      <c r="DR113" s="6047"/>
      <c r="DS113" s="6047"/>
      <c r="DT113" s="6047"/>
      <c r="DU113" s="6047"/>
      <c r="DV113" s="6047"/>
      <c r="DW113" s="6047"/>
      <c r="DX113" s="6047"/>
      <c r="DY113" s="6047"/>
      <c r="DZ113" s="6047"/>
      <c r="EA113" s="6047"/>
      <c r="EB113" s="6047"/>
      <c r="EC113" s="6046"/>
      <c r="ED113" s="6048"/>
      <c r="EH113" s="6044"/>
      <c r="EI113" s="6045"/>
      <c r="EJ113" s="6045"/>
      <c r="EK113" s="6045"/>
      <c r="EL113" s="6045"/>
      <c r="EM113" s="6045"/>
      <c r="EN113" s="6045"/>
      <c r="EO113" s="6045"/>
      <c r="EP113" s="6045"/>
      <c r="EQ113" s="6045"/>
      <c r="ER113" s="6045"/>
      <c r="ES113" s="6045"/>
      <c r="ET113" s="6045"/>
      <c r="EU113" s="6045"/>
      <c r="EV113" s="6045"/>
      <c r="EW113" s="6045"/>
      <c r="EX113" s="6045"/>
      <c r="EY113" s="6045"/>
      <c r="EZ113" s="6045"/>
      <c r="FA113" s="6045"/>
      <c r="FB113" s="6046"/>
      <c r="FC113" s="6046"/>
      <c r="FD113" s="6046"/>
      <c r="FE113" s="6046"/>
      <c r="FF113" s="6046"/>
      <c r="FG113" s="6046"/>
      <c r="FH113" s="6046"/>
      <c r="FI113" s="6046"/>
      <c r="FJ113" s="6047"/>
      <c r="FK113" s="6047"/>
      <c r="FL113" s="6047"/>
      <c r="FM113" s="6047"/>
      <c r="FN113" s="6047"/>
      <c r="FO113" s="6047"/>
      <c r="FP113" s="6047"/>
      <c r="FQ113" s="6047"/>
      <c r="FR113" s="6047"/>
      <c r="FS113" s="6047"/>
      <c r="FT113" s="6047"/>
      <c r="FU113" s="6047"/>
      <c r="FV113" s="6046"/>
      <c r="FW113" s="6048"/>
      <c r="GA113" s="6044"/>
      <c r="GB113" s="6045"/>
      <c r="GC113" s="6045"/>
      <c r="GD113" s="6045"/>
      <c r="GE113" s="6045"/>
      <c r="GF113" s="6045"/>
      <c r="GG113" s="6045"/>
      <c r="GH113" s="6045"/>
      <c r="GI113" s="6045"/>
      <c r="GJ113" s="6045"/>
      <c r="GK113" s="6045"/>
      <c r="GL113" s="6045"/>
      <c r="GM113" s="6045"/>
      <c r="GN113" s="6045"/>
      <c r="GO113" s="6045"/>
      <c r="GP113" s="6045"/>
      <c r="GQ113" s="6045"/>
      <c r="GR113" s="6045"/>
      <c r="GS113" s="6045"/>
      <c r="GT113" s="6045"/>
      <c r="GU113" s="6046"/>
      <c r="GV113" s="6046"/>
      <c r="GW113" s="6046"/>
      <c r="GX113" s="6046"/>
      <c r="GY113" s="6046"/>
      <c r="GZ113" s="6046"/>
      <c r="HA113" s="6046"/>
      <c r="HB113" s="6046"/>
      <c r="HC113" s="6047"/>
      <c r="HD113" s="6047"/>
      <c r="HE113" s="6047"/>
      <c r="HF113" s="6047"/>
      <c r="HG113" s="6047"/>
      <c r="HH113" s="6047"/>
      <c r="HI113" s="6047"/>
      <c r="HJ113" s="6047"/>
      <c r="HK113" s="6047"/>
      <c r="HL113" s="6047"/>
      <c r="HM113" s="6047"/>
      <c r="HN113" s="6047"/>
      <c r="HO113" s="6046"/>
      <c r="HP113" s="6048"/>
      <c r="HT113" s="6044"/>
      <c r="HU113" s="6045"/>
      <c r="HV113" s="6045"/>
      <c r="HW113" s="6045"/>
      <c r="HX113" s="6045"/>
      <c r="HY113" s="6045"/>
      <c r="HZ113" s="6045"/>
      <c r="IA113" s="6045"/>
      <c r="IB113" s="6045"/>
      <c r="IC113" s="6045"/>
      <c r="ID113" s="6045"/>
      <c r="IE113" s="6045"/>
      <c r="IF113" s="6045"/>
      <c r="IG113" s="6045"/>
      <c r="IH113" s="6045"/>
      <c r="II113" s="6045"/>
      <c r="IJ113" s="6045"/>
      <c r="IK113" s="6045"/>
      <c r="IL113" s="6045"/>
      <c r="IM113" s="6045"/>
      <c r="IN113" s="6046"/>
      <c r="IO113" s="6046"/>
      <c r="IP113" s="6046"/>
      <c r="IQ113" s="6046"/>
      <c r="IR113" s="6046"/>
      <c r="IS113" s="6046"/>
      <c r="IT113" s="6046"/>
      <c r="IU113" s="6046"/>
      <c r="IV113" s="6047"/>
      <c r="IW113" s="6047"/>
      <c r="IX113" s="6047"/>
      <c r="IY113" s="6047"/>
      <c r="IZ113" s="6047"/>
      <c r="JA113" s="6047"/>
      <c r="JB113" s="6047"/>
      <c r="JC113" s="6047"/>
      <c r="JD113" s="6047"/>
      <c r="JE113" s="6047"/>
      <c r="JF113" s="6047"/>
      <c r="JG113" s="6047"/>
      <c r="JH113" s="6046"/>
      <c r="JI113" s="6048"/>
      <c r="JM113" s="6044"/>
      <c r="JN113" s="6045"/>
      <c r="JO113" s="6045"/>
      <c r="JP113" s="6045"/>
      <c r="JQ113" s="6045"/>
      <c r="JR113" s="6045"/>
      <c r="JS113" s="6045"/>
      <c r="JT113" s="6045"/>
      <c r="JU113" s="6045"/>
      <c r="JV113" s="6045"/>
      <c r="JW113" s="6045"/>
      <c r="JX113" s="6045"/>
      <c r="JY113" s="6045"/>
      <c r="JZ113" s="6045"/>
      <c r="KA113" s="6045"/>
      <c r="KB113" s="6045"/>
      <c r="KC113" s="6045"/>
      <c r="KD113" s="6045"/>
      <c r="KE113" s="6045"/>
      <c r="KF113" s="6045"/>
      <c r="KG113" s="6046"/>
      <c r="KH113" s="6046"/>
      <c r="KI113" s="6046"/>
      <c r="KJ113" s="6046"/>
      <c r="KK113" s="6046"/>
      <c r="KL113" s="6046"/>
      <c r="KM113" s="6046"/>
      <c r="KN113" s="6046"/>
      <c r="KO113" s="6047"/>
      <c r="KP113" s="6047"/>
      <c r="KQ113" s="6047"/>
      <c r="KR113" s="6047"/>
      <c r="KS113" s="6047"/>
      <c r="KT113" s="6047"/>
      <c r="KU113" s="6047"/>
      <c r="KV113" s="6047"/>
      <c r="KW113" s="6047"/>
      <c r="KX113" s="6047"/>
      <c r="KY113" s="6047"/>
      <c r="KZ113" s="6047"/>
      <c r="LA113" s="6046"/>
      <c r="LB113" s="6048"/>
      <c r="LF113" s="6044"/>
      <c r="LG113" s="6045"/>
      <c r="LH113" s="6045"/>
      <c r="LI113" s="6045"/>
      <c r="LJ113" s="6045"/>
      <c r="LK113" s="6045"/>
      <c r="LL113" s="6045"/>
      <c r="LM113" s="6045"/>
      <c r="LN113" s="6045"/>
      <c r="LO113" s="6045"/>
      <c r="LP113" s="6045"/>
      <c r="LQ113" s="6045"/>
      <c r="LR113" s="6045"/>
      <c r="LS113" s="6045"/>
      <c r="LT113" s="6045"/>
      <c r="LU113" s="6045"/>
      <c r="LV113" s="6045"/>
      <c r="LW113" s="6045"/>
      <c r="LX113" s="6045"/>
      <c r="LY113" s="6045"/>
      <c r="LZ113" s="6046"/>
      <c r="MA113" s="6046"/>
      <c r="MB113" s="6046"/>
      <c r="MC113" s="6046"/>
      <c r="MD113" s="6046"/>
      <c r="ME113" s="6046"/>
      <c r="MF113" s="6046"/>
      <c r="MG113" s="6046"/>
      <c r="MH113" s="6047"/>
      <c r="MI113" s="6047"/>
      <c r="MJ113" s="6047"/>
      <c r="MK113" s="6047"/>
      <c r="ML113" s="6047"/>
      <c r="MM113" s="6047"/>
      <c r="MN113" s="6047"/>
      <c r="MO113" s="6047"/>
      <c r="MP113" s="6047"/>
      <c r="MQ113" s="6047"/>
      <c r="MR113" s="6047"/>
      <c r="MS113" s="6047"/>
      <c r="MT113" s="6046"/>
      <c r="MU113" s="6048"/>
      <c r="MY113" s="6044"/>
      <c r="MZ113" s="6045"/>
      <c r="NA113" s="6045"/>
      <c r="NB113" s="6045"/>
      <c r="NC113" s="6045"/>
      <c r="ND113" s="6045"/>
      <c r="NE113" s="6045"/>
      <c r="NF113" s="6045"/>
      <c r="NG113" s="6045"/>
      <c r="NH113" s="6045"/>
      <c r="NI113" s="6045"/>
      <c r="NJ113" s="6045"/>
      <c r="NK113" s="6045"/>
      <c r="NL113" s="6045"/>
      <c r="NM113" s="6045"/>
      <c r="NN113" s="6045"/>
      <c r="NO113" s="6045"/>
      <c r="NP113" s="6045"/>
      <c r="NQ113" s="6045"/>
      <c r="NR113" s="6045"/>
      <c r="NS113" s="6046"/>
      <c r="NT113" s="6046"/>
      <c r="NU113" s="6046"/>
      <c r="NV113" s="6046"/>
      <c r="NW113" s="6046"/>
      <c r="NX113" s="6046"/>
      <c r="NY113" s="6046"/>
      <c r="NZ113" s="6046"/>
      <c r="OA113" s="6047"/>
      <c r="OB113" s="6047"/>
      <c r="OC113" s="6047"/>
      <c r="OD113" s="6047"/>
      <c r="OE113" s="6047"/>
      <c r="OF113" s="6047"/>
      <c r="OG113" s="6047"/>
      <c r="OH113" s="6047"/>
      <c r="OI113" s="6047"/>
      <c r="OJ113" s="6047"/>
      <c r="OK113" s="6047"/>
      <c r="OL113" s="6047"/>
      <c r="OM113" s="6046"/>
      <c r="ON113" s="6048"/>
    </row>
    <row r="114" spans="3:404" ht="9.9499999999999993" customHeight="1" thickBot="1" x14ac:dyDescent="0.25">
      <c r="D114" s="6091"/>
      <c r="AW114" s="6091"/>
      <c r="CP114" s="6091"/>
      <c r="EI114" s="6091"/>
      <c r="GB114" s="6091"/>
      <c r="HU114" s="6091"/>
      <c r="JN114" s="6091"/>
      <c r="LG114" s="6091"/>
      <c r="MZ114" s="6091"/>
    </row>
    <row r="115" spans="3:404" ht="15" customHeight="1" x14ac:dyDescent="0.2">
      <c r="C115" s="6049"/>
      <c r="D115" s="6050"/>
      <c r="E115" s="6050"/>
      <c r="F115" s="6050"/>
      <c r="G115" s="6050"/>
      <c r="H115" s="6050"/>
      <c r="I115" s="6050"/>
      <c r="J115" s="6050"/>
      <c r="K115" s="6050"/>
      <c r="L115" s="6050"/>
      <c r="M115" s="6050"/>
      <c r="N115" s="6050"/>
      <c r="O115" s="6050"/>
      <c r="P115" s="6050"/>
      <c r="Q115" s="6050"/>
      <c r="R115" s="6050"/>
      <c r="S115" s="6050"/>
      <c r="T115" s="6050"/>
      <c r="U115" s="6050"/>
      <c r="V115" s="6050"/>
      <c r="W115" s="6050"/>
      <c r="X115" s="6050"/>
      <c r="Y115" s="6050"/>
      <c r="Z115" s="6050"/>
      <c r="AA115" s="6050"/>
      <c r="AB115" s="6050"/>
      <c r="AC115" s="6050"/>
      <c r="AD115" s="6050"/>
      <c r="AE115" s="6050"/>
      <c r="AF115" s="6050"/>
      <c r="AG115" s="6050"/>
      <c r="AH115" s="6050"/>
      <c r="AI115" s="6050"/>
      <c r="AJ115" s="6050"/>
      <c r="AK115" s="6050"/>
      <c r="AL115" s="6050"/>
      <c r="AM115" s="6050"/>
      <c r="AN115" s="6050"/>
      <c r="AO115" s="6050"/>
      <c r="AP115" s="6050"/>
      <c r="AQ115" s="6050"/>
      <c r="AR115" s="6052"/>
      <c r="AV115" s="6049"/>
      <c r="AW115" s="6050"/>
      <c r="AX115" s="6050"/>
      <c r="AY115" s="6050"/>
      <c r="AZ115" s="6050"/>
      <c r="BA115" s="6050"/>
      <c r="BB115" s="6050"/>
      <c r="BC115" s="6050"/>
      <c r="BD115" s="6050"/>
      <c r="BE115" s="6050"/>
      <c r="BF115" s="6050"/>
      <c r="BG115" s="6050"/>
      <c r="BH115" s="6050"/>
      <c r="BI115" s="6050"/>
      <c r="BJ115" s="6050"/>
      <c r="BK115" s="6050"/>
      <c r="BL115" s="6050"/>
      <c r="BM115" s="6050"/>
      <c r="BN115" s="6050"/>
      <c r="BO115" s="6050"/>
      <c r="BP115" s="6050"/>
      <c r="BQ115" s="6050"/>
      <c r="BR115" s="6050"/>
      <c r="BS115" s="6050"/>
      <c r="BT115" s="6050"/>
      <c r="BU115" s="6050"/>
      <c r="BV115" s="6050"/>
      <c r="BW115" s="6050"/>
      <c r="BX115" s="6050"/>
      <c r="BY115" s="6050"/>
      <c r="BZ115" s="6050"/>
      <c r="CA115" s="6050"/>
      <c r="CB115" s="6050"/>
      <c r="CC115" s="6050"/>
      <c r="CD115" s="6050"/>
      <c r="CE115" s="6050"/>
      <c r="CF115" s="6050"/>
      <c r="CG115" s="6050"/>
      <c r="CH115" s="6050"/>
      <c r="CI115" s="6050"/>
      <c r="CJ115" s="6050"/>
      <c r="CK115" s="6052"/>
      <c r="CO115" s="6049"/>
      <c r="CP115" s="6050"/>
      <c r="CQ115" s="6050"/>
      <c r="CR115" s="6050"/>
      <c r="CS115" s="6050"/>
      <c r="CT115" s="6050"/>
      <c r="CU115" s="6050"/>
      <c r="CV115" s="6050"/>
      <c r="CW115" s="6050"/>
      <c r="CX115" s="6050"/>
      <c r="CY115" s="6050"/>
      <c r="CZ115" s="6050"/>
      <c r="DA115" s="6050"/>
      <c r="DB115" s="6050"/>
      <c r="DC115" s="6050"/>
      <c r="DD115" s="6050"/>
      <c r="DE115" s="6050"/>
      <c r="DF115" s="6050"/>
      <c r="DG115" s="6050"/>
      <c r="DH115" s="6050"/>
      <c r="DI115" s="6050"/>
      <c r="DJ115" s="6050"/>
      <c r="DK115" s="6050"/>
      <c r="DL115" s="6050"/>
      <c r="DM115" s="6050"/>
      <c r="DN115" s="6050"/>
      <c r="DO115" s="6050"/>
      <c r="DP115" s="6050"/>
      <c r="DQ115" s="6050"/>
      <c r="DR115" s="6050"/>
      <c r="DS115" s="6050"/>
      <c r="DT115" s="6050"/>
      <c r="DU115" s="6050"/>
      <c r="DV115" s="6050"/>
      <c r="DW115" s="6050"/>
      <c r="DX115" s="6050"/>
      <c r="DY115" s="6050"/>
      <c r="DZ115" s="6050"/>
      <c r="EA115" s="6050"/>
      <c r="EB115" s="6050"/>
      <c r="EC115" s="6050"/>
      <c r="ED115" s="6052"/>
      <c r="EH115" s="6049"/>
      <c r="EI115" s="6050"/>
      <c r="EJ115" s="6050"/>
      <c r="EK115" s="6050"/>
      <c r="EL115" s="6050"/>
      <c r="EM115" s="6050"/>
      <c r="EN115" s="6050"/>
      <c r="EO115" s="6050"/>
      <c r="EP115" s="6050"/>
      <c r="EQ115" s="6050"/>
      <c r="ER115" s="6050"/>
      <c r="ES115" s="6050"/>
      <c r="ET115" s="6050"/>
      <c r="EU115" s="6050"/>
      <c r="EV115" s="6050"/>
      <c r="EW115" s="6050"/>
      <c r="EX115" s="6050"/>
      <c r="EY115" s="6050"/>
      <c r="EZ115" s="6050"/>
      <c r="FA115" s="6050"/>
      <c r="FB115" s="6050"/>
      <c r="FC115" s="6050"/>
      <c r="FD115" s="6050"/>
      <c r="FE115" s="6050"/>
      <c r="FF115" s="6050"/>
      <c r="FG115" s="6050"/>
      <c r="FH115" s="6050"/>
      <c r="FI115" s="6050"/>
      <c r="FJ115" s="6050"/>
      <c r="FK115" s="6050"/>
      <c r="FL115" s="6050"/>
      <c r="FM115" s="6050"/>
      <c r="FN115" s="6050"/>
      <c r="FO115" s="6050"/>
      <c r="FP115" s="6050"/>
      <c r="FQ115" s="6050"/>
      <c r="FR115" s="6050"/>
      <c r="FS115" s="6050"/>
      <c r="FT115" s="6050"/>
      <c r="FU115" s="6050"/>
      <c r="FV115" s="6050"/>
      <c r="FW115" s="6052"/>
      <c r="GA115" s="6049"/>
      <c r="GB115" s="6050"/>
      <c r="GC115" s="6050"/>
      <c r="GD115" s="6050"/>
      <c r="GE115" s="6050"/>
      <c r="GF115" s="6050"/>
      <c r="GG115" s="6050"/>
      <c r="GH115" s="6050"/>
      <c r="GI115" s="6050"/>
      <c r="GJ115" s="6050"/>
      <c r="GK115" s="6050"/>
      <c r="GL115" s="6050"/>
      <c r="GM115" s="6050"/>
      <c r="GN115" s="6050"/>
      <c r="GO115" s="6050"/>
      <c r="GP115" s="6050"/>
      <c r="GQ115" s="6050"/>
      <c r="GR115" s="6050"/>
      <c r="GS115" s="6050"/>
      <c r="GT115" s="6050"/>
      <c r="GU115" s="6050"/>
      <c r="GV115" s="6050"/>
      <c r="GW115" s="6050"/>
      <c r="GX115" s="6050"/>
      <c r="GY115" s="6050"/>
      <c r="GZ115" s="6050"/>
      <c r="HA115" s="6050"/>
      <c r="HB115" s="6050"/>
      <c r="HC115" s="6050"/>
      <c r="HD115" s="6050"/>
      <c r="HE115" s="6050"/>
      <c r="HF115" s="6050"/>
      <c r="HG115" s="6050"/>
      <c r="HH115" s="6050"/>
      <c r="HI115" s="6050"/>
      <c r="HJ115" s="6050"/>
      <c r="HK115" s="6050"/>
      <c r="HL115" s="6050"/>
      <c r="HM115" s="6050"/>
      <c r="HN115" s="6050"/>
      <c r="HO115" s="6050"/>
      <c r="HP115" s="6052"/>
      <c r="HT115" s="6049"/>
      <c r="HU115" s="6050"/>
      <c r="HV115" s="6050"/>
      <c r="HW115" s="6050"/>
      <c r="HX115" s="6050"/>
      <c r="HY115" s="6050"/>
      <c r="HZ115" s="6050"/>
      <c r="IA115" s="6050"/>
      <c r="IB115" s="6050"/>
      <c r="IC115" s="6050"/>
      <c r="ID115" s="6050"/>
      <c r="IE115" s="6050"/>
      <c r="IF115" s="6050"/>
      <c r="IG115" s="6050"/>
      <c r="IH115" s="6050"/>
      <c r="II115" s="6050"/>
      <c r="IJ115" s="6050"/>
      <c r="IK115" s="6050"/>
      <c r="IL115" s="6050"/>
      <c r="IM115" s="6050"/>
      <c r="IN115" s="6050"/>
      <c r="IO115" s="6050"/>
      <c r="IP115" s="6050"/>
      <c r="IQ115" s="6050"/>
      <c r="IR115" s="6050"/>
      <c r="IS115" s="6050"/>
      <c r="IT115" s="6050"/>
      <c r="IU115" s="6050"/>
      <c r="IV115" s="6050"/>
      <c r="IW115" s="6050"/>
      <c r="IX115" s="6050"/>
      <c r="IY115" s="6050"/>
      <c r="IZ115" s="6050"/>
      <c r="JA115" s="6050"/>
      <c r="JB115" s="6050"/>
      <c r="JC115" s="6050"/>
      <c r="JD115" s="6050"/>
      <c r="JE115" s="6050"/>
      <c r="JF115" s="6050"/>
      <c r="JG115" s="6050"/>
      <c r="JH115" s="6050"/>
      <c r="JI115" s="6052"/>
      <c r="JM115" s="6049"/>
      <c r="JN115" s="6050"/>
      <c r="JO115" s="6050"/>
      <c r="JP115" s="6050"/>
      <c r="JQ115" s="6050"/>
      <c r="JR115" s="6050"/>
      <c r="JS115" s="6050"/>
      <c r="JT115" s="6050"/>
      <c r="JU115" s="6050"/>
      <c r="JV115" s="6050"/>
      <c r="JW115" s="6050"/>
      <c r="JX115" s="6050"/>
      <c r="JY115" s="6050"/>
      <c r="JZ115" s="6050"/>
      <c r="KA115" s="6050"/>
      <c r="KB115" s="6050"/>
      <c r="KC115" s="6050"/>
      <c r="KD115" s="6050"/>
      <c r="KE115" s="6050"/>
      <c r="KF115" s="6050"/>
      <c r="KG115" s="6050"/>
      <c r="KH115" s="6050"/>
      <c r="KI115" s="6050"/>
      <c r="KJ115" s="6050"/>
      <c r="KK115" s="6050"/>
      <c r="KL115" s="6050"/>
      <c r="KM115" s="6050"/>
      <c r="KN115" s="6050"/>
      <c r="KO115" s="6050"/>
      <c r="KP115" s="6050"/>
      <c r="KQ115" s="6050"/>
      <c r="KR115" s="6050"/>
      <c r="KS115" s="6050"/>
      <c r="KT115" s="6050"/>
      <c r="KU115" s="6050"/>
      <c r="KV115" s="6050"/>
      <c r="KW115" s="6050"/>
      <c r="KX115" s="6050"/>
      <c r="KY115" s="6050"/>
      <c r="KZ115" s="6050"/>
      <c r="LA115" s="6050"/>
      <c r="LB115" s="6052"/>
      <c r="LF115" s="6049"/>
      <c r="LG115" s="6050"/>
      <c r="LH115" s="6050"/>
      <c r="LI115" s="6050"/>
      <c r="LJ115" s="6050"/>
      <c r="LK115" s="6050"/>
      <c r="LL115" s="6050"/>
      <c r="LM115" s="6050"/>
      <c r="LN115" s="6050"/>
      <c r="LO115" s="6050"/>
      <c r="LP115" s="6050"/>
      <c r="LQ115" s="6050"/>
      <c r="LR115" s="6050"/>
      <c r="LS115" s="6050"/>
      <c r="LT115" s="6050"/>
      <c r="LU115" s="6050"/>
      <c r="LV115" s="6050"/>
      <c r="LW115" s="6050"/>
      <c r="LX115" s="6050"/>
      <c r="LY115" s="6050"/>
      <c r="LZ115" s="6050"/>
      <c r="MA115" s="6050"/>
      <c r="MB115" s="6050"/>
      <c r="MC115" s="6050"/>
      <c r="MD115" s="6050"/>
      <c r="ME115" s="6050"/>
      <c r="MF115" s="6050"/>
      <c r="MG115" s="6050"/>
      <c r="MH115" s="6050"/>
      <c r="MI115" s="6050"/>
      <c r="MJ115" s="6050"/>
      <c r="MK115" s="6050"/>
      <c r="ML115" s="6050"/>
      <c r="MM115" s="6050"/>
      <c r="MN115" s="6050"/>
      <c r="MO115" s="6050"/>
      <c r="MP115" s="6050"/>
      <c r="MQ115" s="6050"/>
      <c r="MR115" s="6050"/>
      <c r="MS115" s="6050"/>
      <c r="MT115" s="6050"/>
      <c r="MU115" s="6052"/>
      <c r="MY115" s="6049"/>
      <c r="MZ115" s="6050"/>
      <c r="NA115" s="6050"/>
      <c r="NB115" s="6050"/>
      <c r="NC115" s="6050"/>
      <c r="ND115" s="6050"/>
      <c r="NE115" s="6050"/>
      <c r="NF115" s="6050"/>
      <c r="NG115" s="6050"/>
      <c r="NH115" s="6050"/>
      <c r="NI115" s="6050"/>
      <c r="NJ115" s="6050"/>
      <c r="NK115" s="6050"/>
      <c r="NL115" s="6050"/>
      <c r="NM115" s="6050"/>
      <c r="NN115" s="6050"/>
      <c r="NO115" s="6050"/>
      <c r="NP115" s="6050"/>
      <c r="NQ115" s="6050"/>
      <c r="NR115" s="6050"/>
      <c r="NS115" s="6050"/>
      <c r="NT115" s="6050"/>
      <c r="NU115" s="6050"/>
      <c r="NV115" s="6050"/>
      <c r="NW115" s="6050"/>
      <c r="NX115" s="6050"/>
      <c r="NY115" s="6050"/>
      <c r="NZ115" s="6050"/>
      <c r="OA115" s="6050"/>
      <c r="OB115" s="6050"/>
      <c r="OC115" s="6050"/>
      <c r="OD115" s="6050"/>
      <c r="OE115" s="6050"/>
      <c r="OF115" s="6050"/>
      <c r="OG115" s="6050"/>
      <c r="OH115" s="6050"/>
      <c r="OI115" s="6050"/>
      <c r="OJ115" s="6050"/>
      <c r="OK115" s="6050"/>
      <c r="OL115" s="6050"/>
      <c r="OM115" s="6050"/>
      <c r="ON115" s="6052"/>
    </row>
    <row r="116" spans="3:404" s="21" customFormat="1" ht="20.100000000000001" customHeight="1" x14ac:dyDescent="0.2">
      <c r="C116" s="6053"/>
      <c r="D116" s="6783" t="str">
        <f>_Calcs!$IK$143</f>
        <v>Justeringer</v>
      </c>
      <c r="E116" s="6783"/>
      <c r="F116" s="6783"/>
      <c r="G116" s="6783"/>
      <c r="H116" s="6783"/>
      <c r="I116" s="6783"/>
      <c r="J116" s="6783"/>
      <c r="K116" s="6783"/>
      <c r="L116" s="6783"/>
      <c r="M116" s="6783"/>
      <c r="N116" s="6783"/>
      <c r="O116" s="6783"/>
      <c r="P116" s="6783"/>
      <c r="Q116" s="6783"/>
      <c r="R116" s="6783"/>
      <c r="S116" s="6783"/>
      <c r="T116" s="6783"/>
      <c r="U116" s="6783"/>
      <c r="V116" s="6783"/>
      <c r="W116" s="6783"/>
      <c r="X116" s="6783"/>
      <c r="Y116" s="6783"/>
      <c r="Z116" s="6783"/>
      <c r="AA116" s="6783"/>
      <c r="AB116" s="6783"/>
      <c r="AC116" s="6783"/>
      <c r="AD116" s="6783"/>
      <c r="AE116" s="6783"/>
      <c r="AF116" s="6783"/>
      <c r="AG116" s="6783"/>
      <c r="AH116" s="6783"/>
      <c r="AI116" s="6783"/>
      <c r="AJ116" s="6783"/>
      <c r="AK116" s="6783"/>
      <c r="AL116" s="6783"/>
      <c r="AM116" s="6783"/>
      <c r="AN116" s="6783"/>
      <c r="AO116" s="6783"/>
      <c r="AP116" s="6783"/>
      <c r="AQ116" s="6783"/>
      <c r="AR116" s="6054"/>
      <c r="AV116" s="6053"/>
      <c r="AW116" s="6783" t="str">
        <f>_Calcs!$IL$143</f>
        <v>Justeringer</v>
      </c>
      <c r="AX116" s="6783"/>
      <c r="AY116" s="6783"/>
      <c r="AZ116" s="6783"/>
      <c r="BA116" s="6783"/>
      <c r="BB116" s="6783"/>
      <c r="BC116" s="6783"/>
      <c r="BD116" s="6783"/>
      <c r="BE116" s="6783"/>
      <c r="BF116" s="6783"/>
      <c r="BG116" s="6783"/>
      <c r="BH116" s="6783"/>
      <c r="BI116" s="6783"/>
      <c r="BJ116" s="6783"/>
      <c r="BK116" s="6783"/>
      <c r="BL116" s="6783"/>
      <c r="BM116" s="6783"/>
      <c r="BN116" s="6783"/>
      <c r="BO116" s="6783"/>
      <c r="BP116" s="6783"/>
      <c r="BQ116" s="6783"/>
      <c r="BR116" s="6783"/>
      <c r="BS116" s="6783"/>
      <c r="BT116" s="6783"/>
      <c r="BU116" s="6783"/>
      <c r="BV116" s="6783"/>
      <c r="BW116" s="6783"/>
      <c r="BX116" s="6783"/>
      <c r="BY116" s="6783"/>
      <c r="BZ116" s="6783"/>
      <c r="CA116" s="6783"/>
      <c r="CB116" s="6783"/>
      <c r="CC116" s="6783"/>
      <c r="CD116" s="6783"/>
      <c r="CE116" s="6783"/>
      <c r="CF116" s="6783"/>
      <c r="CG116" s="6783"/>
      <c r="CH116" s="6783"/>
      <c r="CI116" s="6783"/>
      <c r="CJ116" s="6783"/>
      <c r="CK116" s="6054"/>
      <c r="CO116" s="6053"/>
      <c r="CP116" s="6783" t="str">
        <f>_Calcs!$IM$143</f>
        <v>Justeringer</v>
      </c>
      <c r="CQ116" s="6783"/>
      <c r="CR116" s="6783"/>
      <c r="CS116" s="6783"/>
      <c r="CT116" s="6783"/>
      <c r="CU116" s="6783"/>
      <c r="CV116" s="6783"/>
      <c r="CW116" s="6783"/>
      <c r="CX116" s="6783"/>
      <c r="CY116" s="6783"/>
      <c r="CZ116" s="6783"/>
      <c r="DA116" s="6783"/>
      <c r="DB116" s="6783"/>
      <c r="DC116" s="6783"/>
      <c r="DD116" s="6783"/>
      <c r="DE116" s="6783"/>
      <c r="DF116" s="6783"/>
      <c r="DG116" s="6783"/>
      <c r="DH116" s="6783"/>
      <c r="DI116" s="6783"/>
      <c r="DJ116" s="6783"/>
      <c r="DK116" s="6783"/>
      <c r="DL116" s="6783"/>
      <c r="DM116" s="6783"/>
      <c r="DN116" s="6783"/>
      <c r="DO116" s="6783"/>
      <c r="DP116" s="6783"/>
      <c r="DQ116" s="6783"/>
      <c r="DR116" s="6783"/>
      <c r="DS116" s="6783"/>
      <c r="DT116" s="6783"/>
      <c r="DU116" s="6783"/>
      <c r="DV116" s="6783"/>
      <c r="DW116" s="6783"/>
      <c r="DX116" s="6783"/>
      <c r="DY116" s="6783"/>
      <c r="DZ116" s="6783"/>
      <c r="EA116" s="6783"/>
      <c r="EB116" s="6783"/>
      <c r="EC116" s="6783"/>
      <c r="ED116" s="6054"/>
      <c r="EH116" s="6053"/>
      <c r="EI116" s="6783" t="str">
        <f>_Calcs!$IN$143</f>
        <v>Justeringer</v>
      </c>
      <c r="EJ116" s="6783"/>
      <c r="EK116" s="6783"/>
      <c r="EL116" s="6783"/>
      <c r="EM116" s="6783"/>
      <c r="EN116" s="6783"/>
      <c r="EO116" s="6783"/>
      <c r="EP116" s="6783"/>
      <c r="EQ116" s="6783"/>
      <c r="ER116" s="6783"/>
      <c r="ES116" s="6783"/>
      <c r="ET116" s="6783"/>
      <c r="EU116" s="6783"/>
      <c r="EV116" s="6783"/>
      <c r="EW116" s="6783"/>
      <c r="EX116" s="6783"/>
      <c r="EY116" s="6783"/>
      <c r="EZ116" s="6783"/>
      <c r="FA116" s="6783"/>
      <c r="FB116" s="6783"/>
      <c r="FC116" s="6783"/>
      <c r="FD116" s="6783"/>
      <c r="FE116" s="6783"/>
      <c r="FF116" s="6783"/>
      <c r="FG116" s="6783"/>
      <c r="FH116" s="6783"/>
      <c r="FI116" s="6783"/>
      <c r="FJ116" s="6783"/>
      <c r="FK116" s="6783"/>
      <c r="FL116" s="6783"/>
      <c r="FM116" s="6783"/>
      <c r="FN116" s="6783"/>
      <c r="FO116" s="6783"/>
      <c r="FP116" s="6783"/>
      <c r="FQ116" s="6783"/>
      <c r="FR116" s="6783"/>
      <c r="FS116" s="6783"/>
      <c r="FT116" s="6783"/>
      <c r="FU116" s="6783"/>
      <c r="FV116" s="6783"/>
      <c r="FW116" s="6054"/>
      <c r="GA116" s="6053"/>
      <c r="GB116" s="6783" t="str">
        <f>_Calcs!$IO$143</f>
        <v>Justeringer</v>
      </c>
      <c r="GC116" s="6783"/>
      <c r="GD116" s="6783"/>
      <c r="GE116" s="6783"/>
      <c r="GF116" s="6783"/>
      <c r="GG116" s="6783"/>
      <c r="GH116" s="6783"/>
      <c r="GI116" s="6783"/>
      <c r="GJ116" s="6783"/>
      <c r="GK116" s="6783"/>
      <c r="GL116" s="6783"/>
      <c r="GM116" s="6783"/>
      <c r="GN116" s="6783"/>
      <c r="GO116" s="6783"/>
      <c r="GP116" s="6783"/>
      <c r="GQ116" s="6783"/>
      <c r="GR116" s="6783"/>
      <c r="GS116" s="6783"/>
      <c r="GT116" s="6783"/>
      <c r="GU116" s="6783"/>
      <c r="GV116" s="6783"/>
      <c r="GW116" s="6783"/>
      <c r="GX116" s="6783"/>
      <c r="GY116" s="6783"/>
      <c r="GZ116" s="6783"/>
      <c r="HA116" s="6783"/>
      <c r="HB116" s="6783"/>
      <c r="HC116" s="6783"/>
      <c r="HD116" s="6783"/>
      <c r="HE116" s="6783"/>
      <c r="HF116" s="6783"/>
      <c r="HG116" s="6783"/>
      <c r="HH116" s="6783"/>
      <c r="HI116" s="6783"/>
      <c r="HJ116" s="6783"/>
      <c r="HK116" s="6783"/>
      <c r="HL116" s="6783"/>
      <c r="HM116" s="6783"/>
      <c r="HN116" s="6783"/>
      <c r="HO116" s="6783"/>
      <c r="HP116" s="6054"/>
      <c r="HT116" s="6053"/>
      <c r="HU116" s="6783" t="str">
        <f>_Calcs!$IP$143</f>
        <v>Justeringer</v>
      </c>
      <c r="HV116" s="6783"/>
      <c r="HW116" s="6783"/>
      <c r="HX116" s="6783"/>
      <c r="HY116" s="6783"/>
      <c r="HZ116" s="6783"/>
      <c r="IA116" s="6783"/>
      <c r="IB116" s="6783"/>
      <c r="IC116" s="6783"/>
      <c r="ID116" s="6783"/>
      <c r="IE116" s="6783"/>
      <c r="IF116" s="6783"/>
      <c r="IG116" s="6783"/>
      <c r="IH116" s="6783"/>
      <c r="II116" s="6783"/>
      <c r="IJ116" s="6783"/>
      <c r="IK116" s="6783"/>
      <c r="IL116" s="6783"/>
      <c r="IM116" s="6783"/>
      <c r="IN116" s="6783"/>
      <c r="IO116" s="6783"/>
      <c r="IP116" s="6783"/>
      <c r="IQ116" s="6783"/>
      <c r="IR116" s="6783"/>
      <c r="IS116" s="6783"/>
      <c r="IT116" s="6783"/>
      <c r="IU116" s="6783"/>
      <c r="IV116" s="6783"/>
      <c r="IW116" s="6783"/>
      <c r="IX116" s="6783"/>
      <c r="IY116" s="6783"/>
      <c r="IZ116" s="6783"/>
      <c r="JA116" s="6783"/>
      <c r="JB116" s="6783"/>
      <c r="JC116" s="6783"/>
      <c r="JD116" s="6783"/>
      <c r="JE116" s="6783"/>
      <c r="JF116" s="6783"/>
      <c r="JG116" s="6783"/>
      <c r="JH116" s="6783"/>
      <c r="JI116" s="6054"/>
      <c r="JM116" s="6053"/>
      <c r="JN116" s="6783" t="str">
        <f>_Calcs!$IQ$143</f>
        <v>Justeringer</v>
      </c>
      <c r="JO116" s="6783"/>
      <c r="JP116" s="6783"/>
      <c r="JQ116" s="6783"/>
      <c r="JR116" s="6783"/>
      <c r="JS116" s="6783"/>
      <c r="JT116" s="6783"/>
      <c r="JU116" s="6783"/>
      <c r="JV116" s="6783"/>
      <c r="JW116" s="6783"/>
      <c r="JX116" s="6783"/>
      <c r="JY116" s="6783"/>
      <c r="JZ116" s="6783"/>
      <c r="KA116" s="6783"/>
      <c r="KB116" s="6783"/>
      <c r="KC116" s="6783"/>
      <c r="KD116" s="6783"/>
      <c r="KE116" s="6783"/>
      <c r="KF116" s="6783"/>
      <c r="KG116" s="6783"/>
      <c r="KH116" s="6783"/>
      <c r="KI116" s="6783"/>
      <c r="KJ116" s="6783"/>
      <c r="KK116" s="6783"/>
      <c r="KL116" s="6783"/>
      <c r="KM116" s="6783"/>
      <c r="KN116" s="6783"/>
      <c r="KO116" s="6783"/>
      <c r="KP116" s="6783"/>
      <c r="KQ116" s="6783"/>
      <c r="KR116" s="6783"/>
      <c r="KS116" s="6783"/>
      <c r="KT116" s="6783"/>
      <c r="KU116" s="6783"/>
      <c r="KV116" s="6783"/>
      <c r="KW116" s="6783"/>
      <c r="KX116" s="6783"/>
      <c r="KY116" s="6783"/>
      <c r="KZ116" s="6783"/>
      <c r="LA116" s="6783"/>
      <c r="LB116" s="6054"/>
      <c r="LF116" s="6053"/>
      <c r="LG116" s="6783" t="str">
        <f>_Calcs!$IR$143</f>
        <v>Justeringer</v>
      </c>
      <c r="LH116" s="6783"/>
      <c r="LI116" s="6783"/>
      <c r="LJ116" s="6783"/>
      <c r="LK116" s="6783"/>
      <c r="LL116" s="6783"/>
      <c r="LM116" s="6783"/>
      <c r="LN116" s="6783"/>
      <c r="LO116" s="6783"/>
      <c r="LP116" s="6783"/>
      <c r="LQ116" s="6783"/>
      <c r="LR116" s="6783"/>
      <c r="LS116" s="6783"/>
      <c r="LT116" s="6783"/>
      <c r="LU116" s="6783"/>
      <c r="LV116" s="6783"/>
      <c r="LW116" s="6783"/>
      <c r="LX116" s="6783"/>
      <c r="LY116" s="6783"/>
      <c r="LZ116" s="6783"/>
      <c r="MA116" s="6783"/>
      <c r="MB116" s="6783"/>
      <c r="MC116" s="6783"/>
      <c r="MD116" s="6783"/>
      <c r="ME116" s="6783"/>
      <c r="MF116" s="6783"/>
      <c r="MG116" s="6783"/>
      <c r="MH116" s="6783"/>
      <c r="MI116" s="6783"/>
      <c r="MJ116" s="6783"/>
      <c r="MK116" s="6783"/>
      <c r="ML116" s="6783"/>
      <c r="MM116" s="6783"/>
      <c r="MN116" s="6783"/>
      <c r="MO116" s="6783"/>
      <c r="MP116" s="6783"/>
      <c r="MQ116" s="6783"/>
      <c r="MR116" s="6783"/>
      <c r="MS116" s="6783"/>
      <c r="MT116" s="6783"/>
      <c r="MU116" s="6054"/>
      <c r="MY116" s="6053"/>
      <c r="MZ116" s="6783" t="str">
        <f>_Calcs!$IS$143</f>
        <v>Justeringer</v>
      </c>
      <c r="NA116" s="6783"/>
      <c r="NB116" s="6783"/>
      <c r="NC116" s="6783"/>
      <c r="ND116" s="6783"/>
      <c r="NE116" s="6783"/>
      <c r="NF116" s="6783"/>
      <c r="NG116" s="6783"/>
      <c r="NH116" s="6783"/>
      <c r="NI116" s="6783"/>
      <c r="NJ116" s="6783"/>
      <c r="NK116" s="6783"/>
      <c r="NL116" s="6783"/>
      <c r="NM116" s="6783"/>
      <c r="NN116" s="6783"/>
      <c r="NO116" s="6783"/>
      <c r="NP116" s="6783"/>
      <c r="NQ116" s="6783"/>
      <c r="NR116" s="6783"/>
      <c r="NS116" s="6783"/>
      <c r="NT116" s="6783"/>
      <c r="NU116" s="6783"/>
      <c r="NV116" s="6783"/>
      <c r="NW116" s="6783"/>
      <c r="NX116" s="6783"/>
      <c r="NY116" s="6783"/>
      <c r="NZ116" s="6783"/>
      <c r="OA116" s="6783"/>
      <c r="OB116" s="6783"/>
      <c r="OC116" s="6783"/>
      <c r="OD116" s="6783"/>
      <c r="OE116" s="6783"/>
      <c r="OF116" s="6783"/>
      <c r="OG116" s="6783"/>
      <c r="OH116" s="6783"/>
      <c r="OI116" s="6783"/>
      <c r="OJ116" s="6783"/>
      <c r="OK116" s="6783"/>
      <c r="OL116" s="6783"/>
      <c r="OM116" s="6783"/>
      <c r="ON116" s="6054"/>
    </row>
    <row r="117" spans="3:404" ht="5.0999999999999996" customHeight="1" x14ac:dyDescent="0.2">
      <c r="C117" s="6055"/>
      <c r="D117" s="6056"/>
      <c r="E117" s="6056"/>
      <c r="F117" s="6056"/>
      <c r="G117" s="6056"/>
      <c r="H117" s="6056"/>
      <c r="I117" s="6056"/>
      <c r="J117" s="6056"/>
      <c r="K117" s="6056"/>
      <c r="L117" s="6056"/>
      <c r="M117" s="6056"/>
      <c r="N117" s="6056"/>
      <c r="O117" s="6056"/>
      <c r="P117" s="6056"/>
      <c r="Q117" s="6056"/>
      <c r="R117" s="6056"/>
      <c r="S117" s="6056"/>
      <c r="T117" s="6056"/>
      <c r="U117" s="6056"/>
      <c r="V117" s="6056"/>
      <c r="W117" s="6056"/>
      <c r="X117" s="6056"/>
      <c r="Y117" s="6056"/>
      <c r="Z117" s="6056"/>
      <c r="AA117" s="6056"/>
      <c r="AB117" s="6056"/>
      <c r="AC117" s="6056"/>
      <c r="AD117" s="6056"/>
      <c r="AE117" s="6056"/>
      <c r="AF117" s="6056"/>
      <c r="AG117" s="6056"/>
      <c r="AH117" s="6056"/>
      <c r="AI117" s="6056"/>
      <c r="AJ117" s="6056"/>
      <c r="AK117" s="6056"/>
      <c r="AL117" s="6056"/>
      <c r="AM117" s="6056"/>
      <c r="AN117" s="6056"/>
      <c r="AO117" s="6056"/>
      <c r="AP117" s="6056"/>
      <c r="AQ117" s="6056"/>
      <c r="AR117" s="6058"/>
      <c r="AV117" s="6055"/>
      <c r="AW117" s="6056"/>
      <c r="AX117" s="6056"/>
      <c r="AY117" s="6056"/>
      <c r="AZ117" s="6056"/>
      <c r="BA117" s="6056"/>
      <c r="BB117" s="6056"/>
      <c r="BC117" s="6056"/>
      <c r="BD117" s="6056"/>
      <c r="BE117" s="6056"/>
      <c r="BF117" s="6056"/>
      <c r="BG117" s="6056"/>
      <c r="BH117" s="6056"/>
      <c r="BI117" s="6056"/>
      <c r="BJ117" s="6056"/>
      <c r="BK117" s="6056"/>
      <c r="BL117" s="6056"/>
      <c r="BM117" s="6056"/>
      <c r="BN117" s="6056"/>
      <c r="BO117" s="6056"/>
      <c r="BP117" s="6056"/>
      <c r="BQ117" s="6056"/>
      <c r="BR117" s="6056"/>
      <c r="BS117" s="6056"/>
      <c r="BT117" s="6056"/>
      <c r="BU117" s="6056"/>
      <c r="BV117" s="6056"/>
      <c r="BW117" s="6056"/>
      <c r="BX117" s="6056"/>
      <c r="BY117" s="6056"/>
      <c r="BZ117" s="6056"/>
      <c r="CA117" s="6056"/>
      <c r="CB117" s="6056"/>
      <c r="CC117" s="6056"/>
      <c r="CD117" s="6056"/>
      <c r="CE117" s="6056"/>
      <c r="CF117" s="6056"/>
      <c r="CG117" s="6056"/>
      <c r="CH117" s="6056"/>
      <c r="CI117" s="6056"/>
      <c r="CJ117" s="6056"/>
      <c r="CK117" s="6058"/>
      <c r="CO117" s="6055"/>
      <c r="CP117" s="6056"/>
      <c r="CQ117" s="6056"/>
      <c r="CR117" s="6056"/>
      <c r="CS117" s="6056"/>
      <c r="CT117" s="6056"/>
      <c r="CU117" s="6056"/>
      <c r="CV117" s="6056"/>
      <c r="CW117" s="6056"/>
      <c r="CX117" s="6056"/>
      <c r="CY117" s="6056"/>
      <c r="CZ117" s="6056"/>
      <c r="DA117" s="6056"/>
      <c r="DB117" s="6056"/>
      <c r="DC117" s="6056"/>
      <c r="DD117" s="6056"/>
      <c r="DE117" s="6056"/>
      <c r="DF117" s="6056"/>
      <c r="DG117" s="6056"/>
      <c r="DH117" s="6056"/>
      <c r="DI117" s="6056"/>
      <c r="DJ117" s="6056"/>
      <c r="DK117" s="6056"/>
      <c r="DL117" s="6056"/>
      <c r="DM117" s="6056"/>
      <c r="DN117" s="6056"/>
      <c r="DO117" s="6056"/>
      <c r="DP117" s="6056"/>
      <c r="DQ117" s="6056"/>
      <c r="DR117" s="6056"/>
      <c r="DS117" s="6056"/>
      <c r="DT117" s="6056"/>
      <c r="DU117" s="6056"/>
      <c r="DV117" s="6056"/>
      <c r="DW117" s="6056"/>
      <c r="DX117" s="6056"/>
      <c r="DY117" s="6056"/>
      <c r="DZ117" s="6056"/>
      <c r="EA117" s="6056"/>
      <c r="EB117" s="6056"/>
      <c r="EC117" s="6056"/>
      <c r="ED117" s="6058"/>
      <c r="EH117" s="6055"/>
      <c r="EI117" s="6056"/>
      <c r="EJ117" s="6056"/>
      <c r="EK117" s="6056"/>
      <c r="EL117" s="6056"/>
      <c r="EM117" s="6056"/>
      <c r="EN117" s="6056"/>
      <c r="EO117" s="6056"/>
      <c r="EP117" s="6056"/>
      <c r="EQ117" s="6056"/>
      <c r="ER117" s="6056"/>
      <c r="ES117" s="6056"/>
      <c r="ET117" s="6056"/>
      <c r="EU117" s="6056"/>
      <c r="EV117" s="6056"/>
      <c r="EW117" s="6056"/>
      <c r="EX117" s="6056"/>
      <c r="EY117" s="6056"/>
      <c r="EZ117" s="6056"/>
      <c r="FA117" s="6056"/>
      <c r="FB117" s="6056"/>
      <c r="FC117" s="6056"/>
      <c r="FD117" s="6056"/>
      <c r="FE117" s="6056"/>
      <c r="FF117" s="6056"/>
      <c r="FG117" s="6056"/>
      <c r="FH117" s="6056"/>
      <c r="FI117" s="6056"/>
      <c r="FJ117" s="6056"/>
      <c r="FK117" s="6056"/>
      <c r="FL117" s="6056"/>
      <c r="FM117" s="6056"/>
      <c r="FN117" s="6056"/>
      <c r="FO117" s="6056"/>
      <c r="FP117" s="6056"/>
      <c r="FQ117" s="6056"/>
      <c r="FR117" s="6056"/>
      <c r="FS117" s="6056"/>
      <c r="FT117" s="6056"/>
      <c r="FU117" s="6056"/>
      <c r="FV117" s="6056"/>
      <c r="FW117" s="6058"/>
      <c r="GA117" s="6055"/>
      <c r="GB117" s="6056"/>
      <c r="GC117" s="6056"/>
      <c r="GD117" s="6056"/>
      <c r="GE117" s="6056"/>
      <c r="GF117" s="6056"/>
      <c r="GG117" s="6056"/>
      <c r="GH117" s="6056"/>
      <c r="GI117" s="6056"/>
      <c r="GJ117" s="6056"/>
      <c r="GK117" s="6056"/>
      <c r="GL117" s="6056"/>
      <c r="GM117" s="6056"/>
      <c r="GN117" s="6056"/>
      <c r="GO117" s="6056"/>
      <c r="GP117" s="6056"/>
      <c r="GQ117" s="6056"/>
      <c r="GR117" s="6056"/>
      <c r="GS117" s="6056"/>
      <c r="GT117" s="6056"/>
      <c r="GU117" s="6056"/>
      <c r="GV117" s="6056"/>
      <c r="GW117" s="6056"/>
      <c r="GX117" s="6056"/>
      <c r="GY117" s="6056"/>
      <c r="GZ117" s="6056"/>
      <c r="HA117" s="6056"/>
      <c r="HB117" s="6056"/>
      <c r="HC117" s="6056"/>
      <c r="HD117" s="6056"/>
      <c r="HE117" s="6056"/>
      <c r="HF117" s="6056"/>
      <c r="HG117" s="6056"/>
      <c r="HH117" s="6056"/>
      <c r="HI117" s="6056"/>
      <c r="HJ117" s="6056"/>
      <c r="HK117" s="6056"/>
      <c r="HL117" s="6056"/>
      <c r="HM117" s="6056"/>
      <c r="HN117" s="6056"/>
      <c r="HO117" s="6056"/>
      <c r="HP117" s="6058"/>
      <c r="HT117" s="6055"/>
      <c r="HU117" s="6056"/>
      <c r="HV117" s="6056"/>
      <c r="HW117" s="6056"/>
      <c r="HX117" s="6056"/>
      <c r="HY117" s="6056"/>
      <c r="HZ117" s="6056"/>
      <c r="IA117" s="6056"/>
      <c r="IB117" s="6056"/>
      <c r="IC117" s="6056"/>
      <c r="ID117" s="6056"/>
      <c r="IE117" s="6056"/>
      <c r="IF117" s="6056"/>
      <c r="IG117" s="6056"/>
      <c r="IH117" s="6056"/>
      <c r="II117" s="6056"/>
      <c r="IJ117" s="6056"/>
      <c r="IK117" s="6056"/>
      <c r="IL117" s="6056"/>
      <c r="IM117" s="6056"/>
      <c r="IN117" s="6056"/>
      <c r="IO117" s="6056"/>
      <c r="IP117" s="6056"/>
      <c r="IQ117" s="6056"/>
      <c r="IR117" s="6056"/>
      <c r="IS117" s="6056"/>
      <c r="IT117" s="6056"/>
      <c r="IU117" s="6056"/>
      <c r="IV117" s="6056"/>
      <c r="IW117" s="6056"/>
      <c r="IX117" s="6056"/>
      <c r="IY117" s="6056"/>
      <c r="IZ117" s="6056"/>
      <c r="JA117" s="6056"/>
      <c r="JB117" s="6056"/>
      <c r="JC117" s="6056"/>
      <c r="JD117" s="6056"/>
      <c r="JE117" s="6056"/>
      <c r="JF117" s="6056"/>
      <c r="JG117" s="6056"/>
      <c r="JH117" s="6056"/>
      <c r="JI117" s="6058"/>
      <c r="JM117" s="6055"/>
      <c r="JN117" s="6056"/>
      <c r="JO117" s="6056"/>
      <c r="JP117" s="6056"/>
      <c r="JQ117" s="6056"/>
      <c r="JR117" s="6056"/>
      <c r="JS117" s="6056"/>
      <c r="JT117" s="6056"/>
      <c r="JU117" s="6056"/>
      <c r="JV117" s="6056"/>
      <c r="JW117" s="6056"/>
      <c r="JX117" s="6056"/>
      <c r="JY117" s="6056"/>
      <c r="JZ117" s="6056"/>
      <c r="KA117" s="6056"/>
      <c r="KB117" s="6056"/>
      <c r="KC117" s="6056"/>
      <c r="KD117" s="6056"/>
      <c r="KE117" s="6056"/>
      <c r="KF117" s="6056"/>
      <c r="KG117" s="6056"/>
      <c r="KH117" s="6056"/>
      <c r="KI117" s="6056"/>
      <c r="KJ117" s="6056"/>
      <c r="KK117" s="6056"/>
      <c r="KL117" s="6056"/>
      <c r="KM117" s="6056"/>
      <c r="KN117" s="6056"/>
      <c r="KO117" s="6056"/>
      <c r="KP117" s="6056"/>
      <c r="KQ117" s="6056"/>
      <c r="KR117" s="6056"/>
      <c r="KS117" s="6056"/>
      <c r="KT117" s="6056"/>
      <c r="KU117" s="6056"/>
      <c r="KV117" s="6056"/>
      <c r="KW117" s="6056"/>
      <c r="KX117" s="6056"/>
      <c r="KY117" s="6056"/>
      <c r="KZ117" s="6056"/>
      <c r="LA117" s="6056"/>
      <c r="LB117" s="6058"/>
      <c r="LF117" s="6055"/>
      <c r="LG117" s="6056"/>
      <c r="LH117" s="6056"/>
      <c r="LI117" s="6056"/>
      <c r="LJ117" s="6056"/>
      <c r="LK117" s="6056"/>
      <c r="LL117" s="6056"/>
      <c r="LM117" s="6056"/>
      <c r="LN117" s="6056"/>
      <c r="LO117" s="6056"/>
      <c r="LP117" s="6056"/>
      <c r="LQ117" s="6056"/>
      <c r="LR117" s="6056"/>
      <c r="LS117" s="6056"/>
      <c r="LT117" s="6056"/>
      <c r="LU117" s="6056"/>
      <c r="LV117" s="6056"/>
      <c r="LW117" s="6056"/>
      <c r="LX117" s="6056"/>
      <c r="LY117" s="6056"/>
      <c r="LZ117" s="6056"/>
      <c r="MA117" s="6056"/>
      <c r="MB117" s="6056"/>
      <c r="MC117" s="6056"/>
      <c r="MD117" s="6056"/>
      <c r="ME117" s="6056"/>
      <c r="MF117" s="6056"/>
      <c r="MG117" s="6056"/>
      <c r="MH117" s="6056"/>
      <c r="MI117" s="6056"/>
      <c r="MJ117" s="6056"/>
      <c r="MK117" s="6056"/>
      <c r="ML117" s="6056"/>
      <c r="MM117" s="6056"/>
      <c r="MN117" s="6056"/>
      <c r="MO117" s="6056"/>
      <c r="MP117" s="6056"/>
      <c r="MQ117" s="6056"/>
      <c r="MR117" s="6056"/>
      <c r="MS117" s="6056"/>
      <c r="MT117" s="6056"/>
      <c r="MU117" s="6058"/>
      <c r="MY117" s="6055"/>
      <c r="MZ117" s="6056"/>
      <c r="NA117" s="6056"/>
      <c r="NB117" s="6056"/>
      <c r="NC117" s="6056"/>
      <c r="ND117" s="6056"/>
      <c r="NE117" s="6056"/>
      <c r="NF117" s="6056"/>
      <c r="NG117" s="6056"/>
      <c r="NH117" s="6056"/>
      <c r="NI117" s="6056"/>
      <c r="NJ117" s="6056"/>
      <c r="NK117" s="6056"/>
      <c r="NL117" s="6056"/>
      <c r="NM117" s="6056"/>
      <c r="NN117" s="6056"/>
      <c r="NO117" s="6056"/>
      <c r="NP117" s="6056"/>
      <c r="NQ117" s="6056"/>
      <c r="NR117" s="6056"/>
      <c r="NS117" s="6056"/>
      <c r="NT117" s="6056"/>
      <c r="NU117" s="6056"/>
      <c r="NV117" s="6056"/>
      <c r="NW117" s="6056"/>
      <c r="NX117" s="6056"/>
      <c r="NY117" s="6056"/>
      <c r="NZ117" s="6056"/>
      <c r="OA117" s="6056"/>
      <c r="OB117" s="6056"/>
      <c r="OC117" s="6056"/>
      <c r="OD117" s="6056"/>
      <c r="OE117" s="6056"/>
      <c r="OF117" s="6056"/>
      <c r="OG117" s="6056"/>
      <c r="OH117" s="6056"/>
      <c r="OI117" s="6056"/>
      <c r="OJ117" s="6056"/>
      <c r="OK117" s="6056"/>
      <c r="OL117" s="6056"/>
      <c r="OM117" s="6056"/>
      <c r="ON117" s="6058"/>
    </row>
    <row r="118" spans="3:404" s="6063" customFormat="1" ht="12" customHeight="1" x14ac:dyDescent="0.2">
      <c r="C118" s="6059"/>
      <c r="D118" s="6060" t="str">
        <f>_Calcs!$N$77</f>
        <v>Faktor</v>
      </c>
      <c r="E118" s="6060"/>
      <c r="F118" s="6060"/>
      <c r="G118" s="6060"/>
      <c r="H118" s="6060"/>
      <c r="I118" s="6060"/>
      <c r="J118" s="6060"/>
      <c r="K118" s="6060"/>
      <c r="L118" s="6060"/>
      <c r="M118" s="6060"/>
      <c r="N118" s="6060"/>
      <c r="O118" s="6060"/>
      <c r="P118" s="6060"/>
      <c r="Q118" s="6060"/>
      <c r="R118" s="6060"/>
      <c r="S118" s="6060"/>
      <c r="T118" s="6060"/>
      <c r="U118" s="6060"/>
      <c r="V118" s="6060"/>
      <c r="W118" s="6060"/>
      <c r="X118" s="6060"/>
      <c r="Y118" s="6060"/>
      <c r="Z118" s="6060"/>
      <c r="AA118" s="6060"/>
      <c r="AB118" s="6060"/>
      <c r="AC118" s="6060"/>
      <c r="AD118" s="6060"/>
      <c r="AE118" s="6060"/>
      <c r="AF118" s="6060"/>
      <c r="AG118" s="6060"/>
      <c r="AH118" s="6060"/>
      <c r="AI118" s="6092"/>
      <c r="AJ118" s="6092"/>
      <c r="AK118" s="6092"/>
      <c r="AL118" s="6060"/>
      <c r="AM118" s="6060" t="str">
        <f>_Calcs!$N$81</f>
        <v>Påvirkning</v>
      </c>
      <c r="AN118" s="6060"/>
      <c r="AO118" s="6060"/>
      <c r="AP118" s="6060"/>
      <c r="AQ118" s="6060"/>
      <c r="AR118" s="6062"/>
      <c r="AV118" s="6059"/>
      <c r="AW118" s="6060" t="str">
        <f>_Calcs!$N$77</f>
        <v>Faktor</v>
      </c>
      <c r="AX118" s="6060"/>
      <c r="AY118" s="6060"/>
      <c r="AZ118" s="6060"/>
      <c r="BA118" s="6060"/>
      <c r="BB118" s="6060"/>
      <c r="BC118" s="6060"/>
      <c r="BD118" s="6060"/>
      <c r="BE118" s="6060"/>
      <c r="BF118" s="6060"/>
      <c r="BG118" s="6060"/>
      <c r="BH118" s="6060"/>
      <c r="BI118" s="6060"/>
      <c r="BJ118" s="6060"/>
      <c r="BK118" s="6060"/>
      <c r="BL118" s="6060"/>
      <c r="BM118" s="6060"/>
      <c r="BN118" s="6060"/>
      <c r="BO118" s="6060"/>
      <c r="BP118" s="6060"/>
      <c r="BQ118" s="6060"/>
      <c r="BR118" s="6060"/>
      <c r="BS118" s="6060"/>
      <c r="BT118" s="6060"/>
      <c r="BU118" s="6060"/>
      <c r="BV118" s="6060"/>
      <c r="BW118" s="6060"/>
      <c r="BX118" s="6060"/>
      <c r="BY118" s="6060"/>
      <c r="BZ118" s="6060"/>
      <c r="CA118" s="6060"/>
      <c r="CB118" s="6092"/>
      <c r="CC118" s="6092"/>
      <c r="CD118" s="6092"/>
      <c r="CE118" s="6060"/>
      <c r="CF118" s="6060" t="str">
        <f>_Calcs!$N$81</f>
        <v>Påvirkning</v>
      </c>
      <c r="CG118" s="6060"/>
      <c r="CH118" s="6060"/>
      <c r="CI118" s="6060"/>
      <c r="CJ118" s="6060"/>
      <c r="CK118" s="6062"/>
      <c r="CO118" s="6059"/>
      <c r="CP118" s="6060" t="str">
        <f>_Calcs!$N$77</f>
        <v>Faktor</v>
      </c>
      <c r="CQ118" s="6060"/>
      <c r="CR118" s="6060"/>
      <c r="CS118" s="6060"/>
      <c r="CT118" s="6060"/>
      <c r="CU118" s="6060"/>
      <c r="CV118" s="6060"/>
      <c r="CW118" s="6060"/>
      <c r="CX118" s="6060"/>
      <c r="CY118" s="6060"/>
      <c r="CZ118" s="6060"/>
      <c r="DA118" s="6060"/>
      <c r="DB118" s="6060"/>
      <c r="DC118" s="6060"/>
      <c r="DD118" s="6060"/>
      <c r="DE118" s="6060"/>
      <c r="DF118" s="6060"/>
      <c r="DG118" s="6060"/>
      <c r="DH118" s="6060"/>
      <c r="DI118" s="6060"/>
      <c r="DJ118" s="6060"/>
      <c r="DK118" s="6060"/>
      <c r="DL118" s="6060"/>
      <c r="DM118" s="6060"/>
      <c r="DN118" s="6060"/>
      <c r="DO118" s="6060"/>
      <c r="DP118" s="6060"/>
      <c r="DQ118" s="6060"/>
      <c r="DR118" s="6060"/>
      <c r="DS118" s="6060"/>
      <c r="DT118" s="6060"/>
      <c r="DU118" s="6092"/>
      <c r="DV118" s="6092"/>
      <c r="DW118" s="6092"/>
      <c r="DX118" s="6060"/>
      <c r="DY118" s="6060" t="str">
        <f>_Calcs!$N$81</f>
        <v>Påvirkning</v>
      </c>
      <c r="DZ118" s="6060"/>
      <c r="EA118" s="6060"/>
      <c r="EB118" s="6060"/>
      <c r="EC118" s="6060"/>
      <c r="ED118" s="6062"/>
      <c r="EH118" s="6059"/>
      <c r="EI118" s="6060" t="str">
        <f>_Calcs!$N$77</f>
        <v>Faktor</v>
      </c>
      <c r="EJ118" s="6060"/>
      <c r="EK118" s="6060"/>
      <c r="EL118" s="6060"/>
      <c r="EM118" s="6060"/>
      <c r="EN118" s="6060"/>
      <c r="EO118" s="6060"/>
      <c r="EP118" s="6060"/>
      <c r="EQ118" s="6060"/>
      <c r="ER118" s="6060"/>
      <c r="ES118" s="6060"/>
      <c r="ET118" s="6060"/>
      <c r="EU118" s="6060"/>
      <c r="EV118" s="6060"/>
      <c r="EW118" s="6060"/>
      <c r="EX118" s="6060"/>
      <c r="EY118" s="6060"/>
      <c r="EZ118" s="6060"/>
      <c r="FA118" s="6060"/>
      <c r="FB118" s="6060"/>
      <c r="FC118" s="6060"/>
      <c r="FD118" s="6060"/>
      <c r="FE118" s="6060"/>
      <c r="FF118" s="6060"/>
      <c r="FG118" s="6060"/>
      <c r="FH118" s="6060"/>
      <c r="FI118" s="6060"/>
      <c r="FJ118" s="6060"/>
      <c r="FK118" s="6060"/>
      <c r="FL118" s="6060"/>
      <c r="FM118" s="6060"/>
      <c r="FN118" s="6092"/>
      <c r="FO118" s="6092"/>
      <c r="FP118" s="6092"/>
      <c r="FQ118" s="6060"/>
      <c r="FR118" s="6060" t="str">
        <f>_Calcs!$N$81</f>
        <v>Påvirkning</v>
      </c>
      <c r="FS118" s="6060"/>
      <c r="FT118" s="6060"/>
      <c r="FU118" s="6060"/>
      <c r="FV118" s="6060"/>
      <c r="FW118" s="6062"/>
      <c r="GA118" s="6059"/>
      <c r="GB118" s="6060" t="str">
        <f>_Calcs!$N$77</f>
        <v>Faktor</v>
      </c>
      <c r="GC118" s="6060"/>
      <c r="GD118" s="6060"/>
      <c r="GE118" s="6060"/>
      <c r="GF118" s="6060"/>
      <c r="GG118" s="6060"/>
      <c r="GH118" s="6060"/>
      <c r="GI118" s="6060"/>
      <c r="GJ118" s="6060"/>
      <c r="GK118" s="6060"/>
      <c r="GL118" s="6060"/>
      <c r="GM118" s="6060"/>
      <c r="GN118" s="6060"/>
      <c r="GO118" s="6060"/>
      <c r="GP118" s="6060"/>
      <c r="GQ118" s="6060"/>
      <c r="GR118" s="6060"/>
      <c r="GS118" s="6060"/>
      <c r="GT118" s="6060"/>
      <c r="GU118" s="6060"/>
      <c r="GV118" s="6060"/>
      <c r="GW118" s="6060"/>
      <c r="GX118" s="6060"/>
      <c r="GY118" s="6060"/>
      <c r="GZ118" s="6060"/>
      <c r="HA118" s="6060"/>
      <c r="HB118" s="6060"/>
      <c r="HC118" s="6060"/>
      <c r="HD118" s="6060"/>
      <c r="HE118" s="6060"/>
      <c r="HF118" s="6060"/>
      <c r="HG118" s="6092"/>
      <c r="HH118" s="6092"/>
      <c r="HI118" s="6092"/>
      <c r="HJ118" s="6060"/>
      <c r="HK118" s="6060" t="str">
        <f>_Calcs!$N$81</f>
        <v>Påvirkning</v>
      </c>
      <c r="HL118" s="6060"/>
      <c r="HM118" s="6060"/>
      <c r="HN118" s="6060"/>
      <c r="HO118" s="6060"/>
      <c r="HP118" s="6062"/>
      <c r="HT118" s="6059"/>
      <c r="HU118" s="6060" t="str">
        <f>_Calcs!$N$77</f>
        <v>Faktor</v>
      </c>
      <c r="HV118" s="6060"/>
      <c r="HW118" s="6060"/>
      <c r="HX118" s="6060"/>
      <c r="HY118" s="6060"/>
      <c r="HZ118" s="6060"/>
      <c r="IA118" s="6060"/>
      <c r="IB118" s="6060"/>
      <c r="IC118" s="6060"/>
      <c r="ID118" s="6060"/>
      <c r="IE118" s="6060"/>
      <c r="IF118" s="6060"/>
      <c r="IG118" s="6060"/>
      <c r="IH118" s="6060"/>
      <c r="II118" s="6060"/>
      <c r="IJ118" s="6060"/>
      <c r="IK118" s="6060"/>
      <c r="IL118" s="6060"/>
      <c r="IM118" s="6060"/>
      <c r="IN118" s="6060"/>
      <c r="IO118" s="6060"/>
      <c r="IP118" s="6060"/>
      <c r="IQ118" s="6060"/>
      <c r="IR118" s="6060"/>
      <c r="IS118" s="6060"/>
      <c r="IT118" s="6060"/>
      <c r="IU118" s="6060"/>
      <c r="IV118" s="6060"/>
      <c r="IW118" s="6060"/>
      <c r="IX118" s="6060"/>
      <c r="IY118" s="6060"/>
      <c r="IZ118" s="6092"/>
      <c r="JA118" s="6092"/>
      <c r="JB118" s="6092"/>
      <c r="JC118" s="6060"/>
      <c r="JD118" s="6060" t="str">
        <f>_Calcs!$N$81</f>
        <v>Påvirkning</v>
      </c>
      <c r="JE118" s="6060"/>
      <c r="JF118" s="6060"/>
      <c r="JG118" s="6060"/>
      <c r="JH118" s="6060"/>
      <c r="JI118" s="6062"/>
      <c r="JM118" s="6059"/>
      <c r="JN118" s="6060" t="str">
        <f>_Calcs!$N$77</f>
        <v>Faktor</v>
      </c>
      <c r="JO118" s="6060"/>
      <c r="JP118" s="6060"/>
      <c r="JQ118" s="6060"/>
      <c r="JR118" s="6060"/>
      <c r="JS118" s="6060"/>
      <c r="JT118" s="6060"/>
      <c r="JU118" s="6060"/>
      <c r="JV118" s="6060"/>
      <c r="JW118" s="6060"/>
      <c r="JX118" s="6060"/>
      <c r="JY118" s="6060"/>
      <c r="JZ118" s="6060"/>
      <c r="KA118" s="6060"/>
      <c r="KB118" s="6060"/>
      <c r="KC118" s="6060"/>
      <c r="KD118" s="6060"/>
      <c r="KE118" s="6060"/>
      <c r="KF118" s="6060"/>
      <c r="KG118" s="6060"/>
      <c r="KH118" s="6060"/>
      <c r="KI118" s="6060"/>
      <c r="KJ118" s="6060"/>
      <c r="KK118" s="6060"/>
      <c r="KL118" s="6060"/>
      <c r="KM118" s="6060"/>
      <c r="KN118" s="6060"/>
      <c r="KO118" s="6060"/>
      <c r="KP118" s="6060"/>
      <c r="KQ118" s="6060"/>
      <c r="KR118" s="6060"/>
      <c r="KS118" s="6092"/>
      <c r="KT118" s="6092"/>
      <c r="KU118" s="6092"/>
      <c r="KV118" s="6060"/>
      <c r="KW118" s="6060" t="str">
        <f>_Calcs!$N$81</f>
        <v>Påvirkning</v>
      </c>
      <c r="KX118" s="6060"/>
      <c r="KY118" s="6060"/>
      <c r="KZ118" s="6060"/>
      <c r="LA118" s="6060"/>
      <c r="LB118" s="6062"/>
      <c r="LF118" s="6059"/>
      <c r="LG118" s="6060" t="str">
        <f>_Calcs!$N$77</f>
        <v>Faktor</v>
      </c>
      <c r="LH118" s="6060"/>
      <c r="LI118" s="6060"/>
      <c r="LJ118" s="6060"/>
      <c r="LK118" s="6060"/>
      <c r="LL118" s="6060"/>
      <c r="LM118" s="6060"/>
      <c r="LN118" s="6060"/>
      <c r="LO118" s="6060"/>
      <c r="LP118" s="6060"/>
      <c r="LQ118" s="6060"/>
      <c r="LR118" s="6060"/>
      <c r="LS118" s="6060"/>
      <c r="LT118" s="6060"/>
      <c r="LU118" s="6060"/>
      <c r="LV118" s="6060"/>
      <c r="LW118" s="6060"/>
      <c r="LX118" s="6060"/>
      <c r="LY118" s="6060"/>
      <c r="LZ118" s="6060"/>
      <c r="MA118" s="6060"/>
      <c r="MB118" s="6060"/>
      <c r="MC118" s="6060"/>
      <c r="MD118" s="6060"/>
      <c r="ME118" s="6060"/>
      <c r="MF118" s="6060"/>
      <c r="MG118" s="6060"/>
      <c r="MH118" s="6060"/>
      <c r="MI118" s="6060"/>
      <c r="MJ118" s="6060"/>
      <c r="MK118" s="6060"/>
      <c r="ML118" s="6092"/>
      <c r="MM118" s="6092"/>
      <c r="MN118" s="6092"/>
      <c r="MO118" s="6060"/>
      <c r="MP118" s="6060" t="str">
        <f>_Calcs!$N$81</f>
        <v>Påvirkning</v>
      </c>
      <c r="MQ118" s="6060"/>
      <c r="MR118" s="6060"/>
      <c r="MS118" s="6060"/>
      <c r="MT118" s="6060"/>
      <c r="MU118" s="6062"/>
      <c r="MY118" s="6059"/>
      <c r="MZ118" s="6060" t="str">
        <f>_Calcs!$N$77</f>
        <v>Faktor</v>
      </c>
      <c r="NA118" s="6060"/>
      <c r="NB118" s="6060"/>
      <c r="NC118" s="6060"/>
      <c r="ND118" s="6060"/>
      <c r="NE118" s="6060"/>
      <c r="NF118" s="6060"/>
      <c r="NG118" s="6060"/>
      <c r="NH118" s="6060"/>
      <c r="NI118" s="6060"/>
      <c r="NJ118" s="6060"/>
      <c r="NK118" s="6060"/>
      <c r="NL118" s="6060"/>
      <c r="NM118" s="6060"/>
      <c r="NN118" s="6060"/>
      <c r="NO118" s="6060"/>
      <c r="NP118" s="6060"/>
      <c r="NQ118" s="6060"/>
      <c r="NR118" s="6060"/>
      <c r="NS118" s="6060"/>
      <c r="NT118" s="6060"/>
      <c r="NU118" s="6060"/>
      <c r="NV118" s="6060"/>
      <c r="NW118" s="6060"/>
      <c r="NX118" s="6060"/>
      <c r="NY118" s="6060"/>
      <c r="NZ118" s="6060"/>
      <c r="OA118" s="6060"/>
      <c r="OB118" s="6060"/>
      <c r="OC118" s="6060"/>
      <c r="OD118" s="6060"/>
      <c r="OE118" s="6092"/>
      <c r="OF118" s="6092"/>
      <c r="OG118" s="6092"/>
      <c r="OH118" s="6060"/>
      <c r="OI118" s="6060" t="str">
        <f>_Calcs!$N$81</f>
        <v>Påvirkning</v>
      </c>
      <c r="OJ118" s="6060"/>
      <c r="OK118" s="6060"/>
      <c r="OL118" s="6060"/>
      <c r="OM118" s="6060"/>
      <c r="ON118" s="6062"/>
    </row>
    <row r="119" spans="3:404" ht="5.0999999999999996" customHeight="1" thickBot="1" x14ac:dyDescent="0.25">
      <c r="C119" s="6055"/>
      <c r="D119" s="6056"/>
      <c r="E119" s="6056"/>
      <c r="F119" s="6056"/>
      <c r="G119" s="6056"/>
      <c r="H119" s="6056"/>
      <c r="I119" s="6056"/>
      <c r="J119" s="6056"/>
      <c r="K119" s="6056"/>
      <c r="L119" s="6056"/>
      <c r="M119" s="6056"/>
      <c r="N119" s="6056"/>
      <c r="O119" s="6056"/>
      <c r="P119" s="6056"/>
      <c r="Q119" s="6056"/>
      <c r="R119" s="6056"/>
      <c r="S119" s="6056"/>
      <c r="T119" s="6056"/>
      <c r="U119" s="6056"/>
      <c r="V119" s="6056"/>
      <c r="W119" s="6056"/>
      <c r="X119" s="6056"/>
      <c r="Y119" s="6056"/>
      <c r="Z119" s="6056"/>
      <c r="AA119" s="6056"/>
      <c r="AB119" s="6056"/>
      <c r="AC119" s="6056"/>
      <c r="AD119" s="6056"/>
      <c r="AE119" s="6056"/>
      <c r="AF119" s="6056"/>
      <c r="AG119" s="6056"/>
      <c r="AH119" s="6056"/>
      <c r="AI119" s="6061"/>
      <c r="AJ119" s="6061"/>
      <c r="AK119" s="6061"/>
      <c r="AL119" s="6056"/>
      <c r="AM119" s="6056"/>
      <c r="AN119" s="6056"/>
      <c r="AO119" s="6056"/>
      <c r="AP119" s="6056"/>
      <c r="AQ119" s="6056"/>
      <c r="AR119" s="6058"/>
      <c r="AV119" s="6055"/>
      <c r="AW119" s="6056"/>
      <c r="AX119" s="6056"/>
      <c r="AY119" s="6056"/>
      <c r="AZ119" s="6056"/>
      <c r="BA119" s="6056"/>
      <c r="BB119" s="6056"/>
      <c r="BC119" s="6056"/>
      <c r="BD119" s="6056"/>
      <c r="BE119" s="6056"/>
      <c r="BF119" s="6056"/>
      <c r="BG119" s="6056"/>
      <c r="BH119" s="6056"/>
      <c r="BI119" s="6056"/>
      <c r="BJ119" s="6056"/>
      <c r="BK119" s="6056"/>
      <c r="BL119" s="6056"/>
      <c r="BM119" s="6056"/>
      <c r="BN119" s="6056"/>
      <c r="BO119" s="6056"/>
      <c r="BP119" s="6056"/>
      <c r="BQ119" s="6056"/>
      <c r="BR119" s="6056"/>
      <c r="BS119" s="6056"/>
      <c r="BT119" s="6056"/>
      <c r="BU119" s="6056"/>
      <c r="BV119" s="6056"/>
      <c r="BW119" s="6056"/>
      <c r="BX119" s="6056"/>
      <c r="BY119" s="6056"/>
      <c r="BZ119" s="6056"/>
      <c r="CA119" s="6056"/>
      <c r="CB119" s="6061"/>
      <c r="CC119" s="6061"/>
      <c r="CD119" s="6061"/>
      <c r="CE119" s="6056"/>
      <c r="CF119" s="6056"/>
      <c r="CG119" s="6056"/>
      <c r="CH119" s="6056"/>
      <c r="CI119" s="6056"/>
      <c r="CJ119" s="6056"/>
      <c r="CK119" s="6058"/>
      <c r="CO119" s="6055"/>
      <c r="CP119" s="6056"/>
      <c r="CQ119" s="6056"/>
      <c r="CR119" s="6056"/>
      <c r="CS119" s="6056"/>
      <c r="CT119" s="6056"/>
      <c r="CU119" s="6056"/>
      <c r="CV119" s="6056"/>
      <c r="CW119" s="6056"/>
      <c r="CX119" s="6056"/>
      <c r="CY119" s="6056"/>
      <c r="CZ119" s="6056"/>
      <c r="DA119" s="6056"/>
      <c r="DB119" s="6056"/>
      <c r="DC119" s="6056"/>
      <c r="DD119" s="6056"/>
      <c r="DE119" s="6056"/>
      <c r="DF119" s="6056"/>
      <c r="DG119" s="6056"/>
      <c r="DH119" s="6056"/>
      <c r="DI119" s="6056"/>
      <c r="DJ119" s="6056"/>
      <c r="DK119" s="6056"/>
      <c r="DL119" s="6056"/>
      <c r="DM119" s="6056"/>
      <c r="DN119" s="6056"/>
      <c r="DO119" s="6056"/>
      <c r="DP119" s="6056"/>
      <c r="DQ119" s="6056"/>
      <c r="DR119" s="6056"/>
      <c r="DS119" s="6056"/>
      <c r="DT119" s="6056"/>
      <c r="DU119" s="6061"/>
      <c r="DV119" s="6061"/>
      <c r="DW119" s="6061"/>
      <c r="DX119" s="6056"/>
      <c r="DY119" s="6056"/>
      <c r="DZ119" s="6056"/>
      <c r="EA119" s="6056"/>
      <c r="EB119" s="6056"/>
      <c r="EC119" s="6056"/>
      <c r="ED119" s="6058"/>
      <c r="EH119" s="6055"/>
      <c r="EI119" s="6056"/>
      <c r="EJ119" s="6056"/>
      <c r="EK119" s="6056"/>
      <c r="EL119" s="6056"/>
      <c r="EM119" s="6056"/>
      <c r="EN119" s="6056"/>
      <c r="EO119" s="6056"/>
      <c r="EP119" s="6056"/>
      <c r="EQ119" s="6056"/>
      <c r="ER119" s="6056"/>
      <c r="ES119" s="6056"/>
      <c r="ET119" s="6056"/>
      <c r="EU119" s="6056"/>
      <c r="EV119" s="6056"/>
      <c r="EW119" s="6056"/>
      <c r="EX119" s="6056"/>
      <c r="EY119" s="6056"/>
      <c r="EZ119" s="6056"/>
      <c r="FA119" s="6056"/>
      <c r="FB119" s="6056"/>
      <c r="FC119" s="6056"/>
      <c r="FD119" s="6056"/>
      <c r="FE119" s="6056"/>
      <c r="FF119" s="6056"/>
      <c r="FG119" s="6056"/>
      <c r="FH119" s="6056"/>
      <c r="FI119" s="6056"/>
      <c r="FJ119" s="6056"/>
      <c r="FK119" s="6056"/>
      <c r="FL119" s="6056"/>
      <c r="FM119" s="6056"/>
      <c r="FN119" s="6061"/>
      <c r="FO119" s="6061"/>
      <c r="FP119" s="6061"/>
      <c r="FQ119" s="6056"/>
      <c r="FR119" s="6056"/>
      <c r="FS119" s="6056"/>
      <c r="FT119" s="6056"/>
      <c r="FU119" s="6056"/>
      <c r="FV119" s="6056"/>
      <c r="FW119" s="6058"/>
      <c r="GA119" s="6055"/>
      <c r="GB119" s="6056"/>
      <c r="GC119" s="6056"/>
      <c r="GD119" s="6056"/>
      <c r="GE119" s="6056"/>
      <c r="GF119" s="6056"/>
      <c r="GG119" s="6056"/>
      <c r="GH119" s="6056"/>
      <c r="GI119" s="6056"/>
      <c r="GJ119" s="6056"/>
      <c r="GK119" s="6056"/>
      <c r="GL119" s="6056"/>
      <c r="GM119" s="6056"/>
      <c r="GN119" s="6056"/>
      <c r="GO119" s="6056"/>
      <c r="GP119" s="6056"/>
      <c r="GQ119" s="6056"/>
      <c r="GR119" s="6056"/>
      <c r="GS119" s="6056"/>
      <c r="GT119" s="6056"/>
      <c r="GU119" s="6056"/>
      <c r="GV119" s="6056"/>
      <c r="GW119" s="6056"/>
      <c r="GX119" s="6056"/>
      <c r="GY119" s="6056"/>
      <c r="GZ119" s="6056"/>
      <c r="HA119" s="6056"/>
      <c r="HB119" s="6056"/>
      <c r="HC119" s="6056"/>
      <c r="HD119" s="6056"/>
      <c r="HE119" s="6056"/>
      <c r="HF119" s="6056"/>
      <c r="HG119" s="6061"/>
      <c r="HH119" s="6061"/>
      <c r="HI119" s="6061"/>
      <c r="HJ119" s="6056"/>
      <c r="HK119" s="6056"/>
      <c r="HL119" s="6056"/>
      <c r="HM119" s="6056"/>
      <c r="HN119" s="6056"/>
      <c r="HO119" s="6056"/>
      <c r="HP119" s="6058"/>
      <c r="HT119" s="6055"/>
      <c r="HU119" s="6056"/>
      <c r="HV119" s="6056"/>
      <c r="HW119" s="6056"/>
      <c r="HX119" s="6056"/>
      <c r="HY119" s="6056"/>
      <c r="HZ119" s="6056"/>
      <c r="IA119" s="6056"/>
      <c r="IB119" s="6056"/>
      <c r="IC119" s="6056"/>
      <c r="ID119" s="6056"/>
      <c r="IE119" s="6056"/>
      <c r="IF119" s="6056"/>
      <c r="IG119" s="6056"/>
      <c r="IH119" s="6056"/>
      <c r="II119" s="6056"/>
      <c r="IJ119" s="6056"/>
      <c r="IK119" s="6056"/>
      <c r="IL119" s="6056"/>
      <c r="IM119" s="6056"/>
      <c r="IN119" s="6056"/>
      <c r="IO119" s="6056"/>
      <c r="IP119" s="6056"/>
      <c r="IQ119" s="6056"/>
      <c r="IR119" s="6056"/>
      <c r="IS119" s="6056"/>
      <c r="IT119" s="6056"/>
      <c r="IU119" s="6056"/>
      <c r="IV119" s="6056"/>
      <c r="IW119" s="6056"/>
      <c r="IX119" s="6056"/>
      <c r="IY119" s="6056"/>
      <c r="IZ119" s="6061"/>
      <c r="JA119" s="6061"/>
      <c r="JB119" s="6061"/>
      <c r="JC119" s="6056"/>
      <c r="JD119" s="6056"/>
      <c r="JE119" s="6056"/>
      <c r="JF119" s="6056"/>
      <c r="JG119" s="6056"/>
      <c r="JH119" s="6056"/>
      <c r="JI119" s="6058"/>
      <c r="JM119" s="6055"/>
      <c r="JN119" s="6056"/>
      <c r="JO119" s="6056"/>
      <c r="JP119" s="6056"/>
      <c r="JQ119" s="6056"/>
      <c r="JR119" s="6056"/>
      <c r="JS119" s="6056"/>
      <c r="JT119" s="6056"/>
      <c r="JU119" s="6056"/>
      <c r="JV119" s="6056"/>
      <c r="JW119" s="6056"/>
      <c r="JX119" s="6056"/>
      <c r="JY119" s="6056"/>
      <c r="JZ119" s="6056"/>
      <c r="KA119" s="6056"/>
      <c r="KB119" s="6056"/>
      <c r="KC119" s="6056"/>
      <c r="KD119" s="6056"/>
      <c r="KE119" s="6056"/>
      <c r="KF119" s="6056"/>
      <c r="KG119" s="6056"/>
      <c r="KH119" s="6056"/>
      <c r="KI119" s="6056"/>
      <c r="KJ119" s="6056"/>
      <c r="KK119" s="6056"/>
      <c r="KL119" s="6056"/>
      <c r="KM119" s="6056"/>
      <c r="KN119" s="6056"/>
      <c r="KO119" s="6056"/>
      <c r="KP119" s="6056"/>
      <c r="KQ119" s="6056"/>
      <c r="KR119" s="6056"/>
      <c r="KS119" s="6061"/>
      <c r="KT119" s="6061"/>
      <c r="KU119" s="6061"/>
      <c r="KV119" s="6056"/>
      <c r="KW119" s="6056"/>
      <c r="KX119" s="6056"/>
      <c r="KY119" s="6056"/>
      <c r="KZ119" s="6056"/>
      <c r="LA119" s="6056"/>
      <c r="LB119" s="6058"/>
      <c r="LF119" s="6055"/>
      <c r="LG119" s="6056"/>
      <c r="LH119" s="6056"/>
      <c r="LI119" s="6056"/>
      <c r="LJ119" s="6056"/>
      <c r="LK119" s="6056"/>
      <c r="LL119" s="6056"/>
      <c r="LM119" s="6056"/>
      <c r="LN119" s="6056"/>
      <c r="LO119" s="6056"/>
      <c r="LP119" s="6056"/>
      <c r="LQ119" s="6056"/>
      <c r="LR119" s="6056"/>
      <c r="LS119" s="6056"/>
      <c r="LT119" s="6056"/>
      <c r="LU119" s="6056"/>
      <c r="LV119" s="6056"/>
      <c r="LW119" s="6056"/>
      <c r="LX119" s="6056"/>
      <c r="LY119" s="6056"/>
      <c r="LZ119" s="6056"/>
      <c r="MA119" s="6056"/>
      <c r="MB119" s="6056"/>
      <c r="MC119" s="6056"/>
      <c r="MD119" s="6056"/>
      <c r="ME119" s="6056"/>
      <c r="MF119" s="6056"/>
      <c r="MG119" s="6056"/>
      <c r="MH119" s="6056"/>
      <c r="MI119" s="6056"/>
      <c r="MJ119" s="6056"/>
      <c r="MK119" s="6056"/>
      <c r="ML119" s="6061"/>
      <c r="MM119" s="6061"/>
      <c r="MN119" s="6061"/>
      <c r="MO119" s="6056"/>
      <c r="MP119" s="6056"/>
      <c r="MQ119" s="6056"/>
      <c r="MR119" s="6056"/>
      <c r="MS119" s="6056"/>
      <c r="MT119" s="6056"/>
      <c r="MU119" s="6058"/>
      <c r="MY119" s="6055"/>
      <c r="MZ119" s="6056"/>
      <c r="NA119" s="6056"/>
      <c r="NB119" s="6056"/>
      <c r="NC119" s="6056"/>
      <c r="ND119" s="6056"/>
      <c r="NE119" s="6056"/>
      <c r="NF119" s="6056"/>
      <c r="NG119" s="6056"/>
      <c r="NH119" s="6056"/>
      <c r="NI119" s="6056"/>
      <c r="NJ119" s="6056"/>
      <c r="NK119" s="6056"/>
      <c r="NL119" s="6056"/>
      <c r="NM119" s="6056"/>
      <c r="NN119" s="6056"/>
      <c r="NO119" s="6056"/>
      <c r="NP119" s="6056"/>
      <c r="NQ119" s="6056"/>
      <c r="NR119" s="6056"/>
      <c r="NS119" s="6056"/>
      <c r="NT119" s="6056"/>
      <c r="NU119" s="6056"/>
      <c r="NV119" s="6056"/>
      <c r="NW119" s="6056"/>
      <c r="NX119" s="6056"/>
      <c r="NY119" s="6056"/>
      <c r="NZ119" s="6056"/>
      <c r="OA119" s="6056"/>
      <c r="OB119" s="6056"/>
      <c r="OC119" s="6056"/>
      <c r="OD119" s="6056"/>
      <c r="OE119" s="6061"/>
      <c r="OF119" s="6061"/>
      <c r="OG119" s="6061"/>
      <c r="OH119" s="6056"/>
      <c r="OI119" s="6056"/>
      <c r="OJ119" s="6056"/>
      <c r="OK119" s="6056"/>
      <c r="OL119" s="6056"/>
      <c r="OM119" s="6056"/>
      <c r="ON119" s="6058"/>
    </row>
    <row r="120" spans="3:404" s="6070" customFormat="1" ht="20.100000000000001" customHeight="1" thickBot="1" x14ac:dyDescent="0.25">
      <c r="C120" s="6064"/>
      <c r="D120" s="6093"/>
      <c r="E120" s="6784" t="str">
        <f>_Calcs!$IK$144</f>
        <v>Stor stigning eller synk</v>
      </c>
      <c r="F120" s="6784"/>
      <c r="G120" s="6784"/>
      <c r="H120" s="6784"/>
      <c r="I120" s="6784"/>
      <c r="J120" s="6784"/>
      <c r="K120" s="6784"/>
      <c r="L120" s="6784"/>
      <c r="M120" s="6784"/>
      <c r="N120" s="6784"/>
      <c r="O120" s="6784"/>
      <c r="P120" s="6784"/>
      <c r="Q120" s="6784"/>
      <c r="R120" s="6784"/>
      <c r="S120" s="6784"/>
      <c r="T120" s="6784"/>
      <c r="U120" s="6784"/>
      <c r="V120" s="6784"/>
      <c r="W120" s="6094"/>
      <c r="X120" s="6095"/>
      <c r="Y120" s="6095"/>
      <c r="Z120" s="6095"/>
      <c r="AA120" s="6095"/>
      <c r="AB120" s="6095"/>
      <c r="AC120" s="6095"/>
      <c r="AD120" s="6095"/>
      <c r="AE120" s="6095"/>
      <c r="AF120" s="6095"/>
      <c r="AG120" s="6095"/>
      <c r="AH120" s="6095"/>
      <c r="AI120" s="6061"/>
      <c r="AJ120" s="6061"/>
      <c r="AK120" s="6061"/>
      <c r="AL120" s="6068"/>
      <c r="AM120" s="6096"/>
      <c r="AN120" s="6780" t="str">
        <f>_Calcs!$IK$145</f>
        <v>Nei</v>
      </c>
      <c r="AO120" s="6780"/>
      <c r="AP120" s="6780"/>
      <c r="AQ120" s="6097"/>
      <c r="AR120" s="6098"/>
      <c r="AV120" s="6064"/>
      <c r="AW120" s="6093"/>
      <c r="AX120" s="6784" t="str">
        <f>_Calcs!$IL$144</f>
        <v>Stor stigning eller synk</v>
      </c>
      <c r="AY120" s="6784"/>
      <c r="AZ120" s="6784"/>
      <c r="BA120" s="6784"/>
      <c r="BB120" s="6784"/>
      <c r="BC120" s="6784"/>
      <c r="BD120" s="6784"/>
      <c r="BE120" s="6784"/>
      <c r="BF120" s="6784"/>
      <c r="BG120" s="6784"/>
      <c r="BH120" s="6784"/>
      <c r="BI120" s="6784"/>
      <c r="BJ120" s="6784"/>
      <c r="BK120" s="6784"/>
      <c r="BL120" s="6784"/>
      <c r="BM120" s="6784"/>
      <c r="BN120" s="6784"/>
      <c r="BO120" s="6784"/>
      <c r="BP120" s="6094"/>
      <c r="BQ120" s="6095"/>
      <c r="BR120" s="6095"/>
      <c r="BS120" s="6095"/>
      <c r="BT120" s="6095"/>
      <c r="BU120" s="6095"/>
      <c r="BV120" s="6095"/>
      <c r="BW120" s="6095"/>
      <c r="BX120" s="6095"/>
      <c r="BY120" s="6095"/>
      <c r="BZ120" s="6095"/>
      <c r="CA120" s="6095"/>
      <c r="CB120" s="6061"/>
      <c r="CC120" s="6061"/>
      <c r="CD120" s="6061"/>
      <c r="CE120" s="6068"/>
      <c r="CF120" s="6096"/>
      <c r="CG120" s="6780" t="str">
        <f>_Calcs!$IL$145</f>
        <v>Nei</v>
      </c>
      <c r="CH120" s="6780"/>
      <c r="CI120" s="6780"/>
      <c r="CJ120" s="6097"/>
      <c r="CK120" s="6098"/>
      <c r="CO120" s="6064"/>
      <c r="CP120" s="6093"/>
      <c r="CQ120" s="6784" t="str">
        <f>_Calcs!$IM$144</f>
        <v>Stor stigning eller synk</v>
      </c>
      <c r="CR120" s="6784"/>
      <c r="CS120" s="6784"/>
      <c r="CT120" s="6784"/>
      <c r="CU120" s="6784"/>
      <c r="CV120" s="6784"/>
      <c r="CW120" s="6784"/>
      <c r="CX120" s="6784"/>
      <c r="CY120" s="6784"/>
      <c r="CZ120" s="6784"/>
      <c r="DA120" s="6784"/>
      <c r="DB120" s="6784"/>
      <c r="DC120" s="6784"/>
      <c r="DD120" s="6784"/>
      <c r="DE120" s="6784"/>
      <c r="DF120" s="6784"/>
      <c r="DG120" s="6784"/>
      <c r="DH120" s="6784"/>
      <c r="DI120" s="6094"/>
      <c r="DJ120" s="6095"/>
      <c r="DK120" s="6095"/>
      <c r="DL120" s="6095"/>
      <c r="DM120" s="6095"/>
      <c r="DN120" s="6095"/>
      <c r="DO120" s="6095"/>
      <c r="DP120" s="6095"/>
      <c r="DQ120" s="6095"/>
      <c r="DR120" s="6095"/>
      <c r="DS120" s="6095"/>
      <c r="DT120" s="6095"/>
      <c r="DU120" s="6061"/>
      <c r="DV120" s="6061"/>
      <c r="DW120" s="6061"/>
      <c r="DX120" s="6068"/>
      <c r="DY120" s="6096"/>
      <c r="DZ120" s="6780" t="str">
        <f>_Calcs!$IM$145</f>
        <v>Nei</v>
      </c>
      <c r="EA120" s="6780"/>
      <c r="EB120" s="6780"/>
      <c r="EC120" s="6097"/>
      <c r="ED120" s="6098"/>
      <c r="EH120" s="6064"/>
      <c r="EI120" s="6093"/>
      <c r="EJ120" s="6784" t="str">
        <f>_Calcs!$IN$144</f>
        <v>Stor stigning eller synk</v>
      </c>
      <c r="EK120" s="6784"/>
      <c r="EL120" s="6784"/>
      <c r="EM120" s="6784"/>
      <c r="EN120" s="6784"/>
      <c r="EO120" s="6784"/>
      <c r="EP120" s="6784"/>
      <c r="EQ120" s="6784"/>
      <c r="ER120" s="6784"/>
      <c r="ES120" s="6784"/>
      <c r="ET120" s="6784"/>
      <c r="EU120" s="6784"/>
      <c r="EV120" s="6784"/>
      <c r="EW120" s="6784"/>
      <c r="EX120" s="6784"/>
      <c r="EY120" s="6784"/>
      <c r="EZ120" s="6784"/>
      <c r="FA120" s="6784"/>
      <c r="FB120" s="6094"/>
      <c r="FC120" s="6095"/>
      <c r="FD120" s="6095"/>
      <c r="FE120" s="6095"/>
      <c r="FF120" s="6095"/>
      <c r="FG120" s="6095"/>
      <c r="FH120" s="6095"/>
      <c r="FI120" s="6095"/>
      <c r="FJ120" s="6095"/>
      <c r="FK120" s="6095"/>
      <c r="FL120" s="6095"/>
      <c r="FM120" s="6095"/>
      <c r="FN120" s="6061"/>
      <c r="FO120" s="6061"/>
      <c r="FP120" s="6061"/>
      <c r="FQ120" s="6068"/>
      <c r="FR120" s="6096"/>
      <c r="FS120" s="6780" t="str">
        <f>_Calcs!$IN$145</f>
        <v>Nei</v>
      </c>
      <c r="FT120" s="6780"/>
      <c r="FU120" s="6780"/>
      <c r="FV120" s="6097"/>
      <c r="FW120" s="6098"/>
      <c r="GA120" s="6064"/>
      <c r="GB120" s="6093"/>
      <c r="GC120" s="6784" t="str">
        <f>_Calcs!$IO$144</f>
        <v>Stor stigning eller synk</v>
      </c>
      <c r="GD120" s="6784"/>
      <c r="GE120" s="6784"/>
      <c r="GF120" s="6784"/>
      <c r="GG120" s="6784"/>
      <c r="GH120" s="6784"/>
      <c r="GI120" s="6784"/>
      <c r="GJ120" s="6784"/>
      <c r="GK120" s="6784"/>
      <c r="GL120" s="6784"/>
      <c r="GM120" s="6784"/>
      <c r="GN120" s="6784"/>
      <c r="GO120" s="6784"/>
      <c r="GP120" s="6784"/>
      <c r="GQ120" s="6784"/>
      <c r="GR120" s="6784"/>
      <c r="GS120" s="6784"/>
      <c r="GT120" s="6784"/>
      <c r="GU120" s="6094"/>
      <c r="GV120" s="6095"/>
      <c r="GW120" s="6095"/>
      <c r="GX120" s="6095"/>
      <c r="GY120" s="6095"/>
      <c r="GZ120" s="6095"/>
      <c r="HA120" s="6095"/>
      <c r="HB120" s="6095"/>
      <c r="HC120" s="6095"/>
      <c r="HD120" s="6095"/>
      <c r="HE120" s="6095"/>
      <c r="HF120" s="6095"/>
      <c r="HG120" s="6061"/>
      <c r="HH120" s="6061"/>
      <c r="HI120" s="6061"/>
      <c r="HJ120" s="6068"/>
      <c r="HK120" s="6096"/>
      <c r="HL120" s="6780" t="str">
        <f>_Calcs!$IO$145</f>
        <v>Nei</v>
      </c>
      <c r="HM120" s="6780"/>
      <c r="HN120" s="6780"/>
      <c r="HO120" s="6097"/>
      <c r="HP120" s="6098"/>
      <c r="HT120" s="6064"/>
      <c r="HU120" s="6093"/>
      <c r="HV120" s="6784" t="str">
        <f>_Calcs!$IP$144</f>
        <v>Stor stigning eller synk</v>
      </c>
      <c r="HW120" s="6784"/>
      <c r="HX120" s="6784"/>
      <c r="HY120" s="6784"/>
      <c r="HZ120" s="6784"/>
      <c r="IA120" s="6784"/>
      <c r="IB120" s="6784"/>
      <c r="IC120" s="6784"/>
      <c r="ID120" s="6784"/>
      <c r="IE120" s="6784"/>
      <c r="IF120" s="6784"/>
      <c r="IG120" s="6784"/>
      <c r="IH120" s="6784"/>
      <c r="II120" s="6784"/>
      <c r="IJ120" s="6784"/>
      <c r="IK120" s="6784"/>
      <c r="IL120" s="6784"/>
      <c r="IM120" s="6784"/>
      <c r="IN120" s="6094"/>
      <c r="IO120" s="6095"/>
      <c r="IP120" s="6095"/>
      <c r="IQ120" s="6095"/>
      <c r="IR120" s="6095"/>
      <c r="IS120" s="6095"/>
      <c r="IT120" s="6095"/>
      <c r="IU120" s="6095"/>
      <c r="IV120" s="6095"/>
      <c r="IW120" s="6095"/>
      <c r="IX120" s="6095"/>
      <c r="IY120" s="6095"/>
      <c r="IZ120" s="6061"/>
      <c r="JA120" s="6061"/>
      <c r="JB120" s="6061"/>
      <c r="JC120" s="6068"/>
      <c r="JD120" s="6096"/>
      <c r="JE120" s="6780" t="str">
        <f>_Calcs!$IP$145</f>
        <v>Nei</v>
      </c>
      <c r="JF120" s="6780"/>
      <c r="JG120" s="6780"/>
      <c r="JH120" s="6097"/>
      <c r="JI120" s="6098"/>
      <c r="JM120" s="6064"/>
      <c r="JN120" s="6093"/>
      <c r="JO120" s="6784" t="str">
        <f>_Calcs!$IQ$144</f>
        <v>Stor stigning eller synk</v>
      </c>
      <c r="JP120" s="6784"/>
      <c r="JQ120" s="6784"/>
      <c r="JR120" s="6784"/>
      <c r="JS120" s="6784"/>
      <c r="JT120" s="6784"/>
      <c r="JU120" s="6784"/>
      <c r="JV120" s="6784"/>
      <c r="JW120" s="6784"/>
      <c r="JX120" s="6784"/>
      <c r="JY120" s="6784"/>
      <c r="JZ120" s="6784"/>
      <c r="KA120" s="6784"/>
      <c r="KB120" s="6784"/>
      <c r="KC120" s="6784"/>
      <c r="KD120" s="6784"/>
      <c r="KE120" s="6784"/>
      <c r="KF120" s="6784"/>
      <c r="KG120" s="6094"/>
      <c r="KH120" s="6095"/>
      <c r="KI120" s="6095"/>
      <c r="KJ120" s="6095"/>
      <c r="KK120" s="6095"/>
      <c r="KL120" s="6095"/>
      <c r="KM120" s="6095"/>
      <c r="KN120" s="6095"/>
      <c r="KO120" s="6095"/>
      <c r="KP120" s="6095"/>
      <c r="KQ120" s="6095"/>
      <c r="KR120" s="6095"/>
      <c r="KS120" s="6061"/>
      <c r="KT120" s="6061"/>
      <c r="KU120" s="6061"/>
      <c r="KV120" s="6068"/>
      <c r="KW120" s="6096"/>
      <c r="KX120" s="6780" t="str">
        <f>_Calcs!$IQ$145</f>
        <v>Nei</v>
      </c>
      <c r="KY120" s="6780"/>
      <c r="KZ120" s="6780"/>
      <c r="LA120" s="6097"/>
      <c r="LB120" s="6098"/>
      <c r="LF120" s="6064"/>
      <c r="LG120" s="6093"/>
      <c r="LH120" s="6784" t="str">
        <f>_Calcs!$IR$144</f>
        <v>Stor stigning eller synk</v>
      </c>
      <c r="LI120" s="6784"/>
      <c r="LJ120" s="6784"/>
      <c r="LK120" s="6784"/>
      <c r="LL120" s="6784"/>
      <c r="LM120" s="6784"/>
      <c r="LN120" s="6784"/>
      <c r="LO120" s="6784"/>
      <c r="LP120" s="6784"/>
      <c r="LQ120" s="6784"/>
      <c r="LR120" s="6784"/>
      <c r="LS120" s="6784"/>
      <c r="LT120" s="6784"/>
      <c r="LU120" s="6784"/>
      <c r="LV120" s="6784"/>
      <c r="LW120" s="6784"/>
      <c r="LX120" s="6784"/>
      <c r="LY120" s="6784"/>
      <c r="LZ120" s="6094"/>
      <c r="MA120" s="6095"/>
      <c r="MB120" s="6095"/>
      <c r="MC120" s="6095"/>
      <c r="MD120" s="6095"/>
      <c r="ME120" s="6095"/>
      <c r="MF120" s="6095"/>
      <c r="MG120" s="6095"/>
      <c r="MH120" s="6095"/>
      <c r="MI120" s="6095"/>
      <c r="MJ120" s="6095"/>
      <c r="MK120" s="6095"/>
      <c r="ML120" s="6061"/>
      <c r="MM120" s="6061"/>
      <c r="MN120" s="6061"/>
      <c r="MO120" s="6068"/>
      <c r="MP120" s="6096"/>
      <c r="MQ120" s="6780" t="str">
        <f>_Calcs!$IR$145</f>
        <v>Nei</v>
      </c>
      <c r="MR120" s="6780"/>
      <c r="MS120" s="6780"/>
      <c r="MT120" s="6097"/>
      <c r="MU120" s="6098"/>
      <c r="MY120" s="6064"/>
      <c r="MZ120" s="6093"/>
      <c r="NA120" s="6784" t="str">
        <f>_Calcs!$IS$144</f>
        <v>Stor stigning eller synk</v>
      </c>
      <c r="NB120" s="6784"/>
      <c r="NC120" s="6784"/>
      <c r="ND120" s="6784"/>
      <c r="NE120" s="6784"/>
      <c r="NF120" s="6784"/>
      <c r="NG120" s="6784"/>
      <c r="NH120" s="6784"/>
      <c r="NI120" s="6784"/>
      <c r="NJ120" s="6784"/>
      <c r="NK120" s="6784"/>
      <c r="NL120" s="6784"/>
      <c r="NM120" s="6784"/>
      <c r="NN120" s="6784"/>
      <c r="NO120" s="6784"/>
      <c r="NP120" s="6784"/>
      <c r="NQ120" s="6784"/>
      <c r="NR120" s="6784"/>
      <c r="NS120" s="6094"/>
      <c r="NT120" s="6095"/>
      <c r="NU120" s="6095"/>
      <c r="NV120" s="6095"/>
      <c r="NW120" s="6095"/>
      <c r="NX120" s="6095"/>
      <c r="NY120" s="6095"/>
      <c r="NZ120" s="6095"/>
      <c r="OA120" s="6095"/>
      <c r="OB120" s="6095"/>
      <c r="OC120" s="6095"/>
      <c r="OD120" s="6095"/>
      <c r="OE120" s="6061"/>
      <c r="OF120" s="6061"/>
      <c r="OG120" s="6061"/>
      <c r="OH120" s="6068"/>
      <c r="OI120" s="6096"/>
      <c r="OJ120" s="6780" t="str">
        <f>_Calcs!$IS$145</f>
        <v>Nei</v>
      </c>
      <c r="OK120" s="6780"/>
      <c r="OL120" s="6780"/>
      <c r="OM120" s="6097"/>
      <c r="ON120" s="6098"/>
    </row>
    <row r="121" spans="3:404" ht="8.1" customHeight="1" x14ac:dyDescent="0.2">
      <c r="C121" s="6055"/>
      <c r="D121" s="6056"/>
      <c r="E121" s="6056"/>
      <c r="F121" s="6056"/>
      <c r="G121" s="6056"/>
      <c r="H121" s="6056"/>
      <c r="I121" s="6056"/>
      <c r="J121" s="6056"/>
      <c r="K121" s="6056"/>
      <c r="L121" s="6056"/>
      <c r="M121" s="6056"/>
      <c r="N121" s="6056"/>
      <c r="O121" s="6056"/>
      <c r="P121" s="6056"/>
      <c r="Q121" s="6056"/>
      <c r="R121" s="6056"/>
      <c r="S121" s="6056"/>
      <c r="T121" s="6056"/>
      <c r="U121" s="6056"/>
      <c r="V121" s="6057"/>
      <c r="W121" s="6057"/>
      <c r="X121" s="6057"/>
      <c r="Y121" s="6057"/>
      <c r="Z121" s="6057"/>
      <c r="AA121" s="6056"/>
      <c r="AB121" s="6057"/>
      <c r="AC121" s="6057"/>
      <c r="AD121" s="6057"/>
      <c r="AE121" s="6056"/>
      <c r="AF121" s="6057"/>
      <c r="AG121" s="6057"/>
      <c r="AH121" s="6057"/>
      <c r="AI121" s="6057"/>
      <c r="AJ121" s="6057"/>
      <c r="AK121" s="6056"/>
      <c r="AL121" s="6056"/>
      <c r="AM121" s="6056"/>
      <c r="AN121" s="6056"/>
      <c r="AO121" s="6056"/>
      <c r="AP121" s="6056"/>
      <c r="AQ121" s="6056"/>
      <c r="AR121" s="6058"/>
      <c r="AV121" s="6055"/>
      <c r="AW121" s="6056"/>
      <c r="AX121" s="6056"/>
      <c r="AY121" s="6056"/>
      <c r="AZ121" s="6056"/>
      <c r="BA121" s="6056"/>
      <c r="BB121" s="6056"/>
      <c r="BC121" s="6056"/>
      <c r="BD121" s="6056"/>
      <c r="BE121" s="6056"/>
      <c r="BF121" s="6056"/>
      <c r="BG121" s="6056"/>
      <c r="BH121" s="6056"/>
      <c r="BI121" s="6056"/>
      <c r="BJ121" s="6056"/>
      <c r="BK121" s="6056"/>
      <c r="BL121" s="6056"/>
      <c r="BM121" s="6056"/>
      <c r="BN121" s="6056"/>
      <c r="BO121" s="6057"/>
      <c r="BP121" s="6057"/>
      <c r="BQ121" s="6057"/>
      <c r="BR121" s="6057"/>
      <c r="BS121" s="6057"/>
      <c r="BT121" s="6056"/>
      <c r="BU121" s="6057"/>
      <c r="BV121" s="6057"/>
      <c r="BW121" s="6057"/>
      <c r="BX121" s="6056"/>
      <c r="BY121" s="6057"/>
      <c r="BZ121" s="6057"/>
      <c r="CA121" s="6057"/>
      <c r="CB121" s="6057"/>
      <c r="CC121" s="6057"/>
      <c r="CD121" s="6056"/>
      <c r="CE121" s="6056"/>
      <c r="CF121" s="6056"/>
      <c r="CG121" s="6056"/>
      <c r="CH121" s="6056"/>
      <c r="CI121" s="6056"/>
      <c r="CJ121" s="6056"/>
      <c r="CK121" s="6058"/>
      <c r="CO121" s="6055"/>
      <c r="CP121" s="6056"/>
      <c r="CQ121" s="6056"/>
      <c r="CR121" s="6056"/>
      <c r="CS121" s="6056"/>
      <c r="CT121" s="6056"/>
      <c r="CU121" s="6056"/>
      <c r="CV121" s="6056"/>
      <c r="CW121" s="6056"/>
      <c r="CX121" s="6056"/>
      <c r="CY121" s="6056"/>
      <c r="CZ121" s="6056"/>
      <c r="DA121" s="6056"/>
      <c r="DB121" s="6056"/>
      <c r="DC121" s="6056"/>
      <c r="DD121" s="6056"/>
      <c r="DE121" s="6056"/>
      <c r="DF121" s="6056"/>
      <c r="DG121" s="6056"/>
      <c r="DH121" s="6057"/>
      <c r="DI121" s="6057"/>
      <c r="DJ121" s="6057"/>
      <c r="DK121" s="6057"/>
      <c r="DL121" s="6057"/>
      <c r="DM121" s="6056"/>
      <c r="DN121" s="6057"/>
      <c r="DO121" s="6057"/>
      <c r="DP121" s="6057"/>
      <c r="DQ121" s="6056"/>
      <c r="DR121" s="6057"/>
      <c r="DS121" s="6057"/>
      <c r="DT121" s="6057"/>
      <c r="DU121" s="6057"/>
      <c r="DV121" s="6057"/>
      <c r="DW121" s="6056"/>
      <c r="DX121" s="6056"/>
      <c r="DY121" s="6056"/>
      <c r="DZ121" s="6056"/>
      <c r="EA121" s="6056"/>
      <c r="EB121" s="6056"/>
      <c r="EC121" s="6056"/>
      <c r="ED121" s="6058"/>
      <c r="EH121" s="6055"/>
      <c r="EI121" s="6056"/>
      <c r="EJ121" s="6056"/>
      <c r="EK121" s="6056"/>
      <c r="EL121" s="6056"/>
      <c r="EM121" s="6056"/>
      <c r="EN121" s="6056"/>
      <c r="EO121" s="6056"/>
      <c r="EP121" s="6056"/>
      <c r="EQ121" s="6056"/>
      <c r="ER121" s="6056"/>
      <c r="ES121" s="6056"/>
      <c r="ET121" s="6056"/>
      <c r="EU121" s="6056"/>
      <c r="EV121" s="6056"/>
      <c r="EW121" s="6056"/>
      <c r="EX121" s="6056"/>
      <c r="EY121" s="6056"/>
      <c r="EZ121" s="6056"/>
      <c r="FA121" s="6057"/>
      <c r="FB121" s="6057"/>
      <c r="FC121" s="6057"/>
      <c r="FD121" s="6057"/>
      <c r="FE121" s="6057"/>
      <c r="FF121" s="6056"/>
      <c r="FG121" s="6057"/>
      <c r="FH121" s="6057"/>
      <c r="FI121" s="6057"/>
      <c r="FJ121" s="6056"/>
      <c r="FK121" s="6057"/>
      <c r="FL121" s="6057"/>
      <c r="FM121" s="6057"/>
      <c r="FN121" s="6057"/>
      <c r="FO121" s="6057"/>
      <c r="FP121" s="6056"/>
      <c r="FQ121" s="6056"/>
      <c r="FR121" s="6056"/>
      <c r="FS121" s="6056"/>
      <c r="FT121" s="6056"/>
      <c r="FU121" s="6056"/>
      <c r="FV121" s="6056"/>
      <c r="FW121" s="6058"/>
      <c r="GA121" s="6055"/>
      <c r="GB121" s="6056"/>
      <c r="GC121" s="6056"/>
      <c r="GD121" s="6056"/>
      <c r="GE121" s="6056"/>
      <c r="GF121" s="6056"/>
      <c r="GG121" s="6056"/>
      <c r="GH121" s="6056"/>
      <c r="GI121" s="6056"/>
      <c r="GJ121" s="6056"/>
      <c r="GK121" s="6056"/>
      <c r="GL121" s="6056"/>
      <c r="GM121" s="6056"/>
      <c r="GN121" s="6056"/>
      <c r="GO121" s="6056"/>
      <c r="GP121" s="6056"/>
      <c r="GQ121" s="6056"/>
      <c r="GR121" s="6056"/>
      <c r="GS121" s="6056"/>
      <c r="GT121" s="6057"/>
      <c r="GU121" s="6057"/>
      <c r="GV121" s="6057"/>
      <c r="GW121" s="6057"/>
      <c r="GX121" s="6057"/>
      <c r="GY121" s="6056"/>
      <c r="GZ121" s="6057"/>
      <c r="HA121" s="6057"/>
      <c r="HB121" s="6057"/>
      <c r="HC121" s="6056"/>
      <c r="HD121" s="6057"/>
      <c r="HE121" s="6057"/>
      <c r="HF121" s="6057"/>
      <c r="HG121" s="6057"/>
      <c r="HH121" s="6057"/>
      <c r="HI121" s="6056"/>
      <c r="HJ121" s="6056"/>
      <c r="HK121" s="6056"/>
      <c r="HL121" s="6056"/>
      <c r="HM121" s="6056"/>
      <c r="HN121" s="6056"/>
      <c r="HO121" s="6056"/>
      <c r="HP121" s="6058"/>
      <c r="HT121" s="6055"/>
      <c r="HU121" s="6056"/>
      <c r="HV121" s="6056"/>
      <c r="HW121" s="6056"/>
      <c r="HX121" s="6056"/>
      <c r="HY121" s="6056"/>
      <c r="HZ121" s="6056"/>
      <c r="IA121" s="6056"/>
      <c r="IB121" s="6056"/>
      <c r="IC121" s="6056"/>
      <c r="ID121" s="6056"/>
      <c r="IE121" s="6056"/>
      <c r="IF121" s="6056"/>
      <c r="IG121" s="6056"/>
      <c r="IH121" s="6056"/>
      <c r="II121" s="6056"/>
      <c r="IJ121" s="6056"/>
      <c r="IK121" s="6056"/>
      <c r="IL121" s="6056"/>
      <c r="IM121" s="6057"/>
      <c r="IN121" s="6057"/>
      <c r="IO121" s="6057"/>
      <c r="IP121" s="6057"/>
      <c r="IQ121" s="6057"/>
      <c r="IR121" s="6056"/>
      <c r="IS121" s="6057"/>
      <c r="IT121" s="6057"/>
      <c r="IU121" s="6057"/>
      <c r="IV121" s="6056"/>
      <c r="IW121" s="6057"/>
      <c r="IX121" s="6057"/>
      <c r="IY121" s="6057"/>
      <c r="IZ121" s="6057"/>
      <c r="JA121" s="6057"/>
      <c r="JB121" s="6056"/>
      <c r="JC121" s="6056"/>
      <c r="JD121" s="6056"/>
      <c r="JE121" s="6056"/>
      <c r="JF121" s="6056"/>
      <c r="JG121" s="6056"/>
      <c r="JH121" s="6056"/>
      <c r="JI121" s="6058"/>
      <c r="JM121" s="6055"/>
      <c r="JN121" s="6056"/>
      <c r="JO121" s="6056"/>
      <c r="JP121" s="6056"/>
      <c r="JQ121" s="6056"/>
      <c r="JR121" s="6056"/>
      <c r="JS121" s="6056"/>
      <c r="JT121" s="6056"/>
      <c r="JU121" s="6056"/>
      <c r="JV121" s="6056"/>
      <c r="JW121" s="6056"/>
      <c r="JX121" s="6056"/>
      <c r="JY121" s="6056"/>
      <c r="JZ121" s="6056"/>
      <c r="KA121" s="6056"/>
      <c r="KB121" s="6056"/>
      <c r="KC121" s="6056"/>
      <c r="KD121" s="6056"/>
      <c r="KE121" s="6056"/>
      <c r="KF121" s="6057"/>
      <c r="KG121" s="6057"/>
      <c r="KH121" s="6057"/>
      <c r="KI121" s="6057"/>
      <c r="KJ121" s="6057"/>
      <c r="KK121" s="6056"/>
      <c r="KL121" s="6057"/>
      <c r="KM121" s="6057"/>
      <c r="KN121" s="6057"/>
      <c r="KO121" s="6056"/>
      <c r="KP121" s="6057"/>
      <c r="KQ121" s="6057"/>
      <c r="KR121" s="6057"/>
      <c r="KS121" s="6057"/>
      <c r="KT121" s="6057"/>
      <c r="KU121" s="6056"/>
      <c r="KV121" s="6056"/>
      <c r="KW121" s="6056"/>
      <c r="KX121" s="6056"/>
      <c r="KY121" s="6056"/>
      <c r="KZ121" s="6056"/>
      <c r="LA121" s="6056"/>
      <c r="LB121" s="6058"/>
      <c r="LF121" s="6055"/>
      <c r="LG121" s="6056"/>
      <c r="LH121" s="6056"/>
      <c r="LI121" s="6056"/>
      <c r="LJ121" s="6056"/>
      <c r="LK121" s="6056"/>
      <c r="LL121" s="6056"/>
      <c r="LM121" s="6056"/>
      <c r="LN121" s="6056"/>
      <c r="LO121" s="6056"/>
      <c r="LP121" s="6056"/>
      <c r="LQ121" s="6056"/>
      <c r="LR121" s="6056"/>
      <c r="LS121" s="6056"/>
      <c r="LT121" s="6056"/>
      <c r="LU121" s="6056"/>
      <c r="LV121" s="6056"/>
      <c r="LW121" s="6056"/>
      <c r="LX121" s="6056"/>
      <c r="LY121" s="6057"/>
      <c r="LZ121" s="6057"/>
      <c r="MA121" s="6057"/>
      <c r="MB121" s="6057"/>
      <c r="MC121" s="6057"/>
      <c r="MD121" s="6056"/>
      <c r="ME121" s="6057"/>
      <c r="MF121" s="6057"/>
      <c r="MG121" s="6057"/>
      <c r="MH121" s="6056"/>
      <c r="MI121" s="6057"/>
      <c r="MJ121" s="6057"/>
      <c r="MK121" s="6057"/>
      <c r="ML121" s="6057"/>
      <c r="MM121" s="6057"/>
      <c r="MN121" s="6056"/>
      <c r="MO121" s="6056"/>
      <c r="MP121" s="6056"/>
      <c r="MQ121" s="6056"/>
      <c r="MR121" s="6056"/>
      <c r="MS121" s="6056"/>
      <c r="MT121" s="6056"/>
      <c r="MU121" s="6058"/>
      <c r="MY121" s="6055"/>
      <c r="MZ121" s="6056"/>
      <c r="NA121" s="6056"/>
      <c r="NB121" s="6056"/>
      <c r="NC121" s="6056"/>
      <c r="ND121" s="6056"/>
      <c r="NE121" s="6056"/>
      <c r="NF121" s="6056"/>
      <c r="NG121" s="6056"/>
      <c r="NH121" s="6056"/>
      <c r="NI121" s="6056"/>
      <c r="NJ121" s="6056"/>
      <c r="NK121" s="6056"/>
      <c r="NL121" s="6056"/>
      <c r="NM121" s="6056"/>
      <c r="NN121" s="6056"/>
      <c r="NO121" s="6056"/>
      <c r="NP121" s="6056"/>
      <c r="NQ121" s="6056"/>
      <c r="NR121" s="6057"/>
      <c r="NS121" s="6057"/>
      <c r="NT121" s="6057"/>
      <c r="NU121" s="6057"/>
      <c r="NV121" s="6057"/>
      <c r="NW121" s="6056"/>
      <c r="NX121" s="6057"/>
      <c r="NY121" s="6057"/>
      <c r="NZ121" s="6057"/>
      <c r="OA121" s="6056"/>
      <c r="OB121" s="6057"/>
      <c r="OC121" s="6057"/>
      <c r="OD121" s="6057"/>
      <c r="OE121" s="6057"/>
      <c r="OF121" s="6057"/>
      <c r="OG121" s="6056"/>
      <c r="OH121" s="6056"/>
      <c r="OI121" s="6056"/>
      <c r="OJ121" s="6056"/>
      <c r="OK121" s="6056"/>
      <c r="OL121" s="6056"/>
      <c r="OM121" s="6056"/>
      <c r="ON121" s="6058"/>
    </row>
    <row r="122" spans="3:404" s="6075" customFormat="1" ht="12" customHeight="1" x14ac:dyDescent="0.2">
      <c r="C122" s="6071"/>
      <c r="D122" s="6060" t="str">
        <f>_Calcs!$N$80</f>
        <v>Tidjustering</v>
      </c>
      <c r="E122" s="6072"/>
      <c r="F122" s="6072"/>
      <c r="G122" s="6072"/>
      <c r="H122" s="6072"/>
      <c r="I122" s="6072"/>
      <c r="J122" s="6072"/>
      <c r="K122" s="6072"/>
      <c r="L122" s="6072"/>
      <c r="M122" s="6099"/>
      <c r="N122" s="6099"/>
      <c r="O122" s="6099"/>
      <c r="P122" s="6099"/>
      <c r="Q122" s="6099"/>
      <c r="R122" s="6099"/>
      <c r="S122" s="6099"/>
      <c r="T122" s="6099"/>
      <c r="U122" s="6072"/>
      <c r="V122" s="6072"/>
      <c r="W122" s="6072"/>
      <c r="X122" s="6072"/>
      <c r="Y122" s="6072"/>
      <c r="Z122" s="6072"/>
      <c r="AA122" s="6072"/>
      <c r="AB122" s="6072"/>
      <c r="AC122" s="6072"/>
      <c r="AD122" s="6072"/>
      <c r="AE122" s="6072"/>
      <c r="AF122" s="6072"/>
      <c r="AG122" s="6072"/>
      <c r="AH122" s="6072"/>
      <c r="AI122" s="6072"/>
      <c r="AJ122" s="6072"/>
      <c r="AK122" s="6072"/>
      <c r="AL122" s="6072"/>
      <c r="AM122" s="6072"/>
      <c r="AN122" s="6072"/>
      <c r="AO122" s="6072"/>
      <c r="AP122" s="6072"/>
      <c r="AQ122" s="6072"/>
      <c r="AR122" s="6074"/>
      <c r="AV122" s="6071"/>
      <c r="AW122" s="6060" t="str">
        <f>_Calcs!$N$80</f>
        <v>Tidjustering</v>
      </c>
      <c r="AX122" s="6072"/>
      <c r="AY122" s="6072"/>
      <c r="AZ122" s="6072"/>
      <c r="BA122" s="6072"/>
      <c r="BB122" s="6072"/>
      <c r="BC122" s="6072"/>
      <c r="BD122" s="6072"/>
      <c r="BE122" s="6072"/>
      <c r="BF122" s="6099"/>
      <c r="BG122" s="6099"/>
      <c r="BH122" s="6099"/>
      <c r="BI122" s="6099"/>
      <c r="BJ122" s="6099"/>
      <c r="BK122" s="6099"/>
      <c r="BL122" s="6099"/>
      <c r="BM122" s="6099"/>
      <c r="BN122" s="6072"/>
      <c r="BO122" s="6072"/>
      <c r="BP122" s="6072"/>
      <c r="BQ122" s="6072"/>
      <c r="BR122" s="6072"/>
      <c r="BS122" s="6072"/>
      <c r="BT122" s="6072"/>
      <c r="BU122" s="6072"/>
      <c r="BV122" s="6072"/>
      <c r="BW122" s="6072"/>
      <c r="BX122" s="6072"/>
      <c r="BY122" s="6072"/>
      <c r="BZ122" s="6072"/>
      <c r="CA122" s="6072"/>
      <c r="CB122" s="6072"/>
      <c r="CC122" s="6072"/>
      <c r="CD122" s="6072"/>
      <c r="CE122" s="6072"/>
      <c r="CF122" s="6072"/>
      <c r="CG122" s="6072"/>
      <c r="CH122" s="6072"/>
      <c r="CI122" s="6072"/>
      <c r="CJ122" s="6072"/>
      <c r="CK122" s="6074"/>
      <c r="CO122" s="6071"/>
      <c r="CP122" s="6060" t="str">
        <f>_Calcs!$N$80</f>
        <v>Tidjustering</v>
      </c>
      <c r="CQ122" s="6072"/>
      <c r="CR122" s="6072"/>
      <c r="CS122" s="6072"/>
      <c r="CT122" s="6072"/>
      <c r="CU122" s="6072"/>
      <c r="CV122" s="6072"/>
      <c r="CW122" s="6072"/>
      <c r="CX122" s="6072"/>
      <c r="CY122" s="6099"/>
      <c r="CZ122" s="6099"/>
      <c r="DA122" s="6099"/>
      <c r="DB122" s="6099"/>
      <c r="DC122" s="6099"/>
      <c r="DD122" s="6099"/>
      <c r="DE122" s="6099"/>
      <c r="DF122" s="6099"/>
      <c r="DG122" s="6072"/>
      <c r="DH122" s="6072"/>
      <c r="DI122" s="6072"/>
      <c r="DJ122" s="6072"/>
      <c r="DK122" s="6072"/>
      <c r="DL122" s="6072"/>
      <c r="DM122" s="6072"/>
      <c r="DN122" s="6072"/>
      <c r="DO122" s="6072"/>
      <c r="DP122" s="6072"/>
      <c r="DQ122" s="6072"/>
      <c r="DR122" s="6072"/>
      <c r="DS122" s="6072"/>
      <c r="DT122" s="6072"/>
      <c r="DU122" s="6072"/>
      <c r="DV122" s="6072"/>
      <c r="DW122" s="6072"/>
      <c r="DX122" s="6072"/>
      <c r="DY122" s="6072"/>
      <c r="DZ122" s="6072"/>
      <c r="EA122" s="6072"/>
      <c r="EB122" s="6072"/>
      <c r="EC122" s="6072"/>
      <c r="ED122" s="6074"/>
      <c r="EH122" s="6071"/>
      <c r="EI122" s="6060" t="str">
        <f>_Calcs!$N$80</f>
        <v>Tidjustering</v>
      </c>
      <c r="EJ122" s="6072"/>
      <c r="EK122" s="6072"/>
      <c r="EL122" s="6072"/>
      <c r="EM122" s="6072"/>
      <c r="EN122" s="6072"/>
      <c r="EO122" s="6072"/>
      <c r="EP122" s="6072"/>
      <c r="EQ122" s="6072"/>
      <c r="ER122" s="6099"/>
      <c r="ES122" s="6099"/>
      <c r="ET122" s="6099"/>
      <c r="EU122" s="6099"/>
      <c r="EV122" s="6099"/>
      <c r="EW122" s="6099"/>
      <c r="EX122" s="6099"/>
      <c r="EY122" s="6099"/>
      <c r="EZ122" s="6072"/>
      <c r="FA122" s="6072"/>
      <c r="FB122" s="6072"/>
      <c r="FC122" s="6072"/>
      <c r="FD122" s="6072"/>
      <c r="FE122" s="6072"/>
      <c r="FF122" s="6072"/>
      <c r="FG122" s="6072"/>
      <c r="FH122" s="6072"/>
      <c r="FI122" s="6072"/>
      <c r="FJ122" s="6072"/>
      <c r="FK122" s="6072"/>
      <c r="FL122" s="6072"/>
      <c r="FM122" s="6072"/>
      <c r="FN122" s="6072"/>
      <c r="FO122" s="6072"/>
      <c r="FP122" s="6072"/>
      <c r="FQ122" s="6072"/>
      <c r="FR122" s="6072"/>
      <c r="FS122" s="6072"/>
      <c r="FT122" s="6072"/>
      <c r="FU122" s="6072"/>
      <c r="FV122" s="6072"/>
      <c r="FW122" s="6074"/>
      <c r="GA122" s="6071"/>
      <c r="GB122" s="6060" t="str">
        <f>_Calcs!$N$80</f>
        <v>Tidjustering</v>
      </c>
      <c r="GC122" s="6072"/>
      <c r="GD122" s="6072"/>
      <c r="GE122" s="6072"/>
      <c r="GF122" s="6072"/>
      <c r="GG122" s="6072"/>
      <c r="GH122" s="6072"/>
      <c r="GI122" s="6072"/>
      <c r="GJ122" s="6072"/>
      <c r="GK122" s="6099"/>
      <c r="GL122" s="6099"/>
      <c r="GM122" s="6099"/>
      <c r="GN122" s="6099"/>
      <c r="GO122" s="6099"/>
      <c r="GP122" s="6099"/>
      <c r="GQ122" s="6099"/>
      <c r="GR122" s="6099"/>
      <c r="GS122" s="6072"/>
      <c r="GT122" s="6072"/>
      <c r="GU122" s="6072"/>
      <c r="GV122" s="6072"/>
      <c r="GW122" s="6072"/>
      <c r="GX122" s="6072"/>
      <c r="GY122" s="6072"/>
      <c r="GZ122" s="6072"/>
      <c r="HA122" s="6072"/>
      <c r="HB122" s="6072"/>
      <c r="HC122" s="6072"/>
      <c r="HD122" s="6072"/>
      <c r="HE122" s="6072"/>
      <c r="HF122" s="6072"/>
      <c r="HG122" s="6072"/>
      <c r="HH122" s="6072"/>
      <c r="HI122" s="6072"/>
      <c r="HJ122" s="6072"/>
      <c r="HK122" s="6072"/>
      <c r="HL122" s="6072"/>
      <c r="HM122" s="6072"/>
      <c r="HN122" s="6072"/>
      <c r="HO122" s="6072"/>
      <c r="HP122" s="6074"/>
      <c r="HT122" s="6071"/>
      <c r="HU122" s="6060" t="str">
        <f>_Calcs!$N$80</f>
        <v>Tidjustering</v>
      </c>
      <c r="HV122" s="6072"/>
      <c r="HW122" s="6072"/>
      <c r="HX122" s="6072"/>
      <c r="HY122" s="6072"/>
      <c r="HZ122" s="6072"/>
      <c r="IA122" s="6072"/>
      <c r="IB122" s="6072"/>
      <c r="IC122" s="6072"/>
      <c r="ID122" s="6099"/>
      <c r="IE122" s="6099"/>
      <c r="IF122" s="6099"/>
      <c r="IG122" s="6099"/>
      <c r="IH122" s="6099"/>
      <c r="II122" s="6099"/>
      <c r="IJ122" s="6099"/>
      <c r="IK122" s="6099"/>
      <c r="IL122" s="6072"/>
      <c r="IM122" s="6072"/>
      <c r="IN122" s="6072"/>
      <c r="IO122" s="6072"/>
      <c r="IP122" s="6072"/>
      <c r="IQ122" s="6072"/>
      <c r="IR122" s="6072"/>
      <c r="IS122" s="6072"/>
      <c r="IT122" s="6072"/>
      <c r="IU122" s="6072"/>
      <c r="IV122" s="6072"/>
      <c r="IW122" s="6072"/>
      <c r="IX122" s="6072"/>
      <c r="IY122" s="6072"/>
      <c r="IZ122" s="6072"/>
      <c r="JA122" s="6072"/>
      <c r="JB122" s="6072"/>
      <c r="JC122" s="6072"/>
      <c r="JD122" s="6072"/>
      <c r="JE122" s="6072"/>
      <c r="JF122" s="6072"/>
      <c r="JG122" s="6072"/>
      <c r="JH122" s="6072"/>
      <c r="JI122" s="6074"/>
      <c r="JM122" s="6071"/>
      <c r="JN122" s="6060" t="str">
        <f>_Calcs!$N$80</f>
        <v>Tidjustering</v>
      </c>
      <c r="JO122" s="6072"/>
      <c r="JP122" s="6072"/>
      <c r="JQ122" s="6072"/>
      <c r="JR122" s="6072"/>
      <c r="JS122" s="6072"/>
      <c r="JT122" s="6072"/>
      <c r="JU122" s="6072"/>
      <c r="JV122" s="6072"/>
      <c r="JW122" s="6099"/>
      <c r="JX122" s="6099"/>
      <c r="JY122" s="6099"/>
      <c r="JZ122" s="6099"/>
      <c r="KA122" s="6099"/>
      <c r="KB122" s="6099"/>
      <c r="KC122" s="6099"/>
      <c r="KD122" s="6099"/>
      <c r="KE122" s="6072"/>
      <c r="KF122" s="6072"/>
      <c r="KG122" s="6072"/>
      <c r="KH122" s="6072"/>
      <c r="KI122" s="6072"/>
      <c r="KJ122" s="6072"/>
      <c r="KK122" s="6072"/>
      <c r="KL122" s="6072"/>
      <c r="KM122" s="6072"/>
      <c r="KN122" s="6072"/>
      <c r="KO122" s="6072"/>
      <c r="KP122" s="6072"/>
      <c r="KQ122" s="6072"/>
      <c r="KR122" s="6072"/>
      <c r="KS122" s="6072"/>
      <c r="KT122" s="6072"/>
      <c r="KU122" s="6072"/>
      <c r="KV122" s="6072"/>
      <c r="KW122" s="6072"/>
      <c r="KX122" s="6072"/>
      <c r="KY122" s="6072"/>
      <c r="KZ122" s="6072"/>
      <c r="LA122" s="6072"/>
      <c r="LB122" s="6074"/>
      <c r="LF122" s="6071"/>
      <c r="LG122" s="6060" t="str">
        <f>_Calcs!$N$80</f>
        <v>Tidjustering</v>
      </c>
      <c r="LH122" s="6072"/>
      <c r="LI122" s="6072"/>
      <c r="LJ122" s="6072"/>
      <c r="LK122" s="6072"/>
      <c r="LL122" s="6072"/>
      <c r="LM122" s="6072"/>
      <c r="LN122" s="6072"/>
      <c r="LO122" s="6072"/>
      <c r="LP122" s="6099"/>
      <c r="LQ122" s="6099"/>
      <c r="LR122" s="6099"/>
      <c r="LS122" s="6099"/>
      <c r="LT122" s="6099"/>
      <c r="LU122" s="6099"/>
      <c r="LV122" s="6099"/>
      <c r="LW122" s="6099"/>
      <c r="LX122" s="6072"/>
      <c r="LY122" s="6072"/>
      <c r="LZ122" s="6072"/>
      <c r="MA122" s="6072"/>
      <c r="MB122" s="6072"/>
      <c r="MC122" s="6072"/>
      <c r="MD122" s="6072"/>
      <c r="ME122" s="6072"/>
      <c r="MF122" s="6072"/>
      <c r="MG122" s="6072"/>
      <c r="MH122" s="6072"/>
      <c r="MI122" s="6072"/>
      <c r="MJ122" s="6072"/>
      <c r="MK122" s="6072"/>
      <c r="ML122" s="6072"/>
      <c r="MM122" s="6072"/>
      <c r="MN122" s="6072"/>
      <c r="MO122" s="6072"/>
      <c r="MP122" s="6072"/>
      <c r="MQ122" s="6072"/>
      <c r="MR122" s="6072"/>
      <c r="MS122" s="6072"/>
      <c r="MT122" s="6072"/>
      <c r="MU122" s="6074"/>
      <c r="MY122" s="6071"/>
      <c r="MZ122" s="6060" t="str">
        <f>_Calcs!$N$80</f>
        <v>Tidjustering</v>
      </c>
      <c r="NA122" s="6072"/>
      <c r="NB122" s="6072"/>
      <c r="NC122" s="6072"/>
      <c r="ND122" s="6072"/>
      <c r="NE122" s="6072"/>
      <c r="NF122" s="6072"/>
      <c r="NG122" s="6072"/>
      <c r="NH122" s="6072"/>
      <c r="NI122" s="6099"/>
      <c r="NJ122" s="6099"/>
      <c r="NK122" s="6099"/>
      <c r="NL122" s="6099"/>
      <c r="NM122" s="6099"/>
      <c r="NN122" s="6099"/>
      <c r="NO122" s="6099"/>
      <c r="NP122" s="6099"/>
      <c r="NQ122" s="6072"/>
      <c r="NR122" s="6072"/>
      <c r="NS122" s="6072"/>
      <c r="NT122" s="6072"/>
      <c r="NU122" s="6072"/>
      <c r="NV122" s="6072"/>
      <c r="NW122" s="6072"/>
      <c r="NX122" s="6072"/>
      <c r="NY122" s="6072"/>
      <c r="NZ122" s="6072"/>
      <c r="OA122" s="6072"/>
      <c r="OB122" s="6072"/>
      <c r="OC122" s="6072"/>
      <c r="OD122" s="6072"/>
      <c r="OE122" s="6072"/>
      <c r="OF122" s="6072"/>
      <c r="OG122" s="6072"/>
      <c r="OH122" s="6072"/>
      <c r="OI122" s="6072"/>
      <c r="OJ122" s="6072"/>
      <c r="OK122" s="6072"/>
      <c r="OL122" s="6072"/>
      <c r="OM122" s="6072"/>
      <c r="ON122" s="6074"/>
    </row>
    <row r="123" spans="3:404" ht="5.0999999999999996" customHeight="1" thickBot="1" x14ac:dyDescent="0.25">
      <c r="C123" s="6055"/>
      <c r="D123" s="6056"/>
      <c r="E123" s="6056"/>
      <c r="F123" s="6056"/>
      <c r="G123" s="6056"/>
      <c r="H123" s="6056"/>
      <c r="I123" s="6056"/>
      <c r="J123" s="6056"/>
      <c r="K123" s="6056"/>
      <c r="L123" s="6056"/>
      <c r="M123" s="6100"/>
      <c r="N123" s="6100"/>
      <c r="O123" s="6100"/>
      <c r="P123" s="6100"/>
      <c r="Q123" s="6100"/>
      <c r="R123" s="6100"/>
      <c r="S123" s="6100"/>
      <c r="T123" s="6100"/>
      <c r="U123" s="6056"/>
      <c r="V123" s="6057"/>
      <c r="W123" s="6057"/>
      <c r="X123" s="6057"/>
      <c r="Y123" s="6057"/>
      <c r="Z123" s="6057"/>
      <c r="AA123" s="6056"/>
      <c r="AB123" s="6057"/>
      <c r="AC123" s="6057"/>
      <c r="AD123" s="6057"/>
      <c r="AE123" s="6056"/>
      <c r="AF123" s="6057"/>
      <c r="AG123" s="6057"/>
      <c r="AH123" s="6057"/>
      <c r="AI123" s="6057"/>
      <c r="AJ123" s="6057"/>
      <c r="AK123" s="6056"/>
      <c r="AL123" s="6056"/>
      <c r="AM123" s="6056"/>
      <c r="AN123" s="6056"/>
      <c r="AO123" s="6056"/>
      <c r="AP123" s="6056"/>
      <c r="AQ123" s="6056"/>
      <c r="AR123" s="6058"/>
      <c r="AV123" s="6055"/>
      <c r="AW123" s="6056"/>
      <c r="AX123" s="6056"/>
      <c r="AY123" s="6056"/>
      <c r="AZ123" s="6056"/>
      <c r="BA123" s="6056"/>
      <c r="BB123" s="6056"/>
      <c r="BC123" s="6056"/>
      <c r="BD123" s="6056"/>
      <c r="BE123" s="6056"/>
      <c r="BF123" s="6100"/>
      <c r="BG123" s="6100"/>
      <c r="BH123" s="6100"/>
      <c r="BI123" s="6100"/>
      <c r="BJ123" s="6100"/>
      <c r="BK123" s="6100"/>
      <c r="BL123" s="6100"/>
      <c r="BM123" s="6100"/>
      <c r="BN123" s="6056"/>
      <c r="BO123" s="6057"/>
      <c r="BP123" s="6057"/>
      <c r="BQ123" s="6057"/>
      <c r="BR123" s="6057"/>
      <c r="BS123" s="6057"/>
      <c r="BT123" s="6056"/>
      <c r="BU123" s="6057"/>
      <c r="BV123" s="6057"/>
      <c r="BW123" s="6057"/>
      <c r="BX123" s="6056"/>
      <c r="BY123" s="6057"/>
      <c r="BZ123" s="6057"/>
      <c r="CA123" s="6057"/>
      <c r="CB123" s="6057"/>
      <c r="CC123" s="6057"/>
      <c r="CD123" s="6056"/>
      <c r="CE123" s="6056"/>
      <c r="CF123" s="6056"/>
      <c r="CG123" s="6056"/>
      <c r="CH123" s="6056"/>
      <c r="CI123" s="6056"/>
      <c r="CJ123" s="6056"/>
      <c r="CK123" s="6058"/>
      <c r="CO123" s="6055"/>
      <c r="CP123" s="6056"/>
      <c r="CQ123" s="6056"/>
      <c r="CR123" s="6056"/>
      <c r="CS123" s="6056"/>
      <c r="CT123" s="6056"/>
      <c r="CU123" s="6056"/>
      <c r="CV123" s="6056"/>
      <c r="CW123" s="6056"/>
      <c r="CX123" s="6056"/>
      <c r="CY123" s="6100"/>
      <c r="CZ123" s="6100"/>
      <c r="DA123" s="6100"/>
      <c r="DB123" s="6100"/>
      <c r="DC123" s="6100"/>
      <c r="DD123" s="6100"/>
      <c r="DE123" s="6100"/>
      <c r="DF123" s="6100"/>
      <c r="DG123" s="6056"/>
      <c r="DH123" s="6057"/>
      <c r="DI123" s="6057"/>
      <c r="DJ123" s="6057"/>
      <c r="DK123" s="6057"/>
      <c r="DL123" s="6057"/>
      <c r="DM123" s="6056"/>
      <c r="DN123" s="6057"/>
      <c r="DO123" s="6057"/>
      <c r="DP123" s="6057"/>
      <c r="DQ123" s="6056"/>
      <c r="DR123" s="6057"/>
      <c r="DS123" s="6057"/>
      <c r="DT123" s="6057"/>
      <c r="DU123" s="6057"/>
      <c r="DV123" s="6057"/>
      <c r="DW123" s="6056"/>
      <c r="DX123" s="6056"/>
      <c r="DY123" s="6056"/>
      <c r="DZ123" s="6056"/>
      <c r="EA123" s="6056"/>
      <c r="EB123" s="6056"/>
      <c r="EC123" s="6056"/>
      <c r="ED123" s="6058"/>
      <c r="EH123" s="6055"/>
      <c r="EI123" s="6056"/>
      <c r="EJ123" s="6056"/>
      <c r="EK123" s="6056"/>
      <c r="EL123" s="6056"/>
      <c r="EM123" s="6056"/>
      <c r="EN123" s="6056"/>
      <c r="EO123" s="6056"/>
      <c r="EP123" s="6056"/>
      <c r="EQ123" s="6056"/>
      <c r="ER123" s="6100"/>
      <c r="ES123" s="6100"/>
      <c r="ET123" s="6100"/>
      <c r="EU123" s="6100"/>
      <c r="EV123" s="6100"/>
      <c r="EW123" s="6100"/>
      <c r="EX123" s="6100"/>
      <c r="EY123" s="6100"/>
      <c r="EZ123" s="6056"/>
      <c r="FA123" s="6057"/>
      <c r="FB123" s="6057"/>
      <c r="FC123" s="6057"/>
      <c r="FD123" s="6057"/>
      <c r="FE123" s="6057"/>
      <c r="FF123" s="6056"/>
      <c r="FG123" s="6057"/>
      <c r="FH123" s="6057"/>
      <c r="FI123" s="6057"/>
      <c r="FJ123" s="6056"/>
      <c r="FK123" s="6057"/>
      <c r="FL123" s="6057"/>
      <c r="FM123" s="6057"/>
      <c r="FN123" s="6057"/>
      <c r="FO123" s="6057"/>
      <c r="FP123" s="6056"/>
      <c r="FQ123" s="6056"/>
      <c r="FR123" s="6056"/>
      <c r="FS123" s="6056"/>
      <c r="FT123" s="6056"/>
      <c r="FU123" s="6056"/>
      <c r="FV123" s="6056"/>
      <c r="FW123" s="6058"/>
      <c r="GA123" s="6055"/>
      <c r="GB123" s="6056"/>
      <c r="GC123" s="6056"/>
      <c r="GD123" s="6056"/>
      <c r="GE123" s="6056"/>
      <c r="GF123" s="6056"/>
      <c r="GG123" s="6056"/>
      <c r="GH123" s="6056"/>
      <c r="GI123" s="6056"/>
      <c r="GJ123" s="6056"/>
      <c r="GK123" s="6100"/>
      <c r="GL123" s="6100"/>
      <c r="GM123" s="6100"/>
      <c r="GN123" s="6100"/>
      <c r="GO123" s="6100"/>
      <c r="GP123" s="6100"/>
      <c r="GQ123" s="6100"/>
      <c r="GR123" s="6100"/>
      <c r="GS123" s="6056"/>
      <c r="GT123" s="6057"/>
      <c r="GU123" s="6057"/>
      <c r="GV123" s="6057"/>
      <c r="GW123" s="6057"/>
      <c r="GX123" s="6057"/>
      <c r="GY123" s="6056"/>
      <c r="GZ123" s="6057"/>
      <c r="HA123" s="6057"/>
      <c r="HB123" s="6057"/>
      <c r="HC123" s="6056"/>
      <c r="HD123" s="6057"/>
      <c r="HE123" s="6057"/>
      <c r="HF123" s="6057"/>
      <c r="HG123" s="6057"/>
      <c r="HH123" s="6057"/>
      <c r="HI123" s="6056"/>
      <c r="HJ123" s="6056"/>
      <c r="HK123" s="6056"/>
      <c r="HL123" s="6056"/>
      <c r="HM123" s="6056"/>
      <c r="HN123" s="6056"/>
      <c r="HO123" s="6056"/>
      <c r="HP123" s="6058"/>
      <c r="HT123" s="6055"/>
      <c r="HU123" s="6056"/>
      <c r="HV123" s="6056"/>
      <c r="HW123" s="6056"/>
      <c r="HX123" s="6056"/>
      <c r="HY123" s="6056"/>
      <c r="HZ123" s="6056"/>
      <c r="IA123" s="6056"/>
      <c r="IB123" s="6056"/>
      <c r="IC123" s="6056"/>
      <c r="ID123" s="6100"/>
      <c r="IE123" s="6100"/>
      <c r="IF123" s="6100"/>
      <c r="IG123" s="6100"/>
      <c r="IH123" s="6100"/>
      <c r="II123" s="6100"/>
      <c r="IJ123" s="6100"/>
      <c r="IK123" s="6100"/>
      <c r="IL123" s="6056"/>
      <c r="IM123" s="6057"/>
      <c r="IN123" s="6057"/>
      <c r="IO123" s="6057"/>
      <c r="IP123" s="6057"/>
      <c r="IQ123" s="6057"/>
      <c r="IR123" s="6056"/>
      <c r="IS123" s="6057"/>
      <c r="IT123" s="6057"/>
      <c r="IU123" s="6057"/>
      <c r="IV123" s="6056"/>
      <c r="IW123" s="6057"/>
      <c r="IX123" s="6057"/>
      <c r="IY123" s="6057"/>
      <c r="IZ123" s="6057"/>
      <c r="JA123" s="6057"/>
      <c r="JB123" s="6056"/>
      <c r="JC123" s="6056"/>
      <c r="JD123" s="6056"/>
      <c r="JE123" s="6056"/>
      <c r="JF123" s="6056"/>
      <c r="JG123" s="6056"/>
      <c r="JH123" s="6056"/>
      <c r="JI123" s="6058"/>
      <c r="JM123" s="6055"/>
      <c r="JN123" s="6056"/>
      <c r="JO123" s="6056"/>
      <c r="JP123" s="6056"/>
      <c r="JQ123" s="6056"/>
      <c r="JR123" s="6056"/>
      <c r="JS123" s="6056"/>
      <c r="JT123" s="6056"/>
      <c r="JU123" s="6056"/>
      <c r="JV123" s="6056"/>
      <c r="JW123" s="6100"/>
      <c r="JX123" s="6100"/>
      <c r="JY123" s="6100"/>
      <c r="JZ123" s="6100"/>
      <c r="KA123" s="6100"/>
      <c r="KB123" s="6100"/>
      <c r="KC123" s="6100"/>
      <c r="KD123" s="6100"/>
      <c r="KE123" s="6056"/>
      <c r="KF123" s="6057"/>
      <c r="KG123" s="6057"/>
      <c r="KH123" s="6057"/>
      <c r="KI123" s="6057"/>
      <c r="KJ123" s="6057"/>
      <c r="KK123" s="6056"/>
      <c r="KL123" s="6057"/>
      <c r="KM123" s="6057"/>
      <c r="KN123" s="6057"/>
      <c r="KO123" s="6056"/>
      <c r="KP123" s="6057"/>
      <c r="KQ123" s="6057"/>
      <c r="KR123" s="6057"/>
      <c r="KS123" s="6057"/>
      <c r="KT123" s="6057"/>
      <c r="KU123" s="6056"/>
      <c r="KV123" s="6056"/>
      <c r="KW123" s="6056"/>
      <c r="KX123" s="6056"/>
      <c r="KY123" s="6056"/>
      <c r="KZ123" s="6056"/>
      <c r="LA123" s="6056"/>
      <c r="LB123" s="6058"/>
      <c r="LF123" s="6055"/>
      <c r="LG123" s="6056"/>
      <c r="LH123" s="6056"/>
      <c r="LI123" s="6056"/>
      <c r="LJ123" s="6056"/>
      <c r="LK123" s="6056"/>
      <c r="LL123" s="6056"/>
      <c r="LM123" s="6056"/>
      <c r="LN123" s="6056"/>
      <c r="LO123" s="6056"/>
      <c r="LP123" s="6100"/>
      <c r="LQ123" s="6100"/>
      <c r="LR123" s="6100"/>
      <c r="LS123" s="6100"/>
      <c r="LT123" s="6100"/>
      <c r="LU123" s="6100"/>
      <c r="LV123" s="6100"/>
      <c r="LW123" s="6100"/>
      <c r="LX123" s="6056"/>
      <c r="LY123" s="6057"/>
      <c r="LZ123" s="6057"/>
      <c r="MA123" s="6057"/>
      <c r="MB123" s="6057"/>
      <c r="MC123" s="6057"/>
      <c r="MD123" s="6056"/>
      <c r="ME123" s="6057"/>
      <c r="MF123" s="6057"/>
      <c r="MG123" s="6057"/>
      <c r="MH123" s="6056"/>
      <c r="MI123" s="6057"/>
      <c r="MJ123" s="6057"/>
      <c r="MK123" s="6057"/>
      <c r="ML123" s="6057"/>
      <c r="MM123" s="6057"/>
      <c r="MN123" s="6056"/>
      <c r="MO123" s="6056"/>
      <c r="MP123" s="6056"/>
      <c r="MQ123" s="6056"/>
      <c r="MR123" s="6056"/>
      <c r="MS123" s="6056"/>
      <c r="MT123" s="6056"/>
      <c r="MU123" s="6058"/>
      <c r="MY123" s="6055"/>
      <c r="MZ123" s="6056"/>
      <c r="NA123" s="6056"/>
      <c r="NB123" s="6056"/>
      <c r="NC123" s="6056"/>
      <c r="ND123" s="6056"/>
      <c r="NE123" s="6056"/>
      <c r="NF123" s="6056"/>
      <c r="NG123" s="6056"/>
      <c r="NH123" s="6056"/>
      <c r="NI123" s="6100"/>
      <c r="NJ123" s="6100"/>
      <c r="NK123" s="6100"/>
      <c r="NL123" s="6100"/>
      <c r="NM123" s="6100"/>
      <c r="NN123" s="6100"/>
      <c r="NO123" s="6100"/>
      <c r="NP123" s="6100"/>
      <c r="NQ123" s="6056"/>
      <c r="NR123" s="6057"/>
      <c r="NS123" s="6057"/>
      <c r="NT123" s="6057"/>
      <c r="NU123" s="6057"/>
      <c r="NV123" s="6057"/>
      <c r="NW123" s="6056"/>
      <c r="NX123" s="6057"/>
      <c r="NY123" s="6057"/>
      <c r="NZ123" s="6057"/>
      <c r="OA123" s="6056"/>
      <c r="OB123" s="6057"/>
      <c r="OC123" s="6057"/>
      <c r="OD123" s="6057"/>
      <c r="OE123" s="6057"/>
      <c r="OF123" s="6057"/>
      <c r="OG123" s="6056"/>
      <c r="OH123" s="6056"/>
      <c r="OI123" s="6056"/>
      <c r="OJ123" s="6056"/>
      <c r="OK123" s="6056"/>
      <c r="OL123" s="6056"/>
      <c r="OM123" s="6056"/>
      <c r="ON123" s="6058"/>
    </row>
    <row r="124" spans="3:404" s="6070" customFormat="1" ht="20.100000000000001" customHeight="1" thickBot="1" x14ac:dyDescent="0.25">
      <c r="C124" s="6064"/>
      <c r="D124" s="6076"/>
      <c r="E124" s="6781" t="str">
        <f>_Calcs!$IK$146</f>
        <v/>
      </c>
      <c r="F124" s="6781"/>
      <c r="G124" s="6781"/>
      <c r="H124" s="6781"/>
      <c r="I124" s="6781"/>
      <c r="J124" s="6781"/>
      <c r="K124" s="6080"/>
      <c r="L124" s="6101"/>
      <c r="M124" s="6101"/>
      <c r="N124" s="6101"/>
      <c r="O124" s="6101"/>
      <c r="P124" s="6101"/>
      <c r="Q124" s="6101"/>
      <c r="R124" s="6101"/>
      <c r="S124" s="6101"/>
      <c r="T124" s="6101"/>
      <c r="U124" s="6068"/>
      <c r="V124" s="6067"/>
      <c r="W124" s="6067"/>
      <c r="X124" s="6067"/>
      <c r="Y124" s="6067"/>
      <c r="Z124" s="6067"/>
      <c r="AA124" s="6068"/>
      <c r="AB124" s="6067"/>
      <c r="AC124" s="6067"/>
      <c r="AD124" s="6067"/>
      <c r="AE124" s="6068"/>
      <c r="AF124" s="6067"/>
      <c r="AG124" s="6067"/>
      <c r="AH124" s="6067"/>
      <c r="AI124" s="6067"/>
      <c r="AJ124" s="6067"/>
      <c r="AK124" s="6068"/>
      <c r="AL124" s="6068"/>
      <c r="AM124" s="6068"/>
      <c r="AN124" s="6068"/>
      <c r="AO124" s="6068"/>
      <c r="AP124" s="6068"/>
      <c r="AQ124" s="6068"/>
      <c r="AR124" s="6098"/>
      <c r="AV124" s="6064"/>
      <c r="AW124" s="6076"/>
      <c r="AX124" s="6781" t="str">
        <f>_Calcs!$IL$146</f>
        <v/>
      </c>
      <c r="AY124" s="6781"/>
      <c r="AZ124" s="6781"/>
      <c r="BA124" s="6781"/>
      <c r="BB124" s="6781"/>
      <c r="BC124" s="6781"/>
      <c r="BD124" s="6080"/>
      <c r="BE124" s="6101"/>
      <c r="BF124" s="6101"/>
      <c r="BG124" s="6101"/>
      <c r="BH124" s="6101"/>
      <c r="BI124" s="6101"/>
      <c r="BJ124" s="6101"/>
      <c r="BK124" s="6101"/>
      <c r="BL124" s="6101"/>
      <c r="BM124" s="6101"/>
      <c r="BN124" s="6068"/>
      <c r="BO124" s="6067"/>
      <c r="BP124" s="6067"/>
      <c r="BQ124" s="6067"/>
      <c r="BR124" s="6067"/>
      <c r="BS124" s="6067"/>
      <c r="BT124" s="6068"/>
      <c r="BU124" s="6067"/>
      <c r="BV124" s="6067"/>
      <c r="BW124" s="6067"/>
      <c r="BX124" s="6068"/>
      <c r="BY124" s="6067"/>
      <c r="BZ124" s="6067"/>
      <c r="CA124" s="6067"/>
      <c r="CB124" s="6067"/>
      <c r="CC124" s="6067"/>
      <c r="CD124" s="6068"/>
      <c r="CE124" s="6068"/>
      <c r="CF124" s="6068"/>
      <c r="CG124" s="6068"/>
      <c r="CH124" s="6068"/>
      <c r="CI124" s="6068"/>
      <c r="CJ124" s="6068"/>
      <c r="CK124" s="6098"/>
      <c r="CO124" s="6064"/>
      <c r="CP124" s="6076"/>
      <c r="CQ124" s="6781" t="str">
        <f>_Calcs!$IM$146</f>
        <v/>
      </c>
      <c r="CR124" s="6781"/>
      <c r="CS124" s="6781"/>
      <c r="CT124" s="6781"/>
      <c r="CU124" s="6781"/>
      <c r="CV124" s="6781"/>
      <c r="CW124" s="6080"/>
      <c r="CX124" s="6101"/>
      <c r="CY124" s="6101"/>
      <c r="CZ124" s="6101"/>
      <c r="DA124" s="6101"/>
      <c r="DB124" s="6101"/>
      <c r="DC124" s="6101"/>
      <c r="DD124" s="6101"/>
      <c r="DE124" s="6101"/>
      <c r="DF124" s="6101"/>
      <c r="DG124" s="6068"/>
      <c r="DH124" s="6067"/>
      <c r="DI124" s="6067"/>
      <c r="DJ124" s="6067"/>
      <c r="DK124" s="6067"/>
      <c r="DL124" s="6067"/>
      <c r="DM124" s="6068"/>
      <c r="DN124" s="6067"/>
      <c r="DO124" s="6067"/>
      <c r="DP124" s="6067"/>
      <c r="DQ124" s="6068"/>
      <c r="DR124" s="6067"/>
      <c r="DS124" s="6067"/>
      <c r="DT124" s="6067"/>
      <c r="DU124" s="6067"/>
      <c r="DV124" s="6067"/>
      <c r="DW124" s="6068"/>
      <c r="DX124" s="6068"/>
      <c r="DY124" s="6068"/>
      <c r="DZ124" s="6068"/>
      <c r="EA124" s="6068"/>
      <c r="EB124" s="6068"/>
      <c r="EC124" s="6068"/>
      <c r="ED124" s="6098"/>
      <c r="EH124" s="6064"/>
      <c r="EI124" s="6076"/>
      <c r="EJ124" s="6781" t="str">
        <f>_Calcs!$IN$146</f>
        <v/>
      </c>
      <c r="EK124" s="6781"/>
      <c r="EL124" s="6781"/>
      <c r="EM124" s="6781"/>
      <c r="EN124" s="6781"/>
      <c r="EO124" s="6781"/>
      <c r="EP124" s="6080"/>
      <c r="EQ124" s="6101"/>
      <c r="ER124" s="6101"/>
      <c r="ES124" s="6101"/>
      <c r="ET124" s="6101"/>
      <c r="EU124" s="6101"/>
      <c r="EV124" s="6101"/>
      <c r="EW124" s="6101"/>
      <c r="EX124" s="6101"/>
      <c r="EY124" s="6101"/>
      <c r="EZ124" s="6068"/>
      <c r="FA124" s="6067"/>
      <c r="FB124" s="6067"/>
      <c r="FC124" s="6067"/>
      <c r="FD124" s="6067"/>
      <c r="FE124" s="6067"/>
      <c r="FF124" s="6068"/>
      <c r="FG124" s="6067"/>
      <c r="FH124" s="6067"/>
      <c r="FI124" s="6067"/>
      <c r="FJ124" s="6068"/>
      <c r="FK124" s="6067"/>
      <c r="FL124" s="6067"/>
      <c r="FM124" s="6067"/>
      <c r="FN124" s="6067"/>
      <c r="FO124" s="6067"/>
      <c r="FP124" s="6068"/>
      <c r="FQ124" s="6068"/>
      <c r="FR124" s="6068"/>
      <c r="FS124" s="6068"/>
      <c r="FT124" s="6068"/>
      <c r="FU124" s="6068"/>
      <c r="FV124" s="6068"/>
      <c r="FW124" s="6098"/>
      <c r="GA124" s="6064"/>
      <c r="GB124" s="6076"/>
      <c r="GC124" s="6781" t="str">
        <f>_Calcs!$IO$146</f>
        <v/>
      </c>
      <c r="GD124" s="6781"/>
      <c r="GE124" s="6781"/>
      <c r="GF124" s="6781"/>
      <c r="GG124" s="6781"/>
      <c r="GH124" s="6781"/>
      <c r="GI124" s="6080"/>
      <c r="GJ124" s="6101"/>
      <c r="GK124" s="6101"/>
      <c r="GL124" s="6101"/>
      <c r="GM124" s="6101"/>
      <c r="GN124" s="6101"/>
      <c r="GO124" s="6101"/>
      <c r="GP124" s="6101"/>
      <c r="GQ124" s="6101"/>
      <c r="GR124" s="6101"/>
      <c r="GS124" s="6068"/>
      <c r="GT124" s="6067"/>
      <c r="GU124" s="6067"/>
      <c r="GV124" s="6067"/>
      <c r="GW124" s="6067"/>
      <c r="GX124" s="6067"/>
      <c r="GY124" s="6068"/>
      <c r="GZ124" s="6067"/>
      <c r="HA124" s="6067"/>
      <c r="HB124" s="6067"/>
      <c r="HC124" s="6068"/>
      <c r="HD124" s="6067"/>
      <c r="HE124" s="6067"/>
      <c r="HF124" s="6067"/>
      <c r="HG124" s="6067"/>
      <c r="HH124" s="6067"/>
      <c r="HI124" s="6068"/>
      <c r="HJ124" s="6068"/>
      <c r="HK124" s="6068"/>
      <c r="HL124" s="6068"/>
      <c r="HM124" s="6068"/>
      <c r="HN124" s="6068"/>
      <c r="HO124" s="6068"/>
      <c r="HP124" s="6098"/>
      <c r="HT124" s="6064"/>
      <c r="HU124" s="6076"/>
      <c r="HV124" s="6781" t="str">
        <f>_Calcs!$IP$146</f>
        <v/>
      </c>
      <c r="HW124" s="6781"/>
      <c r="HX124" s="6781"/>
      <c r="HY124" s="6781"/>
      <c r="HZ124" s="6781"/>
      <c r="IA124" s="6781"/>
      <c r="IB124" s="6080"/>
      <c r="IC124" s="6101"/>
      <c r="ID124" s="6101"/>
      <c r="IE124" s="6101"/>
      <c r="IF124" s="6101"/>
      <c r="IG124" s="6101"/>
      <c r="IH124" s="6101"/>
      <c r="II124" s="6101"/>
      <c r="IJ124" s="6101"/>
      <c r="IK124" s="6101"/>
      <c r="IL124" s="6068"/>
      <c r="IM124" s="6067"/>
      <c r="IN124" s="6067"/>
      <c r="IO124" s="6067"/>
      <c r="IP124" s="6067"/>
      <c r="IQ124" s="6067"/>
      <c r="IR124" s="6068"/>
      <c r="IS124" s="6067"/>
      <c r="IT124" s="6067"/>
      <c r="IU124" s="6067"/>
      <c r="IV124" s="6068"/>
      <c r="IW124" s="6067"/>
      <c r="IX124" s="6067"/>
      <c r="IY124" s="6067"/>
      <c r="IZ124" s="6067"/>
      <c r="JA124" s="6067"/>
      <c r="JB124" s="6068"/>
      <c r="JC124" s="6068"/>
      <c r="JD124" s="6068"/>
      <c r="JE124" s="6068"/>
      <c r="JF124" s="6068"/>
      <c r="JG124" s="6068"/>
      <c r="JH124" s="6068"/>
      <c r="JI124" s="6098"/>
      <c r="JM124" s="6064"/>
      <c r="JN124" s="6076"/>
      <c r="JO124" s="6781" t="str">
        <f>_Calcs!$IQ$146</f>
        <v/>
      </c>
      <c r="JP124" s="6781"/>
      <c r="JQ124" s="6781"/>
      <c r="JR124" s="6781"/>
      <c r="JS124" s="6781"/>
      <c r="JT124" s="6781"/>
      <c r="JU124" s="6080"/>
      <c r="JV124" s="6101"/>
      <c r="JW124" s="6101"/>
      <c r="JX124" s="6101"/>
      <c r="JY124" s="6101"/>
      <c r="JZ124" s="6101"/>
      <c r="KA124" s="6101"/>
      <c r="KB124" s="6101"/>
      <c r="KC124" s="6101"/>
      <c r="KD124" s="6101"/>
      <c r="KE124" s="6068"/>
      <c r="KF124" s="6067"/>
      <c r="KG124" s="6067"/>
      <c r="KH124" s="6067"/>
      <c r="KI124" s="6067"/>
      <c r="KJ124" s="6067"/>
      <c r="KK124" s="6068"/>
      <c r="KL124" s="6067"/>
      <c r="KM124" s="6067"/>
      <c r="KN124" s="6067"/>
      <c r="KO124" s="6068"/>
      <c r="KP124" s="6067"/>
      <c r="KQ124" s="6067"/>
      <c r="KR124" s="6067"/>
      <c r="KS124" s="6067"/>
      <c r="KT124" s="6067"/>
      <c r="KU124" s="6068"/>
      <c r="KV124" s="6068"/>
      <c r="KW124" s="6068"/>
      <c r="KX124" s="6068"/>
      <c r="KY124" s="6068"/>
      <c r="KZ124" s="6068"/>
      <c r="LA124" s="6068"/>
      <c r="LB124" s="6098"/>
      <c r="LF124" s="6064"/>
      <c r="LG124" s="6076"/>
      <c r="LH124" s="6781" t="str">
        <f>_Calcs!$IR$146</f>
        <v/>
      </c>
      <c r="LI124" s="6781"/>
      <c r="LJ124" s="6781"/>
      <c r="LK124" s="6781"/>
      <c r="LL124" s="6781"/>
      <c r="LM124" s="6781"/>
      <c r="LN124" s="6080"/>
      <c r="LO124" s="6101"/>
      <c r="LP124" s="6101"/>
      <c r="LQ124" s="6101"/>
      <c r="LR124" s="6101"/>
      <c r="LS124" s="6101"/>
      <c r="LT124" s="6101"/>
      <c r="LU124" s="6101"/>
      <c r="LV124" s="6101"/>
      <c r="LW124" s="6101"/>
      <c r="LX124" s="6068"/>
      <c r="LY124" s="6067"/>
      <c r="LZ124" s="6067"/>
      <c r="MA124" s="6067"/>
      <c r="MB124" s="6067"/>
      <c r="MC124" s="6067"/>
      <c r="MD124" s="6068"/>
      <c r="ME124" s="6067"/>
      <c r="MF124" s="6067"/>
      <c r="MG124" s="6067"/>
      <c r="MH124" s="6068"/>
      <c r="MI124" s="6067"/>
      <c r="MJ124" s="6067"/>
      <c r="MK124" s="6067"/>
      <c r="ML124" s="6067"/>
      <c r="MM124" s="6067"/>
      <c r="MN124" s="6068"/>
      <c r="MO124" s="6068"/>
      <c r="MP124" s="6068"/>
      <c r="MQ124" s="6068"/>
      <c r="MR124" s="6068"/>
      <c r="MS124" s="6068"/>
      <c r="MT124" s="6068"/>
      <c r="MU124" s="6098"/>
      <c r="MY124" s="6064"/>
      <c r="MZ124" s="6076"/>
      <c r="NA124" s="6781" t="str">
        <f>_Calcs!$IS$146</f>
        <v/>
      </c>
      <c r="NB124" s="6781"/>
      <c r="NC124" s="6781"/>
      <c r="ND124" s="6781"/>
      <c r="NE124" s="6781"/>
      <c r="NF124" s="6781"/>
      <c r="NG124" s="6080"/>
      <c r="NH124" s="6101"/>
      <c r="NI124" s="6101"/>
      <c r="NJ124" s="6101"/>
      <c r="NK124" s="6101"/>
      <c r="NL124" s="6101"/>
      <c r="NM124" s="6101"/>
      <c r="NN124" s="6101"/>
      <c r="NO124" s="6101"/>
      <c r="NP124" s="6101"/>
      <c r="NQ124" s="6068"/>
      <c r="NR124" s="6067"/>
      <c r="NS124" s="6067"/>
      <c r="NT124" s="6067"/>
      <c r="NU124" s="6067"/>
      <c r="NV124" s="6067"/>
      <c r="NW124" s="6068"/>
      <c r="NX124" s="6067"/>
      <c r="NY124" s="6067"/>
      <c r="NZ124" s="6067"/>
      <c r="OA124" s="6068"/>
      <c r="OB124" s="6067"/>
      <c r="OC124" s="6067"/>
      <c r="OD124" s="6067"/>
      <c r="OE124" s="6067"/>
      <c r="OF124" s="6067"/>
      <c r="OG124" s="6068"/>
      <c r="OH124" s="6068"/>
      <c r="OI124" s="6068"/>
      <c r="OJ124" s="6068"/>
      <c r="OK124" s="6068"/>
      <c r="OL124" s="6068"/>
      <c r="OM124" s="6068"/>
      <c r="ON124" s="6098"/>
    </row>
    <row r="125" spans="3:404" ht="8.1" customHeight="1" x14ac:dyDescent="0.2">
      <c r="C125" s="6055"/>
      <c r="D125" s="6056"/>
      <c r="E125" s="6056"/>
      <c r="F125" s="6056"/>
      <c r="G125" s="6056"/>
      <c r="H125" s="6056"/>
      <c r="I125" s="6056"/>
      <c r="J125" s="6056"/>
      <c r="K125" s="6056"/>
      <c r="L125" s="6056"/>
      <c r="M125" s="6056"/>
      <c r="N125" s="6056"/>
      <c r="O125" s="6056"/>
      <c r="P125" s="6056"/>
      <c r="Q125" s="6056"/>
      <c r="R125" s="6056"/>
      <c r="S125" s="6056"/>
      <c r="T125" s="6056"/>
      <c r="U125" s="6056"/>
      <c r="V125" s="6057"/>
      <c r="W125" s="6057"/>
      <c r="X125" s="6057"/>
      <c r="Y125" s="6057"/>
      <c r="Z125" s="6057"/>
      <c r="AA125" s="6056"/>
      <c r="AB125" s="6057"/>
      <c r="AC125" s="6057"/>
      <c r="AD125" s="6057"/>
      <c r="AE125" s="6056"/>
      <c r="AF125" s="6057"/>
      <c r="AG125" s="6057"/>
      <c r="AH125" s="6057"/>
      <c r="AI125" s="6057"/>
      <c r="AJ125" s="6057"/>
      <c r="AK125" s="6056"/>
      <c r="AL125" s="6056"/>
      <c r="AM125" s="6056"/>
      <c r="AN125" s="6056"/>
      <c r="AO125" s="6056"/>
      <c r="AP125" s="6056"/>
      <c r="AQ125" s="6056"/>
      <c r="AR125" s="6058"/>
      <c r="AV125" s="6055"/>
      <c r="AW125" s="6056"/>
      <c r="AX125" s="6056"/>
      <c r="AY125" s="6056"/>
      <c r="AZ125" s="6056"/>
      <c r="BA125" s="6056"/>
      <c r="BB125" s="6056"/>
      <c r="BC125" s="6056"/>
      <c r="BD125" s="6056"/>
      <c r="BE125" s="6056"/>
      <c r="BF125" s="6056"/>
      <c r="BG125" s="6056"/>
      <c r="BH125" s="6056"/>
      <c r="BI125" s="6056"/>
      <c r="BJ125" s="6056"/>
      <c r="BK125" s="6056"/>
      <c r="BL125" s="6056"/>
      <c r="BM125" s="6056"/>
      <c r="BN125" s="6056"/>
      <c r="BO125" s="6057"/>
      <c r="BP125" s="6057"/>
      <c r="BQ125" s="6057"/>
      <c r="BR125" s="6057"/>
      <c r="BS125" s="6057"/>
      <c r="BT125" s="6056"/>
      <c r="BU125" s="6057"/>
      <c r="BV125" s="6057"/>
      <c r="BW125" s="6057"/>
      <c r="BX125" s="6056"/>
      <c r="BY125" s="6057"/>
      <c r="BZ125" s="6057"/>
      <c r="CA125" s="6057"/>
      <c r="CB125" s="6057"/>
      <c r="CC125" s="6057"/>
      <c r="CD125" s="6056"/>
      <c r="CE125" s="6056"/>
      <c r="CF125" s="6056"/>
      <c r="CG125" s="6056"/>
      <c r="CH125" s="6056"/>
      <c r="CI125" s="6056"/>
      <c r="CJ125" s="6056"/>
      <c r="CK125" s="6058"/>
      <c r="CO125" s="6055"/>
      <c r="CP125" s="6056"/>
      <c r="CQ125" s="6056"/>
      <c r="CR125" s="6056"/>
      <c r="CS125" s="6056"/>
      <c r="CT125" s="6056"/>
      <c r="CU125" s="6056"/>
      <c r="CV125" s="6056"/>
      <c r="CW125" s="6056"/>
      <c r="CX125" s="6056"/>
      <c r="CY125" s="6056"/>
      <c r="CZ125" s="6056"/>
      <c r="DA125" s="6056"/>
      <c r="DB125" s="6056"/>
      <c r="DC125" s="6056"/>
      <c r="DD125" s="6056"/>
      <c r="DE125" s="6056"/>
      <c r="DF125" s="6056"/>
      <c r="DG125" s="6056"/>
      <c r="DH125" s="6057"/>
      <c r="DI125" s="6057"/>
      <c r="DJ125" s="6057"/>
      <c r="DK125" s="6057"/>
      <c r="DL125" s="6057"/>
      <c r="DM125" s="6056"/>
      <c r="DN125" s="6057"/>
      <c r="DO125" s="6057"/>
      <c r="DP125" s="6057"/>
      <c r="DQ125" s="6056"/>
      <c r="DR125" s="6057"/>
      <c r="DS125" s="6057"/>
      <c r="DT125" s="6057"/>
      <c r="DU125" s="6057"/>
      <c r="DV125" s="6057"/>
      <c r="DW125" s="6056"/>
      <c r="DX125" s="6056"/>
      <c r="DY125" s="6056"/>
      <c r="DZ125" s="6056"/>
      <c r="EA125" s="6056"/>
      <c r="EB125" s="6056"/>
      <c r="EC125" s="6056"/>
      <c r="ED125" s="6058"/>
      <c r="EH125" s="6055"/>
      <c r="EI125" s="6056"/>
      <c r="EJ125" s="6056"/>
      <c r="EK125" s="6056"/>
      <c r="EL125" s="6056"/>
      <c r="EM125" s="6056"/>
      <c r="EN125" s="6056"/>
      <c r="EO125" s="6056"/>
      <c r="EP125" s="6056"/>
      <c r="EQ125" s="6056"/>
      <c r="ER125" s="6056"/>
      <c r="ES125" s="6056"/>
      <c r="ET125" s="6056"/>
      <c r="EU125" s="6056"/>
      <c r="EV125" s="6056"/>
      <c r="EW125" s="6056"/>
      <c r="EX125" s="6056"/>
      <c r="EY125" s="6056"/>
      <c r="EZ125" s="6056"/>
      <c r="FA125" s="6057"/>
      <c r="FB125" s="6057"/>
      <c r="FC125" s="6057"/>
      <c r="FD125" s="6057"/>
      <c r="FE125" s="6057"/>
      <c r="FF125" s="6056"/>
      <c r="FG125" s="6057"/>
      <c r="FH125" s="6057"/>
      <c r="FI125" s="6057"/>
      <c r="FJ125" s="6056"/>
      <c r="FK125" s="6057"/>
      <c r="FL125" s="6057"/>
      <c r="FM125" s="6057"/>
      <c r="FN125" s="6057"/>
      <c r="FO125" s="6057"/>
      <c r="FP125" s="6056"/>
      <c r="FQ125" s="6056"/>
      <c r="FR125" s="6056"/>
      <c r="FS125" s="6056"/>
      <c r="FT125" s="6056"/>
      <c r="FU125" s="6056"/>
      <c r="FV125" s="6056"/>
      <c r="FW125" s="6058"/>
      <c r="GA125" s="6055"/>
      <c r="GB125" s="6056"/>
      <c r="GC125" s="6056"/>
      <c r="GD125" s="6056"/>
      <c r="GE125" s="6056"/>
      <c r="GF125" s="6056"/>
      <c r="GG125" s="6056"/>
      <c r="GH125" s="6056"/>
      <c r="GI125" s="6056"/>
      <c r="GJ125" s="6056"/>
      <c r="GK125" s="6056"/>
      <c r="GL125" s="6056"/>
      <c r="GM125" s="6056"/>
      <c r="GN125" s="6056"/>
      <c r="GO125" s="6056"/>
      <c r="GP125" s="6056"/>
      <c r="GQ125" s="6056"/>
      <c r="GR125" s="6056"/>
      <c r="GS125" s="6056"/>
      <c r="GT125" s="6057"/>
      <c r="GU125" s="6057"/>
      <c r="GV125" s="6057"/>
      <c r="GW125" s="6057"/>
      <c r="GX125" s="6057"/>
      <c r="GY125" s="6056"/>
      <c r="GZ125" s="6057"/>
      <c r="HA125" s="6057"/>
      <c r="HB125" s="6057"/>
      <c r="HC125" s="6056"/>
      <c r="HD125" s="6057"/>
      <c r="HE125" s="6057"/>
      <c r="HF125" s="6057"/>
      <c r="HG125" s="6057"/>
      <c r="HH125" s="6057"/>
      <c r="HI125" s="6056"/>
      <c r="HJ125" s="6056"/>
      <c r="HK125" s="6056"/>
      <c r="HL125" s="6056"/>
      <c r="HM125" s="6056"/>
      <c r="HN125" s="6056"/>
      <c r="HO125" s="6056"/>
      <c r="HP125" s="6058"/>
      <c r="HT125" s="6055"/>
      <c r="HU125" s="6056"/>
      <c r="HV125" s="6056"/>
      <c r="HW125" s="6056"/>
      <c r="HX125" s="6056"/>
      <c r="HY125" s="6056"/>
      <c r="HZ125" s="6056"/>
      <c r="IA125" s="6056"/>
      <c r="IB125" s="6056"/>
      <c r="IC125" s="6056"/>
      <c r="ID125" s="6056"/>
      <c r="IE125" s="6056"/>
      <c r="IF125" s="6056"/>
      <c r="IG125" s="6056"/>
      <c r="IH125" s="6056"/>
      <c r="II125" s="6056"/>
      <c r="IJ125" s="6056"/>
      <c r="IK125" s="6056"/>
      <c r="IL125" s="6056"/>
      <c r="IM125" s="6057"/>
      <c r="IN125" s="6057"/>
      <c r="IO125" s="6057"/>
      <c r="IP125" s="6057"/>
      <c r="IQ125" s="6057"/>
      <c r="IR125" s="6056"/>
      <c r="IS125" s="6057"/>
      <c r="IT125" s="6057"/>
      <c r="IU125" s="6057"/>
      <c r="IV125" s="6056"/>
      <c r="IW125" s="6057"/>
      <c r="IX125" s="6057"/>
      <c r="IY125" s="6057"/>
      <c r="IZ125" s="6057"/>
      <c r="JA125" s="6057"/>
      <c r="JB125" s="6056"/>
      <c r="JC125" s="6056"/>
      <c r="JD125" s="6056"/>
      <c r="JE125" s="6056"/>
      <c r="JF125" s="6056"/>
      <c r="JG125" s="6056"/>
      <c r="JH125" s="6056"/>
      <c r="JI125" s="6058"/>
      <c r="JM125" s="6055"/>
      <c r="JN125" s="6056"/>
      <c r="JO125" s="6056"/>
      <c r="JP125" s="6056"/>
      <c r="JQ125" s="6056"/>
      <c r="JR125" s="6056"/>
      <c r="JS125" s="6056"/>
      <c r="JT125" s="6056"/>
      <c r="JU125" s="6056"/>
      <c r="JV125" s="6056"/>
      <c r="JW125" s="6056"/>
      <c r="JX125" s="6056"/>
      <c r="JY125" s="6056"/>
      <c r="JZ125" s="6056"/>
      <c r="KA125" s="6056"/>
      <c r="KB125" s="6056"/>
      <c r="KC125" s="6056"/>
      <c r="KD125" s="6056"/>
      <c r="KE125" s="6056"/>
      <c r="KF125" s="6057"/>
      <c r="KG125" s="6057"/>
      <c r="KH125" s="6057"/>
      <c r="KI125" s="6057"/>
      <c r="KJ125" s="6057"/>
      <c r="KK125" s="6056"/>
      <c r="KL125" s="6057"/>
      <c r="KM125" s="6057"/>
      <c r="KN125" s="6057"/>
      <c r="KO125" s="6056"/>
      <c r="KP125" s="6057"/>
      <c r="KQ125" s="6057"/>
      <c r="KR125" s="6057"/>
      <c r="KS125" s="6057"/>
      <c r="KT125" s="6057"/>
      <c r="KU125" s="6056"/>
      <c r="KV125" s="6056"/>
      <c r="KW125" s="6056"/>
      <c r="KX125" s="6056"/>
      <c r="KY125" s="6056"/>
      <c r="KZ125" s="6056"/>
      <c r="LA125" s="6056"/>
      <c r="LB125" s="6058"/>
      <c r="LF125" s="6055"/>
      <c r="LG125" s="6056"/>
      <c r="LH125" s="6056"/>
      <c r="LI125" s="6056"/>
      <c r="LJ125" s="6056"/>
      <c r="LK125" s="6056"/>
      <c r="LL125" s="6056"/>
      <c r="LM125" s="6056"/>
      <c r="LN125" s="6056"/>
      <c r="LO125" s="6056"/>
      <c r="LP125" s="6056"/>
      <c r="LQ125" s="6056"/>
      <c r="LR125" s="6056"/>
      <c r="LS125" s="6056"/>
      <c r="LT125" s="6056"/>
      <c r="LU125" s="6056"/>
      <c r="LV125" s="6056"/>
      <c r="LW125" s="6056"/>
      <c r="LX125" s="6056"/>
      <c r="LY125" s="6057"/>
      <c r="LZ125" s="6057"/>
      <c r="MA125" s="6057"/>
      <c r="MB125" s="6057"/>
      <c r="MC125" s="6057"/>
      <c r="MD125" s="6056"/>
      <c r="ME125" s="6057"/>
      <c r="MF125" s="6057"/>
      <c r="MG125" s="6057"/>
      <c r="MH125" s="6056"/>
      <c r="MI125" s="6057"/>
      <c r="MJ125" s="6057"/>
      <c r="MK125" s="6057"/>
      <c r="ML125" s="6057"/>
      <c r="MM125" s="6057"/>
      <c r="MN125" s="6056"/>
      <c r="MO125" s="6056"/>
      <c r="MP125" s="6056"/>
      <c r="MQ125" s="6056"/>
      <c r="MR125" s="6056"/>
      <c r="MS125" s="6056"/>
      <c r="MT125" s="6056"/>
      <c r="MU125" s="6058"/>
      <c r="MY125" s="6055"/>
      <c r="MZ125" s="6056"/>
      <c r="NA125" s="6056"/>
      <c r="NB125" s="6056"/>
      <c r="NC125" s="6056"/>
      <c r="ND125" s="6056"/>
      <c r="NE125" s="6056"/>
      <c r="NF125" s="6056"/>
      <c r="NG125" s="6056"/>
      <c r="NH125" s="6056"/>
      <c r="NI125" s="6056"/>
      <c r="NJ125" s="6056"/>
      <c r="NK125" s="6056"/>
      <c r="NL125" s="6056"/>
      <c r="NM125" s="6056"/>
      <c r="NN125" s="6056"/>
      <c r="NO125" s="6056"/>
      <c r="NP125" s="6056"/>
      <c r="NQ125" s="6056"/>
      <c r="NR125" s="6057"/>
      <c r="NS125" s="6057"/>
      <c r="NT125" s="6057"/>
      <c r="NU125" s="6057"/>
      <c r="NV125" s="6057"/>
      <c r="NW125" s="6056"/>
      <c r="NX125" s="6057"/>
      <c r="NY125" s="6057"/>
      <c r="NZ125" s="6057"/>
      <c r="OA125" s="6056"/>
      <c r="OB125" s="6057"/>
      <c r="OC125" s="6057"/>
      <c r="OD125" s="6057"/>
      <c r="OE125" s="6057"/>
      <c r="OF125" s="6057"/>
      <c r="OG125" s="6056"/>
      <c r="OH125" s="6056"/>
      <c r="OI125" s="6056"/>
      <c r="OJ125" s="6056"/>
      <c r="OK125" s="6056"/>
      <c r="OL125" s="6056"/>
      <c r="OM125" s="6056"/>
      <c r="ON125" s="6058"/>
    </row>
    <row r="126" spans="3:404" s="6075" customFormat="1" ht="12" customHeight="1" x14ac:dyDescent="0.2">
      <c r="C126" s="6071"/>
      <c r="D126" s="6060" t="str">
        <f>_Calcs!$N$79</f>
        <v>Begrunnelse</v>
      </c>
      <c r="E126" s="6099"/>
      <c r="F126" s="6060"/>
      <c r="G126" s="6060"/>
      <c r="H126" s="6060"/>
      <c r="I126" s="6060"/>
      <c r="J126" s="6060"/>
      <c r="K126" s="6060"/>
      <c r="L126" s="6060"/>
      <c r="M126" s="6060"/>
      <c r="N126" s="6060"/>
      <c r="O126" s="6060"/>
      <c r="P126" s="6060"/>
      <c r="Q126" s="6060"/>
      <c r="R126" s="6060"/>
      <c r="S126" s="6060"/>
      <c r="T126" s="6072"/>
      <c r="U126" s="6072"/>
      <c r="V126" s="6072"/>
      <c r="W126" s="6072"/>
      <c r="X126" s="6072"/>
      <c r="Y126" s="6072"/>
      <c r="Z126" s="6072"/>
      <c r="AA126" s="6072"/>
      <c r="AB126" s="6072"/>
      <c r="AC126" s="6072"/>
      <c r="AD126" s="6072"/>
      <c r="AE126" s="6072"/>
      <c r="AF126" s="6072"/>
      <c r="AG126" s="6072"/>
      <c r="AH126" s="6072"/>
      <c r="AI126" s="6072"/>
      <c r="AJ126" s="6072"/>
      <c r="AK126" s="6072"/>
      <c r="AL126" s="6072"/>
      <c r="AM126" s="6072"/>
      <c r="AN126" s="6072"/>
      <c r="AO126" s="6072"/>
      <c r="AP126" s="6072"/>
      <c r="AQ126" s="6072"/>
      <c r="AR126" s="6074"/>
      <c r="AV126" s="6071"/>
      <c r="AW126" s="6060" t="str">
        <f>_Calcs!$N$79</f>
        <v>Begrunnelse</v>
      </c>
      <c r="AX126" s="6099"/>
      <c r="AY126" s="6060"/>
      <c r="AZ126" s="6060"/>
      <c r="BA126" s="6060"/>
      <c r="BB126" s="6060"/>
      <c r="BC126" s="6060"/>
      <c r="BD126" s="6060"/>
      <c r="BE126" s="6060"/>
      <c r="BF126" s="6060"/>
      <c r="BG126" s="6060"/>
      <c r="BH126" s="6060"/>
      <c r="BI126" s="6060"/>
      <c r="BJ126" s="6060"/>
      <c r="BK126" s="6060"/>
      <c r="BL126" s="6060"/>
      <c r="BM126" s="6072"/>
      <c r="BN126" s="6072"/>
      <c r="BO126" s="6072"/>
      <c r="BP126" s="6072"/>
      <c r="BQ126" s="6072"/>
      <c r="BR126" s="6072"/>
      <c r="BS126" s="6072"/>
      <c r="BT126" s="6072"/>
      <c r="BU126" s="6072"/>
      <c r="BV126" s="6072"/>
      <c r="BW126" s="6072"/>
      <c r="BX126" s="6072"/>
      <c r="BY126" s="6072"/>
      <c r="BZ126" s="6072"/>
      <c r="CA126" s="6072"/>
      <c r="CB126" s="6072"/>
      <c r="CC126" s="6072"/>
      <c r="CD126" s="6072"/>
      <c r="CE126" s="6072"/>
      <c r="CF126" s="6072"/>
      <c r="CG126" s="6072"/>
      <c r="CH126" s="6072"/>
      <c r="CI126" s="6072"/>
      <c r="CJ126" s="6072"/>
      <c r="CK126" s="6074"/>
      <c r="CO126" s="6071"/>
      <c r="CP126" s="6060" t="str">
        <f>_Calcs!$N$79</f>
        <v>Begrunnelse</v>
      </c>
      <c r="CQ126" s="6099"/>
      <c r="CR126" s="6060"/>
      <c r="CS126" s="6060"/>
      <c r="CT126" s="6060"/>
      <c r="CU126" s="6060"/>
      <c r="CV126" s="6060"/>
      <c r="CW126" s="6060"/>
      <c r="CX126" s="6060"/>
      <c r="CY126" s="6060"/>
      <c r="CZ126" s="6060"/>
      <c r="DA126" s="6060"/>
      <c r="DB126" s="6060"/>
      <c r="DC126" s="6060"/>
      <c r="DD126" s="6060"/>
      <c r="DE126" s="6060"/>
      <c r="DF126" s="6072"/>
      <c r="DG126" s="6072"/>
      <c r="DH126" s="6072"/>
      <c r="DI126" s="6072"/>
      <c r="DJ126" s="6072"/>
      <c r="DK126" s="6072"/>
      <c r="DL126" s="6072"/>
      <c r="DM126" s="6072"/>
      <c r="DN126" s="6072"/>
      <c r="DO126" s="6072"/>
      <c r="DP126" s="6072"/>
      <c r="DQ126" s="6072"/>
      <c r="DR126" s="6072"/>
      <c r="DS126" s="6072"/>
      <c r="DT126" s="6072"/>
      <c r="DU126" s="6072"/>
      <c r="DV126" s="6072"/>
      <c r="DW126" s="6072"/>
      <c r="DX126" s="6072"/>
      <c r="DY126" s="6072"/>
      <c r="DZ126" s="6072"/>
      <c r="EA126" s="6072"/>
      <c r="EB126" s="6072"/>
      <c r="EC126" s="6072"/>
      <c r="ED126" s="6074"/>
      <c r="EH126" s="6071"/>
      <c r="EI126" s="6060" t="str">
        <f>_Calcs!$N$79</f>
        <v>Begrunnelse</v>
      </c>
      <c r="EJ126" s="6099"/>
      <c r="EK126" s="6060"/>
      <c r="EL126" s="6060"/>
      <c r="EM126" s="6060"/>
      <c r="EN126" s="6060"/>
      <c r="EO126" s="6060"/>
      <c r="EP126" s="6060"/>
      <c r="EQ126" s="6060"/>
      <c r="ER126" s="6060"/>
      <c r="ES126" s="6060"/>
      <c r="ET126" s="6060"/>
      <c r="EU126" s="6060"/>
      <c r="EV126" s="6060"/>
      <c r="EW126" s="6060"/>
      <c r="EX126" s="6060"/>
      <c r="EY126" s="6072"/>
      <c r="EZ126" s="6072"/>
      <c r="FA126" s="6072"/>
      <c r="FB126" s="6072"/>
      <c r="FC126" s="6072"/>
      <c r="FD126" s="6072"/>
      <c r="FE126" s="6072"/>
      <c r="FF126" s="6072"/>
      <c r="FG126" s="6072"/>
      <c r="FH126" s="6072"/>
      <c r="FI126" s="6072"/>
      <c r="FJ126" s="6072"/>
      <c r="FK126" s="6072"/>
      <c r="FL126" s="6072"/>
      <c r="FM126" s="6072"/>
      <c r="FN126" s="6072"/>
      <c r="FO126" s="6072"/>
      <c r="FP126" s="6072"/>
      <c r="FQ126" s="6072"/>
      <c r="FR126" s="6072"/>
      <c r="FS126" s="6072"/>
      <c r="FT126" s="6072"/>
      <c r="FU126" s="6072"/>
      <c r="FV126" s="6072"/>
      <c r="FW126" s="6074"/>
      <c r="GA126" s="6071"/>
      <c r="GB126" s="6060" t="str">
        <f>_Calcs!$N$79</f>
        <v>Begrunnelse</v>
      </c>
      <c r="GC126" s="6099"/>
      <c r="GD126" s="6060"/>
      <c r="GE126" s="6060"/>
      <c r="GF126" s="6060"/>
      <c r="GG126" s="6060"/>
      <c r="GH126" s="6060"/>
      <c r="GI126" s="6060"/>
      <c r="GJ126" s="6060"/>
      <c r="GK126" s="6060"/>
      <c r="GL126" s="6060"/>
      <c r="GM126" s="6060"/>
      <c r="GN126" s="6060"/>
      <c r="GO126" s="6060"/>
      <c r="GP126" s="6060"/>
      <c r="GQ126" s="6060"/>
      <c r="GR126" s="6072"/>
      <c r="GS126" s="6072"/>
      <c r="GT126" s="6072"/>
      <c r="GU126" s="6072"/>
      <c r="GV126" s="6072"/>
      <c r="GW126" s="6072"/>
      <c r="GX126" s="6072"/>
      <c r="GY126" s="6072"/>
      <c r="GZ126" s="6072"/>
      <c r="HA126" s="6072"/>
      <c r="HB126" s="6072"/>
      <c r="HC126" s="6072"/>
      <c r="HD126" s="6072"/>
      <c r="HE126" s="6072"/>
      <c r="HF126" s="6072"/>
      <c r="HG126" s="6072"/>
      <c r="HH126" s="6072"/>
      <c r="HI126" s="6072"/>
      <c r="HJ126" s="6072"/>
      <c r="HK126" s="6072"/>
      <c r="HL126" s="6072"/>
      <c r="HM126" s="6072"/>
      <c r="HN126" s="6072"/>
      <c r="HO126" s="6072"/>
      <c r="HP126" s="6074"/>
      <c r="HT126" s="6071"/>
      <c r="HU126" s="6060" t="str">
        <f>_Calcs!$N$79</f>
        <v>Begrunnelse</v>
      </c>
      <c r="HV126" s="6099"/>
      <c r="HW126" s="6060"/>
      <c r="HX126" s="6060"/>
      <c r="HY126" s="6060"/>
      <c r="HZ126" s="6060"/>
      <c r="IA126" s="6060"/>
      <c r="IB126" s="6060"/>
      <c r="IC126" s="6060"/>
      <c r="ID126" s="6060"/>
      <c r="IE126" s="6060"/>
      <c r="IF126" s="6060"/>
      <c r="IG126" s="6060"/>
      <c r="IH126" s="6060"/>
      <c r="II126" s="6060"/>
      <c r="IJ126" s="6060"/>
      <c r="IK126" s="6072"/>
      <c r="IL126" s="6072"/>
      <c r="IM126" s="6072"/>
      <c r="IN126" s="6072"/>
      <c r="IO126" s="6072"/>
      <c r="IP126" s="6072"/>
      <c r="IQ126" s="6072"/>
      <c r="IR126" s="6072"/>
      <c r="IS126" s="6072"/>
      <c r="IT126" s="6072"/>
      <c r="IU126" s="6072"/>
      <c r="IV126" s="6072"/>
      <c r="IW126" s="6072"/>
      <c r="IX126" s="6072"/>
      <c r="IY126" s="6072"/>
      <c r="IZ126" s="6072"/>
      <c r="JA126" s="6072"/>
      <c r="JB126" s="6072"/>
      <c r="JC126" s="6072"/>
      <c r="JD126" s="6072"/>
      <c r="JE126" s="6072"/>
      <c r="JF126" s="6072"/>
      <c r="JG126" s="6072"/>
      <c r="JH126" s="6072"/>
      <c r="JI126" s="6074"/>
      <c r="JM126" s="6071"/>
      <c r="JN126" s="6060" t="str">
        <f>_Calcs!$N$79</f>
        <v>Begrunnelse</v>
      </c>
      <c r="JO126" s="6099"/>
      <c r="JP126" s="6060"/>
      <c r="JQ126" s="6060"/>
      <c r="JR126" s="6060"/>
      <c r="JS126" s="6060"/>
      <c r="JT126" s="6060"/>
      <c r="JU126" s="6060"/>
      <c r="JV126" s="6060"/>
      <c r="JW126" s="6060"/>
      <c r="JX126" s="6060"/>
      <c r="JY126" s="6060"/>
      <c r="JZ126" s="6060"/>
      <c r="KA126" s="6060"/>
      <c r="KB126" s="6060"/>
      <c r="KC126" s="6060"/>
      <c r="KD126" s="6072"/>
      <c r="KE126" s="6072"/>
      <c r="KF126" s="6072"/>
      <c r="KG126" s="6072"/>
      <c r="KH126" s="6072"/>
      <c r="KI126" s="6072"/>
      <c r="KJ126" s="6072"/>
      <c r="KK126" s="6072"/>
      <c r="KL126" s="6072"/>
      <c r="KM126" s="6072"/>
      <c r="KN126" s="6072"/>
      <c r="KO126" s="6072"/>
      <c r="KP126" s="6072"/>
      <c r="KQ126" s="6072"/>
      <c r="KR126" s="6072"/>
      <c r="KS126" s="6072"/>
      <c r="KT126" s="6072"/>
      <c r="KU126" s="6072"/>
      <c r="KV126" s="6072"/>
      <c r="KW126" s="6072"/>
      <c r="KX126" s="6072"/>
      <c r="KY126" s="6072"/>
      <c r="KZ126" s="6072"/>
      <c r="LA126" s="6072"/>
      <c r="LB126" s="6074"/>
      <c r="LF126" s="6071"/>
      <c r="LG126" s="6060" t="str">
        <f>_Calcs!$N$79</f>
        <v>Begrunnelse</v>
      </c>
      <c r="LH126" s="6099"/>
      <c r="LI126" s="6060"/>
      <c r="LJ126" s="6060"/>
      <c r="LK126" s="6060"/>
      <c r="LL126" s="6060"/>
      <c r="LM126" s="6060"/>
      <c r="LN126" s="6060"/>
      <c r="LO126" s="6060"/>
      <c r="LP126" s="6060"/>
      <c r="LQ126" s="6060"/>
      <c r="LR126" s="6060"/>
      <c r="LS126" s="6060"/>
      <c r="LT126" s="6060"/>
      <c r="LU126" s="6060"/>
      <c r="LV126" s="6060"/>
      <c r="LW126" s="6072"/>
      <c r="LX126" s="6072"/>
      <c r="LY126" s="6072"/>
      <c r="LZ126" s="6072"/>
      <c r="MA126" s="6072"/>
      <c r="MB126" s="6072"/>
      <c r="MC126" s="6072"/>
      <c r="MD126" s="6072"/>
      <c r="ME126" s="6072"/>
      <c r="MF126" s="6072"/>
      <c r="MG126" s="6072"/>
      <c r="MH126" s="6072"/>
      <c r="MI126" s="6072"/>
      <c r="MJ126" s="6072"/>
      <c r="MK126" s="6072"/>
      <c r="ML126" s="6072"/>
      <c r="MM126" s="6072"/>
      <c r="MN126" s="6072"/>
      <c r="MO126" s="6072"/>
      <c r="MP126" s="6072"/>
      <c r="MQ126" s="6072"/>
      <c r="MR126" s="6072"/>
      <c r="MS126" s="6072"/>
      <c r="MT126" s="6072"/>
      <c r="MU126" s="6074"/>
      <c r="MY126" s="6071"/>
      <c r="MZ126" s="6060" t="str">
        <f>_Calcs!$N$79</f>
        <v>Begrunnelse</v>
      </c>
      <c r="NA126" s="6099"/>
      <c r="NB126" s="6060"/>
      <c r="NC126" s="6060"/>
      <c r="ND126" s="6060"/>
      <c r="NE126" s="6060"/>
      <c r="NF126" s="6060"/>
      <c r="NG126" s="6060"/>
      <c r="NH126" s="6060"/>
      <c r="NI126" s="6060"/>
      <c r="NJ126" s="6060"/>
      <c r="NK126" s="6060"/>
      <c r="NL126" s="6060"/>
      <c r="NM126" s="6060"/>
      <c r="NN126" s="6060"/>
      <c r="NO126" s="6060"/>
      <c r="NP126" s="6072"/>
      <c r="NQ126" s="6072"/>
      <c r="NR126" s="6072"/>
      <c r="NS126" s="6072"/>
      <c r="NT126" s="6072"/>
      <c r="NU126" s="6072"/>
      <c r="NV126" s="6072"/>
      <c r="NW126" s="6072"/>
      <c r="NX126" s="6072"/>
      <c r="NY126" s="6072"/>
      <c r="NZ126" s="6072"/>
      <c r="OA126" s="6072"/>
      <c r="OB126" s="6072"/>
      <c r="OC126" s="6072"/>
      <c r="OD126" s="6072"/>
      <c r="OE126" s="6072"/>
      <c r="OF126" s="6072"/>
      <c r="OG126" s="6072"/>
      <c r="OH126" s="6072"/>
      <c r="OI126" s="6072"/>
      <c r="OJ126" s="6072"/>
      <c r="OK126" s="6072"/>
      <c r="OL126" s="6072"/>
      <c r="OM126" s="6072"/>
      <c r="ON126" s="6074"/>
    </row>
    <row r="127" spans="3:404" ht="5.0999999999999996" customHeight="1" thickBot="1" x14ac:dyDescent="0.25">
      <c r="C127" s="6055"/>
      <c r="D127" s="6056"/>
      <c r="E127" s="6056"/>
      <c r="F127" s="6056"/>
      <c r="G127" s="6056"/>
      <c r="H127" s="6056"/>
      <c r="I127" s="6056"/>
      <c r="J127" s="6056"/>
      <c r="K127" s="6056"/>
      <c r="L127" s="6056"/>
      <c r="M127" s="6056"/>
      <c r="N127" s="6056"/>
      <c r="O127" s="6056"/>
      <c r="P127" s="6056"/>
      <c r="Q127" s="6056"/>
      <c r="R127" s="6056"/>
      <c r="S127" s="6056"/>
      <c r="T127" s="6056"/>
      <c r="U127" s="6056"/>
      <c r="V127" s="6056"/>
      <c r="W127" s="6056"/>
      <c r="X127" s="6056"/>
      <c r="Y127" s="6056"/>
      <c r="Z127" s="6056"/>
      <c r="AA127" s="6056"/>
      <c r="AB127" s="6056"/>
      <c r="AC127" s="6056"/>
      <c r="AD127" s="6056"/>
      <c r="AE127" s="6056"/>
      <c r="AF127" s="6056"/>
      <c r="AG127" s="6056"/>
      <c r="AH127" s="6056"/>
      <c r="AI127" s="6056"/>
      <c r="AJ127" s="6056"/>
      <c r="AK127" s="6056"/>
      <c r="AL127" s="6056"/>
      <c r="AM127" s="6056"/>
      <c r="AN127" s="6056"/>
      <c r="AO127" s="6056"/>
      <c r="AP127" s="6056"/>
      <c r="AQ127" s="6056"/>
      <c r="AR127" s="6058"/>
      <c r="AV127" s="6055"/>
      <c r="AW127" s="6056"/>
      <c r="AX127" s="6056"/>
      <c r="AY127" s="6056"/>
      <c r="AZ127" s="6056"/>
      <c r="BA127" s="6056"/>
      <c r="BB127" s="6056"/>
      <c r="BC127" s="6056"/>
      <c r="BD127" s="6056"/>
      <c r="BE127" s="6056"/>
      <c r="BF127" s="6056"/>
      <c r="BG127" s="6056"/>
      <c r="BH127" s="6056"/>
      <c r="BI127" s="6056"/>
      <c r="BJ127" s="6056"/>
      <c r="BK127" s="6056"/>
      <c r="BL127" s="6056"/>
      <c r="BM127" s="6056"/>
      <c r="BN127" s="6056"/>
      <c r="BO127" s="6056"/>
      <c r="BP127" s="6056"/>
      <c r="BQ127" s="6056"/>
      <c r="BR127" s="6056"/>
      <c r="BS127" s="6056"/>
      <c r="BT127" s="6056"/>
      <c r="BU127" s="6056"/>
      <c r="BV127" s="6056"/>
      <c r="BW127" s="6056"/>
      <c r="BX127" s="6056"/>
      <c r="BY127" s="6056"/>
      <c r="BZ127" s="6056"/>
      <c r="CA127" s="6056"/>
      <c r="CB127" s="6056"/>
      <c r="CC127" s="6056"/>
      <c r="CD127" s="6056"/>
      <c r="CE127" s="6056"/>
      <c r="CF127" s="6056"/>
      <c r="CG127" s="6056"/>
      <c r="CH127" s="6056"/>
      <c r="CI127" s="6056"/>
      <c r="CJ127" s="6056"/>
      <c r="CK127" s="6058"/>
      <c r="CO127" s="6055"/>
      <c r="CP127" s="6056"/>
      <c r="CQ127" s="6056"/>
      <c r="CR127" s="6056"/>
      <c r="CS127" s="6056"/>
      <c r="CT127" s="6056"/>
      <c r="CU127" s="6056"/>
      <c r="CV127" s="6056"/>
      <c r="CW127" s="6056"/>
      <c r="CX127" s="6056"/>
      <c r="CY127" s="6056"/>
      <c r="CZ127" s="6056"/>
      <c r="DA127" s="6056"/>
      <c r="DB127" s="6056"/>
      <c r="DC127" s="6056"/>
      <c r="DD127" s="6056"/>
      <c r="DE127" s="6056"/>
      <c r="DF127" s="6056"/>
      <c r="DG127" s="6056"/>
      <c r="DH127" s="6056"/>
      <c r="DI127" s="6056"/>
      <c r="DJ127" s="6056"/>
      <c r="DK127" s="6056"/>
      <c r="DL127" s="6056"/>
      <c r="DM127" s="6056"/>
      <c r="DN127" s="6056"/>
      <c r="DO127" s="6056"/>
      <c r="DP127" s="6056"/>
      <c r="DQ127" s="6056"/>
      <c r="DR127" s="6056"/>
      <c r="DS127" s="6056"/>
      <c r="DT127" s="6056"/>
      <c r="DU127" s="6056"/>
      <c r="DV127" s="6056"/>
      <c r="DW127" s="6056"/>
      <c r="DX127" s="6056"/>
      <c r="DY127" s="6056"/>
      <c r="DZ127" s="6056"/>
      <c r="EA127" s="6056"/>
      <c r="EB127" s="6056"/>
      <c r="EC127" s="6056"/>
      <c r="ED127" s="6058"/>
      <c r="EH127" s="6055"/>
      <c r="EI127" s="6056"/>
      <c r="EJ127" s="6056"/>
      <c r="EK127" s="6056"/>
      <c r="EL127" s="6056"/>
      <c r="EM127" s="6056"/>
      <c r="EN127" s="6056"/>
      <c r="EO127" s="6056"/>
      <c r="EP127" s="6056"/>
      <c r="EQ127" s="6056"/>
      <c r="ER127" s="6056"/>
      <c r="ES127" s="6056"/>
      <c r="ET127" s="6056"/>
      <c r="EU127" s="6056"/>
      <c r="EV127" s="6056"/>
      <c r="EW127" s="6056"/>
      <c r="EX127" s="6056"/>
      <c r="EY127" s="6056"/>
      <c r="EZ127" s="6056"/>
      <c r="FA127" s="6056"/>
      <c r="FB127" s="6056"/>
      <c r="FC127" s="6056"/>
      <c r="FD127" s="6056"/>
      <c r="FE127" s="6056"/>
      <c r="FF127" s="6056"/>
      <c r="FG127" s="6056"/>
      <c r="FH127" s="6056"/>
      <c r="FI127" s="6056"/>
      <c r="FJ127" s="6056"/>
      <c r="FK127" s="6056"/>
      <c r="FL127" s="6056"/>
      <c r="FM127" s="6056"/>
      <c r="FN127" s="6056"/>
      <c r="FO127" s="6056"/>
      <c r="FP127" s="6056"/>
      <c r="FQ127" s="6056"/>
      <c r="FR127" s="6056"/>
      <c r="FS127" s="6056"/>
      <c r="FT127" s="6056"/>
      <c r="FU127" s="6056"/>
      <c r="FV127" s="6056"/>
      <c r="FW127" s="6058"/>
      <c r="GA127" s="6055"/>
      <c r="GB127" s="6056"/>
      <c r="GC127" s="6056"/>
      <c r="GD127" s="6056"/>
      <c r="GE127" s="6056"/>
      <c r="GF127" s="6056"/>
      <c r="GG127" s="6056"/>
      <c r="GH127" s="6056"/>
      <c r="GI127" s="6056"/>
      <c r="GJ127" s="6056"/>
      <c r="GK127" s="6056"/>
      <c r="GL127" s="6056"/>
      <c r="GM127" s="6056"/>
      <c r="GN127" s="6056"/>
      <c r="GO127" s="6056"/>
      <c r="GP127" s="6056"/>
      <c r="GQ127" s="6056"/>
      <c r="GR127" s="6056"/>
      <c r="GS127" s="6056"/>
      <c r="GT127" s="6056"/>
      <c r="GU127" s="6056"/>
      <c r="GV127" s="6056"/>
      <c r="GW127" s="6056"/>
      <c r="GX127" s="6056"/>
      <c r="GY127" s="6056"/>
      <c r="GZ127" s="6056"/>
      <c r="HA127" s="6056"/>
      <c r="HB127" s="6056"/>
      <c r="HC127" s="6056"/>
      <c r="HD127" s="6056"/>
      <c r="HE127" s="6056"/>
      <c r="HF127" s="6056"/>
      <c r="HG127" s="6056"/>
      <c r="HH127" s="6056"/>
      <c r="HI127" s="6056"/>
      <c r="HJ127" s="6056"/>
      <c r="HK127" s="6056"/>
      <c r="HL127" s="6056"/>
      <c r="HM127" s="6056"/>
      <c r="HN127" s="6056"/>
      <c r="HO127" s="6056"/>
      <c r="HP127" s="6058"/>
      <c r="HT127" s="6055"/>
      <c r="HU127" s="6056"/>
      <c r="HV127" s="6056"/>
      <c r="HW127" s="6056"/>
      <c r="HX127" s="6056"/>
      <c r="HY127" s="6056"/>
      <c r="HZ127" s="6056"/>
      <c r="IA127" s="6056"/>
      <c r="IB127" s="6056"/>
      <c r="IC127" s="6056"/>
      <c r="ID127" s="6056"/>
      <c r="IE127" s="6056"/>
      <c r="IF127" s="6056"/>
      <c r="IG127" s="6056"/>
      <c r="IH127" s="6056"/>
      <c r="II127" s="6056"/>
      <c r="IJ127" s="6056"/>
      <c r="IK127" s="6056"/>
      <c r="IL127" s="6056"/>
      <c r="IM127" s="6056"/>
      <c r="IN127" s="6056"/>
      <c r="IO127" s="6056"/>
      <c r="IP127" s="6056"/>
      <c r="IQ127" s="6056"/>
      <c r="IR127" s="6056"/>
      <c r="IS127" s="6056"/>
      <c r="IT127" s="6056"/>
      <c r="IU127" s="6056"/>
      <c r="IV127" s="6056"/>
      <c r="IW127" s="6056"/>
      <c r="IX127" s="6056"/>
      <c r="IY127" s="6056"/>
      <c r="IZ127" s="6056"/>
      <c r="JA127" s="6056"/>
      <c r="JB127" s="6056"/>
      <c r="JC127" s="6056"/>
      <c r="JD127" s="6056"/>
      <c r="JE127" s="6056"/>
      <c r="JF127" s="6056"/>
      <c r="JG127" s="6056"/>
      <c r="JH127" s="6056"/>
      <c r="JI127" s="6058"/>
      <c r="JM127" s="6055"/>
      <c r="JN127" s="6056"/>
      <c r="JO127" s="6056"/>
      <c r="JP127" s="6056"/>
      <c r="JQ127" s="6056"/>
      <c r="JR127" s="6056"/>
      <c r="JS127" s="6056"/>
      <c r="JT127" s="6056"/>
      <c r="JU127" s="6056"/>
      <c r="JV127" s="6056"/>
      <c r="JW127" s="6056"/>
      <c r="JX127" s="6056"/>
      <c r="JY127" s="6056"/>
      <c r="JZ127" s="6056"/>
      <c r="KA127" s="6056"/>
      <c r="KB127" s="6056"/>
      <c r="KC127" s="6056"/>
      <c r="KD127" s="6056"/>
      <c r="KE127" s="6056"/>
      <c r="KF127" s="6056"/>
      <c r="KG127" s="6056"/>
      <c r="KH127" s="6056"/>
      <c r="KI127" s="6056"/>
      <c r="KJ127" s="6056"/>
      <c r="KK127" s="6056"/>
      <c r="KL127" s="6056"/>
      <c r="KM127" s="6056"/>
      <c r="KN127" s="6056"/>
      <c r="KO127" s="6056"/>
      <c r="KP127" s="6056"/>
      <c r="KQ127" s="6056"/>
      <c r="KR127" s="6056"/>
      <c r="KS127" s="6056"/>
      <c r="KT127" s="6056"/>
      <c r="KU127" s="6056"/>
      <c r="KV127" s="6056"/>
      <c r="KW127" s="6056"/>
      <c r="KX127" s="6056"/>
      <c r="KY127" s="6056"/>
      <c r="KZ127" s="6056"/>
      <c r="LA127" s="6056"/>
      <c r="LB127" s="6058"/>
      <c r="LF127" s="6055"/>
      <c r="LG127" s="6056"/>
      <c r="LH127" s="6056"/>
      <c r="LI127" s="6056"/>
      <c r="LJ127" s="6056"/>
      <c r="LK127" s="6056"/>
      <c r="LL127" s="6056"/>
      <c r="LM127" s="6056"/>
      <c r="LN127" s="6056"/>
      <c r="LO127" s="6056"/>
      <c r="LP127" s="6056"/>
      <c r="LQ127" s="6056"/>
      <c r="LR127" s="6056"/>
      <c r="LS127" s="6056"/>
      <c r="LT127" s="6056"/>
      <c r="LU127" s="6056"/>
      <c r="LV127" s="6056"/>
      <c r="LW127" s="6056"/>
      <c r="LX127" s="6056"/>
      <c r="LY127" s="6056"/>
      <c r="LZ127" s="6056"/>
      <c r="MA127" s="6056"/>
      <c r="MB127" s="6056"/>
      <c r="MC127" s="6056"/>
      <c r="MD127" s="6056"/>
      <c r="ME127" s="6056"/>
      <c r="MF127" s="6056"/>
      <c r="MG127" s="6056"/>
      <c r="MH127" s="6056"/>
      <c r="MI127" s="6056"/>
      <c r="MJ127" s="6056"/>
      <c r="MK127" s="6056"/>
      <c r="ML127" s="6056"/>
      <c r="MM127" s="6056"/>
      <c r="MN127" s="6056"/>
      <c r="MO127" s="6056"/>
      <c r="MP127" s="6056"/>
      <c r="MQ127" s="6056"/>
      <c r="MR127" s="6056"/>
      <c r="MS127" s="6056"/>
      <c r="MT127" s="6056"/>
      <c r="MU127" s="6058"/>
      <c r="MY127" s="6055"/>
      <c r="MZ127" s="6056"/>
      <c r="NA127" s="6056"/>
      <c r="NB127" s="6056"/>
      <c r="NC127" s="6056"/>
      <c r="ND127" s="6056"/>
      <c r="NE127" s="6056"/>
      <c r="NF127" s="6056"/>
      <c r="NG127" s="6056"/>
      <c r="NH127" s="6056"/>
      <c r="NI127" s="6056"/>
      <c r="NJ127" s="6056"/>
      <c r="NK127" s="6056"/>
      <c r="NL127" s="6056"/>
      <c r="NM127" s="6056"/>
      <c r="NN127" s="6056"/>
      <c r="NO127" s="6056"/>
      <c r="NP127" s="6056"/>
      <c r="NQ127" s="6056"/>
      <c r="NR127" s="6056"/>
      <c r="NS127" s="6056"/>
      <c r="NT127" s="6056"/>
      <c r="NU127" s="6056"/>
      <c r="NV127" s="6056"/>
      <c r="NW127" s="6056"/>
      <c r="NX127" s="6056"/>
      <c r="NY127" s="6056"/>
      <c r="NZ127" s="6056"/>
      <c r="OA127" s="6056"/>
      <c r="OB127" s="6056"/>
      <c r="OC127" s="6056"/>
      <c r="OD127" s="6056"/>
      <c r="OE127" s="6056"/>
      <c r="OF127" s="6056"/>
      <c r="OG127" s="6056"/>
      <c r="OH127" s="6056"/>
      <c r="OI127" s="6056"/>
      <c r="OJ127" s="6056"/>
      <c r="OK127" s="6056"/>
      <c r="OL127" s="6056"/>
      <c r="OM127" s="6056"/>
      <c r="ON127" s="6058"/>
    </row>
    <row r="128" spans="3:404" ht="8.1" customHeight="1" x14ac:dyDescent="0.2">
      <c r="C128" s="6055"/>
      <c r="D128" s="6082"/>
      <c r="E128" s="6083"/>
      <c r="F128" s="6083"/>
      <c r="G128" s="6083"/>
      <c r="H128" s="6083"/>
      <c r="I128" s="6083"/>
      <c r="J128" s="6083"/>
      <c r="K128" s="6083"/>
      <c r="L128" s="6083"/>
      <c r="M128" s="6083"/>
      <c r="N128" s="6083"/>
      <c r="O128" s="6083"/>
      <c r="P128" s="6083"/>
      <c r="Q128" s="6083"/>
      <c r="R128" s="6083"/>
      <c r="S128" s="6083"/>
      <c r="T128" s="6083"/>
      <c r="U128" s="6083"/>
      <c r="V128" s="6083"/>
      <c r="W128" s="6083"/>
      <c r="X128" s="6083"/>
      <c r="Y128" s="6083"/>
      <c r="Z128" s="6083"/>
      <c r="AA128" s="6083"/>
      <c r="AB128" s="6083"/>
      <c r="AC128" s="6083"/>
      <c r="AD128" s="6083"/>
      <c r="AE128" s="6083"/>
      <c r="AF128" s="6083"/>
      <c r="AG128" s="6083"/>
      <c r="AH128" s="6083"/>
      <c r="AI128" s="6083"/>
      <c r="AJ128" s="6083"/>
      <c r="AK128" s="6083"/>
      <c r="AL128" s="6083"/>
      <c r="AM128" s="6083"/>
      <c r="AN128" s="6083"/>
      <c r="AO128" s="6083"/>
      <c r="AP128" s="6083"/>
      <c r="AQ128" s="6084"/>
      <c r="AR128" s="6058"/>
      <c r="AV128" s="6055"/>
      <c r="AW128" s="6082"/>
      <c r="AX128" s="6083"/>
      <c r="AY128" s="6083"/>
      <c r="AZ128" s="6083"/>
      <c r="BA128" s="6083"/>
      <c r="BB128" s="6083"/>
      <c r="BC128" s="6083"/>
      <c r="BD128" s="6083"/>
      <c r="BE128" s="6083"/>
      <c r="BF128" s="6083"/>
      <c r="BG128" s="6083"/>
      <c r="BH128" s="6083"/>
      <c r="BI128" s="6083"/>
      <c r="BJ128" s="6083"/>
      <c r="BK128" s="6083"/>
      <c r="BL128" s="6083"/>
      <c r="BM128" s="6083"/>
      <c r="BN128" s="6083"/>
      <c r="BO128" s="6083"/>
      <c r="BP128" s="6083"/>
      <c r="BQ128" s="6083"/>
      <c r="BR128" s="6083"/>
      <c r="BS128" s="6083"/>
      <c r="BT128" s="6083"/>
      <c r="BU128" s="6083"/>
      <c r="BV128" s="6083"/>
      <c r="BW128" s="6083"/>
      <c r="BX128" s="6083"/>
      <c r="BY128" s="6083"/>
      <c r="BZ128" s="6083"/>
      <c r="CA128" s="6083"/>
      <c r="CB128" s="6083"/>
      <c r="CC128" s="6083"/>
      <c r="CD128" s="6083"/>
      <c r="CE128" s="6083"/>
      <c r="CF128" s="6083"/>
      <c r="CG128" s="6083"/>
      <c r="CH128" s="6083"/>
      <c r="CI128" s="6083"/>
      <c r="CJ128" s="6084"/>
      <c r="CK128" s="6058"/>
      <c r="CO128" s="6055"/>
      <c r="CP128" s="6082"/>
      <c r="CQ128" s="6083"/>
      <c r="CR128" s="6083"/>
      <c r="CS128" s="6083"/>
      <c r="CT128" s="6083"/>
      <c r="CU128" s="6083"/>
      <c r="CV128" s="6083"/>
      <c r="CW128" s="6083"/>
      <c r="CX128" s="6083"/>
      <c r="CY128" s="6083"/>
      <c r="CZ128" s="6083"/>
      <c r="DA128" s="6083"/>
      <c r="DB128" s="6083"/>
      <c r="DC128" s="6083"/>
      <c r="DD128" s="6083"/>
      <c r="DE128" s="6083"/>
      <c r="DF128" s="6083"/>
      <c r="DG128" s="6083"/>
      <c r="DH128" s="6083"/>
      <c r="DI128" s="6083"/>
      <c r="DJ128" s="6083"/>
      <c r="DK128" s="6083"/>
      <c r="DL128" s="6083"/>
      <c r="DM128" s="6083"/>
      <c r="DN128" s="6083"/>
      <c r="DO128" s="6083"/>
      <c r="DP128" s="6083"/>
      <c r="DQ128" s="6083"/>
      <c r="DR128" s="6083"/>
      <c r="DS128" s="6083"/>
      <c r="DT128" s="6083"/>
      <c r="DU128" s="6083"/>
      <c r="DV128" s="6083"/>
      <c r="DW128" s="6083"/>
      <c r="DX128" s="6083"/>
      <c r="DY128" s="6083"/>
      <c r="DZ128" s="6083"/>
      <c r="EA128" s="6083"/>
      <c r="EB128" s="6083"/>
      <c r="EC128" s="6084"/>
      <c r="ED128" s="6058"/>
      <c r="EH128" s="6055"/>
      <c r="EI128" s="6082"/>
      <c r="EJ128" s="6083"/>
      <c r="EK128" s="6083"/>
      <c r="EL128" s="6083"/>
      <c r="EM128" s="6083"/>
      <c r="EN128" s="6083"/>
      <c r="EO128" s="6083"/>
      <c r="EP128" s="6083"/>
      <c r="EQ128" s="6083"/>
      <c r="ER128" s="6083"/>
      <c r="ES128" s="6083"/>
      <c r="ET128" s="6083"/>
      <c r="EU128" s="6083"/>
      <c r="EV128" s="6083"/>
      <c r="EW128" s="6083"/>
      <c r="EX128" s="6083"/>
      <c r="EY128" s="6083"/>
      <c r="EZ128" s="6083"/>
      <c r="FA128" s="6083"/>
      <c r="FB128" s="6083"/>
      <c r="FC128" s="6083"/>
      <c r="FD128" s="6083"/>
      <c r="FE128" s="6083"/>
      <c r="FF128" s="6083"/>
      <c r="FG128" s="6083"/>
      <c r="FH128" s="6083"/>
      <c r="FI128" s="6083"/>
      <c r="FJ128" s="6083"/>
      <c r="FK128" s="6083"/>
      <c r="FL128" s="6083"/>
      <c r="FM128" s="6083"/>
      <c r="FN128" s="6083"/>
      <c r="FO128" s="6083"/>
      <c r="FP128" s="6083"/>
      <c r="FQ128" s="6083"/>
      <c r="FR128" s="6083"/>
      <c r="FS128" s="6083"/>
      <c r="FT128" s="6083"/>
      <c r="FU128" s="6083"/>
      <c r="FV128" s="6084"/>
      <c r="FW128" s="6058"/>
      <c r="GA128" s="6055"/>
      <c r="GB128" s="6082"/>
      <c r="GC128" s="6083"/>
      <c r="GD128" s="6083"/>
      <c r="GE128" s="6083"/>
      <c r="GF128" s="6083"/>
      <c r="GG128" s="6083"/>
      <c r="GH128" s="6083"/>
      <c r="GI128" s="6083"/>
      <c r="GJ128" s="6083"/>
      <c r="GK128" s="6083"/>
      <c r="GL128" s="6083"/>
      <c r="GM128" s="6083"/>
      <c r="GN128" s="6083"/>
      <c r="GO128" s="6083"/>
      <c r="GP128" s="6083"/>
      <c r="GQ128" s="6083"/>
      <c r="GR128" s="6083"/>
      <c r="GS128" s="6083"/>
      <c r="GT128" s="6083"/>
      <c r="GU128" s="6083"/>
      <c r="GV128" s="6083"/>
      <c r="GW128" s="6083"/>
      <c r="GX128" s="6083"/>
      <c r="GY128" s="6083"/>
      <c r="GZ128" s="6083"/>
      <c r="HA128" s="6083"/>
      <c r="HB128" s="6083"/>
      <c r="HC128" s="6083"/>
      <c r="HD128" s="6083"/>
      <c r="HE128" s="6083"/>
      <c r="HF128" s="6083"/>
      <c r="HG128" s="6083"/>
      <c r="HH128" s="6083"/>
      <c r="HI128" s="6083"/>
      <c r="HJ128" s="6083"/>
      <c r="HK128" s="6083"/>
      <c r="HL128" s="6083"/>
      <c r="HM128" s="6083"/>
      <c r="HN128" s="6083"/>
      <c r="HO128" s="6084"/>
      <c r="HP128" s="6058"/>
      <c r="HT128" s="6055"/>
      <c r="HU128" s="6082"/>
      <c r="HV128" s="6083"/>
      <c r="HW128" s="6083"/>
      <c r="HX128" s="6083"/>
      <c r="HY128" s="6083"/>
      <c r="HZ128" s="6083"/>
      <c r="IA128" s="6083"/>
      <c r="IB128" s="6083"/>
      <c r="IC128" s="6083"/>
      <c r="ID128" s="6083"/>
      <c r="IE128" s="6083"/>
      <c r="IF128" s="6083"/>
      <c r="IG128" s="6083"/>
      <c r="IH128" s="6083"/>
      <c r="II128" s="6083"/>
      <c r="IJ128" s="6083"/>
      <c r="IK128" s="6083"/>
      <c r="IL128" s="6083"/>
      <c r="IM128" s="6083"/>
      <c r="IN128" s="6083"/>
      <c r="IO128" s="6083"/>
      <c r="IP128" s="6083"/>
      <c r="IQ128" s="6083"/>
      <c r="IR128" s="6083"/>
      <c r="IS128" s="6083"/>
      <c r="IT128" s="6083"/>
      <c r="IU128" s="6083"/>
      <c r="IV128" s="6083"/>
      <c r="IW128" s="6083"/>
      <c r="IX128" s="6083"/>
      <c r="IY128" s="6083"/>
      <c r="IZ128" s="6083"/>
      <c r="JA128" s="6083"/>
      <c r="JB128" s="6083"/>
      <c r="JC128" s="6083"/>
      <c r="JD128" s="6083"/>
      <c r="JE128" s="6083"/>
      <c r="JF128" s="6083"/>
      <c r="JG128" s="6083"/>
      <c r="JH128" s="6084"/>
      <c r="JI128" s="6058"/>
      <c r="JM128" s="6055"/>
      <c r="JN128" s="6082"/>
      <c r="JO128" s="6083"/>
      <c r="JP128" s="6083"/>
      <c r="JQ128" s="6083"/>
      <c r="JR128" s="6083"/>
      <c r="JS128" s="6083"/>
      <c r="JT128" s="6083"/>
      <c r="JU128" s="6083"/>
      <c r="JV128" s="6083"/>
      <c r="JW128" s="6083"/>
      <c r="JX128" s="6083"/>
      <c r="JY128" s="6083"/>
      <c r="JZ128" s="6083"/>
      <c r="KA128" s="6083"/>
      <c r="KB128" s="6083"/>
      <c r="KC128" s="6083"/>
      <c r="KD128" s="6083"/>
      <c r="KE128" s="6083"/>
      <c r="KF128" s="6083"/>
      <c r="KG128" s="6083"/>
      <c r="KH128" s="6083"/>
      <c r="KI128" s="6083"/>
      <c r="KJ128" s="6083"/>
      <c r="KK128" s="6083"/>
      <c r="KL128" s="6083"/>
      <c r="KM128" s="6083"/>
      <c r="KN128" s="6083"/>
      <c r="KO128" s="6083"/>
      <c r="KP128" s="6083"/>
      <c r="KQ128" s="6083"/>
      <c r="KR128" s="6083"/>
      <c r="KS128" s="6083"/>
      <c r="KT128" s="6083"/>
      <c r="KU128" s="6083"/>
      <c r="KV128" s="6083"/>
      <c r="KW128" s="6083"/>
      <c r="KX128" s="6083"/>
      <c r="KY128" s="6083"/>
      <c r="KZ128" s="6083"/>
      <c r="LA128" s="6084"/>
      <c r="LB128" s="6058"/>
      <c r="LF128" s="6055"/>
      <c r="LG128" s="6082"/>
      <c r="LH128" s="6083"/>
      <c r="LI128" s="6083"/>
      <c r="LJ128" s="6083"/>
      <c r="LK128" s="6083"/>
      <c r="LL128" s="6083"/>
      <c r="LM128" s="6083"/>
      <c r="LN128" s="6083"/>
      <c r="LO128" s="6083"/>
      <c r="LP128" s="6083"/>
      <c r="LQ128" s="6083"/>
      <c r="LR128" s="6083"/>
      <c r="LS128" s="6083"/>
      <c r="LT128" s="6083"/>
      <c r="LU128" s="6083"/>
      <c r="LV128" s="6083"/>
      <c r="LW128" s="6083"/>
      <c r="LX128" s="6083"/>
      <c r="LY128" s="6083"/>
      <c r="LZ128" s="6083"/>
      <c r="MA128" s="6083"/>
      <c r="MB128" s="6083"/>
      <c r="MC128" s="6083"/>
      <c r="MD128" s="6083"/>
      <c r="ME128" s="6083"/>
      <c r="MF128" s="6083"/>
      <c r="MG128" s="6083"/>
      <c r="MH128" s="6083"/>
      <c r="MI128" s="6083"/>
      <c r="MJ128" s="6083"/>
      <c r="MK128" s="6083"/>
      <c r="ML128" s="6083"/>
      <c r="MM128" s="6083"/>
      <c r="MN128" s="6083"/>
      <c r="MO128" s="6083"/>
      <c r="MP128" s="6083"/>
      <c r="MQ128" s="6083"/>
      <c r="MR128" s="6083"/>
      <c r="MS128" s="6083"/>
      <c r="MT128" s="6084"/>
      <c r="MU128" s="6058"/>
      <c r="MY128" s="6055"/>
      <c r="MZ128" s="6082"/>
      <c r="NA128" s="6083"/>
      <c r="NB128" s="6083"/>
      <c r="NC128" s="6083"/>
      <c r="ND128" s="6083"/>
      <c r="NE128" s="6083"/>
      <c r="NF128" s="6083"/>
      <c r="NG128" s="6083"/>
      <c r="NH128" s="6083"/>
      <c r="NI128" s="6083"/>
      <c r="NJ128" s="6083"/>
      <c r="NK128" s="6083"/>
      <c r="NL128" s="6083"/>
      <c r="NM128" s="6083"/>
      <c r="NN128" s="6083"/>
      <c r="NO128" s="6083"/>
      <c r="NP128" s="6083"/>
      <c r="NQ128" s="6083"/>
      <c r="NR128" s="6083"/>
      <c r="NS128" s="6083"/>
      <c r="NT128" s="6083"/>
      <c r="NU128" s="6083"/>
      <c r="NV128" s="6083"/>
      <c r="NW128" s="6083"/>
      <c r="NX128" s="6083"/>
      <c r="NY128" s="6083"/>
      <c r="NZ128" s="6083"/>
      <c r="OA128" s="6083"/>
      <c r="OB128" s="6083"/>
      <c r="OC128" s="6083"/>
      <c r="OD128" s="6083"/>
      <c r="OE128" s="6083"/>
      <c r="OF128" s="6083"/>
      <c r="OG128" s="6083"/>
      <c r="OH128" s="6083"/>
      <c r="OI128" s="6083"/>
      <c r="OJ128" s="6083"/>
      <c r="OK128" s="6083"/>
      <c r="OL128" s="6083"/>
      <c r="OM128" s="6084"/>
      <c r="ON128" s="6058"/>
    </row>
    <row r="129" spans="3:405" ht="408.95" customHeight="1" x14ac:dyDescent="0.2">
      <c r="C129" s="6055"/>
      <c r="D129" s="6040"/>
      <c r="E129" s="6782" t="str">
        <f>_Calcs!$IK$147</f>
        <v>-</v>
      </c>
      <c r="F129" s="6782"/>
      <c r="G129" s="6782"/>
      <c r="H129" s="6782"/>
      <c r="I129" s="6782"/>
      <c r="J129" s="6782"/>
      <c r="K129" s="6782"/>
      <c r="L129" s="6782"/>
      <c r="M129" s="6782"/>
      <c r="N129" s="6782"/>
      <c r="O129" s="6782"/>
      <c r="P129" s="6782"/>
      <c r="Q129" s="6782"/>
      <c r="R129" s="6782"/>
      <c r="S129" s="6782"/>
      <c r="T129" s="6782"/>
      <c r="U129" s="6782"/>
      <c r="V129" s="6782"/>
      <c r="W129" s="6782"/>
      <c r="X129" s="6782"/>
      <c r="Y129" s="6782"/>
      <c r="Z129" s="6782"/>
      <c r="AA129" s="6782"/>
      <c r="AB129" s="6782"/>
      <c r="AC129" s="6782"/>
      <c r="AD129" s="6782"/>
      <c r="AE129" s="6782"/>
      <c r="AF129" s="6782"/>
      <c r="AG129" s="6782"/>
      <c r="AH129" s="6782"/>
      <c r="AI129" s="6782"/>
      <c r="AJ129" s="6782"/>
      <c r="AK129" s="6782"/>
      <c r="AL129" s="6782"/>
      <c r="AM129" s="6782"/>
      <c r="AN129" s="6782"/>
      <c r="AO129" s="6782"/>
      <c r="AP129" s="6782"/>
      <c r="AQ129" s="6085"/>
      <c r="AR129" s="6058"/>
      <c r="AV129" s="6055"/>
      <c r="AW129" s="6040"/>
      <c r="AX129" s="6782" t="str">
        <f>_Calcs!$IL$147</f>
        <v>-</v>
      </c>
      <c r="AY129" s="6782"/>
      <c r="AZ129" s="6782"/>
      <c r="BA129" s="6782"/>
      <c r="BB129" s="6782"/>
      <c r="BC129" s="6782"/>
      <c r="BD129" s="6782"/>
      <c r="BE129" s="6782"/>
      <c r="BF129" s="6782"/>
      <c r="BG129" s="6782"/>
      <c r="BH129" s="6782"/>
      <c r="BI129" s="6782"/>
      <c r="BJ129" s="6782"/>
      <c r="BK129" s="6782"/>
      <c r="BL129" s="6782"/>
      <c r="BM129" s="6782"/>
      <c r="BN129" s="6782"/>
      <c r="BO129" s="6782"/>
      <c r="BP129" s="6782"/>
      <c r="BQ129" s="6782"/>
      <c r="BR129" s="6782"/>
      <c r="BS129" s="6782"/>
      <c r="BT129" s="6782"/>
      <c r="BU129" s="6782"/>
      <c r="BV129" s="6782"/>
      <c r="BW129" s="6782"/>
      <c r="BX129" s="6782"/>
      <c r="BY129" s="6782"/>
      <c r="BZ129" s="6782"/>
      <c r="CA129" s="6782"/>
      <c r="CB129" s="6782"/>
      <c r="CC129" s="6782"/>
      <c r="CD129" s="6782"/>
      <c r="CE129" s="6782"/>
      <c r="CF129" s="6782"/>
      <c r="CG129" s="6782"/>
      <c r="CH129" s="6782"/>
      <c r="CI129" s="6782"/>
      <c r="CJ129" s="6085"/>
      <c r="CK129" s="6058"/>
      <c r="CO129" s="6055"/>
      <c r="CP129" s="6040"/>
      <c r="CQ129" s="6782" t="str">
        <f>_Calcs!$IM$147</f>
        <v>-</v>
      </c>
      <c r="CR129" s="6782"/>
      <c r="CS129" s="6782"/>
      <c r="CT129" s="6782"/>
      <c r="CU129" s="6782"/>
      <c r="CV129" s="6782"/>
      <c r="CW129" s="6782"/>
      <c r="CX129" s="6782"/>
      <c r="CY129" s="6782"/>
      <c r="CZ129" s="6782"/>
      <c r="DA129" s="6782"/>
      <c r="DB129" s="6782"/>
      <c r="DC129" s="6782"/>
      <c r="DD129" s="6782"/>
      <c r="DE129" s="6782"/>
      <c r="DF129" s="6782"/>
      <c r="DG129" s="6782"/>
      <c r="DH129" s="6782"/>
      <c r="DI129" s="6782"/>
      <c r="DJ129" s="6782"/>
      <c r="DK129" s="6782"/>
      <c r="DL129" s="6782"/>
      <c r="DM129" s="6782"/>
      <c r="DN129" s="6782"/>
      <c r="DO129" s="6782"/>
      <c r="DP129" s="6782"/>
      <c r="DQ129" s="6782"/>
      <c r="DR129" s="6782"/>
      <c r="DS129" s="6782"/>
      <c r="DT129" s="6782"/>
      <c r="DU129" s="6782"/>
      <c r="DV129" s="6782"/>
      <c r="DW129" s="6782"/>
      <c r="DX129" s="6782"/>
      <c r="DY129" s="6782"/>
      <c r="DZ129" s="6782"/>
      <c r="EA129" s="6782"/>
      <c r="EB129" s="6782"/>
      <c r="EC129" s="6085"/>
      <c r="ED129" s="6058"/>
      <c r="EH129" s="6055"/>
      <c r="EI129" s="6040"/>
      <c r="EJ129" s="6782" t="str">
        <f>_Calcs!$IN$147</f>
        <v>-</v>
      </c>
      <c r="EK129" s="6782"/>
      <c r="EL129" s="6782"/>
      <c r="EM129" s="6782"/>
      <c r="EN129" s="6782"/>
      <c r="EO129" s="6782"/>
      <c r="EP129" s="6782"/>
      <c r="EQ129" s="6782"/>
      <c r="ER129" s="6782"/>
      <c r="ES129" s="6782"/>
      <c r="ET129" s="6782"/>
      <c r="EU129" s="6782"/>
      <c r="EV129" s="6782"/>
      <c r="EW129" s="6782"/>
      <c r="EX129" s="6782"/>
      <c r="EY129" s="6782"/>
      <c r="EZ129" s="6782"/>
      <c r="FA129" s="6782"/>
      <c r="FB129" s="6782"/>
      <c r="FC129" s="6782"/>
      <c r="FD129" s="6782"/>
      <c r="FE129" s="6782"/>
      <c r="FF129" s="6782"/>
      <c r="FG129" s="6782"/>
      <c r="FH129" s="6782"/>
      <c r="FI129" s="6782"/>
      <c r="FJ129" s="6782"/>
      <c r="FK129" s="6782"/>
      <c r="FL129" s="6782"/>
      <c r="FM129" s="6782"/>
      <c r="FN129" s="6782"/>
      <c r="FO129" s="6782"/>
      <c r="FP129" s="6782"/>
      <c r="FQ129" s="6782"/>
      <c r="FR129" s="6782"/>
      <c r="FS129" s="6782"/>
      <c r="FT129" s="6782"/>
      <c r="FU129" s="6782"/>
      <c r="FV129" s="6085"/>
      <c r="FW129" s="6058"/>
      <c r="GA129" s="6055"/>
      <c r="GB129" s="6040"/>
      <c r="GC129" s="6782" t="str">
        <f>_Calcs!$IO$147</f>
        <v>-</v>
      </c>
      <c r="GD129" s="6782"/>
      <c r="GE129" s="6782"/>
      <c r="GF129" s="6782"/>
      <c r="GG129" s="6782"/>
      <c r="GH129" s="6782"/>
      <c r="GI129" s="6782"/>
      <c r="GJ129" s="6782"/>
      <c r="GK129" s="6782"/>
      <c r="GL129" s="6782"/>
      <c r="GM129" s="6782"/>
      <c r="GN129" s="6782"/>
      <c r="GO129" s="6782"/>
      <c r="GP129" s="6782"/>
      <c r="GQ129" s="6782"/>
      <c r="GR129" s="6782"/>
      <c r="GS129" s="6782"/>
      <c r="GT129" s="6782"/>
      <c r="GU129" s="6782"/>
      <c r="GV129" s="6782"/>
      <c r="GW129" s="6782"/>
      <c r="GX129" s="6782"/>
      <c r="GY129" s="6782"/>
      <c r="GZ129" s="6782"/>
      <c r="HA129" s="6782"/>
      <c r="HB129" s="6782"/>
      <c r="HC129" s="6782"/>
      <c r="HD129" s="6782"/>
      <c r="HE129" s="6782"/>
      <c r="HF129" s="6782"/>
      <c r="HG129" s="6782"/>
      <c r="HH129" s="6782"/>
      <c r="HI129" s="6782"/>
      <c r="HJ129" s="6782"/>
      <c r="HK129" s="6782"/>
      <c r="HL129" s="6782"/>
      <c r="HM129" s="6782"/>
      <c r="HN129" s="6782"/>
      <c r="HO129" s="6085"/>
      <c r="HP129" s="6058"/>
      <c r="HT129" s="6055"/>
      <c r="HU129" s="6040"/>
      <c r="HV129" s="6782" t="str">
        <f>_Calcs!$IP$147</f>
        <v>-</v>
      </c>
      <c r="HW129" s="6782"/>
      <c r="HX129" s="6782"/>
      <c r="HY129" s="6782"/>
      <c r="HZ129" s="6782"/>
      <c r="IA129" s="6782"/>
      <c r="IB129" s="6782"/>
      <c r="IC129" s="6782"/>
      <c r="ID129" s="6782"/>
      <c r="IE129" s="6782"/>
      <c r="IF129" s="6782"/>
      <c r="IG129" s="6782"/>
      <c r="IH129" s="6782"/>
      <c r="II129" s="6782"/>
      <c r="IJ129" s="6782"/>
      <c r="IK129" s="6782"/>
      <c r="IL129" s="6782"/>
      <c r="IM129" s="6782"/>
      <c r="IN129" s="6782"/>
      <c r="IO129" s="6782"/>
      <c r="IP129" s="6782"/>
      <c r="IQ129" s="6782"/>
      <c r="IR129" s="6782"/>
      <c r="IS129" s="6782"/>
      <c r="IT129" s="6782"/>
      <c r="IU129" s="6782"/>
      <c r="IV129" s="6782"/>
      <c r="IW129" s="6782"/>
      <c r="IX129" s="6782"/>
      <c r="IY129" s="6782"/>
      <c r="IZ129" s="6782"/>
      <c r="JA129" s="6782"/>
      <c r="JB129" s="6782"/>
      <c r="JC129" s="6782"/>
      <c r="JD129" s="6782"/>
      <c r="JE129" s="6782"/>
      <c r="JF129" s="6782"/>
      <c r="JG129" s="6782"/>
      <c r="JH129" s="6085"/>
      <c r="JI129" s="6058"/>
      <c r="JM129" s="6055"/>
      <c r="JN129" s="6040"/>
      <c r="JO129" s="6782" t="str">
        <f>_Calcs!$IQ$147</f>
        <v>-</v>
      </c>
      <c r="JP129" s="6782"/>
      <c r="JQ129" s="6782"/>
      <c r="JR129" s="6782"/>
      <c r="JS129" s="6782"/>
      <c r="JT129" s="6782"/>
      <c r="JU129" s="6782"/>
      <c r="JV129" s="6782"/>
      <c r="JW129" s="6782"/>
      <c r="JX129" s="6782"/>
      <c r="JY129" s="6782"/>
      <c r="JZ129" s="6782"/>
      <c r="KA129" s="6782"/>
      <c r="KB129" s="6782"/>
      <c r="KC129" s="6782"/>
      <c r="KD129" s="6782"/>
      <c r="KE129" s="6782"/>
      <c r="KF129" s="6782"/>
      <c r="KG129" s="6782"/>
      <c r="KH129" s="6782"/>
      <c r="KI129" s="6782"/>
      <c r="KJ129" s="6782"/>
      <c r="KK129" s="6782"/>
      <c r="KL129" s="6782"/>
      <c r="KM129" s="6782"/>
      <c r="KN129" s="6782"/>
      <c r="KO129" s="6782"/>
      <c r="KP129" s="6782"/>
      <c r="KQ129" s="6782"/>
      <c r="KR129" s="6782"/>
      <c r="KS129" s="6782"/>
      <c r="KT129" s="6782"/>
      <c r="KU129" s="6782"/>
      <c r="KV129" s="6782"/>
      <c r="KW129" s="6782"/>
      <c r="KX129" s="6782"/>
      <c r="KY129" s="6782"/>
      <c r="KZ129" s="6782"/>
      <c r="LA129" s="6085"/>
      <c r="LB129" s="6058"/>
      <c r="LF129" s="6055"/>
      <c r="LG129" s="6040"/>
      <c r="LH129" s="6782" t="str">
        <f>_Calcs!$IR$147</f>
        <v>-</v>
      </c>
      <c r="LI129" s="6782"/>
      <c r="LJ129" s="6782"/>
      <c r="LK129" s="6782"/>
      <c r="LL129" s="6782"/>
      <c r="LM129" s="6782"/>
      <c r="LN129" s="6782"/>
      <c r="LO129" s="6782"/>
      <c r="LP129" s="6782"/>
      <c r="LQ129" s="6782"/>
      <c r="LR129" s="6782"/>
      <c r="LS129" s="6782"/>
      <c r="LT129" s="6782"/>
      <c r="LU129" s="6782"/>
      <c r="LV129" s="6782"/>
      <c r="LW129" s="6782"/>
      <c r="LX129" s="6782"/>
      <c r="LY129" s="6782"/>
      <c r="LZ129" s="6782"/>
      <c r="MA129" s="6782"/>
      <c r="MB129" s="6782"/>
      <c r="MC129" s="6782"/>
      <c r="MD129" s="6782"/>
      <c r="ME129" s="6782"/>
      <c r="MF129" s="6782"/>
      <c r="MG129" s="6782"/>
      <c r="MH129" s="6782"/>
      <c r="MI129" s="6782"/>
      <c r="MJ129" s="6782"/>
      <c r="MK129" s="6782"/>
      <c r="ML129" s="6782"/>
      <c r="MM129" s="6782"/>
      <c r="MN129" s="6782"/>
      <c r="MO129" s="6782"/>
      <c r="MP129" s="6782"/>
      <c r="MQ129" s="6782"/>
      <c r="MR129" s="6782"/>
      <c r="MS129" s="6782"/>
      <c r="MT129" s="6085"/>
      <c r="MU129" s="6058"/>
      <c r="MY129" s="6055"/>
      <c r="MZ129" s="6040"/>
      <c r="NA129" s="6782" t="str">
        <f>_Calcs!$IS$147</f>
        <v>-</v>
      </c>
      <c r="NB129" s="6782"/>
      <c r="NC129" s="6782"/>
      <c r="ND129" s="6782"/>
      <c r="NE129" s="6782"/>
      <c r="NF129" s="6782"/>
      <c r="NG129" s="6782"/>
      <c r="NH129" s="6782"/>
      <c r="NI129" s="6782"/>
      <c r="NJ129" s="6782"/>
      <c r="NK129" s="6782"/>
      <c r="NL129" s="6782"/>
      <c r="NM129" s="6782"/>
      <c r="NN129" s="6782"/>
      <c r="NO129" s="6782"/>
      <c r="NP129" s="6782"/>
      <c r="NQ129" s="6782"/>
      <c r="NR129" s="6782"/>
      <c r="NS129" s="6782"/>
      <c r="NT129" s="6782"/>
      <c r="NU129" s="6782"/>
      <c r="NV129" s="6782"/>
      <c r="NW129" s="6782"/>
      <c r="NX129" s="6782"/>
      <c r="NY129" s="6782"/>
      <c r="NZ129" s="6782"/>
      <c r="OA129" s="6782"/>
      <c r="OB129" s="6782"/>
      <c r="OC129" s="6782"/>
      <c r="OD129" s="6782"/>
      <c r="OE129" s="6782"/>
      <c r="OF129" s="6782"/>
      <c r="OG129" s="6782"/>
      <c r="OH129" s="6782"/>
      <c r="OI129" s="6782"/>
      <c r="OJ129" s="6782"/>
      <c r="OK129" s="6782"/>
      <c r="OL129" s="6782"/>
      <c r="OM129" s="6085"/>
      <c r="ON129" s="6058"/>
    </row>
    <row r="130" spans="3:405" ht="8.1" customHeight="1" thickBot="1" x14ac:dyDescent="0.25">
      <c r="C130" s="6055"/>
      <c r="D130" s="6044"/>
      <c r="E130" s="6046"/>
      <c r="F130" s="6046"/>
      <c r="G130" s="6046"/>
      <c r="H130" s="6046"/>
      <c r="I130" s="6046"/>
      <c r="J130" s="6046"/>
      <c r="K130" s="6046"/>
      <c r="L130" s="6046"/>
      <c r="M130" s="6046"/>
      <c r="N130" s="6046"/>
      <c r="O130" s="6046"/>
      <c r="P130" s="6046"/>
      <c r="Q130" s="6046"/>
      <c r="R130" s="6046"/>
      <c r="S130" s="6046"/>
      <c r="T130" s="6046"/>
      <c r="U130" s="6046"/>
      <c r="V130" s="6086"/>
      <c r="W130" s="6086"/>
      <c r="X130" s="6086"/>
      <c r="Y130" s="6086"/>
      <c r="Z130" s="6086"/>
      <c r="AA130" s="6046"/>
      <c r="AB130" s="6086"/>
      <c r="AC130" s="6086"/>
      <c r="AD130" s="6086"/>
      <c r="AE130" s="6046"/>
      <c r="AF130" s="6086"/>
      <c r="AG130" s="6086"/>
      <c r="AH130" s="6086"/>
      <c r="AI130" s="6086"/>
      <c r="AJ130" s="6086"/>
      <c r="AK130" s="6086"/>
      <c r="AL130" s="6086"/>
      <c r="AM130" s="6086"/>
      <c r="AN130" s="6086"/>
      <c r="AO130" s="6086"/>
      <c r="AP130" s="6086"/>
      <c r="AQ130" s="6048"/>
      <c r="AR130" s="6058"/>
      <c r="AV130" s="6055"/>
      <c r="AW130" s="6044"/>
      <c r="AX130" s="6046"/>
      <c r="AY130" s="6046"/>
      <c r="AZ130" s="6046"/>
      <c r="BA130" s="6046"/>
      <c r="BB130" s="6046"/>
      <c r="BC130" s="6046"/>
      <c r="BD130" s="6046"/>
      <c r="BE130" s="6046"/>
      <c r="BF130" s="6046"/>
      <c r="BG130" s="6046"/>
      <c r="BH130" s="6046"/>
      <c r="BI130" s="6046"/>
      <c r="BJ130" s="6046"/>
      <c r="BK130" s="6046"/>
      <c r="BL130" s="6046"/>
      <c r="BM130" s="6046"/>
      <c r="BN130" s="6046"/>
      <c r="BO130" s="6086"/>
      <c r="BP130" s="6086"/>
      <c r="BQ130" s="6086"/>
      <c r="BR130" s="6086"/>
      <c r="BS130" s="6086"/>
      <c r="BT130" s="6046"/>
      <c r="BU130" s="6086"/>
      <c r="BV130" s="6086"/>
      <c r="BW130" s="6086"/>
      <c r="BX130" s="6046"/>
      <c r="BY130" s="6086"/>
      <c r="BZ130" s="6086"/>
      <c r="CA130" s="6086"/>
      <c r="CB130" s="6086"/>
      <c r="CC130" s="6086"/>
      <c r="CD130" s="6086"/>
      <c r="CE130" s="6086"/>
      <c r="CF130" s="6086"/>
      <c r="CG130" s="6086"/>
      <c r="CH130" s="6086"/>
      <c r="CI130" s="6086"/>
      <c r="CJ130" s="6048"/>
      <c r="CK130" s="6058"/>
      <c r="CO130" s="6055"/>
      <c r="CP130" s="6044"/>
      <c r="CQ130" s="6046"/>
      <c r="CR130" s="6046"/>
      <c r="CS130" s="6046"/>
      <c r="CT130" s="6046"/>
      <c r="CU130" s="6046"/>
      <c r="CV130" s="6046"/>
      <c r="CW130" s="6046"/>
      <c r="CX130" s="6046"/>
      <c r="CY130" s="6046"/>
      <c r="CZ130" s="6046"/>
      <c r="DA130" s="6046"/>
      <c r="DB130" s="6046"/>
      <c r="DC130" s="6046"/>
      <c r="DD130" s="6046"/>
      <c r="DE130" s="6046"/>
      <c r="DF130" s="6046"/>
      <c r="DG130" s="6046"/>
      <c r="DH130" s="6086"/>
      <c r="DI130" s="6086"/>
      <c r="DJ130" s="6086"/>
      <c r="DK130" s="6086"/>
      <c r="DL130" s="6086"/>
      <c r="DM130" s="6046"/>
      <c r="DN130" s="6086"/>
      <c r="DO130" s="6086"/>
      <c r="DP130" s="6086"/>
      <c r="DQ130" s="6046"/>
      <c r="DR130" s="6086"/>
      <c r="DS130" s="6086"/>
      <c r="DT130" s="6086"/>
      <c r="DU130" s="6086"/>
      <c r="DV130" s="6086"/>
      <c r="DW130" s="6086"/>
      <c r="DX130" s="6086"/>
      <c r="DY130" s="6086"/>
      <c r="DZ130" s="6086"/>
      <c r="EA130" s="6086"/>
      <c r="EB130" s="6086"/>
      <c r="EC130" s="6048"/>
      <c r="ED130" s="6058"/>
      <c r="EH130" s="6055"/>
      <c r="EI130" s="6044"/>
      <c r="EJ130" s="6046"/>
      <c r="EK130" s="6046"/>
      <c r="EL130" s="6046"/>
      <c r="EM130" s="6046"/>
      <c r="EN130" s="6046"/>
      <c r="EO130" s="6046"/>
      <c r="EP130" s="6046"/>
      <c r="EQ130" s="6046"/>
      <c r="ER130" s="6046"/>
      <c r="ES130" s="6046"/>
      <c r="ET130" s="6046"/>
      <c r="EU130" s="6046"/>
      <c r="EV130" s="6046"/>
      <c r="EW130" s="6046"/>
      <c r="EX130" s="6046"/>
      <c r="EY130" s="6046"/>
      <c r="EZ130" s="6046"/>
      <c r="FA130" s="6086"/>
      <c r="FB130" s="6086"/>
      <c r="FC130" s="6086"/>
      <c r="FD130" s="6086"/>
      <c r="FE130" s="6086"/>
      <c r="FF130" s="6046"/>
      <c r="FG130" s="6086"/>
      <c r="FH130" s="6086"/>
      <c r="FI130" s="6086"/>
      <c r="FJ130" s="6046"/>
      <c r="FK130" s="6086"/>
      <c r="FL130" s="6086"/>
      <c r="FM130" s="6086"/>
      <c r="FN130" s="6086"/>
      <c r="FO130" s="6086"/>
      <c r="FP130" s="6086"/>
      <c r="FQ130" s="6086"/>
      <c r="FR130" s="6086"/>
      <c r="FS130" s="6086"/>
      <c r="FT130" s="6086"/>
      <c r="FU130" s="6086"/>
      <c r="FV130" s="6048"/>
      <c r="FW130" s="6058"/>
      <c r="GA130" s="6055"/>
      <c r="GB130" s="6044"/>
      <c r="GC130" s="6046"/>
      <c r="GD130" s="6046"/>
      <c r="GE130" s="6046"/>
      <c r="GF130" s="6046"/>
      <c r="GG130" s="6046"/>
      <c r="GH130" s="6046"/>
      <c r="GI130" s="6046"/>
      <c r="GJ130" s="6046"/>
      <c r="GK130" s="6046"/>
      <c r="GL130" s="6046"/>
      <c r="GM130" s="6046"/>
      <c r="GN130" s="6046"/>
      <c r="GO130" s="6046"/>
      <c r="GP130" s="6046"/>
      <c r="GQ130" s="6046"/>
      <c r="GR130" s="6046"/>
      <c r="GS130" s="6046"/>
      <c r="GT130" s="6086"/>
      <c r="GU130" s="6086"/>
      <c r="GV130" s="6086"/>
      <c r="GW130" s="6086"/>
      <c r="GX130" s="6086"/>
      <c r="GY130" s="6046"/>
      <c r="GZ130" s="6086"/>
      <c r="HA130" s="6086"/>
      <c r="HB130" s="6086"/>
      <c r="HC130" s="6046"/>
      <c r="HD130" s="6086"/>
      <c r="HE130" s="6086"/>
      <c r="HF130" s="6086"/>
      <c r="HG130" s="6086"/>
      <c r="HH130" s="6086"/>
      <c r="HI130" s="6086"/>
      <c r="HJ130" s="6086"/>
      <c r="HK130" s="6086"/>
      <c r="HL130" s="6086"/>
      <c r="HM130" s="6086"/>
      <c r="HN130" s="6086"/>
      <c r="HO130" s="6048"/>
      <c r="HP130" s="6058"/>
      <c r="HT130" s="6055"/>
      <c r="HU130" s="6044"/>
      <c r="HV130" s="6046"/>
      <c r="HW130" s="6046"/>
      <c r="HX130" s="6046"/>
      <c r="HY130" s="6046"/>
      <c r="HZ130" s="6046"/>
      <c r="IA130" s="6046"/>
      <c r="IB130" s="6046"/>
      <c r="IC130" s="6046"/>
      <c r="ID130" s="6046"/>
      <c r="IE130" s="6046"/>
      <c r="IF130" s="6046"/>
      <c r="IG130" s="6046"/>
      <c r="IH130" s="6046"/>
      <c r="II130" s="6046"/>
      <c r="IJ130" s="6046"/>
      <c r="IK130" s="6046"/>
      <c r="IL130" s="6046"/>
      <c r="IM130" s="6086"/>
      <c r="IN130" s="6086"/>
      <c r="IO130" s="6086"/>
      <c r="IP130" s="6086"/>
      <c r="IQ130" s="6086"/>
      <c r="IR130" s="6046"/>
      <c r="IS130" s="6086"/>
      <c r="IT130" s="6086"/>
      <c r="IU130" s="6086"/>
      <c r="IV130" s="6046"/>
      <c r="IW130" s="6086"/>
      <c r="IX130" s="6086"/>
      <c r="IY130" s="6086"/>
      <c r="IZ130" s="6086"/>
      <c r="JA130" s="6086"/>
      <c r="JB130" s="6086"/>
      <c r="JC130" s="6086"/>
      <c r="JD130" s="6086"/>
      <c r="JE130" s="6086"/>
      <c r="JF130" s="6086"/>
      <c r="JG130" s="6086"/>
      <c r="JH130" s="6048"/>
      <c r="JI130" s="6058"/>
      <c r="JM130" s="6055"/>
      <c r="JN130" s="6044"/>
      <c r="JO130" s="6046"/>
      <c r="JP130" s="6046"/>
      <c r="JQ130" s="6046"/>
      <c r="JR130" s="6046"/>
      <c r="JS130" s="6046"/>
      <c r="JT130" s="6046"/>
      <c r="JU130" s="6046"/>
      <c r="JV130" s="6046"/>
      <c r="JW130" s="6046"/>
      <c r="JX130" s="6046"/>
      <c r="JY130" s="6046"/>
      <c r="JZ130" s="6046"/>
      <c r="KA130" s="6046"/>
      <c r="KB130" s="6046"/>
      <c r="KC130" s="6046"/>
      <c r="KD130" s="6046"/>
      <c r="KE130" s="6046"/>
      <c r="KF130" s="6086"/>
      <c r="KG130" s="6086"/>
      <c r="KH130" s="6086"/>
      <c r="KI130" s="6086"/>
      <c r="KJ130" s="6086"/>
      <c r="KK130" s="6046"/>
      <c r="KL130" s="6086"/>
      <c r="KM130" s="6086"/>
      <c r="KN130" s="6086"/>
      <c r="KO130" s="6046"/>
      <c r="KP130" s="6086"/>
      <c r="KQ130" s="6086"/>
      <c r="KR130" s="6086"/>
      <c r="KS130" s="6086"/>
      <c r="KT130" s="6086"/>
      <c r="KU130" s="6086"/>
      <c r="KV130" s="6086"/>
      <c r="KW130" s="6086"/>
      <c r="KX130" s="6086"/>
      <c r="KY130" s="6086"/>
      <c r="KZ130" s="6086"/>
      <c r="LA130" s="6048"/>
      <c r="LB130" s="6058"/>
      <c r="LF130" s="6055"/>
      <c r="LG130" s="6044"/>
      <c r="LH130" s="6046"/>
      <c r="LI130" s="6046"/>
      <c r="LJ130" s="6046"/>
      <c r="LK130" s="6046"/>
      <c r="LL130" s="6046"/>
      <c r="LM130" s="6046"/>
      <c r="LN130" s="6046"/>
      <c r="LO130" s="6046"/>
      <c r="LP130" s="6046"/>
      <c r="LQ130" s="6046"/>
      <c r="LR130" s="6046"/>
      <c r="LS130" s="6046"/>
      <c r="LT130" s="6046"/>
      <c r="LU130" s="6046"/>
      <c r="LV130" s="6046"/>
      <c r="LW130" s="6046"/>
      <c r="LX130" s="6046"/>
      <c r="LY130" s="6086"/>
      <c r="LZ130" s="6086"/>
      <c r="MA130" s="6086"/>
      <c r="MB130" s="6086"/>
      <c r="MC130" s="6086"/>
      <c r="MD130" s="6046"/>
      <c r="ME130" s="6086"/>
      <c r="MF130" s="6086"/>
      <c r="MG130" s="6086"/>
      <c r="MH130" s="6046"/>
      <c r="MI130" s="6086"/>
      <c r="MJ130" s="6086"/>
      <c r="MK130" s="6086"/>
      <c r="ML130" s="6086"/>
      <c r="MM130" s="6086"/>
      <c r="MN130" s="6086"/>
      <c r="MO130" s="6086"/>
      <c r="MP130" s="6086"/>
      <c r="MQ130" s="6086"/>
      <c r="MR130" s="6086"/>
      <c r="MS130" s="6086"/>
      <c r="MT130" s="6048"/>
      <c r="MU130" s="6058"/>
      <c r="MY130" s="6055"/>
      <c r="MZ130" s="6044"/>
      <c r="NA130" s="6046"/>
      <c r="NB130" s="6046"/>
      <c r="NC130" s="6046"/>
      <c r="ND130" s="6046"/>
      <c r="NE130" s="6046"/>
      <c r="NF130" s="6046"/>
      <c r="NG130" s="6046"/>
      <c r="NH130" s="6046"/>
      <c r="NI130" s="6046"/>
      <c r="NJ130" s="6046"/>
      <c r="NK130" s="6046"/>
      <c r="NL130" s="6046"/>
      <c r="NM130" s="6046"/>
      <c r="NN130" s="6046"/>
      <c r="NO130" s="6046"/>
      <c r="NP130" s="6046"/>
      <c r="NQ130" s="6046"/>
      <c r="NR130" s="6086"/>
      <c r="NS130" s="6086"/>
      <c r="NT130" s="6086"/>
      <c r="NU130" s="6086"/>
      <c r="NV130" s="6086"/>
      <c r="NW130" s="6046"/>
      <c r="NX130" s="6086"/>
      <c r="NY130" s="6086"/>
      <c r="NZ130" s="6086"/>
      <c r="OA130" s="6046"/>
      <c r="OB130" s="6086"/>
      <c r="OC130" s="6086"/>
      <c r="OD130" s="6086"/>
      <c r="OE130" s="6086"/>
      <c r="OF130" s="6086"/>
      <c r="OG130" s="6086"/>
      <c r="OH130" s="6086"/>
      <c r="OI130" s="6086"/>
      <c r="OJ130" s="6086"/>
      <c r="OK130" s="6086"/>
      <c r="OL130" s="6086"/>
      <c r="OM130" s="6048"/>
      <c r="ON130" s="6058"/>
    </row>
    <row r="131" spans="3:405" ht="15" thickBot="1" x14ac:dyDescent="0.25">
      <c r="C131" s="6087"/>
      <c r="D131" s="6088"/>
      <c r="E131" s="6088"/>
      <c r="F131" s="6088"/>
      <c r="G131" s="6088"/>
      <c r="H131" s="6088"/>
      <c r="I131" s="6088"/>
      <c r="J131" s="6088"/>
      <c r="K131" s="6088"/>
      <c r="L131" s="6088"/>
      <c r="M131" s="6088"/>
      <c r="N131" s="6088"/>
      <c r="O131" s="6088"/>
      <c r="P131" s="6088"/>
      <c r="Q131" s="6088"/>
      <c r="R131" s="6088"/>
      <c r="S131" s="6088"/>
      <c r="T131" s="6088"/>
      <c r="U131" s="6088"/>
      <c r="V131" s="6088"/>
      <c r="W131" s="6088"/>
      <c r="X131" s="6088"/>
      <c r="Y131" s="6088"/>
      <c r="Z131" s="6088"/>
      <c r="AA131" s="6088"/>
      <c r="AB131" s="6088"/>
      <c r="AC131" s="6088"/>
      <c r="AD131" s="6088"/>
      <c r="AE131" s="6088"/>
      <c r="AF131" s="6088"/>
      <c r="AG131" s="6088"/>
      <c r="AH131" s="6088"/>
      <c r="AI131" s="6088"/>
      <c r="AJ131" s="6088"/>
      <c r="AK131" s="6088"/>
      <c r="AL131" s="6088"/>
      <c r="AM131" s="6088"/>
      <c r="AN131" s="6088"/>
      <c r="AO131" s="6088"/>
      <c r="AP131" s="6088"/>
      <c r="AQ131" s="6088"/>
      <c r="AR131" s="6089"/>
      <c r="AV131" s="6087"/>
      <c r="AW131" s="6088"/>
      <c r="AX131" s="6088"/>
      <c r="AY131" s="6088"/>
      <c r="AZ131" s="6088"/>
      <c r="BA131" s="6088"/>
      <c r="BB131" s="6088"/>
      <c r="BC131" s="6088"/>
      <c r="BD131" s="6088"/>
      <c r="BE131" s="6088"/>
      <c r="BF131" s="6088"/>
      <c r="BG131" s="6088"/>
      <c r="BH131" s="6088"/>
      <c r="BI131" s="6088"/>
      <c r="BJ131" s="6088"/>
      <c r="BK131" s="6088"/>
      <c r="BL131" s="6088"/>
      <c r="BM131" s="6088"/>
      <c r="BN131" s="6088"/>
      <c r="BO131" s="6088"/>
      <c r="BP131" s="6088"/>
      <c r="BQ131" s="6088"/>
      <c r="BR131" s="6088"/>
      <c r="BS131" s="6088"/>
      <c r="BT131" s="6088"/>
      <c r="BU131" s="6088"/>
      <c r="BV131" s="6088"/>
      <c r="BW131" s="6088"/>
      <c r="BX131" s="6088"/>
      <c r="BY131" s="6088"/>
      <c r="BZ131" s="6088"/>
      <c r="CA131" s="6088"/>
      <c r="CB131" s="6088"/>
      <c r="CC131" s="6088"/>
      <c r="CD131" s="6088"/>
      <c r="CE131" s="6088"/>
      <c r="CF131" s="6088"/>
      <c r="CG131" s="6088"/>
      <c r="CH131" s="6088"/>
      <c r="CI131" s="6088"/>
      <c r="CJ131" s="6088"/>
      <c r="CK131" s="6089"/>
      <c r="CO131" s="6087"/>
      <c r="CP131" s="6088"/>
      <c r="CQ131" s="6088"/>
      <c r="CR131" s="6088"/>
      <c r="CS131" s="6088"/>
      <c r="CT131" s="6088"/>
      <c r="CU131" s="6088"/>
      <c r="CV131" s="6088"/>
      <c r="CW131" s="6088"/>
      <c r="CX131" s="6088"/>
      <c r="CY131" s="6088"/>
      <c r="CZ131" s="6088"/>
      <c r="DA131" s="6088"/>
      <c r="DB131" s="6088"/>
      <c r="DC131" s="6088"/>
      <c r="DD131" s="6088"/>
      <c r="DE131" s="6088"/>
      <c r="DF131" s="6088"/>
      <c r="DG131" s="6088"/>
      <c r="DH131" s="6088"/>
      <c r="DI131" s="6088"/>
      <c r="DJ131" s="6088"/>
      <c r="DK131" s="6088"/>
      <c r="DL131" s="6088"/>
      <c r="DM131" s="6088"/>
      <c r="DN131" s="6088"/>
      <c r="DO131" s="6088"/>
      <c r="DP131" s="6088"/>
      <c r="DQ131" s="6088"/>
      <c r="DR131" s="6088"/>
      <c r="DS131" s="6088"/>
      <c r="DT131" s="6088"/>
      <c r="DU131" s="6088"/>
      <c r="DV131" s="6088"/>
      <c r="DW131" s="6088"/>
      <c r="DX131" s="6088"/>
      <c r="DY131" s="6088"/>
      <c r="DZ131" s="6088"/>
      <c r="EA131" s="6088"/>
      <c r="EB131" s="6088"/>
      <c r="EC131" s="6088"/>
      <c r="ED131" s="6089"/>
      <c r="EH131" s="6087"/>
      <c r="EI131" s="6088"/>
      <c r="EJ131" s="6088"/>
      <c r="EK131" s="6088"/>
      <c r="EL131" s="6088"/>
      <c r="EM131" s="6088"/>
      <c r="EN131" s="6088"/>
      <c r="EO131" s="6088"/>
      <c r="EP131" s="6088"/>
      <c r="EQ131" s="6088"/>
      <c r="ER131" s="6088"/>
      <c r="ES131" s="6088"/>
      <c r="ET131" s="6088"/>
      <c r="EU131" s="6088"/>
      <c r="EV131" s="6088"/>
      <c r="EW131" s="6088"/>
      <c r="EX131" s="6088"/>
      <c r="EY131" s="6088"/>
      <c r="EZ131" s="6088"/>
      <c r="FA131" s="6088"/>
      <c r="FB131" s="6088"/>
      <c r="FC131" s="6088"/>
      <c r="FD131" s="6088"/>
      <c r="FE131" s="6088"/>
      <c r="FF131" s="6088"/>
      <c r="FG131" s="6088"/>
      <c r="FH131" s="6088"/>
      <c r="FI131" s="6088"/>
      <c r="FJ131" s="6088"/>
      <c r="FK131" s="6088"/>
      <c r="FL131" s="6088"/>
      <c r="FM131" s="6088"/>
      <c r="FN131" s="6088"/>
      <c r="FO131" s="6088"/>
      <c r="FP131" s="6088"/>
      <c r="FQ131" s="6088"/>
      <c r="FR131" s="6088"/>
      <c r="FS131" s="6088"/>
      <c r="FT131" s="6088"/>
      <c r="FU131" s="6088"/>
      <c r="FV131" s="6088"/>
      <c r="FW131" s="6089"/>
      <c r="GA131" s="6087"/>
      <c r="GB131" s="6088"/>
      <c r="GC131" s="6088"/>
      <c r="GD131" s="6088"/>
      <c r="GE131" s="6088"/>
      <c r="GF131" s="6088"/>
      <c r="GG131" s="6088"/>
      <c r="GH131" s="6088"/>
      <c r="GI131" s="6088"/>
      <c r="GJ131" s="6088"/>
      <c r="GK131" s="6088"/>
      <c r="GL131" s="6088"/>
      <c r="GM131" s="6088"/>
      <c r="GN131" s="6088"/>
      <c r="GO131" s="6088"/>
      <c r="GP131" s="6088"/>
      <c r="GQ131" s="6088"/>
      <c r="GR131" s="6088"/>
      <c r="GS131" s="6088"/>
      <c r="GT131" s="6088"/>
      <c r="GU131" s="6088"/>
      <c r="GV131" s="6088"/>
      <c r="GW131" s="6088"/>
      <c r="GX131" s="6088"/>
      <c r="GY131" s="6088"/>
      <c r="GZ131" s="6088"/>
      <c r="HA131" s="6088"/>
      <c r="HB131" s="6088"/>
      <c r="HC131" s="6088"/>
      <c r="HD131" s="6088"/>
      <c r="HE131" s="6088"/>
      <c r="HF131" s="6088"/>
      <c r="HG131" s="6088"/>
      <c r="HH131" s="6088"/>
      <c r="HI131" s="6088"/>
      <c r="HJ131" s="6088"/>
      <c r="HK131" s="6088"/>
      <c r="HL131" s="6088"/>
      <c r="HM131" s="6088"/>
      <c r="HN131" s="6088"/>
      <c r="HO131" s="6088"/>
      <c r="HP131" s="6089"/>
      <c r="HT131" s="6087"/>
      <c r="HU131" s="6088"/>
      <c r="HV131" s="6088"/>
      <c r="HW131" s="6088"/>
      <c r="HX131" s="6088"/>
      <c r="HY131" s="6088"/>
      <c r="HZ131" s="6088"/>
      <c r="IA131" s="6088"/>
      <c r="IB131" s="6088"/>
      <c r="IC131" s="6088"/>
      <c r="ID131" s="6088"/>
      <c r="IE131" s="6088"/>
      <c r="IF131" s="6088"/>
      <c r="IG131" s="6088"/>
      <c r="IH131" s="6088"/>
      <c r="II131" s="6088"/>
      <c r="IJ131" s="6088"/>
      <c r="IK131" s="6088"/>
      <c r="IL131" s="6088"/>
      <c r="IM131" s="6088"/>
      <c r="IN131" s="6088"/>
      <c r="IO131" s="6088"/>
      <c r="IP131" s="6088"/>
      <c r="IQ131" s="6088"/>
      <c r="IR131" s="6088"/>
      <c r="IS131" s="6088"/>
      <c r="IT131" s="6088"/>
      <c r="IU131" s="6088"/>
      <c r="IV131" s="6088"/>
      <c r="IW131" s="6088"/>
      <c r="IX131" s="6088"/>
      <c r="IY131" s="6088"/>
      <c r="IZ131" s="6088"/>
      <c r="JA131" s="6088"/>
      <c r="JB131" s="6088"/>
      <c r="JC131" s="6088"/>
      <c r="JD131" s="6088"/>
      <c r="JE131" s="6088"/>
      <c r="JF131" s="6088"/>
      <c r="JG131" s="6088"/>
      <c r="JH131" s="6088"/>
      <c r="JI131" s="6089"/>
      <c r="JM131" s="6087"/>
      <c r="JN131" s="6088"/>
      <c r="JO131" s="6088"/>
      <c r="JP131" s="6088"/>
      <c r="JQ131" s="6088"/>
      <c r="JR131" s="6088"/>
      <c r="JS131" s="6088"/>
      <c r="JT131" s="6088"/>
      <c r="JU131" s="6088"/>
      <c r="JV131" s="6088"/>
      <c r="JW131" s="6088"/>
      <c r="JX131" s="6088"/>
      <c r="JY131" s="6088"/>
      <c r="JZ131" s="6088"/>
      <c r="KA131" s="6088"/>
      <c r="KB131" s="6088"/>
      <c r="KC131" s="6088"/>
      <c r="KD131" s="6088"/>
      <c r="KE131" s="6088"/>
      <c r="KF131" s="6088"/>
      <c r="KG131" s="6088"/>
      <c r="KH131" s="6088"/>
      <c r="KI131" s="6088"/>
      <c r="KJ131" s="6088"/>
      <c r="KK131" s="6088"/>
      <c r="KL131" s="6088"/>
      <c r="KM131" s="6088"/>
      <c r="KN131" s="6088"/>
      <c r="KO131" s="6088"/>
      <c r="KP131" s="6088"/>
      <c r="KQ131" s="6088"/>
      <c r="KR131" s="6088"/>
      <c r="KS131" s="6088"/>
      <c r="KT131" s="6088"/>
      <c r="KU131" s="6088"/>
      <c r="KV131" s="6088"/>
      <c r="KW131" s="6088"/>
      <c r="KX131" s="6088"/>
      <c r="KY131" s="6088"/>
      <c r="KZ131" s="6088"/>
      <c r="LA131" s="6088"/>
      <c r="LB131" s="6089"/>
      <c r="LF131" s="6087"/>
      <c r="LG131" s="6088"/>
      <c r="LH131" s="6088"/>
      <c r="LI131" s="6088"/>
      <c r="LJ131" s="6088"/>
      <c r="LK131" s="6088"/>
      <c r="LL131" s="6088"/>
      <c r="LM131" s="6088"/>
      <c r="LN131" s="6088"/>
      <c r="LO131" s="6088"/>
      <c r="LP131" s="6088"/>
      <c r="LQ131" s="6088"/>
      <c r="LR131" s="6088"/>
      <c r="LS131" s="6088"/>
      <c r="LT131" s="6088"/>
      <c r="LU131" s="6088"/>
      <c r="LV131" s="6088"/>
      <c r="LW131" s="6088"/>
      <c r="LX131" s="6088"/>
      <c r="LY131" s="6088"/>
      <c r="LZ131" s="6088"/>
      <c r="MA131" s="6088"/>
      <c r="MB131" s="6088"/>
      <c r="MC131" s="6088"/>
      <c r="MD131" s="6088"/>
      <c r="ME131" s="6088"/>
      <c r="MF131" s="6088"/>
      <c r="MG131" s="6088"/>
      <c r="MH131" s="6088"/>
      <c r="MI131" s="6088"/>
      <c r="MJ131" s="6088"/>
      <c r="MK131" s="6088"/>
      <c r="ML131" s="6088"/>
      <c r="MM131" s="6088"/>
      <c r="MN131" s="6088"/>
      <c r="MO131" s="6088"/>
      <c r="MP131" s="6088"/>
      <c r="MQ131" s="6088"/>
      <c r="MR131" s="6088"/>
      <c r="MS131" s="6088"/>
      <c r="MT131" s="6088"/>
      <c r="MU131" s="6089"/>
      <c r="MY131" s="6087"/>
      <c r="MZ131" s="6088"/>
      <c r="NA131" s="6088"/>
      <c r="NB131" s="6088"/>
      <c r="NC131" s="6088"/>
      <c r="ND131" s="6088"/>
      <c r="NE131" s="6088"/>
      <c r="NF131" s="6088"/>
      <c r="NG131" s="6088"/>
      <c r="NH131" s="6088"/>
      <c r="NI131" s="6088"/>
      <c r="NJ131" s="6088"/>
      <c r="NK131" s="6088"/>
      <c r="NL131" s="6088"/>
      <c r="NM131" s="6088"/>
      <c r="NN131" s="6088"/>
      <c r="NO131" s="6088"/>
      <c r="NP131" s="6088"/>
      <c r="NQ131" s="6088"/>
      <c r="NR131" s="6088"/>
      <c r="NS131" s="6088"/>
      <c r="NT131" s="6088"/>
      <c r="NU131" s="6088"/>
      <c r="NV131" s="6088"/>
      <c r="NW131" s="6088"/>
      <c r="NX131" s="6088"/>
      <c r="NY131" s="6088"/>
      <c r="NZ131" s="6088"/>
      <c r="OA131" s="6088"/>
      <c r="OB131" s="6088"/>
      <c r="OC131" s="6088"/>
      <c r="OD131" s="6088"/>
      <c r="OE131" s="6088"/>
      <c r="OF131" s="6088"/>
      <c r="OG131" s="6088"/>
      <c r="OH131" s="6088"/>
      <c r="OI131" s="6088"/>
      <c r="OJ131" s="6088"/>
      <c r="OK131" s="6088"/>
      <c r="OL131" s="6088"/>
      <c r="OM131" s="6088"/>
      <c r="ON131" s="6089"/>
    </row>
    <row r="132" spans="3:405" ht="9.9499999999999993" customHeight="1" x14ac:dyDescent="0.2"/>
    <row r="133" spans="3:405" ht="7.5" customHeight="1" x14ac:dyDescent="0.2">
      <c r="C133" s="6090"/>
      <c r="D133" s="6090"/>
      <c r="E133" s="6090"/>
      <c r="F133" s="6090"/>
      <c r="G133" s="6090"/>
      <c r="H133" s="6090"/>
      <c r="I133" s="6090"/>
      <c r="J133" s="6090"/>
      <c r="K133" s="6090"/>
      <c r="L133" s="6090"/>
      <c r="M133" s="6090"/>
      <c r="N133" s="6090"/>
      <c r="O133" s="6090"/>
      <c r="P133" s="6090"/>
      <c r="Q133" s="6090"/>
      <c r="R133" s="6090"/>
      <c r="S133" s="6090"/>
      <c r="T133" s="6090"/>
      <c r="U133" s="6090"/>
      <c r="V133" s="6090"/>
      <c r="W133" s="6090"/>
      <c r="X133" s="6090"/>
      <c r="Y133" s="6090"/>
      <c r="Z133" s="6090"/>
      <c r="AA133" s="6090"/>
      <c r="AB133" s="6090"/>
      <c r="AC133" s="6090"/>
      <c r="AD133" s="6090"/>
      <c r="AE133" s="6090"/>
      <c r="AF133" s="6090"/>
      <c r="AG133" s="6090"/>
      <c r="AH133" s="6090"/>
      <c r="AI133" s="6090"/>
      <c r="AJ133" s="6090"/>
      <c r="AK133" s="6090"/>
      <c r="AL133" s="6090"/>
      <c r="AM133" s="6090"/>
      <c r="AN133" s="6090"/>
      <c r="AO133" s="6090"/>
      <c r="AP133" s="6090"/>
      <c r="AQ133" s="6090"/>
      <c r="AR133" s="6090"/>
      <c r="AV133" s="6090"/>
      <c r="AW133" s="6090"/>
      <c r="AX133" s="6090"/>
      <c r="AY133" s="6090"/>
      <c r="AZ133" s="6090"/>
      <c r="BA133" s="6090"/>
      <c r="BB133" s="6090"/>
      <c r="BC133" s="6090"/>
      <c r="BD133" s="6090"/>
      <c r="BE133" s="6090"/>
      <c r="BF133" s="6090"/>
      <c r="BG133" s="6090"/>
      <c r="BH133" s="6090"/>
      <c r="BI133" s="6090"/>
      <c r="BJ133" s="6090"/>
      <c r="BK133" s="6090"/>
      <c r="BL133" s="6090"/>
      <c r="BM133" s="6090"/>
      <c r="BN133" s="6090"/>
      <c r="BO133" s="6090"/>
      <c r="BP133" s="6090"/>
      <c r="BQ133" s="6090"/>
      <c r="BR133" s="6090"/>
      <c r="BS133" s="6090"/>
      <c r="BT133" s="6090"/>
      <c r="BU133" s="6090"/>
      <c r="BV133" s="6090"/>
      <c r="BW133" s="6090"/>
      <c r="BX133" s="6090"/>
      <c r="BY133" s="6090"/>
      <c r="BZ133" s="6090"/>
      <c r="CA133" s="6090"/>
      <c r="CB133" s="6090"/>
      <c r="CC133" s="6090"/>
      <c r="CD133" s="6090"/>
      <c r="CE133" s="6090"/>
      <c r="CF133" s="6090"/>
      <c r="CG133" s="6090"/>
      <c r="CH133" s="6090"/>
      <c r="CI133" s="6090"/>
      <c r="CJ133" s="6090"/>
      <c r="CK133" s="6090"/>
      <c r="CO133" s="6090"/>
      <c r="CP133" s="6090"/>
      <c r="CQ133" s="6090"/>
      <c r="CR133" s="6090"/>
      <c r="CS133" s="6090"/>
      <c r="CT133" s="6090"/>
      <c r="CU133" s="6090"/>
      <c r="CV133" s="6090"/>
      <c r="CW133" s="6090"/>
      <c r="CX133" s="6090"/>
      <c r="CY133" s="6090"/>
      <c r="CZ133" s="6090"/>
      <c r="DA133" s="6090"/>
      <c r="DB133" s="6090"/>
      <c r="DC133" s="6090"/>
      <c r="DD133" s="6090"/>
      <c r="DE133" s="6090"/>
      <c r="DF133" s="6090"/>
      <c r="DG133" s="6090"/>
      <c r="DH133" s="6090"/>
      <c r="DI133" s="6090"/>
      <c r="DJ133" s="6090"/>
      <c r="DK133" s="6090"/>
      <c r="DL133" s="6090"/>
      <c r="DM133" s="6090"/>
      <c r="DN133" s="6090"/>
      <c r="DO133" s="6090"/>
      <c r="DP133" s="6090"/>
      <c r="DQ133" s="6090"/>
      <c r="DR133" s="6090"/>
      <c r="DS133" s="6090"/>
      <c r="DT133" s="6090"/>
      <c r="DU133" s="6090"/>
      <c r="DV133" s="6090"/>
      <c r="DW133" s="6090"/>
      <c r="DX133" s="6090"/>
      <c r="DY133" s="6090"/>
      <c r="DZ133" s="6090"/>
      <c r="EA133" s="6090"/>
      <c r="EB133" s="6090"/>
      <c r="EC133" s="6090"/>
      <c r="ED133" s="6090"/>
      <c r="EH133" s="6090"/>
      <c r="EI133" s="6090"/>
      <c r="EJ133" s="6090"/>
      <c r="EK133" s="6090"/>
      <c r="EL133" s="6090"/>
      <c r="EM133" s="6090"/>
      <c r="EN133" s="6090"/>
      <c r="EO133" s="6090"/>
      <c r="EP133" s="6090"/>
      <c r="EQ133" s="6090"/>
      <c r="ER133" s="6090"/>
      <c r="ES133" s="6090"/>
      <c r="ET133" s="6090"/>
      <c r="EU133" s="6090"/>
      <c r="EV133" s="6090"/>
      <c r="EW133" s="6090"/>
      <c r="EX133" s="6090"/>
      <c r="EY133" s="6090"/>
      <c r="EZ133" s="6090"/>
      <c r="FA133" s="6090"/>
      <c r="FB133" s="6090"/>
      <c r="FC133" s="6090"/>
      <c r="FD133" s="6090"/>
      <c r="FE133" s="6090"/>
      <c r="FF133" s="6090"/>
      <c r="FG133" s="6090"/>
      <c r="FH133" s="6090"/>
      <c r="FI133" s="6090"/>
      <c r="FJ133" s="6090"/>
      <c r="FK133" s="6090"/>
      <c r="FL133" s="6090"/>
      <c r="FM133" s="6090"/>
      <c r="FN133" s="6090"/>
      <c r="FO133" s="6090"/>
      <c r="FP133" s="6090"/>
      <c r="FQ133" s="6090"/>
      <c r="FR133" s="6090"/>
      <c r="FS133" s="6090"/>
      <c r="FT133" s="6090"/>
      <c r="FU133" s="6090"/>
      <c r="FV133" s="6090"/>
      <c r="FW133" s="6090"/>
      <c r="GA133" s="6090"/>
      <c r="GB133" s="6090"/>
      <c r="GC133" s="6090"/>
      <c r="GD133" s="6090"/>
      <c r="GE133" s="6090"/>
      <c r="GF133" s="6090"/>
      <c r="GG133" s="6090"/>
      <c r="GH133" s="6090"/>
      <c r="GI133" s="6090"/>
      <c r="GJ133" s="6090"/>
      <c r="GK133" s="6090"/>
      <c r="GL133" s="6090"/>
      <c r="GM133" s="6090"/>
      <c r="GN133" s="6090"/>
      <c r="GO133" s="6090"/>
      <c r="GP133" s="6090"/>
      <c r="GQ133" s="6090"/>
      <c r="GR133" s="6090"/>
      <c r="GS133" s="6090"/>
      <c r="GT133" s="6090"/>
      <c r="GU133" s="6090"/>
      <c r="GV133" s="6090"/>
      <c r="GW133" s="6090"/>
      <c r="GX133" s="6090"/>
      <c r="GY133" s="6090"/>
      <c r="GZ133" s="6090"/>
      <c r="HA133" s="6090"/>
      <c r="HB133" s="6090"/>
      <c r="HC133" s="6090"/>
      <c r="HD133" s="6090"/>
      <c r="HE133" s="6090"/>
      <c r="HF133" s="6090"/>
      <c r="HG133" s="6090"/>
      <c r="HH133" s="6090"/>
      <c r="HI133" s="6090"/>
      <c r="HJ133" s="6090"/>
      <c r="HK133" s="6090"/>
      <c r="HL133" s="6090"/>
      <c r="HM133" s="6090"/>
      <c r="HN133" s="6090"/>
      <c r="HO133" s="6090"/>
      <c r="HP133" s="6090"/>
      <c r="HT133" s="6090"/>
      <c r="HU133" s="6090"/>
      <c r="HV133" s="6090"/>
      <c r="HW133" s="6090"/>
      <c r="HX133" s="6090"/>
      <c r="HY133" s="6090"/>
      <c r="HZ133" s="6090"/>
      <c r="IA133" s="6090"/>
      <c r="IB133" s="6090"/>
      <c r="IC133" s="6090"/>
      <c r="ID133" s="6090"/>
      <c r="IE133" s="6090"/>
      <c r="IF133" s="6090"/>
      <c r="IG133" s="6090"/>
      <c r="IH133" s="6090"/>
      <c r="II133" s="6090"/>
      <c r="IJ133" s="6090"/>
      <c r="IK133" s="6090"/>
      <c r="IL133" s="6090"/>
      <c r="IM133" s="6090"/>
      <c r="IN133" s="6090"/>
      <c r="IO133" s="6090"/>
      <c r="IP133" s="6090"/>
      <c r="IQ133" s="6090"/>
      <c r="IR133" s="6090"/>
      <c r="IS133" s="6090"/>
      <c r="IT133" s="6090"/>
      <c r="IU133" s="6090"/>
      <c r="IV133" s="6090"/>
      <c r="IW133" s="6090"/>
      <c r="IX133" s="6090"/>
      <c r="IY133" s="6090"/>
      <c r="IZ133" s="6090"/>
      <c r="JA133" s="6090"/>
      <c r="JB133" s="6090"/>
      <c r="JC133" s="6090"/>
      <c r="JD133" s="6090"/>
      <c r="JE133" s="6090"/>
      <c r="JF133" s="6090"/>
      <c r="JG133" s="6090"/>
      <c r="JH133" s="6090"/>
      <c r="JI133" s="6090"/>
      <c r="JM133" s="6090"/>
      <c r="JN133" s="6090"/>
      <c r="JO133" s="6090"/>
      <c r="JP133" s="6090"/>
      <c r="JQ133" s="6090"/>
      <c r="JR133" s="6090"/>
      <c r="JS133" s="6090"/>
      <c r="JT133" s="6090"/>
      <c r="JU133" s="6090"/>
      <c r="JV133" s="6090"/>
      <c r="JW133" s="6090"/>
      <c r="JX133" s="6090"/>
      <c r="JY133" s="6090"/>
      <c r="JZ133" s="6090"/>
      <c r="KA133" s="6090"/>
      <c r="KB133" s="6090"/>
      <c r="KC133" s="6090"/>
      <c r="KD133" s="6090"/>
      <c r="KE133" s="6090"/>
      <c r="KF133" s="6090"/>
      <c r="KG133" s="6090"/>
      <c r="KH133" s="6090"/>
      <c r="KI133" s="6090"/>
      <c r="KJ133" s="6090"/>
      <c r="KK133" s="6090"/>
      <c r="KL133" s="6090"/>
      <c r="KM133" s="6090"/>
      <c r="KN133" s="6090"/>
      <c r="KO133" s="6090"/>
      <c r="KP133" s="6090"/>
      <c r="KQ133" s="6090"/>
      <c r="KR133" s="6090"/>
      <c r="KS133" s="6090"/>
      <c r="KT133" s="6090"/>
      <c r="KU133" s="6090"/>
      <c r="KV133" s="6090"/>
      <c r="KW133" s="6090"/>
      <c r="KX133" s="6090"/>
      <c r="KY133" s="6090"/>
      <c r="KZ133" s="6090"/>
      <c r="LA133" s="6090"/>
      <c r="LB133" s="6090"/>
      <c r="LF133" s="6090"/>
      <c r="LG133" s="6090"/>
      <c r="LH133" s="6090"/>
      <c r="LI133" s="6090"/>
      <c r="LJ133" s="6090"/>
      <c r="LK133" s="6090"/>
      <c r="LL133" s="6090"/>
      <c r="LM133" s="6090"/>
      <c r="LN133" s="6090"/>
      <c r="LO133" s="6090"/>
      <c r="LP133" s="6090"/>
      <c r="LQ133" s="6090"/>
      <c r="LR133" s="6090"/>
      <c r="LS133" s="6090"/>
      <c r="LT133" s="6090"/>
      <c r="LU133" s="6090"/>
      <c r="LV133" s="6090"/>
      <c r="LW133" s="6090"/>
      <c r="LX133" s="6090"/>
      <c r="LY133" s="6090"/>
      <c r="LZ133" s="6090"/>
      <c r="MA133" s="6090"/>
      <c r="MB133" s="6090"/>
      <c r="MC133" s="6090"/>
      <c r="MD133" s="6090"/>
      <c r="ME133" s="6090"/>
      <c r="MF133" s="6090"/>
      <c r="MG133" s="6090"/>
      <c r="MH133" s="6090"/>
      <c r="MI133" s="6090"/>
      <c r="MJ133" s="6090"/>
      <c r="MK133" s="6090"/>
      <c r="ML133" s="6090"/>
      <c r="MM133" s="6090"/>
      <c r="MN133" s="6090"/>
      <c r="MO133" s="6090"/>
      <c r="MP133" s="6090"/>
      <c r="MQ133" s="6090"/>
      <c r="MR133" s="6090"/>
      <c r="MS133" s="6090"/>
      <c r="MT133" s="6090"/>
      <c r="MU133" s="6090"/>
      <c r="MY133" s="6090"/>
      <c r="MZ133" s="6090"/>
      <c r="NA133" s="6090"/>
      <c r="NB133" s="6090"/>
      <c r="NC133" s="6090"/>
      <c r="ND133" s="6090"/>
      <c r="NE133" s="6090"/>
      <c r="NF133" s="6090"/>
      <c r="NG133" s="6090"/>
      <c r="NH133" s="6090"/>
      <c r="NI133" s="6090"/>
      <c r="NJ133" s="6090"/>
      <c r="NK133" s="6090"/>
      <c r="NL133" s="6090"/>
      <c r="NM133" s="6090"/>
      <c r="NN133" s="6090"/>
      <c r="NO133" s="6090"/>
      <c r="NP133" s="6090"/>
      <c r="NQ133" s="6090"/>
      <c r="NR133" s="6090"/>
      <c r="NS133" s="6090"/>
      <c r="NT133" s="6090"/>
      <c r="NU133" s="6090"/>
      <c r="NV133" s="6090"/>
      <c r="NW133" s="6090"/>
      <c r="NX133" s="6090"/>
      <c r="NY133" s="6090"/>
      <c r="NZ133" s="6090"/>
      <c r="OA133" s="6090"/>
      <c r="OB133" s="6090"/>
      <c r="OC133" s="6090"/>
      <c r="OD133" s="6090"/>
      <c r="OE133" s="6090"/>
      <c r="OF133" s="6090"/>
      <c r="OG133" s="6090"/>
      <c r="OH133" s="6090"/>
      <c r="OI133" s="6090"/>
      <c r="OJ133" s="6090"/>
      <c r="OK133" s="6090"/>
      <c r="OL133" s="6090"/>
      <c r="OM133" s="6090"/>
      <c r="ON133" s="6090"/>
    </row>
    <row r="134" spans="3:405" ht="5.0999999999999996" customHeight="1" x14ac:dyDescent="0.2">
      <c r="D134" s="6091"/>
      <c r="AW134" s="6091"/>
      <c r="CP134" s="6091"/>
      <c r="EI134" s="6091"/>
      <c r="GB134" s="6091"/>
      <c r="HU134" s="6091"/>
      <c r="JN134" s="6091"/>
      <c r="LG134" s="6091"/>
      <c r="MZ134" s="6091"/>
    </row>
    <row r="135" spans="3:405" ht="5.0999999999999996" customHeight="1" x14ac:dyDescent="0.2"/>
    <row r="136" spans="3:405" ht="8.1" customHeight="1" x14ac:dyDescent="0.2">
      <c r="C136" s="6090"/>
      <c r="D136" s="6090"/>
      <c r="E136" s="6090"/>
      <c r="F136" s="6090"/>
      <c r="G136" s="6090"/>
      <c r="H136" s="6090"/>
      <c r="I136" s="6090"/>
      <c r="J136" s="6090"/>
      <c r="K136" s="6090"/>
      <c r="L136" s="6090"/>
      <c r="M136" s="6090"/>
      <c r="N136" s="6090"/>
      <c r="O136" s="6090"/>
      <c r="P136" s="6090"/>
      <c r="Q136" s="6090"/>
      <c r="R136" s="6090"/>
      <c r="S136" s="6090"/>
      <c r="T136" s="6090"/>
      <c r="U136" s="6090"/>
      <c r="V136" s="6090"/>
      <c r="W136" s="6090"/>
      <c r="X136" s="6090"/>
      <c r="Y136" s="6090"/>
      <c r="Z136" s="6090"/>
      <c r="AA136" s="6090"/>
      <c r="AB136" s="6090"/>
      <c r="AC136" s="6090"/>
      <c r="AD136" s="6090"/>
      <c r="AE136" s="6090"/>
      <c r="AF136" s="6090"/>
      <c r="AG136" s="6090"/>
      <c r="AH136" s="6090"/>
      <c r="AI136" s="6090"/>
      <c r="AJ136" s="6090"/>
      <c r="AK136" s="6090"/>
      <c r="AL136" s="6090"/>
      <c r="AM136" s="6090"/>
      <c r="AN136" s="6090"/>
      <c r="AO136" s="6090"/>
      <c r="AP136" s="6090"/>
      <c r="AQ136" s="6090"/>
      <c r="AR136" s="6090"/>
      <c r="AV136" s="6090"/>
      <c r="AW136" s="6090"/>
      <c r="AX136" s="6090"/>
      <c r="AY136" s="6090"/>
      <c r="AZ136" s="6090"/>
      <c r="BA136" s="6090"/>
      <c r="BB136" s="6090"/>
      <c r="BC136" s="6090"/>
      <c r="BD136" s="6090"/>
      <c r="BE136" s="6090"/>
      <c r="BF136" s="6090"/>
      <c r="BG136" s="6090"/>
      <c r="BH136" s="6090"/>
      <c r="BI136" s="6090"/>
      <c r="BJ136" s="6090"/>
      <c r="BK136" s="6090"/>
      <c r="BL136" s="6090"/>
      <c r="BM136" s="6090"/>
      <c r="BN136" s="6090"/>
      <c r="BO136" s="6090"/>
      <c r="BP136" s="6090"/>
      <c r="BQ136" s="6090"/>
      <c r="BR136" s="6090"/>
      <c r="BS136" s="6090"/>
      <c r="BT136" s="6090"/>
      <c r="BU136" s="6090"/>
      <c r="BV136" s="6090"/>
      <c r="BW136" s="6090"/>
      <c r="BX136" s="6090"/>
      <c r="BY136" s="6090"/>
      <c r="BZ136" s="6090"/>
      <c r="CA136" s="6090"/>
      <c r="CB136" s="6090"/>
      <c r="CC136" s="6090"/>
      <c r="CD136" s="6090"/>
      <c r="CE136" s="6090"/>
      <c r="CF136" s="6090"/>
      <c r="CG136" s="6090"/>
      <c r="CH136" s="6090"/>
      <c r="CI136" s="6090"/>
      <c r="CJ136" s="6090"/>
      <c r="CK136" s="6090"/>
      <c r="CO136" s="6090"/>
      <c r="CP136" s="6090"/>
      <c r="CQ136" s="6090"/>
      <c r="CR136" s="6090"/>
      <c r="CS136" s="6090"/>
      <c r="CT136" s="6090"/>
      <c r="CU136" s="6090"/>
      <c r="CV136" s="6090"/>
      <c r="CW136" s="6090"/>
      <c r="CX136" s="6090"/>
      <c r="CY136" s="6090"/>
      <c r="CZ136" s="6090"/>
      <c r="DA136" s="6090"/>
      <c r="DB136" s="6090"/>
      <c r="DC136" s="6090"/>
      <c r="DD136" s="6090"/>
      <c r="DE136" s="6090"/>
      <c r="DF136" s="6090"/>
      <c r="DG136" s="6090"/>
      <c r="DH136" s="6090"/>
      <c r="DI136" s="6090"/>
      <c r="DJ136" s="6090"/>
      <c r="DK136" s="6090"/>
      <c r="DL136" s="6090"/>
      <c r="DM136" s="6090"/>
      <c r="DN136" s="6090"/>
      <c r="DO136" s="6090"/>
      <c r="DP136" s="6090"/>
      <c r="DQ136" s="6090"/>
      <c r="DR136" s="6090"/>
      <c r="DS136" s="6090"/>
      <c r="DT136" s="6090"/>
      <c r="DU136" s="6090"/>
      <c r="DV136" s="6090"/>
      <c r="DW136" s="6090"/>
      <c r="DX136" s="6090"/>
      <c r="DY136" s="6090"/>
      <c r="DZ136" s="6090"/>
      <c r="EA136" s="6090"/>
      <c r="EB136" s="6090"/>
      <c r="EC136" s="6090"/>
      <c r="ED136" s="6090"/>
      <c r="EH136" s="6090"/>
      <c r="EI136" s="6090"/>
      <c r="EJ136" s="6090"/>
      <c r="EK136" s="6090"/>
      <c r="EL136" s="6090"/>
      <c r="EM136" s="6090"/>
      <c r="EN136" s="6090"/>
      <c r="EO136" s="6090"/>
      <c r="EP136" s="6090"/>
      <c r="EQ136" s="6090"/>
      <c r="ER136" s="6090"/>
      <c r="ES136" s="6090"/>
      <c r="ET136" s="6090"/>
      <c r="EU136" s="6090"/>
      <c r="EV136" s="6090"/>
      <c r="EW136" s="6090"/>
      <c r="EX136" s="6090"/>
      <c r="EY136" s="6090"/>
      <c r="EZ136" s="6090"/>
      <c r="FA136" s="6090"/>
      <c r="FB136" s="6090"/>
      <c r="FC136" s="6090"/>
      <c r="FD136" s="6090"/>
      <c r="FE136" s="6090"/>
      <c r="FF136" s="6090"/>
      <c r="FG136" s="6090"/>
      <c r="FH136" s="6090"/>
      <c r="FI136" s="6090"/>
      <c r="FJ136" s="6090"/>
      <c r="FK136" s="6090"/>
      <c r="FL136" s="6090"/>
      <c r="FM136" s="6090"/>
      <c r="FN136" s="6090"/>
      <c r="FO136" s="6090"/>
      <c r="FP136" s="6090"/>
      <c r="FQ136" s="6090"/>
      <c r="FR136" s="6090"/>
      <c r="FS136" s="6090"/>
      <c r="FT136" s="6090"/>
      <c r="FU136" s="6090"/>
      <c r="FV136" s="6090"/>
      <c r="FW136" s="6090"/>
      <c r="GA136" s="6090"/>
      <c r="GB136" s="6090"/>
      <c r="GC136" s="6090"/>
      <c r="GD136" s="6090"/>
      <c r="GE136" s="6090"/>
      <c r="GF136" s="6090"/>
      <c r="GG136" s="6090"/>
      <c r="GH136" s="6090"/>
      <c r="GI136" s="6090"/>
      <c r="GJ136" s="6090"/>
      <c r="GK136" s="6090"/>
      <c r="GL136" s="6090"/>
      <c r="GM136" s="6090"/>
      <c r="GN136" s="6090"/>
      <c r="GO136" s="6090"/>
      <c r="GP136" s="6090"/>
      <c r="GQ136" s="6090"/>
      <c r="GR136" s="6090"/>
      <c r="GS136" s="6090"/>
      <c r="GT136" s="6090"/>
      <c r="GU136" s="6090"/>
      <c r="GV136" s="6090"/>
      <c r="GW136" s="6090"/>
      <c r="GX136" s="6090"/>
      <c r="GY136" s="6090"/>
      <c r="GZ136" s="6090"/>
      <c r="HA136" s="6090"/>
      <c r="HB136" s="6090"/>
      <c r="HC136" s="6090"/>
      <c r="HD136" s="6090"/>
      <c r="HE136" s="6090"/>
      <c r="HF136" s="6090"/>
      <c r="HG136" s="6090"/>
      <c r="HH136" s="6090"/>
      <c r="HI136" s="6090"/>
      <c r="HJ136" s="6090"/>
      <c r="HK136" s="6090"/>
      <c r="HL136" s="6090"/>
      <c r="HM136" s="6090"/>
      <c r="HN136" s="6090"/>
      <c r="HO136" s="6090"/>
      <c r="HP136" s="6090"/>
      <c r="HT136" s="6090"/>
      <c r="HU136" s="6090"/>
      <c r="HV136" s="6090"/>
      <c r="HW136" s="6090"/>
      <c r="HX136" s="6090"/>
      <c r="HY136" s="6090"/>
      <c r="HZ136" s="6090"/>
      <c r="IA136" s="6090"/>
      <c r="IB136" s="6090"/>
      <c r="IC136" s="6090"/>
      <c r="ID136" s="6090"/>
      <c r="IE136" s="6090"/>
      <c r="IF136" s="6090"/>
      <c r="IG136" s="6090"/>
      <c r="IH136" s="6090"/>
      <c r="II136" s="6090"/>
      <c r="IJ136" s="6090"/>
      <c r="IK136" s="6090"/>
      <c r="IL136" s="6090"/>
      <c r="IM136" s="6090"/>
      <c r="IN136" s="6090"/>
      <c r="IO136" s="6090"/>
      <c r="IP136" s="6090"/>
      <c r="IQ136" s="6090"/>
      <c r="IR136" s="6090"/>
      <c r="IS136" s="6090"/>
      <c r="IT136" s="6090"/>
      <c r="IU136" s="6090"/>
      <c r="IV136" s="6090"/>
      <c r="IW136" s="6090"/>
      <c r="IX136" s="6090"/>
      <c r="IY136" s="6090"/>
      <c r="IZ136" s="6090"/>
      <c r="JA136" s="6090"/>
      <c r="JB136" s="6090"/>
      <c r="JC136" s="6090"/>
      <c r="JD136" s="6090"/>
      <c r="JE136" s="6090"/>
      <c r="JF136" s="6090"/>
      <c r="JG136" s="6090"/>
      <c r="JH136" s="6090"/>
      <c r="JI136" s="6090"/>
      <c r="JM136" s="6090"/>
      <c r="JN136" s="6090"/>
      <c r="JO136" s="6090"/>
      <c r="JP136" s="6090"/>
      <c r="JQ136" s="6090"/>
      <c r="JR136" s="6090"/>
      <c r="JS136" s="6090"/>
      <c r="JT136" s="6090"/>
      <c r="JU136" s="6090"/>
      <c r="JV136" s="6090"/>
      <c r="JW136" s="6090"/>
      <c r="JX136" s="6090"/>
      <c r="JY136" s="6090"/>
      <c r="JZ136" s="6090"/>
      <c r="KA136" s="6090"/>
      <c r="KB136" s="6090"/>
      <c r="KC136" s="6090"/>
      <c r="KD136" s="6090"/>
      <c r="KE136" s="6090"/>
      <c r="KF136" s="6090"/>
      <c r="KG136" s="6090"/>
      <c r="KH136" s="6090"/>
      <c r="KI136" s="6090"/>
      <c r="KJ136" s="6090"/>
      <c r="KK136" s="6090"/>
      <c r="KL136" s="6090"/>
      <c r="KM136" s="6090"/>
      <c r="KN136" s="6090"/>
      <c r="KO136" s="6090"/>
      <c r="KP136" s="6090"/>
      <c r="KQ136" s="6090"/>
      <c r="KR136" s="6090"/>
      <c r="KS136" s="6090"/>
      <c r="KT136" s="6090"/>
      <c r="KU136" s="6090"/>
      <c r="KV136" s="6090"/>
      <c r="KW136" s="6090"/>
      <c r="KX136" s="6090"/>
      <c r="KY136" s="6090"/>
      <c r="KZ136" s="6090"/>
      <c r="LA136" s="6090"/>
      <c r="LB136" s="6090"/>
      <c r="LF136" s="6090"/>
      <c r="LG136" s="6090"/>
      <c r="LH136" s="6090"/>
      <c r="LI136" s="6090"/>
      <c r="LJ136" s="6090"/>
      <c r="LK136" s="6090"/>
      <c r="LL136" s="6090"/>
      <c r="LM136" s="6090"/>
      <c r="LN136" s="6090"/>
      <c r="LO136" s="6090"/>
      <c r="LP136" s="6090"/>
      <c r="LQ136" s="6090"/>
      <c r="LR136" s="6090"/>
      <c r="LS136" s="6090"/>
      <c r="LT136" s="6090"/>
      <c r="LU136" s="6090"/>
      <c r="LV136" s="6090"/>
      <c r="LW136" s="6090"/>
      <c r="LX136" s="6090"/>
      <c r="LY136" s="6090"/>
      <c r="LZ136" s="6090"/>
      <c r="MA136" s="6090"/>
      <c r="MB136" s="6090"/>
      <c r="MC136" s="6090"/>
      <c r="MD136" s="6090"/>
      <c r="ME136" s="6090"/>
      <c r="MF136" s="6090"/>
      <c r="MG136" s="6090"/>
      <c r="MH136" s="6090"/>
      <c r="MI136" s="6090"/>
      <c r="MJ136" s="6090"/>
      <c r="MK136" s="6090"/>
      <c r="ML136" s="6090"/>
      <c r="MM136" s="6090"/>
      <c r="MN136" s="6090"/>
      <c r="MO136" s="6090"/>
      <c r="MP136" s="6090"/>
      <c r="MQ136" s="6090"/>
      <c r="MR136" s="6090"/>
      <c r="MS136" s="6090"/>
      <c r="MT136" s="6090"/>
      <c r="MU136" s="6090"/>
      <c r="MY136" s="6090"/>
      <c r="MZ136" s="6090"/>
      <c r="NA136" s="6090"/>
      <c r="NB136" s="6090"/>
      <c r="NC136" s="6090"/>
      <c r="ND136" s="6090"/>
      <c r="NE136" s="6090"/>
      <c r="NF136" s="6090"/>
      <c r="NG136" s="6090"/>
      <c r="NH136" s="6090"/>
      <c r="NI136" s="6090"/>
      <c r="NJ136" s="6090"/>
      <c r="NK136" s="6090"/>
      <c r="NL136" s="6090"/>
      <c r="NM136" s="6090"/>
      <c r="NN136" s="6090"/>
      <c r="NO136" s="6090"/>
      <c r="NP136" s="6090"/>
      <c r="NQ136" s="6090"/>
      <c r="NR136" s="6090"/>
      <c r="NS136" s="6090"/>
      <c r="NT136" s="6090"/>
      <c r="NU136" s="6090"/>
      <c r="NV136" s="6090"/>
      <c r="NW136" s="6090"/>
      <c r="NX136" s="6090"/>
      <c r="NY136" s="6090"/>
      <c r="NZ136" s="6090"/>
      <c r="OA136" s="6090"/>
      <c r="OB136" s="6090"/>
      <c r="OC136" s="6090"/>
      <c r="OD136" s="6090"/>
      <c r="OE136" s="6090"/>
      <c r="OF136" s="6090"/>
      <c r="OG136" s="6090"/>
      <c r="OH136" s="6090"/>
      <c r="OI136" s="6090"/>
      <c r="OJ136" s="6090"/>
      <c r="OK136" s="6090"/>
      <c r="OL136" s="6090"/>
      <c r="OM136" s="6090"/>
      <c r="ON136" s="6090"/>
    </row>
    <row r="137" spans="3:405" ht="9.9499999999999993" customHeight="1" thickBot="1" x14ac:dyDescent="0.25"/>
    <row r="138" spans="3:405" ht="9.9499999999999993" customHeight="1" thickBot="1" x14ac:dyDescent="0.25">
      <c r="C138" s="6015"/>
      <c r="D138" s="6016"/>
      <c r="E138" s="6016"/>
      <c r="F138" s="6016"/>
      <c r="G138" s="6016"/>
      <c r="H138" s="6016"/>
      <c r="I138" s="6016"/>
      <c r="J138" s="6016"/>
      <c r="K138" s="6016"/>
      <c r="L138" s="6016"/>
      <c r="M138" s="6016"/>
      <c r="N138" s="6016"/>
      <c r="O138" s="6016"/>
      <c r="P138" s="6016"/>
      <c r="Q138" s="6016"/>
      <c r="R138" s="6016"/>
      <c r="S138" s="6016"/>
      <c r="T138" s="6016"/>
      <c r="U138" s="6016"/>
      <c r="V138" s="6016"/>
      <c r="W138" s="6016"/>
      <c r="X138" s="6016"/>
      <c r="Y138" s="6016"/>
      <c r="Z138" s="6016"/>
      <c r="AA138" s="6016"/>
      <c r="AB138" s="6016"/>
      <c r="AC138" s="6016"/>
      <c r="AD138" s="6016"/>
      <c r="AE138" s="6016"/>
      <c r="AF138" s="6016"/>
      <c r="AG138" s="6016"/>
      <c r="AH138" s="6016"/>
      <c r="AI138" s="6016"/>
      <c r="AJ138" s="6016"/>
      <c r="AK138" s="6016"/>
      <c r="AL138" s="6016"/>
      <c r="AM138" s="6016"/>
      <c r="AN138" s="6016"/>
      <c r="AO138" s="6016"/>
      <c r="AP138" s="6016"/>
      <c r="AQ138" s="6016"/>
      <c r="AR138" s="6017"/>
      <c r="AV138" s="6015"/>
      <c r="AW138" s="6016"/>
      <c r="AX138" s="6016"/>
      <c r="AY138" s="6016"/>
      <c r="AZ138" s="6016"/>
      <c r="BA138" s="6016"/>
      <c r="BB138" s="6016"/>
      <c r="BC138" s="6016"/>
      <c r="BD138" s="6016"/>
      <c r="BE138" s="6016"/>
      <c r="BF138" s="6016"/>
      <c r="BG138" s="6016"/>
      <c r="BH138" s="6016"/>
      <c r="BI138" s="6016"/>
      <c r="BJ138" s="6016"/>
      <c r="BK138" s="6016"/>
      <c r="BL138" s="6016"/>
      <c r="BM138" s="6016"/>
      <c r="BN138" s="6016"/>
      <c r="BO138" s="6016"/>
      <c r="BP138" s="6016"/>
      <c r="BQ138" s="6016"/>
      <c r="BR138" s="6016"/>
      <c r="BS138" s="6016"/>
      <c r="BT138" s="6016"/>
      <c r="BU138" s="6016"/>
      <c r="BV138" s="6016"/>
      <c r="BW138" s="6016"/>
      <c r="BX138" s="6016"/>
      <c r="BY138" s="6016"/>
      <c r="BZ138" s="6016"/>
      <c r="CA138" s="6016"/>
      <c r="CB138" s="6016"/>
      <c r="CC138" s="6016"/>
      <c r="CD138" s="6016"/>
      <c r="CE138" s="6016"/>
      <c r="CF138" s="6016"/>
      <c r="CG138" s="6016"/>
      <c r="CH138" s="6016"/>
      <c r="CI138" s="6016"/>
      <c r="CJ138" s="6016"/>
      <c r="CK138" s="6017"/>
      <c r="CO138" s="6015"/>
      <c r="CP138" s="6016"/>
      <c r="CQ138" s="6016"/>
      <c r="CR138" s="6016"/>
      <c r="CS138" s="6016"/>
      <c r="CT138" s="6016"/>
      <c r="CU138" s="6016"/>
      <c r="CV138" s="6016"/>
      <c r="CW138" s="6016"/>
      <c r="CX138" s="6016"/>
      <c r="CY138" s="6016"/>
      <c r="CZ138" s="6016"/>
      <c r="DA138" s="6016"/>
      <c r="DB138" s="6016"/>
      <c r="DC138" s="6016"/>
      <c r="DD138" s="6016"/>
      <c r="DE138" s="6016"/>
      <c r="DF138" s="6016"/>
      <c r="DG138" s="6016"/>
      <c r="DH138" s="6016"/>
      <c r="DI138" s="6016"/>
      <c r="DJ138" s="6016"/>
      <c r="DK138" s="6016"/>
      <c r="DL138" s="6016"/>
      <c r="DM138" s="6016"/>
      <c r="DN138" s="6016"/>
      <c r="DO138" s="6016"/>
      <c r="DP138" s="6016"/>
      <c r="DQ138" s="6016"/>
      <c r="DR138" s="6016"/>
      <c r="DS138" s="6016"/>
      <c r="DT138" s="6016"/>
      <c r="DU138" s="6016"/>
      <c r="DV138" s="6016"/>
      <c r="DW138" s="6016"/>
      <c r="DX138" s="6016"/>
      <c r="DY138" s="6016"/>
      <c r="DZ138" s="6016"/>
      <c r="EA138" s="6016"/>
      <c r="EB138" s="6016"/>
      <c r="EC138" s="6016"/>
      <c r="ED138" s="6017"/>
      <c r="EH138" s="6015"/>
      <c r="EI138" s="6016"/>
      <c r="EJ138" s="6016"/>
      <c r="EK138" s="6016"/>
      <c r="EL138" s="6016"/>
      <c r="EM138" s="6016"/>
      <c r="EN138" s="6016"/>
      <c r="EO138" s="6016"/>
      <c r="EP138" s="6016"/>
      <c r="EQ138" s="6016"/>
      <c r="ER138" s="6016"/>
      <c r="ES138" s="6016"/>
      <c r="ET138" s="6016"/>
      <c r="EU138" s="6016"/>
      <c r="EV138" s="6016"/>
      <c r="EW138" s="6016"/>
      <c r="EX138" s="6016"/>
      <c r="EY138" s="6016"/>
      <c r="EZ138" s="6016"/>
      <c r="FA138" s="6016"/>
      <c r="FB138" s="6016"/>
      <c r="FC138" s="6016"/>
      <c r="FD138" s="6016"/>
      <c r="FE138" s="6016"/>
      <c r="FF138" s="6016"/>
      <c r="FG138" s="6016"/>
      <c r="FH138" s="6016"/>
      <c r="FI138" s="6016"/>
      <c r="FJ138" s="6016"/>
      <c r="FK138" s="6016"/>
      <c r="FL138" s="6016"/>
      <c r="FM138" s="6016"/>
      <c r="FN138" s="6016"/>
      <c r="FO138" s="6016"/>
      <c r="FP138" s="6016"/>
      <c r="FQ138" s="6016"/>
      <c r="FR138" s="6016"/>
      <c r="FS138" s="6016"/>
      <c r="FT138" s="6016"/>
      <c r="FU138" s="6016"/>
      <c r="FV138" s="6016"/>
      <c r="FW138" s="6017"/>
      <c r="GA138" s="6015"/>
      <c r="GB138" s="6016"/>
      <c r="GC138" s="6016"/>
      <c r="GD138" s="6016"/>
      <c r="GE138" s="6016"/>
      <c r="GF138" s="6016"/>
      <c r="GG138" s="6016"/>
      <c r="GH138" s="6016"/>
      <c r="GI138" s="6016"/>
      <c r="GJ138" s="6016"/>
      <c r="GK138" s="6016"/>
      <c r="GL138" s="6016"/>
      <c r="GM138" s="6016"/>
      <c r="GN138" s="6016"/>
      <c r="GO138" s="6016"/>
      <c r="GP138" s="6016"/>
      <c r="GQ138" s="6016"/>
      <c r="GR138" s="6016"/>
      <c r="GS138" s="6016"/>
      <c r="GT138" s="6016"/>
      <c r="GU138" s="6016"/>
      <c r="GV138" s="6016"/>
      <c r="GW138" s="6016"/>
      <c r="GX138" s="6016"/>
      <c r="GY138" s="6016"/>
      <c r="GZ138" s="6016"/>
      <c r="HA138" s="6016"/>
      <c r="HB138" s="6016"/>
      <c r="HC138" s="6016"/>
      <c r="HD138" s="6016"/>
      <c r="HE138" s="6016"/>
      <c r="HF138" s="6016"/>
      <c r="HG138" s="6016"/>
      <c r="HH138" s="6016"/>
      <c r="HI138" s="6016"/>
      <c r="HJ138" s="6016"/>
      <c r="HK138" s="6016"/>
      <c r="HL138" s="6016"/>
      <c r="HM138" s="6016"/>
      <c r="HN138" s="6016"/>
      <c r="HO138" s="6016"/>
      <c r="HP138" s="6017"/>
      <c r="HT138" s="6015"/>
      <c r="HU138" s="6016"/>
      <c r="HV138" s="6016"/>
      <c r="HW138" s="6016"/>
      <c r="HX138" s="6016"/>
      <c r="HY138" s="6016"/>
      <c r="HZ138" s="6016"/>
      <c r="IA138" s="6016"/>
      <c r="IB138" s="6016"/>
      <c r="IC138" s="6016"/>
      <c r="ID138" s="6016"/>
      <c r="IE138" s="6016"/>
      <c r="IF138" s="6016"/>
      <c r="IG138" s="6016"/>
      <c r="IH138" s="6016"/>
      <c r="II138" s="6016"/>
      <c r="IJ138" s="6016"/>
      <c r="IK138" s="6016"/>
      <c r="IL138" s="6016"/>
      <c r="IM138" s="6016"/>
      <c r="IN138" s="6016"/>
      <c r="IO138" s="6016"/>
      <c r="IP138" s="6016"/>
      <c r="IQ138" s="6016"/>
      <c r="IR138" s="6016"/>
      <c r="IS138" s="6016"/>
      <c r="IT138" s="6016"/>
      <c r="IU138" s="6016"/>
      <c r="IV138" s="6016"/>
      <c r="IW138" s="6016"/>
      <c r="IX138" s="6016"/>
      <c r="IY138" s="6016"/>
      <c r="IZ138" s="6016"/>
      <c r="JA138" s="6016"/>
      <c r="JB138" s="6016"/>
      <c r="JC138" s="6016"/>
      <c r="JD138" s="6016"/>
      <c r="JE138" s="6016"/>
      <c r="JF138" s="6016"/>
      <c r="JG138" s="6016"/>
      <c r="JH138" s="6016"/>
      <c r="JI138" s="6017"/>
      <c r="JM138" s="6015"/>
      <c r="JN138" s="6016"/>
      <c r="JO138" s="6016"/>
      <c r="JP138" s="6016"/>
      <c r="JQ138" s="6016"/>
      <c r="JR138" s="6016"/>
      <c r="JS138" s="6016"/>
      <c r="JT138" s="6016"/>
      <c r="JU138" s="6016"/>
      <c r="JV138" s="6016"/>
      <c r="JW138" s="6016"/>
      <c r="JX138" s="6016"/>
      <c r="JY138" s="6016"/>
      <c r="JZ138" s="6016"/>
      <c r="KA138" s="6016"/>
      <c r="KB138" s="6016"/>
      <c r="KC138" s="6016"/>
      <c r="KD138" s="6016"/>
      <c r="KE138" s="6016"/>
      <c r="KF138" s="6016"/>
      <c r="KG138" s="6016"/>
      <c r="KH138" s="6016"/>
      <c r="KI138" s="6016"/>
      <c r="KJ138" s="6016"/>
      <c r="KK138" s="6016"/>
      <c r="KL138" s="6016"/>
      <c r="KM138" s="6016"/>
      <c r="KN138" s="6016"/>
      <c r="KO138" s="6016"/>
      <c r="KP138" s="6016"/>
      <c r="KQ138" s="6016"/>
      <c r="KR138" s="6016"/>
      <c r="KS138" s="6016"/>
      <c r="KT138" s="6016"/>
      <c r="KU138" s="6016"/>
      <c r="KV138" s="6016"/>
      <c r="KW138" s="6016"/>
      <c r="KX138" s="6016"/>
      <c r="KY138" s="6016"/>
      <c r="KZ138" s="6016"/>
      <c r="LA138" s="6016"/>
      <c r="LB138" s="6017"/>
      <c r="LC138" s="7"/>
      <c r="LF138" s="6015"/>
      <c r="LG138" s="6016"/>
      <c r="LH138" s="6016"/>
      <c r="LI138" s="6016"/>
      <c r="LJ138" s="6016"/>
      <c r="LK138" s="6016"/>
      <c r="LL138" s="6016"/>
      <c r="LM138" s="6016"/>
      <c r="LN138" s="6016"/>
      <c r="LO138" s="6016"/>
      <c r="LP138" s="6016"/>
      <c r="LQ138" s="6016"/>
      <c r="LR138" s="6016"/>
      <c r="LS138" s="6016"/>
      <c r="LT138" s="6016"/>
      <c r="LU138" s="6016"/>
      <c r="LV138" s="6016"/>
      <c r="LW138" s="6016"/>
      <c r="LX138" s="6016"/>
      <c r="LY138" s="6016"/>
      <c r="LZ138" s="6016"/>
      <c r="MA138" s="6016"/>
      <c r="MB138" s="6016"/>
      <c r="MC138" s="6016"/>
      <c r="MD138" s="6016"/>
      <c r="ME138" s="6016"/>
      <c r="MF138" s="6016"/>
      <c r="MG138" s="6016"/>
      <c r="MH138" s="6016"/>
      <c r="MI138" s="6016"/>
      <c r="MJ138" s="6016"/>
      <c r="MK138" s="6016"/>
      <c r="ML138" s="6016"/>
      <c r="MM138" s="6016"/>
      <c r="MN138" s="6016"/>
      <c r="MO138" s="6016"/>
      <c r="MP138" s="6016"/>
      <c r="MQ138" s="6016"/>
      <c r="MR138" s="6016"/>
      <c r="MS138" s="6016"/>
      <c r="MT138" s="6016"/>
      <c r="MU138" s="6017"/>
      <c r="MV138" s="7"/>
      <c r="MY138" s="6015"/>
      <c r="MZ138" s="6016"/>
      <c r="NA138" s="6016"/>
      <c r="NB138" s="6016"/>
      <c r="NC138" s="6016"/>
      <c r="ND138" s="6016"/>
      <c r="NE138" s="6016"/>
      <c r="NF138" s="6016"/>
      <c r="NG138" s="6016"/>
      <c r="NH138" s="6016"/>
      <c r="NI138" s="6016"/>
      <c r="NJ138" s="6016"/>
      <c r="NK138" s="6016"/>
      <c r="NL138" s="6016"/>
      <c r="NM138" s="6016"/>
      <c r="NN138" s="6016"/>
      <c r="NO138" s="6016"/>
      <c r="NP138" s="6016"/>
      <c r="NQ138" s="6016"/>
      <c r="NR138" s="6016"/>
      <c r="NS138" s="6016"/>
      <c r="NT138" s="6016"/>
      <c r="NU138" s="6016"/>
      <c r="NV138" s="6016"/>
      <c r="NW138" s="6016"/>
      <c r="NX138" s="6016"/>
      <c r="NY138" s="6016"/>
      <c r="NZ138" s="6016"/>
      <c r="OA138" s="6016"/>
      <c r="OB138" s="6016"/>
      <c r="OC138" s="6016"/>
      <c r="OD138" s="6016"/>
      <c r="OE138" s="6016"/>
      <c r="OF138" s="6016"/>
      <c r="OG138" s="6016"/>
      <c r="OH138" s="6016"/>
      <c r="OI138" s="6016"/>
      <c r="OJ138" s="6016"/>
      <c r="OK138" s="6016"/>
      <c r="OL138" s="6016"/>
      <c r="OM138" s="6016"/>
      <c r="ON138" s="6017"/>
      <c r="OO138" s="7"/>
    </row>
    <row r="139" spans="3:405" s="6027" customFormat="1" ht="15" customHeight="1" thickBot="1" x14ac:dyDescent="0.25">
      <c r="C139" s="6018"/>
      <c r="D139" s="6019"/>
      <c r="E139" s="6779" t="str">
        <f>_Calcs!$II$94</f>
        <v/>
      </c>
      <c r="F139" s="6779"/>
      <c r="G139" s="6779"/>
      <c r="H139" s="6779"/>
      <c r="I139" s="6779"/>
      <c r="J139" s="6779"/>
      <c r="K139" s="6779"/>
      <c r="L139" s="6779"/>
      <c r="M139" s="6779"/>
      <c r="N139" s="6779"/>
      <c r="O139" s="6779"/>
      <c r="P139" s="6779"/>
      <c r="Q139" s="6779"/>
      <c r="R139" s="6779"/>
      <c r="S139" s="6779"/>
      <c r="T139" s="6779"/>
      <c r="U139" s="6779"/>
      <c r="V139" s="6779"/>
      <c r="W139" s="6779"/>
      <c r="X139" s="6779"/>
      <c r="Y139" s="6779"/>
      <c r="Z139" s="6779"/>
      <c r="AA139" s="6779"/>
      <c r="AB139" s="6779"/>
      <c r="AC139" s="6779"/>
      <c r="AD139" s="6779"/>
      <c r="AE139" s="6779"/>
      <c r="AF139" s="6779"/>
      <c r="AG139" s="6779"/>
      <c r="AH139" s="6779"/>
      <c r="AI139" s="6779"/>
      <c r="AJ139" s="6020"/>
      <c r="AK139" s="6021"/>
      <c r="AL139" s="6022"/>
      <c r="AM139" s="6023" t="str">
        <f>_Calcs!$IK$150</f>
        <v>Side 5 av 9</v>
      </c>
      <c r="AN139" s="6024"/>
      <c r="AO139" s="6024"/>
      <c r="AP139" s="6024"/>
      <c r="AQ139" s="6025"/>
      <c r="AR139" s="6026"/>
      <c r="AV139" s="6018"/>
      <c r="AW139" s="6019"/>
      <c r="AX139" s="6779" t="str">
        <f>_Calcs!$II$94</f>
        <v/>
      </c>
      <c r="AY139" s="6779"/>
      <c r="AZ139" s="6779"/>
      <c r="BA139" s="6779"/>
      <c r="BB139" s="6779"/>
      <c r="BC139" s="6779"/>
      <c r="BD139" s="6779"/>
      <c r="BE139" s="6779"/>
      <c r="BF139" s="6779"/>
      <c r="BG139" s="6779"/>
      <c r="BH139" s="6779"/>
      <c r="BI139" s="6779"/>
      <c r="BJ139" s="6779"/>
      <c r="BK139" s="6779"/>
      <c r="BL139" s="6779"/>
      <c r="BM139" s="6779"/>
      <c r="BN139" s="6779"/>
      <c r="BO139" s="6779"/>
      <c r="BP139" s="6779"/>
      <c r="BQ139" s="6779"/>
      <c r="BR139" s="6779"/>
      <c r="BS139" s="6779"/>
      <c r="BT139" s="6779"/>
      <c r="BU139" s="6779"/>
      <c r="BV139" s="6779"/>
      <c r="BW139" s="6779"/>
      <c r="BX139" s="6779"/>
      <c r="BY139" s="6779"/>
      <c r="BZ139" s="6779"/>
      <c r="CA139" s="6779"/>
      <c r="CB139" s="6779"/>
      <c r="CC139" s="6020"/>
      <c r="CD139" s="6021"/>
      <c r="CE139" s="6022"/>
      <c r="CF139" s="6023" t="str">
        <f>_Calcs!$IL$150</f>
        <v>Side 5 av 9</v>
      </c>
      <c r="CG139" s="6024"/>
      <c r="CH139" s="6024"/>
      <c r="CI139" s="6024"/>
      <c r="CJ139" s="6025"/>
      <c r="CK139" s="6026"/>
      <c r="CO139" s="6018"/>
      <c r="CP139" s="6019"/>
      <c r="CQ139" s="6779" t="str">
        <f>_Calcs!$II$94</f>
        <v/>
      </c>
      <c r="CR139" s="6779"/>
      <c r="CS139" s="6779"/>
      <c r="CT139" s="6779"/>
      <c r="CU139" s="6779"/>
      <c r="CV139" s="6779"/>
      <c r="CW139" s="6779"/>
      <c r="CX139" s="6779"/>
      <c r="CY139" s="6779"/>
      <c r="CZ139" s="6779"/>
      <c r="DA139" s="6779"/>
      <c r="DB139" s="6779"/>
      <c r="DC139" s="6779"/>
      <c r="DD139" s="6779"/>
      <c r="DE139" s="6779"/>
      <c r="DF139" s="6779"/>
      <c r="DG139" s="6779"/>
      <c r="DH139" s="6779"/>
      <c r="DI139" s="6779"/>
      <c r="DJ139" s="6779"/>
      <c r="DK139" s="6779"/>
      <c r="DL139" s="6779"/>
      <c r="DM139" s="6779"/>
      <c r="DN139" s="6779"/>
      <c r="DO139" s="6779"/>
      <c r="DP139" s="6779"/>
      <c r="DQ139" s="6779"/>
      <c r="DR139" s="6779"/>
      <c r="DS139" s="6779"/>
      <c r="DT139" s="6779"/>
      <c r="DU139" s="6779"/>
      <c r="DV139" s="6020"/>
      <c r="DW139" s="6021"/>
      <c r="DX139" s="6022"/>
      <c r="DY139" s="6023" t="str">
        <f>_Calcs!$IM$150</f>
        <v>Side 5 av 9</v>
      </c>
      <c r="DZ139" s="6024"/>
      <c r="EA139" s="6024"/>
      <c r="EB139" s="6024"/>
      <c r="EC139" s="6025"/>
      <c r="ED139" s="6026"/>
      <c r="EH139" s="6018"/>
      <c r="EI139" s="6019"/>
      <c r="EJ139" s="6779" t="str">
        <f>_Calcs!$II$94</f>
        <v/>
      </c>
      <c r="EK139" s="6779"/>
      <c r="EL139" s="6779"/>
      <c r="EM139" s="6779"/>
      <c r="EN139" s="6779"/>
      <c r="EO139" s="6779"/>
      <c r="EP139" s="6779"/>
      <c r="EQ139" s="6779"/>
      <c r="ER139" s="6779"/>
      <c r="ES139" s="6779"/>
      <c r="ET139" s="6779"/>
      <c r="EU139" s="6779"/>
      <c r="EV139" s="6779"/>
      <c r="EW139" s="6779"/>
      <c r="EX139" s="6779"/>
      <c r="EY139" s="6779"/>
      <c r="EZ139" s="6779"/>
      <c r="FA139" s="6779"/>
      <c r="FB139" s="6779"/>
      <c r="FC139" s="6779"/>
      <c r="FD139" s="6779"/>
      <c r="FE139" s="6779"/>
      <c r="FF139" s="6779"/>
      <c r="FG139" s="6779"/>
      <c r="FH139" s="6779"/>
      <c r="FI139" s="6779"/>
      <c r="FJ139" s="6779"/>
      <c r="FK139" s="6779"/>
      <c r="FL139" s="6779"/>
      <c r="FM139" s="6779"/>
      <c r="FN139" s="6779"/>
      <c r="FO139" s="6020"/>
      <c r="FP139" s="6021"/>
      <c r="FQ139" s="6022"/>
      <c r="FR139" s="6023" t="str">
        <f>_Calcs!$IN$150</f>
        <v>Side 5 av 9</v>
      </c>
      <c r="FS139" s="6024"/>
      <c r="FT139" s="6024"/>
      <c r="FU139" s="6024"/>
      <c r="FV139" s="6025"/>
      <c r="FW139" s="6026"/>
      <c r="GA139" s="6018"/>
      <c r="GB139" s="6019"/>
      <c r="GC139" s="6779" t="str">
        <f>_Calcs!$II$94</f>
        <v/>
      </c>
      <c r="GD139" s="6779"/>
      <c r="GE139" s="6779"/>
      <c r="GF139" s="6779"/>
      <c r="GG139" s="6779"/>
      <c r="GH139" s="6779"/>
      <c r="GI139" s="6779"/>
      <c r="GJ139" s="6779"/>
      <c r="GK139" s="6779"/>
      <c r="GL139" s="6779"/>
      <c r="GM139" s="6779"/>
      <c r="GN139" s="6779"/>
      <c r="GO139" s="6779"/>
      <c r="GP139" s="6779"/>
      <c r="GQ139" s="6779"/>
      <c r="GR139" s="6779"/>
      <c r="GS139" s="6779"/>
      <c r="GT139" s="6779"/>
      <c r="GU139" s="6779"/>
      <c r="GV139" s="6779"/>
      <c r="GW139" s="6779"/>
      <c r="GX139" s="6779"/>
      <c r="GY139" s="6779"/>
      <c r="GZ139" s="6779"/>
      <c r="HA139" s="6779"/>
      <c r="HB139" s="6779"/>
      <c r="HC139" s="6779"/>
      <c r="HD139" s="6779"/>
      <c r="HE139" s="6779"/>
      <c r="HF139" s="6779"/>
      <c r="HG139" s="6779"/>
      <c r="HH139" s="6020"/>
      <c r="HI139" s="6021"/>
      <c r="HJ139" s="6022"/>
      <c r="HK139" s="6023" t="str">
        <f>_Calcs!$IO$150</f>
        <v>Side 5 av 9</v>
      </c>
      <c r="HL139" s="6024"/>
      <c r="HM139" s="6024"/>
      <c r="HN139" s="6024"/>
      <c r="HO139" s="6025"/>
      <c r="HP139" s="6026"/>
      <c r="HT139" s="6018"/>
      <c r="HU139" s="6019"/>
      <c r="HV139" s="6779" t="str">
        <f>_Calcs!$II$94</f>
        <v/>
      </c>
      <c r="HW139" s="6779"/>
      <c r="HX139" s="6779"/>
      <c r="HY139" s="6779"/>
      <c r="HZ139" s="6779"/>
      <c r="IA139" s="6779"/>
      <c r="IB139" s="6779"/>
      <c r="IC139" s="6779"/>
      <c r="ID139" s="6779"/>
      <c r="IE139" s="6779"/>
      <c r="IF139" s="6779"/>
      <c r="IG139" s="6779"/>
      <c r="IH139" s="6779"/>
      <c r="II139" s="6779"/>
      <c r="IJ139" s="6779"/>
      <c r="IK139" s="6779"/>
      <c r="IL139" s="6779"/>
      <c r="IM139" s="6779"/>
      <c r="IN139" s="6779"/>
      <c r="IO139" s="6779"/>
      <c r="IP139" s="6779"/>
      <c r="IQ139" s="6779"/>
      <c r="IR139" s="6779"/>
      <c r="IS139" s="6779"/>
      <c r="IT139" s="6779"/>
      <c r="IU139" s="6779"/>
      <c r="IV139" s="6779"/>
      <c r="IW139" s="6779"/>
      <c r="IX139" s="6779"/>
      <c r="IY139" s="6779"/>
      <c r="IZ139" s="6779"/>
      <c r="JA139" s="6020"/>
      <c r="JB139" s="6021"/>
      <c r="JC139" s="6022"/>
      <c r="JD139" s="6023" t="str">
        <f>_Calcs!$IP$150</f>
        <v>Side 5 av 9</v>
      </c>
      <c r="JE139" s="6024"/>
      <c r="JF139" s="6024"/>
      <c r="JG139" s="6024"/>
      <c r="JH139" s="6025"/>
      <c r="JI139" s="6026"/>
      <c r="JM139" s="6018"/>
      <c r="JN139" s="6019"/>
      <c r="JO139" s="6779" t="str">
        <f>_Calcs!$II$94</f>
        <v/>
      </c>
      <c r="JP139" s="6779"/>
      <c r="JQ139" s="6779"/>
      <c r="JR139" s="6779"/>
      <c r="JS139" s="6779"/>
      <c r="JT139" s="6779"/>
      <c r="JU139" s="6779"/>
      <c r="JV139" s="6779"/>
      <c r="JW139" s="6779"/>
      <c r="JX139" s="6779"/>
      <c r="JY139" s="6779"/>
      <c r="JZ139" s="6779"/>
      <c r="KA139" s="6779"/>
      <c r="KB139" s="6779"/>
      <c r="KC139" s="6779"/>
      <c r="KD139" s="6779"/>
      <c r="KE139" s="6779"/>
      <c r="KF139" s="6779"/>
      <c r="KG139" s="6779"/>
      <c r="KH139" s="6779"/>
      <c r="KI139" s="6779"/>
      <c r="KJ139" s="6779"/>
      <c r="KK139" s="6779"/>
      <c r="KL139" s="6779"/>
      <c r="KM139" s="6779"/>
      <c r="KN139" s="6779"/>
      <c r="KO139" s="6779"/>
      <c r="KP139" s="6779"/>
      <c r="KQ139" s="6779"/>
      <c r="KR139" s="6779"/>
      <c r="KS139" s="6779"/>
      <c r="KT139" s="6020"/>
      <c r="KU139" s="6021"/>
      <c r="KV139" s="6022"/>
      <c r="KW139" s="6023" t="str">
        <f>_Calcs!$IQ$150</f>
        <v>Side 5 av 9</v>
      </c>
      <c r="KX139" s="6024"/>
      <c r="KY139" s="6024"/>
      <c r="KZ139" s="6024"/>
      <c r="LA139" s="6025"/>
      <c r="LB139" s="6026"/>
      <c r="LC139" s="7"/>
      <c r="LF139" s="6018"/>
      <c r="LG139" s="6019"/>
      <c r="LH139" s="6779" t="str">
        <f>_Calcs!$II$94</f>
        <v/>
      </c>
      <c r="LI139" s="6779"/>
      <c r="LJ139" s="6779"/>
      <c r="LK139" s="6779"/>
      <c r="LL139" s="6779"/>
      <c r="LM139" s="6779"/>
      <c r="LN139" s="6779"/>
      <c r="LO139" s="6779"/>
      <c r="LP139" s="6779"/>
      <c r="LQ139" s="6779"/>
      <c r="LR139" s="6779"/>
      <c r="LS139" s="6779"/>
      <c r="LT139" s="6779"/>
      <c r="LU139" s="6779"/>
      <c r="LV139" s="6779"/>
      <c r="LW139" s="6779"/>
      <c r="LX139" s="6779"/>
      <c r="LY139" s="6779"/>
      <c r="LZ139" s="6779"/>
      <c r="MA139" s="6779"/>
      <c r="MB139" s="6779"/>
      <c r="MC139" s="6779"/>
      <c r="MD139" s="6779"/>
      <c r="ME139" s="6779"/>
      <c r="MF139" s="6779"/>
      <c r="MG139" s="6779"/>
      <c r="MH139" s="6779"/>
      <c r="MI139" s="6779"/>
      <c r="MJ139" s="6779"/>
      <c r="MK139" s="6779"/>
      <c r="ML139" s="6779"/>
      <c r="MM139" s="6020"/>
      <c r="MN139" s="6021"/>
      <c r="MO139" s="6022"/>
      <c r="MP139" s="6023" t="str">
        <f>_Calcs!$IR$150</f>
        <v>Side 5 av 9</v>
      </c>
      <c r="MQ139" s="6024"/>
      <c r="MR139" s="6024"/>
      <c r="MS139" s="6024"/>
      <c r="MT139" s="6025"/>
      <c r="MU139" s="6026"/>
      <c r="MV139" s="7"/>
      <c r="MY139" s="6018"/>
      <c r="MZ139" s="6019"/>
      <c r="NA139" s="6779" t="str">
        <f>_Calcs!$II$94</f>
        <v/>
      </c>
      <c r="NB139" s="6779"/>
      <c r="NC139" s="6779"/>
      <c r="ND139" s="6779"/>
      <c r="NE139" s="6779"/>
      <c r="NF139" s="6779"/>
      <c r="NG139" s="6779"/>
      <c r="NH139" s="6779"/>
      <c r="NI139" s="6779"/>
      <c r="NJ139" s="6779"/>
      <c r="NK139" s="6779"/>
      <c r="NL139" s="6779"/>
      <c r="NM139" s="6779"/>
      <c r="NN139" s="6779"/>
      <c r="NO139" s="6779"/>
      <c r="NP139" s="6779"/>
      <c r="NQ139" s="6779"/>
      <c r="NR139" s="6779"/>
      <c r="NS139" s="6779"/>
      <c r="NT139" s="6779"/>
      <c r="NU139" s="6779"/>
      <c r="NV139" s="6779"/>
      <c r="NW139" s="6779"/>
      <c r="NX139" s="6779"/>
      <c r="NY139" s="6779"/>
      <c r="NZ139" s="6779"/>
      <c r="OA139" s="6779"/>
      <c r="OB139" s="6779"/>
      <c r="OC139" s="6779"/>
      <c r="OD139" s="6779"/>
      <c r="OE139" s="6779"/>
      <c r="OF139" s="6020"/>
      <c r="OG139" s="6021"/>
      <c r="OH139" s="6022"/>
      <c r="OI139" s="6023" t="str">
        <f>_Calcs!$IS$150</f>
        <v>Side 5 av 9</v>
      </c>
      <c r="OJ139" s="6024"/>
      <c r="OK139" s="6024"/>
      <c r="OL139" s="6024"/>
      <c r="OM139" s="6025"/>
      <c r="ON139" s="6026"/>
      <c r="OO139" s="7"/>
    </row>
    <row r="140" spans="3:405" ht="5.0999999999999996" customHeight="1" thickBot="1" x14ac:dyDescent="0.25">
      <c r="C140" s="6028"/>
      <c r="D140" s="979"/>
      <c r="E140" s="3489"/>
      <c r="F140" s="3489"/>
      <c r="G140" s="3489"/>
      <c r="H140" s="3489"/>
      <c r="I140" s="3489"/>
      <c r="J140" s="3489"/>
      <c r="K140" s="3489"/>
      <c r="L140" s="3489"/>
      <c r="M140" s="3489"/>
      <c r="N140" s="3489"/>
      <c r="O140" s="3489"/>
      <c r="P140" s="3489"/>
      <c r="Q140" s="3489"/>
      <c r="R140" s="3489"/>
      <c r="S140" s="3489"/>
      <c r="T140" s="3489"/>
      <c r="U140" s="3489"/>
      <c r="V140" s="3489"/>
      <c r="W140" s="3489"/>
      <c r="X140" s="3489"/>
      <c r="Y140" s="3489"/>
      <c r="Z140" s="3489"/>
      <c r="AA140" s="3489"/>
      <c r="AB140" s="3489"/>
      <c r="AC140" s="3489"/>
      <c r="AD140" s="3489"/>
      <c r="AE140" s="3489"/>
      <c r="AF140" s="3489"/>
      <c r="AG140" s="3489"/>
      <c r="AH140" s="3489"/>
      <c r="AI140" s="3489"/>
      <c r="AJ140" s="979"/>
      <c r="AK140" s="979"/>
      <c r="AL140" s="979"/>
      <c r="AM140" s="979"/>
      <c r="AN140" s="979"/>
      <c r="AO140" s="979"/>
      <c r="AP140" s="979"/>
      <c r="AQ140" s="979"/>
      <c r="AR140" s="6029"/>
      <c r="AV140" s="6028"/>
      <c r="AW140" s="979"/>
      <c r="AX140" s="3489"/>
      <c r="AY140" s="3489"/>
      <c r="AZ140" s="3489"/>
      <c r="BA140" s="3489"/>
      <c r="BB140" s="3489"/>
      <c r="BC140" s="3489"/>
      <c r="BD140" s="3489"/>
      <c r="BE140" s="3489"/>
      <c r="BF140" s="3489"/>
      <c r="BG140" s="3489"/>
      <c r="BH140" s="3489"/>
      <c r="BI140" s="3489"/>
      <c r="BJ140" s="3489"/>
      <c r="BK140" s="3489"/>
      <c r="BL140" s="3489"/>
      <c r="BM140" s="3489"/>
      <c r="BN140" s="3489"/>
      <c r="BO140" s="3489"/>
      <c r="BP140" s="3489"/>
      <c r="BQ140" s="3489"/>
      <c r="BR140" s="3489"/>
      <c r="BS140" s="3489"/>
      <c r="BT140" s="3489"/>
      <c r="BU140" s="3489"/>
      <c r="BV140" s="3489"/>
      <c r="BW140" s="3489"/>
      <c r="BX140" s="3489"/>
      <c r="BY140" s="3489"/>
      <c r="BZ140" s="3489"/>
      <c r="CA140" s="3489"/>
      <c r="CB140" s="3489"/>
      <c r="CC140" s="979"/>
      <c r="CD140" s="979"/>
      <c r="CE140" s="979"/>
      <c r="CF140" s="979"/>
      <c r="CG140" s="979"/>
      <c r="CH140" s="979"/>
      <c r="CI140" s="979"/>
      <c r="CJ140" s="979"/>
      <c r="CK140" s="6029"/>
      <c r="CO140" s="6028"/>
      <c r="CP140" s="979"/>
      <c r="CQ140" s="3489"/>
      <c r="CR140" s="3489"/>
      <c r="CS140" s="3489"/>
      <c r="CT140" s="3489"/>
      <c r="CU140" s="3489"/>
      <c r="CV140" s="3489"/>
      <c r="CW140" s="3489"/>
      <c r="CX140" s="3489"/>
      <c r="CY140" s="3489"/>
      <c r="CZ140" s="3489"/>
      <c r="DA140" s="3489"/>
      <c r="DB140" s="3489"/>
      <c r="DC140" s="3489"/>
      <c r="DD140" s="3489"/>
      <c r="DE140" s="3489"/>
      <c r="DF140" s="3489"/>
      <c r="DG140" s="3489"/>
      <c r="DH140" s="3489"/>
      <c r="DI140" s="3489"/>
      <c r="DJ140" s="3489"/>
      <c r="DK140" s="3489"/>
      <c r="DL140" s="3489"/>
      <c r="DM140" s="3489"/>
      <c r="DN140" s="3489"/>
      <c r="DO140" s="3489"/>
      <c r="DP140" s="3489"/>
      <c r="DQ140" s="3489"/>
      <c r="DR140" s="3489"/>
      <c r="DS140" s="3489"/>
      <c r="DT140" s="3489"/>
      <c r="DU140" s="3489"/>
      <c r="DV140" s="979"/>
      <c r="DW140" s="979"/>
      <c r="DX140" s="979"/>
      <c r="DY140" s="979"/>
      <c r="DZ140" s="979"/>
      <c r="EA140" s="979"/>
      <c r="EB140" s="979"/>
      <c r="EC140" s="979"/>
      <c r="ED140" s="6029"/>
      <c r="EH140" s="6028"/>
      <c r="EI140" s="979"/>
      <c r="EJ140" s="3489"/>
      <c r="EK140" s="3489"/>
      <c r="EL140" s="3489"/>
      <c r="EM140" s="3489"/>
      <c r="EN140" s="3489"/>
      <c r="EO140" s="3489"/>
      <c r="EP140" s="3489"/>
      <c r="EQ140" s="3489"/>
      <c r="ER140" s="3489"/>
      <c r="ES140" s="3489"/>
      <c r="ET140" s="3489"/>
      <c r="EU140" s="3489"/>
      <c r="EV140" s="3489"/>
      <c r="EW140" s="3489"/>
      <c r="EX140" s="3489"/>
      <c r="EY140" s="3489"/>
      <c r="EZ140" s="3489"/>
      <c r="FA140" s="3489"/>
      <c r="FB140" s="3489"/>
      <c r="FC140" s="3489"/>
      <c r="FD140" s="3489"/>
      <c r="FE140" s="3489"/>
      <c r="FF140" s="3489"/>
      <c r="FG140" s="3489"/>
      <c r="FH140" s="3489"/>
      <c r="FI140" s="3489"/>
      <c r="FJ140" s="3489"/>
      <c r="FK140" s="3489"/>
      <c r="FL140" s="3489"/>
      <c r="FM140" s="3489"/>
      <c r="FN140" s="3489"/>
      <c r="FO140" s="979"/>
      <c r="FP140" s="979"/>
      <c r="FQ140" s="979"/>
      <c r="FR140" s="979"/>
      <c r="FS140" s="979"/>
      <c r="FT140" s="979"/>
      <c r="FU140" s="979"/>
      <c r="FV140" s="979"/>
      <c r="FW140" s="6029"/>
      <c r="GA140" s="6028"/>
      <c r="GB140" s="979"/>
      <c r="GC140" s="3489"/>
      <c r="GD140" s="3489"/>
      <c r="GE140" s="3489"/>
      <c r="GF140" s="3489"/>
      <c r="GG140" s="3489"/>
      <c r="GH140" s="3489"/>
      <c r="GI140" s="3489"/>
      <c r="GJ140" s="3489"/>
      <c r="GK140" s="3489"/>
      <c r="GL140" s="3489"/>
      <c r="GM140" s="3489"/>
      <c r="GN140" s="3489"/>
      <c r="GO140" s="3489"/>
      <c r="GP140" s="3489"/>
      <c r="GQ140" s="3489"/>
      <c r="GR140" s="3489"/>
      <c r="GS140" s="3489"/>
      <c r="GT140" s="3489"/>
      <c r="GU140" s="3489"/>
      <c r="GV140" s="3489"/>
      <c r="GW140" s="3489"/>
      <c r="GX140" s="3489"/>
      <c r="GY140" s="3489"/>
      <c r="GZ140" s="3489"/>
      <c r="HA140" s="3489"/>
      <c r="HB140" s="3489"/>
      <c r="HC140" s="3489"/>
      <c r="HD140" s="3489"/>
      <c r="HE140" s="3489"/>
      <c r="HF140" s="3489"/>
      <c r="HG140" s="3489"/>
      <c r="HH140" s="979"/>
      <c r="HI140" s="979"/>
      <c r="HJ140" s="979"/>
      <c r="HK140" s="979"/>
      <c r="HL140" s="979"/>
      <c r="HM140" s="979"/>
      <c r="HN140" s="979"/>
      <c r="HO140" s="979"/>
      <c r="HP140" s="6029"/>
      <c r="HT140" s="6028"/>
      <c r="HU140" s="979"/>
      <c r="HV140" s="3489"/>
      <c r="HW140" s="3489"/>
      <c r="HX140" s="3489"/>
      <c r="HY140" s="3489"/>
      <c r="HZ140" s="3489"/>
      <c r="IA140" s="3489"/>
      <c r="IB140" s="3489"/>
      <c r="IC140" s="3489"/>
      <c r="ID140" s="3489"/>
      <c r="IE140" s="3489"/>
      <c r="IF140" s="3489"/>
      <c r="IG140" s="3489"/>
      <c r="IH140" s="3489"/>
      <c r="II140" s="3489"/>
      <c r="IJ140" s="3489"/>
      <c r="IK140" s="3489"/>
      <c r="IL140" s="3489"/>
      <c r="IM140" s="3489"/>
      <c r="IN140" s="3489"/>
      <c r="IO140" s="3489"/>
      <c r="IP140" s="3489"/>
      <c r="IQ140" s="3489"/>
      <c r="IR140" s="3489"/>
      <c r="IS140" s="3489"/>
      <c r="IT140" s="3489"/>
      <c r="IU140" s="3489"/>
      <c r="IV140" s="3489"/>
      <c r="IW140" s="3489"/>
      <c r="IX140" s="3489"/>
      <c r="IY140" s="3489"/>
      <c r="IZ140" s="3489"/>
      <c r="JA140" s="979"/>
      <c r="JB140" s="979"/>
      <c r="JC140" s="979"/>
      <c r="JD140" s="979"/>
      <c r="JE140" s="979"/>
      <c r="JF140" s="979"/>
      <c r="JG140" s="979"/>
      <c r="JH140" s="979"/>
      <c r="JI140" s="6029"/>
      <c r="JM140" s="6028"/>
      <c r="JN140" s="979"/>
      <c r="JO140" s="3489"/>
      <c r="JP140" s="3489"/>
      <c r="JQ140" s="3489"/>
      <c r="JR140" s="3489"/>
      <c r="JS140" s="3489"/>
      <c r="JT140" s="3489"/>
      <c r="JU140" s="3489"/>
      <c r="JV140" s="3489"/>
      <c r="JW140" s="3489"/>
      <c r="JX140" s="3489"/>
      <c r="JY140" s="3489"/>
      <c r="JZ140" s="3489"/>
      <c r="KA140" s="3489"/>
      <c r="KB140" s="3489"/>
      <c r="KC140" s="3489"/>
      <c r="KD140" s="3489"/>
      <c r="KE140" s="3489"/>
      <c r="KF140" s="3489"/>
      <c r="KG140" s="3489"/>
      <c r="KH140" s="3489"/>
      <c r="KI140" s="3489"/>
      <c r="KJ140" s="3489"/>
      <c r="KK140" s="3489"/>
      <c r="KL140" s="3489"/>
      <c r="KM140" s="3489"/>
      <c r="KN140" s="3489"/>
      <c r="KO140" s="3489"/>
      <c r="KP140" s="3489"/>
      <c r="KQ140" s="3489"/>
      <c r="KR140" s="3489"/>
      <c r="KS140" s="3489"/>
      <c r="KT140" s="979"/>
      <c r="KU140" s="979"/>
      <c r="KV140" s="979"/>
      <c r="KW140" s="979"/>
      <c r="KX140" s="979"/>
      <c r="KY140" s="979"/>
      <c r="KZ140" s="979"/>
      <c r="LA140" s="979"/>
      <c r="LB140" s="6029"/>
      <c r="LC140" s="7"/>
      <c r="LF140" s="6028"/>
      <c r="LG140" s="979"/>
      <c r="LH140" s="3489"/>
      <c r="LI140" s="3489"/>
      <c r="LJ140" s="3489"/>
      <c r="LK140" s="3489"/>
      <c r="LL140" s="3489"/>
      <c r="LM140" s="3489"/>
      <c r="LN140" s="3489"/>
      <c r="LO140" s="3489"/>
      <c r="LP140" s="3489"/>
      <c r="LQ140" s="3489"/>
      <c r="LR140" s="3489"/>
      <c r="LS140" s="3489"/>
      <c r="LT140" s="3489"/>
      <c r="LU140" s="3489"/>
      <c r="LV140" s="3489"/>
      <c r="LW140" s="3489"/>
      <c r="LX140" s="3489"/>
      <c r="LY140" s="3489"/>
      <c r="LZ140" s="3489"/>
      <c r="MA140" s="3489"/>
      <c r="MB140" s="3489"/>
      <c r="MC140" s="3489"/>
      <c r="MD140" s="3489"/>
      <c r="ME140" s="3489"/>
      <c r="MF140" s="3489"/>
      <c r="MG140" s="3489"/>
      <c r="MH140" s="3489"/>
      <c r="MI140" s="3489"/>
      <c r="MJ140" s="3489"/>
      <c r="MK140" s="3489"/>
      <c r="ML140" s="3489"/>
      <c r="MM140" s="979"/>
      <c r="MN140" s="979"/>
      <c r="MO140" s="979"/>
      <c r="MP140" s="979"/>
      <c r="MQ140" s="979"/>
      <c r="MR140" s="979"/>
      <c r="MS140" s="979"/>
      <c r="MT140" s="979"/>
      <c r="MU140" s="6029"/>
      <c r="MV140" s="7"/>
      <c r="MY140" s="6028"/>
      <c r="MZ140" s="979"/>
      <c r="NA140" s="3489"/>
      <c r="NB140" s="3489"/>
      <c r="NC140" s="3489"/>
      <c r="ND140" s="3489"/>
      <c r="NE140" s="3489"/>
      <c r="NF140" s="3489"/>
      <c r="NG140" s="3489"/>
      <c r="NH140" s="3489"/>
      <c r="NI140" s="3489"/>
      <c r="NJ140" s="3489"/>
      <c r="NK140" s="3489"/>
      <c r="NL140" s="3489"/>
      <c r="NM140" s="3489"/>
      <c r="NN140" s="3489"/>
      <c r="NO140" s="3489"/>
      <c r="NP140" s="3489"/>
      <c r="NQ140" s="3489"/>
      <c r="NR140" s="3489"/>
      <c r="NS140" s="3489"/>
      <c r="NT140" s="3489"/>
      <c r="NU140" s="3489"/>
      <c r="NV140" s="3489"/>
      <c r="NW140" s="3489"/>
      <c r="NX140" s="3489"/>
      <c r="NY140" s="3489"/>
      <c r="NZ140" s="3489"/>
      <c r="OA140" s="3489"/>
      <c r="OB140" s="3489"/>
      <c r="OC140" s="3489"/>
      <c r="OD140" s="3489"/>
      <c r="OE140" s="3489"/>
      <c r="OF140" s="979"/>
      <c r="OG140" s="979"/>
      <c r="OH140" s="979"/>
      <c r="OI140" s="979"/>
      <c r="OJ140" s="979"/>
      <c r="OK140" s="979"/>
      <c r="OL140" s="979"/>
      <c r="OM140" s="979"/>
      <c r="ON140" s="6029"/>
      <c r="OO140" s="7"/>
    </row>
    <row r="141" spans="3:405" s="6031" customFormat="1" ht="15" customHeight="1" thickBot="1" x14ac:dyDescent="0.25">
      <c r="C141" s="6018"/>
      <c r="D141" s="6019"/>
      <c r="E141" s="6778" t="str">
        <f>_Calcs!$T$19</f>
        <v/>
      </c>
      <c r="F141" s="6778"/>
      <c r="G141" s="6778"/>
      <c r="H141" s="6778"/>
      <c r="I141" s="6778"/>
      <c r="J141" s="6778"/>
      <c r="K141" s="6778"/>
      <c r="L141" s="6778"/>
      <c r="M141" s="6778"/>
      <c r="N141" s="6778"/>
      <c r="O141" s="6778"/>
      <c r="P141" s="6778"/>
      <c r="Q141" s="6778"/>
      <c r="R141" s="6778"/>
      <c r="S141" s="6778"/>
      <c r="T141" s="6778"/>
      <c r="U141" s="6778"/>
      <c r="V141" s="6778"/>
      <c r="W141" s="6778"/>
      <c r="X141" s="6778"/>
      <c r="Y141" s="6778"/>
      <c r="Z141" s="6778"/>
      <c r="AA141" s="6778"/>
      <c r="AB141" s="6778"/>
      <c r="AC141" s="6778"/>
      <c r="AD141" s="6778"/>
      <c r="AE141" s="6778"/>
      <c r="AF141" s="6778"/>
      <c r="AG141" s="6778"/>
      <c r="AH141" s="6778"/>
      <c r="AI141" s="6778"/>
      <c r="AJ141" s="6778"/>
      <c r="AK141" s="6778"/>
      <c r="AL141" s="6778"/>
      <c r="AM141" s="6778"/>
      <c r="AN141" s="6778"/>
      <c r="AO141" s="6778"/>
      <c r="AP141" s="6778"/>
      <c r="AQ141" s="6030"/>
      <c r="AR141" s="6026"/>
      <c r="AV141" s="6018"/>
      <c r="AW141" s="6019"/>
      <c r="AX141" s="6778" t="str">
        <f>_Calcs!$T$19</f>
        <v/>
      </c>
      <c r="AY141" s="6778"/>
      <c r="AZ141" s="6778"/>
      <c r="BA141" s="6778"/>
      <c r="BB141" s="6778"/>
      <c r="BC141" s="6778"/>
      <c r="BD141" s="6778"/>
      <c r="BE141" s="6778"/>
      <c r="BF141" s="6778"/>
      <c r="BG141" s="6778"/>
      <c r="BH141" s="6778"/>
      <c r="BI141" s="6778"/>
      <c r="BJ141" s="6778"/>
      <c r="BK141" s="6778"/>
      <c r="BL141" s="6778"/>
      <c r="BM141" s="6778"/>
      <c r="BN141" s="6778"/>
      <c r="BO141" s="6778"/>
      <c r="BP141" s="6778"/>
      <c r="BQ141" s="6778"/>
      <c r="BR141" s="6778"/>
      <c r="BS141" s="6778"/>
      <c r="BT141" s="6778"/>
      <c r="BU141" s="6778"/>
      <c r="BV141" s="6778"/>
      <c r="BW141" s="6778"/>
      <c r="BX141" s="6778"/>
      <c r="BY141" s="6778"/>
      <c r="BZ141" s="6778"/>
      <c r="CA141" s="6778"/>
      <c r="CB141" s="6778"/>
      <c r="CC141" s="6778"/>
      <c r="CD141" s="6778"/>
      <c r="CE141" s="6778"/>
      <c r="CF141" s="6778"/>
      <c r="CG141" s="6778"/>
      <c r="CH141" s="6778"/>
      <c r="CI141" s="6778"/>
      <c r="CJ141" s="6030"/>
      <c r="CK141" s="6026"/>
      <c r="CO141" s="6018"/>
      <c r="CP141" s="6019"/>
      <c r="CQ141" s="6778" t="str">
        <f>_Calcs!$T$19</f>
        <v/>
      </c>
      <c r="CR141" s="6778"/>
      <c r="CS141" s="6778"/>
      <c r="CT141" s="6778"/>
      <c r="CU141" s="6778"/>
      <c r="CV141" s="6778"/>
      <c r="CW141" s="6778"/>
      <c r="CX141" s="6778"/>
      <c r="CY141" s="6778"/>
      <c r="CZ141" s="6778"/>
      <c r="DA141" s="6778"/>
      <c r="DB141" s="6778"/>
      <c r="DC141" s="6778"/>
      <c r="DD141" s="6778"/>
      <c r="DE141" s="6778"/>
      <c r="DF141" s="6778"/>
      <c r="DG141" s="6778"/>
      <c r="DH141" s="6778"/>
      <c r="DI141" s="6778"/>
      <c r="DJ141" s="6778"/>
      <c r="DK141" s="6778"/>
      <c r="DL141" s="6778"/>
      <c r="DM141" s="6778"/>
      <c r="DN141" s="6778"/>
      <c r="DO141" s="6778"/>
      <c r="DP141" s="6778"/>
      <c r="DQ141" s="6778"/>
      <c r="DR141" s="6778"/>
      <c r="DS141" s="6778"/>
      <c r="DT141" s="6778"/>
      <c r="DU141" s="6778"/>
      <c r="DV141" s="6778"/>
      <c r="DW141" s="6778"/>
      <c r="DX141" s="6778"/>
      <c r="DY141" s="6778"/>
      <c r="DZ141" s="6778"/>
      <c r="EA141" s="6778"/>
      <c r="EB141" s="6778"/>
      <c r="EC141" s="6030"/>
      <c r="ED141" s="6026"/>
      <c r="EH141" s="6018"/>
      <c r="EI141" s="6019"/>
      <c r="EJ141" s="6778" t="str">
        <f>_Calcs!$T$19</f>
        <v/>
      </c>
      <c r="EK141" s="6778"/>
      <c r="EL141" s="6778"/>
      <c r="EM141" s="6778"/>
      <c r="EN141" s="6778"/>
      <c r="EO141" s="6778"/>
      <c r="EP141" s="6778"/>
      <c r="EQ141" s="6778"/>
      <c r="ER141" s="6778"/>
      <c r="ES141" s="6778"/>
      <c r="ET141" s="6778"/>
      <c r="EU141" s="6778"/>
      <c r="EV141" s="6778"/>
      <c r="EW141" s="6778"/>
      <c r="EX141" s="6778"/>
      <c r="EY141" s="6778"/>
      <c r="EZ141" s="6778"/>
      <c r="FA141" s="6778"/>
      <c r="FB141" s="6778"/>
      <c r="FC141" s="6778"/>
      <c r="FD141" s="6778"/>
      <c r="FE141" s="6778"/>
      <c r="FF141" s="6778"/>
      <c r="FG141" s="6778"/>
      <c r="FH141" s="6778"/>
      <c r="FI141" s="6778"/>
      <c r="FJ141" s="6778"/>
      <c r="FK141" s="6778"/>
      <c r="FL141" s="6778"/>
      <c r="FM141" s="6778"/>
      <c r="FN141" s="6778"/>
      <c r="FO141" s="6778"/>
      <c r="FP141" s="6778"/>
      <c r="FQ141" s="6778"/>
      <c r="FR141" s="6778"/>
      <c r="FS141" s="6778"/>
      <c r="FT141" s="6778"/>
      <c r="FU141" s="6778"/>
      <c r="FV141" s="6030"/>
      <c r="FW141" s="6026"/>
      <c r="GA141" s="6018"/>
      <c r="GB141" s="6019"/>
      <c r="GC141" s="6778" t="str">
        <f>_Calcs!$T$19</f>
        <v/>
      </c>
      <c r="GD141" s="6778"/>
      <c r="GE141" s="6778"/>
      <c r="GF141" s="6778"/>
      <c r="GG141" s="6778"/>
      <c r="GH141" s="6778"/>
      <c r="GI141" s="6778"/>
      <c r="GJ141" s="6778"/>
      <c r="GK141" s="6778"/>
      <c r="GL141" s="6778"/>
      <c r="GM141" s="6778"/>
      <c r="GN141" s="6778"/>
      <c r="GO141" s="6778"/>
      <c r="GP141" s="6778"/>
      <c r="GQ141" s="6778"/>
      <c r="GR141" s="6778"/>
      <c r="GS141" s="6778"/>
      <c r="GT141" s="6778"/>
      <c r="GU141" s="6778"/>
      <c r="GV141" s="6778"/>
      <c r="GW141" s="6778"/>
      <c r="GX141" s="6778"/>
      <c r="GY141" s="6778"/>
      <c r="GZ141" s="6778"/>
      <c r="HA141" s="6778"/>
      <c r="HB141" s="6778"/>
      <c r="HC141" s="6778"/>
      <c r="HD141" s="6778"/>
      <c r="HE141" s="6778"/>
      <c r="HF141" s="6778"/>
      <c r="HG141" s="6778"/>
      <c r="HH141" s="6778"/>
      <c r="HI141" s="6778"/>
      <c r="HJ141" s="6778"/>
      <c r="HK141" s="6778"/>
      <c r="HL141" s="6778"/>
      <c r="HM141" s="6778"/>
      <c r="HN141" s="6778"/>
      <c r="HO141" s="6030"/>
      <c r="HP141" s="6026"/>
      <c r="HT141" s="6018"/>
      <c r="HU141" s="6019"/>
      <c r="HV141" s="6778" t="str">
        <f>_Calcs!$T$19</f>
        <v/>
      </c>
      <c r="HW141" s="6778"/>
      <c r="HX141" s="6778"/>
      <c r="HY141" s="6778"/>
      <c r="HZ141" s="6778"/>
      <c r="IA141" s="6778"/>
      <c r="IB141" s="6778"/>
      <c r="IC141" s="6778"/>
      <c r="ID141" s="6778"/>
      <c r="IE141" s="6778"/>
      <c r="IF141" s="6778"/>
      <c r="IG141" s="6778"/>
      <c r="IH141" s="6778"/>
      <c r="II141" s="6778"/>
      <c r="IJ141" s="6778"/>
      <c r="IK141" s="6778"/>
      <c r="IL141" s="6778"/>
      <c r="IM141" s="6778"/>
      <c r="IN141" s="6778"/>
      <c r="IO141" s="6778"/>
      <c r="IP141" s="6778"/>
      <c r="IQ141" s="6778"/>
      <c r="IR141" s="6778"/>
      <c r="IS141" s="6778"/>
      <c r="IT141" s="6778"/>
      <c r="IU141" s="6778"/>
      <c r="IV141" s="6778"/>
      <c r="IW141" s="6778"/>
      <c r="IX141" s="6778"/>
      <c r="IY141" s="6778"/>
      <c r="IZ141" s="6778"/>
      <c r="JA141" s="6778"/>
      <c r="JB141" s="6778"/>
      <c r="JC141" s="6778"/>
      <c r="JD141" s="6778"/>
      <c r="JE141" s="6778"/>
      <c r="JF141" s="6778"/>
      <c r="JG141" s="6778"/>
      <c r="JH141" s="6030"/>
      <c r="JI141" s="6026"/>
      <c r="JM141" s="6018"/>
      <c r="JN141" s="6019"/>
      <c r="JO141" s="6778" t="str">
        <f>_Calcs!$T$19</f>
        <v/>
      </c>
      <c r="JP141" s="6778"/>
      <c r="JQ141" s="6778"/>
      <c r="JR141" s="6778"/>
      <c r="JS141" s="6778"/>
      <c r="JT141" s="6778"/>
      <c r="JU141" s="6778"/>
      <c r="JV141" s="6778"/>
      <c r="JW141" s="6778"/>
      <c r="JX141" s="6778"/>
      <c r="JY141" s="6778"/>
      <c r="JZ141" s="6778"/>
      <c r="KA141" s="6778"/>
      <c r="KB141" s="6778"/>
      <c r="KC141" s="6778"/>
      <c r="KD141" s="6778"/>
      <c r="KE141" s="6778"/>
      <c r="KF141" s="6778"/>
      <c r="KG141" s="6778"/>
      <c r="KH141" s="6778"/>
      <c r="KI141" s="6778"/>
      <c r="KJ141" s="6778"/>
      <c r="KK141" s="6778"/>
      <c r="KL141" s="6778"/>
      <c r="KM141" s="6778"/>
      <c r="KN141" s="6778"/>
      <c r="KO141" s="6778"/>
      <c r="KP141" s="6778"/>
      <c r="KQ141" s="6778"/>
      <c r="KR141" s="6778"/>
      <c r="KS141" s="6778"/>
      <c r="KT141" s="6778"/>
      <c r="KU141" s="6778"/>
      <c r="KV141" s="6778"/>
      <c r="KW141" s="6778"/>
      <c r="KX141" s="6778"/>
      <c r="KY141" s="6778"/>
      <c r="KZ141" s="6778"/>
      <c r="LA141" s="6030"/>
      <c r="LB141" s="6026"/>
      <c r="LC141" s="7"/>
      <c r="LF141" s="6018"/>
      <c r="LG141" s="6019"/>
      <c r="LH141" s="6778" t="str">
        <f>_Calcs!$T$19</f>
        <v/>
      </c>
      <c r="LI141" s="6778"/>
      <c r="LJ141" s="6778"/>
      <c r="LK141" s="6778"/>
      <c r="LL141" s="6778"/>
      <c r="LM141" s="6778"/>
      <c r="LN141" s="6778"/>
      <c r="LO141" s="6778"/>
      <c r="LP141" s="6778"/>
      <c r="LQ141" s="6778"/>
      <c r="LR141" s="6778"/>
      <c r="LS141" s="6778"/>
      <c r="LT141" s="6778"/>
      <c r="LU141" s="6778"/>
      <c r="LV141" s="6778"/>
      <c r="LW141" s="6778"/>
      <c r="LX141" s="6778"/>
      <c r="LY141" s="6778"/>
      <c r="LZ141" s="6778"/>
      <c r="MA141" s="6778"/>
      <c r="MB141" s="6778"/>
      <c r="MC141" s="6778"/>
      <c r="MD141" s="6778"/>
      <c r="ME141" s="6778"/>
      <c r="MF141" s="6778"/>
      <c r="MG141" s="6778"/>
      <c r="MH141" s="6778"/>
      <c r="MI141" s="6778"/>
      <c r="MJ141" s="6778"/>
      <c r="MK141" s="6778"/>
      <c r="ML141" s="6778"/>
      <c r="MM141" s="6778"/>
      <c r="MN141" s="6778"/>
      <c r="MO141" s="6778"/>
      <c r="MP141" s="6778"/>
      <c r="MQ141" s="6778"/>
      <c r="MR141" s="6778"/>
      <c r="MS141" s="6778"/>
      <c r="MT141" s="6030"/>
      <c r="MU141" s="6026"/>
      <c r="MV141" s="7"/>
      <c r="MY141" s="6018"/>
      <c r="MZ141" s="6019"/>
      <c r="NA141" s="6778" t="str">
        <f>_Calcs!$T$19</f>
        <v/>
      </c>
      <c r="NB141" s="6778"/>
      <c r="NC141" s="6778"/>
      <c r="ND141" s="6778"/>
      <c r="NE141" s="6778"/>
      <c r="NF141" s="6778"/>
      <c r="NG141" s="6778"/>
      <c r="NH141" s="6778"/>
      <c r="NI141" s="6778"/>
      <c r="NJ141" s="6778"/>
      <c r="NK141" s="6778"/>
      <c r="NL141" s="6778"/>
      <c r="NM141" s="6778"/>
      <c r="NN141" s="6778"/>
      <c r="NO141" s="6778"/>
      <c r="NP141" s="6778"/>
      <c r="NQ141" s="6778"/>
      <c r="NR141" s="6778"/>
      <c r="NS141" s="6778"/>
      <c r="NT141" s="6778"/>
      <c r="NU141" s="6778"/>
      <c r="NV141" s="6778"/>
      <c r="NW141" s="6778"/>
      <c r="NX141" s="6778"/>
      <c r="NY141" s="6778"/>
      <c r="NZ141" s="6778"/>
      <c r="OA141" s="6778"/>
      <c r="OB141" s="6778"/>
      <c r="OC141" s="6778"/>
      <c r="OD141" s="6778"/>
      <c r="OE141" s="6778"/>
      <c r="OF141" s="6778"/>
      <c r="OG141" s="6778"/>
      <c r="OH141" s="6778"/>
      <c r="OI141" s="6778"/>
      <c r="OJ141" s="6778"/>
      <c r="OK141" s="6778"/>
      <c r="OL141" s="6778"/>
      <c r="OM141" s="6030"/>
      <c r="ON141" s="6026"/>
      <c r="OO141" s="7"/>
    </row>
    <row r="142" spans="3:405" s="1466" customFormat="1" ht="9.9499999999999993" customHeight="1" thickBot="1" x14ac:dyDescent="0.25">
      <c r="C142" s="6028"/>
      <c r="E142" s="6032"/>
      <c r="F142" s="6032"/>
      <c r="G142" s="6032"/>
      <c r="H142" s="6032"/>
      <c r="I142" s="6032"/>
      <c r="J142" s="6032"/>
      <c r="K142" s="6032"/>
      <c r="L142" s="6032"/>
      <c r="M142" s="6032"/>
      <c r="N142" s="6032"/>
      <c r="O142" s="6032"/>
      <c r="P142" s="6032"/>
      <c r="Q142" s="6032"/>
      <c r="R142" s="6032"/>
      <c r="S142" s="6032"/>
      <c r="T142" s="6032"/>
      <c r="U142" s="6032"/>
      <c r="V142" s="6032"/>
      <c r="W142" s="6032"/>
      <c r="X142" s="6032"/>
      <c r="Y142" s="6032"/>
      <c r="Z142" s="6032"/>
      <c r="AA142" s="6032"/>
      <c r="AB142" s="6032"/>
      <c r="AC142" s="3489"/>
      <c r="AD142" s="3489"/>
      <c r="AE142" s="6033"/>
      <c r="AF142" s="6033"/>
      <c r="AG142" s="6033"/>
      <c r="AH142" s="6033"/>
      <c r="AI142" s="6033"/>
      <c r="AJ142" s="6033"/>
      <c r="AK142" s="6033"/>
      <c r="AL142" s="6033"/>
      <c r="AM142" s="6033"/>
      <c r="AN142" s="6033"/>
      <c r="AO142" s="6033"/>
      <c r="AP142" s="6033"/>
      <c r="AQ142" s="3489"/>
      <c r="AR142" s="6029"/>
      <c r="AV142" s="6028"/>
      <c r="AX142" s="6032"/>
      <c r="AY142" s="6032"/>
      <c r="AZ142" s="6032"/>
      <c r="BA142" s="6032"/>
      <c r="BB142" s="6032"/>
      <c r="BC142" s="6032"/>
      <c r="BD142" s="6032"/>
      <c r="BE142" s="6032"/>
      <c r="BF142" s="6032"/>
      <c r="BG142" s="6032"/>
      <c r="BH142" s="6032"/>
      <c r="BI142" s="6032"/>
      <c r="BJ142" s="6032"/>
      <c r="BK142" s="6032"/>
      <c r="BL142" s="6032"/>
      <c r="BM142" s="6032"/>
      <c r="BN142" s="6032"/>
      <c r="BO142" s="6032"/>
      <c r="BP142" s="6032"/>
      <c r="BQ142" s="6032"/>
      <c r="BR142" s="6032"/>
      <c r="BS142" s="6032"/>
      <c r="BT142" s="6032"/>
      <c r="BU142" s="6032"/>
      <c r="BV142" s="3489"/>
      <c r="BW142" s="3489"/>
      <c r="BX142" s="6033"/>
      <c r="BY142" s="6033"/>
      <c r="BZ142" s="6033"/>
      <c r="CA142" s="6033"/>
      <c r="CB142" s="6033"/>
      <c r="CC142" s="6033"/>
      <c r="CD142" s="6033"/>
      <c r="CE142" s="6033"/>
      <c r="CF142" s="6033"/>
      <c r="CG142" s="6033"/>
      <c r="CH142" s="6033"/>
      <c r="CI142" s="6033"/>
      <c r="CJ142" s="3489"/>
      <c r="CK142" s="6029"/>
      <c r="CO142" s="6028"/>
      <c r="CQ142" s="6032"/>
      <c r="CR142" s="6032"/>
      <c r="CS142" s="6032"/>
      <c r="CT142" s="6032"/>
      <c r="CU142" s="6032"/>
      <c r="CV142" s="6032"/>
      <c r="CW142" s="6032"/>
      <c r="CX142" s="6032"/>
      <c r="CY142" s="6032"/>
      <c r="CZ142" s="6032"/>
      <c r="DA142" s="6032"/>
      <c r="DB142" s="6032"/>
      <c r="DC142" s="6032"/>
      <c r="DD142" s="6032"/>
      <c r="DE142" s="6032"/>
      <c r="DF142" s="6032"/>
      <c r="DG142" s="6032"/>
      <c r="DH142" s="6032"/>
      <c r="DI142" s="6032"/>
      <c r="DJ142" s="6032"/>
      <c r="DK142" s="6032"/>
      <c r="DL142" s="6032"/>
      <c r="DM142" s="6032"/>
      <c r="DN142" s="6032"/>
      <c r="DO142" s="3489"/>
      <c r="DP142" s="3489"/>
      <c r="DQ142" s="6033"/>
      <c r="DR142" s="6033"/>
      <c r="DS142" s="6033"/>
      <c r="DT142" s="6033"/>
      <c r="DU142" s="6033"/>
      <c r="DV142" s="6033"/>
      <c r="DW142" s="6033"/>
      <c r="DX142" s="6033"/>
      <c r="DY142" s="6033"/>
      <c r="DZ142" s="6033"/>
      <c r="EA142" s="6033"/>
      <c r="EB142" s="6033"/>
      <c r="EC142" s="3489"/>
      <c r="ED142" s="6029"/>
      <c r="EH142" s="6028"/>
      <c r="EJ142" s="6032"/>
      <c r="EK142" s="6032"/>
      <c r="EL142" s="6032"/>
      <c r="EM142" s="6032"/>
      <c r="EN142" s="6032"/>
      <c r="EO142" s="6032"/>
      <c r="EP142" s="6032"/>
      <c r="EQ142" s="6032"/>
      <c r="ER142" s="6032"/>
      <c r="ES142" s="6032"/>
      <c r="ET142" s="6032"/>
      <c r="EU142" s="6032"/>
      <c r="EV142" s="6032"/>
      <c r="EW142" s="6032"/>
      <c r="EX142" s="6032"/>
      <c r="EY142" s="6032"/>
      <c r="EZ142" s="6032"/>
      <c r="FA142" s="6032"/>
      <c r="FB142" s="6032"/>
      <c r="FC142" s="6032"/>
      <c r="FD142" s="6032"/>
      <c r="FE142" s="6032"/>
      <c r="FF142" s="6032"/>
      <c r="FG142" s="6032"/>
      <c r="FH142" s="3489"/>
      <c r="FI142" s="3489"/>
      <c r="FJ142" s="6033"/>
      <c r="FK142" s="6033"/>
      <c r="FL142" s="6033"/>
      <c r="FM142" s="6033"/>
      <c r="FN142" s="6033"/>
      <c r="FO142" s="6033"/>
      <c r="FP142" s="6033"/>
      <c r="FQ142" s="6033"/>
      <c r="FR142" s="6033"/>
      <c r="FS142" s="6033"/>
      <c r="FT142" s="6033"/>
      <c r="FU142" s="6033"/>
      <c r="FV142" s="3489"/>
      <c r="FW142" s="6029"/>
      <c r="GA142" s="6028"/>
      <c r="GC142" s="6032"/>
      <c r="GD142" s="6032"/>
      <c r="GE142" s="6032"/>
      <c r="GF142" s="6032"/>
      <c r="GG142" s="6032"/>
      <c r="GH142" s="6032"/>
      <c r="GI142" s="6032"/>
      <c r="GJ142" s="6032"/>
      <c r="GK142" s="6032"/>
      <c r="GL142" s="6032"/>
      <c r="GM142" s="6032"/>
      <c r="GN142" s="6032"/>
      <c r="GO142" s="6032"/>
      <c r="GP142" s="6032"/>
      <c r="GQ142" s="6032"/>
      <c r="GR142" s="6032"/>
      <c r="GS142" s="6032"/>
      <c r="GT142" s="6032"/>
      <c r="GU142" s="6032"/>
      <c r="GV142" s="6032"/>
      <c r="GW142" s="6032"/>
      <c r="GX142" s="6032"/>
      <c r="GY142" s="6032"/>
      <c r="GZ142" s="6032"/>
      <c r="HA142" s="3489"/>
      <c r="HB142" s="3489"/>
      <c r="HC142" s="6033"/>
      <c r="HD142" s="6033"/>
      <c r="HE142" s="6033"/>
      <c r="HF142" s="6033"/>
      <c r="HG142" s="6033"/>
      <c r="HH142" s="6033"/>
      <c r="HI142" s="6033"/>
      <c r="HJ142" s="6033"/>
      <c r="HK142" s="6033"/>
      <c r="HL142" s="6033"/>
      <c r="HM142" s="6033"/>
      <c r="HN142" s="6033"/>
      <c r="HO142" s="3489"/>
      <c r="HP142" s="6029"/>
      <c r="HT142" s="6028"/>
      <c r="HV142" s="6032"/>
      <c r="HW142" s="6032"/>
      <c r="HX142" s="6032"/>
      <c r="HY142" s="6032"/>
      <c r="HZ142" s="6032"/>
      <c r="IA142" s="6032"/>
      <c r="IB142" s="6032"/>
      <c r="IC142" s="6032"/>
      <c r="ID142" s="6032"/>
      <c r="IE142" s="6032"/>
      <c r="IF142" s="6032"/>
      <c r="IG142" s="6032"/>
      <c r="IH142" s="6032"/>
      <c r="II142" s="6032"/>
      <c r="IJ142" s="6032"/>
      <c r="IK142" s="6032"/>
      <c r="IL142" s="6032"/>
      <c r="IM142" s="6032"/>
      <c r="IN142" s="6032"/>
      <c r="IO142" s="6032"/>
      <c r="IP142" s="6032"/>
      <c r="IQ142" s="6032"/>
      <c r="IR142" s="6032"/>
      <c r="IS142" s="6032"/>
      <c r="IT142" s="3489"/>
      <c r="IU142" s="3489"/>
      <c r="IV142" s="6033"/>
      <c r="IW142" s="6033"/>
      <c r="IX142" s="6033"/>
      <c r="IY142" s="6033"/>
      <c r="IZ142" s="6033"/>
      <c r="JA142" s="6033"/>
      <c r="JB142" s="6033"/>
      <c r="JC142" s="6033"/>
      <c r="JD142" s="6033"/>
      <c r="JE142" s="6033"/>
      <c r="JF142" s="6033"/>
      <c r="JG142" s="6033"/>
      <c r="JH142" s="3489"/>
      <c r="JI142" s="6029"/>
      <c r="JM142" s="6028"/>
      <c r="JO142" s="6032"/>
      <c r="JP142" s="6032"/>
      <c r="JQ142" s="6032"/>
      <c r="JR142" s="6032"/>
      <c r="JS142" s="6032"/>
      <c r="JT142" s="6032"/>
      <c r="JU142" s="6032"/>
      <c r="JV142" s="6032"/>
      <c r="JW142" s="6032"/>
      <c r="JX142" s="6032"/>
      <c r="JY142" s="6032"/>
      <c r="JZ142" s="6032"/>
      <c r="KA142" s="6032"/>
      <c r="KB142" s="6032"/>
      <c r="KC142" s="6032"/>
      <c r="KD142" s="6032"/>
      <c r="KE142" s="6032"/>
      <c r="KF142" s="6032"/>
      <c r="KG142" s="6032"/>
      <c r="KH142" s="6032"/>
      <c r="KI142" s="6032"/>
      <c r="KJ142" s="6032"/>
      <c r="KK142" s="6032"/>
      <c r="KL142" s="6032"/>
      <c r="KM142" s="3489"/>
      <c r="KN142" s="3489"/>
      <c r="KO142" s="6033"/>
      <c r="KP142" s="6033"/>
      <c r="KQ142" s="6033"/>
      <c r="KR142" s="6033"/>
      <c r="KS142" s="6033"/>
      <c r="KT142" s="6033"/>
      <c r="KU142" s="6033"/>
      <c r="KV142" s="6033"/>
      <c r="KW142" s="6033"/>
      <c r="KX142" s="6033"/>
      <c r="KY142" s="6033"/>
      <c r="KZ142" s="6033"/>
      <c r="LA142" s="3489"/>
      <c r="LB142" s="6029"/>
      <c r="LC142" s="130"/>
      <c r="LF142" s="6028"/>
      <c r="LH142" s="6032"/>
      <c r="LI142" s="6032"/>
      <c r="LJ142" s="6032"/>
      <c r="LK142" s="6032"/>
      <c r="LL142" s="6032"/>
      <c r="LM142" s="6032"/>
      <c r="LN142" s="6032"/>
      <c r="LO142" s="6032"/>
      <c r="LP142" s="6032"/>
      <c r="LQ142" s="6032"/>
      <c r="LR142" s="6032"/>
      <c r="LS142" s="6032"/>
      <c r="LT142" s="6032"/>
      <c r="LU142" s="6032"/>
      <c r="LV142" s="6032"/>
      <c r="LW142" s="6032"/>
      <c r="LX142" s="6032"/>
      <c r="LY142" s="6032"/>
      <c r="LZ142" s="6032"/>
      <c r="MA142" s="6032"/>
      <c r="MB142" s="6032"/>
      <c r="MC142" s="6032"/>
      <c r="MD142" s="6032"/>
      <c r="ME142" s="6032"/>
      <c r="MF142" s="3489"/>
      <c r="MG142" s="3489"/>
      <c r="MH142" s="6033"/>
      <c r="MI142" s="6033"/>
      <c r="MJ142" s="6033"/>
      <c r="MK142" s="6033"/>
      <c r="ML142" s="6033"/>
      <c r="MM142" s="6033"/>
      <c r="MN142" s="6033"/>
      <c r="MO142" s="6033"/>
      <c r="MP142" s="6033"/>
      <c r="MQ142" s="6033"/>
      <c r="MR142" s="6033"/>
      <c r="MS142" s="6033"/>
      <c r="MT142" s="3489"/>
      <c r="MU142" s="6029"/>
      <c r="MV142" s="130"/>
      <c r="MY142" s="6028"/>
      <c r="NA142" s="6032"/>
      <c r="NB142" s="6032"/>
      <c r="NC142" s="6032"/>
      <c r="ND142" s="6032"/>
      <c r="NE142" s="6032"/>
      <c r="NF142" s="6032"/>
      <c r="NG142" s="6032"/>
      <c r="NH142" s="6032"/>
      <c r="NI142" s="6032"/>
      <c r="NJ142" s="6032"/>
      <c r="NK142" s="6032"/>
      <c r="NL142" s="6032"/>
      <c r="NM142" s="6032"/>
      <c r="NN142" s="6032"/>
      <c r="NO142" s="6032"/>
      <c r="NP142" s="6032"/>
      <c r="NQ142" s="6032"/>
      <c r="NR142" s="6032"/>
      <c r="NS142" s="6032"/>
      <c r="NT142" s="6032"/>
      <c r="NU142" s="6032"/>
      <c r="NV142" s="6032"/>
      <c r="NW142" s="6032"/>
      <c r="NX142" s="6032"/>
      <c r="NY142" s="3489"/>
      <c r="NZ142" s="3489"/>
      <c r="OA142" s="6033"/>
      <c r="OB142" s="6033"/>
      <c r="OC142" s="6033"/>
      <c r="OD142" s="6033"/>
      <c r="OE142" s="6033"/>
      <c r="OF142" s="6033"/>
      <c r="OG142" s="6033"/>
      <c r="OH142" s="6033"/>
      <c r="OI142" s="6033"/>
      <c r="OJ142" s="6033"/>
      <c r="OK142" s="6033"/>
      <c r="OL142" s="6033"/>
      <c r="OM142" s="3489"/>
      <c r="ON142" s="6029"/>
      <c r="OO142" s="130"/>
    </row>
    <row r="143" spans="3:405" s="1466" customFormat="1" ht="6" customHeight="1" x14ac:dyDescent="0.2">
      <c r="C143" s="6028"/>
      <c r="D143" s="6785" t="str">
        <f>_Calcs!$II$96</f>
        <v>Begrunnelser for tidsjusteringer</v>
      </c>
      <c r="E143" s="6785"/>
      <c r="F143" s="6785"/>
      <c r="G143" s="6785"/>
      <c r="H143" s="6785"/>
      <c r="I143" s="6785"/>
      <c r="J143" s="6785"/>
      <c r="K143" s="6785"/>
      <c r="L143" s="6785"/>
      <c r="M143" s="6785"/>
      <c r="N143" s="6785"/>
      <c r="O143" s="6785"/>
      <c r="P143" s="6785"/>
      <c r="Q143" s="6785"/>
      <c r="R143" s="6785"/>
      <c r="S143" s="6785"/>
      <c r="T143" s="6785"/>
      <c r="U143" s="6785"/>
      <c r="V143" s="6785"/>
      <c r="W143" s="6785"/>
      <c r="X143" s="6785"/>
      <c r="Y143" s="6785"/>
      <c r="Z143" s="6785"/>
      <c r="AA143" s="6785"/>
      <c r="AB143" s="6785"/>
      <c r="AC143" s="6785"/>
      <c r="AD143" s="3489"/>
      <c r="AE143" s="6033"/>
      <c r="AF143" s="6033"/>
      <c r="AG143" s="6034"/>
      <c r="AH143" s="6786" t="str">
        <f>_Calcs!$IK$149</f>
        <v>Stuff 1-1</v>
      </c>
      <c r="AI143" s="6786"/>
      <c r="AJ143" s="6786"/>
      <c r="AK143" s="6786"/>
      <c r="AL143" s="6786"/>
      <c r="AM143" s="6786"/>
      <c r="AN143" s="6786"/>
      <c r="AO143" s="6786"/>
      <c r="AP143" s="6786"/>
      <c r="AQ143" s="6035"/>
      <c r="AR143" s="6029"/>
      <c r="AV143" s="6028"/>
      <c r="AW143" s="6785" t="str">
        <f>_Calcs!$II$96</f>
        <v>Begrunnelser for tidsjusteringer</v>
      </c>
      <c r="AX143" s="6785"/>
      <c r="AY143" s="6785"/>
      <c r="AZ143" s="6785"/>
      <c r="BA143" s="6785"/>
      <c r="BB143" s="6785"/>
      <c r="BC143" s="6785"/>
      <c r="BD143" s="6785"/>
      <c r="BE143" s="6785"/>
      <c r="BF143" s="6785"/>
      <c r="BG143" s="6785"/>
      <c r="BH143" s="6785"/>
      <c r="BI143" s="6785"/>
      <c r="BJ143" s="6785"/>
      <c r="BK143" s="6785"/>
      <c r="BL143" s="6785"/>
      <c r="BM143" s="6785"/>
      <c r="BN143" s="6785"/>
      <c r="BO143" s="6785"/>
      <c r="BP143" s="6785"/>
      <c r="BQ143" s="6785"/>
      <c r="BR143" s="6785"/>
      <c r="BS143" s="6785"/>
      <c r="BT143" s="6785"/>
      <c r="BU143" s="6785"/>
      <c r="BV143" s="6785"/>
      <c r="BW143" s="3489"/>
      <c r="BX143" s="6033"/>
      <c r="BY143" s="6033"/>
      <c r="BZ143" s="6034"/>
      <c r="CA143" s="6786" t="str">
        <f>_Calcs!$IL$149</f>
        <v/>
      </c>
      <c r="CB143" s="6786"/>
      <c r="CC143" s="6786"/>
      <c r="CD143" s="6786"/>
      <c r="CE143" s="6786"/>
      <c r="CF143" s="6786"/>
      <c r="CG143" s="6786"/>
      <c r="CH143" s="6786"/>
      <c r="CI143" s="6786"/>
      <c r="CJ143" s="6035"/>
      <c r="CK143" s="6029"/>
      <c r="CO143" s="6028"/>
      <c r="CP143" s="6785" t="str">
        <f>_Calcs!$II$96</f>
        <v>Begrunnelser for tidsjusteringer</v>
      </c>
      <c r="CQ143" s="6785"/>
      <c r="CR143" s="6785"/>
      <c r="CS143" s="6785"/>
      <c r="CT143" s="6785"/>
      <c r="CU143" s="6785"/>
      <c r="CV143" s="6785"/>
      <c r="CW143" s="6785"/>
      <c r="CX143" s="6785"/>
      <c r="CY143" s="6785"/>
      <c r="CZ143" s="6785"/>
      <c r="DA143" s="6785"/>
      <c r="DB143" s="6785"/>
      <c r="DC143" s="6785"/>
      <c r="DD143" s="6785"/>
      <c r="DE143" s="6785"/>
      <c r="DF143" s="6785"/>
      <c r="DG143" s="6785"/>
      <c r="DH143" s="6785"/>
      <c r="DI143" s="6785"/>
      <c r="DJ143" s="6785"/>
      <c r="DK143" s="6785"/>
      <c r="DL143" s="6785"/>
      <c r="DM143" s="6785"/>
      <c r="DN143" s="6785"/>
      <c r="DO143" s="6785"/>
      <c r="DP143" s="3489"/>
      <c r="DQ143" s="6033"/>
      <c r="DR143" s="6033"/>
      <c r="DS143" s="6034"/>
      <c r="DT143" s="6786" t="str">
        <f>_Calcs!$IM$149</f>
        <v/>
      </c>
      <c r="DU143" s="6786"/>
      <c r="DV143" s="6786"/>
      <c r="DW143" s="6786"/>
      <c r="DX143" s="6786"/>
      <c r="DY143" s="6786"/>
      <c r="DZ143" s="6786"/>
      <c r="EA143" s="6786"/>
      <c r="EB143" s="6786"/>
      <c r="EC143" s="6035"/>
      <c r="ED143" s="6029"/>
      <c r="EH143" s="6028"/>
      <c r="EI143" s="6785" t="str">
        <f>_Calcs!$II$96</f>
        <v>Begrunnelser for tidsjusteringer</v>
      </c>
      <c r="EJ143" s="6785"/>
      <c r="EK143" s="6785"/>
      <c r="EL143" s="6785"/>
      <c r="EM143" s="6785"/>
      <c r="EN143" s="6785"/>
      <c r="EO143" s="6785"/>
      <c r="EP143" s="6785"/>
      <c r="EQ143" s="6785"/>
      <c r="ER143" s="6785"/>
      <c r="ES143" s="6785"/>
      <c r="ET143" s="6785"/>
      <c r="EU143" s="6785"/>
      <c r="EV143" s="6785"/>
      <c r="EW143" s="6785"/>
      <c r="EX143" s="6785"/>
      <c r="EY143" s="6785"/>
      <c r="EZ143" s="6785"/>
      <c r="FA143" s="6785"/>
      <c r="FB143" s="6785"/>
      <c r="FC143" s="6785"/>
      <c r="FD143" s="6785"/>
      <c r="FE143" s="6785"/>
      <c r="FF143" s="6785"/>
      <c r="FG143" s="6785"/>
      <c r="FH143" s="6785"/>
      <c r="FI143" s="3489"/>
      <c r="FJ143" s="6033"/>
      <c r="FK143" s="6033"/>
      <c r="FL143" s="6034"/>
      <c r="FM143" s="6786" t="str">
        <f>_Calcs!$IN$149</f>
        <v/>
      </c>
      <c r="FN143" s="6786"/>
      <c r="FO143" s="6786"/>
      <c r="FP143" s="6786"/>
      <c r="FQ143" s="6786"/>
      <c r="FR143" s="6786"/>
      <c r="FS143" s="6786"/>
      <c r="FT143" s="6786"/>
      <c r="FU143" s="6786"/>
      <c r="FV143" s="6035"/>
      <c r="FW143" s="6029"/>
      <c r="GA143" s="6028"/>
      <c r="GB143" s="6785" t="str">
        <f>_Calcs!$II$96</f>
        <v>Begrunnelser for tidsjusteringer</v>
      </c>
      <c r="GC143" s="6785"/>
      <c r="GD143" s="6785"/>
      <c r="GE143" s="6785"/>
      <c r="GF143" s="6785"/>
      <c r="GG143" s="6785"/>
      <c r="GH143" s="6785"/>
      <c r="GI143" s="6785"/>
      <c r="GJ143" s="6785"/>
      <c r="GK143" s="6785"/>
      <c r="GL143" s="6785"/>
      <c r="GM143" s="6785"/>
      <c r="GN143" s="6785"/>
      <c r="GO143" s="6785"/>
      <c r="GP143" s="6785"/>
      <c r="GQ143" s="6785"/>
      <c r="GR143" s="6785"/>
      <c r="GS143" s="6785"/>
      <c r="GT143" s="6785"/>
      <c r="GU143" s="6785"/>
      <c r="GV143" s="6785"/>
      <c r="GW143" s="6785"/>
      <c r="GX143" s="6785"/>
      <c r="GY143" s="6785"/>
      <c r="GZ143" s="6785"/>
      <c r="HA143" s="6785"/>
      <c r="HB143" s="3489"/>
      <c r="HC143" s="6033"/>
      <c r="HD143" s="6033"/>
      <c r="HE143" s="6034"/>
      <c r="HF143" s="6786" t="str">
        <f>_Calcs!$IO$149</f>
        <v/>
      </c>
      <c r="HG143" s="6786"/>
      <c r="HH143" s="6786"/>
      <c r="HI143" s="6786"/>
      <c r="HJ143" s="6786"/>
      <c r="HK143" s="6786"/>
      <c r="HL143" s="6786"/>
      <c r="HM143" s="6786"/>
      <c r="HN143" s="6786"/>
      <c r="HO143" s="6035"/>
      <c r="HP143" s="6029"/>
      <c r="HT143" s="6028"/>
      <c r="HU143" s="6785" t="str">
        <f>_Calcs!$II$96</f>
        <v>Begrunnelser for tidsjusteringer</v>
      </c>
      <c r="HV143" s="6785"/>
      <c r="HW143" s="6785"/>
      <c r="HX143" s="6785"/>
      <c r="HY143" s="6785"/>
      <c r="HZ143" s="6785"/>
      <c r="IA143" s="6785"/>
      <c r="IB143" s="6785"/>
      <c r="IC143" s="6785"/>
      <c r="ID143" s="6785"/>
      <c r="IE143" s="6785"/>
      <c r="IF143" s="6785"/>
      <c r="IG143" s="6785"/>
      <c r="IH143" s="6785"/>
      <c r="II143" s="6785"/>
      <c r="IJ143" s="6785"/>
      <c r="IK143" s="6785"/>
      <c r="IL143" s="6785"/>
      <c r="IM143" s="6785"/>
      <c r="IN143" s="6785"/>
      <c r="IO143" s="6785"/>
      <c r="IP143" s="6785"/>
      <c r="IQ143" s="6785"/>
      <c r="IR143" s="6785"/>
      <c r="IS143" s="6785"/>
      <c r="IT143" s="6785"/>
      <c r="IU143" s="3489"/>
      <c r="IV143" s="6033"/>
      <c r="IW143" s="6033"/>
      <c r="IX143" s="6034"/>
      <c r="IY143" s="6786" t="str">
        <f>_Calcs!$IP$149</f>
        <v/>
      </c>
      <c r="IZ143" s="6786"/>
      <c r="JA143" s="6786"/>
      <c r="JB143" s="6786"/>
      <c r="JC143" s="6786"/>
      <c r="JD143" s="6786"/>
      <c r="JE143" s="6786"/>
      <c r="JF143" s="6786"/>
      <c r="JG143" s="6786"/>
      <c r="JH143" s="6035"/>
      <c r="JI143" s="6029"/>
      <c r="JM143" s="6028"/>
      <c r="JN143" s="6785" t="str">
        <f>_Calcs!$II$96</f>
        <v>Begrunnelser for tidsjusteringer</v>
      </c>
      <c r="JO143" s="6785"/>
      <c r="JP143" s="6785"/>
      <c r="JQ143" s="6785"/>
      <c r="JR143" s="6785"/>
      <c r="JS143" s="6785"/>
      <c r="JT143" s="6785"/>
      <c r="JU143" s="6785"/>
      <c r="JV143" s="6785"/>
      <c r="JW143" s="6785"/>
      <c r="JX143" s="6785"/>
      <c r="JY143" s="6785"/>
      <c r="JZ143" s="6785"/>
      <c r="KA143" s="6785"/>
      <c r="KB143" s="6785"/>
      <c r="KC143" s="6785"/>
      <c r="KD143" s="6785"/>
      <c r="KE143" s="6785"/>
      <c r="KF143" s="6785"/>
      <c r="KG143" s="6785"/>
      <c r="KH143" s="6785"/>
      <c r="KI143" s="6785"/>
      <c r="KJ143" s="6785"/>
      <c r="KK143" s="6785"/>
      <c r="KL143" s="6785"/>
      <c r="KM143" s="6785"/>
      <c r="KN143" s="3489"/>
      <c r="KO143" s="6033"/>
      <c r="KP143" s="6033"/>
      <c r="KQ143" s="6034"/>
      <c r="KR143" s="6786" t="str">
        <f>_Calcs!$IQ$149</f>
        <v/>
      </c>
      <c r="KS143" s="6786"/>
      <c r="KT143" s="6786"/>
      <c r="KU143" s="6786"/>
      <c r="KV143" s="6786"/>
      <c r="KW143" s="6786"/>
      <c r="KX143" s="6786"/>
      <c r="KY143" s="6786"/>
      <c r="KZ143" s="6786"/>
      <c r="LA143" s="6035"/>
      <c r="LB143" s="6029"/>
      <c r="LC143" s="130"/>
      <c r="LF143" s="6028"/>
      <c r="LG143" s="6785" t="str">
        <f>_Calcs!$II$96</f>
        <v>Begrunnelser for tidsjusteringer</v>
      </c>
      <c r="LH143" s="6785"/>
      <c r="LI143" s="6785"/>
      <c r="LJ143" s="6785"/>
      <c r="LK143" s="6785"/>
      <c r="LL143" s="6785"/>
      <c r="LM143" s="6785"/>
      <c r="LN143" s="6785"/>
      <c r="LO143" s="6785"/>
      <c r="LP143" s="6785"/>
      <c r="LQ143" s="6785"/>
      <c r="LR143" s="6785"/>
      <c r="LS143" s="6785"/>
      <c r="LT143" s="6785"/>
      <c r="LU143" s="6785"/>
      <c r="LV143" s="6785"/>
      <c r="LW143" s="6785"/>
      <c r="LX143" s="6785"/>
      <c r="LY143" s="6785"/>
      <c r="LZ143" s="6785"/>
      <c r="MA143" s="6785"/>
      <c r="MB143" s="6785"/>
      <c r="MC143" s="6785"/>
      <c r="MD143" s="6785"/>
      <c r="ME143" s="6785"/>
      <c r="MF143" s="6785"/>
      <c r="MG143" s="3489"/>
      <c r="MH143" s="6033"/>
      <c r="MI143" s="6033"/>
      <c r="MJ143" s="6034"/>
      <c r="MK143" s="6786" t="str">
        <f>_Calcs!$IR$149</f>
        <v/>
      </c>
      <c r="ML143" s="6786"/>
      <c r="MM143" s="6786"/>
      <c r="MN143" s="6786"/>
      <c r="MO143" s="6786"/>
      <c r="MP143" s="6786"/>
      <c r="MQ143" s="6786"/>
      <c r="MR143" s="6786"/>
      <c r="MS143" s="6786"/>
      <c r="MT143" s="6035"/>
      <c r="MU143" s="6029"/>
      <c r="MV143" s="130"/>
      <c r="MY143" s="6028"/>
      <c r="MZ143" s="6785" t="str">
        <f>_Calcs!$II$96</f>
        <v>Begrunnelser for tidsjusteringer</v>
      </c>
      <c r="NA143" s="6785"/>
      <c r="NB143" s="6785"/>
      <c r="NC143" s="6785"/>
      <c r="ND143" s="6785"/>
      <c r="NE143" s="6785"/>
      <c r="NF143" s="6785"/>
      <c r="NG143" s="6785"/>
      <c r="NH143" s="6785"/>
      <c r="NI143" s="6785"/>
      <c r="NJ143" s="6785"/>
      <c r="NK143" s="6785"/>
      <c r="NL143" s="6785"/>
      <c r="NM143" s="6785"/>
      <c r="NN143" s="6785"/>
      <c r="NO143" s="6785"/>
      <c r="NP143" s="6785"/>
      <c r="NQ143" s="6785"/>
      <c r="NR143" s="6785"/>
      <c r="NS143" s="6785"/>
      <c r="NT143" s="6785"/>
      <c r="NU143" s="6785"/>
      <c r="NV143" s="6785"/>
      <c r="NW143" s="6785"/>
      <c r="NX143" s="6785"/>
      <c r="NY143" s="6785"/>
      <c r="NZ143" s="3489"/>
      <c r="OA143" s="6033"/>
      <c r="OB143" s="6033"/>
      <c r="OC143" s="6034"/>
      <c r="OD143" s="6786" t="str">
        <f>_Calcs!$IS$149</f>
        <v/>
      </c>
      <c r="OE143" s="6786"/>
      <c r="OF143" s="6786"/>
      <c r="OG143" s="6786"/>
      <c r="OH143" s="6786"/>
      <c r="OI143" s="6786"/>
      <c r="OJ143" s="6786"/>
      <c r="OK143" s="6786"/>
      <c r="OL143" s="6786"/>
      <c r="OM143" s="6035"/>
      <c r="ON143" s="6029"/>
      <c r="OO143" s="130"/>
    </row>
    <row r="144" spans="3:405" s="5321" customFormat="1" ht="12" customHeight="1" x14ac:dyDescent="0.2">
      <c r="C144" s="6036"/>
      <c r="D144" s="6785"/>
      <c r="E144" s="6785"/>
      <c r="F144" s="6785"/>
      <c r="G144" s="6785"/>
      <c r="H144" s="6785"/>
      <c r="I144" s="6785"/>
      <c r="J144" s="6785"/>
      <c r="K144" s="6785"/>
      <c r="L144" s="6785"/>
      <c r="M144" s="6785"/>
      <c r="N144" s="6785"/>
      <c r="O144" s="6785"/>
      <c r="P144" s="6785"/>
      <c r="Q144" s="6785"/>
      <c r="R144" s="6785"/>
      <c r="S144" s="6785"/>
      <c r="T144" s="6785"/>
      <c r="U144" s="6785"/>
      <c r="V144" s="6785"/>
      <c r="W144" s="6785"/>
      <c r="X144" s="6785"/>
      <c r="Y144" s="6785"/>
      <c r="Z144" s="6785"/>
      <c r="AA144" s="6785"/>
      <c r="AB144" s="6785"/>
      <c r="AC144" s="6785"/>
      <c r="AE144" s="6033"/>
      <c r="AF144" s="6033"/>
      <c r="AG144" s="6037"/>
      <c r="AH144" s="6787"/>
      <c r="AI144" s="6787"/>
      <c r="AJ144" s="6787"/>
      <c r="AK144" s="6787"/>
      <c r="AL144" s="6787"/>
      <c r="AM144" s="6787"/>
      <c r="AN144" s="6787"/>
      <c r="AO144" s="6787"/>
      <c r="AP144" s="6787"/>
      <c r="AQ144" s="6038"/>
      <c r="AR144" s="6039"/>
      <c r="AV144" s="6036"/>
      <c r="AW144" s="6785"/>
      <c r="AX144" s="6785"/>
      <c r="AY144" s="6785"/>
      <c r="AZ144" s="6785"/>
      <c r="BA144" s="6785"/>
      <c r="BB144" s="6785"/>
      <c r="BC144" s="6785"/>
      <c r="BD144" s="6785"/>
      <c r="BE144" s="6785"/>
      <c r="BF144" s="6785"/>
      <c r="BG144" s="6785"/>
      <c r="BH144" s="6785"/>
      <c r="BI144" s="6785"/>
      <c r="BJ144" s="6785"/>
      <c r="BK144" s="6785"/>
      <c r="BL144" s="6785"/>
      <c r="BM144" s="6785"/>
      <c r="BN144" s="6785"/>
      <c r="BO144" s="6785"/>
      <c r="BP144" s="6785"/>
      <c r="BQ144" s="6785"/>
      <c r="BR144" s="6785"/>
      <c r="BS144" s="6785"/>
      <c r="BT144" s="6785"/>
      <c r="BU144" s="6785"/>
      <c r="BV144" s="6785"/>
      <c r="BX144" s="6033"/>
      <c r="BY144" s="6033"/>
      <c r="BZ144" s="6037"/>
      <c r="CA144" s="6787"/>
      <c r="CB144" s="6787"/>
      <c r="CC144" s="6787"/>
      <c r="CD144" s="6787"/>
      <c r="CE144" s="6787"/>
      <c r="CF144" s="6787"/>
      <c r="CG144" s="6787"/>
      <c r="CH144" s="6787"/>
      <c r="CI144" s="6787"/>
      <c r="CJ144" s="6038"/>
      <c r="CK144" s="6039"/>
      <c r="CO144" s="6036"/>
      <c r="CP144" s="6785"/>
      <c r="CQ144" s="6785"/>
      <c r="CR144" s="6785"/>
      <c r="CS144" s="6785"/>
      <c r="CT144" s="6785"/>
      <c r="CU144" s="6785"/>
      <c r="CV144" s="6785"/>
      <c r="CW144" s="6785"/>
      <c r="CX144" s="6785"/>
      <c r="CY144" s="6785"/>
      <c r="CZ144" s="6785"/>
      <c r="DA144" s="6785"/>
      <c r="DB144" s="6785"/>
      <c r="DC144" s="6785"/>
      <c r="DD144" s="6785"/>
      <c r="DE144" s="6785"/>
      <c r="DF144" s="6785"/>
      <c r="DG144" s="6785"/>
      <c r="DH144" s="6785"/>
      <c r="DI144" s="6785"/>
      <c r="DJ144" s="6785"/>
      <c r="DK144" s="6785"/>
      <c r="DL144" s="6785"/>
      <c r="DM144" s="6785"/>
      <c r="DN144" s="6785"/>
      <c r="DO144" s="6785"/>
      <c r="DQ144" s="6033"/>
      <c r="DR144" s="6033"/>
      <c r="DS144" s="6037"/>
      <c r="DT144" s="6787"/>
      <c r="DU144" s="6787"/>
      <c r="DV144" s="6787"/>
      <c r="DW144" s="6787"/>
      <c r="DX144" s="6787"/>
      <c r="DY144" s="6787"/>
      <c r="DZ144" s="6787"/>
      <c r="EA144" s="6787"/>
      <c r="EB144" s="6787"/>
      <c r="EC144" s="6038"/>
      <c r="ED144" s="6039"/>
      <c r="EH144" s="6036"/>
      <c r="EI144" s="6785"/>
      <c r="EJ144" s="6785"/>
      <c r="EK144" s="6785"/>
      <c r="EL144" s="6785"/>
      <c r="EM144" s="6785"/>
      <c r="EN144" s="6785"/>
      <c r="EO144" s="6785"/>
      <c r="EP144" s="6785"/>
      <c r="EQ144" s="6785"/>
      <c r="ER144" s="6785"/>
      <c r="ES144" s="6785"/>
      <c r="ET144" s="6785"/>
      <c r="EU144" s="6785"/>
      <c r="EV144" s="6785"/>
      <c r="EW144" s="6785"/>
      <c r="EX144" s="6785"/>
      <c r="EY144" s="6785"/>
      <c r="EZ144" s="6785"/>
      <c r="FA144" s="6785"/>
      <c r="FB144" s="6785"/>
      <c r="FC144" s="6785"/>
      <c r="FD144" s="6785"/>
      <c r="FE144" s="6785"/>
      <c r="FF144" s="6785"/>
      <c r="FG144" s="6785"/>
      <c r="FH144" s="6785"/>
      <c r="FJ144" s="6033"/>
      <c r="FK144" s="6033"/>
      <c r="FL144" s="6037"/>
      <c r="FM144" s="6787"/>
      <c r="FN144" s="6787"/>
      <c r="FO144" s="6787"/>
      <c r="FP144" s="6787"/>
      <c r="FQ144" s="6787"/>
      <c r="FR144" s="6787"/>
      <c r="FS144" s="6787"/>
      <c r="FT144" s="6787"/>
      <c r="FU144" s="6787"/>
      <c r="FV144" s="6038"/>
      <c r="FW144" s="6039"/>
      <c r="GA144" s="6036"/>
      <c r="GB144" s="6785"/>
      <c r="GC144" s="6785"/>
      <c r="GD144" s="6785"/>
      <c r="GE144" s="6785"/>
      <c r="GF144" s="6785"/>
      <c r="GG144" s="6785"/>
      <c r="GH144" s="6785"/>
      <c r="GI144" s="6785"/>
      <c r="GJ144" s="6785"/>
      <c r="GK144" s="6785"/>
      <c r="GL144" s="6785"/>
      <c r="GM144" s="6785"/>
      <c r="GN144" s="6785"/>
      <c r="GO144" s="6785"/>
      <c r="GP144" s="6785"/>
      <c r="GQ144" s="6785"/>
      <c r="GR144" s="6785"/>
      <c r="GS144" s="6785"/>
      <c r="GT144" s="6785"/>
      <c r="GU144" s="6785"/>
      <c r="GV144" s="6785"/>
      <c r="GW144" s="6785"/>
      <c r="GX144" s="6785"/>
      <c r="GY144" s="6785"/>
      <c r="GZ144" s="6785"/>
      <c r="HA144" s="6785"/>
      <c r="HC144" s="6033"/>
      <c r="HD144" s="6033"/>
      <c r="HE144" s="6037"/>
      <c r="HF144" s="6787"/>
      <c r="HG144" s="6787"/>
      <c r="HH144" s="6787"/>
      <c r="HI144" s="6787"/>
      <c r="HJ144" s="6787"/>
      <c r="HK144" s="6787"/>
      <c r="HL144" s="6787"/>
      <c r="HM144" s="6787"/>
      <c r="HN144" s="6787"/>
      <c r="HO144" s="6038"/>
      <c r="HP144" s="6039"/>
      <c r="HT144" s="6036"/>
      <c r="HU144" s="6785"/>
      <c r="HV144" s="6785"/>
      <c r="HW144" s="6785"/>
      <c r="HX144" s="6785"/>
      <c r="HY144" s="6785"/>
      <c r="HZ144" s="6785"/>
      <c r="IA144" s="6785"/>
      <c r="IB144" s="6785"/>
      <c r="IC144" s="6785"/>
      <c r="ID144" s="6785"/>
      <c r="IE144" s="6785"/>
      <c r="IF144" s="6785"/>
      <c r="IG144" s="6785"/>
      <c r="IH144" s="6785"/>
      <c r="II144" s="6785"/>
      <c r="IJ144" s="6785"/>
      <c r="IK144" s="6785"/>
      <c r="IL144" s="6785"/>
      <c r="IM144" s="6785"/>
      <c r="IN144" s="6785"/>
      <c r="IO144" s="6785"/>
      <c r="IP144" s="6785"/>
      <c r="IQ144" s="6785"/>
      <c r="IR144" s="6785"/>
      <c r="IS144" s="6785"/>
      <c r="IT144" s="6785"/>
      <c r="IV144" s="6033"/>
      <c r="IW144" s="6033"/>
      <c r="IX144" s="6037"/>
      <c r="IY144" s="6787"/>
      <c r="IZ144" s="6787"/>
      <c r="JA144" s="6787"/>
      <c r="JB144" s="6787"/>
      <c r="JC144" s="6787"/>
      <c r="JD144" s="6787"/>
      <c r="JE144" s="6787"/>
      <c r="JF144" s="6787"/>
      <c r="JG144" s="6787"/>
      <c r="JH144" s="6038"/>
      <c r="JI144" s="6039"/>
      <c r="JM144" s="6036"/>
      <c r="JN144" s="6785"/>
      <c r="JO144" s="6785"/>
      <c r="JP144" s="6785"/>
      <c r="JQ144" s="6785"/>
      <c r="JR144" s="6785"/>
      <c r="JS144" s="6785"/>
      <c r="JT144" s="6785"/>
      <c r="JU144" s="6785"/>
      <c r="JV144" s="6785"/>
      <c r="JW144" s="6785"/>
      <c r="JX144" s="6785"/>
      <c r="JY144" s="6785"/>
      <c r="JZ144" s="6785"/>
      <c r="KA144" s="6785"/>
      <c r="KB144" s="6785"/>
      <c r="KC144" s="6785"/>
      <c r="KD144" s="6785"/>
      <c r="KE144" s="6785"/>
      <c r="KF144" s="6785"/>
      <c r="KG144" s="6785"/>
      <c r="KH144" s="6785"/>
      <c r="KI144" s="6785"/>
      <c r="KJ144" s="6785"/>
      <c r="KK144" s="6785"/>
      <c r="KL144" s="6785"/>
      <c r="KM144" s="6785"/>
      <c r="KO144" s="6033"/>
      <c r="KP144" s="6033"/>
      <c r="KQ144" s="6037"/>
      <c r="KR144" s="6787"/>
      <c r="KS144" s="6787"/>
      <c r="KT144" s="6787"/>
      <c r="KU144" s="6787"/>
      <c r="KV144" s="6787"/>
      <c r="KW144" s="6787"/>
      <c r="KX144" s="6787"/>
      <c r="KY144" s="6787"/>
      <c r="KZ144" s="6787"/>
      <c r="LA144" s="6038"/>
      <c r="LB144" s="6039"/>
      <c r="LC144" s="7"/>
      <c r="LF144" s="6036"/>
      <c r="LG144" s="6785"/>
      <c r="LH144" s="6785"/>
      <c r="LI144" s="6785"/>
      <c r="LJ144" s="6785"/>
      <c r="LK144" s="6785"/>
      <c r="LL144" s="6785"/>
      <c r="LM144" s="6785"/>
      <c r="LN144" s="6785"/>
      <c r="LO144" s="6785"/>
      <c r="LP144" s="6785"/>
      <c r="LQ144" s="6785"/>
      <c r="LR144" s="6785"/>
      <c r="LS144" s="6785"/>
      <c r="LT144" s="6785"/>
      <c r="LU144" s="6785"/>
      <c r="LV144" s="6785"/>
      <c r="LW144" s="6785"/>
      <c r="LX144" s="6785"/>
      <c r="LY144" s="6785"/>
      <c r="LZ144" s="6785"/>
      <c r="MA144" s="6785"/>
      <c r="MB144" s="6785"/>
      <c r="MC144" s="6785"/>
      <c r="MD144" s="6785"/>
      <c r="ME144" s="6785"/>
      <c r="MF144" s="6785"/>
      <c r="MH144" s="6033"/>
      <c r="MI144" s="6033"/>
      <c r="MJ144" s="6037"/>
      <c r="MK144" s="6787"/>
      <c r="ML144" s="6787"/>
      <c r="MM144" s="6787"/>
      <c r="MN144" s="6787"/>
      <c r="MO144" s="6787"/>
      <c r="MP144" s="6787"/>
      <c r="MQ144" s="6787"/>
      <c r="MR144" s="6787"/>
      <c r="MS144" s="6787"/>
      <c r="MT144" s="6038"/>
      <c r="MU144" s="6039"/>
      <c r="MV144" s="7"/>
      <c r="MY144" s="6036"/>
      <c r="MZ144" s="6785"/>
      <c r="NA144" s="6785"/>
      <c r="NB144" s="6785"/>
      <c r="NC144" s="6785"/>
      <c r="ND144" s="6785"/>
      <c r="NE144" s="6785"/>
      <c r="NF144" s="6785"/>
      <c r="NG144" s="6785"/>
      <c r="NH144" s="6785"/>
      <c r="NI144" s="6785"/>
      <c r="NJ144" s="6785"/>
      <c r="NK144" s="6785"/>
      <c r="NL144" s="6785"/>
      <c r="NM144" s="6785"/>
      <c r="NN144" s="6785"/>
      <c r="NO144" s="6785"/>
      <c r="NP144" s="6785"/>
      <c r="NQ144" s="6785"/>
      <c r="NR144" s="6785"/>
      <c r="NS144" s="6785"/>
      <c r="NT144" s="6785"/>
      <c r="NU144" s="6785"/>
      <c r="NV144" s="6785"/>
      <c r="NW144" s="6785"/>
      <c r="NX144" s="6785"/>
      <c r="NY144" s="6785"/>
      <c r="OA144" s="6033"/>
      <c r="OB144" s="6033"/>
      <c r="OC144" s="6037"/>
      <c r="OD144" s="6787"/>
      <c r="OE144" s="6787"/>
      <c r="OF144" s="6787"/>
      <c r="OG144" s="6787"/>
      <c r="OH144" s="6787"/>
      <c r="OI144" s="6787"/>
      <c r="OJ144" s="6787"/>
      <c r="OK144" s="6787"/>
      <c r="OL144" s="6787"/>
      <c r="OM144" s="6038"/>
      <c r="ON144" s="6039"/>
      <c r="OO144" s="7"/>
    </row>
    <row r="145" spans="3:404" s="1466" customFormat="1" ht="6" customHeight="1" thickBot="1" x14ac:dyDescent="0.25">
      <c r="C145" s="6040"/>
      <c r="D145" s="6785"/>
      <c r="E145" s="6785"/>
      <c r="F145" s="6785"/>
      <c r="G145" s="6785"/>
      <c r="H145" s="6785"/>
      <c r="I145" s="6785"/>
      <c r="J145" s="6785"/>
      <c r="K145" s="6785"/>
      <c r="L145" s="6785"/>
      <c r="M145" s="6785"/>
      <c r="N145" s="6785"/>
      <c r="O145" s="6785"/>
      <c r="P145" s="6785"/>
      <c r="Q145" s="6785"/>
      <c r="R145" s="6785"/>
      <c r="S145" s="6785"/>
      <c r="T145" s="6785"/>
      <c r="U145" s="6785"/>
      <c r="V145" s="6785"/>
      <c r="W145" s="6785"/>
      <c r="X145" s="6785"/>
      <c r="Y145" s="6785"/>
      <c r="Z145" s="6785"/>
      <c r="AA145" s="6785"/>
      <c r="AB145" s="6785"/>
      <c r="AC145" s="6785"/>
      <c r="AE145" s="6033"/>
      <c r="AF145" s="6033"/>
      <c r="AG145" s="6041"/>
      <c r="AH145" s="6788"/>
      <c r="AI145" s="6788"/>
      <c r="AJ145" s="6788"/>
      <c r="AK145" s="6788"/>
      <c r="AL145" s="6788"/>
      <c r="AM145" s="6788"/>
      <c r="AN145" s="6788"/>
      <c r="AO145" s="6788"/>
      <c r="AP145" s="6788"/>
      <c r="AQ145" s="6042"/>
      <c r="AR145" s="6043"/>
      <c r="AV145" s="6040"/>
      <c r="AW145" s="6785"/>
      <c r="AX145" s="6785"/>
      <c r="AY145" s="6785"/>
      <c r="AZ145" s="6785"/>
      <c r="BA145" s="6785"/>
      <c r="BB145" s="6785"/>
      <c r="BC145" s="6785"/>
      <c r="BD145" s="6785"/>
      <c r="BE145" s="6785"/>
      <c r="BF145" s="6785"/>
      <c r="BG145" s="6785"/>
      <c r="BH145" s="6785"/>
      <c r="BI145" s="6785"/>
      <c r="BJ145" s="6785"/>
      <c r="BK145" s="6785"/>
      <c r="BL145" s="6785"/>
      <c r="BM145" s="6785"/>
      <c r="BN145" s="6785"/>
      <c r="BO145" s="6785"/>
      <c r="BP145" s="6785"/>
      <c r="BQ145" s="6785"/>
      <c r="BR145" s="6785"/>
      <c r="BS145" s="6785"/>
      <c r="BT145" s="6785"/>
      <c r="BU145" s="6785"/>
      <c r="BV145" s="6785"/>
      <c r="BX145" s="6033"/>
      <c r="BY145" s="6033"/>
      <c r="BZ145" s="6041"/>
      <c r="CA145" s="6788"/>
      <c r="CB145" s="6788"/>
      <c r="CC145" s="6788"/>
      <c r="CD145" s="6788"/>
      <c r="CE145" s="6788"/>
      <c r="CF145" s="6788"/>
      <c r="CG145" s="6788"/>
      <c r="CH145" s="6788"/>
      <c r="CI145" s="6788"/>
      <c r="CJ145" s="6042"/>
      <c r="CK145" s="6043"/>
      <c r="CO145" s="6040"/>
      <c r="CP145" s="6785"/>
      <c r="CQ145" s="6785"/>
      <c r="CR145" s="6785"/>
      <c r="CS145" s="6785"/>
      <c r="CT145" s="6785"/>
      <c r="CU145" s="6785"/>
      <c r="CV145" s="6785"/>
      <c r="CW145" s="6785"/>
      <c r="CX145" s="6785"/>
      <c r="CY145" s="6785"/>
      <c r="CZ145" s="6785"/>
      <c r="DA145" s="6785"/>
      <c r="DB145" s="6785"/>
      <c r="DC145" s="6785"/>
      <c r="DD145" s="6785"/>
      <c r="DE145" s="6785"/>
      <c r="DF145" s="6785"/>
      <c r="DG145" s="6785"/>
      <c r="DH145" s="6785"/>
      <c r="DI145" s="6785"/>
      <c r="DJ145" s="6785"/>
      <c r="DK145" s="6785"/>
      <c r="DL145" s="6785"/>
      <c r="DM145" s="6785"/>
      <c r="DN145" s="6785"/>
      <c r="DO145" s="6785"/>
      <c r="DQ145" s="6033"/>
      <c r="DR145" s="6033"/>
      <c r="DS145" s="6041"/>
      <c r="DT145" s="6788"/>
      <c r="DU145" s="6788"/>
      <c r="DV145" s="6788"/>
      <c r="DW145" s="6788"/>
      <c r="DX145" s="6788"/>
      <c r="DY145" s="6788"/>
      <c r="DZ145" s="6788"/>
      <c r="EA145" s="6788"/>
      <c r="EB145" s="6788"/>
      <c r="EC145" s="6042"/>
      <c r="ED145" s="6043"/>
      <c r="EH145" s="6040"/>
      <c r="EI145" s="6785"/>
      <c r="EJ145" s="6785"/>
      <c r="EK145" s="6785"/>
      <c r="EL145" s="6785"/>
      <c r="EM145" s="6785"/>
      <c r="EN145" s="6785"/>
      <c r="EO145" s="6785"/>
      <c r="EP145" s="6785"/>
      <c r="EQ145" s="6785"/>
      <c r="ER145" s="6785"/>
      <c r="ES145" s="6785"/>
      <c r="ET145" s="6785"/>
      <c r="EU145" s="6785"/>
      <c r="EV145" s="6785"/>
      <c r="EW145" s="6785"/>
      <c r="EX145" s="6785"/>
      <c r="EY145" s="6785"/>
      <c r="EZ145" s="6785"/>
      <c r="FA145" s="6785"/>
      <c r="FB145" s="6785"/>
      <c r="FC145" s="6785"/>
      <c r="FD145" s="6785"/>
      <c r="FE145" s="6785"/>
      <c r="FF145" s="6785"/>
      <c r="FG145" s="6785"/>
      <c r="FH145" s="6785"/>
      <c r="FJ145" s="6033"/>
      <c r="FK145" s="6033"/>
      <c r="FL145" s="6041"/>
      <c r="FM145" s="6788"/>
      <c r="FN145" s="6788"/>
      <c r="FO145" s="6788"/>
      <c r="FP145" s="6788"/>
      <c r="FQ145" s="6788"/>
      <c r="FR145" s="6788"/>
      <c r="FS145" s="6788"/>
      <c r="FT145" s="6788"/>
      <c r="FU145" s="6788"/>
      <c r="FV145" s="6042"/>
      <c r="FW145" s="6043"/>
      <c r="GA145" s="6040"/>
      <c r="GB145" s="6785"/>
      <c r="GC145" s="6785"/>
      <c r="GD145" s="6785"/>
      <c r="GE145" s="6785"/>
      <c r="GF145" s="6785"/>
      <c r="GG145" s="6785"/>
      <c r="GH145" s="6785"/>
      <c r="GI145" s="6785"/>
      <c r="GJ145" s="6785"/>
      <c r="GK145" s="6785"/>
      <c r="GL145" s="6785"/>
      <c r="GM145" s="6785"/>
      <c r="GN145" s="6785"/>
      <c r="GO145" s="6785"/>
      <c r="GP145" s="6785"/>
      <c r="GQ145" s="6785"/>
      <c r="GR145" s="6785"/>
      <c r="GS145" s="6785"/>
      <c r="GT145" s="6785"/>
      <c r="GU145" s="6785"/>
      <c r="GV145" s="6785"/>
      <c r="GW145" s="6785"/>
      <c r="GX145" s="6785"/>
      <c r="GY145" s="6785"/>
      <c r="GZ145" s="6785"/>
      <c r="HA145" s="6785"/>
      <c r="HC145" s="6033"/>
      <c r="HD145" s="6033"/>
      <c r="HE145" s="6041"/>
      <c r="HF145" s="6788"/>
      <c r="HG145" s="6788"/>
      <c r="HH145" s="6788"/>
      <c r="HI145" s="6788"/>
      <c r="HJ145" s="6788"/>
      <c r="HK145" s="6788"/>
      <c r="HL145" s="6788"/>
      <c r="HM145" s="6788"/>
      <c r="HN145" s="6788"/>
      <c r="HO145" s="6042"/>
      <c r="HP145" s="6043"/>
      <c r="HT145" s="6040"/>
      <c r="HU145" s="6785"/>
      <c r="HV145" s="6785"/>
      <c r="HW145" s="6785"/>
      <c r="HX145" s="6785"/>
      <c r="HY145" s="6785"/>
      <c r="HZ145" s="6785"/>
      <c r="IA145" s="6785"/>
      <c r="IB145" s="6785"/>
      <c r="IC145" s="6785"/>
      <c r="ID145" s="6785"/>
      <c r="IE145" s="6785"/>
      <c r="IF145" s="6785"/>
      <c r="IG145" s="6785"/>
      <c r="IH145" s="6785"/>
      <c r="II145" s="6785"/>
      <c r="IJ145" s="6785"/>
      <c r="IK145" s="6785"/>
      <c r="IL145" s="6785"/>
      <c r="IM145" s="6785"/>
      <c r="IN145" s="6785"/>
      <c r="IO145" s="6785"/>
      <c r="IP145" s="6785"/>
      <c r="IQ145" s="6785"/>
      <c r="IR145" s="6785"/>
      <c r="IS145" s="6785"/>
      <c r="IT145" s="6785"/>
      <c r="IV145" s="6033"/>
      <c r="IW145" s="6033"/>
      <c r="IX145" s="6041"/>
      <c r="IY145" s="6788"/>
      <c r="IZ145" s="6788"/>
      <c r="JA145" s="6788"/>
      <c r="JB145" s="6788"/>
      <c r="JC145" s="6788"/>
      <c r="JD145" s="6788"/>
      <c r="JE145" s="6788"/>
      <c r="JF145" s="6788"/>
      <c r="JG145" s="6788"/>
      <c r="JH145" s="6042"/>
      <c r="JI145" s="6043"/>
      <c r="JM145" s="6040"/>
      <c r="JN145" s="6785"/>
      <c r="JO145" s="6785"/>
      <c r="JP145" s="6785"/>
      <c r="JQ145" s="6785"/>
      <c r="JR145" s="6785"/>
      <c r="JS145" s="6785"/>
      <c r="JT145" s="6785"/>
      <c r="JU145" s="6785"/>
      <c r="JV145" s="6785"/>
      <c r="JW145" s="6785"/>
      <c r="JX145" s="6785"/>
      <c r="JY145" s="6785"/>
      <c r="JZ145" s="6785"/>
      <c r="KA145" s="6785"/>
      <c r="KB145" s="6785"/>
      <c r="KC145" s="6785"/>
      <c r="KD145" s="6785"/>
      <c r="KE145" s="6785"/>
      <c r="KF145" s="6785"/>
      <c r="KG145" s="6785"/>
      <c r="KH145" s="6785"/>
      <c r="KI145" s="6785"/>
      <c r="KJ145" s="6785"/>
      <c r="KK145" s="6785"/>
      <c r="KL145" s="6785"/>
      <c r="KM145" s="6785"/>
      <c r="KO145" s="6033"/>
      <c r="KP145" s="6033"/>
      <c r="KQ145" s="6041"/>
      <c r="KR145" s="6788"/>
      <c r="KS145" s="6788"/>
      <c r="KT145" s="6788"/>
      <c r="KU145" s="6788"/>
      <c r="KV145" s="6788"/>
      <c r="KW145" s="6788"/>
      <c r="KX145" s="6788"/>
      <c r="KY145" s="6788"/>
      <c r="KZ145" s="6788"/>
      <c r="LA145" s="6042"/>
      <c r="LB145" s="6043"/>
      <c r="LF145" s="6040"/>
      <c r="LG145" s="6785"/>
      <c r="LH145" s="6785"/>
      <c r="LI145" s="6785"/>
      <c r="LJ145" s="6785"/>
      <c r="LK145" s="6785"/>
      <c r="LL145" s="6785"/>
      <c r="LM145" s="6785"/>
      <c r="LN145" s="6785"/>
      <c r="LO145" s="6785"/>
      <c r="LP145" s="6785"/>
      <c r="LQ145" s="6785"/>
      <c r="LR145" s="6785"/>
      <c r="LS145" s="6785"/>
      <c r="LT145" s="6785"/>
      <c r="LU145" s="6785"/>
      <c r="LV145" s="6785"/>
      <c r="LW145" s="6785"/>
      <c r="LX145" s="6785"/>
      <c r="LY145" s="6785"/>
      <c r="LZ145" s="6785"/>
      <c r="MA145" s="6785"/>
      <c r="MB145" s="6785"/>
      <c r="MC145" s="6785"/>
      <c r="MD145" s="6785"/>
      <c r="ME145" s="6785"/>
      <c r="MF145" s="6785"/>
      <c r="MH145" s="6033"/>
      <c r="MI145" s="6033"/>
      <c r="MJ145" s="6041"/>
      <c r="MK145" s="6788"/>
      <c r="ML145" s="6788"/>
      <c r="MM145" s="6788"/>
      <c r="MN145" s="6788"/>
      <c r="MO145" s="6788"/>
      <c r="MP145" s="6788"/>
      <c r="MQ145" s="6788"/>
      <c r="MR145" s="6788"/>
      <c r="MS145" s="6788"/>
      <c r="MT145" s="6042"/>
      <c r="MU145" s="6043"/>
      <c r="MY145" s="6040"/>
      <c r="MZ145" s="6785"/>
      <c r="NA145" s="6785"/>
      <c r="NB145" s="6785"/>
      <c r="NC145" s="6785"/>
      <c r="ND145" s="6785"/>
      <c r="NE145" s="6785"/>
      <c r="NF145" s="6785"/>
      <c r="NG145" s="6785"/>
      <c r="NH145" s="6785"/>
      <c r="NI145" s="6785"/>
      <c r="NJ145" s="6785"/>
      <c r="NK145" s="6785"/>
      <c r="NL145" s="6785"/>
      <c r="NM145" s="6785"/>
      <c r="NN145" s="6785"/>
      <c r="NO145" s="6785"/>
      <c r="NP145" s="6785"/>
      <c r="NQ145" s="6785"/>
      <c r="NR145" s="6785"/>
      <c r="NS145" s="6785"/>
      <c r="NT145" s="6785"/>
      <c r="NU145" s="6785"/>
      <c r="NV145" s="6785"/>
      <c r="NW145" s="6785"/>
      <c r="NX145" s="6785"/>
      <c r="NY145" s="6785"/>
      <c r="OA145" s="6033"/>
      <c r="OB145" s="6033"/>
      <c r="OC145" s="6041"/>
      <c r="OD145" s="6788"/>
      <c r="OE145" s="6788"/>
      <c r="OF145" s="6788"/>
      <c r="OG145" s="6788"/>
      <c r="OH145" s="6788"/>
      <c r="OI145" s="6788"/>
      <c r="OJ145" s="6788"/>
      <c r="OK145" s="6788"/>
      <c r="OL145" s="6788"/>
      <c r="OM145" s="6042"/>
      <c r="ON145" s="6043"/>
    </row>
    <row r="146" spans="3:404" s="1466" customFormat="1" ht="9.9499999999999993" customHeight="1" thickBot="1" x14ac:dyDescent="0.25">
      <c r="C146" s="6044"/>
      <c r="D146" s="6045"/>
      <c r="E146" s="6045"/>
      <c r="F146" s="6045"/>
      <c r="G146" s="6045"/>
      <c r="H146" s="6045"/>
      <c r="I146" s="6045"/>
      <c r="J146" s="6045"/>
      <c r="K146" s="6045"/>
      <c r="L146" s="6045"/>
      <c r="M146" s="6045"/>
      <c r="N146" s="6045"/>
      <c r="O146" s="6045"/>
      <c r="P146" s="6045"/>
      <c r="Q146" s="6045"/>
      <c r="R146" s="6045"/>
      <c r="S146" s="6045"/>
      <c r="T146" s="6045"/>
      <c r="U146" s="6045"/>
      <c r="V146" s="6045"/>
      <c r="W146" s="6046"/>
      <c r="X146" s="6046"/>
      <c r="Y146" s="6046"/>
      <c r="Z146" s="6046"/>
      <c r="AA146" s="6046"/>
      <c r="AB146" s="6046"/>
      <c r="AC146" s="6046"/>
      <c r="AD146" s="6046"/>
      <c r="AE146" s="6047"/>
      <c r="AF146" s="6047"/>
      <c r="AG146" s="6047"/>
      <c r="AH146" s="6047"/>
      <c r="AI146" s="6047"/>
      <c r="AJ146" s="6047"/>
      <c r="AK146" s="6047"/>
      <c r="AL146" s="6047"/>
      <c r="AM146" s="6047"/>
      <c r="AN146" s="6047"/>
      <c r="AO146" s="6047"/>
      <c r="AP146" s="6047"/>
      <c r="AQ146" s="6046"/>
      <c r="AR146" s="6048"/>
      <c r="AV146" s="6044"/>
      <c r="AW146" s="6045"/>
      <c r="AX146" s="6045"/>
      <c r="AY146" s="6045"/>
      <c r="AZ146" s="6045"/>
      <c r="BA146" s="6045"/>
      <c r="BB146" s="6045"/>
      <c r="BC146" s="6045"/>
      <c r="BD146" s="6045"/>
      <c r="BE146" s="6045"/>
      <c r="BF146" s="6045"/>
      <c r="BG146" s="6045"/>
      <c r="BH146" s="6045"/>
      <c r="BI146" s="6045"/>
      <c r="BJ146" s="6045"/>
      <c r="BK146" s="6045"/>
      <c r="BL146" s="6045"/>
      <c r="BM146" s="6045"/>
      <c r="BN146" s="6045"/>
      <c r="BO146" s="6045"/>
      <c r="BP146" s="6046"/>
      <c r="BQ146" s="6046"/>
      <c r="BR146" s="6046"/>
      <c r="BS146" s="6046"/>
      <c r="BT146" s="6046"/>
      <c r="BU146" s="6046"/>
      <c r="BV146" s="6046"/>
      <c r="BW146" s="6046"/>
      <c r="BX146" s="6047"/>
      <c r="BY146" s="6047"/>
      <c r="BZ146" s="6047"/>
      <c r="CA146" s="6047"/>
      <c r="CB146" s="6047"/>
      <c r="CC146" s="6047"/>
      <c r="CD146" s="6047"/>
      <c r="CE146" s="6047"/>
      <c r="CF146" s="6047"/>
      <c r="CG146" s="6047"/>
      <c r="CH146" s="6047"/>
      <c r="CI146" s="6047"/>
      <c r="CJ146" s="6046"/>
      <c r="CK146" s="6048"/>
      <c r="CO146" s="6044"/>
      <c r="CP146" s="6045"/>
      <c r="CQ146" s="6045"/>
      <c r="CR146" s="6045"/>
      <c r="CS146" s="6045"/>
      <c r="CT146" s="6045"/>
      <c r="CU146" s="6045"/>
      <c r="CV146" s="6045"/>
      <c r="CW146" s="6045"/>
      <c r="CX146" s="6045"/>
      <c r="CY146" s="6045"/>
      <c r="CZ146" s="6045"/>
      <c r="DA146" s="6045"/>
      <c r="DB146" s="6045"/>
      <c r="DC146" s="6045"/>
      <c r="DD146" s="6045"/>
      <c r="DE146" s="6045"/>
      <c r="DF146" s="6045"/>
      <c r="DG146" s="6045"/>
      <c r="DH146" s="6045"/>
      <c r="DI146" s="6046"/>
      <c r="DJ146" s="6046"/>
      <c r="DK146" s="6046"/>
      <c r="DL146" s="6046"/>
      <c r="DM146" s="6046"/>
      <c r="DN146" s="6046"/>
      <c r="DO146" s="6046"/>
      <c r="DP146" s="6046"/>
      <c r="DQ146" s="6047"/>
      <c r="DR146" s="6047"/>
      <c r="DS146" s="6047"/>
      <c r="DT146" s="6047"/>
      <c r="DU146" s="6047"/>
      <c r="DV146" s="6047"/>
      <c r="DW146" s="6047"/>
      <c r="DX146" s="6047"/>
      <c r="DY146" s="6047"/>
      <c r="DZ146" s="6047"/>
      <c r="EA146" s="6047"/>
      <c r="EB146" s="6047"/>
      <c r="EC146" s="6046"/>
      <c r="ED146" s="6048"/>
      <c r="EH146" s="6044"/>
      <c r="EI146" s="6045"/>
      <c r="EJ146" s="6045"/>
      <c r="EK146" s="6045"/>
      <c r="EL146" s="6045"/>
      <c r="EM146" s="6045"/>
      <c r="EN146" s="6045"/>
      <c r="EO146" s="6045"/>
      <c r="EP146" s="6045"/>
      <c r="EQ146" s="6045"/>
      <c r="ER146" s="6045"/>
      <c r="ES146" s="6045"/>
      <c r="ET146" s="6045"/>
      <c r="EU146" s="6045"/>
      <c r="EV146" s="6045"/>
      <c r="EW146" s="6045"/>
      <c r="EX146" s="6045"/>
      <c r="EY146" s="6045"/>
      <c r="EZ146" s="6045"/>
      <c r="FA146" s="6045"/>
      <c r="FB146" s="6046"/>
      <c r="FC146" s="6046"/>
      <c r="FD146" s="6046"/>
      <c r="FE146" s="6046"/>
      <c r="FF146" s="6046"/>
      <c r="FG146" s="6046"/>
      <c r="FH146" s="6046"/>
      <c r="FI146" s="6046"/>
      <c r="FJ146" s="6047"/>
      <c r="FK146" s="6047"/>
      <c r="FL146" s="6047"/>
      <c r="FM146" s="6047"/>
      <c r="FN146" s="6047"/>
      <c r="FO146" s="6047"/>
      <c r="FP146" s="6047"/>
      <c r="FQ146" s="6047"/>
      <c r="FR146" s="6047"/>
      <c r="FS146" s="6047"/>
      <c r="FT146" s="6047"/>
      <c r="FU146" s="6047"/>
      <c r="FV146" s="6046"/>
      <c r="FW146" s="6048"/>
      <c r="GA146" s="6044"/>
      <c r="GB146" s="6045"/>
      <c r="GC146" s="6045"/>
      <c r="GD146" s="6045"/>
      <c r="GE146" s="6045"/>
      <c r="GF146" s="6045"/>
      <c r="GG146" s="6045"/>
      <c r="GH146" s="6045"/>
      <c r="GI146" s="6045"/>
      <c r="GJ146" s="6045"/>
      <c r="GK146" s="6045"/>
      <c r="GL146" s="6045"/>
      <c r="GM146" s="6045"/>
      <c r="GN146" s="6045"/>
      <c r="GO146" s="6045"/>
      <c r="GP146" s="6045"/>
      <c r="GQ146" s="6045"/>
      <c r="GR146" s="6045"/>
      <c r="GS146" s="6045"/>
      <c r="GT146" s="6045"/>
      <c r="GU146" s="6046"/>
      <c r="GV146" s="6046"/>
      <c r="GW146" s="6046"/>
      <c r="GX146" s="6046"/>
      <c r="GY146" s="6046"/>
      <c r="GZ146" s="6046"/>
      <c r="HA146" s="6046"/>
      <c r="HB146" s="6046"/>
      <c r="HC146" s="6047"/>
      <c r="HD146" s="6047"/>
      <c r="HE146" s="6047"/>
      <c r="HF146" s="6047"/>
      <c r="HG146" s="6047"/>
      <c r="HH146" s="6047"/>
      <c r="HI146" s="6047"/>
      <c r="HJ146" s="6047"/>
      <c r="HK146" s="6047"/>
      <c r="HL146" s="6047"/>
      <c r="HM146" s="6047"/>
      <c r="HN146" s="6047"/>
      <c r="HO146" s="6046"/>
      <c r="HP146" s="6048"/>
      <c r="HT146" s="6044"/>
      <c r="HU146" s="6045"/>
      <c r="HV146" s="6045"/>
      <c r="HW146" s="6045"/>
      <c r="HX146" s="6045"/>
      <c r="HY146" s="6045"/>
      <c r="HZ146" s="6045"/>
      <c r="IA146" s="6045"/>
      <c r="IB146" s="6045"/>
      <c r="IC146" s="6045"/>
      <c r="ID146" s="6045"/>
      <c r="IE146" s="6045"/>
      <c r="IF146" s="6045"/>
      <c r="IG146" s="6045"/>
      <c r="IH146" s="6045"/>
      <c r="II146" s="6045"/>
      <c r="IJ146" s="6045"/>
      <c r="IK146" s="6045"/>
      <c r="IL146" s="6045"/>
      <c r="IM146" s="6045"/>
      <c r="IN146" s="6046"/>
      <c r="IO146" s="6046"/>
      <c r="IP146" s="6046"/>
      <c r="IQ146" s="6046"/>
      <c r="IR146" s="6046"/>
      <c r="IS146" s="6046"/>
      <c r="IT146" s="6046"/>
      <c r="IU146" s="6046"/>
      <c r="IV146" s="6047"/>
      <c r="IW146" s="6047"/>
      <c r="IX146" s="6047"/>
      <c r="IY146" s="6047"/>
      <c r="IZ146" s="6047"/>
      <c r="JA146" s="6047"/>
      <c r="JB146" s="6047"/>
      <c r="JC146" s="6047"/>
      <c r="JD146" s="6047"/>
      <c r="JE146" s="6047"/>
      <c r="JF146" s="6047"/>
      <c r="JG146" s="6047"/>
      <c r="JH146" s="6046"/>
      <c r="JI146" s="6048"/>
      <c r="JM146" s="6044"/>
      <c r="JN146" s="6045"/>
      <c r="JO146" s="6045"/>
      <c r="JP146" s="6045"/>
      <c r="JQ146" s="6045"/>
      <c r="JR146" s="6045"/>
      <c r="JS146" s="6045"/>
      <c r="JT146" s="6045"/>
      <c r="JU146" s="6045"/>
      <c r="JV146" s="6045"/>
      <c r="JW146" s="6045"/>
      <c r="JX146" s="6045"/>
      <c r="JY146" s="6045"/>
      <c r="JZ146" s="6045"/>
      <c r="KA146" s="6045"/>
      <c r="KB146" s="6045"/>
      <c r="KC146" s="6045"/>
      <c r="KD146" s="6045"/>
      <c r="KE146" s="6045"/>
      <c r="KF146" s="6045"/>
      <c r="KG146" s="6046"/>
      <c r="KH146" s="6046"/>
      <c r="KI146" s="6046"/>
      <c r="KJ146" s="6046"/>
      <c r="KK146" s="6046"/>
      <c r="KL146" s="6046"/>
      <c r="KM146" s="6046"/>
      <c r="KN146" s="6046"/>
      <c r="KO146" s="6047"/>
      <c r="KP146" s="6047"/>
      <c r="KQ146" s="6047"/>
      <c r="KR146" s="6047"/>
      <c r="KS146" s="6047"/>
      <c r="KT146" s="6047"/>
      <c r="KU146" s="6047"/>
      <c r="KV146" s="6047"/>
      <c r="KW146" s="6047"/>
      <c r="KX146" s="6047"/>
      <c r="KY146" s="6047"/>
      <c r="KZ146" s="6047"/>
      <c r="LA146" s="6046"/>
      <c r="LB146" s="6048"/>
      <c r="LF146" s="6044"/>
      <c r="LG146" s="6045"/>
      <c r="LH146" s="6045"/>
      <c r="LI146" s="6045"/>
      <c r="LJ146" s="6045"/>
      <c r="LK146" s="6045"/>
      <c r="LL146" s="6045"/>
      <c r="LM146" s="6045"/>
      <c r="LN146" s="6045"/>
      <c r="LO146" s="6045"/>
      <c r="LP146" s="6045"/>
      <c r="LQ146" s="6045"/>
      <c r="LR146" s="6045"/>
      <c r="LS146" s="6045"/>
      <c r="LT146" s="6045"/>
      <c r="LU146" s="6045"/>
      <c r="LV146" s="6045"/>
      <c r="LW146" s="6045"/>
      <c r="LX146" s="6045"/>
      <c r="LY146" s="6045"/>
      <c r="LZ146" s="6046"/>
      <c r="MA146" s="6046"/>
      <c r="MB146" s="6046"/>
      <c r="MC146" s="6046"/>
      <c r="MD146" s="6046"/>
      <c r="ME146" s="6046"/>
      <c r="MF146" s="6046"/>
      <c r="MG146" s="6046"/>
      <c r="MH146" s="6047"/>
      <c r="MI146" s="6047"/>
      <c r="MJ146" s="6047"/>
      <c r="MK146" s="6047"/>
      <c r="ML146" s="6047"/>
      <c r="MM146" s="6047"/>
      <c r="MN146" s="6047"/>
      <c r="MO146" s="6047"/>
      <c r="MP146" s="6047"/>
      <c r="MQ146" s="6047"/>
      <c r="MR146" s="6047"/>
      <c r="MS146" s="6047"/>
      <c r="MT146" s="6046"/>
      <c r="MU146" s="6048"/>
      <c r="MY146" s="6044"/>
      <c r="MZ146" s="6045"/>
      <c r="NA146" s="6045"/>
      <c r="NB146" s="6045"/>
      <c r="NC146" s="6045"/>
      <c r="ND146" s="6045"/>
      <c r="NE146" s="6045"/>
      <c r="NF146" s="6045"/>
      <c r="NG146" s="6045"/>
      <c r="NH146" s="6045"/>
      <c r="NI146" s="6045"/>
      <c r="NJ146" s="6045"/>
      <c r="NK146" s="6045"/>
      <c r="NL146" s="6045"/>
      <c r="NM146" s="6045"/>
      <c r="NN146" s="6045"/>
      <c r="NO146" s="6045"/>
      <c r="NP146" s="6045"/>
      <c r="NQ146" s="6045"/>
      <c r="NR146" s="6045"/>
      <c r="NS146" s="6046"/>
      <c r="NT146" s="6046"/>
      <c r="NU146" s="6046"/>
      <c r="NV146" s="6046"/>
      <c r="NW146" s="6046"/>
      <c r="NX146" s="6046"/>
      <c r="NY146" s="6046"/>
      <c r="NZ146" s="6046"/>
      <c r="OA146" s="6047"/>
      <c r="OB146" s="6047"/>
      <c r="OC146" s="6047"/>
      <c r="OD146" s="6047"/>
      <c r="OE146" s="6047"/>
      <c r="OF146" s="6047"/>
      <c r="OG146" s="6047"/>
      <c r="OH146" s="6047"/>
      <c r="OI146" s="6047"/>
      <c r="OJ146" s="6047"/>
      <c r="OK146" s="6047"/>
      <c r="OL146" s="6047"/>
      <c r="OM146" s="6046"/>
      <c r="ON146" s="6048"/>
    </row>
    <row r="147" spans="3:404" ht="9.9499999999999993" customHeight="1" thickBot="1" x14ac:dyDescent="0.25">
      <c r="D147" s="6091"/>
      <c r="AW147" s="6091"/>
      <c r="CP147" s="6091"/>
      <c r="EI147" s="6091"/>
      <c r="GB147" s="6091"/>
      <c r="HU147" s="6091"/>
      <c r="JN147" s="6091"/>
      <c r="LG147" s="6091"/>
      <c r="MZ147" s="6091"/>
    </row>
    <row r="148" spans="3:404" ht="15" customHeight="1" x14ac:dyDescent="0.2">
      <c r="C148" s="6049"/>
      <c r="D148" s="6050"/>
      <c r="E148" s="6050"/>
      <c r="F148" s="6050"/>
      <c r="G148" s="6050"/>
      <c r="H148" s="6050"/>
      <c r="I148" s="6050"/>
      <c r="J148" s="6050"/>
      <c r="K148" s="6050"/>
      <c r="L148" s="6050"/>
      <c r="M148" s="6050"/>
      <c r="N148" s="6050"/>
      <c r="O148" s="6050"/>
      <c r="P148" s="6050"/>
      <c r="Q148" s="6050"/>
      <c r="R148" s="6050"/>
      <c r="S148" s="6050"/>
      <c r="T148" s="6050"/>
      <c r="U148" s="6050"/>
      <c r="V148" s="6050"/>
      <c r="W148" s="6050"/>
      <c r="X148" s="6050"/>
      <c r="Y148" s="6050"/>
      <c r="Z148" s="6050"/>
      <c r="AA148" s="6050"/>
      <c r="AB148" s="6050"/>
      <c r="AC148" s="6050"/>
      <c r="AD148" s="6050"/>
      <c r="AE148" s="6050"/>
      <c r="AF148" s="6050"/>
      <c r="AG148" s="6050"/>
      <c r="AH148" s="6050"/>
      <c r="AI148" s="6050"/>
      <c r="AJ148" s="6050"/>
      <c r="AK148" s="6050"/>
      <c r="AL148" s="6050"/>
      <c r="AM148" s="6050"/>
      <c r="AN148" s="6050"/>
      <c r="AO148" s="6050"/>
      <c r="AP148" s="6050"/>
      <c r="AQ148" s="6050"/>
      <c r="AR148" s="6052"/>
      <c r="AV148" s="6049"/>
      <c r="AW148" s="6050"/>
      <c r="AX148" s="6050"/>
      <c r="AY148" s="6050"/>
      <c r="AZ148" s="6050"/>
      <c r="BA148" s="6050"/>
      <c r="BB148" s="6050"/>
      <c r="BC148" s="6050"/>
      <c r="BD148" s="6050"/>
      <c r="BE148" s="6050"/>
      <c r="BF148" s="6050"/>
      <c r="BG148" s="6050"/>
      <c r="BH148" s="6050"/>
      <c r="BI148" s="6050"/>
      <c r="BJ148" s="6050"/>
      <c r="BK148" s="6050"/>
      <c r="BL148" s="6050"/>
      <c r="BM148" s="6050"/>
      <c r="BN148" s="6050"/>
      <c r="BO148" s="6050"/>
      <c r="BP148" s="6050"/>
      <c r="BQ148" s="6050"/>
      <c r="BR148" s="6050"/>
      <c r="BS148" s="6050"/>
      <c r="BT148" s="6050"/>
      <c r="BU148" s="6050"/>
      <c r="BV148" s="6050"/>
      <c r="BW148" s="6050"/>
      <c r="BX148" s="6050"/>
      <c r="BY148" s="6050"/>
      <c r="BZ148" s="6050"/>
      <c r="CA148" s="6050"/>
      <c r="CB148" s="6050"/>
      <c r="CC148" s="6050"/>
      <c r="CD148" s="6050"/>
      <c r="CE148" s="6050"/>
      <c r="CF148" s="6050"/>
      <c r="CG148" s="6050"/>
      <c r="CH148" s="6050"/>
      <c r="CI148" s="6050"/>
      <c r="CJ148" s="6050"/>
      <c r="CK148" s="6052"/>
      <c r="CO148" s="6049"/>
      <c r="CP148" s="6050"/>
      <c r="CQ148" s="6050"/>
      <c r="CR148" s="6050"/>
      <c r="CS148" s="6050"/>
      <c r="CT148" s="6050"/>
      <c r="CU148" s="6050"/>
      <c r="CV148" s="6050"/>
      <c r="CW148" s="6050"/>
      <c r="CX148" s="6050"/>
      <c r="CY148" s="6050"/>
      <c r="CZ148" s="6050"/>
      <c r="DA148" s="6050"/>
      <c r="DB148" s="6050"/>
      <c r="DC148" s="6050"/>
      <c r="DD148" s="6050"/>
      <c r="DE148" s="6050"/>
      <c r="DF148" s="6050"/>
      <c r="DG148" s="6050"/>
      <c r="DH148" s="6050"/>
      <c r="DI148" s="6050"/>
      <c r="DJ148" s="6050"/>
      <c r="DK148" s="6050"/>
      <c r="DL148" s="6050"/>
      <c r="DM148" s="6050"/>
      <c r="DN148" s="6050"/>
      <c r="DO148" s="6050"/>
      <c r="DP148" s="6050"/>
      <c r="DQ148" s="6050"/>
      <c r="DR148" s="6050"/>
      <c r="DS148" s="6050"/>
      <c r="DT148" s="6050"/>
      <c r="DU148" s="6050"/>
      <c r="DV148" s="6050"/>
      <c r="DW148" s="6050"/>
      <c r="DX148" s="6050"/>
      <c r="DY148" s="6050"/>
      <c r="DZ148" s="6050"/>
      <c r="EA148" s="6050"/>
      <c r="EB148" s="6050"/>
      <c r="EC148" s="6050"/>
      <c r="ED148" s="6052"/>
      <c r="EH148" s="6049"/>
      <c r="EI148" s="6050"/>
      <c r="EJ148" s="6050"/>
      <c r="EK148" s="6050"/>
      <c r="EL148" s="6050"/>
      <c r="EM148" s="6050"/>
      <c r="EN148" s="6050"/>
      <c r="EO148" s="6050"/>
      <c r="EP148" s="6050"/>
      <c r="EQ148" s="6050"/>
      <c r="ER148" s="6050"/>
      <c r="ES148" s="6050"/>
      <c r="ET148" s="6050"/>
      <c r="EU148" s="6050"/>
      <c r="EV148" s="6050"/>
      <c r="EW148" s="6050"/>
      <c r="EX148" s="6050"/>
      <c r="EY148" s="6050"/>
      <c r="EZ148" s="6050"/>
      <c r="FA148" s="6050"/>
      <c r="FB148" s="6050"/>
      <c r="FC148" s="6050"/>
      <c r="FD148" s="6050"/>
      <c r="FE148" s="6050"/>
      <c r="FF148" s="6050"/>
      <c r="FG148" s="6050"/>
      <c r="FH148" s="6050"/>
      <c r="FI148" s="6050"/>
      <c r="FJ148" s="6050"/>
      <c r="FK148" s="6050"/>
      <c r="FL148" s="6050"/>
      <c r="FM148" s="6050"/>
      <c r="FN148" s="6050"/>
      <c r="FO148" s="6050"/>
      <c r="FP148" s="6050"/>
      <c r="FQ148" s="6050"/>
      <c r="FR148" s="6050"/>
      <c r="FS148" s="6050"/>
      <c r="FT148" s="6050"/>
      <c r="FU148" s="6050"/>
      <c r="FV148" s="6050"/>
      <c r="FW148" s="6052"/>
      <c r="GA148" s="6049"/>
      <c r="GB148" s="6050"/>
      <c r="GC148" s="6050"/>
      <c r="GD148" s="6050"/>
      <c r="GE148" s="6050"/>
      <c r="GF148" s="6050"/>
      <c r="GG148" s="6050"/>
      <c r="GH148" s="6050"/>
      <c r="GI148" s="6050"/>
      <c r="GJ148" s="6050"/>
      <c r="GK148" s="6050"/>
      <c r="GL148" s="6050"/>
      <c r="GM148" s="6050"/>
      <c r="GN148" s="6050"/>
      <c r="GO148" s="6050"/>
      <c r="GP148" s="6050"/>
      <c r="GQ148" s="6050"/>
      <c r="GR148" s="6050"/>
      <c r="GS148" s="6050"/>
      <c r="GT148" s="6050"/>
      <c r="GU148" s="6050"/>
      <c r="GV148" s="6050"/>
      <c r="GW148" s="6050"/>
      <c r="GX148" s="6050"/>
      <c r="GY148" s="6050"/>
      <c r="GZ148" s="6050"/>
      <c r="HA148" s="6050"/>
      <c r="HB148" s="6050"/>
      <c r="HC148" s="6050"/>
      <c r="HD148" s="6050"/>
      <c r="HE148" s="6050"/>
      <c r="HF148" s="6050"/>
      <c r="HG148" s="6050"/>
      <c r="HH148" s="6050"/>
      <c r="HI148" s="6050"/>
      <c r="HJ148" s="6050"/>
      <c r="HK148" s="6050"/>
      <c r="HL148" s="6050"/>
      <c r="HM148" s="6050"/>
      <c r="HN148" s="6050"/>
      <c r="HO148" s="6050"/>
      <c r="HP148" s="6052"/>
      <c r="HT148" s="6049"/>
      <c r="HU148" s="6050"/>
      <c r="HV148" s="6050"/>
      <c r="HW148" s="6050"/>
      <c r="HX148" s="6050"/>
      <c r="HY148" s="6050"/>
      <c r="HZ148" s="6050"/>
      <c r="IA148" s="6050"/>
      <c r="IB148" s="6050"/>
      <c r="IC148" s="6050"/>
      <c r="ID148" s="6050"/>
      <c r="IE148" s="6050"/>
      <c r="IF148" s="6050"/>
      <c r="IG148" s="6050"/>
      <c r="IH148" s="6050"/>
      <c r="II148" s="6050"/>
      <c r="IJ148" s="6050"/>
      <c r="IK148" s="6050"/>
      <c r="IL148" s="6050"/>
      <c r="IM148" s="6050"/>
      <c r="IN148" s="6050"/>
      <c r="IO148" s="6050"/>
      <c r="IP148" s="6050"/>
      <c r="IQ148" s="6050"/>
      <c r="IR148" s="6050"/>
      <c r="IS148" s="6050"/>
      <c r="IT148" s="6050"/>
      <c r="IU148" s="6050"/>
      <c r="IV148" s="6050"/>
      <c r="IW148" s="6050"/>
      <c r="IX148" s="6050"/>
      <c r="IY148" s="6050"/>
      <c r="IZ148" s="6050"/>
      <c r="JA148" s="6050"/>
      <c r="JB148" s="6050"/>
      <c r="JC148" s="6050"/>
      <c r="JD148" s="6050"/>
      <c r="JE148" s="6050"/>
      <c r="JF148" s="6050"/>
      <c r="JG148" s="6050"/>
      <c r="JH148" s="6050"/>
      <c r="JI148" s="6052"/>
      <c r="JM148" s="6049"/>
      <c r="JN148" s="6050"/>
      <c r="JO148" s="6050"/>
      <c r="JP148" s="6050"/>
      <c r="JQ148" s="6050"/>
      <c r="JR148" s="6050"/>
      <c r="JS148" s="6050"/>
      <c r="JT148" s="6050"/>
      <c r="JU148" s="6050"/>
      <c r="JV148" s="6050"/>
      <c r="JW148" s="6050"/>
      <c r="JX148" s="6050"/>
      <c r="JY148" s="6050"/>
      <c r="JZ148" s="6050"/>
      <c r="KA148" s="6050"/>
      <c r="KB148" s="6050"/>
      <c r="KC148" s="6050"/>
      <c r="KD148" s="6050"/>
      <c r="KE148" s="6050"/>
      <c r="KF148" s="6050"/>
      <c r="KG148" s="6050"/>
      <c r="KH148" s="6050"/>
      <c r="KI148" s="6050"/>
      <c r="KJ148" s="6050"/>
      <c r="KK148" s="6050"/>
      <c r="KL148" s="6050"/>
      <c r="KM148" s="6050"/>
      <c r="KN148" s="6050"/>
      <c r="KO148" s="6050"/>
      <c r="KP148" s="6050"/>
      <c r="KQ148" s="6050"/>
      <c r="KR148" s="6050"/>
      <c r="KS148" s="6050"/>
      <c r="KT148" s="6050"/>
      <c r="KU148" s="6050"/>
      <c r="KV148" s="6050"/>
      <c r="KW148" s="6050"/>
      <c r="KX148" s="6050"/>
      <c r="KY148" s="6050"/>
      <c r="KZ148" s="6050"/>
      <c r="LA148" s="6050"/>
      <c r="LB148" s="6052"/>
      <c r="LF148" s="6049"/>
      <c r="LG148" s="6050"/>
      <c r="LH148" s="6050"/>
      <c r="LI148" s="6050"/>
      <c r="LJ148" s="6050"/>
      <c r="LK148" s="6050"/>
      <c r="LL148" s="6050"/>
      <c r="LM148" s="6050"/>
      <c r="LN148" s="6050"/>
      <c r="LO148" s="6050"/>
      <c r="LP148" s="6050"/>
      <c r="LQ148" s="6050"/>
      <c r="LR148" s="6050"/>
      <c r="LS148" s="6050"/>
      <c r="LT148" s="6050"/>
      <c r="LU148" s="6050"/>
      <c r="LV148" s="6050"/>
      <c r="LW148" s="6050"/>
      <c r="LX148" s="6050"/>
      <c r="LY148" s="6050"/>
      <c r="LZ148" s="6050"/>
      <c r="MA148" s="6050"/>
      <c r="MB148" s="6050"/>
      <c r="MC148" s="6050"/>
      <c r="MD148" s="6050"/>
      <c r="ME148" s="6050"/>
      <c r="MF148" s="6050"/>
      <c r="MG148" s="6050"/>
      <c r="MH148" s="6050"/>
      <c r="MI148" s="6050"/>
      <c r="MJ148" s="6050"/>
      <c r="MK148" s="6050"/>
      <c r="ML148" s="6050"/>
      <c r="MM148" s="6050"/>
      <c r="MN148" s="6050"/>
      <c r="MO148" s="6050"/>
      <c r="MP148" s="6050"/>
      <c r="MQ148" s="6050"/>
      <c r="MR148" s="6050"/>
      <c r="MS148" s="6050"/>
      <c r="MT148" s="6050"/>
      <c r="MU148" s="6052"/>
      <c r="MY148" s="6049"/>
      <c r="MZ148" s="6050"/>
      <c r="NA148" s="6050"/>
      <c r="NB148" s="6050"/>
      <c r="NC148" s="6050"/>
      <c r="ND148" s="6050"/>
      <c r="NE148" s="6050"/>
      <c r="NF148" s="6050"/>
      <c r="NG148" s="6050"/>
      <c r="NH148" s="6050"/>
      <c r="NI148" s="6050"/>
      <c r="NJ148" s="6050"/>
      <c r="NK148" s="6050"/>
      <c r="NL148" s="6050"/>
      <c r="NM148" s="6050"/>
      <c r="NN148" s="6050"/>
      <c r="NO148" s="6050"/>
      <c r="NP148" s="6050"/>
      <c r="NQ148" s="6050"/>
      <c r="NR148" s="6050"/>
      <c r="NS148" s="6050"/>
      <c r="NT148" s="6050"/>
      <c r="NU148" s="6050"/>
      <c r="NV148" s="6050"/>
      <c r="NW148" s="6050"/>
      <c r="NX148" s="6050"/>
      <c r="NY148" s="6050"/>
      <c r="NZ148" s="6050"/>
      <c r="OA148" s="6050"/>
      <c r="OB148" s="6050"/>
      <c r="OC148" s="6050"/>
      <c r="OD148" s="6050"/>
      <c r="OE148" s="6050"/>
      <c r="OF148" s="6050"/>
      <c r="OG148" s="6050"/>
      <c r="OH148" s="6050"/>
      <c r="OI148" s="6050"/>
      <c r="OJ148" s="6050"/>
      <c r="OK148" s="6050"/>
      <c r="OL148" s="6050"/>
      <c r="OM148" s="6050"/>
      <c r="ON148" s="6052"/>
    </row>
    <row r="149" spans="3:404" s="21" customFormat="1" ht="20.100000000000001" customHeight="1" x14ac:dyDescent="0.2">
      <c r="C149" s="6053"/>
      <c r="D149" s="6783" t="str">
        <f>_Calcs!$IK$152</f>
        <v>Justeringer</v>
      </c>
      <c r="E149" s="6783"/>
      <c r="F149" s="6783"/>
      <c r="G149" s="6783"/>
      <c r="H149" s="6783"/>
      <c r="I149" s="6783"/>
      <c r="J149" s="6783"/>
      <c r="K149" s="6783"/>
      <c r="L149" s="6783"/>
      <c r="M149" s="6783"/>
      <c r="N149" s="6783"/>
      <c r="O149" s="6783"/>
      <c r="P149" s="6783"/>
      <c r="Q149" s="6783"/>
      <c r="R149" s="6783"/>
      <c r="S149" s="6783"/>
      <c r="T149" s="6783"/>
      <c r="U149" s="6783"/>
      <c r="V149" s="6783"/>
      <c r="W149" s="6783"/>
      <c r="X149" s="6783"/>
      <c r="Y149" s="6783"/>
      <c r="Z149" s="6783"/>
      <c r="AA149" s="6783"/>
      <c r="AB149" s="6783"/>
      <c r="AC149" s="6783"/>
      <c r="AD149" s="6783"/>
      <c r="AE149" s="6783"/>
      <c r="AF149" s="6783"/>
      <c r="AG149" s="6783"/>
      <c r="AH149" s="6783"/>
      <c r="AI149" s="6783"/>
      <c r="AJ149" s="6783"/>
      <c r="AK149" s="6783"/>
      <c r="AL149" s="6783"/>
      <c r="AM149" s="6783"/>
      <c r="AN149" s="6783"/>
      <c r="AO149" s="6783"/>
      <c r="AP149" s="6783"/>
      <c r="AQ149" s="6783"/>
      <c r="AR149" s="6054"/>
      <c r="AV149" s="6053"/>
      <c r="AW149" s="6783" t="str">
        <f>_Calcs!$IL$152</f>
        <v>Justeringer</v>
      </c>
      <c r="AX149" s="6783"/>
      <c r="AY149" s="6783"/>
      <c r="AZ149" s="6783"/>
      <c r="BA149" s="6783"/>
      <c r="BB149" s="6783"/>
      <c r="BC149" s="6783"/>
      <c r="BD149" s="6783"/>
      <c r="BE149" s="6783"/>
      <c r="BF149" s="6783"/>
      <c r="BG149" s="6783"/>
      <c r="BH149" s="6783"/>
      <c r="BI149" s="6783"/>
      <c r="BJ149" s="6783"/>
      <c r="BK149" s="6783"/>
      <c r="BL149" s="6783"/>
      <c r="BM149" s="6783"/>
      <c r="BN149" s="6783"/>
      <c r="BO149" s="6783"/>
      <c r="BP149" s="6783"/>
      <c r="BQ149" s="6783"/>
      <c r="BR149" s="6783"/>
      <c r="BS149" s="6783"/>
      <c r="BT149" s="6783"/>
      <c r="BU149" s="6783"/>
      <c r="BV149" s="6783"/>
      <c r="BW149" s="6783"/>
      <c r="BX149" s="6783"/>
      <c r="BY149" s="6783"/>
      <c r="BZ149" s="6783"/>
      <c r="CA149" s="6783"/>
      <c r="CB149" s="6783"/>
      <c r="CC149" s="6783"/>
      <c r="CD149" s="6783"/>
      <c r="CE149" s="6783"/>
      <c r="CF149" s="6783"/>
      <c r="CG149" s="6783"/>
      <c r="CH149" s="6783"/>
      <c r="CI149" s="6783"/>
      <c r="CJ149" s="6783"/>
      <c r="CK149" s="6054"/>
      <c r="CO149" s="6053"/>
      <c r="CP149" s="6783" t="str">
        <f>_Calcs!$IM$152</f>
        <v>Justeringer</v>
      </c>
      <c r="CQ149" s="6783"/>
      <c r="CR149" s="6783"/>
      <c r="CS149" s="6783"/>
      <c r="CT149" s="6783"/>
      <c r="CU149" s="6783"/>
      <c r="CV149" s="6783"/>
      <c r="CW149" s="6783"/>
      <c r="CX149" s="6783"/>
      <c r="CY149" s="6783"/>
      <c r="CZ149" s="6783"/>
      <c r="DA149" s="6783"/>
      <c r="DB149" s="6783"/>
      <c r="DC149" s="6783"/>
      <c r="DD149" s="6783"/>
      <c r="DE149" s="6783"/>
      <c r="DF149" s="6783"/>
      <c r="DG149" s="6783"/>
      <c r="DH149" s="6783"/>
      <c r="DI149" s="6783"/>
      <c r="DJ149" s="6783"/>
      <c r="DK149" s="6783"/>
      <c r="DL149" s="6783"/>
      <c r="DM149" s="6783"/>
      <c r="DN149" s="6783"/>
      <c r="DO149" s="6783"/>
      <c r="DP149" s="6783"/>
      <c r="DQ149" s="6783"/>
      <c r="DR149" s="6783"/>
      <c r="DS149" s="6783"/>
      <c r="DT149" s="6783"/>
      <c r="DU149" s="6783"/>
      <c r="DV149" s="6783"/>
      <c r="DW149" s="6783"/>
      <c r="DX149" s="6783"/>
      <c r="DY149" s="6783"/>
      <c r="DZ149" s="6783"/>
      <c r="EA149" s="6783"/>
      <c r="EB149" s="6783"/>
      <c r="EC149" s="6783"/>
      <c r="ED149" s="6054"/>
      <c r="EH149" s="6053"/>
      <c r="EI149" s="6783" t="str">
        <f>_Calcs!$IN$152</f>
        <v>Justeringer</v>
      </c>
      <c r="EJ149" s="6783"/>
      <c r="EK149" s="6783"/>
      <c r="EL149" s="6783"/>
      <c r="EM149" s="6783"/>
      <c r="EN149" s="6783"/>
      <c r="EO149" s="6783"/>
      <c r="EP149" s="6783"/>
      <c r="EQ149" s="6783"/>
      <c r="ER149" s="6783"/>
      <c r="ES149" s="6783"/>
      <c r="ET149" s="6783"/>
      <c r="EU149" s="6783"/>
      <c r="EV149" s="6783"/>
      <c r="EW149" s="6783"/>
      <c r="EX149" s="6783"/>
      <c r="EY149" s="6783"/>
      <c r="EZ149" s="6783"/>
      <c r="FA149" s="6783"/>
      <c r="FB149" s="6783"/>
      <c r="FC149" s="6783"/>
      <c r="FD149" s="6783"/>
      <c r="FE149" s="6783"/>
      <c r="FF149" s="6783"/>
      <c r="FG149" s="6783"/>
      <c r="FH149" s="6783"/>
      <c r="FI149" s="6783"/>
      <c r="FJ149" s="6783"/>
      <c r="FK149" s="6783"/>
      <c r="FL149" s="6783"/>
      <c r="FM149" s="6783"/>
      <c r="FN149" s="6783"/>
      <c r="FO149" s="6783"/>
      <c r="FP149" s="6783"/>
      <c r="FQ149" s="6783"/>
      <c r="FR149" s="6783"/>
      <c r="FS149" s="6783"/>
      <c r="FT149" s="6783"/>
      <c r="FU149" s="6783"/>
      <c r="FV149" s="6783"/>
      <c r="FW149" s="6054"/>
      <c r="GA149" s="6053"/>
      <c r="GB149" s="6783" t="str">
        <f>_Calcs!$IO$152</f>
        <v>Justeringer</v>
      </c>
      <c r="GC149" s="6783"/>
      <c r="GD149" s="6783"/>
      <c r="GE149" s="6783"/>
      <c r="GF149" s="6783"/>
      <c r="GG149" s="6783"/>
      <c r="GH149" s="6783"/>
      <c r="GI149" s="6783"/>
      <c r="GJ149" s="6783"/>
      <c r="GK149" s="6783"/>
      <c r="GL149" s="6783"/>
      <c r="GM149" s="6783"/>
      <c r="GN149" s="6783"/>
      <c r="GO149" s="6783"/>
      <c r="GP149" s="6783"/>
      <c r="GQ149" s="6783"/>
      <c r="GR149" s="6783"/>
      <c r="GS149" s="6783"/>
      <c r="GT149" s="6783"/>
      <c r="GU149" s="6783"/>
      <c r="GV149" s="6783"/>
      <c r="GW149" s="6783"/>
      <c r="GX149" s="6783"/>
      <c r="GY149" s="6783"/>
      <c r="GZ149" s="6783"/>
      <c r="HA149" s="6783"/>
      <c r="HB149" s="6783"/>
      <c r="HC149" s="6783"/>
      <c r="HD149" s="6783"/>
      <c r="HE149" s="6783"/>
      <c r="HF149" s="6783"/>
      <c r="HG149" s="6783"/>
      <c r="HH149" s="6783"/>
      <c r="HI149" s="6783"/>
      <c r="HJ149" s="6783"/>
      <c r="HK149" s="6783"/>
      <c r="HL149" s="6783"/>
      <c r="HM149" s="6783"/>
      <c r="HN149" s="6783"/>
      <c r="HO149" s="6783"/>
      <c r="HP149" s="6054"/>
      <c r="HT149" s="6053"/>
      <c r="HU149" s="6783" t="str">
        <f>_Calcs!$IP$152</f>
        <v>Justeringer</v>
      </c>
      <c r="HV149" s="6783"/>
      <c r="HW149" s="6783"/>
      <c r="HX149" s="6783"/>
      <c r="HY149" s="6783"/>
      <c r="HZ149" s="6783"/>
      <c r="IA149" s="6783"/>
      <c r="IB149" s="6783"/>
      <c r="IC149" s="6783"/>
      <c r="ID149" s="6783"/>
      <c r="IE149" s="6783"/>
      <c r="IF149" s="6783"/>
      <c r="IG149" s="6783"/>
      <c r="IH149" s="6783"/>
      <c r="II149" s="6783"/>
      <c r="IJ149" s="6783"/>
      <c r="IK149" s="6783"/>
      <c r="IL149" s="6783"/>
      <c r="IM149" s="6783"/>
      <c r="IN149" s="6783"/>
      <c r="IO149" s="6783"/>
      <c r="IP149" s="6783"/>
      <c r="IQ149" s="6783"/>
      <c r="IR149" s="6783"/>
      <c r="IS149" s="6783"/>
      <c r="IT149" s="6783"/>
      <c r="IU149" s="6783"/>
      <c r="IV149" s="6783"/>
      <c r="IW149" s="6783"/>
      <c r="IX149" s="6783"/>
      <c r="IY149" s="6783"/>
      <c r="IZ149" s="6783"/>
      <c r="JA149" s="6783"/>
      <c r="JB149" s="6783"/>
      <c r="JC149" s="6783"/>
      <c r="JD149" s="6783"/>
      <c r="JE149" s="6783"/>
      <c r="JF149" s="6783"/>
      <c r="JG149" s="6783"/>
      <c r="JH149" s="6783"/>
      <c r="JI149" s="6054"/>
      <c r="JM149" s="6053"/>
      <c r="JN149" s="6783" t="str">
        <f>_Calcs!$IQ$152</f>
        <v>Justeringer</v>
      </c>
      <c r="JO149" s="6783"/>
      <c r="JP149" s="6783"/>
      <c r="JQ149" s="6783"/>
      <c r="JR149" s="6783"/>
      <c r="JS149" s="6783"/>
      <c r="JT149" s="6783"/>
      <c r="JU149" s="6783"/>
      <c r="JV149" s="6783"/>
      <c r="JW149" s="6783"/>
      <c r="JX149" s="6783"/>
      <c r="JY149" s="6783"/>
      <c r="JZ149" s="6783"/>
      <c r="KA149" s="6783"/>
      <c r="KB149" s="6783"/>
      <c r="KC149" s="6783"/>
      <c r="KD149" s="6783"/>
      <c r="KE149" s="6783"/>
      <c r="KF149" s="6783"/>
      <c r="KG149" s="6783"/>
      <c r="KH149" s="6783"/>
      <c r="KI149" s="6783"/>
      <c r="KJ149" s="6783"/>
      <c r="KK149" s="6783"/>
      <c r="KL149" s="6783"/>
      <c r="KM149" s="6783"/>
      <c r="KN149" s="6783"/>
      <c r="KO149" s="6783"/>
      <c r="KP149" s="6783"/>
      <c r="KQ149" s="6783"/>
      <c r="KR149" s="6783"/>
      <c r="KS149" s="6783"/>
      <c r="KT149" s="6783"/>
      <c r="KU149" s="6783"/>
      <c r="KV149" s="6783"/>
      <c r="KW149" s="6783"/>
      <c r="KX149" s="6783"/>
      <c r="KY149" s="6783"/>
      <c r="KZ149" s="6783"/>
      <c r="LA149" s="6783"/>
      <c r="LB149" s="6054"/>
      <c r="LF149" s="6053"/>
      <c r="LG149" s="6783" t="str">
        <f>_Calcs!$IR$152</f>
        <v>Justeringer</v>
      </c>
      <c r="LH149" s="6783"/>
      <c r="LI149" s="6783"/>
      <c r="LJ149" s="6783"/>
      <c r="LK149" s="6783"/>
      <c r="LL149" s="6783"/>
      <c r="LM149" s="6783"/>
      <c r="LN149" s="6783"/>
      <c r="LO149" s="6783"/>
      <c r="LP149" s="6783"/>
      <c r="LQ149" s="6783"/>
      <c r="LR149" s="6783"/>
      <c r="LS149" s="6783"/>
      <c r="LT149" s="6783"/>
      <c r="LU149" s="6783"/>
      <c r="LV149" s="6783"/>
      <c r="LW149" s="6783"/>
      <c r="LX149" s="6783"/>
      <c r="LY149" s="6783"/>
      <c r="LZ149" s="6783"/>
      <c r="MA149" s="6783"/>
      <c r="MB149" s="6783"/>
      <c r="MC149" s="6783"/>
      <c r="MD149" s="6783"/>
      <c r="ME149" s="6783"/>
      <c r="MF149" s="6783"/>
      <c r="MG149" s="6783"/>
      <c r="MH149" s="6783"/>
      <c r="MI149" s="6783"/>
      <c r="MJ149" s="6783"/>
      <c r="MK149" s="6783"/>
      <c r="ML149" s="6783"/>
      <c r="MM149" s="6783"/>
      <c r="MN149" s="6783"/>
      <c r="MO149" s="6783"/>
      <c r="MP149" s="6783"/>
      <c r="MQ149" s="6783"/>
      <c r="MR149" s="6783"/>
      <c r="MS149" s="6783"/>
      <c r="MT149" s="6783"/>
      <c r="MU149" s="6054"/>
      <c r="MY149" s="6053"/>
      <c r="MZ149" s="6783" t="str">
        <f>_Calcs!$IS$152</f>
        <v>Justeringer</v>
      </c>
      <c r="NA149" s="6783"/>
      <c r="NB149" s="6783"/>
      <c r="NC149" s="6783"/>
      <c r="ND149" s="6783"/>
      <c r="NE149" s="6783"/>
      <c r="NF149" s="6783"/>
      <c r="NG149" s="6783"/>
      <c r="NH149" s="6783"/>
      <c r="NI149" s="6783"/>
      <c r="NJ149" s="6783"/>
      <c r="NK149" s="6783"/>
      <c r="NL149" s="6783"/>
      <c r="NM149" s="6783"/>
      <c r="NN149" s="6783"/>
      <c r="NO149" s="6783"/>
      <c r="NP149" s="6783"/>
      <c r="NQ149" s="6783"/>
      <c r="NR149" s="6783"/>
      <c r="NS149" s="6783"/>
      <c r="NT149" s="6783"/>
      <c r="NU149" s="6783"/>
      <c r="NV149" s="6783"/>
      <c r="NW149" s="6783"/>
      <c r="NX149" s="6783"/>
      <c r="NY149" s="6783"/>
      <c r="NZ149" s="6783"/>
      <c r="OA149" s="6783"/>
      <c r="OB149" s="6783"/>
      <c r="OC149" s="6783"/>
      <c r="OD149" s="6783"/>
      <c r="OE149" s="6783"/>
      <c r="OF149" s="6783"/>
      <c r="OG149" s="6783"/>
      <c r="OH149" s="6783"/>
      <c r="OI149" s="6783"/>
      <c r="OJ149" s="6783"/>
      <c r="OK149" s="6783"/>
      <c r="OL149" s="6783"/>
      <c r="OM149" s="6783"/>
      <c r="ON149" s="6054"/>
    </row>
    <row r="150" spans="3:404" ht="5.0999999999999996" customHeight="1" x14ac:dyDescent="0.2">
      <c r="C150" s="6055"/>
      <c r="D150" s="6056"/>
      <c r="E150" s="6056"/>
      <c r="F150" s="6056"/>
      <c r="G150" s="6056"/>
      <c r="H150" s="6056"/>
      <c r="I150" s="6056"/>
      <c r="J150" s="6056"/>
      <c r="K150" s="6056"/>
      <c r="L150" s="6056"/>
      <c r="M150" s="6056"/>
      <c r="N150" s="6056"/>
      <c r="O150" s="6056"/>
      <c r="P150" s="6056"/>
      <c r="Q150" s="6056"/>
      <c r="R150" s="6056"/>
      <c r="S150" s="6056"/>
      <c r="T150" s="6056"/>
      <c r="U150" s="6056"/>
      <c r="V150" s="6056"/>
      <c r="W150" s="6056"/>
      <c r="X150" s="6056"/>
      <c r="Y150" s="6056"/>
      <c r="Z150" s="6056"/>
      <c r="AA150" s="6056"/>
      <c r="AB150" s="6056"/>
      <c r="AC150" s="6056"/>
      <c r="AD150" s="6056"/>
      <c r="AE150" s="6056"/>
      <c r="AF150" s="6056"/>
      <c r="AG150" s="6056"/>
      <c r="AH150" s="6056"/>
      <c r="AI150" s="6056"/>
      <c r="AJ150" s="6056"/>
      <c r="AK150" s="6056"/>
      <c r="AL150" s="6056"/>
      <c r="AM150" s="6056"/>
      <c r="AN150" s="6056"/>
      <c r="AO150" s="6056"/>
      <c r="AP150" s="6056"/>
      <c r="AQ150" s="6056"/>
      <c r="AR150" s="6058"/>
      <c r="AV150" s="6055"/>
      <c r="AW150" s="6056"/>
      <c r="AX150" s="6056"/>
      <c r="AY150" s="6056"/>
      <c r="AZ150" s="6056"/>
      <c r="BA150" s="6056"/>
      <c r="BB150" s="6056"/>
      <c r="BC150" s="6056"/>
      <c r="BD150" s="6056"/>
      <c r="BE150" s="6056"/>
      <c r="BF150" s="6056"/>
      <c r="BG150" s="6056"/>
      <c r="BH150" s="6056"/>
      <c r="BI150" s="6056"/>
      <c r="BJ150" s="6056"/>
      <c r="BK150" s="6056"/>
      <c r="BL150" s="6056"/>
      <c r="BM150" s="6056"/>
      <c r="BN150" s="6056"/>
      <c r="BO150" s="6056"/>
      <c r="BP150" s="6056"/>
      <c r="BQ150" s="6056"/>
      <c r="BR150" s="6056"/>
      <c r="BS150" s="6056"/>
      <c r="BT150" s="6056"/>
      <c r="BU150" s="6056"/>
      <c r="BV150" s="6056"/>
      <c r="BW150" s="6056"/>
      <c r="BX150" s="6056"/>
      <c r="BY150" s="6056"/>
      <c r="BZ150" s="6056"/>
      <c r="CA150" s="6056"/>
      <c r="CB150" s="6056"/>
      <c r="CC150" s="6056"/>
      <c r="CD150" s="6056"/>
      <c r="CE150" s="6056"/>
      <c r="CF150" s="6056"/>
      <c r="CG150" s="6056"/>
      <c r="CH150" s="6056"/>
      <c r="CI150" s="6056"/>
      <c r="CJ150" s="6056"/>
      <c r="CK150" s="6058"/>
      <c r="CO150" s="6055"/>
      <c r="CP150" s="6056"/>
      <c r="CQ150" s="6056"/>
      <c r="CR150" s="6056"/>
      <c r="CS150" s="6056"/>
      <c r="CT150" s="6056"/>
      <c r="CU150" s="6056"/>
      <c r="CV150" s="6056"/>
      <c r="CW150" s="6056"/>
      <c r="CX150" s="6056"/>
      <c r="CY150" s="6056"/>
      <c r="CZ150" s="6056"/>
      <c r="DA150" s="6056"/>
      <c r="DB150" s="6056"/>
      <c r="DC150" s="6056"/>
      <c r="DD150" s="6056"/>
      <c r="DE150" s="6056"/>
      <c r="DF150" s="6056"/>
      <c r="DG150" s="6056"/>
      <c r="DH150" s="6056"/>
      <c r="DI150" s="6056"/>
      <c r="DJ150" s="6056"/>
      <c r="DK150" s="6056"/>
      <c r="DL150" s="6056"/>
      <c r="DM150" s="6056"/>
      <c r="DN150" s="6056"/>
      <c r="DO150" s="6056"/>
      <c r="DP150" s="6056"/>
      <c r="DQ150" s="6056"/>
      <c r="DR150" s="6056"/>
      <c r="DS150" s="6056"/>
      <c r="DT150" s="6056"/>
      <c r="DU150" s="6056"/>
      <c r="DV150" s="6056"/>
      <c r="DW150" s="6056"/>
      <c r="DX150" s="6056"/>
      <c r="DY150" s="6056"/>
      <c r="DZ150" s="6056"/>
      <c r="EA150" s="6056"/>
      <c r="EB150" s="6056"/>
      <c r="EC150" s="6056"/>
      <c r="ED150" s="6058"/>
      <c r="EH150" s="6055"/>
      <c r="EI150" s="6056"/>
      <c r="EJ150" s="6056"/>
      <c r="EK150" s="6056"/>
      <c r="EL150" s="6056"/>
      <c r="EM150" s="6056"/>
      <c r="EN150" s="6056"/>
      <c r="EO150" s="6056"/>
      <c r="EP150" s="6056"/>
      <c r="EQ150" s="6056"/>
      <c r="ER150" s="6056"/>
      <c r="ES150" s="6056"/>
      <c r="ET150" s="6056"/>
      <c r="EU150" s="6056"/>
      <c r="EV150" s="6056"/>
      <c r="EW150" s="6056"/>
      <c r="EX150" s="6056"/>
      <c r="EY150" s="6056"/>
      <c r="EZ150" s="6056"/>
      <c r="FA150" s="6056"/>
      <c r="FB150" s="6056"/>
      <c r="FC150" s="6056"/>
      <c r="FD150" s="6056"/>
      <c r="FE150" s="6056"/>
      <c r="FF150" s="6056"/>
      <c r="FG150" s="6056"/>
      <c r="FH150" s="6056"/>
      <c r="FI150" s="6056"/>
      <c r="FJ150" s="6056"/>
      <c r="FK150" s="6056"/>
      <c r="FL150" s="6056"/>
      <c r="FM150" s="6056"/>
      <c r="FN150" s="6056"/>
      <c r="FO150" s="6056"/>
      <c r="FP150" s="6056"/>
      <c r="FQ150" s="6056"/>
      <c r="FR150" s="6056"/>
      <c r="FS150" s="6056"/>
      <c r="FT150" s="6056"/>
      <c r="FU150" s="6056"/>
      <c r="FV150" s="6056"/>
      <c r="FW150" s="6058"/>
      <c r="GA150" s="6055"/>
      <c r="GB150" s="6056"/>
      <c r="GC150" s="6056"/>
      <c r="GD150" s="6056"/>
      <c r="GE150" s="6056"/>
      <c r="GF150" s="6056"/>
      <c r="GG150" s="6056"/>
      <c r="GH150" s="6056"/>
      <c r="GI150" s="6056"/>
      <c r="GJ150" s="6056"/>
      <c r="GK150" s="6056"/>
      <c r="GL150" s="6056"/>
      <c r="GM150" s="6056"/>
      <c r="GN150" s="6056"/>
      <c r="GO150" s="6056"/>
      <c r="GP150" s="6056"/>
      <c r="GQ150" s="6056"/>
      <c r="GR150" s="6056"/>
      <c r="GS150" s="6056"/>
      <c r="GT150" s="6056"/>
      <c r="GU150" s="6056"/>
      <c r="GV150" s="6056"/>
      <c r="GW150" s="6056"/>
      <c r="GX150" s="6056"/>
      <c r="GY150" s="6056"/>
      <c r="GZ150" s="6056"/>
      <c r="HA150" s="6056"/>
      <c r="HB150" s="6056"/>
      <c r="HC150" s="6056"/>
      <c r="HD150" s="6056"/>
      <c r="HE150" s="6056"/>
      <c r="HF150" s="6056"/>
      <c r="HG150" s="6056"/>
      <c r="HH150" s="6056"/>
      <c r="HI150" s="6056"/>
      <c r="HJ150" s="6056"/>
      <c r="HK150" s="6056"/>
      <c r="HL150" s="6056"/>
      <c r="HM150" s="6056"/>
      <c r="HN150" s="6056"/>
      <c r="HO150" s="6056"/>
      <c r="HP150" s="6058"/>
      <c r="HT150" s="6055"/>
      <c r="HU150" s="6056"/>
      <c r="HV150" s="6056"/>
      <c r="HW150" s="6056"/>
      <c r="HX150" s="6056"/>
      <c r="HY150" s="6056"/>
      <c r="HZ150" s="6056"/>
      <c r="IA150" s="6056"/>
      <c r="IB150" s="6056"/>
      <c r="IC150" s="6056"/>
      <c r="ID150" s="6056"/>
      <c r="IE150" s="6056"/>
      <c r="IF150" s="6056"/>
      <c r="IG150" s="6056"/>
      <c r="IH150" s="6056"/>
      <c r="II150" s="6056"/>
      <c r="IJ150" s="6056"/>
      <c r="IK150" s="6056"/>
      <c r="IL150" s="6056"/>
      <c r="IM150" s="6056"/>
      <c r="IN150" s="6056"/>
      <c r="IO150" s="6056"/>
      <c r="IP150" s="6056"/>
      <c r="IQ150" s="6056"/>
      <c r="IR150" s="6056"/>
      <c r="IS150" s="6056"/>
      <c r="IT150" s="6056"/>
      <c r="IU150" s="6056"/>
      <c r="IV150" s="6056"/>
      <c r="IW150" s="6056"/>
      <c r="IX150" s="6056"/>
      <c r="IY150" s="6056"/>
      <c r="IZ150" s="6056"/>
      <c r="JA150" s="6056"/>
      <c r="JB150" s="6056"/>
      <c r="JC150" s="6056"/>
      <c r="JD150" s="6056"/>
      <c r="JE150" s="6056"/>
      <c r="JF150" s="6056"/>
      <c r="JG150" s="6056"/>
      <c r="JH150" s="6056"/>
      <c r="JI150" s="6058"/>
      <c r="JM150" s="6055"/>
      <c r="JN150" s="6056"/>
      <c r="JO150" s="6056"/>
      <c r="JP150" s="6056"/>
      <c r="JQ150" s="6056"/>
      <c r="JR150" s="6056"/>
      <c r="JS150" s="6056"/>
      <c r="JT150" s="6056"/>
      <c r="JU150" s="6056"/>
      <c r="JV150" s="6056"/>
      <c r="JW150" s="6056"/>
      <c r="JX150" s="6056"/>
      <c r="JY150" s="6056"/>
      <c r="JZ150" s="6056"/>
      <c r="KA150" s="6056"/>
      <c r="KB150" s="6056"/>
      <c r="KC150" s="6056"/>
      <c r="KD150" s="6056"/>
      <c r="KE150" s="6056"/>
      <c r="KF150" s="6056"/>
      <c r="KG150" s="6056"/>
      <c r="KH150" s="6056"/>
      <c r="KI150" s="6056"/>
      <c r="KJ150" s="6056"/>
      <c r="KK150" s="6056"/>
      <c r="KL150" s="6056"/>
      <c r="KM150" s="6056"/>
      <c r="KN150" s="6056"/>
      <c r="KO150" s="6056"/>
      <c r="KP150" s="6056"/>
      <c r="KQ150" s="6056"/>
      <c r="KR150" s="6056"/>
      <c r="KS150" s="6056"/>
      <c r="KT150" s="6056"/>
      <c r="KU150" s="6056"/>
      <c r="KV150" s="6056"/>
      <c r="KW150" s="6056"/>
      <c r="KX150" s="6056"/>
      <c r="KY150" s="6056"/>
      <c r="KZ150" s="6056"/>
      <c r="LA150" s="6056"/>
      <c r="LB150" s="6058"/>
      <c r="LF150" s="6055"/>
      <c r="LG150" s="6056"/>
      <c r="LH150" s="6056"/>
      <c r="LI150" s="6056"/>
      <c r="LJ150" s="6056"/>
      <c r="LK150" s="6056"/>
      <c r="LL150" s="6056"/>
      <c r="LM150" s="6056"/>
      <c r="LN150" s="6056"/>
      <c r="LO150" s="6056"/>
      <c r="LP150" s="6056"/>
      <c r="LQ150" s="6056"/>
      <c r="LR150" s="6056"/>
      <c r="LS150" s="6056"/>
      <c r="LT150" s="6056"/>
      <c r="LU150" s="6056"/>
      <c r="LV150" s="6056"/>
      <c r="LW150" s="6056"/>
      <c r="LX150" s="6056"/>
      <c r="LY150" s="6056"/>
      <c r="LZ150" s="6056"/>
      <c r="MA150" s="6056"/>
      <c r="MB150" s="6056"/>
      <c r="MC150" s="6056"/>
      <c r="MD150" s="6056"/>
      <c r="ME150" s="6056"/>
      <c r="MF150" s="6056"/>
      <c r="MG150" s="6056"/>
      <c r="MH150" s="6056"/>
      <c r="MI150" s="6056"/>
      <c r="MJ150" s="6056"/>
      <c r="MK150" s="6056"/>
      <c r="ML150" s="6056"/>
      <c r="MM150" s="6056"/>
      <c r="MN150" s="6056"/>
      <c r="MO150" s="6056"/>
      <c r="MP150" s="6056"/>
      <c r="MQ150" s="6056"/>
      <c r="MR150" s="6056"/>
      <c r="MS150" s="6056"/>
      <c r="MT150" s="6056"/>
      <c r="MU150" s="6058"/>
      <c r="MY150" s="6055"/>
      <c r="MZ150" s="6056"/>
      <c r="NA150" s="6056"/>
      <c r="NB150" s="6056"/>
      <c r="NC150" s="6056"/>
      <c r="ND150" s="6056"/>
      <c r="NE150" s="6056"/>
      <c r="NF150" s="6056"/>
      <c r="NG150" s="6056"/>
      <c r="NH150" s="6056"/>
      <c r="NI150" s="6056"/>
      <c r="NJ150" s="6056"/>
      <c r="NK150" s="6056"/>
      <c r="NL150" s="6056"/>
      <c r="NM150" s="6056"/>
      <c r="NN150" s="6056"/>
      <c r="NO150" s="6056"/>
      <c r="NP150" s="6056"/>
      <c r="NQ150" s="6056"/>
      <c r="NR150" s="6056"/>
      <c r="NS150" s="6056"/>
      <c r="NT150" s="6056"/>
      <c r="NU150" s="6056"/>
      <c r="NV150" s="6056"/>
      <c r="NW150" s="6056"/>
      <c r="NX150" s="6056"/>
      <c r="NY150" s="6056"/>
      <c r="NZ150" s="6056"/>
      <c r="OA150" s="6056"/>
      <c r="OB150" s="6056"/>
      <c r="OC150" s="6056"/>
      <c r="OD150" s="6056"/>
      <c r="OE150" s="6056"/>
      <c r="OF150" s="6056"/>
      <c r="OG150" s="6056"/>
      <c r="OH150" s="6056"/>
      <c r="OI150" s="6056"/>
      <c r="OJ150" s="6056"/>
      <c r="OK150" s="6056"/>
      <c r="OL150" s="6056"/>
      <c r="OM150" s="6056"/>
      <c r="ON150" s="6058"/>
    </row>
    <row r="151" spans="3:404" s="6063" customFormat="1" ht="12" customHeight="1" x14ac:dyDescent="0.2">
      <c r="C151" s="6059"/>
      <c r="D151" s="6060" t="str">
        <f>_Calcs!$N$77</f>
        <v>Faktor</v>
      </c>
      <c r="E151" s="6060"/>
      <c r="F151" s="6060"/>
      <c r="G151" s="6060"/>
      <c r="H151" s="6060"/>
      <c r="I151" s="6060"/>
      <c r="J151" s="6060"/>
      <c r="K151" s="6060"/>
      <c r="L151" s="6060"/>
      <c r="M151" s="6060"/>
      <c r="N151" s="6060"/>
      <c r="O151" s="6060"/>
      <c r="P151" s="6060"/>
      <c r="Q151" s="6060"/>
      <c r="R151" s="6060"/>
      <c r="S151" s="6060"/>
      <c r="T151" s="6060"/>
      <c r="U151" s="6060"/>
      <c r="V151" s="6060"/>
      <c r="W151" s="6060"/>
      <c r="X151" s="6060"/>
      <c r="Y151" s="6060"/>
      <c r="Z151" s="6060"/>
      <c r="AA151" s="6060"/>
      <c r="AB151" s="6060"/>
      <c r="AC151" s="6060"/>
      <c r="AD151" s="6060"/>
      <c r="AE151" s="6060"/>
      <c r="AF151" s="6060"/>
      <c r="AG151" s="6060"/>
      <c r="AH151" s="6060"/>
      <c r="AI151" s="6092"/>
      <c r="AJ151" s="6092"/>
      <c r="AK151" s="6092"/>
      <c r="AL151" s="6060"/>
      <c r="AM151" s="6060" t="str">
        <f>_Calcs!$N$81</f>
        <v>Påvirkning</v>
      </c>
      <c r="AN151" s="6060"/>
      <c r="AO151" s="6060"/>
      <c r="AP151" s="6060"/>
      <c r="AQ151" s="6060"/>
      <c r="AR151" s="6062"/>
      <c r="AV151" s="6059"/>
      <c r="AW151" s="6060" t="str">
        <f>_Calcs!$N$77</f>
        <v>Faktor</v>
      </c>
      <c r="AX151" s="6060"/>
      <c r="AY151" s="6060"/>
      <c r="AZ151" s="6060"/>
      <c r="BA151" s="6060"/>
      <c r="BB151" s="6060"/>
      <c r="BC151" s="6060"/>
      <c r="BD151" s="6060"/>
      <c r="BE151" s="6060"/>
      <c r="BF151" s="6060"/>
      <c r="BG151" s="6060"/>
      <c r="BH151" s="6060"/>
      <c r="BI151" s="6060"/>
      <c r="BJ151" s="6060"/>
      <c r="BK151" s="6060"/>
      <c r="BL151" s="6060"/>
      <c r="BM151" s="6060"/>
      <c r="BN151" s="6060"/>
      <c r="BO151" s="6060"/>
      <c r="BP151" s="6060"/>
      <c r="BQ151" s="6060"/>
      <c r="BR151" s="6060"/>
      <c r="BS151" s="6060"/>
      <c r="BT151" s="6060"/>
      <c r="BU151" s="6060"/>
      <c r="BV151" s="6060"/>
      <c r="BW151" s="6060"/>
      <c r="BX151" s="6060"/>
      <c r="BY151" s="6060"/>
      <c r="BZ151" s="6060"/>
      <c r="CA151" s="6060"/>
      <c r="CB151" s="6092"/>
      <c r="CC151" s="6092"/>
      <c r="CD151" s="6092"/>
      <c r="CE151" s="6060"/>
      <c r="CF151" s="6060" t="str">
        <f>_Calcs!$N$81</f>
        <v>Påvirkning</v>
      </c>
      <c r="CG151" s="6060"/>
      <c r="CH151" s="6060"/>
      <c r="CI151" s="6060"/>
      <c r="CJ151" s="6060"/>
      <c r="CK151" s="6062"/>
      <c r="CO151" s="6059"/>
      <c r="CP151" s="6060" t="str">
        <f>_Calcs!$N$77</f>
        <v>Faktor</v>
      </c>
      <c r="CQ151" s="6060"/>
      <c r="CR151" s="6060"/>
      <c r="CS151" s="6060"/>
      <c r="CT151" s="6060"/>
      <c r="CU151" s="6060"/>
      <c r="CV151" s="6060"/>
      <c r="CW151" s="6060"/>
      <c r="CX151" s="6060"/>
      <c r="CY151" s="6060"/>
      <c r="CZ151" s="6060"/>
      <c r="DA151" s="6060"/>
      <c r="DB151" s="6060"/>
      <c r="DC151" s="6060"/>
      <c r="DD151" s="6060"/>
      <c r="DE151" s="6060"/>
      <c r="DF151" s="6060"/>
      <c r="DG151" s="6060"/>
      <c r="DH151" s="6060"/>
      <c r="DI151" s="6060"/>
      <c r="DJ151" s="6060"/>
      <c r="DK151" s="6060"/>
      <c r="DL151" s="6060"/>
      <c r="DM151" s="6060"/>
      <c r="DN151" s="6060"/>
      <c r="DO151" s="6060"/>
      <c r="DP151" s="6060"/>
      <c r="DQ151" s="6060"/>
      <c r="DR151" s="6060"/>
      <c r="DS151" s="6060"/>
      <c r="DT151" s="6060"/>
      <c r="DU151" s="6092"/>
      <c r="DV151" s="6092"/>
      <c r="DW151" s="6092"/>
      <c r="DX151" s="6060"/>
      <c r="DY151" s="6060" t="str">
        <f>_Calcs!$N$81</f>
        <v>Påvirkning</v>
      </c>
      <c r="DZ151" s="6060"/>
      <c r="EA151" s="6060"/>
      <c r="EB151" s="6060"/>
      <c r="EC151" s="6060"/>
      <c r="ED151" s="6062"/>
      <c r="EH151" s="6059"/>
      <c r="EI151" s="6060" t="str">
        <f>_Calcs!$N$77</f>
        <v>Faktor</v>
      </c>
      <c r="EJ151" s="6060"/>
      <c r="EK151" s="6060"/>
      <c r="EL151" s="6060"/>
      <c r="EM151" s="6060"/>
      <c r="EN151" s="6060"/>
      <c r="EO151" s="6060"/>
      <c r="EP151" s="6060"/>
      <c r="EQ151" s="6060"/>
      <c r="ER151" s="6060"/>
      <c r="ES151" s="6060"/>
      <c r="ET151" s="6060"/>
      <c r="EU151" s="6060"/>
      <c r="EV151" s="6060"/>
      <c r="EW151" s="6060"/>
      <c r="EX151" s="6060"/>
      <c r="EY151" s="6060"/>
      <c r="EZ151" s="6060"/>
      <c r="FA151" s="6060"/>
      <c r="FB151" s="6060"/>
      <c r="FC151" s="6060"/>
      <c r="FD151" s="6060"/>
      <c r="FE151" s="6060"/>
      <c r="FF151" s="6060"/>
      <c r="FG151" s="6060"/>
      <c r="FH151" s="6060"/>
      <c r="FI151" s="6060"/>
      <c r="FJ151" s="6060"/>
      <c r="FK151" s="6060"/>
      <c r="FL151" s="6060"/>
      <c r="FM151" s="6060"/>
      <c r="FN151" s="6092"/>
      <c r="FO151" s="6092"/>
      <c r="FP151" s="6092"/>
      <c r="FQ151" s="6060"/>
      <c r="FR151" s="6060" t="str">
        <f>_Calcs!$N$81</f>
        <v>Påvirkning</v>
      </c>
      <c r="FS151" s="6060"/>
      <c r="FT151" s="6060"/>
      <c r="FU151" s="6060"/>
      <c r="FV151" s="6060"/>
      <c r="FW151" s="6062"/>
      <c r="GA151" s="6059"/>
      <c r="GB151" s="6060" t="str">
        <f>_Calcs!$N$77</f>
        <v>Faktor</v>
      </c>
      <c r="GC151" s="6060"/>
      <c r="GD151" s="6060"/>
      <c r="GE151" s="6060"/>
      <c r="GF151" s="6060"/>
      <c r="GG151" s="6060"/>
      <c r="GH151" s="6060"/>
      <c r="GI151" s="6060"/>
      <c r="GJ151" s="6060"/>
      <c r="GK151" s="6060"/>
      <c r="GL151" s="6060"/>
      <c r="GM151" s="6060"/>
      <c r="GN151" s="6060"/>
      <c r="GO151" s="6060"/>
      <c r="GP151" s="6060"/>
      <c r="GQ151" s="6060"/>
      <c r="GR151" s="6060"/>
      <c r="GS151" s="6060"/>
      <c r="GT151" s="6060"/>
      <c r="GU151" s="6060"/>
      <c r="GV151" s="6060"/>
      <c r="GW151" s="6060"/>
      <c r="GX151" s="6060"/>
      <c r="GY151" s="6060"/>
      <c r="GZ151" s="6060"/>
      <c r="HA151" s="6060"/>
      <c r="HB151" s="6060"/>
      <c r="HC151" s="6060"/>
      <c r="HD151" s="6060"/>
      <c r="HE151" s="6060"/>
      <c r="HF151" s="6060"/>
      <c r="HG151" s="6092"/>
      <c r="HH151" s="6092"/>
      <c r="HI151" s="6092"/>
      <c r="HJ151" s="6060"/>
      <c r="HK151" s="6060" t="str">
        <f>_Calcs!$N$81</f>
        <v>Påvirkning</v>
      </c>
      <c r="HL151" s="6060"/>
      <c r="HM151" s="6060"/>
      <c r="HN151" s="6060"/>
      <c r="HO151" s="6060"/>
      <c r="HP151" s="6062"/>
      <c r="HT151" s="6059"/>
      <c r="HU151" s="6060" t="str">
        <f>_Calcs!$N$77</f>
        <v>Faktor</v>
      </c>
      <c r="HV151" s="6060"/>
      <c r="HW151" s="6060"/>
      <c r="HX151" s="6060"/>
      <c r="HY151" s="6060"/>
      <c r="HZ151" s="6060"/>
      <c r="IA151" s="6060"/>
      <c r="IB151" s="6060"/>
      <c r="IC151" s="6060"/>
      <c r="ID151" s="6060"/>
      <c r="IE151" s="6060"/>
      <c r="IF151" s="6060"/>
      <c r="IG151" s="6060"/>
      <c r="IH151" s="6060"/>
      <c r="II151" s="6060"/>
      <c r="IJ151" s="6060"/>
      <c r="IK151" s="6060"/>
      <c r="IL151" s="6060"/>
      <c r="IM151" s="6060"/>
      <c r="IN151" s="6060"/>
      <c r="IO151" s="6060"/>
      <c r="IP151" s="6060"/>
      <c r="IQ151" s="6060"/>
      <c r="IR151" s="6060"/>
      <c r="IS151" s="6060"/>
      <c r="IT151" s="6060"/>
      <c r="IU151" s="6060"/>
      <c r="IV151" s="6060"/>
      <c r="IW151" s="6060"/>
      <c r="IX151" s="6060"/>
      <c r="IY151" s="6060"/>
      <c r="IZ151" s="6092"/>
      <c r="JA151" s="6092"/>
      <c r="JB151" s="6092"/>
      <c r="JC151" s="6060"/>
      <c r="JD151" s="6060" t="str">
        <f>_Calcs!$N$81</f>
        <v>Påvirkning</v>
      </c>
      <c r="JE151" s="6060"/>
      <c r="JF151" s="6060"/>
      <c r="JG151" s="6060"/>
      <c r="JH151" s="6060"/>
      <c r="JI151" s="6062"/>
      <c r="JM151" s="6059"/>
      <c r="JN151" s="6060" t="str">
        <f>_Calcs!$N$77</f>
        <v>Faktor</v>
      </c>
      <c r="JO151" s="6060"/>
      <c r="JP151" s="6060"/>
      <c r="JQ151" s="6060"/>
      <c r="JR151" s="6060"/>
      <c r="JS151" s="6060"/>
      <c r="JT151" s="6060"/>
      <c r="JU151" s="6060"/>
      <c r="JV151" s="6060"/>
      <c r="JW151" s="6060"/>
      <c r="JX151" s="6060"/>
      <c r="JY151" s="6060"/>
      <c r="JZ151" s="6060"/>
      <c r="KA151" s="6060"/>
      <c r="KB151" s="6060"/>
      <c r="KC151" s="6060"/>
      <c r="KD151" s="6060"/>
      <c r="KE151" s="6060"/>
      <c r="KF151" s="6060"/>
      <c r="KG151" s="6060"/>
      <c r="KH151" s="6060"/>
      <c r="KI151" s="6060"/>
      <c r="KJ151" s="6060"/>
      <c r="KK151" s="6060"/>
      <c r="KL151" s="6060"/>
      <c r="KM151" s="6060"/>
      <c r="KN151" s="6060"/>
      <c r="KO151" s="6060"/>
      <c r="KP151" s="6060"/>
      <c r="KQ151" s="6060"/>
      <c r="KR151" s="6060"/>
      <c r="KS151" s="6092"/>
      <c r="KT151" s="6092"/>
      <c r="KU151" s="6092"/>
      <c r="KV151" s="6060"/>
      <c r="KW151" s="6060" t="str">
        <f>_Calcs!$N$81</f>
        <v>Påvirkning</v>
      </c>
      <c r="KX151" s="6060"/>
      <c r="KY151" s="6060"/>
      <c r="KZ151" s="6060"/>
      <c r="LA151" s="6060"/>
      <c r="LB151" s="6062"/>
      <c r="LF151" s="6059"/>
      <c r="LG151" s="6060" t="str">
        <f>_Calcs!$N$77</f>
        <v>Faktor</v>
      </c>
      <c r="LH151" s="6060"/>
      <c r="LI151" s="6060"/>
      <c r="LJ151" s="6060"/>
      <c r="LK151" s="6060"/>
      <c r="LL151" s="6060"/>
      <c r="LM151" s="6060"/>
      <c r="LN151" s="6060"/>
      <c r="LO151" s="6060"/>
      <c r="LP151" s="6060"/>
      <c r="LQ151" s="6060"/>
      <c r="LR151" s="6060"/>
      <c r="LS151" s="6060"/>
      <c r="LT151" s="6060"/>
      <c r="LU151" s="6060"/>
      <c r="LV151" s="6060"/>
      <c r="LW151" s="6060"/>
      <c r="LX151" s="6060"/>
      <c r="LY151" s="6060"/>
      <c r="LZ151" s="6060"/>
      <c r="MA151" s="6060"/>
      <c r="MB151" s="6060"/>
      <c r="MC151" s="6060"/>
      <c r="MD151" s="6060"/>
      <c r="ME151" s="6060"/>
      <c r="MF151" s="6060"/>
      <c r="MG151" s="6060"/>
      <c r="MH151" s="6060"/>
      <c r="MI151" s="6060"/>
      <c r="MJ151" s="6060"/>
      <c r="MK151" s="6060"/>
      <c r="ML151" s="6092"/>
      <c r="MM151" s="6092"/>
      <c r="MN151" s="6092"/>
      <c r="MO151" s="6060"/>
      <c r="MP151" s="6060" t="str">
        <f>_Calcs!$N$81</f>
        <v>Påvirkning</v>
      </c>
      <c r="MQ151" s="6060"/>
      <c r="MR151" s="6060"/>
      <c r="MS151" s="6060"/>
      <c r="MT151" s="6060"/>
      <c r="MU151" s="6062"/>
      <c r="MY151" s="6059"/>
      <c r="MZ151" s="6060" t="str">
        <f>_Calcs!$N$77</f>
        <v>Faktor</v>
      </c>
      <c r="NA151" s="6060"/>
      <c r="NB151" s="6060"/>
      <c r="NC151" s="6060"/>
      <c r="ND151" s="6060"/>
      <c r="NE151" s="6060"/>
      <c r="NF151" s="6060"/>
      <c r="NG151" s="6060"/>
      <c r="NH151" s="6060"/>
      <c r="NI151" s="6060"/>
      <c r="NJ151" s="6060"/>
      <c r="NK151" s="6060"/>
      <c r="NL151" s="6060"/>
      <c r="NM151" s="6060"/>
      <c r="NN151" s="6060"/>
      <c r="NO151" s="6060"/>
      <c r="NP151" s="6060"/>
      <c r="NQ151" s="6060"/>
      <c r="NR151" s="6060"/>
      <c r="NS151" s="6060"/>
      <c r="NT151" s="6060"/>
      <c r="NU151" s="6060"/>
      <c r="NV151" s="6060"/>
      <c r="NW151" s="6060"/>
      <c r="NX151" s="6060"/>
      <c r="NY151" s="6060"/>
      <c r="NZ151" s="6060"/>
      <c r="OA151" s="6060"/>
      <c r="OB151" s="6060"/>
      <c r="OC151" s="6060"/>
      <c r="OD151" s="6060"/>
      <c r="OE151" s="6092"/>
      <c r="OF151" s="6092"/>
      <c r="OG151" s="6092"/>
      <c r="OH151" s="6060"/>
      <c r="OI151" s="6060" t="str">
        <f>_Calcs!$N$81</f>
        <v>Påvirkning</v>
      </c>
      <c r="OJ151" s="6060"/>
      <c r="OK151" s="6060"/>
      <c r="OL151" s="6060"/>
      <c r="OM151" s="6060"/>
      <c r="ON151" s="6062"/>
    </row>
    <row r="152" spans="3:404" ht="5.0999999999999996" customHeight="1" thickBot="1" x14ac:dyDescent="0.25">
      <c r="C152" s="6055"/>
      <c r="D152" s="6056"/>
      <c r="E152" s="6056"/>
      <c r="F152" s="6056"/>
      <c r="G152" s="6056"/>
      <c r="H152" s="6056"/>
      <c r="I152" s="6056"/>
      <c r="J152" s="6056"/>
      <c r="K152" s="6056"/>
      <c r="L152" s="6056"/>
      <c r="M152" s="6056"/>
      <c r="N152" s="6056"/>
      <c r="O152" s="6056"/>
      <c r="P152" s="6056"/>
      <c r="Q152" s="6056"/>
      <c r="R152" s="6056"/>
      <c r="S152" s="6056"/>
      <c r="T152" s="6056"/>
      <c r="U152" s="6056"/>
      <c r="V152" s="6056"/>
      <c r="W152" s="6056"/>
      <c r="X152" s="6056"/>
      <c r="Y152" s="6056"/>
      <c r="Z152" s="6056"/>
      <c r="AA152" s="6056"/>
      <c r="AB152" s="6056"/>
      <c r="AC152" s="6056"/>
      <c r="AD152" s="6056"/>
      <c r="AE152" s="6056"/>
      <c r="AF152" s="6056"/>
      <c r="AG152" s="6056"/>
      <c r="AH152" s="6056"/>
      <c r="AI152" s="6061"/>
      <c r="AJ152" s="6061"/>
      <c r="AK152" s="6061"/>
      <c r="AL152" s="6056"/>
      <c r="AM152" s="6056"/>
      <c r="AN152" s="6056"/>
      <c r="AO152" s="6056"/>
      <c r="AP152" s="6056"/>
      <c r="AQ152" s="6056"/>
      <c r="AR152" s="6058"/>
      <c r="AV152" s="6055"/>
      <c r="AW152" s="6056"/>
      <c r="AX152" s="6056"/>
      <c r="AY152" s="6056"/>
      <c r="AZ152" s="6056"/>
      <c r="BA152" s="6056"/>
      <c r="BB152" s="6056"/>
      <c r="BC152" s="6056"/>
      <c r="BD152" s="6056"/>
      <c r="BE152" s="6056"/>
      <c r="BF152" s="6056"/>
      <c r="BG152" s="6056"/>
      <c r="BH152" s="6056"/>
      <c r="BI152" s="6056"/>
      <c r="BJ152" s="6056"/>
      <c r="BK152" s="6056"/>
      <c r="BL152" s="6056"/>
      <c r="BM152" s="6056"/>
      <c r="BN152" s="6056"/>
      <c r="BO152" s="6056"/>
      <c r="BP152" s="6056"/>
      <c r="BQ152" s="6056"/>
      <c r="BR152" s="6056"/>
      <c r="BS152" s="6056"/>
      <c r="BT152" s="6056"/>
      <c r="BU152" s="6056"/>
      <c r="BV152" s="6056"/>
      <c r="BW152" s="6056"/>
      <c r="BX152" s="6056"/>
      <c r="BY152" s="6056"/>
      <c r="BZ152" s="6056"/>
      <c r="CA152" s="6056"/>
      <c r="CB152" s="6061"/>
      <c r="CC152" s="6061"/>
      <c r="CD152" s="6061"/>
      <c r="CE152" s="6056"/>
      <c r="CF152" s="6056"/>
      <c r="CG152" s="6056"/>
      <c r="CH152" s="6056"/>
      <c r="CI152" s="6056"/>
      <c r="CJ152" s="6056"/>
      <c r="CK152" s="6058"/>
      <c r="CO152" s="6055"/>
      <c r="CP152" s="6056"/>
      <c r="CQ152" s="6056"/>
      <c r="CR152" s="6056"/>
      <c r="CS152" s="6056"/>
      <c r="CT152" s="6056"/>
      <c r="CU152" s="6056"/>
      <c r="CV152" s="6056"/>
      <c r="CW152" s="6056"/>
      <c r="CX152" s="6056"/>
      <c r="CY152" s="6056"/>
      <c r="CZ152" s="6056"/>
      <c r="DA152" s="6056"/>
      <c r="DB152" s="6056"/>
      <c r="DC152" s="6056"/>
      <c r="DD152" s="6056"/>
      <c r="DE152" s="6056"/>
      <c r="DF152" s="6056"/>
      <c r="DG152" s="6056"/>
      <c r="DH152" s="6056"/>
      <c r="DI152" s="6056"/>
      <c r="DJ152" s="6056"/>
      <c r="DK152" s="6056"/>
      <c r="DL152" s="6056"/>
      <c r="DM152" s="6056"/>
      <c r="DN152" s="6056"/>
      <c r="DO152" s="6056"/>
      <c r="DP152" s="6056"/>
      <c r="DQ152" s="6056"/>
      <c r="DR152" s="6056"/>
      <c r="DS152" s="6056"/>
      <c r="DT152" s="6056"/>
      <c r="DU152" s="6061"/>
      <c r="DV152" s="6061"/>
      <c r="DW152" s="6061"/>
      <c r="DX152" s="6056"/>
      <c r="DY152" s="6056"/>
      <c r="DZ152" s="6056"/>
      <c r="EA152" s="6056"/>
      <c r="EB152" s="6056"/>
      <c r="EC152" s="6056"/>
      <c r="ED152" s="6058"/>
      <c r="EH152" s="6055"/>
      <c r="EI152" s="6056"/>
      <c r="EJ152" s="6056"/>
      <c r="EK152" s="6056"/>
      <c r="EL152" s="6056"/>
      <c r="EM152" s="6056"/>
      <c r="EN152" s="6056"/>
      <c r="EO152" s="6056"/>
      <c r="EP152" s="6056"/>
      <c r="EQ152" s="6056"/>
      <c r="ER152" s="6056"/>
      <c r="ES152" s="6056"/>
      <c r="ET152" s="6056"/>
      <c r="EU152" s="6056"/>
      <c r="EV152" s="6056"/>
      <c r="EW152" s="6056"/>
      <c r="EX152" s="6056"/>
      <c r="EY152" s="6056"/>
      <c r="EZ152" s="6056"/>
      <c r="FA152" s="6056"/>
      <c r="FB152" s="6056"/>
      <c r="FC152" s="6056"/>
      <c r="FD152" s="6056"/>
      <c r="FE152" s="6056"/>
      <c r="FF152" s="6056"/>
      <c r="FG152" s="6056"/>
      <c r="FH152" s="6056"/>
      <c r="FI152" s="6056"/>
      <c r="FJ152" s="6056"/>
      <c r="FK152" s="6056"/>
      <c r="FL152" s="6056"/>
      <c r="FM152" s="6056"/>
      <c r="FN152" s="6061"/>
      <c r="FO152" s="6061"/>
      <c r="FP152" s="6061"/>
      <c r="FQ152" s="6056"/>
      <c r="FR152" s="6056"/>
      <c r="FS152" s="6056"/>
      <c r="FT152" s="6056"/>
      <c r="FU152" s="6056"/>
      <c r="FV152" s="6056"/>
      <c r="FW152" s="6058"/>
      <c r="GA152" s="6055"/>
      <c r="GB152" s="6056"/>
      <c r="GC152" s="6056"/>
      <c r="GD152" s="6056"/>
      <c r="GE152" s="6056"/>
      <c r="GF152" s="6056"/>
      <c r="GG152" s="6056"/>
      <c r="GH152" s="6056"/>
      <c r="GI152" s="6056"/>
      <c r="GJ152" s="6056"/>
      <c r="GK152" s="6056"/>
      <c r="GL152" s="6056"/>
      <c r="GM152" s="6056"/>
      <c r="GN152" s="6056"/>
      <c r="GO152" s="6056"/>
      <c r="GP152" s="6056"/>
      <c r="GQ152" s="6056"/>
      <c r="GR152" s="6056"/>
      <c r="GS152" s="6056"/>
      <c r="GT152" s="6056"/>
      <c r="GU152" s="6056"/>
      <c r="GV152" s="6056"/>
      <c r="GW152" s="6056"/>
      <c r="GX152" s="6056"/>
      <c r="GY152" s="6056"/>
      <c r="GZ152" s="6056"/>
      <c r="HA152" s="6056"/>
      <c r="HB152" s="6056"/>
      <c r="HC152" s="6056"/>
      <c r="HD152" s="6056"/>
      <c r="HE152" s="6056"/>
      <c r="HF152" s="6056"/>
      <c r="HG152" s="6061"/>
      <c r="HH152" s="6061"/>
      <c r="HI152" s="6061"/>
      <c r="HJ152" s="6056"/>
      <c r="HK152" s="6056"/>
      <c r="HL152" s="6056"/>
      <c r="HM152" s="6056"/>
      <c r="HN152" s="6056"/>
      <c r="HO152" s="6056"/>
      <c r="HP152" s="6058"/>
      <c r="HT152" s="6055"/>
      <c r="HU152" s="6056"/>
      <c r="HV152" s="6056"/>
      <c r="HW152" s="6056"/>
      <c r="HX152" s="6056"/>
      <c r="HY152" s="6056"/>
      <c r="HZ152" s="6056"/>
      <c r="IA152" s="6056"/>
      <c r="IB152" s="6056"/>
      <c r="IC152" s="6056"/>
      <c r="ID152" s="6056"/>
      <c r="IE152" s="6056"/>
      <c r="IF152" s="6056"/>
      <c r="IG152" s="6056"/>
      <c r="IH152" s="6056"/>
      <c r="II152" s="6056"/>
      <c r="IJ152" s="6056"/>
      <c r="IK152" s="6056"/>
      <c r="IL152" s="6056"/>
      <c r="IM152" s="6056"/>
      <c r="IN152" s="6056"/>
      <c r="IO152" s="6056"/>
      <c r="IP152" s="6056"/>
      <c r="IQ152" s="6056"/>
      <c r="IR152" s="6056"/>
      <c r="IS152" s="6056"/>
      <c r="IT152" s="6056"/>
      <c r="IU152" s="6056"/>
      <c r="IV152" s="6056"/>
      <c r="IW152" s="6056"/>
      <c r="IX152" s="6056"/>
      <c r="IY152" s="6056"/>
      <c r="IZ152" s="6061"/>
      <c r="JA152" s="6061"/>
      <c r="JB152" s="6061"/>
      <c r="JC152" s="6056"/>
      <c r="JD152" s="6056"/>
      <c r="JE152" s="6056"/>
      <c r="JF152" s="6056"/>
      <c r="JG152" s="6056"/>
      <c r="JH152" s="6056"/>
      <c r="JI152" s="6058"/>
      <c r="JM152" s="6055"/>
      <c r="JN152" s="6056"/>
      <c r="JO152" s="6056"/>
      <c r="JP152" s="6056"/>
      <c r="JQ152" s="6056"/>
      <c r="JR152" s="6056"/>
      <c r="JS152" s="6056"/>
      <c r="JT152" s="6056"/>
      <c r="JU152" s="6056"/>
      <c r="JV152" s="6056"/>
      <c r="JW152" s="6056"/>
      <c r="JX152" s="6056"/>
      <c r="JY152" s="6056"/>
      <c r="JZ152" s="6056"/>
      <c r="KA152" s="6056"/>
      <c r="KB152" s="6056"/>
      <c r="KC152" s="6056"/>
      <c r="KD152" s="6056"/>
      <c r="KE152" s="6056"/>
      <c r="KF152" s="6056"/>
      <c r="KG152" s="6056"/>
      <c r="KH152" s="6056"/>
      <c r="KI152" s="6056"/>
      <c r="KJ152" s="6056"/>
      <c r="KK152" s="6056"/>
      <c r="KL152" s="6056"/>
      <c r="KM152" s="6056"/>
      <c r="KN152" s="6056"/>
      <c r="KO152" s="6056"/>
      <c r="KP152" s="6056"/>
      <c r="KQ152" s="6056"/>
      <c r="KR152" s="6056"/>
      <c r="KS152" s="6061"/>
      <c r="KT152" s="6061"/>
      <c r="KU152" s="6061"/>
      <c r="KV152" s="6056"/>
      <c r="KW152" s="6056"/>
      <c r="KX152" s="6056"/>
      <c r="KY152" s="6056"/>
      <c r="KZ152" s="6056"/>
      <c r="LA152" s="6056"/>
      <c r="LB152" s="6058"/>
      <c r="LF152" s="6055"/>
      <c r="LG152" s="6056"/>
      <c r="LH152" s="6056"/>
      <c r="LI152" s="6056"/>
      <c r="LJ152" s="6056"/>
      <c r="LK152" s="6056"/>
      <c r="LL152" s="6056"/>
      <c r="LM152" s="6056"/>
      <c r="LN152" s="6056"/>
      <c r="LO152" s="6056"/>
      <c r="LP152" s="6056"/>
      <c r="LQ152" s="6056"/>
      <c r="LR152" s="6056"/>
      <c r="LS152" s="6056"/>
      <c r="LT152" s="6056"/>
      <c r="LU152" s="6056"/>
      <c r="LV152" s="6056"/>
      <c r="LW152" s="6056"/>
      <c r="LX152" s="6056"/>
      <c r="LY152" s="6056"/>
      <c r="LZ152" s="6056"/>
      <c r="MA152" s="6056"/>
      <c r="MB152" s="6056"/>
      <c r="MC152" s="6056"/>
      <c r="MD152" s="6056"/>
      <c r="ME152" s="6056"/>
      <c r="MF152" s="6056"/>
      <c r="MG152" s="6056"/>
      <c r="MH152" s="6056"/>
      <c r="MI152" s="6056"/>
      <c r="MJ152" s="6056"/>
      <c r="MK152" s="6056"/>
      <c r="ML152" s="6061"/>
      <c r="MM152" s="6061"/>
      <c r="MN152" s="6061"/>
      <c r="MO152" s="6056"/>
      <c r="MP152" s="6056"/>
      <c r="MQ152" s="6056"/>
      <c r="MR152" s="6056"/>
      <c r="MS152" s="6056"/>
      <c r="MT152" s="6056"/>
      <c r="MU152" s="6058"/>
      <c r="MY152" s="6055"/>
      <c r="MZ152" s="6056"/>
      <c r="NA152" s="6056"/>
      <c r="NB152" s="6056"/>
      <c r="NC152" s="6056"/>
      <c r="ND152" s="6056"/>
      <c r="NE152" s="6056"/>
      <c r="NF152" s="6056"/>
      <c r="NG152" s="6056"/>
      <c r="NH152" s="6056"/>
      <c r="NI152" s="6056"/>
      <c r="NJ152" s="6056"/>
      <c r="NK152" s="6056"/>
      <c r="NL152" s="6056"/>
      <c r="NM152" s="6056"/>
      <c r="NN152" s="6056"/>
      <c r="NO152" s="6056"/>
      <c r="NP152" s="6056"/>
      <c r="NQ152" s="6056"/>
      <c r="NR152" s="6056"/>
      <c r="NS152" s="6056"/>
      <c r="NT152" s="6056"/>
      <c r="NU152" s="6056"/>
      <c r="NV152" s="6056"/>
      <c r="NW152" s="6056"/>
      <c r="NX152" s="6056"/>
      <c r="NY152" s="6056"/>
      <c r="NZ152" s="6056"/>
      <c r="OA152" s="6056"/>
      <c r="OB152" s="6056"/>
      <c r="OC152" s="6056"/>
      <c r="OD152" s="6056"/>
      <c r="OE152" s="6061"/>
      <c r="OF152" s="6061"/>
      <c r="OG152" s="6061"/>
      <c r="OH152" s="6056"/>
      <c r="OI152" s="6056"/>
      <c r="OJ152" s="6056"/>
      <c r="OK152" s="6056"/>
      <c r="OL152" s="6056"/>
      <c r="OM152" s="6056"/>
      <c r="ON152" s="6058"/>
    </row>
    <row r="153" spans="3:404" s="6070" customFormat="1" ht="20.100000000000001" customHeight="1" thickBot="1" x14ac:dyDescent="0.25">
      <c r="C153" s="6064"/>
      <c r="D153" s="6093"/>
      <c r="E153" s="6784" t="str">
        <f>_Calcs!$IK$153</f>
        <v>Avvikende arbeidstid</v>
      </c>
      <c r="F153" s="6784"/>
      <c r="G153" s="6784"/>
      <c r="H153" s="6784"/>
      <c r="I153" s="6784"/>
      <c r="J153" s="6784"/>
      <c r="K153" s="6784"/>
      <c r="L153" s="6784"/>
      <c r="M153" s="6784"/>
      <c r="N153" s="6784"/>
      <c r="O153" s="6784"/>
      <c r="P153" s="6784"/>
      <c r="Q153" s="6784"/>
      <c r="R153" s="6784"/>
      <c r="S153" s="6784"/>
      <c r="T153" s="6784"/>
      <c r="U153" s="6784"/>
      <c r="V153" s="6784"/>
      <c r="W153" s="6094"/>
      <c r="X153" s="6095"/>
      <c r="Y153" s="6095"/>
      <c r="Z153" s="6095"/>
      <c r="AA153" s="6095"/>
      <c r="AB153" s="6095"/>
      <c r="AC153" s="6095"/>
      <c r="AD153" s="6095"/>
      <c r="AE153" s="6095"/>
      <c r="AF153" s="6095"/>
      <c r="AG153" s="6095"/>
      <c r="AH153" s="6095"/>
      <c r="AI153" s="6061"/>
      <c r="AJ153" s="6061"/>
      <c r="AK153" s="6061"/>
      <c r="AL153" s="6068"/>
      <c r="AM153" s="6096"/>
      <c r="AN153" s="6780" t="str">
        <f>_Calcs!$IK$154</f>
        <v>Nei</v>
      </c>
      <c r="AO153" s="6780"/>
      <c r="AP153" s="6780"/>
      <c r="AQ153" s="6097"/>
      <c r="AR153" s="6098"/>
      <c r="AV153" s="6064"/>
      <c r="AW153" s="6093"/>
      <c r="AX153" s="6784" t="str">
        <f>_Calcs!$IL$153</f>
        <v>Avvikende arbeidstid</v>
      </c>
      <c r="AY153" s="6784"/>
      <c r="AZ153" s="6784"/>
      <c r="BA153" s="6784"/>
      <c r="BB153" s="6784"/>
      <c r="BC153" s="6784"/>
      <c r="BD153" s="6784"/>
      <c r="BE153" s="6784"/>
      <c r="BF153" s="6784"/>
      <c r="BG153" s="6784"/>
      <c r="BH153" s="6784"/>
      <c r="BI153" s="6784"/>
      <c r="BJ153" s="6784"/>
      <c r="BK153" s="6784"/>
      <c r="BL153" s="6784"/>
      <c r="BM153" s="6784"/>
      <c r="BN153" s="6784"/>
      <c r="BO153" s="6784"/>
      <c r="BP153" s="6094"/>
      <c r="BQ153" s="6095"/>
      <c r="BR153" s="6095"/>
      <c r="BS153" s="6095"/>
      <c r="BT153" s="6095"/>
      <c r="BU153" s="6095"/>
      <c r="BV153" s="6095"/>
      <c r="BW153" s="6095"/>
      <c r="BX153" s="6095"/>
      <c r="BY153" s="6095"/>
      <c r="BZ153" s="6095"/>
      <c r="CA153" s="6095"/>
      <c r="CB153" s="6061"/>
      <c r="CC153" s="6061"/>
      <c r="CD153" s="6061"/>
      <c r="CE153" s="6068"/>
      <c r="CF153" s="6096"/>
      <c r="CG153" s="6780" t="str">
        <f>_Calcs!$IL$154</f>
        <v>Nei</v>
      </c>
      <c r="CH153" s="6780"/>
      <c r="CI153" s="6780"/>
      <c r="CJ153" s="6097"/>
      <c r="CK153" s="6098"/>
      <c r="CO153" s="6064"/>
      <c r="CP153" s="6093"/>
      <c r="CQ153" s="6784" t="str">
        <f>_Calcs!$IM$153</f>
        <v>Avvikende arbeidstid</v>
      </c>
      <c r="CR153" s="6784"/>
      <c r="CS153" s="6784"/>
      <c r="CT153" s="6784"/>
      <c r="CU153" s="6784"/>
      <c r="CV153" s="6784"/>
      <c r="CW153" s="6784"/>
      <c r="CX153" s="6784"/>
      <c r="CY153" s="6784"/>
      <c r="CZ153" s="6784"/>
      <c r="DA153" s="6784"/>
      <c r="DB153" s="6784"/>
      <c r="DC153" s="6784"/>
      <c r="DD153" s="6784"/>
      <c r="DE153" s="6784"/>
      <c r="DF153" s="6784"/>
      <c r="DG153" s="6784"/>
      <c r="DH153" s="6784"/>
      <c r="DI153" s="6094"/>
      <c r="DJ153" s="6095"/>
      <c r="DK153" s="6095"/>
      <c r="DL153" s="6095"/>
      <c r="DM153" s="6095"/>
      <c r="DN153" s="6095"/>
      <c r="DO153" s="6095"/>
      <c r="DP153" s="6095"/>
      <c r="DQ153" s="6095"/>
      <c r="DR153" s="6095"/>
      <c r="DS153" s="6095"/>
      <c r="DT153" s="6095"/>
      <c r="DU153" s="6061"/>
      <c r="DV153" s="6061"/>
      <c r="DW153" s="6061"/>
      <c r="DX153" s="6068"/>
      <c r="DY153" s="6096"/>
      <c r="DZ153" s="6780" t="str">
        <f>_Calcs!$IM$154</f>
        <v>Nei</v>
      </c>
      <c r="EA153" s="6780"/>
      <c r="EB153" s="6780"/>
      <c r="EC153" s="6097"/>
      <c r="ED153" s="6098"/>
      <c r="EH153" s="6064"/>
      <c r="EI153" s="6093"/>
      <c r="EJ153" s="6784" t="str">
        <f>_Calcs!$IN$153</f>
        <v>Avvikende arbeidstid</v>
      </c>
      <c r="EK153" s="6784"/>
      <c r="EL153" s="6784"/>
      <c r="EM153" s="6784"/>
      <c r="EN153" s="6784"/>
      <c r="EO153" s="6784"/>
      <c r="EP153" s="6784"/>
      <c r="EQ153" s="6784"/>
      <c r="ER153" s="6784"/>
      <c r="ES153" s="6784"/>
      <c r="ET153" s="6784"/>
      <c r="EU153" s="6784"/>
      <c r="EV153" s="6784"/>
      <c r="EW153" s="6784"/>
      <c r="EX153" s="6784"/>
      <c r="EY153" s="6784"/>
      <c r="EZ153" s="6784"/>
      <c r="FA153" s="6784"/>
      <c r="FB153" s="6094"/>
      <c r="FC153" s="6095"/>
      <c r="FD153" s="6095"/>
      <c r="FE153" s="6095"/>
      <c r="FF153" s="6095"/>
      <c r="FG153" s="6095"/>
      <c r="FH153" s="6095"/>
      <c r="FI153" s="6095"/>
      <c r="FJ153" s="6095"/>
      <c r="FK153" s="6095"/>
      <c r="FL153" s="6095"/>
      <c r="FM153" s="6095"/>
      <c r="FN153" s="6061"/>
      <c r="FO153" s="6061"/>
      <c r="FP153" s="6061"/>
      <c r="FQ153" s="6068"/>
      <c r="FR153" s="6096"/>
      <c r="FS153" s="6780" t="str">
        <f>_Calcs!$IN$154</f>
        <v>Nei</v>
      </c>
      <c r="FT153" s="6780"/>
      <c r="FU153" s="6780"/>
      <c r="FV153" s="6097"/>
      <c r="FW153" s="6098"/>
      <c r="GA153" s="6064"/>
      <c r="GB153" s="6093"/>
      <c r="GC153" s="6784" t="str">
        <f>_Calcs!$IO$153</f>
        <v>Avvikende arbeidstid</v>
      </c>
      <c r="GD153" s="6784"/>
      <c r="GE153" s="6784"/>
      <c r="GF153" s="6784"/>
      <c r="GG153" s="6784"/>
      <c r="GH153" s="6784"/>
      <c r="GI153" s="6784"/>
      <c r="GJ153" s="6784"/>
      <c r="GK153" s="6784"/>
      <c r="GL153" s="6784"/>
      <c r="GM153" s="6784"/>
      <c r="GN153" s="6784"/>
      <c r="GO153" s="6784"/>
      <c r="GP153" s="6784"/>
      <c r="GQ153" s="6784"/>
      <c r="GR153" s="6784"/>
      <c r="GS153" s="6784"/>
      <c r="GT153" s="6784"/>
      <c r="GU153" s="6094"/>
      <c r="GV153" s="6095"/>
      <c r="GW153" s="6095"/>
      <c r="GX153" s="6095"/>
      <c r="GY153" s="6095"/>
      <c r="GZ153" s="6095"/>
      <c r="HA153" s="6095"/>
      <c r="HB153" s="6095"/>
      <c r="HC153" s="6095"/>
      <c r="HD153" s="6095"/>
      <c r="HE153" s="6095"/>
      <c r="HF153" s="6095"/>
      <c r="HG153" s="6061"/>
      <c r="HH153" s="6061"/>
      <c r="HI153" s="6061"/>
      <c r="HJ153" s="6068"/>
      <c r="HK153" s="6096"/>
      <c r="HL153" s="6780" t="str">
        <f>_Calcs!$IO$154</f>
        <v>Nei</v>
      </c>
      <c r="HM153" s="6780"/>
      <c r="HN153" s="6780"/>
      <c r="HO153" s="6097"/>
      <c r="HP153" s="6098"/>
      <c r="HT153" s="6064"/>
      <c r="HU153" s="6093"/>
      <c r="HV153" s="6784" t="str">
        <f>_Calcs!$IP$153</f>
        <v>Avvikende arbeidstid</v>
      </c>
      <c r="HW153" s="6784"/>
      <c r="HX153" s="6784"/>
      <c r="HY153" s="6784"/>
      <c r="HZ153" s="6784"/>
      <c r="IA153" s="6784"/>
      <c r="IB153" s="6784"/>
      <c r="IC153" s="6784"/>
      <c r="ID153" s="6784"/>
      <c r="IE153" s="6784"/>
      <c r="IF153" s="6784"/>
      <c r="IG153" s="6784"/>
      <c r="IH153" s="6784"/>
      <c r="II153" s="6784"/>
      <c r="IJ153" s="6784"/>
      <c r="IK153" s="6784"/>
      <c r="IL153" s="6784"/>
      <c r="IM153" s="6784"/>
      <c r="IN153" s="6094"/>
      <c r="IO153" s="6095"/>
      <c r="IP153" s="6095"/>
      <c r="IQ153" s="6095"/>
      <c r="IR153" s="6095"/>
      <c r="IS153" s="6095"/>
      <c r="IT153" s="6095"/>
      <c r="IU153" s="6095"/>
      <c r="IV153" s="6095"/>
      <c r="IW153" s="6095"/>
      <c r="IX153" s="6095"/>
      <c r="IY153" s="6095"/>
      <c r="IZ153" s="6061"/>
      <c r="JA153" s="6061"/>
      <c r="JB153" s="6061"/>
      <c r="JC153" s="6068"/>
      <c r="JD153" s="6096"/>
      <c r="JE153" s="6780" t="str">
        <f>_Calcs!$IP$154</f>
        <v>Nei</v>
      </c>
      <c r="JF153" s="6780"/>
      <c r="JG153" s="6780"/>
      <c r="JH153" s="6097"/>
      <c r="JI153" s="6098"/>
      <c r="JM153" s="6064"/>
      <c r="JN153" s="6093"/>
      <c r="JO153" s="6784" t="str">
        <f>_Calcs!$IQ$153</f>
        <v>Avvikende arbeidstid</v>
      </c>
      <c r="JP153" s="6784"/>
      <c r="JQ153" s="6784"/>
      <c r="JR153" s="6784"/>
      <c r="JS153" s="6784"/>
      <c r="JT153" s="6784"/>
      <c r="JU153" s="6784"/>
      <c r="JV153" s="6784"/>
      <c r="JW153" s="6784"/>
      <c r="JX153" s="6784"/>
      <c r="JY153" s="6784"/>
      <c r="JZ153" s="6784"/>
      <c r="KA153" s="6784"/>
      <c r="KB153" s="6784"/>
      <c r="KC153" s="6784"/>
      <c r="KD153" s="6784"/>
      <c r="KE153" s="6784"/>
      <c r="KF153" s="6784"/>
      <c r="KG153" s="6094"/>
      <c r="KH153" s="6095"/>
      <c r="KI153" s="6095"/>
      <c r="KJ153" s="6095"/>
      <c r="KK153" s="6095"/>
      <c r="KL153" s="6095"/>
      <c r="KM153" s="6095"/>
      <c r="KN153" s="6095"/>
      <c r="KO153" s="6095"/>
      <c r="KP153" s="6095"/>
      <c r="KQ153" s="6095"/>
      <c r="KR153" s="6095"/>
      <c r="KS153" s="6061"/>
      <c r="KT153" s="6061"/>
      <c r="KU153" s="6061"/>
      <c r="KV153" s="6068"/>
      <c r="KW153" s="6096"/>
      <c r="KX153" s="6780" t="str">
        <f>_Calcs!$IQ$154</f>
        <v>Nei</v>
      </c>
      <c r="KY153" s="6780"/>
      <c r="KZ153" s="6780"/>
      <c r="LA153" s="6097"/>
      <c r="LB153" s="6098"/>
      <c r="LF153" s="6064"/>
      <c r="LG153" s="6093"/>
      <c r="LH153" s="6784" t="str">
        <f>_Calcs!$IR$153</f>
        <v>Avvikende arbeidstid</v>
      </c>
      <c r="LI153" s="6784"/>
      <c r="LJ153" s="6784"/>
      <c r="LK153" s="6784"/>
      <c r="LL153" s="6784"/>
      <c r="LM153" s="6784"/>
      <c r="LN153" s="6784"/>
      <c r="LO153" s="6784"/>
      <c r="LP153" s="6784"/>
      <c r="LQ153" s="6784"/>
      <c r="LR153" s="6784"/>
      <c r="LS153" s="6784"/>
      <c r="LT153" s="6784"/>
      <c r="LU153" s="6784"/>
      <c r="LV153" s="6784"/>
      <c r="LW153" s="6784"/>
      <c r="LX153" s="6784"/>
      <c r="LY153" s="6784"/>
      <c r="LZ153" s="6094"/>
      <c r="MA153" s="6095"/>
      <c r="MB153" s="6095"/>
      <c r="MC153" s="6095"/>
      <c r="MD153" s="6095"/>
      <c r="ME153" s="6095"/>
      <c r="MF153" s="6095"/>
      <c r="MG153" s="6095"/>
      <c r="MH153" s="6095"/>
      <c r="MI153" s="6095"/>
      <c r="MJ153" s="6095"/>
      <c r="MK153" s="6095"/>
      <c r="ML153" s="6061"/>
      <c r="MM153" s="6061"/>
      <c r="MN153" s="6061"/>
      <c r="MO153" s="6068"/>
      <c r="MP153" s="6096"/>
      <c r="MQ153" s="6780" t="str">
        <f>_Calcs!$IR$154</f>
        <v>Nei</v>
      </c>
      <c r="MR153" s="6780"/>
      <c r="MS153" s="6780"/>
      <c r="MT153" s="6097"/>
      <c r="MU153" s="6098"/>
      <c r="MY153" s="6064"/>
      <c r="MZ153" s="6093"/>
      <c r="NA153" s="6784" t="str">
        <f>_Calcs!$IS$153</f>
        <v>Avvikende arbeidstid</v>
      </c>
      <c r="NB153" s="6784"/>
      <c r="NC153" s="6784"/>
      <c r="ND153" s="6784"/>
      <c r="NE153" s="6784"/>
      <c r="NF153" s="6784"/>
      <c r="NG153" s="6784"/>
      <c r="NH153" s="6784"/>
      <c r="NI153" s="6784"/>
      <c r="NJ153" s="6784"/>
      <c r="NK153" s="6784"/>
      <c r="NL153" s="6784"/>
      <c r="NM153" s="6784"/>
      <c r="NN153" s="6784"/>
      <c r="NO153" s="6784"/>
      <c r="NP153" s="6784"/>
      <c r="NQ153" s="6784"/>
      <c r="NR153" s="6784"/>
      <c r="NS153" s="6094"/>
      <c r="NT153" s="6095"/>
      <c r="NU153" s="6095"/>
      <c r="NV153" s="6095"/>
      <c r="NW153" s="6095"/>
      <c r="NX153" s="6095"/>
      <c r="NY153" s="6095"/>
      <c r="NZ153" s="6095"/>
      <c r="OA153" s="6095"/>
      <c r="OB153" s="6095"/>
      <c r="OC153" s="6095"/>
      <c r="OD153" s="6095"/>
      <c r="OE153" s="6061"/>
      <c r="OF153" s="6061"/>
      <c r="OG153" s="6061"/>
      <c r="OH153" s="6068"/>
      <c r="OI153" s="6096"/>
      <c r="OJ153" s="6780" t="str">
        <f>_Calcs!$IS$154</f>
        <v>Nei</v>
      </c>
      <c r="OK153" s="6780"/>
      <c r="OL153" s="6780"/>
      <c r="OM153" s="6097"/>
      <c r="ON153" s="6098"/>
    </row>
    <row r="154" spans="3:404" ht="8.1" customHeight="1" x14ac:dyDescent="0.2">
      <c r="C154" s="6055"/>
      <c r="D154" s="6056"/>
      <c r="E154" s="6056"/>
      <c r="F154" s="6056"/>
      <c r="G154" s="6056"/>
      <c r="H154" s="6056"/>
      <c r="I154" s="6056"/>
      <c r="J154" s="6056"/>
      <c r="K154" s="6056"/>
      <c r="L154" s="6056"/>
      <c r="M154" s="6056"/>
      <c r="N154" s="6056"/>
      <c r="O154" s="6056"/>
      <c r="P154" s="6056"/>
      <c r="Q154" s="6056"/>
      <c r="R154" s="6056"/>
      <c r="S154" s="6056"/>
      <c r="T154" s="6056"/>
      <c r="U154" s="6056"/>
      <c r="V154" s="6057"/>
      <c r="W154" s="6057"/>
      <c r="X154" s="6057"/>
      <c r="Y154" s="6057"/>
      <c r="Z154" s="6057"/>
      <c r="AA154" s="6056"/>
      <c r="AB154" s="6057"/>
      <c r="AC154" s="6057"/>
      <c r="AD154" s="6057"/>
      <c r="AE154" s="6056"/>
      <c r="AF154" s="6057"/>
      <c r="AG154" s="6057"/>
      <c r="AH154" s="6057"/>
      <c r="AI154" s="6057"/>
      <c r="AJ154" s="6057"/>
      <c r="AK154" s="6056"/>
      <c r="AL154" s="6056"/>
      <c r="AM154" s="6056"/>
      <c r="AN154" s="6056"/>
      <c r="AO154" s="6056"/>
      <c r="AP154" s="6056"/>
      <c r="AQ154" s="6056"/>
      <c r="AR154" s="6058"/>
      <c r="AV154" s="6055"/>
      <c r="AW154" s="6056"/>
      <c r="AX154" s="6056"/>
      <c r="AY154" s="6056"/>
      <c r="AZ154" s="6056"/>
      <c r="BA154" s="6056"/>
      <c r="BB154" s="6056"/>
      <c r="BC154" s="6056"/>
      <c r="BD154" s="6056"/>
      <c r="BE154" s="6056"/>
      <c r="BF154" s="6056"/>
      <c r="BG154" s="6056"/>
      <c r="BH154" s="6056"/>
      <c r="BI154" s="6056"/>
      <c r="BJ154" s="6056"/>
      <c r="BK154" s="6056"/>
      <c r="BL154" s="6056"/>
      <c r="BM154" s="6056"/>
      <c r="BN154" s="6056"/>
      <c r="BO154" s="6057"/>
      <c r="BP154" s="6057"/>
      <c r="BQ154" s="6057"/>
      <c r="BR154" s="6057"/>
      <c r="BS154" s="6057"/>
      <c r="BT154" s="6056"/>
      <c r="BU154" s="6057"/>
      <c r="BV154" s="6057"/>
      <c r="BW154" s="6057"/>
      <c r="BX154" s="6056"/>
      <c r="BY154" s="6057"/>
      <c r="BZ154" s="6057"/>
      <c r="CA154" s="6057"/>
      <c r="CB154" s="6057"/>
      <c r="CC154" s="6057"/>
      <c r="CD154" s="6056"/>
      <c r="CE154" s="6056"/>
      <c r="CF154" s="6056"/>
      <c r="CG154" s="6056"/>
      <c r="CH154" s="6056"/>
      <c r="CI154" s="6056"/>
      <c r="CJ154" s="6056"/>
      <c r="CK154" s="6058"/>
      <c r="CO154" s="6055"/>
      <c r="CP154" s="6056"/>
      <c r="CQ154" s="6056"/>
      <c r="CR154" s="6056"/>
      <c r="CS154" s="6056"/>
      <c r="CT154" s="6056"/>
      <c r="CU154" s="6056"/>
      <c r="CV154" s="6056"/>
      <c r="CW154" s="6056"/>
      <c r="CX154" s="6056"/>
      <c r="CY154" s="6056"/>
      <c r="CZ154" s="6056"/>
      <c r="DA154" s="6056"/>
      <c r="DB154" s="6056"/>
      <c r="DC154" s="6056"/>
      <c r="DD154" s="6056"/>
      <c r="DE154" s="6056"/>
      <c r="DF154" s="6056"/>
      <c r="DG154" s="6056"/>
      <c r="DH154" s="6057"/>
      <c r="DI154" s="6057"/>
      <c r="DJ154" s="6057"/>
      <c r="DK154" s="6057"/>
      <c r="DL154" s="6057"/>
      <c r="DM154" s="6056"/>
      <c r="DN154" s="6057"/>
      <c r="DO154" s="6057"/>
      <c r="DP154" s="6057"/>
      <c r="DQ154" s="6056"/>
      <c r="DR154" s="6057"/>
      <c r="DS154" s="6057"/>
      <c r="DT154" s="6057"/>
      <c r="DU154" s="6057"/>
      <c r="DV154" s="6057"/>
      <c r="DW154" s="6056"/>
      <c r="DX154" s="6056"/>
      <c r="DY154" s="6056"/>
      <c r="DZ154" s="6056"/>
      <c r="EA154" s="6056"/>
      <c r="EB154" s="6056"/>
      <c r="EC154" s="6056"/>
      <c r="ED154" s="6058"/>
      <c r="EH154" s="6055"/>
      <c r="EI154" s="6056"/>
      <c r="EJ154" s="6056"/>
      <c r="EK154" s="6056"/>
      <c r="EL154" s="6056"/>
      <c r="EM154" s="6056"/>
      <c r="EN154" s="6056"/>
      <c r="EO154" s="6056"/>
      <c r="EP154" s="6056"/>
      <c r="EQ154" s="6056"/>
      <c r="ER154" s="6056"/>
      <c r="ES154" s="6056"/>
      <c r="ET154" s="6056"/>
      <c r="EU154" s="6056"/>
      <c r="EV154" s="6056"/>
      <c r="EW154" s="6056"/>
      <c r="EX154" s="6056"/>
      <c r="EY154" s="6056"/>
      <c r="EZ154" s="6056"/>
      <c r="FA154" s="6057"/>
      <c r="FB154" s="6057"/>
      <c r="FC154" s="6057"/>
      <c r="FD154" s="6057"/>
      <c r="FE154" s="6057"/>
      <c r="FF154" s="6056"/>
      <c r="FG154" s="6057"/>
      <c r="FH154" s="6057"/>
      <c r="FI154" s="6057"/>
      <c r="FJ154" s="6056"/>
      <c r="FK154" s="6057"/>
      <c r="FL154" s="6057"/>
      <c r="FM154" s="6057"/>
      <c r="FN154" s="6057"/>
      <c r="FO154" s="6057"/>
      <c r="FP154" s="6056"/>
      <c r="FQ154" s="6056"/>
      <c r="FR154" s="6056"/>
      <c r="FS154" s="6056"/>
      <c r="FT154" s="6056"/>
      <c r="FU154" s="6056"/>
      <c r="FV154" s="6056"/>
      <c r="FW154" s="6058"/>
      <c r="GA154" s="6055"/>
      <c r="GB154" s="6056"/>
      <c r="GC154" s="6056"/>
      <c r="GD154" s="6056"/>
      <c r="GE154" s="6056"/>
      <c r="GF154" s="6056"/>
      <c r="GG154" s="6056"/>
      <c r="GH154" s="6056"/>
      <c r="GI154" s="6056"/>
      <c r="GJ154" s="6056"/>
      <c r="GK154" s="6056"/>
      <c r="GL154" s="6056"/>
      <c r="GM154" s="6056"/>
      <c r="GN154" s="6056"/>
      <c r="GO154" s="6056"/>
      <c r="GP154" s="6056"/>
      <c r="GQ154" s="6056"/>
      <c r="GR154" s="6056"/>
      <c r="GS154" s="6056"/>
      <c r="GT154" s="6057"/>
      <c r="GU154" s="6057"/>
      <c r="GV154" s="6057"/>
      <c r="GW154" s="6057"/>
      <c r="GX154" s="6057"/>
      <c r="GY154" s="6056"/>
      <c r="GZ154" s="6057"/>
      <c r="HA154" s="6057"/>
      <c r="HB154" s="6057"/>
      <c r="HC154" s="6056"/>
      <c r="HD154" s="6057"/>
      <c r="HE154" s="6057"/>
      <c r="HF154" s="6057"/>
      <c r="HG154" s="6057"/>
      <c r="HH154" s="6057"/>
      <c r="HI154" s="6056"/>
      <c r="HJ154" s="6056"/>
      <c r="HK154" s="6056"/>
      <c r="HL154" s="6056"/>
      <c r="HM154" s="6056"/>
      <c r="HN154" s="6056"/>
      <c r="HO154" s="6056"/>
      <c r="HP154" s="6058"/>
      <c r="HT154" s="6055"/>
      <c r="HU154" s="6056"/>
      <c r="HV154" s="6056"/>
      <c r="HW154" s="6056"/>
      <c r="HX154" s="6056"/>
      <c r="HY154" s="6056"/>
      <c r="HZ154" s="6056"/>
      <c r="IA154" s="6056"/>
      <c r="IB154" s="6056"/>
      <c r="IC154" s="6056"/>
      <c r="ID154" s="6056"/>
      <c r="IE154" s="6056"/>
      <c r="IF154" s="6056"/>
      <c r="IG154" s="6056"/>
      <c r="IH154" s="6056"/>
      <c r="II154" s="6056"/>
      <c r="IJ154" s="6056"/>
      <c r="IK154" s="6056"/>
      <c r="IL154" s="6056"/>
      <c r="IM154" s="6057"/>
      <c r="IN154" s="6057"/>
      <c r="IO154" s="6057"/>
      <c r="IP154" s="6057"/>
      <c r="IQ154" s="6057"/>
      <c r="IR154" s="6056"/>
      <c r="IS154" s="6057"/>
      <c r="IT154" s="6057"/>
      <c r="IU154" s="6057"/>
      <c r="IV154" s="6056"/>
      <c r="IW154" s="6057"/>
      <c r="IX154" s="6057"/>
      <c r="IY154" s="6057"/>
      <c r="IZ154" s="6057"/>
      <c r="JA154" s="6057"/>
      <c r="JB154" s="6056"/>
      <c r="JC154" s="6056"/>
      <c r="JD154" s="6056"/>
      <c r="JE154" s="6056"/>
      <c r="JF154" s="6056"/>
      <c r="JG154" s="6056"/>
      <c r="JH154" s="6056"/>
      <c r="JI154" s="6058"/>
      <c r="JM154" s="6055"/>
      <c r="JN154" s="6056"/>
      <c r="JO154" s="6056"/>
      <c r="JP154" s="6056"/>
      <c r="JQ154" s="6056"/>
      <c r="JR154" s="6056"/>
      <c r="JS154" s="6056"/>
      <c r="JT154" s="6056"/>
      <c r="JU154" s="6056"/>
      <c r="JV154" s="6056"/>
      <c r="JW154" s="6056"/>
      <c r="JX154" s="6056"/>
      <c r="JY154" s="6056"/>
      <c r="JZ154" s="6056"/>
      <c r="KA154" s="6056"/>
      <c r="KB154" s="6056"/>
      <c r="KC154" s="6056"/>
      <c r="KD154" s="6056"/>
      <c r="KE154" s="6056"/>
      <c r="KF154" s="6057"/>
      <c r="KG154" s="6057"/>
      <c r="KH154" s="6057"/>
      <c r="KI154" s="6057"/>
      <c r="KJ154" s="6057"/>
      <c r="KK154" s="6056"/>
      <c r="KL154" s="6057"/>
      <c r="KM154" s="6057"/>
      <c r="KN154" s="6057"/>
      <c r="KO154" s="6056"/>
      <c r="KP154" s="6057"/>
      <c r="KQ154" s="6057"/>
      <c r="KR154" s="6057"/>
      <c r="KS154" s="6057"/>
      <c r="KT154" s="6057"/>
      <c r="KU154" s="6056"/>
      <c r="KV154" s="6056"/>
      <c r="KW154" s="6056"/>
      <c r="KX154" s="6056"/>
      <c r="KY154" s="6056"/>
      <c r="KZ154" s="6056"/>
      <c r="LA154" s="6056"/>
      <c r="LB154" s="6058"/>
      <c r="LF154" s="6055"/>
      <c r="LG154" s="6056"/>
      <c r="LH154" s="6056"/>
      <c r="LI154" s="6056"/>
      <c r="LJ154" s="6056"/>
      <c r="LK154" s="6056"/>
      <c r="LL154" s="6056"/>
      <c r="LM154" s="6056"/>
      <c r="LN154" s="6056"/>
      <c r="LO154" s="6056"/>
      <c r="LP154" s="6056"/>
      <c r="LQ154" s="6056"/>
      <c r="LR154" s="6056"/>
      <c r="LS154" s="6056"/>
      <c r="LT154" s="6056"/>
      <c r="LU154" s="6056"/>
      <c r="LV154" s="6056"/>
      <c r="LW154" s="6056"/>
      <c r="LX154" s="6056"/>
      <c r="LY154" s="6057"/>
      <c r="LZ154" s="6057"/>
      <c r="MA154" s="6057"/>
      <c r="MB154" s="6057"/>
      <c r="MC154" s="6057"/>
      <c r="MD154" s="6056"/>
      <c r="ME154" s="6057"/>
      <c r="MF154" s="6057"/>
      <c r="MG154" s="6057"/>
      <c r="MH154" s="6056"/>
      <c r="MI154" s="6057"/>
      <c r="MJ154" s="6057"/>
      <c r="MK154" s="6057"/>
      <c r="ML154" s="6057"/>
      <c r="MM154" s="6057"/>
      <c r="MN154" s="6056"/>
      <c r="MO154" s="6056"/>
      <c r="MP154" s="6056"/>
      <c r="MQ154" s="6056"/>
      <c r="MR154" s="6056"/>
      <c r="MS154" s="6056"/>
      <c r="MT154" s="6056"/>
      <c r="MU154" s="6058"/>
      <c r="MY154" s="6055"/>
      <c r="MZ154" s="6056"/>
      <c r="NA154" s="6056"/>
      <c r="NB154" s="6056"/>
      <c r="NC154" s="6056"/>
      <c r="ND154" s="6056"/>
      <c r="NE154" s="6056"/>
      <c r="NF154" s="6056"/>
      <c r="NG154" s="6056"/>
      <c r="NH154" s="6056"/>
      <c r="NI154" s="6056"/>
      <c r="NJ154" s="6056"/>
      <c r="NK154" s="6056"/>
      <c r="NL154" s="6056"/>
      <c r="NM154" s="6056"/>
      <c r="NN154" s="6056"/>
      <c r="NO154" s="6056"/>
      <c r="NP154" s="6056"/>
      <c r="NQ154" s="6056"/>
      <c r="NR154" s="6057"/>
      <c r="NS154" s="6057"/>
      <c r="NT154" s="6057"/>
      <c r="NU154" s="6057"/>
      <c r="NV154" s="6057"/>
      <c r="NW154" s="6056"/>
      <c r="NX154" s="6057"/>
      <c r="NY154" s="6057"/>
      <c r="NZ154" s="6057"/>
      <c r="OA154" s="6056"/>
      <c r="OB154" s="6057"/>
      <c r="OC154" s="6057"/>
      <c r="OD154" s="6057"/>
      <c r="OE154" s="6057"/>
      <c r="OF154" s="6057"/>
      <c r="OG154" s="6056"/>
      <c r="OH154" s="6056"/>
      <c r="OI154" s="6056"/>
      <c r="OJ154" s="6056"/>
      <c r="OK154" s="6056"/>
      <c r="OL154" s="6056"/>
      <c r="OM154" s="6056"/>
      <c r="ON154" s="6058"/>
    </row>
    <row r="155" spans="3:404" s="6075" customFormat="1" ht="12" customHeight="1" x14ac:dyDescent="0.2">
      <c r="C155" s="6071"/>
      <c r="D155" s="6060" t="str">
        <f>_Calcs!$N$80</f>
        <v>Tidjustering</v>
      </c>
      <c r="E155" s="6072"/>
      <c r="F155" s="6072"/>
      <c r="G155" s="6072"/>
      <c r="H155" s="6072"/>
      <c r="I155" s="6072"/>
      <c r="J155" s="6072"/>
      <c r="K155" s="6072"/>
      <c r="L155" s="6072"/>
      <c r="M155" s="6099"/>
      <c r="N155" s="6099"/>
      <c r="O155" s="6099"/>
      <c r="P155" s="6099"/>
      <c r="Q155" s="6099"/>
      <c r="R155" s="6099"/>
      <c r="S155" s="6099"/>
      <c r="T155" s="6099"/>
      <c r="U155" s="6072"/>
      <c r="V155" s="6072"/>
      <c r="W155" s="6072"/>
      <c r="X155" s="6072"/>
      <c r="Y155" s="6072"/>
      <c r="Z155" s="6072"/>
      <c r="AA155" s="6072"/>
      <c r="AB155" s="6072"/>
      <c r="AC155" s="6072"/>
      <c r="AD155" s="6072"/>
      <c r="AE155" s="6072"/>
      <c r="AF155" s="6072"/>
      <c r="AG155" s="6072"/>
      <c r="AH155" s="6072"/>
      <c r="AI155" s="6072"/>
      <c r="AJ155" s="6072"/>
      <c r="AK155" s="6072"/>
      <c r="AL155" s="6072"/>
      <c r="AM155" s="6072"/>
      <c r="AN155" s="6072"/>
      <c r="AO155" s="6072"/>
      <c r="AP155" s="6072"/>
      <c r="AQ155" s="6072"/>
      <c r="AR155" s="6074"/>
      <c r="AV155" s="6071"/>
      <c r="AW155" s="6060" t="str">
        <f>_Calcs!$N$80</f>
        <v>Tidjustering</v>
      </c>
      <c r="AX155" s="6072"/>
      <c r="AY155" s="6072"/>
      <c r="AZ155" s="6072"/>
      <c r="BA155" s="6072"/>
      <c r="BB155" s="6072"/>
      <c r="BC155" s="6072"/>
      <c r="BD155" s="6072"/>
      <c r="BE155" s="6072"/>
      <c r="BF155" s="6099"/>
      <c r="BG155" s="6099"/>
      <c r="BH155" s="6099"/>
      <c r="BI155" s="6099"/>
      <c r="BJ155" s="6099"/>
      <c r="BK155" s="6099"/>
      <c r="BL155" s="6099"/>
      <c r="BM155" s="6099"/>
      <c r="BN155" s="6072"/>
      <c r="BO155" s="6072"/>
      <c r="BP155" s="6072"/>
      <c r="BQ155" s="6072"/>
      <c r="BR155" s="6072"/>
      <c r="BS155" s="6072"/>
      <c r="BT155" s="6072"/>
      <c r="BU155" s="6072"/>
      <c r="BV155" s="6072"/>
      <c r="BW155" s="6072"/>
      <c r="BX155" s="6072"/>
      <c r="BY155" s="6072"/>
      <c r="BZ155" s="6072"/>
      <c r="CA155" s="6072"/>
      <c r="CB155" s="6072"/>
      <c r="CC155" s="6072"/>
      <c r="CD155" s="6072"/>
      <c r="CE155" s="6072"/>
      <c r="CF155" s="6072"/>
      <c r="CG155" s="6072"/>
      <c r="CH155" s="6072"/>
      <c r="CI155" s="6072"/>
      <c r="CJ155" s="6072"/>
      <c r="CK155" s="6074"/>
      <c r="CO155" s="6071"/>
      <c r="CP155" s="6060" t="str">
        <f>_Calcs!$N$80</f>
        <v>Tidjustering</v>
      </c>
      <c r="CQ155" s="6072"/>
      <c r="CR155" s="6072"/>
      <c r="CS155" s="6072"/>
      <c r="CT155" s="6072"/>
      <c r="CU155" s="6072"/>
      <c r="CV155" s="6072"/>
      <c r="CW155" s="6072"/>
      <c r="CX155" s="6072"/>
      <c r="CY155" s="6099"/>
      <c r="CZ155" s="6099"/>
      <c r="DA155" s="6099"/>
      <c r="DB155" s="6099"/>
      <c r="DC155" s="6099"/>
      <c r="DD155" s="6099"/>
      <c r="DE155" s="6099"/>
      <c r="DF155" s="6099"/>
      <c r="DG155" s="6072"/>
      <c r="DH155" s="6072"/>
      <c r="DI155" s="6072"/>
      <c r="DJ155" s="6072"/>
      <c r="DK155" s="6072"/>
      <c r="DL155" s="6072"/>
      <c r="DM155" s="6072"/>
      <c r="DN155" s="6072"/>
      <c r="DO155" s="6072"/>
      <c r="DP155" s="6072"/>
      <c r="DQ155" s="6072"/>
      <c r="DR155" s="6072"/>
      <c r="DS155" s="6072"/>
      <c r="DT155" s="6072"/>
      <c r="DU155" s="6072"/>
      <c r="DV155" s="6072"/>
      <c r="DW155" s="6072"/>
      <c r="DX155" s="6072"/>
      <c r="DY155" s="6072"/>
      <c r="DZ155" s="6072"/>
      <c r="EA155" s="6072"/>
      <c r="EB155" s="6072"/>
      <c r="EC155" s="6072"/>
      <c r="ED155" s="6074"/>
      <c r="EH155" s="6071"/>
      <c r="EI155" s="6060" t="str">
        <f>_Calcs!$N$80</f>
        <v>Tidjustering</v>
      </c>
      <c r="EJ155" s="6072"/>
      <c r="EK155" s="6072"/>
      <c r="EL155" s="6072"/>
      <c r="EM155" s="6072"/>
      <c r="EN155" s="6072"/>
      <c r="EO155" s="6072"/>
      <c r="EP155" s="6072"/>
      <c r="EQ155" s="6072"/>
      <c r="ER155" s="6099"/>
      <c r="ES155" s="6099"/>
      <c r="ET155" s="6099"/>
      <c r="EU155" s="6099"/>
      <c r="EV155" s="6099"/>
      <c r="EW155" s="6099"/>
      <c r="EX155" s="6099"/>
      <c r="EY155" s="6099"/>
      <c r="EZ155" s="6072"/>
      <c r="FA155" s="6072"/>
      <c r="FB155" s="6072"/>
      <c r="FC155" s="6072"/>
      <c r="FD155" s="6072"/>
      <c r="FE155" s="6072"/>
      <c r="FF155" s="6072"/>
      <c r="FG155" s="6072"/>
      <c r="FH155" s="6072"/>
      <c r="FI155" s="6072"/>
      <c r="FJ155" s="6072"/>
      <c r="FK155" s="6072"/>
      <c r="FL155" s="6072"/>
      <c r="FM155" s="6072"/>
      <c r="FN155" s="6072"/>
      <c r="FO155" s="6072"/>
      <c r="FP155" s="6072"/>
      <c r="FQ155" s="6072"/>
      <c r="FR155" s="6072"/>
      <c r="FS155" s="6072"/>
      <c r="FT155" s="6072"/>
      <c r="FU155" s="6072"/>
      <c r="FV155" s="6072"/>
      <c r="FW155" s="6074"/>
      <c r="GA155" s="6071"/>
      <c r="GB155" s="6060" t="str">
        <f>_Calcs!$N$80</f>
        <v>Tidjustering</v>
      </c>
      <c r="GC155" s="6072"/>
      <c r="GD155" s="6072"/>
      <c r="GE155" s="6072"/>
      <c r="GF155" s="6072"/>
      <c r="GG155" s="6072"/>
      <c r="GH155" s="6072"/>
      <c r="GI155" s="6072"/>
      <c r="GJ155" s="6072"/>
      <c r="GK155" s="6099"/>
      <c r="GL155" s="6099"/>
      <c r="GM155" s="6099"/>
      <c r="GN155" s="6099"/>
      <c r="GO155" s="6099"/>
      <c r="GP155" s="6099"/>
      <c r="GQ155" s="6099"/>
      <c r="GR155" s="6099"/>
      <c r="GS155" s="6072"/>
      <c r="GT155" s="6072"/>
      <c r="GU155" s="6072"/>
      <c r="GV155" s="6072"/>
      <c r="GW155" s="6072"/>
      <c r="GX155" s="6072"/>
      <c r="GY155" s="6072"/>
      <c r="GZ155" s="6072"/>
      <c r="HA155" s="6072"/>
      <c r="HB155" s="6072"/>
      <c r="HC155" s="6072"/>
      <c r="HD155" s="6072"/>
      <c r="HE155" s="6072"/>
      <c r="HF155" s="6072"/>
      <c r="HG155" s="6072"/>
      <c r="HH155" s="6072"/>
      <c r="HI155" s="6072"/>
      <c r="HJ155" s="6072"/>
      <c r="HK155" s="6072"/>
      <c r="HL155" s="6072"/>
      <c r="HM155" s="6072"/>
      <c r="HN155" s="6072"/>
      <c r="HO155" s="6072"/>
      <c r="HP155" s="6074"/>
      <c r="HT155" s="6071"/>
      <c r="HU155" s="6060" t="str">
        <f>_Calcs!$N$80</f>
        <v>Tidjustering</v>
      </c>
      <c r="HV155" s="6072"/>
      <c r="HW155" s="6072"/>
      <c r="HX155" s="6072"/>
      <c r="HY155" s="6072"/>
      <c r="HZ155" s="6072"/>
      <c r="IA155" s="6072"/>
      <c r="IB155" s="6072"/>
      <c r="IC155" s="6072"/>
      <c r="ID155" s="6099"/>
      <c r="IE155" s="6099"/>
      <c r="IF155" s="6099"/>
      <c r="IG155" s="6099"/>
      <c r="IH155" s="6099"/>
      <c r="II155" s="6099"/>
      <c r="IJ155" s="6099"/>
      <c r="IK155" s="6099"/>
      <c r="IL155" s="6072"/>
      <c r="IM155" s="6072"/>
      <c r="IN155" s="6072"/>
      <c r="IO155" s="6072"/>
      <c r="IP155" s="6072"/>
      <c r="IQ155" s="6072"/>
      <c r="IR155" s="6072"/>
      <c r="IS155" s="6072"/>
      <c r="IT155" s="6072"/>
      <c r="IU155" s="6072"/>
      <c r="IV155" s="6072"/>
      <c r="IW155" s="6072"/>
      <c r="IX155" s="6072"/>
      <c r="IY155" s="6072"/>
      <c r="IZ155" s="6072"/>
      <c r="JA155" s="6072"/>
      <c r="JB155" s="6072"/>
      <c r="JC155" s="6072"/>
      <c r="JD155" s="6072"/>
      <c r="JE155" s="6072"/>
      <c r="JF155" s="6072"/>
      <c r="JG155" s="6072"/>
      <c r="JH155" s="6072"/>
      <c r="JI155" s="6074"/>
      <c r="JM155" s="6071"/>
      <c r="JN155" s="6060" t="str">
        <f>_Calcs!$N$80</f>
        <v>Tidjustering</v>
      </c>
      <c r="JO155" s="6072"/>
      <c r="JP155" s="6072"/>
      <c r="JQ155" s="6072"/>
      <c r="JR155" s="6072"/>
      <c r="JS155" s="6072"/>
      <c r="JT155" s="6072"/>
      <c r="JU155" s="6072"/>
      <c r="JV155" s="6072"/>
      <c r="JW155" s="6099"/>
      <c r="JX155" s="6099"/>
      <c r="JY155" s="6099"/>
      <c r="JZ155" s="6099"/>
      <c r="KA155" s="6099"/>
      <c r="KB155" s="6099"/>
      <c r="KC155" s="6099"/>
      <c r="KD155" s="6099"/>
      <c r="KE155" s="6072"/>
      <c r="KF155" s="6072"/>
      <c r="KG155" s="6072"/>
      <c r="KH155" s="6072"/>
      <c r="KI155" s="6072"/>
      <c r="KJ155" s="6072"/>
      <c r="KK155" s="6072"/>
      <c r="KL155" s="6072"/>
      <c r="KM155" s="6072"/>
      <c r="KN155" s="6072"/>
      <c r="KO155" s="6072"/>
      <c r="KP155" s="6072"/>
      <c r="KQ155" s="6072"/>
      <c r="KR155" s="6072"/>
      <c r="KS155" s="6072"/>
      <c r="KT155" s="6072"/>
      <c r="KU155" s="6072"/>
      <c r="KV155" s="6072"/>
      <c r="KW155" s="6072"/>
      <c r="KX155" s="6072"/>
      <c r="KY155" s="6072"/>
      <c r="KZ155" s="6072"/>
      <c r="LA155" s="6072"/>
      <c r="LB155" s="6074"/>
      <c r="LF155" s="6071"/>
      <c r="LG155" s="6060" t="str">
        <f>_Calcs!$N$80</f>
        <v>Tidjustering</v>
      </c>
      <c r="LH155" s="6072"/>
      <c r="LI155" s="6072"/>
      <c r="LJ155" s="6072"/>
      <c r="LK155" s="6072"/>
      <c r="LL155" s="6072"/>
      <c r="LM155" s="6072"/>
      <c r="LN155" s="6072"/>
      <c r="LO155" s="6072"/>
      <c r="LP155" s="6099"/>
      <c r="LQ155" s="6099"/>
      <c r="LR155" s="6099"/>
      <c r="LS155" s="6099"/>
      <c r="LT155" s="6099"/>
      <c r="LU155" s="6099"/>
      <c r="LV155" s="6099"/>
      <c r="LW155" s="6099"/>
      <c r="LX155" s="6072"/>
      <c r="LY155" s="6072"/>
      <c r="LZ155" s="6072"/>
      <c r="MA155" s="6072"/>
      <c r="MB155" s="6072"/>
      <c r="MC155" s="6072"/>
      <c r="MD155" s="6072"/>
      <c r="ME155" s="6072"/>
      <c r="MF155" s="6072"/>
      <c r="MG155" s="6072"/>
      <c r="MH155" s="6072"/>
      <c r="MI155" s="6072"/>
      <c r="MJ155" s="6072"/>
      <c r="MK155" s="6072"/>
      <c r="ML155" s="6072"/>
      <c r="MM155" s="6072"/>
      <c r="MN155" s="6072"/>
      <c r="MO155" s="6072"/>
      <c r="MP155" s="6072"/>
      <c r="MQ155" s="6072"/>
      <c r="MR155" s="6072"/>
      <c r="MS155" s="6072"/>
      <c r="MT155" s="6072"/>
      <c r="MU155" s="6074"/>
      <c r="MY155" s="6071"/>
      <c r="MZ155" s="6060" t="str">
        <f>_Calcs!$N$80</f>
        <v>Tidjustering</v>
      </c>
      <c r="NA155" s="6072"/>
      <c r="NB155" s="6072"/>
      <c r="NC155" s="6072"/>
      <c r="ND155" s="6072"/>
      <c r="NE155" s="6072"/>
      <c r="NF155" s="6072"/>
      <c r="NG155" s="6072"/>
      <c r="NH155" s="6072"/>
      <c r="NI155" s="6099"/>
      <c r="NJ155" s="6099"/>
      <c r="NK155" s="6099"/>
      <c r="NL155" s="6099"/>
      <c r="NM155" s="6099"/>
      <c r="NN155" s="6099"/>
      <c r="NO155" s="6099"/>
      <c r="NP155" s="6099"/>
      <c r="NQ155" s="6072"/>
      <c r="NR155" s="6072"/>
      <c r="NS155" s="6072"/>
      <c r="NT155" s="6072"/>
      <c r="NU155" s="6072"/>
      <c r="NV155" s="6072"/>
      <c r="NW155" s="6072"/>
      <c r="NX155" s="6072"/>
      <c r="NY155" s="6072"/>
      <c r="NZ155" s="6072"/>
      <c r="OA155" s="6072"/>
      <c r="OB155" s="6072"/>
      <c r="OC155" s="6072"/>
      <c r="OD155" s="6072"/>
      <c r="OE155" s="6072"/>
      <c r="OF155" s="6072"/>
      <c r="OG155" s="6072"/>
      <c r="OH155" s="6072"/>
      <c r="OI155" s="6072"/>
      <c r="OJ155" s="6072"/>
      <c r="OK155" s="6072"/>
      <c r="OL155" s="6072"/>
      <c r="OM155" s="6072"/>
      <c r="ON155" s="6074"/>
    </row>
    <row r="156" spans="3:404" ht="5.0999999999999996" customHeight="1" thickBot="1" x14ac:dyDescent="0.25">
      <c r="C156" s="6055"/>
      <c r="D156" s="6056"/>
      <c r="E156" s="6056"/>
      <c r="F156" s="6056"/>
      <c r="G156" s="6056"/>
      <c r="H156" s="6056"/>
      <c r="I156" s="6056"/>
      <c r="J156" s="6056"/>
      <c r="K156" s="6056"/>
      <c r="L156" s="6056"/>
      <c r="M156" s="6100"/>
      <c r="N156" s="6100"/>
      <c r="O156" s="6100"/>
      <c r="P156" s="6100"/>
      <c r="Q156" s="6100"/>
      <c r="R156" s="6100"/>
      <c r="S156" s="6100"/>
      <c r="T156" s="6100"/>
      <c r="U156" s="6056"/>
      <c r="V156" s="6057"/>
      <c r="W156" s="6057"/>
      <c r="X156" s="6057"/>
      <c r="Y156" s="6057"/>
      <c r="Z156" s="6057"/>
      <c r="AA156" s="6056"/>
      <c r="AB156" s="6057"/>
      <c r="AC156" s="6057"/>
      <c r="AD156" s="6057"/>
      <c r="AE156" s="6056"/>
      <c r="AF156" s="6057"/>
      <c r="AG156" s="6057"/>
      <c r="AH156" s="6057"/>
      <c r="AI156" s="6057"/>
      <c r="AJ156" s="6057"/>
      <c r="AK156" s="6056"/>
      <c r="AL156" s="6056"/>
      <c r="AM156" s="6056"/>
      <c r="AN156" s="6056"/>
      <c r="AO156" s="6056"/>
      <c r="AP156" s="6056"/>
      <c r="AQ156" s="6056"/>
      <c r="AR156" s="6058"/>
      <c r="AV156" s="6055"/>
      <c r="AW156" s="6056"/>
      <c r="AX156" s="6056"/>
      <c r="AY156" s="6056"/>
      <c r="AZ156" s="6056"/>
      <c r="BA156" s="6056"/>
      <c r="BB156" s="6056"/>
      <c r="BC156" s="6056"/>
      <c r="BD156" s="6056"/>
      <c r="BE156" s="6056"/>
      <c r="BF156" s="6100"/>
      <c r="BG156" s="6100"/>
      <c r="BH156" s="6100"/>
      <c r="BI156" s="6100"/>
      <c r="BJ156" s="6100"/>
      <c r="BK156" s="6100"/>
      <c r="BL156" s="6100"/>
      <c r="BM156" s="6100"/>
      <c r="BN156" s="6056"/>
      <c r="BO156" s="6057"/>
      <c r="BP156" s="6057"/>
      <c r="BQ156" s="6057"/>
      <c r="BR156" s="6057"/>
      <c r="BS156" s="6057"/>
      <c r="BT156" s="6056"/>
      <c r="BU156" s="6057"/>
      <c r="BV156" s="6057"/>
      <c r="BW156" s="6057"/>
      <c r="BX156" s="6056"/>
      <c r="BY156" s="6057"/>
      <c r="BZ156" s="6057"/>
      <c r="CA156" s="6057"/>
      <c r="CB156" s="6057"/>
      <c r="CC156" s="6057"/>
      <c r="CD156" s="6056"/>
      <c r="CE156" s="6056"/>
      <c r="CF156" s="6056"/>
      <c r="CG156" s="6056"/>
      <c r="CH156" s="6056"/>
      <c r="CI156" s="6056"/>
      <c r="CJ156" s="6056"/>
      <c r="CK156" s="6058"/>
      <c r="CO156" s="6055"/>
      <c r="CP156" s="6056"/>
      <c r="CQ156" s="6056"/>
      <c r="CR156" s="6056"/>
      <c r="CS156" s="6056"/>
      <c r="CT156" s="6056"/>
      <c r="CU156" s="6056"/>
      <c r="CV156" s="6056"/>
      <c r="CW156" s="6056"/>
      <c r="CX156" s="6056"/>
      <c r="CY156" s="6100"/>
      <c r="CZ156" s="6100"/>
      <c r="DA156" s="6100"/>
      <c r="DB156" s="6100"/>
      <c r="DC156" s="6100"/>
      <c r="DD156" s="6100"/>
      <c r="DE156" s="6100"/>
      <c r="DF156" s="6100"/>
      <c r="DG156" s="6056"/>
      <c r="DH156" s="6057"/>
      <c r="DI156" s="6057"/>
      <c r="DJ156" s="6057"/>
      <c r="DK156" s="6057"/>
      <c r="DL156" s="6057"/>
      <c r="DM156" s="6056"/>
      <c r="DN156" s="6057"/>
      <c r="DO156" s="6057"/>
      <c r="DP156" s="6057"/>
      <c r="DQ156" s="6056"/>
      <c r="DR156" s="6057"/>
      <c r="DS156" s="6057"/>
      <c r="DT156" s="6057"/>
      <c r="DU156" s="6057"/>
      <c r="DV156" s="6057"/>
      <c r="DW156" s="6056"/>
      <c r="DX156" s="6056"/>
      <c r="DY156" s="6056"/>
      <c r="DZ156" s="6056"/>
      <c r="EA156" s="6056"/>
      <c r="EB156" s="6056"/>
      <c r="EC156" s="6056"/>
      <c r="ED156" s="6058"/>
      <c r="EH156" s="6055"/>
      <c r="EI156" s="6056"/>
      <c r="EJ156" s="6056"/>
      <c r="EK156" s="6056"/>
      <c r="EL156" s="6056"/>
      <c r="EM156" s="6056"/>
      <c r="EN156" s="6056"/>
      <c r="EO156" s="6056"/>
      <c r="EP156" s="6056"/>
      <c r="EQ156" s="6056"/>
      <c r="ER156" s="6100"/>
      <c r="ES156" s="6100"/>
      <c r="ET156" s="6100"/>
      <c r="EU156" s="6100"/>
      <c r="EV156" s="6100"/>
      <c r="EW156" s="6100"/>
      <c r="EX156" s="6100"/>
      <c r="EY156" s="6100"/>
      <c r="EZ156" s="6056"/>
      <c r="FA156" s="6057"/>
      <c r="FB156" s="6057"/>
      <c r="FC156" s="6057"/>
      <c r="FD156" s="6057"/>
      <c r="FE156" s="6057"/>
      <c r="FF156" s="6056"/>
      <c r="FG156" s="6057"/>
      <c r="FH156" s="6057"/>
      <c r="FI156" s="6057"/>
      <c r="FJ156" s="6056"/>
      <c r="FK156" s="6057"/>
      <c r="FL156" s="6057"/>
      <c r="FM156" s="6057"/>
      <c r="FN156" s="6057"/>
      <c r="FO156" s="6057"/>
      <c r="FP156" s="6056"/>
      <c r="FQ156" s="6056"/>
      <c r="FR156" s="6056"/>
      <c r="FS156" s="6056"/>
      <c r="FT156" s="6056"/>
      <c r="FU156" s="6056"/>
      <c r="FV156" s="6056"/>
      <c r="FW156" s="6058"/>
      <c r="GA156" s="6055"/>
      <c r="GB156" s="6056"/>
      <c r="GC156" s="6056"/>
      <c r="GD156" s="6056"/>
      <c r="GE156" s="6056"/>
      <c r="GF156" s="6056"/>
      <c r="GG156" s="6056"/>
      <c r="GH156" s="6056"/>
      <c r="GI156" s="6056"/>
      <c r="GJ156" s="6056"/>
      <c r="GK156" s="6100"/>
      <c r="GL156" s="6100"/>
      <c r="GM156" s="6100"/>
      <c r="GN156" s="6100"/>
      <c r="GO156" s="6100"/>
      <c r="GP156" s="6100"/>
      <c r="GQ156" s="6100"/>
      <c r="GR156" s="6100"/>
      <c r="GS156" s="6056"/>
      <c r="GT156" s="6057"/>
      <c r="GU156" s="6057"/>
      <c r="GV156" s="6057"/>
      <c r="GW156" s="6057"/>
      <c r="GX156" s="6057"/>
      <c r="GY156" s="6056"/>
      <c r="GZ156" s="6057"/>
      <c r="HA156" s="6057"/>
      <c r="HB156" s="6057"/>
      <c r="HC156" s="6056"/>
      <c r="HD156" s="6057"/>
      <c r="HE156" s="6057"/>
      <c r="HF156" s="6057"/>
      <c r="HG156" s="6057"/>
      <c r="HH156" s="6057"/>
      <c r="HI156" s="6056"/>
      <c r="HJ156" s="6056"/>
      <c r="HK156" s="6056"/>
      <c r="HL156" s="6056"/>
      <c r="HM156" s="6056"/>
      <c r="HN156" s="6056"/>
      <c r="HO156" s="6056"/>
      <c r="HP156" s="6058"/>
      <c r="HT156" s="6055"/>
      <c r="HU156" s="6056"/>
      <c r="HV156" s="6056"/>
      <c r="HW156" s="6056"/>
      <c r="HX156" s="6056"/>
      <c r="HY156" s="6056"/>
      <c r="HZ156" s="6056"/>
      <c r="IA156" s="6056"/>
      <c r="IB156" s="6056"/>
      <c r="IC156" s="6056"/>
      <c r="ID156" s="6100"/>
      <c r="IE156" s="6100"/>
      <c r="IF156" s="6100"/>
      <c r="IG156" s="6100"/>
      <c r="IH156" s="6100"/>
      <c r="II156" s="6100"/>
      <c r="IJ156" s="6100"/>
      <c r="IK156" s="6100"/>
      <c r="IL156" s="6056"/>
      <c r="IM156" s="6057"/>
      <c r="IN156" s="6057"/>
      <c r="IO156" s="6057"/>
      <c r="IP156" s="6057"/>
      <c r="IQ156" s="6057"/>
      <c r="IR156" s="6056"/>
      <c r="IS156" s="6057"/>
      <c r="IT156" s="6057"/>
      <c r="IU156" s="6057"/>
      <c r="IV156" s="6056"/>
      <c r="IW156" s="6057"/>
      <c r="IX156" s="6057"/>
      <c r="IY156" s="6057"/>
      <c r="IZ156" s="6057"/>
      <c r="JA156" s="6057"/>
      <c r="JB156" s="6056"/>
      <c r="JC156" s="6056"/>
      <c r="JD156" s="6056"/>
      <c r="JE156" s="6056"/>
      <c r="JF156" s="6056"/>
      <c r="JG156" s="6056"/>
      <c r="JH156" s="6056"/>
      <c r="JI156" s="6058"/>
      <c r="JM156" s="6055"/>
      <c r="JN156" s="6056"/>
      <c r="JO156" s="6056"/>
      <c r="JP156" s="6056"/>
      <c r="JQ156" s="6056"/>
      <c r="JR156" s="6056"/>
      <c r="JS156" s="6056"/>
      <c r="JT156" s="6056"/>
      <c r="JU156" s="6056"/>
      <c r="JV156" s="6056"/>
      <c r="JW156" s="6100"/>
      <c r="JX156" s="6100"/>
      <c r="JY156" s="6100"/>
      <c r="JZ156" s="6100"/>
      <c r="KA156" s="6100"/>
      <c r="KB156" s="6100"/>
      <c r="KC156" s="6100"/>
      <c r="KD156" s="6100"/>
      <c r="KE156" s="6056"/>
      <c r="KF156" s="6057"/>
      <c r="KG156" s="6057"/>
      <c r="KH156" s="6057"/>
      <c r="KI156" s="6057"/>
      <c r="KJ156" s="6057"/>
      <c r="KK156" s="6056"/>
      <c r="KL156" s="6057"/>
      <c r="KM156" s="6057"/>
      <c r="KN156" s="6057"/>
      <c r="KO156" s="6056"/>
      <c r="KP156" s="6057"/>
      <c r="KQ156" s="6057"/>
      <c r="KR156" s="6057"/>
      <c r="KS156" s="6057"/>
      <c r="KT156" s="6057"/>
      <c r="KU156" s="6056"/>
      <c r="KV156" s="6056"/>
      <c r="KW156" s="6056"/>
      <c r="KX156" s="6056"/>
      <c r="KY156" s="6056"/>
      <c r="KZ156" s="6056"/>
      <c r="LA156" s="6056"/>
      <c r="LB156" s="6058"/>
      <c r="LF156" s="6055"/>
      <c r="LG156" s="6056"/>
      <c r="LH156" s="6056"/>
      <c r="LI156" s="6056"/>
      <c r="LJ156" s="6056"/>
      <c r="LK156" s="6056"/>
      <c r="LL156" s="6056"/>
      <c r="LM156" s="6056"/>
      <c r="LN156" s="6056"/>
      <c r="LO156" s="6056"/>
      <c r="LP156" s="6100"/>
      <c r="LQ156" s="6100"/>
      <c r="LR156" s="6100"/>
      <c r="LS156" s="6100"/>
      <c r="LT156" s="6100"/>
      <c r="LU156" s="6100"/>
      <c r="LV156" s="6100"/>
      <c r="LW156" s="6100"/>
      <c r="LX156" s="6056"/>
      <c r="LY156" s="6057"/>
      <c r="LZ156" s="6057"/>
      <c r="MA156" s="6057"/>
      <c r="MB156" s="6057"/>
      <c r="MC156" s="6057"/>
      <c r="MD156" s="6056"/>
      <c r="ME156" s="6057"/>
      <c r="MF156" s="6057"/>
      <c r="MG156" s="6057"/>
      <c r="MH156" s="6056"/>
      <c r="MI156" s="6057"/>
      <c r="MJ156" s="6057"/>
      <c r="MK156" s="6057"/>
      <c r="ML156" s="6057"/>
      <c r="MM156" s="6057"/>
      <c r="MN156" s="6056"/>
      <c r="MO156" s="6056"/>
      <c r="MP156" s="6056"/>
      <c r="MQ156" s="6056"/>
      <c r="MR156" s="6056"/>
      <c r="MS156" s="6056"/>
      <c r="MT156" s="6056"/>
      <c r="MU156" s="6058"/>
      <c r="MY156" s="6055"/>
      <c r="MZ156" s="6056"/>
      <c r="NA156" s="6056"/>
      <c r="NB156" s="6056"/>
      <c r="NC156" s="6056"/>
      <c r="ND156" s="6056"/>
      <c r="NE156" s="6056"/>
      <c r="NF156" s="6056"/>
      <c r="NG156" s="6056"/>
      <c r="NH156" s="6056"/>
      <c r="NI156" s="6100"/>
      <c r="NJ156" s="6100"/>
      <c r="NK156" s="6100"/>
      <c r="NL156" s="6100"/>
      <c r="NM156" s="6100"/>
      <c r="NN156" s="6100"/>
      <c r="NO156" s="6100"/>
      <c r="NP156" s="6100"/>
      <c r="NQ156" s="6056"/>
      <c r="NR156" s="6057"/>
      <c r="NS156" s="6057"/>
      <c r="NT156" s="6057"/>
      <c r="NU156" s="6057"/>
      <c r="NV156" s="6057"/>
      <c r="NW156" s="6056"/>
      <c r="NX156" s="6057"/>
      <c r="NY156" s="6057"/>
      <c r="NZ156" s="6057"/>
      <c r="OA156" s="6056"/>
      <c r="OB156" s="6057"/>
      <c r="OC156" s="6057"/>
      <c r="OD156" s="6057"/>
      <c r="OE156" s="6057"/>
      <c r="OF156" s="6057"/>
      <c r="OG156" s="6056"/>
      <c r="OH156" s="6056"/>
      <c r="OI156" s="6056"/>
      <c r="OJ156" s="6056"/>
      <c r="OK156" s="6056"/>
      <c r="OL156" s="6056"/>
      <c r="OM156" s="6056"/>
      <c r="ON156" s="6058"/>
    </row>
    <row r="157" spans="3:404" s="6070" customFormat="1" ht="20.100000000000001" customHeight="1" thickBot="1" x14ac:dyDescent="0.25">
      <c r="C157" s="6064"/>
      <c r="D157" s="6076"/>
      <c r="E157" s="6781" t="str">
        <f>_Calcs!$IK$155</f>
        <v/>
      </c>
      <c r="F157" s="6781"/>
      <c r="G157" s="6781"/>
      <c r="H157" s="6781"/>
      <c r="I157" s="6781"/>
      <c r="J157" s="6781"/>
      <c r="K157" s="6080"/>
      <c r="L157" s="6101"/>
      <c r="M157" s="6101"/>
      <c r="N157" s="6101"/>
      <c r="O157" s="6101"/>
      <c r="P157" s="6101"/>
      <c r="Q157" s="6101"/>
      <c r="R157" s="6101"/>
      <c r="S157" s="6101"/>
      <c r="T157" s="6101"/>
      <c r="U157" s="6068"/>
      <c r="V157" s="6067"/>
      <c r="W157" s="6067"/>
      <c r="X157" s="6067"/>
      <c r="Y157" s="6067"/>
      <c r="Z157" s="6067"/>
      <c r="AA157" s="6068"/>
      <c r="AB157" s="6067"/>
      <c r="AC157" s="6067"/>
      <c r="AD157" s="6067"/>
      <c r="AE157" s="6068"/>
      <c r="AF157" s="6067"/>
      <c r="AG157" s="6067"/>
      <c r="AH157" s="6067"/>
      <c r="AI157" s="6067"/>
      <c r="AJ157" s="6067"/>
      <c r="AK157" s="6068"/>
      <c r="AL157" s="6068"/>
      <c r="AM157" s="6068"/>
      <c r="AN157" s="6068"/>
      <c r="AO157" s="6068"/>
      <c r="AP157" s="6068"/>
      <c r="AQ157" s="6068"/>
      <c r="AR157" s="6098"/>
      <c r="AV157" s="6064"/>
      <c r="AW157" s="6076"/>
      <c r="AX157" s="6781" t="str">
        <f>_Calcs!$IL$155</f>
        <v/>
      </c>
      <c r="AY157" s="6781"/>
      <c r="AZ157" s="6781"/>
      <c r="BA157" s="6781"/>
      <c r="BB157" s="6781"/>
      <c r="BC157" s="6781"/>
      <c r="BD157" s="6080"/>
      <c r="BE157" s="6101"/>
      <c r="BF157" s="6101"/>
      <c r="BG157" s="6101"/>
      <c r="BH157" s="6101"/>
      <c r="BI157" s="6101"/>
      <c r="BJ157" s="6101"/>
      <c r="BK157" s="6101"/>
      <c r="BL157" s="6101"/>
      <c r="BM157" s="6101"/>
      <c r="BN157" s="6068"/>
      <c r="BO157" s="6067"/>
      <c r="BP157" s="6067"/>
      <c r="BQ157" s="6067"/>
      <c r="BR157" s="6067"/>
      <c r="BS157" s="6067"/>
      <c r="BT157" s="6068"/>
      <c r="BU157" s="6067"/>
      <c r="BV157" s="6067"/>
      <c r="BW157" s="6067"/>
      <c r="BX157" s="6068"/>
      <c r="BY157" s="6067"/>
      <c r="BZ157" s="6067"/>
      <c r="CA157" s="6067"/>
      <c r="CB157" s="6067"/>
      <c r="CC157" s="6067"/>
      <c r="CD157" s="6068"/>
      <c r="CE157" s="6068"/>
      <c r="CF157" s="6068"/>
      <c r="CG157" s="6068"/>
      <c r="CH157" s="6068"/>
      <c r="CI157" s="6068"/>
      <c r="CJ157" s="6068"/>
      <c r="CK157" s="6098"/>
      <c r="CO157" s="6064"/>
      <c r="CP157" s="6076"/>
      <c r="CQ157" s="6781" t="str">
        <f>_Calcs!$IM$155</f>
        <v/>
      </c>
      <c r="CR157" s="6781"/>
      <c r="CS157" s="6781"/>
      <c r="CT157" s="6781"/>
      <c r="CU157" s="6781"/>
      <c r="CV157" s="6781"/>
      <c r="CW157" s="6080"/>
      <c r="CX157" s="6101"/>
      <c r="CY157" s="6101"/>
      <c r="CZ157" s="6101"/>
      <c r="DA157" s="6101"/>
      <c r="DB157" s="6101"/>
      <c r="DC157" s="6101"/>
      <c r="DD157" s="6101"/>
      <c r="DE157" s="6101"/>
      <c r="DF157" s="6101"/>
      <c r="DG157" s="6068"/>
      <c r="DH157" s="6067"/>
      <c r="DI157" s="6067"/>
      <c r="DJ157" s="6067"/>
      <c r="DK157" s="6067"/>
      <c r="DL157" s="6067"/>
      <c r="DM157" s="6068"/>
      <c r="DN157" s="6067"/>
      <c r="DO157" s="6067"/>
      <c r="DP157" s="6067"/>
      <c r="DQ157" s="6068"/>
      <c r="DR157" s="6067"/>
      <c r="DS157" s="6067"/>
      <c r="DT157" s="6067"/>
      <c r="DU157" s="6067"/>
      <c r="DV157" s="6067"/>
      <c r="DW157" s="6068"/>
      <c r="DX157" s="6068"/>
      <c r="DY157" s="6068"/>
      <c r="DZ157" s="6068"/>
      <c r="EA157" s="6068"/>
      <c r="EB157" s="6068"/>
      <c r="EC157" s="6068"/>
      <c r="ED157" s="6098"/>
      <c r="EH157" s="6064"/>
      <c r="EI157" s="6076"/>
      <c r="EJ157" s="6781" t="str">
        <f>_Calcs!$IN$155</f>
        <v/>
      </c>
      <c r="EK157" s="6781"/>
      <c r="EL157" s="6781"/>
      <c r="EM157" s="6781"/>
      <c r="EN157" s="6781"/>
      <c r="EO157" s="6781"/>
      <c r="EP157" s="6080"/>
      <c r="EQ157" s="6101"/>
      <c r="ER157" s="6101"/>
      <c r="ES157" s="6101"/>
      <c r="ET157" s="6101"/>
      <c r="EU157" s="6101"/>
      <c r="EV157" s="6101"/>
      <c r="EW157" s="6101"/>
      <c r="EX157" s="6101"/>
      <c r="EY157" s="6101"/>
      <c r="EZ157" s="6068"/>
      <c r="FA157" s="6067"/>
      <c r="FB157" s="6067"/>
      <c r="FC157" s="6067"/>
      <c r="FD157" s="6067"/>
      <c r="FE157" s="6067"/>
      <c r="FF157" s="6068"/>
      <c r="FG157" s="6067"/>
      <c r="FH157" s="6067"/>
      <c r="FI157" s="6067"/>
      <c r="FJ157" s="6068"/>
      <c r="FK157" s="6067"/>
      <c r="FL157" s="6067"/>
      <c r="FM157" s="6067"/>
      <c r="FN157" s="6067"/>
      <c r="FO157" s="6067"/>
      <c r="FP157" s="6068"/>
      <c r="FQ157" s="6068"/>
      <c r="FR157" s="6068"/>
      <c r="FS157" s="6068"/>
      <c r="FT157" s="6068"/>
      <c r="FU157" s="6068"/>
      <c r="FV157" s="6068"/>
      <c r="FW157" s="6098"/>
      <c r="GA157" s="6064"/>
      <c r="GB157" s="6076"/>
      <c r="GC157" s="6781" t="str">
        <f>_Calcs!$IO$155</f>
        <v/>
      </c>
      <c r="GD157" s="6781"/>
      <c r="GE157" s="6781"/>
      <c r="GF157" s="6781"/>
      <c r="GG157" s="6781"/>
      <c r="GH157" s="6781"/>
      <c r="GI157" s="6080"/>
      <c r="GJ157" s="6101"/>
      <c r="GK157" s="6101"/>
      <c r="GL157" s="6101"/>
      <c r="GM157" s="6101"/>
      <c r="GN157" s="6101"/>
      <c r="GO157" s="6101"/>
      <c r="GP157" s="6101"/>
      <c r="GQ157" s="6101"/>
      <c r="GR157" s="6101"/>
      <c r="GS157" s="6068"/>
      <c r="GT157" s="6067"/>
      <c r="GU157" s="6067"/>
      <c r="GV157" s="6067"/>
      <c r="GW157" s="6067"/>
      <c r="GX157" s="6067"/>
      <c r="GY157" s="6068"/>
      <c r="GZ157" s="6067"/>
      <c r="HA157" s="6067"/>
      <c r="HB157" s="6067"/>
      <c r="HC157" s="6068"/>
      <c r="HD157" s="6067"/>
      <c r="HE157" s="6067"/>
      <c r="HF157" s="6067"/>
      <c r="HG157" s="6067"/>
      <c r="HH157" s="6067"/>
      <c r="HI157" s="6068"/>
      <c r="HJ157" s="6068"/>
      <c r="HK157" s="6068"/>
      <c r="HL157" s="6068"/>
      <c r="HM157" s="6068"/>
      <c r="HN157" s="6068"/>
      <c r="HO157" s="6068"/>
      <c r="HP157" s="6098"/>
      <c r="HT157" s="6064"/>
      <c r="HU157" s="6076"/>
      <c r="HV157" s="6781" t="str">
        <f>_Calcs!$IP$155</f>
        <v/>
      </c>
      <c r="HW157" s="6781"/>
      <c r="HX157" s="6781"/>
      <c r="HY157" s="6781"/>
      <c r="HZ157" s="6781"/>
      <c r="IA157" s="6781"/>
      <c r="IB157" s="6080"/>
      <c r="IC157" s="6101"/>
      <c r="ID157" s="6101"/>
      <c r="IE157" s="6101"/>
      <c r="IF157" s="6101"/>
      <c r="IG157" s="6101"/>
      <c r="IH157" s="6101"/>
      <c r="II157" s="6101"/>
      <c r="IJ157" s="6101"/>
      <c r="IK157" s="6101"/>
      <c r="IL157" s="6068"/>
      <c r="IM157" s="6067"/>
      <c r="IN157" s="6067"/>
      <c r="IO157" s="6067"/>
      <c r="IP157" s="6067"/>
      <c r="IQ157" s="6067"/>
      <c r="IR157" s="6068"/>
      <c r="IS157" s="6067"/>
      <c r="IT157" s="6067"/>
      <c r="IU157" s="6067"/>
      <c r="IV157" s="6068"/>
      <c r="IW157" s="6067"/>
      <c r="IX157" s="6067"/>
      <c r="IY157" s="6067"/>
      <c r="IZ157" s="6067"/>
      <c r="JA157" s="6067"/>
      <c r="JB157" s="6068"/>
      <c r="JC157" s="6068"/>
      <c r="JD157" s="6068"/>
      <c r="JE157" s="6068"/>
      <c r="JF157" s="6068"/>
      <c r="JG157" s="6068"/>
      <c r="JH157" s="6068"/>
      <c r="JI157" s="6098"/>
      <c r="JM157" s="6064"/>
      <c r="JN157" s="6076"/>
      <c r="JO157" s="6781" t="str">
        <f>_Calcs!$IQ$155</f>
        <v/>
      </c>
      <c r="JP157" s="6781"/>
      <c r="JQ157" s="6781"/>
      <c r="JR157" s="6781"/>
      <c r="JS157" s="6781"/>
      <c r="JT157" s="6781"/>
      <c r="JU157" s="6080"/>
      <c r="JV157" s="6101"/>
      <c r="JW157" s="6101"/>
      <c r="JX157" s="6101"/>
      <c r="JY157" s="6101"/>
      <c r="JZ157" s="6101"/>
      <c r="KA157" s="6101"/>
      <c r="KB157" s="6101"/>
      <c r="KC157" s="6101"/>
      <c r="KD157" s="6101"/>
      <c r="KE157" s="6068"/>
      <c r="KF157" s="6067"/>
      <c r="KG157" s="6067"/>
      <c r="KH157" s="6067"/>
      <c r="KI157" s="6067"/>
      <c r="KJ157" s="6067"/>
      <c r="KK157" s="6068"/>
      <c r="KL157" s="6067"/>
      <c r="KM157" s="6067"/>
      <c r="KN157" s="6067"/>
      <c r="KO157" s="6068"/>
      <c r="KP157" s="6067"/>
      <c r="KQ157" s="6067"/>
      <c r="KR157" s="6067"/>
      <c r="KS157" s="6067"/>
      <c r="KT157" s="6067"/>
      <c r="KU157" s="6068"/>
      <c r="KV157" s="6068"/>
      <c r="KW157" s="6068"/>
      <c r="KX157" s="6068"/>
      <c r="KY157" s="6068"/>
      <c r="KZ157" s="6068"/>
      <c r="LA157" s="6068"/>
      <c r="LB157" s="6098"/>
      <c r="LF157" s="6064"/>
      <c r="LG157" s="6076"/>
      <c r="LH157" s="6781" t="str">
        <f>_Calcs!$IR$155</f>
        <v/>
      </c>
      <c r="LI157" s="6781"/>
      <c r="LJ157" s="6781"/>
      <c r="LK157" s="6781"/>
      <c r="LL157" s="6781"/>
      <c r="LM157" s="6781"/>
      <c r="LN157" s="6080"/>
      <c r="LO157" s="6101"/>
      <c r="LP157" s="6101"/>
      <c r="LQ157" s="6101"/>
      <c r="LR157" s="6101"/>
      <c r="LS157" s="6101"/>
      <c r="LT157" s="6101"/>
      <c r="LU157" s="6101"/>
      <c r="LV157" s="6101"/>
      <c r="LW157" s="6101"/>
      <c r="LX157" s="6068"/>
      <c r="LY157" s="6067"/>
      <c r="LZ157" s="6067"/>
      <c r="MA157" s="6067"/>
      <c r="MB157" s="6067"/>
      <c r="MC157" s="6067"/>
      <c r="MD157" s="6068"/>
      <c r="ME157" s="6067"/>
      <c r="MF157" s="6067"/>
      <c r="MG157" s="6067"/>
      <c r="MH157" s="6068"/>
      <c r="MI157" s="6067"/>
      <c r="MJ157" s="6067"/>
      <c r="MK157" s="6067"/>
      <c r="ML157" s="6067"/>
      <c r="MM157" s="6067"/>
      <c r="MN157" s="6068"/>
      <c r="MO157" s="6068"/>
      <c r="MP157" s="6068"/>
      <c r="MQ157" s="6068"/>
      <c r="MR157" s="6068"/>
      <c r="MS157" s="6068"/>
      <c r="MT157" s="6068"/>
      <c r="MU157" s="6098"/>
      <c r="MY157" s="6064"/>
      <c r="MZ157" s="6076"/>
      <c r="NA157" s="6781" t="str">
        <f>_Calcs!$IS$155</f>
        <v/>
      </c>
      <c r="NB157" s="6781"/>
      <c r="NC157" s="6781"/>
      <c r="ND157" s="6781"/>
      <c r="NE157" s="6781"/>
      <c r="NF157" s="6781"/>
      <c r="NG157" s="6080"/>
      <c r="NH157" s="6101"/>
      <c r="NI157" s="6101"/>
      <c r="NJ157" s="6101"/>
      <c r="NK157" s="6101"/>
      <c r="NL157" s="6101"/>
      <c r="NM157" s="6101"/>
      <c r="NN157" s="6101"/>
      <c r="NO157" s="6101"/>
      <c r="NP157" s="6101"/>
      <c r="NQ157" s="6068"/>
      <c r="NR157" s="6067"/>
      <c r="NS157" s="6067"/>
      <c r="NT157" s="6067"/>
      <c r="NU157" s="6067"/>
      <c r="NV157" s="6067"/>
      <c r="NW157" s="6068"/>
      <c r="NX157" s="6067"/>
      <c r="NY157" s="6067"/>
      <c r="NZ157" s="6067"/>
      <c r="OA157" s="6068"/>
      <c r="OB157" s="6067"/>
      <c r="OC157" s="6067"/>
      <c r="OD157" s="6067"/>
      <c r="OE157" s="6067"/>
      <c r="OF157" s="6067"/>
      <c r="OG157" s="6068"/>
      <c r="OH157" s="6068"/>
      <c r="OI157" s="6068"/>
      <c r="OJ157" s="6068"/>
      <c r="OK157" s="6068"/>
      <c r="OL157" s="6068"/>
      <c r="OM157" s="6068"/>
      <c r="ON157" s="6098"/>
    </row>
    <row r="158" spans="3:404" ht="8.1" customHeight="1" x14ac:dyDescent="0.2">
      <c r="C158" s="6055"/>
      <c r="D158" s="6056"/>
      <c r="E158" s="6056"/>
      <c r="F158" s="6056"/>
      <c r="G158" s="6056"/>
      <c r="H158" s="6056"/>
      <c r="I158" s="6056"/>
      <c r="J158" s="6056"/>
      <c r="K158" s="6056"/>
      <c r="L158" s="6056"/>
      <c r="M158" s="6056"/>
      <c r="N158" s="6056"/>
      <c r="O158" s="6056"/>
      <c r="P158" s="6056"/>
      <c r="Q158" s="6056"/>
      <c r="R158" s="6056"/>
      <c r="S158" s="6056"/>
      <c r="T158" s="6056"/>
      <c r="U158" s="6056"/>
      <c r="V158" s="6057"/>
      <c r="W158" s="6057"/>
      <c r="X158" s="6057"/>
      <c r="Y158" s="6057"/>
      <c r="Z158" s="6057"/>
      <c r="AA158" s="6056"/>
      <c r="AB158" s="6057"/>
      <c r="AC158" s="6057"/>
      <c r="AD158" s="6057"/>
      <c r="AE158" s="6056"/>
      <c r="AF158" s="6057"/>
      <c r="AG158" s="6057"/>
      <c r="AH158" s="6057"/>
      <c r="AI158" s="6057"/>
      <c r="AJ158" s="6057"/>
      <c r="AK158" s="6056"/>
      <c r="AL158" s="6056"/>
      <c r="AM158" s="6056"/>
      <c r="AN158" s="6056"/>
      <c r="AO158" s="6056"/>
      <c r="AP158" s="6056"/>
      <c r="AQ158" s="6056"/>
      <c r="AR158" s="6058"/>
      <c r="AV158" s="6055"/>
      <c r="AW158" s="6056"/>
      <c r="AX158" s="6056"/>
      <c r="AY158" s="6056"/>
      <c r="AZ158" s="6056"/>
      <c r="BA158" s="6056"/>
      <c r="BB158" s="6056"/>
      <c r="BC158" s="6056"/>
      <c r="BD158" s="6056"/>
      <c r="BE158" s="6056"/>
      <c r="BF158" s="6056"/>
      <c r="BG158" s="6056"/>
      <c r="BH158" s="6056"/>
      <c r="BI158" s="6056"/>
      <c r="BJ158" s="6056"/>
      <c r="BK158" s="6056"/>
      <c r="BL158" s="6056"/>
      <c r="BM158" s="6056"/>
      <c r="BN158" s="6056"/>
      <c r="BO158" s="6057"/>
      <c r="BP158" s="6057"/>
      <c r="BQ158" s="6057"/>
      <c r="BR158" s="6057"/>
      <c r="BS158" s="6057"/>
      <c r="BT158" s="6056"/>
      <c r="BU158" s="6057"/>
      <c r="BV158" s="6057"/>
      <c r="BW158" s="6057"/>
      <c r="BX158" s="6056"/>
      <c r="BY158" s="6057"/>
      <c r="BZ158" s="6057"/>
      <c r="CA158" s="6057"/>
      <c r="CB158" s="6057"/>
      <c r="CC158" s="6057"/>
      <c r="CD158" s="6056"/>
      <c r="CE158" s="6056"/>
      <c r="CF158" s="6056"/>
      <c r="CG158" s="6056"/>
      <c r="CH158" s="6056"/>
      <c r="CI158" s="6056"/>
      <c r="CJ158" s="6056"/>
      <c r="CK158" s="6058"/>
      <c r="CO158" s="6055"/>
      <c r="CP158" s="6056"/>
      <c r="CQ158" s="6056"/>
      <c r="CR158" s="6056"/>
      <c r="CS158" s="6056"/>
      <c r="CT158" s="6056"/>
      <c r="CU158" s="6056"/>
      <c r="CV158" s="6056"/>
      <c r="CW158" s="6056"/>
      <c r="CX158" s="6056"/>
      <c r="CY158" s="6056"/>
      <c r="CZ158" s="6056"/>
      <c r="DA158" s="6056"/>
      <c r="DB158" s="6056"/>
      <c r="DC158" s="6056"/>
      <c r="DD158" s="6056"/>
      <c r="DE158" s="6056"/>
      <c r="DF158" s="6056"/>
      <c r="DG158" s="6056"/>
      <c r="DH158" s="6057"/>
      <c r="DI158" s="6057"/>
      <c r="DJ158" s="6057"/>
      <c r="DK158" s="6057"/>
      <c r="DL158" s="6057"/>
      <c r="DM158" s="6056"/>
      <c r="DN158" s="6057"/>
      <c r="DO158" s="6057"/>
      <c r="DP158" s="6057"/>
      <c r="DQ158" s="6056"/>
      <c r="DR158" s="6057"/>
      <c r="DS158" s="6057"/>
      <c r="DT158" s="6057"/>
      <c r="DU158" s="6057"/>
      <c r="DV158" s="6057"/>
      <c r="DW158" s="6056"/>
      <c r="DX158" s="6056"/>
      <c r="DY158" s="6056"/>
      <c r="DZ158" s="6056"/>
      <c r="EA158" s="6056"/>
      <c r="EB158" s="6056"/>
      <c r="EC158" s="6056"/>
      <c r="ED158" s="6058"/>
      <c r="EH158" s="6055"/>
      <c r="EI158" s="6056"/>
      <c r="EJ158" s="6056"/>
      <c r="EK158" s="6056"/>
      <c r="EL158" s="6056"/>
      <c r="EM158" s="6056"/>
      <c r="EN158" s="6056"/>
      <c r="EO158" s="6056"/>
      <c r="EP158" s="6056"/>
      <c r="EQ158" s="6056"/>
      <c r="ER158" s="6056"/>
      <c r="ES158" s="6056"/>
      <c r="ET158" s="6056"/>
      <c r="EU158" s="6056"/>
      <c r="EV158" s="6056"/>
      <c r="EW158" s="6056"/>
      <c r="EX158" s="6056"/>
      <c r="EY158" s="6056"/>
      <c r="EZ158" s="6056"/>
      <c r="FA158" s="6057"/>
      <c r="FB158" s="6057"/>
      <c r="FC158" s="6057"/>
      <c r="FD158" s="6057"/>
      <c r="FE158" s="6057"/>
      <c r="FF158" s="6056"/>
      <c r="FG158" s="6057"/>
      <c r="FH158" s="6057"/>
      <c r="FI158" s="6057"/>
      <c r="FJ158" s="6056"/>
      <c r="FK158" s="6057"/>
      <c r="FL158" s="6057"/>
      <c r="FM158" s="6057"/>
      <c r="FN158" s="6057"/>
      <c r="FO158" s="6057"/>
      <c r="FP158" s="6056"/>
      <c r="FQ158" s="6056"/>
      <c r="FR158" s="6056"/>
      <c r="FS158" s="6056"/>
      <c r="FT158" s="6056"/>
      <c r="FU158" s="6056"/>
      <c r="FV158" s="6056"/>
      <c r="FW158" s="6058"/>
      <c r="GA158" s="6055"/>
      <c r="GB158" s="6056"/>
      <c r="GC158" s="6056"/>
      <c r="GD158" s="6056"/>
      <c r="GE158" s="6056"/>
      <c r="GF158" s="6056"/>
      <c r="GG158" s="6056"/>
      <c r="GH158" s="6056"/>
      <c r="GI158" s="6056"/>
      <c r="GJ158" s="6056"/>
      <c r="GK158" s="6056"/>
      <c r="GL158" s="6056"/>
      <c r="GM158" s="6056"/>
      <c r="GN158" s="6056"/>
      <c r="GO158" s="6056"/>
      <c r="GP158" s="6056"/>
      <c r="GQ158" s="6056"/>
      <c r="GR158" s="6056"/>
      <c r="GS158" s="6056"/>
      <c r="GT158" s="6057"/>
      <c r="GU158" s="6057"/>
      <c r="GV158" s="6057"/>
      <c r="GW158" s="6057"/>
      <c r="GX158" s="6057"/>
      <c r="GY158" s="6056"/>
      <c r="GZ158" s="6057"/>
      <c r="HA158" s="6057"/>
      <c r="HB158" s="6057"/>
      <c r="HC158" s="6056"/>
      <c r="HD158" s="6057"/>
      <c r="HE158" s="6057"/>
      <c r="HF158" s="6057"/>
      <c r="HG158" s="6057"/>
      <c r="HH158" s="6057"/>
      <c r="HI158" s="6056"/>
      <c r="HJ158" s="6056"/>
      <c r="HK158" s="6056"/>
      <c r="HL158" s="6056"/>
      <c r="HM158" s="6056"/>
      <c r="HN158" s="6056"/>
      <c r="HO158" s="6056"/>
      <c r="HP158" s="6058"/>
      <c r="HT158" s="6055"/>
      <c r="HU158" s="6056"/>
      <c r="HV158" s="6056"/>
      <c r="HW158" s="6056"/>
      <c r="HX158" s="6056"/>
      <c r="HY158" s="6056"/>
      <c r="HZ158" s="6056"/>
      <c r="IA158" s="6056"/>
      <c r="IB158" s="6056"/>
      <c r="IC158" s="6056"/>
      <c r="ID158" s="6056"/>
      <c r="IE158" s="6056"/>
      <c r="IF158" s="6056"/>
      <c r="IG158" s="6056"/>
      <c r="IH158" s="6056"/>
      <c r="II158" s="6056"/>
      <c r="IJ158" s="6056"/>
      <c r="IK158" s="6056"/>
      <c r="IL158" s="6056"/>
      <c r="IM158" s="6057"/>
      <c r="IN158" s="6057"/>
      <c r="IO158" s="6057"/>
      <c r="IP158" s="6057"/>
      <c r="IQ158" s="6057"/>
      <c r="IR158" s="6056"/>
      <c r="IS158" s="6057"/>
      <c r="IT158" s="6057"/>
      <c r="IU158" s="6057"/>
      <c r="IV158" s="6056"/>
      <c r="IW158" s="6057"/>
      <c r="IX158" s="6057"/>
      <c r="IY158" s="6057"/>
      <c r="IZ158" s="6057"/>
      <c r="JA158" s="6057"/>
      <c r="JB158" s="6056"/>
      <c r="JC158" s="6056"/>
      <c r="JD158" s="6056"/>
      <c r="JE158" s="6056"/>
      <c r="JF158" s="6056"/>
      <c r="JG158" s="6056"/>
      <c r="JH158" s="6056"/>
      <c r="JI158" s="6058"/>
      <c r="JM158" s="6055"/>
      <c r="JN158" s="6056"/>
      <c r="JO158" s="6056"/>
      <c r="JP158" s="6056"/>
      <c r="JQ158" s="6056"/>
      <c r="JR158" s="6056"/>
      <c r="JS158" s="6056"/>
      <c r="JT158" s="6056"/>
      <c r="JU158" s="6056"/>
      <c r="JV158" s="6056"/>
      <c r="JW158" s="6056"/>
      <c r="JX158" s="6056"/>
      <c r="JY158" s="6056"/>
      <c r="JZ158" s="6056"/>
      <c r="KA158" s="6056"/>
      <c r="KB158" s="6056"/>
      <c r="KC158" s="6056"/>
      <c r="KD158" s="6056"/>
      <c r="KE158" s="6056"/>
      <c r="KF158" s="6057"/>
      <c r="KG158" s="6057"/>
      <c r="KH158" s="6057"/>
      <c r="KI158" s="6057"/>
      <c r="KJ158" s="6057"/>
      <c r="KK158" s="6056"/>
      <c r="KL158" s="6057"/>
      <c r="KM158" s="6057"/>
      <c r="KN158" s="6057"/>
      <c r="KO158" s="6056"/>
      <c r="KP158" s="6057"/>
      <c r="KQ158" s="6057"/>
      <c r="KR158" s="6057"/>
      <c r="KS158" s="6057"/>
      <c r="KT158" s="6057"/>
      <c r="KU158" s="6056"/>
      <c r="KV158" s="6056"/>
      <c r="KW158" s="6056"/>
      <c r="KX158" s="6056"/>
      <c r="KY158" s="6056"/>
      <c r="KZ158" s="6056"/>
      <c r="LA158" s="6056"/>
      <c r="LB158" s="6058"/>
      <c r="LF158" s="6055"/>
      <c r="LG158" s="6056"/>
      <c r="LH158" s="6056"/>
      <c r="LI158" s="6056"/>
      <c r="LJ158" s="6056"/>
      <c r="LK158" s="6056"/>
      <c r="LL158" s="6056"/>
      <c r="LM158" s="6056"/>
      <c r="LN158" s="6056"/>
      <c r="LO158" s="6056"/>
      <c r="LP158" s="6056"/>
      <c r="LQ158" s="6056"/>
      <c r="LR158" s="6056"/>
      <c r="LS158" s="6056"/>
      <c r="LT158" s="6056"/>
      <c r="LU158" s="6056"/>
      <c r="LV158" s="6056"/>
      <c r="LW158" s="6056"/>
      <c r="LX158" s="6056"/>
      <c r="LY158" s="6057"/>
      <c r="LZ158" s="6057"/>
      <c r="MA158" s="6057"/>
      <c r="MB158" s="6057"/>
      <c r="MC158" s="6057"/>
      <c r="MD158" s="6056"/>
      <c r="ME158" s="6057"/>
      <c r="MF158" s="6057"/>
      <c r="MG158" s="6057"/>
      <c r="MH158" s="6056"/>
      <c r="MI158" s="6057"/>
      <c r="MJ158" s="6057"/>
      <c r="MK158" s="6057"/>
      <c r="ML158" s="6057"/>
      <c r="MM158" s="6057"/>
      <c r="MN158" s="6056"/>
      <c r="MO158" s="6056"/>
      <c r="MP158" s="6056"/>
      <c r="MQ158" s="6056"/>
      <c r="MR158" s="6056"/>
      <c r="MS158" s="6056"/>
      <c r="MT158" s="6056"/>
      <c r="MU158" s="6058"/>
      <c r="MY158" s="6055"/>
      <c r="MZ158" s="6056"/>
      <c r="NA158" s="6056"/>
      <c r="NB158" s="6056"/>
      <c r="NC158" s="6056"/>
      <c r="ND158" s="6056"/>
      <c r="NE158" s="6056"/>
      <c r="NF158" s="6056"/>
      <c r="NG158" s="6056"/>
      <c r="NH158" s="6056"/>
      <c r="NI158" s="6056"/>
      <c r="NJ158" s="6056"/>
      <c r="NK158" s="6056"/>
      <c r="NL158" s="6056"/>
      <c r="NM158" s="6056"/>
      <c r="NN158" s="6056"/>
      <c r="NO158" s="6056"/>
      <c r="NP158" s="6056"/>
      <c r="NQ158" s="6056"/>
      <c r="NR158" s="6057"/>
      <c r="NS158" s="6057"/>
      <c r="NT158" s="6057"/>
      <c r="NU158" s="6057"/>
      <c r="NV158" s="6057"/>
      <c r="NW158" s="6056"/>
      <c r="NX158" s="6057"/>
      <c r="NY158" s="6057"/>
      <c r="NZ158" s="6057"/>
      <c r="OA158" s="6056"/>
      <c r="OB158" s="6057"/>
      <c r="OC158" s="6057"/>
      <c r="OD158" s="6057"/>
      <c r="OE158" s="6057"/>
      <c r="OF158" s="6057"/>
      <c r="OG158" s="6056"/>
      <c r="OH158" s="6056"/>
      <c r="OI158" s="6056"/>
      <c r="OJ158" s="6056"/>
      <c r="OK158" s="6056"/>
      <c r="OL158" s="6056"/>
      <c r="OM158" s="6056"/>
      <c r="ON158" s="6058"/>
    </row>
    <row r="159" spans="3:404" s="6075" customFormat="1" ht="12" customHeight="1" x14ac:dyDescent="0.2">
      <c r="C159" s="6071"/>
      <c r="D159" s="6060" t="str">
        <f>_Calcs!$N$79</f>
        <v>Begrunnelse</v>
      </c>
      <c r="E159" s="6099"/>
      <c r="F159" s="6060"/>
      <c r="G159" s="6060"/>
      <c r="H159" s="6060"/>
      <c r="I159" s="6060"/>
      <c r="J159" s="6060"/>
      <c r="K159" s="6060"/>
      <c r="L159" s="6060"/>
      <c r="M159" s="6060"/>
      <c r="N159" s="6060"/>
      <c r="O159" s="6060"/>
      <c r="P159" s="6060"/>
      <c r="Q159" s="6060"/>
      <c r="R159" s="6060"/>
      <c r="S159" s="6060"/>
      <c r="T159" s="6072"/>
      <c r="U159" s="6072"/>
      <c r="V159" s="6072"/>
      <c r="W159" s="6072"/>
      <c r="X159" s="6072"/>
      <c r="Y159" s="6072"/>
      <c r="Z159" s="6072"/>
      <c r="AA159" s="6072"/>
      <c r="AB159" s="6072"/>
      <c r="AC159" s="6072"/>
      <c r="AD159" s="6072"/>
      <c r="AE159" s="6072"/>
      <c r="AF159" s="6072"/>
      <c r="AG159" s="6072"/>
      <c r="AH159" s="6072"/>
      <c r="AI159" s="6072"/>
      <c r="AJ159" s="6072"/>
      <c r="AK159" s="6072"/>
      <c r="AL159" s="6072"/>
      <c r="AM159" s="6072"/>
      <c r="AN159" s="6072"/>
      <c r="AO159" s="6072"/>
      <c r="AP159" s="6072"/>
      <c r="AQ159" s="6072"/>
      <c r="AR159" s="6074"/>
      <c r="AV159" s="6071"/>
      <c r="AW159" s="6060" t="str">
        <f>_Calcs!$N$79</f>
        <v>Begrunnelse</v>
      </c>
      <c r="AX159" s="6099"/>
      <c r="AY159" s="6060"/>
      <c r="AZ159" s="6060"/>
      <c r="BA159" s="6060"/>
      <c r="BB159" s="6060"/>
      <c r="BC159" s="6060"/>
      <c r="BD159" s="6060"/>
      <c r="BE159" s="6060"/>
      <c r="BF159" s="6060"/>
      <c r="BG159" s="6060"/>
      <c r="BH159" s="6060"/>
      <c r="BI159" s="6060"/>
      <c r="BJ159" s="6060"/>
      <c r="BK159" s="6060"/>
      <c r="BL159" s="6060"/>
      <c r="BM159" s="6072"/>
      <c r="BN159" s="6072"/>
      <c r="BO159" s="6072"/>
      <c r="BP159" s="6072"/>
      <c r="BQ159" s="6072"/>
      <c r="BR159" s="6072"/>
      <c r="BS159" s="6072"/>
      <c r="BT159" s="6072"/>
      <c r="BU159" s="6072"/>
      <c r="BV159" s="6072"/>
      <c r="BW159" s="6072"/>
      <c r="BX159" s="6072"/>
      <c r="BY159" s="6072"/>
      <c r="BZ159" s="6072"/>
      <c r="CA159" s="6072"/>
      <c r="CB159" s="6072"/>
      <c r="CC159" s="6072"/>
      <c r="CD159" s="6072"/>
      <c r="CE159" s="6072"/>
      <c r="CF159" s="6072"/>
      <c r="CG159" s="6072"/>
      <c r="CH159" s="6072"/>
      <c r="CI159" s="6072"/>
      <c r="CJ159" s="6072"/>
      <c r="CK159" s="6074"/>
      <c r="CO159" s="6071"/>
      <c r="CP159" s="6060" t="str">
        <f>_Calcs!$N$79</f>
        <v>Begrunnelse</v>
      </c>
      <c r="CQ159" s="6099"/>
      <c r="CR159" s="6060"/>
      <c r="CS159" s="6060"/>
      <c r="CT159" s="6060"/>
      <c r="CU159" s="6060"/>
      <c r="CV159" s="6060"/>
      <c r="CW159" s="6060"/>
      <c r="CX159" s="6060"/>
      <c r="CY159" s="6060"/>
      <c r="CZ159" s="6060"/>
      <c r="DA159" s="6060"/>
      <c r="DB159" s="6060"/>
      <c r="DC159" s="6060"/>
      <c r="DD159" s="6060"/>
      <c r="DE159" s="6060"/>
      <c r="DF159" s="6072"/>
      <c r="DG159" s="6072"/>
      <c r="DH159" s="6072"/>
      <c r="DI159" s="6072"/>
      <c r="DJ159" s="6072"/>
      <c r="DK159" s="6072"/>
      <c r="DL159" s="6072"/>
      <c r="DM159" s="6072"/>
      <c r="DN159" s="6072"/>
      <c r="DO159" s="6072"/>
      <c r="DP159" s="6072"/>
      <c r="DQ159" s="6072"/>
      <c r="DR159" s="6072"/>
      <c r="DS159" s="6072"/>
      <c r="DT159" s="6072"/>
      <c r="DU159" s="6072"/>
      <c r="DV159" s="6072"/>
      <c r="DW159" s="6072"/>
      <c r="DX159" s="6072"/>
      <c r="DY159" s="6072"/>
      <c r="DZ159" s="6072"/>
      <c r="EA159" s="6072"/>
      <c r="EB159" s="6072"/>
      <c r="EC159" s="6072"/>
      <c r="ED159" s="6074"/>
      <c r="EH159" s="6071"/>
      <c r="EI159" s="6060" t="str">
        <f>_Calcs!$N$79</f>
        <v>Begrunnelse</v>
      </c>
      <c r="EJ159" s="6099"/>
      <c r="EK159" s="6060"/>
      <c r="EL159" s="6060"/>
      <c r="EM159" s="6060"/>
      <c r="EN159" s="6060"/>
      <c r="EO159" s="6060"/>
      <c r="EP159" s="6060"/>
      <c r="EQ159" s="6060"/>
      <c r="ER159" s="6060"/>
      <c r="ES159" s="6060"/>
      <c r="ET159" s="6060"/>
      <c r="EU159" s="6060"/>
      <c r="EV159" s="6060"/>
      <c r="EW159" s="6060"/>
      <c r="EX159" s="6060"/>
      <c r="EY159" s="6072"/>
      <c r="EZ159" s="6072"/>
      <c r="FA159" s="6072"/>
      <c r="FB159" s="6072"/>
      <c r="FC159" s="6072"/>
      <c r="FD159" s="6072"/>
      <c r="FE159" s="6072"/>
      <c r="FF159" s="6072"/>
      <c r="FG159" s="6072"/>
      <c r="FH159" s="6072"/>
      <c r="FI159" s="6072"/>
      <c r="FJ159" s="6072"/>
      <c r="FK159" s="6072"/>
      <c r="FL159" s="6072"/>
      <c r="FM159" s="6072"/>
      <c r="FN159" s="6072"/>
      <c r="FO159" s="6072"/>
      <c r="FP159" s="6072"/>
      <c r="FQ159" s="6072"/>
      <c r="FR159" s="6072"/>
      <c r="FS159" s="6072"/>
      <c r="FT159" s="6072"/>
      <c r="FU159" s="6072"/>
      <c r="FV159" s="6072"/>
      <c r="FW159" s="6074"/>
      <c r="GA159" s="6071"/>
      <c r="GB159" s="6060" t="str">
        <f>_Calcs!$N$79</f>
        <v>Begrunnelse</v>
      </c>
      <c r="GC159" s="6099"/>
      <c r="GD159" s="6060"/>
      <c r="GE159" s="6060"/>
      <c r="GF159" s="6060"/>
      <c r="GG159" s="6060"/>
      <c r="GH159" s="6060"/>
      <c r="GI159" s="6060"/>
      <c r="GJ159" s="6060"/>
      <c r="GK159" s="6060"/>
      <c r="GL159" s="6060"/>
      <c r="GM159" s="6060"/>
      <c r="GN159" s="6060"/>
      <c r="GO159" s="6060"/>
      <c r="GP159" s="6060"/>
      <c r="GQ159" s="6060"/>
      <c r="GR159" s="6072"/>
      <c r="GS159" s="6072"/>
      <c r="GT159" s="6072"/>
      <c r="GU159" s="6072"/>
      <c r="GV159" s="6072"/>
      <c r="GW159" s="6072"/>
      <c r="GX159" s="6072"/>
      <c r="GY159" s="6072"/>
      <c r="GZ159" s="6072"/>
      <c r="HA159" s="6072"/>
      <c r="HB159" s="6072"/>
      <c r="HC159" s="6072"/>
      <c r="HD159" s="6072"/>
      <c r="HE159" s="6072"/>
      <c r="HF159" s="6072"/>
      <c r="HG159" s="6072"/>
      <c r="HH159" s="6072"/>
      <c r="HI159" s="6072"/>
      <c r="HJ159" s="6072"/>
      <c r="HK159" s="6072"/>
      <c r="HL159" s="6072"/>
      <c r="HM159" s="6072"/>
      <c r="HN159" s="6072"/>
      <c r="HO159" s="6072"/>
      <c r="HP159" s="6074"/>
      <c r="HT159" s="6071"/>
      <c r="HU159" s="6060" t="str">
        <f>_Calcs!$N$79</f>
        <v>Begrunnelse</v>
      </c>
      <c r="HV159" s="6099"/>
      <c r="HW159" s="6060"/>
      <c r="HX159" s="6060"/>
      <c r="HY159" s="6060"/>
      <c r="HZ159" s="6060"/>
      <c r="IA159" s="6060"/>
      <c r="IB159" s="6060"/>
      <c r="IC159" s="6060"/>
      <c r="ID159" s="6060"/>
      <c r="IE159" s="6060"/>
      <c r="IF159" s="6060"/>
      <c r="IG159" s="6060"/>
      <c r="IH159" s="6060"/>
      <c r="II159" s="6060"/>
      <c r="IJ159" s="6060"/>
      <c r="IK159" s="6072"/>
      <c r="IL159" s="6072"/>
      <c r="IM159" s="6072"/>
      <c r="IN159" s="6072"/>
      <c r="IO159" s="6072"/>
      <c r="IP159" s="6072"/>
      <c r="IQ159" s="6072"/>
      <c r="IR159" s="6072"/>
      <c r="IS159" s="6072"/>
      <c r="IT159" s="6072"/>
      <c r="IU159" s="6072"/>
      <c r="IV159" s="6072"/>
      <c r="IW159" s="6072"/>
      <c r="IX159" s="6072"/>
      <c r="IY159" s="6072"/>
      <c r="IZ159" s="6072"/>
      <c r="JA159" s="6072"/>
      <c r="JB159" s="6072"/>
      <c r="JC159" s="6072"/>
      <c r="JD159" s="6072"/>
      <c r="JE159" s="6072"/>
      <c r="JF159" s="6072"/>
      <c r="JG159" s="6072"/>
      <c r="JH159" s="6072"/>
      <c r="JI159" s="6074"/>
      <c r="JM159" s="6071"/>
      <c r="JN159" s="6060" t="str">
        <f>_Calcs!$N$79</f>
        <v>Begrunnelse</v>
      </c>
      <c r="JO159" s="6099"/>
      <c r="JP159" s="6060"/>
      <c r="JQ159" s="6060"/>
      <c r="JR159" s="6060"/>
      <c r="JS159" s="6060"/>
      <c r="JT159" s="6060"/>
      <c r="JU159" s="6060"/>
      <c r="JV159" s="6060"/>
      <c r="JW159" s="6060"/>
      <c r="JX159" s="6060"/>
      <c r="JY159" s="6060"/>
      <c r="JZ159" s="6060"/>
      <c r="KA159" s="6060"/>
      <c r="KB159" s="6060"/>
      <c r="KC159" s="6060"/>
      <c r="KD159" s="6072"/>
      <c r="KE159" s="6072"/>
      <c r="KF159" s="6072"/>
      <c r="KG159" s="6072"/>
      <c r="KH159" s="6072"/>
      <c r="KI159" s="6072"/>
      <c r="KJ159" s="6072"/>
      <c r="KK159" s="6072"/>
      <c r="KL159" s="6072"/>
      <c r="KM159" s="6072"/>
      <c r="KN159" s="6072"/>
      <c r="KO159" s="6072"/>
      <c r="KP159" s="6072"/>
      <c r="KQ159" s="6072"/>
      <c r="KR159" s="6072"/>
      <c r="KS159" s="6072"/>
      <c r="KT159" s="6072"/>
      <c r="KU159" s="6072"/>
      <c r="KV159" s="6072"/>
      <c r="KW159" s="6072"/>
      <c r="KX159" s="6072"/>
      <c r="KY159" s="6072"/>
      <c r="KZ159" s="6072"/>
      <c r="LA159" s="6072"/>
      <c r="LB159" s="6074"/>
      <c r="LF159" s="6071"/>
      <c r="LG159" s="6060" t="str">
        <f>_Calcs!$N$79</f>
        <v>Begrunnelse</v>
      </c>
      <c r="LH159" s="6099"/>
      <c r="LI159" s="6060"/>
      <c r="LJ159" s="6060"/>
      <c r="LK159" s="6060"/>
      <c r="LL159" s="6060"/>
      <c r="LM159" s="6060"/>
      <c r="LN159" s="6060"/>
      <c r="LO159" s="6060"/>
      <c r="LP159" s="6060"/>
      <c r="LQ159" s="6060"/>
      <c r="LR159" s="6060"/>
      <c r="LS159" s="6060"/>
      <c r="LT159" s="6060"/>
      <c r="LU159" s="6060"/>
      <c r="LV159" s="6060"/>
      <c r="LW159" s="6072"/>
      <c r="LX159" s="6072"/>
      <c r="LY159" s="6072"/>
      <c r="LZ159" s="6072"/>
      <c r="MA159" s="6072"/>
      <c r="MB159" s="6072"/>
      <c r="MC159" s="6072"/>
      <c r="MD159" s="6072"/>
      <c r="ME159" s="6072"/>
      <c r="MF159" s="6072"/>
      <c r="MG159" s="6072"/>
      <c r="MH159" s="6072"/>
      <c r="MI159" s="6072"/>
      <c r="MJ159" s="6072"/>
      <c r="MK159" s="6072"/>
      <c r="ML159" s="6072"/>
      <c r="MM159" s="6072"/>
      <c r="MN159" s="6072"/>
      <c r="MO159" s="6072"/>
      <c r="MP159" s="6072"/>
      <c r="MQ159" s="6072"/>
      <c r="MR159" s="6072"/>
      <c r="MS159" s="6072"/>
      <c r="MT159" s="6072"/>
      <c r="MU159" s="6074"/>
      <c r="MY159" s="6071"/>
      <c r="MZ159" s="6060" t="str">
        <f>_Calcs!$N$79</f>
        <v>Begrunnelse</v>
      </c>
      <c r="NA159" s="6099"/>
      <c r="NB159" s="6060"/>
      <c r="NC159" s="6060"/>
      <c r="ND159" s="6060"/>
      <c r="NE159" s="6060"/>
      <c r="NF159" s="6060"/>
      <c r="NG159" s="6060"/>
      <c r="NH159" s="6060"/>
      <c r="NI159" s="6060"/>
      <c r="NJ159" s="6060"/>
      <c r="NK159" s="6060"/>
      <c r="NL159" s="6060"/>
      <c r="NM159" s="6060"/>
      <c r="NN159" s="6060"/>
      <c r="NO159" s="6060"/>
      <c r="NP159" s="6072"/>
      <c r="NQ159" s="6072"/>
      <c r="NR159" s="6072"/>
      <c r="NS159" s="6072"/>
      <c r="NT159" s="6072"/>
      <c r="NU159" s="6072"/>
      <c r="NV159" s="6072"/>
      <c r="NW159" s="6072"/>
      <c r="NX159" s="6072"/>
      <c r="NY159" s="6072"/>
      <c r="NZ159" s="6072"/>
      <c r="OA159" s="6072"/>
      <c r="OB159" s="6072"/>
      <c r="OC159" s="6072"/>
      <c r="OD159" s="6072"/>
      <c r="OE159" s="6072"/>
      <c r="OF159" s="6072"/>
      <c r="OG159" s="6072"/>
      <c r="OH159" s="6072"/>
      <c r="OI159" s="6072"/>
      <c r="OJ159" s="6072"/>
      <c r="OK159" s="6072"/>
      <c r="OL159" s="6072"/>
      <c r="OM159" s="6072"/>
      <c r="ON159" s="6074"/>
    </row>
    <row r="160" spans="3:404" ht="5.0999999999999996" customHeight="1" thickBot="1" x14ac:dyDescent="0.25">
      <c r="C160" s="6055"/>
      <c r="D160" s="6056"/>
      <c r="E160" s="6056"/>
      <c r="F160" s="6056"/>
      <c r="G160" s="6056"/>
      <c r="H160" s="6056"/>
      <c r="I160" s="6056"/>
      <c r="J160" s="6056"/>
      <c r="K160" s="6056"/>
      <c r="L160" s="6056"/>
      <c r="M160" s="6056"/>
      <c r="N160" s="6056"/>
      <c r="O160" s="6056"/>
      <c r="P160" s="6056"/>
      <c r="Q160" s="6056"/>
      <c r="R160" s="6056"/>
      <c r="S160" s="6056"/>
      <c r="T160" s="6056"/>
      <c r="U160" s="6056"/>
      <c r="V160" s="6056"/>
      <c r="W160" s="6056"/>
      <c r="X160" s="6056"/>
      <c r="Y160" s="6056"/>
      <c r="Z160" s="6056"/>
      <c r="AA160" s="6056"/>
      <c r="AB160" s="6056"/>
      <c r="AC160" s="6056"/>
      <c r="AD160" s="6056"/>
      <c r="AE160" s="6056"/>
      <c r="AF160" s="6056"/>
      <c r="AG160" s="6056"/>
      <c r="AH160" s="6056"/>
      <c r="AI160" s="6056"/>
      <c r="AJ160" s="6056"/>
      <c r="AK160" s="6056"/>
      <c r="AL160" s="6056"/>
      <c r="AM160" s="6056"/>
      <c r="AN160" s="6056"/>
      <c r="AO160" s="6056"/>
      <c r="AP160" s="6056"/>
      <c r="AQ160" s="6056"/>
      <c r="AR160" s="6058"/>
      <c r="AV160" s="6055"/>
      <c r="AW160" s="6056"/>
      <c r="AX160" s="6056"/>
      <c r="AY160" s="6056"/>
      <c r="AZ160" s="6056"/>
      <c r="BA160" s="6056"/>
      <c r="BB160" s="6056"/>
      <c r="BC160" s="6056"/>
      <c r="BD160" s="6056"/>
      <c r="BE160" s="6056"/>
      <c r="BF160" s="6056"/>
      <c r="BG160" s="6056"/>
      <c r="BH160" s="6056"/>
      <c r="BI160" s="6056"/>
      <c r="BJ160" s="6056"/>
      <c r="BK160" s="6056"/>
      <c r="BL160" s="6056"/>
      <c r="BM160" s="6056"/>
      <c r="BN160" s="6056"/>
      <c r="BO160" s="6056"/>
      <c r="BP160" s="6056"/>
      <c r="BQ160" s="6056"/>
      <c r="BR160" s="6056"/>
      <c r="BS160" s="6056"/>
      <c r="BT160" s="6056"/>
      <c r="BU160" s="6056"/>
      <c r="BV160" s="6056"/>
      <c r="BW160" s="6056"/>
      <c r="BX160" s="6056"/>
      <c r="BY160" s="6056"/>
      <c r="BZ160" s="6056"/>
      <c r="CA160" s="6056"/>
      <c r="CB160" s="6056"/>
      <c r="CC160" s="6056"/>
      <c r="CD160" s="6056"/>
      <c r="CE160" s="6056"/>
      <c r="CF160" s="6056"/>
      <c r="CG160" s="6056"/>
      <c r="CH160" s="6056"/>
      <c r="CI160" s="6056"/>
      <c r="CJ160" s="6056"/>
      <c r="CK160" s="6058"/>
      <c r="CO160" s="6055"/>
      <c r="CP160" s="6056"/>
      <c r="CQ160" s="6056"/>
      <c r="CR160" s="6056"/>
      <c r="CS160" s="6056"/>
      <c r="CT160" s="6056"/>
      <c r="CU160" s="6056"/>
      <c r="CV160" s="6056"/>
      <c r="CW160" s="6056"/>
      <c r="CX160" s="6056"/>
      <c r="CY160" s="6056"/>
      <c r="CZ160" s="6056"/>
      <c r="DA160" s="6056"/>
      <c r="DB160" s="6056"/>
      <c r="DC160" s="6056"/>
      <c r="DD160" s="6056"/>
      <c r="DE160" s="6056"/>
      <c r="DF160" s="6056"/>
      <c r="DG160" s="6056"/>
      <c r="DH160" s="6056"/>
      <c r="DI160" s="6056"/>
      <c r="DJ160" s="6056"/>
      <c r="DK160" s="6056"/>
      <c r="DL160" s="6056"/>
      <c r="DM160" s="6056"/>
      <c r="DN160" s="6056"/>
      <c r="DO160" s="6056"/>
      <c r="DP160" s="6056"/>
      <c r="DQ160" s="6056"/>
      <c r="DR160" s="6056"/>
      <c r="DS160" s="6056"/>
      <c r="DT160" s="6056"/>
      <c r="DU160" s="6056"/>
      <c r="DV160" s="6056"/>
      <c r="DW160" s="6056"/>
      <c r="DX160" s="6056"/>
      <c r="DY160" s="6056"/>
      <c r="DZ160" s="6056"/>
      <c r="EA160" s="6056"/>
      <c r="EB160" s="6056"/>
      <c r="EC160" s="6056"/>
      <c r="ED160" s="6058"/>
      <c r="EH160" s="6055"/>
      <c r="EI160" s="6056"/>
      <c r="EJ160" s="6056"/>
      <c r="EK160" s="6056"/>
      <c r="EL160" s="6056"/>
      <c r="EM160" s="6056"/>
      <c r="EN160" s="6056"/>
      <c r="EO160" s="6056"/>
      <c r="EP160" s="6056"/>
      <c r="EQ160" s="6056"/>
      <c r="ER160" s="6056"/>
      <c r="ES160" s="6056"/>
      <c r="ET160" s="6056"/>
      <c r="EU160" s="6056"/>
      <c r="EV160" s="6056"/>
      <c r="EW160" s="6056"/>
      <c r="EX160" s="6056"/>
      <c r="EY160" s="6056"/>
      <c r="EZ160" s="6056"/>
      <c r="FA160" s="6056"/>
      <c r="FB160" s="6056"/>
      <c r="FC160" s="6056"/>
      <c r="FD160" s="6056"/>
      <c r="FE160" s="6056"/>
      <c r="FF160" s="6056"/>
      <c r="FG160" s="6056"/>
      <c r="FH160" s="6056"/>
      <c r="FI160" s="6056"/>
      <c r="FJ160" s="6056"/>
      <c r="FK160" s="6056"/>
      <c r="FL160" s="6056"/>
      <c r="FM160" s="6056"/>
      <c r="FN160" s="6056"/>
      <c r="FO160" s="6056"/>
      <c r="FP160" s="6056"/>
      <c r="FQ160" s="6056"/>
      <c r="FR160" s="6056"/>
      <c r="FS160" s="6056"/>
      <c r="FT160" s="6056"/>
      <c r="FU160" s="6056"/>
      <c r="FV160" s="6056"/>
      <c r="FW160" s="6058"/>
      <c r="GA160" s="6055"/>
      <c r="GB160" s="6056"/>
      <c r="GC160" s="6056"/>
      <c r="GD160" s="6056"/>
      <c r="GE160" s="6056"/>
      <c r="GF160" s="6056"/>
      <c r="GG160" s="6056"/>
      <c r="GH160" s="6056"/>
      <c r="GI160" s="6056"/>
      <c r="GJ160" s="6056"/>
      <c r="GK160" s="6056"/>
      <c r="GL160" s="6056"/>
      <c r="GM160" s="6056"/>
      <c r="GN160" s="6056"/>
      <c r="GO160" s="6056"/>
      <c r="GP160" s="6056"/>
      <c r="GQ160" s="6056"/>
      <c r="GR160" s="6056"/>
      <c r="GS160" s="6056"/>
      <c r="GT160" s="6056"/>
      <c r="GU160" s="6056"/>
      <c r="GV160" s="6056"/>
      <c r="GW160" s="6056"/>
      <c r="GX160" s="6056"/>
      <c r="GY160" s="6056"/>
      <c r="GZ160" s="6056"/>
      <c r="HA160" s="6056"/>
      <c r="HB160" s="6056"/>
      <c r="HC160" s="6056"/>
      <c r="HD160" s="6056"/>
      <c r="HE160" s="6056"/>
      <c r="HF160" s="6056"/>
      <c r="HG160" s="6056"/>
      <c r="HH160" s="6056"/>
      <c r="HI160" s="6056"/>
      <c r="HJ160" s="6056"/>
      <c r="HK160" s="6056"/>
      <c r="HL160" s="6056"/>
      <c r="HM160" s="6056"/>
      <c r="HN160" s="6056"/>
      <c r="HO160" s="6056"/>
      <c r="HP160" s="6058"/>
      <c r="HT160" s="6055"/>
      <c r="HU160" s="6056"/>
      <c r="HV160" s="6056"/>
      <c r="HW160" s="6056"/>
      <c r="HX160" s="6056"/>
      <c r="HY160" s="6056"/>
      <c r="HZ160" s="6056"/>
      <c r="IA160" s="6056"/>
      <c r="IB160" s="6056"/>
      <c r="IC160" s="6056"/>
      <c r="ID160" s="6056"/>
      <c r="IE160" s="6056"/>
      <c r="IF160" s="6056"/>
      <c r="IG160" s="6056"/>
      <c r="IH160" s="6056"/>
      <c r="II160" s="6056"/>
      <c r="IJ160" s="6056"/>
      <c r="IK160" s="6056"/>
      <c r="IL160" s="6056"/>
      <c r="IM160" s="6056"/>
      <c r="IN160" s="6056"/>
      <c r="IO160" s="6056"/>
      <c r="IP160" s="6056"/>
      <c r="IQ160" s="6056"/>
      <c r="IR160" s="6056"/>
      <c r="IS160" s="6056"/>
      <c r="IT160" s="6056"/>
      <c r="IU160" s="6056"/>
      <c r="IV160" s="6056"/>
      <c r="IW160" s="6056"/>
      <c r="IX160" s="6056"/>
      <c r="IY160" s="6056"/>
      <c r="IZ160" s="6056"/>
      <c r="JA160" s="6056"/>
      <c r="JB160" s="6056"/>
      <c r="JC160" s="6056"/>
      <c r="JD160" s="6056"/>
      <c r="JE160" s="6056"/>
      <c r="JF160" s="6056"/>
      <c r="JG160" s="6056"/>
      <c r="JH160" s="6056"/>
      <c r="JI160" s="6058"/>
      <c r="JM160" s="6055"/>
      <c r="JN160" s="6056"/>
      <c r="JO160" s="6056"/>
      <c r="JP160" s="6056"/>
      <c r="JQ160" s="6056"/>
      <c r="JR160" s="6056"/>
      <c r="JS160" s="6056"/>
      <c r="JT160" s="6056"/>
      <c r="JU160" s="6056"/>
      <c r="JV160" s="6056"/>
      <c r="JW160" s="6056"/>
      <c r="JX160" s="6056"/>
      <c r="JY160" s="6056"/>
      <c r="JZ160" s="6056"/>
      <c r="KA160" s="6056"/>
      <c r="KB160" s="6056"/>
      <c r="KC160" s="6056"/>
      <c r="KD160" s="6056"/>
      <c r="KE160" s="6056"/>
      <c r="KF160" s="6056"/>
      <c r="KG160" s="6056"/>
      <c r="KH160" s="6056"/>
      <c r="KI160" s="6056"/>
      <c r="KJ160" s="6056"/>
      <c r="KK160" s="6056"/>
      <c r="KL160" s="6056"/>
      <c r="KM160" s="6056"/>
      <c r="KN160" s="6056"/>
      <c r="KO160" s="6056"/>
      <c r="KP160" s="6056"/>
      <c r="KQ160" s="6056"/>
      <c r="KR160" s="6056"/>
      <c r="KS160" s="6056"/>
      <c r="KT160" s="6056"/>
      <c r="KU160" s="6056"/>
      <c r="KV160" s="6056"/>
      <c r="KW160" s="6056"/>
      <c r="KX160" s="6056"/>
      <c r="KY160" s="6056"/>
      <c r="KZ160" s="6056"/>
      <c r="LA160" s="6056"/>
      <c r="LB160" s="6058"/>
      <c r="LF160" s="6055"/>
      <c r="LG160" s="6056"/>
      <c r="LH160" s="6056"/>
      <c r="LI160" s="6056"/>
      <c r="LJ160" s="6056"/>
      <c r="LK160" s="6056"/>
      <c r="LL160" s="6056"/>
      <c r="LM160" s="6056"/>
      <c r="LN160" s="6056"/>
      <c r="LO160" s="6056"/>
      <c r="LP160" s="6056"/>
      <c r="LQ160" s="6056"/>
      <c r="LR160" s="6056"/>
      <c r="LS160" s="6056"/>
      <c r="LT160" s="6056"/>
      <c r="LU160" s="6056"/>
      <c r="LV160" s="6056"/>
      <c r="LW160" s="6056"/>
      <c r="LX160" s="6056"/>
      <c r="LY160" s="6056"/>
      <c r="LZ160" s="6056"/>
      <c r="MA160" s="6056"/>
      <c r="MB160" s="6056"/>
      <c r="MC160" s="6056"/>
      <c r="MD160" s="6056"/>
      <c r="ME160" s="6056"/>
      <c r="MF160" s="6056"/>
      <c r="MG160" s="6056"/>
      <c r="MH160" s="6056"/>
      <c r="MI160" s="6056"/>
      <c r="MJ160" s="6056"/>
      <c r="MK160" s="6056"/>
      <c r="ML160" s="6056"/>
      <c r="MM160" s="6056"/>
      <c r="MN160" s="6056"/>
      <c r="MO160" s="6056"/>
      <c r="MP160" s="6056"/>
      <c r="MQ160" s="6056"/>
      <c r="MR160" s="6056"/>
      <c r="MS160" s="6056"/>
      <c r="MT160" s="6056"/>
      <c r="MU160" s="6058"/>
      <c r="MY160" s="6055"/>
      <c r="MZ160" s="6056"/>
      <c r="NA160" s="6056"/>
      <c r="NB160" s="6056"/>
      <c r="NC160" s="6056"/>
      <c r="ND160" s="6056"/>
      <c r="NE160" s="6056"/>
      <c r="NF160" s="6056"/>
      <c r="NG160" s="6056"/>
      <c r="NH160" s="6056"/>
      <c r="NI160" s="6056"/>
      <c r="NJ160" s="6056"/>
      <c r="NK160" s="6056"/>
      <c r="NL160" s="6056"/>
      <c r="NM160" s="6056"/>
      <c r="NN160" s="6056"/>
      <c r="NO160" s="6056"/>
      <c r="NP160" s="6056"/>
      <c r="NQ160" s="6056"/>
      <c r="NR160" s="6056"/>
      <c r="NS160" s="6056"/>
      <c r="NT160" s="6056"/>
      <c r="NU160" s="6056"/>
      <c r="NV160" s="6056"/>
      <c r="NW160" s="6056"/>
      <c r="NX160" s="6056"/>
      <c r="NY160" s="6056"/>
      <c r="NZ160" s="6056"/>
      <c r="OA160" s="6056"/>
      <c r="OB160" s="6056"/>
      <c r="OC160" s="6056"/>
      <c r="OD160" s="6056"/>
      <c r="OE160" s="6056"/>
      <c r="OF160" s="6056"/>
      <c r="OG160" s="6056"/>
      <c r="OH160" s="6056"/>
      <c r="OI160" s="6056"/>
      <c r="OJ160" s="6056"/>
      <c r="OK160" s="6056"/>
      <c r="OL160" s="6056"/>
      <c r="OM160" s="6056"/>
      <c r="ON160" s="6058"/>
    </row>
    <row r="161" spans="3:405" ht="8.1" customHeight="1" x14ac:dyDescent="0.2">
      <c r="C161" s="6055"/>
      <c r="D161" s="6082"/>
      <c r="E161" s="6083"/>
      <c r="F161" s="6083"/>
      <c r="G161" s="6083"/>
      <c r="H161" s="6083"/>
      <c r="I161" s="6083"/>
      <c r="J161" s="6083"/>
      <c r="K161" s="6083"/>
      <c r="L161" s="6083"/>
      <c r="M161" s="6083"/>
      <c r="N161" s="6083"/>
      <c r="O161" s="6083"/>
      <c r="P161" s="6083"/>
      <c r="Q161" s="6083"/>
      <c r="R161" s="6083"/>
      <c r="S161" s="6083"/>
      <c r="T161" s="6083"/>
      <c r="U161" s="6083"/>
      <c r="V161" s="6083"/>
      <c r="W161" s="6083"/>
      <c r="X161" s="6083"/>
      <c r="Y161" s="6083"/>
      <c r="Z161" s="6083"/>
      <c r="AA161" s="6083"/>
      <c r="AB161" s="6083"/>
      <c r="AC161" s="6083"/>
      <c r="AD161" s="6083"/>
      <c r="AE161" s="6083"/>
      <c r="AF161" s="6083"/>
      <c r="AG161" s="6083"/>
      <c r="AH161" s="6083"/>
      <c r="AI161" s="6083"/>
      <c r="AJ161" s="6083"/>
      <c r="AK161" s="6083"/>
      <c r="AL161" s="6083"/>
      <c r="AM161" s="6083"/>
      <c r="AN161" s="6083"/>
      <c r="AO161" s="6083"/>
      <c r="AP161" s="6083"/>
      <c r="AQ161" s="6084"/>
      <c r="AR161" s="6058"/>
      <c r="AV161" s="6055"/>
      <c r="AW161" s="6082"/>
      <c r="AX161" s="6083"/>
      <c r="AY161" s="6083"/>
      <c r="AZ161" s="6083"/>
      <c r="BA161" s="6083"/>
      <c r="BB161" s="6083"/>
      <c r="BC161" s="6083"/>
      <c r="BD161" s="6083"/>
      <c r="BE161" s="6083"/>
      <c r="BF161" s="6083"/>
      <c r="BG161" s="6083"/>
      <c r="BH161" s="6083"/>
      <c r="BI161" s="6083"/>
      <c r="BJ161" s="6083"/>
      <c r="BK161" s="6083"/>
      <c r="BL161" s="6083"/>
      <c r="BM161" s="6083"/>
      <c r="BN161" s="6083"/>
      <c r="BO161" s="6083"/>
      <c r="BP161" s="6083"/>
      <c r="BQ161" s="6083"/>
      <c r="BR161" s="6083"/>
      <c r="BS161" s="6083"/>
      <c r="BT161" s="6083"/>
      <c r="BU161" s="6083"/>
      <c r="BV161" s="6083"/>
      <c r="BW161" s="6083"/>
      <c r="BX161" s="6083"/>
      <c r="BY161" s="6083"/>
      <c r="BZ161" s="6083"/>
      <c r="CA161" s="6083"/>
      <c r="CB161" s="6083"/>
      <c r="CC161" s="6083"/>
      <c r="CD161" s="6083"/>
      <c r="CE161" s="6083"/>
      <c r="CF161" s="6083"/>
      <c r="CG161" s="6083"/>
      <c r="CH161" s="6083"/>
      <c r="CI161" s="6083"/>
      <c r="CJ161" s="6084"/>
      <c r="CK161" s="6058"/>
      <c r="CO161" s="6055"/>
      <c r="CP161" s="6082"/>
      <c r="CQ161" s="6083"/>
      <c r="CR161" s="6083"/>
      <c r="CS161" s="6083"/>
      <c r="CT161" s="6083"/>
      <c r="CU161" s="6083"/>
      <c r="CV161" s="6083"/>
      <c r="CW161" s="6083"/>
      <c r="CX161" s="6083"/>
      <c r="CY161" s="6083"/>
      <c r="CZ161" s="6083"/>
      <c r="DA161" s="6083"/>
      <c r="DB161" s="6083"/>
      <c r="DC161" s="6083"/>
      <c r="DD161" s="6083"/>
      <c r="DE161" s="6083"/>
      <c r="DF161" s="6083"/>
      <c r="DG161" s="6083"/>
      <c r="DH161" s="6083"/>
      <c r="DI161" s="6083"/>
      <c r="DJ161" s="6083"/>
      <c r="DK161" s="6083"/>
      <c r="DL161" s="6083"/>
      <c r="DM161" s="6083"/>
      <c r="DN161" s="6083"/>
      <c r="DO161" s="6083"/>
      <c r="DP161" s="6083"/>
      <c r="DQ161" s="6083"/>
      <c r="DR161" s="6083"/>
      <c r="DS161" s="6083"/>
      <c r="DT161" s="6083"/>
      <c r="DU161" s="6083"/>
      <c r="DV161" s="6083"/>
      <c r="DW161" s="6083"/>
      <c r="DX161" s="6083"/>
      <c r="DY161" s="6083"/>
      <c r="DZ161" s="6083"/>
      <c r="EA161" s="6083"/>
      <c r="EB161" s="6083"/>
      <c r="EC161" s="6084"/>
      <c r="ED161" s="6058"/>
      <c r="EH161" s="6055"/>
      <c r="EI161" s="6082"/>
      <c r="EJ161" s="6083"/>
      <c r="EK161" s="6083"/>
      <c r="EL161" s="6083"/>
      <c r="EM161" s="6083"/>
      <c r="EN161" s="6083"/>
      <c r="EO161" s="6083"/>
      <c r="EP161" s="6083"/>
      <c r="EQ161" s="6083"/>
      <c r="ER161" s="6083"/>
      <c r="ES161" s="6083"/>
      <c r="ET161" s="6083"/>
      <c r="EU161" s="6083"/>
      <c r="EV161" s="6083"/>
      <c r="EW161" s="6083"/>
      <c r="EX161" s="6083"/>
      <c r="EY161" s="6083"/>
      <c r="EZ161" s="6083"/>
      <c r="FA161" s="6083"/>
      <c r="FB161" s="6083"/>
      <c r="FC161" s="6083"/>
      <c r="FD161" s="6083"/>
      <c r="FE161" s="6083"/>
      <c r="FF161" s="6083"/>
      <c r="FG161" s="6083"/>
      <c r="FH161" s="6083"/>
      <c r="FI161" s="6083"/>
      <c r="FJ161" s="6083"/>
      <c r="FK161" s="6083"/>
      <c r="FL161" s="6083"/>
      <c r="FM161" s="6083"/>
      <c r="FN161" s="6083"/>
      <c r="FO161" s="6083"/>
      <c r="FP161" s="6083"/>
      <c r="FQ161" s="6083"/>
      <c r="FR161" s="6083"/>
      <c r="FS161" s="6083"/>
      <c r="FT161" s="6083"/>
      <c r="FU161" s="6083"/>
      <c r="FV161" s="6084"/>
      <c r="FW161" s="6058"/>
      <c r="GA161" s="6055"/>
      <c r="GB161" s="6082"/>
      <c r="GC161" s="6083"/>
      <c r="GD161" s="6083"/>
      <c r="GE161" s="6083"/>
      <c r="GF161" s="6083"/>
      <c r="GG161" s="6083"/>
      <c r="GH161" s="6083"/>
      <c r="GI161" s="6083"/>
      <c r="GJ161" s="6083"/>
      <c r="GK161" s="6083"/>
      <c r="GL161" s="6083"/>
      <c r="GM161" s="6083"/>
      <c r="GN161" s="6083"/>
      <c r="GO161" s="6083"/>
      <c r="GP161" s="6083"/>
      <c r="GQ161" s="6083"/>
      <c r="GR161" s="6083"/>
      <c r="GS161" s="6083"/>
      <c r="GT161" s="6083"/>
      <c r="GU161" s="6083"/>
      <c r="GV161" s="6083"/>
      <c r="GW161" s="6083"/>
      <c r="GX161" s="6083"/>
      <c r="GY161" s="6083"/>
      <c r="GZ161" s="6083"/>
      <c r="HA161" s="6083"/>
      <c r="HB161" s="6083"/>
      <c r="HC161" s="6083"/>
      <c r="HD161" s="6083"/>
      <c r="HE161" s="6083"/>
      <c r="HF161" s="6083"/>
      <c r="HG161" s="6083"/>
      <c r="HH161" s="6083"/>
      <c r="HI161" s="6083"/>
      <c r="HJ161" s="6083"/>
      <c r="HK161" s="6083"/>
      <c r="HL161" s="6083"/>
      <c r="HM161" s="6083"/>
      <c r="HN161" s="6083"/>
      <c r="HO161" s="6084"/>
      <c r="HP161" s="6058"/>
      <c r="HT161" s="6055"/>
      <c r="HU161" s="6082"/>
      <c r="HV161" s="6083"/>
      <c r="HW161" s="6083"/>
      <c r="HX161" s="6083"/>
      <c r="HY161" s="6083"/>
      <c r="HZ161" s="6083"/>
      <c r="IA161" s="6083"/>
      <c r="IB161" s="6083"/>
      <c r="IC161" s="6083"/>
      <c r="ID161" s="6083"/>
      <c r="IE161" s="6083"/>
      <c r="IF161" s="6083"/>
      <c r="IG161" s="6083"/>
      <c r="IH161" s="6083"/>
      <c r="II161" s="6083"/>
      <c r="IJ161" s="6083"/>
      <c r="IK161" s="6083"/>
      <c r="IL161" s="6083"/>
      <c r="IM161" s="6083"/>
      <c r="IN161" s="6083"/>
      <c r="IO161" s="6083"/>
      <c r="IP161" s="6083"/>
      <c r="IQ161" s="6083"/>
      <c r="IR161" s="6083"/>
      <c r="IS161" s="6083"/>
      <c r="IT161" s="6083"/>
      <c r="IU161" s="6083"/>
      <c r="IV161" s="6083"/>
      <c r="IW161" s="6083"/>
      <c r="IX161" s="6083"/>
      <c r="IY161" s="6083"/>
      <c r="IZ161" s="6083"/>
      <c r="JA161" s="6083"/>
      <c r="JB161" s="6083"/>
      <c r="JC161" s="6083"/>
      <c r="JD161" s="6083"/>
      <c r="JE161" s="6083"/>
      <c r="JF161" s="6083"/>
      <c r="JG161" s="6083"/>
      <c r="JH161" s="6084"/>
      <c r="JI161" s="6058"/>
      <c r="JM161" s="6055"/>
      <c r="JN161" s="6082"/>
      <c r="JO161" s="6083"/>
      <c r="JP161" s="6083"/>
      <c r="JQ161" s="6083"/>
      <c r="JR161" s="6083"/>
      <c r="JS161" s="6083"/>
      <c r="JT161" s="6083"/>
      <c r="JU161" s="6083"/>
      <c r="JV161" s="6083"/>
      <c r="JW161" s="6083"/>
      <c r="JX161" s="6083"/>
      <c r="JY161" s="6083"/>
      <c r="JZ161" s="6083"/>
      <c r="KA161" s="6083"/>
      <c r="KB161" s="6083"/>
      <c r="KC161" s="6083"/>
      <c r="KD161" s="6083"/>
      <c r="KE161" s="6083"/>
      <c r="KF161" s="6083"/>
      <c r="KG161" s="6083"/>
      <c r="KH161" s="6083"/>
      <c r="KI161" s="6083"/>
      <c r="KJ161" s="6083"/>
      <c r="KK161" s="6083"/>
      <c r="KL161" s="6083"/>
      <c r="KM161" s="6083"/>
      <c r="KN161" s="6083"/>
      <c r="KO161" s="6083"/>
      <c r="KP161" s="6083"/>
      <c r="KQ161" s="6083"/>
      <c r="KR161" s="6083"/>
      <c r="KS161" s="6083"/>
      <c r="KT161" s="6083"/>
      <c r="KU161" s="6083"/>
      <c r="KV161" s="6083"/>
      <c r="KW161" s="6083"/>
      <c r="KX161" s="6083"/>
      <c r="KY161" s="6083"/>
      <c r="KZ161" s="6083"/>
      <c r="LA161" s="6084"/>
      <c r="LB161" s="6058"/>
      <c r="LF161" s="6055"/>
      <c r="LG161" s="6082"/>
      <c r="LH161" s="6083"/>
      <c r="LI161" s="6083"/>
      <c r="LJ161" s="6083"/>
      <c r="LK161" s="6083"/>
      <c r="LL161" s="6083"/>
      <c r="LM161" s="6083"/>
      <c r="LN161" s="6083"/>
      <c r="LO161" s="6083"/>
      <c r="LP161" s="6083"/>
      <c r="LQ161" s="6083"/>
      <c r="LR161" s="6083"/>
      <c r="LS161" s="6083"/>
      <c r="LT161" s="6083"/>
      <c r="LU161" s="6083"/>
      <c r="LV161" s="6083"/>
      <c r="LW161" s="6083"/>
      <c r="LX161" s="6083"/>
      <c r="LY161" s="6083"/>
      <c r="LZ161" s="6083"/>
      <c r="MA161" s="6083"/>
      <c r="MB161" s="6083"/>
      <c r="MC161" s="6083"/>
      <c r="MD161" s="6083"/>
      <c r="ME161" s="6083"/>
      <c r="MF161" s="6083"/>
      <c r="MG161" s="6083"/>
      <c r="MH161" s="6083"/>
      <c r="MI161" s="6083"/>
      <c r="MJ161" s="6083"/>
      <c r="MK161" s="6083"/>
      <c r="ML161" s="6083"/>
      <c r="MM161" s="6083"/>
      <c r="MN161" s="6083"/>
      <c r="MO161" s="6083"/>
      <c r="MP161" s="6083"/>
      <c r="MQ161" s="6083"/>
      <c r="MR161" s="6083"/>
      <c r="MS161" s="6083"/>
      <c r="MT161" s="6084"/>
      <c r="MU161" s="6058"/>
      <c r="MY161" s="6055"/>
      <c r="MZ161" s="6082"/>
      <c r="NA161" s="6083"/>
      <c r="NB161" s="6083"/>
      <c r="NC161" s="6083"/>
      <c r="ND161" s="6083"/>
      <c r="NE161" s="6083"/>
      <c r="NF161" s="6083"/>
      <c r="NG161" s="6083"/>
      <c r="NH161" s="6083"/>
      <c r="NI161" s="6083"/>
      <c r="NJ161" s="6083"/>
      <c r="NK161" s="6083"/>
      <c r="NL161" s="6083"/>
      <c r="NM161" s="6083"/>
      <c r="NN161" s="6083"/>
      <c r="NO161" s="6083"/>
      <c r="NP161" s="6083"/>
      <c r="NQ161" s="6083"/>
      <c r="NR161" s="6083"/>
      <c r="NS161" s="6083"/>
      <c r="NT161" s="6083"/>
      <c r="NU161" s="6083"/>
      <c r="NV161" s="6083"/>
      <c r="NW161" s="6083"/>
      <c r="NX161" s="6083"/>
      <c r="NY161" s="6083"/>
      <c r="NZ161" s="6083"/>
      <c r="OA161" s="6083"/>
      <c r="OB161" s="6083"/>
      <c r="OC161" s="6083"/>
      <c r="OD161" s="6083"/>
      <c r="OE161" s="6083"/>
      <c r="OF161" s="6083"/>
      <c r="OG161" s="6083"/>
      <c r="OH161" s="6083"/>
      <c r="OI161" s="6083"/>
      <c r="OJ161" s="6083"/>
      <c r="OK161" s="6083"/>
      <c r="OL161" s="6083"/>
      <c r="OM161" s="6084"/>
      <c r="ON161" s="6058"/>
    </row>
    <row r="162" spans="3:405" ht="408.95" customHeight="1" x14ac:dyDescent="0.2">
      <c r="C162" s="6055"/>
      <c r="D162" s="6040"/>
      <c r="E162" s="6782" t="str">
        <f>_Calcs!$IK$156</f>
        <v>-</v>
      </c>
      <c r="F162" s="6782"/>
      <c r="G162" s="6782"/>
      <c r="H162" s="6782"/>
      <c r="I162" s="6782"/>
      <c r="J162" s="6782"/>
      <c r="K162" s="6782"/>
      <c r="L162" s="6782"/>
      <c r="M162" s="6782"/>
      <c r="N162" s="6782"/>
      <c r="O162" s="6782"/>
      <c r="P162" s="6782"/>
      <c r="Q162" s="6782"/>
      <c r="R162" s="6782"/>
      <c r="S162" s="6782"/>
      <c r="T162" s="6782"/>
      <c r="U162" s="6782"/>
      <c r="V162" s="6782"/>
      <c r="W162" s="6782"/>
      <c r="X162" s="6782"/>
      <c r="Y162" s="6782"/>
      <c r="Z162" s="6782"/>
      <c r="AA162" s="6782"/>
      <c r="AB162" s="6782"/>
      <c r="AC162" s="6782"/>
      <c r="AD162" s="6782"/>
      <c r="AE162" s="6782"/>
      <c r="AF162" s="6782"/>
      <c r="AG162" s="6782"/>
      <c r="AH162" s="6782"/>
      <c r="AI162" s="6782"/>
      <c r="AJ162" s="6782"/>
      <c r="AK162" s="6782"/>
      <c r="AL162" s="6782"/>
      <c r="AM162" s="6782"/>
      <c r="AN162" s="6782"/>
      <c r="AO162" s="6782"/>
      <c r="AP162" s="6782"/>
      <c r="AQ162" s="6085"/>
      <c r="AR162" s="6058"/>
      <c r="AV162" s="6055"/>
      <c r="AW162" s="6040"/>
      <c r="AX162" s="6782" t="str">
        <f>_Calcs!$IL$156</f>
        <v>-</v>
      </c>
      <c r="AY162" s="6782"/>
      <c r="AZ162" s="6782"/>
      <c r="BA162" s="6782"/>
      <c r="BB162" s="6782"/>
      <c r="BC162" s="6782"/>
      <c r="BD162" s="6782"/>
      <c r="BE162" s="6782"/>
      <c r="BF162" s="6782"/>
      <c r="BG162" s="6782"/>
      <c r="BH162" s="6782"/>
      <c r="BI162" s="6782"/>
      <c r="BJ162" s="6782"/>
      <c r="BK162" s="6782"/>
      <c r="BL162" s="6782"/>
      <c r="BM162" s="6782"/>
      <c r="BN162" s="6782"/>
      <c r="BO162" s="6782"/>
      <c r="BP162" s="6782"/>
      <c r="BQ162" s="6782"/>
      <c r="BR162" s="6782"/>
      <c r="BS162" s="6782"/>
      <c r="BT162" s="6782"/>
      <c r="BU162" s="6782"/>
      <c r="BV162" s="6782"/>
      <c r="BW162" s="6782"/>
      <c r="BX162" s="6782"/>
      <c r="BY162" s="6782"/>
      <c r="BZ162" s="6782"/>
      <c r="CA162" s="6782"/>
      <c r="CB162" s="6782"/>
      <c r="CC162" s="6782"/>
      <c r="CD162" s="6782"/>
      <c r="CE162" s="6782"/>
      <c r="CF162" s="6782"/>
      <c r="CG162" s="6782"/>
      <c r="CH162" s="6782"/>
      <c r="CI162" s="6782"/>
      <c r="CJ162" s="6085"/>
      <c r="CK162" s="6058"/>
      <c r="CO162" s="6055"/>
      <c r="CP162" s="6040"/>
      <c r="CQ162" s="6782" t="str">
        <f>_Calcs!$IM$156</f>
        <v>-</v>
      </c>
      <c r="CR162" s="6782"/>
      <c r="CS162" s="6782"/>
      <c r="CT162" s="6782"/>
      <c r="CU162" s="6782"/>
      <c r="CV162" s="6782"/>
      <c r="CW162" s="6782"/>
      <c r="CX162" s="6782"/>
      <c r="CY162" s="6782"/>
      <c r="CZ162" s="6782"/>
      <c r="DA162" s="6782"/>
      <c r="DB162" s="6782"/>
      <c r="DC162" s="6782"/>
      <c r="DD162" s="6782"/>
      <c r="DE162" s="6782"/>
      <c r="DF162" s="6782"/>
      <c r="DG162" s="6782"/>
      <c r="DH162" s="6782"/>
      <c r="DI162" s="6782"/>
      <c r="DJ162" s="6782"/>
      <c r="DK162" s="6782"/>
      <c r="DL162" s="6782"/>
      <c r="DM162" s="6782"/>
      <c r="DN162" s="6782"/>
      <c r="DO162" s="6782"/>
      <c r="DP162" s="6782"/>
      <c r="DQ162" s="6782"/>
      <c r="DR162" s="6782"/>
      <c r="DS162" s="6782"/>
      <c r="DT162" s="6782"/>
      <c r="DU162" s="6782"/>
      <c r="DV162" s="6782"/>
      <c r="DW162" s="6782"/>
      <c r="DX162" s="6782"/>
      <c r="DY162" s="6782"/>
      <c r="DZ162" s="6782"/>
      <c r="EA162" s="6782"/>
      <c r="EB162" s="6782"/>
      <c r="EC162" s="6085"/>
      <c r="ED162" s="6058"/>
      <c r="EH162" s="6055"/>
      <c r="EI162" s="6040"/>
      <c r="EJ162" s="6782" t="str">
        <f>_Calcs!$IN$156</f>
        <v>-</v>
      </c>
      <c r="EK162" s="6782"/>
      <c r="EL162" s="6782"/>
      <c r="EM162" s="6782"/>
      <c r="EN162" s="6782"/>
      <c r="EO162" s="6782"/>
      <c r="EP162" s="6782"/>
      <c r="EQ162" s="6782"/>
      <c r="ER162" s="6782"/>
      <c r="ES162" s="6782"/>
      <c r="ET162" s="6782"/>
      <c r="EU162" s="6782"/>
      <c r="EV162" s="6782"/>
      <c r="EW162" s="6782"/>
      <c r="EX162" s="6782"/>
      <c r="EY162" s="6782"/>
      <c r="EZ162" s="6782"/>
      <c r="FA162" s="6782"/>
      <c r="FB162" s="6782"/>
      <c r="FC162" s="6782"/>
      <c r="FD162" s="6782"/>
      <c r="FE162" s="6782"/>
      <c r="FF162" s="6782"/>
      <c r="FG162" s="6782"/>
      <c r="FH162" s="6782"/>
      <c r="FI162" s="6782"/>
      <c r="FJ162" s="6782"/>
      <c r="FK162" s="6782"/>
      <c r="FL162" s="6782"/>
      <c r="FM162" s="6782"/>
      <c r="FN162" s="6782"/>
      <c r="FO162" s="6782"/>
      <c r="FP162" s="6782"/>
      <c r="FQ162" s="6782"/>
      <c r="FR162" s="6782"/>
      <c r="FS162" s="6782"/>
      <c r="FT162" s="6782"/>
      <c r="FU162" s="6782"/>
      <c r="FV162" s="6085"/>
      <c r="FW162" s="6058"/>
      <c r="GA162" s="6055"/>
      <c r="GB162" s="6040"/>
      <c r="GC162" s="6782" t="str">
        <f>_Calcs!$IO$156</f>
        <v>-</v>
      </c>
      <c r="GD162" s="6782"/>
      <c r="GE162" s="6782"/>
      <c r="GF162" s="6782"/>
      <c r="GG162" s="6782"/>
      <c r="GH162" s="6782"/>
      <c r="GI162" s="6782"/>
      <c r="GJ162" s="6782"/>
      <c r="GK162" s="6782"/>
      <c r="GL162" s="6782"/>
      <c r="GM162" s="6782"/>
      <c r="GN162" s="6782"/>
      <c r="GO162" s="6782"/>
      <c r="GP162" s="6782"/>
      <c r="GQ162" s="6782"/>
      <c r="GR162" s="6782"/>
      <c r="GS162" s="6782"/>
      <c r="GT162" s="6782"/>
      <c r="GU162" s="6782"/>
      <c r="GV162" s="6782"/>
      <c r="GW162" s="6782"/>
      <c r="GX162" s="6782"/>
      <c r="GY162" s="6782"/>
      <c r="GZ162" s="6782"/>
      <c r="HA162" s="6782"/>
      <c r="HB162" s="6782"/>
      <c r="HC162" s="6782"/>
      <c r="HD162" s="6782"/>
      <c r="HE162" s="6782"/>
      <c r="HF162" s="6782"/>
      <c r="HG162" s="6782"/>
      <c r="HH162" s="6782"/>
      <c r="HI162" s="6782"/>
      <c r="HJ162" s="6782"/>
      <c r="HK162" s="6782"/>
      <c r="HL162" s="6782"/>
      <c r="HM162" s="6782"/>
      <c r="HN162" s="6782"/>
      <c r="HO162" s="6085"/>
      <c r="HP162" s="6058"/>
      <c r="HT162" s="6055"/>
      <c r="HU162" s="6040"/>
      <c r="HV162" s="6782" t="str">
        <f>_Calcs!$IP$156</f>
        <v>-</v>
      </c>
      <c r="HW162" s="6782"/>
      <c r="HX162" s="6782"/>
      <c r="HY162" s="6782"/>
      <c r="HZ162" s="6782"/>
      <c r="IA162" s="6782"/>
      <c r="IB162" s="6782"/>
      <c r="IC162" s="6782"/>
      <c r="ID162" s="6782"/>
      <c r="IE162" s="6782"/>
      <c r="IF162" s="6782"/>
      <c r="IG162" s="6782"/>
      <c r="IH162" s="6782"/>
      <c r="II162" s="6782"/>
      <c r="IJ162" s="6782"/>
      <c r="IK162" s="6782"/>
      <c r="IL162" s="6782"/>
      <c r="IM162" s="6782"/>
      <c r="IN162" s="6782"/>
      <c r="IO162" s="6782"/>
      <c r="IP162" s="6782"/>
      <c r="IQ162" s="6782"/>
      <c r="IR162" s="6782"/>
      <c r="IS162" s="6782"/>
      <c r="IT162" s="6782"/>
      <c r="IU162" s="6782"/>
      <c r="IV162" s="6782"/>
      <c r="IW162" s="6782"/>
      <c r="IX162" s="6782"/>
      <c r="IY162" s="6782"/>
      <c r="IZ162" s="6782"/>
      <c r="JA162" s="6782"/>
      <c r="JB162" s="6782"/>
      <c r="JC162" s="6782"/>
      <c r="JD162" s="6782"/>
      <c r="JE162" s="6782"/>
      <c r="JF162" s="6782"/>
      <c r="JG162" s="6782"/>
      <c r="JH162" s="6085"/>
      <c r="JI162" s="6058"/>
      <c r="JM162" s="6055"/>
      <c r="JN162" s="6040"/>
      <c r="JO162" s="6782" t="str">
        <f>_Calcs!$IQ$156</f>
        <v>-</v>
      </c>
      <c r="JP162" s="6782"/>
      <c r="JQ162" s="6782"/>
      <c r="JR162" s="6782"/>
      <c r="JS162" s="6782"/>
      <c r="JT162" s="6782"/>
      <c r="JU162" s="6782"/>
      <c r="JV162" s="6782"/>
      <c r="JW162" s="6782"/>
      <c r="JX162" s="6782"/>
      <c r="JY162" s="6782"/>
      <c r="JZ162" s="6782"/>
      <c r="KA162" s="6782"/>
      <c r="KB162" s="6782"/>
      <c r="KC162" s="6782"/>
      <c r="KD162" s="6782"/>
      <c r="KE162" s="6782"/>
      <c r="KF162" s="6782"/>
      <c r="KG162" s="6782"/>
      <c r="KH162" s="6782"/>
      <c r="KI162" s="6782"/>
      <c r="KJ162" s="6782"/>
      <c r="KK162" s="6782"/>
      <c r="KL162" s="6782"/>
      <c r="KM162" s="6782"/>
      <c r="KN162" s="6782"/>
      <c r="KO162" s="6782"/>
      <c r="KP162" s="6782"/>
      <c r="KQ162" s="6782"/>
      <c r="KR162" s="6782"/>
      <c r="KS162" s="6782"/>
      <c r="KT162" s="6782"/>
      <c r="KU162" s="6782"/>
      <c r="KV162" s="6782"/>
      <c r="KW162" s="6782"/>
      <c r="KX162" s="6782"/>
      <c r="KY162" s="6782"/>
      <c r="KZ162" s="6782"/>
      <c r="LA162" s="6085"/>
      <c r="LB162" s="6058"/>
      <c r="LF162" s="6055"/>
      <c r="LG162" s="6040"/>
      <c r="LH162" s="6782" t="str">
        <f>_Calcs!$IR$156</f>
        <v>-</v>
      </c>
      <c r="LI162" s="6782"/>
      <c r="LJ162" s="6782"/>
      <c r="LK162" s="6782"/>
      <c r="LL162" s="6782"/>
      <c r="LM162" s="6782"/>
      <c r="LN162" s="6782"/>
      <c r="LO162" s="6782"/>
      <c r="LP162" s="6782"/>
      <c r="LQ162" s="6782"/>
      <c r="LR162" s="6782"/>
      <c r="LS162" s="6782"/>
      <c r="LT162" s="6782"/>
      <c r="LU162" s="6782"/>
      <c r="LV162" s="6782"/>
      <c r="LW162" s="6782"/>
      <c r="LX162" s="6782"/>
      <c r="LY162" s="6782"/>
      <c r="LZ162" s="6782"/>
      <c r="MA162" s="6782"/>
      <c r="MB162" s="6782"/>
      <c r="MC162" s="6782"/>
      <c r="MD162" s="6782"/>
      <c r="ME162" s="6782"/>
      <c r="MF162" s="6782"/>
      <c r="MG162" s="6782"/>
      <c r="MH162" s="6782"/>
      <c r="MI162" s="6782"/>
      <c r="MJ162" s="6782"/>
      <c r="MK162" s="6782"/>
      <c r="ML162" s="6782"/>
      <c r="MM162" s="6782"/>
      <c r="MN162" s="6782"/>
      <c r="MO162" s="6782"/>
      <c r="MP162" s="6782"/>
      <c r="MQ162" s="6782"/>
      <c r="MR162" s="6782"/>
      <c r="MS162" s="6782"/>
      <c r="MT162" s="6085"/>
      <c r="MU162" s="6058"/>
      <c r="MY162" s="6055"/>
      <c r="MZ162" s="6040"/>
      <c r="NA162" s="6782" t="str">
        <f>_Calcs!$IS$156</f>
        <v>-</v>
      </c>
      <c r="NB162" s="6782"/>
      <c r="NC162" s="6782"/>
      <c r="ND162" s="6782"/>
      <c r="NE162" s="6782"/>
      <c r="NF162" s="6782"/>
      <c r="NG162" s="6782"/>
      <c r="NH162" s="6782"/>
      <c r="NI162" s="6782"/>
      <c r="NJ162" s="6782"/>
      <c r="NK162" s="6782"/>
      <c r="NL162" s="6782"/>
      <c r="NM162" s="6782"/>
      <c r="NN162" s="6782"/>
      <c r="NO162" s="6782"/>
      <c r="NP162" s="6782"/>
      <c r="NQ162" s="6782"/>
      <c r="NR162" s="6782"/>
      <c r="NS162" s="6782"/>
      <c r="NT162" s="6782"/>
      <c r="NU162" s="6782"/>
      <c r="NV162" s="6782"/>
      <c r="NW162" s="6782"/>
      <c r="NX162" s="6782"/>
      <c r="NY162" s="6782"/>
      <c r="NZ162" s="6782"/>
      <c r="OA162" s="6782"/>
      <c r="OB162" s="6782"/>
      <c r="OC162" s="6782"/>
      <c r="OD162" s="6782"/>
      <c r="OE162" s="6782"/>
      <c r="OF162" s="6782"/>
      <c r="OG162" s="6782"/>
      <c r="OH162" s="6782"/>
      <c r="OI162" s="6782"/>
      <c r="OJ162" s="6782"/>
      <c r="OK162" s="6782"/>
      <c r="OL162" s="6782"/>
      <c r="OM162" s="6085"/>
      <c r="ON162" s="6058"/>
    </row>
    <row r="163" spans="3:405" ht="8.1" customHeight="1" thickBot="1" x14ac:dyDescent="0.25">
      <c r="C163" s="6055"/>
      <c r="D163" s="6044"/>
      <c r="E163" s="6046"/>
      <c r="F163" s="6046"/>
      <c r="G163" s="6046"/>
      <c r="H163" s="6046"/>
      <c r="I163" s="6046"/>
      <c r="J163" s="6046"/>
      <c r="K163" s="6046"/>
      <c r="L163" s="6046"/>
      <c r="M163" s="6046"/>
      <c r="N163" s="6046"/>
      <c r="O163" s="6046"/>
      <c r="P163" s="6046"/>
      <c r="Q163" s="6046"/>
      <c r="R163" s="6046"/>
      <c r="S163" s="6046"/>
      <c r="T163" s="6046"/>
      <c r="U163" s="6046"/>
      <c r="V163" s="6086"/>
      <c r="W163" s="6086"/>
      <c r="X163" s="6086"/>
      <c r="Y163" s="6086"/>
      <c r="Z163" s="6086"/>
      <c r="AA163" s="6046"/>
      <c r="AB163" s="6086"/>
      <c r="AC163" s="6086"/>
      <c r="AD163" s="6086"/>
      <c r="AE163" s="6046"/>
      <c r="AF163" s="6086"/>
      <c r="AG163" s="6086"/>
      <c r="AH163" s="6086"/>
      <c r="AI163" s="6086"/>
      <c r="AJ163" s="6086"/>
      <c r="AK163" s="6086"/>
      <c r="AL163" s="6086"/>
      <c r="AM163" s="6086"/>
      <c r="AN163" s="6086"/>
      <c r="AO163" s="6086"/>
      <c r="AP163" s="6086"/>
      <c r="AQ163" s="6048"/>
      <c r="AR163" s="6058"/>
      <c r="AV163" s="6055"/>
      <c r="AW163" s="6044"/>
      <c r="AX163" s="6046"/>
      <c r="AY163" s="6046"/>
      <c r="AZ163" s="6046"/>
      <c r="BA163" s="6046"/>
      <c r="BB163" s="6046"/>
      <c r="BC163" s="6046"/>
      <c r="BD163" s="6046"/>
      <c r="BE163" s="6046"/>
      <c r="BF163" s="6046"/>
      <c r="BG163" s="6046"/>
      <c r="BH163" s="6046"/>
      <c r="BI163" s="6046"/>
      <c r="BJ163" s="6046"/>
      <c r="BK163" s="6046"/>
      <c r="BL163" s="6046"/>
      <c r="BM163" s="6046"/>
      <c r="BN163" s="6046"/>
      <c r="BO163" s="6086"/>
      <c r="BP163" s="6086"/>
      <c r="BQ163" s="6086"/>
      <c r="BR163" s="6086"/>
      <c r="BS163" s="6086"/>
      <c r="BT163" s="6046"/>
      <c r="BU163" s="6086"/>
      <c r="BV163" s="6086"/>
      <c r="BW163" s="6086"/>
      <c r="BX163" s="6046"/>
      <c r="BY163" s="6086"/>
      <c r="BZ163" s="6086"/>
      <c r="CA163" s="6086"/>
      <c r="CB163" s="6086"/>
      <c r="CC163" s="6086"/>
      <c r="CD163" s="6086"/>
      <c r="CE163" s="6086"/>
      <c r="CF163" s="6086"/>
      <c r="CG163" s="6086"/>
      <c r="CH163" s="6086"/>
      <c r="CI163" s="6086"/>
      <c r="CJ163" s="6048"/>
      <c r="CK163" s="6058"/>
      <c r="CO163" s="6055"/>
      <c r="CP163" s="6044"/>
      <c r="CQ163" s="6046"/>
      <c r="CR163" s="6046"/>
      <c r="CS163" s="6046"/>
      <c r="CT163" s="6046"/>
      <c r="CU163" s="6046"/>
      <c r="CV163" s="6046"/>
      <c r="CW163" s="6046"/>
      <c r="CX163" s="6046"/>
      <c r="CY163" s="6046"/>
      <c r="CZ163" s="6046"/>
      <c r="DA163" s="6046"/>
      <c r="DB163" s="6046"/>
      <c r="DC163" s="6046"/>
      <c r="DD163" s="6046"/>
      <c r="DE163" s="6046"/>
      <c r="DF163" s="6046"/>
      <c r="DG163" s="6046"/>
      <c r="DH163" s="6086"/>
      <c r="DI163" s="6086"/>
      <c r="DJ163" s="6086"/>
      <c r="DK163" s="6086"/>
      <c r="DL163" s="6086"/>
      <c r="DM163" s="6046"/>
      <c r="DN163" s="6086"/>
      <c r="DO163" s="6086"/>
      <c r="DP163" s="6086"/>
      <c r="DQ163" s="6046"/>
      <c r="DR163" s="6086"/>
      <c r="DS163" s="6086"/>
      <c r="DT163" s="6086"/>
      <c r="DU163" s="6086"/>
      <c r="DV163" s="6086"/>
      <c r="DW163" s="6086"/>
      <c r="DX163" s="6086"/>
      <c r="DY163" s="6086"/>
      <c r="DZ163" s="6086"/>
      <c r="EA163" s="6086"/>
      <c r="EB163" s="6086"/>
      <c r="EC163" s="6048"/>
      <c r="ED163" s="6058"/>
      <c r="EH163" s="6055"/>
      <c r="EI163" s="6044"/>
      <c r="EJ163" s="6046"/>
      <c r="EK163" s="6046"/>
      <c r="EL163" s="6046"/>
      <c r="EM163" s="6046"/>
      <c r="EN163" s="6046"/>
      <c r="EO163" s="6046"/>
      <c r="EP163" s="6046"/>
      <c r="EQ163" s="6046"/>
      <c r="ER163" s="6046"/>
      <c r="ES163" s="6046"/>
      <c r="ET163" s="6046"/>
      <c r="EU163" s="6046"/>
      <c r="EV163" s="6046"/>
      <c r="EW163" s="6046"/>
      <c r="EX163" s="6046"/>
      <c r="EY163" s="6046"/>
      <c r="EZ163" s="6046"/>
      <c r="FA163" s="6086"/>
      <c r="FB163" s="6086"/>
      <c r="FC163" s="6086"/>
      <c r="FD163" s="6086"/>
      <c r="FE163" s="6086"/>
      <c r="FF163" s="6046"/>
      <c r="FG163" s="6086"/>
      <c r="FH163" s="6086"/>
      <c r="FI163" s="6086"/>
      <c r="FJ163" s="6046"/>
      <c r="FK163" s="6086"/>
      <c r="FL163" s="6086"/>
      <c r="FM163" s="6086"/>
      <c r="FN163" s="6086"/>
      <c r="FO163" s="6086"/>
      <c r="FP163" s="6086"/>
      <c r="FQ163" s="6086"/>
      <c r="FR163" s="6086"/>
      <c r="FS163" s="6086"/>
      <c r="FT163" s="6086"/>
      <c r="FU163" s="6086"/>
      <c r="FV163" s="6048"/>
      <c r="FW163" s="6058"/>
      <c r="GA163" s="6055"/>
      <c r="GB163" s="6044"/>
      <c r="GC163" s="6046"/>
      <c r="GD163" s="6046"/>
      <c r="GE163" s="6046"/>
      <c r="GF163" s="6046"/>
      <c r="GG163" s="6046"/>
      <c r="GH163" s="6046"/>
      <c r="GI163" s="6046"/>
      <c r="GJ163" s="6046"/>
      <c r="GK163" s="6046"/>
      <c r="GL163" s="6046"/>
      <c r="GM163" s="6046"/>
      <c r="GN163" s="6046"/>
      <c r="GO163" s="6046"/>
      <c r="GP163" s="6046"/>
      <c r="GQ163" s="6046"/>
      <c r="GR163" s="6046"/>
      <c r="GS163" s="6046"/>
      <c r="GT163" s="6086"/>
      <c r="GU163" s="6086"/>
      <c r="GV163" s="6086"/>
      <c r="GW163" s="6086"/>
      <c r="GX163" s="6086"/>
      <c r="GY163" s="6046"/>
      <c r="GZ163" s="6086"/>
      <c r="HA163" s="6086"/>
      <c r="HB163" s="6086"/>
      <c r="HC163" s="6046"/>
      <c r="HD163" s="6086"/>
      <c r="HE163" s="6086"/>
      <c r="HF163" s="6086"/>
      <c r="HG163" s="6086"/>
      <c r="HH163" s="6086"/>
      <c r="HI163" s="6086"/>
      <c r="HJ163" s="6086"/>
      <c r="HK163" s="6086"/>
      <c r="HL163" s="6086"/>
      <c r="HM163" s="6086"/>
      <c r="HN163" s="6086"/>
      <c r="HO163" s="6048"/>
      <c r="HP163" s="6058"/>
      <c r="HT163" s="6055"/>
      <c r="HU163" s="6044"/>
      <c r="HV163" s="6046"/>
      <c r="HW163" s="6046"/>
      <c r="HX163" s="6046"/>
      <c r="HY163" s="6046"/>
      <c r="HZ163" s="6046"/>
      <c r="IA163" s="6046"/>
      <c r="IB163" s="6046"/>
      <c r="IC163" s="6046"/>
      <c r="ID163" s="6046"/>
      <c r="IE163" s="6046"/>
      <c r="IF163" s="6046"/>
      <c r="IG163" s="6046"/>
      <c r="IH163" s="6046"/>
      <c r="II163" s="6046"/>
      <c r="IJ163" s="6046"/>
      <c r="IK163" s="6046"/>
      <c r="IL163" s="6046"/>
      <c r="IM163" s="6086"/>
      <c r="IN163" s="6086"/>
      <c r="IO163" s="6086"/>
      <c r="IP163" s="6086"/>
      <c r="IQ163" s="6086"/>
      <c r="IR163" s="6046"/>
      <c r="IS163" s="6086"/>
      <c r="IT163" s="6086"/>
      <c r="IU163" s="6086"/>
      <c r="IV163" s="6046"/>
      <c r="IW163" s="6086"/>
      <c r="IX163" s="6086"/>
      <c r="IY163" s="6086"/>
      <c r="IZ163" s="6086"/>
      <c r="JA163" s="6086"/>
      <c r="JB163" s="6086"/>
      <c r="JC163" s="6086"/>
      <c r="JD163" s="6086"/>
      <c r="JE163" s="6086"/>
      <c r="JF163" s="6086"/>
      <c r="JG163" s="6086"/>
      <c r="JH163" s="6048"/>
      <c r="JI163" s="6058"/>
      <c r="JM163" s="6055"/>
      <c r="JN163" s="6044"/>
      <c r="JO163" s="6046"/>
      <c r="JP163" s="6046"/>
      <c r="JQ163" s="6046"/>
      <c r="JR163" s="6046"/>
      <c r="JS163" s="6046"/>
      <c r="JT163" s="6046"/>
      <c r="JU163" s="6046"/>
      <c r="JV163" s="6046"/>
      <c r="JW163" s="6046"/>
      <c r="JX163" s="6046"/>
      <c r="JY163" s="6046"/>
      <c r="JZ163" s="6046"/>
      <c r="KA163" s="6046"/>
      <c r="KB163" s="6046"/>
      <c r="KC163" s="6046"/>
      <c r="KD163" s="6046"/>
      <c r="KE163" s="6046"/>
      <c r="KF163" s="6086"/>
      <c r="KG163" s="6086"/>
      <c r="KH163" s="6086"/>
      <c r="KI163" s="6086"/>
      <c r="KJ163" s="6086"/>
      <c r="KK163" s="6046"/>
      <c r="KL163" s="6086"/>
      <c r="KM163" s="6086"/>
      <c r="KN163" s="6086"/>
      <c r="KO163" s="6046"/>
      <c r="KP163" s="6086"/>
      <c r="KQ163" s="6086"/>
      <c r="KR163" s="6086"/>
      <c r="KS163" s="6086"/>
      <c r="KT163" s="6086"/>
      <c r="KU163" s="6086"/>
      <c r="KV163" s="6086"/>
      <c r="KW163" s="6086"/>
      <c r="KX163" s="6086"/>
      <c r="KY163" s="6086"/>
      <c r="KZ163" s="6086"/>
      <c r="LA163" s="6048"/>
      <c r="LB163" s="6058"/>
      <c r="LF163" s="6055"/>
      <c r="LG163" s="6044"/>
      <c r="LH163" s="6046"/>
      <c r="LI163" s="6046"/>
      <c r="LJ163" s="6046"/>
      <c r="LK163" s="6046"/>
      <c r="LL163" s="6046"/>
      <c r="LM163" s="6046"/>
      <c r="LN163" s="6046"/>
      <c r="LO163" s="6046"/>
      <c r="LP163" s="6046"/>
      <c r="LQ163" s="6046"/>
      <c r="LR163" s="6046"/>
      <c r="LS163" s="6046"/>
      <c r="LT163" s="6046"/>
      <c r="LU163" s="6046"/>
      <c r="LV163" s="6046"/>
      <c r="LW163" s="6046"/>
      <c r="LX163" s="6046"/>
      <c r="LY163" s="6086"/>
      <c r="LZ163" s="6086"/>
      <c r="MA163" s="6086"/>
      <c r="MB163" s="6086"/>
      <c r="MC163" s="6086"/>
      <c r="MD163" s="6046"/>
      <c r="ME163" s="6086"/>
      <c r="MF163" s="6086"/>
      <c r="MG163" s="6086"/>
      <c r="MH163" s="6046"/>
      <c r="MI163" s="6086"/>
      <c r="MJ163" s="6086"/>
      <c r="MK163" s="6086"/>
      <c r="ML163" s="6086"/>
      <c r="MM163" s="6086"/>
      <c r="MN163" s="6086"/>
      <c r="MO163" s="6086"/>
      <c r="MP163" s="6086"/>
      <c r="MQ163" s="6086"/>
      <c r="MR163" s="6086"/>
      <c r="MS163" s="6086"/>
      <c r="MT163" s="6048"/>
      <c r="MU163" s="6058"/>
      <c r="MY163" s="6055"/>
      <c r="MZ163" s="6044"/>
      <c r="NA163" s="6046"/>
      <c r="NB163" s="6046"/>
      <c r="NC163" s="6046"/>
      <c r="ND163" s="6046"/>
      <c r="NE163" s="6046"/>
      <c r="NF163" s="6046"/>
      <c r="NG163" s="6046"/>
      <c r="NH163" s="6046"/>
      <c r="NI163" s="6046"/>
      <c r="NJ163" s="6046"/>
      <c r="NK163" s="6046"/>
      <c r="NL163" s="6046"/>
      <c r="NM163" s="6046"/>
      <c r="NN163" s="6046"/>
      <c r="NO163" s="6046"/>
      <c r="NP163" s="6046"/>
      <c r="NQ163" s="6046"/>
      <c r="NR163" s="6086"/>
      <c r="NS163" s="6086"/>
      <c r="NT163" s="6086"/>
      <c r="NU163" s="6086"/>
      <c r="NV163" s="6086"/>
      <c r="NW163" s="6046"/>
      <c r="NX163" s="6086"/>
      <c r="NY163" s="6086"/>
      <c r="NZ163" s="6086"/>
      <c r="OA163" s="6046"/>
      <c r="OB163" s="6086"/>
      <c r="OC163" s="6086"/>
      <c r="OD163" s="6086"/>
      <c r="OE163" s="6086"/>
      <c r="OF163" s="6086"/>
      <c r="OG163" s="6086"/>
      <c r="OH163" s="6086"/>
      <c r="OI163" s="6086"/>
      <c r="OJ163" s="6086"/>
      <c r="OK163" s="6086"/>
      <c r="OL163" s="6086"/>
      <c r="OM163" s="6048"/>
      <c r="ON163" s="6058"/>
    </row>
    <row r="164" spans="3:405" ht="15" thickBot="1" x14ac:dyDescent="0.25">
      <c r="C164" s="6087"/>
      <c r="D164" s="6088"/>
      <c r="E164" s="6088"/>
      <c r="F164" s="6088"/>
      <c r="G164" s="6088"/>
      <c r="H164" s="6088"/>
      <c r="I164" s="6088"/>
      <c r="J164" s="6088"/>
      <c r="K164" s="6088"/>
      <c r="L164" s="6088"/>
      <c r="M164" s="6088"/>
      <c r="N164" s="6088"/>
      <c r="O164" s="6088"/>
      <c r="P164" s="6088"/>
      <c r="Q164" s="6088"/>
      <c r="R164" s="6088"/>
      <c r="S164" s="6088"/>
      <c r="T164" s="6088"/>
      <c r="U164" s="6088"/>
      <c r="V164" s="6088"/>
      <c r="W164" s="6088"/>
      <c r="X164" s="6088"/>
      <c r="Y164" s="6088"/>
      <c r="Z164" s="6088"/>
      <c r="AA164" s="6088"/>
      <c r="AB164" s="6088"/>
      <c r="AC164" s="6088"/>
      <c r="AD164" s="6088"/>
      <c r="AE164" s="6088"/>
      <c r="AF164" s="6088"/>
      <c r="AG164" s="6088"/>
      <c r="AH164" s="6088"/>
      <c r="AI164" s="6088"/>
      <c r="AJ164" s="6088"/>
      <c r="AK164" s="6088"/>
      <c r="AL164" s="6088"/>
      <c r="AM164" s="6088"/>
      <c r="AN164" s="6088"/>
      <c r="AO164" s="6088"/>
      <c r="AP164" s="6088"/>
      <c r="AQ164" s="6088"/>
      <c r="AR164" s="6089"/>
      <c r="AV164" s="6087"/>
      <c r="AW164" s="6088"/>
      <c r="AX164" s="6088"/>
      <c r="AY164" s="6088"/>
      <c r="AZ164" s="6088"/>
      <c r="BA164" s="6088"/>
      <c r="BB164" s="6088"/>
      <c r="BC164" s="6088"/>
      <c r="BD164" s="6088"/>
      <c r="BE164" s="6088"/>
      <c r="BF164" s="6088"/>
      <c r="BG164" s="6088"/>
      <c r="BH164" s="6088"/>
      <c r="BI164" s="6088"/>
      <c r="BJ164" s="6088"/>
      <c r="BK164" s="6088"/>
      <c r="BL164" s="6088"/>
      <c r="BM164" s="6088"/>
      <c r="BN164" s="6088"/>
      <c r="BO164" s="6088"/>
      <c r="BP164" s="6088"/>
      <c r="BQ164" s="6088"/>
      <c r="BR164" s="6088"/>
      <c r="BS164" s="6088"/>
      <c r="BT164" s="6088"/>
      <c r="BU164" s="6088"/>
      <c r="BV164" s="6088"/>
      <c r="BW164" s="6088"/>
      <c r="BX164" s="6088"/>
      <c r="BY164" s="6088"/>
      <c r="BZ164" s="6088"/>
      <c r="CA164" s="6088"/>
      <c r="CB164" s="6088"/>
      <c r="CC164" s="6088"/>
      <c r="CD164" s="6088"/>
      <c r="CE164" s="6088"/>
      <c r="CF164" s="6088"/>
      <c r="CG164" s="6088"/>
      <c r="CH164" s="6088"/>
      <c r="CI164" s="6088"/>
      <c r="CJ164" s="6088"/>
      <c r="CK164" s="6089"/>
      <c r="CO164" s="6087"/>
      <c r="CP164" s="6088"/>
      <c r="CQ164" s="6088"/>
      <c r="CR164" s="6088"/>
      <c r="CS164" s="6088"/>
      <c r="CT164" s="6088"/>
      <c r="CU164" s="6088"/>
      <c r="CV164" s="6088"/>
      <c r="CW164" s="6088"/>
      <c r="CX164" s="6088"/>
      <c r="CY164" s="6088"/>
      <c r="CZ164" s="6088"/>
      <c r="DA164" s="6088"/>
      <c r="DB164" s="6088"/>
      <c r="DC164" s="6088"/>
      <c r="DD164" s="6088"/>
      <c r="DE164" s="6088"/>
      <c r="DF164" s="6088"/>
      <c r="DG164" s="6088"/>
      <c r="DH164" s="6088"/>
      <c r="DI164" s="6088"/>
      <c r="DJ164" s="6088"/>
      <c r="DK164" s="6088"/>
      <c r="DL164" s="6088"/>
      <c r="DM164" s="6088"/>
      <c r="DN164" s="6088"/>
      <c r="DO164" s="6088"/>
      <c r="DP164" s="6088"/>
      <c r="DQ164" s="6088"/>
      <c r="DR164" s="6088"/>
      <c r="DS164" s="6088"/>
      <c r="DT164" s="6088"/>
      <c r="DU164" s="6088"/>
      <c r="DV164" s="6088"/>
      <c r="DW164" s="6088"/>
      <c r="DX164" s="6088"/>
      <c r="DY164" s="6088"/>
      <c r="DZ164" s="6088"/>
      <c r="EA164" s="6088"/>
      <c r="EB164" s="6088"/>
      <c r="EC164" s="6088"/>
      <c r="ED164" s="6089"/>
      <c r="EH164" s="6087"/>
      <c r="EI164" s="6088"/>
      <c r="EJ164" s="6088"/>
      <c r="EK164" s="6088"/>
      <c r="EL164" s="6088"/>
      <c r="EM164" s="6088"/>
      <c r="EN164" s="6088"/>
      <c r="EO164" s="6088"/>
      <c r="EP164" s="6088"/>
      <c r="EQ164" s="6088"/>
      <c r="ER164" s="6088"/>
      <c r="ES164" s="6088"/>
      <c r="ET164" s="6088"/>
      <c r="EU164" s="6088"/>
      <c r="EV164" s="6088"/>
      <c r="EW164" s="6088"/>
      <c r="EX164" s="6088"/>
      <c r="EY164" s="6088"/>
      <c r="EZ164" s="6088"/>
      <c r="FA164" s="6088"/>
      <c r="FB164" s="6088"/>
      <c r="FC164" s="6088"/>
      <c r="FD164" s="6088"/>
      <c r="FE164" s="6088"/>
      <c r="FF164" s="6088"/>
      <c r="FG164" s="6088"/>
      <c r="FH164" s="6088"/>
      <c r="FI164" s="6088"/>
      <c r="FJ164" s="6088"/>
      <c r="FK164" s="6088"/>
      <c r="FL164" s="6088"/>
      <c r="FM164" s="6088"/>
      <c r="FN164" s="6088"/>
      <c r="FO164" s="6088"/>
      <c r="FP164" s="6088"/>
      <c r="FQ164" s="6088"/>
      <c r="FR164" s="6088"/>
      <c r="FS164" s="6088"/>
      <c r="FT164" s="6088"/>
      <c r="FU164" s="6088"/>
      <c r="FV164" s="6088"/>
      <c r="FW164" s="6089"/>
      <c r="GA164" s="6087"/>
      <c r="GB164" s="6088"/>
      <c r="GC164" s="6088"/>
      <c r="GD164" s="6088"/>
      <c r="GE164" s="6088"/>
      <c r="GF164" s="6088"/>
      <c r="GG164" s="6088"/>
      <c r="GH164" s="6088"/>
      <c r="GI164" s="6088"/>
      <c r="GJ164" s="6088"/>
      <c r="GK164" s="6088"/>
      <c r="GL164" s="6088"/>
      <c r="GM164" s="6088"/>
      <c r="GN164" s="6088"/>
      <c r="GO164" s="6088"/>
      <c r="GP164" s="6088"/>
      <c r="GQ164" s="6088"/>
      <c r="GR164" s="6088"/>
      <c r="GS164" s="6088"/>
      <c r="GT164" s="6088"/>
      <c r="GU164" s="6088"/>
      <c r="GV164" s="6088"/>
      <c r="GW164" s="6088"/>
      <c r="GX164" s="6088"/>
      <c r="GY164" s="6088"/>
      <c r="GZ164" s="6088"/>
      <c r="HA164" s="6088"/>
      <c r="HB164" s="6088"/>
      <c r="HC164" s="6088"/>
      <c r="HD164" s="6088"/>
      <c r="HE164" s="6088"/>
      <c r="HF164" s="6088"/>
      <c r="HG164" s="6088"/>
      <c r="HH164" s="6088"/>
      <c r="HI164" s="6088"/>
      <c r="HJ164" s="6088"/>
      <c r="HK164" s="6088"/>
      <c r="HL164" s="6088"/>
      <c r="HM164" s="6088"/>
      <c r="HN164" s="6088"/>
      <c r="HO164" s="6088"/>
      <c r="HP164" s="6089"/>
      <c r="HT164" s="6087"/>
      <c r="HU164" s="6088"/>
      <c r="HV164" s="6088"/>
      <c r="HW164" s="6088"/>
      <c r="HX164" s="6088"/>
      <c r="HY164" s="6088"/>
      <c r="HZ164" s="6088"/>
      <c r="IA164" s="6088"/>
      <c r="IB164" s="6088"/>
      <c r="IC164" s="6088"/>
      <c r="ID164" s="6088"/>
      <c r="IE164" s="6088"/>
      <c r="IF164" s="6088"/>
      <c r="IG164" s="6088"/>
      <c r="IH164" s="6088"/>
      <c r="II164" s="6088"/>
      <c r="IJ164" s="6088"/>
      <c r="IK164" s="6088"/>
      <c r="IL164" s="6088"/>
      <c r="IM164" s="6088"/>
      <c r="IN164" s="6088"/>
      <c r="IO164" s="6088"/>
      <c r="IP164" s="6088"/>
      <c r="IQ164" s="6088"/>
      <c r="IR164" s="6088"/>
      <c r="IS164" s="6088"/>
      <c r="IT164" s="6088"/>
      <c r="IU164" s="6088"/>
      <c r="IV164" s="6088"/>
      <c r="IW164" s="6088"/>
      <c r="IX164" s="6088"/>
      <c r="IY164" s="6088"/>
      <c r="IZ164" s="6088"/>
      <c r="JA164" s="6088"/>
      <c r="JB164" s="6088"/>
      <c r="JC164" s="6088"/>
      <c r="JD164" s="6088"/>
      <c r="JE164" s="6088"/>
      <c r="JF164" s="6088"/>
      <c r="JG164" s="6088"/>
      <c r="JH164" s="6088"/>
      <c r="JI164" s="6089"/>
      <c r="JM164" s="6087"/>
      <c r="JN164" s="6088"/>
      <c r="JO164" s="6088"/>
      <c r="JP164" s="6088"/>
      <c r="JQ164" s="6088"/>
      <c r="JR164" s="6088"/>
      <c r="JS164" s="6088"/>
      <c r="JT164" s="6088"/>
      <c r="JU164" s="6088"/>
      <c r="JV164" s="6088"/>
      <c r="JW164" s="6088"/>
      <c r="JX164" s="6088"/>
      <c r="JY164" s="6088"/>
      <c r="JZ164" s="6088"/>
      <c r="KA164" s="6088"/>
      <c r="KB164" s="6088"/>
      <c r="KC164" s="6088"/>
      <c r="KD164" s="6088"/>
      <c r="KE164" s="6088"/>
      <c r="KF164" s="6088"/>
      <c r="KG164" s="6088"/>
      <c r="KH164" s="6088"/>
      <c r="KI164" s="6088"/>
      <c r="KJ164" s="6088"/>
      <c r="KK164" s="6088"/>
      <c r="KL164" s="6088"/>
      <c r="KM164" s="6088"/>
      <c r="KN164" s="6088"/>
      <c r="KO164" s="6088"/>
      <c r="KP164" s="6088"/>
      <c r="KQ164" s="6088"/>
      <c r="KR164" s="6088"/>
      <c r="KS164" s="6088"/>
      <c r="KT164" s="6088"/>
      <c r="KU164" s="6088"/>
      <c r="KV164" s="6088"/>
      <c r="KW164" s="6088"/>
      <c r="KX164" s="6088"/>
      <c r="KY164" s="6088"/>
      <c r="KZ164" s="6088"/>
      <c r="LA164" s="6088"/>
      <c r="LB164" s="6089"/>
      <c r="LF164" s="6087"/>
      <c r="LG164" s="6088"/>
      <c r="LH164" s="6088"/>
      <c r="LI164" s="6088"/>
      <c r="LJ164" s="6088"/>
      <c r="LK164" s="6088"/>
      <c r="LL164" s="6088"/>
      <c r="LM164" s="6088"/>
      <c r="LN164" s="6088"/>
      <c r="LO164" s="6088"/>
      <c r="LP164" s="6088"/>
      <c r="LQ164" s="6088"/>
      <c r="LR164" s="6088"/>
      <c r="LS164" s="6088"/>
      <c r="LT164" s="6088"/>
      <c r="LU164" s="6088"/>
      <c r="LV164" s="6088"/>
      <c r="LW164" s="6088"/>
      <c r="LX164" s="6088"/>
      <c r="LY164" s="6088"/>
      <c r="LZ164" s="6088"/>
      <c r="MA164" s="6088"/>
      <c r="MB164" s="6088"/>
      <c r="MC164" s="6088"/>
      <c r="MD164" s="6088"/>
      <c r="ME164" s="6088"/>
      <c r="MF164" s="6088"/>
      <c r="MG164" s="6088"/>
      <c r="MH164" s="6088"/>
      <c r="MI164" s="6088"/>
      <c r="MJ164" s="6088"/>
      <c r="MK164" s="6088"/>
      <c r="ML164" s="6088"/>
      <c r="MM164" s="6088"/>
      <c r="MN164" s="6088"/>
      <c r="MO164" s="6088"/>
      <c r="MP164" s="6088"/>
      <c r="MQ164" s="6088"/>
      <c r="MR164" s="6088"/>
      <c r="MS164" s="6088"/>
      <c r="MT164" s="6088"/>
      <c r="MU164" s="6089"/>
      <c r="MY164" s="6087"/>
      <c r="MZ164" s="6088"/>
      <c r="NA164" s="6088"/>
      <c r="NB164" s="6088"/>
      <c r="NC164" s="6088"/>
      <c r="ND164" s="6088"/>
      <c r="NE164" s="6088"/>
      <c r="NF164" s="6088"/>
      <c r="NG164" s="6088"/>
      <c r="NH164" s="6088"/>
      <c r="NI164" s="6088"/>
      <c r="NJ164" s="6088"/>
      <c r="NK164" s="6088"/>
      <c r="NL164" s="6088"/>
      <c r="NM164" s="6088"/>
      <c r="NN164" s="6088"/>
      <c r="NO164" s="6088"/>
      <c r="NP164" s="6088"/>
      <c r="NQ164" s="6088"/>
      <c r="NR164" s="6088"/>
      <c r="NS164" s="6088"/>
      <c r="NT164" s="6088"/>
      <c r="NU164" s="6088"/>
      <c r="NV164" s="6088"/>
      <c r="NW164" s="6088"/>
      <c r="NX164" s="6088"/>
      <c r="NY164" s="6088"/>
      <c r="NZ164" s="6088"/>
      <c r="OA164" s="6088"/>
      <c r="OB164" s="6088"/>
      <c r="OC164" s="6088"/>
      <c r="OD164" s="6088"/>
      <c r="OE164" s="6088"/>
      <c r="OF164" s="6088"/>
      <c r="OG164" s="6088"/>
      <c r="OH164" s="6088"/>
      <c r="OI164" s="6088"/>
      <c r="OJ164" s="6088"/>
      <c r="OK164" s="6088"/>
      <c r="OL164" s="6088"/>
      <c r="OM164" s="6088"/>
      <c r="ON164" s="6089"/>
    </row>
    <row r="165" spans="3:405" ht="9.9499999999999993" customHeight="1" x14ac:dyDescent="0.2"/>
    <row r="166" spans="3:405" ht="7.5" customHeight="1" x14ac:dyDescent="0.2">
      <c r="C166" s="6090"/>
      <c r="D166" s="6090"/>
      <c r="E166" s="6090"/>
      <c r="F166" s="6090"/>
      <c r="G166" s="6090"/>
      <c r="H166" s="6090"/>
      <c r="I166" s="6090"/>
      <c r="J166" s="6090"/>
      <c r="K166" s="6090"/>
      <c r="L166" s="6090"/>
      <c r="M166" s="6090"/>
      <c r="N166" s="6090"/>
      <c r="O166" s="6090"/>
      <c r="P166" s="6090"/>
      <c r="Q166" s="6090"/>
      <c r="R166" s="6090"/>
      <c r="S166" s="6090"/>
      <c r="T166" s="6090"/>
      <c r="U166" s="6090"/>
      <c r="V166" s="6090"/>
      <c r="W166" s="6090"/>
      <c r="X166" s="6090"/>
      <c r="Y166" s="6090"/>
      <c r="Z166" s="6090"/>
      <c r="AA166" s="6090"/>
      <c r="AB166" s="6090"/>
      <c r="AC166" s="6090"/>
      <c r="AD166" s="6090"/>
      <c r="AE166" s="6090"/>
      <c r="AF166" s="6090"/>
      <c r="AG166" s="6090"/>
      <c r="AH166" s="6090"/>
      <c r="AI166" s="6090"/>
      <c r="AJ166" s="6090"/>
      <c r="AK166" s="6090"/>
      <c r="AL166" s="6090"/>
      <c r="AM166" s="6090"/>
      <c r="AN166" s="6090"/>
      <c r="AO166" s="6090"/>
      <c r="AP166" s="6090"/>
      <c r="AQ166" s="6090"/>
      <c r="AR166" s="6090"/>
      <c r="AV166" s="6090"/>
      <c r="AW166" s="6090"/>
      <c r="AX166" s="6090"/>
      <c r="AY166" s="6090"/>
      <c r="AZ166" s="6090"/>
      <c r="BA166" s="6090"/>
      <c r="BB166" s="6090"/>
      <c r="BC166" s="6090"/>
      <c r="BD166" s="6090"/>
      <c r="BE166" s="6090"/>
      <c r="BF166" s="6090"/>
      <c r="BG166" s="6090"/>
      <c r="BH166" s="6090"/>
      <c r="BI166" s="6090"/>
      <c r="BJ166" s="6090"/>
      <c r="BK166" s="6090"/>
      <c r="BL166" s="6090"/>
      <c r="BM166" s="6090"/>
      <c r="BN166" s="6090"/>
      <c r="BO166" s="6090"/>
      <c r="BP166" s="6090"/>
      <c r="BQ166" s="6090"/>
      <c r="BR166" s="6090"/>
      <c r="BS166" s="6090"/>
      <c r="BT166" s="6090"/>
      <c r="BU166" s="6090"/>
      <c r="BV166" s="6090"/>
      <c r="BW166" s="6090"/>
      <c r="BX166" s="6090"/>
      <c r="BY166" s="6090"/>
      <c r="BZ166" s="6090"/>
      <c r="CA166" s="6090"/>
      <c r="CB166" s="6090"/>
      <c r="CC166" s="6090"/>
      <c r="CD166" s="6090"/>
      <c r="CE166" s="6090"/>
      <c r="CF166" s="6090"/>
      <c r="CG166" s="6090"/>
      <c r="CH166" s="6090"/>
      <c r="CI166" s="6090"/>
      <c r="CJ166" s="6090"/>
      <c r="CK166" s="6090"/>
      <c r="CO166" s="6090"/>
      <c r="CP166" s="6090"/>
      <c r="CQ166" s="6090"/>
      <c r="CR166" s="6090"/>
      <c r="CS166" s="6090"/>
      <c r="CT166" s="6090"/>
      <c r="CU166" s="6090"/>
      <c r="CV166" s="6090"/>
      <c r="CW166" s="6090"/>
      <c r="CX166" s="6090"/>
      <c r="CY166" s="6090"/>
      <c r="CZ166" s="6090"/>
      <c r="DA166" s="6090"/>
      <c r="DB166" s="6090"/>
      <c r="DC166" s="6090"/>
      <c r="DD166" s="6090"/>
      <c r="DE166" s="6090"/>
      <c r="DF166" s="6090"/>
      <c r="DG166" s="6090"/>
      <c r="DH166" s="6090"/>
      <c r="DI166" s="6090"/>
      <c r="DJ166" s="6090"/>
      <c r="DK166" s="6090"/>
      <c r="DL166" s="6090"/>
      <c r="DM166" s="6090"/>
      <c r="DN166" s="6090"/>
      <c r="DO166" s="6090"/>
      <c r="DP166" s="6090"/>
      <c r="DQ166" s="6090"/>
      <c r="DR166" s="6090"/>
      <c r="DS166" s="6090"/>
      <c r="DT166" s="6090"/>
      <c r="DU166" s="6090"/>
      <c r="DV166" s="6090"/>
      <c r="DW166" s="6090"/>
      <c r="DX166" s="6090"/>
      <c r="DY166" s="6090"/>
      <c r="DZ166" s="6090"/>
      <c r="EA166" s="6090"/>
      <c r="EB166" s="6090"/>
      <c r="EC166" s="6090"/>
      <c r="ED166" s="6090"/>
      <c r="EH166" s="6090"/>
      <c r="EI166" s="6090"/>
      <c r="EJ166" s="6090"/>
      <c r="EK166" s="6090"/>
      <c r="EL166" s="6090"/>
      <c r="EM166" s="6090"/>
      <c r="EN166" s="6090"/>
      <c r="EO166" s="6090"/>
      <c r="EP166" s="6090"/>
      <c r="EQ166" s="6090"/>
      <c r="ER166" s="6090"/>
      <c r="ES166" s="6090"/>
      <c r="ET166" s="6090"/>
      <c r="EU166" s="6090"/>
      <c r="EV166" s="6090"/>
      <c r="EW166" s="6090"/>
      <c r="EX166" s="6090"/>
      <c r="EY166" s="6090"/>
      <c r="EZ166" s="6090"/>
      <c r="FA166" s="6090"/>
      <c r="FB166" s="6090"/>
      <c r="FC166" s="6090"/>
      <c r="FD166" s="6090"/>
      <c r="FE166" s="6090"/>
      <c r="FF166" s="6090"/>
      <c r="FG166" s="6090"/>
      <c r="FH166" s="6090"/>
      <c r="FI166" s="6090"/>
      <c r="FJ166" s="6090"/>
      <c r="FK166" s="6090"/>
      <c r="FL166" s="6090"/>
      <c r="FM166" s="6090"/>
      <c r="FN166" s="6090"/>
      <c r="FO166" s="6090"/>
      <c r="FP166" s="6090"/>
      <c r="FQ166" s="6090"/>
      <c r="FR166" s="6090"/>
      <c r="FS166" s="6090"/>
      <c r="FT166" s="6090"/>
      <c r="FU166" s="6090"/>
      <c r="FV166" s="6090"/>
      <c r="FW166" s="6090"/>
      <c r="GA166" s="6090"/>
      <c r="GB166" s="6090"/>
      <c r="GC166" s="6090"/>
      <c r="GD166" s="6090"/>
      <c r="GE166" s="6090"/>
      <c r="GF166" s="6090"/>
      <c r="GG166" s="6090"/>
      <c r="GH166" s="6090"/>
      <c r="GI166" s="6090"/>
      <c r="GJ166" s="6090"/>
      <c r="GK166" s="6090"/>
      <c r="GL166" s="6090"/>
      <c r="GM166" s="6090"/>
      <c r="GN166" s="6090"/>
      <c r="GO166" s="6090"/>
      <c r="GP166" s="6090"/>
      <c r="GQ166" s="6090"/>
      <c r="GR166" s="6090"/>
      <c r="GS166" s="6090"/>
      <c r="GT166" s="6090"/>
      <c r="GU166" s="6090"/>
      <c r="GV166" s="6090"/>
      <c r="GW166" s="6090"/>
      <c r="GX166" s="6090"/>
      <c r="GY166" s="6090"/>
      <c r="GZ166" s="6090"/>
      <c r="HA166" s="6090"/>
      <c r="HB166" s="6090"/>
      <c r="HC166" s="6090"/>
      <c r="HD166" s="6090"/>
      <c r="HE166" s="6090"/>
      <c r="HF166" s="6090"/>
      <c r="HG166" s="6090"/>
      <c r="HH166" s="6090"/>
      <c r="HI166" s="6090"/>
      <c r="HJ166" s="6090"/>
      <c r="HK166" s="6090"/>
      <c r="HL166" s="6090"/>
      <c r="HM166" s="6090"/>
      <c r="HN166" s="6090"/>
      <c r="HO166" s="6090"/>
      <c r="HP166" s="6090"/>
      <c r="HT166" s="6090"/>
      <c r="HU166" s="6090"/>
      <c r="HV166" s="6090"/>
      <c r="HW166" s="6090"/>
      <c r="HX166" s="6090"/>
      <c r="HY166" s="6090"/>
      <c r="HZ166" s="6090"/>
      <c r="IA166" s="6090"/>
      <c r="IB166" s="6090"/>
      <c r="IC166" s="6090"/>
      <c r="ID166" s="6090"/>
      <c r="IE166" s="6090"/>
      <c r="IF166" s="6090"/>
      <c r="IG166" s="6090"/>
      <c r="IH166" s="6090"/>
      <c r="II166" s="6090"/>
      <c r="IJ166" s="6090"/>
      <c r="IK166" s="6090"/>
      <c r="IL166" s="6090"/>
      <c r="IM166" s="6090"/>
      <c r="IN166" s="6090"/>
      <c r="IO166" s="6090"/>
      <c r="IP166" s="6090"/>
      <c r="IQ166" s="6090"/>
      <c r="IR166" s="6090"/>
      <c r="IS166" s="6090"/>
      <c r="IT166" s="6090"/>
      <c r="IU166" s="6090"/>
      <c r="IV166" s="6090"/>
      <c r="IW166" s="6090"/>
      <c r="IX166" s="6090"/>
      <c r="IY166" s="6090"/>
      <c r="IZ166" s="6090"/>
      <c r="JA166" s="6090"/>
      <c r="JB166" s="6090"/>
      <c r="JC166" s="6090"/>
      <c r="JD166" s="6090"/>
      <c r="JE166" s="6090"/>
      <c r="JF166" s="6090"/>
      <c r="JG166" s="6090"/>
      <c r="JH166" s="6090"/>
      <c r="JI166" s="6090"/>
      <c r="JM166" s="6090"/>
      <c r="JN166" s="6090"/>
      <c r="JO166" s="6090"/>
      <c r="JP166" s="6090"/>
      <c r="JQ166" s="6090"/>
      <c r="JR166" s="6090"/>
      <c r="JS166" s="6090"/>
      <c r="JT166" s="6090"/>
      <c r="JU166" s="6090"/>
      <c r="JV166" s="6090"/>
      <c r="JW166" s="6090"/>
      <c r="JX166" s="6090"/>
      <c r="JY166" s="6090"/>
      <c r="JZ166" s="6090"/>
      <c r="KA166" s="6090"/>
      <c r="KB166" s="6090"/>
      <c r="KC166" s="6090"/>
      <c r="KD166" s="6090"/>
      <c r="KE166" s="6090"/>
      <c r="KF166" s="6090"/>
      <c r="KG166" s="6090"/>
      <c r="KH166" s="6090"/>
      <c r="KI166" s="6090"/>
      <c r="KJ166" s="6090"/>
      <c r="KK166" s="6090"/>
      <c r="KL166" s="6090"/>
      <c r="KM166" s="6090"/>
      <c r="KN166" s="6090"/>
      <c r="KO166" s="6090"/>
      <c r="KP166" s="6090"/>
      <c r="KQ166" s="6090"/>
      <c r="KR166" s="6090"/>
      <c r="KS166" s="6090"/>
      <c r="KT166" s="6090"/>
      <c r="KU166" s="6090"/>
      <c r="KV166" s="6090"/>
      <c r="KW166" s="6090"/>
      <c r="KX166" s="6090"/>
      <c r="KY166" s="6090"/>
      <c r="KZ166" s="6090"/>
      <c r="LA166" s="6090"/>
      <c r="LB166" s="6090"/>
      <c r="LF166" s="6090"/>
      <c r="LG166" s="6090"/>
      <c r="LH166" s="6090"/>
      <c r="LI166" s="6090"/>
      <c r="LJ166" s="6090"/>
      <c r="LK166" s="6090"/>
      <c r="LL166" s="6090"/>
      <c r="LM166" s="6090"/>
      <c r="LN166" s="6090"/>
      <c r="LO166" s="6090"/>
      <c r="LP166" s="6090"/>
      <c r="LQ166" s="6090"/>
      <c r="LR166" s="6090"/>
      <c r="LS166" s="6090"/>
      <c r="LT166" s="6090"/>
      <c r="LU166" s="6090"/>
      <c r="LV166" s="6090"/>
      <c r="LW166" s="6090"/>
      <c r="LX166" s="6090"/>
      <c r="LY166" s="6090"/>
      <c r="LZ166" s="6090"/>
      <c r="MA166" s="6090"/>
      <c r="MB166" s="6090"/>
      <c r="MC166" s="6090"/>
      <c r="MD166" s="6090"/>
      <c r="ME166" s="6090"/>
      <c r="MF166" s="6090"/>
      <c r="MG166" s="6090"/>
      <c r="MH166" s="6090"/>
      <c r="MI166" s="6090"/>
      <c r="MJ166" s="6090"/>
      <c r="MK166" s="6090"/>
      <c r="ML166" s="6090"/>
      <c r="MM166" s="6090"/>
      <c r="MN166" s="6090"/>
      <c r="MO166" s="6090"/>
      <c r="MP166" s="6090"/>
      <c r="MQ166" s="6090"/>
      <c r="MR166" s="6090"/>
      <c r="MS166" s="6090"/>
      <c r="MT166" s="6090"/>
      <c r="MU166" s="6090"/>
      <c r="MY166" s="6090"/>
      <c r="MZ166" s="6090"/>
      <c r="NA166" s="6090"/>
      <c r="NB166" s="6090"/>
      <c r="NC166" s="6090"/>
      <c r="ND166" s="6090"/>
      <c r="NE166" s="6090"/>
      <c r="NF166" s="6090"/>
      <c r="NG166" s="6090"/>
      <c r="NH166" s="6090"/>
      <c r="NI166" s="6090"/>
      <c r="NJ166" s="6090"/>
      <c r="NK166" s="6090"/>
      <c r="NL166" s="6090"/>
      <c r="NM166" s="6090"/>
      <c r="NN166" s="6090"/>
      <c r="NO166" s="6090"/>
      <c r="NP166" s="6090"/>
      <c r="NQ166" s="6090"/>
      <c r="NR166" s="6090"/>
      <c r="NS166" s="6090"/>
      <c r="NT166" s="6090"/>
      <c r="NU166" s="6090"/>
      <c r="NV166" s="6090"/>
      <c r="NW166" s="6090"/>
      <c r="NX166" s="6090"/>
      <c r="NY166" s="6090"/>
      <c r="NZ166" s="6090"/>
      <c r="OA166" s="6090"/>
      <c r="OB166" s="6090"/>
      <c r="OC166" s="6090"/>
      <c r="OD166" s="6090"/>
      <c r="OE166" s="6090"/>
      <c r="OF166" s="6090"/>
      <c r="OG166" s="6090"/>
      <c r="OH166" s="6090"/>
      <c r="OI166" s="6090"/>
      <c r="OJ166" s="6090"/>
      <c r="OK166" s="6090"/>
      <c r="OL166" s="6090"/>
      <c r="OM166" s="6090"/>
      <c r="ON166" s="6090"/>
    </row>
    <row r="167" spans="3:405" ht="5.0999999999999996" customHeight="1" x14ac:dyDescent="0.2">
      <c r="D167" s="6091"/>
      <c r="AW167" s="6091"/>
      <c r="CP167" s="6091"/>
      <c r="EI167" s="6091"/>
      <c r="GB167" s="6091"/>
      <c r="HU167" s="6091"/>
      <c r="JN167" s="6091"/>
      <c r="LG167" s="6091"/>
      <c r="MZ167" s="6091"/>
    </row>
    <row r="168" spans="3:405" ht="5.0999999999999996" customHeight="1" x14ac:dyDescent="0.2"/>
    <row r="169" spans="3:405" ht="8.1" customHeight="1" x14ac:dyDescent="0.2">
      <c r="C169" s="6090"/>
      <c r="D169" s="6090"/>
      <c r="E169" s="6090"/>
      <c r="F169" s="6090"/>
      <c r="G169" s="6090"/>
      <c r="H169" s="6090"/>
      <c r="I169" s="6090"/>
      <c r="J169" s="6090"/>
      <c r="K169" s="6090"/>
      <c r="L169" s="6090"/>
      <c r="M169" s="6090"/>
      <c r="N169" s="6090"/>
      <c r="O169" s="6090"/>
      <c r="P169" s="6090"/>
      <c r="Q169" s="6090"/>
      <c r="R169" s="6090"/>
      <c r="S169" s="6090"/>
      <c r="T169" s="6090"/>
      <c r="U169" s="6090"/>
      <c r="V169" s="6090"/>
      <c r="W169" s="6090"/>
      <c r="X169" s="6090"/>
      <c r="Y169" s="6090"/>
      <c r="Z169" s="6090"/>
      <c r="AA169" s="6090"/>
      <c r="AB169" s="6090"/>
      <c r="AC169" s="6090"/>
      <c r="AD169" s="6090"/>
      <c r="AE169" s="6090"/>
      <c r="AF169" s="6090"/>
      <c r="AG169" s="6090"/>
      <c r="AH169" s="6090"/>
      <c r="AI169" s="6090"/>
      <c r="AJ169" s="6090"/>
      <c r="AK169" s="6090"/>
      <c r="AL169" s="6090"/>
      <c r="AM169" s="6090"/>
      <c r="AN169" s="6090"/>
      <c r="AO169" s="6090"/>
      <c r="AP169" s="6090"/>
      <c r="AQ169" s="6090"/>
      <c r="AR169" s="6090"/>
      <c r="AV169" s="6090"/>
      <c r="AW169" s="6090"/>
      <c r="AX169" s="6090"/>
      <c r="AY169" s="6090"/>
      <c r="AZ169" s="6090"/>
      <c r="BA169" s="6090"/>
      <c r="BB169" s="6090"/>
      <c r="BC169" s="6090"/>
      <c r="BD169" s="6090"/>
      <c r="BE169" s="6090"/>
      <c r="BF169" s="6090"/>
      <c r="BG169" s="6090"/>
      <c r="BH169" s="6090"/>
      <c r="BI169" s="6090"/>
      <c r="BJ169" s="6090"/>
      <c r="BK169" s="6090"/>
      <c r="BL169" s="6090"/>
      <c r="BM169" s="6090"/>
      <c r="BN169" s="6090"/>
      <c r="BO169" s="6090"/>
      <c r="BP169" s="6090"/>
      <c r="BQ169" s="6090"/>
      <c r="BR169" s="6090"/>
      <c r="BS169" s="6090"/>
      <c r="BT169" s="6090"/>
      <c r="BU169" s="6090"/>
      <c r="BV169" s="6090"/>
      <c r="BW169" s="6090"/>
      <c r="BX169" s="6090"/>
      <c r="BY169" s="6090"/>
      <c r="BZ169" s="6090"/>
      <c r="CA169" s="6090"/>
      <c r="CB169" s="6090"/>
      <c r="CC169" s="6090"/>
      <c r="CD169" s="6090"/>
      <c r="CE169" s="6090"/>
      <c r="CF169" s="6090"/>
      <c r="CG169" s="6090"/>
      <c r="CH169" s="6090"/>
      <c r="CI169" s="6090"/>
      <c r="CJ169" s="6090"/>
      <c r="CK169" s="6090"/>
      <c r="CO169" s="6090"/>
      <c r="CP169" s="6090"/>
      <c r="CQ169" s="6090"/>
      <c r="CR169" s="6090"/>
      <c r="CS169" s="6090"/>
      <c r="CT169" s="6090"/>
      <c r="CU169" s="6090"/>
      <c r="CV169" s="6090"/>
      <c r="CW169" s="6090"/>
      <c r="CX169" s="6090"/>
      <c r="CY169" s="6090"/>
      <c r="CZ169" s="6090"/>
      <c r="DA169" s="6090"/>
      <c r="DB169" s="6090"/>
      <c r="DC169" s="6090"/>
      <c r="DD169" s="6090"/>
      <c r="DE169" s="6090"/>
      <c r="DF169" s="6090"/>
      <c r="DG169" s="6090"/>
      <c r="DH169" s="6090"/>
      <c r="DI169" s="6090"/>
      <c r="DJ169" s="6090"/>
      <c r="DK169" s="6090"/>
      <c r="DL169" s="6090"/>
      <c r="DM169" s="6090"/>
      <c r="DN169" s="6090"/>
      <c r="DO169" s="6090"/>
      <c r="DP169" s="6090"/>
      <c r="DQ169" s="6090"/>
      <c r="DR169" s="6090"/>
      <c r="DS169" s="6090"/>
      <c r="DT169" s="6090"/>
      <c r="DU169" s="6090"/>
      <c r="DV169" s="6090"/>
      <c r="DW169" s="6090"/>
      <c r="DX169" s="6090"/>
      <c r="DY169" s="6090"/>
      <c r="DZ169" s="6090"/>
      <c r="EA169" s="6090"/>
      <c r="EB169" s="6090"/>
      <c r="EC169" s="6090"/>
      <c r="ED169" s="6090"/>
      <c r="EH169" s="6090"/>
      <c r="EI169" s="6090"/>
      <c r="EJ169" s="6090"/>
      <c r="EK169" s="6090"/>
      <c r="EL169" s="6090"/>
      <c r="EM169" s="6090"/>
      <c r="EN169" s="6090"/>
      <c r="EO169" s="6090"/>
      <c r="EP169" s="6090"/>
      <c r="EQ169" s="6090"/>
      <c r="ER169" s="6090"/>
      <c r="ES169" s="6090"/>
      <c r="ET169" s="6090"/>
      <c r="EU169" s="6090"/>
      <c r="EV169" s="6090"/>
      <c r="EW169" s="6090"/>
      <c r="EX169" s="6090"/>
      <c r="EY169" s="6090"/>
      <c r="EZ169" s="6090"/>
      <c r="FA169" s="6090"/>
      <c r="FB169" s="6090"/>
      <c r="FC169" s="6090"/>
      <c r="FD169" s="6090"/>
      <c r="FE169" s="6090"/>
      <c r="FF169" s="6090"/>
      <c r="FG169" s="6090"/>
      <c r="FH169" s="6090"/>
      <c r="FI169" s="6090"/>
      <c r="FJ169" s="6090"/>
      <c r="FK169" s="6090"/>
      <c r="FL169" s="6090"/>
      <c r="FM169" s="6090"/>
      <c r="FN169" s="6090"/>
      <c r="FO169" s="6090"/>
      <c r="FP169" s="6090"/>
      <c r="FQ169" s="6090"/>
      <c r="FR169" s="6090"/>
      <c r="FS169" s="6090"/>
      <c r="FT169" s="6090"/>
      <c r="FU169" s="6090"/>
      <c r="FV169" s="6090"/>
      <c r="FW169" s="6090"/>
      <c r="GA169" s="6090"/>
      <c r="GB169" s="6090"/>
      <c r="GC169" s="6090"/>
      <c r="GD169" s="6090"/>
      <c r="GE169" s="6090"/>
      <c r="GF169" s="6090"/>
      <c r="GG169" s="6090"/>
      <c r="GH169" s="6090"/>
      <c r="GI169" s="6090"/>
      <c r="GJ169" s="6090"/>
      <c r="GK169" s="6090"/>
      <c r="GL169" s="6090"/>
      <c r="GM169" s="6090"/>
      <c r="GN169" s="6090"/>
      <c r="GO169" s="6090"/>
      <c r="GP169" s="6090"/>
      <c r="GQ169" s="6090"/>
      <c r="GR169" s="6090"/>
      <c r="GS169" s="6090"/>
      <c r="GT169" s="6090"/>
      <c r="GU169" s="6090"/>
      <c r="GV169" s="6090"/>
      <c r="GW169" s="6090"/>
      <c r="GX169" s="6090"/>
      <c r="GY169" s="6090"/>
      <c r="GZ169" s="6090"/>
      <c r="HA169" s="6090"/>
      <c r="HB169" s="6090"/>
      <c r="HC169" s="6090"/>
      <c r="HD169" s="6090"/>
      <c r="HE169" s="6090"/>
      <c r="HF169" s="6090"/>
      <c r="HG169" s="6090"/>
      <c r="HH169" s="6090"/>
      <c r="HI169" s="6090"/>
      <c r="HJ169" s="6090"/>
      <c r="HK169" s="6090"/>
      <c r="HL169" s="6090"/>
      <c r="HM169" s="6090"/>
      <c r="HN169" s="6090"/>
      <c r="HO169" s="6090"/>
      <c r="HP169" s="6090"/>
      <c r="HT169" s="6090"/>
      <c r="HU169" s="6090"/>
      <c r="HV169" s="6090"/>
      <c r="HW169" s="6090"/>
      <c r="HX169" s="6090"/>
      <c r="HY169" s="6090"/>
      <c r="HZ169" s="6090"/>
      <c r="IA169" s="6090"/>
      <c r="IB169" s="6090"/>
      <c r="IC169" s="6090"/>
      <c r="ID169" s="6090"/>
      <c r="IE169" s="6090"/>
      <c r="IF169" s="6090"/>
      <c r="IG169" s="6090"/>
      <c r="IH169" s="6090"/>
      <c r="II169" s="6090"/>
      <c r="IJ169" s="6090"/>
      <c r="IK169" s="6090"/>
      <c r="IL169" s="6090"/>
      <c r="IM169" s="6090"/>
      <c r="IN169" s="6090"/>
      <c r="IO169" s="6090"/>
      <c r="IP169" s="6090"/>
      <c r="IQ169" s="6090"/>
      <c r="IR169" s="6090"/>
      <c r="IS169" s="6090"/>
      <c r="IT169" s="6090"/>
      <c r="IU169" s="6090"/>
      <c r="IV169" s="6090"/>
      <c r="IW169" s="6090"/>
      <c r="IX169" s="6090"/>
      <c r="IY169" s="6090"/>
      <c r="IZ169" s="6090"/>
      <c r="JA169" s="6090"/>
      <c r="JB169" s="6090"/>
      <c r="JC169" s="6090"/>
      <c r="JD169" s="6090"/>
      <c r="JE169" s="6090"/>
      <c r="JF169" s="6090"/>
      <c r="JG169" s="6090"/>
      <c r="JH169" s="6090"/>
      <c r="JI169" s="6090"/>
      <c r="JM169" s="6090"/>
      <c r="JN169" s="6090"/>
      <c r="JO169" s="6090"/>
      <c r="JP169" s="6090"/>
      <c r="JQ169" s="6090"/>
      <c r="JR169" s="6090"/>
      <c r="JS169" s="6090"/>
      <c r="JT169" s="6090"/>
      <c r="JU169" s="6090"/>
      <c r="JV169" s="6090"/>
      <c r="JW169" s="6090"/>
      <c r="JX169" s="6090"/>
      <c r="JY169" s="6090"/>
      <c r="JZ169" s="6090"/>
      <c r="KA169" s="6090"/>
      <c r="KB169" s="6090"/>
      <c r="KC169" s="6090"/>
      <c r="KD169" s="6090"/>
      <c r="KE169" s="6090"/>
      <c r="KF169" s="6090"/>
      <c r="KG169" s="6090"/>
      <c r="KH169" s="6090"/>
      <c r="KI169" s="6090"/>
      <c r="KJ169" s="6090"/>
      <c r="KK169" s="6090"/>
      <c r="KL169" s="6090"/>
      <c r="KM169" s="6090"/>
      <c r="KN169" s="6090"/>
      <c r="KO169" s="6090"/>
      <c r="KP169" s="6090"/>
      <c r="KQ169" s="6090"/>
      <c r="KR169" s="6090"/>
      <c r="KS169" s="6090"/>
      <c r="KT169" s="6090"/>
      <c r="KU169" s="6090"/>
      <c r="KV169" s="6090"/>
      <c r="KW169" s="6090"/>
      <c r="KX169" s="6090"/>
      <c r="KY169" s="6090"/>
      <c r="KZ169" s="6090"/>
      <c r="LA169" s="6090"/>
      <c r="LB169" s="6090"/>
      <c r="LF169" s="6090"/>
      <c r="LG169" s="6090"/>
      <c r="LH169" s="6090"/>
      <c r="LI169" s="6090"/>
      <c r="LJ169" s="6090"/>
      <c r="LK169" s="6090"/>
      <c r="LL169" s="6090"/>
      <c r="LM169" s="6090"/>
      <c r="LN169" s="6090"/>
      <c r="LO169" s="6090"/>
      <c r="LP169" s="6090"/>
      <c r="LQ169" s="6090"/>
      <c r="LR169" s="6090"/>
      <c r="LS169" s="6090"/>
      <c r="LT169" s="6090"/>
      <c r="LU169" s="6090"/>
      <c r="LV169" s="6090"/>
      <c r="LW169" s="6090"/>
      <c r="LX169" s="6090"/>
      <c r="LY169" s="6090"/>
      <c r="LZ169" s="6090"/>
      <c r="MA169" s="6090"/>
      <c r="MB169" s="6090"/>
      <c r="MC169" s="6090"/>
      <c r="MD169" s="6090"/>
      <c r="ME169" s="6090"/>
      <c r="MF169" s="6090"/>
      <c r="MG169" s="6090"/>
      <c r="MH169" s="6090"/>
      <c r="MI169" s="6090"/>
      <c r="MJ169" s="6090"/>
      <c r="MK169" s="6090"/>
      <c r="ML169" s="6090"/>
      <c r="MM169" s="6090"/>
      <c r="MN169" s="6090"/>
      <c r="MO169" s="6090"/>
      <c r="MP169" s="6090"/>
      <c r="MQ169" s="6090"/>
      <c r="MR169" s="6090"/>
      <c r="MS169" s="6090"/>
      <c r="MT169" s="6090"/>
      <c r="MU169" s="6090"/>
      <c r="MY169" s="6090"/>
      <c r="MZ169" s="6090"/>
      <c r="NA169" s="6090"/>
      <c r="NB169" s="6090"/>
      <c r="NC169" s="6090"/>
      <c r="ND169" s="6090"/>
      <c r="NE169" s="6090"/>
      <c r="NF169" s="6090"/>
      <c r="NG169" s="6090"/>
      <c r="NH169" s="6090"/>
      <c r="NI169" s="6090"/>
      <c r="NJ169" s="6090"/>
      <c r="NK169" s="6090"/>
      <c r="NL169" s="6090"/>
      <c r="NM169" s="6090"/>
      <c r="NN169" s="6090"/>
      <c r="NO169" s="6090"/>
      <c r="NP169" s="6090"/>
      <c r="NQ169" s="6090"/>
      <c r="NR169" s="6090"/>
      <c r="NS169" s="6090"/>
      <c r="NT169" s="6090"/>
      <c r="NU169" s="6090"/>
      <c r="NV169" s="6090"/>
      <c r="NW169" s="6090"/>
      <c r="NX169" s="6090"/>
      <c r="NY169" s="6090"/>
      <c r="NZ169" s="6090"/>
      <c r="OA169" s="6090"/>
      <c r="OB169" s="6090"/>
      <c r="OC169" s="6090"/>
      <c r="OD169" s="6090"/>
      <c r="OE169" s="6090"/>
      <c r="OF169" s="6090"/>
      <c r="OG169" s="6090"/>
      <c r="OH169" s="6090"/>
      <c r="OI169" s="6090"/>
      <c r="OJ169" s="6090"/>
      <c r="OK169" s="6090"/>
      <c r="OL169" s="6090"/>
      <c r="OM169" s="6090"/>
      <c r="ON169" s="6090"/>
    </row>
    <row r="170" spans="3:405" ht="9.9499999999999993" customHeight="1" thickBot="1" x14ac:dyDescent="0.25"/>
    <row r="171" spans="3:405" ht="9.9499999999999993" customHeight="1" thickBot="1" x14ac:dyDescent="0.25">
      <c r="C171" s="6015"/>
      <c r="D171" s="6016"/>
      <c r="E171" s="6016"/>
      <c r="F171" s="6016"/>
      <c r="G171" s="6016"/>
      <c r="H171" s="6016"/>
      <c r="I171" s="6016"/>
      <c r="J171" s="6016"/>
      <c r="K171" s="6016"/>
      <c r="L171" s="6016"/>
      <c r="M171" s="6016"/>
      <c r="N171" s="6016"/>
      <c r="O171" s="6016"/>
      <c r="P171" s="6016"/>
      <c r="Q171" s="6016"/>
      <c r="R171" s="6016"/>
      <c r="S171" s="6016"/>
      <c r="T171" s="6016"/>
      <c r="U171" s="6016"/>
      <c r="V171" s="6016"/>
      <c r="W171" s="6016"/>
      <c r="X171" s="6016"/>
      <c r="Y171" s="6016"/>
      <c r="Z171" s="6016"/>
      <c r="AA171" s="6016"/>
      <c r="AB171" s="6016"/>
      <c r="AC171" s="6016"/>
      <c r="AD171" s="6016"/>
      <c r="AE171" s="6016"/>
      <c r="AF171" s="6016"/>
      <c r="AG171" s="6016"/>
      <c r="AH171" s="6016"/>
      <c r="AI171" s="6016"/>
      <c r="AJ171" s="6016"/>
      <c r="AK171" s="6016"/>
      <c r="AL171" s="6016"/>
      <c r="AM171" s="6016"/>
      <c r="AN171" s="6016"/>
      <c r="AO171" s="6016"/>
      <c r="AP171" s="6016"/>
      <c r="AQ171" s="6016"/>
      <c r="AR171" s="6017"/>
      <c r="AV171" s="6015"/>
      <c r="AW171" s="6016"/>
      <c r="AX171" s="6016"/>
      <c r="AY171" s="6016"/>
      <c r="AZ171" s="6016"/>
      <c r="BA171" s="6016"/>
      <c r="BB171" s="6016"/>
      <c r="BC171" s="6016"/>
      <c r="BD171" s="6016"/>
      <c r="BE171" s="6016"/>
      <c r="BF171" s="6016"/>
      <c r="BG171" s="6016"/>
      <c r="BH171" s="6016"/>
      <c r="BI171" s="6016"/>
      <c r="BJ171" s="6016"/>
      <c r="BK171" s="6016"/>
      <c r="BL171" s="6016"/>
      <c r="BM171" s="6016"/>
      <c r="BN171" s="6016"/>
      <c r="BO171" s="6016"/>
      <c r="BP171" s="6016"/>
      <c r="BQ171" s="6016"/>
      <c r="BR171" s="6016"/>
      <c r="BS171" s="6016"/>
      <c r="BT171" s="6016"/>
      <c r="BU171" s="6016"/>
      <c r="BV171" s="6016"/>
      <c r="BW171" s="6016"/>
      <c r="BX171" s="6016"/>
      <c r="BY171" s="6016"/>
      <c r="BZ171" s="6016"/>
      <c r="CA171" s="6016"/>
      <c r="CB171" s="6016"/>
      <c r="CC171" s="6016"/>
      <c r="CD171" s="6016"/>
      <c r="CE171" s="6016"/>
      <c r="CF171" s="6016"/>
      <c r="CG171" s="6016"/>
      <c r="CH171" s="6016"/>
      <c r="CI171" s="6016"/>
      <c r="CJ171" s="6016"/>
      <c r="CK171" s="6017"/>
      <c r="CO171" s="6015"/>
      <c r="CP171" s="6016"/>
      <c r="CQ171" s="6016"/>
      <c r="CR171" s="6016"/>
      <c r="CS171" s="6016"/>
      <c r="CT171" s="6016"/>
      <c r="CU171" s="6016"/>
      <c r="CV171" s="6016"/>
      <c r="CW171" s="6016"/>
      <c r="CX171" s="6016"/>
      <c r="CY171" s="6016"/>
      <c r="CZ171" s="6016"/>
      <c r="DA171" s="6016"/>
      <c r="DB171" s="6016"/>
      <c r="DC171" s="6016"/>
      <c r="DD171" s="6016"/>
      <c r="DE171" s="6016"/>
      <c r="DF171" s="6016"/>
      <c r="DG171" s="6016"/>
      <c r="DH171" s="6016"/>
      <c r="DI171" s="6016"/>
      <c r="DJ171" s="6016"/>
      <c r="DK171" s="6016"/>
      <c r="DL171" s="6016"/>
      <c r="DM171" s="6016"/>
      <c r="DN171" s="6016"/>
      <c r="DO171" s="6016"/>
      <c r="DP171" s="6016"/>
      <c r="DQ171" s="6016"/>
      <c r="DR171" s="6016"/>
      <c r="DS171" s="6016"/>
      <c r="DT171" s="6016"/>
      <c r="DU171" s="6016"/>
      <c r="DV171" s="6016"/>
      <c r="DW171" s="6016"/>
      <c r="DX171" s="6016"/>
      <c r="DY171" s="6016"/>
      <c r="DZ171" s="6016"/>
      <c r="EA171" s="6016"/>
      <c r="EB171" s="6016"/>
      <c r="EC171" s="6016"/>
      <c r="ED171" s="6017"/>
      <c r="EH171" s="6015"/>
      <c r="EI171" s="6016"/>
      <c r="EJ171" s="6016"/>
      <c r="EK171" s="6016"/>
      <c r="EL171" s="6016"/>
      <c r="EM171" s="6016"/>
      <c r="EN171" s="6016"/>
      <c r="EO171" s="6016"/>
      <c r="EP171" s="6016"/>
      <c r="EQ171" s="6016"/>
      <c r="ER171" s="6016"/>
      <c r="ES171" s="6016"/>
      <c r="ET171" s="6016"/>
      <c r="EU171" s="6016"/>
      <c r="EV171" s="6016"/>
      <c r="EW171" s="6016"/>
      <c r="EX171" s="6016"/>
      <c r="EY171" s="6016"/>
      <c r="EZ171" s="6016"/>
      <c r="FA171" s="6016"/>
      <c r="FB171" s="6016"/>
      <c r="FC171" s="6016"/>
      <c r="FD171" s="6016"/>
      <c r="FE171" s="6016"/>
      <c r="FF171" s="6016"/>
      <c r="FG171" s="6016"/>
      <c r="FH171" s="6016"/>
      <c r="FI171" s="6016"/>
      <c r="FJ171" s="6016"/>
      <c r="FK171" s="6016"/>
      <c r="FL171" s="6016"/>
      <c r="FM171" s="6016"/>
      <c r="FN171" s="6016"/>
      <c r="FO171" s="6016"/>
      <c r="FP171" s="6016"/>
      <c r="FQ171" s="6016"/>
      <c r="FR171" s="6016"/>
      <c r="FS171" s="6016"/>
      <c r="FT171" s="6016"/>
      <c r="FU171" s="6016"/>
      <c r="FV171" s="6016"/>
      <c r="FW171" s="6017"/>
      <c r="GA171" s="6015"/>
      <c r="GB171" s="6016"/>
      <c r="GC171" s="6016"/>
      <c r="GD171" s="6016"/>
      <c r="GE171" s="6016"/>
      <c r="GF171" s="6016"/>
      <c r="GG171" s="6016"/>
      <c r="GH171" s="6016"/>
      <c r="GI171" s="6016"/>
      <c r="GJ171" s="6016"/>
      <c r="GK171" s="6016"/>
      <c r="GL171" s="6016"/>
      <c r="GM171" s="6016"/>
      <c r="GN171" s="6016"/>
      <c r="GO171" s="6016"/>
      <c r="GP171" s="6016"/>
      <c r="GQ171" s="6016"/>
      <c r="GR171" s="6016"/>
      <c r="GS171" s="6016"/>
      <c r="GT171" s="6016"/>
      <c r="GU171" s="6016"/>
      <c r="GV171" s="6016"/>
      <c r="GW171" s="6016"/>
      <c r="GX171" s="6016"/>
      <c r="GY171" s="6016"/>
      <c r="GZ171" s="6016"/>
      <c r="HA171" s="6016"/>
      <c r="HB171" s="6016"/>
      <c r="HC171" s="6016"/>
      <c r="HD171" s="6016"/>
      <c r="HE171" s="6016"/>
      <c r="HF171" s="6016"/>
      <c r="HG171" s="6016"/>
      <c r="HH171" s="6016"/>
      <c r="HI171" s="6016"/>
      <c r="HJ171" s="6016"/>
      <c r="HK171" s="6016"/>
      <c r="HL171" s="6016"/>
      <c r="HM171" s="6016"/>
      <c r="HN171" s="6016"/>
      <c r="HO171" s="6016"/>
      <c r="HP171" s="6017"/>
      <c r="HT171" s="6015"/>
      <c r="HU171" s="6016"/>
      <c r="HV171" s="6016"/>
      <c r="HW171" s="6016"/>
      <c r="HX171" s="6016"/>
      <c r="HY171" s="6016"/>
      <c r="HZ171" s="6016"/>
      <c r="IA171" s="6016"/>
      <c r="IB171" s="6016"/>
      <c r="IC171" s="6016"/>
      <c r="ID171" s="6016"/>
      <c r="IE171" s="6016"/>
      <c r="IF171" s="6016"/>
      <c r="IG171" s="6016"/>
      <c r="IH171" s="6016"/>
      <c r="II171" s="6016"/>
      <c r="IJ171" s="6016"/>
      <c r="IK171" s="6016"/>
      <c r="IL171" s="6016"/>
      <c r="IM171" s="6016"/>
      <c r="IN171" s="6016"/>
      <c r="IO171" s="6016"/>
      <c r="IP171" s="6016"/>
      <c r="IQ171" s="6016"/>
      <c r="IR171" s="6016"/>
      <c r="IS171" s="6016"/>
      <c r="IT171" s="6016"/>
      <c r="IU171" s="6016"/>
      <c r="IV171" s="6016"/>
      <c r="IW171" s="6016"/>
      <c r="IX171" s="6016"/>
      <c r="IY171" s="6016"/>
      <c r="IZ171" s="6016"/>
      <c r="JA171" s="6016"/>
      <c r="JB171" s="6016"/>
      <c r="JC171" s="6016"/>
      <c r="JD171" s="6016"/>
      <c r="JE171" s="6016"/>
      <c r="JF171" s="6016"/>
      <c r="JG171" s="6016"/>
      <c r="JH171" s="6016"/>
      <c r="JI171" s="6017"/>
      <c r="JM171" s="6015"/>
      <c r="JN171" s="6016"/>
      <c r="JO171" s="6016"/>
      <c r="JP171" s="6016"/>
      <c r="JQ171" s="6016"/>
      <c r="JR171" s="6016"/>
      <c r="JS171" s="6016"/>
      <c r="JT171" s="6016"/>
      <c r="JU171" s="6016"/>
      <c r="JV171" s="6016"/>
      <c r="JW171" s="6016"/>
      <c r="JX171" s="6016"/>
      <c r="JY171" s="6016"/>
      <c r="JZ171" s="6016"/>
      <c r="KA171" s="6016"/>
      <c r="KB171" s="6016"/>
      <c r="KC171" s="6016"/>
      <c r="KD171" s="6016"/>
      <c r="KE171" s="6016"/>
      <c r="KF171" s="6016"/>
      <c r="KG171" s="6016"/>
      <c r="KH171" s="6016"/>
      <c r="KI171" s="6016"/>
      <c r="KJ171" s="6016"/>
      <c r="KK171" s="6016"/>
      <c r="KL171" s="6016"/>
      <c r="KM171" s="6016"/>
      <c r="KN171" s="6016"/>
      <c r="KO171" s="6016"/>
      <c r="KP171" s="6016"/>
      <c r="KQ171" s="6016"/>
      <c r="KR171" s="6016"/>
      <c r="KS171" s="6016"/>
      <c r="KT171" s="6016"/>
      <c r="KU171" s="6016"/>
      <c r="KV171" s="6016"/>
      <c r="KW171" s="6016"/>
      <c r="KX171" s="6016"/>
      <c r="KY171" s="6016"/>
      <c r="KZ171" s="6016"/>
      <c r="LA171" s="6016"/>
      <c r="LB171" s="6017"/>
      <c r="LC171" s="7"/>
      <c r="LF171" s="6015"/>
      <c r="LG171" s="6016"/>
      <c r="LH171" s="6016"/>
      <c r="LI171" s="6016"/>
      <c r="LJ171" s="6016"/>
      <c r="LK171" s="6016"/>
      <c r="LL171" s="6016"/>
      <c r="LM171" s="6016"/>
      <c r="LN171" s="6016"/>
      <c r="LO171" s="6016"/>
      <c r="LP171" s="6016"/>
      <c r="LQ171" s="6016"/>
      <c r="LR171" s="6016"/>
      <c r="LS171" s="6016"/>
      <c r="LT171" s="6016"/>
      <c r="LU171" s="6016"/>
      <c r="LV171" s="6016"/>
      <c r="LW171" s="6016"/>
      <c r="LX171" s="6016"/>
      <c r="LY171" s="6016"/>
      <c r="LZ171" s="6016"/>
      <c r="MA171" s="6016"/>
      <c r="MB171" s="6016"/>
      <c r="MC171" s="6016"/>
      <c r="MD171" s="6016"/>
      <c r="ME171" s="6016"/>
      <c r="MF171" s="6016"/>
      <c r="MG171" s="6016"/>
      <c r="MH171" s="6016"/>
      <c r="MI171" s="6016"/>
      <c r="MJ171" s="6016"/>
      <c r="MK171" s="6016"/>
      <c r="ML171" s="6016"/>
      <c r="MM171" s="6016"/>
      <c r="MN171" s="6016"/>
      <c r="MO171" s="6016"/>
      <c r="MP171" s="6016"/>
      <c r="MQ171" s="6016"/>
      <c r="MR171" s="6016"/>
      <c r="MS171" s="6016"/>
      <c r="MT171" s="6016"/>
      <c r="MU171" s="6017"/>
      <c r="MV171" s="7"/>
      <c r="MY171" s="6015"/>
      <c r="MZ171" s="6016"/>
      <c r="NA171" s="6016"/>
      <c r="NB171" s="6016"/>
      <c r="NC171" s="6016"/>
      <c r="ND171" s="6016"/>
      <c r="NE171" s="6016"/>
      <c r="NF171" s="6016"/>
      <c r="NG171" s="6016"/>
      <c r="NH171" s="6016"/>
      <c r="NI171" s="6016"/>
      <c r="NJ171" s="6016"/>
      <c r="NK171" s="6016"/>
      <c r="NL171" s="6016"/>
      <c r="NM171" s="6016"/>
      <c r="NN171" s="6016"/>
      <c r="NO171" s="6016"/>
      <c r="NP171" s="6016"/>
      <c r="NQ171" s="6016"/>
      <c r="NR171" s="6016"/>
      <c r="NS171" s="6016"/>
      <c r="NT171" s="6016"/>
      <c r="NU171" s="6016"/>
      <c r="NV171" s="6016"/>
      <c r="NW171" s="6016"/>
      <c r="NX171" s="6016"/>
      <c r="NY171" s="6016"/>
      <c r="NZ171" s="6016"/>
      <c r="OA171" s="6016"/>
      <c r="OB171" s="6016"/>
      <c r="OC171" s="6016"/>
      <c r="OD171" s="6016"/>
      <c r="OE171" s="6016"/>
      <c r="OF171" s="6016"/>
      <c r="OG171" s="6016"/>
      <c r="OH171" s="6016"/>
      <c r="OI171" s="6016"/>
      <c r="OJ171" s="6016"/>
      <c r="OK171" s="6016"/>
      <c r="OL171" s="6016"/>
      <c r="OM171" s="6016"/>
      <c r="ON171" s="6017"/>
      <c r="OO171" s="7"/>
    </row>
    <row r="172" spans="3:405" s="6027" customFormat="1" ht="15" customHeight="1" thickBot="1" x14ac:dyDescent="0.25">
      <c r="C172" s="6018"/>
      <c r="D172" s="6019"/>
      <c r="E172" s="6779" t="str">
        <f>_Calcs!$II$94</f>
        <v/>
      </c>
      <c r="F172" s="6779"/>
      <c r="G172" s="6779"/>
      <c r="H172" s="6779"/>
      <c r="I172" s="6779"/>
      <c r="J172" s="6779"/>
      <c r="K172" s="6779"/>
      <c r="L172" s="6779"/>
      <c r="M172" s="6779"/>
      <c r="N172" s="6779"/>
      <c r="O172" s="6779"/>
      <c r="P172" s="6779"/>
      <c r="Q172" s="6779"/>
      <c r="R172" s="6779"/>
      <c r="S172" s="6779"/>
      <c r="T172" s="6779"/>
      <c r="U172" s="6779"/>
      <c r="V172" s="6779"/>
      <c r="W172" s="6779"/>
      <c r="X172" s="6779"/>
      <c r="Y172" s="6779"/>
      <c r="Z172" s="6779"/>
      <c r="AA172" s="6779"/>
      <c r="AB172" s="6779"/>
      <c r="AC172" s="6779"/>
      <c r="AD172" s="6779"/>
      <c r="AE172" s="6779"/>
      <c r="AF172" s="6779"/>
      <c r="AG172" s="6779"/>
      <c r="AH172" s="6779"/>
      <c r="AI172" s="6779"/>
      <c r="AJ172" s="6020"/>
      <c r="AK172" s="6021"/>
      <c r="AL172" s="6022"/>
      <c r="AM172" s="6023" t="str">
        <f>_Calcs!$IK$159</f>
        <v>Side 6 av 9</v>
      </c>
      <c r="AN172" s="6024"/>
      <c r="AO172" s="6024"/>
      <c r="AP172" s="6024"/>
      <c r="AQ172" s="6025"/>
      <c r="AR172" s="6026"/>
      <c r="AV172" s="6018"/>
      <c r="AW172" s="6019"/>
      <c r="AX172" s="6779" t="str">
        <f>_Calcs!$II$94</f>
        <v/>
      </c>
      <c r="AY172" s="6779"/>
      <c r="AZ172" s="6779"/>
      <c r="BA172" s="6779"/>
      <c r="BB172" s="6779"/>
      <c r="BC172" s="6779"/>
      <c r="BD172" s="6779"/>
      <c r="BE172" s="6779"/>
      <c r="BF172" s="6779"/>
      <c r="BG172" s="6779"/>
      <c r="BH172" s="6779"/>
      <c r="BI172" s="6779"/>
      <c r="BJ172" s="6779"/>
      <c r="BK172" s="6779"/>
      <c r="BL172" s="6779"/>
      <c r="BM172" s="6779"/>
      <c r="BN172" s="6779"/>
      <c r="BO172" s="6779"/>
      <c r="BP172" s="6779"/>
      <c r="BQ172" s="6779"/>
      <c r="BR172" s="6779"/>
      <c r="BS172" s="6779"/>
      <c r="BT172" s="6779"/>
      <c r="BU172" s="6779"/>
      <c r="BV172" s="6779"/>
      <c r="BW172" s="6779"/>
      <c r="BX172" s="6779"/>
      <c r="BY172" s="6779"/>
      <c r="BZ172" s="6779"/>
      <c r="CA172" s="6779"/>
      <c r="CB172" s="6779"/>
      <c r="CC172" s="6020"/>
      <c r="CD172" s="6021"/>
      <c r="CE172" s="6022"/>
      <c r="CF172" s="6023" t="str">
        <f>_Calcs!$IL$159</f>
        <v>Side 6 av 9</v>
      </c>
      <c r="CG172" s="6024"/>
      <c r="CH172" s="6024"/>
      <c r="CI172" s="6024"/>
      <c r="CJ172" s="6025"/>
      <c r="CK172" s="6026"/>
      <c r="CO172" s="6018"/>
      <c r="CP172" s="6019"/>
      <c r="CQ172" s="6779" t="str">
        <f>_Calcs!$II$94</f>
        <v/>
      </c>
      <c r="CR172" s="6779"/>
      <c r="CS172" s="6779"/>
      <c r="CT172" s="6779"/>
      <c r="CU172" s="6779"/>
      <c r="CV172" s="6779"/>
      <c r="CW172" s="6779"/>
      <c r="CX172" s="6779"/>
      <c r="CY172" s="6779"/>
      <c r="CZ172" s="6779"/>
      <c r="DA172" s="6779"/>
      <c r="DB172" s="6779"/>
      <c r="DC172" s="6779"/>
      <c r="DD172" s="6779"/>
      <c r="DE172" s="6779"/>
      <c r="DF172" s="6779"/>
      <c r="DG172" s="6779"/>
      <c r="DH172" s="6779"/>
      <c r="DI172" s="6779"/>
      <c r="DJ172" s="6779"/>
      <c r="DK172" s="6779"/>
      <c r="DL172" s="6779"/>
      <c r="DM172" s="6779"/>
      <c r="DN172" s="6779"/>
      <c r="DO172" s="6779"/>
      <c r="DP172" s="6779"/>
      <c r="DQ172" s="6779"/>
      <c r="DR172" s="6779"/>
      <c r="DS172" s="6779"/>
      <c r="DT172" s="6779"/>
      <c r="DU172" s="6779"/>
      <c r="DV172" s="6020"/>
      <c r="DW172" s="6021"/>
      <c r="DX172" s="6022"/>
      <c r="DY172" s="6023" t="str">
        <f>_Calcs!$IM$159</f>
        <v>Side 6 av 9</v>
      </c>
      <c r="DZ172" s="6024"/>
      <c r="EA172" s="6024"/>
      <c r="EB172" s="6024"/>
      <c r="EC172" s="6025"/>
      <c r="ED172" s="6026"/>
      <c r="EH172" s="6018"/>
      <c r="EI172" s="6019"/>
      <c r="EJ172" s="6779" t="str">
        <f>_Calcs!$II$94</f>
        <v/>
      </c>
      <c r="EK172" s="6779"/>
      <c r="EL172" s="6779"/>
      <c r="EM172" s="6779"/>
      <c r="EN172" s="6779"/>
      <c r="EO172" s="6779"/>
      <c r="EP172" s="6779"/>
      <c r="EQ172" s="6779"/>
      <c r="ER172" s="6779"/>
      <c r="ES172" s="6779"/>
      <c r="ET172" s="6779"/>
      <c r="EU172" s="6779"/>
      <c r="EV172" s="6779"/>
      <c r="EW172" s="6779"/>
      <c r="EX172" s="6779"/>
      <c r="EY172" s="6779"/>
      <c r="EZ172" s="6779"/>
      <c r="FA172" s="6779"/>
      <c r="FB172" s="6779"/>
      <c r="FC172" s="6779"/>
      <c r="FD172" s="6779"/>
      <c r="FE172" s="6779"/>
      <c r="FF172" s="6779"/>
      <c r="FG172" s="6779"/>
      <c r="FH172" s="6779"/>
      <c r="FI172" s="6779"/>
      <c r="FJ172" s="6779"/>
      <c r="FK172" s="6779"/>
      <c r="FL172" s="6779"/>
      <c r="FM172" s="6779"/>
      <c r="FN172" s="6779"/>
      <c r="FO172" s="6020"/>
      <c r="FP172" s="6021"/>
      <c r="FQ172" s="6022"/>
      <c r="FR172" s="6023" t="str">
        <f>_Calcs!$IN$159</f>
        <v>Side 6 av 9</v>
      </c>
      <c r="FS172" s="6024"/>
      <c r="FT172" s="6024"/>
      <c r="FU172" s="6024"/>
      <c r="FV172" s="6025"/>
      <c r="FW172" s="6026"/>
      <c r="GA172" s="6018"/>
      <c r="GB172" s="6019"/>
      <c r="GC172" s="6779" t="str">
        <f>_Calcs!$II$94</f>
        <v/>
      </c>
      <c r="GD172" s="6779"/>
      <c r="GE172" s="6779"/>
      <c r="GF172" s="6779"/>
      <c r="GG172" s="6779"/>
      <c r="GH172" s="6779"/>
      <c r="GI172" s="6779"/>
      <c r="GJ172" s="6779"/>
      <c r="GK172" s="6779"/>
      <c r="GL172" s="6779"/>
      <c r="GM172" s="6779"/>
      <c r="GN172" s="6779"/>
      <c r="GO172" s="6779"/>
      <c r="GP172" s="6779"/>
      <c r="GQ172" s="6779"/>
      <c r="GR172" s="6779"/>
      <c r="GS172" s="6779"/>
      <c r="GT172" s="6779"/>
      <c r="GU172" s="6779"/>
      <c r="GV172" s="6779"/>
      <c r="GW172" s="6779"/>
      <c r="GX172" s="6779"/>
      <c r="GY172" s="6779"/>
      <c r="GZ172" s="6779"/>
      <c r="HA172" s="6779"/>
      <c r="HB172" s="6779"/>
      <c r="HC172" s="6779"/>
      <c r="HD172" s="6779"/>
      <c r="HE172" s="6779"/>
      <c r="HF172" s="6779"/>
      <c r="HG172" s="6779"/>
      <c r="HH172" s="6020"/>
      <c r="HI172" s="6021"/>
      <c r="HJ172" s="6022"/>
      <c r="HK172" s="6023" t="str">
        <f>_Calcs!$IO$159</f>
        <v>Side 6 av 9</v>
      </c>
      <c r="HL172" s="6024"/>
      <c r="HM172" s="6024"/>
      <c r="HN172" s="6024"/>
      <c r="HO172" s="6025"/>
      <c r="HP172" s="6026"/>
      <c r="HT172" s="6018"/>
      <c r="HU172" s="6019"/>
      <c r="HV172" s="6779" t="str">
        <f>_Calcs!$II$94</f>
        <v/>
      </c>
      <c r="HW172" s="6779"/>
      <c r="HX172" s="6779"/>
      <c r="HY172" s="6779"/>
      <c r="HZ172" s="6779"/>
      <c r="IA172" s="6779"/>
      <c r="IB172" s="6779"/>
      <c r="IC172" s="6779"/>
      <c r="ID172" s="6779"/>
      <c r="IE172" s="6779"/>
      <c r="IF172" s="6779"/>
      <c r="IG172" s="6779"/>
      <c r="IH172" s="6779"/>
      <c r="II172" s="6779"/>
      <c r="IJ172" s="6779"/>
      <c r="IK172" s="6779"/>
      <c r="IL172" s="6779"/>
      <c r="IM172" s="6779"/>
      <c r="IN172" s="6779"/>
      <c r="IO172" s="6779"/>
      <c r="IP172" s="6779"/>
      <c r="IQ172" s="6779"/>
      <c r="IR172" s="6779"/>
      <c r="IS172" s="6779"/>
      <c r="IT172" s="6779"/>
      <c r="IU172" s="6779"/>
      <c r="IV172" s="6779"/>
      <c r="IW172" s="6779"/>
      <c r="IX172" s="6779"/>
      <c r="IY172" s="6779"/>
      <c r="IZ172" s="6779"/>
      <c r="JA172" s="6020"/>
      <c r="JB172" s="6021"/>
      <c r="JC172" s="6022"/>
      <c r="JD172" s="6023" t="str">
        <f>_Calcs!$IP$159</f>
        <v>Side 6 av 9</v>
      </c>
      <c r="JE172" s="6024"/>
      <c r="JF172" s="6024"/>
      <c r="JG172" s="6024"/>
      <c r="JH172" s="6025"/>
      <c r="JI172" s="6026"/>
      <c r="JM172" s="6018"/>
      <c r="JN172" s="6019"/>
      <c r="JO172" s="6779" t="str">
        <f>_Calcs!$II$94</f>
        <v/>
      </c>
      <c r="JP172" s="6779"/>
      <c r="JQ172" s="6779"/>
      <c r="JR172" s="6779"/>
      <c r="JS172" s="6779"/>
      <c r="JT172" s="6779"/>
      <c r="JU172" s="6779"/>
      <c r="JV172" s="6779"/>
      <c r="JW172" s="6779"/>
      <c r="JX172" s="6779"/>
      <c r="JY172" s="6779"/>
      <c r="JZ172" s="6779"/>
      <c r="KA172" s="6779"/>
      <c r="KB172" s="6779"/>
      <c r="KC172" s="6779"/>
      <c r="KD172" s="6779"/>
      <c r="KE172" s="6779"/>
      <c r="KF172" s="6779"/>
      <c r="KG172" s="6779"/>
      <c r="KH172" s="6779"/>
      <c r="KI172" s="6779"/>
      <c r="KJ172" s="6779"/>
      <c r="KK172" s="6779"/>
      <c r="KL172" s="6779"/>
      <c r="KM172" s="6779"/>
      <c r="KN172" s="6779"/>
      <c r="KO172" s="6779"/>
      <c r="KP172" s="6779"/>
      <c r="KQ172" s="6779"/>
      <c r="KR172" s="6779"/>
      <c r="KS172" s="6779"/>
      <c r="KT172" s="6020"/>
      <c r="KU172" s="6021"/>
      <c r="KV172" s="6022"/>
      <c r="KW172" s="6023" t="str">
        <f>_Calcs!$IQ$159</f>
        <v>Side 6 av 9</v>
      </c>
      <c r="KX172" s="6024"/>
      <c r="KY172" s="6024"/>
      <c r="KZ172" s="6024"/>
      <c r="LA172" s="6025"/>
      <c r="LB172" s="6026"/>
      <c r="LC172" s="7"/>
      <c r="LF172" s="6018"/>
      <c r="LG172" s="6019"/>
      <c r="LH172" s="6779" t="str">
        <f>_Calcs!$II$94</f>
        <v/>
      </c>
      <c r="LI172" s="6779"/>
      <c r="LJ172" s="6779"/>
      <c r="LK172" s="6779"/>
      <c r="LL172" s="6779"/>
      <c r="LM172" s="6779"/>
      <c r="LN172" s="6779"/>
      <c r="LO172" s="6779"/>
      <c r="LP172" s="6779"/>
      <c r="LQ172" s="6779"/>
      <c r="LR172" s="6779"/>
      <c r="LS172" s="6779"/>
      <c r="LT172" s="6779"/>
      <c r="LU172" s="6779"/>
      <c r="LV172" s="6779"/>
      <c r="LW172" s="6779"/>
      <c r="LX172" s="6779"/>
      <c r="LY172" s="6779"/>
      <c r="LZ172" s="6779"/>
      <c r="MA172" s="6779"/>
      <c r="MB172" s="6779"/>
      <c r="MC172" s="6779"/>
      <c r="MD172" s="6779"/>
      <c r="ME172" s="6779"/>
      <c r="MF172" s="6779"/>
      <c r="MG172" s="6779"/>
      <c r="MH172" s="6779"/>
      <c r="MI172" s="6779"/>
      <c r="MJ172" s="6779"/>
      <c r="MK172" s="6779"/>
      <c r="ML172" s="6779"/>
      <c r="MM172" s="6020"/>
      <c r="MN172" s="6021"/>
      <c r="MO172" s="6022"/>
      <c r="MP172" s="6023" t="str">
        <f>_Calcs!$IR$159</f>
        <v>Side 6 av 9</v>
      </c>
      <c r="MQ172" s="6024"/>
      <c r="MR172" s="6024"/>
      <c r="MS172" s="6024"/>
      <c r="MT172" s="6025"/>
      <c r="MU172" s="6026"/>
      <c r="MV172" s="7"/>
      <c r="MY172" s="6018"/>
      <c r="MZ172" s="6019"/>
      <c r="NA172" s="6779" t="str">
        <f>_Calcs!$II$94</f>
        <v/>
      </c>
      <c r="NB172" s="6779"/>
      <c r="NC172" s="6779"/>
      <c r="ND172" s="6779"/>
      <c r="NE172" s="6779"/>
      <c r="NF172" s="6779"/>
      <c r="NG172" s="6779"/>
      <c r="NH172" s="6779"/>
      <c r="NI172" s="6779"/>
      <c r="NJ172" s="6779"/>
      <c r="NK172" s="6779"/>
      <c r="NL172" s="6779"/>
      <c r="NM172" s="6779"/>
      <c r="NN172" s="6779"/>
      <c r="NO172" s="6779"/>
      <c r="NP172" s="6779"/>
      <c r="NQ172" s="6779"/>
      <c r="NR172" s="6779"/>
      <c r="NS172" s="6779"/>
      <c r="NT172" s="6779"/>
      <c r="NU172" s="6779"/>
      <c r="NV172" s="6779"/>
      <c r="NW172" s="6779"/>
      <c r="NX172" s="6779"/>
      <c r="NY172" s="6779"/>
      <c r="NZ172" s="6779"/>
      <c r="OA172" s="6779"/>
      <c r="OB172" s="6779"/>
      <c r="OC172" s="6779"/>
      <c r="OD172" s="6779"/>
      <c r="OE172" s="6779"/>
      <c r="OF172" s="6020"/>
      <c r="OG172" s="6021"/>
      <c r="OH172" s="6022"/>
      <c r="OI172" s="6023" t="str">
        <f>_Calcs!$IS$159</f>
        <v>Side 6 av 9</v>
      </c>
      <c r="OJ172" s="6024"/>
      <c r="OK172" s="6024"/>
      <c r="OL172" s="6024"/>
      <c r="OM172" s="6025"/>
      <c r="ON172" s="6026"/>
      <c r="OO172" s="7"/>
    </row>
    <row r="173" spans="3:405" ht="5.0999999999999996" customHeight="1" thickBot="1" x14ac:dyDescent="0.25">
      <c r="C173" s="6028"/>
      <c r="D173" s="979"/>
      <c r="E173" s="3489"/>
      <c r="F173" s="3489"/>
      <c r="G173" s="3489"/>
      <c r="H173" s="3489"/>
      <c r="I173" s="3489"/>
      <c r="J173" s="3489"/>
      <c r="K173" s="3489"/>
      <c r="L173" s="3489"/>
      <c r="M173" s="3489"/>
      <c r="N173" s="3489"/>
      <c r="O173" s="3489"/>
      <c r="P173" s="3489"/>
      <c r="Q173" s="3489"/>
      <c r="R173" s="3489"/>
      <c r="S173" s="3489"/>
      <c r="T173" s="3489"/>
      <c r="U173" s="3489"/>
      <c r="V173" s="3489"/>
      <c r="W173" s="3489"/>
      <c r="X173" s="3489"/>
      <c r="Y173" s="3489"/>
      <c r="Z173" s="3489"/>
      <c r="AA173" s="3489"/>
      <c r="AB173" s="3489"/>
      <c r="AC173" s="3489"/>
      <c r="AD173" s="3489"/>
      <c r="AE173" s="3489"/>
      <c r="AF173" s="3489"/>
      <c r="AG173" s="3489"/>
      <c r="AH173" s="3489"/>
      <c r="AI173" s="3489"/>
      <c r="AJ173" s="979"/>
      <c r="AK173" s="979"/>
      <c r="AL173" s="979"/>
      <c r="AM173" s="979"/>
      <c r="AN173" s="979"/>
      <c r="AO173" s="979"/>
      <c r="AP173" s="979"/>
      <c r="AQ173" s="979"/>
      <c r="AR173" s="6029"/>
      <c r="AV173" s="6028"/>
      <c r="AW173" s="979"/>
      <c r="AX173" s="3489"/>
      <c r="AY173" s="3489"/>
      <c r="AZ173" s="3489"/>
      <c r="BA173" s="3489"/>
      <c r="BB173" s="3489"/>
      <c r="BC173" s="3489"/>
      <c r="BD173" s="3489"/>
      <c r="BE173" s="3489"/>
      <c r="BF173" s="3489"/>
      <c r="BG173" s="3489"/>
      <c r="BH173" s="3489"/>
      <c r="BI173" s="3489"/>
      <c r="BJ173" s="3489"/>
      <c r="BK173" s="3489"/>
      <c r="BL173" s="3489"/>
      <c r="BM173" s="3489"/>
      <c r="BN173" s="3489"/>
      <c r="BO173" s="3489"/>
      <c r="BP173" s="3489"/>
      <c r="BQ173" s="3489"/>
      <c r="BR173" s="3489"/>
      <c r="BS173" s="3489"/>
      <c r="BT173" s="3489"/>
      <c r="BU173" s="3489"/>
      <c r="BV173" s="3489"/>
      <c r="BW173" s="3489"/>
      <c r="BX173" s="3489"/>
      <c r="BY173" s="3489"/>
      <c r="BZ173" s="3489"/>
      <c r="CA173" s="3489"/>
      <c r="CB173" s="3489"/>
      <c r="CC173" s="979"/>
      <c r="CD173" s="979"/>
      <c r="CE173" s="979"/>
      <c r="CF173" s="979"/>
      <c r="CG173" s="979"/>
      <c r="CH173" s="979"/>
      <c r="CI173" s="979"/>
      <c r="CJ173" s="979"/>
      <c r="CK173" s="6029"/>
      <c r="CO173" s="6028"/>
      <c r="CP173" s="979"/>
      <c r="CQ173" s="3489"/>
      <c r="CR173" s="3489"/>
      <c r="CS173" s="3489"/>
      <c r="CT173" s="3489"/>
      <c r="CU173" s="3489"/>
      <c r="CV173" s="3489"/>
      <c r="CW173" s="3489"/>
      <c r="CX173" s="3489"/>
      <c r="CY173" s="3489"/>
      <c r="CZ173" s="3489"/>
      <c r="DA173" s="3489"/>
      <c r="DB173" s="3489"/>
      <c r="DC173" s="3489"/>
      <c r="DD173" s="3489"/>
      <c r="DE173" s="3489"/>
      <c r="DF173" s="3489"/>
      <c r="DG173" s="3489"/>
      <c r="DH173" s="3489"/>
      <c r="DI173" s="3489"/>
      <c r="DJ173" s="3489"/>
      <c r="DK173" s="3489"/>
      <c r="DL173" s="3489"/>
      <c r="DM173" s="3489"/>
      <c r="DN173" s="3489"/>
      <c r="DO173" s="3489"/>
      <c r="DP173" s="3489"/>
      <c r="DQ173" s="3489"/>
      <c r="DR173" s="3489"/>
      <c r="DS173" s="3489"/>
      <c r="DT173" s="3489"/>
      <c r="DU173" s="3489"/>
      <c r="DV173" s="979"/>
      <c r="DW173" s="979"/>
      <c r="DX173" s="979"/>
      <c r="DY173" s="979"/>
      <c r="DZ173" s="979"/>
      <c r="EA173" s="979"/>
      <c r="EB173" s="979"/>
      <c r="EC173" s="979"/>
      <c r="ED173" s="6029"/>
      <c r="EH173" s="6028"/>
      <c r="EI173" s="979"/>
      <c r="EJ173" s="3489"/>
      <c r="EK173" s="3489"/>
      <c r="EL173" s="3489"/>
      <c r="EM173" s="3489"/>
      <c r="EN173" s="3489"/>
      <c r="EO173" s="3489"/>
      <c r="EP173" s="3489"/>
      <c r="EQ173" s="3489"/>
      <c r="ER173" s="3489"/>
      <c r="ES173" s="3489"/>
      <c r="ET173" s="3489"/>
      <c r="EU173" s="3489"/>
      <c r="EV173" s="3489"/>
      <c r="EW173" s="3489"/>
      <c r="EX173" s="3489"/>
      <c r="EY173" s="3489"/>
      <c r="EZ173" s="3489"/>
      <c r="FA173" s="3489"/>
      <c r="FB173" s="3489"/>
      <c r="FC173" s="3489"/>
      <c r="FD173" s="3489"/>
      <c r="FE173" s="3489"/>
      <c r="FF173" s="3489"/>
      <c r="FG173" s="3489"/>
      <c r="FH173" s="3489"/>
      <c r="FI173" s="3489"/>
      <c r="FJ173" s="3489"/>
      <c r="FK173" s="3489"/>
      <c r="FL173" s="3489"/>
      <c r="FM173" s="3489"/>
      <c r="FN173" s="3489"/>
      <c r="FO173" s="979"/>
      <c r="FP173" s="979"/>
      <c r="FQ173" s="979"/>
      <c r="FR173" s="979"/>
      <c r="FS173" s="979"/>
      <c r="FT173" s="979"/>
      <c r="FU173" s="979"/>
      <c r="FV173" s="979"/>
      <c r="FW173" s="6029"/>
      <c r="GA173" s="6028"/>
      <c r="GB173" s="979"/>
      <c r="GC173" s="3489"/>
      <c r="GD173" s="3489"/>
      <c r="GE173" s="3489"/>
      <c r="GF173" s="3489"/>
      <c r="GG173" s="3489"/>
      <c r="GH173" s="3489"/>
      <c r="GI173" s="3489"/>
      <c r="GJ173" s="3489"/>
      <c r="GK173" s="3489"/>
      <c r="GL173" s="3489"/>
      <c r="GM173" s="3489"/>
      <c r="GN173" s="3489"/>
      <c r="GO173" s="3489"/>
      <c r="GP173" s="3489"/>
      <c r="GQ173" s="3489"/>
      <c r="GR173" s="3489"/>
      <c r="GS173" s="3489"/>
      <c r="GT173" s="3489"/>
      <c r="GU173" s="3489"/>
      <c r="GV173" s="3489"/>
      <c r="GW173" s="3489"/>
      <c r="GX173" s="3489"/>
      <c r="GY173" s="3489"/>
      <c r="GZ173" s="3489"/>
      <c r="HA173" s="3489"/>
      <c r="HB173" s="3489"/>
      <c r="HC173" s="3489"/>
      <c r="HD173" s="3489"/>
      <c r="HE173" s="3489"/>
      <c r="HF173" s="3489"/>
      <c r="HG173" s="3489"/>
      <c r="HH173" s="979"/>
      <c r="HI173" s="979"/>
      <c r="HJ173" s="979"/>
      <c r="HK173" s="979"/>
      <c r="HL173" s="979"/>
      <c r="HM173" s="979"/>
      <c r="HN173" s="979"/>
      <c r="HO173" s="979"/>
      <c r="HP173" s="6029"/>
      <c r="HT173" s="6028"/>
      <c r="HU173" s="979"/>
      <c r="HV173" s="3489"/>
      <c r="HW173" s="3489"/>
      <c r="HX173" s="3489"/>
      <c r="HY173" s="3489"/>
      <c r="HZ173" s="3489"/>
      <c r="IA173" s="3489"/>
      <c r="IB173" s="3489"/>
      <c r="IC173" s="3489"/>
      <c r="ID173" s="3489"/>
      <c r="IE173" s="3489"/>
      <c r="IF173" s="3489"/>
      <c r="IG173" s="3489"/>
      <c r="IH173" s="3489"/>
      <c r="II173" s="3489"/>
      <c r="IJ173" s="3489"/>
      <c r="IK173" s="3489"/>
      <c r="IL173" s="3489"/>
      <c r="IM173" s="3489"/>
      <c r="IN173" s="3489"/>
      <c r="IO173" s="3489"/>
      <c r="IP173" s="3489"/>
      <c r="IQ173" s="3489"/>
      <c r="IR173" s="3489"/>
      <c r="IS173" s="3489"/>
      <c r="IT173" s="3489"/>
      <c r="IU173" s="3489"/>
      <c r="IV173" s="3489"/>
      <c r="IW173" s="3489"/>
      <c r="IX173" s="3489"/>
      <c r="IY173" s="3489"/>
      <c r="IZ173" s="3489"/>
      <c r="JA173" s="979"/>
      <c r="JB173" s="979"/>
      <c r="JC173" s="979"/>
      <c r="JD173" s="979"/>
      <c r="JE173" s="979"/>
      <c r="JF173" s="979"/>
      <c r="JG173" s="979"/>
      <c r="JH173" s="979"/>
      <c r="JI173" s="6029"/>
      <c r="JM173" s="6028"/>
      <c r="JN173" s="979"/>
      <c r="JO173" s="3489"/>
      <c r="JP173" s="3489"/>
      <c r="JQ173" s="3489"/>
      <c r="JR173" s="3489"/>
      <c r="JS173" s="3489"/>
      <c r="JT173" s="3489"/>
      <c r="JU173" s="3489"/>
      <c r="JV173" s="3489"/>
      <c r="JW173" s="3489"/>
      <c r="JX173" s="3489"/>
      <c r="JY173" s="3489"/>
      <c r="JZ173" s="3489"/>
      <c r="KA173" s="3489"/>
      <c r="KB173" s="3489"/>
      <c r="KC173" s="3489"/>
      <c r="KD173" s="3489"/>
      <c r="KE173" s="3489"/>
      <c r="KF173" s="3489"/>
      <c r="KG173" s="3489"/>
      <c r="KH173" s="3489"/>
      <c r="KI173" s="3489"/>
      <c r="KJ173" s="3489"/>
      <c r="KK173" s="3489"/>
      <c r="KL173" s="3489"/>
      <c r="KM173" s="3489"/>
      <c r="KN173" s="3489"/>
      <c r="KO173" s="3489"/>
      <c r="KP173" s="3489"/>
      <c r="KQ173" s="3489"/>
      <c r="KR173" s="3489"/>
      <c r="KS173" s="3489"/>
      <c r="KT173" s="979"/>
      <c r="KU173" s="979"/>
      <c r="KV173" s="979"/>
      <c r="KW173" s="979"/>
      <c r="KX173" s="979"/>
      <c r="KY173" s="979"/>
      <c r="KZ173" s="979"/>
      <c r="LA173" s="979"/>
      <c r="LB173" s="6029"/>
      <c r="LC173" s="7"/>
      <c r="LF173" s="6028"/>
      <c r="LG173" s="979"/>
      <c r="LH173" s="3489"/>
      <c r="LI173" s="3489"/>
      <c r="LJ173" s="3489"/>
      <c r="LK173" s="3489"/>
      <c r="LL173" s="3489"/>
      <c r="LM173" s="3489"/>
      <c r="LN173" s="3489"/>
      <c r="LO173" s="3489"/>
      <c r="LP173" s="3489"/>
      <c r="LQ173" s="3489"/>
      <c r="LR173" s="3489"/>
      <c r="LS173" s="3489"/>
      <c r="LT173" s="3489"/>
      <c r="LU173" s="3489"/>
      <c r="LV173" s="3489"/>
      <c r="LW173" s="3489"/>
      <c r="LX173" s="3489"/>
      <c r="LY173" s="3489"/>
      <c r="LZ173" s="3489"/>
      <c r="MA173" s="3489"/>
      <c r="MB173" s="3489"/>
      <c r="MC173" s="3489"/>
      <c r="MD173" s="3489"/>
      <c r="ME173" s="3489"/>
      <c r="MF173" s="3489"/>
      <c r="MG173" s="3489"/>
      <c r="MH173" s="3489"/>
      <c r="MI173" s="3489"/>
      <c r="MJ173" s="3489"/>
      <c r="MK173" s="3489"/>
      <c r="ML173" s="3489"/>
      <c r="MM173" s="979"/>
      <c r="MN173" s="979"/>
      <c r="MO173" s="979"/>
      <c r="MP173" s="979"/>
      <c r="MQ173" s="979"/>
      <c r="MR173" s="979"/>
      <c r="MS173" s="979"/>
      <c r="MT173" s="979"/>
      <c r="MU173" s="6029"/>
      <c r="MV173" s="7"/>
      <c r="MY173" s="6028"/>
      <c r="MZ173" s="979"/>
      <c r="NA173" s="3489"/>
      <c r="NB173" s="3489"/>
      <c r="NC173" s="3489"/>
      <c r="ND173" s="3489"/>
      <c r="NE173" s="3489"/>
      <c r="NF173" s="3489"/>
      <c r="NG173" s="3489"/>
      <c r="NH173" s="3489"/>
      <c r="NI173" s="3489"/>
      <c r="NJ173" s="3489"/>
      <c r="NK173" s="3489"/>
      <c r="NL173" s="3489"/>
      <c r="NM173" s="3489"/>
      <c r="NN173" s="3489"/>
      <c r="NO173" s="3489"/>
      <c r="NP173" s="3489"/>
      <c r="NQ173" s="3489"/>
      <c r="NR173" s="3489"/>
      <c r="NS173" s="3489"/>
      <c r="NT173" s="3489"/>
      <c r="NU173" s="3489"/>
      <c r="NV173" s="3489"/>
      <c r="NW173" s="3489"/>
      <c r="NX173" s="3489"/>
      <c r="NY173" s="3489"/>
      <c r="NZ173" s="3489"/>
      <c r="OA173" s="3489"/>
      <c r="OB173" s="3489"/>
      <c r="OC173" s="3489"/>
      <c r="OD173" s="3489"/>
      <c r="OE173" s="3489"/>
      <c r="OF173" s="979"/>
      <c r="OG173" s="979"/>
      <c r="OH173" s="979"/>
      <c r="OI173" s="979"/>
      <c r="OJ173" s="979"/>
      <c r="OK173" s="979"/>
      <c r="OL173" s="979"/>
      <c r="OM173" s="979"/>
      <c r="ON173" s="6029"/>
      <c r="OO173" s="7"/>
    </row>
    <row r="174" spans="3:405" s="6031" customFormat="1" ht="15" customHeight="1" thickBot="1" x14ac:dyDescent="0.25">
      <c r="C174" s="6018"/>
      <c r="D174" s="6019"/>
      <c r="E174" s="6778" t="str">
        <f>_Calcs!$T$19</f>
        <v/>
      </c>
      <c r="F174" s="6778"/>
      <c r="G174" s="6778"/>
      <c r="H174" s="6778"/>
      <c r="I174" s="6778"/>
      <c r="J174" s="6778"/>
      <c r="K174" s="6778"/>
      <c r="L174" s="6778"/>
      <c r="M174" s="6778"/>
      <c r="N174" s="6778"/>
      <c r="O174" s="6778"/>
      <c r="P174" s="6778"/>
      <c r="Q174" s="6778"/>
      <c r="R174" s="6778"/>
      <c r="S174" s="6778"/>
      <c r="T174" s="6778"/>
      <c r="U174" s="6778"/>
      <c r="V174" s="6778"/>
      <c r="W174" s="6778"/>
      <c r="X174" s="6778"/>
      <c r="Y174" s="6778"/>
      <c r="Z174" s="6778"/>
      <c r="AA174" s="6778"/>
      <c r="AB174" s="6778"/>
      <c r="AC174" s="6778"/>
      <c r="AD174" s="6778"/>
      <c r="AE174" s="6778"/>
      <c r="AF174" s="6778"/>
      <c r="AG174" s="6778"/>
      <c r="AH174" s="6778"/>
      <c r="AI174" s="6778"/>
      <c r="AJ174" s="6778"/>
      <c r="AK174" s="6778"/>
      <c r="AL174" s="6778"/>
      <c r="AM174" s="6778"/>
      <c r="AN174" s="6778"/>
      <c r="AO174" s="6778"/>
      <c r="AP174" s="6778"/>
      <c r="AQ174" s="6030"/>
      <c r="AR174" s="6026"/>
      <c r="AV174" s="6018"/>
      <c r="AW174" s="6019"/>
      <c r="AX174" s="6778" t="str">
        <f>_Calcs!$T$19</f>
        <v/>
      </c>
      <c r="AY174" s="6778"/>
      <c r="AZ174" s="6778"/>
      <c r="BA174" s="6778"/>
      <c r="BB174" s="6778"/>
      <c r="BC174" s="6778"/>
      <c r="BD174" s="6778"/>
      <c r="BE174" s="6778"/>
      <c r="BF174" s="6778"/>
      <c r="BG174" s="6778"/>
      <c r="BH174" s="6778"/>
      <c r="BI174" s="6778"/>
      <c r="BJ174" s="6778"/>
      <c r="BK174" s="6778"/>
      <c r="BL174" s="6778"/>
      <c r="BM174" s="6778"/>
      <c r="BN174" s="6778"/>
      <c r="BO174" s="6778"/>
      <c r="BP174" s="6778"/>
      <c r="BQ174" s="6778"/>
      <c r="BR174" s="6778"/>
      <c r="BS174" s="6778"/>
      <c r="BT174" s="6778"/>
      <c r="BU174" s="6778"/>
      <c r="BV174" s="6778"/>
      <c r="BW174" s="6778"/>
      <c r="BX174" s="6778"/>
      <c r="BY174" s="6778"/>
      <c r="BZ174" s="6778"/>
      <c r="CA174" s="6778"/>
      <c r="CB174" s="6778"/>
      <c r="CC174" s="6778"/>
      <c r="CD174" s="6778"/>
      <c r="CE174" s="6778"/>
      <c r="CF174" s="6778"/>
      <c r="CG174" s="6778"/>
      <c r="CH174" s="6778"/>
      <c r="CI174" s="6778"/>
      <c r="CJ174" s="6030"/>
      <c r="CK174" s="6026"/>
      <c r="CO174" s="6018"/>
      <c r="CP174" s="6019"/>
      <c r="CQ174" s="6778" t="str">
        <f>_Calcs!$T$19</f>
        <v/>
      </c>
      <c r="CR174" s="6778"/>
      <c r="CS174" s="6778"/>
      <c r="CT174" s="6778"/>
      <c r="CU174" s="6778"/>
      <c r="CV174" s="6778"/>
      <c r="CW174" s="6778"/>
      <c r="CX174" s="6778"/>
      <c r="CY174" s="6778"/>
      <c r="CZ174" s="6778"/>
      <c r="DA174" s="6778"/>
      <c r="DB174" s="6778"/>
      <c r="DC174" s="6778"/>
      <c r="DD174" s="6778"/>
      <c r="DE174" s="6778"/>
      <c r="DF174" s="6778"/>
      <c r="DG174" s="6778"/>
      <c r="DH174" s="6778"/>
      <c r="DI174" s="6778"/>
      <c r="DJ174" s="6778"/>
      <c r="DK174" s="6778"/>
      <c r="DL174" s="6778"/>
      <c r="DM174" s="6778"/>
      <c r="DN174" s="6778"/>
      <c r="DO174" s="6778"/>
      <c r="DP174" s="6778"/>
      <c r="DQ174" s="6778"/>
      <c r="DR174" s="6778"/>
      <c r="DS174" s="6778"/>
      <c r="DT174" s="6778"/>
      <c r="DU174" s="6778"/>
      <c r="DV174" s="6778"/>
      <c r="DW174" s="6778"/>
      <c r="DX174" s="6778"/>
      <c r="DY174" s="6778"/>
      <c r="DZ174" s="6778"/>
      <c r="EA174" s="6778"/>
      <c r="EB174" s="6778"/>
      <c r="EC174" s="6030"/>
      <c r="ED174" s="6026"/>
      <c r="EH174" s="6018"/>
      <c r="EI174" s="6019"/>
      <c r="EJ174" s="6778" t="str">
        <f>_Calcs!$T$19</f>
        <v/>
      </c>
      <c r="EK174" s="6778"/>
      <c r="EL174" s="6778"/>
      <c r="EM174" s="6778"/>
      <c r="EN174" s="6778"/>
      <c r="EO174" s="6778"/>
      <c r="EP174" s="6778"/>
      <c r="EQ174" s="6778"/>
      <c r="ER174" s="6778"/>
      <c r="ES174" s="6778"/>
      <c r="ET174" s="6778"/>
      <c r="EU174" s="6778"/>
      <c r="EV174" s="6778"/>
      <c r="EW174" s="6778"/>
      <c r="EX174" s="6778"/>
      <c r="EY174" s="6778"/>
      <c r="EZ174" s="6778"/>
      <c r="FA174" s="6778"/>
      <c r="FB174" s="6778"/>
      <c r="FC174" s="6778"/>
      <c r="FD174" s="6778"/>
      <c r="FE174" s="6778"/>
      <c r="FF174" s="6778"/>
      <c r="FG174" s="6778"/>
      <c r="FH174" s="6778"/>
      <c r="FI174" s="6778"/>
      <c r="FJ174" s="6778"/>
      <c r="FK174" s="6778"/>
      <c r="FL174" s="6778"/>
      <c r="FM174" s="6778"/>
      <c r="FN174" s="6778"/>
      <c r="FO174" s="6778"/>
      <c r="FP174" s="6778"/>
      <c r="FQ174" s="6778"/>
      <c r="FR174" s="6778"/>
      <c r="FS174" s="6778"/>
      <c r="FT174" s="6778"/>
      <c r="FU174" s="6778"/>
      <c r="FV174" s="6030"/>
      <c r="FW174" s="6026"/>
      <c r="GA174" s="6018"/>
      <c r="GB174" s="6019"/>
      <c r="GC174" s="6778" t="str">
        <f>_Calcs!$T$19</f>
        <v/>
      </c>
      <c r="GD174" s="6778"/>
      <c r="GE174" s="6778"/>
      <c r="GF174" s="6778"/>
      <c r="GG174" s="6778"/>
      <c r="GH174" s="6778"/>
      <c r="GI174" s="6778"/>
      <c r="GJ174" s="6778"/>
      <c r="GK174" s="6778"/>
      <c r="GL174" s="6778"/>
      <c r="GM174" s="6778"/>
      <c r="GN174" s="6778"/>
      <c r="GO174" s="6778"/>
      <c r="GP174" s="6778"/>
      <c r="GQ174" s="6778"/>
      <c r="GR174" s="6778"/>
      <c r="GS174" s="6778"/>
      <c r="GT174" s="6778"/>
      <c r="GU174" s="6778"/>
      <c r="GV174" s="6778"/>
      <c r="GW174" s="6778"/>
      <c r="GX174" s="6778"/>
      <c r="GY174" s="6778"/>
      <c r="GZ174" s="6778"/>
      <c r="HA174" s="6778"/>
      <c r="HB174" s="6778"/>
      <c r="HC174" s="6778"/>
      <c r="HD174" s="6778"/>
      <c r="HE174" s="6778"/>
      <c r="HF174" s="6778"/>
      <c r="HG174" s="6778"/>
      <c r="HH174" s="6778"/>
      <c r="HI174" s="6778"/>
      <c r="HJ174" s="6778"/>
      <c r="HK174" s="6778"/>
      <c r="HL174" s="6778"/>
      <c r="HM174" s="6778"/>
      <c r="HN174" s="6778"/>
      <c r="HO174" s="6030"/>
      <c r="HP174" s="6026"/>
      <c r="HT174" s="6018"/>
      <c r="HU174" s="6019"/>
      <c r="HV174" s="6778" t="str">
        <f>_Calcs!$T$19</f>
        <v/>
      </c>
      <c r="HW174" s="6778"/>
      <c r="HX174" s="6778"/>
      <c r="HY174" s="6778"/>
      <c r="HZ174" s="6778"/>
      <c r="IA174" s="6778"/>
      <c r="IB174" s="6778"/>
      <c r="IC174" s="6778"/>
      <c r="ID174" s="6778"/>
      <c r="IE174" s="6778"/>
      <c r="IF174" s="6778"/>
      <c r="IG174" s="6778"/>
      <c r="IH174" s="6778"/>
      <c r="II174" s="6778"/>
      <c r="IJ174" s="6778"/>
      <c r="IK174" s="6778"/>
      <c r="IL174" s="6778"/>
      <c r="IM174" s="6778"/>
      <c r="IN174" s="6778"/>
      <c r="IO174" s="6778"/>
      <c r="IP174" s="6778"/>
      <c r="IQ174" s="6778"/>
      <c r="IR174" s="6778"/>
      <c r="IS174" s="6778"/>
      <c r="IT174" s="6778"/>
      <c r="IU174" s="6778"/>
      <c r="IV174" s="6778"/>
      <c r="IW174" s="6778"/>
      <c r="IX174" s="6778"/>
      <c r="IY174" s="6778"/>
      <c r="IZ174" s="6778"/>
      <c r="JA174" s="6778"/>
      <c r="JB174" s="6778"/>
      <c r="JC174" s="6778"/>
      <c r="JD174" s="6778"/>
      <c r="JE174" s="6778"/>
      <c r="JF174" s="6778"/>
      <c r="JG174" s="6778"/>
      <c r="JH174" s="6030"/>
      <c r="JI174" s="6026"/>
      <c r="JM174" s="6018"/>
      <c r="JN174" s="6019"/>
      <c r="JO174" s="6778" t="str">
        <f>_Calcs!$T$19</f>
        <v/>
      </c>
      <c r="JP174" s="6778"/>
      <c r="JQ174" s="6778"/>
      <c r="JR174" s="6778"/>
      <c r="JS174" s="6778"/>
      <c r="JT174" s="6778"/>
      <c r="JU174" s="6778"/>
      <c r="JV174" s="6778"/>
      <c r="JW174" s="6778"/>
      <c r="JX174" s="6778"/>
      <c r="JY174" s="6778"/>
      <c r="JZ174" s="6778"/>
      <c r="KA174" s="6778"/>
      <c r="KB174" s="6778"/>
      <c r="KC174" s="6778"/>
      <c r="KD174" s="6778"/>
      <c r="KE174" s="6778"/>
      <c r="KF174" s="6778"/>
      <c r="KG174" s="6778"/>
      <c r="KH174" s="6778"/>
      <c r="KI174" s="6778"/>
      <c r="KJ174" s="6778"/>
      <c r="KK174" s="6778"/>
      <c r="KL174" s="6778"/>
      <c r="KM174" s="6778"/>
      <c r="KN174" s="6778"/>
      <c r="KO174" s="6778"/>
      <c r="KP174" s="6778"/>
      <c r="KQ174" s="6778"/>
      <c r="KR174" s="6778"/>
      <c r="KS174" s="6778"/>
      <c r="KT174" s="6778"/>
      <c r="KU174" s="6778"/>
      <c r="KV174" s="6778"/>
      <c r="KW174" s="6778"/>
      <c r="KX174" s="6778"/>
      <c r="KY174" s="6778"/>
      <c r="KZ174" s="6778"/>
      <c r="LA174" s="6030"/>
      <c r="LB174" s="6026"/>
      <c r="LC174" s="7"/>
      <c r="LF174" s="6018"/>
      <c r="LG174" s="6019"/>
      <c r="LH174" s="6778" t="str">
        <f>_Calcs!$T$19</f>
        <v/>
      </c>
      <c r="LI174" s="6778"/>
      <c r="LJ174" s="6778"/>
      <c r="LK174" s="6778"/>
      <c r="LL174" s="6778"/>
      <c r="LM174" s="6778"/>
      <c r="LN174" s="6778"/>
      <c r="LO174" s="6778"/>
      <c r="LP174" s="6778"/>
      <c r="LQ174" s="6778"/>
      <c r="LR174" s="6778"/>
      <c r="LS174" s="6778"/>
      <c r="LT174" s="6778"/>
      <c r="LU174" s="6778"/>
      <c r="LV174" s="6778"/>
      <c r="LW174" s="6778"/>
      <c r="LX174" s="6778"/>
      <c r="LY174" s="6778"/>
      <c r="LZ174" s="6778"/>
      <c r="MA174" s="6778"/>
      <c r="MB174" s="6778"/>
      <c r="MC174" s="6778"/>
      <c r="MD174" s="6778"/>
      <c r="ME174" s="6778"/>
      <c r="MF174" s="6778"/>
      <c r="MG174" s="6778"/>
      <c r="MH174" s="6778"/>
      <c r="MI174" s="6778"/>
      <c r="MJ174" s="6778"/>
      <c r="MK174" s="6778"/>
      <c r="ML174" s="6778"/>
      <c r="MM174" s="6778"/>
      <c r="MN174" s="6778"/>
      <c r="MO174" s="6778"/>
      <c r="MP174" s="6778"/>
      <c r="MQ174" s="6778"/>
      <c r="MR174" s="6778"/>
      <c r="MS174" s="6778"/>
      <c r="MT174" s="6030"/>
      <c r="MU174" s="6026"/>
      <c r="MV174" s="7"/>
      <c r="MY174" s="6018"/>
      <c r="MZ174" s="6019"/>
      <c r="NA174" s="6778" t="str">
        <f>_Calcs!$T$19</f>
        <v/>
      </c>
      <c r="NB174" s="6778"/>
      <c r="NC174" s="6778"/>
      <c r="ND174" s="6778"/>
      <c r="NE174" s="6778"/>
      <c r="NF174" s="6778"/>
      <c r="NG174" s="6778"/>
      <c r="NH174" s="6778"/>
      <c r="NI174" s="6778"/>
      <c r="NJ174" s="6778"/>
      <c r="NK174" s="6778"/>
      <c r="NL174" s="6778"/>
      <c r="NM174" s="6778"/>
      <c r="NN174" s="6778"/>
      <c r="NO174" s="6778"/>
      <c r="NP174" s="6778"/>
      <c r="NQ174" s="6778"/>
      <c r="NR174" s="6778"/>
      <c r="NS174" s="6778"/>
      <c r="NT174" s="6778"/>
      <c r="NU174" s="6778"/>
      <c r="NV174" s="6778"/>
      <c r="NW174" s="6778"/>
      <c r="NX174" s="6778"/>
      <c r="NY174" s="6778"/>
      <c r="NZ174" s="6778"/>
      <c r="OA174" s="6778"/>
      <c r="OB174" s="6778"/>
      <c r="OC174" s="6778"/>
      <c r="OD174" s="6778"/>
      <c r="OE174" s="6778"/>
      <c r="OF174" s="6778"/>
      <c r="OG174" s="6778"/>
      <c r="OH174" s="6778"/>
      <c r="OI174" s="6778"/>
      <c r="OJ174" s="6778"/>
      <c r="OK174" s="6778"/>
      <c r="OL174" s="6778"/>
      <c r="OM174" s="6030"/>
      <c r="ON174" s="6026"/>
      <c r="OO174" s="7"/>
    </row>
    <row r="175" spans="3:405" s="1466" customFormat="1" ht="9.9499999999999993" customHeight="1" thickBot="1" x14ac:dyDescent="0.25">
      <c r="C175" s="6028"/>
      <c r="E175" s="6032"/>
      <c r="F175" s="6032"/>
      <c r="G175" s="6032"/>
      <c r="H175" s="6032"/>
      <c r="I175" s="6032"/>
      <c r="J175" s="6032"/>
      <c r="K175" s="6032"/>
      <c r="L175" s="6032"/>
      <c r="M175" s="6032"/>
      <c r="N175" s="6032"/>
      <c r="O175" s="6032"/>
      <c r="P175" s="6032"/>
      <c r="Q175" s="6032"/>
      <c r="R175" s="6032"/>
      <c r="S175" s="6032"/>
      <c r="T175" s="6032"/>
      <c r="U175" s="6032"/>
      <c r="V175" s="6032"/>
      <c r="W175" s="6032"/>
      <c r="X175" s="6032"/>
      <c r="Y175" s="6032"/>
      <c r="Z175" s="6032"/>
      <c r="AA175" s="6032"/>
      <c r="AB175" s="6032"/>
      <c r="AC175" s="3489"/>
      <c r="AD175" s="3489"/>
      <c r="AE175" s="6033"/>
      <c r="AF175" s="6033"/>
      <c r="AG175" s="6033"/>
      <c r="AH175" s="6033"/>
      <c r="AI175" s="6033"/>
      <c r="AJ175" s="6033"/>
      <c r="AK175" s="6033"/>
      <c r="AL175" s="6033"/>
      <c r="AM175" s="6033"/>
      <c r="AN175" s="6033"/>
      <c r="AO175" s="6033"/>
      <c r="AP175" s="6033"/>
      <c r="AQ175" s="3489"/>
      <c r="AR175" s="6029"/>
      <c r="AV175" s="6028"/>
      <c r="AX175" s="6032"/>
      <c r="AY175" s="6032"/>
      <c r="AZ175" s="6032"/>
      <c r="BA175" s="6032"/>
      <c r="BB175" s="6032"/>
      <c r="BC175" s="6032"/>
      <c r="BD175" s="6032"/>
      <c r="BE175" s="6032"/>
      <c r="BF175" s="6032"/>
      <c r="BG175" s="6032"/>
      <c r="BH175" s="6032"/>
      <c r="BI175" s="6032"/>
      <c r="BJ175" s="6032"/>
      <c r="BK175" s="6032"/>
      <c r="BL175" s="6032"/>
      <c r="BM175" s="6032"/>
      <c r="BN175" s="6032"/>
      <c r="BO175" s="6032"/>
      <c r="BP175" s="6032"/>
      <c r="BQ175" s="6032"/>
      <c r="BR175" s="6032"/>
      <c r="BS175" s="6032"/>
      <c r="BT175" s="6032"/>
      <c r="BU175" s="6032"/>
      <c r="BV175" s="3489"/>
      <c r="BW175" s="3489"/>
      <c r="BX175" s="6033"/>
      <c r="BY175" s="6033"/>
      <c r="BZ175" s="6033"/>
      <c r="CA175" s="6033"/>
      <c r="CB175" s="6033"/>
      <c r="CC175" s="6033"/>
      <c r="CD175" s="6033"/>
      <c r="CE175" s="6033"/>
      <c r="CF175" s="6033"/>
      <c r="CG175" s="6033"/>
      <c r="CH175" s="6033"/>
      <c r="CI175" s="6033"/>
      <c r="CJ175" s="3489"/>
      <c r="CK175" s="6029"/>
      <c r="CO175" s="6028"/>
      <c r="CQ175" s="6032"/>
      <c r="CR175" s="6032"/>
      <c r="CS175" s="6032"/>
      <c r="CT175" s="6032"/>
      <c r="CU175" s="6032"/>
      <c r="CV175" s="6032"/>
      <c r="CW175" s="6032"/>
      <c r="CX175" s="6032"/>
      <c r="CY175" s="6032"/>
      <c r="CZ175" s="6032"/>
      <c r="DA175" s="6032"/>
      <c r="DB175" s="6032"/>
      <c r="DC175" s="6032"/>
      <c r="DD175" s="6032"/>
      <c r="DE175" s="6032"/>
      <c r="DF175" s="6032"/>
      <c r="DG175" s="6032"/>
      <c r="DH175" s="6032"/>
      <c r="DI175" s="6032"/>
      <c r="DJ175" s="6032"/>
      <c r="DK175" s="6032"/>
      <c r="DL175" s="6032"/>
      <c r="DM175" s="6032"/>
      <c r="DN175" s="6032"/>
      <c r="DO175" s="3489"/>
      <c r="DP175" s="3489"/>
      <c r="DQ175" s="6033"/>
      <c r="DR175" s="6033"/>
      <c r="DS175" s="6033"/>
      <c r="DT175" s="6033"/>
      <c r="DU175" s="6033"/>
      <c r="DV175" s="6033"/>
      <c r="DW175" s="6033"/>
      <c r="DX175" s="6033"/>
      <c r="DY175" s="6033"/>
      <c r="DZ175" s="6033"/>
      <c r="EA175" s="6033"/>
      <c r="EB175" s="6033"/>
      <c r="EC175" s="3489"/>
      <c r="ED175" s="6029"/>
      <c r="EH175" s="6028"/>
      <c r="EJ175" s="6032"/>
      <c r="EK175" s="6032"/>
      <c r="EL175" s="6032"/>
      <c r="EM175" s="6032"/>
      <c r="EN175" s="6032"/>
      <c r="EO175" s="6032"/>
      <c r="EP175" s="6032"/>
      <c r="EQ175" s="6032"/>
      <c r="ER175" s="6032"/>
      <c r="ES175" s="6032"/>
      <c r="ET175" s="6032"/>
      <c r="EU175" s="6032"/>
      <c r="EV175" s="6032"/>
      <c r="EW175" s="6032"/>
      <c r="EX175" s="6032"/>
      <c r="EY175" s="6032"/>
      <c r="EZ175" s="6032"/>
      <c r="FA175" s="6032"/>
      <c r="FB175" s="6032"/>
      <c r="FC175" s="6032"/>
      <c r="FD175" s="6032"/>
      <c r="FE175" s="6032"/>
      <c r="FF175" s="6032"/>
      <c r="FG175" s="6032"/>
      <c r="FH175" s="3489"/>
      <c r="FI175" s="3489"/>
      <c r="FJ175" s="6033"/>
      <c r="FK175" s="6033"/>
      <c r="FL175" s="6033"/>
      <c r="FM175" s="6033"/>
      <c r="FN175" s="6033"/>
      <c r="FO175" s="6033"/>
      <c r="FP175" s="6033"/>
      <c r="FQ175" s="6033"/>
      <c r="FR175" s="6033"/>
      <c r="FS175" s="6033"/>
      <c r="FT175" s="6033"/>
      <c r="FU175" s="6033"/>
      <c r="FV175" s="3489"/>
      <c r="FW175" s="6029"/>
      <c r="GA175" s="6028"/>
      <c r="GC175" s="6032"/>
      <c r="GD175" s="6032"/>
      <c r="GE175" s="6032"/>
      <c r="GF175" s="6032"/>
      <c r="GG175" s="6032"/>
      <c r="GH175" s="6032"/>
      <c r="GI175" s="6032"/>
      <c r="GJ175" s="6032"/>
      <c r="GK175" s="6032"/>
      <c r="GL175" s="6032"/>
      <c r="GM175" s="6032"/>
      <c r="GN175" s="6032"/>
      <c r="GO175" s="6032"/>
      <c r="GP175" s="6032"/>
      <c r="GQ175" s="6032"/>
      <c r="GR175" s="6032"/>
      <c r="GS175" s="6032"/>
      <c r="GT175" s="6032"/>
      <c r="GU175" s="6032"/>
      <c r="GV175" s="6032"/>
      <c r="GW175" s="6032"/>
      <c r="GX175" s="6032"/>
      <c r="GY175" s="6032"/>
      <c r="GZ175" s="6032"/>
      <c r="HA175" s="3489"/>
      <c r="HB175" s="3489"/>
      <c r="HC175" s="6033"/>
      <c r="HD175" s="6033"/>
      <c r="HE175" s="6033"/>
      <c r="HF175" s="6033"/>
      <c r="HG175" s="6033"/>
      <c r="HH175" s="6033"/>
      <c r="HI175" s="6033"/>
      <c r="HJ175" s="6033"/>
      <c r="HK175" s="6033"/>
      <c r="HL175" s="6033"/>
      <c r="HM175" s="6033"/>
      <c r="HN175" s="6033"/>
      <c r="HO175" s="3489"/>
      <c r="HP175" s="6029"/>
      <c r="HT175" s="6028"/>
      <c r="HV175" s="6032"/>
      <c r="HW175" s="6032"/>
      <c r="HX175" s="6032"/>
      <c r="HY175" s="6032"/>
      <c r="HZ175" s="6032"/>
      <c r="IA175" s="6032"/>
      <c r="IB175" s="6032"/>
      <c r="IC175" s="6032"/>
      <c r="ID175" s="6032"/>
      <c r="IE175" s="6032"/>
      <c r="IF175" s="6032"/>
      <c r="IG175" s="6032"/>
      <c r="IH175" s="6032"/>
      <c r="II175" s="6032"/>
      <c r="IJ175" s="6032"/>
      <c r="IK175" s="6032"/>
      <c r="IL175" s="6032"/>
      <c r="IM175" s="6032"/>
      <c r="IN175" s="6032"/>
      <c r="IO175" s="6032"/>
      <c r="IP175" s="6032"/>
      <c r="IQ175" s="6032"/>
      <c r="IR175" s="6032"/>
      <c r="IS175" s="6032"/>
      <c r="IT175" s="3489"/>
      <c r="IU175" s="3489"/>
      <c r="IV175" s="6033"/>
      <c r="IW175" s="6033"/>
      <c r="IX175" s="6033"/>
      <c r="IY175" s="6033"/>
      <c r="IZ175" s="6033"/>
      <c r="JA175" s="6033"/>
      <c r="JB175" s="6033"/>
      <c r="JC175" s="6033"/>
      <c r="JD175" s="6033"/>
      <c r="JE175" s="6033"/>
      <c r="JF175" s="6033"/>
      <c r="JG175" s="6033"/>
      <c r="JH175" s="3489"/>
      <c r="JI175" s="6029"/>
      <c r="JM175" s="6028"/>
      <c r="JO175" s="6032"/>
      <c r="JP175" s="6032"/>
      <c r="JQ175" s="6032"/>
      <c r="JR175" s="6032"/>
      <c r="JS175" s="6032"/>
      <c r="JT175" s="6032"/>
      <c r="JU175" s="6032"/>
      <c r="JV175" s="6032"/>
      <c r="JW175" s="6032"/>
      <c r="JX175" s="6032"/>
      <c r="JY175" s="6032"/>
      <c r="JZ175" s="6032"/>
      <c r="KA175" s="6032"/>
      <c r="KB175" s="6032"/>
      <c r="KC175" s="6032"/>
      <c r="KD175" s="6032"/>
      <c r="KE175" s="6032"/>
      <c r="KF175" s="6032"/>
      <c r="KG175" s="6032"/>
      <c r="KH175" s="6032"/>
      <c r="KI175" s="6032"/>
      <c r="KJ175" s="6032"/>
      <c r="KK175" s="6032"/>
      <c r="KL175" s="6032"/>
      <c r="KM175" s="3489"/>
      <c r="KN175" s="3489"/>
      <c r="KO175" s="6033"/>
      <c r="KP175" s="6033"/>
      <c r="KQ175" s="6033"/>
      <c r="KR175" s="6033"/>
      <c r="KS175" s="6033"/>
      <c r="KT175" s="6033"/>
      <c r="KU175" s="6033"/>
      <c r="KV175" s="6033"/>
      <c r="KW175" s="6033"/>
      <c r="KX175" s="6033"/>
      <c r="KY175" s="6033"/>
      <c r="KZ175" s="6033"/>
      <c r="LA175" s="3489"/>
      <c r="LB175" s="6029"/>
      <c r="LC175" s="130"/>
      <c r="LF175" s="6028"/>
      <c r="LH175" s="6032"/>
      <c r="LI175" s="6032"/>
      <c r="LJ175" s="6032"/>
      <c r="LK175" s="6032"/>
      <c r="LL175" s="6032"/>
      <c r="LM175" s="6032"/>
      <c r="LN175" s="6032"/>
      <c r="LO175" s="6032"/>
      <c r="LP175" s="6032"/>
      <c r="LQ175" s="6032"/>
      <c r="LR175" s="6032"/>
      <c r="LS175" s="6032"/>
      <c r="LT175" s="6032"/>
      <c r="LU175" s="6032"/>
      <c r="LV175" s="6032"/>
      <c r="LW175" s="6032"/>
      <c r="LX175" s="6032"/>
      <c r="LY175" s="6032"/>
      <c r="LZ175" s="6032"/>
      <c r="MA175" s="6032"/>
      <c r="MB175" s="6032"/>
      <c r="MC175" s="6032"/>
      <c r="MD175" s="6032"/>
      <c r="ME175" s="6032"/>
      <c r="MF175" s="3489"/>
      <c r="MG175" s="3489"/>
      <c r="MH175" s="6033"/>
      <c r="MI175" s="6033"/>
      <c r="MJ175" s="6033"/>
      <c r="MK175" s="6033"/>
      <c r="ML175" s="6033"/>
      <c r="MM175" s="6033"/>
      <c r="MN175" s="6033"/>
      <c r="MO175" s="6033"/>
      <c r="MP175" s="6033"/>
      <c r="MQ175" s="6033"/>
      <c r="MR175" s="6033"/>
      <c r="MS175" s="6033"/>
      <c r="MT175" s="3489"/>
      <c r="MU175" s="6029"/>
      <c r="MV175" s="130"/>
      <c r="MY175" s="6028"/>
      <c r="NA175" s="6032"/>
      <c r="NB175" s="6032"/>
      <c r="NC175" s="6032"/>
      <c r="ND175" s="6032"/>
      <c r="NE175" s="6032"/>
      <c r="NF175" s="6032"/>
      <c r="NG175" s="6032"/>
      <c r="NH175" s="6032"/>
      <c r="NI175" s="6032"/>
      <c r="NJ175" s="6032"/>
      <c r="NK175" s="6032"/>
      <c r="NL175" s="6032"/>
      <c r="NM175" s="6032"/>
      <c r="NN175" s="6032"/>
      <c r="NO175" s="6032"/>
      <c r="NP175" s="6032"/>
      <c r="NQ175" s="6032"/>
      <c r="NR175" s="6032"/>
      <c r="NS175" s="6032"/>
      <c r="NT175" s="6032"/>
      <c r="NU175" s="6032"/>
      <c r="NV175" s="6032"/>
      <c r="NW175" s="6032"/>
      <c r="NX175" s="6032"/>
      <c r="NY175" s="3489"/>
      <c r="NZ175" s="3489"/>
      <c r="OA175" s="6033"/>
      <c r="OB175" s="6033"/>
      <c r="OC175" s="6033"/>
      <c r="OD175" s="6033"/>
      <c r="OE175" s="6033"/>
      <c r="OF175" s="6033"/>
      <c r="OG175" s="6033"/>
      <c r="OH175" s="6033"/>
      <c r="OI175" s="6033"/>
      <c r="OJ175" s="6033"/>
      <c r="OK175" s="6033"/>
      <c r="OL175" s="6033"/>
      <c r="OM175" s="3489"/>
      <c r="ON175" s="6029"/>
      <c r="OO175" s="130"/>
    </row>
    <row r="176" spans="3:405" s="1466" customFormat="1" ht="6" customHeight="1" x14ac:dyDescent="0.2">
      <c r="C176" s="6028"/>
      <c r="D176" s="6785" t="str">
        <f>_Calcs!$II$96</f>
        <v>Begrunnelser for tidsjusteringer</v>
      </c>
      <c r="E176" s="6785"/>
      <c r="F176" s="6785"/>
      <c r="G176" s="6785"/>
      <c r="H176" s="6785"/>
      <c r="I176" s="6785"/>
      <c r="J176" s="6785"/>
      <c r="K176" s="6785"/>
      <c r="L176" s="6785"/>
      <c r="M176" s="6785"/>
      <c r="N176" s="6785"/>
      <c r="O176" s="6785"/>
      <c r="P176" s="6785"/>
      <c r="Q176" s="6785"/>
      <c r="R176" s="6785"/>
      <c r="S176" s="6785"/>
      <c r="T176" s="6785"/>
      <c r="U176" s="6785"/>
      <c r="V176" s="6785"/>
      <c r="W176" s="6785"/>
      <c r="X176" s="6785"/>
      <c r="Y176" s="6785"/>
      <c r="Z176" s="6785"/>
      <c r="AA176" s="6785"/>
      <c r="AB176" s="6785"/>
      <c r="AC176" s="6785"/>
      <c r="AD176" s="3489"/>
      <c r="AE176" s="6033"/>
      <c r="AF176" s="6033"/>
      <c r="AG176" s="6034"/>
      <c r="AH176" s="6786" t="str">
        <f>_Calcs!$IK$158</f>
        <v>Stuff 1-1</v>
      </c>
      <c r="AI176" s="6786"/>
      <c r="AJ176" s="6786"/>
      <c r="AK176" s="6786"/>
      <c r="AL176" s="6786"/>
      <c r="AM176" s="6786"/>
      <c r="AN176" s="6786"/>
      <c r="AO176" s="6786"/>
      <c r="AP176" s="6786"/>
      <c r="AQ176" s="6035"/>
      <c r="AR176" s="6029"/>
      <c r="AV176" s="6028"/>
      <c r="AW176" s="6785" t="str">
        <f>_Calcs!$II$96</f>
        <v>Begrunnelser for tidsjusteringer</v>
      </c>
      <c r="AX176" s="6785"/>
      <c r="AY176" s="6785"/>
      <c r="AZ176" s="6785"/>
      <c r="BA176" s="6785"/>
      <c r="BB176" s="6785"/>
      <c r="BC176" s="6785"/>
      <c r="BD176" s="6785"/>
      <c r="BE176" s="6785"/>
      <c r="BF176" s="6785"/>
      <c r="BG176" s="6785"/>
      <c r="BH176" s="6785"/>
      <c r="BI176" s="6785"/>
      <c r="BJ176" s="6785"/>
      <c r="BK176" s="6785"/>
      <c r="BL176" s="6785"/>
      <c r="BM176" s="6785"/>
      <c r="BN176" s="6785"/>
      <c r="BO176" s="6785"/>
      <c r="BP176" s="6785"/>
      <c r="BQ176" s="6785"/>
      <c r="BR176" s="6785"/>
      <c r="BS176" s="6785"/>
      <c r="BT176" s="6785"/>
      <c r="BU176" s="6785"/>
      <c r="BV176" s="6785"/>
      <c r="BW176" s="3489"/>
      <c r="BX176" s="6033"/>
      <c r="BY176" s="6033"/>
      <c r="BZ176" s="6034"/>
      <c r="CA176" s="6786" t="str">
        <f>_Calcs!$IL$158</f>
        <v/>
      </c>
      <c r="CB176" s="6786"/>
      <c r="CC176" s="6786"/>
      <c r="CD176" s="6786"/>
      <c r="CE176" s="6786"/>
      <c r="CF176" s="6786"/>
      <c r="CG176" s="6786"/>
      <c r="CH176" s="6786"/>
      <c r="CI176" s="6786"/>
      <c r="CJ176" s="6035"/>
      <c r="CK176" s="6029"/>
      <c r="CO176" s="6028"/>
      <c r="CP176" s="6785" t="str">
        <f>_Calcs!$II$96</f>
        <v>Begrunnelser for tidsjusteringer</v>
      </c>
      <c r="CQ176" s="6785"/>
      <c r="CR176" s="6785"/>
      <c r="CS176" s="6785"/>
      <c r="CT176" s="6785"/>
      <c r="CU176" s="6785"/>
      <c r="CV176" s="6785"/>
      <c r="CW176" s="6785"/>
      <c r="CX176" s="6785"/>
      <c r="CY176" s="6785"/>
      <c r="CZ176" s="6785"/>
      <c r="DA176" s="6785"/>
      <c r="DB176" s="6785"/>
      <c r="DC176" s="6785"/>
      <c r="DD176" s="6785"/>
      <c r="DE176" s="6785"/>
      <c r="DF176" s="6785"/>
      <c r="DG176" s="6785"/>
      <c r="DH176" s="6785"/>
      <c r="DI176" s="6785"/>
      <c r="DJ176" s="6785"/>
      <c r="DK176" s="6785"/>
      <c r="DL176" s="6785"/>
      <c r="DM176" s="6785"/>
      <c r="DN176" s="6785"/>
      <c r="DO176" s="6785"/>
      <c r="DP176" s="3489"/>
      <c r="DQ176" s="6033"/>
      <c r="DR176" s="6033"/>
      <c r="DS176" s="6034"/>
      <c r="DT176" s="6786" t="str">
        <f>_Calcs!$IM$158</f>
        <v/>
      </c>
      <c r="DU176" s="6786"/>
      <c r="DV176" s="6786"/>
      <c r="DW176" s="6786"/>
      <c r="DX176" s="6786"/>
      <c r="DY176" s="6786"/>
      <c r="DZ176" s="6786"/>
      <c r="EA176" s="6786"/>
      <c r="EB176" s="6786"/>
      <c r="EC176" s="6035"/>
      <c r="ED176" s="6029"/>
      <c r="EH176" s="6028"/>
      <c r="EI176" s="6785" t="str">
        <f>_Calcs!$II$96</f>
        <v>Begrunnelser for tidsjusteringer</v>
      </c>
      <c r="EJ176" s="6785"/>
      <c r="EK176" s="6785"/>
      <c r="EL176" s="6785"/>
      <c r="EM176" s="6785"/>
      <c r="EN176" s="6785"/>
      <c r="EO176" s="6785"/>
      <c r="EP176" s="6785"/>
      <c r="EQ176" s="6785"/>
      <c r="ER176" s="6785"/>
      <c r="ES176" s="6785"/>
      <c r="ET176" s="6785"/>
      <c r="EU176" s="6785"/>
      <c r="EV176" s="6785"/>
      <c r="EW176" s="6785"/>
      <c r="EX176" s="6785"/>
      <c r="EY176" s="6785"/>
      <c r="EZ176" s="6785"/>
      <c r="FA176" s="6785"/>
      <c r="FB176" s="6785"/>
      <c r="FC176" s="6785"/>
      <c r="FD176" s="6785"/>
      <c r="FE176" s="6785"/>
      <c r="FF176" s="6785"/>
      <c r="FG176" s="6785"/>
      <c r="FH176" s="6785"/>
      <c r="FI176" s="3489"/>
      <c r="FJ176" s="6033"/>
      <c r="FK176" s="6033"/>
      <c r="FL176" s="6034"/>
      <c r="FM176" s="6786" t="str">
        <f>_Calcs!$IN$158</f>
        <v/>
      </c>
      <c r="FN176" s="6786"/>
      <c r="FO176" s="6786"/>
      <c r="FP176" s="6786"/>
      <c r="FQ176" s="6786"/>
      <c r="FR176" s="6786"/>
      <c r="FS176" s="6786"/>
      <c r="FT176" s="6786"/>
      <c r="FU176" s="6786"/>
      <c r="FV176" s="6035"/>
      <c r="FW176" s="6029"/>
      <c r="GA176" s="6028"/>
      <c r="GB176" s="6785" t="str">
        <f>_Calcs!$II$96</f>
        <v>Begrunnelser for tidsjusteringer</v>
      </c>
      <c r="GC176" s="6785"/>
      <c r="GD176" s="6785"/>
      <c r="GE176" s="6785"/>
      <c r="GF176" s="6785"/>
      <c r="GG176" s="6785"/>
      <c r="GH176" s="6785"/>
      <c r="GI176" s="6785"/>
      <c r="GJ176" s="6785"/>
      <c r="GK176" s="6785"/>
      <c r="GL176" s="6785"/>
      <c r="GM176" s="6785"/>
      <c r="GN176" s="6785"/>
      <c r="GO176" s="6785"/>
      <c r="GP176" s="6785"/>
      <c r="GQ176" s="6785"/>
      <c r="GR176" s="6785"/>
      <c r="GS176" s="6785"/>
      <c r="GT176" s="6785"/>
      <c r="GU176" s="6785"/>
      <c r="GV176" s="6785"/>
      <c r="GW176" s="6785"/>
      <c r="GX176" s="6785"/>
      <c r="GY176" s="6785"/>
      <c r="GZ176" s="6785"/>
      <c r="HA176" s="6785"/>
      <c r="HB176" s="3489"/>
      <c r="HC176" s="6033"/>
      <c r="HD176" s="6033"/>
      <c r="HE176" s="6034"/>
      <c r="HF176" s="6786" t="str">
        <f>_Calcs!$IO$158</f>
        <v/>
      </c>
      <c r="HG176" s="6786"/>
      <c r="HH176" s="6786"/>
      <c r="HI176" s="6786"/>
      <c r="HJ176" s="6786"/>
      <c r="HK176" s="6786"/>
      <c r="HL176" s="6786"/>
      <c r="HM176" s="6786"/>
      <c r="HN176" s="6786"/>
      <c r="HO176" s="6035"/>
      <c r="HP176" s="6029"/>
      <c r="HT176" s="6028"/>
      <c r="HU176" s="6785" t="str">
        <f>_Calcs!$II$96</f>
        <v>Begrunnelser for tidsjusteringer</v>
      </c>
      <c r="HV176" s="6785"/>
      <c r="HW176" s="6785"/>
      <c r="HX176" s="6785"/>
      <c r="HY176" s="6785"/>
      <c r="HZ176" s="6785"/>
      <c r="IA176" s="6785"/>
      <c r="IB176" s="6785"/>
      <c r="IC176" s="6785"/>
      <c r="ID176" s="6785"/>
      <c r="IE176" s="6785"/>
      <c r="IF176" s="6785"/>
      <c r="IG176" s="6785"/>
      <c r="IH176" s="6785"/>
      <c r="II176" s="6785"/>
      <c r="IJ176" s="6785"/>
      <c r="IK176" s="6785"/>
      <c r="IL176" s="6785"/>
      <c r="IM176" s="6785"/>
      <c r="IN176" s="6785"/>
      <c r="IO176" s="6785"/>
      <c r="IP176" s="6785"/>
      <c r="IQ176" s="6785"/>
      <c r="IR176" s="6785"/>
      <c r="IS176" s="6785"/>
      <c r="IT176" s="6785"/>
      <c r="IU176" s="3489"/>
      <c r="IV176" s="6033"/>
      <c r="IW176" s="6033"/>
      <c r="IX176" s="6034"/>
      <c r="IY176" s="6786" t="str">
        <f>_Calcs!$IP$158</f>
        <v/>
      </c>
      <c r="IZ176" s="6786"/>
      <c r="JA176" s="6786"/>
      <c r="JB176" s="6786"/>
      <c r="JC176" s="6786"/>
      <c r="JD176" s="6786"/>
      <c r="JE176" s="6786"/>
      <c r="JF176" s="6786"/>
      <c r="JG176" s="6786"/>
      <c r="JH176" s="6035"/>
      <c r="JI176" s="6029"/>
      <c r="JM176" s="6028"/>
      <c r="JN176" s="6785" t="str">
        <f>_Calcs!$II$96</f>
        <v>Begrunnelser for tidsjusteringer</v>
      </c>
      <c r="JO176" s="6785"/>
      <c r="JP176" s="6785"/>
      <c r="JQ176" s="6785"/>
      <c r="JR176" s="6785"/>
      <c r="JS176" s="6785"/>
      <c r="JT176" s="6785"/>
      <c r="JU176" s="6785"/>
      <c r="JV176" s="6785"/>
      <c r="JW176" s="6785"/>
      <c r="JX176" s="6785"/>
      <c r="JY176" s="6785"/>
      <c r="JZ176" s="6785"/>
      <c r="KA176" s="6785"/>
      <c r="KB176" s="6785"/>
      <c r="KC176" s="6785"/>
      <c r="KD176" s="6785"/>
      <c r="KE176" s="6785"/>
      <c r="KF176" s="6785"/>
      <c r="KG176" s="6785"/>
      <c r="KH176" s="6785"/>
      <c r="KI176" s="6785"/>
      <c r="KJ176" s="6785"/>
      <c r="KK176" s="6785"/>
      <c r="KL176" s="6785"/>
      <c r="KM176" s="6785"/>
      <c r="KN176" s="3489"/>
      <c r="KO176" s="6033"/>
      <c r="KP176" s="6033"/>
      <c r="KQ176" s="6034"/>
      <c r="KR176" s="6786" t="str">
        <f>_Calcs!$IQ$158</f>
        <v/>
      </c>
      <c r="KS176" s="6786"/>
      <c r="KT176" s="6786"/>
      <c r="KU176" s="6786"/>
      <c r="KV176" s="6786"/>
      <c r="KW176" s="6786"/>
      <c r="KX176" s="6786"/>
      <c r="KY176" s="6786"/>
      <c r="KZ176" s="6786"/>
      <c r="LA176" s="6035"/>
      <c r="LB176" s="6029"/>
      <c r="LC176" s="130"/>
      <c r="LF176" s="6028"/>
      <c r="LG176" s="6785" t="str">
        <f>_Calcs!$II$96</f>
        <v>Begrunnelser for tidsjusteringer</v>
      </c>
      <c r="LH176" s="6785"/>
      <c r="LI176" s="6785"/>
      <c r="LJ176" s="6785"/>
      <c r="LK176" s="6785"/>
      <c r="LL176" s="6785"/>
      <c r="LM176" s="6785"/>
      <c r="LN176" s="6785"/>
      <c r="LO176" s="6785"/>
      <c r="LP176" s="6785"/>
      <c r="LQ176" s="6785"/>
      <c r="LR176" s="6785"/>
      <c r="LS176" s="6785"/>
      <c r="LT176" s="6785"/>
      <c r="LU176" s="6785"/>
      <c r="LV176" s="6785"/>
      <c r="LW176" s="6785"/>
      <c r="LX176" s="6785"/>
      <c r="LY176" s="6785"/>
      <c r="LZ176" s="6785"/>
      <c r="MA176" s="6785"/>
      <c r="MB176" s="6785"/>
      <c r="MC176" s="6785"/>
      <c r="MD176" s="6785"/>
      <c r="ME176" s="6785"/>
      <c r="MF176" s="6785"/>
      <c r="MG176" s="3489"/>
      <c r="MH176" s="6033"/>
      <c r="MI176" s="6033"/>
      <c r="MJ176" s="6034"/>
      <c r="MK176" s="6786" t="str">
        <f>_Calcs!$IR$158</f>
        <v/>
      </c>
      <c r="ML176" s="6786"/>
      <c r="MM176" s="6786"/>
      <c r="MN176" s="6786"/>
      <c r="MO176" s="6786"/>
      <c r="MP176" s="6786"/>
      <c r="MQ176" s="6786"/>
      <c r="MR176" s="6786"/>
      <c r="MS176" s="6786"/>
      <c r="MT176" s="6035"/>
      <c r="MU176" s="6029"/>
      <c r="MV176" s="130"/>
      <c r="MY176" s="6028"/>
      <c r="MZ176" s="6785" t="str">
        <f>_Calcs!$II$96</f>
        <v>Begrunnelser for tidsjusteringer</v>
      </c>
      <c r="NA176" s="6785"/>
      <c r="NB176" s="6785"/>
      <c r="NC176" s="6785"/>
      <c r="ND176" s="6785"/>
      <c r="NE176" s="6785"/>
      <c r="NF176" s="6785"/>
      <c r="NG176" s="6785"/>
      <c r="NH176" s="6785"/>
      <c r="NI176" s="6785"/>
      <c r="NJ176" s="6785"/>
      <c r="NK176" s="6785"/>
      <c r="NL176" s="6785"/>
      <c r="NM176" s="6785"/>
      <c r="NN176" s="6785"/>
      <c r="NO176" s="6785"/>
      <c r="NP176" s="6785"/>
      <c r="NQ176" s="6785"/>
      <c r="NR176" s="6785"/>
      <c r="NS176" s="6785"/>
      <c r="NT176" s="6785"/>
      <c r="NU176" s="6785"/>
      <c r="NV176" s="6785"/>
      <c r="NW176" s="6785"/>
      <c r="NX176" s="6785"/>
      <c r="NY176" s="6785"/>
      <c r="NZ176" s="3489"/>
      <c r="OA176" s="6033"/>
      <c r="OB176" s="6033"/>
      <c r="OC176" s="6034"/>
      <c r="OD176" s="6786" t="str">
        <f>_Calcs!$IS$158</f>
        <v/>
      </c>
      <c r="OE176" s="6786"/>
      <c r="OF176" s="6786"/>
      <c r="OG176" s="6786"/>
      <c r="OH176" s="6786"/>
      <c r="OI176" s="6786"/>
      <c r="OJ176" s="6786"/>
      <c r="OK176" s="6786"/>
      <c r="OL176" s="6786"/>
      <c r="OM176" s="6035"/>
      <c r="ON176" s="6029"/>
      <c r="OO176" s="130"/>
    </row>
    <row r="177" spans="3:405" s="5321" customFormat="1" ht="12" customHeight="1" x14ac:dyDescent="0.2">
      <c r="C177" s="6036"/>
      <c r="D177" s="6785"/>
      <c r="E177" s="6785"/>
      <c r="F177" s="6785"/>
      <c r="G177" s="6785"/>
      <c r="H177" s="6785"/>
      <c r="I177" s="6785"/>
      <c r="J177" s="6785"/>
      <c r="K177" s="6785"/>
      <c r="L177" s="6785"/>
      <c r="M177" s="6785"/>
      <c r="N177" s="6785"/>
      <c r="O177" s="6785"/>
      <c r="P177" s="6785"/>
      <c r="Q177" s="6785"/>
      <c r="R177" s="6785"/>
      <c r="S177" s="6785"/>
      <c r="T177" s="6785"/>
      <c r="U177" s="6785"/>
      <c r="V177" s="6785"/>
      <c r="W177" s="6785"/>
      <c r="X177" s="6785"/>
      <c r="Y177" s="6785"/>
      <c r="Z177" s="6785"/>
      <c r="AA177" s="6785"/>
      <c r="AB177" s="6785"/>
      <c r="AC177" s="6785"/>
      <c r="AE177" s="6033"/>
      <c r="AF177" s="6033"/>
      <c r="AG177" s="6037"/>
      <c r="AH177" s="6787"/>
      <c r="AI177" s="6787"/>
      <c r="AJ177" s="6787"/>
      <c r="AK177" s="6787"/>
      <c r="AL177" s="6787"/>
      <c r="AM177" s="6787"/>
      <c r="AN177" s="6787"/>
      <c r="AO177" s="6787"/>
      <c r="AP177" s="6787"/>
      <c r="AQ177" s="6038"/>
      <c r="AR177" s="6039"/>
      <c r="AV177" s="6036"/>
      <c r="AW177" s="6785"/>
      <c r="AX177" s="6785"/>
      <c r="AY177" s="6785"/>
      <c r="AZ177" s="6785"/>
      <c r="BA177" s="6785"/>
      <c r="BB177" s="6785"/>
      <c r="BC177" s="6785"/>
      <c r="BD177" s="6785"/>
      <c r="BE177" s="6785"/>
      <c r="BF177" s="6785"/>
      <c r="BG177" s="6785"/>
      <c r="BH177" s="6785"/>
      <c r="BI177" s="6785"/>
      <c r="BJ177" s="6785"/>
      <c r="BK177" s="6785"/>
      <c r="BL177" s="6785"/>
      <c r="BM177" s="6785"/>
      <c r="BN177" s="6785"/>
      <c r="BO177" s="6785"/>
      <c r="BP177" s="6785"/>
      <c r="BQ177" s="6785"/>
      <c r="BR177" s="6785"/>
      <c r="BS177" s="6785"/>
      <c r="BT177" s="6785"/>
      <c r="BU177" s="6785"/>
      <c r="BV177" s="6785"/>
      <c r="BX177" s="6033"/>
      <c r="BY177" s="6033"/>
      <c r="BZ177" s="6037"/>
      <c r="CA177" s="6787"/>
      <c r="CB177" s="6787"/>
      <c r="CC177" s="6787"/>
      <c r="CD177" s="6787"/>
      <c r="CE177" s="6787"/>
      <c r="CF177" s="6787"/>
      <c r="CG177" s="6787"/>
      <c r="CH177" s="6787"/>
      <c r="CI177" s="6787"/>
      <c r="CJ177" s="6038"/>
      <c r="CK177" s="6039"/>
      <c r="CO177" s="6036"/>
      <c r="CP177" s="6785"/>
      <c r="CQ177" s="6785"/>
      <c r="CR177" s="6785"/>
      <c r="CS177" s="6785"/>
      <c r="CT177" s="6785"/>
      <c r="CU177" s="6785"/>
      <c r="CV177" s="6785"/>
      <c r="CW177" s="6785"/>
      <c r="CX177" s="6785"/>
      <c r="CY177" s="6785"/>
      <c r="CZ177" s="6785"/>
      <c r="DA177" s="6785"/>
      <c r="DB177" s="6785"/>
      <c r="DC177" s="6785"/>
      <c r="DD177" s="6785"/>
      <c r="DE177" s="6785"/>
      <c r="DF177" s="6785"/>
      <c r="DG177" s="6785"/>
      <c r="DH177" s="6785"/>
      <c r="DI177" s="6785"/>
      <c r="DJ177" s="6785"/>
      <c r="DK177" s="6785"/>
      <c r="DL177" s="6785"/>
      <c r="DM177" s="6785"/>
      <c r="DN177" s="6785"/>
      <c r="DO177" s="6785"/>
      <c r="DQ177" s="6033"/>
      <c r="DR177" s="6033"/>
      <c r="DS177" s="6037"/>
      <c r="DT177" s="6787"/>
      <c r="DU177" s="6787"/>
      <c r="DV177" s="6787"/>
      <c r="DW177" s="6787"/>
      <c r="DX177" s="6787"/>
      <c r="DY177" s="6787"/>
      <c r="DZ177" s="6787"/>
      <c r="EA177" s="6787"/>
      <c r="EB177" s="6787"/>
      <c r="EC177" s="6038"/>
      <c r="ED177" s="6039"/>
      <c r="EH177" s="6036"/>
      <c r="EI177" s="6785"/>
      <c r="EJ177" s="6785"/>
      <c r="EK177" s="6785"/>
      <c r="EL177" s="6785"/>
      <c r="EM177" s="6785"/>
      <c r="EN177" s="6785"/>
      <c r="EO177" s="6785"/>
      <c r="EP177" s="6785"/>
      <c r="EQ177" s="6785"/>
      <c r="ER177" s="6785"/>
      <c r="ES177" s="6785"/>
      <c r="ET177" s="6785"/>
      <c r="EU177" s="6785"/>
      <c r="EV177" s="6785"/>
      <c r="EW177" s="6785"/>
      <c r="EX177" s="6785"/>
      <c r="EY177" s="6785"/>
      <c r="EZ177" s="6785"/>
      <c r="FA177" s="6785"/>
      <c r="FB177" s="6785"/>
      <c r="FC177" s="6785"/>
      <c r="FD177" s="6785"/>
      <c r="FE177" s="6785"/>
      <c r="FF177" s="6785"/>
      <c r="FG177" s="6785"/>
      <c r="FH177" s="6785"/>
      <c r="FJ177" s="6033"/>
      <c r="FK177" s="6033"/>
      <c r="FL177" s="6037"/>
      <c r="FM177" s="6787"/>
      <c r="FN177" s="6787"/>
      <c r="FO177" s="6787"/>
      <c r="FP177" s="6787"/>
      <c r="FQ177" s="6787"/>
      <c r="FR177" s="6787"/>
      <c r="FS177" s="6787"/>
      <c r="FT177" s="6787"/>
      <c r="FU177" s="6787"/>
      <c r="FV177" s="6038"/>
      <c r="FW177" s="6039"/>
      <c r="GA177" s="6036"/>
      <c r="GB177" s="6785"/>
      <c r="GC177" s="6785"/>
      <c r="GD177" s="6785"/>
      <c r="GE177" s="6785"/>
      <c r="GF177" s="6785"/>
      <c r="GG177" s="6785"/>
      <c r="GH177" s="6785"/>
      <c r="GI177" s="6785"/>
      <c r="GJ177" s="6785"/>
      <c r="GK177" s="6785"/>
      <c r="GL177" s="6785"/>
      <c r="GM177" s="6785"/>
      <c r="GN177" s="6785"/>
      <c r="GO177" s="6785"/>
      <c r="GP177" s="6785"/>
      <c r="GQ177" s="6785"/>
      <c r="GR177" s="6785"/>
      <c r="GS177" s="6785"/>
      <c r="GT177" s="6785"/>
      <c r="GU177" s="6785"/>
      <c r="GV177" s="6785"/>
      <c r="GW177" s="6785"/>
      <c r="GX177" s="6785"/>
      <c r="GY177" s="6785"/>
      <c r="GZ177" s="6785"/>
      <c r="HA177" s="6785"/>
      <c r="HC177" s="6033"/>
      <c r="HD177" s="6033"/>
      <c r="HE177" s="6037"/>
      <c r="HF177" s="6787"/>
      <c r="HG177" s="6787"/>
      <c r="HH177" s="6787"/>
      <c r="HI177" s="6787"/>
      <c r="HJ177" s="6787"/>
      <c r="HK177" s="6787"/>
      <c r="HL177" s="6787"/>
      <c r="HM177" s="6787"/>
      <c r="HN177" s="6787"/>
      <c r="HO177" s="6038"/>
      <c r="HP177" s="6039"/>
      <c r="HT177" s="6036"/>
      <c r="HU177" s="6785"/>
      <c r="HV177" s="6785"/>
      <c r="HW177" s="6785"/>
      <c r="HX177" s="6785"/>
      <c r="HY177" s="6785"/>
      <c r="HZ177" s="6785"/>
      <c r="IA177" s="6785"/>
      <c r="IB177" s="6785"/>
      <c r="IC177" s="6785"/>
      <c r="ID177" s="6785"/>
      <c r="IE177" s="6785"/>
      <c r="IF177" s="6785"/>
      <c r="IG177" s="6785"/>
      <c r="IH177" s="6785"/>
      <c r="II177" s="6785"/>
      <c r="IJ177" s="6785"/>
      <c r="IK177" s="6785"/>
      <c r="IL177" s="6785"/>
      <c r="IM177" s="6785"/>
      <c r="IN177" s="6785"/>
      <c r="IO177" s="6785"/>
      <c r="IP177" s="6785"/>
      <c r="IQ177" s="6785"/>
      <c r="IR177" s="6785"/>
      <c r="IS177" s="6785"/>
      <c r="IT177" s="6785"/>
      <c r="IV177" s="6033"/>
      <c r="IW177" s="6033"/>
      <c r="IX177" s="6037"/>
      <c r="IY177" s="6787"/>
      <c r="IZ177" s="6787"/>
      <c r="JA177" s="6787"/>
      <c r="JB177" s="6787"/>
      <c r="JC177" s="6787"/>
      <c r="JD177" s="6787"/>
      <c r="JE177" s="6787"/>
      <c r="JF177" s="6787"/>
      <c r="JG177" s="6787"/>
      <c r="JH177" s="6038"/>
      <c r="JI177" s="6039"/>
      <c r="JM177" s="6036"/>
      <c r="JN177" s="6785"/>
      <c r="JO177" s="6785"/>
      <c r="JP177" s="6785"/>
      <c r="JQ177" s="6785"/>
      <c r="JR177" s="6785"/>
      <c r="JS177" s="6785"/>
      <c r="JT177" s="6785"/>
      <c r="JU177" s="6785"/>
      <c r="JV177" s="6785"/>
      <c r="JW177" s="6785"/>
      <c r="JX177" s="6785"/>
      <c r="JY177" s="6785"/>
      <c r="JZ177" s="6785"/>
      <c r="KA177" s="6785"/>
      <c r="KB177" s="6785"/>
      <c r="KC177" s="6785"/>
      <c r="KD177" s="6785"/>
      <c r="KE177" s="6785"/>
      <c r="KF177" s="6785"/>
      <c r="KG177" s="6785"/>
      <c r="KH177" s="6785"/>
      <c r="KI177" s="6785"/>
      <c r="KJ177" s="6785"/>
      <c r="KK177" s="6785"/>
      <c r="KL177" s="6785"/>
      <c r="KM177" s="6785"/>
      <c r="KO177" s="6033"/>
      <c r="KP177" s="6033"/>
      <c r="KQ177" s="6037"/>
      <c r="KR177" s="6787"/>
      <c r="KS177" s="6787"/>
      <c r="KT177" s="6787"/>
      <c r="KU177" s="6787"/>
      <c r="KV177" s="6787"/>
      <c r="KW177" s="6787"/>
      <c r="KX177" s="6787"/>
      <c r="KY177" s="6787"/>
      <c r="KZ177" s="6787"/>
      <c r="LA177" s="6038"/>
      <c r="LB177" s="6039"/>
      <c r="LC177" s="7"/>
      <c r="LF177" s="6036"/>
      <c r="LG177" s="6785"/>
      <c r="LH177" s="6785"/>
      <c r="LI177" s="6785"/>
      <c r="LJ177" s="6785"/>
      <c r="LK177" s="6785"/>
      <c r="LL177" s="6785"/>
      <c r="LM177" s="6785"/>
      <c r="LN177" s="6785"/>
      <c r="LO177" s="6785"/>
      <c r="LP177" s="6785"/>
      <c r="LQ177" s="6785"/>
      <c r="LR177" s="6785"/>
      <c r="LS177" s="6785"/>
      <c r="LT177" s="6785"/>
      <c r="LU177" s="6785"/>
      <c r="LV177" s="6785"/>
      <c r="LW177" s="6785"/>
      <c r="LX177" s="6785"/>
      <c r="LY177" s="6785"/>
      <c r="LZ177" s="6785"/>
      <c r="MA177" s="6785"/>
      <c r="MB177" s="6785"/>
      <c r="MC177" s="6785"/>
      <c r="MD177" s="6785"/>
      <c r="ME177" s="6785"/>
      <c r="MF177" s="6785"/>
      <c r="MH177" s="6033"/>
      <c r="MI177" s="6033"/>
      <c r="MJ177" s="6037"/>
      <c r="MK177" s="6787"/>
      <c r="ML177" s="6787"/>
      <c r="MM177" s="6787"/>
      <c r="MN177" s="6787"/>
      <c r="MO177" s="6787"/>
      <c r="MP177" s="6787"/>
      <c r="MQ177" s="6787"/>
      <c r="MR177" s="6787"/>
      <c r="MS177" s="6787"/>
      <c r="MT177" s="6038"/>
      <c r="MU177" s="6039"/>
      <c r="MV177" s="7"/>
      <c r="MY177" s="6036"/>
      <c r="MZ177" s="6785"/>
      <c r="NA177" s="6785"/>
      <c r="NB177" s="6785"/>
      <c r="NC177" s="6785"/>
      <c r="ND177" s="6785"/>
      <c r="NE177" s="6785"/>
      <c r="NF177" s="6785"/>
      <c r="NG177" s="6785"/>
      <c r="NH177" s="6785"/>
      <c r="NI177" s="6785"/>
      <c r="NJ177" s="6785"/>
      <c r="NK177" s="6785"/>
      <c r="NL177" s="6785"/>
      <c r="NM177" s="6785"/>
      <c r="NN177" s="6785"/>
      <c r="NO177" s="6785"/>
      <c r="NP177" s="6785"/>
      <c r="NQ177" s="6785"/>
      <c r="NR177" s="6785"/>
      <c r="NS177" s="6785"/>
      <c r="NT177" s="6785"/>
      <c r="NU177" s="6785"/>
      <c r="NV177" s="6785"/>
      <c r="NW177" s="6785"/>
      <c r="NX177" s="6785"/>
      <c r="NY177" s="6785"/>
      <c r="OA177" s="6033"/>
      <c r="OB177" s="6033"/>
      <c r="OC177" s="6037"/>
      <c r="OD177" s="6787"/>
      <c r="OE177" s="6787"/>
      <c r="OF177" s="6787"/>
      <c r="OG177" s="6787"/>
      <c r="OH177" s="6787"/>
      <c r="OI177" s="6787"/>
      <c r="OJ177" s="6787"/>
      <c r="OK177" s="6787"/>
      <c r="OL177" s="6787"/>
      <c r="OM177" s="6038"/>
      <c r="ON177" s="6039"/>
      <c r="OO177" s="7"/>
    </row>
    <row r="178" spans="3:405" s="1466" customFormat="1" ht="6" customHeight="1" thickBot="1" x14ac:dyDescent="0.25">
      <c r="C178" s="6040"/>
      <c r="D178" s="6785"/>
      <c r="E178" s="6785"/>
      <c r="F178" s="6785"/>
      <c r="G178" s="6785"/>
      <c r="H178" s="6785"/>
      <c r="I178" s="6785"/>
      <c r="J178" s="6785"/>
      <c r="K178" s="6785"/>
      <c r="L178" s="6785"/>
      <c r="M178" s="6785"/>
      <c r="N178" s="6785"/>
      <c r="O178" s="6785"/>
      <c r="P178" s="6785"/>
      <c r="Q178" s="6785"/>
      <c r="R178" s="6785"/>
      <c r="S178" s="6785"/>
      <c r="T178" s="6785"/>
      <c r="U178" s="6785"/>
      <c r="V178" s="6785"/>
      <c r="W178" s="6785"/>
      <c r="X178" s="6785"/>
      <c r="Y178" s="6785"/>
      <c r="Z178" s="6785"/>
      <c r="AA178" s="6785"/>
      <c r="AB178" s="6785"/>
      <c r="AC178" s="6785"/>
      <c r="AE178" s="6033"/>
      <c r="AF178" s="6033"/>
      <c r="AG178" s="6041"/>
      <c r="AH178" s="6788"/>
      <c r="AI178" s="6788"/>
      <c r="AJ178" s="6788"/>
      <c r="AK178" s="6788"/>
      <c r="AL178" s="6788"/>
      <c r="AM178" s="6788"/>
      <c r="AN178" s="6788"/>
      <c r="AO178" s="6788"/>
      <c r="AP178" s="6788"/>
      <c r="AQ178" s="6042"/>
      <c r="AR178" s="6043"/>
      <c r="AV178" s="6040"/>
      <c r="AW178" s="6785"/>
      <c r="AX178" s="6785"/>
      <c r="AY178" s="6785"/>
      <c r="AZ178" s="6785"/>
      <c r="BA178" s="6785"/>
      <c r="BB178" s="6785"/>
      <c r="BC178" s="6785"/>
      <c r="BD178" s="6785"/>
      <c r="BE178" s="6785"/>
      <c r="BF178" s="6785"/>
      <c r="BG178" s="6785"/>
      <c r="BH178" s="6785"/>
      <c r="BI178" s="6785"/>
      <c r="BJ178" s="6785"/>
      <c r="BK178" s="6785"/>
      <c r="BL178" s="6785"/>
      <c r="BM178" s="6785"/>
      <c r="BN178" s="6785"/>
      <c r="BO178" s="6785"/>
      <c r="BP178" s="6785"/>
      <c r="BQ178" s="6785"/>
      <c r="BR178" s="6785"/>
      <c r="BS178" s="6785"/>
      <c r="BT178" s="6785"/>
      <c r="BU178" s="6785"/>
      <c r="BV178" s="6785"/>
      <c r="BX178" s="6033"/>
      <c r="BY178" s="6033"/>
      <c r="BZ178" s="6041"/>
      <c r="CA178" s="6788"/>
      <c r="CB178" s="6788"/>
      <c r="CC178" s="6788"/>
      <c r="CD178" s="6788"/>
      <c r="CE178" s="6788"/>
      <c r="CF178" s="6788"/>
      <c r="CG178" s="6788"/>
      <c r="CH178" s="6788"/>
      <c r="CI178" s="6788"/>
      <c r="CJ178" s="6042"/>
      <c r="CK178" s="6043"/>
      <c r="CO178" s="6040"/>
      <c r="CP178" s="6785"/>
      <c r="CQ178" s="6785"/>
      <c r="CR178" s="6785"/>
      <c r="CS178" s="6785"/>
      <c r="CT178" s="6785"/>
      <c r="CU178" s="6785"/>
      <c r="CV178" s="6785"/>
      <c r="CW178" s="6785"/>
      <c r="CX178" s="6785"/>
      <c r="CY178" s="6785"/>
      <c r="CZ178" s="6785"/>
      <c r="DA178" s="6785"/>
      <c r="DB178" s="6785"/>
      <c r="DC178" s="6785"/>
      <c r="DD178" s="6785"/>
      <c r="DE178" s="6785"/>
      <c r="DF178" s="6785"/>
      <c r="DG178" s="6785"/>
      <c r="DH178" s="6785"/>
      <c r="DI178" s="6785"/>
      <c r="DJ178" s="6785"/>
      <c r="DK178" s="6785"/>
      <c r="DL178" s="6785"/>
      <c r="DM178" s="6785"/>
      <c r="DN178" s="6785"/>
      <c r="DO178" s="6785"/>
      <c r="DQ178" s="6033"/>
      <c r="DR178" s="6033"/>
      <c r="DS178" s="6041"/>
      <c r="DT178" s="6788"/>
      <c r="DU178" s="6788"/>
      <c r="DV178" s="6788"/>
      <c r="DW178" s="6788"/>
      <c r="DX178" s="6788"/>
      <c r="DY178" s="6788"/>
      <c r="DZ178" s="6788"/>
      <c r="EA178" s="6788"/>
      <c r="EB178" s="6788"/>
      <c r="EC178" s="6042"/>
      <c r="ED178" s="6043"/>
      <c r="EH178" s="6040"/>
      <c r="EI178" s="6785"/>
      <c r="EJ178" s="6785"/>
      <c r="EK178" s="6785"/>
      <c r="EL178" s="6785"/>
      <c r="EM178" s="6785"/>
      <c r="EN178" s="6785"/>
      <c r="EO178" s="6785"/>
      <c r="EP178" s="6785"/>
      <c r="EQ178" s="6785"/>
      <c r="ER178" s="6785"/>
      <c r="ES178" s="6785"/>
      <c r="ET178" s="6785"/>
      <c r="EU178" s="6785"/>
      <c r="EV178" s="6785"/>
      <c r="EW178" s="6785"/>
      <c r="EX178" s="6785"/>
      <c r="EY178" s="6785"/>
      <c r="EZ178" s="6785"/>
      <c r="FA178" s="6785"/>
      <c r="FB178" s="6785"/>
      <c r="FC178" s="6785"/>
      <c r="FD178" s="6785"/>
      <c r="FE178" s="6785"/>
      <c r="FF178" s="6785"/>
      <c r="FG178" s="6785"/>
      <c r="FH178" s="6785"/>
      <c r="FJ178" s="6033"/>
      <c r="FK178" s="6033"/>
      <c r="FL178" s="6041"/>
      <c r="FM178" s="6788"/>
      <c r="FN178" s="6788"/>
      <c r="FO178" s="6788"/>
      <c r="FP178" s="6788"/>
      <c r="FQ178" s="6788"/>
      <c r="FR178" s="6788"/>
      <c r="FS178" s="6788"/>
      <c r="FT178" s="6788"/>
      <c r="FU178" s="6788"/>
      <c r="FV178" s="6042"/>
      <c r="FW178" s="6043"/>
      <c r="GA178" s="6040"/>
      <c r="GB178" s="6785"/>
      <c r="GC178" s="6785"/>
      <c r="GD178" s="6785"/>
      <c r="GE178" s="6785"/>
      <c r="GF178" s="6785"/>
      <c r="GG178" s="6785"/>
      <c r="GH178" s="6785"/>
      <c r="GI178" s="6785"/>
      <c r="GJ178" s="6785"/>
      <c r="GK178" s="6785"/>
      <c r="GL178" s="6785"/>
      <c r="GM178" s="6785"/>
      <c r="GN178" s="6785"/>
      <c r="GO178" s="6785"/>
      <c r="GP178" s="6785"/>
      <c r="GQ178" s="6785"/>
      <c r="GR178" s="6785"/>
      <c r="GS178" s="6785"/>
      <c r="GT178" s="6785"/>
      <c r="GU178" s="6785"/>
      <c r="GV178" s="6785"/>
      <c r="GW178" s="6785"/>
      <c r="GX178" s="6785"/>
      <c r="GY178" s="6785"/>
      <c r="GZ178" s="6785"/>
      <c r="HA178" s="6785"/>
      <c r="HC178" s="6033"/>
      <c r="HD178" s="6033"/>
      <c r="HE178" s="6041"/>
      <c r="HF178" s="6788"/>
      <c r="HG178" s="6788"/>
      <c r="HH178" s="6788"/>
      <c r="HI178" s="6788"/>
      <c r="HJ178" s="6788"/>
      <c r="HK178" s="6788"/>
      <c r="HL178" s="6788"/>
      <c r="HM178" s="6788"/>
      <c r="HN178" s="6788"/>
      <c r="HO178" s="6042"/>
      <c r="HP178" s="6043"/>
      <c r="HT178" s="6040"/>
      <c r="HU178" s="6785"/>
      <c r="HV178" s="6785"/>
      <c r="HW178" s="6785"/>
      <c r="HX178" s="6785"/>
      <c r="HY178" s="6785"/>
      <c r="HZ178" s="6785"/>
      <c r="IA178" s="6785"/>
      <c r="IB178" s="6785"/>
      <c r="IC178" s="6785"/>
      <c r="ID178" s="6785"/>
      <c r="IE178" s="6785"/>
      <c r="IF178" s="6785"/>
      <c r="IG178" s="6785"/>
      <c r="IH178" s="6785"/>
      <c r="II178" s="6785"/>
      <c r="IJ178" s="6785"/>
      <c r="IK178" s="6785"/>
      <c r="IL178" s="6785"/>
      <c r="IM178" s="6785"/>
      <c r="IN178" s="6785"/>
      <c r="IO178" s="6785"/>
      <c r="IP178" s="6785"/>
      <c r="IQ178" s="6785"/>
      <c r="IR178" s="6785"/>
      <c r="IS178" s="6785"/>
      <c r="IT178" s="6785"/>
      <c r="IV178" s="6033"/>
      <c r="IW178" s="6033"/>
      <c r="IX178" s="6041"/>
      <c r="IY178" s="6788"/>
      <c r="IZ178" s="6788"/>
      <c r="JA178" s="6788"/>
      <c r="JB178" s="6788"/>
      <c r="JC178" s="6788"/>
      <c r="JD178" s="6788"/>
      <c r="JE178" s="6788"/>
      <c r="JF178" s="6788"/>
      <c r="JG178" s="6788"/>
      <c r="JH178" s="6042"/>
      <c r="JI178" s="6043"/>
      <c r="JM178" s="6040"/>
      <c r="JN178" s="6785"/>
      <c r="JO178" s="6785"/>
      <c r="JP178" s="6785"/>
      <c r="JQ178" s="6785"/>
      <c r="JR178" s="6785"/>
      <c r="JS178" s="6785"/>
      <c r="JT178" s="6785"/>
      <c r="JU178" s="6785"/>
      <c r="JV178" s="6785"/>
      <c r="JW178" s="6785"/>
      <c r="JX178" s="6785"/>
      <c r="JY178" s="6785"/>
      <c r="JZ178" s="6785"/>
      <c r="KA178" s="6785"/>
      <c r="KB178" s="6785"/>
      <c r="KC178" s="6785"/>
      <c r="KD178" s="6785"/>
      <c r="KE178" s="6785"/>
      <c r="KF178" s="6785"/>
      <c r="KG178" s="6785"/>
      <c r="KH178" s="6785"/>
      <c r="KI178" s="6785"/>
      <c r="KJ178" s="6785"/>
      <c r="KK178" s="6785"/>
      <c r="KL178" s="6785"/>
      <c r="KM178" s="6785"/>
      <c r="KO178" s="6033"/>
      <c r="KP178" s="6033"/>
      <c r="KQ178" s="6041"/>
      <c r="KR178" s="6788"/>
      <c r="KS178" s="6788"/>
      <c r="KT178" s="6788"/>
      <c r="KU178" s="6788"/>
      <c r="KV178" s="6788"/>
      <c r="KW178" s="6788"/>
      <c r="KX178" s="6788"/>
      <c r="KY178" s="6788"/>
      <c r="KZ178" s="6788"/>
      <c r="LA178" s="6042"/>
      <c r="LB178" s="6043"/>
      <c r="LF178" s="6040"/>
      <c r="LG178" s="6785"/>
      <c r="LH178" s="6785"/>
      <c r="LI178" s="6785"/>
      <c r="LJ178" s="6785"/>
      <c r="LK178" s="6785"/>
      <c r="LL178" s="6785"/>
      <c r="LM178" s="6785"/>
      <c r="LN178" s="6785"/>
      <c r="LO178" s="6785"/>
      <c r="LP178" s="6785"/>
      <c r="LQ178" s="6785"/>
      <c r="LR178" s="6785"/>
      <c r="LS178" s="6785"/>
      <c r="LT178" s="6785"/>
      <c r="LU178" s="6785"/>
      <c r="LV178" s="6785"/>
      <c r="LW178" s="6785"/>
      <c r="LX178" s="6785"/>
      <c r="LY178" s="6785"/>
      <c r="LZ178" s="6785"/>
      <c r="MA178" s="6785"/>
      <c r="MB178" s="6785"/>
      <c r="MC178" s="6785"/>
      <c r="MD178" s="6785"/>
      <c r="ME178" s="6785"/>
      <c r="MF178" s="6785"/>
      <c r="MH178" s="6033"/>
      <c r="MI178" s="6033"/>
      <c r="MJ178" s="6041"/>
      <c r="MK178" s="6788"/>
      <c r="ML178" s="6788"/>
      <c r="MM178" s="6788"/>
      <c r="MN178" s="6788"/>
      <c r="MO178" s="6788"/>
      <c r="MP178" s="6788"/>
      <c r="MQ178" s="6788"/>
      <c r="MR178" s="6788"/>
      <c r="MS178" s="6788"/>
      <c r="MT178" s="6042"/>
      <c r="MU178" s="6043"/>
      <c r="MY178" s="6040"/>
      <c r="MZ178" s="6785"/>
      <c r="NA178" s="6785"/>
      <c r="NB178" s="6785"/>
      <c r="NC178" s="6785"/>
      <c r="ND178" s="6785"/>
      <c r="NE178" s="6785"/>
      <c r="NF178" s="6785"/>
      <c r="NG178" s="6785"/>
      <c r="NH178" s="6785"/>
      <c r="NI178" s="6785"/>
      <c r="NJ178" s="6785"/>
      <c r="NK178" s="6785"/>
      <c r="NL178" s="6785"/>
      <c r="NM178" s="6785"/>
      <c r="NN178" s="6785"/>
      <c r="NO178" s="6785"/>
      <c r="NP178" s="6785"/>
      <c r="NQ178" s="6785"/>
      <c r="NR178" s="6785"/>
      <c r="NS178" s="6785"/>
      <c r="NT178" s="6785"/>
      <c r="NU178" s="6785"/>
      <c r="NV178" s="6785"/>
      <c r="NW178" s="6785"/>
      <c r="NX178" s="6785"/>
      <c r="NY178" s="6785"/>
      <c r="OA178" s="6033"/>
      <c r="OB178" s="6033"/>
      <c r="OC178" s="6041"/>
      <c r="OD178" s="6788"/>
      <c r="OE178" s="6788"/>
      <c r="OF178" s="6788"/>
      <c r="OG178" s="6788"/>
      <c r="OH178" s="6788"/>
      <c r="OI178" s="6788"/>
      <c r="OJ178" s="6788"/>
      <c r="OK178" s="6788"/>
      <c r="OL178" s="6788"/>
      <c r="OM178" s="6042"/>
      <c r="ON178" s="6043"/>
    </row>
    <row r="179" spans="3:405" s="1466" customFormat="1" ht="9.9499999999999993" customHeight="1" thickBot="1" x14ac:dyDescent="0.25">
      <c r="C179" s="6044"/>
      <c r="D179" s="6045"/>
      <c r="E179" s="6045"/>
      <c r="F179" s="6045"/>
      <c r="G179" s="6045"/>
      <c r="H179" s="6045"/>
      <c r="I179" s="6045"/>
      <c r="J179" s="6045"/>
      <c r="K179" s="6045"/>
      <c r="L179" s="6045"/>
      <c r="M179" s="6045"/>
      <c r="N179" s="6045"/>
      <c r="O179" s="6045"/>
      <c r="P179" s="6045"/>
      <c r="Q179" s="6045"/>
      <c r="R179" s="6045"/>
      <c r="S179" s="6045"/>
      <c r="T179" s="6045"/>
      <c r="U179" s="6045"/>
      <c r="V179" s="6045"/>
      <c r="W179" s="6046"/>
      <c r="X179" s="6046"/>
      <c r="Y179" s="6046"/>
      <c r="Z179" s="6046"/>
      <c r="AA179" s="6046"/>
      <c r="AB179" s="6046"/>
      <c r="AC179" s="6046"/>
      <c r="AD179" s="6046"/>
      <c r="AE179" s="6047"/>
      <c r="AF179" s="6047"/>
      <c r="AG179" s="6047"/>
      <c r="AH179" s="6047"/>
      <c r="AI179" s="6047"/>
      <c r="AJ179" s="6047"/>
      <c r="AK179" s="6047"/>
      <c r="AL179" s="6047"/>
      <c r="AM179" s="6047"/>
      <c r="AN179" s="6047"/>
      <c r="AO179" s="6047"/>
      <c r="AP179" s="6047"/>
      <c r="AQ179" s="6046"/>
      <c r="AR179" s="6048"/>
      <c r="AV179" s="6044"/>
      <c r="AW179" s="6045"/>
      <c r="AX179" s="6045"/>
      <c r="AY179" s="6045"/>
      <c r="AZ179" s="6045"/>
      <c r="BA179" s="6045"/>
      <c r="BB179" s="6045"/>
      <c r="BC179" s="6045"/>
      <c r="BD179" s="6045"/>
      <c r="BE179" s="6045"/>
      <c r="BF179" s="6045"/>
      <c r="BG179" s="6045"/>
      <c r="BH179" s="6045"/>
      <c r="BI179" s="6045"/>
      <c r="BJ179" s="6045"/>
      <c r="BK179" s="6045"/>
      <c r="BL179" s="6045"/>
      <c r="BM179" s="6045"/>
      <c r="BN179" s="6045"/>
      <c r="BO179" s="6045"/>
      <c r="BP179" s="6046"/>
      <c r="BQ179" s="6046"/>
      <c r="BR179" s="6046"/>
      <c r="BS179" s="6046"/>
      <c r="BT179" s="6046"/>
      <c r="BU179" s="6046"/>
      <c r="BV179" s="6046"/>
      <c r="BW179" s="6046"/>
      <c r="BX179" s="6047"/>
      <c r="BY179" s="6047"/>
      <c r="BZ179" s="6047"/>
      <c r="CA179" s="6047"/>
      <c r="CB179" s="6047"/>
      <c r="CC179" s="6047"/>
      <c r="CD179" s="6047"/>
      <c r="CE179" s="6047"/>
      <c r="CF179" s="6047"/>
      <c r="CG179" s="6047"/>
      <c r="CH179" s="6047"/>
      <c r="CI179" s="6047"/>
      <c r="CJ179" s="6046"/>
      <c r="CK179" s="6048"/>
      <c r="CO179" s="6044"/>
      <c r="CP179" s="6045"/>
      <c r="CQ179" s="6045"/>
      <c r="CR179" s="6045"/>
      <c r="CS179" s="6045"/>
      <c r="CT179" s="6045"/>
      <c r="CU179" s="6045"/>
      <c r="CV179" s="6045"/>
      <c r="CW179" s="6045"/>
      <c r="CX179" s="6045"/>
      <c r="CY179" s="6045"/>
      <c r="CZ179" s="6045"/>
      <c r="DA179" s="6045"/>
      <c r="DB179" s="6045"/>
      <c r="DC179" s="6045"/>
      <c r="DD179" s="6045"/>
      <c r="DE179" s="6045"/>
      <c r="DF179" s="6045"/>
      <c r="DG179" s="6045"/>
      <c r="DH179" s="6045"/>
      <c r="DI179" s="6046"/>
      <c r="DJ179" s="6046"/>
      <c r="DK179" s="6046"/>
      <c r="DL179" s="6046"/>
      <c r="DM179" s="6046"/>
      <c r="DN179" s="6046"/>
      <c r="DO179" s="6046"/>
      <c r="DP179" s="6046"/>
      <c r="DQ179" s="6047"/>
      <c r="DR179" s="6047"/>
      <c r="DS179" s="6047"/>
      <c r="DT179" s="6047"/>
      <c r="DU179" s="6047"/>
      <c r="DV179" s="6047"/>
      <c r="DW179" s="6047"/>
      <c r="DX179" s="6047"/>
      <c r="DY179" s="6047"/>
      <c r="DZ179" s="6047"/>
      <c r="EA179" s="6047"/>
      <c r="EB179" s="6047"/>
      <c r="EC179" s="6046"/>
      <c r="ED179" s="6048"/>
      <c r="EH179" s="6044"/>
      <c r="EI179" s="6045"/>
      <c r="EJ179" s="6045"/>
      <c r="EK179" s="6045"/>
      <c r="EL179" s="6045"/>
      <c r="EM179" s="6045"/>
      <c r="EN179" s="6045"/>
      <c r="EO179" s="6045"/>
      <c r="EP179" s="6045"/>
      <c r="EQ179" s="6045"/>
      <c r="ER179" s="6045"/>
      <c r="ES179" s="6045"/>
      <c r="ET179" s="6045"/>
      <c r="EU179" s="6045"/>
      <c r="EV179" s="6045"/>
      <c r="EW179" s="6045"/>
      <c r="EX179" s="6045"/>
      <c r="EY179" s="6045"/>
      <c r="EZ179" s="6045"/>
      <c r="FA179" s="6045"/>
      <c r="FB179" s="6046"/>
      <c r="FC179" s="6046"/>
      <c r="FD179" s="6046"/>
      <c r="FE179" s="6046"/>
      <c r="FF179" s="6046"/>
      <c r="FG179" s="6046"/>
      <c r="FH179" s="6046"/>
      <c r="FI179" s="6046"/>
      <c r="FJ179" s="6047"/>
      <c r="FK179" s="6047"/>
      <c r="FL179" s="6047"/>
      <c r="FM179" s="6047"/>
      <c r="FN179" s="6047"/>
      <c r="FO179" s="6047"/>
      <c r="FP179" s="6047"/>
      <c r="FQ179" s="6047"/>
      <c r="FR179" s="6047"/>
      <c r="FS179" s="6047"/>
      <c r="FT179" s="6047"/>
      <c r="FU179" s="6047"/>
      <c r="FV179" s="6046"/>
      <c r="FW179" s="6048"/>
      <c r="GA179" s="6044"/>
      <c r="GB179" s="6045"/>
      <c r="GC179" s="6045"/>
      <c r="GD179" s="6045"/>
      <c r="GE179" s="6045"/>
      <c r="GF179" s="6045"/>
      <c r="GG179" s="6045"/>
      <c r="GH179" s="6045"/>
      <c r="GI179" s="6045"/>
      <c r="GJ179" s="6045"/>
      <c r="GK179" s="6045"/>
      <c r="GL179" s="6045"/>
      <c r="GM179" s="6045"/>
      <c r="GN179" s="6045"/>
      <c r="GO179" s="6045"/>
      <c r="GP179" s="6045"/>
      <c r="GQ179" s="6045"/>
      <c r="GR179" s="6045"/>
      <c r="GS179" s="6045"/>
      <c r="GT179" s="6045"/>
      <c r="GU179" s="6046"/>
      <c r="GV179" s="6046"/>
      <c r="GW179" s="6046"/>
      <c r="GX179" s="6046"/>
      <c r="GY179" s="6046"/>
      <c r="GZ179" s="6046"/>
      <c r="HA179" s="6046"/>
      <c r="HB179" s="6046"/>
      <c r="HC179" s="6047"/>
      <c r="HD179" s="6047"/>
      <c r="HE179" s="6047"/>
      <c r="HF179" s="6047"/>
      <c r="HG179" s="6047"/>
      <c r="HH179" s="6047"/>
      <c r="HI179" s="6047"/>
      <c r="HJ179" s="6047"/>
      <c r="HK179" s="6047"/>
      <c r="HL179" s="6047"/>
      <c r="HM179" s="6047"/>
      <c r="HN179" s="6047"/>
      <c r="HO179" s="6046"/>
      <c r="HP179" s="6048"/>
      <c r="HT179" s="6044"/>
      <c r="HU179" s="6045"/>
      <c r="HV179" s="6045"/>
      <c r="HW179" s="6045"/>
      <c r="HX179" s="6045"/>
      <c r="HY179" s="6045"/>
      <c r="HZ179" s="6045"/>
      <c r="IA179" s="6045"/>
      <c r="IB179" s="6045"/>
      <c r="IC179" s="6045"/>
      <c r="ID179" s="6045"/>
      <c r="IE179" s="6045"/>
      <c r="IF179" s="6045"/>
      <c r="IG179" s="6045"/>
      <c r="IH179" s="6045"/>
      <c r="II179" s="6045"/>
      <c r="IJ179" s="6045"/>
      <c r="IK179" s="6045"/>
      <c r="IL179" s="6045"/>
      <c r="IM179" s="6045"/>
      <c r="IN179" s="6046"/>
      <c r="IO179" s="6046"/>
      <c r="IP179" s="6046"/>
      <c r="IQ179" s="6046"/>
      <c r="IR179" s="6046"/>
      <c r="IS179" s="6046"/>
      <c r="IT179" s="6046"/>
      <c r="IU179" s="6046"/>
      <c r="IV179" s="6047"/>
      <c r="IW179" s="6047"/>
      <c r="IX179" s="6047"/>
      <c r="IY179" s="6047"/>
      <c r="IZ179" s="6047"/>
      <c r="JA179" s="6047"/>
      <c r="JB179" s="6047"/>
      <c r="JC179" s="6047"/>
      <c r="JD179" s="6047"/>
      <c r="JE179" s="6047"/>
      <c r="JF179" s="6047"/>
      <c r="JG179" s="6047"/>
      <c r="JH179" s="6046"/>
      <c r="JI179" s="6048"/>
      <c r="JM179" s="6044"/>
      <c r="JN179" s="6045"/>
      <c r="JO179" s="6045"/>
      <c r="JP179" s="6045"/>
      <c r="JQ179" s="6045"/>
      <c r="JR179" s="6045"/>
      <c r="JS179" s="6045"/>
      <c r="JT179" s="6045"/>
      <c r="JU179" s="6045"/>
      <c r="JV179" s="6045"/>
      <c r="JW179" s="6045"/>
      <c r="JX179" s="6045"/>
      <c r="JY179" s="6045"/>
      <c r="JZ179" s="6045"/>
      <c r="KA179" s="6045"/>
      <c r="KB179" s="6045"/>
      <c r="KC179" s="6045"/>
      <c r="KD179" s="6045"/>
      <c r="KE179" s="6045"/>
      <c r="KF179" s="6045"/>
      <c r="KG179" s="6046"/>
      <c r="KH179" s="6046"/>
      <c r="KI179" s="6046"/>
      <c r="KJ179" s="6046"/>
      <c r="KK179" s="6046"/>
      <c r="KL179" s="6046"/>
      <c r="KM179" s="6046"/>
      <c r="KN179" s="6046"/>
      <c r="KO179" s="6047"/>
      <c r="KP179" s="6047"/>
      <c r="KQ179" s="6047"/>
      <c r="KR179" s="6047"/>
      <c r="KS179" s="6047"/>
      <c r="KT179" s="6047"/>
      <c r="KU179" s="6047"/>
      <c r="KV179" s="6047"/>
      <c r="KW179" s="6047"/>
      <c r="KX179" s="6047"/>
      <c r="KY179" s="6047"/>
      <c r="KZ179" s="6047"/>
      <c r="LA179" s="6046"/>
      <c r="LB179" s="6048"/>
      <c r="LF179" s="6044"/>
      <c r="LG179" s="6045"/>
      <c r="LH179" s="6045"/>
      <c r="LI179" s="6045"/>
      <c r="LJ179" s="6045"/>
      <c r="LK179" s="6045"/>
      <c r="LL179" s="6045"/>
      <c r="LM179" s="6045"/>
      <c r="LN179" s="6045"/>
      <c r="LO179" s="6045"/>
      <c r="LP179" s="6045"/>
      <c r="LQ179" s="6045"/>
      <c r="LR179" s="6045"/>
      <c r="LS179" s="6045"/>
      <c r="LT179" s="6045"/>
      <c r="LU179" s="6045"/>
      <c r="LV179" s="6045"/>
      <c r="LW179" s="6045"/>
      <c r="LX179" s="6045"/>
      <c r="LY179" s="6045"/>
      <c r="LZ179" s="6046"/>
      <c r="MA179" s="6046"/>
      <c r="MB179" s="6046"/>
      <c r="MC179" s="6046"/>
      <c r="MD179" s="6046"/>
      <c r="ME179" s="6046"/>
      <c r="MF179" s="6046"/>
      <c r="MG179" s="6046"/>
      <c r="MH179" s="6047"/>
      <c r="MI179" s="6047"/>
      <c r="MJ179" s="6047"/>
      <c r="MK179" s="6047"/>
      <c r="ML179" s="6047"/>
      <c r="MM179" s="6047"/>
      <c r="MN179" s="6047"/>
      <c r="MO179" s="6047"/>
      <c r="MP179" s="6047"/>
      <c r="MQ179" s="6047"/>
      <c r="MR179" s="6047"/>
      <c r="MS179" s="6047"/>
      <c r="MT179" s="6046"/>
      <c r="MU179" s="6048"/>
      <c r="MY179" s="6044"/>
      <c r="MZ179" s="6045"/>
      <c r="NA179" s="6045"/>
      <c r="NB179" s="6045"/>
      <c r="NC179" s="6045"/>
      <c r="ND179" s="6045"/>
      <c r="NE179" s="6045"/>
      <c r="NF179" s="6045"/>
      <c r="NG179" s="6045"/>
      <c r="NH179" s="6045"/>
      <c r="NI179" s="6045"/>
      <c r="NJ179" s="6045"/>
      <c r="NK179" s="6045"/>
      <c r="NL179" s="6045"/>
      <c r="NM179" s="6045"/>
      <c r="NN179" s="6045"/>
      <c r="NO179" s="6045"/>
      <c r="NP179" s="6045"/>
      <c r="NQ179" s="6045"/>
      <c r="NR179" s="6045"/>
      <c r="NS179" s="6046"/>
      <c r="NT179" s="6046"/>
      <c r="NU179" s="6046"/>
      <c r="NV179" s="6046"/>
      <c r="NW179" s="6046"/>
      <c r="NX179" s="6046"/>
      <c r="NY179" s="6046"/>
      <c r="NZ179" s="6046"/>
      <c r="OA179" s="6047"/>
      <c r="OB179" s="6047"/>
      <c r="OC179" s="6047"/>
      <c r="OD179" s="6047"/>
      <c r="OE179" s="6047"/>
      <c r="OF179" s="6047"/>
      <c r="OG179" s="6047"/>
      <c r="OH179" s="6047"/>
      <c r="OI179" s="6047"/>
      <c r="OJ179" s="6047"/>
      <c r="OK179" s="6047"/>
      <c r="OL179" s="6047"/>
      <c r="OM179" s="6046"/>
      <c r="ON179" s="6048"/>
    </row>
    <row r="180" spans="3:405" ht="9.9499999999999993" customHeight="1" thickBot="1" x14ac:dyDescent="0.25">
      <c r="D180" s="6091"/>
      <c r="AW180" s="6091"/>
      <c r="CP180" s="6091"/>
      <c r="EI180" s="6091"/>
      <c r="GB180" s="6091"/>
      <c r="HU180" s="6091"/>
      <c r="JN180" s="6091"/>
      <c r="LG180" s="6091"/>
      <c r="MZ180" s="6091"/>
    </row>
    <row r="181" spans="3:405" ht="15" customHeight="1" x14ac:dyDescent="0.2">
      <c r="C181" s="6049"/>
      <c r="D181" s="6050"/>
      <c r="E181" s="6050"/>
      <c r="F181" s="6050"/>
      <c r="G181" s="6050"/>
      <c r="H181" s="6050"/>
      <c r="I181" s="6050"/>
      <c r="J181" s="6050"/>
      <c r="K181" s="6050"/>
      <c r="L181" s="6050"/>
      <c r="M181" s="6050"/>
      <c r="N181" s="6050"/>
      <c r="O181" s="6050"/>
      <c r="P181" s="6050"/>
      <c r="Q181" s="6050"/>
      <c r="R181" s="6050"/>
      <c r="S181" s="6050"/>
      <c r="T181" s="6050"/>
      <c r="U181" s="6050"/>
      <c r="V181" s="6050"/>
      <c r="W181" s="6050"/>
      <c r="X181" s="6050"/>
      <c r="Y181" s="6050"/>
      <c r="Z181" s="6050"/>
      <c r="AA181" s="6050"/>
      <c r="AB181" s="6050"/>
      <c r="AC181" s="6050"/>
      <c r="AD181" s="6050"/>
      <c r="AE181" s="6050"/>
      <c r="AF181" s="6050"/>
      <c r="AG181" s="6050"/>
      <c r="AH181" s="6050"/>
      <c r="AI181" s="6050"/>
      <c r="AJ181" s="6050"/>
      <c r="AK181" s="6050"/>
      <c r="AL181" s="6050"/>
      <c r="AM181" s="6050"/>
      <c r="AN181" s="6050"/>
      <c r="AO181" s="6050"/>
      <c r="AP181" s="6050"/>
      <c r="AQ181" s="6050"/>
      <c r="AR181" s="6052"/>
      <c r="AV181" s="6049"/>
      <c r="AW181" s="6050"/>
      <c r="AX181" s="6050"/>
      <c r="AY181" s="6050"/>
      <c r="AZ181" s="6050"/>
      <c r="BA181" s="6050"/>
      <c r="BB181" s="6050"/>
      <c r="BC181" s="6050"/>
      <c r="BD181" s="6050"/>
      <c r="BE181" s="6050"/>
      <c r="BF181" s="6050"/>
      <c r="BG181" s="6050"/>
      <c r="BH181" s="6050"/>
      <c r="BI181" s="6050"/>
      <c r="BJ181" s="6050"/>
      <c r="BK181" s="6050"/>
      <c r="BL181" s="6050"/>
      <c r="BM181" s="6050"/>
      <c r="BN181" s="6050"/>
      <c r="BO181" s="6050"/>
      <c r="BP181" s="6050"/>
      <c r="BQ181" s="6050"/>
      <c r="BR181" s="6050"/>
      <c r="BS181" s="6050"/>
      <c r="BT181" s="6050"/>
      <c r="BU181" s="6050"/>
      <c r="BV181" s="6050"/>
      <c r="BW181" s="6050"/>
      <c r="BX181" s="6050"/>
      <c r="BY181" s="6050"/>
      <c r="BZ181" s="6050"/>
      <c r="CA181" s="6050"/>
      <c r="CB181" s="6050"/>
      <c r="CC181" s="6050"/>
      <c r="CD181" s="6050"/>
      <c r="CE181" s="6050"/>
      <c r="CF181" s="6050"/>
      <c r="CG181" s="6050"/>
      <c r="CH181" s="6050"/>
      <c r="CI181" s="6050"/>
      <c r="CJ181" s="6050"/>
      <c r="CK181" s="6052"/>
      <c r="CO181" s="6049"/>
      <c r="CP181" s="6050"/>
      <c r="CQ181" s="6050"/>
      <c r="CR181" s="6050"/>
      <c r="CS181" s="6050"/>
      <c r="CT181" s="6050"/>
      <c r="CU181" s="6050"/>
      <c r="CV181" s="6050"/>
      <c r="CW181" s="6050"/>
      <c r="CX181" s="6050"/>
      <c r="CY181" s="6050"/>
      <c r="CZ181" s="6050"/>
      <c r="DA181" s="6050"/>
      <c r="DB181" s="6050"/>
      <c r="DC181" s="6050"/>
      <c r="DD181" s="6050"/>
      <c r="DE181" s="6050"/>
      <c r="DF181" s="6050"/>
      <c r="DG181" s="6050"/>
      <c r="DH181" s="6050"/>
      <c r="DI181" s="6050"/>
      <c r="DJ181" s="6050"/>
      <c r="DK181" s="6050"/>
      <c r="DL181" s="6050"/>
      <c r="DM181" s="6050"/>
      <c r="DN181" s="6050"/>
      <c r="DO181" s="6050"/>
      <c r="DP181" s="6050"/>
      <c r="DQ181" s="6050"/>
      <c r="DR181" s="6050"/>
      <c r="DS181" s="6050"/>
      <c r="DT181" s="6050"/>
      <c r="DU181" s="6050"/>
      <c r="DV181" s="6050"/>
      <c r="DW181" s="6050"/>
      <c r="DX181" s="6050"/>
      <c r="DY181" s="6050"/>
      <c r="DZ181" s="6050"/>
      <c r="EA181" s="6050"/>
      <c r="EB181" s="6050"/>
      <c r="EC181" s="6050"/>
      <c r="ED181" s="6052"/>
      <c r="EH181" s="6049"/>
      <c r="EI181" s="6050"/>
      <c r="EJ181" s="6050"/>
      <c r="EK181" s="6050"/>
      <c r="EL181" s="6050"/>
      <c r="EM181" s="6050"/>
      <c r="EN181" s="6050"/>
      <c r="EO181" s="6050"/>
      <c r="EP181" s="6050"/>
      <c r="EQ181" s="6050"/>
      <c r="ER181" s="6050"/>
      <c r="ES181" s="6050"/>
      <c r="ET181" s="6050"/>
      <c r="EU181" s="6050"/>
      <c r="EV181" s="6050"/>
      <c r="EW181" s="6050"/>
      <c r="EX181" s="6050"/>
      <c r="EY181" s="6050"/>
      <c r="EZ181" s="6050"/>
      <c r="FA181" s="6050"/>
      <c r="FB181" s="6050"/>
      <c r="FC181" s="6050"/>
      <c r="FD181" s="6050"/>
      <c r="FE181" s="6050"/>
      <c r="FF181" s="6050"/>
      <c r="FG181" s="6050"/>
      <c r="FH181" s="6050"/>
      <c r="FI181" s="6050"/>
      <c r="FJ181" s="6050"/>
      <c r="FK181" s="6050"/>
      <c r="FL181" s="6050"/>
      <c r="FM181" s="6050"/>
      <c r="FN181" s="6050"/>
      <c r="FO181" s="6050"/>
      <c r="FP181" s="6050"/>
      <c r="FQ181" s="6050"/>
      <c r="FR181" s="6050"/>
      <c r="FS181" s="6050"/>
      <c r="FT181" s="6050"/>
      <c r="FU181" s="6050"/>
      <c r="FV181" s="6050"/>
      <c r="FW181" s="6052"/>
      <c r="GA181" s="6049"/>
      <c r="GB181" s="6050"/>
      <c r="GC181" s="6050"/>
      <c r="GD181" s="6050"/>
      <c r="GE181" s="6050"/>
      <c r="GF181" s="6050"/>
      <c r="GG181" s="6050"/>
      <c r="GH181" s="6050"/>
      <c r="GI181" s="6050"/>
      <c r="GJ181" s="6050"/>
      <c r="GK181" s="6050"/>
      <c r="GL181" s="6050"/>
      <c r="GM181" s="6050"/>
      <c r="GN181" s="6050"/>
      <c r="GO181" s="6050"/>
      <c r="GP181" s="6050"/>
      <c r="GQ181" s="6050"/>
      <c r="GR181" s="6050"/>
      <c r="GS181" s="6050"/>
      <c r="GT181" s="6050"/>
      <c r="GU181" s="6050"/>
      <c r="GV181" s="6050"/>
      <c r="GW181" s="6050"/>
      <c r="GX181" s="6050"/>
      <c r="GY181" s="6050"/>
      <c r="GZ181" s="6050"/>
      <c r="HA181" s="6050"/>
      <c r="HB181" s="6050"/>
      <c r="HC181" s="6050"/>
      <c r="HD181" s="6050"/>
      <c r="HE181" s="6050"/>
      <c r="HF181" s="6050"/>
      <c r="HG181" s="6050"/>
      <c r="HH181" s="6050"/>
      <c r="HI181" s="6050"/>
      <c r="HJ181" s="6050"/>
      <c r="HK181" s="6050"/>
      <c r="HL181" s="6050"/>
      <c r="HM181" s="6050"/>
      <c r="HN181" s="6050"/>
      <c r="HO181" s="6050"/>
      <c r="HP181" s="6052"/>
      <c r="HT181" s="6049"/>
      <c r="HU181" s="6050"/>
      <c r="HV181" s="6050"/>
      <c r="HW181" s="6050"/>
      <c r="HX181" s="6050"/>
      <c r="HY181" s="6050"/>
      <c r="HZ181" s="6050"/>
      <c r="IA181" s="6050"/>
      <c r="IB181" s="6050"/>
      <c r="IC181" s="6050"/>
      <c r="ID181" s="6050"/>
      <c r="IE181" s="6050"/>
      <c r="IF181" s="6050"/>
      <c r="IG181" s="6050"/>
      <c r="IH181" s="6050"/>
      <c r="II181" s="6050"/>
      <c r="IJ181" s="6050"/>
      <c r="IK181" s="6050"/>
      <c r="IL181" s="6050"/>
      <c r="IM181" s="6050"/>
      <c r="IN181" s="6050"/>
      <c r="IO181" s="6050"/>
      <c r="IP181" s="6050"/>
      <c r="IQ181" s="6050"/>
      <c r="IR181" s="6050"/>
      <c r="IS181" s="6050"/>
      <c r="IT181" s="6050"/>
      <c r="IU181" s="6050"/>
      <c r="IV181" s="6050"/>
      <c r="IW181" s="6050"/>
      <c r="IX181" s="6050"/>
      <c r="IY181" s="6050"/>
      <c r="IZ181" s="6050"/>
      <c r="JA181" s="6050"/>
      <c r="JB181" s="6050"/>
      <c r="JC181" s="6050"/>
      <c r="JD181" s="6050"/>
      <c r="JE181" s="6050"/>
      <c r="JF181" s="6050"/>
      <c r="JG181" s="6050"/>
      <c r="JH181" s="6050"/>
      <c r="JI181" s="6052"/>
      <c r="JM181" s="6049"/>
      <c r="JN181" s="6050"/>
      <c r="JO181" s="6050"/>
      <c r="JP181" s="6050"/>
      <c r="JQ181" s="6050"/>
      <c r="JR181" s="6050"/>
      <c r="JS181" s="6050"/>
      <c r="JT181" s="6050"/>
      <c r="JU181" s="6050"/>
      <c r="JV181" s="6050"/>
      <c r="JW181" s="6050"/>
      <c r="JX181" s="6050"/>
      <c r="JY181" s="6050"/>
      <c r="JZ181" s="6050"/>
      <c r="KA181" s="6050"/>
      <c r="KB181" s="6050"/>
      <c r="KC181" s="6050"/>
      <c r="KD181" s="6050"/>
      <c r="KE181" s="6050"/>
      <c r="KF181" s="6050"/>
      <c r="KG181" s="6050"/>
      <c r="KH181" s="6050"/>
      <c r="KI181" s="6050"/>
      <c r="KJ181" s="6050"/>
      <c r="KK181" s="6050"/>
      <c r="KL181" s="6050"/>
      <c r="KM181" s="6050"/>
      <c r="KN181" s="6050"/>
      <c r="KO181" s="6050"/>
      <c r="KP181" s="6050"/>
      <c r="KQ181" s="6050"/>
      <c r="KR181" s="6050"/>
      <c r="KS181" s="6050"/>
      <c r="KT181" s="6050"/>
      <c r="KU181" s="6050"/>
      <c r="KV181" s="6050"/>
      <c r="KW181" s="6050"/>
      <c r="KX181" s="6050"/>
      <c r="KY181" s="6050"/>
      <c r="KZ181" s="6050"/>
      <c r="LA181" s="6050"/>
      <c r="LB181" s="6052"/>
      <c r="LF181" s="6049"/>
      <c r="LG181" s="6050"/>
      <c r="LH181" s="6050"/>
      <c r="LI181" s="6050"/>
      <c r="LJ181" s="6050"/>
      <c r="LK181" s="6050"/>
      <c r="LL181" s="6050"/>
      <c r="LM181" s="6050"/>
      <c r="LN181" s="6050"/>
      <c r="LO181" s="6050"/>
      <c r="LP181" s="6050"/>
      <c r="LQ181" s="6050"/>
      <c r="LR181" s="6050"/>
      <c r="LS181" s="6050"/>
      <c r="LT181" s="6050"/>
      <c r="LU181" s="6050"/>
      <c r="LV181" s="6050"/>
      <c r="LW181" s="6050"/>
      <c r="LX181" s="6050"/>
      <c r="LY181" s="6050"/>
      <c r="LZ181" s="6050"/>
      <c r="MA181" s="6050"/>
      <c r="MB181" s="6050"/>
      <c r="MC181" s="6050"/>
      <c r="MD181" s="6050"/>
      <c r="ME181" s="6050"/>
      <c r="MF181" s="6050"/>
      <c r="MG181" s="6050"/>
      <c r="MH181" s="6050"/>
      <c r="MI181" s="6050"/>
      <c r="MJ181" s="6050"/>
      <c r="MK181" s="6050"/>
      <c r="ML181" s="6050"/>
      <c r="MM181" s="6050"/>
      <c r="MN181" s="6050"/>
      <c r="MO181" s="6050"/>
      <c r="MP181" s="6050"/>
      <c r="MQ181" s="6050"/>
      <c r="MR181" s="6050"/>
      <c r="MS181" s="6050"/>
      <c r="MT181" s="6050"/>
      <c r="MU181" s="6052"/>
      <c r="MY181" s="6049"/>
      <c r="MZ181" s="6050"/>
      <c r="NA181" s="6050"/>
      <c r="NB181" s="6050"/>
      <c r="NC181" s="6050"/>
      <c r="ND181" s="6050"/>
      <c r="NE181" s="6050"/>
      <c r="NF181" s="6050"/>
      <c r="NG181" s="6050"/>
      <c r="NH181" s="6050"/>
      <c r="NI181" s="6050"/>
      <c r="NJ181" s="6050"/>
      <c r="NK181" s="6050"/>
      <c r="NL181" s="6050"/>
      <c r="NM181" s="6050"/>
      <c r="NN181" s="6050"/>
      <c r="NO181" s="6050"/>
      <c r="NP181" s="6050"/>
      <c r="NQ181" s="6050"/>
      <c r="NR181" s="6050"/>
      <c r="NS181" s="6050"/>
      <c r="NT181" s="6050"/>
      <c r="NU181" s="6050"/>
      <c r="NV181" s="6050"/>
      <c r="NW181" s="6050"/>
      <c r="NX181" s="6050"/>
      <c r="NY181" s="6050"/>
      <c r="NZ181" s="6050"/>
      <c r="OA181" s="6050"/>
      <c r="OB181" s="6050"/>
      <c r="OC181" s="6050"/>
      <c r="OD181" s="6050"/>
      <c r="OE181" s="6050"/>
      <c r="OF181" s="6050"/>
      <c r="OG181" s="6050"/>
      <c r="OH181" s="6050"/>
      <c r="OI181" s="6050"/>
      <c r="OJ181" s="6050"/>
      <c r="OK181" s="6050"/>
      <c r="OL181" s="6050"/>
      <c r="OM181" s="6050"/>
      <c r="ON181" s="6052"/>
    </row>
    <row r="182" spans="3:405" s="21" customFormat="1" ht="20.100000000000001" customHeight="1" x14ac:dyDescent="0.2">
      <c r="C182" s="6053"/>
      <c r="D182" s="6783" t="str">
        <f>_Calcs!$IK$161</f>
        <v>Justeringer</v>
      </c>
      <c r="E182" s="6783"/>
      <c r="F182" s="6783"/>
      <c r="G182" s="6783"/>
      <c r="H182" s="6783"/>
      <c r="I182" s="6783"/>
      <c r="J182" s="6783"/>
      <c r="K182" s="6783"/>
      <c r="L182" s="6783"/>
      <c r="M182" s="6783"/>
      <c r="N182" s="6783"/>
      <c r="O182" s="6783"/>
      <c r="P182" s="6783"/>
      <c r="Q182" s="6783"/>
      <c r="R182" s="6783"/>
      <c r="S182" s="6783"/>
      <c r="T182" s="6783"/>
      <c r="U182" s="6783"/>
      <c r="V182" s="6783"/>
      <c r="W182" s="6783"/>
      <c r="X182" s="6783"/>
      <c r="Y182" s="6783"/>
      <c r="Z182" s="6783"/>
      <c r="AA182" s="6783"/>
      <c r="AB182" s="6783"/>
      <c r="AC182" s="6783"/>
      <c r="AD182" s="6783"/>
      <c r="AE182" s="6783"/>
      <c r="AF182" s="6783"/>
      <c r="AG182" s="6783"/>
      <c r="AH182" s="6783"/>
      <c r="AI182" s="6783"/>
      <c r="AJ182" s="6783"/>
      <c r="AK182" s="6783"/>
      <c r="AL182" s="6783"/>
      <c r="AM182" s="6783"/>
      <c r="AN182" s="6783"/>
      <c r="AO182" s="6783"/>
      <c r="AP182" s="6783"/>
      <c r="AQ182" s="6783"/>
      <c r="AR182" s="6054"/>
      <c r="AV182" s="6053"/>
      <c r="AW182" s="6783" t="str">
        <f>_Calcs!$IL$161</f>
        <v>Justeringer</v>
      </c>
      <c r="AX182" s="6783"/>
      <c r="AY182" s="6783"/>
      <c r="AZ182" s="6783"/>
      <c r="BA182" s="6783"/>
      <c r="BB182" s="6783"/>
      <c r="BC182" s="6783"/>
      <c r="BD182" s="6783"/>
      <c r="BE182" s="6783"/>
      <c r="BF182" s="6783"/>
      <c r="BG182" s="6783"/>
      <c r="BH182" s="6783"/>
      <c r="BI182" s="6783"/>
      <c r="BJ182" s="6783"/>
      <c r="BK182" s="6783"/>
      <c r="BL182" s="6783"/>
      <c r="BM182" s="6783"/>
      <c r="BN182" s="6783"/>
      <c r="BO182" s="6783"/>
      <c r="BP182" s="6783"/>
      <c r="BQ182" s="6783"/>
      <c r="BR182" s="6783"/>
      <c r="BS182" s="6783"/>
      <c r="BT182" s="6783"/>
      <c r="BU182" s="6783"/>
      <c r="BV182" s="6783"/>
      <c r="BW182" s="6783"/>
      <c r="BX182" s="6783"/>
      <c r="BY182" s="6783"/>
      <c r="BZ182" s="6783"/>
      <c r="CA182" s="6783"/>
      <c r="CB182" s="6783"/>
      <c r="CC182" s="6783"/>
      <c r="CD182" s="6783"/>
      <c r="CE182" s="6783"/>
      <c r="CF182" s="6783"/>
      <c r="CG182" s="6783"/>
      <c r="CH182" s="6783"/>
      <c r="CI182" s="6783"/>
      <c r="CJ182" s="6783"/>
      <c r="CK182" s="6054"/>
      <c r="CO182" s="6053"/>
      <c r="CP182" s="6783" t="str">
        <f>_Calcs!$IM$161</f>
        <v>Justeringer</v>
      </c>
      <c r="CQ182" s="6783"/>
      <c r="CR182" s="6783"/>
      <c r="CS182" s="6783"/>
      <c r="CT182" s="6783"/>
      <c r="CU182" s="6783"/>
      <c r="CV182" s="6783"/>
      <c r="CW182" s="6783"/>
      <c r="CX182" s="6783"/>
      <c r="CY182" s="6783"/>
      <c r="CZ182" s="6783"/>
      <c r="DA182" s="6783"/>
      <c r="DB182" s="6783"/>
      <c r="DC182" s="6783"/>
      <c r="DD182" s="6783"/>
      <c r="DE182" s="6783"/>
      <c r="DF182" s="6783"/>
      <c r="DG182" s="6783"/>
      <c r="DH182" s="6783"/>
      <c r="DI182" s="6783"/>
      <c r="DJ182" s="6783"/>
      <c r="DK182" s="6783"/>
      <c r="DL182" s="6783"/>
      <c r="DM182" s="6783"/>
      <c r="DN182" s="6783"/>
      <c r="DO182" s="6783"/>
      <c r="DP182" s="6783"/>
      <c r="DQ182" s="6783"/>
      <c r="DR182" s="6783"/>
      <c r="DS182" s="6783"/>
      <c r="DT182" s="6783"/>
      <c r="DU182" s="6783"/>
      <c r="DV182" s="6783"/>
      <c r="DW182" s="6783"/>
      <c r="DX182" s="6783"/>
      <c r="DY182" s="6783"/>
      <c r="DZ182" s="6783"/>
      <c r="EA182" s="6783"/>
      <c r="EB182" s="6783"/>
      <c r="EC182" s="6783"/>
      <c r="ED182" s="6054"/>
      <c r="EH182" s="6053"/>
      <c r="EI182" s="6783" t="str">
        <f>_Calcs!$IN$161</f>
        <v>Justeringer</v>
      </c>
      <c r="EJ182" s="6783"/>
      <c r="EK182" s="6783"/>
      <c r="EL182" s="6783"/>
      <c r="EM182" s="6783"/>
      <c r="EN182" s="6783"/>
      <c r="EO182" s="6783"/>
      <c r="EP182" s="6783"/>
      <c r="EQ182" s="6783"/>
      <c r="ER182" s="6783"/>
      <c r="ES182" s="6783"/>
      <c r="ET182" s="6783"/>
      <c r="EU182" s="6783"/>
      <c r="EV182" s="6783"/>
      <c r="EW182" s="6783"/>
      <c r="EX182" s="6783"/>
      <c r="EY182" s="6783"/>
      <c r="EZ182" s="6783"/>
      <c r="FA182" s="6783"/>
      <c r="FB182" s="6783"/>
      <c r="FC182" s="6783"/>
      <c r="FD182" s="6783"/>
      <c r="FE182" s="6783"/>
      <c r="FF182" s="6783"/>
      <c r="FG182" s="6783"/>
      <c r="FH182" s="6783"/>
      <c r="FI182" s="6783"/>
      <c r="FJ182" s="6783"/>
      <c r="FK182" s="6783"/>
      <c r="FL182" s="6783"/>
      <c r="FM182" s="6783"/>
      <c r="FN182" s="6783"/>
      <c r="FO182" s="6783"/>
      <c r="FP182" s="6783"/>
      <c r="FQ182" s="6783"/>
      <c r="FR182" s="6783"/>
      <c r="FS182" s="6783"/>
      <c r="FT182" s="6783"/>
      <c r="FU182" s="6783"/>
      <c r="FV182" s="6783"/>
      <c r="FW182" s="6054"/>
      <c r="GA182" s="6053"/>
      <c r="GB182" s="6783" t="str">
        <f>_Calcs!$IO$161</f>
        <v>Justeringer</v>
      </c>
      <c r="GC182" s="6783"/>
      <c r="GD182" s="6783"/>
      <c r="GE182" s="6783"/>
      <c r="GF182" s="6783"/>
      <c r="GG182" s="6783"/>
      <c r="GH182" s="6783"/>
      <c r="GI182" s="6783"/>
      <c r="GJ182" s="6783"/>
      <c r="GK182" s="6783"/>
      <c r="GL182" s="6783"/>
      <c r="GM182" s="6783"/>
      <c r="GN182" s="6783"/>
      <c r="GO182" s="6783"/>
      <c r="GP182" s="6783"/>
      <c r="GQ182" s="6783"/>
      <c r="GR182" s="6783"/>
      <c r="GS182" s="6783"/>
      <c r="GT182" s="6783"/>
      <c r="GU182" s="6783"/>
      <c r="GV182" s="6783"/>
      <c r="GW182" s="6783"/>
      <c r="GX182" s="6783"/>
      <c r="GY182" s="6783"/>
      <c r="GZ182" s="6783"/>
      <c r="HA182" s="6783"/>
      <c r="HB182" s="6783"/>
      <c r="HC182" s="6783"/>
      <c r="HD182" s="6783"/>
      <c r="HE182" s="6783"/>
      <c r="HF182" s="6783"/>
      <c r="HG182" s="6783"/>
      <c r="HH182" s="6783"/>
      <c r="HI182" s="6783"/>
      <c r="HJ182" s="6783"/>
      <c r="HK182" s="6783"/>
      <c r="HL182" s="6783"/>
      <c r="HM182" s="6783"/>
      <c r="HN182" s="6783"/>
      <c r="HO182" s="6783"/>
      <c r="HP182" s="6054"/>
      <c r="HT182" s="6053"/>
      <c r="HU182" s="6783" t="str">
        <f>_Calcs!$IP$161</f>
        <v>Justeringer</v>
      </c>
      <c r="HV182" s="6783"/>
      <c r="HW182" s="6783"/>
      <c r="HX182" s="6783"/>
      <c r="HY182" s="6783"/>
      <c r="HZ182" s="6783"/>
      <c r="IA182" s="6783"/>
      <c r="IB182" s="6783"/>
      <c r="IC182" s="6783"/>
      <c r="ID182" s="6783"/>
      <c r="IE182" s="6783"/>
      <c r="IF182" s="6783"/>
      <c r="IG182" s="6783"/>
      <c r="IH182" s="6783"/>
      <c r="II182" s="6783"/>
      <c r="IJ182" s="6783"/>
      <c r="IK182" s="6783"/>
      <c r="IL182" s="6783"/>
      <c r="IM182" s="6783"/>
      <c r="IN182" s="6783"/>
      <c r="IO182" s="6783"/>
      <c r="IP182" s="6783"/>
      <c r="IQ182" s="6783"/>
      <c r="IR182" s="6783"/>
      <c r="IS182" s="6783"/>
      <c r="IT182" s="6783"/>
      <c r="IU182" s="6783"/>
      <c r="IV182" s="6783"/>
      <c r="IW182" s="6783"/>
      <c r="IX182" s="6783"/>
      <c r="IY182" s="6783"/>
      <c r="IZ182" s="6783"/>
      <c r="JA182" s="6783"/>
      <c r="JB182" s="6783"/>
      <c r="JC182" s="6783"/>
      <c r="JD182" s="6783"/>
      <c r="JE182" s="6783"/>
      <c r="JF182" s="6783"/>
      <c r="JG182" s="6783"/>
      <c r="JH182" s="6783"/>
      <c r="JI182" s="6054"/>
      <c r="JM182" s="6053"/>
      <c r="JN182" s="6783" t="str">
        <f>_Calcs!$IQ$161</f>
        <v>Justeringer</v>
      </c>
      <c r="JO182" s="6783"/>
      <c r="JP182" s="6783"/>
      <c r="JQ182" s="6783"/>
      <c r="JR182" s="6783"/>
      <c r="JS182" s="6783"/>
      <c r="JT182" s="6783"/>
      <c r="JU182" s="6783"/>
      <c r="JV182" s="6783"/>
      <c r="JW182" s="6783"/>
      <c r="JX182" s="6783"/>
      <c r="JY182" s="6783"/>
      <c r="JZ182" s="6783"/>
      <c r="KA182" s="6783"/>
      <c r="KB182" s="6783"/>
      <c r="KC182" s="6783"/>
      <c r="KD182" s="6783"/>
      <c r="KE182" s="6783"/>
      <c r="KF182" s="6783"/>
      <c r="KG182" s="6783"/>
      <c r="KH182" s="6783"/>
      <c r="KI182" s="6783"/>
      <c r="KJ182" s="6783"/>
      <c r="KK182" s="6783"/>
      <c r="KL182" s="6783"/>
      <c r="KM182" s="6783"/>
      <c r="KN182" s="6783"/>
      <c r="KO182" s="6783"/>
      <c r="KP182" s="6783"/>
      <c r="KQ182" s="6783"/>
      <c r="KR182" s="6783"/>
      <c r="KS182" s="6783"/>
      <c r="KT182" s="6783"/>
      <c r="KU182" s="6783"/>
      <c r="KV182" s="6783"/>
      <c r="KW182" s="6783"/>
      <c r="KX182" s="6783"/>
      <c r="KY182" s="6783"/>
      <c r="KZ182" s="6783"/>
      <c r="LA182" s="6783"/>
      <c r="LB182" s="6054"/>
      <c r="LF182" s="6053"/>
      <c r="LG182" s="6783" t="str">
        <f>_Calcs!$IR$161</f>
        <v>Justeringer</v>
      </c>
      <c r="LH182" s="6783"/>
      <c r="LI182" s="6783"/>
      <c r="LJ182" s="6783"/>
      <c r="LK182" s="6783"/>
      <c r="LL182" s="6783"/>
      <c r="LM182" s="6783"/>
      <c r="LN182" s="6783"/>
      <c r="LO182" s="6783"/>
      <c r="LP182" s="6783"/>
      <c r="LQ182" s="6783"/>
      <c r="LR182" s="6783"/>
      <c r="LS182" s="6783"/>
      <c r="LT182" s="6783"/>
      <c r="LU182" s="6783"/>
      <c r="LV182" s="6783"/>
      <c r="LW182" s="6783"/>
      <c r="LX182" s="6783"/>
      <c r="LY182" s="6783"/>
      <c r="LZ182" s="6783"/>
      <c r="MA182" s="6783"/>
      <c r="MB182" s="6783"/>
      <c r="MC182" s="6783"/>
      <c r="MD182" s="6783"/>
      <c r="ME182" s="6783"/>
      <c r="MF182" s="6783"/>
      <c r="MG182" s="6783"/>
      <c r="MH182" s="6783"/>
      <c r="MI182" s="6783"/>
      <c r="MJ182" s="6783"/>
      <c r="MK182" s="6783"/>
      <c r="ML182" s="6783"/>
      <c r="MM182" s="6783"/>
      <c r="MN182" s="6783"/>
      <c r="MO182" s="6783"/>
      <c r="MP182" s="6783"/>
      <c r="MQ182" s="6783"/>
      <c r="MR182" s="6783"/>
      <c r="MS182" s="6783"/>
      <c r="MT182" s="6783"/>
      <c r="MU182" s="6054"/>
      <c r="MY182" s="6053"/>
      <c r="MZ182" s="6783" t="str">
        <f>_Calcs!$IS$161</f>
        <v>Justeringer</v>
      </c>
      <c r="NA182" s="6783"/>
      <c r="NB182" s="6783"/>
      <c r="NC182" s="6783"/>
      <c r="ND182" s="6783"/>
      <c r="NE182" s="6783"/>
      <c r="NF182" s="6783"/>
      <c r="NG182" s="6783"/>
      <c r="NH182" s="6783"/>
      <c r="NI182" s="6783"/>
      <c r="NJ182" s="6783"/>
      <c r="NK182" s="6783"/>
      <c r="NL182" s="6783"/>
      <c r="NM182" s="6783"/>
      <c r="NN182" s="6783"/>
      <c r="NO182" s="6783"/>
      <c r="NP182" s="6783"/>
      <c r="NQ182" s="6783"/>
      <c r="NR182" s="6783"/>
      <c r="NS182" s="6783"/>
      <c r="NT182" s="6783"/>
      <c r="NU182" s="6783"/>
      <c r="NV182" s="6783"/>
      <c r="NW182" s="6783"/>
      <c r="NX182" s="6783"/>
      <c r="NY182" s="6783"/>
      <c r="NZ182" s="6783"/>
      <c r="OA182" s="6783"/>
      <c r="OB182" s="6783"/>
      <c r="OC182" s="6783"/>
      <c r="OD182" s="6783"/>
      <c r="OE182" s="6783"/>
      <c r="OF182" s="6783"/>
      <c r="OG182" s="6783"/>
      <c r="OH182" s="6783"/>
      <c r="OI182" s="6783"/>
      <c r="OJ182" s="6783"/>
      <c r="OK182" s="6783"/>
      <c r="OL182" s="6783"/>
      <c r="OM182" s="6783"/>
      <c r="ON182" s="6054"/>
    </row>
    <row r="183" spans="3:405" ht="5.0999999999999996" customHeight="1" x14ac:dyDescent="0.2">
      <c r="C183" s="6055"/>
      <c r="D183" s="6056"/>
      <c r="E183" s="6056"/>
      <c r="F183" s="6056"/>
      <c r="G183" s="6056"/>
      <c r="H183" s="6056"/>
      <c r="I183" s="6056"/>
      <c r="J183" s="6056"/>
      <c r="K183" s="6056"/>
      <c r="L183" s="6056"/>
      <c r="M183" s="6056"/>
      <c r="N183" s="6056"/>
      <c r="O183" s="6056"/>
      <c r="P183" s="6056"/>
      <c r="Q183" s="6056"/>
      <c r="R183" s="6056"/>
      <c r="S183" s="6056"/>
      <c r="T183" s="6056"/>
      <c r="U183" s="6056"/>
      <c r="V183" s="6056"/>
      <c r="W183" s="6056"/>
      <c r="X183" s="6056"/>
      <c r="Y183" s="6056"/>
      <c r="Z183" s="6056"/>
      <c r="AA183" s="6056"/>
      <c r="AB183" s="6056"/>
      <c r="AC183" s="6056"/>
      <c r="AD183" s="6056"/>
      <c r="AE183" s="6056"/>
      <c r="AF183" s="6056"/>
      <c r="AG183" s="6056"/>
      <c r="AH183" s="6056"/>
      <c r="AI183" s="6056"/>
      <c r="AJ183" s="6056"/>
      <c r="AK183" s="6056"/>
      <c r="AL183" s="6056"/>
      <c r="AM183" s="6056"/>
      <c r="AN183" s="6056"/>
      <c r="AO183" s="6056"/>
      <c r="AP183" s="6056"/>
      <c r="AQ183" s="6056"/>
      <c r="AR183" s="6058"/>
      <c r="AV183" s="6055"/>
      <c r="AW183" s="6056"/>
      <c r="AX183" s="6056"/>
      <c r="AY183" s="6056"/>
      <c r="AZ183" s="6056"/>
      <c r="BA183" s="6056"/>
      <c r="BB183" s="6056"/>
      <c r="BC183" s="6056"/>
      <c r="BD183" s="6056"/>
      <c r="BE183" s="6056"/>
      <c r="BF183" s="6056"/>
      <c r="BG183" s="6056"/>
      <c r="BH183" s="6056"/>
      <c r="BI183" s="6056"/>
      <c r="BJ183" s="6056"/>
      <c r="BK183" s="6056"/>
      <c r="BL183" s="6056"/>
      <c r="BM183" s="6056"/>
      <c r="BN183" s="6056"/>
      <c r="BO183" s="6056"/>
      <c r="BP183" s="6056"/>
      <c r="BQ183" s="6056"/>
      <c r="BR183" s="6056"/>
      <c r="BS183" s="6056"/>
      <c r="BT183" s="6056"/>
      <c r="BU183" s="6056"/>
      <c r="BV183" s="6056"/>
      <c r="BW183" s="6056"/>
      <c r="BX183" s="6056"/>
      <c r="BY183" s="6056"/>
      <c r="BZ183" s="6056"/>
      <c r="CA183" s="6056"/>
      <c r="CB183" s="6056"/>
      <c r="CC183" s="6056"/>
      <c r="CD183" s="6056"/>
      <c r="CE183" s="6056"/>
      <c r="CF183" s="6056"/>
      <c r="CG183" s="6056"/>
      <c r="CH183" s="6056"/>
      <c r="CI183" s="6056"/>
      <c r="CJ183" s="6056"/>
      <c r="CK183" s="6058"/>
      <c r="CO183" s="6055"/>
      <c r="CP183" s="6056"/>
      <c r="CQ183" s="6056"/>
      <c r="CR183" s="6056"/>
      <c r="CS183" s="6056"/>
      <c r="CT183" s="6056"/>
      <c r="CU183" s="6056"/>
      <c r="CV183" s="6056"/>
      <c r="CW183" s="6056"/>
      <c r="CX183" s="6056"/>
      <c r="CY183" s="6056"/>
      <c r="CZ183" s="6056"/>
      <c r="DA183" s="6056"/>
      <c r="DB183" s="6056"/>
      <c r="DC183" s="6056"/>
      <c r="DD183" s="6056"/>
      <c r="DE183" s="6056"/>
      <c r="DF183" s="6056"/>
      <c r="DG183" s="6056"/>
      <c r="DH183" s="6056"/>
      <c r="DI183" s="6056"/>
      <c r="DJ183" s="6056"/>
      <c r="DK183" s="6056"/>
      <c r="DL183" s="6056"/>
      <c r="DM183" s="6056"/>
      <c r="DN183" s="6056"/>
      <c r="DO183" s="6056"/>
      <c r="DP183" s="6056"/>
      <c r="DQ183" s="6056"/>
      <c r="DR183" s="6056"/>
      <c r="DS183" s="6056"/>
      <c r="DT183" s="6056"/>
      <c r="DU183" s="6056"/>
      <c r="DV183" s="6056"/>
      <c r="DW183" s="6056"/>
      <c r="DX183" s="6056"/>
      <c r="DY183" s="6056"/>
      <c r="DZ183" s="6056"/>
      <c r="EA183" s="6056"/>
      <c r="EB183" s="6056"/>
      <c r="EC183" s="6056"/>
      <c r="ED183" s="6058"/>
      <c r="EH183" s="6055"/>
      <c r="EI183" s="6056"/>
      <c r="EJ183" s="6056"/>
      <c r="EK183" s="6056"/>
      <c r="EL183" s="6056"/>
      <c r="EM183" s="6056"/>
      <c r="EN183" s="6056"/>
      <c r="EO183" s="6056"/>
      <c r="EP183" s="6056"/>
      <c r="EQ183" s="6056"/>
      <c r="ER183" s="6056"/>
      <c r="ES183" s="6056"/>
      <c r="ET183" s="6056"/>
      <c r="EU183" s="6056"/>
      <c r="EV183" s="6056"/>
      <c r="EW183" s="6056"/>
      <c r="EX183" s="6056"/>
      <c r="EY183" s="6056"/>
      <c r="EZ183" s="6056"/>
      <c r="FA183" s="6056"/>
      <c r="FB183" s="6056"/>
      <c r="FC183" s="6056"/>
      <c r="FD183" s="6056"/>
      <c r="FE183" s="6056"/>
      <c r="FF183" s="6056"/>
      <c r="FG183" s="6056"/>
      <c r="FH183" s="6056"/>
      <c r="FI183" s="6056"/>
      <c r="FJ183" s="6056"/>
      <c r="FK183" s="6056"/>
      <c r="FL183" s="6056"/>
      <c r="FM183" s="6056"/>
      <c r="FN183" s="6056"/>
      <c r="FO183" s="6056"/>
      <c r="FP183" s="6056"/>
      <c r="FQ183" s="6056"/>
      <c r="FR183" s="6056"/>
      <c r="FS183" s="6056"/>
      <c r="FT183" s="6056"/>
      <c r="FU183" s="6056"/>
      <c r="FV183" s="6056"/>
      <c r="FW183" s="6058"/>
      <c r="GA183" s="6055"/>
      <c r="GB183" s="6056"/>
      <c r="GC183" s="6056"/>
      <c r="GD183" s="6056"/>
      <c r="GE183" s="6056"/>
      <c r="GF183" s="6056"/>
      <c r="GG183" s="6056"/>
      <c r="GH183" s="6056"/>
      <c r="GI183" s="6056"/>
      <c r="GJ183" s="6056"/>
      <c r="GK183" s="6056"/>
      <c r="GL183" s="6056"/>
      <c r="GM183" s="6056"/>
      <c r="GN183" s="6056"/>
      <c r="GO183" s="6056"/>
      <c r="GP183" s="6056"/>
      <c r="GQ183" s="6056"/>
      <c r="GR183" s="6056"/>
      <c r="GS183" s="6056"/>
      <c r="GT183" s="6056"/>
      <c r="GU183" s="6056"/>
      <c r="GV183" s="6056"/>
      <c r="GW183" s="6056"/>
      <c r="GX183" s="6056"/>
      <c r="GY183" s="6056"/>
      <c r="GZ183" s="6056"/>
      <c r="HA183" s="6056"/>
      <c r="HB183" s="6056"/>
      <c r="HC183" s="6056"/>
      <c r="HD183" s="6056"/>
      <c r="HE183" s="6056"/>
      <c r="HF183" s="6056"/>
      <c r="HG183" s="6056"/>
      <c r="HH183" s="6056"/>
      <c r="HI183" s="6056"/>
      <c r="HJ183" s="6056"/>
      <c r="HK183" s="6056"/>
      <c r="HL183" s="6056"/>
      <c r="HM183" s="6056"/>
      <c r="HN183" s="6056"/>
      <c r="HO183" s="6056"/>
      <c r="HP183" s="6058"/>
      <c r="HT183" s="6055"/>
      <c r="HU183" s="6056"/>
      <c r="HV183" s="6056"/>
      <c r="HW183" s="6056"/>
      <c r="HX183" s="6056"/>
      <c r="HY183" s="6056"/>
      <c r="HZ183" s="6056"/>
      <c r="IA183" s="6056"/>
      <c r="IB183" s="6056"/>
      <c r="IC183" s="6056"/>
      <c r="ID183" s="6056"/>
      <c r="IE183" s="6056"/>
      <c r="IF183" s="6056"/>
      <c r="IG183" s="6056"/>
      <c r="IH183" s="6056"/>
      <c r="II183" s="6056"/>
      <c r="IJ183" s="6056"/>
      <c r="IK183" s="6056"/>
      <c r="IL183" s="6056"/>
      <c r="IM183" s="6056"/>
      <c r="IN183" s="6056"/>
      <c r="IO183" s="6056"/>
      <c r="IP183" s="6056"/>
      <c r="IQ183" s="6056"/>
      <c r="IR183" s="6056"/>
      <c r="IS183" s="6056"/>
      <c r="IT183" s="6056"/>
      <c r="IU183" s="6056"/>
      <c r="IV183" s="6056"/>
      <c r="IW183" s="6056"/>
      <c r="IX183" s="6056"/>
      <c r="IY183" s="6056"/>
      <c r="IZ183" s="6056"/>
      <c r="JA183" s="6056"/>
      <c r="JB183" s="6056"/>
      <c r="JC183" s="6056"/>
      <c r="JD183" s="6056"/>
      <c r="JE183" s="6056"/>
      <c r="JF183" s="6056"/>
      <c r="JG183" s="6056"/>
      <c r="JH183" s="6056"/>
      <c r="JI183" s="6058"/>
      <c r="JM183" s="6055"/>
      <c r="JN183" s="6056"/>
      <c r="JO183" s="6056"/>
      <c r="JP183" s="6056"/>
      <c r="JQ183" s="6056"/>
      <c r="JR183" s="6056"/>
      <c r="JS183" s="6056"/>
      <c r="JT183" s="6056"/>
      <c r="JU183" s="6056"/>
      <c r="JV183" s="6056"/>
      <c r="JW183" s="6056"/>
      <c r="JX183" s="6056"/>
      <c r="JY183" s="6056"/>
      <c r="JZ183" s="6056"/>
      <c r="KA183" s="6056"/>
      <c r="KB183" s="6056"/>
      <c r="KC183" s="6056"/>
      <c r="KD183" s="6056"/>
      <c r="KE183" s="6056"/>
      <c r="KF183" s="6056"/>
      <c r="KG183" s="6056"/>
      <c r="KH183" s="6056"/>
      <c r="KI183" s="6056"/>
      <c r="KJ183" s="6056"/>
      <c r="KK183" s="6056"/>
      <c r="KL183" s="6056"/>
      <c r="KM183" s="6056"/>
      <c r="KN183" s="6056"/>
      <c r="KO183" s="6056"/>
      <c r="KP183" s="6056"/>
      <c r="KQ183" s="6056"/>
      <c r="KR183" s="6056"/>
      <c r="KS183" s="6056"/>
      <c r="KT183" s="6056"/>
      <c r="KU183" s="6056"/>
      <c r="KV183" s="6056"/>
      <c r="KW183" s="6056"/>
      <c r="KX183" s="6056"/>
      <c r="KY183" s="6056"/>
      <c r="KZ183" s="6056"/>
      <c r="LA183" s="6056"/>
      <c r="LB183" s="6058"/>
      <c r="LF183" s="6055"/>
      <c r="LG183" s="6056"/>
      <c r="LH183" s="6056"/>
      <c r="LI183" s="6056"/>
      <c r="LJ183" s="6056"/>
      <c r="LK183" s="6056"/>
      <c r="LL183" s="6056"/>
      <c r="LM183" s="6056"/>
      <c r="LN183" s="6056"/>
      <c r="LO183" s="6056"/>
      <c r="LP183" s="6056"/>
      <c r="LQ183" s="6056"/>
      <c r="LR183" s="6056"/>
      <c r="LS183" s="6056"/>
      <c r="LT183" s="6056"/>
      <c r="LU183" s="6056"/>
      <c r="LV183" s="6056"/>
      <c r="LW183" s="6056"/>
      <c r="LX183" s="6056"/>
      <c r="LY183" s="6056"/>
      <c r="LZ183" s="6056"/>
      <c r="MA183" s="6056"/>
      <c r="MB183" s="6056"/>
      <c r="MC183" s="6056"/>
      <c r="MD183" s="6056"/>
      <c r="ME183" s="6056"/>
      <c r="MF183" s="6056"/>
      <c r="MG183" s="6056"/>
      <c r="MH183" s="6056"/>
      <c r="MI183" s="6056"/>
      <c r="MJ183" s="6056"/>
      <c r="MK183" s="6056"/>
      <c r="ML183" s="6056"/>
      <c r="MM183" s="6056"/>
      <c r="MN183" s="6056"/>
      <c r="MO183" s="6056"/>
      <c r="MP183" s="6056"/>
      <c r="MQ183" s="6056"/>
      <c r="MR183" s="6056"/>
      <c r="MS183" s="6056"/>
      <c r="MT183" s="6056"/>
      <c r="MU183" s="6058"/>
      <c r="MY183" s="6055"/>
      <c r="MZ183" s="6056"/>
      <c r="NA183" s="6056"/>
      <c r="NB183" s="6056"/>
      <c r="NC183" s="6056"/>
      <c r="ND183" s="6056"/>
      <c r="NE183" s="6056"/>
      <c r="NF183" s="6056"/>
      <c r="NG183" s="6056"/>
      <c r="NH183" s="6056"/>
      <c r="NI183" s="6056"/>
      <c r="NJ183" s="6056"/>
      <c r="NK183" s="6056"/>
      <c r="NL183" s="6056"/>
      <c r="NM183" s="6056"/>
      <c r="NN183" s="6056"/>
      <c r="NO183" s="6056"/>
      <c r="NP183" s="6056"/>
      <c r="NQ183" s="6056"/>
      <c r="NR183" s="6056"/>
      <c r="NS183" s="6056"/>
      <c r="NT183" s="6056"/>
      <c r="NU183" s="6056"/>
      <c r="NV183" s="6056"/>
      <c r="NW183" s="6056"/>
      <c r="NX183" s="6056"/>
      <c r="NY183" s="6056"/>
      <c r="NZ183" s="6056"/>
      <c r="OA183" s="6056"/>
      <c r="OB183" s="6056"/>
      <c r="OC183" s="6056"/>
      <c r="OD183" s="6056"/>
      <c r="OE183" s="6056"/>
      <c r="OF183" s="6056"/>
      <c r="OG183" s="6056"/>
      <c r="OH183" s="6056"/>
      <c r="OI183" s="6056"/>
      <c r="OJ183" s="6056"/>
      <c r="OK183" s="6056"/>
      <c r="OL183" s="6056"/>
      <c r="OM183" s="6056"/>
      <c r="ON183" s="6058"/>
    </row>
    <row r="184" spans="3:405" s="6063" customFormat="1" ht="12" customHeight="1" x14ac:dyDescent="0.2">
      <c r="C184" s="6059"/>
      <c r="D184" s="6060" t="str">
        <f>_Calcs!$N$77</f>
        <v>Faktor</v>
      </c>
      <c r="E184" s="6060"/>
      <c r="F184" s="6060"/>
      <c r="G184" s="6060"/>
      <c r="H184" s="6060"/>
      <c r="I184" s="6060"/>
      <c r="J184" s="6060"/>
      <c r="K184" s="6060"/>
      <c r="L184" s="6060"/>
      <c r="M184" s="6060"/>
      <c r="N184" s="6060"/>
      <c r="O184" s="6060"/>
      <c r="P184" s="6060"/>
      <c r="Q184" s="6060"/>
      <c r="R184" s="6060"/>
      <c r="S184" s="6060"/>
      <c r="T184" s="6060"/>
      <c r="U184" s="6060"/>
      <c r="V184" s="6060"/>
      <c r="W184" s="6060"/>
      <c r="X184" s="6060"/>
      <c r="Y184" s="6060"/>
      <c r="Z184" s="6060"/>
      <c r="AA184" s="6060"/>
      <c r="AB184" s="6060"/>
      <c r="AC184" s="6060"/>
      <c r="AD184" s="6060"/>
      <c r="AE184" s="6060"/>
      <c r="AF184" s="6060"/>
      <c r="AG184" s="6060"/>
      <c r="AH184" s="6060"/>
      <c r="AI184" s="6092"/>
      <c r="AJ184" s="6092"/>
      <c r="AK184" s="6092"/>
      <c r="AL184" s="6060"/>
      <c r="AM184" s="6060" t="str">
        <f>_Calcs!$N$81</f>
        <v>Påvirkning</v>
      </c>
      <c r="AN184" s="6060"/>
      <c r="AO184" s="6060"/>
      <c r="AP184" s="6060"/>
      <c r="AQ184" s="6060"/>
      <c r="AR184" s="6062"/>
      <c r="AV184" s="6059"/>
      <c r="AW184" s="6060" t="str">
        <f>_Calcs!$N$77</f>
        <v>Faktor</v>
      </c>
      <c r="AX184" s="6060"/>
      <c r="AY184" s="6060"/>
      <c r="AZ184" s="6060"/>
      <c r="BA184" s="6060"/>
      <c r="BB184" s="6060"/>
      <c r="BC184" s="6060"/>
      <c r="BD184" s="6060"/>
      <c r="BE184" s="6060"/>
      <c r="BF184" s="6060"/>
      <c r="BG184" s="6060"/>
      <c r="BH184" s="6060"/>
      <c r="BI184" s="6060"/>
      <c r="BJ184" s="6060"/>
      <c r="BK184" s="6060"/>
      <c r="BL184" s="6060"/>
      <c r="BM184" s="6060"/>
      <c r="BN184" s="6060"/>
      <c r="BO184" s="6060"/>
      <c r="BP184" s="6060"/>
      <c r="BQ184" s="6060"/>
      <c r="BR184" s="6060"/>
      <c r="BS184" s="6060"/>
      <c r="BT184" s="6060"/>
      <c r="BU184" s="6060"/>
      <c r="BV184" s="6060"/>
      <c r="BW184" s="6060"/>
      <c r="BX184" s="6060"/>
      <c r="BY184" s="6060"/>
      <c r="BZ184" s="6060"/>
      <c r="CA184" s="6060"/>
      <c r="CB184" s="6092"/>
      <c r="CC184" s="6092"/>
      <c r="CD184" s="6092"/>
      <c r="CE184" s="6060"/>
      <c r="CF184" s="6060" t="str">
        <f>_Calcs!$N$81</f>
        <v>Påvirkning</v>
      </c>
      <c r="CG184" s="6060"/>
      <c r="CH184" s="6060"/>
      <c r="CI184" s="6060"/>
      <c r="CJ184" s="6060"/>
      <c r="CK184" s="6062"/>
      <c r="CO184" s="6059"/>
      <c r="CP184" s="6060" t="str">
        <f>_Calcs!$N$77</f>
        <v>Faktor</v>
      </c>
      <c r="CQ184" s="6060"/>
      <c r="CR184" s="6060"/>
      <c r="CS184" s="6060"/>
      <c r="CT184" s="6060"/>
      <c r="CU184" s="6060"/>
      <c r="CV184" s="6060"/>
      <c r="CW184" s="6060"/>
      <c r="CX184" s="6060"/>
      <c r="CY184" s="6060"/>
      <c r="CZ184" s="6060"/>
      <c r="DA184" s="6060"/>
      <c r="DB184" s="6060"/>
      <c r="DC184" s="6060"/>
      <c r="DD184" s="6060"/>
      <c r="DE184" s="6060"/>
      <c r="DF184" s="6060"/>
      <c r="DG184" s="6060"/>
      <c r="DH184" s="6060"/>
      <c r="DI184" s="6060"/>
      <c r="DJ184" s="6060"/>
      <c r="DK184" s="6060"/>
      <c r="DL184" s="6060"/>
      <c r="DM184" s="6060"/>
      <c r="DN184" s="6060"/>
      <c r="DO184" s="6060"/>
      <c r="DP184" s="6060"/>
      <c r="DQ184" s="6060"/>
      <c r="DR184" s="6060"/>
      <c r="DS184" s="6060"/>
      <c r="DT184" s="6060"/>
      <c r="DU184" s="6092"/>
      <c r="DV184" s="6092"/>
      <c r="DW184" s="6092"/>
      <c r="DX184" s="6060"/>
      <c r="DY184" s="6060" t="str">
        <f>_Calcs!$N$81</f>
        <v>Påvirkning</v>
      </c>
      <c r="DZ184" s="6060"/>
      <c r="EA184" s="6060"/>
      <c r="EB184" s="6060"/>
      <c r="EC184" s="6060"/>
      <c r="ED184" s="6062"/>
      <c r="EH184" s="6059"/>
      <c r="EI184" s="6060" t="str">
        <f>_Calcs!$N$77</f>
        <v>Faktor</v>
      </c>
      <c r="EJ184" s="6060"/>
      <c r="EK184" s="6060"/>
      <c r="EL184" s="6060"/>
      <c r="EM184" s="6060"/>
      <c r="EN184" s="6060"/>
      <c r="EO184" s="6060"/>
      <c r="EP184" s="6060"/>
      <c r="EQ184" s="6060"/>
      <c r="ER184" s="6060"/>
      <c r="ES184" s="6060"/>
      <c r="ET184" s="6060"/>
      <c r="EU184" s="6060"/>
      <c r="EV184" s="6060"/>
      <c r="EW184" s="6060"/>
      <c r="EX184" s="6060"/>
      <c r="EY184" s="6060"/>
      <c r="EZ184" s="6060"/>
      <c r="FA184" s="6060"/>
      <c r="FB184" s="6060"/>
      <c r="FC184" s="6060"/>
      <c r="FD184" s="6060"/>
      <c r="FE184" s="6060"/>
      <c r="FF184" s="6060"/>
      <c r="FG184" s="6060"/>
      <c r="FH184" s="6060"/>
      <c r="FI184" s="6060"/>
      <c r="FJ184" s="6060"/>
      <c r="FK184" s="6060"/>
      <c r="FL184" s="6060"/>
      <c r="FM184" s="6060"/>
      <c r="FN184" s="6092"/>
      <c r="FO184" s="6092"/>
      <c r="FP184" s="6092"/>
      <c r="FQ184" s="6060"/>
      <c r="FR184" s="6060" t="str">
        <f>_Calcs!$N$81</f>
        <v>Påvirkning</v>
      </c>
      <c r="FS184" s="6060"/>
      <c r="FT184" s="6060"/>
      <c r="FU184" s="6060"/>
      <c r="FV184" s="6060"/>
      <c r="FW184" s="6062"/>
      <c r="GA184" s="6059"/>
      <c r="GB184" s="6060" t="str">
        <f>_Calcs!$N$77</f>
        <v>Faktor</v>
      </c>
      <c r="GC184" s="6060"/>
      <c r="GD184" s="6060"/>
      <c r="GE184" s="6060"/>
      <c r="GF184" s="6060"/>
      <c r="GG184" s="6060"/>
      <c r="GH184" s="6060"/>
      <c r="GI184" s="6060"/>
      <c r="GJ184" s="6060"/>
      <c r="GK184" s="6060"/>
      <c r="GL184" s="6060"/>
      <c r="GM184" s="6060"/>
      <c r="GN184" s="6060"/>
      <c r="GO184" s="6060"/>
      <c r="GP184" s="6060"/>
      <c r="GQ184" s="6060"/>
      <c r="GR184" s="6060"/>
      <c r="GS184" s="6060"/>
      <c r="GT184" s="6060"/>
      <c r="GU184" s="6060"/>
      <c r="GV184" s="6060"/>
      <c r="GW184" s="6060"/>
      <c r="GX184" s="6060"/>
      <c r="GY184" s="6060"/>
      <c r="GZ184" s="6060"/>
      <c r="HA184" s="6060"/>
      <c r="HB184" s="6060"/>
      <c r="HC184" s="6060"/>
      <c r="HD184" s="6060"/>
      <c r="HE184" s="6060"/>
      <c r="HF184" s="6060"/>
      <c r="HG184" s="6092"/>
      <c r="HH184" s="6092"/>
      <c r="HI184" s="6092"/>
      <c r="HJ184" s="6060"/>
      <c r="HK184" s="6060" t="str">
        <f>_Calcs!$N$81</f>
        <v>Påvirkning</v>
      </c>
      <c r="HL184" s="6060"/>
      <c r="HM184" s="6060"/>
      <c r="HN184" s="6060"/>
      <c r="HO184" s="6060"/>
      <c r="HP184" s="6062"/>
      <c r="HT184" s="6059"/>
      <c r="HU184" s="6060" t="str">
        <f>_Calcs!$N$77</f>
        <v>Faktor</v>
      </c>
      <c r="HV184" s="6060"/>
      <c r="HW184" s="6060"/>
      <c r="HX184" s="6060"/>
      <c r="HY184" s="6060"/>
      <c r="HZ184" s="6060"/>
      <c r="IA184" s="6060"/>
      <c r="IB184" s="6060"/>
      <c r="IC184" s="6060"/>
      <c r="ID184" s="6060"/>
      <c r="IE184" s="6060"/>
      <c r="IF184" s="6060"/>
      <c r="IG184" s="6060"/>
      <c r="IH184" s="6060"/>
      <c r="II184" s="6060"/>
      <c r="IJ184" s="6060"/>
      <c r="IK184" s="6060"/>
      <c r="IL184" s="6060"/>
      <c r="IM184" s="6060"/>
      <c r="IN184" s="6060"/>
      <c r="IO184" s="6060"/>
      <c r="IP184" s="6060"/>
      <c r="IQ184" s="6060"/>
      <c r="IR184" s="6060"/>
      <c r="IS184" s="6060"/>
      <c r="IT184" s="6060"/>
      <c r="IU184" s="6060"/>
      <c r="IV184" s="6060"/>
      <c r="IW184" s="6060"/>
      <c r="IX184" s="6060"/>
      <c r="IY184" s="6060"/>
      <c r="IZ184" s="6092"/>
      <c r="JA184" s="6092"/>
      <c r="JB184" s="6092"/>
      <c r="JC184" s="6060"/>
      <c r="JD184" s="6060" t="str">
        <f>_Calcs!$N$81</f>
        <v>Påvirkning</v>
      </c>
      <c r="JE184" s="6060"/>
      <c r="JF184" s="6060"/>
      <c r="JG184" s="6060"/>
      <c r="JH184" s="6060"/>
      <c r="JI184" s="6062"/>
      <c r="JM184" s="6059"/>
      <c r="JN184" s="6060" t="str">
        <f>_Calcs!$N$77</f>
        <v>Faktor</v>
      </c>
      <c r="JO184" s="6060"/>
      <c r="JP184" s="6060"/>
      <c r="JQ184" s="6060"/>
      <c r="JR184" s="6060"/>
      <c r="JS184" s="6060"/>
      <c r="JT184" s="6060"/>
      <c r="JU184" s="6060"/>
      <c r="JV184" s="6060"/>
      <c r="JW184" s="6060"/>
      <c r="JX184" s="6060"/>
      <c r="JY184" s="6060"/>
      <c r="JZ184" s="6060"/>
      <c r="KA184" s="6060"/>
      <c r="KB184" s="6060"/>
      <c r="KC184" s="6060"/>
      <c r="KD184" s="6060"/>
      <c r="KE184" s="6060"/>
      <c r="KF184" s="6060"/>
      <c r="KG184" s="6060"/>
      <c r="KH184" s="6060"/>
      <c r="KI184" s="6060"/>
      <c r="KJ184" s="6060"/>
      <c r="KK184" s="6060"/>
      <c r="KL184" s="6060"/>
      <c r="KM184" s="6060"/>
      <c r="KN184" s="6060"/>
      <c r="KO184" s="6060"/>
      <c r="KP184" s="6060"/>
      <c r="KQ184" s="6060"/>
      <c r="KR184" s="6060"/>
      <c r="KS184" s="6092"/>
      <c r="KT184" s="6092"/>
      <c r="KU184" s="6092"/>
      <c r="KV184" s="6060"/>
      <c r="KW184" s="6060" t="str">
        <f>_Calcs!$N$81</f>
        <v>Påvirkning</v>
      </c>
      <c r="KX184" s="6060"/>
      <c r="KY184" s="6060"/>
      <c r="KZ184" s="6060"/>
      <c r="LA184" s="6060"/>
      <c r="LB184" s="6062"/>
      <c r="LF184" s="6059"/>
      <c r="LG184" s="6060" t="str">
        <f>_Calcs!$N$77</f>
        <v>Faktor</v>
      </c>
      <c r="LH184" s="6060"/>
      <c r="LI184" s="6060"/>
      <c r="LJ184" s="6060"/>
      <c r="LK184" s="6060"/>
      <c r="LL184" s="6060"/>
      <c r="LM184" s="6060"/>
      <c r="LN184" s="6060"/>
      <c r="LO184" s="6060"/>
      <c r="LP184" s="6060"/>
      <c r="LQ184" s="6060"/>
      <c r="LR184" s="6060"/>
      <c r="LS184" s="6060"/>
      <c r="LT184" s="6060"/>
      <c r="LU184" s="6060"/>
      <c r="LV184" s="6060"/>
      <c r="LW184" s="6060"/>
      <c r="LX184" s="6060"/>
      <c r="LY184" s="6060"/>
      <c r="LZ184" s="6060"/>
      <c r="MA184" s="6060"/>
      <c r="MB184" s="6060"/>
      <c r="MC184" s="6060"/>
      <c r="MD184" s="6060"/>
      <c r="ME184" s="6060"/>
      <c r="MF184" s="6060"/>
      <c r="MG184" s="6060"/>
      <c r="MH184" s="6060"/>
      <c r="MI184" s="6060"/>
      <c r="MJ184" s="6060"/>
      <c r="MK184" s="6060"/>
      <c r="ML184" s="6092"/>
      <c r="MM184" s="6092"/>
      <c r="MN184" s="6092"/>
      <c r="MO184" s="6060"/>
      <c r="MP184" s="6060" t="str">
        <f>_Calcs!$N$81</f>
        <v>Påvirkning</v>
      </c>
      <c r="MQ184" s="6060"/>
      <c r="MR184" s="6060"/>
      <c r="MS184" s="6060"/>
      <c r="MT184" s="6060"/>
      <c r="MU184" s="6062"/>
      <c r="MY184" s="6059"/>
      <c r="MZ184" s="6060" t="str">
        <f>_Calcs!$N$77</f>
        <v>Faktor</v>
      </c>
      <c r="NA184" s="6060"/>
      <c r="NB184" s="6060"/>
      <c r="NC184" s="6060"/>
      <c r="ND184" s="6060"/>
      <c r="NE184" s="6060"/>
      <c r="NF184" s="6060"/>
      <c r="NG184" s="6060"/>
      <c r="NH184" s="6060"/>
      <c r="NI184" s="6060"/>
      <c r="NJ184" s="6060"/>
      <c r="NK184" s="6060"/>
      <c r="NL184" s="6060"/>
      <c r="NM184" s="6060"/>
      <c r="NN184" s="6060"/>
      <c r="NO184" s="6060"/>
      <c r="NP184" s="6060"/>
      <c r="NQ184" s="6060"/>
      <c r="NR184" s="6060"/>
      <c r="NS184" s="6060"/>
      <c r="NT184" s="6060"/>
      <c r="NU184" s="6060"/>
      <c r="NV184" s="6060"/>
      <c r="NW184" s="6060"/>
      <c r="NX184" s="6060"/>
      <c r="NY184" s="6060"/>
      <c r="NZ184" s="6060"/>
      <c r="OA184" s="6060"/>
      <c r="OB184" s="6060"/>
      <c r="OC184" s="6060"/>
      <c r="OD184" s="6060"/>
      <c r="OE184" s="6092"/>
      <c r="OF184" s="6092"/>
      <c r="OG184" s="6092"/>
      <c r="OH184" s="6060"/>
      <c r="OI184" s="6060" t="str">
        <f>_Calcs!$N$81</f>
        <v>Påvirkning</v>
      </c>
      <c r="OJ184" s="6060"/>
      <c r="OK184" s="6060"/>
      <c r="OL184" s="6060"/>
      <c r="OM184" s="6060"/>
      <c r="ON184" s="6062"/>
    </row>
    <row r="185" spans="3:405" ht="5.0999999999999996" customHeight="1" thickBot="1" x14ac:dyDescent="0.25">
      <c r="C185" s="6055"/>
      <c r="D185" s="6056"/>
      <c r="E185" s="6056"/>
      <c r="F185" s="6056"/>
      <c r="G185" s="6056"/>
      <c r="H185" s="6056"/>
      <c r="I185" s="6056"/>
      <c r="J185" s="6056"/>
      <c r="K185" s="6056"/>
      <c r="L185" s="6056"/>
      <c r="M185" s="6056"/>
      <c r="N185" s="6056"/>
      <c r="O185" s="6056"/>
      <c r="P185" s="6056"/>
      <c r="Q185" s="6056"/>
      <c r="R185" s="6056"/>
      <c r="S185" s="6056"/>
      <c r="T185" s="6056"/>
      <c r="U185" s="6056"/>
      <c r="V185" s="6056"/>
      <c r="W185" s="6056"/>
      <c r="X185" s="6056"/>
      <c r="Y185" s="6056"/>
      <c r="Z185" s="6056"/>
      <c r="AA185" s="6056"/>
      <c r="AB185" s="6056"/>
      <c r="AC185" s="6056"/>
      <c r="AD185" s="6056"/>
      <c r="AE185" s="6056"/>
      <c r="AF185" s="6056"/>
      <c r="AG185" s="6056"/>
      <c r="AH185" s="6056"/>
      <c r="AI185" s="6061"/>
      <c r="AJ185" s="6061"/>
      <c r="AK185" s="6061"/>
      <c r="AL185" s="6056"/>
      <c r="AM185" s="6056"/>
      <c r="AN185" s="6056"/>
      <c r="AO185" s="6056"/>
      <c r="AP185" s="6056"/>
      <c r="AQ185" s="6056"/>
      <c r="AR185" s="6058"/>
      <c r="AV185" s="6055"/>
      <c r="AW185" s="6056"/>
      <c r="AX185" s="6056"/>
      <c r="AY185" s="6056"/>
      <c r="AZ185" s="6056"/>
      <c r="BA185" s="6056"/>
      <c r="BB185" s="6056"/>
      <c r="BC185" s="6056"/>
      <c r="BD185" s="6056"/>
      <c r="BE185" s="6056"/>
      <c r="BF185" s="6056"/>
      <c r="BG185" s="6056"/>
      <c r="BH185" s="6056"/>
      <c r="BI185" s="6056"/>
      <c r="BJ185" s="6056"/>
      <c r="BK185" s="6056"/>
      <c r="BL185" s="6056"/>
      <c r="BM185" s="6056"/>
      <c r="BN185" s="6056"/>
      <c r="BO185" s="6056"/>
      <c r="BP185" s="6056"/>
      <c r="BQ185" s="6056"/>
      <c r="BR185" s="6056"/>
      <c r="BS185" s="6056"/>
      <c r="BT185" s="6056"/>
      <c r="BU185" s="6056"/>
      <c r="BV185" s="6056"/>
      <c r="BW185" s="6056"/>
      <c r="BX185" s="6056"/>
      <c r="BY185" s="6056"/>
      <c r="BZ185" s="6056"/>
      <c r="CA185" s="6056"/>
      <c r="CB185" s="6061"/>
      <c r="CC185" s="6061"/>
      <c r="CD185" s="6061"/>
      <c r="CE185" s="6056"/>
      <c r="CF185" s="6056"/>
      <c r="CG185" s="6056"/>
      <c r="CH185" s="6056"/>
      <c r="CI185" s="6056"/>
      <c r="CJ185" s="6056"/>
      <c r="CK185" s="6058"/>
      <c r="CO185" s="6055"/>
      <c r="CP185" s="6056"/>
      <c r="CQ185" s="6056"/>
      <c r="CR185" s="6056"/>
      <c r="CS185" s="6056"/>
      <c r="CT185" s="6056"/>
      <c r="CU185" s="6056"/>
      <c r="CV185" s="6056"/>
      <c r="CW185" s="6056"/>
      <c r="CX185" s="6056"/>
      <c r="CY185" s="6056"/>
      <c r="CZ185" s="6056"/>
      <c r="DA185" s="6056"/>
      <c r="DB185" s="6056"/>
      <c r="DC185" s="6056"/>
      <c r="DD185" s="6056"/>
      <c r="DE185" s="6056"/>
      <c r="DF185" s="6056"/>
      <c r="DG185" s="6056"/>
      <c r="DH185" s="6056"/>
      <c r="DI185" s="6056"/>
      <c r="DJ185" s="6056"/>
      <c r="DK185" s="6056"/>
      <c r="DL185" s="6056"/>
      <c r="DM185" s="6056"/>
      <c r="DN185" s="6056"/>
      <c r="DO185" s="6056"/>
      <c r="DP185" s="6056"/>
      <c r="DQ185" s="6056"/>
      <c r="DR185" s="6056"/>
      <c r="DS185" s="6056"/>
      <c r="DT185" s="6056"/>
      <c r="DU185" s="6061"/>
      <c r="DV185" s="6061"/>
      <c r="DW185" s="6061"/>
      <c r="DX185" s="6056"/>
      <c r="DY185" s="6056"/>
      <c r="DZ185" s="6056"/>
      <c r="EA185" s="6056"/>
      <c r="EB185" s="6056"/>
      <c r="EC185" s="6056"/>
      <c r="ED185" s="6058"/>
      <c r="EH185" s="6055"/>
      <c r="EI185" s="6056"/>
      <c r="EJ185" s="6056"/>
      <c r="EK185" s="6056"/>
      <c r="EL185" s="6056"/>
      <c r="EM185" s="6056"/>
      <c r="EN185" s="6056"/>
      <c r="EO185" s="6056"/>
      <c r="EP185" s="6056"/>
      <c r="EQ185" s="6056"/>
      <c r="ER185" s="6056"/>
      <c r="ES185" s="6056"/>
      <c r="ET185" s="6056"/>
      <c r="EU185" s="6056"/>
      <c r="EV185" s="6056"/>
      <c r="EW185" s="6056"/>
      <c r="EX185" s="6056"/>
      <c r="EY185" s="6056"/>
      <c r="EZ185" s="6056"/>
      <c r="FA185" s="6056"/>
      <c r="FB185" s="6056"/>
      <c r="FC185" s="6056"/>
      <c r="FD185" s="6056"/>
      <c r="FE185" s="6056"/>
      <c r="FF185" s="6056"/>
      <c r="FG185" s="6056"/>
      <c r="FH185" s="6056"/>
      <c r="FI185" s="6056"/>
      <c r="FJ185" s="6056"/>
      <c r="FK185" s="6056"/>
      <c r="FL185" s="6056"/>
      <c r="FM185" s="6056"/>
      <c r="FN185" s="6061"/>
      <c r="FO185" s="6061"/>
      <c r="FP185" s="6061"/>
      <c r="FQ185" s="6056"/>
      <c r="FR185" s="6056"/>
      <c r="FS185" s="6056"/>
      <c r="FT185" s="6056"/>
      <c r="FU185" s="6056"/>
      <c r="FV185" s="6056"/>
      <c r="FW185" s="6058"/>
      <c r="GA185" s="6055"/>
      <c r="GB185" s="6056"/>
      <c r="GC185" s="6056"/>
      <c r="GD185" s="6056"/>
      <c r="GE185" s="6056"/>
      <c r="GF185" s="6056"/>
      <c r="GG185" s="6056"/>
      <c r="GH185" s="6056"/>
      <c r="GI185" s="6056"/>
      <c r="GJ185" s="6056"/>
      <c r="GK185" s="6056"/>
      <c r="GL185" s="6056"/>
      <c r="GM185" s="6056"/>
      <c r="GN185" s="6056"/>
      <c r="GO185" s="6056"/>
      <c r="GP185" s="6056"/>
      <c r="GQ185" s="6056"/>
      <c r="GR185" s="6056"/>
      <c r="GS185" s="6056"/>
      <c r="GT185" s="6056"/>
      <c r="GU185" s="6056"/>
      <c r="GV185" s="6056"/>
      <c r="GW185" s="6056"/>
      <c r="GX185" s="6056"/>
      <c r="GY185" s="6056"/>
      <c r="GZ185" s="6056"/>
      <c r="HA185" s="6056"/>
      <c r="HB185" s="6056"/>
      <c r="HC185" s="6056"/>
      <c r="HD185" s="6056"/>
      <c r="HE185" s="6056"/>
      <c r="HF185" s="6056"/>
      <c r="HG185" s="6061"/>
      <c r="HH185" s="6061"/>
      <c r="HI185" s="6061"/>
      <c r="HJ185" s="6056"/>
      <c r="HK185" s="6056"/>
      <c r="HL185" s="6056"/>
      <c r="HM185" s="6056"/>
      <c r="HN185" s="6056"/>
      <c r="HO185" s="6056"/>
      <c r="HP185" s="6058"/>
      <c r="HT185" s="6055"/>
      <c r="HU185" s="6056"/>
      <c r="HV185" s="6056"/>
      <c r="HW185" s="6056"/>
      <c r="HX185" s="6056"/>
      <c r="HY185" s="6056"/>
      <c r="HZ185" s="6056"/>
      <c r="IA185" s="6056"/>
      <c r="IB185" s="6056"/>
      <c r="IC185" s="6056"/>
      <c r="ID185" s="6056"/>
      <c r="IE185" s="6056"/>
      <c r="IF185" s="6056"/>
      <c r="IG185" s="6056"/>
      <c r="IH185" s="6056"/>
      <c r="II185" s="6056"/>
      <c r="IJ185" s="6056"/>
      <c r="IK185" s="6056"/>
      <c r="IL185" s="6056"/>
      <c r="IM185" s="6056"/>
      <c r="IN185" s="6056"/>
      <c r="IO185" s="6056"/>
      <c r="IP185" s="6056"/>
      <c r="IQ185" s="6056"/>
      <c r="IR185" s="6056"/>
      <c r="IS185" s="6056"/>
      <c r="IT185" s="6056"/>
      <c r="IU185" s="6056"/>
      <c r="IV185" s="6056"/>
      <c r="IW185" s="6056"/>
      <c r="IX185" s="6056"/>
      <c r="IY185" s="6056"/>
      <c r="IZ185" s="6061"/>
      <c r="JA185" s="6061"/>
      <c r="JB185" s="6061"/>
      <c r="JC185" s="6056"/>
      <c r="JD185" s="6056"/>
      <c r="JE185" s="6056"/>
      <c r="JF185" s="6056"/>
      <c r="JG185" s="6056"/>
      <c r="JH185" s="6056"/>
      <c r="JI185" s="6058"/>
      <c r="JM185" s="6055"/>
      <c r="JN185" s="6056"/>
      <c r="JO185" s="6056"/>
      <c r="JP185" s="6056"/>
      <c r="JQ185" s="6056"/>
      <c r="JR185" s="6056"/>
      <c r="JS185" s="6056"/>
      <c r="JT185" s="6056"/>
      <c r="JU185" s="6056"/>
      <c r="JV185" s="6056"/>
      <c r="JW185" s="6056"/>
      <c r="JX185" s="6056"/>
      <c r="JY185" s="6056"/>
      <c r="JZ185" s="6056"/>
      <c r="KA185" s="6056"/>
      <c r="KB185" s="6056"/>
      <c r="KC185" s="6056"/>
      <c r="KD185" s="6056"/>
      <c r="KE185" s="6056"/>
      <c r="KF185" s="6056"/>
      <c r="KG185" s="6056"/>
      <c r="KH185" s="6056"/>
      <c r="KI185" s="6056"/>
      <c r="KJ185" s="6056"/>
      <c r="KK185" s="6056"/>
      <c r="KL185" s="6056"/>
      <c r="KM185" s="6056"/>
      <c r="KN185" s="6056"/>
      <c r="KO185" s="6056"/>
      <c r="KP185" s="6056"/>
      <c r="KQ185" s="6056"/>
      <c r="KR185" s="6056"/>
      <c r="KS185" s="6061"/>
      <c r="KT185" s="6061"/>
      <c r="KU185" s="6061"/>
      <c r="KV185" s="6056"/>
      <c r="KW185" s="6056"/>
      <c r="KX185" s="6056"/>
      <c r="KY185" s="6056"/>
      <c r="KZ185" s="6056"/>
      <c r="LA185" s="6056"/>
      <c r="LB185" s="6058"/>
      <c r="LF185" s="6055"/>
      <c r="LG185" s="6056"/>
      <c r="LH185" s="6056"/>
      <c r="LI185" s="6056"/>
      <c r="LJ185" s="6056"/>
      <c r="LK185" s="6056"/>
      <c r="LL185" s="6056"/>
      <c r="LM185" s="6056"/>
      <c r="LN185" s="6056"/>
      <c r="LO185" s="6056"/>
      <c r="LP185" s="6056"/>
      <c r="LQ185" s="6056"/>
      <c r="LR185" s="6056"/>
      <c r="LS185" s="6056"/>
      <c r="LT185" s="6056"/>
      <c r="LU185" s="6056"/>
      <c r="LV185" s="6056"/>
      <c r="LW185" s="6056"/>
      <c r="LX185" s="6056"/>
      <c r="LY185" s="6056"/>
      <c r="LZ185" s="6056"/>
      <c r="MA185" s="6056"/>
      <c r="MB185" s="6056"/>
      <c r="MC185" s="6056"/>
      <c r="MD185" s="6056"/>
      <c r="ME185" s="6056"/>
      <c r="MF185" s="6056"/>
      <c r="MG185" s="6056"/>
      <c r="MH185" s="6056"/>
      <c r="MI185" s="6056"/>
      <c r="MJ185" s="6056"/>
      <c r="MK185" s="6056"/>
      <c r="ML185" s="6061"/>
      <c r="MM185" s="6061"/>
      <c r="MN185" s="6061"/>
      <c r="MO185" s="6056"/>
      <c r="MP185" s="6056"/>
      <c r="MQ185" s="6056"/>
      <c r="MR185" s="6056"/>
      <c r="MS185" s="6056"/>
      <c r="MT185" s="6056"/>
      <c r="MU185" s="6058"/>
      <c r="MY185" s="6055"/>
      <c r="MZ185" s="6056"/>
      <c r="NA185" s="6056"/>
      <c r="NB185" s="6056"/>
      <c r="NC185" s="6056"/>
      <c r="ND185" s="6056"/>
      <c r="NE185" s="6056"/>
      <c r="NF185" s="6056"/>
      <c r="NG185" s="6056"/>
      <c r="NH185" s="6056"/>
      <c r="NI185" s="6056"/>
      <c r="NJ185" s="6056"/>
      <c r="NK185" s="6056"/>
      <c r="NL185" s="6056"/>
      <c r="NM185" s="6056"/>
      <c r="NN185" s="6056"/>
      <c r="NO185" s="6056"/>
      <c r="NP185" s="6056"/>
      <c r="NQ185" s="6056"/>
      <c r="NR185" s="6056"/>
      <c r="NS185" s="6056"/>
      <c r="NT185" s="6056"/>
      <c r="NU185" s="6056"/>
      <c r="NV185" s="6056"/>
      <c r="NW185" s="6056"/>
      <c r="NX185" s="6056"/>
      <c r="NY185" s="6056"/>
      <c r="NZ185" s="6056"/>
      <c r="OA185" s="6056"/>
      <c r="OB185" s="6056"/>
      <c r="OC185" s="6056"/>
      <c r="OD185" s="6056"/>
      <c r="OE185" s="6061"/>
      <c r="OF185" s="6061"/>
      <c r="OG185" s="6061"/>
      <c r="OH185" s="6056"/>
      <c r="OI185" s="6056"/>
      <c r="OJ185" s="6056"/>
      <c r="OK185" s="6056"/>
      <c r="OL185" s="6056"/>
      <c r="OM185" s="6056"/>
      <c r="ON185" s="6058"/>
    </row>
    <row r="186" spans="3:405" s="6070" customFormat="1" ht="20.100000000000001" customHeight="1" thickBot="1" x14ac:dyDescent="0.25">
      <c r="C186" s="6064"/>
      <c r="D186" s="6093"/>
      <c r="E186" s="6784" t="str">
        <f>_Calcs!$IK$162</f>
        <v>Sprengingsvibrasjoner</v>
      </c>
      <c r="F186" s="6784"/>
      <c r="G186" s="6784"/>
      <c r="H186" s="6784"/>
      <c r="I186" s="6784"/>
      <c r="J186" s="6784"/>
      <c r="K186" s="6784"/>
      <c r="L186" s="6784"/>
      <c r="M186" s="6784"/>
      <c r="N186" s="6784"/>
      <c r="O186" s="6784"/>
      <c r="P186" s="6784"/>
      <c r="Q186" s="6784"/>
      <c r="R186" s="6784"/>
      <c r="S186" s="6784"/>
      <c r="T186" s="6784"/>
      <c r="U186" s="6784"/>
      <c r="V186" s="6784"/>
      <c r="W186" s="6094"/>
      <c r="X186" s="6095"/>
      <c r="Y186" s="6095"/>
      <c r="Z186" s="6095"/>
      <c r="AA186" s="6095"/>
      <c r="AB186" s="6095"/>
      <c r="AC186" s="6095"/>
      <c r="AD186" s="6095"/>
      <c r="AE186" s="6095"/>
      <c r="AF186" s="6095"/>
      <c r="AG186" s="6095"/>
      <c r="AH186" s="6095"/>
      <c r="AI186" s="6061"/>
      <c r="AJ186" s="6061"/>
      <c r="AK186" s="6061"/>
      <c r="AL186" s="6068"/>
      <c r="AM186" s="6096"/>
      <c r="AN186" s="6780" t="str">
        <f>_Calcs!$IK$163</f>
        <v>Nei</v>
      </c>
      <c r="AO186" s="6780"/>
      <c r="AP186" s="6780"/>
      <c r="AQ186" s="6097"/>
      <c r="AR186" s="6098"/>
      <c r="AV186" s="6064"/>
      <c r="AW186" s="6093"/>
      <c r="AX186" s="6784" t="str">
        <f>_Calcs!$IL$162</f>
        <v>Sprengingsvibrasjoner</v>
      </c>
      <c r="AY186" s="6784"/>
      <c r="AZ186" s="6784"/>
      <c r="BA186" s="6784"/>
      <c r="BB186" s="6784"/>
      <c r="BC186" s="6784"/>
      <c r="BD186" s="6784"/>
      <c r="BE186" s="6784"/>
      <c r="BF186" s="6784"/>
      <c r="BG186" s="6784"/>
      <c r="BH186" s="6784"/>
      <c r="BI186" s="6784"/>
      <c r="BJ186" s="6784"/>
      <c r="BK186" s="6784"/>
      <c r="BL186" s="6784"/>
      <c r="BM186" s="6784"/>
      <c r="BN186" s="6784"/>
      <c r="BO186" s="6784"/>
      <c r="BP186" s="6094"/>
      <c r="BQ186" s="6095"/>
      <c r="BR186" s="6095"/>
      <c r="BS186" s="6095"/>
      <c r="BT186" s="6095"/>
      <c r="BU186" s="6095"/>
      <c r="BV186" s="6095"/>
      <c r="BW186" s="6095"/>
      <c r="BX186" s="6095"/>
      <c r="BY186" s="6095"/>
      <c r="BZ186" s="6095"/>
      <c r="CA186" s="6095"/>
      <c r="CB186" s="6061"/>
      <c r="CC186" s="6061"/>
      <c r="CD186" s="6061"/>
      <c r="CE186" s="6068"/>
      <c r="CF186" s="6096"/>
      <c r="CG186" s="6780" t="str">
        <f>_Calcs!$IL$163</f>
        <v>Nei</v>
      </c>
      <c r="CH186" s="6780"/>
      <c r="CI186" s="6780"/>
      <c r="CJ186" s="6097"/>
      <c r="CK186" s="6098"/>
      <c r="CO186" s="6064"/>
      <c r="CP186" s="6093"/>
      <c r="CQ186" s="6784" t="str">
        <f>_Calcs!$IM$162</f>
        <v>Sprengingsvibrasjoner</v>
      </c>
      <c r="CR186" s="6784"/>
      <c r="CS186" s="6784"/>
      <c r="CT186" s="6784"/>
      <c r="CU186" s="6784"/>
      <c r="CV186" s="6784"/>
      <c r="CW186" s="6784"/>
      <c r="CX186" s="6784"/>
      <c r="CY186" s="6784"/>
      <c r="CZ186" s="6784"/>
      <c r="DA186" s="6784"/>
      <c r="DB186" s="6784"/>
      <c r="DC186" s="6784"/>
      <c r="DD186" s="6784"/>
      <c r="DE186" s="6784"/>
      <c r="DF186" s="6784"/>
      <c r="DG186" s="6784"/>
      <c r="DH186" s="6784"/>
      <c r="DI186" s="6094"/>
      <c r="DJ186" s="6095"/>
      <c r="DK186" s="6095"/>
      <c r="DL186" s="6095"/>
      <c r="DM186" s="6095"/>
      <c r="DN186" s="6095"/>
      <c r="DO186" s="6095"/>
      <c r="DP186" s="6095"/>
      <c r="DQ186" s="6095"/>
      <c r="DR186" s="6095"/>
      <c r="DS186" s="6095"/>
      <c r="DT186" s="6095"/>
      <c r="DU186" s="6061"/>
      <c r="DV186" s="6061"/>
      <c r="DW186" s="6061"/>
      <c r="DX186" s="6068"/>
      <c r="DY186" s="6096"/>
      <c r="DZ186" s="6780" t="str">
        <f>_Calcs!$IM$163</f>
        <v>Nei</v>
      </c>
      <c r="EA186" s="6780"/>
      <c r="EB186" s="6780"/>
      <c r="EC186" s="6097"/>
      <c r="ED186" s="6098"/>
      <c r="EH186" s="6064"/>
      <c r="EI186" s="6093"/>
      <c r="EJ186" s="6784" t="str">
        <f>_Calcs!$IN$162</f>
        <v>Sprengingsvibrasjoner</v>
      </c>
      <c r="EK186" s="6784"/>
      <c r="EL186" s="6784"/>
      <c r="EM186" s="6784"/>
      <c r="EN186" s="6784"/>
      <c r="EO186" s="6784"/>
      <c r="EP186" s="6784"/>
      <c r="EQ186" s="6784"/>
      <c r="ER186" s="6784"/>
      <c r="ES186" s="6784"/>
      <c r="ET186" s="6784"/>
      <c r="EU186" s="6784"/>
      <c r="EV186" s="6784"/>
      <c r="EW186" s="6784"/>
      <c r="EX186" s="6784"/>
      <c r="EY186" s="6784"/>
      <c r="EZ186" s="6784"/>
      <c r="FA186" s="6784"/>
      <c r="FB186" s="6094"/>
      <c r="FC186" s="6095"/>
      <c r="FD186" s="6095"/>
      <c r="FE186" s="6095"/>
      <c r="FF186" s="6095"/>
      <c r="FG186" s="6095"/>
      <c r="FH186" s="6095"/>
      <c r="FI186" s="6095"/>
      <c r="FJ186" s="6095"/>
      <c r="FK186" s="6095"/>
      <c r="FL186" s="6095"/>
      <c r="FM186" s="6095"/>
      <c r="FN186" s="6061"/>
      <c r="FO186" s="6061"/>
      <c r="FP186" s="6061"/>
      <c r="FQ186" s="6068"/>
      <c r="FR186" s="6096"/>
      <c r="FS186" s="6780" t="str">
        <f>_Calcs!$IN$163</f>
        <v>Nei</v>
      </c>
      <c r="FT186" s="6780"/>
      <c r="FU186" s="6780"/>
      <c r="FV186" s="6097"/>
      <c r="FW186" s="6098"/>
      <c r="GA186" s="6064"/>
      <c r="GB186" s="6093"/>
      <c r="GC186" s="6784" t="str">
        <f>_Calcs!$IO$162</f>
        <v>Sprengingsvibrasjoner</v>
      </c>
      <c r="GD186" s="6784"/>
      <c r="GE186" s="6784"/>
      <c r="GF186" s="6784"/>
      <c r="GG186" s="6784"/>
      <c r="GH186" s="6784"/>
      <c r="GI186" s="6784"/>
      <c r="GJ186" s="6784"/>
      <c r="GK186" s="6784"/>
      <c r="GL186" s="6784"/>
      <c r="GM186" s="6784"/>
      <c r="GN186" s="6784"/>
      <c r="GO186" s="6784"/>
      <c r="GP186" s="6784"/>
      <c r="GQ186" s="6784"/>
      <c r="GR186" s="6784"/>
      <c r="GS186" s="6784"/>
      <c r="GT186" s="6784"/>
      <c r="GU186" s="6094"/>
      <c r="GV186" s="6095"/>
      <c r="GW186" s="6095"/>
      <c r="GX186" s="6095"/>
      <c r="GY186" s="6095"/>
      <c r="GZ186" s="6095"/>
      <c r="HA186" s="6095"/>
      <c r="HB186" s="6095"/>
      <c r="HC186" s="6095"/>
      <c r="HD186" s="6095"/>
      <c r="HE186" s="6095"/>
      <c r="HF186" s="6095"/>
      <c r="HG186" s="6061"/>
      <c r="HH186" s="6061"/>
      <c r="HI186" s="6061"/>
      <c r="HJ186" s="6068"/>
      <c r="HK186" s="6096"/>
      <c r="HL186" s="6780" t="str">
        <f>_Calcs!$IO$163</f>
        <v>Nei</v>
      </c>
      <c r="HM186" s="6780"/>
      <c r="HN186" s="6780"/>
      <c r="HO186" s="6097"/>
      <c r="HP186" s="6098"/>
      <c r="HT186" s="6064"/>
      <c r="HU186" s="6093"/>
      <c r="HV186" s="6784" t="str">
        <f>_Calcs!$IP$162</f>
        <v>Sprengingsvibrasjoner</v>
      </c>
      <c r="HW186" s="6784"/>
      <c r="HX186" s="6784"/>
      <c r="HY186" s="6784"/>
      <c r="HZ186" s="6784"/>
      <c r="IA186" s="6784"/>
      <c r="IB186" s="6784"/>
      <c r="IC186" s="6784"/>
      <c r="ID186" s="6784"/>
      <c r="IE186" s="6784"/>
      <c r="IF186" s="6784"/>
      <c r="IG186" s="6784"/>
      <c r="IH186" s="6784"/>
      <c r="II186" s="6784"/>
      <c r="IJ186" s="6784"/>
      <c r="IK186" s="6784"/>
      <c r="IL186" s="6784"/>
      <c r="IM186" s="6784"/>
      <c r="IN186" s="6094"/>
      <c r="IO186" s="6095"/>
      <c r="IP186" s="6095"/>
      <c r="IQ186" s="6095"/>
      <c r="IR186" s="6095"/>
      <c r="IS186" s="6095"/>
      <c r="IT186" s="6095"/>
      <c r="IU186" s="6095"/>
      <c r="IV186" s="6095"/>
      <c r="IW186" s="6095"/>
      <c r="IX186" s="6095"/>
      <c r="IY186" s="6095"/>
      <c r="IZ186" s="6061"/>
      <c r="JA186" s="6061"/>
      <c r="JB186" s="6061"/>
      <c r="JC186" s="6068"/>
      <c r="JD186" s="6096"/>
      <c r="JE186" s="6780" t="str">
        <f>_Calcs!$IP$163</f>
        <v>Nei</v>
      </c>
      <c r="JF186" s="6780"/>
      <c r="JG186" s="6780"/>
      <c r="JH186" s="6097"/>
      <c r="JI186" s="6098"/>
      <c r="JM186" s="6064"/>
      <c r="JN186" s="6093"/>
      <c r="JO186" s="6784" t="str">
        <f>_Calcs!$IQ$162</f>
        <v>Sprengingsvibrasjoner</v>
      </c>
      <c r="JP186" s="6784"/>
      <c r="JQ186" s="6784"/>
      <c r="JR186" s="6784"/>
      <c r="JS186" s="6784"/>
      <c r="JT186" s="6784"/>
      <c r="JU186" s="6784"/>
      <c r="JV186" s="6784"/>
      <c r="JW186" s="6784"/>
      <c r="JX186" s="6784"/>
      <c r="JY186" s="6784"/>
      <c r="JZ186" s="6784"/>
      <c r="KA186" s="6784"/>
      <c r="KB186" s="6784"/>
      <c r="KC186" s="6784"/>
      <c r="KD186" s="6784"/>
      <c r="KE186" s="6784"/>
      <c r="KF186" s="6784"/>
      <c r="KG186" s="6094"/>
      <c r="KH186" s="6095"/>
      <c r="KI186" s="6095"/>
      <c r="KJ186" s="6095"/>
      <c r="KK186" s="6095"/>
      <c r="KL186" s="6095"/>
      <c r="KM186" s="6095"/>
      <c r="KN186" s="6095"/>
      <c r="KO186" s="6095"/>
      <c r="KP186" s="6095"/>
      <c r="KQ186" s="6095"/>
      <c r="KR186" s="6095"/>
      <c r="KS186" s="6061"/>
      <c r="KT186" s="6061"/>
      <c r="KU186" s="6061"/>
      <c r="KV186" s="6068"/>
      <c r="KW186" s="6096"/>
      <c r="KX186" s="6780" t="str">
        <f>_Calcs!$IQ$163</f>
        <v>Nei</v>
      </c>
      <c r="KY186" s="6780"/>
      <c r="KZ186" s="6780"/>
      <c r="LA186" s="6097"/>
      <c r="LB186" s="6098"/>
      <c r="LF186" s="6064"/>
      <c r="LG186" s="6093"/>
      <c r="LH186" s="6784" t="str">
        <f>_Calcs!$IR$162</f>
        <v>Sprengingsvibrasjoner</v>
      </c>
      <c r="LI186" s="6784"/>
      <c r="LJ186" s="6784"/>
      <c r="LK186" s="6784"/>
      <c r="LL186" s="6784"/>
      <c r="LM186" s="6784"/>
      <c r="LN186" s="6784"/>
      <c r="LO186" s="6784"/>
      <c r="LP186" s="6784"/>
      <c r="LQ186" s="6784"/>
      <c r="LR186" s="6784"/>
      <c r="LS186" s="6784"/>
      <c r="LT186" s="6784"/>
      <c r="LU186" s="6784"/>
      <c r="LV186" s="6784"/>
      <c r="LW186" s="6784"/>
      <c r="LX186" s="6784"/>
      <c r="LY186" s="6784"/>
      <c r="LZ186" s="6094"/>
      <c r="MA186" s="6095"/>
      <c r="MB186" s="6095"/>
      <c r="MC186" s="6095"/>
      <c r="MD186" s="6095"/>
      <c r="ME186" s="6095"/>
      <c r="MF186" s="6095"/>
      <c r="MG186" s="6095"/>
      <c r="MH186" s="6095"/>
      <c r="MI186" s="6095"/>
      <c r="MJ186" s="6095"/>
      <c r="MK186" s="6095"/>
      <c r="ML186" s="6061"/>
      <c r="MM186" s="6061"/>
      <c r="MN186" s="6061"/>
      <c r="MO186" s="6068"/>
      <c r="MP186" s="6096"/>
      <c r="MQ186" s="6780" t="str">
        <f>_Calcs!$IR$163</f>
        <v>Nei</v>
      </c>
      <c r="MR186" s="6780"/>
      <c r="MS186" s="6780"/>
      <c r="MT186" s="6097"/>
      <c r="MU186" s="6098"/>
      <c r="MY186" s="6064"/>
      <c r="MZ186" s="6093"/>
      <c r="NA186" s="6784" t="str">
        <f>_Calcs!$IS$162</f>
        <v>Sprengingsvibrasjoner</v>
      </c>
      <c r="NB186" s="6784"/>
      <c r="NC186" s="6784"/>
      <c r="ND186" s="6784"/>
      <c r="NE186" s="6784"/>
      <c r="NF186" s="6784"/>
      <c r="NG186" s="6784"/>
      <c r="NH186" s="6784"/>
      <c r="NI186" s="6784"/>
      <c r="NJ186" s="6784"/>
      <c r="NK186" s="6784"/>
      <c r="NL186" s="6784"/>
      <c r="NM186" s="6784"/>
      <c r="NN186" s="6784"/>
      <c r="NO186" s="6784"/>
      <c r="NP186" s="6784"/>
      <c r="NQ186" s="6784"/>
      <c r="NR186" s="6784"/>
      <c r="NS186" s="6094"/>
      <c r="NT186" s="6095"/>
      <c r="NU186" s="6095"/>
      <c r="NV186" s="6095"/>
      <c r="NW186" s="6095"/>
      <c r="NX186" s="6095"/>
      <c r="NY186" s="6095"/>
      <c r="NZ186" s="6095"/>
      <c r="OA186" s="6095"/>
      <c r="OB186" s="6095"/>
      <c r="OC186" s="6095"/>
      <c r="OD186" s="6095"/>
      <c r="OE186" s="6061"/>
      <c r="OF186" s="6061"/>
      <c r="OG186" s="6061"/>
      <c r="OH186" s="6068"/>
      <c r="OI186" s="6096"/>
      <c r="OJ186" s="6780" t="str">
        <f>_Calcs!$IS$163</f>
        <v>Nei</v>
      </c>
      <c r="OK186" s="6780"/>
      <c r="OL186" s="6780"/>
      <c r="OM186" s="6097"/>
      <c r="ON186" s="6098"/>
    </row>
    <row r="187" spans="3:405" ht="8.1" customHeight="1" x14ac:dyDescent="0.2">
      <c r="C187" s="6055"/>
      <c r="D187" s="6056"/>
      <c r="E187" s="6056"/>
      <c r="F187" s="6056"/>
      <c r="G187" s="6056"/>
      <c r="H187" s="6056"/>
      <c r="I187" s="6056"/>
      <c r="J187" s="6056"/>
      <c r="K187" s="6056"/>
      <c r="L187" s="6056"/>
      <c r="M187" s="6056"/>
      <c r="N187" s="6056"/>
      <c r="O187" s="6056"/>
      <c r="P187" s="6056"/>
      <c r="Q187" s="6056"/>
      <c r="R187" s="6056"/>
      <c r="S187" s="6056"/>
      <c r="T187" s="6056"/>
      <c r="U187" s="6056"/>
      <c r="V187" s="6057"/>
      <c r="W187" s="6057"/>
      <c r="X187" s="6057"/>
      <c r="Y187" s="6057"/>
      <c r="Z187" s="6057"/>
      <c r="AA187" s="6056"/>
      <c r="AB187" s="6057"/>
      <c r="AC187" s="6057"/>
      <c r="AD187" s="6057"/>
      <c r="AE187" s="6056"/>
      <c r="AF187" s="6057"/>
      <c r="AG187" s="6057"/>
      <c r="AH187" s="6057"/>
      <c r="AI187" s="6057"/>
      <c r="AJ187" s="6057"/>
      <c r="AK187" s="6056"/>
      <c r="AL187" s="6056"/>
      <c r="AM187" s="6056"/>
      <c r="AN187" s="6056"/>
      <c r="AO187" s="6056"/>
      <c r="AP187" s="6056"/>
      <c r="AQ187" s="6056"/>
      <c r="AR187" s="6058"/>
      <c r="AV187" s="6055"/>
      <c r="AW187" s="6056"/>
      <c r="AX187" s="6056"/>
      <c r="AY187" s="6056"/>
      <c r="AZ187" s="6056"/>
      <c r="BA187" s="6056"/>
      <c r="BB187" s="6056"/>
      <c r="BC187" s="6056"/>
      <c r="BD187" s="6056"/>
      <c r="BE187" s="6056"/>
      <c r="BF187" s="6056"/>
      <c r="BG187" s="6056"/>
      <c r="BH187" s="6056"/>
      <c r="BI187" s="6056"/>
      <c r="BJ187" s="6056"/>
      <c r="BK187" s="6056"/>
      <c r="BL187" s="6056"/>
      <c r="BM187" s="6056"/>
      <c r="BN187" s="6056"/>
      <c r="BO187" s="6057"/>
      <c r="BP187" s="6057"/>
      <c r="BQ187" s="6057"/>
      <c r="BR187" s="6057"/>
      <c r="BS187" s="6057"/>
      <c r="BT187" s="6056"/>
      <c r="BU187" s="6057"/>
      <c r="BV187" s="6057"/>
      <c r="BW187" s="6057"/>
      <c r="BX187" s="6056"/>
      <c r="BY187" s="6057"/>
      <c r="BZ187" s="6057"/>
      <c r="CA187" s="6057"/>
      <c r="CB187" s="6057"/>
      <c r="CC187" s="6057"/>
      <c r="CD187" s="6056"/>
      <c r="CE187" s="6056"/>
      <c r="CF187" s="6056"/>
      <c r="CG187" s="6056"/>
      <c r="CH187" s="6056"/>
      <c r="CI187" s="6056"/>
      <c r="CJ187" s="6056"/>
      <c r="CK187" s="6058"/>
      <c r="CO187" s="6055"/>
      <c r="CP187" s="6056"/>
      <c r="CQ187" s="6056"/>
      <c r="CR187" s="6056"/>
      <c r="CS187" s="6056"/>
      <c r="CT187" s="6056"/>
      <c r="CU187" s="6056"/>
      <c r="CV187" s="6056"/>
      <c r="CW187" s="6056"/>
      <c r="CX187" s="6056"/>
      <c r="CY187" s="6056"/>
      <c r="CZ187" s="6056"/>
      <c r="DA187" s="6056"/>
      <c r="DB187" s="6056"/>
      <c r="DC187" s="6056"/>
      <c r="DD187" s="6056"/>
      <c r="DE187" s="6056"/>
      <c r="DF187" s="6056"/>
      <c r="DG187" s="6056"/>
      <c r="DH187" s="6057"/>
      <c r="DI187" s="6057"/>
      <c r="DJ187" s="6057"/>
      <c r="DK187" s="6057"/>
      <c r="DL187" s="6057"/>
      <c r="DM187" s="6056"/>
      <c r="DN187" s="6057"/>
      <c r="DO187" s="6057"/>
      <c r="DP187" s="6057"/>
      <c r="DQ187" s="6056"/>
      <c r="DR187" s="6057"/>
      <c r="DS187" s="6057"/>
      <c r="DT187" s="6057"/>
      <c r="DU187" s="6057"/>
      <c r="DV187" s="6057"/>
      <c r="DW187" s="6056"/>
      <c r="DX187" s="6056"/>
      <c r="DY187" s="6056"/>
      <c r="DZ187" s="6056"/>
      <c r="EA187" s="6056"/>
      <c r="EB187" s="6056"/>
      <c r="EC187" s="6056"/>
      <c r="ED187" s="6058"/>
      <c r="EH187" s="6055"/>
      <c r="EI187" s="6056"/>
      <c r="EJ187" s="6056"/>
      <c r="EK187" s="6056"/>
      <c r="EL187" s="6056"/>
      <c r="EM187" s="6056"/>
      <c r="EN187" s="6056"/>
      <c r="EO187" s="6056"/>
      <c r="EP187" s="6056"/>
      <c r="EQ187" s="6056"/>
      <c r="ER187" s="6056"/>
      <c r="ES187" s="6056"/>
      <c r="ET187" s="6056"/>
      <c r="EU187" s="6056"/>
      <c r="EV187" s="6056"/>
      <c r="EW187" s="6056"/>
      <c r="EX187" s="6056"/>
      <c r="EY187" s="6056"/>
      <c r="EZ187" s="6056"/>
      <c r="FA187" s="6057"/>
      <c r="FB187" s="6057"/>
      <c r="FC187" s="6057"/>
      <c r="FD187" s="6057"/>
      <c r="FE187" s="6057"/>
      <c r="FF187" s="6056"/>
      <c r="FG187" s="6057"/>
      <c r="FH187" s="6057"/>
      <c r="FI187" s="6057"/>
      <c r="FJ187" s="6056"/>
      <c r="FK187" s="6057"/>
      <c r="FL187" s="6057"/>
      <c r="FM187" s="6057"/>
      <c r="FN187" s="6057"/>
      <c r="FO187" s="6057"/>
      <c r="FP187" s="6056"/>
      <c r="FQ187" s="6056"/>
      <c r="FR187" s="6056"/>
      <c r="FS187" s="6056"/>
      <c r="FT187" s="6056"/>
      <c r="FU187" s="6056"/>
      <c r="FV187" s="6056"/>
      <c r="FW187" s="6058"/>
      <c r="GA187" s="6055"/>
      <c r="GB187" s="6056"/>
      <c r="GC187" s="6056"/>
      <c r="GD187" s="6056"/>
      <c r="GE187" s="6056"/>
      <c r="GF187" s="6056"/>
      <c r="GG187" s="6056"/>
      <c r="GH187" s="6056"/>
      <c r="GI187" s="6056"/>
      <c r="GJ187" s="6056"/>
      <c r="GK187" s="6056"/>
      <c r="GL187" s="6056"/>
      <c r="GM187" s="6056"/>
      <c r="GN187" s="6056"/>
      <c r="GO187" s="6056"/>
      <c r="GP187" s="6056"/>
      <c r="GQ187" s="6056"/>
      <c r="GR187" s="6056"/>
      <c r="GS187" s="6056"/>
      <c r="GT187" s="6057"/>
      <c r="GU187" s="6057"/>
      <c r="GV187" s="6057"/>
      <c r="GW187" s="6057"/>
      <c r="GX187" s="6057"/>
      <c r="GY187" s="6056"/>
      <c r="GZ187" s="6057"/>
      <c r="HA187" s="6057"/>
      <c r="HB187" s="6057"/>
      <c r="HC187" s="6056"/>
      <c r="HD187" s="6057"/>
      <c r="HE187" s="6057"/>
      <c r="HF187" s="6057"/>
      <c r="HG187" s="6057"/>
      <c r="HH187" s="6057"/>
      <c r="HI187" s="6056"/>
      <c r="HJ187" s="6056"/>
      <c r="HK187" s="6056"/>
      <c r="HL187" s="6056"/>
      <c r="HM187" s="6056"/>
      <c r="HN187" s="6056"/>
      <c r="HO187" s="6056"/>
      <c r="HP187" s="6058"/>
      <c r="HT187" s="6055"/>
      <c r="HU187" s="6056"/>
      <c r="HV187" s="6056"/>
      <c r="HW187" s="6056"/>
      <c r="HX187" s="6056"/>
      <c r="HY187" s="6056"/>
      <c r="HZ187" s="6056"/>
      <c r="IA187" s="6056"/>
      <c r="IB187" s="6056"/>
      <c r="IC187" s="6056"/>
      <c r="ID187" s="6056"/>
      <c r="IE187" s="6056"/>
      <c r="IF187" s="6056"/>
      <c r="IG187" s="6056"/>
      <c r="IH187" s="6056"/>
      <c r="II187" s="6056"/>
      <c r="IJ187" s="6056"/>
      <c r="IK187" s="6056"/>
      <c r="IL187" s="6056"/>
      <c r="IM187" s="6057"/>
      <c r="IN187" s="6057"/>
      <c r="IO187" s="6057"/>
      <c r="IP187" s="6057"/>
      <c r="IQ187" s="6057"/>
      <c r="IR187" s="6056"/>
      <c r="IS187" s="6057"/>
      <c r="IT187" s="6057"/>
      <c r="IU187" s="6057"/>
      <c r="IV187" s="6056"/>
      <c r="IW187" s="6057"/>
      <c r="IX187" s="6057"/>
      <c r="IY187" s="6057"/>
      <c r="IZ187" s="6057"/>
      <c r="JA187" s="6057"/>
      <c r="JB187" s="6056"/>
      <c r="JC187" s="6056"/>
      <c r="JD187" s="6056"/>
      <c r="JE187" s="6056"/>
      <c r="JF187" s="6056"/>
      <c r="JG187" s="6056"/>
      <c r="JH187" s="6056"/>
      <c r="JI187" s="6058"/>
      <c r="JM187" s="6055"/>
      <c r="JN187" s="6056"/>
      <c r="JO187" s="6056"/>
      <c r="JP187" s="6056"/>
      <c r="JQ187" s="6056"/>
      <c r="JR187" s="6056"/>
      <c r="JS187" s="6056"/>
      <c r="JT187" s="6056"/>
      <c r="JU187" s="6056"/>
      <c r="JV187" s="6056"/>
      <c r="JW187" s="6056"/>
      <c r="JX187" s="6056"/>
      <c r="JY187" s="6056"/>
      <c r="JZ187" s="6056"/>
      <c r="KA187" s="6056"/>
      <c r="KB187" s="6056"/>
      <c r="KC187" s="6056"/>
      <c r="KD187" s="6056"/>
      <c r="KE187" s="6056"/>
      <c r="KF187" s="6057"/>
      <c r="KG187" s="6057"/>
      <c r="KH187" s="6057"/>
      <c r="KI187" s="6057"/>
      <c r="KJ187" s="6057"/>
      <c r="KK187" s="6056"/>
      <c r="KL187" s="6057"/>
      <c r="KM187" s="6057"/>
      <c r="KN187" s="6057"/>
      <c r="KO187" s="6056"/>
      <c r="KP187" s="6057"/>
      <c r="KQ187" s="6057"/>
      <c r="KR187" s="6057"/>
      <c r="KS187" s="6057"/>
      <c r="KT187" s="6057"/>
      <c r="KU187" s="6056"/>
      <c r="KV187" s="6056"/>
      <c r="KW187" s="6056"/>
      <c r="KX187" s="6056"/>
      <c r="KY187" s="6056"/>
      <c r="KZ187" s="6056"/>
      <c r="LA187" s="6056"/>
      <c r="LB187" s="6058"/>
      <c r="LF187" s="6055"/>
      <c r="LG187" s="6056"/>
      <c r="LH187" s="6056"/>
      <c r="LI187" s="6056"/>
      <c r="LJ187" s="6056"/>
      <c r="LK187" s="6056"/>
      <c r="LL187" s="6056"/>
      <c r="LM187" s="6056"/>
      <c r="LN187" s="6056"/>
      <c r="LO187" s="6056"/>
      <c r="LP187" s="6056"/>
      <c r="LQ187" s="6056"/>
      <c r="LR187" s="6056"/>
      <c r="LS187" s="6056"/>
      <c r="LT187" s="6056"/>
      <c r="LU187" s="6056"/>
      <c r="LV187" s="6056"/>
      <c r="LW187" s="6056"/>
      <c r="LX187" s="6056"/>
      <c r="LY187" s="6057"/>
      <c r="LZ187" s="6057"/>
      <c r="MA187" s="6057"/>
      <c r="MB187" s="6057"/>
      <c r="MC187" s="6057"/>
      <c r="MD187" s="6056"/>
      <c r="ME187" s="6057"/>
      <c r="MF187" s="6057"/>
      <c r="MG187" s="6057"/>
      <c r="MH187" s="6056"/>
      <c r="MI187" s="6057"/>
      <c r="MJ187" s="6057"/>
      <c r="MK187" s="6057"/>
      <c r="ML187" s="6057"/>
      <c r="MM187" s="6057"/>
      <c r="MN187" s="6056"/>
      <c r="MO187" s="6056"/>
      <c r="MP187" s="6056"/>
      <c r="MQ187" s="6056"/>
      <c r="MR187" s="6056"/>
      <c r="MS187" s="6056"/>
      <c r="MT187" s="6056"/>
      <c r="MU187" s="6058"/>
      <c r="MY187" s="6055"/>
      <c r="MZ187" s="6056"/>
      <c r="NA187" s="6056"/>
      <c r="NB187" s="6056"/>
      <c r="NC187" s="6056"/>
      <c r="ND187" s="6056"/>
      <c r="NE187" s="6056"/>
      <c r="NF187" s="6056"/>
      <c r="NG187" s="6056"/>
      <c r="NH187" s="6056"/>
      <c r="NI187" s="6056"/>
      <c r="NJ187" s="6056"/>
      <c r="NK187" s="6056"/>
      <c r="NL187" s="6056"/>
      <c r="NM187" s="6056"/>
      <c r="NN187" s="6056"/>
      <c r="NO187" s="6056"/>
      <c r="NP187" s="6056"/>
      <c r="NQ187" s="6056"/>
      <c r="NR187" s="6057"/>
      <c r="NS187" s="6057"/>
      <c r="NT187" s="6057"/>
      <c r="NU187" s="6057"/>
      <c r="NV187" s="6057"/>
      <c r="NW187" s="6056"/>
      <c r="NX187" s="6057"/>
      <c r="NY187" s="6057"/>
      <c r="NZ187" s="6057"/>
      <c r="OA187" s="6056"/>
      <c r="OB187" s="6057"/>
      <c r="OC187" s="6057"/>
      <c r="OD187" s="6057"/>
      <c r="OE187" s="6057"/>
      <c r="OF187" s="6057"/>
      <c r="OG187" s="6056"/>
      <c r="OH187" s="6056"/>
      <c r="OI187" s="6056"/>
      <c r="OJ187" s="6056"/>
      <c r="OK187" s="6056"/>
      <c r="OL187" s="6056"/>
      <c r="OM187" s="6056"/>
      <c r="ON187" s="6058"/>
    </row>
    <row r="188" spans="3:405" s="6075" customFormat="1" ht="12" customHeight="1" x14ac:dyDescent="0.2">
      <c r="C188" s="6071"/>
      <c r="D188" s="6060" t="str">
        <f>_Calcs!$N$80</f>
        <v>Tidjustering</v>
      </c>
      <c r="E188" s="6072"/>
      <c r="F188" s="6072"/>
      <c r="G188" s="6072"/>
      <c r="H188" s="6072"/>
      <c r="I188" s="6072"/>
      <c r="J188" s="6072"/>
      <c r="K188" s="6072"/>
      <c r="L188" s="6072"/>
      <c r="M188" s="6099"/>
      <c r="N188" s="6099"/>
      <c r="O188" s="6099"/>
      <c r="P188" s="6099"/>
      <c r="Q188" s="6099"/>
      <c r="R188" s="6099"/>
      <c r="S188" s="6099"/>
      <c r="T188" s="6099"/>
      <c r="U188" s="6072"/>
      <c r="V188" s="6072"/>
      <c r="W188" s="6072"/>
      <c r="X188" s="6072"/>
      <c r="Y188" s="6072"/>
      <c r="Z188" s="6072"/>
      <c r="AA188" s="6072"/>
      <c r="AB188" s="6072"/>
      <c r="AC188" s="6072"/>
      <c r="AD188" s="6072"/>
      <c r="AE188" s="6072"/>
      <c r="AF188" s="6072"/>
      <c r="AG188" s="6072"/>
      <c r="AH188" s="6072"/>
      <c r="AI188" s="6072"/>
      <c r="AJ188" s="6072"/>
      <c r="AK188" s="6072"/>
      <c r="AL188" s="6072"/>
      <c r="AM188" s="6072"/>
      <c r="AN188" s="6072"/>
      <c r="AO188" s="6072"/>
      <c r="AP188" s="6072"/>
      <c r="AQ188" s="6072"/>
      <c r="AR188" s="6074"/>
      <c r="AV188" s="6071"/>
      <c r="AW188" s="6060" t="str">
        <f>_Calcs!$N$80</f>
        <v>Tidjustering</v>
      </c>
      <c r="AX188" s="6072"/>
      <c r="AY188" s="6072"/>
      <c r="AZ188" s="6072"/>
      <c r="BA188" s="6072"/>
      <c r="BB188" s="6072"/>
      <c r="BC188" s="6072"/>
      <c r="BD188" s="6072"/>
      <c r="BE188" s="6072"/>
      <c r="BF188" s="6099"/>
      <c r="BG188" s="6099"/>
      <c r="BH188" s="6099"/>
      <c r="BI188" s="6099"/>
      <c r="BJ188" s="6099"/>
      <c r="BK188" s="6099"/>
      <c r="BL188" s="6099"/>
      <c r="BM188" s="6099"/>
      <c r="BN188" s="6072"/>
      <c r="BO188" s="6072"/>
      <c r="BP188" s="6072"/>
      <c r="BQ188" s="6072"/>
      <c r="BR188" s="6072"/>
      <c r="BS188" s="6072"/>
      <c r="BT188" s="6072"/>
      <c r="BU188" s="6072"/>
      <c r="BV188" s="6072"/>
      <c r="BW188" s="6072"/>
      <c r="BX188" s="6072"/>
      <c r="BY188" s="6072"/>
      <c r="BZ188" s="6072"/>
      <c r="CA188" s="6072"/>
      <c r="CB188" s="6072"/>
      <c r="CC188" s="6072"/>
      <c r="CD188" s="6072"/>
      <c r="CE188" s="6072"/>
      <c r="CF188" s="6072"/>
      <c r="CG188" s="6072"/>
      <c r="CH188" s="6072"/>
      <c r="CI188" s="6072"/>
      <c r="CJ188" s="6072"/>
      <c r="CK188" s="6074"/>
      <c r="CO188" s="6071"/>
      <c r="CP188" s="6060" t="str">
        <f>_Calcs!$N$80</f>
        <v>Tidjustering</v>
      </c>
      <c r="CQ188" s="6072"/>
      <c r="CR188" s="6072"/>
      <c r="CS188" s="6072"/>
      <c r="CT188" s="6072"/>
      <c r="CU188" s="6072"/>
      <c r="CV188" s="6072"/>
      <c r="CW188" s="6072"/>
      <c r="CX188" s="6072"/>
      <c r="CY188" s="6099"/>
      <c r="CZ188" s="6099"/>
      <c r="DA188" s="6099"/>
      <c r="DB188" s="6099"/>
      <c r="DC188" s="6099"/>
      <c r="DD188" s="6099"/>
      <c r="DE188" s="6099"/>
      <c r="DF188" s="6099"/>
      <c r="DG188" s="6072"/>
      <c r="DH188" s="6072"/>
      <c r="DI188" s="6072"/>
      <c r="DJ188" s="6072"/>
      <c r="DK188" s="6072"/>
      <c r="DL188" s="6072"/>
      <c r="DM188" s="6072"/>
      <c r="DN188" s="6072"/>
      <c r="DO188" s="6072"/>
      <c r="DP188" s="6072"/>
      <c r="DQ188" s="6072"/>
      <c r="DR188" s="6072"/>
      <c r="DS188" s="6072"/>
      <c r="DT188" s="6072"/>
      <c r="DU188" s="6072"/>
      <c r="DV188" s="6072"/>
      <c r="DW188" s="6072"/>
      <c r="DX188" s="6072"/>
      <c r="DY188" s="6072"/>
      <c r="DZ188" s="6072"/>
      <c r="EA188" s="6072"/>
      <c r="EB188" s="6072"/>
      <c r="EC188" s="6072"/>
      <c r="ED188" s="6074"/>
      <c r="EH188" s="6071"/>
      <c r="EI188" s="6060" t="str">
        <f>_Calcs!$N$80</f>
        <v>Tidjustering</v>
      </c>
      <c r="EJ188" s="6072"/>
      <c r="EK188" s="6072"/>
      <c r="EL188" s="6072"/>
      <c r="EM188" s="6072"/>
      <c r="EN188" s="6072"/>
      <c r="EO188" s="6072"/>
      <c r="EP188" s="6072"/>
      <c r="EQ188" s="6072"/>
      <c r="ER188" s="6099"/>
      <c r="ES188" s="6099"/>
      <c r="ET188" s="6099"/>
      <c r="EU188" s="6099"/>
      <c r="EV188" s="6099"/>
      <c r="EW188" s="6099"/>
      <c r="EX188" s="6099"/>
      <c r="EY188" s="6099"/>
      <c r="EZ188" s="6072"/>
      <c r="FA188" s="6072"/>
      <c r="FB188" s="6072"/>
      <c r="FC188" s="6072"/>
      <c r="FD188" s="6072"/>
      <c r="FE188" s="6072"/>
      <c r="FF188" s="6072"/>
      <c r="FG188" s="6072"/>
      <c r="FH188" s="6072"/>
      <c r="FI188" s="6072"/>
      <c r="FJ188" s="6072"/>
      <c r="FK188" s="6072"/>
      <c r="FL188" s="6072"/>
      <c r="FM188" s="6072"/>
      <c r="FN188" s="6072"/>
      <c r="FO188" s="6072"/>
      <c r="FP188" s="6072"/>
      <c r="FQ188" s="6072"/>
      <c r="FR188" s="6072"/>
      <c r="FS188" s="6072"/>
      <c r="FT188" s="6072"/>
      <c r="FU188" s="6072"/>
      <c r="FV188" s="6072"/>
      <c r="FW188" s="6074"/>
      <c r="GA188" s="6071"/>
      <c r="GB188" s="6060" t="str">
        <f>_Calcs!$N$80</f>
        <v>Tidjustering</v>
      </c>
      <c r="GC188" s="6072"/>
      <c r="GD188" s="6072"/>
      <c r="GE188" s="6072"/>
      <c r="GF188" s="6072"/>
      <c r="GG188" s="6072"/>
      <c r="GH188" s="6072"/>
      <c r="GI188" s="6072"/>
      <c r="GJ188" s="6072"/>
      <c r="GK188" s="6099"/>
      <c r="GL188" s="6099"/>
      <c r="GM188" s="6099"/>
      <c r="GN188" s="6099"/>
      <c r="GO188" s="6099"/>
      <c r="GP188" s="6099"/>
      <c r="GQ188" s="6099"/>
      <c r="GR188" s="6099"/>
      <c r="GS188" s="6072"/>
      <c r="GT188" s="6072"/>
      <c r="GU188" s="6072"/>
      <c r="GV188" s="6072"/>
      <c r="GW188" s="6072"/>
      <c r="GX188" s="6072"/>
      <c r="GY188" s="6072"/>
      <c r="GZ188" s="6072"/>
      <c r="HA188" s="6072"/>
      <c r="HB188" s="6072"/>
      <c r="HC188" s="6072"/>
      <c r="HD188" s="6072"/>
      <c r="HE188" s="6072"/>
      <c r="HF188" s="6072"/>
      <c r="HG188" s="6072"/>
      <c r="HH188" s="6072"/>
      <c r="HI188" s="6072"/>
      <c r="HJ188" s="6072"/>
      <c r="HK188" s="6072"/>
      <c r="HL188" s="6072"/>
      <c r="HM188" s="6072"/>
      <c r="HN188" s="6072"/>
      <c r="HO188" s="6072"/>
      <c r="HP188" s="6074"/>
      <c r="HT188" s="6071"/>
      <c r="HU188" s="6060" t="str">
        <f>_Calcs!$N$80</f>
        <v>Tidjustering</v>
      </c>
      <c r="HV188" s="6072"/>
      <c r="HW188" s="6072"/>
      <c r="HX188" s="6072"/>
      <c r="HY188" s="6072"/>
      <c r="HZ188" s="6072"/>
      <c r="IA188" s="6072"/>
      <c r="IB188" s="6072"/>
      <c r="IC188" s="6072"/>
      <c r="ID188" s="6099"/>
      <c r="IE188" s="6099"/>
      <c r="IF188" s="6099"/>
      <c r="IG188" s="6099"/>
      <c r="IH188" s="6099"/>
      <c r="II188" s="6099"/>
      <c r="IJ188" s="6099"/>
      <c r="IK188" s="6099"/>
      <c r="IL188" s="6072"/>
      <c r="IM188" s="6072"/>
      <c r="IN188" s="6072"/>
      <c r="IO188" s="6072"/>
      <c r="IP188" s="6072"/>
      <c r="IQ188" s="6072"/>
      <c r="IR188" s="6072"/>
      <c r="IS188" s="6072"/>
      <c r="IT188" s="6072"/>
      <c r="IU188" s="6072"/>
      <c r="IV188" s="6072"/>
      <c r="IW188" s="6072"/>
      <c r="IX188" s="6072"/>
      <c r="IY188" s="6072"/>
      <c r="IZ188" s="6072"/>
      <c r="JA188" s="6072"/>
      <c r="JB188" s="6072"/>
      <c r="JC188" s="6072"/>
      <c r="JD188" s="6072"/>
      <c r="JE188" s="6072"/>
      <c r="JF188" s="6072"/>
      <c r="JG188" s="6072"/>
      <c r="JH188" s="6072"/>
      <c r="JI188" s="6074"/>
      <c r="JM188" s="6071"/>
      <c r="JN188" s="6060" t="str">
        <f>_Calcs!$N$80</f>
        <v>Tidjustering</v>
      </c>
      <c r="JO188" s="6072"/>
      <c r="JP188" s="6072"/>
      <c r="JQ188" s="6072"/>
      <c r="JR188" s="6072"/>
      <c r="JS188" s="6072"/>
      <c r="JT188" s="6072"/>
      <c r="JU188" s="6072"/>
      <c r="JV188" s="6072"/>
      <c r="JW188" s="6099"/>
      <c r="JX188" s="6099"/>
      <c r="JY188" s="6099"/>
      <c r="JZ188" s="6099"/>
      <c r="KA188" s="6099"/>
      <c r="KB188" s="6099"/>
      <c r="KC188" s="6099"/>
      <c r="KD188" s="6099"/>
      <c r="KE188" s="6072"/>
      <c r="KF188" s="6072"/>
      <c r="KG188" s="6072"/>
      <c r="KH188" s="6072"/>
      <c r="KI188" s="6072"/>
      <c r="KJ188" s="6072"/>
      <c r="KK188" s="6072"/>
      <c r="KL188" s="6072"/>
      <c r="KM188" s="6072"/>
      <c r="KN188" s="6072"/>
      <c r="KO188" s="6072"/>
      <c r="KP188" s="6072"/>
      <c r="KQ188" s="6072"/>
      <c r="KR188" s="6072"/>
      <c r="KS188" s="6072"/>
      <c r="KT188" s="6072"/>
      <c r="KU188" s="6072"/>
      <c r="KV188" s="6072"/>
      <c r="KW188" s="6072"/>
      <c r="KX188" s="6072"/>
      <c r="KY188" s="6072"/>
      <c r="KZ188" s="6072"/>
      <c r="LA188" s="6072"/>
      <c r="LB188" s="6074"/>
      <c r="LF188" s="6071"/>
      <c r="LG188" s="6060" t="str">
        <f>_Calcs!$N$80</f>
        <v>Tidjustering</v>
      </c>
      <c r="LH188" s="6072"/>
      <c r="LI188" s="6072"/>
      <c r="LJ188" s="6072"/>
      <c r="LK188" s="6072"/>
      <c r="LL188" s="6072"/>
      <c r="LM188" s="6072"/>
      <c r="LN188" s="6072"/>
      <c r="LO188" s="6072"/>
      <c r="LP188" s="6099"/>
      <c r="LQ188" s="6099"/>
      <c r="LR188" s="6099"/>
      <c r="LS188" s="6099"/>
      <c r="LT188" s="6099"/>
      <c r="LU188" s="6099"/>
      <c r="LV188" s="6099"/>
      <c r="LW188" s="6099"/>
      <c r="LX188" s="6072"/>
      <c r="LY188" s="6072"/>
      <c r="LZ188" s="6072"/>
      <c r="MA188" s="6072"/>
      <c r="MB188" s="6072"/>
      <c r="MC188" s="6072"/>
      <c r="MD188" s="6072"/>
      <c r="ME188" s="6072"/>
      <c r="MF188" s="6072"/>
      <c r="MG188" s="6072"/>
      <c r="MH188" s="6072"/>
      <c r="MI188" s="6072"/>
      <c r="MJ188" s="6072"/>
      <c r="MK188" s="6072"/>
      <c r="ML188" s="6072"/>
      <c r="MM188" s="6072"/>
      <c r="MN188" s="6072"/>
      <c r="MO188" s="6072"/>
      <c r="MP188" s="6072"/>
      <c r="MQ188" s="6072"/>
      <c r="MR188" s="6072"/>
      <c r="MS188" s="6072"/>
      <c r="MT188" s="6072"/>
      <c r="MU188" s="6074"/>
      <c r="MY188" s="6071"/>
      <c r="MZ188" s="6060" t="str">
        <f>_Calcs!$N$80</f>
        <v>Tidjustering</v>
      </c>
      <c r="NA188" s="6072"/>
      <c r="NB188" s="6072"/>
      <c r="NC188" s="6072"/>
      <c r="ND188" s="6072"/>
      <c r="NE188" s="6072"/>
      <c r="NF188" s="6072"/>
      <c r="NG188" s="6072"/>
      <c r="NH188" s="6072"/>
      <c r="NI188" s="6099"/>
      <c r="NJ188" s="6099"/>
      <c r="NK188" s="6099"/>
      <c r="NL188" s="6099"/>
      <c r="NM188" s="6099"/>
      <c r="NN188" s="6099"/>
      <c r="NO188" s="6099"/>
      <c r="NP188" s="6099"/>
      <c r="NQ188" s="6072"/>
      <c r="NR188" s="6072"/>
      <c r="NS188" s="6072"/>
      <c r="NT188" s="6072"/>
      <c r="NU188" s="6072"/>
      <c r="NV188" s="6072"/>
      <c r="NW188" s="6072"/>
      <c r="NX188" s="6072"/>
      <c r="NY188" s="6072"/>
      <c r="NZ188" s="6072"/>
      <c r="OA188" s="6072"/>
      <c r="OB188" s="6072"/>
      <c r="OC188" s="6072"/>
      <c r="OD188" s="6072"/>
      <c r="OE188" s="6072"/>
      <c r="OF188" s="6072"/>
      <c r="OG188" s="6072"/>
      <c r="OH188" s="6072"/>
      <c r="OI188" s="6072"/>
      <c r="OJ188" s="6072"/>
      <c r="OK188" s="6072"/>
      <c r="OL188" s="6072"/>
      <c r="OM188" s="6072"/>
      <c r="ON188" s="6074"/>
    </row>
    <row r="189" spans="3:405" ht="5.0999999999999996" customHeight="1" thickBot="1" x14ac:dyDescent="0.25">
      <c r="C189" s="6055"/>
      <c r="D189" s="6056"/>
      <c r="E189" s="6056"/>
      <c r="F189" s="6056"/>
      <c r="G189" s="6056"/>
      <c r="H189" s="6056"/>
      <c r="I189" s="6056"/>
      <c r="J189" s="6056"/>
      <c r="K189" s="6056"/>
      <c r="L189" s="6056"/>
      <c r="M189" s="6100"/>
      <c r="N189" s="6100"/>
      <c r="O189" s="6100"/>
      <c r="P189" s="6100"/>
      <c r="Q189" s="6100"/>
      <c r="R189" s="6100"/>
      <c r="S189" s="6100"/>
      <c r="T189" s="6100"/>
      <c r="U189" s="6056"/>
      <c r="V189" s="6057"/>
      <c r="W189" s="6057"/>
      <c r="X189" s="6057"/>
      <c r="Y189" s="6057"/>
      <c r="Z189" s="6057"/>
      <c r="AA189" s="6056"/>
      <c r="AB189" s="6057"/>
      <c r="AC189" s="6057"/>
      <c r="AD189" s="6057"/>
      <c r="AE189" s="6056"/>
      <c r="AF189" s="6057"/>
      <c r="AG189" s="6057"/>
      <c r="AH189" s="6057"/>
      <c r="AI189" s="6057"/>
      <c r="AJ189" s="6057"/>
      <c r="AK189" s="6056"/>
      <c r="AL189" s="6056"/>
      <c r="AM189" s="6056"/>
      <c r="AN189" s="6056"/>
      <c r="AO189" s="6056"/>
      <c r="AP189" s="6056"/>
      <c r="AQ189" s="6056"/>
      <c r="AR189" s="6058"/>
      <c r="AV189" s="6055"/>
      <c r="AW189" s="6056"/>
      <c r="AX189" s="6056"/>
      <c r="AY189" s="6056"/>
      <c r="AZ189" s="6056"/>
      <c r="BA189" s="6056"/>
      <c r="BB189" s="6056"/>
      <c r="BC189" s="6056"/>
      <c r="BD189" s="6056"/>
      <c r="BE189" s="6056"/>
      <c r="BF189" s="6100"/>
      <c r="BG189" s="6100"/>
      <c r="BH189" s="6100"/>
      <c r="BI189" s="6100"/>
      <c r="BJ189" s="6100"/>
      <c r="BK189" s="6100"/>
      <c r="BL189" s="6100"/>
      <c r="BM189" s="6100"/>
      <c r="BN189" s="6056"/>
      <c r="BO189" s="6057"/>
      <c r="BP189" s="6057"/>
      <c r="BQ189" s="6057"/>
      <c r="BR189" s="6057"/>
      <c r="BS189" s="6057"/>
      <c r="BT189" s="6056"/>
      <c r="BU189" s="6057"/>
      <c r="BV189" s="6057"/>
      <c r="BW189" s="6057"/>
      <c r="BX189" s="6056"/>
      <c r="BY189" s="6057"/>
      <c r="BZ189" s="6057"/>
      <c r="CA189" s="6057"/>
      <c r="CB189" s="6057"/>
      <c r="CC189" s="6057"/>
      <c r="CD189" s="6056"/>
      <c r="CE189" s="6056"/>
      <c r="CF189" s="6056"/>
      <c r="CG189" s="6056"/>
      <c r="CH189" s="6056"/>
      <c r="CI189" s="6056"/>
      <c r="CJ189" s="6056"/>
      <c r="CK189" s="6058"/>
      <c r="CO189" s="6055"/>
      <c r="CP189" s="6056"/>
      <c r="CQ189" s="6056"/>
      <c r="CR189" s="6056"/>
      <c r="CS189" s="6056"/>
      <c r="CT189" s="6056"/>
      <c r="CU189" s="6056"/>
      <c r="CV189" s="6056"/>
      <c r="CW189" s="6056"/>
      <c r="CX189" s="6056"/>
      <c r="CY189" s="6100"/>
      <c r="CZ189" s="6100"/>
      <c r="DA189" s="6100"/>
      <c r="DB189" s="6100"/>
      <c r="DC189" s="6100"/>
      <c r="DD189" s="6100"/>
      <c r="DE189" s="6100"/>
      <c r="DF189" s="6100"/>
      <c r="DG189" s="6056"/>
      <c r="DH189" s="6057"/>
      <c r="DI189" s="6057"/>
      <c r="DJ189" s="6057"/>
      <c r="DK189" s="6057"/>
      <c r="DL189" s="6057"/>
      <c r="DM189" s="6056"/>
      <c r="DN189" s="6057"/>
      <c r="DO189" s="6057"/>
      <c r="DP189" s="6057"/>
      <c r="DQ189" s="6056"/>
      <c r="DR189" s="6057"/>
      <c r="DS189" s="6057"/>
      <c r="DT189" s="6057"/>
      <c r="DU189" s="6057"/>
      <c r="DV189" s="6057"/>
      <c r="DW189" s="6056"/>
      <c r="DX189" s="6056"/>
      <c r="DY189" s="6056"/>
      <c r="DZ189" s="6056"/>
      <c r="EA189" s="6056"/>
      <c r="EB189" s="6056"/>
      <c r="EC189" s="6056"/>
      <c r="ED189" s="6058"/>
      <c r="EH189" s="6055"/>
      <c r="EI189" s="6056"/>
      <c r="EJ189" s="6056"/>
      <c r="EK189" s="6056"/>
      <c r="EL189" s="6056"/>
      <c r="EM189" s="6056"/>
      <c r="EN189" s="6056"/>
      <c r="EO189" s="6056"/>
      <c r="EP189" s="6056"/>
      <c r="EQ189" s="6056"/>
      <c r="ER189" s="6100"/>
      <c r="ES189" s="6100"/>
      <c r="ET189" s="6100"/>
      <c r="EU189" s="6100"/>
      <c r="EV189" s="6100"/>
      <c r="EW189" s="6100"/>
      <c r="EX189" s="6100"/>
      <c r="EY189" s="6100"/>
      <c r="EZ189" s="6056"/>
      <c r="FA189" s="6057"/>
      <c r="FB189" s="6057"/>
      <c r="FC189" s="6057"/>
      <c r="FD189" s="6057"/>
      <c r="FE189" s="6057"/>
      <c r="FF189" s="6056"/>
      <c r="FG189" s="6057"/>
      <c r="FH189" s="6057"/>
      <c r="FI189" s="6057"/>
      <c r="FJ189" s="6056"/>
      <c r="FK189" s="6057"/>
      <c r="FL189" s="6057"/>
      <c r="FM189" s="6057"/>
      <c r="FN189" s="6057"/>
      <c r="FO189" s="6057"/>
      <c r="FP189" s="6056"/>
      <c r="FQ189" s="6056"/>
      <c r="FR189" s="6056"/>
      <c r="FS189" s="6056"/>
      <c r="FT189" s="6056"/>
      <c r="FU189" s="6056"/>
      <c r="FV189" s="6056"/>
      <c r="FW189" s="6058"/>
      <c r="GA189" s="6055"/>
      <c r="GB189" s="6056"/>
      <c r="GC189" s="6056"/>
      <c r="GD189" s="6056"/>
      <c r="GE189" s="6056"/>
      <c r="GF189" s="6056"/>
      <c r="GG189" s="6056"/>
      <c r="GH189" s="6056"/>
      <c r="GI189" s="6056"/>
      <c r="GJ189" s="6056"/>
      <c r="GK189" s="6100"/>
      <c r="GL189" s="6100"/>
      <c r="GM189" s="6100"/>
      <c r="GN189" s="6100"/>
      <c r="GO189" s="6100"/>
      <c r="GP189" s="6100"/>
      <c r="GQ189" s="6100"/>
      <c r="GR189" s="6100"/>
      <c r="GS189" s="6056"/>
      <c r="GT189" s="6057"/>
      <c r="GU189" s="6057"/>
      <c r="GV189" s="6057"/>
      <c r="GW189" s="6057"/>
      <c r="GX189" s="6057"/>
      <c r="GY189" s="6056"/>
      <c r="GZ189" s="6057"/>
      <c r="HA189" s="6057"/>
      <c r="HB189" s="6057"/>
      <c r="HC189" s="6056"/>
      <c r="HD189" s="6057"/>
      <c r="HE189" s="6057"/>
      <c r="HF189" s="6057"/>
      <c r="HG189" s="6057"/>
      <c r="HH189" s="6057"/>
      <c r="HI189" s="6056"/>
      <c r="HJ189" s="6056"/>
      <c r="HK189" s="6056"/>
      <c r="HL189" s="6056"/>
      <c r="HM189" s="6056"/>
      <c r="HN189" s="6056"/>
      <c r="HO189" s="6056"/>
      <c r="HP189" s="6058"/>
      <c r="HT189" s="6055"/>
      <c r="HU189" s="6056"/>
      <c r="HV189" s="6056"/>
      <c r="HW189" s="6056"/>
      <c r="HX189" s="6056"/>
      <c r="HY189" s="6056"/>
      <c r="HZ189" s="6056"/>
      <c r="IA189" s="6056"/>
      <c r="IB189" s="6056"/>
      <c r="IC189" s="6056"/>
      <c r="ID189" s="6100"/>
      <c r="IE189" s="6100"/>
      <c r="IF189" s="6100"/>
      <c r="IG189" s="6100"/>
      <c r="IH189" s="6100"/>
      <c r="II189" s="6100"/>
      <c r="IJ189" s="6100"/>
      <c r="IK189" s="6100"/>
      <c r="IL189" s="6056"/>
      <c r="IM189" s="6057"/>
      <c r="IN189" s="6057"/>
      <c r="IO189" s="6057"/>
      <c r="IP189" s="6057"/>
      <c r="IQ189" s="6057"/>
      <c r="IR189" s="6056"/>
      <c r="IS189" s="6057"/>
      <c r="IT189" s="6057"/>
      <c r="IU189" s="6057"/>
      <c r="IV189" s="6056"/>
      <c r="IW189" s="6057"/>
      <c r="IX189" s="6057"/>
      <c r="IY189" s="6057"/>
      <c r="IZ189" s="6057"/>
      <c r="JA189" s="6057"/>
      <c r="JB189" s="6056"/>
      <c r="JC189" s="6056"/>
      <c r="JD189" s="6056"/>
      <c r="JE189" s="6056"/>
      <c r="JF189" s="6056"/>
      <c r="JG189" s="6056"/>
      <c r="JH189" s="6056"/>
      <c r="JI189" s="6058"/>
      <c r="JM189" s="6055"/>
      <c r="JN189" s="6056"/>
      <c r="JO189" s="6056"/>
      <c r="JP189" s="6056"/>
      <c r="JQ189" s="6056"/>
      <c r="JR189" s="6056"/>
      <c r="JS189" s="6056"/>
      <c r="JT189" s="6056"/>
      <c r="JU189" s="6056"/>
      <c r="JV189" s="6056"/>
      <c r="JW189" s="6100"/>
      <c r="JX189" s="6100"/>
      <c r="JY189" s="6100"/>
      <c r="JZ189" s="6100"/>
      <c r="KA189" s="6100"/>
      <c r="KB189" s="6100"/>
      <c r="KC189" s="6100"/>
      <c r="KD189" s="6100"/>
      <c r="KE189" s="6056"/>
      <c r="KF189" s="6057"/>
      <c r="KG189" s="6057"/>
      <c r="KH189" s="6057"/>
      <c r="KI189" s="6057"/>
      <c r="KJ189" s="6057"/>
      <c r="KK189" s="6056"/>
      <c r="KL189" s="6057"/>
      <c r="KM189" s="6057"/>
      <c r="KN189" s="6057"/>
      <c r="KO189" s="6056"/>
      <c r="KP189" s="6057"/>
      <c r="KQ189" s="6057"/>
      <c r="KR189" s="6057"/>
      <c r="KS189" s="6057"/>
      <c r="KT189" s="6057"/>
      <c r="KU189" s="6056"/>
      <c r="KV189" s="6056"/>
      <c r="KW189" s="6056"/>
      <c r="KX189" s="6056"/>
      <c r="KY189" s="6056"/>
      <c r="KZ189" s="6056"/>
      <c r="LA189" s="6056"/>
      <c r="LB189" s="6058"/>
      <c r="LF189" s="6055"/>
      <c r="LG189" s="6056"/>
      <c r="LH189" s="6056"/>
      <c r="LI189" s="6056"/>
      <c r="LJ189" s="6056"/>
      <c r="LK189" s="6056"/>
      <c r="LL189" s="6056"/>
      <c r="LM189" s="6056"/>
      <c r="LN189" s="6056"/>
      <c r="LO189" s="6056"/>
      <c r="LP189" s="6100"/>
      <c r="LQ189" s="6100"/>
      <c r="LR189" s="6100"/>
      <c r="LS189" s="6100"/>
      <c r="LT189" s="6100"/>
      <c r="LU189" s="6100"/>
      <c r="LV189" s="6100"/>
      <c r="LW189" s="6100"/>
      <c r="LX189" s="6056"/>
      <c r="LY189" s="6057"/>
      <c r="LZ189" s="6057"/>
      <c r="MA189" s="6057"/>
      <c r="MB189" s="6057"/>
      <c r="MC189" s="6057"/>
      <c r="MD189" s="6056"/>
      <c r="ME189" s="6057"/>
      <c r="MF189" s="6057"/>
      <c r="MG189" s="6057"/>
      <c r="MH189" s="6056"/>
      <c r="MI189" s="6057"/>
      <c r="MJ189" s="6057"/>
      <c r="MK189" s="6057"/>
      <c r="ML189" s="6057"/>
      <c r="MM189" s="6057"/>
      <c r="MN189" s="6056"/>
      <c r="MO189" s="6056"/>
      <c r="MP189" s="6056"/>
      <c r="MQ189" s="6056"/>
      <c r="MR189" s="6056"/>
      <c r="MS189" s="6056"/>
      <c r="MT189" s="6056"/>
      <c r="MU189" s="6058"/>
      <c r="MY189" s="6055"/>
      <c r="MZ189" s="6056"/>
      <c r="NA189" s="6056"/>
      <c r="NB189" s="6056"/>
      <c r="NC189" s="6056"/>
      <c r="ND189" s="6056"/>
      <c r="NE189" s="6056"/>
      <c r="NF189" s="6056"/>
      <c r="NG189" s="6056"/>
      <c r="NH189" s="6056"/>
      <c r="NI189" s="6100"/>
      <c r="NJ189" s="6100"/>
      <c r="NK189" s="6100"/>
      <c r="NL189" s="6100"/>
      <c r="NM189" s="6100"/>
      <c r="NN189" s="6100"/>
      <c r="NO189" s="6100"/>
      <c r="NP189" s="6100"/>
      <c r="NQ189" s="6056"/>
      <c r="NR189" s="6057"/>
      <c r="NS189" s="6057"/>
      <c r="NT189" s="6057"/>
      <c r="NU189" s="6057"/>
      <c r="NV189" s="6057"/>
      <c r="NW189" s="6056"/>
      <c r="NX189" s="6057"/>
      <c r="NY189" s="6057"/>
      <c r="NZ189" s="6057"/>
      <c r="OA189" s="6056"/>
      <c r="OB189" s="6057"/>
      <c r="OC189" s="6057"/>
      <c r="OD189" s="6057"/>
      <c r="OE189" s="6057"/>
      <c r="OF189" s="6057"/>
      <c r="OG189" s="6056"/>
      <c r="OH189" s="6056"/>
      <c r="OI189" s="6056"/>
      <c r="OJ189" s="6056"/>
      <c r="OK189" s="6056"/>
      <c r="OL189" s="6056"/>
      <c r="OM189" s="6056"/>
      <c r="ON189" s="6058"/>
    </row>
    <row r="190" spans="3:405" s="6070" customFormat="1" ht="20.100000000000001" customHeight="1" thickBot="1" x14ac:dyDescent="0.25">
      <c r="C190" s="6064"/>
      <c r="D190" s="6076"/>
      <c r="E190" s="6781" t="str">
        <f>_Calcs!$IK$164</f>
        <v/>
      </c>
      <c r="F190" s="6781"/>
      <c r="G190" s="6781"/>
      <c r="H190" s="6781"/>
      <c r="I190" s="6781"/>
      <c r="J190" s="6781"/>
      <c r="K190" s="6080"/>
      <c r="L190" s="6101"/>
      <c r="M190" s="6101"/>
      <c r="N190" s="6101"/>
      <c r="O190" s="6101"/>
      <c r="P190" s="6101"/>
      <c r="Q190" s="6101"/>
      <c r="R190" s="6101"/>
      <c r="S190" s="6101"/>
      <c r="T190" s="6101"/>
      <c r="U190" s="6068"/>
      <c r="V190" s="6067"/>
      <c r="W190" s="6067"/>
      <c r="X190" s="6067"/>
      <c r="Y190" s="6067"/>
      <c r="Z190" s="6067"/>
      <c r="AA190" s="6068"/>
      <c r="AB190" s="6067"/>
      <c r="AC190" s="6067"/>
      <c r="AD190" s="6067"/>
      <c r="AE190" s="6068"/>
      <c r="AF190" s="6067"/>
      <c r="AG190" s="6067"/>
      <c r="AH190" s="6067"/>
      <c r="AI190" s="6067"/>
      <c r="AJ190" s="6067"/>
      <c r="AK190" s="6068"/>
      <c r="AL190" s="6068"/>
      <c r="AM190" s="6068"/>
      <c r="AN190" s="6068"/>
      <c r="AO190" s="6068"/>
      <c r="AP190" s="6068"/>
      <c r="AQ190" s="6068"/>
      <c r="AR190" s="6098"/>
      <c r="AV190" s="6064"/>
      <c r="AW190" s="6076"/>
      <c r="AX190" s="6781" t="str">
        <f>_Calcs!$IL$164</f>
        <v/>
      </c>
      <c r="AY190" s="6781"/>
      <c r="AZ190" s="6781"/>
      <c r="BA190" s="6781"/>
      <c r="BB190" s="6781"/>
      <c r="BC190" s="6781"/>
      <c r="BD190" s="6080"/>
      <c r="BE190" s="6101"/>
      <c r="BF190" s="6101"/>
      <c r="BG190" s="6101"/>
      <c r="BH190" s="6101"/>
      <c r="BI190" s="6101"/>
      <c r="BJ190" s="6101"/>
      <c r="BK190" s="6101"/>
      <c r="BL190" s="6101"/>
      <c r="BM190" s="6101"/>
      <c r="BN190" s="6068"/>
      <c r="BO190" s="6067"/>
      <c r="BP190" s="6067"/>
      <c r="BQ190" s="6067"/>
      <c r="BR190" s="6067"/>
      <c r="BS190" s="6067"/>
      <c r="BT190" s="6068"/>
      <c r="BU190" s="6067"/>
      <c r="BV190" s="6067"/>
      <c r="BW190" s="6067"/>
      <c r="BX190" s="6068"/>
      <c r="BY190" s="6067"/>
      <c r="BZ190" s="6067"/>
      <c r="CA190" s="6067"/>
      <c r="CB190" s="6067"/>
      <c r="CC190" s="6067"/>
      <c r="CD190" s="6068"/>
      <c r="CE190" s="6068"/>
      <c r="CF190" s="6068"/>
      <c r="CG190" s="6068"/>
      <c r="CH190" s="6068"/>
      <c r="CI190" s="6068"/>
      <c r="CJ190" s="6068"/>
      <c r="CK190" s="6098"/>
      <c r="CO190" s="6064"/>
      <c r="CP190" s="6076"/>
      <c r="CQ190" s="6781" t="str">
        <f>_Calcs!$IM$164</f>
        <v/>
      </c>
      <c r="CR190" s="6781"/>
      <c r="CS190" s="6781"/>
      <c r="CT190" s="6781"/>
      <c r="CU190" s="6781"/>
      <c r="CV190" s="6781"/>
      <c r="CW190" s="6080"/>
      <c r="CX190" s="6101"/>
      <c r="CY190" s="6101"/>
      <c r="CZ190" s="6101"/>
      <c r="DA190" s="6101"/>
      <c r="DB190" s="6101"/>
      <c r="DC190" s="6101"/>
      <c r="DD190" s="6101"/>
      <c r="DE190" s="6101"/>
      <c r="DF190" s="6101"/>
      <c r="DG190" s="6068"/>
      <c r="DH190" s="6067"/>
      <c r="DI190" s="6067"/>
      <c r="DJ190" s="6067"/>
      <c r="DK190" s="6067"/>
      <c r="DL190" s="6067"/>
      <c r="DM190" s="6068"/>
      <c r="DN190" s="6067"/>
      <c r="DO190" s="6067"/>
      <c r="DP190" s="6067"/>
      <c r="DQ190" s="6068"/>
      <c r="DR190" s="6067"/>
      <c r="DS190" s="6067"/>
      <c r="DT190" s="6067"/>
      <c r="DU190" s="6067"/>
      <c r="DV190" s="6067"/>
      <c r="DW190" s="6068"/>
      <c r="DX190" s="6068"/>
      <c r="DY190" s="6068"/>
      <c r="DZ190" s="6068"/>
      <c r="EA190" s="6068"/>
      <c r="EB190" s="6068"/>
      <c r="EC190" s="6068"/>
      <c r="ED190" s="6098"/>
      <c r="EH190" s="6064"/>
      <c r="EI190" s="6076"/>
      <c r="EJ190" s="6781" t="str">
        <f>_Calcs!$IN$164</f>
        <v/>
      </c>
      <c r="EK190" s="6781"/>
      <c r="EL190" s="6781"/>
      <c r="EM190" s="6781"/>
      <c r="EN190" s="6781"/>
      <c r="EO190" s="6781"/>
      <c r="EP190" s="6080"/>
      <c r="EQ190" s="6101"/>
      <c r="ER190" s="6101"/>
      <c r="ES190" s="6101"/>
      <c r="ET190" s="6101"/>
      <c r="EU190" s="6101"/>
      <c r="EV190" s="6101"/>
      <c r="EW190" s="6101"/>
      <c r="EX190" s="6101"/>
      <c r="EY190" s="6101"/>
      <c r="EZ190" s="6068"/>
      <c r="FA190" s="6067"/>
      <c r="FB190" s="6067"/>
      <c r="FC190" s="6067"/>
      <c r="FD190" s="6067"/>
      <c r="FE190" s="6067"/>
      <c r="FF190" s="6068"/>
      <c r="FG190" s="6067"/>
      <c r="FH190" s="6067"/>
      <c r="FI190" s="6067"/>
      <c r="FJ190" s="6068"/>
      <c r="FK190" s="6067"/>
      <c r="FL190" s="6067"/>
      <c r="FM190" s="6067"/>
      <c r="FN190" s="6067"/>
      <c r="FO190" s="6067"/>
      <c r="FP190" s="6068"/>
      <c r="FQ190" s="6068"/>
      <c r="FR190" s="6068"/>
      <c r="FS190" s="6068"/>
      <c r="FT190" s="6068"/>
      <c r="FU190" s="6068"/>
      <c r="FV190" s="6068"/>
      <c r="FW190" s="6098"/>
      <c r="GA190" s="6064"/>
      <c r="GB190" s="6076"/>
      <c r="GC190" s="6781" t="str">
        <f>_Calcs!$IO$164</f>
        <v/>
      </c>
      <c r="GD190" s="6781"/>
      <c r="GE190" s="6781"/>
      <c r="GF190" s="6781"/>
      <c r="GG190" s="6781"/>
      <c r="GH190" s="6781"/>
      <c r="GI190" s="6080"/>
      <c r="GJ190" s="6101"/>
      <c r="GK190" s="6101"/>
      <c r="GL190" s="6101"/>
      <c r="GM190" s="6101"/>
      <c r="GN190" s="6101"/>
      <c r="GO190" s="6101"/>
      <c r="GP190" s="6101"/>
      <c r="GQ190" s="6101"/>
      <c r="GR190" s="6101"/>
      <c r="GS190" s="6068"/>
      <c r="GT190" s="6067"/>
      <c r="GU190" s="6067"/>
      <c r="GV190" s="6067"/>
      <c r="GW190" s="6067"/>
      <c r="GX190" s="6067"/>
      <c r="GY190" s="6068"/>
      <c r="GZ190" s="6067"/>
      <c r="HA190" s="6067"/>
      <c r="HB190" s="6067"/>
      <c r="HC190" s="6068"/>
      <c r="HD190" s="6067"/>
      <c r="HE190" s="6067"/>
      <c r="HF190" s="6067"/>
      <c r="HG190" s="6067"/>
      <c r="HH190" s="6067"/>
      <c r="HI190" s="6068"/>
      <c r="HJ190" s="6068"/>
      <c r="HK190" s="6068"/>
      <c r="HL190" s="6068"/>
      <c r="HM190" s="6068"/>
      <c r="HN190" s="6068"/>
      <c r="HO190" s="6068"/>
      <c r="HP190" s="6098"/>
      <c r="HT190" s="6064"/>
      <c r="HU190" s="6076"/>
      <c r="HV190" s="6781" t="str">
        <f>_Calcs!$IP$164</f>
        <v/>
      </c>
      <c r="HW190" s="6781"/>
      <c r="HX190" s="6781"/>
      <c r="HY190" s="6781"/>
      <c r="HZ190" s="6781"/>
      <c r="IA190" s="6781"/>
      <c r="IB190" s="6080"/>
      <c r="IC190" s="6101"/>
      <c r="ID190" s="6101"/>
      <c r="IE190" s="6101"/>
      <c r="IF190" s="6101"/>
      <c r="IG190" s="6101"/>
      <c r="IH190" s="6101"/>
      <c r="II190" s="6101"/>
      <c r="IJ190" s="6101"/>
      <c r="IK190" s="6101"/>
      <c r="IL190" s="6068"/>
      <c r="IM190" s="6067"/>
      <c r="IN190" s="6067"/>
      <c r="IO190" s="6067"/>
      <c r="IP190" s="6067"/>
      <c r="IQ190" s="6067"/>
      <c r="IR190" s="6068"/>
      <c r="IS190" s="6067"/>
      <c r="IT190" s="6067"/>
      <c r="IU190" s="6067"/>
      <c r="IV190" s="6068"/>
      <c r="IW190" s="6067"/>
      <c r="IX190" s="6067"/>
      <c r="IY190" s="6067"/>
      <c r="IZ190" s="6067"/>
      <c r="JA190" s="6067"/>
      <c r="JB190" s="6068"/>
      <c r="JC190" s="6068"/>
      <c r="JD190" s="6068"/>
      <c r="JE190" s="6068"/>
      <c r="JF190" s="6068"/>
      <c r="JG190" s="6068"/>
      <c r="JH190" s="6068"/>
      <c r="JI190" s="6098"/>
      <c r="JM190" s="6064"/>
      <c r="JN190" s="6076"/>
      <c r="JO190" s="6781" t="str">
        <f>_Calcs!$IQ$164</f>
        <v/>
      </c>
      <c r="JP190" s="6781"/>
      <c r="JQ190" s="6781"/>
      <c r="JR190" s="6781"/>
      <c r="JS190" s="6781"/>
      <c r="JT190" s="6781"/>
      <c r="JU190" s="6080"/>
      <c r="JV190" s="6101"/>
      <c r="JW190" s="6101"/>
      <c r="JX190" s="6101"/>
      <c r="JY190" s="6101"/>
      <c r="JZ190" s="6101"/>
      <c r="KA190" s="6101"/>
      <c r="KB190" s="6101"/>
      <c r="KC190" s="6101"/>
      <c r="KD190" s="6101"/>
      <c r="KE190" s="6068"/>
      <c r="KF190" s="6067"/>
      <c r="KG190" s="6067"/>
      <c r="KH190" s="6067"/>
      <c r="KI190" s="6067"/>
      <c r="KJ190" s="6067"/>
      <c r="KK190" s="6068"/>
      <c r="KL190" s="6067"/>
      <c r="KM190" s="6067"/>
      <c r="KN190" s="6067"/>
      <c r="KO190" s="6068"/>
      <c r="KP190" s="6067"/>
      <c r="KQ190" s="6067"/>
      <c r="KR190" s="6067"/>
      <c r="KS190" s="6067"/>
      <c r="KT190" s="6067"/>
      <c r="KU190" s="6068"/>
      <c r="KV190" s="6068"/>
      <c r="KW190" s="6068"/>
      <c r="KX190" s="6068"/>
      <c r="KY190" s="6068"/>
      <c r="KZ190" s="6068"/>
      <c r="LA190" s="6068"/>
      <c r="LB190" s="6098"/>
      <c r="LF190" s="6064"/>
      <c r="LG190" s="6076"/>
      <c r="LH190" s="6781" t="str">
        <f>_Calcs!$IR$164</f>
        <v/>
      </c>
      <c r="LI190" s="6781"/>
      <c r="LJ190" s="6781"/>
      <c r="LK190" s="6781"/>
      <c r="LL190" s="6781"/>
      <c r="LM190" s="6781"/>
      <c r="LN190" s="6080"/>
      <c r="LO190" s="6101"/>
      <c r="LP190" s="6101"/>
      <c r="LQ190" s="6101"/>
      <c r="LR190" s="6101"/>
      <c r="LS190" s="6101"/>
      <c r="LT190" s="6101"/>
      <c r="LU190" s="6101"/>
      <c r="LV190" s="6101"/>
      <c r="LW190" s="6101"/>
      <c r="LX190" s="6068"/>
      <c r="LY190" s="6067"/>
      <c r="LZ190" s="6067"/>
      <c r="MA190" s="6067"/>
      <c r="MB190" s="6067"/>
      <c r="MC190" s="6067"/>
      <c r="MD190" s="6068"/>
      <c r="ME190" s="6067"/>
      <c r="MF190" s="6067"/>
      <c r="MG190" s="6067"/>
      <c r="MH190" s="6068"/>
      <c r="MI190" s="6067"/>
      <c r="MJ190" s="6067"/>
      <c r="MK190" s="6067"/>
      <c r="ML190" s="6067"/>
      <c r="MM190" s="6067"/>
      <c r="MN190" s="6068"/>
      <c r="MO190" s="6068"/>
      <c r="MP190" s="6068"/>
      <c r="MQ190" s="6068"/>
      <c r="MR190" s="6068"/>
      <c r="MS190" s="6068"/>
      <c r="MT190" s="6068"/>
      <c r="MU190" s="6098"/>
      <c r="MY190" s="6064"/>
      <c r="MZ190" s="6076"/>
      <c r="NA190" s="6781" t="str">
        <f>_Calcs!$IS$164</f>
        <v/>
      </c>
      <c r="NB190" s="6781"/>
      <c r="NC190" s="6781"/>
      <c r="ND190" s="6781"/>
      <c r="NE190" s="6781"/>
      <c r="NF190" s="6781"/>
      <c r="NG190" s="6080"/>
      <c r="NH190" s="6101"/>
      <c r="NI190" s="6101"/>
      <c r="NJ190" s="6101"/>
      <c r="NK190" s="6101"/>
      <c r="NL190" s="6101"/>
      <c r="NM190" s="6101"/>
      <c r="NN190" s="6101"/>
      <c r="NO190" s="6101"/>
      <c r="NP190" s="6101"/>
      <c r="NQ190" s="6068"/>
      <c r="NR190" s="6067"/>
      <c r="NS190" s="6067"/>
      <c r="NT190" s="6067"/>
      <c r="NU190" s="6067"/>
      <c r="NV190" s="6067"/>
      <c r="NW190" s="6068"/>
      <c r="NX190" s="6067"/>
      <c r="NY190" s="6067"/>
      <c r="NZ190" s="6067"/>
      <c r="OA190" s="6068"/>
      <c r="OB190" s="6067"/>
      <c r="OC190" s="6067"/>
      <c r="OD190" s="6067"/>
      <c r="OE190" s="6067"/>
      <c r="OF190" s="6067"/>
      <c r="OG190" s="6068"/>
      <c r="OH190" s="6068"/>
      <c r="OI190" s="6068"/>
      <c r="OJ190" s="6068"/>
      <c r="OK190" s="6068"/>
      <c r="OL190" s="6068"/>
      <c r="OM190" s="6068"/>
      <c r="ON190" s="6098"/>
    </row>
    <row r="191" spans="3:405" ht="8.1" customHeight="1" x14ac:dyDescent="0.2">
      <c r="C191" s="6055"/>
      <c r="D191" s="6056"/>
      <c r="E191" s="6056"/>
      <c r="F191" s="6056"/>
      <c r="G191" s="6056"/>
      <c r="H191" s="6056"/>
      <c r="I191" s="6056"/>
      <c r="J191" s="6056"/>
      <c r="K191" s="6056"/>
      <c r="L191" s="6056"/>
      <c r="M191" s="6056"/>
      <c r="N191" s="6056"/>
      <c r="O191" s="6056"/>
      <c r="P191" s="6056"/>
      <c r="Q191" s="6056"/>
      <c r="R191" s="6056"/>
      <c r="S191" s="6056"/>
      <c r="T191" s="6056"/>
      <c r="U191" s="6056"/>
      <c r="V191" s="6057"/>
      <c r="W191" s="6057"/>
      <c r="X191" s="6057"/>
      <c r="Y191" s="6057"/>
      <c r="Z191" s="6057"/>
      <c r="AA191" s="6056"/>
      <c r="AB191" s="6057"/>
      <c r="AC191" s="6057"/>
      <c r="AD191" s="6057"/>
      <c r="AE191" s="6056"/>
      <c r="AF191" s="6057"/>
      <c r="AG191" s="6057"/>
      <c r="AH191" s="6057"/>
      <c r="AI191" s="6057"/>
      <c r="AJ191" s="6057"/>
      <c r="AK191" s="6056"/>
      <c r="AL191" s="6056"/>
      <c r="AM191" s="6056"/>
      <c r="AN191" s="6056"/>
      <c r="AO191" s="6056"/>
      <c r="AP191" s="6056"/>
      <c r="AQ191" s="6056"/>
      <c r="AR191" s="6058"/>
      <c r="AV191" s="6055"/>
      <c r="AW191" s="6056"/>
      <c r="AX191" s="6056"/>
      <c r="AY191" s="6056"/>
      <c r="AZ191" s="6056"/>
      <c r="BA191" s="6056"/>
      <c r="BB191" s="6056"/>
      <c r="BC191" s="6056"/>
      <c r="BD191" s="6056"/>
      <c r="BE191" s="6056"/>
      <c r="BF191" s="6056"/>
      <c r="BG191" s="6056"/>
      <c r="BH191" s="6056"/>
      <c r="BI191" s="6056"/>
      <c r="BJ191" s="6056"/>
      <c r="BK191" s="6056"/>
      <c r="BL191" s="6056"/>
      <c r="BM191" s="6056"/>
      <c r="BN191" s="6056"/>
      <c r="BO191" s="6057"/>
      <c r="BP191" s="6057"/>
      <c r="BQ191" s="6057"/>
      <c r="BR191" s="6057"/>
      <c r="BS191" s="6057"/>
      <c r="BT191" s="6056"/>
      <c r="BU191" s="6057"/>
      <c r="BV191" s="6057"/>
      <c r="BW191" s="6057"/>
      <c r="BX191" s="6056"/>
      <c r="BY191" s="6057"/>
      <c r="BZ191" s="6057"/>
      <c r="CA191" s="6057"/>
      <c r="CB191" s="6057"/>
      <c r="CC191" s="6057"/>
      <c r="CD191" s="6056"/>
      <c r="CE191" s="6056"/>
      <c r="CF191" s="6056"/>
      <c r="CG191" s="6056"/>
      <c r="CH191" s="6056"/>
      <c r="CI191" s="6056"/>
      <c r="CJ191" s="6056"/>
      <c r="CK191" s="6058"/>
      <c r="CO191" s="6055"/>
      <c r="CP191" s="6056"/>
      <c r="CQ191" s="6056"/>
      <c r="CR191" s="6056"/>
      <c r="CS191" s="6056"/>
      <c r="CT191" s="6056"/>
      <c r="CU191" s="6056"/>
      <c r="CV191" s="6056"/>
      <c r="CW191" s="6056"/>
      <c r="CX191" s="6056"/>
      <c r="CY191" s="6056"/>
      <c r="CZ191" s="6056"/>
      <c r="DA191" s="6056"/>
      <c r="DB191" s="6056"/>
      <c r="DC191" s="6056"/>
      <c r="DD191" s="6056"/>
      <c r="DE191" s="6056"/>
      <c r="DF191" s="6056"/>
      <c r="DG191" s="6056"/>
      <c r="DH191" s="6057"/>
      <c r="DI191" s="6057"/>
      <c r="DJ191" s="6057"/>
      <c r="DK191" s="6057"/>
      <c r="DL191" s="6057"/>
      <c r="DM191" s="6056"/>
      <c r="DN191" s="6057"/>
      <c r="DO191" s="6057"/>
      <c r="DP191" s="6057"/>
      <c r="DQ191" s="6056"/>
      <c r="DR191" s="6057"/>
      <c r="DS191" s="6057"/>
      <c r="DT191" s="6057"/>
      <c r="DU191" s="6057"/>
      <c r="DV191" s="6057"/>
      <c r="DW191" s="6056"/>
      <c r="DX191" s="6056"/>
      <c r="DY191" s="6056"/>
      <c r="DZ191" s="6056"/>
      <c r="EA191" s="6056"/>
      <c r="EB191" s="6056"/>
      <c r="EC191" s="6056"/>
      <c r="ED191" s="6058"/>
      <c r="EH191" s="6055"/>
      <c r="EI191" s="6056"/>
      <c r="EJ191" s="6056"/>
      <c r="EK191" s="6056"/>
      <c r="EL191" s="6056"/>
      <c r="EM191" s="6056"/>
      <c r="EN191" s="6056"/>
      <c r="EO191" s="6056"/>
      <c r="EP191" s="6056"/>
      <c r="EQ191" s="6056"/>
      <c r="ER191" s="6056"/>
      <c r="ES191" s="6056"/>
      <c r="ET191" s="6056"/>
      <c r="EU191" s="6056"/>
      <c r="EV191" s="6056"/>
      <c r="EW191" s="6056"/>
      <c r="EX191" s="6056"/>
      <c r="EY191" s="6056"/>
      <c r="EZ191" s="6056"/>
      <c r="FA191" s="6057"/>
      <c r="FB191" s="6057"/>
      <c r="FC191" s="6057"/>
      <c r="FD191" s="6057"/>
      <c r="FE191" s="6057"/>
      <c r="FF191" s="6056"/>
      <c r="FG191" s="6057"/>
      <c r="FH191" s="6057"/>
      <c r="FI191" s="6057"/>
      <c r="FJ191" s="6056"/>
      <c r="FK191" s="6057"/>
      <c r="FL191" s="6057"/>
      <c r="FM191" s="6057"/>
      <c r="FN191" s="6057"/>
      <c r="FO191" s="6057"/>
      <c r="FP191" s="6056"/>
      <c r="FQ191" s="6056"/>
      <c r="FR191" s="6056"/>
      <c r="FS191" s="6056"/>
      <c r="FT191" s="6056"/>
      <c r="FU191" s="6056"/>
      <c r="FV191" s="6056"/>
      <c r="FW191" s="6058"/>
      <c r="GA191" s="6055"/>
      <c r="GB191" s="6056"/>
      <c r="GC191" s="6056"/>
      <c r="GD191" s="6056"/>
      <c r="GE191" s="6056"/>
      <c r="GF191" s="6056"/>
      <c r="GG191" s="6056"/>
      <c r="GH191" s="6056"/>
      <c r="GI191" s="6056"/>
      <c r="GJ191" s="6056"/>
      <c r="GK191" s="6056"/>
      <c r="GL191" s="6056"/>
      <c r="GM191" s="6056"/>
      <c r="GN191" s="6056"/>
      <c r="GO191" s="6056"/>
      <c r="GP191" s="6056"/>
      <c r="GQ191" s="6056"/>
      <c r="GR191" s="6056"/>
      <c r="GS191" s="6056"/>
      <c r="GT191" s="6057"/>
      <c r="GU191" s="6057"/>
      <c r="GV191" s="6057"/>
      <c r="GW191" s="6057"/>
      <c r="GX191" s="6057"/>
      <c r="GY191" s="6056"/>
      <c r="GZ191" s="6057"/>
      <c r="HA191" s="6057"/>
      <c r="HB191" s="6057"/>
      <c r="HC191" s="6056"/>
      <c r="HD191" s="6057"/>
      <c r="HE191" s="6057"/>
      <c r="HF191" s="6057"/>
      <c r="HG191" s="6057"/>
      <c r="HH191" s="6057"/>
      <c r="HI191" s="6056"/>
      <c r="HJ191" s="6056"/>
      <c r="HK191" s="6056"/>
      <c r="HL191" s="6056"/>
      <c r="HM191" s="6056"/>
      <c r="HN191" s="6056"/>
      <c r="HO191" s="6056"/>
      <c r="HP191" s="6058"/>
      <c r="HT191" s="6055"/>
      <c r="HU191" s="6056"/>
      <c r="HV191" s="6056"/>
      <c r="HW191" s="6056"/>
      <c r="HX191" s="6056"/>
      <c r="HY191" s="6056"/>
      <c r="HZ191" s="6056"/>
      <c r="IA191" s="6056"/>
      <c r="IB191" s="6056"/>
      <c r="IC191" s="6056"/>
      <c r="ID191" s="6056"/>
      <c r="IE191" s="6056"/>
      <c r="IF191" s="6056"/>
      <c r="IG191" s="6056"/>
      <c r="IH191" s="6056"/>
      <c r="II191" s="6056"/>
      <c r="IJ191" s="6056"/>
      <c r="IK191" s="6056"/>
      <c r="IL191" s="6056"/>
      <c r="IM191" s="6057"/>
      <c r="IN191" s="6057"/>
      <c r="IO191" s="6057"/>
      <c r="IP191" s="6057"/>
      <c r="IQ191" s="6057"/>
      <c r="IR191" s="6056"/>
      <c r="IS191" s="6057"/>
      <c r="IT191" s="6057"/>
      <c r="IU191" s="6057"/>
      <c r="IV191" s="6056"/>
      <c r="IW191" s="6057"/>
      <c r="IX191" s="6057"/>
      <c r="IY191" s="6057"/>
      <c r="IZ191" s="6057"/>
      <c r="JA191" s="6057"/>
      <c r="JB191" s="6056"/>
      <c r="JC191" s="6056"/>
      <c r="JD191" s="6056"/>
      <c r="JE191" s="6056"/>
      <c r="JF191" s="6056"/>
      <c r="JG191" s="6056"/>
      <c r="JH191" s="6056"/>
      <c r="JI191" s="6058"/>
      <c r="JM191" s="6055"/>
      <c r="JN191" s="6056"/>
      <c r="JO191" s="6056"/>
      <c r="JP191" s="6056"/>
      <c r="JQ191" s="6056"/>
      <c r="JR191" s="6056"/>
      <c r="JS191" s="6056"/>
      <c r="JT191" s="6056"/>
      <c r="JU191" s="6056"/>
      <c r="JV191" s="6056"/>
      <c r="JW191" s="6056"/>
      <c r="JX191" s="6056"/>
      <c r="JY191" s="6056"/>
      <c r="JZ191" s="6056"/>
      <c r="KA191" s="6056"/>
      <c r="KB191" s="6056"/>
      <c r="KC191" s="6056"/>
      <c r="KD191" s="6056"/>
      <c r="KE191" s="6056"/>
      <c r="KF191" s="6057"/>
      <c r="KG191" s="6057"/>
      <c r="KH191" s="6057"/>
      <c r="KI191" s="6057"/>
      <c r="KJ191" s="6057"/>
      <c r="KK191" s="6056"/>
      <c r="KL191" s="6057"/>
      <c r="KM191" s="6057"/>
      <c r="KN191" s="6057"/>
      <c r="KO191" s="6056"/>
      <c r="KP191" s="6057"/>
      <c r="KQ191" s="6057"/>
      <c r="KR191" s="6057"/>
      <c r="KS191" s="6057"/>
      <c r="KT191" s="6057"/>
      <c r="KU191" s="6056"/>
      <c r="KV191" s="6056"/>
      <c r="KW191" s="6056"/>
      <c r="KX191" s="6056"/>
      <c r="KY191" s="6056"/>
      <c r="KZ191" s="6056"/>
      <c r="LA191" s="6056"/>
      <c r="LB191" s="6058"/>
      <c r="LF191" s="6055"/>
      <c r="LG191" s="6056"/>
      <c r="LH191" s="6056"/>
      <c r="LI191" s="6056"/>
      <c r="LJ191" s="6056"/>
      <c r="LK191" s="6056"/>
      <c r="LL191" s="6056"/>
      <c r="LM191" s="6056"/>
      <c r="LN191" s="6056"/>
      <c r="LO191" s="6056"/>
      <c r="LP191" s="6056"/>
      <c r="LQ191" s="6056"/>
      <c r="LR191" s="6056"/>
      <c r="LS191" s="6056"/>
      <c r="LT191" s="6056"/>
      <c r="LU191" s="6056"/>
      <c r="LV191" s="6056"/>
      <c r="LW191" s="6056"/>
      <c r="LX191" s="6056"/>
      <c r="LY191" s="6057"/>
      <c r="LZ191" s="6057"/>
      <c r="MA191" s="6057"/>
      <c r="MB191" s="6057"/>
      <c r="MC191" s="6057"/>
      <c r="MD191" s="6056"/>
      <c r="ME191" s="6057"/>
      <c r="MF191" s="6057"/>
      <c r="MG191" s="6057"/>
      <c r="MH191" s="6056"/>
      <c r="MI191" s="6057"/>
      <c r="MJ191" s="6057"/>
      <c r="MK191" s="6057"/>
      <c r="ML191" s="6057"/>
      <c r="MM191" s="6057"/>
      <c r="MN191" s="6056"/>
      <c r="MO191" s="6056"/>
      <c r="MP191" s="6056"/>
      <c r="MQ191" s="6056"/>
      <c r="MR191" s="6056"/>
      <c r="MS191" s="6056"/>
      <c r="MT191" s="6056"/>
      <c r="MU191" s="6058"/>
      <c r="MY191" s="6055"/>
      <c r="MZ191" s="6056"/>
      <c r="NA191" s="6056"/>
      <c r="NB191" s="6056"/>
      <c r="NC191" s="6056"/>
      <c r="ND191" s="6056"/>
      <c r="NE191" s="6056"/>
      <c r="NF191" s="6056"/>
      <c r="NG191" s="6056"/>
      <c r="NH191" s="6056"/>
      <c r="NI191" s="6056"/>
      <c r="NJ191" s="6056"/>
      <c r="NK191" s="6056"/>
      <c r="NL191" s="6056"/>
      <c r="NM191" s="6056"/>
      <c r="NN191" s="6056"/>
      <c r="NO191" s="6056"/>
      <c r="NP191" s="6056"/>
      <c r="NQ191" s="6056"/>
      <c r="NR191" s="6057"/>
      <c r="NS191" s="6057"/>
      <c r="NT191" s="6057"/>
      <c r="NU191" s="6057"/>
      <c r="NV191" s="6057"/>
      <c r="NW191" s="6056"/>
      <c r="NX191" s="6057"/>
      <c r="NY191" s="6057"/>
      <c r="NZ191" s="6057"/>
      <c r="OA191" s="6056"/>
      <c r="OB191" s="6057"/>
      <c r="OC191" s="6057"/>
      <c r="OD191" s="6057"/>
      <c r="OE191" s="6057"/>
      <c r="OF191" s="6057"/>
      <c r="OG191" s="6056"/>
      <c r="OH191" s="6056"/>
      <c r="OI191" s="6056"/>
      <c r="OJ191" s="6056"/>
      <c r="OK191" s="6056"/>
      <c r="OL191" s="6056"/>
      <c r="OM191" s="6056"/>
      <c r="ON191" s="6058"/>
    </row>
    <row r="192" spans="3:405" s="6075" customFormat="1" ht="12" customHeight="1" x14ac:dyDescent="0.2">
      <c r="C192" s="6071"/>
      <c r="D192" s="6060" t="str">
        <f>_Calcs!$N$79</f>
        <v>Begrunnelse</v>
      </c>
      <c r="E192" s="6099"/>
      <c r="F192" s="6060"/>
      <c r="G192" s="6060"/>
      <c r="H192" s="6060"/>
      <c r="I192" s="6060"/>
      <c r="J192" s="6060"/>
      <c r="K192" s="6060"/>
      <c r="L192" s="6060"/>
      <c r="M192" s="6060"/>
      <c r="N192" s="6060"/>
      <c r="O192" s="6060"/>
      <c r="P192" s="6060"/>
      <c r="Q192" s="6060"/>
      <c r="R192" s="6060"/>
      <c r="S192" s="6060"/>
      <c r="T192" s="6072"/>
      <c r="U192" s="6072"/>
      <c r="V192" s="6072"/>
      <c r="W192" s="6072"/>
      <c r="X192" s="6072"/>
      <c r="Y192" s="6072"/>
      <c r="Z192" s="6072"/>
      <c r="AA192" s="6072"/>
      <c r="AB192" s="6072"/>
      <c r="AC192" s="6072"/>
      <c r="AD192" s="6072"/>
      <c r="AE192" s="6072"/>
      <c r="AF192" s="6072"/>
      <c r="AG192" s="6072"/>
      <c r="AH192" s="6072"/>
      <c r="AI192" s="6072"/>
      <c r="AJ192" s="6072"/>
      <c r="AK192" s="6072"/>
      <c r="AL192" s="6072"/>
      <c r="AM192" s="6072"/>
      <c r="AN192" s="6072"/>
      <c r="AO192" s="6072"/>
      <c r="AP192" s="6072"/>
      <c r="AQ192" s="6072"/>
      <c r="AR192" s="6074"/>
      <c r="AV192" s="6071"/>
      <c r="AW192" s="6060" t="str">
        <f>_Calcs!$N$79</f>
        <v>Begrunnelse</v>
      </c>
      <c r="AX192" s="6099"/>
      <c r="AY192" s="6060"/>
      <c r="AZ192" s="6060"/>
      <c r="BA192" s="6060"/>
      <c r="BB192" s="6060"/>
      <c r="BC192" s="6060"/>
      <c r="BD192" s="6060"/>
      <c r="BE192" s="6060"/>
      <c r="BF192" s="6060"/>
      <c r="BG192" s="6060"/>
      <c r="BH192" s="6060"/>
      <c r="BI192" s="6060"/>
      <c r="BJ192" s="6060"/>
      <c r="BK192" s="6060"/>
      <c r="BL192" s="6060"/>
      <c r="BM192" s="6072"/>
      <c r="BN192" s="6072"/>
      <c r="BO192" s="6072"/>
      <c r="BP192" s="6072"/>
      <c r="BQ192" s="6072"/>
      <c r="BR192" s="6072"/>
      <c r="BS192" s="6072"/>
      <c r="BT192" s="6072"/>
      <c r="BU192" s="6072"/>
      <c r="BV192" s="6072"/>
      <c r="BW192" s="6072"/>
      <c r="BX192" s="6072"/>
      <c r="BY192" s="6072"/>
      <c r="BZ192" s="6072"/>
      <c r="CA192" s="6072"/>
      <c r="CB192" s="6072"/>
      <c r="CC192" s="6072"/>
      <c r="CD192" s="6072"/>
      <c r="CE192" s="6072"/>
      <c r="CF192" s="6072"/>
      <c r="CG192" s="6072"/>
      <c r="CH192" s="6072"/>
      <c r="CI192" s="6072"/>
      <c r="CJ192" s="6072"/>
      <c r="CK192" s="6074"/>
      <c r="CO192" s="6071"/>
      <c r="CP192" s="6060" t="str">
        <f>_Calcs!$N$79</f>
        <v>Begrunnelse</v>
      </c>
      <c r="CQ192" s="6099"/>
      <c r="CR192" s="6060"/>
      <c r="CS192" s="6060"/>
      <c r="CT192" s="6060"/>
      <c r="CU192" s="6060"/>
      <c r="CV192" s="6060"/>
      <c r="CW192" s="6060"/>
      <c r="CX192" s="6060"/>
      <c r="CY192" s="6060"/>
      <c r="CZ192" s="6060"/>
      <c r="DA192" s="6060"/>
      <c r="DB192" s="6060"/>
      <c r="DC192" s="6060"/>
      <c r="DD192" s="6060"/>
      <c r="DE192" s="6060"/>
      <c r="DF192" s="6072"/>
      <c r="DG192" s="6072"/>
      <c r="DH192" s="6072"/>
      <c r="DI192" s="6072"/>
      <c r="DJ192" s="6072"/>
      <c r="DK192" s="6072"/>
      <c r="DL192" s="6072"/>
      <c r="DM192" s="6072"/>
      <c r="DN192" s="6072"/>
      <c r="DO192" s="6072"/>
      <c r="DP192" s="6072"/>
      <c r="DQ192" s="6072"/>
      <c r="DR192" s="6072"/>
      <c r="DS192" s="6072"/>
      <c r="DT192" s="6072"/>
      <c r="DU192" s="6072"/>
      <c r="DV192" s="6072"/>
      <c r="DW192" s="6072"/>
      <c r="DX192" s="6072"/>
      <c r="DY192" s="6072"/>
      <c r="DZ192" s="6072"/>
      <c r="EA192" s="6072"/>
      <c r="EB192" s="6072"/>
      <c r="EC192" s="6072"/>
      <c r="ED192" s="6074"/>
      <c r="EH192" s="6071"/>
      <c r="EI192" s="6060" t="str">
        <f>_Calcs!$N$79</f>
        <v>Begrunnelse</v>
      </c>
      <c r="EJ192" s="6099"/>
      <c r="EK192" s="6060"/>
      <c r="EL192" s="6060"/>
      <c r="EM192" s="6060"/>
      <c r="EN192" s="6060"/>
      <c r="EO192" s="6060"/>
      <c r="EP192" s="6060"/>
      <c r="EQ192" s="6060"/>
      <c r="ER192" s="6060"/>
      <c r="ES192" s="6060"/>
      <c r="ET192" s="6060"/>
      <c r="EU192" s="6060"/>
      <c r="EV192" s="6060"/>
      <c r="EW192" s="6060"/>
      <c r="EX192" s="6060"/>
      <c r="EY192" s="6072"/>
      <c r="EZ192" s="6072"/>
      <c r="FA192" s="6072"/>
      <c r="FB192" s="6072"/>
      <c r="FC192" s="6072"/>
      <c r="FD192" s="6072"/>
      <c r="FE192" s="6072"/>
      <c r="FF192" s="6072"/>
      <c r="FG192" s="6072"/>
      <c r="FH192" s="6072"/>
      <c r="FI192" s="6072"/>
      <c r="FJ192" s="6072"/>
      <c r="FK192" s="6072"/>
      <c r="FL192" s="6072"/>
      <c r="FM192" s="6072"/>
      <c r="FN192" s="6072"/>
      <c r="FO192" s="6072"/>
      <c r="FP192" s="6072"/>
      <c r="FQ192" s="6072"/>
      <c r="FR192" s="6072"/>
      <c r="FS192" s="6072"/>
      <c r="FT192" s="6072"/>
      <c r="FU192" s="6072"/>
      <c r="FV192" s="6072"/>
      <c r="FW192" s="6074"/>
      <c r="GA192" s="6071"/>
      <c r="GB192" s="6060" t="str">
        <f>_Calcs!$N$79</f>
        <v>Begrunnelse</v>
      </c>
      <c r="GC192" s="6099"/>
      <c r="GD192" s="6060"/>
      <c r="GE192" s="6060"/>
      <c r="GF192" s="6060"/>
      <c r="GG192" s="6060"/>
      <c r="GH192" s="6060"/>
      <c r="GI192" s="6060"/>
      <c r="GJ192" s="6060"/>
      <c r="GK192" s="6060"/>
      <c r="GL192" s="6060"/>
      <c r="GM192" s="6060"/>
      <c r="GN192" s="6060"/>
      <c r="GO192" s="6060"/>
      <c r="GP192" s="6060"/>
      <c r="GQ192" s="6060"/>
      <c r="GR192" s="6072"/>
      <c r="GS192" s="6072"/>
      <c r="GT192" s="6072"/>
      <c r="GU192" s="6072"/>
      <c r="GV192" s="6072"/>
      <c r="GW192" s="6072"/>
      <c r="GX192" s="6072"/>
      <c r="GY192" s="6072"/>
      <c r="GZ192" s="6072"/>
      <c r="HA192" s="6072"/>
      <c r="HB192" s="6072"/>
      <c r="HC192" s="6072"/>
      <c r="HD192" s="6072"/>
      <c r="HE192" s="6072"/>
      <c r="HF192" s="6072"/>
      <c r="HG192" s="6072"/>
      <c r="HH192" s="6072"/>
      <c r="HI192" s="6072"/>
      <c r="HJ192" s="6072"/>
      <c r="HK192" s="6072"/>
      <c r="HL192" s="6072"/>
      <c r="HM192" s="6072"/>
      <c r="HN192" s="6072"/>
      <c r="HO192" s="6072"/>
      <c r="HP192" s="6074"/>
      <c r="HT192" s="6071"/>
      <c r="HU192" s="6060" t="str">
        <f>_Calcs!$N$79</f>
        <v>Begrunnelse</v>
      </c>
      <c r="HV192" s="6099"/>
      <c r="HW192" s="6060"/>
      <c r="HX192" s="6060"/>
      <c r="HY192" s="6060"/>
      <c r="HZ192" s="6060"/>
      <c r="IA192" s="6060"/>
      <c r="IB192" s="6060"/>
      <c r="IC192" s="6060"/>
      <c r="ID192" s="6060"/>
      <c r="IE192" s="6060"/>
      <c r="IF192" s="6060"/>
      <c r="IG192" s="6060"/>
      <c r="IH192" s="6060"/>
      <c r="II192" s="6060"/>
      <c r="IJ192" s="6060"/>
      <c r="IK192" s="6072"/>
      <c r="IL192" s="6072"/>
      <c r="IM192" s="6072"/>
      <c r="IN192" s="6072"/>
      <c r="IO192" s="6072"/>
      <c r="IP192" s="6072"/>
      <c r="IQ192" s="6072"/>
      <c r="IR192" s="6072"/>
      <c r="IS192" s="6072"/>
      <c r="IT192" s="6072"/>
      <c r="IU192" s="6072"/>
      <c r="IV192" s="6072"/>
      <c r="IW192" s="6072"/>
      <c r="IX192" s="6072"/>
      <c r="IY192" s="6072"/>
      <c r="IZ192" s="6072"/>
      <c r="JA192" s="6072"/>
      <c r="JB192" s="6072"/>
      <c r="JC192" s="6072"/>
      <c r="JD192" s="6072"/>
      <c r="JE192" s="6072"/>
      <c r="JF192" s="6072"/>
      <c r="JG192" s="6072"/>
      <c r="JH192" s="6072"/>
      <c r="JI192" s="6074"/>
      <c r="JM192" s="6071"/>
      <c r="JN192" s="6060" t="str">
        <f>_Calcs!$N$79</f>
        <v>Begrunnelse</v>
      </c>
      <c r="JO192" s="6099"/>
      <c r="JP192" s="6060"/>
      <c r="JQ192" s="6060"/>
      <c r="JR192" s="6060"/>
      <c r="JS192" s="6060"/>
      <c r="JT192" s="6060"/>
      <c r="JU192" s="6060"/>
      <c r="JV192" s="6060"/>
      <c r="JW192" s="6060"/>
      <c r="JX192" s="6060"/>
      <c r="JY192" s="6060"/>
      <c r="JZ192" s="6060"/>
      <c r="KA192" s="6060"/>
      <c r="KB192" s="6060"/>
      <c r="KC192" s="6060"/>
      <c r="KD192" s="6072"/>
      <c r="KE192" s="6072"/>
      <c r="KF192" s="6072"/>
      <c r="KG192" s="6072"/>
      <c r="KH192" s="6072"/>
      <c r="KI192" s="6072"/>
      <c r="KJ192" s="6072"/>
      <c r="KK192" s="6072"/>
      <c r="KL192" s="6072"/>
      <c r="KM192" s="6072"/>
      <c r="KN192" s="6072"/>
      <c r="KO192" s="6072"/>
      <c r="KP192" s="6072"/>
      <c r="KQ192" s="6072"/>
      <c r="KR192" s="6072"/>
      <c r="KS192" s="6072"/>
      <c r="KT192" s="6072"/>
      <c r="KU192" s="6072"/>
      <c r="KV192" s="6072"/>
      <c r="KW192" s="6072"/>
      <c r="KX192" s="6072"/>
      <c r="KY192" s="6072"/>
      <c r="KZ192" s="6072"/>
      <c r="LA192" s="6072"/>
      <c r="LB192" s="6074"/>
      <c r="LF192" s="6071"/>
      <c r="LG192" s="6060" t="str">
        <f>_Calcs!$N$79</f>
        <v>Begrunnelse</v>
      </c>
      <c r="LH192" s="6099"/>
      <c r="LI192" s="6060"/>
      <c r="LJ192" s="6060"/>
      <c r="LK192" s="6060"/>
      <c r="LL192" s="6060"/>
      <c r="LM192" s="6060"/>
      <c r="LN192" s="6060"/>
      <c r="LO192" s="6060"/>
      <c r="LP192" s="6060"/>
      <c r="LQ192" s="6060"/>
      <c r="LR192" s="6060"/>
      <c r="LS192" s="6060"/>
      <c r="LT192" s="6060"/>
      <c r="LU192" s="6060"/>
      <c r="LV192" s="6060"/>
      <c r="LW192" s="6072"/>
      <c r="LX192" s="6072"/>
      <c r="LY192" s="6072"/>
      <c r="LZ192" s="6072"/>
      <c r="MA192" s="6072"/>
      <c r="MB192" s="6072"/>
      <c r="MC192" s="6072"/>
      <c r="MD192" s="6072"/>
      <c r="ME192" s="6072"/>
      <c r="MF192" s="6072"/>
      <c r="MG192" s="6072"/>
      <c r="MH192" s="6072"/>
      <c r="MI192" s="6072"/>
      <c r="MJ192" s="6072"/>
      <c r="MK192" s="6072"/>
      <c r="ML192" s="6072"/>
      <c r="MM192" s="6072"/>
      <c r="MN192" s="6072"/>
      <c r="MO192" s="6072"/>
      <c r="MP192" s="6072"/>
      <c r="MQ192" s="6072"/>
      <c r="MR192" s="6072"/>
      <c r="MS192" s="6072"/>
      <c r="MT192" s="6072"/>
      <c r="MU192" s="6074"/>
      <c r="MY192" s="6071"/>
      <c r="MZ192" s="6060" t="str">
        <f>_Calcs!$N$79</f>
        <v>Begrunnelse</v>
      </c>
      <c r="NA192" s="6099"/>
      <c r="NB192" s="6060"/>
      <c r="NC192" s="6060"/>
      <c r="ND192" s="6060"/>
      <c r="NE192" s="6060"/>
      <c r="NF192" s="6060"/>
      <c r="NG192" s="6060"/>
      <c r="NH192" s="6060"/>
      <c r="NI192" s="6060"/>
      <c r="NJ192" s="6060"/>
      <c r="NK192" s="6060"/>
      <c r="NL192" s="6060"/>
      <c r="NM192" s="6060"/>
      <c r="NN192" s="6060"/>
      <c r="NO192" s="6060"/>
      <c r="NP192" s="6072"/>
      <c r="NQ192" s="6072"/>
      <c r="NR192" s="6072"/>
      <c r="NS192" s="6072"/>
      <c r="NT192" s="6072"/>
      <c r="NU192" s="6072"/>
      <c r="NV192" s="6072"/>
      <c r="NW192" s="6072"/>
      <c r="NX192" s="6072"/>
      <c r="NY192" s="6072"/>
      <c r="NZ192" s="6072"/>
      <c r="OA192" s="6072"/>
      <c r="OB192" s="6072"/>
      <c r="OC192" s="6072"/>
      <c r="OD192" s="6072"/>
      <c r="OE192" s="6072"/>
      <c r="OF192" s="6072"/>
      <c r="OG192" s="6072"/>
      <c r="OH192" s="6072"/>
      <c r="OI192" s="6072"/>
      <c r="OJ192" s="6072"/>
      <c r="OK192" s="6072"/>
      <c r="OL192" s="6072"/>
      <c r="OM192" s="6072"/>
      <c r="ON192" s="6074"/>
    </row>
    <row r="193" spans="3:405" ht="5.0999999999999996" customHeight="1" thickBot="1" x14ac:dyDescent="0.25">
      <c r="C193" s="6055"/>
      <c r="D193" s="6056"/>
      <c r="E193" s="6056"/>
      <c r="F193" s="6056"/>
      <c r="G193" s="6056"/>
      <c r="H193" s="6056"/>
      <c r="I193" s="6056"/>
      <c r="J193" s="6056"/>
      <c r="K193" s="6056"/>
      <c r="L193" s="6056"/>
      <c r="M193" s="6056"/>
      <c r="N193" s="6056"/>
      <c r="O193" s="6056"/>
      <c r="P193" s="6056"/>
      <c r="Q193" s="6056"/>
      <c r="R193" s="6056"/>
      <c r="S193" s="6056"/>
      <c r="T193" s="6056"/>
      <c r="U193" s="6056"/>
      <c r="V193" s="6056"/>
      <c r="W193" s="6056"/>
      <c r="X193" s="6056"/>
      <c r="Y193" s="6056"/>
      <c r="Z193" s="6056"/>
      <c r="AA193" s="6056"/>
      <c r="AB193" s="6056"/>
      <c r="AC193" s="6056"/>
      <c r="AD193" s="6056"/>
      <c r="AE193" s="6056"/>
      <c r="AF193" s="6056"/>
      <c r="AG193" s="6056"/>
      <c r="AH193" s="6056"/>
      <c r="AI193" s="6056"/>
      <c r="AJ193" s="6056"/>
      <c r="AK193" s="6056"/>
      <c r="AL193" s="6056"/>
      <c r="AM193" s="6056"/>
      <c r="AN193" s="6056"/>
      <c r="AO193" s="6056"/>
      <c r="AP193" s="6056"/>
      <c r="AQ193" s="6056"/>
      <c r="AR193" s="6058"/>
      <c r="AV193" s="6055"/>
      <c r="AW193" s="6056"/>
      <c r="AX193" s="6056"/>
      <c r="AY193" s="6056"/>
      <c r="AZ193" s="6056"/>
      <c r="BA193" s="6056"/>
      <c r="BB193" s="6056"/>
      <c r="BC193" s="6056"/>
      <c r="BD193" s="6056"/>
      <c r="BE193" s="6056"/>
      <c r="BF193" s="6056"/>
      <c r="BG193" s="6056"/>
      <c r="BH193" s="6056"/>
      <c r="BI193" s="6056"/>
      <c r="BJ193" s="6056"/>
      <c r="BK193" s="6056"/>
      <c r="BL193" s="6056"/>
      <c r="BM193" s="6056"/>
      <c r="BN193" s="6056"/>
      <c r="BO193" s="6056"/>
      <c r="BP193" s="6056"/>
      <c r="BQ193" s="6056"/>
      <c r="BR193" s="6056"/>
      <c r="BS193" s="6056"/>
      <c r="BT193" s="6056"/>
      <c r="BU193" s="6056"/>
      <c r="BV193" s="6056"/>
      <c r="BW193" s="6056"/>
      <c r="BX193" s="6056"/>
      <c r="BY193" s="6056"/>
      <c r="BZ193" s="6056"/>
      <c r="CA193" s="6056"/>
      <c r="CB193" s="6056"/>
      <c r="CC193" s="6056"/>
      <c r="CD193" s="6056"/>
      <c r="CE193" s="6056"/>
      <c r="CF193" s="6056"/>
      <c r="CG193" s="6056"/>
      <c r="CH193" s="6056"/>
      <c r="CI193" s="6056"/>
      <c r="CJ193" s="6056"/>
      <c r="CK193" s="6058"/>
      <c r="CO193" s="6055"/>
      <c r="CP193" s="6056"/>
      <c r="CQ193" s="6056"/>
      <c r="CR193" s="6056"/>
      <c r="CS193" s="6056"/>
      <c r="CT193" s="6056"/>
      <c r="CU193" s="6056"/>
      <c r="CV193" s="6056"/>
      <c r="CW193" s="6056"/>
      <c r="CX193" s="6056"/>
      <c r="CY193" s="6056"/>
      <c r="CZ193" s="6056"/>
      <c r="DA193" s="6056"/>
      <c r="DB193" s="6056"/>
      <c r="DC193" s="6056"/>
      <c r="DD193" s="6056"/>
      <c r="DE193" s="6056"/>
      <c r="DF193" s="6056"/>
      <c r="DG193" s="6056"/>
      <c r="DH193" s="6056"/>
      <c r="DI193" s="6056"/>
      <c r="DJ193" s="6056"/>
      <c r="DK193" s="6056"/>
      <c r="DL193" s="6056"/>
      <c r="DM193" s="6056"/>
      <c r="DN193" s="6056"/>
      <c r="DO193" s="6056"/>
      <c r="DP193" s="6056"/>
      <c r="DQ193" s="6056"/>
      <c r="DR193" s="6056"/>
      <c r="DS193" s="6056"/>
      <c r="DT193" s="6056"/>
      <c r="DU193" s="6056"/>
      <c r="DV193" s="6056"/>
      <c r="DW193" s="6056"/>
      <c r="DX193" s="6056"/>
      <c r="DY193" s="6056"/>
      <c r="DZ193" s="6056"/>
      <c r="EA193" s="6056"/>
      <c r="EB193" s="6056"/>
      <c r="EC193" s="6056"/>
      <c r="ED193" s="6058"/>
      <c r="EH193" s="6055"/>
      <c r="EI193" s="6056"/>
      <c r="EJ193" s="6056"/>
      <c r="EK193" s="6056"/>
      <c r="EL193" s="6056"/>
      <c r="EM193" s="6056"/>
      <c r="EN193" s="6056"/>
      <c r="EO193" s="6056"/>
      <c r="EP193" s="6056"/>
      <c r="EQ193" s="6056"/>
      <c r="ER193" s="6056"/>
      <c r="ES193" s="6056"/>
      <c r="ET193" s="6056"/>
      <c r="EU193" s="6056"/>
      <c r="EV193" s="6056"/>
      <c r="EW193" s="6056"/>
      <c r="EX193" s="6056"/>
      <c r="EY193" s="6056"/>
      <c r="EZ193" s="6056"/>
      <c r="FA193" s="6056"/>
      <c r="FB193" s="6056"/>
      <c r="FC193" s="6056"/>
      <c r="FD193" s="6056"/>
      <c r="FE193" s="6056"/>
      <c r="FF193" s="6056"/>
      <c r="FG193" s="6056"/>
      <c r="FH193" s="6056"/>
      <c r="FI193" s="6056"/>
      <c r="FJ193" s="6056"/>
      <c r="FK193" s="6056"/>
      <c r="FL193" s="6056"/>
      <c r="FM193" s="6056"/>
      <c r="FN193" s="6056"/>
      <c r="FO193" s="6056"/>
      <c r="FP193" s="6056"/>
      <c r="FQ193" s="6056"/>
      <c r="FR193" s="6056"/>
      <c r="FS193" s="6056"/>
      <c r="FT193" s="6056"/>
      <c r="FU193" s="6056"/>
      <c r="FV193" s="6056"/>
      <c r="FW193" s="6058"/>
      <c r="GA193" s="6055"/>
      <c r="GB193" s="6056"/>
      <c r="GC193" s="6056"/>
      <c r="GD193" s="6056"/>
      <c r="GE193" s="6056"/>
      <c r="GF193" s="6056"/>
      <c r="GG193" s="6056"/>
      <c r="GH193" s="6056"/>
      <c r="GI193" s="6056"/>
      <c r="GJ193" s="6056"/>
      <c r="GK193" s="6056"/>
      <c r="GL193" s="6056"/>
      <c r="GM193" s="6056"/>
      <c r="GN193" s="6056"/>
      <c r="GO193" s="6056"/>
      <c r="GP193" s="6056"/>
      <c r="GQ193" s="6056"/>
      <c r="GR193" s="6056"/>
      <c r="GS193" s="6056"/>
      <c r="GT193" s="6056"/>
      <c r="GU193" s="6056"/>
      <c r="GV193" s="6056"/>
      <c r="GW193" s="6056"/>
      <c r="GX193" s="6056"/>
      <c r="GY193" s="6056"/>
      <c r="GZ193" s="6056"/>
      <c r="HA193" s="6056"/>
      <c r="HB193" s="6056"/>
      <c r="HC193" s="6056"/>
      <c r="HD193" s="6056"/>
      <c r="HE193" s="6056"/>
      <c r="HF193" s="6056"/>
      <c r="HG193" s="6056"/>
      <c r="HH193" s="6056"/>
      <c r="HI193" s="6056"/>
      <c r="HJ193" s="6056"/>
      <c r="HK193" s="6056"/>
      <c r="HL193" s="6056"/>
      <c r="HM193" s="6056"/>
      <c r="HN193" s="6056"/>
      <c r="HO193" s="6056"/>
      <c r="HP193" s="6058"/>
      <c r="HT193" s="6055"/>
      <c r="HU193" s="6056"/>
      <c r="HV193" s="6056"/>
      <c r="HW193" s="6056"/>
      <c r="HX193" s="6056"/>
      <c r="HY193" s="6056"/>
      <c r="HZ193" s="6056"/>
      <c r="IA193" s="6056"/>
      <c r="IB193" s="6056"/>
      <c r="IC193" s="6056"/>
      <c r="ID193" s="6056"/>
      <c r="IE193" s="6056"/>
      <c r="IF193" s="6056"/>
      <c r="IG193" s="6056"/>
      <c r="IH193" s="6056"/>
      <c r="II193" s="6056"/>
      <c r="IJ193" s="6056"/>
      <c r="IK193" s="6056"/>
      <c r="IL193" s="6056"/>
      <c r="IM193" s="6056"/>
      <c r="IN193" s="6056"/>
      <c r="IO193" s="6056"/>
      <c r="IP193" s="6056"/>
      <c r="IQ193" s="6056"/>
      <c r="IR193" s="6056"/>
      <c r="IS193" s="6056"/>
      <c r="IT193" s="6056"/>
      <c r="IU193" s="6056"/>
      <c r="IV193" s="6056"/>
      <c r="IW193" s="6056"/>
      <c r="IX193" s="6056"/>
      <c r="IY193" s="6056"/>
      <c r="IZ193" s="6056"/>
      <c r="JA193" s="6056"/>
      <c r="JB193" s="6056"/>
      <c r="JC193" s="6056"/>
      <c r="JD193" s="6056"/>
      <c r="JE193" s="6056"/>
      <c r="JF193" s="6056"/>
      <c r="JG193" s="6056"/>
      <c r="JH193" s="6056"/>
      <c r="JI193" s="6058"/>
      <c r="JM193" s="6055"/>
      <c r="JN193" s="6056"/>
      <c r="JO193" s="6056"/>
      <c r="JP193" s="6056"/>
      <c r="JQ193" s="6056"/>
      <c r="JR193" s="6056"/>
      <c r="JS193" s="6056"/>
      <c r="JT193" s="6056"/>
      <c r="JU193" s="6056"/>
      <c r="JV193" s="6056"/>
      <c r="JW193" s="6056"/>
      <c r="JX193" s="6056"/>
      <c r="JY193" s="6056"/>
      <c r="JZ193" s="6056"/>
      <c r="KA193" s="6056"/>
      <c r="KB193" s="6056"/>
      <c r="KC193" s="6056"/>
      <c r="KD193" s="6056"/>
      <c r="KE193" s="6056"/>
      <c r="KF193" s="6056"/>
      <c r="KG193" s="6056"/>
      <c r="KH193" s="6056"/>
      <c r="KI193" s="6056"/>
      <c r="KJ193" s="6056"/>
      <c r="KK193" s="6056"/>
      <c r="KL193" s="6056"/>
      <c r="KM193" s="6056"/>
      <c r="KN193" s="6056"/>
      <c r="KO193" s="6056"/>
      <c r="KP193" s="6056"/>
      <c r="KQ193" s="6056"/>
      <c r="KR193" s="6056"/>
      <c r="KS193" s="6056"/>
      <c r="KT193" s="6056"/>
      <c r="KU193" s="6056"/>
      <c r="KV193" s="6056"/>
      <c r="KW193" s="6056"/>
      <c r="KX193" s="6056"/>
      <c r="KY193" s="6056"/>
      <c r="KZ193" s="6056"/>
      <c r="LA193" s="6056"/>
      <c r="LB193" s="6058"/>
      <c r="LF193" s="6055"/>
      <c r="LG193" s="6056"/>
      <c r="LH193" s="6056"/>
      <c r="LI193" s="6056"/>
      <c r="LJ193" s="6056"/>
      <c r="LK193" s="6056"/>
      <c r="LL193" s="6056"/>
      <c r="LM193" s="6056"/>
      <c r="LN193" s="6056"/>
      <c r="LO193" s="6056"/>
      <c r="LP193" s="6056"/>
      <c r="LQ193" s="6056"/>
      <c r="LR193" s="6056"/>
      <c r="LS193" s="6056"/>
      <c r="LT193" s="6056"/>
      <c r="LU193" s="6056"/>
      <c r="LV193" s="6056"/>
      <c r="LW193" s="6056"/>
      <c r="LX193" s="6056"/>
      <c r="LY193" s="6056"/>
      <c r="LZ193" s="6056"/>
      <c r="MA193" s="6056"/>
      <c r="MB193" s="6056"/>
      <c r="MC193" s="6056"/>
      <c r="MD193" s="6056"/>
      <c r="ME193" s="6056"/>
      <c r="MF193" s="6056"/>
      <c r="MG193" s="6056"/>
      <c r="MH193" s="6056"/>
      <c r="MI193" s="6056"/>
      <c r="MJ193" s="6056"/>
      <c r="MK193" s="6056"/>
      <c r="ML193" s="6056"/>
      <c r="MM193" s="6056"/>
      <c r="MN193" s="6056"/>
      <c r="MO193" s="6056"/>
      <c r="MP193" s="6056"/>
      <c r="MQ193" s="6056"/>
      <c r="MR193" s="6056"/>
      <c r="MS193" s="6056"/>
      <c r="MT193" s="6056"/>
      <c r="MU193" s="6058"/>
      <c r="MY193" s="6055"/>
      <c r="MZ193" s="6056"/>
      <c r="NA193" s="6056"/>
      <c r="NB193" s="6056"/>
      <c r="NC193" s="6056"/>
      <c r="ND193" s="6056"/>
      <c r="NE193" s="6056"/>
      <c r="NF193" s="6056"/>
      <c r="NG193" s="6056"/>
      <c r="NH193" s="6056"/>
      <c r="NI193" s="6056"/>
      <c r="NJ193" s="6056"/>
      <c r="NK193" s="6056"/>
      <c r="NL193" s="6056"/>
      <c r="NM193" s="6056"/>
      <c r="NN193" s="6056"/>
      <c r="NO193" s="6056"/>
      <c r="NP193" s="6056"/>
      <c r="NQ193" s="6056"/>
      <c r="NR193" s="6056"/>
      <c r="NS193" s="6056"/>
      <c r="NT193" s="6056"/>
      <c r="NU193" s="6056"/>
      <c r="NV193" s="6056"/>
      <c r="NW193" s="6056"/>
      <c r="NX193" s="6056"/>
      <c r="NY193" s="6056"/>
      <c r="NZ193" s="6056"/>
      <c r="OA193" s="6056"/>
      <c r="OB193" s="6056"/>
      <c r="OC193" s="6056"/>
      <c r="OD193" s="6056"/>
      <c r="OE193" s="6056"/>
      <c r="OF193" s="6056"/>
      <c r="OG193" s="6056"/>
      <c r="OH193" s="6056"/>
      <c r="OI193" s="6056"/>
      <c r="OJ193" s="6056"/>
      <c r="OK193" s="6056"/>
      <c r="OL193" s="6056"/>
      <c r="OM193" s="6056"/>
      <c r="ON193" s="6058"/>
    </row>
    <row r="194" spans="3:405" ht="8.1" customHeight="1" x14ac:dyDescent="0.2">
      <c r="C194" s="6055"/>
      <c r="D194" s="6082"/>
      <c r="E194" s="6083"/>
      <c r="F194" s="6083"/>
      <c r="G194" s="6083"/>
      <c r="H194" s="6083"/>
      <c r="I194" s="6083"/>
      <c r="J194" s="6083"/>
      <c r="K194" s="6083"/>
      <c r="L194" s="6083"/>
      <c r="M194" s="6083"/>
      <c r="N194" s="6083"/>
      <c r="O194" s="6083"/>
      <c r="P194" s="6083"/>
      <c r="Q194" s="6083"/>
      <c r="R194" s="6083"/>
      <c r="S194" s="6083"/>
      <c r="T194" s="6083"/>
      <c r="U194" s="6083"/>
      <c r="V194" s="6083"/>
      <c r="W194" s="6083"/>
      <c r="X194" s="6083"/>
      <c r="Y194" s="6083"/>
      <c r="Z194" s="6083"/>
      <c r="AA194" s="6083"/>
      <c r="AB194" s="6083"/>
      <c r="AC194" s="6083"/>
      <c r="AD194" s="6083"/>
      <c r="AE194" s="6083"/>
      <c r="AF194" s="6083"/>
      <c r="AG194" s="6083"/>
      <c r="AH194" s="6083"/>
      <c r="AI194" s="6083"/>
      <c r="AJ194" s="6083"/>
      <c r="AK194" s="6083"/>
      <c r="AL194" s="6083"/>
      <c r="AM194" s="6083"/>
      <c r="AN194" s="6083"/>
      <c r="AO194" s="6083"/>
      <c r="AP194" s="6083"/>
      <c r="AQ194" s="6084"/>
      <c r="AR194" s="6058"/>
      <c r="AV194" s="6055"/>
      <c r="AW194" s="6082"/>
      <c r="AX194" s="6083"/>
      <c r="AY194" s="6083"/>
      <c r="AZ194" s="6083"/>
      <c r="BA194" s="6083"/>
      <c r="BB194" s="6083"/>
      <c r="BC194" s="6083"/>
      <c r="BD194" s="6083"/>
      <c r="BE194" s="6083"/>
      <c r="BF194" s="6083"/>
      <c r="BG194" s="6083"/>
      <c r="BH194" s="6083"/>
      <c r="BI194" s="6083"/>
      <c r="BJ194" s="6083"/>
      <c r="BK194" s="6083"/>
      <c r="BL194" s="6083"/>
      <c r="BM194" s="6083"/>
      <c r="BN194" s="6083"/>
      <c r="BO194" s="6083"/>
      <c r="BP194" s="6083"/>
      <c r="BQ194" s="6083"/>
      <c r="BR194" s="6083"/>
      <c r="BS194" s="6083"/>
      <c r="BT194" s="6083"/>
      <c r="BU194" s="6083"/>
      <c r="BV194" s="6083"/>
      <c r="BW194" s="6083"/>
      <c r="BX194" s="6083"/>
      <c r="BY194" s="6083"/>
      <c r="BZ194" s="6083"/>
      <c r="CA194" s="6083"/>
      <c r="CB194" s="6083"/>
      <c r="CC194" s="6083"/>
      <c r="CD194" s="6083"/>
      <c r="CE194" s="6083"/>
      <c r="CF194" s="6083"/>
      <c r="CG194" s="6083"/>
      <c r="CH194" s="6083"/>
      <c r="CI194" s="6083"/>
      <c r="CJ194" s="6084"/>
      <c r="CK194" s="6058"/>
      <c r="CO194" s="6055"/>
      <c r="CP194" s="6082"/>
      <c r="CQ194" s="6083"/>
      <c r="CR194" s="6083"/>
      <c r="CS194" s="6083"/>
      <c r="CT194" s="6083"/>
      <c r="CU194" s="6083"/>
      <c r="CV194" s="6083"/>
      <c r="CW194" s="6083"/>
      <c r="CX194" s="6083"/>
      <c r="CY194" s="6083"/>
      <c r="CZ194" s="6083"/>
      <c r="DA194" s="6083"/>
      <c r="DB194" s="6083"/>
      <c r="DC194" s="6083"/>
      <c r="DD194" s="6083"/>
      <c r="DE194" s="6083"/>
      <c r="DF194" s="6083"/>
      <c r="DG194" s="6083"/>
      <c r="DH194" s="6083"/>
      <c r="DI194" s="6083"/>
      <c r="DJ194" s="6083"/>
      <c r="DK194" s="6083"/>
      <c r="DL194" s="6083"/>
      <c r="DM194" s="6083"/>
      <c r="DN194" s="6083"/>
      <c r="DO194" s="6083"/>
      <c r="DP194" s="6083"/>
      <c r="DQ194" s="6083"/>
      <c r="DR194" s="6083"/>
      <c r="DS194" s="6083"/>
      <c r="DT194" s="6083"/>
      <c r="DU194" s="6083"/>
      <c r="DV194" s="6083"/>
      <c r="DW194" s="6083"/>
      <c r="DX194" s="6083"/>
      <c r="DY194" s="6083"/>
      <c r="DZ194" s="6083"/>
      <c r="EA194" s="6083"/>
      <c r="EB194" s="6083"/>
      <c r="EC194" s="6084"/>
      <c r="ED194" s="6058"/>
      <c r="EH194" s="6055"/>
      <c r="EI194" s="6082"/>
      <c r="EJ194" s="6083"/>
      <c r="EK194" s="6083"/>
      <c r="EL194" s="6083"/>
      <c r="EM194" s="6083"/>
      <c r="EN194" s="6083"/>
      <c r="EO194" s="6083"/>
      <c r="EP194" s="6083"/>
      <c r="EQ194" s="6083"/>
      <c r="ER194" s="6083"/>
      <c r="ES194" s="6083"/>
      <c r="ET194" s="6083"/>
      <c r="EU194" s="6083"/>
      <c r="EV194" s="6083"/>
      <c r="EW194" s="6083"/>
      <c r="EX194" s="6083"/>
      <c r="EY194" s="6083"/>
      <c r="EZ194" s="6083"/>
      <c r="FA194" s="6083"/>
      <c r="FB194" s="6083"/>
      <c r="FC194" s="6083"/>
      <c r="FD194" s="6083"/>
      <c r="FE194" s="6083"/>
      <c r="FF194" s="6083"/>
      <c r="FG194" s="6083"/>
      <c r="FH194" s="6083"/>
      <c r="FI194" s="6083"/>
      <c r="FJ194" s="6083"/>
      <c r="FK194" s="6083"/>
      <c r="FL194" s="6083"/>
      <c r="FM194" s="6083"/>
      <c r="FN194" s="6083"/>
      <c r="FO194" s="6083"/>
      <c r="FP194" s="6083"/>
      <c r="FQ194" s="6083"/>
      <c r="FR194" s="6083"/>
      <c r="FS194" s="6083"/>
      <c r="FT194" s="6083"/>
      <c r="FU194" s="6083"/>
      <c r="FV194" s="6084"/>
      <c r="FW194" s="6058"/>
      <c r="GA194" s="6055"/>
      <c r="GB194" s="6082"/>
      <c r="GC194" s="6083"/>
      <c r="GD194" s="6083"/>
      <c r="GE194" s="6083"/>
      <c r="GF194" s="6083"/>
      <c r="GG194" s="6083"/>
      <c r="GH194" s="6083"/>
      <c r="GI194" s="6083"/>
      <c r="GJ194" s="6083"/>
      <c r="GK194" s="6083"/>
      <c r="GL194" s="6083"/>
      <c r="GM194" s="6083"/>
      <c r="GN194" s="6083"/>
      <c r="GO194" s="6083"/>
      <c r="GP194" s="6083"/>
      <c r="GQ194" s="6083"/>
      <c r="GR194" s="6083"/>
      <c r="GS194" s="6083"/>
      <c r="GT194" s="6083"/>
      <c r="GU194" s="6083"/>
      <c r="GV194" s="6083"/>
      <c r="GW194" s="6083"/>
      <c r="GX194" s="6083"/>
      <c r="GY194" s="6083"/>
      <c r="GZ194" s="6083"/>
      <c r="HA194" s="6083"/>
      <c r="HB194" s="6083"/>
      <c r="HC194" s="6083"/>
      <c r="HD194" s="6083"/>
      <c r="HE194" s="6083"/>
      <c r="HF194" s="6083"/>
      <c r="HG194" s="6083"/>
      <c r="HH194" s="6083"/>
      <c r="HI194" s="6083"/>
      <c r="HJ194" s="6083"/>
      <c r="HK194" s="6083"/>
      <c r="HL194" s="6083"/>
      <c r="HM194" s="6083"/>
      <c r="HN194" s="6083"/>
      <c r="HO194" s="6084"/>
      <c r="HP194" s="6058"/>
      <c r="HT194" s="6055"/>
      <c r="HU194" s="6082"/>
      <c r="HV194" s="6083"/>
      <c r="HW194" s="6083"/>
      <c r="HX194" s="6083"/>
      <c r="HY194" s="6083"/>
      <c r="HZ194" s="6083"/>
      <c r="IA194" s="6083"/>
      <c r="IB194" s="6083"/>
      <c r="IC194" s="6083"/>
      <c r="ID194" s="6083"/>
      <c r="IE194" s="6083"/>
      <c r="IF194" s="6083"/>
      <c r="IG194" s="6083"/>
      <c r="IH194" s="6083"/>
      <c r="II194" s="6083"/>
      <c r="IJ194" s="6083"/>
      <c r="IK194" s="6083"/>
      <c r="IL194" s="6083"/>
      <c r="IM194" s="6083"/>
      <c r="IN194" s="6083"/>
      <c r="IO194" s="6083"/>
      <c r="IP194" s="6083"/>
      <c r="IQ194" s="6083"/>
      <c r="IR194" s="6083"/>
      <c r="IS194" s="6083"/>
      <c r="IT194" s="6083"/>
      <c r="IU194" s="6083"/>
      <c r="IV194" s="6083"/>
      <c r="IW194" s="6083"/>
      <c r="IX194" s="6083"/>
      <c r="IY194" s="6083"/>
      <c r="IZ194" s="6083"/>
      <c r="JA194" s="6083"/>
      <c r="JB194" s="6083"/>
      <c r="JC194" s="6083"/>
      <c r="JD194" s="6083"/>
      <c r="JE194" s="6083"/>
      <c r="JF194" s="6083"/>
      <c r="JG194" s="6083"/>
      <c r="JH194" s="6084"/>
      <c r="JI194" s="6058"/>
      <c r="JM194" s="6055"/>
      <c r="JN194" s="6082"/>
      <c r="JO194" s="6083"/>
      <c r="JP194" s="6083"/>
      <c r="JQ194" s="6083"/>
      <c r="JR194" s="6083"/>
      <c r="JS194" s="6083"/>
      <c r="JT194" s="6083"/>
      <c r="JU194" s="6083"/>
      <c r="JV194" s="6083"/>
      <c r="JW194" s="6083"/>
      <c r="JX194" s="6083"/>
      <c r="JY194" s="6083"/>
      <c r="JZ194" s="6083"/>
      <c r="KA194" s="6083"/>
      <c r="KB194" s="6083"/>
      <c r="KC194" s="6083"/>
      <c r="KD194" s="6083"/>
      <c r="KE194" s="6083"/>
      <c r="KF194" s="6083"/>
      <c r="KG194" s="6083"/>
      <c r="KH194" s="6083"/>
      <c r="KI194" s="6083"/>
      <c r="KJ194" s="6083"/>
      <c r="KK194" s="6083"/>
      <c r="KL194" s="6083"/>
      <c r="KM194" s="6083"/>
      <c r="KN194" s="6083"/>
      <c r="KO194" s="6083"/>
      <c r="KP194" s="6083"/>
      <c r="KQ194" s="6083"/>
      <c r="KR194" s="6083"/>
      <c r="KS194" s="6083"/>
      <c r="KT194" s="6083"/>
      <c r="KU194" s="6083"/>
      <c r="KV194" s="6083"/>
      <c r="KW194" s="6083"/>
      <c r="KX194" s="6083"/>
      <c r="KY194" s="6083"/>
      <c r="KZ194" s="6083"/>
      <c r="LA194" s="6084"/>
      <c r="LB194" s="6058"/>
      <c r="LF194" s="6055"/>
      <c r="LG194" s="6082"/>
      <c r="LH194" s="6083"/>
      <c r="LI194" s="6083"/>
      <c r="LJ194" s="6083"/>
      <c r="LK194" s="6083"/>
      <c r="LL194" s="6083"/>
      <c r="LM194" s="6083"/>
      <c r="LN194" s="6083"/>
      <c r="LO194" s="6083"/>
      <c r="LP194" s="6083"/>
      <c r="LQ194" s="6083"/>
      <c r="LR194" s="6083"/>
      <c r="LS194" s="6083"/>
      <c r="LT194" s="6083"/>
      <c r="LU194" s="6083"/>
      <c r="LV194" s="6083"/>
      <c r="LW194" s="6083"/>
      <c r="LX194" s="6083"/>
      <c r="LY194" s="6083"/>
      <c r="LZ194" s="6083"/>
      <c r="MA194" s="6083"/>
      <c r="MB194" s="6083"/>
      <c r="MC194" s="6083"/>
      <c r="MD194" s="6083"/>
      <c r="ME194" s="6083"/>
      <c r="MF194" s="6083"/>
      <c r="MG194" s="6083"/>
      <c r="MH194" s="6083"/>
      <c r="MI194" s="6083"/>
      <c r="MJ194" s="6083"/>
      <c r="MK194" s="6083"/>
      <c r="ML194" s="6083"/>
      <c r="MM194" s="6083"/>
      <c r="MN194" s="6083"/>
      <c r="MO194" s="6083"/>
      <c r="MP194" s="6083"/>
      <c r="MQ194" s="6083"/>
      <c r="MR194" s="6083"/>
      <c r="MS194" s="6083"/>
      <c r="MT194" s="6084"/>
      <c r="MU194" s="6058"/>
      <c r="MY194" s="6055"/>
      <c r="MZ194" s="6082"/>
      <c r="NA194" s="6083"/>
      <c r="NB194" s="6083"/>
      <c r="NC194" s="6083"/>
      <c r="ND194" s="6083"/>
      <c r="NE194" s="6083"/>
      <c r="NF194" s="6083"/>
      <c r="NG194" s="6083"/>
      <c r="NH194" s="6083"/>
      <c r="NI194" s="6083"/>
      <c r="NJ194" s="6083"/>
      <c r="NK194" s="6083"/>
      <c r="NL194" s="6083"/>
      <c r="NM194" s="6083"/>
      <c r="NN194" s="6083"/>
      <c r="NO194" s="6083"/>
      <c r="NP194" s="6083"/>
      <c r="NQ194" s="6083"/>
      <c r="NR194" s="6083"/>
      <c r="NS194" s="6083"/>
      <c r="NT194" s="6083"/>
      <c r="NU194" s="6083"/>
      <c r="NV194" s="6083"/>
      <c r="NW194" s="6083"/>
      <c r="NX194" s="6083"/>
      <c r="NY194" s="6083"/>
      <c r="NZ194" s="6083"/>
      <c r="OA194" s="6083"/>
      <c r="OB194" s="6083"/>
      <c r="OC194" s="6083"/>
      <c r="OD194" s="6083"/>
      <c r="OE194" s="6083"/>
      <c r="OF194" s="6083"/>
      <c r="OG194" s="6083"/>
      <c r="OH194" s="6083"/>
      <c r="OI194" s="6083"/>
      <c r="OJ194" s="6083"/>
      <c r="OK194" s="6083"/>
      <c r="OL194" s="6083"/>
      <c r="OM194" s="6084"/>
      <c r="ON194" s="6058"/>
    </row>
    <row r="195" spans="3:405" ht="408.95" customHeight="1" x14ac:dyDescent="0.2">
      <c r="C195" s="6055"/>
      <c r="D195" s="6040"/>
      <c r="E195" s="6782" t="str">
        <f>_Calcs!$IK$165</f>
        <v>-</v>
      </c>
      <c r="F195" s="6782"/>
      <c r="G195" s="6782"/>
      <c r="H195" s="6782"/>
      <c r="I195" s="6782"/>
      <c r="J195" s="6782"/>
      <c r="K195" s="6782"/>
      <c r="L195" s="6782"/>
      <c r="M195" s="6782"/>
      <c r="N195" s="6782"/>
      <c r="O195" s="6782"/>
      <c r="P195" s="6782"/>
      <c r="Q195" s="6782"/>
      <c r="R195" s="6782"/>
      <c r="S195" s="6782"/>
      <c r="T195" s="6782"/>
      <c r="U195" s="6782"/>
      <c r="V195" s="6782"/>
      <c r="W195" s="6782"/>
      <c r="X195" s="6782"/>
      <c r="Y195" s="6782"/>
      <c r="Z195" s="6782"/>
      <c r="AA195" s="6782"/>
      <c r="AB195" s="6782"/>
      <c r="AC195" s="6782"/>
      <c r="AD195" s="6782"/>
      <c r="AE195" s="6782"/>
      <c r="AF195" s="6782"/>
      <c r="AG195" s="6782"/>
      <c r="AH195" s="6782"/>
      <c r="AI195" s="6782"/>
      <c r="AJ195" s="6782"/>
      <c r="AK195" s="6782"/>
      <c r="AL195" s="6782"/>
      <c r="AM195" s="6782"/>
      <c r="AN195" s="6782"/>
      <c r="AO195" s="6782"/>
      <c r="AP195" s="6782"/>
      <c r="AQ195" s="6085"/>
      <c r="AR195" s="6058"/>
      <c r="AV195" s="6055"/>
      <c r="AW195" s="6040"/>
      <c r="AX195" s="6782" t="str">
        <f>_Calcs!$IL$165</f>
        <v>-</v>
      </c>
      <c r="AY195" s="6782"/>
      <c r="AZ195" s="6782"/>
      <c r="BA195" s="6782"/>
      <c r="BB195" s="6782"/>
      <c r="BC195" s="6782"/>
      <c r="BD195" s="6782"/>
      <c r="BE195" s="6782"/>
      <c r="BF195" s="6782"/>
      <c r="BG195" s="6782"/>
      <c r="BH195" s="6782"/>
      <c r="BI195" s="6782"/>
      <c r="BJ195" s="6782"/>
      <c r="BK195" s="6782"/>
      <c r="BL195" s="6782"/>
      <c r="BM195" s="6782"/>
      <c r="BN195" s="6782"/>
      <c r="BO195" s="6782"/>
      <c r="BP195" s="6782"/>
      <c r="BQ195" s="6782"/>
      <c r="BR195" s="6782"/>
      <c r="BS195" s="6782"/>
      <c r="BT195" s="6782"/>
      <c r="BU195" s="6782"/>
      <c r="BV195" s="6782"/>
      <c r="BW195" s="6782"/>
      <c r="BX195" s="6782"/>
      <c r="BY195" s="6782"/>
      <c r="BZ195" s="6782"/>
      <c r="CA195" s="6782"/>
      <c r="CB195" s="6782"/>
      <c r="CC195" s="6782"/>
      <c r="CD195" s="6782"/>
      <c r="CE195" s="6782"/>
      <c r="CF195" s="6782"/>
      <c r="CG195" s="6782"/>
      <c r="CH195" s="6782"/>
      <c r="CI195" s="6782"/>
      <c r="CJ195" s="6085"/>
      <c r="CK195" s="6058"/>
      <c r="CO195" s="6055"/>
      <c r="CP195" s="6040"/>
      <c r="CQ195" s="6782" t="str">
        <f>_Calcs!$IM$165</f>
        <v>-</v>
      </c>
      <c r="CR195" s="6782"/>
      <c r="CS195" s="6782"/>
      <c r="CT195" s="6782"/>
      <c r="CU195" s="6782"/>
      <c r="CV195" s="6782"/>
      <c r="CW195" s="6782"/>
      <c r="CX195" s="6782"/>
      <c r="CY195" s="6782"/>
      <c r="CZ195" s="6782"/>
      <c r="DA195" s="6782"/>
      <c r="DB195" s="6782"/>
      <c r="DC195" s="6782"/>
      <c r="DD195" s="6782"/>
      <c r="DE195" s="6782"/>
      <c r="DF195" s="6782"/>
      <c r="DG195" s="6782"/>
      <c r="DH195" s="6782"/>
      <c r="DI195" s="6782"/>
      <c r="DJ195" s="6782"/>
      <c r="DK195" s="6782"/>
      <c r="DL195" s="6782"/>
      <c r="DM195" s="6782"/>
      <c r="DN195" s="6782"/>
      <c r="DO195" s="6782"/>
      <c r="DP195" s="6782"/>
      <c r="DQ195" s="6782"/>
      <c r="DR195" s="6782"/>
      <c r="DS195" s="6782"/>
      <c r="DT195" s="6782"/>
      <c r="DU195" s="6782"/>
      <c r="DV195" s="6782"/>
      <c r="DW195" s="6782"/>
      <c r="DX195" s="6782"/>
      <c r="DY195" s="6782"/>
      <c r="DZ195" s="6782"/>
      <c r="EA195" s="6782"/>
      <c r="EB195" s="6782"/>
      <c r="EC195" s="6085"/>
      <c r="ED195" s="6058"/>
      <c r="EH195" s="6055"/>
      <c r="EI195" s="6040"/>
      <c r="EJ195" s="6782" t="str">
        <f>_Calcs!$IN$165</f>
        <v>-</v>
      </c>
      <c r="EK195" s="6782"/>
      <c r="EL195" s="6782"/>
      <c r="EM195" s="6782"/>
      <c r="EN195" s="6782"/>
      <c r="EO195" s="6782"/>
      <c r="EP195" s="6782"/>
      <c r="EQ195" s="6782"/>
      <c r="ER195" s="6782"/>
      <c r="ES195" s="6782"/>
      <c r="ET195" s="6782"/>
      <c r="EU195" s="6782"/>
      <c r="EV195" s="6782"/>
      <c r="EW195" s="6782"/>
      <c r="EX195" s="6782"/>
      <c r="EY195" s="6782"/>
      <c r="EZ195" s="6782"/>
      <c r="FA195" s="6782"/>
      <c r="FB195" s="6782"/>
      <c r="FC195" s="6782"/>
      <c r="FD195" s="6782"/>
      <c r="FE195" s="6782"/>
      <c r="FF195" s="6782"/>
      <c r="FG195" s="6782"/>
      <c r="FH195" s="6782"/>
      <c r="FI195" s="6782"/>
      <c r="FJ195" s="6782"/>
      <c r="FK195" s="6782"/>
      <c r="FL195" s="6782"/>
      <c r="FM195" s="6782"/>
      <c r="FN195" s="6782"/>
      <c r="FO195" s="6782"/>
      <c r="FP195" s="6782"/>
      <c r="FQ195" s="6782"/>
      <c r="FR195" s="6782"/>
      <c r="FS195" s="6782"/>
      <c r="FT195" s="6782"/>
      <c r="FU195" s="6782"/>
      <c r="FV195" s="6085"/>
      <c r="FW195" s="6058"/>
      <c r="GA195" s="6055"/>
      <c r="GB195" s="6040"/>
      <c r="GC195" s="6782" t="str">
        <f>_Calcs!$IO$165</f>
        <v>-</v>
      </c>
      <c r="GD195" s="6782"/>
      <c r="GE195" s="6782"/>
      <c r="GF195" s="6782"/>
      <c r="GG195" s="6782"/>
      <c r="GH195" s="6782"/>
      <c r="GI195" s="6782"/>
      <c r="GJ195" s="6782"/>
      <c r="GK195" s="6782"/>
      <c r="GL195" s="6782"/>
      <c r="GM195" s="6782"/>
      <c r="GN195" s="6782"/>
      <c r="GO195" s="6782"/>
      <c r="GP195" s="6782"/>
      <c r="GQ195" s="6782"/>
      <c r="GR195" s="6782"/>
      <c r="GS195" s="6782"/>
      <c r="GT195" s="6782"/>
      <c r="GU195" s="6782"/>
      <c r="GV195" s="6782"/>
      <c r="GW195" s="6782"/>
      <c r="GX195" s="6782"/>
      <c r="GY195" s="6782"/>
      <c r="GZ195" s="6782"/>
      <c r="HA195" s="6782"/>
      <c r="HB195" s="6782"/>
      <c r="HC195" s="6782"/>
      <c r="HD195" s="6782"/>
      <c r="HE195" s="6782"/>
      <c r="HF195" s="6782"/>
      <c r="HG195" s="6782"/>
      <c r="HH195" s="6782"/>
      <c r="HI195" s="6782"/>
      <c r="HJ195" s="6782"/>
      <c r="HK195" s="6782"/>
      <c r="HL195" s="6782"/>
      <c r="HM195" s="6782"/>
      <c r="HN195" s="6782"/>
      <c r="HO195" s="6085"/>
      <c r="HP195" s="6058"/>
      <c r="HT195" s="6055"/>
      <c r="HU195" s="6040"/>
      <c r="HV195" s="6782" t="str">
        <f>_Calcs!$IP$165</f>
        <v>-</v>
      </c>
      <c r="HW195" s="6782"/>
      <c r="HX195" s="6782"/>
      <c r="HY195" s="6782"/>
      <c r="HZ195" s="6782"/>
      <c r="IA195" s="6782"/>
      <c r="IB195" s="6782"/>
      <c r="IC195" s="6782"/>
      <c r="ID195" s="6782"/>
      <c r="IE195" s="6782"/>
      <c r="IF195" s="6782"/>
      <c r="IG195" s="6782"/>
      <c r="IH195" s="6782"/>
      <c r="II195" s="6782"/>
      <c r="IJ195" s="6782"/>
      <c r="IK195" s="6782"/>
      <c r="IL195" s="6782"/>
      <c r="IM195" s="6782"/>
      <c r="IN195" s="6782"/>
      <c r="IO195" s="6782"/>
      <c r="IP195" s="6782"/>
      <c r="IQ195" s="6782"/>
      <c r="IR195" s="6782"/>
      <c r="IS195" s="6782"/>
      <c r="IT195" s="6782"/>
      <c r="IU195" s="6782"/>
      <c r="IV195" s="6782"/>
      <c r="IW195" s="6782"/>
      <c r="IX195" s="6782"/>
      <c r="IY195" s="6782"/>
      <c r="IZ195" s="6782"/>
      <c r="JA195" s="6782"/>
      <c r="JB195" s="6782"/>
      <c r="JC195" s="6782"/>
      <c r="JD195" s="6782"/>
      <c r="JE195" s="6782"/>
      <c r="JF195" s="6782"/>
      <c r="JG195" s="6782"/>
      <c r="JH195" s="6085"/>
      <c r="JI195" s="6058"/>
      <c r="JM195" s="6055"/>
      <c r="JN195" s="6040"/>
      <c r="JO195" s="6782" t="str">
        <f>_Calcs!$IQ$165</f>
        <v>-</v>
      </c>
      <c r="JP195" s="6782"/>
      <c r="JQ195" s="6782"/>
      <c r="JR195" s="6782"/>
      <c r="JS195" s="6782"/>
      <c r="JT195" s="6782"/>
      <c r="JU195" s="6782"/>
      <c r="JV195" s="6782"/>
      <c r="JW195" s="6782"/>
      <c r="JX195" s="6782"/>
      <c r="JY195" s="6782"/>
      <c r="JZ195" s="6782"/>
      <c r="KA195" s="6782"/>
      <c r="KB195" s="6782"/>
      <c r="KC195" s="6782"/>
      <c r="KD195" s="6782"/>
      <c r="KE195" s="6782"/>
      <c r="KF195" s="6782"/>
      <c r="KG195" s="6782"/>
      <c r="KH195" s="6782"/>
      <c r="KI195" s="6782"/>
      <c r="KJ195" s="6782"/>
      <c r="KK195" s="6782"/>
      <c r="KL195" s="6782"/>
      <c r="KM195" s="6782"/>
      <c r="KN195" s="6782"/>
      <c r="KO195" s="6782"/>
      <c r="KP195" s="6782"/>
      <c r="KQ195" s="6782"/>
      <c r="KR195" s="6782"/>
      <c r="KS195" s="6782"/>
      <c r="KT195" s="6782"/>
      <c r="KU195" s="6782"/>
      <c r="KV195" s="6782"/>
      <c r="KW195" s="6782"/>
      <c r="KX195" s="6782"/>
      <c r="KY195" s="6782"/>
      <c r="KZ195" s="6782"/>
      <c r="LA195" s="6085"/>
      <c r="LB195" s="6058"/>
      <c r="LF195" s="6055"/>
      <c r="LG195" s="6040"/>
      <c r="LH195" s="6782" t="str">
        <f>_Calcs!$IR$165</f>
        <v>-</v>
      </c>
      <c r="LI195" s="6782"/>
      <c r="LJ195" s="6782"/>
      <c r="LK195" s="6782"/>
      <c r="LL195" s="6782"/>
      <c r="LM195" s="6782"/>
      <c r="LN195" s="6782"/>
      <c r="LO195" s="6782"/>
      <c r="LP195" s="6782"/>
      <c r="LQ195" s="6782"/>
      <c r="LR195" s="6782"/>
      <c r="LS195" s="6782"/>
      <c r="LT195" s="6782"/>
      <c r="LU195" s="6782"/>
      <c r="LV195" s="6782"/>
      <c r="LW195" s="6782"/>
      <c r="LX195" s="6782"/>
      <c r="LY195" s="6782"/>
      <c r="LZ195" s="6782"/>
      <c r="MA195" s="6782"/>
      <c r="MB195" s="6782"/>
      <c r="MC195" s="6782"/>
      <c r="MD195" s="6782"/>
      <c r="ME195" s="6782"/>
      <c r="MF195" s="6782"/>
      <c r="MG195" s="6782"/>
      <c r="MH195" s="6782"/>
      <c r="MI195" s="6782"/>
      <c r="MJ195" s="6782"/>
      <c r="MK195" s="6782"/>
      <c r="ML195" s="6782"/>
      <c r="MM195" s="6782"/>
      <c r="MN195" s="6782"/>
      <c r="MO195" s="6782"/>
      <c r="MP195" s="6782"/>
      <c r="MQ195" s="6782"/>
      <c r="MR195" s="6782"/>
      <c r="MS195" s="6782"/>
      <c r="MT195" s="6085"/>
      <c r="MU195" s="6058"/>
      <c r="MY195" s="6055"/>
      <c r="MZ195" s="6040"/>
      <c r="NA195" s="6782" t="str">
        <f>_Calcs!$IS$165</f>
        <v>-</v>
      </c>
      <c r="NB195" s="6782"/>
      <c r="NC195" s="6782"/>
      <c r="ND195" s="6782"/>
      <c r="NE195" s="6782"/>
      <c r="NF195" s="6782"/>
      <c r="NG195" s="6782"/>
      <c r="NH195" s="6782"/>
      <c r="NI195" s="6782"/>
      <c r="NJ195" s="6782"/>
      <c r="NK195" s="6782"/>
      <c r="NL195" s="6782"/>
      <c r="NM195" s="6782"/>
      <c r="NN195" s="6782"/>
      <c r="NO195" s="6782"/>
      <c r="NP195" s="6782"/>
      <c r="NQ195" s="6782"/>
      <c r="NR195" s="6782"/>
      <c r="NS195" s="6782"/>
      <c r="NT195" s="6782"/>
      <c r="NU195" s="6782"/>
      <c r="NV195" s="6782"/>
      <c r="NW195" s="6782"/>
      <c r="NX195" s="6782"/>
      <c r="NY195" s="6782"/>
      <c r="NZ195" s="6782"/>
      <c r="OA195" s="6782"/>
      <c r="OB195" s="6782"/>
      <c r="OC195" s="6782"/>
      <c r="OD195" s="6782"/>
      <c r="OE195" s="6782"/>
      <c r="OF195" s="6782"/>
      <c r="OG195" s="6782"/>
      <c r="OH195" s="6782"/>
      <c r="OI195" s="6782"/>
      <c r="OJ195" s="6782"/>
      <c r="OK195" s="6782"/>
      <c r="OL195" s="6782"/>
      <c r="OM195" s="6085"/>
      <c r="ON195" s="6058"/>
    </row>
    <row r="196" spans="3:405" ht="8.1" customHeight="1" thickBot="1" x14ac:dyDescent="0.25">
      <c r="C196" s="6055"/>
      <c r="D196" s="6044"/>
      <c r="E196" s="6046"/>
      <c r="F196" s="6046"/>
      <c r="G196" s="6046"/>
      <c r="H196" s="6046"/>
      <c r="I196" s="6046"/>
      <c r="J196" s="6046"/>
      <c r="K196" s="6046"/>
      <c r="L196" s="6046"/>
      <c r="M196" s="6046"/>
      <c r="N196" s="6046"/>
      <c r="O196" s="6046"/>
      <c r="P196" s="6046"/>
      <c r="Q196" s="6046"/>
      <c r="R196" s="6046"/>
      <c r="S196" s="6046"/>
      <c r="T196" s="6046"/>
      <c r="U196" s="6046"/>
      <c r="V196" s="6086"/>
      <c r="W196" s="6086"/>
      <c r="X196" s="6086"/>
      <c r="Y196" s="6086"/>
      <c r="Z196" s="6086"/>
      <c r="AA196" s="6046"/>
      <c r="AB196" s="6086"/>
      <c r="AC196" s="6086"/>
      <c r="AD196" s="6086"/>
      <c r="AE196" s="6046"/>
      <c r="AF196" s="6086"/>
      <c r="AG196" s="6086"/>
      <c r="AH196" s="6086"/>
      <c r="AI196" s="6086"/>
      <c r="AJ196" s="6086"/>
      <c r="AK196" s="6086"/>
      <c r="AL196" s="6086"/>
      <c r="AM196" s="6086"/>
      <c r="AN196" s="6086"/>
      <c r="AO196" s="6086"/>
      <c r="AP196" s="6086"/>
      <c r="AQ196" s="6048"/>
      <c r="AR196" s="6058"/>
      <c r="AV196" s="6055"/>
      <c r="AW196" s="6044"/>
      <c r="AX196" s="6046"/>
      <c r="AY196" s="6046"/>
      <c r="AZ196" s="6046"/>
      <c r="BA196" s="6046"/>
      <c r="BB196" s="6046"/>
      <c r="BC196" s="6046"/>
      <c r="BD196" s="6046"/>
      <c r="BE196" s="6046"/>
      <c r="BF196" s="6046"/>
      <c r="BG196" s="6046"/>
      <c r="BH196" s="6046"/>
      <c r="BI196" s="6046"/>
      <c r="BJ196" s="6046"/>
      <c r="BK196" s="6046"/>
      <c r="BL196" s="6046"/>
      <c r="BM196" s="6046"/>
      <c r="BN196" s="6046"/>
      <c r="BO196" s="6086"/>
      <c r="BP196" s="6086"/>
      <c r="BQ196" s="6086"/>
      <c r="BR196" s="6086"/>
      <c r="BS196" s="6086"/>
      <c r="BT196" s="6046"/>
      <c r="BU196" s="6086"/>
      <c r="BV196" s="6086"/>
      <c r="BW196" s="6086"/>
      <c r="BX196" s="6046"/>
      <c r="BY196" s="6086"/>
      <c r="BZ196" s="6086"/>
      <c r="CA196" s="6086"/>
      <c r="CB196" s="6086"/>
      <c r="CC196" s="6086"/>
      <c r="CD196" s="6086"/>
      <c r="CE196" s="6086"/>
      <c r="CF196" s="6086"/>
      <c r="CG196" s="6086"/>
      <c r="CH196" s="6086"/>
      <c r="CI196" s="6086"/>
      <c r="CJ196" s="6048"/>
      <c r="CK196" s="6058"/>
      <c r="CO196" s="6055"/>
      <c r="CP196" s="6044"/>
      <c r="CQ196" s="6046"/>
      <c r="CR196" s="6046"/>
      <c r="CS196" s="6046"/>
      <c r="CT196" s="6046"/>
      <c r="CU196" s="6046"/>
      <c r="CV196" s="6046"/>
      <c r="CW196" s="6046"/>
      <c r="CX196" s="6046"/>
      <c r="CY196" s="6046"/>
      <c r="CZ196" s="6046"/>
      <c r="DA196" s="6046"/>
      <c r="DB196" s="6046"/>
      <c r="DC196" s="6046"/>
      <c r="DD196" s="6046"/>
      <c r="DE196" s="6046"/>
      <c r="DF196" s="6046"/>
      <c r="DG196" s="6046"/>
      <c r="DH196" s="6086"/>
      <c r="DI196" s="6086"/>
      <c r="DJ196" s="6086"/>
      <c r="DK196" s="6086"/>
      <c r="DL196" s="6086"/>
      <c r="DM196" s="6046"/>
      <c r="DN196" s="6086"/>
      <c r="DO196" s="6086"/>
      <c r="DP196" s="6086"/>
      <c r="DQ196" s="6046"/>
      <c r="DR196" s="6086"/>
      <c r="DS196" s="6086"/>
      <c r="DT196" s="6086"/>
      <c r="DU196" s="6086"/>
      <c r="DV196" s="6086"/>
      <c r="DW196" s="6086"/>
      <c r="DX196" s="6086"/>
      <c r="DY196" s="6086"/>
      <c r="DZ196" s="6086"/>
      <c r="EA196" s="6086"/>
      <c r="EB196" s="6086"/>
      <c r="EC196" s="6048"/>
      <c r="ED196" s="6058"/>
      <c r="EH196" s="6055"/>
      <c r="EI196" s="6044"/>
      <c r="EJ196" s="6046"/>
      <c r="EK196" s="6046"/>
      <c r="EL196" s="6046"/>
      <c r="EM196" s="6046"/>
      <c r="EN196" s="6046"/>
      <c r="EO196" s="6046"/>
      <c r="EP196" s="6046"/>
      <c r="EQ196" s="6046"/>
      <c r="ER196" s="6046"/>
      <c r="ES196" s="6046"/>
      <c r="ET196" s="6046"/>
      <c r="EU196" s="6046"/>
      <c r="EV196" s="6046"/>
      <c r="EW196" s="6046"/>
      <c r="EX196" s="6046"/>
      <c r="EY196" s="6046"/>
      <c r="EZ196" s="6046"/>
      <c r="FA196" s="6086"/>
      <c r="FB196" s="6086"/>
      <c r="FC196" s="6086"/>
      <c r="FD196" s="6086"/>
      <c r="FE196" s="6086"/>
      <c r="FF196" s="6046"/>
      <c r="FG196" s="6086"/>
      <c r="FH196" s="6086"/>
      <c r="FI196" s="6086"/>
      <c r="FJ196" s="6046"/>
      <c r="FK196" s="6086"/>
      <c r="FL196" s="6086"/>
      <c r="FM196" s="6086"/>
      <c r="FN196" s="6086"/>
      <c r="FO196" s="6086"/>
      <c r="FP196" s="6086"/>
      <c r="FQ196" s="6086"/>
      <c r="FR196" s="6086"/>
      <c r="FS196" s="6086"/>
      <c r="FT196" s="6086"/>
      <c r="FU196" s="6086"/>
      <c r="FV196" s="6048"/>
      <c r="FW196" s="6058"/>
      <c r="GA196" s="6055"/>
      <c r="GB196" s="6044"/>
      <c r="GC196" s="6046"/>
      <c r="GD196" s="6046"/>
      <c r="GE196" s="6046"/>
      <c r="GF196" s="6046"/>
      <c r="GG196" s="6046"/>
      <c r="GH196" s="6046"/>
      <c r="GI196" s="6046"/>
      <c r="GJ196" s="6046"/>
      <c r="GK196" s="6046"/>
      <c r="GL196" s="6046"/>
      <c r="GM196" s="6046"/>
      <c r="GN196" s="6046"/>
      <c r="GO196" s="6046"/>
      <c r="GP196" s="6046"/>
      <c r="GQ196" s="6046"/>
      <c r="GR196" s="6046"/>
      <c r="GS196" s="6046"/>
      <c r="GT196" s="6086"/>
      <c r="GU196" s="6086"/>
      <c r="GV196" s="6086"/>
      <c r="GW196" s="6086"/>
      <c r="GX196" s="6086"/>
      <c r="GY196" s="6046"/>
      <c r="GZ196" s="6086"/>
      <c r="HA196" s="6086"/>
      <c r="HB196" s="6086"/>
      <c r="HC196" s="6046"/>
      <c r="HD196" s="6086"/>
      <c r="HE196" s="6086"/>
      <c r="HF196" s="6086"/>
      <c r="HG196" s="6086"/>
      <c r="HH196" s="6086"/>
      <c r="HI196" s="6086"/>
      <c r="HJ196" s="6086"/>
      <c r="HK196" s="6086"/>
      <c r="HL196" s="6086"/>
      <c r="HM196" s="6086"/>
      <c r="HN196" s="6086"/>
      <c r="HO196" s="6048"/>
      <c r="HP196" s="6058"/>
      <c r="HT196" s="6055"/>
      <c r="HU196" s="6044"/>
      <c r="HV196" s="6046"/>
      <c r="HW196" s="6046"/>
      <c r="HX196" s="6046"/>
      <c r="HY196" s="6046"/>
      <c r="HZ196" s="6046"/>
      <c r="IA196" s="6046"/>
      <c r="IB196" s="6046"/>
      <c r="IC196" s="6046"/>
      <c r="ID196" s="6046"/>
      <c r="IE196" s="6046"/>
      <c r="IF196" s="6046"/>
      <c r="IG196" s="6046"/>
      <c r="IH196" s="6046"/>
      <c r="II196" s="6046"/>
      <c r="IJ196" s="6046"/>
      <c r="IK196" s="6046"/>
      <c r="IL196" s="6046"/>
      <c r="IM196" s="6086"/>
      <c r="IN196" s="6086"/>
      <c r="IO196" s="6086"/>
      <c r="IP196" s="6086"/>
      <c r="IQ196" s="6086"/>
      <c r="IR196" s="6046"/>
      <c r="IS196" s="6086"/>
      <c r="IT196" s="6086"/>
      <c r="IU196" s="6086"/>
      <c r="IV196" s="6046"/>
      <c r="IW196" s="6086"/>
      <c r="IX196" s="6086"/>
      <c r="IY196" s="6086"/>
      <c r="IZ196" s="6086"/>
      <c r="JA196" s="6086"/>
      <c r="JB196" s="6086"/>
      <c r="JC196" s="6086"/>
      <c r="JD196" s="6086"/>
      <c r="JE196" s="6086"/>
      <c r="JF196" s="6086"/>
      <c r="JG196" s="6086"/>
      <c r="JH196" s="6048"/>
      <c r="JI196" s="6058"/>
      <c r="JM196" s="6055"/>
      <c r="JN196" s="6044"/>
      <c r="JO196" s="6046"/>
      <c r="JP196" s="6046"/>
      <c r="JQ196" s="6046"/>
      <c r="JR196" s="6046"/>
      <c r="JS196" s="6046"/>
      <c r="JT196" s="6046"/>
      <c r="JU196" s="6046"/>
      <c r="JV196" s="6046"/>
      <c r="JW196" s="6046"/>
      <c r="JX196" s="6046"/>
      <c r="JY196" s="6046"/>
      <c r="JZ196" s="6046"/>
      <c r="KA196" s="6046"/>
      <c r="KB196" s="6046"/>
      <c r="KC196" s="6046"/>
      <c r="KD196" s="6046"/>
      <c r="KE196" s="6046"/>
      <c r="KF196" s="6086"/>
      <c r="KG196" s="6086"/>
      <c r="KH196" s="6086"/>
      <c r="KI196" s="6086"/>
      <c r="KJ196" s="6086"/>
      <c r="KK196" s="6046"/>
      <c r="KL196" s="6086"/>
      <c r="KM196" s="6086"/>
      <c r="KN196" s="6086"/>
      <c r="KO196" s="6046"/>
      <c r="KP196" s="6086"/>
      <c r="KQ196" s="6086"/>
      <c r="KR196" s="6086"/>
      <c r="KS196" s="6086"/>
      <c r="KT196" s="6086"/>
      <c r="KU196" s="6086"/>
      <c r="KV196" s="6086"/>
      <c r="KW196" s="6086"/>
      <c r="KX196" s="6086"/>
      <c r="KY196" s="6086"/>
      <c r="KZ196" s="6086"/>
      <c r="LA196" s="6048"/>
      <c r="LB196" s="6058"/>
      <c r="LF196" s="6055"/>
      <c r="LG196" s="6044"/>
      <c r="LH196" s="6046"/>
      <c r="LI196" s="6046"/>
      <c r="LJ196" s="6046"/>
      <c r="LK196" s="6046"/>
      <c r="LL196" s="6046"/>
      <c r="LM196" s="6046"/>
      <c r="LN196" s="6046"/>
      <c r="LO196" s="6046"/>
      <c r="LP196" s="6046"/>
      <c r="LQ196" s="6046"/>
      <c r="LR196" s="6046"/>
      <c r="LS196" s="6046"/>
      <c r="LT196" s="6046"/>
      <c r="LU196" s="6046"/>
      <c r="LV196" s="6046"/>
      <c r="LW196" s="6046"/>
      <c r="LX196" s="6046"/>
      <c r="LY196" s="6086"/>
      <c r="LZ196" s="6086"/>
      <c r="MA196" s="6086"/>
      <c r="MB196" s="6086"/>
      <c r="MC196" s="6086"/>
      <c r="MD196" s="6046"/>
      <c r="ME196" s="6086"/>
      <c r="MF196" s="6086"/>
      <c r="MG196" s="6086"/>
      <c r="MH196" s="6046"/>
      <c r="MI196" s="6086"/>
      <c r="MJ196" s="6086"/>
      <c r="MK196" s="6086"/>
      <c r="ML196" s="6086"/>
      <c r="MM196" s="6086"/>
      <c r="MN196" s="6086"/>
      <c r="MO196" s="6086"/>
      <c r="MP196" s="6086"/>
      <c r="MQ196" s="6086"/>
      <c r="MR196" s="6086"/>
      <c r="MS196" s="6086"/>
      <c r="MT196" s="6048"/>
      <c r="MU196" s="6058"/>
      <c r="MY196" s="6055"/>
      <c r="MZ196" s="6044"/>
      <c r="NA196" s="6046"/>
      <c r="NB196" s="6046"/>
      <c r="NC196" s="6046"/>
      <c r="ND196" s="6046"/>
      <c r="NE196" s="6046"/>
      <c r="NF196" s="6046"/>
      <c r="NG196" s="6046"/>
      <c r="NH196" s="6046"/>
      <c r="NI196" s="6046"/>
      <c r="NJ196" s="6046"/>
      <c r="NK196" s="6046"/>
      <c r="NL196" s="6046"/>
      <c r="NM196" s="6046"/>
      <c r="NN196" s="6046"/>
      <c r="NO196" s="6046"/>
      <c r="NP196" s="6046"/>
      <c r="NQ196" s="6046"/>
      <c r="NR196" s="6086"/>
      <c r="NS196" s="6086"/>
      <c r="NT196" s="6086"/>
      <c r="NU196" s="6086"/>
      <c r="NV196" s="6086"/>
      <c r="NW196" s="6046"/>
      <c r="NX196" s="6086"/>
      <c r="NY196" s="6086"/>
      <c r="NZ196" s="6086"/>
      <c r="OA196" s="6046"/>
      <c r="OB196" s="6086"/>
      <c r="OC196" s="6086"/>
      <c r="OD196" s="6086"/>
      <c r="OE196" s="6086"/>
      <c r="OF196" s="6086"/>
      <c r="OG196" s="6086"/>
      <c r="OH196" s="6086"/>
      <c r="OI196" s="6086"/>
      <c r="OJ196" s="6086"/>
      <c r="OK196" s="6086"/>
      <c r="OL196" s="6086"/>
      <c r="OM196" s="6048"/>
      <c r="ON196" s="6058"/>
    </row>
    <row r="197" spans="3:405" ht="15" thickBot="1" x14ac:dyDescent="0.25">
      <c r="C197" s="6087"/>
      <c r="D197" s="6088"/>
      <c r="E197" s="6088"/>
      <c r="F197" s="6088"/>
      <c r="G197" s="6088"/>
      <c r="H197" s="6088"/>
      <c r="I197" s="6088"/>
      <c r="J197" s="6088"/>
      <c r="K197" s="6088"/>
      <c r="L197" s="6088"/>
      <c r="M197" s="6088"/>
      <c r="N197" s="6088"/>
      <c r="O197" s="6088"/>
      <c r="P197" s="6088"/>
      <c r="Q197" s="6088"/>
      <c r="R197" s="6088"/>
      <c r="S197" s="6088"/>
      <c r="T197" s="6088"/>
      <c r="U197" s="6088"/>
      <c r="V197" s="6088"/>
      <c r="W197" s="6088"/>
      <c r="X197" s="6088"/>
      <c r="Y197" s="6088"/>
      <c r="Z197" s="6088"/>
      <c r="AA197" s="6088"/>
      <c r="AB197" s="6088"/>
      <c r="AC197" s="6088"/>
      <c r="AD197" s="6088"/>
      <c r="AE197" s="6088"/>
      <c r="AF197" s="6088"/>
      <c r="AG197" s="6088"/>
      <c r="AH197" s="6088"/>
      <c r="AI197" s="6088"/>
      <c r="AJ197" s="6088"/>
      <c r="AK197" s="6088"/>
      <c r="AL197" s="6088"/>
      <c r="AM197" s="6088"/>
      <c r="AN197" s="6088"/>
      <c r="AO197" s="6088"/>
      <c r="AP197" s="6088"/>
      <c r="AQ197" s="6088"/>
      <c r="AR197" s="6089"/>
      <c r="AV197" s="6087"/>
      <c r="AW197" s="6088"/>
      <c r="AX197" s="6088"/>
      <c r="AY197" s="6088"/>
      <c r="AZ197" s="6088"/>
      <c r="BA197" s="6088"/>
      <c r="BB197" s="6088"/>
      <c r="BC197" s="6088"/>
      <c r="BD197" s="6088"/>
      <c r="BE197" s="6088"/>
      <c r="BF197" s="6088"/>
      <c r="BG197" s="6088"/>
      <c r="BH197" s="6088"/>
      <c r="BI197" s="6088"/>
      <c r="BJ197" s="6088"/>
      <c r="BK197" s="6088"/>
      <c r="BL197" s="6088"/>
      <c r="BM197" s="6088"/>
      <c r="BN197" s="6088"/>
      <c r="BO197" s="6088"/>
      <c r="BP197" s="6088"/>
      <c r="BQ197" s="6088"/>
      <c r="BR197" s="6088"/>
      <c r="BS197" s="6088"/>
      <c r="BT197" s="6088"/>
      <c r="BU197" s="6088"/>
      <c r="BV197" s="6088"/>
      <c r="BW197" s="6088"/>
      <c r="BX197" s="6088"/>
      <c r="BY197" s="6088"/>
      <c r="BZ197" s="6088"/>
      <c r="CA197" s="6088"/>
      <c r="CB197" s="6088"/>
      <c r="CC197" s="6088"/>
      <c r="CD197" s="6088"/>
      <c r="CE197" s="6088"/>
      <c r="CF197" s="6088"/>
      <c r="CG197" s="6088"/>
      <c r="CH197" s="6088"/>
      <c r="CI197" s="6088"/>
      <c r="CJ197" s="6088"/>
      <c r="CK197" s="6089"/>
      <c r="CO197" s="6087"/>
      <c r="CP197" s="6088"/>
      <c r="CQ197" s="6088"/>
      <c r="CR197" s="6088"/>
      <c r="CS197" s="6088"/>
      <c r="CT197" s="6088"/>
      <c r="CU197" s="6088"/>
      <c r="CV197" s="6088"/>
      <c r="CW197" s="6088"/>
      <c r="CX197" s="6088"/>
      <c r="CY197" s="6088"/>
      <c r="CZ197" s="6088"/>
      <c r="DA197" s="6088"/>
      <c r="DB197" s="6088"/>
      <c r="DC197" s="6088"/>
      <c r="DD197" s="6088"/>
      <c r="DE197" s="6088"/>
      <c r="DF197" s="6088"/>
      <c r="DG197" s="6088"/>
      <c r="DH197" s="6088"/>
      <c r="DI197" s="6088"/>
      <c r="DJ197" s="6088"/>
      <c r="DK197" s="6088"/>
      <c r="DL197" s="6088"/>
      <c r="DM197" s="6088"/>
      <c r="DN197" s="6088"/>
      <c r="DO197" s="6088"/>
      <c r="DP197" s="6088"/>
      <c r="DQ197" s="6088"/>
      <c r="DR197" s="6088"/>
      <c r="DS197" s="6088"/>
      <c r="DT197" s="6088"/>
      <c r="DU197" s="6088"/>
      <c r="DV197" s="6088"/>
      <c r="DW197" s="6088"/>
      <c r="DX197" s="6088"/>
      <c r="DY197" s="6088"/>
      <c r="DZ197" s="6088"/>
      <c r="EA197" s="6088"/>
      <c r="EB197" s="6088"/>
      <c r="EC197" s="6088"/>
      <c r="ED197" s="6089"/>
      <c r="EH197" s="6087"/>
      <c r="EI197" s="6088"/>
      <c r="EJ197" s="6088"/>
      <c r="EK197" s="6088"/>
      <c r="EL197" s="6088"/>
      <c r="EM197" s="6088"/>
      <c r="EN197" s="6088"/>
      <c r="EO197" s="6088"/>
      <c r="EP197" s="6088"/>
      <c r="EQ197" s="6088"/>
      <c r="ER197" s="6088"/>
      <c r="ES197" s="6088"/>
      <c r="ET197" s="6088"/>
      <c r="EU197" s="6088"/>
      <c r="EV197" s="6088"/>
      <c r="EW197" s="6088"/>
      <c r="EX197" s="6088"/>
      <c r="EY197" s="6088"/>
      <c r="EZ197" s="6088"/>
      <c r="FA197" s="6088"/>
      <c r="FB197" s="6088"/>
      <c r="FC197" s="6088"/>
      <c r="FD197" s="6088"/>
      <c r="FE197" s="6088"/>
      <c r="FF197" s="6088"/>
      <c r="FG197" s="6088"/>
      <c r="FH197" s="6088"/>
      <c r="FI197" s="6088"/>
      <c r="FJ197" s="6088"/>
      <c r="FK197" s="6088"/>
      <c r="FL197" s="6088"/>
      <c r="FM197" s="6088"/>
      <c r="FN197" s="6088"/>
      <c r="FO197" s="6088"/>
      <c r="FP197" s="6088"/>
      <c r="FQ197" s="6088"/>
      <c r="FR197" s="6088"/>
      <c r="FS197" s="6088"/>
      <c r="FT197" s="6088"/>
      <c r="FU197" s="6088"/>
      <c r="FV197" s="6088"/>
      <c r="FW197" s="6089"/>
      <c r="GA197" s="6087"/>
      <c r="GB197" s="6088"/>
      <c r="GC197" s="6088"/>
      <c r="GD197" s="6088"/>
      <c r="GE197" s="6088"/>
      <c r="GF197" s="6088"/>
      <c r="GG197" s="6088"/>
      <c r="GH197" s="6088"/>
      <c r="GI197" s="6088"/>
      <c r="GJ197" s="6088"/>
      <c r="GK197" s="6088"/>
      <c r="GL197" s="6088"/>
      <c r="GM197" s="6088"/>
      <c r="GN197" s="6088"/>
      <c r="GO197" s="6088"/>
      <c r="GP197" s="6088"/>
      <c r="GQ197" s="6088"/>
      <c r="GR197" s="6088"/>
      <c r="GS197" s="6088"/>
      <c r="GT197" s="6088"/>
      <c r="GU197" s="6088"/>
      <c r="GV197" s="6088"/>
      <c r="GW197" s="6088"/>
      <c r="GX197" s="6088"/>
      <c r="GY197" s="6088"/>
      <c r="GZ197" s="6088"/>
      <c r="HA197" s="6088"/>
      <c r="HB197" s="6088"/>
      <c r="HC197" s="6088"/>
      <c r="HD197" s="6088"/>
      <c r="HE197" s="6088"/>
      <c r="HF197" s="6088"/>
      <c r="HG197" s="6088"/>
      <c r="HH197" s="6088"/>
      <c r="HI197" s="6088"/>
      <c r="HJ197" s="6088"/>
      <c r="HK197" s="6088"/>
      <c r="HL197" s="6088"/>
      <c r="HM197" s="6088"/>
      <c r="HN197" s="6088"/>
      <c r="HO197" s="6088"/>
      <c r="HP197" s="6089"/>
      <c r="HT197" s="6087"/>
      <c r="HU197" s="6088"/>
      <c r="HV197" s="6088"/>
      <c r="HW197" s="6088"/>
      <c r="HX197" s="6088"/>
      <c r="HY197" s="6088"/>
      <c r="HZ197" s="6088"/>
      <c r="IA197" s="6088"/>
      <c r="IB197" s="6088"/>
      <c r="IC197" s="6088"/>
      <c r="ID197" s="6088"/>
      <c r="IE197" s="6088"/>
      <c r="IF197" s="6088"/>
      <c r="IG197" s="6088"/>
      <c r="IH197" s="6088"/>
      <c r="II197" s="6088"/>
      <c r="IJ197" s="6088"/>
      <c r="IK197" s="6088"/>
      <c r="IL197" s="6088"/>
      <c r="IM197" s="6088"/>
      <c r="IN197" s="6088"/>
      <c r="IO197" s="6088"/>
      <c r="IP197" s="6088"/>
      <c r="IQ197" s="6088"/>
      <c r="IR197" s="6088"/>
      <c r="IS197" s="6088"/>
      <c r="IT197" s="6088"/>
      <c r="IU197" s="6088"/>
      <c r="IV197" s="6088"/>
      <c r="IW197" s="6088"/>
      <c r="IX197" s="6088"/>
      <c r="IY197" s="6088"/>
      <c r="IZ197" s="6088"/>
      <c r="JA197" s="6088"/>
      <c r="JB197" s="6088"/>
      <c r="JC197" s="6088"/>
      <c r="JD197" s="6088"/>
      <c r="JE197" s="6088"/>
      <c r="JF197" s="6088"/>
      <c r="JG197" s="6088"/>
      <c r="JH197" s="6088"/>
      <c r="JI197" s="6089"/>
      <c r="JM197" s="6087"/>
      <c r="JN197" s="6088"/>
      <c r="JO197" s="6088"/>
      <c r="JP197" s="6088"/>
      <c r="JQ197" s="6088"/>
      <c r="JR197" s="6088"/>
      <c r="JS197" s="6088"/>
      <c r="JT197" s="6088"/>
      <c r="JU197" s="6088"/>
      <c r="JV197" s="6088"/>
      <c r="JW197" s="6088"/>
      <c r="JX197" s="6088"/>
      <c r="JY197" s="6088"/>
      <c r="JZ197" s="6088"/>
      <c r="KA197" s="6088"/>
      <c r="KB197" s="6088"/>
      <c r="KC197" s="6088"/>
      <c r="KD197" s="6088"/>
      <c r="KE197" s="6088"/>
      <c r="KF197" s="6088"/>
      <c r="KG197" s="6088"/>
      <c r="KH197" s="6088"/>
      <c r="KI197" s="6088"/>
      <c r="KJ197" s="6088"/>
      <c r="KK197" s="6088"/>
      <c r="KL197" s="6088"/>
      <c r="KM197" s="6088"/>
      <c r="KN197" s="6088"/>
      <c r="KO197" s="6088"/>
      <c r="KP197" s="6088"/>
      <c r="KQ197" s="6088"/>
      <c r="KR197" s="6088"/>
      <c r="KS197" s="6088"/>
      <c r="KT197" s="6088"/>
      <c r="KU197" s="6088"/>
      <c r="KV197" s="6088"/>
      <c r="KW197" s="6088"/>
      <c r="KX197" s="6088"/>
      <c r="KY197" s="6088"/>
      <c r="KZ197" s="6088"/>
      <c r="LA197" s="6088"/>
      <c r="LB197" s="6089"/>
      <c r="LF197" s="6087"/>
      <c r="LG197" s="6088"/>
      <c r="LH197" s="6088"/>
      <c r="LI197" s="6088"/>
      <c r="LJ197" s="6088"/>
      <c r="LK197" s="6088"/>
      <c r="LL197" s="6088"/>
      <c r="LM197" s="6088"/>
      <c r="LN197" s="6088"/>
      <c r="LO197" s="6088"/>
      <c r="LP197" s="6088"/>
      <c r="LQ197" s="6088"/>
      <c r="LR197" s="6088"/>
      <c r="LS197" s="6088"/>
      <c r="LT197" s="6088"/>
      <c r="LU197" s="6088"/>
      <c r="LV197" s="6088"/>
      <c r="LW197" s="6088"/>
      <c r="LX197" s="6088"/>
      <c r="LY197" s="6088"/>
      <c r="LZ197" s="6088"/>
      <c r="MA197" s="6088"/>
      <c r="MB197" s="6088"/>
      <c r="MC197" s="6088"/>
      <c r="MD197" s="6088"/>
      <c r="ME197" s="6088"/>
      <c r="MF197" s="6088"/>
      <c r="MG197" s="6088"/>
      <c r="MH197" s="6088"/>
      <c r="MI197" s="6088"/>
      <c r="MJ197" s="6088"/>
      <c r="MK197" s="6088"/>
      <c r="ML197" s="6088"/>
      <c r="MM197" s="6088"/>
      <c r="MN197" s="6088"/>
      <c r="MO197" s="6088"/>
      <c r="MP197" s="6088"/>
      <c r="MQ197" s="6088"/>
      <c r="MR197" s="6088"/>
      <c r="MS197" s="6088"/>
      <c r="MT197" s="6088"/>
      <c r="MU197" s="6089"/>
      <c r="MY197" s="6087"/>
      <c r="MZ197" s="6088"/>
      <c r="NA197" s="6088"/>
      <c r="NB197" s="6088"/>
      <c r="NC197" s="6088"/>
      <c r="ND197" s="6088"/>
      <c r="NE197" s="6088"/>
      <c r="NF197" s="6088"/>
      <c r="NG197" s="6088"/>
      <c r="NH197" s="6088"/>
      <c r="NI197" s="6088"/>
      <c r="NJ197" s="6088"/>
      <c r="NK197" s="6088"/>
      <c r="NL197" s="6088"/>
      <c r="NM197" s="6088"/>
      <c r="NN197" s="6088"/>
      <c r="NO197" s="6088"/>
      <c r="NP197" s="6088"/>
      <c r="NQ197" s="6088"/>
      <c r="NR197" s="6088"/>
      <c r="NS197" s="6088"/>
      <c r="NT197" s="6088"/>
      <c r="NU197" s="6088"/>
      <c r="NV197" s="6088"/>
      <c r="NW197" s="6088"/>
      <c r="NX197" s="6088"/>
      <c r="NY197" s="6088"/>
      <c r="NZ197" s="6088"/>
      <c r="OA197" s="6088"/>
      <c r="OB197" s="6088"/>
      <c r="OC197" s="6088"/>
      <c r="OD197" s="6088"/>
      <c r="OE197" s="6088"/>
      <c r="OF197" s="6088"/>
      <c r="OG197" s="6088"/>
      <c r="OH197" s="6088"/>
      <c r="OI197" s="6088"/>
      <c r="OJ197" s="6088"/>
      <c r="OK197" s="6088"/>
      <c r="OL197" s="6088"/>
      <c r="OM197" s="6088"/>
      <c r="ON197" s="6089"/>
    </row>
    <row r="198" spans="3:405" ht="9.9499999999999993" customHeight="1" x14ac:dyDescent="0.2"/>
    <row r="199" spans="3:405" ht="7.5" customHeight="1" x14ac:dyDescent="0.2">
      <c r="C199" s="6090"/>
      <c r="D199" s="6090"/>
      <c r="E199" s="6090"/>
      <c r="F199" s="6090"/>
      <c r="G199" s="6090"/>
      <c r="H199" s="6090"/>
      <c r="I199" s="6090"/>
      <c r="J199" s="6090"/>
      <c r="K199" s="6090"/>
      <c r="L199" s="6090"/>
      <c r="M199" s="6090"/>
      <c r="N199" s="6090"/>
      <c r="O199" s="6090"/>
      <c r="P199" s="6090"/>
      <c r="Q199" s="6090"/>
      <c r="R199" s="6090"/>
      <c r="S199" s="6090"/>
      <c r="T199" s="6090"/>
      <c r="U199" s="6090"/>
      <c r="V199" s="6090"/>
      <c r="W199" s="6090"/>
      <c r="X199" s="6090"/>
      <c r="Y199" s="6090"/>
      <c r="Z199" s="6090"/>
      <c r="AA199" s="6090"/>
      <c r="AB199" s="6090"/>
      <c r="AC199" s="6090"/>
      <c r="AD199" s="6090"/>
      <c r="AE199" s="6090"/>
      <c r="AF199" s="6090"/>
      <c r="AG199" s="6090"/>
      <c r="AH199" s="6090"/>
      <c r="AI199" s="6090"/>
      <c r="AJ199" s="6090"/>
      <c r="AK199" s="6090"/>
      <c r="AL199" s="6090"/>
      <c r="AM199" s="6090"/>
      <c r="AN199" s="6090"/>
      <c r="AO199" s="6090"/>
      <c r="AP199" s="6090"/>
      <c r="AQ199" s="6090"/>
      <c r="AR199" s="6090"/>
      <c r="AV199" s="6090"/>
      <c r="AW199" s="6090"/>
      <c r="AX199" s="6090"/>
      <c r="AY199" s="6090"/>
      <c r="AZ199" s="6090"/>
      <c r="BA199" s="6090"/>
      <c r="BB199" s="6090"/>
      <c r="BC199" s="6090"/>
      <c r="BD199" s="6090"/>
      <c r="BE199" s="6090"/>
      <c r="BF199" s="6090"/>
      <c r="BG199" s="6090"/>
      <c r="BH199" s="6090"/>
      <c r="BI199" s="6090"/>
      <c r="BJ199" s="6090"/>
      <c r="BK199" s="6090"/>
      <c r="BL199" s="6090"/>
      <c r="BM199" s="6090"/>
      <c r="BN199" s="6090"/>
      <c r="BO199" s="6090"/>
      <c r="BP199" s="6090"/>
      <c r="BQ199" s="6090"/>
      <c r="BR199" s="6090"/>
      <c r="BS199" s="6090"/>
      <c r="BT199" s="6090"/>
      <c r="BU199" s="6090"/>
      <c r="BV199" s="6090"/>
      <c r="BW199" s="6090"/>
      <c r="BX199" s="6090"/>
      <c r="BY199" s="6090"/>
      <c r="BZ199" s="6090"/>
      <c r="CA199" s="6090"/>
      <c r="CB199" s="6090"/>
      <c r="CC199" s="6090"/>
      <c r="CD199" s="6090"/>
      <c r="CE199" s="6090"/>
      <c r="CF199" s="6090"/>
      <c r="CG199" s="6090"/>
      <c r="CH199" s="6090"/>
      <c r="CI199" s="6090"/>
      <c r="CJ199" s="6090"/>
      <c r="CK199" s="6090"/>
      <c r="CO199" s="6090"/>
      <c r="CP199" s="6090"/>
      <c r="CQ199" s="6090"/>
      <c r="CR199" s="6090"/>
      <c r="CS199" s="6090"/>
      <c r="CT199" s="6090"/>
      <c r="CU199" s="6090"/>
      <c r="CV199" s="6090"/>
      <c r="CW199" s="6090"/>
      <c r="CX199" s="6090"/>
      <c r="CY199" s="6090"/>
      <c r="CZ199" s="6090"/>
      <c r="DA199" s="6090"/>
      <c r="DB199" s="6090"/>
      <c r="DC199" s="6090"/>
      <c r="DD199" s="6090"/>
      <c r="DE199" s="6090"/>
      <c r="DF199" s="6090"/>
      <c r="DG199" s="6090"/>
      <c r="DH199" s="6090"/>
      <c r="DI199" s="6090"/>
      <c r="DJ199" s="6090"/>
      <c r="DK199" s="6090"/>
      <c r="DL199" s="6090"/>
      <c r="DM199" s="6090"/>
      <c r="DN199" s="6090"/>
      <c r="DO199" s="6090"/>
      <c r="DP199" s="6090"/>
      <c r="DQ199" s="6090"/>
      <c r="DR199" s="6090"/>
      <c r="DS199" s="6090"/>
      <c r="DT199" s="6090"/>
      <c r="DU199" s="6090"/>
      <c r="DV199" s="6090"/>
      <c r="DW199" s="6090"/>
      <c r="DX199" s="6090"/>
      <c r="DY199" s="6090"/>
      <c r="DZ199" s="6090"/>
      <c r="EA199" s="6090"/>
      <c r="EB199" s="6090"/>
      <c r="EC199" s="6090"/>
      <c r="ED199" s="6090"/>
      <c r="EH199" s="6090"/>
      <c r="EI199" s="6090"/>
      <c r="EJ199" s="6090"/>
      <c r="EK199" s="6090"/>
      <c r="EL199" s="6090"/>
      <c r="EM199" s="6090"/>
      <c r="EN199" s="6090"/>
      <c r="EO199" s="6090"/>
      <c r="EP199" s="6090"/>
      <c r="EQ199" s="6090"/>
      <c r="ER199" s="6090"/>
      <c r="ES199" s="6090"/>
      <c r="ET199" s="6090"/>
      <c r="EU199" s="6090"/>
      <c r="EV199" s="6090"/>
      <c r="EW199" s="6090"/>
      <c r="EX199" s="6090"/>
      <c r="EY199" s="6090"/>
      <c r="EZ199" s="6090"/>
      <c r="FA199" s="6090"/>
      <c r="FB199" s="6090"/>
      <c r="FC199" s="6090"/>
      <c r="FD199" s="6090"/>
      <c r="FE199" s="6090"/>
      <c r="FF199" s="6090"/>
      <c r="FG199" s="6090"/>
      <c r="FH199" s="6090"/>
      <c r="FI199" s="6090"/>
      <c r="FJ199" s="6090"/>
      <c r="FK199" s="6090"/>
      <c r="FL199" s="6090"/>
      <c r="FM199" s="6090"/>
      <c r="FN199" s="6090"/>
      <c r="FO199" s="6090"/>
      <c r="FP199" s="6090"/>
      <c r="FQ199" s="6090"/>
      <c r="FR199" s="6090"/>
      <c r="FS199" s="6090"/>
      <c r="FT199" s="6090"/>
      <c r="FU199" s="6090"/>
      <c r="FV199" s="6090"/>
      <c r="FW199" s="6090"/>
      <c r="GA199" s="6090"/>
      <c r="GB199" s="6090"/>
      <c r="GC199" s="6090"/>
      <c r="GD199" s="6090"/>
      <c r="GE199" s="6090"/>
      <c r="GF199" s="6090"/>
      <c r="GG199" s="6090"/>
      <c r="GH199" s="6090"/>
      <c r="GI199" s="6090"/>
      <c r="GJ199" s="6090"/>
      <c r="GK199" s="6090"/>
      <c r="GL199" s="6090"/>
      <c r="GM199" s="6090"/>
      <c r="GN199" s="6090"/>
      <c r="GO199" s="6090"/>
      <c r="GP199" s="6090"/>
      <c r="GQ199" s="6090"/>
      <c r="GR199" s="6090"/>
      <c r="GS199" s="6090"/>
      <c r="GT199" s="6090"/>
      <c r="GU199" s="6090"/>
      <c r="GV199" s="6090"/>
      <c r="GW199" s="6090"/>
      <c r="GX199" s="6090"/>
      <c r="GY199" s="6090"/>
      <c r="GZ199" s="6090"/>
      <c r="HA199" s="6090"/>
      <c r="HB199" s="6090"/>
      <c r="HC199" s="6090"/>
      <c r="HD199" s="6090"/>
      <c r="HE199" s="6090"/>
      <c r="HF199" s="6090"/>
      <c r="HG199" s="6090"/>
      <c r="HH199" s="6090"/>
      <c r="HI199" s="6090"/>
      <c r="HJ199" s="6090"/>
      <c r="HK199" s="6090"/>
      <c r="HL199" s="6090"/>
      <c r="HM199" s="6090"/>
      <c r="HN199" s="6090"/>
      <c r="HO199" s="6090"/>
      <c r="HP199" s="6090"/>
      <c r="HT199" s="6090"/>
      <c r="HU199" s="6090"/>
      <c r="HV199" s="6090"/>
      <c r="HW199" s="6090"/>
      <c r="HX199" s="6090"/>
      <c r="HY199" s="6090"/>
      <c r="HZ199" s="6090"/>
      <c r="IA199" s="6090"/>
      <c r="IB199" s="6090"/>
      <c r="IC199" s="6090"/>
      <c r="ID199" s="6090"/>
      <c r="IE199" s="6090"/>
      <c r="IF199" s="6090"/>
      <c r="IG199" s="6090"/>
      <c r="IH199" s="6090"/>
      <c r="II199" s="6090"/>
      <c r="IJ199" s="6090"/>
      <c r="IK199" s="6090"/>
      <c r="IL199" s="6090"/>
      <c r="IM199" s="6090"/>
      <c r="IN199" s="6090"/>
      <c r="IO199" s="6090"/>
      <c r="IP199" s="6090"/>
      <c r="IQ199" s="6090"/>
      <c r="IR199" s="6090"/>
      <c r="IS199" s="6090"/>
      <c r="IT199" s="6090"/>
      <c r="IU199" s="6090"/>
      <c r="IV199" s="6090"/>
      <c r="IW199" s="6090"/>
      <c r="IX199" s="6090"/>
      <c r="IY199" s="6090"/>
      <c r="IZ199" s="6090"/>
      <c r="JA199" s="6090"/>
      <c r="JB199" s="6090"/>
      <c r="JC199" s="6090"/>
      <c r="JD199" s="6090"/>
      <c r="JE199" s="6090"/>
      <c r="JF199" s="6090"/>
      <c r="JG199" s="6090"/>
      <c r="JH199" s="6090"/>
      <c r="JI199" s="6090"/>
      <c r="JM199" s="6090"/>
      <c r="JN199" s="6090"/>
      <c r="JO199" s="6090"/>
      <c r="JP199" s="6090"/>
      <c r="JQ199" s="6090"/>
      <c r="JR199" s="6090"/>
      <c r="JS199" s="6090"/>
      <c r="JT199" s="6090"/>
      <c r="JU199" s="6090"/>
      <c r="JV199" s="6090"/>
      <c r="JW199" s="6090"/>
      <c r="JX199" s="6090"/>
      <c r="JY199" s="6090"/>
      <c r="JZ199" s="6090"/>
      <c r="KA199" s="6090"/>
      <c r="KB199" s="6090"/>
      <c r="KC199" s="6090"/>
      <c r="KD199" s="6090"/>
      <c r="KE199" s="6090"/>
      <c r="KF199" s="6090"/>
      <c r="KG199" s="6090"/>
      <c r="KH199" s="6090"/>
      <c r="KI199" s="6090"/>
      <c r="KJ199" s="6090"/>
      <c r="KK199" s="6090"/>
      <c r="KL199" s="6090"/>
      <c r="KM199" s="6090"/>
      <c r="KN199" s="6090"/>
      <c r="KO199" s="6090"/>
      <c r="KP199" s="6090"/>
      <c r="KQ199" s="6090"/>
      <c r="KR199" s="6090"/>
      <c r="KS199" s="6090"/>
      <c r="KT199" s="6090"/>
      <c r="KU199" s="6090"/>
      <c r="KV199" s="6090"/>
      <c r="KW199" s="6090"/>
      <c r="KX199" s="6090"/>
      <c r="KY199" s="6090"/>
      <c r="KZ199" s="6090"/>
      <c r="LA199" s="6090"/>
      <c r="LB199" s="6090"/>
      <c r="LF199" s="6090"/>
      <c r="LG199" s="6090"/>
      <c r="LH199" s="6090"/>
      <c r="LI199" s="6090"/>
      <c r="LJ199" s="6090"/>
      <c r="LK199" s="6090"/>
      <c r="LL199" s="6090"/>
      <c r="LM199" s="6090"/>
      <c r="LN199" s="6090"/>
      <c r="LO199" s="6090"/>
      <c r="LP199" s="6090"/>
      <c r="LQ199" s="6090"/>
      <c r="LR199" s="6090"/>
      <c r="LS199" s="6090"/>
      <c r="LT199" s="6090"/>
      <c r="LU199" s="6090"/>
      <c r="LV199" s="6090"/>
      <c r="LW199" s="6090"/>
      <c r="LX199" s="6090"/>
      <c r="LY199" s="6090"/>
      <c r="LZ199" s="6090"/>
      <c r="MA199" s="6090"/>
      <c r="MB199" s="6090"/>
      <c r="MC199" s="6090"/>
      <c r="MD199" s="6090"/>
      <c r="ME199" s="6090"/>
      <c r="MF199" s="6090"/>
      <c r="MG199" s="6090"/>
      <c r="MH199" s="6090"/>
      <c r="MI199" s="6090"/>
      <c r="MJ199" s="6090"/>
      <c r="MK199" s="6090"/>
      <c r="ML199" s="6090"/>
      <c r="MM199" s="6090"/>
      <c r="MN199" s="6090"/>
      <c r="MO199" s="6090"/>
      <c r="MP199" s="6090"/>
      <c r="MQ199" s="6090"/>
      <c r="MR199" s="6090"/>
      <c r="MS199" s="6090"/>
      <c r="MT199" s="6090"/>
      <c r="MU199" s="6090"/>
      <c r="MY199" s="6090"/>
      <c r="MZ199" s="6090"/>
      <c r="NA199" s="6090"/>
      <c r="NB199" s="6090"/>
      <c r="NC199" s="6090"/>
      <c r="ND199" s="6090"/>
      <c r="NE199" s="6090"/>
      <c r="NF199" s="6090"/>
      <c r="NG199" s="6090"/>
      <c r="NH199" s="6090"/>
      <c r="NI199" s="6090"/>
      <c r="NJ199" s="6090"/>
      <c r="NK199" s="6090"/>
      <c r="NL199" s="6090"/>
      <c r="NM199" s="6090"/>
      <c r="NN199" s="6090"/>
      <c r="NO199" s="6090"/>
      <c r="NP199" s="6090"/>
      <c r="NQ199" s="6090"/>
      <c r="NR199" s="6090"/>
      <c r="NS199" s="6090"/>
      <c r="NT199" s="6090"/>
      <c r="NU199" s="6090"/>
      <c r="NV199" s="6090"/>
      <c r="NW199" s="6090"/>
      <c r="NX199" s="6090"/>
      <c r="NY199" s="6090"/>
      <c r="NZ199" s="6090"/>
      <c r="OA199" s="6090"/>
      <c r="OB199" s="6090"/>
      <c r="OC199" s="6090"/>
      <c r="OD199" s="6090"/>
      <c r="OE199" s="6090"/>
      <c r="OF199" s="6090"/>
      <c r="OG199" s="6090"/>
      <c r="OH199" s="6090"/>
      <c r="OI199" s="6090"/>
      <c r="OJ199" s="6090"/>
      <c r="OK199" s="6090"/>
      <c r="OL199" s="6090"/>
      <c r="OM199" s="6090"/>
      <c r="ON199" s="6090"/>
    </row>
    <row r="200" spans="3:405" ht="5.0999999999999996" customHeight="1" x14ac:dyDescent="0.2">
      <c r="D200" s="6091"/>
      <c r="AW200" s="6091"/>
      <c r="CP200" s="6091"/>
      <c r="EI200" s="6091"/>
      <c r="GB200" s="6091"/>
      <c r="HU200" s="6091"/>
      <c r="JN200" s="6091"/>
      <c r="LG200" s="6091"/>
      <c r="MZ200" s="6091"/>
    </row>
    <row r="201" spans="3:405" ht="5.0999999999999996" customHeight="1" x14ac:dyDescent="0.2"/>
    <row r="202" spans="3:405" ht="8.1" customHeight="1" x14ac:dyDescent="0.2">
      <c r="C202" s="6090"/>
      <c r="D202" s="6090"/>
      <c r="E202" s="6090"/>
      <c r="F202" s="6090"/>
      <c r="G202" s="6090"/>
      <c r="H202" s="6090"/>
      <c r="I202" s="6090"/>
      <c r="J202" s="6090"/>
      <c r="K202" s="6090"/>
      <c r="L202" s="6090"/>
      <c r="M202" s="6090"/>
      <c r="N202" s="6090"/>
      <c r="O202" s="6090"/>
      <c r="P202" s="6090"/>
      <c r="Q202" s="6090"/>
      <c r="R202" s="6090"/>
      <c r="S202" s="6090"/>
      <c r="T202" s="6090"/>
      <c r="U202" s="6090"/>
      <c r="V202" s="6090"/>
      <c r="W202" s="6090"/>
      <c r="X202" s="6090"/>
      <c r="Y202" s="6090"/>
      <c r="Z202" s="6090"/>
      <c r="AA202" s="6090"/>
      <c r="AB202" s="6090"/>
      <c r="AC202" s="6090"/>
      <c r="AD202" s="6090"/>
      <c r="AE202" s="6090"/>
      <c r="AF202" s="6090"/>
      <c r="AG202" s="6090"/>
      <c r="AH202" s="6090"/>
      <c r="AI202" s="6090"/>
      <c r="AJ202" s="6090"/>
      <c r="AK202" s="6090"/>
      <c r="AL202" s="6090"/>
      <c r="AM202" s="6090"/>
      <c r="AN202" s="6090"/>
      <c r="AO202" s="6090"/>
      <c r="AP202" s="6090"/>
      <c r="AQ202" s="6090"/>
      <c r="AR202" s="6090"/>
      <c r="AV202" s="6090"/>
      <c r="AW202" s="6090"/>
      <c r="AX202" s="6090"/>
      <c r="AY202" s="6090"/>
      <c r="AZ202" s="6090"/>
      <c r="BA202" s="6090"/>
      <c r="BB202" s="6090"/>
      <c r="BC202" s="6090"/>
      <c r="BD202" s="6090"/>
      <c r="BE202" s="6090"/>
      <c r="BF202" s="6090"/>
      <c r="BG202" s="6090"/>
      <c r="BH202" s="6090"/>
      <c r="BI202" s="6090"/>
      <c r="BJ202" s="6090"/>
      <c r="BK202" s="6090"/>
      <c r="BL202" s="6090"/>
      <c r="BM202" s="6090"/>
      <c r="BN202" s="6090"/>
      <c r="BO202" s="6090"/>
      <c r="BP202" s="6090"/>
      <c r="BQ202" s="6090"/>
      <c r="BR202" s="6090"/>
      <c r="BS202" s="6090"/>
      <c r="BT202" s="6090"/>
      <c r="BU202" s="6090"/>
      <c r="BV202" s="6090"/>
      <c r="BW202" s="6090"/>
      <c r="BX202" s="6090"/>
      <c r="BY202" s="6090"/>
      <c r="BZ202" s="6090"/>
      <c r="CA202" s="6090"/>
      <c r="CB202" s="6090"/>
      <c r="CC202" s="6090"/>
      <c r="CD202" s="6090"/>
      <c r="CE202" s="6090"/>
      <c r="CF202" s="6090"/>
      <c r="CG202" s="6090"/>
      <c r="CH202" s="6090"/>
      <c r="CI202" s="6090"/>
      <c r="CJ202" s="6090"/>
      <c r="CK202" s="6090"/>
      <c r="CO202" s="6090"/>
      <c r="CP202" s="6090"/>
      <c r="CQ202" s="6090"/>
      <c r="CR202" s="6090"/>
      <c r="CS202" s="6090"/>
      <c r="CT202" s="6090"/>
      <c r="CU202" s="6090"/>
      <c r="CV202" s="6090"/>
      <c r="CW202" s="6090"/>
      <c r="CX202" s="6090"/>
      <c r="CY202" s="6090"/>
      <c r="CZ202" s="6090"/>
      <c r="DA202" s="6090"/>
      <c r="DB202" s="6090"/>
      <c r="DC202" s="6090"/>
      <c r="DD202" s="6090"/>
      <c r="DE202" s="6090"/>
      <c r="DF202" s="6090"/>
      <c r="DG202" s="6090"/>
      <c r="DH202" s="6090"/>
      <c r="DI202" s="6090"/>
      <c r="DJ202" s="6090"/>
      <c r="DK202" s="6090"/>
      <c r="DL202" s="6090"/>
      <c r="DM202" s="6090"/>
      <c r="DN202" s="6090"/>
      <c r="DO202" s="6090"/>
      <c r="DP202" s="6090"/>
      <c r="DQ202" s="6090"/>
      <c r="DR202" s="6090"/>
      <c r="DS202" s="6090"/>
      <c r="DT202" s="6090"/>
      <c r="DU202" s="6090"/>
      <c r="DV202" s="6090"/>
      <c r="DW202" s="6090"/>
      <c r="DX202" s="6090"/>
      <c r="DY202" s="6090"/>
      <c r="DZ202" s="6090"/>
      <c r="EA202" s="6090"/>
      <c r="EB202" s="6090"/>
      <c r="EC202" s="6090"/>
      <c r="ED202" s="6090"/>
      <c r="EH202" s="6090"/>
      <c r="EI202" s="6090"/>
      <c r="EJ202" s="6090"/>
      <c r="EK202" s="6090"/>
      <c r="EL202" s="6090"/>
      <c r="EM202" s="6090"/>
      <c r="EN202" s="6090"/>
      <c r="EO202" s="6090"/>
      <c r="EP202" s="6090"/>
      <c r="EQ202" s="6090"/>
      <c r="ER202" s="6090"/>
      <c r="ES202" s="6090"/>
      <c r="ET202" s="6090"/>
      <c r="EU202" s="6090"/>
      <c r="EV202" s="6090"/>
      <c r="EW202" s="6090"/>
      <c r="EX202" s="6090"/>
      <c r="EY202" s="6090"/>
      <c r="EZ202" s="6090"/>
      <c r="FA202" s="6090"/>
      <c r="FB202" s="6090"/>
      <c r="FC202" s="6090"/>
      <c r="FD202" s="6090"/>
      <c r="FE202" s="6090"/>
      <c r="FF202" s="6090"/>
      <c r="FG202" s="6090"/>
      <c r="FH202" s="6090"/>
      <c r="FI202" s="6090"/>
      <c r="FJ202" s="6090"/>
      <c r="FK202" s="6090"/>
      <c r="FL202" s="6090"/>
      <c r="FM202" s="6090"/>
      <c r="FN202" s="6090"/>
      <c r="FO202" s="6090"/>
      <c r="FP202" s="6090"/>
      <c r="FQ202" s="6090"/>
      <c r="FR202" s="6090"/>
      <c r="FS202" s="6090"/>
      <c r="FT202" s="6090"/>
      <c r="FU202" s="6090"/>
      <c r="FV202" s="6090"/>
      <c r="FW202" s="6090"/>
      <c r="GA202" s="6090"/>
      <c r="GB202" s="6090"/>
      <c r="GC202" s="6090"/>
      <c r="GD202" s="6090"/>
      <c r="GE202" s="6090"/>
      <c r="GF202" s="6090"/>
      <c r="GG202" s="6090"/>
      <c r="GH202" s="6090"/>
      <c r="GI202" s="6090"/>
      <c r="GJ202" s="6090"/>
      <c r="GK202" s="6090"/>
      <c r="GL202" s="6090"/>
      <c r="GM202" s="6090"/>
      <c r="GN202" s="6090"/>
      <c r="GO202" s="6090"/>
      <c r="GP202" s="6090"/>
      <c r="GQ202" s="6090"/>
      <c r="GR202" s="6090"/>
      <c r="GS202" s="6090"/>
      <c r="GT202" s="6090"/>
      <c r="GU202" s="6090"/>
      <c r="GV202" s="6090"/>
      <c r="GW202" s="6090"/>
      <c r="GX202" s="6090"/>
      <c r="GY202" s="6090"/>
      <c r="GZ202" s="6090"/>
      <c r="HA202" s="6090"/>
      <c r="HB202" s="6090"/>
      <c r="HC202" s="6090"/>
      <c r="HD202" s="6090"/>
      <c r="HE202" s="6090"/>
      <c r="HF202" s="6090"/>
      <c r="HG202" s="6090"/>
      <c r="HH202" s="6090"/>
      <c r="HI202" s="6090"/>
      <c r="HJ202" s="6090"/>
      <c r="HK202" s="6090"/>
      <c r="HL202" s="6090"/>
      <c r="HM202" s="6090"/>
      <c r="HN202" s="6090"/>
      <c r="HO202" s="6090"/>
      <c r="HP202" s="6090"/>
      <c r="HT202" s="6090"/>
      <c r="HU202" s="6090"/>
      <c r="HV202" s="6090"/>
      <c r="HW202" s="6090"/>
      <c r="HX202" s="6090"/>
      <c r="HY202" s="6090"/>
      <c r="HZ202" s="6090"/>
      <c r="IA202" s="6090"/>
      <c r="IB202" s="6090"/>
      <c r="IC202" s="6090"/>
      <c r="ID202" s="6090"/>
      <c r="IE202" s="6090"/>
      <c r="IF202" s="6090"/>
      <c r="IG202" s="6090"/>
      <c r="IH202" s="6090"/>
      <c r="II202" s="6090"/>
      <c r="IJ202" s="6090"/>
      <c r="IK202" s="6090"/>
      <c r="IL202" s="6090"/>
      <c r="IM202" s="6090"/>
      <c r="IN202" s="6090"/>
      <c r="IO202" s="6090"/>
      <c r="IP202" s="6090"/>
      <c r="IQ202" s="6090"/>
      <c r="IR202" s="6090"/>
      <c r="IS202" s="6090"/>
      <c r="IT202" s="6090"/>
      <c r="IU202" s="6090"/>
      <c r="IV202" s="6090"/>
      <c r="IW202" s="6090"/>
      <c r="IX202" s="6090"/>
      <c r="IY202" s="6090"/>
      <c r="IZ202" s="6090"/>
      <c r="JA202" s="6090"/>
      <c r="JB202" s="6090"/>
      <c r="JC202" s="6090"/>
      <c r="JD202" s="6090"/>
      <c r="JE202" s="6090"/>
      <c r="JF202" s="6090"/>
      <c r="JG202" s="6090"/>
      <c r="JH202" s="6090"/>
      <c r="JI202" s="6090"/>
      <c r="JM202" s="6090"/>
      <c r="JN202" s="6090"/>
      <c r="JO202" s="6090"/>
      <c r="JP202" s="6090"/>
      <c r="JQ202" s="6090"/>
      <c r="JR202" s="6090"/>
      <c r="JS202" s="6090"/>
      <c r="JT202" s="6090"/>
      <c r="JU202" s="6090"/>
      <c r="JV202" s="6090"/>
      <c r="JW202" s="6090"/>
      <c r="JX202" s="6090"/>
      <c r="JY202" s="6090"/>
      <c r="JZ202" s="6090"/>
      <c r="KA202" s="6090"/>
      <c r="KB202" s="6090"/>
      <c r="KC202" s="6090"/>
      <c r="KD202" s="6090"/>
      <c r="KE202" s="6090"/>
      <c r="KF202" s="6090"/>
      <c r="KG202" s="6090"/>
      <c r="KH202" s="6090"/>
      <c r="KI202" s="6090"/>
      <c r="KJ202" s="6090"/>
      <c r="KK202" s="6090"/>
      <c r="KL202" s="6090"/>
      <c r="KM202" s="6090"/>
      <c r="KN202" s="6090"/>
      <c r="KO202" s="6090"/>
      <c r="KP202" s="6090"/>
      <c r="KQ202" s="6090"/>
      <c r="KR202" s="6090"/>
      <c r="KS202" s="6090"/>
      <c r="KT202" s="6090"/>
      <c r="KU202" s="6090"/>
      <c r="KV202" s="6090"/>
      <c r="KW202" s="6090"/>
      <c r="KX202" s="6090"/>
      <c r="KY202" s="6090"/>
      <c r="KZ202" s="6090"/>
      <c r="LA202" s="6090"/>
      <c r="LB202" s="6090"/>
      <c r="LF202" s="6090"/>
      <c r="LG202" s="6090"/>
      <c r="LH202" s="6090"/>
      <c r="LI202" s="6090"/>
      <c r="LJ202" s="6090"/>
      <c r="LK202" s="6090"/>
      <c r="LL202" s="6090"/>
      <c r="LM202" s="6090"/>
      <c r="LN202" s="6090"/>
      <c r="LO202" s="6090"/>
      <c r="LP202" s="6090"/>
      <c r="LQ202" s="6090"/>
      <c r="LR202" s="6090"/>
      <c r="LS202" s="6090"/>
      <c r="LT202" s="6090"/>
      <c r="LU202" s="6090"/>
      <c r="LV202" s="6090"/>
      <c r="LW202" s="6090"/>
      <c r="LX202" s="6090"/>
      <c r="LY202" s="6090"/>
      <c r="LZ202" s="6090"/>
      <c r="MA202" s="6090"/>
      <c r="MB202" s="6090"/>
      <c r="MC202" s="6090"/>
      <c r="MD202" s="6090"/>
      <c r="ME202" s="6090"/>
      <c r="MF202" s="6090"/>
      <c r="MG202" s="6090"/>
      <c r="MH202" s="6090"/>
      <c r="MI202" s="6090"/>
      <c r="MJ202" s="6090"/>
      <c r="MK202" s="6090"/>
      <c r="ML202" s="6090"/>
      <c r="MM202" s="6090"/>
      <c r="MN202" s="6090"/>
      <c r="MO202" s="6090"/>
      <c r="MP202" s="6090"/>
      <c r="MQ202" s="6090"/>
      <c r="MR202" s="6090"/>
      <c r="MS202" s="6090"/>
      <c r="MT202" s="6090"/>
      <c r="MU202" s="6090"/>
      <c r="MY202" s="6090"/>
      <c r="MZ202" s="6090"/>
      <c r="NA202" s="6090"/>
      <c r="NB202" s="6090"/>
      <c r="NC202" s="6090"/>
      <c r="ND202" s="6090"/>
      <c r="NE202" s="6090"/>
      <c r="NF202" s="6090"/>
      <c r="NG202" s="6090"/>
      <c r="NH202" s="6090"/>
      <c r="NI202" s="6090"/>
      <c r="NJ202" s="6090"/>
      <c r="NK202" s="6090"/>
      <c r="NL202" s="6090"/>
      <c r="NM202" s="6090"/>
      <c r="NN202" s="6090"/>
      <c r="NO202" s="6090"/>
      <c r="NP202" s="6090"/>
      <c r="NQ202" s="6090"/>
      <c r="NR202" s="6090"/>
      <c r="NS202" s="6090"/>
      <c r="NT202" s="6090"/>
      <c r="NU202" s="6090"/>
      <c r="NV202" s="6090"/>
      <c r="NW202" s="6090"/>
      <c r="NX202" s="6090"/>
      <c r="NY202" s="6090"/>
      <c r="NZ202" s="6090"/>
      <c r="OA202" s="6090"/>
      <c r="OB202" s="6090"/>
      <c r="OC202" s="6090"/>
      <c r="OD202" s="6090"/>
      <c r="OE202" s="6090"/>
      <c r="OF202" s="6090"/>
      <c r="OG202" s="6090"/>
      <c r="OH202" s="6090"/>
      <c r="OI202" s="6090"/>
      <c r="OJ202" s="6090"/>
      <c r="OK202" s="6090"/>
      <c r="OL202" s="6090"/>
      <c r="OM202" s="6090"/>
      <c r="ON202" s="6090"/>
    </row>
    <row r="203" spans="3:405" ht="9.9499999999999993" customHeight="1" thickBot="1" x14ac:dyDescent="0.25"/>
    <row r="204" spans="3:405" ht="9.9499999999999993" customHeight="1" thickBot="1" x14ac:dyDescent="0.25">
      <c r="C204" s="6015"/>
      <c r="D204" s="6016"/>
      <c r="E204" s="6016"/>
      <c r="F204" s="6016"/>
      <c r="G204" s="6016"/>
      <c r="H204" s="6016"/>
      <c r="I204" s="6016"/>
      <c r="J204" s="6016"/>
      <c r="K204" s="6016"/>
      <c r="L204" s="6016"/>
      <c r="M204" s="6016"/>
      <c r="N204" s="6016"/>
      <c r="O204" s="6016"/>
      <c r="P204" s="6016"/>
      <c r="Q204" s="6016"/>
      <c r="R204" s="6016"/>
      <c r="S204" s="6016"/>
      <c r="T204" s="6016"/>
      <c r="U204" s="6016"/>
      <c r="V204" s="6016"/>
      <c r="W204" s="6016"/>
      <c r="X204" s="6016"/>
      <c r="Y204" s="6016"/>
      <c r="Z204" s="6016"/>
      <c r="AA204" s="6016"/>
      <c r="AB204" s="6016"/>
      <c r="AC204" s="6016"/>
      <c r="AD204" s="6016"/>
      <c r="AE204" s="6016"/>
      <c r="AF204" s="6016"/>
      <c r="AG204" s="6016"/>
      <c r="AH204" s="6016"/>
      <c r="AI204" s="6016"/>
      <c r="AJ204" s="6016"/>
      <c r="AK204" s="6016"/>
      <c r="AL204" s="6016"/>
      <c r="AM204" s="6016"/>
      <c r="AN204" s="6016"/>
      <c r="AO204" s="6016"/>
      <c r="AP204" s="6016"/>
      <c r="AQ204" s="6016"/>
      <c r="AR204" s="6017"/>
      <c r="AV204" s="6015"/>
      <c r="AW204" s="6016"/>
      <c r="AX204" s="6016"/>
      <c r="AY204" s="6016"/>
      <c r="AZ204" s="6016"/>
      <c r="BA204" s="6016"/>
      <c r="BB204" s="6016"/>
      <c r="BC204" s="6016"/>
      <c r="BD204" s="6016"/>
      <c r="BE204" s="6016"/>
      <c r="BF204" s="6016"/>
      <c r="BG204" s="6016"/>
      <c r="BH204" s="6016"/>
      <c r="BI204" s="6016"/>
      <c r="BJ204" s="6016"/>
      <c r="BK204" s="6016"/>
      <c r="BL204" s="6016"/>
      <c r="BM204" s="6016"/>
      <c r="BN204" s="6016"/>
      <c r="BO204" s="6016"/>
      <c r="BP204" s="6016"/>
      <c r="BQ204" s="6016"/>
      <c r="BR204" s="6016"/>
      <c r="BS204" s="6016"/>
      <c r="BT204" s="6016"/>
      <c r="BU204" s="6016"/>
      <c r="BV204" s="6016"/>
      <c r="BW204" s="6016"/>
      <c r="BX204" s="6016"/>
      <c r="BY204" s="6016"/>
      <c r="BZ204" s="6016"/>
      <c r="CA204" s="6016"/>
      <c r="CB204" s="6016"/>
      <c r="CC204" s="6016"/>
      <c r="CD204" s="6016"/>
      <c r="CE204" s="6016"/>
      <c r="CF204" s="6016"/>
      <c r="CG204" s="6016"/>
      <c r="CH204" s="6016"/>
      <c r="CI204" s="6016"/>
      <c r="CJ204" s="6016"/>
      <c r="CK204" s="6017"/>
      <c r="CO204" s="6015"/>
      <c r="CP204" s="6016"/>
      <c r="CQ204" s="6016"/>
      <c r="CR204" s="6016"/>
      <c r="CS204" s="6016"/>
      <c r="CT204" s="6016"/>
      <c r="CU204" s="6016"/>
      <c r="CV204" s="6016"/>
      <c r="CW204" s="6016"/>
      <c r="CX204" s="6016"/>
      <c r="CY204" s="6016"/>
      <c r="CZ204" s="6016"/>
      <c r="DA204" s="6016"/>
      <c r="DB204" s="6016"/>
      <c r="DC204" s="6016"/>
      <c r="DD204" s="6016"/>
      <c r="DE204" s="6016"/>
      <c r="DF204" s="6016"/>
      <c r="DG204" s="6016"/>
      <c r="DH204" s="6016"/>
      <c r="DI204" s="6016"/>
      <c r="DJ204" s="6016"/>
      <c r="DK204" s="6016"/>
      <c r="DL204" s="6016"/>
      <c r="DM204" s="6016"/>
      <c r="DN204" s="6016"/>
      <c r="DO204" s="6016"/>
      <c r="DP204" s="6016"/>
      <c r="DQ204" s="6016"/>
      <c r="DR204" s="6016"/>
      <c r="DS204" s="6016"/>
      <c r="DT204" s="6016"/>
      <c r="DU204" s="6016"/>
      <c r="DV204" s="6016"/>
      <c r="DW204" s="6016"/>
      <c r="DX204" s="6016"/>
      <c r="DY204" s="6016"/>
      <c r="DZ204" s="6016"/>
      <c r="EA204" s="6016"/>
      <c r="EB204" s="6016"/>
      <c r="EC204" s="6016"/>
      <c r="ED204" s="6017"/>
      <c r="EH204" s="6015"/>
      <c r="EI204" s="6016"/>
      <c r="EJ204" s="6016"/>
      <c r="EK204" s="6016"/>
      <c r="EL204" s="6016"/>
      <c r="EM204" s="6016"/>
      <c r="EN204" s="6016"/>
      <c r="EO204" s="6016"/>
      <c r="EP204" s="6016"/>
      <c r="EQ204" s="6016"/>
      <c r="ER204" s="6016"/>
      <c r="ES204" s="6016"/>
      <c r="ET204" s="6016"/>
      <c r="EU204" s="6016"/>
      <c r="EV204" s="6016"/>
      <c r="EW204" s="6016"/>
      <c r="EX204" s="6016"/>
      <c r="EY204" s="6016"/>
      <c r="EZ204" s="6016"/>
      <c r="FA204" s="6016"/>
      <c r="FB204" s="6016"/>
      <c r="FC204" s="6016"/>
      <c r="FD204" s="6016"/>
      <c r="FE204" s="6016"/>
      <c r="FF204" s="6016"/>
      <c r="FG204" s="6016"/>
      <c r="FH204" s="6016"/>
      <c r="FI204" s="6016"/>
      <c r="FJ204" s="6016"/>
      <c r="FK204" s="6016"/>
      <c r="FL204" s="6016"/>
      <c r="FM204" s="6016"/>
      <c r="FN204" s="6016"/>
      <c r="FO204" s="6016"/>
      <c r="FP204" s="6016"/>
      <c r="FQ204" s="6016"/>
      <c r="FR204" s="6016"/>
      <c r="FS204" s="6016"/>
      <c r="FT204" s="6016"/>
      <c r="FU204" s="6016"/>
      <c r="FV204" s="6016"/>
      <c r="FW204" s="6017"/>
      <c r="GA204" s="6015"/>
      <c r="GB204" s="6016"/>
      <c r="GC204" s="6016"/>
      <c r="GD204" s="6016"/>
      <c r="GE204" s="6016"/>
      <c r="GF204" s="6016"/>
      <c r="GG204" s="6016"/>
      <c r="GH204" s="6016"/>
      <c r="GI204" s="6016"/>
      <c r="GJ204" s="6016"/>
      <c r="GK204" s="6016"/>
      <c r="GL204" s="6016"/>
      <c r="GM204" s="6016"/>
      <c r="GN204" s="6016"/>
      <c r="GO204" s="6016"/>
      <c r="GP204" s="6016"/>
      <c r="GQ204" s="6016"/>
      <c r="GR204" s="6016"/>
      <c r="GS204" s="6016"/>
      <c r="GT204" s="6016"/>
      <c r="GU204" s="6016"/>
      <c r="GV204" s="6016"/>
      <c r="GW204" s="6016"/>
      <c r="GX204" s="6016"/>
      <c r="GY204" s="6016"/>
      <c r="GZ204" s="6016"/>
      <c r="HA204" s="6016"/>
      <c r="HB204" s="6016"/>
      <c r="HC204" s="6016"/>
      <c r="HD204" s="6016"/>
      <c r="HE204" s="6016"/>
      <c r="HF204" s="6016"/>
      <c r="HG204" s="6016"/>
      <c r="HH204" s="6016"/>
      <c r="HI204" s="6016"/>
      <c r="HJ204" s="6016"/>
      <c r="HK204" s="6016"/>
      <c r="HL204" s="6016"/>
      <c r="HM204" s="6016"/>
      <c r="HN204" s="6016"/>
      <c r="HO204" s="6016"/>
      <c r="HP204" s="6017"/>
      <c r="HT204" s="6015"/>
      <c r="HU204" s="6016"/>
      <c r="HV204" s="6016"/>
      <c r="HW204" s="6016"/>
      <c r="HX204" s="6016"/>
      <c r="HY204" s="6016"/>
      <c r="HZ204" s="6016"/>
      <c r="IA204" s="6016"/>
      <c r="IB204" s="6016"/>
      <c r="IC204" s="6016"/>
      <c r="ID204" s="6016"/>
      <c r="IE204" s="6016"/>
      <c r="IF204" s="6016"/>
      <c r="IG204" s="6016"/>
      <c r="IH204" s="6016"/>
      <c r="II204" s="6016"/>
      <c r="IJ204" s="6016"/>
      <c r="IK204" s="6016"/>
      <c r="IL204" s="6016"/>
      <c r="IM204" s="6016"/>
      <c r="IN204" s="6016"/>
      <c r="IO204" s="6016"/>
      <c r="IP204" s="6016"/>
      <c r="IQ204" s="6016"/>
      <c r="IR204" s="6016"/>
      <c r="IS204" s="6016"/>
      <c r="IT204" s="6016"/>
      <c r="IU204" s="6016"/>
      <c r="IV204" s="6016"/>
      <c r="IW204" s="6016"/>
      <c r="IX204" s="6016"/>
      <c r="IY204" s="6016"/>
      <c r="IZ204" s="6016"/>
      <c r="JA204" s="6016"/>
      <c r="JB204" s="6016"/>
      <c r="JC204" s="6016"/>
      <c r="JD204" s="6016"/>
      <c r="JE204" s="6016"/>
      <c r="JF204" s="6016"/>
      <c r="JG204" s="6016"/>
      <c r="JH204" s="6016"/>
      <c r="JI204" s="6017"/>
      <c r="JM204" s="6015"/>
      <c r="JN204" s="6016"/>
      <c r="JO204" s="6016"/>
      <c r="JP204" s="6016"/>
      <c r="JQ204" s="6016"/>
      <c r="JR204" s="6016"/>
      <c r="JS204" s="6016"/>
      <c r="JT204" s="6016"/>
      <c r="JU204" s="6016"/>
      <c r="JV204" s="6016"/>
      <c r="JW204" s="6016"/>
      <c r="JX204" s="6016"/>
      <c r="JY204" s="6016"/>
      <c r="JZ204" s="6016"/>
      <c r="KA204" s="6016"/>
      <c r="KB204" s="6016"/>
      <c r="KC204" s="6016"/>
      <c r="KD204" s="6016"/>
      <c r="KE204" s="6016"/>
      <c r="KF204" s="6016"/>
      <c r="KG204" s="6016"/>
      <c r="KH204" s="6016"/>
      <c r="KI204" s="6016"/>
      <c r="KJ204" s="6016"/>
      <c r="KK204" s="6016"/>
      <c r="KL204" s="6016"/>
      <c r="KM204" s="6016"/>
      <c r="KN204" s="6016"/>
      <c r="KO204" s="6016"/>
      <c r="KP204" s="6016"/>
      <c r="KQ204" s="6016"/>
      <c r="KR204" s="6016"/>
      <c r="KS204" s="6016"/>
      <c r="KT204" s="6016"/>
      <c r="KU204" s="6016"/>
      <c r="KV204" s="6016"/>
      <c r="KW204" s="6016"/>
      <c r="KX204" s="6016"/>
      <c r="KY204" s="6016"/>
      <c r="KZ204" s="6016"/>
      <c r="LA204" s="6016"/>
      <c r="LB204" s="6017"/>
      <c r="LC204" s="7"/>
      <c r="LF204" s="6015"/>
      <c r="LG204" s="6016"/>
      <c r="LH204" s="6016"/>
      <c r="LI204" s="6016"/>
      <c r="LJ204" s="6016"/>
      <c r="LK204" s="6016"/>
      <c r="LL204" s="6016"/>
      <c r="LM204" s="6016"/>
      <c r="LN204" s="6016"/>
      <c r="LO204" s="6016"/>
      <c r="LP204" s="6016"/>
      <c r="LQ204" s="6016"/>
      <c r="LR204" s="6016"/>
      <c r="LS204" s="6016"/>
      <c r="LT204" s="6016"/>
      <c r="LU204" s="6016"/>
      <c r="LV204" s="6016"/>
      <c r="LW204" s="6016"/>
      <c r="LX204" s="6016"/>
      <c r="LY204" s="6016"/>
      <c r="LZ204" s="6016"/>
      <c r="MA204" s="6016"/>
      <c r="MB204" s="6016"/>
      <c r="MC204" s="6016"/>
      <c r="MD204" s="6016"/>
      <c r="ME204" s="6016"/>
      <c r="MF204" s="6016"/>
      <c r="MG204" s="6016"/>
      <c r="MH204" s="6016"/>
      <c r="MI204" s="6016"/>
      <c r="MJ204" s="6016"/>
      <c r="MK204" s="6016"/>
      <c r="ML204" s="6016"/>
      <c r="MM204" s="6016"/>
      <c r="MN204" s="6016"/>
      <c r="MO204" s="6016"/>
      <c r="MP204" s="6016"/>
      <c r="MQ204" s="6016"/>
      <c r="MR204" s="6016"/>
      <c r="MS204" s="6016"/>
      <c r="MT204" s="6016"/>
      <c r="MU204" s="6017"/>
      <c r="MV204" s="7"/>
      <c r="MY204" s="6015"/>
      <c r="MZ204" s="6016"/>
      <c r="NA204" s="6016"/>
      <c r="NB204" s="6016"/>
      <c r="NC204" s="6016"/>
      <c r="ND204" s="6016"/>
      <c r="NE204" s="6016"/>
      <c r="NF204" s="6016"/>
      <c r="NG204" s="6016"/>
      <c r="NH204" s="6016"/>
      <c r="NI204" s="6016"/>
      <c r="NJ204" s="6016"/>
      <c r="NK204" s="6016"/>
      <c r="NL204" s="6016"/>
      <c r="NM204" s="6016"/>
      <c r="NN204" s="6016"/>
      <c r="NO204" s="6016"/>
      <c r="NP204" s="6016"/>
      <c r="NQ204" s="6016"/>
      <c r="NR204" s="6016"/>
      <c r="NS204" s="6016"/>
      <c r="NT204" s="6016"/>
      <c r="NU204" s="6016"/>
      <c r="NV204" s="6016"/>
      <c r="NW204" s="6016"/>
      <c r="NX204" s="6016"/>
      <c r="NY204" s="6016"/>
      <c r="NZ204" s="6016"/>
      <c r="OA204" s="6016"/>
      <c r="OB204" s="6016"/>
      <c r="OC204" s="6016"/>
      <c r="OD204" s="6016"/>
      <c r="OE204" s="6016"/>
      <c r="OF204" s="6016"/>
      <c r="OG204" s="6016"/>
      <c r="OH204" s="6016"/>
      <c r="OI204" s="6016"/>
      <c r="OJ204" s="6016"/>
      <c r="OK204" s="6016"/>
      <c r="OL204" s="6016"/>
      <c r="OM204" s="6016"/>
      <c r="ON204" s="6017"/>
      <c r="OO204" s="7"/>
    </row>
    <row r="205" spans="3:405" s="6027" customFormat="1" ht="15" customHeight="1" thickBot="1" x14ac:dyDescent="0.25">
      <c r="C205" s="6018"/>
      <c r="D205" s="6019"/>
      <c r="E205" s="6779" t="str">
        <f>_Calcs!$II$94</f>
        <v/>
      </c>
      <c r="F205" s="6779"/>
      <c r="G205" s="6779"/>
      <c r="H205" s="6779"/>
      <c r="I205" s="6779"/>
      <c r="J205" s="6779"/>
      <c r="K205" s="6779"/>
      <c r="L205" s="6779"/>
      <c r="M205" s="6779"/>
      <c r="N205" s="6779"/>
      <c r="O205" s="6779"/>
      <c r="P205" s="6779"/>
      <c r="Q205" s="6779"/>
      <c r="R205" s="6779"/>
      <c r="S205" s="6779"/>
      <c r="T205" s="6779"/>
      <c r="U205" s="6779"/>
      <c r="V205" s="6779"/>
      <c r="W205" s="6779"/>
      <c r="X205" s="6779"/>
      <c r="Y205" s="6779"/>
      <c r="Z205" s="6779"/>
      <c r="AA205" s="6779"/>
      <c r="AB205" s="6779"/>
      <c r="AC205" s="6779"/>
      <c r="AD205" s="6779"/>
      <c r="AE205" s="6779"/>
      <c r="AF205" s="6779"/>
      <c r="AG205" s="6779"/>
      <c r="AH205" s="6779"/>
      <c r="AI205" s="6779"/>
      <c r="AJ205" s="6020"/>
      <c r="AK205" s="6021"/>
      <c r="AL205" s="6022"/>
      <c r="AM205" s="6023" t="str">
        <f>_Calcs!$IK$168</f>
        <v>Side 7 av 9</v>
      </c>
      <c r="AN205" s="6024"/>
      <c r="AO205" s="6024"/>
      <c r="AP205" s="6024"/>
      <c r="AQ205" s="6025"/>
      <c r="AR205" s="6026"/>
      <c r="AV205" s="6018"/>
      <c r="AW205" s="6019"/>
      <c r="AX205" s="6779" t="str">
        <f>_Calcs!$II$94</f>
        <v/>
      </c>
      <c r="AY205" s="6779"/>
      <c r="AZ205" s="6779"/>
      <c r="BA205" s="6779"/>
      <c r="BB205" s="6779"/>
      <c r="BC205" s="6779"/>
      <c r="BD205" s="6779"/>
      <c r="BE205" s="6779"/>
      <c r="BF205" s="6779"/>
      <c r="BG205" s="6779"/>
      <c r="BH205" s="6779"/>
      <c r="BI205" s="6779"/>
      <c r="BJ205" s="6779"/>
      <c r="BK205" s="6779"/>
      <c r="BL205" s="6779"/>
      <c r="BM205" s="6779"/>
      <c r="BN205" s="6779"/>
      <c r="BO205" s="6779"/>
      <c r="BP205" s="6779"/>
      <c r="BQ205" s="6779"/>
      <c r="BR205" s="6779"/>
      <c r="BS205" s="6779"/>
      <c r="BT205" s="6779"/>
      <c r="BU205" s="6779"/>
      <c r="BV205" s="6779"/>
      <c r="BW205" s="6779"/>
      <c r="BX205" s="6779"/>
      <c r="BY205" s="6779"/>
      <c r="BZ205" s="6779"/>
      <c r="CA205" s="6779"/>
      <c r="CB205" s="6779"/>
      <c r="CC205" s="6020"/>
      <c r="CD205" s="6021"/>
      <c r="CE205" s="6022"/>
      <c r="CF205" s="6023" t="str">
        <f>_Calcs!$IL$168</f>
        <v>Side 7 av 9</v>
      </c>
      <c r="CG205" s="6024"/>
      <c r="CH205" s="6024"/>
      <c r="CI205" s="6024"/>
      <c r="CJ205" s="6025"/>
      <c r="CK205" s="6026"/>
      <c r="CO205" s="6018"/>
      <c r="CP205" s="6019"/>
      <c r="CQ205" s="6779" t="str">
        <f>_Calcs!$II$94</f>
        <v/>
      </c>
      <c r="CR205" s="6779"/>
      <c r="CS205" s="6779"/>
      <c r="CT205" s="6779"/>
      <c r="CU205" s="6779"/>
      <c r="CV205" s="6779"/>
      <c r="CW205" s="6779"/>
      <c r="CX205" s="6779"/>
      <c r="CY205" s="6779"/>
      <c r="CZ205" s="6779"/>
      <c r="DA205" s="6779"/>
      <c r="DB205" s="6779"/>
      <c r="DC205" s="6779"/>
      <c r="DD205" s="6779"/>
      <c r="DE205" s="6779"/>
      <c r="DF205" s="6779"/>
      <c r="DG205" s="6779"/>
      <c r="DH205" s="6779"/>
      <c r="DI205" s="6779"/>
      <c r="DJ205" s="6779"/>
      <c r="DK205" s="6779"/>
      <c r="DL205" s="6779"/>
      <c r="DM205" s="6779"/>
      <c r="DN205" s="6779"/>
      <c r="DO205" s="6779"/>
      <c r="DP205" s="6779"/>
      <c r="DQ205" s="6779"/>
      <c r="DR205" s="6779"/>
      <c r="DS205" s="6779"/>
      <c r="DT205" s="6779"/>
      <c r="DU205" s="6779"/>
      <c r="DV205" s="6020"/>
      <c r="DW205" s="6021"/>
      <c r="DX205" s="6022"/>
      <c r="DY205" s="6023" t="str">
        <f>_Calcs!$IM$168</f>
        <v>Side 7 av 9</v>
      </c>
      <c r="DZ205" s="6024"/>
      <c r="EA205" s="6024"/>
      <c r="EB205" s="6024"/>
      <c r="EC205" s="6025"/>
      <c r="ED205" s="6026"/>
      <c r="EH205" s="6018"/>
      <c r="EI205" s="6019"/>
      <c r="EJ205" s="6779" t="str">
        <f>_Calcs!$II$94</f>
        <v/>
      </c>
      <c r="EK205" s="6779"/>
      <c r="EL205" s="6779"/>
      <c r="EM205" s="6779"/>
      <c r="EN205" s="6779"/>
      <c r="EO205" s="6779"/>
      <c r="EP205" s="6779"/>
      <c r="EQ205" s="6779"/>
      <c r="ER205" s="6779"/>
      <c r="ES205" s="6779"/>
      <c r="ET205" s="6779"/>
      <c r="EU205" s="6779"/>
      <c r="EV205" s="6779"/>
      <c r="EW205" s="6779"/>
      <c r="EX205" s="6779"/>
      <c r="EY205" s="6779"/>
      <c r="EZ205" s="6779"/>
      <c r="FA205" s="6779"/>
      <c r="FB205" s="6779"/>
      <c r="FC205" s="6779"/>
      <c r="FD205" s="6779"/>
      <c r="FE205" s="6779"/>
      <c r="FF205" s="6779"/>
      <c r="FG205" s="6779"/>
      <c r="FH205" s="6779"/>
      <c r="FI205" s="6779"/>
      <c r="FJ205" s="6779"/>
      <c r="FK205" s="6779"/>
      <c r="FL205" s="6779"/>
      <c r="FM205" s="6779"/>
      <c r="FN205" s="6779"/>
      <c r="FO205" s="6020"/>
      <c r="FP205" s="6021"/>
      <c r="FQ205" s="6022"/>
      <c r="FR205" s="6023" t="str">
        <f>_Calcs!$IN$168</f>
        <v>Side 7 av 9</v>
      </c>
      <c r="FS205" s="6024"/>
      <c r="FT205" s="6024"/>
      <c r="FU205" s="6024"/>
      <c r="FV205" s="6025"/>
      <c r="FW205" s="6026"/>
      <c r="GA205" s="6018"/>
      <c r="GB205" s="6019"/>
      <c r="GC205" s="6779" t="str">
        <f>_Calcs!$II$94</f>
        <v/>
      </c>
      <c r="GD205" s="6779"/>
      <c r="GE205" s="6779"/>
      <c r="GF205" s="6779"/>
      <c r="GG205" s="6779"/>
      <c r="GH205" s="6779"/>
      <c r="GI205" s="6779"/>
      <c r="GJ205" s="6779"/>
      <c r="GK205" s="6779"/>
      <c r="GL205" s="6779"/>
      <c r="GM205" s="6779"/>
      <c r="GN205" s="6779"/>
      <c r="GO205" s="6779"/>
      <c r="GP205" s="6779"/>
      <c r="GQ205" s="6779"/>
      <c r="GR205" s="6779"/>
      <c r="GS205" s="6779"/>
      <c r="GT205" s="6779"/>
      <c r="GU205" s="6779"/>
      <c r="GV205" s="6779"/>
      <c r="GW205" s="6779"/>
      <c r="GX205" s="6779"/>
      <c r="GY205" s="6779"/>
      <c r="GZ205" s="6779"/>
      <c r="HA205" s="6779"/>
      <c r="HB205" s="6779"/>
      <c r="HC205" s="6779"/>
      <c r="HD205" s="6779"/>
      <c r="HE205" s="6779"/>
      <c r="HF205" s="6779"/>
      <c r="HG205" s="6779"/>
      <c r="HH205" s="6020"/>
      <c r="HI205" s="6021"/>
      <c r="HJ205" s="6022"/>
      <c r="HK205" s="6023" t="str">
        <f>_Calcs!$IO$168</f>
        <v>Side 7 av 9</v>
      </c>
      <c r="HL205" s="6024"/>
      <c r="HM205" s="6024"/>
      <c r="HN205" s="6024"/>
      <c r="HO205" s="6025"/>
      <c r="HP205" s="6026"/>
      <c r="HT205" s="6018"/>
      <c r="HU205" s="6019"/>
      <c r="HV205" s="6779" t="str">
        <f>_Calcs!$II$94</f>
        <v/>
      </c>
      <c r="HW205" s="6779"/>
      <c r="HX205" s="6779"/>
      <c r="HY205" s="6779"/>
      <c r="HZ205" s="6779"/>
      <c r="IA205" s="6779"/>
      <c r="IB205" s="6779"/>
      <c r="IC205" s="6779"/>
      <c r="ID205" s="6779"/>
      <c r="IE205" s="6779"/>
      <c r="IF205" s="6779"/>
      <c r="IG205" s="6779"/>
      <c r="IH205" s="6779"/>
      <c r="II205" s="6779"/>
      <c r="IJ205" s="6779"/>
      <c r="IK205" s="6779"/>
      <c r="IL205" s="6779"/>
      <c r="IM205" s="6779"/>
      <c r="IN205" s="6779"/>
      <c r="IO205" s="6779"/>
      <c r="IP205" s="6779"/>
      <c r="IQ205" s="6779"/>
      <c r="IR205" s="6779"/>
      <c r="IS205" s="6779"/>
      <c r="IT205" s="6779"/>
      <c r="IU205" s="6779"/>
      <c r="IV205" s="6779"/>
      <c r="IW205" s="6779"/>
      <c r="IX205" s="6779"/>
      <c r="IY205" s="6779"/>
      <c r="IZ205" s="6779"/>
      <c r="JA205" s="6020"/>
      <c r="JB205" s="6021"/>
      <c r="JC205" s="6022"/>
      <c r="JD205" s="6023" t="str">
        <f>_Calcs!$IP$168</f>
        <v>Side 7 av 9</v>
      </c>
      <c r="JE205" s="6024"/>
      <c r="JF205" s="6024"/>
      <c r="JG205" s="6024"/>
      <c r="JH205" s="6025"/>
      <c r="JI205" s="6026"/>
      <c r="JM205" s="6018"/>
      <c r="JN205" s="6019"/>
      <c r="JO205" s="6779" t="str">
        <f>_Calcs!$II$94</f>
        <v/>
      </c>
      <c r="JP205" s="6779"/>
      <c r="JQ205" s="6779"/>
      <c r="JR205" s="6779"/>
      <c r="JS205" s="6779"/>
      <c r="JT205" s="6779"/>
      <c r="JU205" s="6779"/>
      <c r="JV205" s="6779"/>
      <c r="JW205" s="6779"/>
      <c r="JX205" s="6779"/>
      <c r="JY205" s="6779"/>
      <c r="JZ205" s="6779"/>
      <c r="KA205" s="6779"/>
      <c r="KB205" s="6779"/>
      <c r="KC205" s="6779"/>
      <c r="KD205" s="6779"/>
      <c r="KE205" s="6779"/>
      <c r="KF205" s="6779"/>
      <c r="KG205" s="6779"/>
      <c r="KH205" s="6779"/>
      <c r="KI205" s="6779"/>
      <c r="KJ205" s="6779"/>
      <c r="KK205" s="6779"/>
      <c r="KL205" s="6779"/>
      <c r="KM205" s="6779"/>
      <c r="KN205" s="6779"/>
      <c r="KO205" s="6779"/>
      <c r="KP205" s="6779"/>
      <c r="KQ205" s="6779"/>
      <c r="KR205" s="6779"/>
      <c r="KS205" s="6779"/>
      <c r="KT205" s="6020"/>
      <c r="KU205" s="6021"/>
      <c r="KV205" s="6022"/>
      <c r="KW205" s="6023" t="str">
        <f>_Calcs!$IQ$168</f>
        <v>Side 7 av 9</v>
      </c>
      <c r="KX205" s="6024"/>
      <c r="KY205" s="6024"/>
      <c r="KZ205" s="6024"/>
      <c r="LA205" s="6025"/>
      <c r="LB205" s="6026"/>
      <c r="LC205" s="7"/>
      <c r="LF205" s="6018"/>
      <c r="LG205" s="6019"/>
      <c r="LH205" s="6779" t="str">
        <f>_Calcs!$II$94</f>
        <v/>
      </c>
      <c r="LI205" s="6779"/>
      <c r="LJ205" s="6779"/>
      <c r="LK205" s="6779"/>
      <c r="LL205" s="6779"/>
      <c r="LM205" s="6779"/>
      <c r="LN205" s="6779"/>
      <c r="LO205" s="6779"/>
      <c r="LP205" s="6779"/>
      <c r="LQ205" s="6779"/>
      <c r="LR205" s="6779"/>
      <c r="LS205" s="6779"/>
      <c r="LT205" s="6779"/>
      <c r="LU205" s="6779"/>
      <c r="LV205" s="6779"/>
      <c r="LW205" s="6779"/>
      <c r="LX205" s="6779"/>
      <c r="LY205" s="6779"/>
      <c r="LZ205" s="6779"/>
      <c r="MA205" s="6779"/>
      <c r="MB205" s="6779"/>
      <c r="MC205" s="6779"/>
      <c r="MD205" s="6779"/>
      <c r="ME205" s="6779"/>
      <c r="MF205" s="6779"/>
      <c r="MG205" s="6779"/>
      <c r="MH205" s="6779"/>
      <c r="MI205" s="6779"/>
      <c r="MJ205" s="6779"/>
      <c r="MK205" s="6779"/>
      <c r="ML205" s="6779"/>
      <c r="MM205" s="6020"/>
      <c r="MN205" s="6021"/>
      <c r="MO205" s="6022"/>
      <c r="MP205" s="6023" t="str">
        <f>_Calcs!$IR$168</f>
        <v>Side 7 av 9</v>
      </c>
      <c r="MQ205" s="6024"/>
      <c r="MR205" s="6024"/>
      <c r="MS205" s="6024"/>
      <c r="MT205" s="6025"/>
      <c r="MU205" s="6026"/>
      <c r="MV205" s="7"/>
      <c r="MY205" s="6018"/>
      <c r="MZ205" s="6019"/>
      <c r="NA205" s="6779" t="str">
        <f>_Calcs!$II$94</f>
        <v/>
      </c>
      <c r="NB205" s="6779"/>
      <c r="NC205" s="6779"/>
      <c r="ND205" s="6779"/>
      <c r="NE205" s="6779"/>
      <c r="NF205" s="6779"/>
      <c r="NG205" s="6779"/>
      <c r="NH205" s="6779"/>
      <c r="NI205" s="6779"/>
      <c r="NJ205" s="6779"/>
      <c r="NK205" s="6779"/>
      <c r="NL205" s="6779"/>
      <c r="NM205" s="6779"/>
      <c r="NN205" s="6779"/>
      <c r="NO205" s="6779"/>
      <c r="NP205" s="6779"/>
      <c r="NQ205" s="6779"/>
      <c r="NR205" s="6779"/>
      <c r="NS205" s="6779"/>
      <c r="NT205" s="6779"/>
      <c r="NU205" s="6779"/>
      <c r="NV205" s="6779"/>
      <c r="NW205" s="6779"/>
      <c r="NX205" s="6779"/>
      <c r="NY205" s="6779"/>
      <c r="NZ205" s="6779"/>
      <c r="OA205" s="6779"/>
      <c r="OB205" s="6779"/>
      <c r="OC205" s="6779"/>
      <c r="OD205" s="6779"/>
      <c r="OE205" s="6779"/>
      <c r="OF205" s="6020"/>
      <c r="OG205" s="6021"/>
      <c r="OH205" s="6022"/>
      <c r="OI205" s="6023" t="str">
        <f>_Calcs!$IS$168</f>
        <v>Side 7 av 9</v>
      </c>
      <c r="OJ205" s="6024"/>
      <c r="OK205" s="6024"/>
      <c r="OL205" s="6024"/>
      <c r="OM205" s="6025"/>
      <c r="ON205" s="6026"/>
      <c r="OO205" s="7"/>
    </row>
    <row r="206" spans="3:405" ht="5.0999999999999996" customHeight="1" thickBot="1" x14ac:dyDescent="0.25">
      <c r="C206" s="6028"/>
      <c r="D206" s="979"/>
      <c r="E206" s="3489"/>
      <c r="F206" s="3489"/>
      <c r="G206" s="3489"/>
      <c r="H206" s="3489"/>
      <c r="I206" s="3489"/>
      <c r="J206" s="3489"/>
      <c r="K206" s="3489"/>
      <c r="L206" s="3489"/>
      <c r="M206" s="3489"/>
      <c r="N206" s="3489"/>
      <c r="O206" s="3489"/>
      <c r="P206" s="3489"/>
      <c r="Q206" s="3489"/>
      <c r="R206" s="3489"/>
      <c r="S206" s="3489"/>
      <c r="T206" s="3489"/>
      <c r="U206" s="3489"/>
      <c r="V206" s="3489"/>
      <c r="W206" s="3489"/>
      <c r="X206" s="3489"/>
      <c r="Y206" s="3489"/>
      <c r="Z206" s="3489"/>
      <c r="AA206" s="3489"/>
      <c r="AB206" s="3489"/>
      <c r="AC206" s="3489"/>
      <c r="AD206" s="3489"/>
      <c r="AE206" s="3489"/>
      <c r="AF206" s="3489"/>
      <c r="AG206" s="3489"/>
      <c r="AH206" s="3489"/>
      <c r="AI206" s="3489"/>
      <c r="AJ206" s="979"/>
      <c r="AK206" s="979"/>
      <c r="AL206" s="979"/>
      <c r="AM206" s="979"/>
      <c r="AN206" s="979"/>
      <c r="AO206" s="979"/>
      <c r="AP206" s="979"/>
      <c r="AQ206" s="979"/>
      <c r="AR206" s="6029"/>
      <c r="AV206" s="6028"/>
      <c r="AW206" s="979"/>
      <c r="AX206" s="3489"/>
      <c r="AY206" s="3489"/>
      <c r="AZ206" s="3489"/>
      <c r="BA206" s="3489"/>
      <c r="BB206" s="3489"/>
      <c r="BC206" s="3489"/>
      <c r="BD206" s="3489"/>
      <c r="BE206" s="3489"/>
      <c r="BF206" s="3489"/>
      <c r="BG206" s="3489"/>
      <c r="BH206" s="3489"/>
      <c r="BI206" s="3489"/>
      <c r="BJ206" s="3489"/>
      <c r="BK206" s="3489"/>
      <c r="BL206" s="3489"/>
      <c r="BM206" s="3489"/>
      <c r="BN206" s="3489"/>
      <c r="BO206" s="3489"/>
      <c r="BP206" s="3489"/>
      <c r="BQ206" s="3489"/>
      <c r="BR206" s="3489"/>
      <c r="BS206" s="3489"/>
      <c r="BT206" s="3489"/>
      <c r="BU206" s="3489"/>
      <c r="BV206" s="3489"/>
      <c r="BW206" s="3489"/>
      <c r="BX206" s="3489"/>
      <c r="BY206" s="3489"/>
      <c r="BZ206" s="3489"/>
      <c r="CA206" s="3489"/>
      <c r="CB206" s="3489"/>
      <c r="CC206" s="979"/>
      <c r="CD206" s="979"/>
      <c r="CE206" s="979"/>
      <c r="CF206" s="979"/>
      <c r="CG206" s="979"/>
      <c r="CH206" s="979"/>
      <c r="CI206" s="979"/>
      <c r="CJ206" s="979"/>
      <c r="CK206" s="6029"/>
      <c r="CO206" s="6028"/>
      <c r="CP206" s="979"/>
      <c r="CQ206" s="3489"/>
      <c r="CR206" s="3489"/>
      <c r="CS206" s="3489"/>
      <c r="CT206" s="3489"/>
      <c r="CU206" s="3489"/>
      <c r="CV206" s="3489"/>
      <c r="CW206" s="3489"/>
      <c r="CX206" s="3489"/>
      <c r="CY206" s="3489"/>
      <c r="CZ206" s="3489"/>
      <c r="DA206" s="3489"/>
      <c r="DB206" s="3489"/>
      <c r="DC206" s="3489"/>
      <c r="DD206" s="3489"/>
      <c r="DE206" s="3489"/>
      <c r="DF206" s="3489"/>
      <c r="DG206" s="3489"/>
      <c r="DH206" s="3489"/>
      <c r="DI206" s="3489"/>
      <c r="DJ206" s="3489"/>
      <c r="DK206" s="3489"/>
      <c r="DL206" s="3489"/>
      <c r="DM206" s="3489"/>
      <c r="DN206" s="3489"/>
      <c r="DO206" s="3489"/>
      <c r="DP206" s="3489"/>
      <c r="DQ206" s="3489"/>
      <c r="DR206" s="3489"/>
      <c r="DS206" s="3489"/>
      <c r="DT206" s="3489"/>
      <c r="DU206" s="3489"/>
      <c r="DV206" s="979"/>
      <c r="DW206" s="979"/>
      <c r="DX206" s="979"/>
      <c r="DY206" s="979"/>
      <c r="DZ206" s="979"/>
      <c r="EA206" s="979"/>
      <c r="EB206" s="979"/>
      <c r="EC206" s="979"/>
      <c r="ED206" s="6029"/>
      <c r="EH206" s="6028"/>
      <c r="EI206" s="979"/>
      <c r="EJ206" s="3489"/>
      <c r="EK206" s="3489"/>
      <c r="EL206" s="3489"/>
      <c r="EM206" s="3489"/>
      <c r="EN206" s="3489"/>
      <c r="EO206" s="3489"/>
      <c r="EP206" s="3489"/>
      <c r="EQ206" s="3489"/>
      <c r="ER206" s="3489"/>
      <c r="ES206" s="3489"/>
      <c r="ET206" s="3489"/>
      <c r="EU206" s="3489"/>
      <c r="EV206" s="3489"/>
      <c r="EW206" s="3489"/>
      <c r="EX206" s="3489"/>
      <c r="EY206" s="3489"/>
      <c r="EZ206" s="3489"/>
      <c r="FA206" s="3489"/>
      <c r="FB206" s="3489"/>
      <c r="FC206" s="3489"/>
      <c r="FD206" s="3489"/>
      <c r="FE206" s="3489"/>
      <c r="FF206" s="3489"/>
      <c r="FG206" s="3489"/>
      <c r="FH206" s="3489"/>
      <c r="FI206" s="3489"/>
      <c r="FJ206" s="3489"/>
      <c r="FK206" s="3489"/>
      <c r="FL206" s="3489"/>
      <c r="FM206" s="3489"/>
      <c r="FN206" s="3489"/>
      <c r="FO206" s="979"/>
      <c r="FP206" s="979"/>
      <c r="FQ206" s="979"/>
      <c r="FR206" s="979"/>
      <c r="FS206" s="979"/>
      <c r="FT206" s="979"/>
      <c r="FU206" s="979"/>
      <c r="FV206" s="979"/>
      <c r="FW206" s="6029"/>
      <c r="GA206" s="6028"/>
      <c r="GB206" s="979"/>
      <c r="GC206" s="3489"/>
      <c r="GD206" s="3489"/>
      <c r="GE206" s="3489"/>
      <c r="GF206" s="3489"/>
      <c r="GG206" s="3489"/>
      <c r="GH206" s="3489"/>
      <c r="GI206" s="3489"/>
      <c r="GJ206" s="3489"/>
      <c r="GK206" s="3489"/>
      <c r="GL206" s="3489"/>
      <c r="GM206" s="3489"/>
      <c r="GN206" s="3489"/>
      <c r="GO206" s="3489"/>
      <c r="GP206" s="3489"/>
      <c r="GQ206" s="3489"/>
      <c r="GR206" s="3489"/>
      <c r="GS206" s="3489"/>
      <c r="GT206" s="3489"/>
      <c r="GU206" s="3489"/>
      <c r="GV206" s="3489"/>
      <c r="GW206" s="3489"/>
      <c r="GX206" s="3489"/>
      <c r="GY206" s="3489"/>
      <c r="GZ206" s="3489"/>
      <c r="HA206" s="3489"/>
      <c r="HB206" s="3489"/>
      <c r="HC206" s="3489"/>
      <c r="HD206" s="3489"/>
      <c r="HE206" s="3489"/>
      <c r="HF206" s="3489"/>
      <c r="HG206" s="3489"/>
      <c r="HH206" s="979"/>
      <c r="HI206" s="979"/>
      <c r="HJ206" s="979"/>
      <c r="HK206" s="979"/>
      <c r="HL206" s="979"/>
      <c r="HM206" s="979"/>
      <c r="HN206" s="979"/>
      <c r="HO206" s="979"/>
      <c r="HP206" s="6029"/>
      <c r="HT206" s="6028"/>
      <c r="HU206" s="979"/>
      <c r="HV206" s="3489"/>
      <c r="HW206" s="3489"/>
      <c r="HX206" s="3489"/>
      <c r="HY206" s="3489"/>
      <c r="HZ206" s="3489"/>
      <c r="IA206" s="3489"/>
      <c r="IB206" s="3489"/>
      <c r="IC206" s="3489"/>
      <c r="ID206" s="3489"/>
      <c r="IE206" s="3489"/>
      <c r="IF206" s="3489"/>
      <c r="IG206" s="3489"/>
      <c r="IH206" s="3489"/>
      <c r="II206" s="3489"/>
      <c r="IJ206" s="3489"/>
      <c r="IK206" s="3489"/>
      <c r="IL206" s="3489"/>
      <c r="IM206" s="3489"/>
      <c r="IN206" s="3489"/>
      <c r="IO206" s="3489"/>
      <c r="IP206" s="3489"/>
      <c r="IQ206" s="3489"/>
      <c r="IR206" s="3489"/>
      <c r="IS206" s="3489"/>
      <c r="IT206" s="3489"/>
      <c r="IU206" s="3489"/>
      <c r="IV206" s="3489"/>
      <c r="IW206" s="3489"/>
      <c r="IX206" s="3489"/>
      <c r="IY206" s="3489"/>
      <c r="IZ206" s="3489"/>
      <c r="JA206" s="979"/>
      <c r="JB206" s="979"/>
      <c r="JC206" s="979"/>
      <c r="JD206" s="979"/>
      <c r="JE206" s="979"/>
      <c r="JF206" s="979"/>
      <c r="JG206" s="979"/>
      <c r="JH206" s="979"/>
      <c r="JI206" s="6029"/>
      <c r="JM206" s="6028"/>
      <c r="JN206" s="979"/>
      <c r="JO206" s="3489"/>
      <c r="JP206" s="3489"/>
      <c r="JQ206" s="3489"/>
      <c r="JR206" s="3489"/>
      <c r="JS206" s="3489"/>
      <c r="JT206" s="3489"/>
      <c r="JU206" s="3489"/>
      <c r="JV206" s="3489"/>
      <c r="JW206" s="3489"/>
      <c r="JX206" s="3489"/>
      <c r="JY206" s="3489"/>
      <c r="JZ206" s="3489"/>
      <c r="KA206" s="3489"/>
      <c r="KB206" s="3489"/>
      <c r="KC206" s="3489"/>
      <c r="KD206" s="3489"/>
      <c r="KE206" s="3489"/>
      <c r="KF206" s="3489"/>
      <c r="KG206" s="3489"/>
      <c r="KH206" s="3489"/>
      <c r="KI206" s="3489"/>
      <c r="KJ206" s="3489"/>
      <c r="KK206" s="3489"/>
      <c r="KL206" s="3489"/>
      <c r="KM206" s="3489"/>
      <c r="KN206" s="3489"/>
      <c r="KO206" s="3489"/>
      <c r="KP206" s="3489"/>
      <c r="KQ206" s="3489"/>
      <c r="KR206" s="3489"/>
      <c r="KS206" s="3489"/>
      <c r="KT206" s="979"/>
      <c r="KU206" s="979"/>
      <c r="KV206" s="979"/>
      <c r="KW206" s="979"/>
      <c r="KX206" s="979"/>
      <c r="KY206" s="979"/>
      <c r="KZ206" s="979"/>
      <c r="LA206" s="979"/>
      <c r="LB206" s="6029"/>
      <c r="LC206" s="7"/>
      <c r="LF206" s="6028"/>
      <c r="LG206" s="979"/>
      <c r="LH206" s="3489"/>
      <c r="LI206" s="3489"/>
      <c r="LJ206" s="3489"/>
      <c r="LK206" s="3489"/>
      <c r="LL206" s="3489"/>
      <c r="LM206" s="3489"/>
      <c r="LN206" s="3489"/>
      <c r="LO206" s="3489"/>
      <c r="LP206" s="3489"/>
      <c r="LQ206" s="3489"/>
      <c r="LR206" s="3489"/>
      <c r="LS206" s="3489"/>
      <c r="LT206" s="3489"/>
      <c r="LU206" s="3489"/>
      <c r="LV206" s="3489"/>
      <c r="LW206" s="3489"/>
      <c r="LX206" s="3489"/>
      <c r="LY206" s="3489"/>
      <c r="LZ206" s="3489"/>
      <c r="MA206" s="3489"/>
      <c r="MB206" s="3489"/>
      <c r="MC206" s="3489"/>
      <c r="MD206" s="3489"/>
      <c r="ME206" s="3489"/>
      <c r="MF206" s="3489"/>
      <c r="MG206" s="3489"/>
      <c r="MH206" s="3489"/>
      <c r="MI206" s="3489"/>
      <c r="MJ206" s="3489"/>
      <c r="MK206" s="3489"/>
      <c r="ML206" s="3489"/>
      <c r="MM206" s="979"/>
      <c r="MN206" s="979"/>
      <c r="MO206" s="979"/>
      <c r="MP206" s="979"/>
      <c r="MQ206" s="979"/>
      <c r="MR206" s="979"/>
      <c r="MS206" s="979"/>
      <c r="MT206" s="979"/>
      <c r="MU206" s="6029"/>
      <c r="MV206" s="7"/>
      <c r="MY206" s="6028"/>
      <c r="MZ206" s="979"/>
      <c r="NA206" s="3489"/>
      <c r="NB206" s="3489"/>
      <c r="NC206" s="3489"/>
      <c r="ND206" s="3489"/>
      <c r="NE206" s="3489"/>
      <c r="NF206" s="3489"/>
      <c r="NG206" s="3489"/>
      <c r="NH206" s="3489"/>
      <c r="NI206" s="3489"/>
      <c r="NJ206" s="3489"/>
      <c r="NK206" s="3489"/>
      <c r="NL206" s="3489"/>
      <c r="NM206" s="3489"/>
      <c r="NN206" s="3489"/>
      <c r="NO206" s="3489"/>
      <c r="NP206" s="3489"/>
      <c r="NQ206" s="3489"/>
      <c r="NR206" s="3489"/>
      <c r="NS206" s="3489"/>
      <c r="NT206" s="3489"/>
      <c r="NU206" s="3489"/>
      <c r="NV206" s="3489"/>
      <c r="NW206" s="3489"/>
      <c r="NX206" s="3489"/>
      <c r="NY206" s="3489"/>
      <c r="NZ206" s="3489"/>
      <c r="OA206" s="3489"/>
      <c r="OB206" s="3489"/>
      <c r="OC206" s="3489"/>
      <c r="OD206" s="3489"/>
      <c r="OE206" s="3489"/>
      <c r="OF206" s="979"/>
      <c r="OG206" s="979"/>
      <c r="OH206" s="979"/>
      <c r="OI206" s="979"/>
      <c r="OJ206" s="979"/>
      <c r="OK206" s="979"/>
      <c r="OL206" s="979"/>
      <c r="OM206" s="979"/>
      <c r="ON206" s="6029"/>
      <c r="OO206" s="7"/>
    </row>
    <row r="207" spans="3:405" s="6031" customFormat="1" ht="15" customHeight="1" thickBot="1" x14ac:dyDescent="0.25">
      <c r="C207" s="6018"/>
      <c r="D207" s="6019"/>
      <c r="E207" s="6778" t="str">
        <f>_Calcs!$T$19</f>
        <v/>
      </c>
      <c r="F207" s="6778"/>
      <c r="G207" s="6778"/>
      <c r="H207" s="6778"/>
      <c r="I207" s="6778"/>
      <c r="J207" s="6778"/>
      <c r="K207" s="6778"/>
      <c r="L207" s="6778"/>
      <c r="M207" s="6778"/>
      <c r="N207" s="6778"/>
      <c r="O207" s="6778"/>
      <c r="P207" s="6778"/>
      <c r="Q207" s="6778"/>
      <c r="R207" s="6778"/>
      <c r="S207" s="6778"/>
      <c r="T207" s="6778"/>
      <c r="U207" s="6778"/>
      <c r="V207" s="6778"/>
      <c r="W207" s="6778"/>
      <c r="X207" s="6778"/>
      <c r="Y207" s="6778"/>
      <c r="Z207" s="6778"/>
      <c r="AA207" s="6778"/>
      <c r="AB207" s="6778"/>
      <c r="AC207" s="6778"/>
      <c r="AD207" s="6778"/>
      <c r="AE207" s="6778"/>
      <c r="AF207" s="6778"/>
      <c r="AG207" s="6778"/>
      <c r="AH207" s="6778"/>
      <c r="AI207" s="6778"/>
      <c r="AJ207" s="6778"/>
      <c r="AK207" s="6778"/>
      <c r="AL207" s="6778"/>
      <c r="AM207" s="6778"/>
      <c r="AN207" s="6778"/>
      <c r="AO207" s="6778"/>
      <c r="AP207" s="6778"/>
      <c r="AQ207" s="6030"/>
      <c r="AR207" s="6026"/>
      <c r="AV207" s="6018"/>
      <c r="AW207" s="6019"/>
      <c r="AX207" s="6778" t="str">
        <f>_Calcs!$T$19</f>
        <v/>
      </c>
      <c r="AY207" s="6778"/>
      <c r="AZ207" s="6778"/>
      <c r="BA207" s="6778"/>
      <c r="BB207" s="6778"/>
      <c r="BC207" s="6778"/>
      <c r="BD207" s="6778"/>
      <c r="BE207" s="6778"/>
      <c r="BF207" s="6778"/>
      <c r="BG207" s="6778"/>
      <c r="BH207" s="6778"/>
      <c r="BI207" s="6778"/>
      <c r="BJ207" s="6778"/>
      <c r="BK207" s="6778"/>
      <c r="BL207" s="6778"/>
      <c r="BM207" s="6778"/>
      <c r="BN207" s="6778"/>
      <c r="BO207" s="6778"/>
      <c r="BP207" s="6778"/>
      <c r="BQ207" s="6778"/>
      <c r="BR207" s="6778"/>
      <c r="BS207" s="6778"/>
      <c r="BT207" s="6778"/>
      <c r="BU207" s="6778"/>
      <c r="BV207" s="6778"/>
      <c r="BW207" s="6778"/>
      <c r="BX207" s="6778"/>
      <c r="BY207" s="6778"/>
      <c r="BZ207" s="6778"/>
      <c r="CA207" s="6778"/>
      <c r="CB207" s="6778"/>
      <c r="CC207" s="6778"/>
      <c r="CD207" s="6778"/>
      <c r="CE207" s="6778"/>
      <c r="CF207" s="6778"/>
      <c r="CG207" s="6778"/>
      <c r="CH207" s="6778"/>
      <c r="CI207" s="6778"/>
      <c r="CJ207" s="6030"/>
      <c r="CK207" s="6026"/>
      <c r="CO207" s="6018"/>
      <c r="CP207" s="6019"/>
      <c r="CQ207" s="6778" t="str">
        <f>_Calcs!$T$19</f>
        <v/>
      </c>
      <c r="CR207" s="6778"/>
      <c r="CS207" s="6778"/>
      <c r="CT207" s="6778"/>
      <c r="CU207" s="6778"/>
      <c r="CV207" s="6778"/>
      <c r="CW207" s="6778"/>
      <c r="CX207" s="6778"/>
      <c r="CY207" s="6778"/>
      <c r="CZ207" s="6778"/>
      <c r="DA207" s="6778"/>
      <c r="DB207" s="6778"/>
      <c r="DC207" s="6778"/>
      <c r="DD207" s="6778"/>
      <c r="DE207" s="6778"/>
      <c r="DF207" s="6778"/>
      <c r="DG207" s="6778"/>
      <c r="DH207" s="6778"/>
      <c r="DI207" s="6778"/>
      <c r="DJ207" s="6778"/>
      <c r="DK207" s="6778"/>
      <c r="DL207" s="6778"/>
      <c r="DM207" s="6778"/>
      <c r="DN207" s="6778"/>
      <c r="DO207" s="6778"/>
      <c r="DP207" s="6778"/>
      <c r="DQ207" s="6778"/>
      <c r="DR207" s="6778"/>
      <c r="DS207" s="6778"/>
      <c r="DT207" s="6778"/>
      <c r="DU207" s="6778"/>
      <c r="DV207" s="6778"/>
      <c r="DW207" s="6778"/>
      <c r="DX207" s="6778"/>
      <c r="DY207" s="6778"/>
      <c r="DZ207" s="6778"/>
      <c r="EA207" s="6778"/>
      <c r="EB207" s="6778"/>
      <c r="EC207" s="6030"/>
      <c r="ED207" s="6026"/>
      <c r="EH207" s="6018"/>
      <c r="EI207" s="6019"/>
      <c r="EJ207" s="6778" t="str">
        <f>_Calcs!$T$19</f>
        <v/>
      </c>
      <c r="EK207" s="6778"/>
      <c r="EL207" s="6778"/>
      <c r="EM207" s="6778"/>
      <c r="EN207" s="6778"/>
      <c r="EO207" s="6778"/>
      <c r="EP207" s="6778"/>
      <c r="EQ207" s="6778"/>
      <c r="ER207" s="6778"/>
      <c r="ES207" s="6778"/>
      <c r="ET207" s="6778"/>
      <c r="EU207" s="6778"/>
      <c r="EV207" s="6778"/>
      <c r="EW207" s="6778"/>
      <c r="EX207" s="6778"/>
      <c r="EY207" s="6778"/>
      <c r="EZ207" s="6778"/>
      <c r="FA207" s="6778"/>
      <c r="FB207" s="6778"/>
      <c r="FC207" s="6778"/>
      <c r="FD207" s="6778"/>
      <c r="FE207" s="6778"/>
      <c r="FF207" s="6778"/>
      <c r="FG207" s="6778"/>
      <c r="FH207" s="6778"/>
      <c r="FI207" s="6778"/>
      <c r="FJ207" s="6778"/>
      <c r="FK207" s="6778"/>
      <c r="FL207" s="6778"/>
      <c r="FM207" s="6778"/>
      <c r="FN207" s="6778"/>
      <c r="FO207" s="6778"/>
      <c r="FP207" s="6778"/>
      <c r="FQ207" s="6778"/>
      <c r="FR207" s="6778"/>
      <c r="FS207" s="6778"/>
      <c r="FT207" s="6778"/>
      <c r="FU207" s="6778"/>
      <c r="FV207" s="6030"/>
      <c r="FW207" s="6026"/>
      <c r="GA207" s="6018"/>
      <c r="GB207" s="6019"/>
      <c r="GC207" s="6778" t="str">
        <f>_Calcs!$T$19</f>
        <v/>
      </c>
      <c r="GD207" s="6778"/>
      <c r="GE207" s="6778"/>
      <c r="GF207" s="6778"/>
      <c r="GG207" s="6778"/>
      <c r="GH207" s="6778"/>
      <c r="GI207" s="6778"/>
      <c r="GJ207" s="6778"/>
      <c r="GK207" s="6778"/>
      <c r="GL207" s="6778"/>
      <c r="GM207" s="6778"/>
      <c r="GN207" s="6778"/>
      <c r="GO207" s="6778"/>
      <c r="GP207" s="6778"/>
      <c r="GQ207" s="6778"/>
      <c r="GR207" s="6778"/>
      <c r="GS207" s="6778"/>
      <c r="GT207" s="6778"/>
      <c r="GU207" s="6778"/>
      <c r="GV207" s="6778"/>
      <c r="GW207" s="6778"/>
      <c r="GX207" s="6778"/>
      <c r="GY207" s="6778"/>
      <c r="GZ207" s="6778"/>
      <c r="HA207" s="6778"/>
      <c r="HB207" s="6778"/>
      <c r="HC207" s="6778"/>
      <c r="HD207" s="6778"/>
      <c r="HE207" s="6778"/>
      <c r="HF207" s="6778"/>
      <c r="HG207" s="6778"/>
      <c r="HH207" s="6778"/>
      <c r="HI207" s="6778"/>
      <c r="HJ207" s="6778"/>
      <c r="HK207" s="6778"/>
      <c r="HL207" s="6778"/>
      <c r="HM207" s="6778"/>
      <c r="HN207" s="6778"/>
      <c r="HO207" s="6030"/>
      <c r="HP207" s="6026"/>
      <c r="HT207" s="6018"/>
      <c r="HU207" s="6019"/>
      <c r="HV207" s="6778" t="str">
        <f>_Calcs!$T$19</f>
        <v/>
      </c>
      <c r="HW207" s="6778"/>
      <c r="HX207" s="6778"/>
      <c r="HY207" s="6778"/>
      <c r="HZ207" s="6778"/>
      <c r="IA207" s="6778"/>
      <c r="IB207" s="6778"/>
      <c r="IC207" s="6778"/>
      <c r="ID207" s="6778"/>
      <c r="IE207" s="6778"/>
      <c r="IF207" s="6778"/>
      <c r="IG207" s="6778"/>
      <c r="IH207" s="6778"/>
      <c r="II207" s="6778"/>
      <c r="IJ207" s="6778"/>
      <c r="IK207" s="6778"/>
      <c r="IL207" s="6778"/>
      <c r="IM207" s="6778"/>
      <c r="IN207" s="6778"/>
      <c r="IO207" s="6778"/>
      <c r="IP207" s="6778"/>
      <c r="IQ207" s="6778"/>
      <c r="IR207" s="6778"/>
      <c r="IS207" s="6778"/>
      <c r="IT207" s="6778"/>
      <c r="IU207" s="6778"/>
      <c r="IV207" s="6778"/>
      <c r="IW207" s="6778"/>
      <c r="IX207" s="6778"/>
      <c r="IY207" s="6778"/>
      <c r="IZ207" s="6778"/>
      <c r="JA207" s="6778"/>
      <c r="JB207" s="6778"/>
      <c r="JC207" s="6778"/>
      <c r="JD207" s="6778"/>
      <c r="JE207" s="6778"/>
      <c r="JF207" s="6778"/>
      <c r="JG207" s="6778"/>
      <c r="JH207" s="6030"/>
      <c r="JI207" s="6026"/>
      <c r="JM207" s="6018"/>
      <c r="JN207" s="6019"/>
      <c r="JO207" s="6778" t="str">
        <f>_Calcs!$T$19</f>
        <v/>
      </c>
      <c r="JP207" s="6778"/>
      <c r="JQ207" s="6778"/>
      <c r="JR207" s="6778"/>
      <c r="JS207" s="6778"/>
      <c r="JT207" s="6778"/>
      <c r="JU207" s="6778"/>
      <c r="JV207" s="6778"/>
      <c r="JW207" s="6778"/>
      <c r="JX207" s="6778"/>
      <c r="JY207" s="6778"/>
      <c r="JZ207" s="6778"/>
      <c r="KA207" s="6778"/>
      <c r="KB207" s="6778"/>
      <c r="KC207" s="6778"/>
      <c r="KD207" s="6778"/>
      <c r="KE207" s="6778"/>
      <c r="KF207" s="6778"/>
      <c r="KG207" s="6778"/>
      <c r="KH207" s="6778"/>
      <c r="KI207" s="6778"/>
      <c r="KJ207" s="6778"/>
      <c r="KK207" s="6778"/>
      <c r="KL207" s="6778"/>
      <c r="KM207" s="6778"/>
      <c r="KN207" s="6778"/>
      <c r="KO207" s="6778"/>
      <c r="KP207" s="6778"/>
      <c r="KQ207" s="6778"/>
      <c r="KR207" s="6778"/>
      <c r="KS207" s="6778"/>
      <c r="KT207" s="6778"/>
      <c r="KU207" s="6778"/>
      <c r="KV207" s="6778"/>
      <c r="KW207" s="6778"/>
      <c r="KX207" s="6778"/>
      <c r="KY207" s="6778"/>
      <c r="KZ207" s="6778"/>
      <c r="LA207" s="6030"/>
      <c r="LB207" s="6026"/>
      <c r="LC207" s="7"/>
      <c r="LF207" s="6018"/>
      <c r="LG207" s="6019"/>
      <c r="LH207" s="6778" t="str">
        <f>_Calcs!$T$19</f>
        <v/>
      </c>
      <c r="LI207" s="6778"/>
      <c r="LJ207" s="6778"/>
      <c r="LK207" s="6778"/>
      <c r="LL207" s="6778"/>
      <c r="LM207" s="6778"/>
      <c r="LN207" s="6778"/>
      <c r="LO207" s="6778"/>
      <c r="LP207" s="6778"/>
      <c r="LQ207" s="6778"/>
      <c r="LR207" s="6778"/>
      <c r="LS207" s="6778"/>
      <c r="LT207" s="6778"/>
      <c r="LU207" s="6778"/>
      <c r="LV207" s="6778"/>
      <c r="LW207" s="6778"/>
      <c r="LX207" s="6778"/>
      <c r="LY207" s="6778"/>
      <c r="LZ207" s="6778"/>
      <c r="MA207" s="6778"/>
      <c r="MB207" s="6778"/>
      <c r="MC207" s="6778"/>
      <c r="MD207" s="6778"/>
      <c r="ME207" s="6778"/>
      <c r="MF207" s="6778"/>
      <c r="MG207" s="6778"/>
      <c r="MH207" s="6778"/>
      <c r="MI207" s="6778"/>
      <c r="MJ207" s="6778"/>
      <c r="MK207" s="6778"/>
      <c r="ML207" s="6778"/>
      <c r="MM207" s="6778"/>
      <c r="MN207" s="6778"/>
      <c r="MO207" s="6778"/>
      <c r="MP207" s="6778"/>
      <c r="MQ207" s="6778"/>
      <c r="MR207" s="6778"/>
      <c r="MS207" s="6778"/>
      <c r="MT207" s="6030"/>
      <c r="MU207" s="6026"/>
      <c r="MV207" s="7"/>
      <c r="MY207" s="6018"/>
      <c r="MZ207" s="6019"/>
      <c r="NA207" s="6778" t="str">
        <f>_Calcs!$T$19</f>
        <v/>
      </c>
      <c r="NB207" s="6778"/>
      <c r="NC207" s="6778"/>
      <c r="ND207" s="6778"/>
      <c r="NE207" s="6778"/>
      <c r="NF207" s="6778"/>
      <c r="NG207" s="6778"/>
      <c r="NH207" s="6778"/>
      <c r="NI207" s="6778"/>
      <c r="NJ207" s="6778"/>
      <c r="NK207" s="6778"/>
      <c r="NL207" s="6778"/>
      <c r="NM207" s="6778"/>
      <c r="NN207" s="6778"/>
      <c r="NO207" s="6778"/>
      <c r="NP207" s="6778"/>
      <c r="NQ207" s="6778"/>
      <c r="NR207" s="6778"/>
      <c r="NS207" s="6778"/>
      <c r="NT207" s="6778"/>
      <c r="NU207" s="6778"/>
      <c r="NV207" s="6778"/>
      <c r="NW207" s="6778"/>
      <c r="NX207" s="6778"/>
      <c r="NY207" s="6778"/>
      <c r="NZ207" s="6778"/>
      <c r="OA207" s="6778"/>
      <c r="OB207" s="6778"/>
      <c r="OC207" s="6778"/>
      <c r="OD207" s="6778"/>
      <c r="OE207" s="6778"/>
      <c r="OF207" s="6778"/>
      <c r="OG207" s="6778"/>
      <c r="OH207" s="6778"/>
      <c r="OI207" s="6778"/>
      <c r="OJ207" s="6778"/>
      <c r="OK207" s="6778"/>
      <c r="OL207" s="6778"/>
      <c r="OM207" s="6030"/>
      <c r="ON207" s="6026"/>
      <c r="OO207" s="7"/>
    </row>
    <row r="208" spans="3:405" s="1466" customFormat="1" ht="9.9499999999999993" customHeight="1" thickBot="1" x14ac:dyDescent="0.25">
      <c r="C208" s="6028"/>
      <c r="E208" s="6032"/>
      <c r="F208" s="6032"/>
      <c r="G208" s="6032"/>
      <c r="H208" s="6032"/>
      <c r="I208" s="6032"/>
      <c r="J208" s="6032"/>
      <c r="K208" s="6032"/>
      <c r="L208" s="6032"/>
      <c r="M208" s="6032"/>
      <c r="N208" s="6032"/>
      <c r="O208" s="6032"/>
      <c r="P208" s="6032"/>
      <c r="Q208" s="6032"/>
      <c r="R208" s="6032"/>
      <c r="S208" s="6032"/>
      <c r="T208" s="6032"/>
      <c r="U208" s="6032"/>
      <c r="V208" s="6032"/>
      <c r="W208" s="6032"/>
      <c r="X208" s="6032"/>
      <c r="Y208" s="6032"/>
      <c r="Z208" s="6032"/>
      <c r="AA208" s="6032"/>
      <c r="AB208" s="6032"/>
      <c r="AC208" s="3489"/>
      <c r="AD208" s="3489"/>
      <c r="AE208" s="6033"/>
      <c r="AF208" s="6033"/>
      <c r="AG208" s="6033"/>
      <c r="AH208" s="6033"/>
      <c r="AI208" s="6033"/>
      <c r="AJ208" s="6033"/>
      <c r="AK208" s="6033"/>
      <c r="AL208" s="6033"/>
      <c r="AM208" s="6033"/>
      <c r="AN208" s="6033"/>
      <c r="AO208" s="6033"/>
      <c r="AP208" s="6033"/>
      <c r="AQ208" s="3489"/>
      <c r="AR208" s="6029"/>
      <c r="AV208" s="6028"/>
      <c r="AX208" s="6032"/>
      <c r="AY208" s="6032"/>
      <c r="AZ208" s="6032"/>
      <c r="BA208" s="6032"/>
      <c r="BB208" s="6032"/>
      <c r="BC208" s="6032"/>
      <c r="BD208" s="6032"/>
      <c r="BE208" s="6032"/>
      <c r="BF208" s="6032"/>
      <c r="BG208" s="6032"/>
      <c r="BH208" s="6032"/>
      <c r="BI208" s="6032"/>
      <c r="BJ208" s="6032"/>
      <c r="BK208" s="6032"/>
      <c r="BL208" s="6032"/>
      <c r="BM208" s="6032"/>
      <c r="BN208" s="6032"/>
      <c r="BO208" s="6032"/>
      <c r="BP208" s="6032"/>
      <c r="BQ208" s="6032"/>
      <c r="BR208" s="6032"/>
      <c r="BS208" s="6032"/>
      <c r="BT208" s="6032"/>
      <c r="BU208" s="6032"/>
      <c r="BV208" s="3489"/>
      <c r="BW208" s="3489"/>
      <c r="BX208" s="6033"/>
      <c r="BY208" s="6033"/>
      <c r="BZ208" s="6033"/>
      <c r="CA208" s="6033"/>
      <c r="CB208" s="6033"/>
      <c r="CC208" s="6033"/>
      <c r="CD208" s="6033"/>
      <c r="CE208" s="6033"/>
      <c r="CF208" s="6033"/>
      <c r="CG208" s="6033"/>
      <c r="CH208" s="6033"/>
      <c r="CI208" s="6033"/>
      <c r="CJ208" s="3489"/>
      <c r="CK208" s="6029"/>
      <c r="CO208" s="6028"/>
      <c r="CQ208" s="6032"/>
      <c r="CR208" s="6032"/>
      <c r="CS208" s="6032"/>
      <c r="CT208" s="6032"/>
      <c r="CU208" s="6032"/>
      <c r="CV208" s="6032"/>
      <c r="CW208" s="6032"/>
      <c r="CX208" s="6032"/>
      <c r="CY208" s="6032"/>
      <c r="CZ208" s="6032"/>
      <c r="DA208" s="6032"/>
      <c r="DB208" s="6032"/>
      <c r="DC208" s="6032"/>
      <c r="DD208" s="6032"/>
      <c r="DE208" s="6032"/>
      <c r="DF208" s="6032"/>
      <c r="DG208" s="6032"/>
      <c r="DH208" s="6032"/>
      <c r="DI208" s="6032"/>
      <c r="DJ208" s="6032"/>
      <c r="DK208" s="6032"/>
      <c r="DL208" s="6032"/>
      <c r="DM208" s="6032"/>
      <c r="DN208" s="6032"/>
      <c r="DO208" s="3489"/>
      <c r="DP208" s="3489"/>
      <c r="DQ208" s="6033"/>
      <c r="DR208" s="6033"/>
      <c r="DS208" s="6033"/>
      <c r="DT208" s="6033"/>
      <c r="DU208" s="6033"/>
      <c r="DV208" s="6033"/>
      <c r="DW208" s="6033"/>
      <c r="DX208" s="6033"/>
      <c r="DY208" s="6033"/>
      <c r="DZ208" s="6033"/>
      <c r="EA208" s="6033"/>
      <c r="EB208" s="6033"/>
      <c r="EC208" s="3489"/>
      <c r="ED208" s="6029"/>
      <c r="EH208" s="6028"/>
      <c r="EJ208" s="6032"/>
      <c r="EK208" s="6032"/>
      <c r="EL208" s="6032"/>
      <c r="EM208" s="6032"/>
      <c r="EN208" s="6032"/>
      <c r="EO208" s="6032"/>
      <c r="EP208" s="6032"/>
      <c r="EQ208" s="6032"/>
      <c r="ER208" s="6032"/>
      <c r="ES208" s="6032"/>
      <c r="ET208" s="6032"/>
      <c r="EU208" s="6032"/>
      <c r="EV208" s="6032"/>
      <c r="EW208" s="6032"/>
      <c r="EX208" s="6032"/>
      <c r="EY208" s="6032"/>
      <c r="EZ208" s="6032"/>
      <c r="FA208" s="6032"/>
      <c r="FB208" s="6032"/>
      <c r="FC208" s="6032"/>
      <c r="FD208" s="6032"/>
      <c r="FE208" s="6032"/>
      <c r="FF208" s="6032"/>
      <c r="FG208" s="6032"/>
      <c r="FH208" s="3489"/>
      <c r="FI208" s="3489"/>
      <c r="FJ208" s="6033"/>
      <c r="FK208" s="6033"/>
      <c r="FL208" s="6033"/>
      <c r="FM208" s="6033"/>
      <c r="FN208" s="6033"/>
      <c r="FO208" s="6033"/>
      <c r="FP208" s="6033"/>
      <c r="FQ208" s="6033"/>
      <c r="FR208" s="6033"/>
      <c r="FS208" s="6033"/>
      <c r="FT208" s="6033"/>
      <c r="FU208" s="6033"/>
      <c r="FV208" s="3489"/>
      <c r="FW208" s="6029"/>
      <c r="GA208" s="6028"/>
      <c r="GC208" s="6032"/>
      <c r="GD208" s="6032"/>
      <c r="GE208" s="6032"/>
      <c r="GF208" s="6032"/>
      <c r="GG208" s="6032"/>
      <c r="GH208" s="6032"/>
      <c r="GI208" s="6032"/>
      <c r="GJ208" s="6032"/>
      <c r="GK208" s="6032"/>
      <c r="GL208" s="6032"/>
      <c r="GM208" s="6032"/>
      <c r="GN208" s="6032"/>
      <c r="GO208" s="6032"/>
      <c r="GP208" s="6032"/>
      <c r="GQ208" s="6032"/>
      <c r="GR208" s="6032"/>
      <c r="GS208" s="6032"/>
      <c r="GT208" s="6032"/>
      <c r="GU208" s="6032"/>
      <c r="GV208" s="6032"/>
      <c r="GW208" s="6032"/>
      <c r="GX208" s="6032"/>
      <c r="GY208" s="6032"/>
      <c r="GZ208" s="6032"/>
      <c r="HA208" s="3489"/>
      <c r="HB208" s="3489"/>
      <c r="HC208" s="6033"/>
      <c r="HD208" s="6033"/>
      <c r="HE208" s="6033"/>
      <c r="HF208" s="6033"/>
      <c r="HG208" s="6033"/>
      <c r="HH208" s="6033"/>
      <c r="HI208" s="6033"/>
      <c r="HJ208" s="6033"/>
      <c r="HK208" s="6033"/>
      <c r="HL208" s="6033"/>
      <c r="HM208" s="6033"/>
      <c r="HN208" s="6033"/>
      <c r="HO208" s="3489"/>
      <c r="HP208" s="6029"/>
      <c r="HT208" s="6028"/>
      <c r="HV208" s="6032"/>
      <c r="HW208" s="6032"/>
      <c r="HX208" s="6032"/>
      <c r="HY208" s="6032"/>
      <c r="HZ208" s="6032"/>
      <c r="IA208" s="6032"/>
      <c r="IB208" s="6032"/>
      <c r="IC208" s="6032"/>
      <c r="ID208" s="6032"/>
      <c r="IE208" s="6032"/>
      <c r="IF208" s="6032"/>
      <c r="IG208" s="6032"/>
      <c r="IH208" s="6032"/>
      <c r="II208" s="6032"/>
      <c r="IJ208" s="6032"/>
      <c r="IK208" s="6032"/>
      <c r="IL208" s="6032"/>
      <c r="IM208" s="6032"/>
      <c r="IN208" s="6032"/>
      <c r="IO208" s="6032"/>
      <c r="IP208" s="6032"/>
      <c r="IQ208" s="6032"/>
      <c r="IR208" s="6032"/>
      <c r="IS208" s="6032"/>
      <c r="IT208" s="3489"/>
      <c r="IU208" s="3489"/>
      <c r="IV208" s="6033"/>
      <c r="IW208" s="6033"/>
      <c r="IX208" s="6033"/>
      <c r="IY208" s="6033"/>
      <c r="IZ208" s="6033"/>
      <c r="JA208" s="6033"/>
      <c r="JB208" s="6033"/>
      <c r="JC208" s="6033"/>
      <c r="JD208" s="6033"/>
      <c r="JE208" s="6033"/>
      <c r="JF208" s="6033"/>
      <c r="JG208" s="6033"/>
      <c r="JH208" s="3489"/>
      <c r="JI208" s="6029"/>
      <c r="JM208" s="6028"/>
      <c r="JO208" s="6032"/>
      <c r="JP208" s="6032"/>
      <c r="JQ208" s="6032"/>
      <c r="JR208" s="6032"/>
      <c r="JS208" s="6032"/>
      <c r="JT208" s="6032"/>
      <c r="JU208" s="6032"/>
      <c r="JV208" s="6032"/>
      <c r="JW208" s="6032"/>
      <c r="JX208" s="6032"/>
      <c r="JY208" s="6032"/>
      <c r="JZ208" s="6032"/>
      <c r="KA208" s="6032"/>
      <c r="KB208" s="6032"/>
      <c r="KC208" s="6032"/>
      <c r="KD208" s="6032"/>
      <c r="KE208" s="6032"/>
      <c r="KF208" s="6032"/>
      <c r="KG208" s="6032"/>
      <c r="KH208" s="6032"/>
      <c r="KI208" s="6032"/>
      <c r="KJ208" s="6032"/>
      <c r="KK208" s="6032"/>
      <c r="KL208" s="6032"/>
      <c r="KM208" s="3489"/>
      <c r="KN208" s="3489"/>
      <c r="KO208" s="6033"/>
      <c r="KP208" s="6033"/>
      <c r="KQ208" s="6033"/>
      <c r="KR208" s="6033"/>
      <c r="KS208" s="6033"/>
      <c r="KT208" s="6033"/>
      <c r="KU208" s="6033"/>
      <c r="KV208" s="6033"/>
      <c r="KW208" s="6033"/>
      <c r="KX208" s="6033"/>
      <c r="KY208" s="6033"/>
      <c r="KZ208" s="6033"/>
      <c r="LA208" s="3489"/>
      <c r="LB208" s="6029"/>
      <c r="LC208" s="130"/>
      <c r="LF208" s="6028"/>
      <c r="LH208" s="6032"/>
      <c r="LI208" s="6032"/>
      <c r="LJ208" s="6032"/>
      <c r="LK208" s="6032"/>
      <c r="LL208" s="6032"/>
      <c r="LM208" s="6032"/>
      <c r="LN208" s="6032"/>
      <c r="LO208" s="6032"/>
      <c r="LP208" s="6032"/>
      <c r="LQ208" s="6032"/>
      <c r="LR208" s="6032"/>
      <c r="LS208" s="6032"/>
      <c r="LT208" s="6032"/>
      <c r="LU208" s="6032"/>
      <c r="LV208" s="6032"/>
      <c r="LW208" s="6032"/>
      <c r="LX208" s="6032"/>
      <c r="LY208" s="6032"/>
      <c r="LZ208" s="6032"/>
      <c r="MA208" s="6032"/>
      <c r="MB208" s="6032"/>
      <c r="MC208" s="6032"/>
      <c r="MD208" s="6032"/>
      <c r="ME208" s="6032"/>
      <c r="MF208" s="3489"/>
      <c r="MG208" s="3489"/>
      <c r="MH208" s="6033"/>
      <c r="MI208" s="6033"/>
      <c r="MJ208" s="6033"/>
      <c r="MK208" s="6033"/>
      <c r="ML208" s="6033"/>
      <c r="MM208" s="6033"/>
      <c r="MN208" s="6033"/>
      <c r="MO208" s="6033"/>
      <c r="MP208" s="6033"/>
      <c r="MQ208" s="6033"/>
      <c r="MR208" s="6033"/>
      <c r="MS208" s="6033"/>
      <c r="MT208" s="3489"/>
      <c r="MU208" s="6029"/>
      <c r="MV208" s="130"/>
      <c r="MY208" s="6028"/>
      <c r="NA208" s="6032"/>
      <c r="NB208" s="6032"/>
      <c r="NC208" s="6032"/>
      <c r="ND208" s="6032"/>
      <c r="NE208" s="6032"/>
      <c r="NF208" s="6032"/>
      <c r="NG208" s="6032"/>
      <c r="NH208" s="6032"/>
      <c r="NI208" s="6032"/>
      <c r="NJ208" s="6032"/>
      <c r="NK208" s="6032"/>
      <c r="NL208" s="6032"/>
      <c r="NM208" s="6032"/>
      <c r="NN208" s="6032"/>
      <c r="NO208" s="6032"/>
      <c r="NP208" s="6032"/>
      <c r="NQ208" s="6032"/>
      <c r="NR208" s="6032"/>
      <c r="NS208" s="6032"/>
      <c r="NT208" s="6032"/>
      <c r="NU208" s="6032"/>
      <c r="NV208" s="6032"/>
      <c r="NW208" s="6032"/>
      <c r="NX208" s="6032"/>
      <c r="NY208" s="3489"/>
      <c r="NZ208" s="3489"/>
      <c r="OA208" s="6033"/>
      <c r="OB208" s="6033"/>
      <c r="OC208" s="6033"/>
      <c r="OD208" s="6033"/>
      <c r="OE208" s="6033"/>
      <c r="OF208" s="6033"/>
      <c r="OG208" s="6033"/>
      <c r="OH208" s="6033"/>
      <c r="OI208" s="6033"/>
      <c r="OJ208" s="6033"/>
      <c r="OK208" s="6033"/>
      <c r="OL208" s="6033"/>
      <c r="OM208" s="3489"/>
      <c r="ON208" s="6029"/>
      <c r="OO208" s="130"/>
    </row>
    <row r="209" spans="3:405" s="1466" customFormat="1" ht="6" customHeight="1" x14ac:dyDescent="0.2">
      <c r="C209" s="6028"/>
      <c r="D209" s="6785" t="str">
        <f>_Calcs!$II$96</f>
        <v>Begrunnelser for tidsjusteringer</v>
      </c>
      <c r="E209" s="6785"/>
      <c r="F209" s="6785"/>
      <c r="G209" s="6785"/>
      <c r="H209" s="6785"/>
      <c r="I209" s="6785"/>
      <c r="J209" s="6785"/>
      <c r="K209" s="6785"/>
      <c r="L209" s="6785"/>
      <c r="M209" s="6785"/>
      <c r="N209" s="6785"/>
      <c r="O209" s="6785"/>
      <c r="P209" s="6785"/>
      <c r="Q209" s="6785"/>
      <c r="R209" s="6785"/>
      <c r="S209" s="6785"/>
      <c r="T209" s="6785"/>
      <c r="U209" s="6785"/>
      <c r="V209" s="6785"/>
      <c r="W209" s="6785"/>
      <c r="X209" s="6785"/>
      <c r="Y209" s="6785"/>
      <c r="Z209" s="6785"/>
      <c r="AA209" s="6785"/>
      <c r="AB209" s="6785"/>
      <c r="AC209" s="6785"/>
      <c r="AD209" s="3489"/>
      <c r="AE209" s="6033"/>
      <c r="AF209" s="6033"/>
      <c r="AG209" s="6034"/>
      <c r="AH209" s="6786" t="str">
        <f>_Calcs!$IK$167</f>
        <v>Stuff 1-1</v>
      </c>
      <c r="AI209" s="6786"/>
      <c r="AJ209" s="6786"/>
      <c r="AK209" s="6786"/>
      <c r="AL209" s="6786"/>
      <c r="AM209" s="6786"/>
      <c r="AN209" s="6786"/>
      <c r="AO209" s="6786"/>
      <c r="AP209" s="6786"/>
      <c r="AQ209" s="6035"/>
      <c r="AR209" s="6029"/>
      <c r="AV209" s="6028"/>
      <c r="AW209" s="6785" t="str">
        <f>_Calcs!$II$96</f>
        <v>Begrunnelser for tidsjusteringer</v>
      </c>
      <c r="AX209" s="6785"/>
      <c r="AY209" s="6785"/>
      <c r="AZ209" s="6785"/>
      <c r="BA209" s="6785"/>
      <c r="BB209" s="6785"/>
      <c r="BC209" s="6785"/>
      <c r="BD209" s="6785"/>
      <c r="BE209" s="6785"/>
      <c r="BF209" s="6785"/>
      <c r="BG209" s="6785"/>
      <c r="BH209" s="6785"/>
      <c r="BI209" s="6785"/>
      <c r="BJ209" s="6785"/>
      <c r="BK209" s="6785"/>
      <c r="BL209" s="6785"/>
      <c r="BM209" s="6785"/>
      <c r="BN209" s="6785"/>
      <c r="BO209" s="6785"/>
      <c r="BP209" s="6785"/>
      <c r="BQ209" s="6785"/>
      <c r="BR209" s="6785"/>
      <c r="BS209" s="6785"/>
      <c r="BT209" s="6785"/>
      <c r="BU209" s="6785"/>
      <c r="BV209" s="6785"/>
      <c r="BW209" s="3489"/>
      <c r="BX209" s="6033"/>
      <c r="BY209" s="6033"/>
      <c r="BZ209" s="6034"/>
      <c r="CA209" s="6786" t="str">
        <f>_Calcs!$IL$167</f>
        <v/>
      </c>
      <c r="CB209" s="6786"/>
      <c r="CC209" s="6786"/>
      <c r="CD209" s="6786"/>
      <c r="CE209" s="6786"/>
      <c r="CF209" s="6786"/>
      <c r="CG209" s="6786"/>
      <c r="CH209" s="6786"/>
      <c r="CI209" s="6786"/>
      <c r="CJ209" s="6035"/>
      <c r="CK209" s="6029"/>
      <c r="CO209" s="6028"/>
      <c r="CP209" s="6785" t="str">
        <f>_Calcs!$II$96</f>
        <v>Begrunnelser for tidsjusteringer</v>
      </c>
      <c r="CQ209" s="6785"/>
      <c r="CR209" s="6785"/>
      <c r="CS209" s="6785"/>
      <c r="CT209" s="6785"/>
      <c r="CU209" s="6785"/>
      <c r="CV209" s="6785"/>
      <c r="CW209" s="6785"/>
      <c r="CX209" s="6785"/>
      <c r="CY209" s="6785"/>
      <c r="CZ209" s="6785"/>
      <c r="DA209" s="6785"/>
      <c r="DB209" s="6785"/>
      <c r="DC209" s="6785"/>
      <c r="DD209" s="6785"/>
      <c r="DE209" s="6785"/>
      <c r="DF209" s="6785"/>
      <c r="DG209" s="6785"/>
      <c r="DH209" s="6785"/>
      <c r="DI209" s="6785"/>
      <c r="DJ209" s="6785"/>
      <c r="DK209" s="6785"/>
      <c r="DL209" s="6785"/>
      <c r="DM209" s="6785"/>
      <c r="DN209" s="6785"/>
      <c r="DO209" s="6785"/>
      <c r="DP209" s="3489"/>
      <c r="DQ209" s="6033"/>
      <c r="DR209" s="6033"/>
      <c r="DS209" s="6034"/>
      <c r="DT209" s="6786" t="str">
        <f>_Calcs!$IM$167</f>
        <v/>
      </c>
      <c r="DU209" s="6786"/>
      <c r="DV209" s="6786"/>
      <c r="DW209" s="6786"/>
      <c r="DX209" s="6786"/>
      <c r="DY209" s="6786"/>
      <c r="DZ209" s="6786"/>
      <c r="EA209" s="6786"/>
      <c r="EB209" s="6786"/>
      <c r="EC209" s="6035"/>
      <c r="ED209" s="6029"/>
      <c r="EH209" s="6028"/>
      <c r="EI209" s="6785" t="str">
        <f>_Calcs!$II$96</f>
        <v>Begrunnelser for tidsjusteringer</v>
      </c>
      <c r="EJ209" s="6785"/>
      <c r="EK209" s="6785"/>
      <c r="EL209" s="6785"/>
      <c r="EM209" s="6785"/>
      <c r="EN209" s="6785"/>
      <c r="EO209" s="6785"/>
      <c r="EP209" s="6785"/>
      <c r="EQ209" s="6785"/>
      <c r="ER209" s="6785"/>
      <c r="ES209" s="6785"/>
      <c r="ET209" s="6785"/>
      <c r="EU209" s="6785"/>
      <c r="EV209" s="6785"/>
      <c r="EW209" s="6785"/>
      <c r="EX209" s="6785"/>
      <c r="EY209" s="6785"/>
      <c r="EZ209" s="6785"/>
      <c r="FA209" s="6785"/>
      <c r="FB209" s="6785"/>
      <c r="FC209" s="6785"/>
      <c r="FD209" s="6785"/>
      <c r="FE209" s="6785"/>
      <c r="FF209" s="6785"/>
      <c r="FG209" s="6785"/>
      <c r="FH209" s="6785"/>
      <c r="FI209" s="3489"/>
      <c r="FJ209" s="6033"/>
      <c r="FK209" s="6033"/>
      <c r="FL209" s="6034"/>
      <c r="FM209" s="6786" t="str">
        <f>_Calcs!$IN$167</f>
        <v/>
      </c>
      <c r="FN209" s="6786"/>
      <c r="FO209" s="6786"/>
      <c r="FP209" s="6786"/>
      <c r="FQ209" s="6786"/>
      <c r="FR209" s="6786"/>
      <c r="FS209" s="6786"/>
      <c r="FT209" s="6786"/>
      <c r="FU209" s="6786"/>
      <c r="FV209" s="6035"/>
      <c r="FW209" s="6029"/>
      <c r="GA209" s="6028"/>
      <c r="GB209" s="6785" t="str">
        <f>_Calcs!$II$96</f>
        <v>Begrunnelser for tidsjusteringer</v>
      </c>
      <c r="GC209" s="6785"/>
      <c r="GD209" s="6785"/>
      <c r="GE209" s="6785"/>
      <c r="GF209" s="6785"/>
      <c r="GG209" s="6785"/>
      <c r="GH209" s="6785"/>
      <c r="GI209" s="6785"/>
      <c r="GJ209" s="6785"/>
      <c r="GK209" s="6785"/>
      <c r="GL209" s="6785"/>
      <c r="GM209" s="6785"/>
      <c r="GN209" s="6785"/>
      <c r="GO209" s="6785"/>
      <c r="GP209" s="6785"/>
      <c r="GQ209" s="6785"/>
      <c r="GR209" s="6785"/>
      <c r="GS209" s="6785"/>
      <c r="GT209" s="6785"/>
      <c r="GU209" s="6785"/>
      <c r="GV209" s="6785"/>
      <c r="GW209" s="6785"/>
      <c r="GX209" s="6785"/>
      <c r="GY209" s="6785"/>
      <c r="GZ209" s="6785"/>
      <c r="HA209" s="6785"/>
      <c r="HB209" s="3489"/>
      <c r="HC209" s="6033"/>
      <c r="HD209" s="6033"/>
      <c r="HE209" s="6034"/>
      <c r="HF209" s="6786" t="str">
        <f>_Calcs!$IO$167</f>
        <v/>
      </c>
      <c r="HG209" s="6786"/>
      <c r="HH209" s="6786"/>
      <c r="HI209" s="6786"/>
      <c r="HJ209" s="6786"/>
      <c r="HK209" s="6786"/>
      <c r="HL209" s="6786"/>
      <c r="HM209" s="6786"/>
      <c r="HN209" s="6786"/>
      <c r="HO209" s="6035"/>
      <c r="HP209" s="6029"/>
      <c r="HT209" s="6028"/>
      <c r="HU209" s="6785" t="str">
        <f>_Calcs!$II$96</f>
        <v>Begrunnelser for tidsjusteringer</v>
      </c>
      <c r="HV209" s="6785"/>
      <c r="HW209" s="6785"/>
      <c r="HX209" s="6785"/>
      <c r="HY209" s="6785"/>
      <c r="HZ209" s="6785"/>
      <c r="IA209" s="6785"/>
      <c r="IB209" s="6785"/>
      <c r="IC209" s="6785"/>
      <c r="ID209" s="6785"/>
      <c r="IE209" s="6785"/>
      <c r="IF209" s="6785"/>
      <c r="IG209" s="6785"/>
      <c r="IH209" s="6785"/>
      <c r="II209" s="6785"/>
      <c r="IJ209" s="6785"/>
      <c r="IK209" s="6785"/>
      <c r="IL209" s="6785"/>
      <c r="IM209" s="6785"/>
      <c r="IN209" s="6785"/>
      <c r="IO209" s="6785"/>
      <c r="IP209" s="6785"/>
      <c r="IQ209" s="6785"/>
      <c r="IR209" s="6785"/>
      <c r="IS209" s="6785"/>
      <c r="IT209" s="6785"/>
      <c r="IU209" s="3489"/>
      <c r="IV209" s="6033"/>
      <c r="IW209" s="6033"/>
      <c r="IX209" s="6034"/>
      <c r="IY209" s="6786" t="str">
        <f>_Calcs!$IP$167</f>
        <v/>
      </c>
      <c r="IZ209" s="6786"/>
      <c r="JA209" s="6786"/>
      <c r="JB209" s="6786"/>
      <c r="JC209" s="6786"/>
      <c r="JD209" s="6786"/>
      <c r="JE209" s="6786"/>
      <c r="JF209" s="6786"/>
      <c r="JG209" s="6786"/>
      <c r="JH209" s="6035"/>
      <c r="JI209" s="6029"/>
      <c r="JM209" s="6028"/>
      <c r="JN209" s="6785" t="str">
        <f>_Calcs!$II$96</f>
        <v>Begrunnelser for tidsjusteringer</v>
      </c>
      <c r="JO209" s="6785"/>
      <c r="JP209" s="6785"/>
      <c r="JQ209" s="6785"/>
      <c r="JR209" s="6785"/>
      <c r="JS209" s="6785"/>
      <c r="JT209" s="6785"/>
      <c r="JU209" s="6785"/>
      <c r="JV209" s="6785"/>
      <c r="JW209" s="6785"/>
      <c r="JX209" s="6785"/>
      <c r="JY209" s="6785"/>
      <c r="JZ209" s="6785"/>
      <c r="KA209" s="6785"/>
      <c r="KB209" s="6785"/>
      <c r="KC209" s="6785"/>
      <c r="KD209" s="6785"/>
      <c r="KE209" s="6785"/>
      <c r="KF209" s="6785"/>
      <c r="KG209" s="6785"/>
      <c r="KH209" s="6785"/>
      <c r="KI209" s="6785"/>
      <c r="KJ209" s="6785"/>
      <c r="KK209" s="6785"/>
      <c r="KL209" s="6785"/>
      <c r="KM209" s="6785"/>
      <c r="KN209" s="3489"/>
      <c r="KO209" s="6033"/>
      <c r="KP209" s="6033"/>
      <c r="KQ209" s="6034"/>
      <c r="KR209" s="6786" t="str">
        <f>_Calcs!$IQ$167</f>
        <v/>
      </c>
      <c r="KS209" s="6786"/>
      <c r="KT209" s="6786"/>
      <c r="KU209" s="6786"/>
      <c r="KV209" s="6786"/>
      <c r="KW209" s="6786"/>
      <c r="KX209" s="6786"/>
      <c r="KY209" s="6786"/>
      <c r="KZ209" s="6786"/>
      <c r="LA209" s="6035"/>
      <c r="LB209" s="6029"/>
      <c r="LC209" s="130"/>
      <c r="LF209" s="6028"/>
      <c r="LG209" s="6785" t="str">
        <f>_Calcs!$II$96</f>
        <v>Begrunnelser for tidsjusteringer</v>
      </c>
      <c r="LH209" s="6785"/>
      <c r="LI209" s="6785"/>
      <c r="LJ209" s="6785"/>
      <c r="LK209" s="6785"/>
      <c r="LL209" s="6785"/>
      <c r="LM209" s="6785"/>
      <c r="LN209" s="6785"/>
      <c r="LO209" s="6785"/>
      <c r="LP209" s="6785"/>
      <c r="LQ209" s="6785"/>
      <c r="LR209" s="6785"/>
      <c r="LS209" s="6785"/>
      <c r="LT209" s="6785"/>
      <c r="LU209" s="6785"/>
      <c r="LV209" s="6785"/>
      <c r="LW209" s="6785"/>
      <c r="LX209" s="6785"/>
      <c r="LY209" s="6785"/>
      <c r="LZ209" s="6785"/>
      <c r="MA209" s="6785"/>
      <c r="MB209" s="6785"/>
      <c r="MC209" s="6785"/>
      <c r="MD209" s="6785"/>
      <c r="ME209" s="6785"/>
      <c r="MF209" s="6785"/>
      <c r="MG209" s="3489"/>
      <c r="MH209" s="6033"/>
      <c r="MI209" s="6033"/>
      <c r="MJ209" s="6034"/>
      <c r="MK209" s="6786" t="str">
        <f>_Calcs!$IR$167</f>
        <v/>
      </c>
      <c r="ML209" s="6786"/>
      <c r="MM209" s="6786"/>
      <c r="MN209" s="6786"/>
      <c r="MO209" s="6786"/>
      <c r="MP209" s="6786"/>
      <c r="MQ209" s="6786"/>
      <c r="MR209" s="6786"/>
      <c r="MS209" s="6786"/>
      <c r="MT209" s="6035"/>
      <c r="MU209" s="6029"/>
      <c r="MV209" s="130"/>
      <c r="MY209" s="6028"/>
      <c r="MZ209" s="6785" t="str">
        <f>_Calcs!$II$96</f>
        <v>Begrunnelser for tidsjusteringer</v>
      </c>
      <c r="NA209" s="6785"/>
      <c r="NB209" s="6785"/>
      <c r="NC209" s="6785"/>
      <c r="ND209" s="6785"/>
      <c r="NE209" s="6785"/>
      <c r="NF209" s="6785"/>
      <c r="NG209" s="6785"/>
      <c r="NH209" s="6785"/>
      <c r="NI209" s="6785"/>
      <c r="NJ209" s="6785"/>
      <c r="NK209" s="6785"/>
      <c r="NL209" s="6785"/>
      <c r="NM209" s="6785"/>
      <c r="NN209" s="6785"/>
      <c r="NO209" s="6785"/>
      <c r="NP209" s="6785"/>
      <c r="NQ209" s="6785"/>
      <c r="NR209" s="6785"/>
      <c r="NS209" s="6785"/>
      <c r="NT209" s="6785"/>
      <c r="NU209" s="6785"/>
      <c r="NV209" s="6785"/>
      <c r="NW209" s="6785"/>
      <c r="NX209" s="6785"/>
      <c r="NY209" s="6785"/>
      <c r="NZ209" s="3489"/>
      <c r="OA209" s="6033"/>
      <c r="OB209" s="6033"/>
      <c r="OC209" s="6034"/>
      <c r="OD209" s="6786" t="str">
        <f>_Calcs!$IS$167</f>
        <v/>
      </c>
      <c r="OE209" s="6786"/>
      <c r="OF209" s="6786"/>
      <c r="OG209" s="6786"/>
      <c r="OH209" s="6786"/>
      <c r="OI209" s="6786"/>
      <c r="OJ209" s="6786"/>
      <c r="OK209" s="6786"/>
      <c r="OL209" s="6786"/>
      <c r="OM209" s="6035"/>
      <c r="ON209" s="6029"/>
      <c r="OO209" s="130"/>
    </row>
    <row r="210" spans="3:405" s="5321" customFormat="1" ht="12" customHeight="1" x14ac:dyDescent="0.2">
      <c r="C210" s="6036"/>
      <c r="D210" s="6785"/>
      <c r="E210" s="6785"/>
      <c r="F210" s="6785"/>
      <c r="G210" s="6785"/>
      <c r="H210" s="6785"/>
      <c r="I210" s="6785"/>
      <c r="J210" s="6785"/>
      <c r="K210" s="6785"/>
      <c r="L210" s="6785"/>
      <c r="M210" s="6785"/>
      <c r="N210" s="6785"/>
      <c r="O210" s="6785"/>
      <c r="P210" s="6785"/>
      <c r="Q210" s="6785"/>
      <c r="R210" s="6785"/>
      <c r="S210" s="6785"/>
      <c r="T210" s="6785"/>
      <c r="U210" s="6785"/>
      <c r="V210" s="6785"/>
      <c r="W210" s="6785"/>
      <c r="X210" s="6785"/>
      <c r="Y210" s="6785"/>
      <c r="Z210" s="6785"/>
      <c r="AA210" s="6785"/>
      <c r="AB210" s="6785"/>
      <c r="AC210" s="6785"/>
      <c r="AE210" s="6033"/>
      <c r="AF210" s="6033"/>
      <c r="AG210" s="6037"/>
      <c r="AH210" s="6787"/>
      <c r="AI210" s="6787"/>
      <c r="AJ210" s="6787"/>
      <c r="AK210" s="6787"/>
      <c r="AL210" s="6787"/>
      <c r="AM210" s="6787"/>
      <c r="AN210" s="6787"/>
      <c r="AO210" s="6787"/>
      <c r="AP210" s="6787"/>
      <c r="AQ210" s="6038"/>
      <c r="AR210" s="6039"/>
      <c r="AV210" s="6036"/>
      <c r="AW210" s="6785"/>
      <c r="AX210" s="6785"/>
      <c r="AY210" s="6785"/>
      <c r="AZ210" s="6785"/>
      <c r="BA210" s="6785"/>
      <c r="BB210" s="6785"/>
      <c r="BC210" s="6785"/>
      <c r="BD210" s="6785"/>
      <c r="BE210" s="6785"/>
      <c r="BF210" s="6785"/>
      <c r="BG210" s="6785"/>
      <c r="BH210" s="6785"/>
      <c r="BI210" s="6785"/>
      <c r="BJ210" s="6785"/>
      <c r="BK210" s="6785"/>
      <c r="BL210" s="6785"/>
      <c r="BM210" s="6785"/>
      <c r="BN210" s="6785"/>
      <c r="BO210" s="6785"/>
      <c r="BP210" s="6785"/>
      <c r="BQ210" s="6785"/>
      <c r="BR210" s="6785"/>
      <c r="BS210" s="6785"/>
      <c r="BT210" s="6785"/>
      <c r="BU210" s="6785"/>
      <c r="BV210" s="6785"/>
      <c r="BX210" s="6033"/>
      <c r="BY210" s="6033"/>
      <c r="BZ210" s="6037"/>
      <c r="CA210" s="6787"/>
      <c r="CB210" s="6787"/>
      <c r="CC210" s="6787"/>
      <c r="CD210" s="6787"/>
      <c r="CE210" s="6787"/>
      <c r="CF210" s="6787"/>
      <c r="CG210" s="6787"/>
      <c r="CH210" s="6787"/>
      <c r="CI210" s="6787"/>
      <c r="CJ210" s="6038"/>
      <c r="CK210" s="6039"/>
      <c r="CO210" s="6036"/>
      <c r="CP210" s="6785"/>
      <c r="CQ210" s="6785"/>
      <c r="CR210" s="6785"/>
      <c r="CS210" s="6785"/>
      <c r="CT210" s="6785"/>
      <c r="CU210" s="6785"/>
      <c r="CV210" s="6785"/>
      <c r="CW210" s="6785"/>
      <c r="CX210" s="6785"/>
      <c r="CY210" s="6785"/>
      <c r="CZ210" s="6785"/>
      <c r="DA210" s="6785"/>
      <c r="DB210" s="6785"/>
      <c r="DC210" s="6785"/>
      <c r="DD210" s="6785"/>
      <c r="DE210" s="6785"/>
      <c r="DF210" s="6785"/>
      <c r="DG210" s="6785"/>
      <c r="DH210" s="6785"/>
      <c r="DI210" s="6785"/>
      <c r="DJ210" s="6785"/>
      <c r="DK210" s="6785"/>
      <c r="DL210" s="6785"/>
      <c r="DM210" s="6785"/>
      <c r="DN210" s="6785"/>
      <c r="DO210" s="6785"/>
      <c r="DQ210" s="6033"/>
      <c r="DR210" s="6033"/>
      <c r="DS210" s="6037"/>
      <c r="DT210" s="6787"/>
      <c r="DU210" s="6787"/>
      <c r="DV210" s="6787"/>
      <c r="DW210" s="6787"/>
      <c r="DX210" s="6787"/>
      <c r="DY210" s="6787"/>
      <c r="DZ210" s="6787"/>
      <c r="EA210" s="6787"/>
      <c r="EB210" s="6787"/>
      <c r="EC210" s="6038"/>
      <c r="ED210" s="6039"/>
      <c r="EH210" s="6036"/>
      <c r="EI210" s="6785"/>
      <c r="EJ210" s="6785"/>
      <c r="EK210" s="6785"/>
      <c r="EL210" s="6785"/>
      <c r="EM210" s="6785"/>
      <c r="EN210" s="6785"/>
      <c r="EO210" s="6785"/>
      <c r="EP210" s="6785"/>
      <c r="EQ210" s="6785"/>
      <c r="ER210" s="6785"/>
      <c r="ES210" s="6785"/>
      <c r="ET210" s="6785"/>
      <c r="EU210" s="6785"/>
      <c r="EV210" s="6785"/>
      <c r="EW210" s="6785"/>
      <c r="EX210" s="6785"/>
      <c r="EY210" s="6785"/>
      <c r="EZ210" s="6785"/>
      <c r="FA210" s="6785"/>
      <c r="FB210" s="6785"/>
      <c r="FC210" s="6785"/>
      <c r="FD210" s="6785"/>
      <c r="FE210" s="6785"/>
      <c r="FF210" s="6785"/>
      <c r="FG210" s="6785"/>
      <c r="FH210" s="6785"/>
      <c r="FJ210" s="6033"/>
      <c r="FK210" s="6033"/>
      <c r="FL210" s="6037"/>
      <c r="FM210" s="6787"/>
      <c r="FN210" s="6787"/>
      <c r="FO210" s="6787"/>
      <c r="FP210" s="6787"/>
      <c r="FQ210" s="6787"/>
      <c r="FR210" s="6787"/>
      <c r="FS210" s="6787"/>
      <c r="FT210" s="6787"/>
      <c r="FU210" s="6787"/>
      <c r="FV210" s="6038"/>
      <c r="FW210" s="6039"/>
      <c r="GA210" s="6036"/>
      <c r="GB210" s="6785"/>
      <c r="GC210" s="6785"/>
      <c r="GD210" s="6785"/>
      <c r="GE210" s="6785"/>
      <c r="GF210" s="6785"/>
      <c r="GG210" s="6785"/>
      <c r="GH210" s="6785"/>
      <c r="GI210" s="6785"/>
      <c r="GJ210" s="6785"/>
      <c r="GK210" s="6785"/>
      <c r="GL210" s="6785"/>
      <c r="GM210" s="6785"/>
      <c r="GN210" s="6785"/>
      <c r="GO210" s="6785"/>
      <c r="GP210" s="6785"/>
      <c r="GQ210" s="6785"/>
      <c r="GR210" s="6785"/>
      <c r="GS210" s="6785"/>
      <c r="GT210" s="6785"/>
      <c r="GU210" s="6785"/>
      <c r="GV210" s="6785"/>
      <c r="GW210" s="6785"/>
      <c r="GX210" s="6785"/>
      <c r="GY210" s="6785"/>
      <c r="GZ210" s="6785"/>
      <c r="HA210" s="6785"/>
      <c r="HC210" s="6033"/>
      <c r="HD210" s="6033"/>
      <c r="HE210" s="6037"/>
      <c r="HF210" s="6787"/>
      <c r="HG210" s="6787"/>
      <c r="HH210" s="6787"/>
      <c r="HI210" s="6787"/>
      <c r="HJ210" s="6787"/>
      <c r="HK210" s="6787"/>
      <c r="HL210" s="6787"/>
      <c r="HM210" s="6787"/>
      <c r="HN210" s="6787"/>
      <c r="HO210" s="6038"/>
      <c r="HP210" s="6039"/>
      <c r="HT210" s="6036"/>
      <c r="HU210" s="6785"/>
      <c r="HV210" s="6785"/>
      <c r="HW210" s="6785"/>
      <c r="HX210" s="6785"/>
      <c r="HY210" s="6785"/>
      <c r="HZ210" s="6785"/>
      <c r="IA210" s="6785"/>
      <c r="IB210" s="6785"/>
      <c r="IC210" s="6785"/>
      <c r="ID210" s="6785"/>
      <c r="IE210" s="6785"/>
      <c r="IF210" s="6785"/>
      <c r="IG210" s="6785"/>
      <c r="IH210" s="6785"/>
      <c r="II210" s="6785"/>
      <c r="IJ210" s="6785"/>
      <c r="IK210" s="6785"/>
      <c r="IL210" s="6785"/>
      <c r="IM210" s="6785"/>
      <c r="IN210" s="6785"/>
      <c r="IO210" s="6785"/>
      <c r="IP210" s="6785"/>
      <c r="IQ210" s="6785"/>
      <c r="IR210" s="6785"/>
      <c r="IS210" s="6785"/>
      <c r="IT210" s="6785"/>
      <c r="IV210" s="6033"/>
      <c r="IW210" s="6033"/>
      <c r="IX210" s="6037"/>
      <c r="IY210" s="6787"/>
      <c r="IZ210" s="6787"/>
      <c r="JA210" s="6787"/>
      <c r="JB210" s="6787"/>
      <c r="JC210" s="6787"/>
      <c r="JD210" s="6787"/>
      <c r="JE210" s="6787"/>
      <c r="JF210" s="6787"/>
      <c r="JG210" s="6787"/>
      <c r="JH210" s="6038"/>
      <c r="JI210" s="6039"/>
      <c r="JM210" s="6036"/>
      <c r="JN210" s="6785"/>
      <c r="JO210" s="6785"/>
      <c r="JP210" s="6785"/>
      <c r="JQ210" s="6785"/>
      <c r="JR210" s="6785"/>
      <c r="JS210" s="6785"/>
      <c r="JT210" s="6785"/>
      <c r="JU210" s="6785"/>
      <c r="JV210" s="6785"/>
      <c r="JW210" s="6785"/>
      <c r="JX210" s="6785"/>
      <c r="JY210" s="6785"/>
      <c r="JZ210" s="6785"/>
      <c r="KA210" s="6785"/>
      <c r="KB210" s="6785"/>
      <c r="KC210" s="6785"/>
      <c r="KD210" s="6785"/>
      <c r="KE210" s="6785"/>
      <c r="KF210" s="6785"/>
      <c r="KG210" s="6785"/>
      <c r="KH210" s="6785"/>
      <c r="KI210" s="6785"/>
      <c r="KJ210" s="6785"/>
      <c r="KK210" s="6785"/>
      <c r="KL210" s="6785"/>
      <c r="KM210" s="6785"/>
      <c r="KO210" s="6033"/>
      <c r="KP210" s="6033"/>
      <c r="KQ210" s="6037"/>
      <c r="KR210" s="6787"/>
      <c r="KS210" s="6787"/>
      <c r="KT210" s="6787"/>
      <c r="KU210" s="6787"/>
      <c r="KV210" s="6787"/>
      <c r="KW210" s="6787"/>
      <c r="KX210" s="6787"/>
      <c r="KY210" s="6787"/>
      <c r="KZ210" s="6787"/>
      <c r="LA210" s="6038"/>
      <c r="LB210" s="6039"/>
      <c r="LC210" s="7"/>
      <c r="LF210" s="6036"/>
      <c r="LG210" s="6785"/>
      <c r="LH210" s="6785"/>
      <c r="LI210" s="6785"/>
      <c r="LJ210" s="6785"/>
      <c r="LK210" s="6785"/>
      <c r="LL210" s="6785"/>
      <c r="LM210" s="6785"/>
      <c r="LN210" s="6785"/>
      <c r="LO210" s="6785"/>
      <c r="LP210" s="6785"/>
      <c r="LQ210" s="6785"/>
      <c r="LR210" s="6785"/>
      <c r="LS210" s="6785"/>
      <c r="LT210" s="6785"/>
      <c r="LU210" s="6785"/>
      <c r="LV210" s="6785"/>
      <c r="LW210" s="6785"/>
      <c r="LX210" s="6785"/>
      <c r="LY210" s="6785"/>
      <c r="LZ210" s="6785"/>
      <c r="MA210" s="6785"/>
      <c r="MB210" s="6785"/>
      <c r="MC210" s="6785"/>
      <c r="MD210" s="6785"/>
      <c r="ME210" s="6785"/>
      <c r="MF210" s="6785"/>
      <c r="MH210" s="6033"/>
      <c r="MI210" s="6033"/>
      <c r="MJ210" s="6037"/>
      <c r="MK210" s="6787"/>
      <c r="ML210" s="6787"/>
      <c r="MM210" s="6787"/>
      <c r="MN210" s="6787"/>
      <c r="MO210" s="6787"/>
      <c r="MP210" s="6787"/>
      <c r="MQ210" s="6787"/>
      <c r="MR210" s="6787"/>
      <c r="MS210" s="6787"/>
      <c r="MT210" s="6038"/>
      <c r="MU210" s="6039"/>
      <c r="MV210" s="7"/>
      <c r="MY210" s="6036"/>
      <c r="MZ210" s="6785"/>
      <c r="NA210" s="6785"/>
      <c r="NB210" s="6785"/>
      <c r="NC210" s="6785"/>
      <c r="ND210" s="6785"/>
      <c r="NE210" s="6785"/>
      <c r="NF210" s="6785"/>
      <c r="NG210" s="6785"/>
      <c r="NH210" s="6785"/>
      <c r="NI210" s="6785"/>
      <c r="NJ210" s="6785"/>
      <c r="NK210" s="6785"/>
      <c r="NL210" s="6785"/>
      <c r="NM210" s="6785"/>
      <c r="NN210" s="6785"/>
      <c r="NO210" s="6785"/>
      <c r="NP210" s="6785"/>
      <c r="NQ210" s="6785"/>
      <c r="NR210" s="6785"/>
      <c r="NS210" s="6785"/>
      <c r="NT210" s="6785"/>
      <c r="NU210" s="6785"/>
      <c r="NV210" s="6785"/>
      <c r="NW210" s="6785"/>
      <c r="NX210" s="6785"/>
      <c r="NY210" s="6785"/>
      <c r="OA210" s="6033"/>
      <c r="OB210" s="6033"/>
      <c r="OC210" s="6037"/>
      <c r="OD210" s="6787"/>
      <c r="OE210" s="6787"/>
      <c r="OF210" s="6787"/>
      <c r="OG210" s="6787"/>
      <c r="OH210" s="6787"/>
      <c r="OI210" s="6787"/>
      <c r="OJ210" s="6787"/>
      <c r="OK210" s="6787"/>
      <c r="OL210" s="6787"/>
      <c r="OM210" s="6038"/>
      <c r="ON210" s="6039"/>
      <c r="OO210" s="7"/>
    </row>
    <row r="211" spans="3:405" s="1466" customFormat="1" ht="6" customHeight="1" thickBot="1" x14ac:dyDescent="0.25">
      <c r="C211" s="6040"/>
      <c r="D211" s="6785"/>
      <c r="E211" s="6785"/>
      <c r="F211" s="6785"/>
      <c r="G211" s="6785"/>
      <c r="H211" s="6785"/>
      <c r="I211" s="6785"/>
      <c r="J211" s="6785"/>
      <c r="K211" s="6785"/>
      <c r="L211" s="6785"/>
      <c r="M211" s="6785"/>
      <c r="N211" s="6785"/>
      <c r="O211" s="6785"/>
      <c r="P211" s="6785"/>
      <c r="Q211" s="6785"/>
      <c r="R211" s="6785"/>
      <c r="S211" s="6785"/>
      <c r="T211" s="6785"/>
      <c r="U211" s="6785"/>
      <c r="V211" s="6785"/>
      <c r="W211" s="6785"/>
      <c r="X211" s="6785"/>
      <c r="Y211" s="6785"/>
      <c r="Z211" s="6785"/>
      <c r="AA211" s="6785"/>
      <c r="AB211" s="6785"/>
      <c r="AC211" s="6785"/>
      <c r="AE211" s="6033"/>
      <c r="AF211" s="6033"/>
      <c r="AG211" s="6041"/>
      <c r="AH211" s="6788"/>
      <c r="AI211" s="6788"/>
      <c r="AJ211" s="6788"/>
      <c r="AK211" s="6788"/>
      <c r="AL211" s="6788"/>
      <c r="AM211" s="6788"/>
      <c r="AN211" s="6788"/>
      <c r="AO211" s="6788"/>
      <c r="AP211" s="6788"/>
      <c r="AQ211" s="6042"/>
      <c r="AR211" s="6043"/>
      <c r="AV211" s="6040"/>
      <c r="AW211" s="6785"/>
      <c r="AX211" s="6785"/>
      <c r="AY211" s="6785"/>
      <c r="AZ211" s="6785"/>
      <c r="BA211" s="6785"/>
      <c r="BB211" s="6785"/>
      <c r="BC211" s="6785"/>
      <c r="BD211" s="6785"/>
      <c r="BE211" s="6785"/>
      <c r="BF211" s="6785"/>
      <c r="BG211" s="6785"/>
      <c r="BH211" s="6785"/>
      <c r="BI211" s="6785"/>
      <c r="BJ211" s="6785"/>
      <c r="BK211" s="6785"/>
      <c r="BL211" s="6785"/>
      <c r="BM211" s="6785"/>
      <c r="BN211" s="6785"/>
      <c r="BO211" s="6785"/>
      <c r="BP211" s="6785"/>
      <c r="BQ211" s="6785"/>
      <c r="BR211" s="6785"/>
      <c r="BS211" s="6785"/>
      <c r="BT211" s="6785"/>
      <c r="BU211" s="6785"/>
      <c r="BV211" s="6785"/>
      <c r="BX211" s="6033"/>
      <c r="BY211" s="6033"/>
      <c r="BZ211" s="6041"/>
      <c r="CA211" s="6788"/>
      <c r="CB211" s="6788"/>
      <c r="CC211" s="6788"/>
      <c r="CD211" s="6788"/>
      <c r="CE211" s="6788"/>
      <c r="CF211" s="6788"/>
      <c r="CG211" s="6788"/>
      <c r="CH211" s="6788"/>
      <c r="CI211" s="6788"/>
      <c r="CJ211" s="6042"/>
      <c r="CK211" s="6043"/>
      <c r="CO211" s="6040"/>
      <c r="CP211" s="6785"/>
      <c r="CQ211" s="6785"/>
      <c r="CR211" s="6785"/>
      <c r="CS211" s="6785"/>
      <c r="CT211" s="6785"/>
      <c r="CU211" s="6785"/>
      <c r="CV211" s="6785"/>
      <c r="CW211" s="6785"/>
      <c r="CX211" s="6785"/>
      <c r="CY211" s="6785"/>
      <c r="CZ211" s="6785"/>
      <c r="DA211" s="6785"/>
      <c r="DB211" s="6785"/>
      <c r="DC211" s="6785"/>
      <c r="DD211" s="6785"/>
      <c r="DE211" s="6785"/>
      <c r="DF211" s="6785"/>
      <c r="DG211" s="6785"/>
      <c r="DH211" s="6785"/>
      <c r="DI211" s="6785"/>
      <c r="DJ211" s="6785"/>
      <c r="DK211" s="6785"/>
      <c r="DL211" s="6785"/>
      <c r="DM211" s="6785"/>
      <c r="DN211" s="6785"/>
      <c r="DO211" s="6785"/>
      <c r="DQ211" s="6033"/>
      <c r="DR211" s="6033"/>
      <c r="DS211" s="6041"/>
      <c r="DT211" s="6788"/>
      <c r="DU211" s="6788"/>
      <c r="DV211" s="6788"/>
      <c r="DW211" s="6788"/>
      <c r="DX211" s="6788"/>
      <c r="DY211" s="6788"/>
      <c r="DZ211" s="6788"/>
      <c r="EA211" s="6788"/>
      <c r="EB211" s="6788"/>
      <c r="EC211" s="6042"/>
      <c r="ED211" s="6043"/>
      <c r="EH211" s="6040"/>
      <c r="EI211" s="6785"/>
      <c r="EJ211" s="6785"/>
      <c r="EK211" s="6785"/>
      <c r="EL211" s="6785"/>
      <c r="EM211" s="6785"/>
      <c r="EN211" s="6785"/>
      <c r="EO211" s="6785"/>
      <c r="EP211" s="6785"/>
      <c r="EQ211" s="6785"/>
      <c r="ER211" s="6785"/>
      <c r="ES211" s="6785"/>
      <c r="ET211" s="6785"/>
      <c r="EU211" s="6785"/>
      <c r="EV211" s="6785"/>
      <c r="EW211" s="6785"/>
      <c r="EX211" s="6785"/>
      <c r="EY211" s="6785"/>
      <c r="EZ211" s="6785"/>
      <c r="FA211" s="6785"/>
      <c r="FB211" s="6785"/>
      <c r="FC211" s="6785"/>
      <c r="FD211" s="6785"/>
      <c r="FE211" s="6785"/>
      <c r="FF211" s="6785"/>
      <c r="FG211" s="6785"/>
      <c r="FH211" s="6785"/>
      <c r="FJ211" s="6033"/>
      <c r="FK211" s="6033"/>
      <c r="FL211" s="6041"/>
      <c r="FM211" s="6788"/>
      <c r="FN211" s="6788"/>
      <c r="FO211" s="6788"/>
      <c r="FP211" s="6788"/>
      <c r="FQ211" s="6788"/>
      <c r="FR211" s="6788"/>
      <c r="FS211" s="6788"/>
      <c r="FT211" s="6788"/>
      <c r="FU211" s="6788"/>
      <c r="FV211" s="6042"/>
      <c r="FW211" s="6043"/>
      <c r="GA211" s="6040"/>
      <c r="GB211" s="6785"/>
      <c r="GC211" s="6785"/>
      <c r="GD211" s="6785"/>
      <c r="GE211" s="6785"/>
      <c r="GF211" s="6785"/>
      <c r="GG211" s="6785"/>
      <c r="GH211" s="6785"/>
      <c r="GI211" s="6785"/>
      <c r="GJ211" s="6785"/>
      <c r="GK211" s="6785"/>
      <c r="GL211" s="6785"/>
      <c r="GM211" s="6785"/>
      <c r="GN211" s="6785"/>
      <c r="GO211" s="6785"/>
      <c r="GP211" s="6785"/>
      <c r="GQ211" s="6785"/>
      <c r="GR211" s="6785"/>
      <c r="GS211" s="6785"/>
      <c r="GT211" s="6785"/>
      <c r="GU211" s="6785"/>
      <c r="GV211" s="6785"/>
      <c r="GW211" s="6785"/>
      <c r="GX211" s="6785"/>
      <c r="GY211" s="6785"/>
      <c r="GZ211" s="6785"/>
      <c r="HA211" s="6785"/>
      <c r="HC211" s="6033"/>
      <c r="HD211" s="6033"/>
      <c r="HE211" s="6041"/>
      <c r="HF211" s="6788"/>
      <c r="HG211" s="6788"/>
      <c r="HH211" s="6788"/>
      <c r="HI211" s="6788"/>
      <c r="HJ211" s="6788"/>
      <c r="HK211" s="6788"/>
      <c r="HL211" s="6788"/>
      <c r="HM211" s="6788"/>
      <c r="HN211" s="6788"/>
      <c r="HO211" s="6042"/>
      <c r="HP211" s="6043"/>
      <c r="HT211" s="6040"/>
      <c r="HU211" s="6785"/>
      <c r="HV211" s="6785"/>
      <c r="HW211" s="6785"/>
      <c r="HX211" s="6785"/>
      <c r="HY211" s="6785"/>
      <c r="HZ211" s="6785"/>
      <c r="IA211" s="6785"/>
      <c r="IB211" s="6785"/>
      <c r="IC211" s="6785"/>
      <c r="ID211" s="6785"/>
      <c r="IE211" s="6785"/>
      <c r="IF211" s="6785"/>
      <c r="IG211" s="6785"/>
      <c r="IH211" s="6785"/>
      <c r="II211" s="6785"/>
      <c r="IJ211" s="6785"/>
      <c r="IK211" s="6785"/>
      <c r="IL211" s="6785"/>
      <c r="IM211" s="6785"/>
      <c r="IN211" s="6785"/>
      <c r="IO211" s="6785"/>
      <c r="IP211" s="6785"/>
      <c r="IQ211" s="6785"/>
      <c r="IR211" s="6785"/>
      <c r="IS211" s="6785"/>
      <c r="IT211" s="6785"/>
      <c r="IV211" s="6033"/>
      <c r="IW211" s="6033"/>
      <c r="IX211" s="6041"/>
      <c r="IY211" s="6788"/>
      <c r="IZ211" s="6788"/>
      <c r="JA211" s="6788"/>
      <c r="JB211" s="6788"/>
      <c r="JC211" s="6788"/>
      <c r="JD211" s="6788"/>
      <c r="JE211" s="6788"/>
      <c r="JF211" s="6788"/>
      <c r="JG211" s="6788"/>
      <c r="JH211" s="6042"/>
      <c r="JI211" s="6043"/>
      <c r="JM211" s="6040"/>
      <c r="JN211" s="6785"/>
      <c r="JO211" s="6785"/>
      <c r="JP211" s="6785"/>
      <c r="JQ211" s="6785"/>
      <c r="JR211" s="6785"/>
      <c r="JS211" s="6785"/>
      <c r="JT211" s="6785"/>
      <c r="JU211" s="6785"/>
      <c r="JV211" s="6785"/>
      <c r="JW211" s="6785"/>
      <c r="JX211" s="6785"/>
      <c r="JY211" s="6785"/>
      <c r="JZ211" s="6785"/>
      <c r="KA211" s="6785"/>
      <c r="KB211" s="6785"/>
      <c r="KC211" s="6785"/>
      <c r="KD211" s="6785"/>
      <c r="KE211" s="6785"/>
      <c r="KF211" s="6785"/>
      <c r="KG211" s="6785"/>
      <c r="KH211" s="6785"/>
      <c r="KI211" s="6785"/>
      <c r="KJ211" s="6785"/>
      <c r="KK211" s="6785"/>
      <c r="KL211" s="6785"/>
      <c r="KM211" s="6785"/>
      <c r="KO211" s="6033"/>
      <c r="KP211" s="6033"/>
      <c r="KQ211" s="6041"/>
      <c r="KR211" s="6788"/>
      <c r="KS211" s="6788"/>
      <c r="KT211" s="6788"/>
      <c r="KU211" s="6788"/>
      <c r="KV211" s="6788"/>
      <c r="KW211" s="6788"/>
      <c r="KX211" s="6788"/>
      <c r="KY211" s="6788"/>
      <c r="KZ211" s="6788"/>
      <c r="LA211" s="6042"/>
      <c r="LB211" s="6043"/>
      <c r="LF211" s="6040"/>
      <c r="LG211" s="6785"/>
      <c r="LH211" s="6785"/>
      <c r="LI211" s="6785"/>
      <c r="LJ211" s="6785"/>
      <c r="LK211" s="6785"/>
      <c r="LL211" s="6785"/>
      <c r="LM211" s="6785"/>
      <c r="LN211" s="6785"/>
      <c r="LO211" s="6785"/>
      <c r="LP211" s="6785"/>
      <c r="LQ211" s="6785"/>
      <c r="LR211" s="6785"/>
      <c r="LS211" s="6785"/>
      <c r="LT211" s="6785"/>
      <c r="LU211" s="6785"/>
      <c r="LV211" s="6785"/>
      <c r="LW211" s="6785"/>
      <c r="LX211" s="6785"/>
      <c r="LY211" s="6785"/>
      <c r="LZ211" s="6785"/>
      <c r="MA211" s="6785"/>
      <c r="MB211" s="6785"/>
      <c r="MC211" s="6785"/>
      <c r="MD211" s="6785"/>
      <c r="ME211" s="6785"/>
      <c r="MF211" s="6785"/>
      <c r="MH211" s="6033"/>
      <c r="MI211" s="6033"/>
      <c r="MJ211" s="6041"/>
      <c r="MK211" s="6788"/>
      <c r="ML211" s="6788"/>
      <c r="MM211" s="6788"/>
      <c r="MN211" s="6788"/>
      <c r="MO211" s="6788"/>
      <c r="MP211" s="6788"/>
      <c r="MQ211" s="6788"/>
      <c r="MR211" s="6788"/>
      <c r="MS211" s="6788"/>
      <c r="MT211" s="6042"/>
      <c r="MU211" s="6043"/>
      <c r="MY211" s="6040"/>
      <c r="MZ211" s="6785"/>
      <c r="NA211" s="6785"/>
      <c r="NB211" s="6785"/>
      <c r="NC211" s="6785"/>
      <c r="ND211" s="6785"/>
      <c r="NE211" s="6785"/>
      <c r="NF211" s="6785"/>
      <c r="NG211" s="6785"/>
      <c r="NH211" s="6785"/>
      <c r="NI211" s="6785"/>
      <c r="NJ211" s="6785"/>
      <c r="NK211" s="6785"/>
      <c r="NL211" s="6785"/>
      <c r="NM211" s="6785"/>
      <c r="NN211" s="6785"/>
      <c r="NO211" s="6785"/>
      <c r="NP211" s="6785"/>
      <c r="NQ211" s="6785"/>
      <c r="NR211" s="6785"/>
      <c r="NS211" s="6785"/>
      <c r="NT211" s="6785"/>
      <c r="NU211" s="6785"/>
      <c r="NV211" s="6785"/>
      <c r="NW211" s="6785"/>
      <c r="NX211" s="6785"/>
      <c r="NY211" s="6785"/>
      <c r="OA211" s="6033"/>
      <c r="OB211" s="6033"/>
      <c r="OC211" s="6041"/>
      <c r="OD211" s="6788"/>
      <c r="OE211" s="6788"/>
      <c r="OF211" s="6788"/>
      <c r="OG211" s="6788"/>
      <c r="OH211" s="6788"/>
      <c r="OI211" s="6788"/>
      <c r="OJ211" s="6788"/>
      <c r="OK211" s="6788"/>
      <c r="OL211" s="6788"/>
      <c r="OM211" s="6042"/>
      <c r="ON211" s="6043"/>
    </row>
    <row r="212" spans="3:405" s="1466" customFormat="1" ht="9.9499999999999993" customHeight="1" thickBot="1" x14ac:dyDescent="0.25">
      <c r="C212" s="6044"/>
      <c r="D212" s="6045"/>
      <c r="E212" s="6045"/>
      <c r="F212" s="6045"/>
      <c r="G212" s="6045"/>
      <c r="H212" s="6045"/>
      <c r="I212" s="6045"/>
      <c r="J212" s="6045"/>
      <c r="K212" s="6045"/>
      <c r="L212" s="6045"/>
      <c r="M212" s="6045"/>
      <c r="N212" s="6045"/>
      <c r="O212" s="6045"/>
      <c r="P212" s="6045"/>
      <c r="Q212" s="6045"/>
      <c r="R212" s="6045"/>
      <c r="S212" s="6045"/>
      <c r="T212" s="6045"/>
      <c r="U212" s="6045"/>
      <c r="V212" s="6045"/>
      <c r="W212" s="6046"/>
      <c r="X212" s="6046"/>
      <c r="Y212" s="6046"/>
      <c r="Z212" s="6046"/>
      <c r="AA212" s="6046"/>
      <c r="AB212" s="6046"/>
      <c r="AC212" s="6046"/>
      <c r="AD212" s="6046"/>
      <c r="AE212" s="6047"/>
      <c r="AF212" s="6047"/>
      <c r="AG212" s="6047"/>
      <c r="AH212" s="6047"/>
      <c r="AI212" s="6047"/>
      <c r="AJ212" s="6047"/>
      <c r="AK212" s="6047"/>
      <c r="AL212" s="6047"/>
      <c r="AM212" s="6047"/>
      <c r="AN212" s="6047"/>
      <c r="AO212" s="6047"/>
      <c r="AP212" s="6047"/>
      <c r="AQ212" s="6046"/>
      <c r="AR212" s="6048"/>
      <c r="AV212" s="6044"/>
      <c r="AW212" s="6045"/>
      <c r="AX212" s="6045"/>
      <c r="AY212" s="6045"/>
      <c r="AZ212" s="6045"/>
      <c r="BA212" s="6045"/>
      <c r="BB212" s="6045"/>
      <c r="BC212" s="6045"/>
      <c r="BD212" s="6045"/>
      <c r="BE212" s="6045"/>
      <c r="BF212" s="6045"/>
      <c r="BG212" s="6045"/>
      <c r="BH212" s="6045"/>
      <c r="BI212" s="6045"/>
      <c r="BJ212" s="6045"/>
      <c r="BK212" s="6045"/>
      <c r="BL212" s="6045"/>
      <c r="BM212" s="6045"/>
      <c r="BN212" s="6045"/>
      <c r="BO212" s="6045"/>
      <c r="BP212" s="6046"/>
      <c r="BQ212" s="6046"/>
      <c r="BR212" s="6046"/>
      <c r="BS212" s="6046"/>
      <c r="BT212" s="6046"/>
      <c r="BU212" s="6046"/>
      <c r="BV212" s="6046"/>
      <c r="BW212" s="6046"/>
      <c r="BX212" s="6047"/>
      <c r="BY212" s="6047"/>
      <c r="BZ212" s="6047"/>
      <c r="CA212" s="6047"/>
      <c r="CB212" s="6047"/>
      <c r="CC212" s="6047"/>
      <c r="CD212" s="6047"/>
      <c r="CE212" s="6047"/>
      <c r="CF212" s="6047"/>
      <c r="CG212" s="6047"/>
      <c r="CH212" s="6047"/>
      <c r="CI212" s="6047"/>
      <c r="CJ212" s="6046"/>
      <c r="CK212" s="6048"/>
      <c r="CO212" s="6044"/>
      <c r="CP212" s="6045"/>
      <c r="CQ212" s="6045"/>
      <c r="CR212" s="6045"/>
      <c r="CS212" s="6045"/>
      <c r="CT212" s="6045"/>
      <c r="CU212" s="6045"/>
      <c r="CV212" s="6045"/>
      <c r="CW212" s="6045"/>
      <c r="CX212" s="6045"/>
      <c r="CY212" s="6045"/>
      <c r="CZ212" s="6045"/>
      <c r="DA212" s="6045"/>
      <c r="DB212" s="6045"/>
      <c r="DC212" s="6045"/>
      <c r="DD212" s="6045"/>
      <c r="DE212" s="6045"/>
      <c r="DF212" s="6045"/>
      <c r="DG212" s="6045"/>
      <c r="DH212" s="6045"/>
      <c r="DI212" s="6046"/>
      <c r="DJ212" s="6046"/>
      <c r="DK212" s="6046"/>
      <c r="DL212" s="6046"/>
      <c r="DM212" s="6046"/>
      <c r="DN212" s="6046"/>
      <c r="DO212" s="6046"/>
      <c r="DP212" s="6046"/>
      <c r="DQ212" s="6047"/>
      <c r="DR212" s="6047"/>
      <c r="DS212" s="6047"/>
      <c r="DT212" s="6047"/>
      <c r="DU212" s="6047"/>
      <c r="DV212" s="6047"/>
      <c r="DW212" s="6047"/>
      <c r="DX212" s="6047"/>
      <c r="DY212" s="6047"/>
      <c r="DZ212" s="6047"/>
      <c r="EA212" s="6047"/>
      <c r="EB212" s="6047"/>
      <c r="EC212" s="6046"/>
      <c r="ED212" s="6048"/>
      <c r="EH212" s="6044"/>
      <c r="EI212" s="6045"/>
      <c r="EJ212" s="6045"/>
      <c r="EK212" s="6045"/>
      <c r="EL212" s="6045"/>
      <c r="EM212" s="6045"/>
      <c r="EN212" s="6045"/>
      <c r="EO212" s="6045"/>
      <c r="EP212" s="6045"/>
      <c r="EQ212" s="6045"/>
      <c r="ER212" s="6045"/>
      <c r="ES212" s="6045"/>
      <c r="ET212" s="6045"/>
      <c r="EU212" s="6045"/>
      <c r="EV212" s="6045"/>
      <c r="EW212" s="6045"/>
      <c r="EX212" s="6045"/>
      <c r="EY212" s="6045"/>
      <c r="EZ212" s="6045"/>
      <c r="FA212" s="6045"/>
      <c r="FB212" s="6046"/>
      <c r="FC212" s="6046"/>
      <c r="FD212" s="6046"/>
      <c r="FE212" s="6046"/>
      <c r="FF212" s="6046"/>
      <c r="FG212" s="6046"/>
      <c r="FH212" s="6046"/>
      <c r="FI212" s="6046"/>
      <c r="FJ212" s="6047"/>
      <c r="FK212" s="6047"/>
      <c r="FL212" s="6047"/>
      <c r="FM212" s="6047"/>
      <c r="FN212" s="6047"/>
      <c r="FO212" s="6047"/>
      <c r="FP212" s="6047"/>
      <c r="FQ212" s="6047"/>
      <c r="FR212" s="6047"/>
      <c r="FS212" s="6047"/>
      <c r="FT212" s="6047"/>
      <c r="FU212" s="6047"/>
      <c r="FV212" s="6046"/>
      <c r="FW212" s="6048"/>
      <c r="GA212" s="6044"/>
      <c r="GB212" s="6045"/>
      <c r="GC212" s="6045"/>
      <c r="GD212" s="6045"/>
      <c r="GE212" s="6045"/>
      <c r="GF212" s="6045"/>
      <c r="GG212" s="6045"/>
      <c r="GH212" s="6045"/>
      <c r="GI212" s="6045"/>
      <c r="GJ212" s="6045"/>
      <c r="GK212" s="6045"/>
      <c r="GL212" s="6045"/>
      <c r="GM212" s="6045"/>
      <c r="GN212" s="6045"/>
      <c r="GO212" s="6045"/>
      <c r="GP212" s="6045"/>
      <c r="GQ212" s="6045"/>
      <c r="GR212" s="6045"/>
      <c r="GS212" s="6045"/>
      <c r="GT212" s="6045"/>
      <c r="GU212" s="6046"/>
      <c r="GV212" s="6046"/>
      <c r="GW212" s="6046"/>
      <c r="GX212" s="6046"/>
      <c r="GY212" s="6046"/>
      <c r="GZ212" s="6046"/>
      <c r="HA212" s="6046"/>
      <c r="HB212" s="6046"/>
      <c r="HC212" s="6047"/>
      <c r="HD212" s="6047"/>
      <c r="HE212" s="6047"/>
      <c r="HF212" s="6047"/>
      <c r="HG212" s="6047"/>
      <c r="HH212" s="6047"/>
      <c r="HI212" s="6047"/>
      <c r="HJ212" s="6047"/>
      <c r="HK212" s="6047"/>
      <c r="HL212" s="6047"/>
      <c r="HM212" s="6047"/>
      <c r="HN212" s="6047"/>
      <c r="HO212" s="6046"/>
      <c r="HP212" s="6048"/>
      <c r="HT212" s="6044"/>
      <c r="HU212" s="6045"/>
      <c r="HV212" s="6045"/>
      <c r="HW212" s="6045"/>
      <c r="HX212" s="6045"/>
      <c r="HY212" s="6045"/>
      <c r="HZ212" s="6045"/>
      <c r="IA212" s="6045"/>
      <c r="IB212" s="6045"/>
      <c r="IC212" s="6045"/>
      <c r="ID212" s="6045"/>
      <c r="IE212" s="6045"/>
      <c r="IF212" s="6045"/>
      <c r="IG212" s="6045"/>
      <c r="IH212" s="6045"/>
      <c r="II212" s="6045"/>
      <c r="IJ212" s="6045"/>
      <c r="IK212" s="6045"/>
      <c r="IL212" s="6045"/>
      <c r="IM212" s="6045"/>
      <c r="IN212" s="6046"/>
      <c r="IO212" s="6046"/>
      <c r="IP212" s="6046"/>
      <c r="IQ212" s="6046"/>
      <c r="IR212" s="6046"/>
      <c r="IS212" s="6046"/>
      <c r="IT212" s="6046"/>
      <c r="IU212" s="6046"/>
      <c r="IV212" s="6047"/>
      <c r="IW212" s="6047"/>
      <c r="IX212" s="6047"/>
      <c r="IY212" s="6047"/>
      <c r="IZ212" s="6047"/>
      <c r="JA212" s="6047"/>
      <c r="JB212" s="6047"/>
      <c r="JC212" s="6047"/>
      <c r="JD212" s="6047"/>
      <c r="JE212" s="6047"/>
      <c r="JF212" s="6047"/>
      <c r="JG212" s="6047"/>
      <c r="JH212" s="6046"/>
      <c r="JI212" s="6048"/>
      <c r="JM212" s="6044"/>
      <c r="JN212" s="6045"/>
      <c r="JO212" s="6045"/>
      <c r="JP212" s="6045"/>
      <c r="JQ212" s="6045"/>
      <c r="JR212" s="6045"/>
      <c r="JS212" s="6045"/>
      <c r="JT212" s="6045"/>
      <c r="JU212" s="6045"/>
      <c r="JV212" s="6045"/>
      <c r="JW212" s="6045"/>
      <c r="JX212" s="6045"/>
      <c r="JY212" s="6045"/>
      <c r="JZ212" s="6045"/>
      <c r="KA212" s="6045"/>
      <c r="KB212" s="6045"/>
      <c r="KC212" s="6045"/>
      <c r="KD212" s="6045"/>
      <c r="KE212" s="6045"/>
      <c r="KF212" s="6045"/>
      <c r="KG212" s="6046"/>
      <c r="KH212" s="6046"/>
      <c r="KI212" s="6046"/>
      <c r="KJ212" s="6046"/>
      <c r="KK212" s="6046"/>
      <c r="KL212" s="6046"/>
      <c r="KM212" s="6046"/>
      <c r="KN212" s="6046"/>
      <c r="KO212" s="6047"/>
      <c r="KP212" s="6047"/>
      <c r="KQ212" s="6047"/>
      <c r="KR212" s="6047"/>
      <c r="KS212" s="6047"/>
      <c r="KT212" s="6047"/>
      <c r="KU212" s="6047"/>
      <c r="KV212" s="6047"/>
      <c r="KW212" s="6047"/>
      <c r="KX212" s="6047"/>
      <c r="KY212" s="6047"/>
      <c r="KZ212" s="6047"/>
      <c r="LA212" s="6046"/>
      <c r="LB212" s="6048"/>
      <c r="LF212" s="6044"/>
      <c r="LG212" s="6045"/>
      <c r="LH212" s="6045"/>
      <c r="LI212" s="6045"/>
      <c r="LJ212" s="6045"/>
      <c r="LK212" s="6045"/>
      <c r="LL212" s="6045"/>
      <c r="LM212" s="6045"/>
      <c r="LN212" s="6045"/>
      <c r="LO212" s="6045"/>
      <c r="LP212" s="6045"/>
      <c r="LQ212" s="6045"/>
      <c r="LR212" s="6045"/>
      <c r="LS212" s="6045"/>
      <c r="LT212" s="6045"/>
      <c r="LU212" s="6045"/>
      <c r="LV212" s="6045"/>
      <c r="LW212" s="6045"/>
      <c r="LX212" s="6045"/>
      <c r="LY212" s="6045"/>
      <c r="LZ212" s="6046"/>
      <c r="MA212" s="6046"/>
      <c r="MB212" s="6046"/>
      <c r="MC212" s="6046"/>
      <c r="MD212" s="6046"/>
      <c r="ME212" s="6046"/>
      <c r="MF212" s="6046"/>
      <c r="MG212" s="6046"/>
      <c r="MH212" s="6047"/>
      <c r="MI212" s="6047"/>
      <c r="MJ212" s="6047"/>
      <c r="MK212" s="6047"/>
      <c r="ML212" s="6047"/>
      <c r="MM212" s="6047"/>
      <c r="MN212" s="6047"/>
      <c r="MO212" s="6047"/>
      <c r="MP212" s="6047"/>
      <c r="MQ212" s="6047"/>
      <c r="MR212" s="6047"/>
      <c r="MS212" s="6047"/>
      <c r="MT212" s="6046"/>
      <c r="MU212" s="6048"/>
      <c r="MY212" s="6044"/>
      <c r="MZ212" s="6045"/>
      <c r="NA212" s="6045"/>
      <c r="NB212" s="6045"/>
      <c r="NC212" s="6045"/>
      <c r="ND212" s="6045"/>
      <c r="NE212" s="6045"/>
      <c r="NF212" s="6045"/>
      <c r="NG212" s="6045"/>
      <c r="NH212" s="6045"/>
      <c r="NI212" s="6045"/>
      <c r="NJ212" s="6045"/>
      <c r="NK212" s="6045"/>
      <c r="NL212" s="6045"/>
      <c r="NM212" s="6045"/>
      <c r="NN212" s="6045"/>
      <c r="NO212" s="6045"/>
      <c r="NP212" s="6045"/>
      <c r="NQ212" s="6045"/>
      <c r="NR212" s="6045"/>
      <c r="NS212" s="6046"/>
      <c r="NT212" s="6046"/>
      <c r="NU212" s="6046"/>
      <c r="NV212" s="6046"/>
      <c r="NW212" s="6046"/>
      <c r="NX212" s="6046"/>
      <c r="NY212" s="6046"/>
      <c r="NZ212" s="6046"/>
      <c r="OA212" s="6047"/>
      <c r="OB212" s="6047"/>
      <c r="OC212" s="6047"/>
      <c r="OD212" s="6047"/>
      <c r="OE212" s="6047"/>
      <c r="OF212" s="6047"/>
      <c r="OG212" s="6047"/>
      <c r="OH212" s="6047"/>
      <c r="OI212" s="6047"/>
      <c r="OJ212" s="6047"/>
      <c r="OK212" s="6047"/>
      <c r="OL212" s="6047"/>
      <c r="OM212" s="6046"/>
      <c r="ON212" s="6048"/>
    </row>
    <row r="213" spans="3:405" ht="9.9499999999999993" customHeight="1" thickBot="1" x14ac:dyDescent="0.25">
      <c r="D213" s="6091"/>
      <c r="AW213" s="6091"/>
      <c r="CP213" s="6091"/>
      <c r="EI213" s="6091"/>
      <c r="GB213" s="6091"/>
      <c r="HU213" s="6091"/>
      <c r="JN213" s="6091"/>
      <c r="LG213" s="6091"/>
      <c r="MZ213" s="6091"/>
    </row>
    <row r="214" spans="3:405" ht="15" customHeight="1" x14ac:dyDescent="0.2">
      <c r="C214" s="6049"/>
      <c r="D214" s="6050"/>
      <c r="E214" s="6050"/>
      <c r="F214" s="6050"/>
      <c r="G214" s="6050"/>
      <c r="H214" s="6050"/>
      <c r="I214" s="6050"/>
      <c r="J214" s="6050"/>
      <c r="K214" s="6050"/>
      <c r="L214" s="6050"/>
      <c r="M214" s="6050"/>
      <c r="N214" s="6050"/>
      <c r="O214" s="6050"/>
      <c r="P214" s="6050"/>
      <c r="Q214" s="6050"/>
      <c r="R214" s="6050"/>
      <c r="S214" s="6050"/>
      <c r="T214" s="6050"/>
      <c r="U214" s="6050"/>
      <c r="V214" s="6050"/>
      <c r="W214" s="6050"/>
      <c r="X214" s="6050"/>
      <c r="Y214" s="6050"/>
      <c r="Z214" s="6050"/>
      <c r="AA214" s="6050"/>
      <c r="AB214" s="6050"/>
      <c r="AC214" s="6050"/>
      <c r="AD214" s="6050"/>
      <c r="AE214" s="6050"/>
      <c r="AF214" s="6050"/>
      <c r="AG214" s="6050"/>
      <c r="AH214" s="6050"/>
      <c r="AI214" s="6050"/>
      <c r="AJ214" s="6050"/>
      <c r="AK214" s="6050"/>
      <c r="AL214" s="6050"/>
      <c r="AM214" s="6050"/>
      <c r="AN214" s="6050"/>
      <c r="AO214" s="6050"/>
      <c r="AP214" s="6050"/>
      <c r="AQ214" s="6050"/>
      <c r="AR214" s="6052"/>
      <c r="AV214" s="6049"/>
      <c r="AW214" s="6050"/>
      <c r="AX214" s="6050"/>
      <c r="AY214" s="6050"/>
      <c r="AZ214" s="6050"/>
      <c r="BA214" s="6050"/>
      <c r="BB214" s="6050"/>
      <c r="BC214" s="6050"/>
      <c r="BD214" s="6050"/>
      <c r="BE214" s="6050"/>
      <c r="BF214" s="6050"/>
      <c r="BG214" s="6050"/>
      <c r="BH214" s="6050"/>
      <c r="BI214" s="6050"/>
      <c r="BJ214" s="6050"/>
      <c r="BK214" s="6050"/>
      <c r="BL214" s="6050"/>
      <c r="BM214" s="6050"/>
      <c r="BN214" s="6050"/>
      <c r="BO214" s="6050"/>
      <c r="BP214" s="6050"/>
      <c r="BQ214" s="6050"/>
      <c r="BR214" s="6050"/>
      <c r="BS214" s="6050"/>
      <c r="BT214" s="6050"/>
      <c r="BU214" s="6050"/>
      <c r="BV214" s="6050"/>
      <c r="BW214" s="6050"/>
      <c r="BX214" s="6050"/>
      <c r="BY214" s="6050"/>
      <c r="BZ214" s="6050"/>
      <c r="CA214" s="6050"/>
      <c r="CB214" s="6050"/>
      <c r="CC214" s="6050"/>
      <c r="CD214" s="6050"/>
      <c r="CE214" s="6050"/>
      <c r="CF214" s="6050"/>
      <c r="CG214" s="6050"/>
      <c r="CH214" s="6050"/>
      <c r="CI214" s="6050"/>
      <c r="CJ214" s="6050"/>
      <c r="CK214" s="6052"/>
      <c r="CO214" s="6049"/>
      <c r="CP214" s="6050"/>
      <c r="CQ214" s="6050"/>
      <c r="CR214" s="6050"/>
      <c r="CS214" s="6050"/>
      <c r="CT214" s="6050"/>
      <c r="CU214" s="6050"/>
      <c r="CV214" s="6050"/>
      <c r="CW214" s="6050"/>
      <c r="CX214" s="6050"/>
      <c r="CY214" s="6050"/>
      <c r="CZ214" s="6050"/>
      <c r="DA214" s="6050"/>
      <c r="DB214" s="6050"/>
      <c r="DC214" s="6050"/>
      <c r="DD214" s="6050"/>
      <c r="DE214" s="6050"/>
      <c r="DF214" s="6050"/>
      <c r="DG214" s="6050"/>
      <c r="DH214" s="6050"/>
      <c r="DI214" s="6050"/>
      <c r="DJ214" s="6050"/>
      <c r="DK214" s="6050"/>
      <c r="DL214" s="6050"/>
      <c r="DM214" s="6050"/>
      <c r="DN214" s="6050"/>
      <c r="DO214" s="6050"/>
      <c r="DP214" s="6050"/>
      <c r="DQ214" s="6050"/>
      <c r="DR214" s="6050"/>
      <c r="DS214" s="6050"/>
      <c r="DT214" s="6050"/>
      <c r="DU214" s="6050"/>
      <c r="DV214" s="6050"/>
      <c r="DW214" s="6050"/>
      <c r="DX214" s="6050"/>
      <c r="DY214" s="6050"/>
      <c r="DZ214" s="6050"/>
      <c r="EA214" s="6050"/>
      <c r="EB214" s="6050"/>
      <c r="EC214" s="6050"/>
      <c r="ED214" s="6052"/>
      <c r="EH214" s="6049"/>
      <c r="EI214" s="6050"/>
      <c r="EJ214" s="6050"/>
      <c r="EK214" s="6050"/>
      <c r="EL214" s="6050"/>
      <c r="EM214" s="6050"/>
      <c r="EN214" s="6050"/>
      <c r="EO214" s="6050"/>
      <c r="EP214" s="6050"/>
      <c r="EQ214" s="6050"/>
      <c r="ER214" s="6050"/>
      <c r="ES214" s="6050"/>
      <c r="ET214" s="6050"/>
      <c r="EU214" s="6050"/>
      <c r="EV214" s="6050"/>
      <c r="EW214" s="6050"/>
      <c r="EX214" s="6050"/>
      <c r="EY214" s="6050"/>
      <c r="EZ214" s="6050"/>
      <c r="FA214" s="6050"/>
      <c r="FB214" s="6050"/>
      <c r="FC214" s="6050"/>
      <c r="FD214" s="6050"/>
      <c r="FE214" s="6050"/>
      <c r="FF214" s="6050"/>
      <c r="FG214" s="6050"/>
      <c r="FH214" s="6050"/>
      <c r="FI214" s="6050"/>
      <c r="FJ214" s="6050"/>
      <c r="FK214" s="6050"/>
      <c r="FL214" s="6050"/>
      <c r="FM214" s="6050"/>
      <c r="FN214" s="6050"/>
      <c r="FO214" s="6050"/>
      <c r="FP214" s="6050"/>
      <c r="FQ214" s="6050"/>
      <c r="FR214" s="6050"/>
      <c r="FS214" s="6050"/>
      <c r="FT214" s="6050"/>
      <c r="FU214" s="6050"/>
      <c r="FV214" s="6050"/>
      <c r="FW214" s="6052"/>
      <c r="GA214" s="6049"/>
      <c r="GB214" s="6050"/>
      <c r="GC214" s="6050"/>
      <c r="GD214" s="6050"/>
      <c r="GE214" s="6050"/>
      <c r="GF214" s="6050"/>
      <c r="GG214" s="6050"/>
      <c r="GH214" s="6050"/>
      <c r="GI214" s="6050"/>
      <c r="GJ214" s="6050"/>
      <c r="GK214" s="6050"/>
      <c r="GL214" s="6050"/>
      <c r="GM214" s="6050"/>
      <c r="GN214" s="6050"/>
      <c r="GO214" s="6050"/>
      <c r="GP214" s="6050"/>
      <c r="GQ214" s="6050"/>
      <c r="GR214" s="6050"/>
      <c r="GS214" s="6050"/>
      <c r="GT214" s="6050"/>
      <c r="GU214" s="6050"/>
      <c r="GV214" s="6050"/>
      <c r="GW214" s="6050"/>
      <c r="GX214" s="6050"/>
      <c r="GY214" s="6050"/>
      <c r="GZ214" s="6050"/>
      <c r="HA214" s="6050"/>
      <c r="HB214" s="6050"/>
      <c r="HC214" s="6050"/>
      <c r="HD214" s="6050"/>
      <c r="HE214" s="6050"/>
      <c r="HF214" s="6050"/>
      <c r="HG214" s="6050"/>
      <c r="HH214" s="6050"/>
      <c r="HI214" s="6050"/>
      <c r="HJ214" s="6050"/>
      <c r="HK214" s="6050"/>
      <c r="HL214" s="6050"/>
      <c r="HM214" s="6050"/>
      <c r="HN214" s="6050"/>
      <c r="HO214" s="6050"/>
      <c r="HP214" s="6052"/>
      <c r="HT214" s="6049"/>
      <c r="HU214" s="6050"/>
      <c r="HV214" s="6050"/>
      <c r="HW214" s="6050"/>
      <c r="HX214" s="6050"/>
      <c r="HY214" s="6050"/>
      <c r="HZ214" s="6050"/>
      <c r="IA214" s="6050"/>
      <c r="IB214" s="6050"/>
      <c r="IC214" s="6050"/>
      <c r="ID214" s="6050"/>
      <c r="IE214" s="6050"/>
      <c r="IF214" s="6050"/>
      <c r="IG214" s="6050"/>
      <c r="IH214" s="6050"/>
      <c r="II214" s="6050"/>
      <c r="IJ214" s="6050"/>
      <c r="IK214" s="6050"/>
      <c r="IL214" s="6050"/>
      <c r="IM214" s="6050"/>
      <c r="IN214" s="6050"/>
      <c r="IO214" s="6050"/>
      <c r="IP214" s="6050"/>
      <c r="IQ214" s="6050"/>
      <c r="IR214" s="6050"/>
      <c r="IS214" s="6050"/>
      <c r="IT214" s="6050"/>
      <c r="IU214" s="6050"/>
      <c r="IV214" s="6050"/>
      <c r="IW214" s="6050"/>
      <c r="IX214" s="6050"/>
      <c r="IY214" s="6050"/>
      <c r="IZ214" s="6050"/>
      <c r="JA214" s="6050"/>
      <c r="JB214" s="6050"/>
      <c r="JC214" s="6050"/>
      <c r="JD214" s="6050"/>
      <c r="JE214" s="6050"/>
      <c r="JF214" s="6050"/>
      <c r="JG214" s="6050"/>
      <c r="JH214" s="6050"/>
      <c r="JI214" s="6052"/>
      <c r="JM214" s="6049"/>
      <c r="JN214" s="6050"/>
      <c r="JO214" s="6050"/>
      <c r="JP214" s="6050"/>
      <c r="JQ214" s="6050"/>
      <c r="JR214" s="6050"/>
      <c r="JS214" s="6050"/>
      <c r="JT214" s="6050"/>
      <c r="JU214" s="6050"/>
      <c r="JV214" s="6050"/>
      <c r="JW214" s="6050"/>
      <c r="JX214" s="6050"/>
      <c r="JY214" s="6050"/>
      <c r="JZ214" s="6050"/>
      <c r="KA214" s="6050"/>
      <c r="KB214" s="6050"/>
      <c r="KC214" s="6050"/>
      <c r="KD214" s="6050"/>
      <c r="KE214" s="6050"/>
      <c r="KF214" s="6050"/>
      <c r="KG214" s="6050"/>
      <c r="KH214" s="6050"/>
      <c r="KI214" s="6050"/>
      <c r="KJ214" s="6050"/>
      <c r="KK214" s="6050"/>
      <c r="KL214" s="6050"/>
      <c r="KM214" s="6050"/>
      <c r="KN214" s="6050"/>
      <c r="KO214" s="6050"/>
      <c r="KP214" s="6050"/>
      <c r="KQ214" s="6050"/>
      <c r="KR214" s="6050"/>
      <c r="KS214" s="6050"/>
      <c r="KT214" s="6050"/>
      <c r="KU214" s="6050"/>
      <c r="KV214" s="6050"/>
      <c r="KW214" s="6050"/>
      <c r="KX214" s="6050"/>
      <c r="KY214" s="6050"/>
      <c r="KZ214" s="6050"/>
      <c r="LA214" s="6050"/>
      <c r="LB214" s="6052"/>
      <c r="LF214" s="6049"/>
      <c r="LG214" s="6050"/>
      <c r="LH214" s="6050"/>
      <c r="LI214" s="6050"/>
      <c r="LJ214" s="6050"/>
      <c r="LK214" s="6050"/>
      <c r="LL214" s="6050"/>
      <c r="LM214" s="6050"/>
      <c r="LN214" s="6050"/>
      <c r="LO214" s="6050"/>
      <c r="LP214" s="6050"/>
      <c r="LQ214" s="6050"/>
      <c r="LR214" s="6050"/>
      <c r="LS214" s="6050"/>
      <c r="LT214" s="6050"/>
      <c r="LU214" s="6050"/>
      <c r="LV214" s="6050"/>
      <c r="LW214" s="6050"/>
      <c r="LX214" s="6050"/>
      <c r="LY214" s="6050"/>
      <c r="LZ214" s="6050"/>
      <c r="MA214" s="6050"/>
      <c r="MB214" s="6050"/>
      <c r="MC214" s="6050"/>
      <c r="MD214" s="6050"/>
      <c r="ME214" s="6050"/>
      <c r="MF214" s="6050"/>
      <c r="MG214" s="6050"/>
      <c r="MH214" s="6050"/>
      <c r="MI214" s="6050"/>
      <c r="MJ214" s="6050"/>
      <c r="MK214" s="6050"/>
      <c r="ML214" s="6050"/>
      <c r="MM214" s="6050"/>
      <c r="MN214" s="6050"/>
      <c r="MO214" s="6050"/>
      <c r="MP214" s="6050"/>
      <c r="MQ214" s="6050"/>
      <c r="MR214" s="6050"/>
      <c r="MS214" s="6050"/>
      <c r="MT214" s="6050"/>
      <c r="MU214" s="6052"/>
      <c r="MY214" s="6049"/>
      <c r="MZ214" s="6050"/>
      <c r="NA214" s="6050"/>
      <c r="NB214" s="6050"/>
      <c r="NC214" s="6050"/>
      <c r="ND214" s="6050"/>
      <c r="NE214" s="6050"/>
      <c r="NF214" s="6050"/>
      <c r="NG214" s="6050"/>
      <c r="NH214" s="6050"/>
      <c r="NI214" s="6050"/>
      <c r="NJ214" s="6050"/>
      <c r="NK214" s="6050"/>
      <c r="NL214" s="6050"/>
      <c r="NM214" s="6050"/>
      <c r="NN214" s="6050"/>
      <c r="NO214" s="6050"/>
      <c r="NP214" s="6050"/>
      <c r="NQ214" s="6050"/>
      <c r="NR214" s="6050"/>
      <c r="NS214" s="6050"/>
      <c r="NT214" s="6050"/>
      <c r="NU214" s="6050"/>
      <c r="NV214" s="6050"/>
      <c r="NW214" s="6050"/>
      <c r="NX214" s="6050"/>
      <c r="NY214" s="6050"/>
      <c r="NZ214" s="6050"/>
      <c r="OA214" s="6050"/>
      <c r="OB214" s="6050"/>
      <c r="OC214" s="6050"/>
      <c r="OD214" s="6050"/>
      <c r="OE214" s="6050"/>
      <c r="OF214" s="6050"/>
      <c r="OG214" s="6050"/>
      <c r="OH214" s="6050"/>
      <c r="OI214" s="6050"/>
      <c r="OJ214" s="6050"/>
      <c r="OK214" s="6050"/>
      <c r="OL214" s="6050"/>
      <c r="OM214" s="6050"/>
      <c r="ON214" s="6052"/>
    </row>
    <row r="215" spans="3:405" s="21" customFormat="1" ht="20.100000000000001" customHeight="1" x14ac:dyDescent="0.2">
      <c r="C215" s="6053"/>
      <c r="D215" s="6783" t="str">
        <f>_Calcs!$IK$170</f>
        <v>Justeringer</v>
      </c>
      <c r="E215" s="6783"/>
      <c r="F215" s="6783"/>
      <c r="G215" s="6783"/>
      <c r="H215" s="6783"/>
      <c r="I215" s="6783"/>
      <c r="J215" s="6783"/>
      <c r="K215" s="6783"/>
      <c r="L215" s="6783"/>
      <c r="M215" s="6783"/>
      <c r="N215" s="6783"/>
      <c r="O215" s="6783"/>
      <c r="P215" s="6783"/>
      <c r="Q215" s="6783"/>
      <c r="R215" s="6783"/>
      <c r="S215" s="6783"/>
      <c r="T215" s="6783"/>
      <c r="U215" s="6783"/>
      <c r="V215" s="6783"/>
      <c r="W215" s="6783"/>
      <c r="X215" s="6783"/>
      <c r="Y215" s="6783"/>
      <c r="Z215" s="6783"/>
      <c r="AA215" s="6783"/>
      <c r="AB215" s="6783"/>
      <c r="AC215" s="6783"/>
      <c r="AD215" s="6783"/>
      <c r="AE215" s="6783"/>
      <c r="AF215" s="6783"/>
      <c r="AG215" s="6783"/>
      <c r="AH215" s="6783"/>
      <c r="AI215" s="6783"/>
      <c r="AJ215" s="6783"/>
      <c r="AK215" s="6783"/>
      <c r="AL215" s="6783"/>
      <c r="AM215" s="6783"/>
      <c r="AN215" s="6783"/>
      <c r="AO215" s="6783"/>
      <c r="AP215" s="6783"/>
      <c r="AQ215" s="6783"/>
      <c r="AR215" s="6054"/>
      <c r="AV215" s="6053"/>
      <c r="AW215" s="6783" t="str">
        <f>_Calcs!$IL$170</f>
        <v>Justeringer</v>
      </c>
      <c r="AX215" s="6783"/>
      <c r="AY215" s="6783"/>
      <c r="AZ215" s="6783"/>
      <c r="BA215" s="6783"/>
      <c r="BB215" s="6783"/>
      <c r="BC215" s="6783"/>
      <c r="BD215" s="6783"/>
      <c r="BE215" s="6783"/>
      <c r="BF215" s="6783"/>
      <c r="BG215" s="6783"/>
      <c r="BH215" s="6783"/>
      <c r="BI215" s="6783"/>
      <c r="BJ215" s="6783"/>
      <c r="BK215" s="6783"/>
      <c r="BL215" s="6783"/>
      <c r="BM215" s="6783"/>
      <c r="BN215" s="6783"/>
      <c r="BO215" s="6783"/>
      <c r="BP215" s="6783"/>
      <c r="BQ215" s="6783"/>
      <c r="BR215" s="6783"/>
      <c r="BS215" s="6783"/>
      <c r="BT215" s="6783"/>
      <c r="BU215" s="6783"/>
      <c r="BV215" s="6783"/>
      <c r="BW215" s="6783"/>
      <c r="BX215" s="6783"/>
      <c r="BY215" s="6783"/>
      <c r="BZ215" s="6783"/>
      <c r="CA215" s="6783"/>
      <c r="CB215" s="6783"/>
      <c r="CC215" s="6783"/>
      <c r="CD215" s="6783"/>
      <c r="CE215" s="6783"/>
      <c r="CF215" s="6783"/>
      <c r="CG215" s="6783"/>
      <c r="CH215" s="6783"/>
      <c r="CI215" s="6783"/>
      <c r="CJ215" s="6783"/>
      <c r="CK215" s="6054"/>
      <c r="CO215" s="6053"/>
      <c r="CP215" s="6783" t="str">
        <f>_Calcs!$IM$170</f>
        <v>Justeringer</v>
      </c>
      <c r="CQ215" s="6783"/>
      <c r="CR215" s="6783"/>
      <c r="CS215" s="6783"/>
      <c r="CT215" s="6783"/>
      <c r="CU215" s="6783"/>
      <c r="CV215" s="6783"/>
      <c r="CW215" s="6783"/>
      <c r="CX215" s="6783"/>
      <c r="CY215" s="6783"/>
      <c r="CZ215" s="6783"/>
      <c r="DA215" s="6783"/>
      <c r="DB215" s="6783"/>
      <c r="DC215" s="6783"/>
      <c r="DD215" s="6783"/>
      <c r="DE215" s="6783"/>
      <c r="DF215" s="6783"/>
      <c r="DG215" s="6783"/>
      <c r="DH215" s="6783"/>
      <c r="DI215" s="6783"/>
      <c r="DJ215" s="6783"/>
      <c r="DK215" s="6783"/>
      <c r="DL215" s="6783"/>
      <c r="DM215" s="6783"/>
      <c r="DN215" s="6783"/>
      <c r="DO215" s="6783"/>
      <c r="DP215" s="6783"/>
      <c r="DQ215" s="6783"/>
      <c r="DR215" s="6783"/>
      <c r="DS215" s="6783"/>
      <c r="DT215" s="6783"/>
      <c r="DU215" s="6783"/>
      <c r="DV215" s="6783"/>
      <c r="DW215" s="6783"/>
      <c r="DX215" s="6783"/>
      <c r="DY215" s="6783"/>
      <c r="DZ215" s="6783"/>
      <c r="EA215" s="6783"/>
      <c r="EB215" s="6783"/>
      <c r="EC215" s="6783"/>
      <c r="ED215" s="6054"/>
      <c r="EH215" s="6053"/>
      <c r="EI215" s="6783" t="str">
        <f>_Calcs!$IN$170</f>
        <v>Justeringer</v>
      </c>
      <c r="EJ215" s="6783"/>
      <c r="EK215" s="6783"/>
      <c r="EL215" s="6783"/>
      <c r="EM215" s="6783"/>
      <c r="EN215" s="6783"/>
      <c r="EO215" s="6783"/>
      <c r="EP215" s="6783"/>
      <c r="EQ215" s="6783"/>
      <c r="ER215" s="6783"/>
      <c r="ES215" s="6783"/>
      <c r="ET215" s="6783"/>
      <c r="EU215" s="6783"/>
      <c r="EV215" s="6783"/>
      <c r="EW215" s="6783"/>
      <c r="EX215" s="6783"/>
      <c r="EY215" s="6783"/>
      <c r="EZ215" s="6783"/>
      <c r="FA215" s="6783"/>
      <c r="FB215" s="6783"/>
      <c r="FC215" s="6783"/>
      <c r="FD215" s="6783"/>
      <c r="FE215" s="6783"/>
      <c r="FF215" s="6783"/>
      <c r="FG215" s="6783"/>
      <c r="FH215" s="6783"/>
      <c r="FI215" s="6783"/>
      <c r="FJ215" s="6783"/>
      <c r="FK215" s="6783"/>
      <c r="FL215" s="6783"/>
      <c r="FM215" s="6783"/>
      <c r="FN215" s="6783"/>
      <c r="FO215" s="6783"/>
      <c r="FP215" s="6783"/>
      <c r="FQ215" s="6783"/>
      <c r="FR215" s="6783"/>
      <c r="FS215" s="6783"/>
      <c r="FT215" s="6783"/>
      <c r="FU215" s="6783"/>
      <c r="FV215" s="6783"/>
      <c r="FW215" s="6054"/>
      <c r="GA215" s="6053"/>
      <c r="GB215" s="6783" t="str">
        <f>_Calcs!$IO$170</f>
        <v>Justeringer</v>
      </c>
      <c r="GC215" s="6783"/>
      <c r="GD215" s="6783"/>
      <c r="GE215" s="6783"/>
      <c r="GF215" s="6783"/>
      <c r="GG215" s="6783"/>
      <c r="GH215" s="6783"/>
      <c r="GI215" s="6783"/>
      <c r="GJ215" s="6783"/>
      <c r="GK215" s="6783"/>
      <c r="GL215" s="6783"/>
      <c r="GM215" s="6783"/>
      <c r="GN215" s="6783"/>
      <c r="GO215" s="6783"/>
      <c r="GP215" s="6783"/>
      <c r="GQ215" s="6783"/>
      <c r="GR215" s="6783"/>
      <c r="GS215" s="6783"/>
      <c r="GT215" s="6783"/>
      <c r="GU215" s="6783"/>
      <c r="GV215" s="6783"/>
      <c r="GW215" s="6783"/>
      <c r="GX215" s="6783"/>
      <c r="GY215" s="6783"/>
      <c r="GZ215" s="6783"/>
      <c r="HA215" s="6783"/>
      <c r="HB215" s="6783"/>
      <c r="HC215" s="6783"/>
      <c r="HD215" s="6783"/>
      <c r="HE215" s="6783"/>
      <c r="HF215" s="6783"/>
      <c r="HG215" s="6783"/>
      <c r="HH215" s="6783"/>
      <c r="HI215" s="6783"/>
      <c r="HJ215" s="6783"/>
      <c r="HK215" s="6783"/>
      <c r="HL215" s="6783"/>
      <c r="HM215" s="6783"/>
      <c r="HN215" s="6783"/>
      <c r="HO215" s="6783"/>
      <c r="HP215" s="6054"/>
      <c r="HT215" s="6053"/>
      <c r="HU215" s="6783" t="str">
        <f>_Calcs!$IP$170</f>
        <v>Justeringer</v>
      </c>
      <c r="HV215" s="6783"/>
      <c r="HW215" s="6783"/>
      <c r="HX215" s="6783"/>
      <c r="HY215" s="6783"/>
      <c r="HZ215" s="6783"/>
      <c r="IA215" s="6783"/>
      <c r="IB215" s="6783"/>
      <c r="IC215" s="6783"/>
      <c r="ID215" s="6783"/>
      <c r="IE215" s="6783"/>
      <c r="IF215" s="6783"/>
      <c r="IG215" s="6783"/>
      <c r="IH215" s="6783"/>
      <c r="II215" s="6783"/>
      <c r="IJ215" s="6783"/>
      <c r="IK215" s="6783"/>
      <c r="IL215" s="6783"/>
      <c r="IM215" s="6783"/>
      <c r="IN215" s="6783"/>
      <c r="IO215" s="6783"/>
      <c r="IP215" s="6783"/>
      <c r="IQ215" s="6783"/>
      <c r="IR215" s="6783"/>
      <c r="IS215" s="6783"/>
      <c r="IT215" s="6783"/>
      <c r="IU215" s="6783"/>
      <c r="IV215" s="6783"/>
      <c r="IW215" s="6783"/>
      <c r="IX215" s="6783"/>
      <c r="IY215" s="6783"/>
      <c r="IZ215" s="6783"/>
      <c r="JA215" s="6783"/>
      <c r="JB215" s="6783"/>
      <c r="JC215" s="6783"/>
      <c r="JD215" s="6783"/>
      <c r="JE215" s="6783"/>
      <c r="JF215" s="6783"/>
      <c r="JG215" s="6783"/>
      <c r="JH215" s="6783"/>
      <c r="JI215" s="6054"/>
      <c r="JM215" s="6053"/>
      <c r="JN215" s="6783" t="str">
        <f>_Calcs!$IQ$170</f>
        <v>Justeringer</v>
      </c>
      <c r="JO215" s="6783"/>
      <c r="JP215" s="6783"/>
      <c r="JQ215" s="6783"/>
      <c r="JR215" s="6783"/>
      <c r="JS215" s="6783"/>
      <c r="JT215" s="6783"/>
      <c r="JU215" s="6783"/>
      <c r="JV215" s="6783"/>
      <c r="JW215" s="6783"/>
      <c r="JX215" s="6783"/>
      <c r="JY215" s="6783"/>
      <c r="JZ215" s="6783"/>
      <c r="KA215" s="6783"/>
      <c r="KB215" s="6783"/>
      <c r="KC215" s="6783"/>
      <c r="KD215" s="6783"/>
      <c r="KE215" s="6783"/>
      <c r="KF215" s="6783"/>
      <c r="KG215" s="6783"/>
      <c r="KH215" s="6783"/>
      <c r="KI215" s="6783"/>
      <c r="KJ215" s="6783"/>
      <c r="KK215" s="6783"/>
      <c r="KL215" s="6783"/>
      <c r="KM215" s="6783"/>
      <c r="KN215" s="6783"/>
      <c r="KO215" s="6783"/>
      <c r="KP215" s="6783"/>
      <c r="KQ215" s="6783"/>
      <c r="KR215" s="6783"/>
      <c r="KS215" s="6783"/>
      <c r="KT215" s="6783"/>
      <c r="KU215" s="6783"/>
      <c r="KV215" s="6783"/>
      <c r="KW215" s="6783"/>
      <c r="KX215" s="6783"/>
      <c r="KY215" s="6783"/>
      <c r="KZ215" s="6783"/>
      <c r="LA215" s="6783"/>
      <c r="LB215" s="6054"/>
      <c r="LF215" s="6053"/>
      <c r="LG215" s="6783" t="str">
        <f>_Calcs!$IR$170</f>
        <v>Justeringer</v>
      </c>
      <c r="LH215" s="6783"/>
      <c r="LI215" s="6783"/>
      <c r="LJ215" s="6783"/>
      <c r="LK215" s="6783"/>
      <c r="LL215" s="6783"/>
      <c r="LM215" s="6783"/>
      <c r="LN215" s="6783"/>
      <c r="LO215" s="6783"/>
      <c r="LP215" s="6783"/>
      <c r="LQ215" s="6783"/>
      <c r="LR215" s="6783"/>
      <c r="LS215" s="6783"/>
      <c r="LT215" s="6783"/>
      <c r="LU215" s="6783"/>
      <c r="LV215" s="6783"/>
      <c r="LW215" s="6783"/>
      <c r="LX215" s="6783"/>
      <c r="LY215" s="6783"/>
      <c r="LZ215" s="6783"/>
      <c r="MA215" s="6783"/>
      <c r="MB215" s="6783"/>
      <c r="MC215" s="6783"/>
      <c r="MD215" s="6783"/>
      <c r="ME215" s="6783"/>
      <c r="MF215" s="6783"/>
      <c r="MG215" s="6783"/>
      <c r="MH215" s="6783"/>
      <c r="MI215" s="6783"/>
      <c r="MJ215" s="6783"/>
      <c r="MK215" s="6783"/>
      <c r="ML215" s="6783"/>
      <c r="MM215" s="6783"/>
      <c r="MN215" s="6783"/>
      <c r="MO215" s="6783"/>
      <c r="MP215" s="6783"/>
      <c r="MQ215" s="6783"/>
      <c r="MR215" s="6783"/>
      <c r="MS215" s="6783"/>
      <c r="MT215" s="6783"/>
      <c r="MU215" s="6054"/>
      <c r="MY215" s="6053"/>
      <c r="MZ215" s="6783" t="str">
        <f>_Calcs!$IS$170</f>
        <v>Justeringer</v>
      </c>
      <c r="NA215" s="6783"/>
      <c r="NB215" s="6783"/>
      <c r="NC215" s="6783"/>
      <c r="ND215" s="6783"/>
      <c r="NE215" s="6783"/>
      <c r="NF215" s="6783"/>
      <c r="NG215" s="6783"/>
      <c r="NH215" s="6783"/>
      <c r="NI215" s="6783"/>
      <c r="NJ215" s="6783"/>
      <c r="NK215" s="6783"/>
      <c r="NL215" s="6783"/>
      <c r="NM215" s="6783"/>
      <c r="NN215" s="6783"/>
      <c r="NO215" s="6783"/>
      <c r="NP215" s="6783"/>
      <c r="NQ215" s="6783"/>
      <c r="NR215" s="6783"/>
      <c r="NS215" s="6783"/>
      <c r="NT215" s="6783"/>
      <c r="NU215" s="6783"/>
      <c r="NV215" s="6783"/>
      <c r="NW215" s="6783"/>
      <c r="NX215" s="6783"/>
      <c r="NY215" s="6783"/>
      <c r="NZ215" s="6783"/>
      <c r="OA215" s="6783"/>
      <c r="OB215" s="6783"/>
      <c r="OC215" s="6783"/>
      <c r="OD215" s="6783"/>
      <c r="OE215" s="6783"/>
      <c r="OF215" s="6783"/>
      <c r="OG215" s="6783"/>
      <c r="OH215" s="6783"/>
      <c r="OI215" s="6783"/>
      <c r="OJ215" s="6783"/>
      <c r="OK215" s="6783"/>
      <c r="OL215" s="6783"/>
      <c r="OM215" s="6783"/>
      <c r="ON215" s="6054"/>
    </row>
    <row r="216" spans="3:405" ht="5.0999999999999996" customHeight="1" x14ac:dyDescent="0.2">
      <c r="C216" s="6055"/>
      <c r="D216" s="6056"/>
      <c r="E216" s="6056"/>
      <c r="F216" s="6056"/>
      <c r="G216" s="6056"/>
      <c r="H216" s="6056"/>
      <c r="I216" s="6056"/>
      <c r="J216" s="6056"/>
      <c r="K216" s="6056"/>
      <c r="L216" s="6056"/>
      <c r="M216" s="6056"/>
      <c r="N216" s="6056"/>
      <c r="O216" s="6056"/>
      <c r="P216" s="6056"/>
      <c r="Q216" s="6056"/>
      <c r="R216" s="6056"/>
      <c r="S216" s="6056"/>
      <c r="T216" s="6056"/>
      <c r="U216" s="6056"/>
      <c r="V216" s="6056"/>
      <c r="W216" s="6056"/>
      <c r="X216" s="6056"/>
      <c r="Y216" s="6056"/>
      <c r="Z216" s="6056"/>
      <c r="AA216" s="6056"/>
      <c r="AB216" s="6056"/>
      <c r="AC216" s="6056"/>
      <c r="AD216" s="6056"/>
      <c r="AE216" s="6056"/>
      <c r="AF216" s="6056"/>
      <c r="AG216" s="6056"/>
      <c r="AH216" s="6056"/>
      <c r="AI216" s="6056"/>
      <c r="AJ216" s="6056"/>
      <c r="AK216" s="6056"/>
      <c r="AL216" s="6056"/>
      <c r="AM216" s="6056"/>
      <c r="AN216" s="6056"/>
      <c r="AO216" s="6056"/>
      <c r="AP216" s="6056"/>
      <c r="AQ216" s="6056"/>
      <c r="AR216" s="6058"/>
      <c r="AV216" s="6055"/>
      <c r="AW216" s="6056"/>
      <c r="AX216" s="6056"/>
      <c r="AY216" s="6056"/>
      <c r="AZ216" s="6056"/>
      <c r="BA216" s="6056"/>
      <c r="BB216" s="6056"/>
      <c r="BC216" s="6056"/>
      <c r="BD216" s="6056"/>
      <c r="BE216" s="6056"/>
      <c r="BF216" s="6056"/>
      <c r="BG216" s="6056"/>
      <c r="BH216" s="6056"/>
      <c r="BI216" s="6056"/>
      <c r="BJ216" s="6056"/>
      <c r="BK216" s="6056"/>
      <c r="BL216" s="6056"/>
      <c r="BM216" s="6056"/>
      <c r="BN216" s="6056"/>
      <c r="BO216" s="6056"/>
      <c r="BP216" s="6056"/>
      <c r="BQ216" s="6056"/>
      <c r="BR216" s="6056"/>
      <c r="BS216" s="6056"/>
      <c r="BT216" s="6056"/>
      <c r="BU216" s="6056"/>
      <c r="BV216" s="6056"/>
      <c r="BW216" s="6056"/>
      <c r="BX216" s="6056"/>
      <c r="BY216" s="6056"/>
      <c r="BZ216" s="6056"/>
      <c r="CA216" s="6056"/>
      <c r="CB216" s="6056"/>
      <c r="CC216" s="6056"/>
      <c r="CD216" s="6056"/>
      <c r="CE216" s="6056"/>
      <c r="CF216" s="6056"/>
      <c r="CG216" s="6056"/>
      <c r="CH216" s="6056"/>
      <c r="CI216" s="6056"/>
      <c r="CJ216" s="6056"/>
      <c r="CK216" s="6058"/>
      <c r="CO216" s="6055"/>
      <c r="CP216" s="6056"/>
      <c r="CQ216" s="6056"/>
      <c r="CR216" s="6056"/>
      <c r="CS216" s="6056"/>
      <c r="CT216" s="6056"/>
      <c r="CU216" s="6056"/>
      <c r="CV216" s="6056"/>
      <c r="CW216" s="6056"/>
      <c r="CX216" s="6056"/>
      <c r="CY216" s="6056"/>
      <c r="CZ216" s="6056"/>
      <c r="DA216" s="6056"/>
      <c r="DB216" s="6056"/>
      <c r="DC216" s="6056"/>
      <c r="DD216" s="6056"/>
      <c r="DE216" s="6056"/>
      <c r="DF216" s="6056"/>
      <c r="DG216" s="6056"/>
      <c r="DH216" s="6056"/>
      <c r="DI216" s="6056"/>
      <c r="DJ216" s="6056"/>
      <c r="DK216" s="6056"/>
      <c r="DL216" s="6056"/>
      <c r="DM216" s="6056"/>
      <c r="DN216" s="6056"/>
      <c r="DO216" s="6056"/>
      <c r="DP216" s="6056"/>
      <c r="DQ216" s="6056"/>
      <c r="DR216" s="6056"/>
      <c r="DS216" s="6056"/>
      <c r="DT216" s="6056"/>
      <c r="DU216" s="6056"/>
      <c r="DV216" s="6056"/>
      <c r="DW216" s="6056"/>
      <c r="DX216" s="6056"/>
      <c r="DY216" s="6056"/>
      <c r="DZ216" s="6056"/>
      <c r="EA216" s="6056"/>
      <c r="EB216" s="6056"/>
      <c r="EC216" s="6056"/>
      <c r="ED216" s="6058"/>
      <c r="EH216" s="6055"/>
      <c r="EI216" s="6056"/>
      <c r="EJ216" s="6056"/>
      <c r="EK216" s="6056"/>
      <c r="EL216" s="6056"/>
      <c r="EM216" s="6056"/>
      <c r="EN216" s="6056"/>
      <c r="EO216" s="6056"/>
      <c r="EP216" s="6056"/>
      <c r="EQ216" s="6056"/>
      <c r="ER216" s="6056"/>
      <c r="ES216" s="6056"/>
      <c r="ET216" s="6056"/>
      <c r="EU216" s="6056"/>
      <c r="EV216" s="6056"/>
      <c r="EW216" s="6056"/>
      <c r="EX216" s="6056"/>
      <c r="EY216" s="6056"/>
      <c r="EZ216" s="6056"/>
      <c r="FA216" s="6056"/>
      <c r="FB216" s="6056"/>
      <c r="FC216" s="6056"/>
      <c r="FD216" s="6056"/>
      <c r="FE216" s="6056"/>
      <c r="FF216" s="6056"/>
      <c r="FG216" s="6056"/>
      <c r="FH216" s="6056"/>
      <c r="FI216" s="6056"/>
      <c r="FJ216" s="6056"/>
      <c r="FK216" s="6056"/>
      <c r="FL216" s="6056"/>
      <c r="FM216" s="6056"/>
      <c r="FN216" s="6056"/>
      <c r="FO216" s="6056"/>
      <c r="FP216" s="6056"/>
      <c r="FQ216" s="6056"/>
      <c r="FR216" s="6056"/>
      <c r="FS216" s="6056"/>
      <c r="FT216" s="6056"/>
      <c r="FU216" s="6056"/>
      <c r="FV216" s="6056"/>
      <c r="FW216" s="6058"/>
      <c r="GA216" s="6055"/>
      <c r="GB216" s="6056"/>
      <c r="GC216" s="6056"/>
      <c r="GD216" s="6056"/>
      <c r="GE216" s="6056"/>
      <c r="GF216" s="6056"/>
      <c r="GG216" s="6056"/>
      <c r="GH216" s="6056"/>
      <c r="GI216" s="6056"/>
      <c r="GJ216" s="6056"/>
      <c r="GK216" s="6056"/>
      <c r="GL216" s="6056"/>
      <c r="GM216" s="6056"/>
      <c r="GN216" s="6056"/>
      <c r="GO216" s="6056"/>
      <c r="GP216" s="6056"/>
      <c r="GQ216" s="6056"/>
      <c r="GR216" s="6056"/>
      <c r="GS216" s="6056"/>
      <c r="GT216" s="6056"/>
      <c r="GU216" s="6056"/>
      <c r="GV216" s="6056"/>
      <c r="GW216" s="6056"/>
      <c r="GX216" s="6056"/>
      <c r="GY216" s="6056"/>
      <c r="GZ216" s="6056"/>
      <c r="HA216" s="6056"/>
      <c r="HB216" s="6056"/>
      <c r="HC216" s="6056"/>
      <c r="HD216" s="6056"/>
      <c r="HE216" s="6056"/>
      <c r="HF216" s="6056"/>
      <c r="HG216" s="6056"/>
      <c r="HH216" s="6056"/>
      <c r="HI216" s="6056"/>
      <c r="HJ216" s="6056"/>
      <c r="HK216" s="6056"/>
      <c r="HL216" s="6056"/>
      <c r="HM216" s="6056"/>
      <c r="HN216" s="6056"/>
      <c r="HO216" s="6056"/>
      <c r="HP216" s="6058"/>
      <c r="HT216" s="6055"/>
      <c r="HU216" s="6056"/>
      <c r="HV216" s="6056"/>
      <c r="HW216" s="6056"/>
      <c r="HX216" s="6056"/>
      <c r="HY216" s="6056"/>
      <c r="HZ216" s="6056"/>
      <c r="IA216" s="6056"/>
      <c r="IB216" s="6056"/>
      <c r="IC216" s="6056"/>
      <c r="ID216" s="6056"/>
      <c r="IE216" s="6056"/>
      <c r="IF216" s="6056"/>
      <c r="IG216" s="6056"/>
      <c r="IH216" s="6056"/>
      <c r="II216" s="6056"/>
      <c r="IJ216" s="6056"/>
      <c r="IK216" s="6056"/>
      <c r="IL216" s="6056"/>
      <c r="IM216" s="6056"/>
      <c r="IN216" s="6056"/>
      <c r="IO216" s="6056"/>
      <c r="IP216" s="6056"/>
      <c r="IQ216" s="6056"/>
      <c r="IR216" s="6056"/>
      <c r="IS216" s="6056"/>
      <c r="IT216" s="6056"/>
      <c r="IU216" s="6056"/>
      <c r="IV216" s="6056"/>
      <c r="IW216" s="6056"/>
      <c r="IX216" s="6056"/>
      <c r="IY216" s="6056"/>
      <c r="IZ216" s="6056"/>
      <c r="JA216" s="6056"/>
      <c r="JB216" s="6056"/>
      <c r="JC216" s="6056"/>
      <c r="JD216" s="6056"/>
      <c r="JE216" s="6056"/>
      <c r="JF216" s="6056"/>
      <c r="JG216" s="6056"/>
      <c r="JH216" s="6056"/>
      <c r="JI216" s="6058"/>
      <c r="JM216" s="6055"/>
      <c r="JN216" s="6056"/>
      <c r="JO216" s="6056"/>
      <c r="JP216" s="6056"/>
      <c r="JQ216" s="6056"/>
      <c r="JR216" s="6056"/>
      <c r="JS216" s="6056"/>
      <c r="JT216" s="6056"/>
      <c r="JU216" s="6056"/>
      <c r="JV216" s="6056"/>
      <c r="JW216" s="6056"/>
      <c r="JX216" s="6056"/>
      <c r="JY216" s="6056"/>
      <c r="JZ216" s="6056"/>
      <c r="KA216" s="6056"/>
      <c r="KB216" s="6056"/>
      <c r="KC216" s="6056"/>
      <c r="KD216" s="6056"/>
      <c r="KE216" s="6056"/>
      <c r="KF216" s="6056"/>
      <c r="KG216" s="6056"/>
      <c r="KH216" s="6056"/>
      <c r="KI216" s="6056"/>
      <c r="KJ216" s="6056"/>
      <c r="KK216" s="6056"/>
      <c r="KL216" s="6056"/>
      <c r="KM216" s="6056"/>
      <c r="KN216" s="6056"/>
      <c r="KO216" s="6056"/>
      <c r="KP216" s="6056"/>
      <c r="KQ216" s="6056"/>
      <c r="KR216" s="6056"/>
      <c r="KS216" s="6056"/>
      <c r="KT216" s="6056"/>
      <c r="KU216" s="6056"/>
      <c r="KV216" s="6056"/>
      <c r="KW216" s="6056"/>
      <c r="KX216" s="6056"/>
      <c r="KY216" s="6056"/>
      <c r="KZ216" s="6056"/>
      <c r="LA216" s="6056"/>
      <c r="LB216" s="6058"/>
      <c r="LF216" s="6055"/>
      <c r="LG216" s="6056"/>
      <c r="LH216" s="6056"/>
      <c r="LI216" s="6056"/>
      <c r="LJ216" s="6056"/>
      <c r="LK216" s="6056"/>
      <c r="LL216" s="6056"/>
      <c r="LM216" s="6056"/>
      <c r="LN216" s="6056"/>
      <c r="LO216" s="6056"/>
      <c r="LP216" s="6056"/>
      <c r="LQ216" s="6056"/>
      <c r="LR216" s="6056"/>
      <c r="LS216" s="6056"/>
      <c r="LT216" s="6056"/>
      <c r="LU216" s="6056"/>
      <c r="LV216" s="6056"/>
      <c r="LW216" s="6056"/>
      <c r="LX216" s="6056"/>
      <c r="LY216" s="6056"/>
      <c r="LZ216" s="6056"/>
      <c r="MA216" s="6056"/>
      <c r="MB216" s="6056"/>
      <c r="MC216" s="6056"/>
      <c r="MD216" s="6056"/>
      <c r="ME216" s="6056"/>
      <c r="MF216" s="6056"/>
      <c r="MG216" s="6056"/>
      <c r="MH216" s="6056"/>
      <c r="MI216" s="6056"/>
      <c r="MJ216" s="6056"/>
      <c r="MK216" s="6056"/>
      <c r="ML216" s="6056"/>
      <c r="MM216" s="6056"/>
      <c r="MN216" s="6056"/>
      <c r="MO216" s="6056"/>
      <c r="MP216" s="6056"/>
      <c r="MQ216" s="6056"/>
      <c r="MR216" s="6056"/>
      <c r="MS216" s="6056"/>
      <c r="MT216" s="6056"/>
      <c r="MU216" s="6058"/>
      <c r="MY216" s="6055"/>
      <c r="MZ216" s="6056"/>
      <c r="NA216" s="6056"/>
      <c r="NB216" s="6056"/>
      <c r="NC216" s="6056"/>
      <c r="ND216" s="6056"/>
      <c r="NE216" s="6056"/>
      <c r="NF216" s="6056"/>
      <c r="NG216" s="6056"/>
      <c r="NH216" s="6056"/>
      <c r="NI216" s="6056"/>
      <c r="NJ216" s="6056"/>
      <c r="NK216" s="6056"/>
      <c r="NL216" s="6056"/>
      <c r="NM216" s="6056"/>
      <c r="NN216" s="6056"/>
      <c r="NO216" s="6056"/>
      <c r="NP216" s="6056"/>
      <c r="NQ216" s="6056"/>
      <c r="NR216" s="6056"/>
      <c r="NS216" s="6056"/>
      <c r="NT216" s="6056"/>
      <c r="NU216" s="6056"/>
      <c r="NV216" s="6056"/>
      <c r="NW216" s="6056"/>
      <c r="NX216" s="6056"/>
      <c r="NY216" s="6056"/>
      <c r="NZ216" s="6056"/>
      <c r="OA216" s="6056"/>
      <c r="OB216" s="6056"/>
      <c r="OC216" s="6056"/>
      <c r="OD216" s="6056"/>
      <c r="OE216" s="6056"/>
      <c r="OF216" s="6056"/>
      <c r="OG216" s="6056"/>
      <c r="OH216" s="6056"/>
      <c r="OI216" s="6056"/>
      <c r="OJ216" s="6056"/>
      <c r="OK216" s="6056"/>
      <c r="OL216" s="6056"/>
      <c r="OM216" s="6056"/>
      <c r="ON216" s="6058"/>
    </row>
    <row r="217" spans="3:405" s="6063" customFormat="1" ht="12" customHeight="1" x14ac:dyDescent="0.2">
      <c r="C217" s="6059"/>
      <c r="D217" s="6060" t="str">
        <f>_Calcs!$N$77</f>
        <v>Faktor</v>
      </c>
      <c r="E217" s="6060"/>
      <c r="F217" s="6060"/>
      <c r="G217" s="6060"/>
      <c r="H217" s="6060"/>
      <c r="I217" s="6060"/>
      <c r="J217" s="6060"/>
      <c r="K217" s="6060"/>
      <c r="L217" s="6060"/>
      <c r="M217" s="6060"/>
      <c r="N217" s="6060"/>
      <c r="O217" s="6060"/>
      <c r="P217" s="6060"/>
      <c r="Q217" s="6060"/>
      <c r="R217" s="6060"/>
      <c r="S217" s="6060"/>
      <c r="T217" s="6060"/>
      <c r="U217" s="6060"/>
      <c r="V217" s="6060"/>
      <c r="W217" s="6060"/>
      <c r="X217" s="6060"/>
      <c r="Y217" s="6060"/>
      <c r="Z217" s="6060"/>
      <c r="AA217" s="6060"/>
      <c r="AB217" s="6060"/>
      <c r="AC217" s="6060"/>
      <c r="AD217" s="6060"/>
      <c r="AE217" s="6060"/>
      <c r="AF217" s="6060"/>
      <c r="AG217" s="6060"/>
      <c r="AH217" s="6060"/>
      <c r="AI217" s="6092"/>
      <c r="AJ217" s="6092"/>
      <c r="AK217" s="6092"/>
      <c r="AL217" s="6060"/>
      <c r="AM217" s="6060" t="str">
        <f>_Calcs!$N$81</f>
        <v>Påvirkning</v>
      </c>
      <c r="AN217" s="6060"/>
      <c r="AO217" s="6060"/>
      <c r="AP217" s="6060"/>
      <c r="AQ217" s="6060"/>
      <c r="AR217" s="6062"/>
      <c r="AV217" s="6059"/>
      <c r="AW217" s="6060" t="str">
        <f>_Calcs!$N$77</f>
        <v>Faktor</v>
      </c>
      <c r="AX217" s="6060"/>
      <c r="AY217" s="6060"/>
      <c r="AZ217" s="6060"/>
      <c r="BA217" s="6060"/>
      <c r="BB217" s="6060"/>
      <c r="BC217" s="6060"/>
      <c r="BD217" s="6060"/>
      <c r="BE217" s="6060"/>
      <c r="BF217" s="6060"/>
      <c r="BG217" s="6060"/>
      <c r="BH217" s="6060"/>
      <c r="BI217" s="6060"/>
      <c r="BJ217" s="6060"/>
      <c r="BK217" s="6060"/>
      <c r="BL217" s="6060"/>
      <c r="BM217" s="6060"/>
      <c r="BN217" s="6060"/>
      <c r="BO217" s="6060"/>
      <c r="BP217" s="6060"/>
      <c r="BQ217" s="6060"/>
      <c r="BR217" s="6060"/>
      <c r="BS217" s="6060"/>
      <c r="BT217" s="6060"/>
      <c r="BU217" s="6060"/>
      <c r="BV217" s="6060"/>
      <c r="BW217" s="6060"/>
      <c r="BX217" s="6060"/>
      <c r="BY217" s="6060"/>
      <c r="BZ217" s="6060"/>
      <c r="CA217" s="6060"/>
      <c r="CB217" s="6092"/>
      <c r="CC217" s="6092"/>
      <c r="CD217" s="6092"/>
      <c r="CE217" s="6060"/>
      <c r="CF217" s="6060" t="str">
        <f>_Calcs!$N$81</f>
        <v>Påvirkning</v>
      </c>
      <c r="CG217" s="6060"/>
      <c r="CH217" s="6060"/>
      <c r="CI217" s="6060"/>
      <c r="CJ217" s="6060"/>
      <c r="CK217" s="6062"/>
      <c r="CO217" s="6059"/>
      <c r="CP217" s="6060" t="str">
        <f>_Calcs!$N$77</f>
        <v>Faktor</v>
      </c>
      <c r="CQ217" s="6060"/>
      <c r="CR217" s="6060"/>
      <c r="CS217" s="6060"/>
      <c r="CT217" s="6060"/>
      <c r="CU217" s="6060"/>
      <c r="CV217" s="6060"/>
      <c r="CW217" s="6060"/>
      <c r="CX217" s="6060"/>
      <c r="CY217" s="6060"/>
      <c r="CZ217" s="6060"/>
      <c r="DA217" s="6060"/>
      <c r="DB217" s="6060"/>
      <c r="DC217" s="6060"/>
      <c r="DD217" s="6060"/>
      <c r="DE217" s="6060"/>
      <c r="DF217" s="6060"/>
      <c r="DG217" s="6060"/>
      <c r="DH217" s="6060"/>
      <c r="DI217" s="6060"/>
      <c r="DJ217" s="6060"/>
      <c r="DK217" s="6060"/>
      <c r="DL217" s="6060"/>
      <c r="DM217" s="6060"/>
      <c r="DN217" s="6060"/>
      <c r="DO217" s="6060"/>
      <c r="DP217" s="6060"/>
      <c r="DQ217" s="6060"/>
      <c r="DR217" s="6060"/>
      <c r="DS217" s="6060"/>
      <c r="DT217" s="6060"/>
      <c r="DU217" s="6092"/>
      <c r="DV217" s="6092"/>
      <c r="DW217" s="6092"/>
      <c r="DX217" s="6060"/>
      <c r="DY217" s="6060" t="str">
        <f>_Calcs!$N$81</f>
        <v>Påvirkning</v>
      </c>
      <c r="DZ217" s="6060"/>
      <c r="EA217" s="6060"/>
      <c r="EB217" s="6060"/>
      <c r="EC217" s="6060"/>
      <c r="ED217" s="6062"/>
      <c r="EH217" s="6059"/>
      <c r="EI217" s="6060" t="str">
        <f>_Calcs!$N$77</f>
        <v>Faktor</v>
      </c>
      <c r="EJ217" s="6060"/>
      <c r="EK217" s="6060"/>
      <c r="EL217" s="6060"/>
      <c r="EM217" s="6060"/>
      <c r="EN217" s="6060"/>
      <c r="EO217" s="6060"/>
      <c r="EP217" s="6060"/>
      <c r="EQ217" s="6060"/>
      <c r="ER217" s="6060"/>
      <c r="ES217" s="6060"/>
      <c r="ET217" s="6060"/>
      <c r="EU217" s="6060"/>
      <c r="EV217" s="6060"/>
      <c r="EW217" s="6060"/>
      <c r="EX217" s="6060"/>
      <c r="EY217" s="6060"/>
      <c r="EZ217" s="6060"/>
      <c r="FA217" s="6060"/>
      <c r="FB217" s="6060"/>
      <c r="FC217" s="6060"/>
      <c r="FD217" s="6060"/>
      <c r="FE217" s="6060"/>
      <c r="FF217" s="6060"/>
      <c r="FG217" s="6060"/>
      <c r="FH217" s="6060"/>
      <c r="FI217" s="6060"/>
      <c r="FJ217" s="6060"/>
      <c r="FK217" s="6060"/>
      <c r="FL217" s="6060"/>
      <c r="FM217" s="6060"/>
      <c r="FN217" s="6092"/>
      <c r="FO217" s="6092"/>
      <c r="FP217" s="6092"/>
      <c r="FQ217" s="6060"/>
      <c r="FR217" s="6060" t="str">
        <f>_Calcs!$N$81</f>
        <v>Påvirkning</v>
      </c>
      <c r="FS217" s="6060"/>
      <c r="FT217" s="6060"/>
      <c r="FU217" s="6060"/>
      <c r="FV217" s="6060"/>
      <c r="FW217" s="6062"/>
      <c r="GA217" s="6059"/>
      <c r="GB217" s="6060" t="str">
        <f>_Calcs!$N$77</f>
        <v>Faktor</v>
      </c>
      <c r="GC217" s="6060"/>
      <c r="GD217" s="6060"/>
      <c r="GE217" s="6060"/>
      <c r="GF217" s="6060"/>
      <c r="GG217" s="6060"/>
      <c r="GH217" s="6060"/>
      <c r="GI217" s="6060"/>
      <c r="GJ217" s="6060"/>
      <c r="GK217" s="6060"/>
      <c r="GL217" s="6060"/>
      <c r="GM217" s="6060"/>
      <c r="GN217" s="6060"/>
      <c r="GO217" s="6060"/>
      <c r="GP217" s="6060"/>
      <c r="GQ217" s="6060"/>
      <c r="GR217" s="6060"/>
      <c r="GS217" s="6060"/>
      <c r="GT217" s="6060"/>
      <c r="GU217" s="6060"/>
      <c r="GV217" s="6060"/>
      <c r="GW217" s="6060"/>
      <c r="GX217" s="6060"/>
      <c r="GY217" s="6060"/>
      <c r="GZ217" s="6060"/>
      <c r="HA217" s="6060"/>
      <c r="HB217" s="6060"/>
      <c r="HC217" s="6060"/>
      <c r="HD217" s="6060"/>
      <c r="HE217" s="6060"/>
      <c r="HF217" s="6060"/>
      <c r="HG217" s="6092"/>
      <c r="HH217" s="6092"/>
      <c r="HI217" s="6092"/>
      <c r="HJ217" s="6060"/>
      <c r="HK217" s="6060" t="str">
        <f>_Calcs!$N$81</f>
        <v>Påvirkning</v>
      </c>
      <c r="HL217" s="6060"/>
      <c r="HM217" s="6060"/>
      <c r="HN217" s="6060"/>
      <c r="HO217" s="6060"/>
      <c r="HP217" s="6062"/>
      <c r="HT217" s="6059"/>
      <c r="HU217" s="6060" t="str">
        <f>_Calcs!$N$77</f>
        <v>Faktor</v>
      </c>
      <c r="HV217" s="6060"/>
      <c r="HW217" s="6060"/>
      <c r="HX217" s="6060"/>
      <c r="HY217" s="6060"/>
      <c r="HZ217" s="6060"/>
      <c r="IA217" s="6060"/>
      <c r="IB217" s="6060"/>
      <c r="IC217" s="6060"/>
      <c r="ID217" s="6060"/>
      <c r="IE217" s="6060"/>
      <c r="IF217" s="6060"/>
      <c r="IG217" s="6060"/>
      <c r="IH217" s="6060"/>
      <c r="II217" s="6060"/>
      <c r="IJ217" s="6060"/>
      <c r="IK217" s="6060"/>
      <c r="IL217" s="6060"/>
      <c r="IM217" s="6060"/>
      <c r="IN217" s="6060"/>
      <c r="IO217" s="6060"/>
      <c r="IP217" s="6060"/>
      <c r="IQ217" s="6060"/>
      <c r="IR217" s="6060"/>
      <c r="IS217" s="6060"/>
      <c r="IT217" s="6060"/>
      <c r="IU217" s="6060"/>
      <c r="IV217" s="6060"/>
      <c r="IW217" s="6060"/>
      <c r="IX217" s="6060"/>
      <c r="IY217" s="6060"/>
      <c r="IZ217" s="6092"/>
      <c r="JA217" s="6092"/>
      <c r="JB217" s="6092"/>
      <c r="JC217" s="6060"/>
      <c r="JD217" s="6060" t="str">
        <f>_Calcs!$N$81</f>
        <v>Påvirkning</v>
      </c>
      <c r="JE217" s="6060"/>
      <c r="JF217" s="6060"/>
      <c r="JG217" s="6060"/>
      <c r="JH217" s="6060"/>
      <c r="JI217" s="6062"/>
      <c r="JM217" s="6059"/>
      <c r="JN217" s="6060" t="str">
        <f>_Calcs!$N$77</f>
        <v>Faktor</v>
      </c>
      <c r="JO217" s="6060"/>
      <c r="JP217" s="6060"/>
      <c r="JQ217" s="6060"/>
      <c r="JR217" s="6060"/>
      <c r="JS217" s="6060"/>
      <c r="JT217" s="6060"/>
      <c r="JU217" s="6060"/>
      <c r="JV217" s="6060"/>
      <c r="JW217" s="6060"/>
      <c r="JX217" s="6060"/>
      <c r="JY217" s="6060"/>
      <c r="JZ217" s="6060"/>
      <c r="KA217" s="6060"/>
      <c r="KB217" s="6060"/>
      <c r="KC217" s="6060"/>
      <c r="KD217" s="6060"/>
      <c r="KE217" s="6060"/>
      <c r="KF217" s="6060"/>
      <c r="KG217" s="6060"/>
      <c r="KH217" s="6060"/>
      <c r="KI217" s="6060"/>
      <c r="KJ217" s="6060"/>
      <c r="KK217" s="6060"/>
      <c r="KL217" s="6060"/>
      <c r="KM217" s="6060"/>
      <c r="KN217" s="6060"/>
      <c r="KO217" s="6060"/>
      <c r="KP217" s="6060"/>
      <c r="KQ217" s="6060"/>
      <c r="KR217" s="6060"/>
      <c r="KS217" s="6092"/>
      <c r="KT217" s="6092"/>
      <c r="KU217" s="6092"/>
      <c r="KV217" s="6060"/>
      <c r="KW217" s="6060" t="str">
        <f>_Calcs!$N$81</f>
        <v>Påvirkning</v>
      </c>
      <c r="KX217" s="6060"/>
      <c r="KY217" s="6060"/>
      <c r="KZ217" s="6060"/>
      <c r="LA217" s="6060"/>
      <c r="LB217" s="6062"/>
      <c r="LF217" s="6059"/>
      <c r="LG217" s="6060" t="str">
        <f>_Calcs!$N$77</f>
        <v>Faktor</v>
      </c>
      <c r="LH217" s="6060"/>
      <c r="LI217" s="6060"/>
      <c r="LJ217" s="6060"/>
      <c r="LK217" s="6060"/>
      <c r="LL217" s="6060"/>
      <c r="LM217" s="6060"/>
      <c r="LN217" s="6060"/>
      <c r="LO217" s="6060"/>
      <c r="LP217" s="6060"/>
      <c r="LQ217" s="6060"/>
      <c r="LR217" s="6060"/>
      <c r="LS217" s="6060"/>
      <c r="LT217" s="6060"/>
      <c r="LU217" s="6060"/>
      <c r="LV217" s="6060"/>
      <c r="LW217" s="6060"/>
      <c r="LX217" s="6060"/>
      <c r="LY217" s="6060"/>
      <c r="LZ217" s="6060"/>
      <c r="MA217" s="6060"/>
      <c r="MB217" s="6060"/>
      <c r="MC217" s="6060"/>
      <c r="MD217" s="6060"/>
      <c r="ME217" s="6060"/>
      <c r="MF217" s="6060"/>
      <c r="MG217" s="6060"/>
      <c r="MH217" s="6060"/>
      <c r="MI217" s="6060"/>
      <c r="MJ217" s="6060"/>
      <c r="MK217" s="6060"/>
      <c r="ML217" s="6092"/>
      <c r="MM217" s="6092"/>
      <c r="MN217" s="6092"/>
      <c r="MO217" s="6060"/>
      <c r="MP217" s="6060" t="str">
        <f>_Calcs!$N$81</f>
        <v>Påvirkning</v>
      </c>
      <c r="MQ217" s="6060"/>
      <c r="MR217" s="6060"/>
      <c r="MS217" s="6060"/>
      <c r="MT217" s="6060"/>
      <c r="MU217" s="6062"/>
      <c r="MY217" s="6059"/>
      <c r="MZ217" s="6060" t="str">
        <f>_Calcs!$N$77</f>
        <v>Faktor</v>
      </c>
      <c r="NA217" s="6060"/>
      <c r="NB217" s="6060"/>
      <c r="NC217" s="6060"/>
      <c r="ND217" s="6060"/>
      <c r="NE217" s="6060"/>
      <c r="NF217" s="6060"/>
      <c r="NG217" s="6060"/>
      <c r="NH217" s="6060"/>
      <c r="NI217" s="6060"/>
      <c r="NJ217" s="6060"/>
      <c r="NK217" s="6060"/>
      <c r="NL217" s="6060"/>
      <c r="NM217" s="6060"/>
      <c r="NN217" s="6060"/>
      <c r="NO217" s="6060"/>
      <c r="NP217" s="6060"/>
      <c r="NQ217" s="6060"/>
      <c r="NR217" s="6060"/>
      <c r="NS217" s="6060"/>
      <c r="NT217" s="6060"/>
      <c r="NU217" s="6060"/>
      <c r="NV217" s="6060"/>
      <c r="NW217" s="6060"/>
      <c r="NX217" s="6060"/>
      <c r="NY217" s="6060"/>
      <c r="NZ217" s="6060"/>
      <c r="OA217" s="6060"/>
      <c r="OB217" s="6060"/>
      <c r="OC217" s="6060"/>
      <c r="OD217" s="6060"/>
      <c r="OE217" s="6092"/>
      <c r="OF217" s="6092"/>
      <c r="OG217" s="6092"/>
      <c r="OH217" s="6060"/>
      <c r="OI217" s="6060" t="str">
        <f>_Calcs!$N$81</f>
        <v>Påvirkning</v>
      </c>
      <c r="OJ217" s="6060"/>
      <c r="OK217" s="6060"/>
      <c r="OL217" s="6060"/>
      <c r="OM217" s="6060"/>
      <c r="ON217" s="6062"/>
    </row>
    <row r="218" spans="3:405" ht="5.0999999999999996" customHeight="1" thickBot="1" x14ac:dyDescent="0.25">
      <c r="C218" s="6055"/>
      <c r="D218" s="6056"/>
      <c r="E218" s="6056"/>
      <c r="F218" s="6056"/>
      <c r="G218" s="6056"/>
      <c r="H218" s="6056"/>
      <c r="I218" s="6056"/>
      <c r="J218" s="6056"/>
      <c r="K218" s="6056"/>
      <c r="L218" s="6056"/>
      <c r="M218" s="6056"/>
      <c r="N218" s="6056"/>
      <c r="O218" s="6056"/>
      <c r="P218" s="6056"/>
      <c r="Q218" s="6056"/>
      <c r="R218" s="6056"/>
      <c r="S218" s="6056"/>
      <c r="T218" s="6056"/>
      <c r="U218" s="6056"/>
      <c r="V218" s="6056"/>
      <c r="W218" s="6056"/>
      <c r="X218" s="6056"/>
      <c r="Y218" s="6056"/>
      <c r="Z218" s="6056"/>
      <c r="AA218" s="6056"/>
      <c r="AB218" s="6056"/>
      <c r="AC218" s="6056"/>
      <c r="AD218" s="6056"/>
      <c r="AE218" s="6056"/>
      <c r="AF218" s="6056"/>
      <c r="AG218" s="6056"/>
      <c r="AH218" s="6056"/>
      <c r="AI218" s="6061"/>
      <c r="AJ218" s="6061"/>
      <c r="AK218" s="6061"/>
      <c r="AL218" s="6056"/>
      <c r="AM218" s="6056"/>
      <c r="AN218" s="6056"/>
      <c r="AO218" s="6056"/>
      <c r="AP218" s="6056"/>
      <c r="AQ218" s="6056"/>
      <c r="AR218" s="6058"/>
      <c r="AV218" s="6055"/>
      <c r="AW218" s="6056"/>
      <c r="AX218" s="6056"/>
      <c r="AY218" s="6056"/>
      <c r="AZ218" s="6056"/>
      <c r="BA218" s="6056"/>
      <c r="BB218" s="6056"/>
      <c r="BC218" s="6056"/>
      <c r="BD218" s="6056"/>
      <c r="BE218" s="6056"/>
      <c r="BF218" s="6056"/>
      <c r="BG218" s="6056"/>
      <c r="BH218" s="6056"/>
      <c r="BI218" s="6056"/>
      <c r="BJ218" s="6056"/>
      <c r="BK218" s="6056"/>
      <c r="BL218" s="6056"/>
      <c r="BM218" s="6056"/>
      <c r="BN218" s="6056"/>
      <c r="BO218" s="6056"/>
      <c r="BP218" s="6056"/>
      <c r="BQ218" s="6056"/>
      <c r="BR218" s="6056"/>
      <c r="BS218" s="6056"/>
      <c r="BT218" s="6056"/>
      <c r="BU218" s="6056"/>
      <c r="BV218" s="6056"/>
      <c r="BW218" s="6056"/>
      <c r="BX218" s="6056"/>
      <c r="BY218" s="6056"/>
      <c r="BZ218" s="6056"/>
      <c r="CA218" s="6056"/>
      <c r="CB218" s="6061"/>
      <c r="CC218" s="6061"/>
      <c r="CD218" s="6061"/>
      <c r="CE218" s="6056"/>
      <c r="CF218" s="6056"/>
      <c r="CG218" s="6056"/>
      <c r="CH218" s="6056"/>
      <c r="CI218" s="6056"/>
      <c r="CJ218" s="6056"/>
      <c r="CK218" s="6058"/>
      <c r="CO218" s="6055"/>
      <c r="CP218" s="6056"/>
      <c r="CQ218" s="6056"/>
      <c r="CR218" s="6056"/>
      <c r="CS218" s="6056"/>
      <c r="CT218" s="6056"/>
      <c r="CU218" s="6056"/>
      <c r="CV218" s="6056"/>
      <c r="CW218" s="6056"/>
      <c r="CX218" s="6056"/>
      <c r="CY218" s="6056"/>
      <c r="CZ218" s="6056"/>
      <c r="DA218" s="6056"/>
      <c r="DB218" s="6056"/>
      <c r="DC218" s="6056"/>
      <c r="DD218" s="6056"/>
      <c r="DE218" s="6056"/>
      <c r="DF218" s="6056"/>
      <c r="DG218" s="6056"/>
      <c r="DH218" s="6056"/>
      <c r="DI218" s="6056"/>
      <c r="DJ218" s="6056"/>
      <c r="DK218" s="6056"/>
      <c r="DL218" s="6056"/>
      <c r="DM218" s="6056"/>
      <c r="DN218" s="6056"/>
      <c r="DO218" s="6056"/>
      <c r="DP218" s="6056"/>
      <c r="DQ218" s="6056"/>
      <c r="DR218" s="6056"/>
      <c r="DS218" s="6056"/>
      <c r="DT218" s="6056"/>
      <c r="DU218" s="6061"/>
      <c r="DV218" s="6061"/>
      <c r="DW218" s="6061"/>
      <c r="DX218" s="6056"/>
      <c r="DY218" s="6056"/>
      <c r="DZ218" s="6056"/>
      <c r="EA218" s="6056"/>
      <c r="EB218" s="6056"/>
      <c r="EC218" s="6056"/>
      <c r="ED218" s="6058"/>
      <c r="EH218" s="6055"/>
      <c r="EI218" s="6056"/>
      <c r="EJ218" s="6056"/>
      <c r="EK218" s="6056"/>
      <c r="EL218" s="6056"/>
      <c r="EM218" s="6056"/>
      <c r="EN218" s="6056"/>
      <c r="EO218" s="6056"/>
      <c r="EP218" s="6056"/>
      <c r="EQ218" s="6056"/>
      <c r="ER218" s="6056"/>
      <c r="ES218" s="6056"/>
      <c r="ET218" s="6056"/>
      <c r="EU218" s="6056"/>
      <c r="EV218" s="6056"/>
      <c r="EW218" s="6056"/>
      <c r="EX218" s="6056"/>
      <c r="EY218" s="6056"/>
      <c r="EZ218" s="6056"/>
      <c r="FA218" s="6056"/>
      <c r="FB218" s="6056"/>
      <c r="FC218" s="6056"/>
      <c r="FD218" s="6056"/>
      <c r="FE218" s="6056"/>
      <c r="FF218" s="6056"/>
      <c r="FG218" s="6056"/>
      <c r="FH218" s="6056"/>
      <c r="FI218" s="6056"/>
      <c r="FJ218" s="6056"/>
      <c r="FK218" s="6056"/>
      <c r="FL218" s="6056"/>
      <c r="FM218" s="6056"/>
      <c r="FN218" s="6061"/>
      <c r="FO218" s="6061"/>
      <c r="FP218" s="6061"/>
      <c r="FQ218" s="6056"/>
      <c r="FR218" s="6056"/>
      <c r="FS218" s="6056"/>
      <c r="FT218" s="6056"/>
      <c r="FU218" s="6056"/>
      <c r="FV218" s="6056"/>
      <c r="FW218" s="6058"/>
      <c r="GA218" s="6055"/>
      <c r="GB218" s="6056"/>
      <c r="GC218" s="6056"/>
      <c r="GD218" s="6056"/>
      <c r="GE218" s="6056"/>
      <c r="GF218" s="6056"/>
      <c r="GG218" s="6056"/>
      <c r="GH218" s="6056"/>
      <c r="GI218" s="6056"/>
      <c r="GJ218" s="6056"/>
      <c r="GK218" s="6056"/>
      <c r="GL218" s="6056"/>
      <c r="GM218" s="6056"/>
      <c r="GN218" s="6056"/>
      <c r="GO218" s="6056"/>
      <c r="GP218" s="6056"/>
      <c r="GQ218" s="6056"/>
      <c r="GR218" s="6056"/>
      <c r="GS218" s="6056"/>
      <c r="GT218" s="6056"/>
      <c r="GU218" s="6056"/>
      <c r="GV218" s="6056"/>
      <c r="GW218" s="6056"/>
      <c r="GX218" s="6056"/>
      <c r="GY218" s="6056"/>
      <c r="GZ218" s="6056"/>
      <c r="HA218" s="6056"/>
      <c r="HB218" s="6056"/>
      <c r="HC218" s="6056"/>
      <c r="HD218" s="6056"/>
      <c r="HE218" s="6056"/>
      <c r="HF218" s="6056"/>
      <c r="HG218" s="6061"/>
      <c r="HH218" s="6061"/>
      <c r="HI218" s="6061"/>
      <c r="HJ218" s="6056"/>
      <c r="HK218" s="6056"/>
      <c r="HL218" s="6056"/>
      <c r="HM218" s="6056"/>
      <c r="HN218" s="6056"/>
      <c r="HO218" s="6056"/>
      <c r="HP218" s="6058"/>
      <c r="HT218" s="6055"/>
      <c r="HU218" s="6056"/>
      <c r="HV218" s="6056"/>
      <c r="HW218" s="6056"/>
      <c r="HX218" s="6056"/>
      <c r="HY218" s="6056"/>
      <c r="HZ218" s="6056"/>
      <c r="IA218" s="6056"/>
      <c r="IB218" s="6056"/>
      <c r="IC218" s="6056"/>
      <c r="ID218" s="6056"/>
      <c r="IE218" s="6056"/>
      <c r="IF218" s="6056"/>
      <c r="IG218" s="6056"/>
      <c r="IH218" s="6056"/>
      <c r="II218" s="6056"/>
      <c r="IJ218" s="6056"/>
      <c r="IK218" s="6056"/>
      <c r="IL218" s="6056"/>
      <c r="IM218" s="6056"/>
      <c r="IN218" s="6056"/>
      <c r="IO218" s="6056"/>
      <c r="IP218" s="6056"/>
      <c r="IQ218" s="6056"/>
      <c r="IR218" s="6056"/>
      <c r="IS218" s="6056"/>
      <c r="IT218" s="6056"/>
      <c r="IU218" s="6056"/>
      <c r="IV218" s="6056"/>
      <c r="IW218" s="6056"/>
      <c r="IX218" s="6056"/>
      <c r="IY218" s="6056"/>
      <c r="IZ218" s="6061"/>
      <c r="JA218" s="6061"/>
      <c r="JB218" s="6061"/>
      <c r="JC218" s="6056"/>
      <c r="JD218" s="6056"/>
      <c r="JE218" s="6056"/>
      <c r="JF218" s="6056"/>
      <c r="JG218" s="6056"/>
      <c r="JH218" s="6056"/>
      <c r="JI218" s="6058"/>
      <c r="JM218" s="6055"/>
      <c r="JN218" s="6056"/>
      <c r="JO218" s="6056"/>
      <c r="JP218" s="6056"/>
      <c r="JQ218" s="6056"/>
      <c r="JR218" s="6056"/>
      <c r="JS218" s="6056"/>
      <c r="JT218" s="6056"/>
      <c r="JU218" s="6056"/>
      <c r="JV218" s="6056"/>
      <c r="JW218" s="6056"/>
      <c r="JX218" s="6056"/>
      <c r="JY218" s="6056"/>
      <c r="JZ218" s="6056"/>
      <c r="KA218" s="6056"/>
      <c r="KB218" s="6056"/>
      <c r="KC218" s="6056"/>
      <c r="KD218" s="6056"/>
      <c r="KE218" s="6056"/>
      <c r="KF218" s="6056"/>
      <c r="KG218" s="6056"/>
      <c r="KH218" s="6056"/>
      <c r="KI218" s="6056"/>
      <c r="KJ218" s="6056"/>
      <c r="KK218" s="6056"/>
      <c r="KL218" s="6056"/>
      <c r="KM218" s="6056"/>
      <c r="KN218" s="6056"/>
      <c r="KO218" s="6056"/>
      <c r="KP218" s="6056"/>
      <c r="KQ218" s="6056"/>
      <c r="KR218" s="6056"/>
      <c r="KS218" s="6061"/>
      <c r="KT218" s="6061"/>
      <c r="KU218" s="6061"/>
      <c r="KV218" s="6056"/>
      <c r="KW218" s="6056"/>
      <c r="KX218" s="6056"/>
      <c r="KY218" s="6056"/>
      <c r="KZ218" s="6056"/>
      <c r="LA218" s="6056"/>
      <c r="LB218" s="6058"/>
      <c r="LF218" s="6055"/>
      <c r="LG218" s="6056"/>
      <c r="LH218" s="6056"/>
      <c r="LI218" s="6056"/>
      <c r="LJ218" s="6056"/>
      <c r="LK218" s="6056"/>
      <c r="LL218" s="6056"/>
      <c r="LM218" s="6056"/>
      <c r="LN218" s="6056"/>
      <c r="LO218" s="6056"/>
      <c r="LP218" s="6056"/>
      <c r="LQ218" s="6056"/>
      <c r="LR218" s="6056"/>
      <c r="LS218" s="6056"/>
      <c r="LT218" s="6056"/>
      <c r="LU218" s="6056"/>
      <c r="LV218" s="6056"/>
      <c r="LW218" s="6056"/>
      <c r="LX218" s="6056"/>
      <c r="LY218" s="6056"/>
      <c r="LZ218" s="6056"/>
      <c r="MA218" s="6056"/>
      <c r="MB218" s="6056"/>
      <c r="MC218" s="6056"/>
      <c r="MD218" s="6056"/>
      <c r="ME218" s="6056"/>
      <c r="MF218" s="6056"/>
      <c r="MG218" s="6056"/>
      <c r="MH218" s="6056"/>
      <c r="MI218" s="6056"/>
      <c r="MJ218" s="6056"/>
      <c r="MK218" s="6056"/>
      <c r="ML218" s="6061"/>
      <c r="MM218" s="6061"/>
      <c r="MN218" s="6061"/>
      <c r="MO218" s="6056"/>
      <c r="MP218" s="6056"/>
      <c r="MQ218" s="6056"/>
      <c r="MR218" s="6056"/>
      <c r="MS218" s="6056"/>
      <c r="MT218" s="6056"/>
      <c r="MU218" s="6058"/>
      <c r="MY218" s="6055"/>
      <c r="MZ218" s="6056"/>
      <c r="NA218" s="6056"/>
      <c r="NB218" s="6056"/>
      <c r="NC218" s="6056"/>
      <c r="ND218" s="6056"/>
      <c r="NE218" s="6056"/>
      <c r="NF218" s="6056"/>
      <c r="NG218" s="6056"/>
      <c r="NH218" s="6056"/>
      <c r="NI218" s="6056"/>
      <c r="NJ218" s="6056"/>
      <c r="NK218" s="6056"/>
      <c r="NL218" s="6056"/>
      <c r="NM218" s="6056"/>
      <c r="NN218" s="6056"/>
      <c r="NO218" s="6056"/>
      <c r="NP218" s="6056"/>
      <c r="NQ218" s="6056"/>
      <c r="NR218" s="6056"/>
      <c r="NS218" s="6056"/>
      <c r="NT218" s="6056"/>
      <c r="NU218" s="6056"/>
      <c r="NV218" s="6056"/>
      <c r="NW218" s="6056"/>
      <c r="NX218" s="6056"/>
      <c r="NY218" s="6056"/>
      <c r="NZ218" s="6056"/>
      <c r="OA218" s="6056"/>
      <c r="OB218" s="6056"/>
      <c r="OC218" s="6056"/>
      <c r="OD218" s="6056"/>
      <c r="OE218" s="6061"/>
      <c r="OF218" s="6061"/>
      <c r="OG218" s="6061"/>
      <c r="OH218" s="6056"/>
      <c r="OI218" s="6056"/>
      <c r="OJ218" s="6056"/>
      <c r="OK218" s="6056"/>
      <c r="OL218" s="6056"/>
      <c r="OM218" s="6056"/>
      <c r="ON218" s="6058"/>
    </row>
    <row r="219" spans="3:405" s="6070" customFormat="1" ht="20.100000000000001" customHeight="1" thickBot="1" x14ac:dyDescent="0.25">
      <c r="C219" s="6064"/>
      <c r="D219" s="6093"/>
      <c r="E219" s="6784" t="str">
        <f>_Calcs!$IK$171</f>
        <v>Skytetidspunkt</v>
      </c>
      <c r="F219" s="6784"/>
      <c r="G219" s="6784"/>
      <c r="H219" s="6784"/>
      <c r="I219" s="6784"/>
      <c r="J219" s="6784"/>
      <c r="K219" s="6784"/>
      <c r="L219" s="6784"/>
      <c r="M219" s="6784"/>
      <c r="N219" s="6784"/>
      <c r="O219" s="6784"/>
      <c r="P219" s="6784"/>
      <c r="Q219" s="6784"/>
      <c r="R219" s="6784"/>
      <c r="S219" s="6784"/>
      <c r="T219" s="6784"/>
      <c r="U219" s="6784"/>
      <c r="V219" s="6784"/>
      <c r="W219" s="6094"/>
      <c r="X219" s="6095"/>
      <c r="Y219" s="6095"/>
      <c r="Z219" s="6095"/>
      <c r="AA219" s="6095"/>
      <c r="AB219" s="6095"/>
      <c r="AC219" s="6095"/>
      <c r="AD219" s="6095"/>
      <c r="AE219" s="6095"/>
      <c r="AF219" s="6095"/>
      <c r="AG219" s="6095"/>
      <c r="AH219" s="6095"/>
      <c r="AI219" s="6061"/>
      <c r="AJ219" s="6061"/>
      <c r="AK219" s="6061"/>
      <c r="AL219" s="6068"/>
      <c r="AM219" s="6096"/>
      <c r="AN219" s="6780" t="str">
        <f>_Calcs!$IK$172</f>
        <v>Nei</v>
      </c>
      <c r="AO219" s="6780"/>
      <c r="AP219" s="6780"/>
      <c r="AQ219" s="6097"/>
      <c r="AR219" s="6098"/>
      <c r="AV219" s="6064"/>
      <c r="AW219" s="6093"/>
      <c r="AX219" s="6784" t="str">
        <f>_Calcs!$IL$171</f>
        <v>Skytetidspunkt</v>
      </c>
      <c r="AY219" s="6784"/>
      <c r="AZ219" s="6784"/>
      <c r="BA219" s="6784"/>
      <c r="BB219" s="6784"/>
      <c r="BC219" s="6784"/>
      <c r="BD219" s="6784"/>
      <c r="BE219" s="6784"/>
      <c r="BF219" s="6784"/>
      <c r="BG219" s="6784"/>
      <c r="BH219" s="6784"/>
      <c r="BI219" s="6784"/>
      <c r="BJ219" s="6784"/>
      <c r="BK219" s="6784"/>
      <c r="BL219" s="6784"/>
      <c r="BM219" s="6784"/>
      <c r="BN219" s="6784"/>
      <c r="BO219" s="6784"/>
      <c r="BP219" s="6094"/>
      <c r="BQ219" s="6095"/>
      <c r="BR219" s="6095"/>
      <c r="BS219" s="6095"/>
      <c r="BT219" s="6095"/>
      <c r="BU219" s="6095"/>
      <c r="BV219" s="6095"/>
      <c r="BW219" s="6095"/>
      <c r="BX219" s="6095"/>
      <c r="BY219" s="6095"/>
      <c r="BZ219" s="6095"/>
      <c r="CA219" s="6095"/>
      <c r="CB219" s="6061"/>
      <c r="CC219" s="6061"/>
      <c r="CD219" s="6061"/>
      <c r="CE219" s="6068"/>
      <c r="CF219" s="6096"/>
      <c r="CG219" s="6780" t="str">
        <f>_Calcs!$IL$172</f>
        <v>Nei</v>
      </c>
      <c r="CH219" s="6780"/>
      <c r="CI219" s="6780"/>
      <c r="CJ219" s="6097"/>
      <c r="CK219" s="6098"/>
      <c r="CO219" s="6064"/>
      <c r="CP219" s="6093"/>
      <c r="CQ219" s="6784" t="str">
        <f>_Calcs!$IM$171</f>
        <v>Skytetidspunkt</v>
      </c>
      <c r="CR219" s="6784"/>
      <c r="CS219" s="6784"/>
      <c r="CT219" s="6784"/>
      <c r="CU219" s="6784"/>
      <c r="CV219" s="6784"/>
      <c r="CW219" s="6784"/>
      <c r="CX219" s="6784"/>
      <c r="CY219" s="6784"/>
      <c r="CZ219" s="6784"/>
      <c r="DA219" s="6784"/>
      <c r="DB219" s="6784"/>
      <c r="DC219" s="6784"/>
      <c r="DD219" s="6784"/>
      <c r="DE219" s="6784"/>
      <c r="DF219" s="6784"/>
      <c r="DG219" s="6784"/>
      <c r="DH219" s="6784"/>
      <c r="DI219" s="6094"/>
      <c r="DJ219" s="6095"/>
      <c r="DK219" s="6095"/>
      <c r="DL219" s="6095"/>
      <c r="DM219" s="6095"/>
      <c r="DN219" s="6095"/>
      <c r="DO219" s="6095"/>
      <c r="DP219" s="6095"/>
      <c r="DQ219" s="6095"/>
      <c r="DR219" s="6095"/>
      <c r="DS219" s="6095"/>
      <c r="DT219" s="6095"/>
      <c r="DU219" s="6061"/>
      <c r="DV219" s="6061"/>
      <c r="DW219" s="6061"/>
      <c r="DX219" s="6068"/>
      <c r="DY219" s="6096"/>
      <c r="DZ219" s="6780" t="str">
        <f>_Calcs!$IM$172</f>
        <v>Nei</v>
      </c>
      <c r="EA219" s="6780"/>
      <c r="EB219" s="6780"/>
      <c r="EC219" s="6097"/>
      <c r="ED219" s="6098"/>
      <c r="EH219" s="6064"/>
      <c r="EI219" s="6093"/>
      <c r="EJ219" s="6784" t="str">
        <f>_Calcs!$IN$171</f>
        <v>Skytetidspunkt</v>
      </c>
      <c r="EK219" s="6784"/>
      <c r="EL219" s="6784"/>
      <c r="EM219" s="6784"/>
      <c r="EN219" s="6784"/>
      <c r="EO219" s="6784"/>
      <c r="EP219" s="6784"/>
      <c r="EQ219" s="6784"/>
      <c r="ER219" s="6784"/>
      <c r="ES219" s="6784"/>
      <c r="ET219" s="6784"/>
      <c r="EU219" s="6784"/>
      <c r="EV219" s="6784"/>
      <c r="EW219" s="6784"/>
      <c r="EX219" s="6784"/>
      <c r="EY219" s="6784"/>
      <c r="EZ219" s="6784"/>
      <c r="FA219" s="6784"/>
      <c r="FB219" s="6094"/>
      <c r="FC219" s="6095"/>
      <c r="FD219" s="6095"/>
      <c r="FE219" s="6095"/>
      <c r="FF219" s="6095"/>
      <c r="FG219" s="6095"/>
      <c r="FH219" s="6095"/>
      <c r="FI219" s="6095"/>
      <c r="FJ219" s="6095"/>
      <c r="FK219" s="6095"/>
      <c r="FL219" s="6095"/>
      <c r="FM219" s="6095"/>
      <c r="FN219" s="6061"/>
      <c r="FO219" s="6061"/>
      <c r="FP219" s="6061"/>
      <c r="FQ219" s="6068"/>
      <c r="FR219" s="6096"/>
      <c r="FS219" s="6780" t="str">
        <f>_Calcs!$IN$172</f>
        <v>Nei</v>
      </c>
      <c r="FT219" s="6780"/>
      <c r="FU219" s="6780"/>
      <c r="FV219" s="6097"/>
      <c r="FW219" s="6098"/>
      <c r="GA219" s="6064"/>
      <c r="GB219" s="6093"/>
      <c r="GC219" s="6784" t="str">
        <f>_Calcs!$IO$171</f>
        <v>Skytetidspunkt</v>
      </c>
      <c r="GD219" s="6784"/>
      <c r="GE219" s="6784"/>
      <c r="GF219" s="6784"/>
      <c r="GG219" s="6784"/>
      <c r="GH219" s="6784"/>
      <c r="GI219" s="6784"/>
      <c r="GJ219" s="6784"/>
      <c r="GK219" s="6784"/>
      <c r="GL219" s="6784"/>
      <c r="GM219" s="6784"/>
      <c r="GN219" s="6784"/>
      <c r="GO219" s="6784"/>
      <c r="GP219" s="6784"/>
      <c r="GQ219" s="6784"/>
      <c r="GR219" s="6784"/>
      <c r="GS219" s="6784"/>
      <c r="GT219" s="6784"/>
      <c r="GU219" s="6094"/>
      <c r="GV219" s="6095"/>
      <c r="GW219" s="6095"/>
      <c r="GX219" s="6095"/>
      <c r="GY219" s="6095"/>
      <c r="GZ219" s="6095"/>
      <c r="HA219" s="6095"/>
      <c r="HB219" s="6095"/>
      <c r="HC219" s="6095"/>
      <c r="HD219" s="6095"/>
      <c r="HE219" s="6095"/>
      <c r="HF219" s="6095"/>
      <c r="HG219" s="6061"/>
      <c r="HH219" s="6061"/>
      <c r="HI219" s="6061"/>
      <c r="HJ219" s="6068"/>
      <c r="HK219" s="6096"/>
      <c r="HL219" s="6780" t="str">
        <f>_Calcs!$IO$172</f>
        <v>Nei</v>
      </c>
      <c r="HM219" s="6780"/>
      <c r="HN219" s="6780"/>
      <c r="HO219" s="6097"/>
      <c r="HP219" s="6098"/>
      <c r="HT219" s="6064"/>
      <c r="HU219" s="6093"/>
      <c r="HV219" s="6784" t="str">
        <f>_Calcs!$IP$171</f>
        <v>Skytetidspunkt</v>
      </c>
      <c r="HW219" s="6784"/>
      <c r="HX219" s="6784"/>
      <c r="HY219" s="6784"/>
      <c r="HZ219" s="6784"/>
      <c r="IA219" s="6784"/>
      <c r="IB219" s="6784"/>
      <c r="IC219" s="6784"/>
      <c r="ID219" s="6784"/>
      <c r="IE219" s="6784"/>
      <c r="IF219" s="6784"/>
      <c r="IG219" s="6784"/>
      <c r="IH219" s="6784"/>
      <c r="II219" s="6784"/>
      <c r="IJ219" s="6784"/>
      <c r="IK219" s="6784"/>
      <c r="IL219" s="6784"/>
      <c r="IM219" s="6784"/>
      <c r="IN219" s="6094"/>
      <c r="IO219" s="6095"/>
      <c r="IP219" s="6095"/>
      <c r="IQ219" s="6095"/>
      <c r="IR219" s="6095"/>
      <c r="IS219" s="6095"/>
      <c r="IT219" s="6095"/>
      <c r="IU219" s="6095"/>
      <c r="IV219" s="6095"/>
      <c r="IW219" s="6095"/>
      <c r="IX219" s="6095"/>
      <c r="IY219" s="6095"/>
      <c r="IZ219" s="6061"/>
      <c r="JA219" s="6061"/>
      <c r="JB219" s="6061"/>
      <c r="JC219" s="6068"/>
      <c r="JD219" s="6096"/>
      <c r="JE219" s="6780" t="str">
        <f>_Calcs!$IP$172</f>
        <v>Nei</v>
      </c>
      <c r="JF219" s="6780"/>
      <c r="JG219" s="6780"/>
      <c r="JH219" s="6097"/>
      <c r="JI219" s="6098"/>
      <c r="JM219" s="6064"/>
      <c r="JN219" s="6093"/>
      <c r="JO219" s="6784" t="str">
        <f>_Calcs!$IQ$171</f>
        <v>Skytetidspunkt</v>
      </c>
      <c r="JP219" s="6784"/>
      <c r="JQ219" s="6784"/>
      <c r="JR219" s="6784"/>
      <c r="JS219" s="6784"/>
      <c r="JT219" s="6784"/>
      <c r="JU219" s="6784"/>
      <c r="JV219" s="6784"/>
      <c r="JW219" s="6784"/>
      <c r="JX219" s="6784"/>
      <c r="JY219" s="6784"/>
      <c r="JZ219" s="6784"/>
      <c r="KA219" s="6784"/>
      <c r="KB219" s="6784"/>
      <c r="KC219" s="6784"/>
      <c r="KD219" s="6784"/>
      <c r="KE219" s="6784"/>
      <c r="KF219" s="6784"/>
      <c r="KG219" s="6094"/>
      <c r="KH219" s="6095"/>
      <c r="KI219" s="6095"/>
      <c r="KJ219" s="6095"/>
      <c r="KK219" s="6095"/>
      <c r="KL219" s="6095"/>
      <c r="KM219" s="6095"/>
      <c r="KN219" s="6095"/>
      <c r="KO219" s="6095"/>
      <c r="KP219" s="6095"/>
      <c r="KQ219" s="6095"/>
      <c r="KR219" s="6095"/>
      <c r="KS219" s="6061"/>
      <c r="KT219" s="6061"/>
      <c r="KU219" s="6061"/>
      <c r="KV219" s="6068"/>
      <c r="KW219" s="6096"/>
      <c r="KX219" s="6780" t="str">
        <f>_Calcs!$IQ$172</f>
        <v>Nei</v>
      </c>
      <c r="KY219" s="6780"/>
      <c r="KZ219" s="6780"/>
      <c r="LA219" s="6097"/>
      <c r="LB219" s="6098"/>
      <c r="LF219" s="6064"/>
      <c r="LG219" s="6093"/>
      <c r="LH219" s="6784" t="str">
        <f>_Calcs!$IR$171</f>
        <v>Skytetidspunkt</v>
      </c>
      <c r="LI219" s="6784"/>
      <c r="LJ219" s="6784"/>
      <c r="LK219" s="6784"/>
      <c r="LL219" s="6784"/>
      <c r="LM219" s="6784"/>
      <c r="LN219" s="6784"/>
      <c r="LO219" s="6784"/>
      <c r="LP219" s="6784"/>
      <c r="LQ219" s="6784"/>
      <c r="LR219" s="6784"/>
      <c r="LS219" s="6784"/>
      <c r="LT219" s="6784"/>
      <c r="LU219" s="6784"/>
      <c r="LV219" s="6784"/>
      <c r="LW219" s="6784"/>
      <c r="LX219" s="6784"/>
      <c r="LY219" s="6784"/>
      <c r="LZ219" s="6094"/>
      <c r="MA219" s="6095"/>
      <c r="MB219" s="6095"/>
      <c r="MC219" s="6095"/>
      <c r="MD219" s="6095"/>
      <c r="ME219" s="6095"/>
      <c r="MF219" s="6095"/>
      <c r="MG219" s="6095"/>
      <c r="MH219" s="6095"/>
      <c r="MI219" s="6095"/>
      <c r="MJ219" s="6095"/>
      <c r="MK219" s="6095"/>
      <c r="ML219" s="6061"/>
      <c r="MM219" s="6061"/>
      <c r="MN219" s="6061"/>
      <c r="MO219" s="6068"/>
      <c r="MP219" s="6096"/>
      <c r="MQ219" s="6780" t="str">
        <f>_Calcs!$IR$172</f>
        <v>Nei</v>
      </c>
      <c r="MR219" s="6780"/>
      <c r="MS219" s="6780"/>
      <c r="MT219" s="6097"/>
      <c r="MU219" s="6098"/>
      <c r="MY219" s="6064"/>
      <c r="MZ219" s="6093"/>
      <c r="NA219" s="6784" t="str">
        <f>_Calcs!$IS$171</f>
        <v>Skytetidspunkt</v>
      </c>
      <c r="NB219" s="6784"/>
      <c r="NC219" s="6784"/>
      <c r="ND219" s="6784"/>
      <c r="NE219" s="6784"/>
      <c r="NF219" s="6784"/>
      <c r="NG219" s="6784"/>
      <c r="NH219" s="6784"/>
      <c r="NI219" s="6784"/>
      <c r="NJ219" s="6784"/>
      <c r="NK219" s="6784"/>
      <c r="NL219" s="6784"/>
      <c r="NM219" s="6784"/>
      <c r="NN219" s="6784"/>
      <c r="NO219" s="6784"/>
      <c r="NP219" s="6784"/>
      <c r="NQ219" s="6784"/>
      <c r="NR219" s="6784"/>
      <c r="NS219" s="6094"/>
      <c r="NT219" s="6095"/>
      <c r="NU219" s="6095"/>
      <c r="NV219" s="6095"/>
      <c r="NW219" s="6095"/>
      <c r="NX219" s="6095"/>
      <c r="NY219" s="6095"/>
      <c r="NZ219" s="6095"/>
      <c r="OA219" s="6095"/>
      <c r="OB219" s="6095"/>
      <c r="OC219" s="6095"/>
      <c r="OD219" s="6095"/>
      <c r="OE219" s="6061"/>
      <c r="OF219" s="6061"/>
      <c r="OG219" s="6061"/>
      <c r="OH219" s="6068"/>
      <c r="OI219" s="6096"/>
      <c r="OJ219" s="6780" t="str">
        <f>_Calcs!$IS$172</f>
        <v>Nei</v>
      </c>
      <c r="OK219" s="6780"/>
      <c r="OL219" s="6780"/>
      <c r="OM219" s="6097"/>
      <c r="ON219" s="6098"/>
    </row>
    <row r="220" spans="3:405" ht="8.1" customHeight="1" x14ac:dyDescent="0.2">
      <c r="C220" s="6055"/>
      <c r="D220" s="6056"/>
      <c r="E220" s="6056"/>
      <c r="F220" s="6056"/>
      <c r="G220" s="6056"/>
      <c r="H220" s="6056"/>
      <c r="I220" s="6056"/>
      <c r="J220" s="6056"/>
      <c r="K220" s="6056"/>
      <c r="L220" s="6056"/>
      <c r="M220" s="6056"/>
      <c r="N220" s="6056"/>
      <c r="O220" s="6056"/>
      <c r="P220" s="6056"/>
      <c r="Q220" s="6056"/>
      <c r="R220" s="6056"/>
      <c r="S220" s="6056"/>
      <c r="T220" s="6056"/>
      <c r="U220" s="6056"/>
      <c r="V220" s="6057"/>
      <c r="W220" s="6057"/>
      <c r="X220" s="6057"/>
      <c r="Y220" s="6057"/>
      <c r="Z220" s="6057"/>
      <c r="AA220" s="6056"/>
      <c r="AB220" s="6057"/>
      <c r="AC220" s="6057"/>
      <c r="AD220" s="6057"/>
      <c r="AE220" s="6056"/>
      <c r="AF220" s="6057"/>
      <c r="AG220" s="6057"/>
      <c r="AH220" s="6057"/>
      <c r="AI220" s="6057"/>
      <c r="AJ220" s="6057"/>
      <c r="AK220" s="6056"/>
      <c r="AL220" s="6056"/>
      <c r="AM220" s="6056"/>
      <c r="AN220" s="6056"/>
      <c r="AO220" s="6056"/>
      <c r="AP220" s="6056"/>
      <c r="AQ220" s="6056"/>
      <c r="AR220" s="6058"/>
      <c r="AV220" s="6055"/>
      <c r="AW220" s="6056"/>
      <c r="AX220" s="6056"/>
      <c r="AY220" s="6056"/>
      <c r="AZ220" s="6056"/>
      <c r="BA220" s="6056"/>
      <c r="BB220" s="6056"/>
      <c r="BC220" s="6056"/>
      <c r="BD220" s="6056"/>
      <c r="BE220" s="6056"/>
      <c r="BF220" s="6056"/>
      <c r="BG220" s="6056"/>
      <c r="BH220" s="6056"/>
      <c r="BI220" s="6056"/>
      <c r="BJ220" s="6056"/>
      <c r="BK220" s="6056"/>
      <c r="BL220" s="6056"/>
      <c r="BM220" s="6056"/>
      <c r="BN220" s="6056"/>
      <c r="BO220" s="6057"/>
      <c r="BP220" s="6057"/>
      <c r="BQ220" s="6057"/>
      <c r="BR220" s="6057"/>
      <c r="BS220" s="6057"/>
      <c r="BT220" s="6056"/>
      <c r="BU220" s="6057"/>
      <c r="BV220" s="6057"/>
      <c r="BW220" s="6057"/>
      <c r="BX220" s="6056"/>
      <c r="BY220" s="6057"/>
      <c r="BZ220" s="6057"/>
      <c r="CA220" s="6057"/>
      <c r="CB220" s="6057"/>
      <c r="CC220" s="6057"/>
      <c r="CD220" s="6056"/>
      <c r="CE220" s="6056"/>
      <c r="CF220" s="6056"/>
      <c r="CG220" s="6056"/>
      <c r="CH220" s="6056"/>
      <c r="CI220" s="6056"/>
      <c r="CJ220" s="6056"/>
      <c r="CK220" s="6058"/>
      <c r="CO220" s="6055"/>
      <c r="CP220" s="6056"/>
      <c r="CQ220" s="6056"/>
      <c r="CR220" s="6056"/>
      <c r="CS220" s="6056"/>
      <c r="CT220" s="6056"/>
      <c r="CU220" s="6056"/>
      <c r="CV220" s="6056"/>
      <c r="CW220" s="6056"/>
      <c r="CX220" s="6056"/>
      <c r="CY220" s="6056"/>
      <c r="CZ220" s="6056"/>
      <c r="DA220" s="6056"/>
      <c r="DB220" s="6056"/>
      <c r="DC220" s="6056"/>
      <c r="DD220" s="6056"/>
      <c r="DE220" s="6056"/>
      <c r="DF220" s="6056"/>
      <c r="DG220" s="6056"/>
      <c r="DH220" s="6057"/>
      <c r="DI220" s="6057"/>
      <c r="DJ220" s="6057"/>
      <c r="DK220" s="6057"/>
      <c r="DL220" s="6057"/>
      <c r="DM220" s="6056"/>
      <c r="DN220" s="6057"/>
      <c r="DO220" s="6057"/>
      <c r="DP220" s="6057"/>
      <c r="DQ220" s="6056"/>
      <c r="DR220" s="6057"/>
      <c r="DS220" s="6057"/>
      <c r="DT220" s="6057"/>
      <c r="DU220" s="6057"/>
      <c r="DV220" s="6057"/>
      <c r="DW220" s="6056"/>
      <c r="DX220" s="6056"/>
      <c r="DY220" s="6056"/>
      <c r="DZ220" s="6056"/>
      <c r="EA220" s="6056"/>
      <c r="EB220" s="6056"/>
      <c r="EC220" s="6056"/>
      <c r="ED220" s="6058"/>
      <c r="EH220" s="6055"/>
      <c r="EI220" s="6056"/>
      <c r="EJ220" s="6056"/>
      <c r="EK220" s="6056"/>
      <c r="EL220" s="6056"/>
      <c r="EM220" s="6056"/>
      <c r="EN220" s="6056"/>
      <c r="EO220" s="6056"/>
      <c r="EP220" s="6056"/>
      <c r="EQ220" s="6056"/>
      <c r="ER220" s="6056"/>
      <c r="ES220" s="6056"/>
      <c r="ET220" s="6056"/>
      <c r="EU220" s="6056"/>
      <c r="EV220" s="6056"/>
      <c r="EW220" s="6056"/>
      <c r="EX220" s="6056"/>
      <c r="EY220" s="6056"/>
      <c r="EZ220" s="6056"/>
      <c r="FA220" s="6057"/>
      <c r="FB220" s="6057"/>
      <c r="FC220" s="6057"/>
      <c r="FD220" s="6057"/>
      <c r="FE220" s="6057"/>
      <c r="FF220" s="6056"/>
      <c r="FG220" s="6057"/>
      <c r="FH220" s="6057"/>
      <c r="FI220" s="6057"/>
      <c r="FJ220" s="6056"/>
      <c r="FK220" s="6057"/>
      <c r="FL220" s="6057"/>
      <c r="FM220" s="6057"/>
      <c r="FN220" s="6057"/>
      <c r="FO220" s="6057"/>
      <c r="FP220" s="6056"/>
      <c r="FQ220" s="6056"/>
      <c r="FR220" s="6056"/>
      <c r="FS220" s="6056"/>
      <c r="FT220" s="6056"/>
      <c r="FU220" s="6056"/>
      <c r="FV220" s="6056"/>
      <c r="FW220" s="6058"/>
      <c r="GA220" s="6055"/>
      <c r="GB220" s="6056"/>
      <c r="GC220" s="6056"/>
      <c r="GD220" s="6056"/>
      <c r="GE220" s="6056"/>
      <c r="GF220" s="6056"/>
      <c r="GG220" s="6056"/>
      <c r="GH220" s="6056"/>
      <c r="GI220" s="6056"/>
      <c r="GJ220" s="6056"/>
      <c r="GK220" s="6056"/>
      <c r="GL220" s="6056"/>
      <c r="GM220" s="6056"/>
      <c r="GN220" s="6056"/>
      <c r="GO220" s="6056"/>
      <c r="GP220" s="6056"/>
      <c r="GQ220" s="6056"/>
      <c r="GR220" s="6056"/>
      <c r="GS220" s="6056"/>
      <c r="GT220" s="6057"/>
      <c r="GU220" s="6057"/>
      <c r="GV220" s="6057"/>
      <c r="GW220" s="6057"/>
      <c r="GX220" s="6057"/>
      <c r="GY220" s="6056"/>
      <c r="GZ220" s="6057"/>
      <c r="HA220" s="6057"/>
      <c r="HB220" s="6057"/>
      <c r="HC220" s="6056"/>
      <c r="HD220" s="6057"/>
      <c r="HE220" s="6057"/>
      <c r="HF220" s="6057"/>
      <c r="HG220" s="6057"/>
      <c r="HH220" s="6057"/>
      <c r="HI220" s="6056"/>
      <c r="HJ220" s="6056"/>
      <c r="HK220" s="6056"/>
      <c r="HL220" s="6056"/>
      <c r="HM220" s="6056"/>
      <c r="HN220" s="6056"/>
      <c r="HO220" s="6056"/>
      <c r="HP220" s="6058"/>
      <c r="HT220" s="6055"/>
      <c r="HU220" s="6056"/>
      <c r="HV220" s="6056"/>
      <c r="HW220" s="6056"/>
      <c r="HX220" s="6056"/>
      <c r="HY220" s="6056"/>
      <c r="HZ220" s="6056"/>
      <c r="IA220" s="6056"/>
      <c r="IB220" s="6056"/>
      <c r="IC220" s="6056"/>
      <c r="ID220" s="6056"/>
      <c r="IE220" s="6056"/>
      <c r="IF220" s="6056"/>
      <c r="IG220" s="6056"/>
      <c r="IH220" s="6056"/>
      <c r="II220" s="6056"/>
      <c r="IJ220" s="6056"/>
      <c r="IK220" s="6056"/>
      <c r="IL220" s="6056"/>
      <c r="IM220" s="6057"/>
      <c r="IN220" s="6057"/>
      <c r="IO220" s="6057"/>
      <c r="IP220" s="6057"/>
      <c r="IQ220" s="6057"/>
      <c r="IR220" s="6056"/>
      <c r="IS220" s="6057"/>
      <c r="IT220" s="6057"/>
      <c r="IU220" s="6057"/>
      <c r="IV220" s="6056"/>
      <c r="IW220" s="6057"/>
      <c r="IX220" s="6057"/>
      <c r="IY220" s="6057"/>
      <c r="IZ220" s="6057"/>
      <c r="JA220" s="6057"/>
      <c r="JB220" s="6056"/>
      <c r="JC220" s="6056"/>
      <c r="JD220" s="6056"/>
      <c r="JE220" s="6056"/>
      <c r="JF220" s="6056"/>
      <c r="JG220" s="6056"/>
      <c r="JH220" s="6056"/>
      <c r="JI220" s="6058"/>
      <c r="JM220" s="6055"/>
      <c r="JN220" s="6056"/>
      <c r="JO220" s="6056"/>
      <c r="JP220" s="6056"/>
      <c r="JQ220" s="6056"/>
      <c r="JR220" s="6056"/>
      <c r="JS220" s="6056"/>
      <c r="JT220" s="6056"/>
      <c r="JU220" s="6056"/>
      <c r="JV220" s="6056"/>
      <c r="JW220" s="6056"/>
      <c r="JX220" s="6056"/>
      <c r="JY220" s="6056"/>
      <c r="JZ220" s="6056"/>
      <c r="KA220" s="6056"/>
      <c r="KB220" s="6056"/>
      <c r="KC220" s="6056"/>
      <c r="KD220" s="6056"/>
      <c r="KE220" s="6056"/>
      <c r="KF220" s="6057"/>
      <c r="KG220" s="6057"/>
      <c r="KH220" s="6057"/>
      <c r="KI220" s="6057"/>
      <c r="KJ220" s="6057"/>
      <c r="KK220" s="6056"/>
      <c r="KL220" s="6057"/>
      <c r="KM220" s="6057"/>
      <c r="KN220" s="6057"/>
      <c r="KO220" s="6056"/>
      <c r="KP220" s="6057"/>
      <c r="KQ220" s="6057"/>
      <c r="KR220" s="6057"/>
      <c r="KS220" s="6057"/>
      <c r="KT220" s="6057"/>
      <c r="KU220" s="6056"/>
      <c r="KV220" s="6056"/>
      <c r="KW220" s="6056"/>
      <c r="KX220" s="6056"/>
      <c r="KY220" s="6056"/>
      <c r="KZ220" s="6056"/>
      <c r="LA220" s="6056"/>
      <c r="LB220" s="6058"/>
      <c r="LF220" s="6055"/>
      <c r="LG220" s="6056"/>
      <c r="LH220" s="6056"/>
      <c r="LI220" s="6056"/>
      <c r="LJ220" s="6056"/>
      <c r="LK220" s="6056"/>
      <c r="LL220" s="6056"/>
      <c r="LM220" s="6056"/>
      <c r="LN220" s="6056"/>
      <c r="LO220" s="6056"/>
      <c r="LP220" s="6056"/>
      <c r="LQ220" s="6056"/>
      <c r="LR220" s="6056"/>
      <c r="LS220" s="6056"/>
      <c r="LT220" s="6056"/>
      <c r="LU220" s="6056"/>
      <c r="LV220" s="6056"/>
      <c r="LW220" s="6056"/>
      <c r="LX220" s="6056"/>
      <c r="LY220" s="6057"/>
      <c r="LZ220" s="6057"/>
      <c r="MA220" s="6057"/>
      <c r="MB220" s="6057"/>
      <c r="MC220" s="6057"/>
      <c r="MD220" s="6056"/>
      <c r="ME220" s="6057"/>
      <c r="MF220" s="6057"/>
      <c r="MG220" s="6057"/>
      <c r="MH220" s="6056"/>
      <c r="MI220" s="6057"/>
      <c r="MJ220" s="6057"/>
      <c r="MK220" s="6057"/>
      <c r="ML220" s="6057"/>
      <c r="MM220" s="6057"/>
      <c r="MN220" s="6056"/>
      <c r="MO220" s="6056"/>
      <c r="MP220" s="6056"/>
      <c r="MQ220" s="6056"/>
      <c r="MR220" s="6056"/>
      <c r="MS220" s="6056"/>
      <c r="MT220" s="6056"/>
      <c r="MU220" s="6058"/>
      <c r="MY220" s="6055"/>
      <c r="MZ220" s="6056"/>
      <c r="NA220" s="6056"/>
      <c r="NB220" s="6056"/>
      <c r="NC220" s="6056"/>
      <c r="ND220" s="6056"/>
      <c r="NE220" s="6056"/>
      <c r="NF220" s="6056"/>
      <c r="NG220" s="6056"/>
      <c r="NH220" s="6056"/>
      <c r="NI220" s="6056"/>
      <c r="NJ220" s="6056"/>
      <c r="NK220" s="6056"/>
      <c r="NL220" s="6056"/>
      <c r="NM220" s="6056"/>
      <c r="NN220" s="6056"/>
      <c r="NO220" s="6056"/>
      <c r="NP220" s="6056"/>
      <c r="NQ220" s="6056"/>
      <c r="NR220" s="6057"/>
      <c r="NS220" s="6057"/>
      <c r="NT220" s="6057"/>
      <c r="NU220" s="6057"/>
      <c r="NV220" s="6057"/>
      <c r="NW220" s="6056"/>
      <c r="NX220" s="6057"/>
      <c r="NY220" s="6057"/>
      <c r="NZ220" s="6057"/>
      <c r="OA220" s="6056"/>
      <c r="OB220" s="6057"/>
      <c r="OC220" s="6057"/>
      <c r="OD220" s="6057"/>
      <c r="OE220" s="6057"/>
      <c r="OF220" s="6057"/>
      <c r="OG220" s="6056"/>
      <c r="OH220" s="6056"/>
      <c r="OI220" s="6056"/>
      <c r="OJ220" s="6056"/>
      <c r="OK220" s="6056"/>
      <c r="OL220" s="6056"/>
      <c r="OM220" s="6056"/>
      <c r="ON220" s="6058"/>
    </row>
    <row r="221" spans="3:405" s="6075" customFormat="1" ht="12" customHeight="1" x14ac:dyDescent="0.2">
      <c r="C221" s="6071"/>
      <c r="D221" s="6060" t="str">
        <f>_Calcs!$N$80</f>
        <v>Tidjustering</v>
      </c>
      <c r="E221" s="6072"/>
      <c r="F221" s="6072"/>
      <c r="G221" s="6072"/>
      <c r="H221" s="6072"/>
      <c r="I221" s="6072"/>
      <c r="J221" s="6072"/>
      <c r="K221" s="6072"/>
      <c r="L221" s="6072"/>
      <c r="M221" s="6099"/>
      <c r="N221" s="6099"/>
      <c r="O221" s="6099"/>
      <c r="P221" s="6099"/>
      <c r="Q221" s="6099"/>
      <c r="R221" s="6099"/>
      <c r="S221" s="6099"/>
      <c r="T221" s="6099"/>
      <c r="U221" s="6072"/>
      <c r="V221" s="6072"/>
      <c r="W221" s="6072"/>
      <c r="X221" s="6072"/>
      <c r="Y221" s="6072"/>
      <c r="Z221" s="6072"/>
      <c r="AA221" s="6072"/>
      <c r="AB221" s="6072"/>
      <c r="AC221" s="6072"/>
      <c r="AD221" s="6072"/>
      <c r="AE221" s="6072"/>
      <c r="AF221" s="6072"/>
      <c r="AG221" s="6072"/>
      <c r="AH221" s="6072"/>
      <c r="AI221" s="6072"/>
      <c r="AJ221" s="6072"/>
      <c r="AK221" s="6072"/>
      <c r="AL221" s="6072"/>
      <c r="AM221" s="6072"/>
      <c r="AN221" s="6072"/>
      <c r="AO221" s="6072"/>
      <c r="AP221" s="6072"/>
      <c r="AQ221" s="6072"/>
      <c r="AR221" s="6074"/>
      <c r="AV221" s="6071"/>
      <c r="AW221" s="6060" t="str">
        <f>_Calcs!$N$80</f>
        <v>Tidjustering</v>
      </c>
      <c r="AX221" s="6072"/>
      <c r="AY221" s="6072"/>
      <c r="AZ221" s="6072"/>
      <c r="BA221" s="6072"/>
      <c r="BB221" s="6072"/>
      <c r="BC221" s="6072"/>
      <c r="BD221" s="6072"/>
      <c r="BE221" s="6072"/>
      <c r="BF221" s="6099"/>
      <c r="BG221" s="6099"/>
      <c r="BH221" s="6099"/>
      <c r="BI221" s="6099"/>
      <c r="BJ221" s="6099"/>
      <c r="BK221" s="6099"/>
      <c r="BL221" s="6099"/>
      <c r="BM221" s="6099"/>
      <c r="BN221" s="6072"/>
      <c r="BO221" s="6072"/>
      <c r="BP221" s="6072"/>
      <c r="BQ221" s="6072"/>
      <c r="BR221" s="6072"/>
      <c r="BS221" s="6072"/>
      <c r="BT221" s="6072"/>
      <c r="BU221" s="6072"/>
      <c r="BV221" s="6072"/>
      <c r="BW221" s="6072"/>
      <c r="BX221" s="6072"/>
      <c r="BY221" s="6072"/>
      <c r="BZ221" s="6072"/>
      <c r="CA221" s="6072"/>
      <c r="CB221" s="6072"/>
      <c r="CC221" s="6072"/>
      <c r="CD221" s="6072"/>
      <c r="CE221" s="6072"/>
      <c r="CF221" s="6072"/>
      <c r="CG221" s="6072"/>
      <c r="CH221" s="6072"/>
      <c r="CI221" s="6072"/>
      <c r="CJ221" s="6072"/>
      <c r="CK221" s="6074"/>
      <c r="CO221" s="6071"/>
      <c r="CP221" s="6060" t="str">
        <f>_Calcs!$N$80</f>
        <v>Tidjustering</v>
      </c>
      <c r="CQ221" s="6072"/>
      <c r="CR221" s="6072"/>
      <c r="CS221" s="6072"/>
      <c r="CT221" s="6072"/>
      <c r="CU221" s="6072"/>
      <c r="CV221" s="6072"/>
      <c r="CW221" s="6072"/>
      <c r="CX221" s="6072"/>
      <c r="CY221" s="6099"/>
      <c r="CZ221" s="6099"/>
      <c r="DA221" s="6099"/>
      <c r="DB221" s="6099"/>
      <c r="DC221" s="6099"/>
      <c r="DD221" s="6099"/>
      <c r="DE221" s="6099"/>
      <c r="DF221" s="6099"/>
      <c r="DG221" s="6072"/>
      <c r="DH221" s="6072"/>
      <c r="DI221" s="6072"/>
      <c r="DJ221" s="6072"/>
      <c r="DK221" s="6072"/>
      <c r="DL221" s="6072"/>
      <c r="DM221" s="6072"/>
      <c r="DN221" s="6072"/>
      <c r="DO221" s="6072"/>
      <c r="DP221" s="6072"/>
      <c r="DQ221" s="6072"/>
      <c r="DR221" s="6072"/>
      <c r="DS221" s="6072"/>
      <c r="DT221" s="6072"/>
      <c r="DU221" s="6072"/>
      <c r="DV221" s="6072"/>
      <c r="DW221" s="6072"/>
      <c r="DX221" s="6072"/>
      <c r="DY221" s="6072"/>
      <c r="DZ221" s="6072"/>
      <c r="EA221" s="6072"/>
      <c r="EB221" s="6072"/>
      <c r="EC221" s="6072"/>
      <c r="ED221" s="6074"/>
      <c r="EH221" s="6071"/>
      <c r="EI221" s="6060" t="str">
        <f>_Calcs!$N$80</f>
        <v>Tidjustering</v>
      </c>
      <c r="EJ221" s="6072"/>
      <c r="EK221" s="6072"/>
      <c r="EL221" s="6072"/>
      <c r="EM221" s="6072"/>
      <c r="EN221" s="6072"/>
      <c r="EO221" s="6072"/>
      <c r="EP221" s="6072"/>
      <c r="EQ221" s="6072"/>
      <c r="ER221" s="6099"/>
      <c r="ES221" s="6099"/>
      <c r="ET221" s="6099"/>
      <c r="EU221" s="6099"/>
      <c r="EV221" s="6099"/>
      <c r="EW221" s="6099"/>
      <c r="EX221" s="6099"/>
      <c r="EY221" s="6099"/>
      <c r="EZ221" s="6072"/>
      <c r="FA221" s="6072"/>
      <c r="FB221" s="6072"/>
      <c r="FC221" s="6072"/>
      <c r="FD221" s="6072"/>
      <c r="FE221" s="6072"/>
      <c r="FF221" s="6072"/>
      <c r="FG221" s="6072"/>
      <c r="FH221" s="6072"/>
      <c r="FI221" s="6072"/>
      <c r="FJ221" s="6072"/>
      <c r="FK221" s="6072"/>
      <c r="FL221" s="6072"/>
      <c r="FM221" s="6072"/>
      <c r="FN221" s="6072"/>
      <c r="FO221" s="6072"/>
      <c r="FP221" s="6072"/>
      <c r="FQ221" s="6072"/>
      <c r="FR221" s="6072"/>
      <c r="FS221" s="6072"/>
      <c r="FT221" s="6072"/>
      <c r="FU221" s="6072"/>
      <c r="FV221" s="6072"/>
      <c r="FW221" s="6074"/>
      <c r="GA221" s="6071"/>
      <c r="GB221" s="6060" t="str">
        <f>_Calcs!$N$80</f>
        <v>Tidjustering</v>
      </c>
      <c r="GC221" s="6072"/>
      <c r="GD221" s="6072"/>
      <c r="GE221" s="6072"/>
      <c r="GF221" s="6072"/>
      <c r="GG221" s="6072"/>
      <c r="GH221" s="6072"/>
      <c r="GI221" s="6072"/>
      <c r="GJ221" s="6072"/>
      <c r="GK221" s="6099"/>
      <c r="GL221" s="6099"/>
      <c r="GM221" s="6099"/>
      <c r="GN221" s="6099"/>
      <c r="GO221" s="6099"/>
      <c r="GP221" s="6099"/>
      <c r="GQ221" s="6099"/>
      <c r="GR221" s="6099"/>
      <c r="GS221" s="6072"/>
      <c r="GT221" s="6072"/>
      <c r="GU221" s="6072"/>
      <c r="GV221" s="6072"/>
      <c r="GW221" s="6072"/>
      <c r="GX221" s="6072"/>
      <c r="GY221" s="6072"/>
      <c r="GZ221" s="6072"/>
      <c r="HA221" s="6072"/>
      <c r="HB221" s="6072"/>
      <c r="HC221" s="6072"/>
      <c r="HD221" s="6072"/>
      <c r="HE221" s="6072"/>
      <c r="HF221" s="6072"/>
      <c r="HG221" s="6072"/>
      <c r="HH221" s="6072"/>
      <c r="HI221" s="6072"/>
      <c r="HJ221" s="6072"/>
      <c r="HK221" s="6072"/>
      <c r="HL221" s="6072"/>
      <c r="HM221" s="6072"/>
      <c r="HN221" s="6072"/>
      <c r="HO221" s="6072"/>
      <c r="HP221" s="6074"/>
      <c r="HT221" s="6071"/>
      <c r="HU221" s="6060" t="str">
        <f>_Calcs!$N$80</f>
        <v>Tidjustering</v>
      </c>
      <c r="HV221" s="6072"/>
      <c r="HW221" s="6072"/>
      <c r="HX221" s="6072"/>
      <c r="HY221" s="6072"/>
      <c r="HZ221" s="6072"/>
      <c r="IA221" s="6072"/>
      <c r="IB221" s="6072"/>
      <c r="IC221" s="6072"/>
      <c r="ID221" s="6099"/>
      <c r="IE221" s="6099"/>
      <c r="IF221" s="6099"/>
      <c r="IG221" s="6099"/>
      <c r="IH221" s="6099"/>
      <c r="II221" s="6099"/>
      <c r="IJ221" s="6099"/>
      <c r="IK221" s="6099"/>
      <c r="IL221" s="6072"/>
      <c r="IM221" s="6072"/>
      <c r="IN221" s="6072"/>
      <c r="IO221" s="6072"/>
      <c r="IP221" s="6072"/>
      <c r="IQ221" s="6072"/>
      <c r="IR221" s="6072"/>
      <c r="IS221" s="6072"/>
      <c r="IT221" s="6072"/>
      <c r="IU221" s="6072"/>
      <c r="IV221" s="6072"/>
      <c r="IW221" s="6072"/>
      <c r="IX221" s="6072"/>
      <c r="IY221" s="6072"/>
      <c r="IZ221" s="6072"/>
      <c r="JA221" s="6072"/>
      <c r="JB221" s="6072"/>
      <c r="JC221" s="6072"/>
      <c r="JD221" s="6072"/>
      <c r="JE221" s="6072"/>
      <c r="JF221" s="6072"/>
      <c r="JG221" s="6072"/>
      <c r="JH221" s="6072"/>
      <c r="JI221" s="6074"/>
      <c r="JM221" s="6071"/>
      <c r="JN221" s="6060" t="str">
        <f>_Calcs!$N$80</f>
        <v>Tidjustering</v>
      </c>
      <c r="JO221" s="6072"/>
      <c r="JP221" s="6072"/>
      <c r="JQ221" s="6072"/>
      <c r="JR221" s="6072"/>
      <c r="JS221" s="6072"/>
      <c r="JT221" s="6072"/>
      <c r="JU221" s="6072"/>
      <c r="JV221" s="6072"/>
      <c r="JW221" s="6099"/>
      <c r="JX221" s="6099"/>
      <c r="JY221" s="6099"/>
      <c r="JZ221" s="6099"/>
      <c r="KA221" s="6099"/>
      <c r="KB221" s="6099"/>
      <c r="KC221" s="6099"/>
      <c r="KD221" s="6099"/>
      <c r="KE221" s="6072"/>
      <c r="KF221" s="6072"/>
      <c r="KG221" s="6072"/>
      <c r="KH221" s="6072"/>
      <c r="KI221" s="6072"/>
      <c r="KJ221" s="6072"/>
      <c r="KK221" s="6072"/>
      <c r="KL221" s="6072"/>
      <c r="KM221" s="6072"/>
      <c r="KN221" s="6072"/>
      <c r="KO221" s="6072"/>
      <c r="KP221" s="6072"/>
      <c r="KQ221" s="6072"/>
      <c r="KR221" s="6072"/>
      <c r="KS221" s="6072"/>
      <c r="KT221" s="6072"/>
      <c r="KU221" s="6072"/>
      <c r="KV221" s="6072"/>
      <c r="KW221" s="6072"/>
      <c r="KX221" s="6072"/>
      <c r="KY221" s="6072"/>
      <c r="KZ221" s="6072"/>
      <c r="LA221" s="6072"/>
      <c r="LB221" s="6074"/>
      <c r="LF221" s="6071"/>
      <c r="LG221" s="6060" t="str">
        <f>_Calcs!$N$80</f>
        <v>Tidjustering</v>
      </c>
      <c r="LH221" s="6072"/>
      <c r="LI221" s="6072"/>
      <c r="LJ221" s="6072"/>
      <c r="LK221" s="6072"/>
      <c r="LL221" s="6072"/>
      <c r="LM221" s="6072"/>
      <c r="LN221" s="6072"/>
      <c r="LO221" s="6072"/>
      <c r="LP221" s="6099"/>
      <c r="LQ221" s="6099"/>
      <c r="LR221" s="6099"/>
      <c r="LS221" s="6099"/>
      <c r="LT221" s="6099"/>
      <c r="LU221" s="6099"/>
      <c r="LV221" s="6099"/>
      <c r="LW221" s="6099"/>
      <c r="LX221" s="6072"/>
      <c r="LY221" s="6072"/>
      <c r="LZ221" s="6072"/>
      <c r="MA221" s="6072"/>
      <c r="MB221" s="6072"/>
      <c r="MC221" s="6072"/>
      <c r="MD221" s="6072"/>
      <c r="ME221" s="6072"/>
      <c r="MF221" s="6072"/>
      <c r="MG221" s="6072"/>
      <c r="MH221" s="6072"/>
      <c r="MI221" s="6072"/>
      <c r="MJ221" s="6072"/>
      <c r="MK221" s="6072"/>
      <c r="ML221" s="6072"/>
      <c r="MM221" s="6072"/>
      <c r="MN221" s="6072"/>
      <c r="MO221" s="6072"/>
      <c r="MP221" s="6072"/>
      <c r="MQ221" s="6072"/>
      <c r="MR221" s="6072"/>
      <c r="MS221" s="6072"/>
      <c r="MT221" s="6072"/>
      <c r="MU221" s="6074"/>
      <c r="MY221" s="6071"/>
      <c r="MZ221" s="6060" t="str">
        <f>_Calcs!$N$80</f>
        <v>Tidjustering</v>
      </c>
      <c r="NA221" s="6072"/>
      <c r="NB221" s="6072"/>
      <c r="NC221" s="6072"/>
      <c r="ND221" s="6072"/>
      <c r="NE221" s="6072"/>
      <c r="NF221" s="6072"/>
      <c r="NG221" s="6072"/>
      <c r="NH221" s="6072"/>
      <c r="NI221" s="6099"/>
      <c r="NJ221" s="6099"/>
      <c r="NK221" s="6099"/>
      <c r="NL221" s="6099"/>
      <c r="NM221" s="6099"/>
      <c r="NN221" s="6099"/>
      <c r="NO221" s="6099"/>
      <c r="NP221" s="6099"/>
      <c r="NQ221" s="6072"/>
      <c r="NR221" s="6072"/>
      <c r="NS221" s="6072"/>
      <c r="NT221" s="6072"/>
      <c r="NU221" s="6072"/>
      <c r="NV221" s="6072"/>
      <c r="NW221" s="6072"/>
      <c r="NX221" s="6072"/>
      <c r="NY221" s="6072"/>
      <c r="NZ221" s="6072"/>
      <c r="OA221" s="6072"/>
      <c r="OB221" s="6072"/>
      <c r="OC221" s="6072"/>
      <c r="OD221" s="6072"/>
      <c r="OE221" s="6072"/>
      <c r="OF221" s="6072"/>
      <c r="OG221" s="6072"/>
      <c r="OH221" s="6072"/>
      <c r="OI221" s="6072"/>
      <c r="OJ221" s="6072"/>
      <c r="OK221" s="6072"/>
      <c r="OL221" s="6072"/>
      <c r="OM221" s="6072"/>
      <c r="ON221" s="6074"/>
    </row>
    <row r="222" spans="3:405" ht="5.0999999999999996" customHeight="1" thickBot="1" x14ac:dyDescent="0.25">
      <c r="C222" s="6055"/>
      <c r="D222" s="6056"/>
      <c r="E222" s="6056"/>
      <c r="F222" s="6056"/>
      <c r="G222" s="6056"/>
      <c r="H222" s="6056"/>
      <c r="I222" s="6056"/>
      <c r="J222" s="6056"/>
      <c r="K222" s="6056"/>
      <c r="L222" s="6056"/>
      <c r="M222" s="6100"/>
      <c r="N222" s="6100"/>
      <c r="O222" s="6100"/>
      <c r="P222" s="6100"/>
      <c r="Q222" s="6100"/>
      <c r="R222" s="6100"/>
      <c r="S222" s="6100"/>
      <c r="T222" s="6100"/>
      <c r="U222" s="6056"/>
      <c r="V222" s="6057"/>
      <c r="W222" s="6057"/>
      <c r="X222" s="6057"/>
      <c r="Y222" s="6057"/>
      <c r="Z222" s="6057"/>
      <c r="AA222" s="6056"/>
      <c r="AB222" s="6057"/>
      <c r="AC222" s="6057"/>
      <c r="AD222" s="6057"/>
      <c r="AE222" s="6056"/>
      <c r="AF222" s="6057"/>
      <c r="AG222" s="6057"/>
      <c r="AH222" s="6057"/>
      <c r="AI222" s="6057"/>
      <c r="AJ222" s="6057"/>
      <c r="AK222" s="6056"/>
      <c r="AL222" s="6056"/>
      <c r="AM222" s="6056"/>
      <c r="AN222" s="6056"/>
      <c r="AO222" s="6056"/>
      <c r="AP222" s="6056"/>
      <c r="AQ222" s="6056"/>
      <c r="AR222" s="6058"/>
      <c r="AV222" s="6055"/>
      <c r="AW222" s="6056"/>
      <c r="AX222" s="6056"/>
      <c r="AY222" s="6056"/>
      <c r="AZ222" s="6056"/>
      <c r="BA222" s="6056"/>
      <c r="BB222" s="6056"/>
      <c r="BC222" s="6056"/>
      <c r="BD222" s="6056"/>
      <c r="BE222" s="6056"/>
      <c r="BF222" s="6100"/>
      <c r="BG222" s="6100"/>
      <c r="BH222" s="6100"/>
      <c r="BI222" s="6100"/>
      <c r="BJ222" s="6100"/>
      <c r="BK222" s="6100"/>
      <c r="BL222" s="6100"/>
      <c r="BM222" s="6100"/>
      <c r="BN222" s="6056"/>
      <c r="BO222" s="6057"/>
      <c r="BP222" s="6057"/>
      <c r="BQ222" s="6057"/>
      <c r="BR222" s="6057"/>
      <c r="BS222" s="6057"/>
      <c r="BT222" s="6056"/>
      <c r="BU222" s="6057"/>
      <c r="BV222" s="6057"/>
      <c r="BW222" s="6057"/>
      <c r="BX222" s="6056"/>
      <c r="BY222" s="6057"/>
      <c r="BZ222" s="6057"/>
      <c r="CA222" s="6057"/>
      <c r="CB222" s="6057"/>
      <c r="CC222" s="6057"/>
      <c r="CD222" s="6056"/>
      <c r="CE222" s="6056"/>
      <c r="CF222" s="6056"/>
      <c r="CG222" s="6056"/>
      <c r="CH222" s="6056"/>
      <c r="CI222" s="6056"/>
      <c r="CJ222" s="6056"/>
      <c r="CK222" s="6058"/>
      <c r="CO222" s="6055"/>
      <c r="CP222" s="6056"/>
      <c r="CQ222" s="6056"/>
      <c r="CR222" s="6056"/>
      <c r="CS222" s="6056"/>
      <c r="CT222" s="6056"/>
      <c r="CU222" s="6056"/>
      <c r="CV222" s="6056"/>
      <c r="CW222" s="6056"/>
      <c r="CX222" s="6056"/>
      <c r="CY222" s="6100"/>
      <c r="CZ222" s="6100"/>
      <c r="DA222" s="6100"/>
      <c r="DB222" s="6100"/>
      <c r="DC222" s="6100"/>
      <c r="DD222" s="6100"/>
      <c r="DE222" s="6100"/>
      <c r="DF222" s="6100"/>
      <c r="DG222" s="6056"/>
      <c r="DH222" s="6057"/>
      <c r="DI222" s="6057"/>
      <c r="DJ222" s="6057"/>
      <c r="DK222" s="6057"/>
      <c r="DL222" s="6057"/>
      <c r="DM222" s="6056"/>
      <c r="DN222" s="6057"/>
      <c r="DO222" s="6057"/>
      <c r="DP222" s="6057"/>
      <c r="DQ222" s="6056"/>
      <c r="DR222" s="6057"/>
      <c r="DS222" s="6057"/>
      <c r="DT222" s="6057"/>
      <c r="DU222" s="6057"/>
      <c r="DV222" s="6057"/>
      <c r="DW222" s="6056"/>
      <c r="DX222" s="6056"/>
      <c r="DY222" s="6056"/>
      <c r="DZ222" s="6056"/>
      <c r="EA222" s="6056"/>
      <c r="EB222" s="6056"/>
      <c r="EC222" s="6056"/>
      <c r="ED222" s="6058"/>
      <c r="EH222" s="6055"/>
      <c r="EI222" s="6056"/>
      <c r="EJ222" s="6056"/>
      <c r="EK222" s="6056"/>
      <c r="EL222" s="6056"/>
      <c r="EM222" s="6056"/>
      <c r="EN222" s="6056"/>
      <c r="EO222" s="6056"/>
      <c r="EP222" s="6056"/>
      <c r="EQ222" s="6056"/>
      <c r="ER222" s="6100"/>
      <c r="ES222" s="6100"/>
      <c r="ET222" s="6100"/>
      <c r="EU222" s="6100"/>
      <c r="EV222" s="6100"/>
      <c r="EW222" s="6100"/>
      <c r="EX222" s="6100"/>
      <c r="EY222" s="6100"/>
      <c r="EZ222" s="6056"/>
      <c r="FA222" s="6057"/>
      <c r="FB222" s="6057"/>
      <c r="FC222" s="6057"/>
      <c r="FD222" s="6057"/>
      <c r="FE222" s="6057"/>
      <c r="FF222" s="6056"/>
      <c r="FG222" s="6057"/>
      <c r="FH222" s="6057"/>
      <c r="FI222" s="6057"/>
      <c r="FJ222" s="6056"/>
      <c r="FK222" s="6057"/>
      <c r="FL222" s="6057"/>
      <c r="FM222" s="6057"/>
      <c r="FN222" s="6057"/>
      <c r="FO222" s="6057"/>
      <c r="FP222" s="6056"/>
      <c r="FQ222" s="6056"/>
      <c r="FR222" s="6056"/>
      <c r="FS222" s="6056"/>
      <c r="FT222" s="6056"/>
      <c r="FU222" s="6056"/>
      <c r="FV222" s="6056"/>
      <c r="FW222" s="6058"/>
      <c r="GA222" s="6055"/>
      <c r="GB222" s="6056"/>
      <c r="GC222" s="6056"/>
      <c r="GD222" s="6056"/>
      <c r="GE222" s="6056"/>
      <c r="GF222" s="6056"/>
      <c r="GG222" s="6056"/>
      <c r="GH222" s="6056"/>
      <c r="GI222" s="6056"/>
      <c r="GJ222" s="6056"/>
      <c r="GK222" s="6100"/>
      <c r="GL222" s="6100"/>
      <c r="GM222" s="6100"/>
      <c r="GN222" s="6100"/>
      <c r="GO222" s="6100"/>
      <c r="GP222" s="6100"/>
      <c r="GQ222" s="6100"/>
      <c r="GR222" s="6100"/>
      <c r="GS222" s="6056"/>
      <c r="GT222" s="6057"/>
      <c r="GU222" s="6057"/>
      <c r="GV222" s="6057"/>
      <c r="GW222" s="6057"/>
      <c r="GX222" s="6057"/>
      <c r="GY222" s="6056"/>
      <c r="GZ222" s="6057"/>
      <c r="HA222" s="6057"/>
      <c r="HB222" s="6057"/>
      <c r="HC222" s="6056"/>
      <c r="HD222" s="6057"/>
      <c r="HE222" s="6057"/>
      <c r="HF222" s="6057"/>
      <c r="HG222" s="6057"/>
      <c r="HH222" s="6057"/>
      <c r="HI222" s="6056"/>
      <c r="HJ222" s="6056"/>
      <c r="HK222" s="6056"/>
      <c r="HL222" s="6056"/>
      <c r="HM222" s="6056"/>
      <c r="HN222" s="6056"/>
      <c r="HO222" s="6056"/>
      <c r="HP222" s="6058"/>
      <c r="HT222" s="6055"/>
      <c r="HU222" s="6056"/>
      <c r="HV222" s="6056"/>
      <c r="HW222" s="6056"/>
      <c r="HX222" s="6056"/>
      <c r="HY222" s="6056"/>
      <c r="HZ222" s="6056"/>
      <c r="IA222" s="6056"/>
      <c r="IB222" s="6056"/>
      <c r="IC222" s="6056"/>
      <c r="ID222" s="6100"/>
      <c r="IE222" s="6100"/>
      <c r="IF222" s="6100"/>
      <c r="IG222" s="6100"/>
      <c r="IH222" s="6100"/>
      <c r="II222" s="6100"/>
      <c r="IJ222" s="6100"/>
      <c r="IK222" s="6100"/>
      <c r="IL222" s="6056"/>
      <c r="IM222" s="6057"/>
      <c r="IN222" s="6057"/>
      <c r="IO222" s="6057"/>
      <c r="IP222" s="6057"/>
      <c r="IQ222" s="6057"/>
      <c r="IR222" s="6056"/>
      <c r="IS222" s="6057"/>
      <c r="IT222" s="6057"/>
      <c r="IU222" s="6057"/>
      <c r="IV222" s="6056"/>
      <c r="IW222" s="6057"/>
      <c r="IX222" s="6057"/>
      <c r="IY222" s="6057"/>
      <c r="IZ222" s="6057"/>
      <c r="JA222" s="6057"/>
      <c r="JB222" s="6056"/>
      <c r="JC222" s="6056"/>
      <c r="JD222" s="6056"/>
      <c r="JE222" s="6056"/>
      <c r="JF222" s="6056"/>
      <c r="JG222" s="6056"/>
      <c r="JH222" s="6056"/>
      <c r="JI222" s="6058"/>
      <c r="JM222" s="6055"/>
      <c r="JN222" s="6056"/>
      <c r="JO222" s="6056"/>
      <c r="JP222" s="6056"/>
      <c r="JQ222" s="6056"/>
      <c r="JR222" s="6056"/>
      <c r="JS222" s="6056"/>
      <c r="JT222" s="6056"/>
      <c r="JU222" s="6056"/>
      <c r="JV222" s="6056"/>
      <c r="JW222" s="6100"/>
      <c r="JX222" s="6100"/>
      <c r="JY222" s="6100"/>
      <c r="JZ222" s="6100"/>
      <c r="KA222" s="6100"/>
      <c r="KB222" s="6100"/>
      <c r="KC222" s="6100"/>
      <c r="KD222" s="6100"/>
      <c r="KE222" s="6056"/>
      <c r="KF222" s="6057"/>
      <c r="KG222" s="6057"/>
      <c r="KH222" s="6057"/>
      <c r="KI222" s="6057"/>
      <c r="KJ222" s="6057"/>
      <c r="KK222" s="6056"/>
      <c r="KL222" s="6057"/>
      <c r="KM222" s="6057"/>
      <c r="KN222" s="6057"/>
      <c r="KO222" s="6056"/>
      <c r="KP222" s="6057"/>
      <c r="KQ222" s="6057"/>
      <c r="KR222" s="6057"/>
      <c r="KS222" s="6057"/>
      <c r="KT222" s="6057"/>
      <c r="KU222" s="6056"/>
      <c r="KV222" s="6056"/>
      <c r="KW222" s="6056"/>
      <c r="KX222" s="6056"/>
      <c r="KY222" s="6056"/>
      <c r="KZ222" s="6056"/>
      <c r="LA222" s="6056"/>
      <c r="LB222" s="6058"/>
      <c r="LF222" s="6055"/>
      <c r="LG222" s="6056"/>
      <c r="LH222" s="6056"/>
      <c r="LI222" s="6056"/>
      <c r="LJ222" s="6056"/>
      <c r="LK222" s="6056"/>
      <c r="LL222" s="6056"/>
      <c r="LM222" s="6056"/>
      <c r="LN222" s="6056"/>
      <c r="LO222" s="6056"/>
      <c r="LP222" s="6100"/>
      <c r="LQ222" s="6100"/>
      <c r="LR222" s="6100"/>
      <c r="LS222" s="6100"/>
      <c r="LT222" s="6100"/>
      <c r="LU222" s="6100"/>
      <c r="LV222" s="6100"/>
      <c r="LW222" s="6100"/>
      <c r="LX222" s="6056"/>
      <c r="LY222" s="6057"/>
      <c r="LZ222" s="6057"/>
      <c r="MA222" s="6057"/>
      <c r="MB222" s="6057"/>
      <c r="MC222" s="6057"/>
      <c r="MD222" s="6056"/>
      <c r="ME222" s="6057"/>
      <c r="MF222" s="6057"/>
      <c r="MG222" s="6057"/>
      <c r="MH222" s="6056"/>
      <c r="MI222" s="6057"/>
      <c r="MJ222" s="6057"/>
      <c r="MK222" s="6057"/>
      <c r="ML222" s="6057"/>
      <c r="MM222" s="6057"/>
      <c r="MN222" s="6056"/>
      <c r="MO222" s="6056"/>
      <c r="MP222" s="6056"/>
      <c r="MQ222" s="6056"/>
      <c r="MR222" s="6056"/>
      <c r="MS222" s="6056"/>
      <c r="MT222" s="6056"/>
      <c r="MU222" s="6058"/>
      <c r="MY222" s="6055"/>
      <c r="MZ222" s="6056"/>
      <c r="NA222" s="6056"/>
      <c r="NB222" s="6056"/>
      <c r="NC222" s="6056"/>
      <c r="ND222" s="6056"/>
      <c r="NE222" s="6056"/>
      <c r="NF222" s="6056"/>
      <c r="NG222" s="6056"/>
      <c r="NH222" s="6056"/>
      <c r="NI222" s="6100"/>
      <c r="NJ222" s="6100"/>
      <c r="NK222" s="6100"/>
      <c r="NL222" s="6100"/>
      <c r="NM222" s="6100"/>
      <c r="NN222" s="6100"/>
      <c r="NO222" s="6100"/>
      <c r="NP222" s="6100"/>
      <c r="NQ222" s="6056"/>
      <c r="NR222" s="6057"/>
      <c r="NS222" s="6057"/>
      <c r="NT222" s="6057"/>
      <c r="NU222" s="6057"/>
      <c r="NV222" s="6057"/>
      <c r="NW222" s="6056"/>
      <c r="NX222" s="6057"/>
      <c r="NY222" s="6057"/>
      <c r="NZ222" s="6057"/>
      <c r="OA222" s="6056"/>
      <c r="OB222" s="6057"/>
      <c r="OC222" s="6057"/>
      <c r="OD222" s="6057"/>
      <c r="OE222" s="6057"/>
      <c r="OF222" s="6057"/>
      <c r="OG222" s="6056"/>
      <c r="OH222" s="6056"/>
      <c r="OI222" s="6056"/>
      <c r="OJ222" s="6056"/>
      <c r="OK222" s="6056"/>
      <c r="OL222" s="6056"/>
      <c r="OM222" s="6056"/>
      <c r="ON222" s="6058"/>
    </row>
    <row r="223" spans="3:405" s="6070" customFormat="1" ht="20.100000000000001" customHeight="1" thickBot="1" x14ac:dyDescent="0.25">
      <c r="C223" s="6064"/>
      <c r="D223" s="6076"/>
      <c r="E223" s="6781" t="str">
        <f>_Calcs!$IK$173</f>
        <v/>
      </c>
      <c r="F223" s="6781"/>
      <c r="G223" s="6781"/>
      <c r="H223" s="6781"/>
      <c r="I223" s="6781"/>
      <c r="J223" s="6781"/>
      <c r="K223" s="6080"/>
      <c r="L223" s="6101"/>
      <c r="M223" s="6101"/>
      <c r="N223" s="6101"/>
      <c r="O223" s="6101"/>
      <c r="P223" s="6101"/>
      <c r="Q223" s="6101"/>
      <c r="R223" s="6101"/>
      <c r="S223" s="6101"/>
      <c r="T223" s="6101"/>
      <c r="U223" s="6068"/>
      <c r="V223" s="6067"/>
      <c r="W223" s="6067"/>
      <c r="X223" s="6067"/>
      <c r="Y223" s="6067"/>
      <c r="Z223" s="6067"/>
      <c r="AA223" s="6068"/>
      <c r="AB223" s="6067"/>
      <c r="AC223" s="6067"/>
      <c r="AD223" s="6067"/>
      <c r="AE223" s="6068"/>
      <c r="AF223" s="6067"/>
      <c r="AG223" s="6067"/>
      <c r="AH223" s="6067"/>
      <c r="AI223" s="6067"/>
      <c r="AJ223" s="6067"/>
      <c r="AK223" s="6068"/>
      <c r="AL223" s="6068"/>
      <c r="AM223" s="6068"/>
      <c r="AN223" s="6068"/>
      <c r="AO223" s="6068"/>
      <c r="AP223" s="6068"/>
      <c r="AQ223" s="6068"/>
      <c r="AR223" s="6098"/>
      <c r="AV223" s="6064"/>
      <c r="AW223" s="6076"/>
      <c r="AX223" s="6781" t="str">
        <f>_Calcs!$IL$173</f>
        <v/>
      </c>
      <c r="AY223" s="6781"/>
      <c r="AZ223" s="6781"/>
      <c r="BA223" s="6781"/>
      <c r="BB223" s="6781"/>
      <c r="BC223" s="6781"/>
      <c r="BD223" s="6080"/>
      <c r="BE223" s="6101"/>
      <c r="BF223" s="6101"/>
      <c r="BG223" s="6101"/>
      <c r="BH223" s="6101"/>
      <c r="BI223" s="6101"/>
      <c r="BJ223" s="6101"/>
      <c r="BK223" s="6101"/>
      <c r="BL223" s="6101"/>
      <c r="BM223" s="6101"/>
      <c r="BN223" s="6068"/>
      <c r="BO223" s="6067"/>
      <c r="BP223" s="6067"/>
      <c r="BQ223" s="6067"/>
      <c r="BR223" s="6067"/>
      <c r="BS223" s="6067"/>
      <c r="BT223" s="6068"/>
      <c r="BU223" s="6067"/>
      <c r="BV223" s="6067"/>
      <c r="BW223" s="6067"/>
      <c r="BX223" s="6068"/>
      <c r="BY223" s="6067"/>
      <c r="BZ223" s="6067"/>
      <c r="CA223" s="6067"/>
      <c r="CB223" s="6067"/>
      <c r="CC223" s="6067"/>
      <c r="CD223" s="6068"/>
      <c r="CE223" s="6068"/>
      <c r="CF223" s="6068"/>
      <c r="CG223" s="6068"/>
      <c r="CH223" s="6068"/>
      <c r="CI223" s="6068"/>
      <c r="CJ223" s="6068"/>
      <c r="CK223" s="6098"/>
      <c r="CO223" s="6064"/>
      <c r="CP223" s="6076"/>
      <c r="CQ223" s="6781" t="str">
        <f>_Calcs!$IM$173</f>
        <v/>
      </c>
      <c r="CR223" s="6781"/>
      <c r="CS223" s="6781"/>
      <c r="CT223" s="6781"/>
      <c r="CU223" s="6781"/>
      <c r="CV223" s="6781"/>
      <c r="CW223" s="6080"/>
      <c r="CX223" s="6101"/>
      <c r="CY223" s="6101"/>
      <c r="CZ223" s="6101"/>
      <c r="DA223" s="6101"/>
      <c r="DB223" s="6101"/>
      <c r="DC223" s="6101"/>
      <c r="DD223" s="6101"/>
      <c r="DE223" s="6101"/>
      <c r="DF223" s="6101"/>
      <c r="DG223" s="6068"/>
      <c r="DH223" s="6067"/>
      <c r="DI223" s="6067"/>
      <c r="DJ223" s="6067"/>
      <c r="DK223" s="6067"/>
      <c r="DL223" s="6067"/>
      <c r="DM223" s="6068"/>
      <c r="DN223" s="6067"/>
      <c r="DO223" s="6067"/>
      <c r="DP223" s="6067"/>
      <c r="DQ223" s="6068"/>
      <c r="DR223" s="6067"/>
      <c r="DS223" s="6067"/>
      <c r="DT223" s="6067"/>
      <c r="DU223" s="6067"/>
      <c r="DV223" s="6067"/>
      <c r="DW223" s="6068"/>
      <c r="DX223" s="6068"/>
      <c r="DY223" s="6068"/>
      <c r="DZ223" s="6068"/>
      <c r="EA223" s="6068"/>
      <c r="EB223" s="6068"/>
      <c r="EC223" s="6068"/>
      <c r="ED223" s="6098"/>
      <c r="EH223" s="6064"/>
      <c r="EI223" s="6076"/>
      <c r="EJ223" s="6781" t="str">
        <f>_Calcs!$IN$173</f>
        <v/>
      </c>
      <c r="EK223" s="6781"/>
      <c r="EL223" s="6781"/>
      <c r="EM223" s="6781"/>
      <c r="EN223" s="6781"/>
      <c r="EO223" s="6781"/>
      <c r="EP223" s="6080"/>
      <c r="EQ223" s="6101"/>
      <c r="ER223" s="6101"/>
      <c r="ES223" s="6101"/>
      <c r="ET223" s="6101"/>
      <c r="EU223" s="6101"/>
      <c r="EV223" s="6101"/>
      <c r="EW223" s="6101"/>
      <c r="EX223" s="6101"/>
      <c r="EY223" s="6101"/>
      <c r="EZ223" s="6068"/>
      <c r="FA223" s="6067"/>
      <c r="FB223" s="6067"/>
      <c r="FC223" s="6067"/>
      <c r="FD223" s="6067"/>
      <c r="FE223" s="6067"/>
      <c r="FF223" s="6068"/>
      <c r="FG223" s="6067"/>
      <c r="FH223" s="6067"/>
      <c r="FI223" s="6067"/>
      <c r="FJ223" s="6068"/>
      <c r="FK223" s="6067"/>
      <c r="FL223" s="6067"/>
      <c r="FM223" s="6067"/>
      <c r="FN223" s="6067"/>
      <c r="FO223" s="6067"/>
      <c r="FP223" s="6068"/>
      <c r="FQ223" s="6068"/>
      <c r="FR223" s="6068"/>
      <c r="FS223" s="6068"/>
      <c r="FT223" s="6068"/>
      <c r="FU223" s="6068"/>
      <c r="FV223" s="6068"/>
      <c r="FW223" s="6098"/>
      <c r="GA223" s="6064"/>
      <c r="GB223" s="6076"/>
      <c r="GC223" s="6781" t="str">
        <f>_Calcs!$IO$173</f>
        <v/>
      </c>
      <c r="GD223" s="6781"/>
      <c r="GE223" s="6781"/>
      <c r="GF223" s="6781"/>
      <c r="GG223" s="6781"/>
      <c r="GH223" s="6781"/>
      <c r="GI223" s="6080"/>
      <c r="GJ223" s="6101"/>
      <c r="GK223" s="6101"/>
      <c r="GL223" s="6101"/>
      <c r="GM223" s="6101"/>
      <c r="GN223" s="6101"/>
      <c r="GO223" s="6101"/>
      <c r="GP223" s="6101"/>
      <c r="GQ223" s="6101"/>
      <c r="GR223" s="6101"/>
      <c r="GS223" s="6068"/>
      <c r="GT223" s="6067"/>
      <c r="GU223" s="6067"/>
      <c r="GV223" s="6067"/>
      <c r="GW223" s="6067"/>
      <c r="GX223" s="6067"/>
      <c r="GY223" s="6068"/>
      <c r="GZ223" s="6067"/>
      <c r="HA223" s="6067"/>
      <c r="HB223" s="6067"/>
      <c r="HC223" s="6068"/>
      <c r="HD223" s="6067"/>
      <c r="HE223" s="6067"/>
      <c r="HF223" s="6067"/>
      <c r="HG223" s="6067"/>
      <c r="HH223" s="6067"/>
      <c r="HI223" s="6068"/>
      <c r="HJ223" s="6068"/>
      <c r="HK223" s="6068"/>
      <c r="HL223" s="6068"/>
      <c r="HM223" s="6068"/>
      <c r="HN223" s="6068"/>
      <c r="HO223" s="6068"/>
      <c r="HP223" s="6098"/>
      <c r="HT223" s="6064"/>
      <c r="HU223" s="6076"/>
      <c r="HV223" s="6781" t="str">
        <f>_Calcs!$IP$173</f>
        <v/>
      </c>
      <c r="HW223" s="6781"/>
      <c r="HX223" s="6781"/>
      <c r="HY223" s="6781"/>
      <c r="HZ223" s="6781"/>
      <c r="IA223" s="6781"/>
      <c r="IB223" s="6080"/>
      <c r="IC223" s="6101"/>
      <c r="ID223" s="6101"/>
      <c r="IE223" s="6101"/>
      <c r="IF223" s="6101"/>
      <c r="IG223" s="6101"/>
      <c r="IH223" s="6101"/>
      <c r="II223" s="6101"/>
      <c r="IJ223" s="6101"/>
      <c r="IK223" s="6101"/>
      <c r="IL223" s="6068"/>
      <c r="IM223" s="6067"/>
      <c r="IN223" s="6067"/>
      <c r="IO223" s="6067"/>
      <c r="IP223" s="6067"/>
      <c r="IQ223" s="6067"/>
      <c r="IR223" s="6068"/>
      <c r="IS223" s="6067"/>
      <c r="IT223" s="6067"/>
      <c r="IU223" s="6067"/>
      <c r="IV223" s="6068"/>
      <c r="IW223" s="6067"/>
      <c r="IX223" s="6067"/>
      <c r="IY223" s="6067"/>
      <c r="IZ223" s="6067"/>
      <c r="JA223" s="6067"/>
      <c r="JB223" s="6068"/>
      <c r="JC223" s="6068"/>
      <c r="JD223" s="6068"/>
      <c r="JE223" s="6068"/>
      <c r="JF223" s="6068"/>
      <c r="JG223" s="6068"/>
      <c r="JH223" s="6068"/>
      <c r="JI223" s="6098"/>
      <c r="JM223" s="6064"/>
      <c r="JN223" s="6076"/>
      <c r="JO223" s="6781" t="str">
        <f>_Calcs!$IQ$173</f>
        <v/>
      </c>
      <c r="JP223" s="6781"/>
      <c r="JQ223" s="6781"/>
      <c r="JR223" s="6781"/>
      <c r="JS223" s="6781"/>
      <c r="JT223" s="6781"/>
      <c r="JU223" s="6080"/>
      <c r="JV223" s="6101"/>
      <c r="JW223" s="6101"/>
      <c r="JX223" s="6101"/>
      <c r="JY223" s="6101"/>
      <c r="JZ223" s="6101"/>
      <c r="KA223" s="6101"/>
      <c r="KB223" s="6101"/>
      <c r="KC223" s="6101"/>
      <c r="KD223" s="6101"/>
      <c r="KE223" s="6068"/>
      <c r="KF223" s="6067"/>
      <c r="KG223" s="6067"/>
      <c r="KH223" s="6067"/>
      <c r="KI223" s="6067"/>
      <c r="KJ223" s="6067"/>
      <c r="KK223" s="6068"/>
      <c r="KL223" s="6067"/>
      <c r="KM223" s="6067"/>
      <c r="KN223" s="6067"/>
      <c r="KO223" s="6068"/>
      <c r="KP223" s="6067"/>
      <c r="KQ223" s="6067"/>
      <c r="KR223" s="6067"/>
      <c r="KS223" s="6067"/>
      <c r="KT223" s="6067"/>
      <c r="KU223" s="6068"/>
      <c r="KV223" s="6068"/>
      <c r="KW223" s="6068"/>
      <c r="KX223" s="6068"/>
      <c r="KY223" s="6068"/>
      <c r="KZ223" s="6068"/>
      <c r="LA223" s="6068"/>
      <c r="LB223" s="6098"/>
      <c r="LF223" s="6064"/>
      <c r="LG223" s="6076"/>
      <c r="LH223" s="6781" t="str">
        <f>_Calcs!$IR$173</f>
        <v/>
      </c>
      <c r="LI223" s="6781"/>
      <c r="LJ223" s="6781"/>
      <c r="LK223" s="6781"/>
      <c r="LL223" s="6781"/>
      <c r="LM223" s="6781"/>
      <c r="LN223" s="6080"/>
      <c r="LO223" s="6101"/>
      <c r="LP223" s="6101"/>
      <c r="LQ223" s="6101"/>
      <c r="LR223" s="6101"/>
      <c r="LS223" s="6101"/>
      <c r="LT223" s="6101"/>
      <c r="LU223" s="6101"/>
      <c r="LV223" s="6101"/>
      <c r="LW223" s="6101"/>
      <c r="LX223" s="6068"/>
      <c r="LY223" s="6067"/>
      <c r="LZ223" s="6067"/>
      <c r="MA223" s="6067"/>
      <c r="MB223" s="6067"/>
      <c r="MC223" s="6067"/>
      <c r="MD223" s="6068"/>
      <c r="ME223" s="6067"/>
      <c r="MF223" s="6067"/>
      <c r="MG223" s="6067"/>
      <c r="MH223" s="6068"/>
      <c r="MI223" s="6067"/>
      <c r="MJ223" s="6067"/>
      <c r="MK223" s="6067"/>
      <c r="ML223" s="6067"/>
      <c r="MM223" s="6067"/>
      <c r="MN223" s="6068"/>
      <c r="MO223" s="6068"/>
      <c r="MP223" s="6068"/>
      <c r="MQ223" s="6068"/>
      <c r="MR223" s="6068"/>
      <c r="MS223" s="6068"/>
      <c r="MT223" s="6068"/>
      <c r="MU223" s="6098"/>
      <c r="MY223" s="6064"/>
      <c r="MZ223" s="6076"/>
      <c r="NA223" s="6781" t="str">
        <f>_Calcs!$IS$173</f>
        <v/>
      </c>
      <c r="NB223" s="6781"/>
      <c r="NC223" s="6781"/>
      <c r="ND223" s="6781"/>
      <c r="NE223" s="6781"/>
      <c r="NF223" s="6781"/>
      <c r="NG223" s="6080"/>
      <c r="NH223" s="6101"/>
      <c r="NI223" s="6101"/>
      <c r="NJ223" s="6101"/>
      <c r="NK223" s="6101"/>
      <c r="NL223" s="6101"/>
      <c r="NM223" s="6101"/>
      <c r="NN223" s="6101"/>
      <c r="NO223" s="6101"/>
      <c r="NP223" s="6101"/>
      <c r="NQ223" s="6068"/>
      <c r="NR223" s="6067"/>
      <c r="NS223" s="6067"/>
      <c r="NT223" s="6067"/>
      <c r="NU223" s="6067"/>
      <c r="NV223" s="6067"/>
      <c r="NW223" s="6068"/>
      <c r="NX223" s="6067"/>
      <c r="NY223" s="6067"/>
      <c r="NZ223" s="6067"/>
      <c r="OA223" s="6068"/>
      <c r="OB223" s="6067"/>
      <c r="OC223" s="6067"/>
      <c r="OD223" s="6067"/>
      <c r="OE223" s="6067"/>
      <c r="OF223" s="6067"/>
      <c r="OG223" s="6068"/>
      <c r="OH223" s="6068"/>
      <c r="OI223" s="6068"/>
      <c r="OJ223" s="6068"/>
      <c r="OK223" s="6068"/>
      <c r="OL223" s="6068"/>
      <c r="OM223" s="6068"/>
      <c r="ON223" s="6098"/>
    </row>
    <row r="224" spans="3:405" ht="8.1" customHeight="1" x14ac:dyDescent="0.2">
      <c r="C224" s="6055"/>
      <c r="D224" s="6056"/>
      <c r="E224" s="6056"/>
      <c r="F224" s="6056"/>
      <c r="G224" s="6056"/>
      <c r="H224" s="6056"/>
      <c r="I224" s="6056"/>
      <c r="J224" s="6056"/>
      <c r="K224" s="6056"/>
      <c r="L224" s="6056"/>
      <c r="M224" s="6056"/>
      <c r="N224" s="6056"/>
      <c r="O224" s="6056"/>
      <c r="P224" s="6056"/>
      <c r="Q224" s="6056"/>
      <c r="R224" s="6056"/>
      <c r="S224" s="6056"/>
      <c r="T224" s="6056"/>
      <c r="U224" s="6056"/>
      <c r="V224" s="6057"/>
      <c r="W224" s="6057"/>
      <c r="X224" s="6057"/>
      <c r="Y224" s="6057"/>
      <c r="Z224" s="6057"/>
      <c r="AA224" s="6056"/>
      <c r="AB224" s="6057"/>
      <c r="AC224" s="6057"/>
      <c r="AD224" s="6057"/>
      <c r="AE224" s="6056"/>
      <c r="AF224" s="6057"/>
      <c r="AG224" s="6057"/>
      <c r="AH224" s="6057"/>
      <c r="AI224" s="6057"/>
      <c r="AJ224" s="6057"/>
      <c r="AK224" s="6056"/>
      <c r="AL224" s="6056"/>
      <c r="AM224" s="6056"/>
      <c r="AN224" s="6056"/>
      <c r="AO224" s="6056"/>
      <c r="AP224" s="6056"/>
      <c r="AQ224" s="6056"/>
      <c r="AR224" s="6058"/>
      <c r="AV224" s="6055"/>
      <c r="AW224" s="6056"/>
      <c r="AX224" s="6056"/>
      <c r="AY224" s="6056"/>
      <c r="AZ224" s="6056"/>
      <c r="BA224" s="6056"/>
      <c r="BB224" s="6056"/>
      <c r="BC224" s="6056"/>
      <c r="BD224" s="6056"/>
      <c r="BE224" s="6056"/>
      <c r="BF224" s="6056"/>
      <c r="BG224" s="6056"/>
      <c r="BH224" s="6056"/>
      <c r="BI224" s="6056"/>
      <c r="BJ224" s="6056"/>
      <c r="BK224" s="6056"/>
      <c r="BL224" s="6056"/>
      <c r="BM224" s="6056"/>
      <c r="BN224" s="6056"/>
      <c r="BO224" s="6057"/>
      <c r="BP224" s="6057"/>
      <c r="BQ224" s="6057"/>
      <c r="BR224" s="6057"/>
      <c r="BS224" s="6057"/>
      <c r="BT224" s="6056"/>
      <c r="BU224" s="6057"/>
      <c r="BV224" s="6057"/>
      <c r="BW224" s="6057"/>
      <c r="BX224" s="6056"/>
      <c r="BY224" s="6057"/>
      <c r="BZ224" s="6057"/>
      <c r="CA224" s="6057"/>
      <c r="CB224" s="6057"/>
      <c r="CC224" s="6057"/>
      <c r="CD224" s="6056"/>
      <c r="CE224" s="6056"/>
      <c r="CF224" s="6056"/>
      <c r="CG224" s="6056"/>
      <c r="CH224" s="6056"/>
      <c r="CI224" s="6056"/>
      <c r="CJ224" s="6056"/>
      <c r="CK224" s="6058"/>
      <c r="CO224" s="6055"/>
      <c r="CP224" s="6056"/>
      <c r="CQ224" s="6056"/>
      <c r="CR224" s="6056"/>
      <c r="CS224" s="6056"/>
      <c r="CT224" s="6056"/>
      <c r="CU224" s="6056"/>
      <c r="CV224" s="6056"/>
      <c r="CW224" s="6056"/>
      <c r="CX224" s="6056"/>
      <c r="CY224" s="6056"/>
      <c r="CZ224" s="6056"/>
      <c r="DA224" s="6056"/>
      <c r="DB224" s="6056"/>
      <c r="DC224" s="6056"/>
      <c r="DD224" s="6056"/>
      <c r="DE224" s="6056"/>
      <c r="DF224" s="6056"/>
      <c r="DG224" s="6056"/>
      <c r="DH224" s="6057"/>
      <c r="DI224" s="6057"/>
      <c r="DJ224" s="6057"/>
      <c r="DK224" s="6057"/>
      <c r="DL224" s="6057"/>
      <c r="DM224" s="6056"/>
      <c r="DN224" s="6057"/>
      <c r="DO224" s="6057"/>
      <c r="DP224" s="6057"/>
      <c r="DQ224" s="6056"/>
      <c r="DR224" s="6057"/>
      <c r="DS224" s="6057"/>
      <c r="DT224" s="6057"/>
      <c r="DU224" s="6057"/>
      <c r="DV224" s="6057"/>
      <c r="DW224" s="6056"/>
      <c r="DX224" s="6056"/>
      <c r="DY224" s="6056"/>
      <c r="DZ224" s="6056"/>
      <c r="EA224" s="6056"/>
      <c r="EB224" s="6056"/>
      <c r="EC224" s="6056"/>
      <c r="ED224" s="6058"/>
      <c r="EH224" s="6055"/>
      <c r="EI224" s="6056"/>
      <c r="EJ224" s="6056"/>
      <c r="EK224" s="6056"/>
      <c r="EL224" s="6056"/>
      <c r="EM224" s="6056"/>
      <c r="EN224" s="6056"/>
      <c r="EO224" s="6056"/>
      <c r="EP224" s="6056"/>
      <c r="EQ224" s="6056"/>
      <c r="ER224" s="6056"/>
      <c r="ES224" s="6056"/>
      <c r="ET224" s="6056"/>
      <c r="EU224" s="6056"/>
      <c r="EV224" s="6056"/>
      <c r="EW224" s="6056"/>
      <c r="EX224" s="6056"/>
      <c r="EY224" s="6056"/>
      <c r="EZ224" s="6056"/>
      <c r="FA224" s="6057"/>
      <c r="FB224" s="6057"/>
      <c r="FC224" s="6057"/>
      <c r="FD224" s="6057"/>
      <c r="FE224" s="6057"/>
      <c r="FF224" s="6056"/>
      <c r="FG224" s="6057"/>
      <c r="FH224" s="6057"/>
      <c r="FI224" s="6057"/>
      <c r="FJ224" s="6056"/>
      <c r="FK224" s="6057"/>
      <c r="FL224" s="6057"/>
      <c r="FM224" s="6057"/>
      <c r="FN224" s="6057"/>
      <c r="FO224" s="6057"/>
      <c r="FP224" s="6056"/>
      <c r="FQ224" s="6056"/>
      <c r="FR224" s="6056"/>
      <c r="FS224" s="6056"/>
      <c r="FT224" s="6056"/>
      <c r="FU224" s="6056"/>
      <c r="FV224" s="6056"/>
      <c r="FW224" s="6058"/>
      <c r="GA224" s="6055"/>
      <c r="GB224" s="6056"/>
      <c r="GC224" s="6056"/>
      <c r="GD224" s="6056"/>
      <c r="GE224" s="6056"/>
      <c r="GF224" s="6056"/>
      <c r="GG224" s="6056"/>
      <c r="GH224" s="6056"/>
      <c r="GI224" s="6056"/>
      <c r="GJ224" s="6056"/>
      <c r="GK224" s="6056"/>
      <c r="GL224" s="6056"/>
      <c r="GM224" s="6056"/>
      <c r="GN224" s="6056"/>
      <c r="GO224" s="6056"/>
      <c r="GP224" s="6056"/>
      <c r="GQ224" s="6056"/>
      <c r="GR224" s="6056"/>
      <c r="GS224" s="6056"/>
      <c r="GT224" s="6057"/>
      <c r="GU224" s="6057"/>
      <c r="GV224" s="6057"/>
      <c r="GW224" s="6057"/>
      <c r="GX224" s="6057"/>
      <c r="GY224" s="6056"/>
      <c r="GZ224" s="6057"/>
      <c r="HA224" s="6057"/>
      <c r="HB224" s="6057"/>
      <c r="HC224" s="6056"/>
      <c r="HD224" s="6057"/>
      <c r="HE224" s="6057"/>
      <c r="HF224" s="6057"/>
      <c r="HG224" s="6057"/>
      <c r="HH224" s="6057"/>
      <c r="HI224" s="6056"/>
      <c r="HJ224" s="6056"/>
      <c r="HK224" s="6056"/>
      <c r="HL224" s="6056"/>
      <c r="HM224" s="6056"/>
      <c r="HN224" s="6056"/>
      <c r="HO224" s="6056"/>
      <c r="HP224" s="6058"/>
      <c r="HT224" s="6055"/>
      <c r="HU224" s="6056"/>
      <c r="HV224" s="6056"/>
      <c r="HW224" s="6056"/>
      <c r="HX224" s="6056"/>
      <c r="HY224" s="6056"/>
      <c r="HZ224" s="6056"/>
      <c r="IA224" s="6056"/>
      <c r="IB224" s="6056"/>
      <c r="IC224" s="6056"/>
      <c r="ID224" s="6056"/>
      <c r="IE224" s="6056"/>
      <c r="IF224" s="6056"/>
      <c r="IG224" s="6056"/>
      <c r="IH224" s="6056"/>
      <c r="II224" s="6056"/>
      <c r="IJ224" s="6056"/>
      <c r="IK224" s="6056"/>
      <c r="IL224" s="6056"/>
      <c r="IM224" s="6057"/>
      <c r="IN224" s="6057"/>
      <c r="IO224" s="6057"/>
      <c r="IP224" s="6057"/>
      <c r="IQ224" s="6057"/>
      <c r="IR224" s="6056"/>
      <c r="IS224" s="6057"/>
      <c r="IT224" s="6057"/>
      <c r="IU224" s="6057"/>
      <c r="IV224" s="6056"/>
      <c r="IW224" s="6057"/>
      <c r="IX224" s="6057"/>
      <c r="IY224" s="6057"/>
      <c r="IZ224" s="6057"/>
      <c r="JA224" s="6057"/>
      <c r="JB224" s="6056"/>
      <c r="JC224" s="6056"/>
      <c r="JD224" s="6056"/>
      <c r="JE224" s="6056"/>
      <c r="JF224" s="6056"/>
      <c r="JG224" s="6056"/>
      <c r="JH224" s="6056"/>
      <c r="JI224" s="6058"/>
      <c r="JM224" s="6055"/>
      <c r="JN224" s="6056"/>
      <c r="JO224" s="6056"/>
      <c r="JP224" s="6056"/>
      <c r="JQ224" s="6056"/>
      <c r="JR224" s="6056"/>
      <c r="JS224" s="6056"/>
      <c r="JT224" s="6056"/>
      <c r="JU224" s="6056"/>
      <c r="JV224" s="6056"/>
      <c r="JW224" s="6056"/>
      <c r="JX224" s="6056"/>
      <c r="JY224" s="6056"/>
      <c r="JZ224" s="6056"/>
      <c r="KA224" s="6056"/>
      <c r="KB224" s="6056"/>
      <c r="KC224" s="6056"/>
      <c r="KD224" s="6056"/>
      <c r="KE224" s="6056"/>
      <c r="KF224" s="6057"/>
      <c r="KG224" s="6057"/>
      <c r="KH224" s="6057"/>
      <c r="KI224" s="6057"/>
      <c r="KJ224" s="6057"/>
      <c r="KK224" s="6056"/>
      <c r="KL224" s="6057"/>
      <c r="KM224" s="6057"/>
      <c r="KN224" s="6057"/>
      <c r="KO224" s="6056"/>
      <c r="KP224" s="6057"/>
      <c r="KQ224" s="6057"/>
      <c r="KR224" s="6057"/>
      <c r="KS224" s="6057"/>
      <c r="KT224" s="6057"/>
      <c r="KU224" s="6056"/>
      <c r="KV224" s="6056"/>
      <c r="KW224" s="6056"/>
      <c r="KX224" s="6056"/>
      <c r="KY224" s="6056"/>
      <c r="KZ224" s="6056"/>
      <c r="LA224" s="6056"/>
      <c r="LB224" s="6058"/>
      <c r="LF224" s="6055"/>
      <c r="LG224" s="6056"/>
      <c r="LH224" s="6056"/>
      <c r="LI224" s="6056"/>
      <c r="LJ224" s="6056"/>
      <c r="LK224" s="6056"/>
      <c r="LL224" s="6056"/>
      <c r="LM224" s="6056"/>
      <c r="LN224" s="6056"/>
      <c r="LO224" s="6056"/>
      <c r="LP224" s="6056"/>
      <c r="LQ224" s="6056"/>
      <c r="LR224" s="6056"/>
      <c r="LS224" s="6056"/>
      <c r="LT224" s="6056"/>
      <c r="LU224" s="6056"/>
      <c r="LV224" s="6056"/>
      <c r="LW224" s="6056"/>
      <c r="LX224" s="6056"/>
      <c r="LY224" s="6057"/>
      <c r="LZ224" s="6057"/>
      <c r="MA224" s="6057"/>
      <c r="MB224" s="6057"/>
      <c r="MC224" s="6057"/>
      <c r="MD224" s="6056"/>
      <c r="ME224" s="6057"/>
      <c r="MF224" s="6057"/>
      <c r="MG224" s="6057"/>
      <c r="MH224" s="6056"/>
      <c r="MI224" s="6057"/>
      <c r="MJ224" s="6057"/>
      <c r="MK224" s="6057"/>
      <c r="ML224" s="6057"/>
      <c r="MM224" s="6057"/>
      <c r="MN224" s="6056"/>
      <c r="MO224" s="6056"/>
      <c r="MP224" s="6056"/>
      <c r="MQ224" s="6056"/>
      <c r="MR224" s="6056"/>
      <c r="MS224" s="6056"/>
      <c r="MT224" s="6056"/>
      <c r="MU224" s="6058"/>
      <c r="MY224" s="6055"/>
      <c r="MZ224" s="6056"/>
      <c r="NA224" s="6056"/>
      <c r="NB224" s="6056"/>
      <c r="NC224" s="6056"/>
      <c r="ND224" s="6056"/>
      <c r="NE224" s="6056"/>
      <c r="NF224" s="6056"/>
      <c r="NG224" s="6056"/>
      <c r="NH224" s="6056"/>
      <c r="NI224" s="6056"/>
      <c r="NJ224" s="6056"/>
      <c r="NK224" s="6056"/>
      <c r="NL224" s="6056"/>
      <c r="NM224" s="6056"/>
      <c r="NN224" s="6056"/>
      <c r="NO224" s="6056"/>
      <c r="NP224" s="6056"/>
      <c r="NQ224" s="6056"/>
      <c r="NR224" s="6057"/>
      <c r="NS224" s="6057"/>
      <c r="NT224" s="6057"/>
      <c r="NU224" s="6057"/>
      <c r="NV224" s="6057"/>
      <c r="NW224" s="6056"/>
      <c r="NX224" s="6057"/>
      <c r="NY224" s="6057"/>
      <c r="NZ224" s="6057"/>
      <c r="OA224" s="6056"/>
      <c r="OB224" s="6057"/>
      <c r="OC224" s="6057"/>
      <c r="OD224" s="6057"/>
      <c r="OE224" s="6057"/>
      <c r="OF224" s="6057"/>
      <c r="OG224" s="6056"/>
      <c r="OH224" s="6056"/>
      <c r="OI224" s="6056"/>
      <c r="OJ224" s="6056"/>
      <c r="OK224" s="6056"/>
      <c r="OL224" s="6056"/>
      <c r="OM224" s="6056"/>
      <c r="ON224" s="6058"/>
    </row>
    <row r="225" spans="3:405" s="6075" customFormat="1" ht="12" customHeight="1" x14ac:dyDescent="0.2">
      <c r="C225" s="6071"/>
      <c r="D225" s="6060" t="str">
        <f>_Calcs!$N$79</f>
        <v>Begrunnelse</v>
      </c>
      <c r="E225" s="6099"/>
      <c r="F225" s="6060"/>
      <c r="G225" s="6060"/>
      <c r="H225" s="6060"/>
      <c r="I225" s="6060"/>
      <c r="J225" s="6060"/>
      <c r="K225" s="6060"/>
      <c r="L225" s="6060"/>
      <c r="M225" s="6060"/>
      <c r="N225" s="6060"/>
      <c r="O225" s="6060"/>
      <c r="P225" s="6060"/>
      <c r="Q225" s="6060"/>
      <c r="R225" s="6060"/>
      <c r="S225" s="6060"/>
      <c r="T225" s="6072"/>
      <c r="U225" s="6072"/>
      <c r="V225" s="6072"/>
      <c r="W225" s="6072"/>
      <c r="X225" s="6072"/>
      <c r="Y225" s="6072"/>
      <c r="Z225" s="6072"/>
      <c r="AA225" s="6072"/>
      <c r="AB225" s="6072"/>
      <c r="AC225" s="6072"/>
      <c r="AD225" s="6072"/>
      <c r="AE225" s="6072"/>
      <c r="AF225" s="6072"/>
      <c r="AG225" s="6072"/>
      <c r="AH225" s="6072"/>
      <c r="AI225" s="6072"/>
      <c r="AJ225" s="6072"/>
      <c r="AK225" s="6072"/>
      <c r="AL225" s="6072"/>
      <c r="AM225" s="6072"/>
      <c r="AN225" s="6072"/>
      <c r="AO225" s="6072"/>
      <c r="AP225" s="6072"/>
      <c r="AQ225" s="6072"/>
      <c r="AR225" s="6074"/>
      <c r="AV225" s="6071"/>
      <c r="AW225" s="6060" t="str">
        <f>_Calcs!$N$79</f>
        <v>Begrunnelse</v>
      </c>
      <c r="AX225" s="6099"/>
      <c r="AY225" s="6060"/>
      <c r="AZ225" s="6060"/>
      <c r="BA225" s="6060"/>
      <c r="BB225" s="6060"/>
      <c r="BC225" s="6060"/>
      <c r="BD225" s="6060"/>
      <c r="BE225" s="6060"/>
      <c r="BF225" s="6060"/>
      <c r="BG225" s="6060"/>
      <c r="BH225" s="6060"/>
      <c r="BI225" s="6060"/>
      <c r="BJ225" s="6060"/>
      <c r="BK225" s="6060"/>
      <c r="BL225" s="6060"/>
      <c r="BM225" s="6072"/>
      <c r="BN225" s="6072"/>
      <c r="BO225" s="6072"/>
      <c r="BP225" s="6072"/>
      <c r="BQ225" s="6072"/>
      <c r="BR225" s="6072"/>
      <c r="BS225" s="6072"/>
      <c r="BT225" s="6072"/>
      <c r="BU225" s="6072"/>
      <c r="BV225" s="6072"/>
      <c r="BW225" s="6072"/>
      <c r="BX225" s="6072"/>
      <c r="BY225" s="6072"/>
      <c r="BZ225" s="6072"/>
      <c r="CA225" s="6072"/>
      <c r="CB225" s="6072"/>
      <c r="CC225" s="6072"/>
      <c r="CD225" s="6072"/>
      <c r="CE225" s="6072"/>
      <c r="CF225" s="6072"/>
      <c r="CG225" s="6072"/>
      <c r="CH225" s="6072"/>
      <c r="CI225" s="6072"/>
      <c r="CJ225" s="6072"/>
      <c r="CK225" s="6074"/>
      <c r="CO225" s="6071"/>
      <c r="CP225" s="6060" t="str">
        <f>_Calcs!$N$79</f>
        <v>Begrunnelse</v>
      </c>
      <c r="CQ225" s="6099"/>
      <c r="CR225" s="6060"/>
      <c r="CS225" s="6060"/>
      <c r="CT225" s="6060"/>
      <c r="CU225" s="6060"/>
      <c r="CV225" s="6060"/>
      <c r="CW225" s="6060"/>
      <c r="CX225" s="6060"/>
      <c r="CY225" s="6060"/>
      <c r="CZ225" s="6060"/>
      <c r="DA225" s="6060"/>
      <c r="DB225" s="6060"/>
      <c r="DC225" s="6060"/>
      <c r="DD225" s="6060"/>
      <c r="DE225" s="6060"/>
      <c r="DF225" s="6072"/>
      <c r="DG225" s="6072"/>
      <c r="DH225" s="6072"/>
      <c r="DI225" s="6072"/>
      <c r="DJ225" s="6072"/>
      <c r="DK225" s="6072"/>
      <c r="DL225" s="6072"/>
      <c r="DM225" s="6072"/>
      <c r="DN225" s="6072"/>
      <c r="DO225" s="6072"/>
      <c r="DP225" s="6072"/>
      <c r="DQ225" s="6072"/>
      <c r="DR225" s="6072"/>
      <c r="DS225" s="6072"/>
      <c r="DT225" s="6072"/>
      <c r="DU225" s="6072"/>
      <c r="DV225" s="6072"/>
      <c r="DW225" s="6072"/>
      <c r="DX225" s="6072"/>
      <c r="DY225" s="6072"/>
      <c r="DZ225" s="6072"/>
      <c r="EA225" s="6072"/>
      <c r="EB225" s="6072"/>
      <c r="EC225" s="6072"/>
      <c r="ED225" s="6074"/>
      <c r="EH225" s="6071"/>
      <c r="EI225" s="6060" t="str">
        <f>_Calcs!$N$79</f>
        <v>Begrunnelse</v>
      </c>
      <c r="EJ225" s="6099"/>
      <c r="EK225" s="6060"/>
      <c r="EL225" s="6060"/>
      <c r="EM225" s="6060"/>
      <c r="EN225" s="6060"/>
      <c r="EO225" s="6060"/>
      <c r="EP225" s="6060"/>
      <c r="EQ225" s="6060"/>
      <c r="ER225" s="6060"/>
      <c r="ES225" s="6060"/>
      <c r="ET225" s="6060"/>
      <c r="EU225" s="6060"/>
      <c r="EV225" s="6060"/>
      <c r="EW225" s="6060"/>
      <c r="EX225" s="6060"/>
      <c r="EY225" s="6072"/>
      <c r="EZ225" s="6072"/>
      <c r="FA225" s="6072"/>
      <c r="FB225" s="6072"/>
      <c r="FC225" s="6072"/>
      <c r="FD225" s="6072"/>
      <c r="FE225" s="6072"/>
      <c r="FF225" s="6072"/>
      <c r="FG225" s="6072"/>
      <c r="FH225" s="6072"/>
      <c r="FI225" s="6072"/>
      <c r="FJ225" s="6072"/>
      <c r="FK225" s="6072"/>
      <c r="FL225" s="6072"/>
      <c r="FM225" s="6072"/>
      <c r="FN225" s="6072"/>
      <c r="FO225" s="6072"/>
      <c r="FP225" s="6072"/>
      <c r="FQ225" s="6072"/>
      <c r="FR225" s="6072"/>
      <c r="FS225" s="6072"/>
      <c r="FT225" s="6072"/>
      <c r="FU225" s="6072"/>
      <c r="FV225" s="6072"/>
      <c r="FW225" s="6074"/>
      <c r="GA225" s="6071"/>
      <c r="GB225" s="6060" t="str">
        <f>_Calcs!$N$79</f>
        <v>Begrunnelse</v>
      </c>
      <c r="GC225" s="6099"/>
      <c r="GD225" s="6060"/>
      <c r="GE225" s="6060"/>
      <c r="GF225" s="6060"/>
      <c r="GG225" s="6060"/>
      <c r="GH225" s="6060"/>
      <c r="GI225" s="6060"/>
      <c r="GJ225" s="6060"/>
      <c r="GK225" s="6060"/>
      <c r="GL225" s="6060"/>
      <c r="GM225" s="6060"/>
      <c r="GN225" s="6060"/>
      <c r="GO225" s="6060"/>
      <c r="GP225" s="6060"/>
      <c r="GQ225" s="6060"/>
      <c r="GR225" s="6072"/>
      <c r="GS225" s="6072"/>
      <c r="GT225" s="6072"/>
      <c r="GU225" s="6072"/>
      <c r="GV225" s="6072"/>
      <c r="GW225" s="6072"/>
      <c r="GX225" s="6072"/>
      <c r="GY225" s="6072"/>
      <c r="GZ225" s="6072"/>
      <c r="HA225" s="6072"/>
      <c r="HB225" s="6072"/>
      <c r="HC225" s="6072"/>
      <c r="HD225" s="6072"/>
      <c r="HE225" s="6072"/>
      <c r="HF225" s="6072"/>
      <c r="HG225" s="6072"/>
      <c r="HH225" s="6072"/>
      <c r="HI225" s="6072"/>
      <c r="HJ225" s="6072"/>
      <c r="HK225" s="6072"/>
      <c r="HL225" s="6072"/>
      <c r="HM225" s="6072"/>
      <c r="HN225" s="6072"/>
      <c r="HO225" s="6072"/>
      <c r="HP225" s="6074"/>
      <c r="HT225" s="6071"/>
      <c r="HU225" s="6060" t="str">
        <f>_Calcs!$N$79</f>
        <v>Begrunnelse</v>
      </c>
      <c r="HV225" s="6099"/>
      <c r="HW225" s="6060"/>
      <c r="HX225" s="6060"/>
      <c r="HY225" s="6060"/>
      <c r="HZ225" s="6060"/>
      <c r="IA225" s="6060"/>
      <c r="IB225" s="6060"/>
      <c r="IC225" s="6060"/>
      <c r="ID225" s="6060"/>
      <c r="IE225" s="6060"/>
      <c r="IF225" s="6060"/>
      <c r="IG225" s="6060"/>
      <c r="IH225" s="6060"/>
      <c r="II225" s="6060"/>
      <c r="IJ225" s="6060"/>
      <c r="IK225" s="6072"/>
      <c r="IL225" s="6072"/>
      <c r="IM225" s="6072"/>
      <c r="IN225" s="6072"/>
      <c r="IO225" s="6072"/>
      <c r="IP225" s="6072"/>
      <c r="IQ225" s="6072"/>
      <c r="IR225" s="6072"/>
      <c r="IS225" s="6072"/>
      <c r="IT225" s="6072"/>
      <c r="IU225" s="6072"/>
      <c r="IV225" s="6072"/>
      <c r="IW225" s="6072"/>
      <c r="IX225" s="6072"/>
      <c r="IY225" s="6072"/>
      <c r="IZ225" s="6072"/>
      <c r="JA225" s="6072"/>
      <c r="JB225" s="6072"/>
      <c r="JC225" s="6072"/>
      <c r="JD225" s="6072"/>
      <c r="JE225" s="6072"/>
      <c r="JF225" s="6072"/>
      <c r="JG225" s="6072"/>
      <c r="JH225" s="6072"/>
      <c r="JI225" s="6074"/>
      <c r="JM225" s="6071"/>
      <c r="JN225" s="6060" t="str">
        <f>_Calcs!$N$79</f>
        <v>Begrunnelse</v>
      </c>
      <c r="JO225" s="6099"/>
      <c r="JP225" s="6060"/>
      <c r="JQ225" s="6060"/>
      <c r="JR225" s="6060"/>
      <c r="JS225" s="6060"/>
      <c r="JT225" s="6060"/>
      <c r="JU225" s="6060"/>
      <c r="JV225" s="6060"/>
      <c r="JW225" s="6060"/>
      <c r="JX225" s="6060"/>
      <c r="JY225" s="6060"/>
      <c r="JZ225" s="6060"/>
      <c r="KA225" s="6060"/>
      <c r="KB225" s="6060"/>
      <c r="KC225" s="6060"/>
      <c r="KD225" s="6072"/>
      <c r="KE225" s="6072"/>
      <c r="KF225" s="6072"/>
      <c r="KG225" s="6072"/>
      <c r="KH225" s="6072"/>
      <c r="KI225" s="6072"/>
      <c r="KJ225" s="6072"/>
      <c r="KK225" s="6072"/>
      <c r="KL225" s="6072"/>
      <c r="KM225" s="6072"/>
      <c r="KN225" s="6072"/>
      <c r="KO225" s="6072"/>
      <c r="KP225" s="6072"/>
      <c r="KQ225" s="6072"/>
      <c r="KR225" s="6072"/>
      <c r="KS225" s="6072"/>
      <c r="KT225" s="6072"/>
      <c r="KU225" s="6072"/>
      <c r="KV225" s="6072"/>
      <c r="KW225" s="6072"/>
      <c r="KX225" s="6072"/>
      <c r="KY225" s="6072"/>
      <c r="KZ225" s="6072"/>
      <c r="LA225" s="6072"/>
      <c r="LB225" s="6074"/>
      <c r="LF225" s="6071"/>
      <c r="LG225" s="6060" t="str">
        <f>_Calcs!$N$79</f>
        <v>Begrunnelse</v>
      </c>
      <c r="LH225" s="6099"/>
      <c r="LI225" s="6060"/>
      <c r="LJ225" s="6060"/>
      <c r="LK225" s="6060"/>
      <c r="LL225" s="6060"/>
      <c r="LM225" s="6060"/>
      <c r="LN225" s="6060"/>
      <c r="LO225" s="6060"/>
      <c r="LP225" s="6060"/>
      <c r="LQ225" s="6060"/>
      <c r="LR225" s="6060"/>
      <c r="LS225" s="6060"/>
      <c r="LT225" s="6060"/>
      <c r="LU225" s="6060"/>
      <c r="LV225" s="6060"/>
      <c r="LW225" s="6072"/>
      <c r="LX225" s="6072"/>
      <c r="LY225" s="6072"/>
      <c r="LZ225" s="6072"/>
      <c r="MA225" s="6072"/>
      <c r="MB225" s="6072"/>
      <c r="MC225" s="6072"/>
      <c r="MD225" s="6072"/>
      <c r="ME225" s="6072"/>
      <c r="MF225" s="6072"/>
      <c r="MG225" s="6072"/>
      <c r="MH225" s="6072"/>
      <c r="MI225" s="6072"/>
      <c r="MJ225" s="6072"/>
      <c r="MK225" s="6072"/>
      <c r="ML225" s="6072"/>
      <c r="MM225" s="6072"/>
      <c r="MN225" s="6072"/>
      <c r="MO225" s="6072"/>
      <c r="MP225" s="6072"/>
      <c r="MQ225" s="6072"/>
      <c r="MR225" s="6072"/>
      <c r="MS225" s="6072"/>
      <c r="MT225" s="6072"/>
      <c r="MU225" s="6074"/>
      <c r="MY225" s="6071"/>
      <c r="MZ225" s="6060" t="str">
        <f>_Calcs!$N$79</f>
        <v>Begrunnelse</v>
      </c>
      <c r="NA225" s="6099"/>
      <c r="NB225" s="6060"/>
      <c r="NC225" s="6060"/>
      <c r="ND225" s="6060"/>
      <c r="NE225" s="6060"/>
      <c r="NF225" s="6060"/>
      <c r="NG225" s="6060"/>
      <c r="NH225" s="6060"/>
      <c r="NI225" s="6060"/>
      <c r="NJ225" s="6060"/>
      <c r="NK225" s="6060"/>
      <c r="NL225" s="6060"/>
      <c r="NM225" s="6060"/>
      <c r="NN225" s="6060"/>
      <c r="NO225" s="6060"/>
      <c r="NP225" s="6072"/>
      <c r="NQ225" s="6072"/>
      <c r="NR225" s="6072"/>
      <c r="NS225" s="6072"/>
      <c r="NT225" s="6072"/>
      <c r="NU225" s="6072"/>
      <c r="NV225" s="6072"/>
      <c r="NW225" s="6072"/>
      <c r="NX225" s="6072"/>
      <c r="NY225" s="6072"/>
      <c r="NZ225" s="6072"/>
      <c r="OA225" s="6072"/>
      <c r="OB225" s="6072"/>
      <c r="OC225" s="6072"/>
      <c r="OD225" s="6072"/>
      <c r="OE225" s="6072"/>
      <c r="OF225" s="6072"/>
      <c r="OG225" s="6072"/>
      <c r="OH225" s="6072"/>
      <c r="OI225" s="6072"/>
      <c r="OJ225" s="6072"/>
      <c r="OK225" s="6072"/>
      <c r="OL225" s="6072"/>
      <c r="OM225" s="6072"/>
      <c r="ON225" s="6074"/>
    </row>
    <row r="226" spans="3:405" ht="5.0999999999999996" customHeight="1" thickBot="1" x14ac:dyDescent="0.25">
      <c r="C226" s="6055"/>
      <c r="D226" s="6056"/>
      <c r="E226" s="6056"/>
      <c r="F226" s="6056"/>
      <c r="G226" s="6056"/>
      <c r="H226" s="6056"/>
      <c r="I226" s="6056"/>
      <c r="J226" s="6056"/>
      <c r="K226" s="6056"/>
      <c r="L226" s="6056"/>
      <c r="M226" s="6056"/>
      <c r="N226" s="6056"/>
      <c r="O226" s="6056"/>
      <c r="P226" s="6056"/>
      <c r="Q226" s="6056"/>
      <c r="R226" s="6056"/>
      <c r="S226" s="6056"/>
      <c r="T226" s="6056"/>
      <c r="U226" s="6056"/>
      <c r="V226" s="6056"/>
      <c r="W226" s="6056"/>
      <c r="X226" s="6056"/>
      <c r="Y226" s="6056"/>
      <c r="Z226" s="6056"/>
      <c r="AA226" s="6056"/>
      <c r="AB226" s="6056"/>
      <c r="AC226" s="6056"/>
      <c r="AD226" s="6056"/>
      <c r="AE226" s="6056"/>
      <c r="AF226" s="6056"/>
      <c r="AG226" s="6056"/>
      <c r="AH226" s="6056"/>
      <c r="AI226" s="6056"/>
      <c r="AJ226" s="6056"/>
      <c r="AK226" s="6056"/>
      <c r="AL226" s="6056"/>
      <c r="AM226" s="6056"/>
      <c r="AN226" s="6056"/>
      <c r="AO226" s="6056"/>
      <c r="AP226" s="6056"/>
      <c r="AQ226" s="6056"/>
      <c r="AR226" s="6058"/>
      <c r="AV226" s="6055"/>
      <c r="AW226" s="6056"/>
      <c r="AX226" s="6056"/>
      <c r="AY226" s="6056"/>
      <c r="AZ226" s="6056"/>
      <c r="BA226" s="6056"/>
      <c r="BB226" s="6056"/>
      <c r="BC226" s="6056"/>
      <c r="BD226" s="6056"/>
      <c r="BE226" s="6056"/>
      <c r="BF226" s="6056"/>
      <c r="BG226" s="6056"/>
      <c r="BH226" s="6056"/>
      <c r="BI226" s="6056"/>
      <c r="BJ226" s="6056"/>
      <c r="BK226" s="6056"/>
      <c r="BL226" s="6056"/>
      <c r="BM226" s="6056"/>
      <c r="BN226" s="6056"/>
      <c r="BO226" s="6056"/>
      <c r="BP226" s="6056"/>
      <c r="BQ226" s="6056"/>
      <c r="BR226" s="6056"/>
      <c r="BS226" s="6056"/>
      <c r="BT226" s="6056"/>
      <c r="BU226" s="6056"/>
      <c r="BV226" s="6056"/>
      <c r="BW226" s="6056"/>
      <c r="BX226" s="6056"/>
      <c r="BY226" s="6056"/>
      <c r="BZ226" s="6056"/>
      <c r="CA226" s="6056"/>
      <c r="CB226" s="6056"/>
      <c r="CC226" s="6056"/>
      <c r="CD226" s="6056"/>
      <c r="CE226" s="6056"/>
      <c r="CF226" s="6056"/>
      <c r="CG226" s="6056"/>
      <c r="CH226" s="6056"/>
      <c r="CI226" s="6056"/>
      <c r="CJ226" s="6056"/>
      <c r="CK226" s="6058"/>
      <c r="CO226" s="6055"/>
      <c r="CP226" s="6056"/>
      <c r="CQ226" s="6056"/>
      <c r="CR226" s="6056"/>
      <c r="CS226" s="6056"/>
      <c r="CT226" s="6056"/>
      <c r="CU226" s="6056"/>
      <c r="CV226" s="6056"/>
      <c r="CW226" s="6056"/>
      <c r="CX226" s="6056"/>
      <c r="CY226" s="6056"/>
      <c r="CZ226" s="6056"/>
      <c r="DA226" s="6056"/>
      <c r="DB226" s="6056"/>
      <c r="DC226" s="6056"/>
      <c r="DD226" s="6056"/>
      <c r="DE226" s="6056"/>
      <c r="DF226" s="6056"/>
      <c r="DG226" s="6056"/>
      <c r="DH226" s="6056"/>
      <c r="DI226" s="6056"/>
      <c r="DJ226" s="6056"/>
      <c r="DK226" s="6056"/>
      <c r="DL226" s="6056"/>
      <c r="DM226" s="6056"/>
      <c r="DN226" s="6056"/>
      <c r="DO226" s="6056"/>
      <c r="DP226" s="6056"/>
      <c r="DQ226" s="6056"/>
      <c r="DR226" s="6056"/>
      <c r="DS226" s="6056"/>
      <c r="DT226" s="6056"/>
      <c r="DU226" s="6056"/>
      <c r="DV226" s="6056"/>
      <c r="DW226" s="6056"/>
      <c r="DX226" s="6056"/>
      <c r="DY226" s="6056"/>
      <c r="DZ226" s="6056"/>
      <c r="EA226" s="6056"/>
      <c r="EB226" s="6056"/>
      <c r="EC226" s="6056"/>
      <c r="ED226" s="6058"/>
      <c r="EH226" s="6055"/>
      <c r="EI226" s="6056"/>
      <c r="EJ226" s="6056"/>
      <c r="EK226" s="6056"/>
      <c r="EL226" s="6056"/>
      <c r="EM226" s="6056"/>
      <c r="EN226" s="6056"/>
      <c r="EO226" s="6056"/>
      <c r="EP226" s="6056"/>
      <c r="EQ226" s="6056"/>
      <c r="ER226" s="6056"/>
      <c r="ES226" s="6056"/>
      <c r="ET226" s="6056"/>
      <c r="EU226" s="6056"/>
      <c r="EV226" s="6056"/>
      <c r="EW226" s="6056"/>
      <c r="EX226" s="6056"/>
      <c r="EY226" s="6056"/>
      <c r="EZ226" s="6056"/>
      <c r="FA226" s="6056"/>
      <c r="FB226" s="6056"/>
      <c r="FC226" s="6056"/>
      <c r="FD226" s="6056"/>
      <c r="FE226" s="6056"/>
      <c r="FF226" s="6056"/>
      <c r="FG226" s="6056"/>
      <c r="FH226" s="6056"/>
      <c r="FI226" s="6056"/>
      <c r="FJ226" s="6056"/>
      <c r="FK226" s="6056"/>
      <c r="FL226" s="6056"/>
      <c r="FM226" s="6056"/>
      <c r="FN226" s="6056"/>
      <c r="FO226" s="6056"/>
      <c r="FP226" s="6056"/>
      <c r="FQ226" s="6056"/>
      <c r="FR226" s="6056"/>
      <c r="FS226" s="6056"/>
      <c r="FT226" s="6056"/>
      <c r="FU226" s="6056"/>
      <c r="FV226" s="6056"/>
      <c r="FW226" s="6058"/>
      <c r="GA226" s="6055"/>
      <c r="GB226" s="6056"/>
      <c r="GC226" s="6056"/>
      <c r="GD226" s="6056"/>
      <c r="GE226" s="6056"/>
      <c r="GF226" s="6056"/>
      <c r="GG226" s="6056"/>
      <c r="GH226" s="6056"/>
      <c r="GI226" s="6056"/>
      <c r="GJ226" s="6056"/>
      <c r="GK226" s="6056"/>
      <c r="GL226" s="6056"/>
      <c r="GM226" s="6056"/>
      <c r="GN226" s="6056"/>
      <c r="GO226" s="6056"/>
      <c r="GP226" s="6056"/>
      <c r="GQ226" s="6056"/>
      <c r="GR226" s="6056"/>
      <c r="GS226" s="6056"/>
      <c r="GT226" s="6056"/>
      <c r="GU226" s="6056"/>
      <c r="GV226" s="6056"/>
      <c r="GW226" s="6056"/>
      <c r="GX226" s="6056"/>
      <c r="GY226" s="6056"/>
      <c r="GZ226" s="6056"/>
      <c r="HA226" s="6056"/>
      <c r="HB226" s="6056"/>
      <c r="HC226" s="6056"/>
      <c r="HD226" s="6056"/>
      <c r="HE226" s="6056"/>
      <c r="HF226" s="6056"/>
      <c r="HG226" s="6056"/>
      <c r="HH226" s="6056"/>
      <c r="HI226" s="6056"/>
      <c r="HJ226" s="6056"/>
      <c r="HK226" s="6056"/>
      <c r="HL226" s="6056"/>
      <c r="HM226" s="6056"/>
      <c r="HN226" s="6056"/>
      <c r="HO226" s="6056"/>
      <c r="HP226" s="6058"/>
      <c r="HT226" s="6055"/>
      <c r="HU226" s="6056"/>
      <c r="HV226" s="6056"/>
      <c r="HW226" s="6056"/>
      <c r="HX226" s="6056"/>
      <c r="HY226" s="6056"/>
      <c r="HZ226" s="6056"/>
      <c r="IA226" s="6056"/>
      <c r="IB226" s="6056"/>
      <c r="IC226" s="6056"/>
      <c r="ID226" s="6056"/>
      <c r="IE226" s="6056"/>
      <c r="IF226" s="6056"/>
      <c r="IG226" s="6056"/>
      <c r="IH226" s="6056"/>
      <c r="II226" s="6056"/>
      <c r="IJ226" s="6056"/>
      <c r="IK226" s="6056"/>
      <c r="IL226" s="6056"/>
      <c r="IM226" s="6056"/>
      <c r="IN226" s="6056"/>
      <c r="IO226" s="6056"/>
      <c r="IP226" s="6056"/>
      <c r="IQ226" s="6056"/>
      <c r="IR226" s="6056"/>
      <c r="IS226" s="6056"/>
      <c r="IT226" s="6056"/>
      <c r="IU226" s="6056"/>
      <c r="IV226" s="6056"/>
      <c r="IW226" s="6056"/>
      <c r="IX226" s="6056"/>
      <c r="IY226" s="6056"/>
      <c r="IZ226" s="6056"/>
      <c r="JA226" s="6056"/>
      <c r="JB226" s="6056"/>
      <c r="JC226" s="6056"/>
      <c r="JD226" s="6056"/>
      <c r="JE226" s="6056"/>
      <c r="JF226" s="6056"/>
      <c r="JG226" s="6056"/>
      <c r="JH226" s="6056"/>
      <c r="JI226" s="6058"/>
      <c r="JM226" s="6055"/>
      <c r="JN226" s="6056"/>
      <c r="JO226" s="6056"/>
      <c r="JP226" s="6056"/>
      <c r="JQ226" s="6056"/>
      <c r="JR226" s="6056"/>
      <c r="JS226" s="6056"/>
      <c r="JT226" s="6056"/>
      <c r="JU226" s="6056"/>
      <c r="JV226" s="6056"/>
      <c r="JW226" s="6056"/>
      <c r="JX226" s="6056"/>
      <c r="JY226" s="6056"/>
      <c r="JZ226" s="6056"/>
      <c r="KA226" s="6056"/>
      <c r="KB226" s="6056"/>
      <c r="KC226" s="6056"/>
      <c r="KD226" s="6056"/>
      <c r="KE226" s="6056"/>
      <c r="KF226" s="6056"/>
      <c r="KG226" s="6056"/>
      <c r="KH226" s="6056"/>
      <c r="KI226" s="6056"/>
      <c r="KJ226" s="6056"/>
      <c r="KK226" s="6056"/>
      <c r="KL226" s="6056"/>
      <c r="KM226" s="6056"/>
      <c r="KN226" s="6056"/>
      <c r="KO226" s="6056"/>
      <c r="KP226" s="6056"/>
      <c r="KQ226" s="6056"/>
      <c r="KR226" s="6056"/>
      <c r="KS226" s="6056"/>
      <c r="KT226" s="6056"/>
      <c r="KU226" s="6056"/>
      <c r="KV226" s="6056"/>
      <c r="KW226" s="6056"/>
      <c r="KX226" s="6056"/>
      <c r="KY226" s="6056"/>
      <c r="KZ226" s="6056"/>
      <c r="LA226" s="6056"/>
      <c r="LB226" s="6058"/>
      <c r="LF226" s="6055"/>
      <c r="LG226" s="6056"/>
      <c r="LH226" s="6056"/>
      <c r="LI226" s="6056"/>
      <c r="LJ226" s="6056"/>
      <c r="LK226" s="6056"/>
      <c r="LL226" s="6056"/>
      <c r="LM226" s="6056"/>
      <c r="LN226" s="6056"/>
      <c r="LO226" s="6056"/>
      <c r="LP226" s="6056"/>
      <c r="LQ226" s="6056"/>
      <c r="LR226" s="6056"/>
      <c r="LS226" s="6056"/>
      <c r="LT226" s="6056"/>
      <c r="LU226" s="6056"/>
      <c r="LV226" s="6056"/>
      <c r="LW226" s="6056"/>
      <c r="LX226" s="6056"/>
      <c r="LY226" s="6056"/>
      <c r="LZ226" s="6056"/>
      <c r="MA226" s="6056"/>
      <c r="MB226" s="6056"/>
      <c r="MC226" s="6056"/>
      <c r="MD226" s="6056"/>
      <c r="ME226" s="6056"/>
      <c r="MF226" s="6056"/>
      <c r="MG226" s="6056"/>
      <c r="MH226" s="6056"/>
      <c r="MI226" s="6056"/>
      <c r="MJ226" s="6056"/>
      <c r="MK226" s="6056"/>
      <c r="ML226" s="6056"/>
      <c r="MM226" s="6056"/>
      <c r="MN226" s="6056"/>
      <c r="MO226" s="6056"/>
      <c r="MP226" s="6056"/>
      <c r="MQ226" s="6056"/>
      <c r="MR226" s="6056"/>
      <c r="MS226" s="6056"/>
      <c r="MT226" s="6056"/>
      <c r="MU226" s="6058"/>
      <c r="MY226" s="6055"/>
      <c r="MZ226" s="6056"/>
      <c r="NA226" s="6056"/>
      <c r="NB226" s="6056"/>
      <c r="NC226" s="6056"/>
      <c r="ND226" s="6056"/>
      <c r="NE226" s="6056"/>
      <c r="NF226" s="6056"/>
      <c r="NG226" s="6056"/>
      <c r="NH226" s="6056"/>
      <c r="NI226" s="6056"/>
      <c r="NJ226" s="6056"/>
      <c r="NK226" s="6056"/>
      <c r="NL226" s="6056"/>
      <c r="NM226" s="6056"/>
      <c r="NN226" s="6056"/>
      <c r="NO226" s="6056"/>
      <c r="NP226" s="6056"/>
      <c r="NQ226" s="6056"/>
      <c r="NR226" s="6056"/>
      <c r="NS226" s="6056"/>
      <c r="NT226" s="6056"/>
      <c r="NU226" s="6056"/>
      <c r="NV226" s="6056"/>
      <c r="NW226" s="6056"/>
      <c r="NX226" s="6056"/>
      <c r="NY226" s="6056"/>
      <c r="NZ226" s="6056"/>
      <c r="OA226" s="6056"/>
      <c r="OB226" s="6056"/>
      <c r="OC226" s="6056"/>
      <c r="OD226" s="6056"/>
      <c r="OE226" s="6056"/>
      <c r="OF226" s="6056"/>
      <c r="OG226" s="6056"/>
      <c r="OH226" s="6056"/>
      <c r="OI226" s="6056"/>
      <c r="OJ226" s="6056"/>
      <c r="OK226" s="6056"/>
      <c r="OL226" s="6056"/>
      <c r="OM226" s="6056"/>
      <c r="ON226" s="6058"/>
    </row>
    <row r="227" spans="3:405" ht="8.1" customHeight="1" x14ac:dyDescent="0.2">
      <c r="C227" s="6055"/>
      <c r="D227" s="6082"/>
      <c r="E227" s="6083"/>
      <c r="F227" s="6083"/>
      <c r="G227" s="6083"/>
      <c r="H227" s="6083"/>
      <c r="I227" s="6083"/>
      <c r="J227" s="6083"/>
      <c r="K227" s="6083"/>
      <c r="L227" s="6083"/>
      <c r="M227" s="6083"/>
      <c r="N227" s="6083"/>
      <c r="O227" s="6083"/>
      <c r="P227" s="6083"/>
      <c r="Q227" s="6083"/>
      <c r="R227" s="6083"/>
      <c r="S227" s="6083"/>
      <c r="T227" s="6083"/>
      <c r="U227" s="6083"/>
      <c r="V227" s="6083"/>
      <c r="W227" s="6083"/>
      <c r="X227" s="6083"/>
      <c r="Y227" s="6083"/>
      <c r="Z227" s="6083"/>
      <c r="AA227" s="6083"/>
      <c r="AB227" s="6083"/>
      <c r="AC227" s="6083"/>
      <c r="AD227" s="6083"/>
      <c r="AE227" s="6083"/>
      <c r="AF227" s="6083"/>
      <c r="AG227" s="6083"/>
      <c r="AH227" s="6083"/>
      <c r="AI227" s="6083"/>
      <c r="AJ227" s="6083"/>
      <c r="AK227" s="6083"/>
      <c r="AL227" s="6083"/>
      <c r="AM227" s="6083"/>
      <c r="AN227" s="6083"/>
      <c r="AO227" s="6083"/>
      <c r="AP227" s="6083"/>
      <c r="AQ227" s="6084"/>
      <c r="AR227" s="6058"/>
      <c r="AV227" s="6055"/>
      <c r="AW227" s="6082"/>
      <c r="AX227" s="6083"/>
      <c r="AY227" s="6083"/>
      <c r="AZ227" s="6083"/>
      <c r="BA227" s="6083"/>
      <c r="BB227" s="6083"/>
      <c r="BC227" s="6083"/>
      <c r="BD227" s="6083"/>
      <c r="BE227" s="6083"/>
      <c r="BF227" s="6083"/>
      <c r="BG227" s="6083"/>
      <c r="BH227" s="6083"/>
      <c r="BI227" s="6083"/>
      <c r="BJ227" s="6083"/>
      <c r="BK227" s="6083"/>
      <c r="BL227" s="6083"/>
      <c r="BM227" s="6083"/>
      <c r="BN227" s="6083"/>
      <c r="BO227" s="6083"/>
      <c r="BP227" s="6083"/>
      <c r="BQ227" s="6083"/>
      <c r="BR227" s="6083"/>
      <c r="BS227" s="6083"/>
      <c r="BT227" s="6083"/>
      <c r="BU227" s="6083"/>
      <c r="BV227" s="6083"/>
      <c r="BW227" s="6083"/>
      <c r="BX227" s="6083"/>
      <c r="BY227" s="6083"/>
      <c r="BZ227" s="6083"/>
      <c r="CA227" s="6083"/>
      <c r="CB227" s="6083"/>
      <c r="CC227" s="6083"/>
      <c r="CD227" s="6083"/>
      <c r="CE227" s="6083"/>
      <c r="CF227" s="6083"/>
      <c r="CG227" s="6083"/>
      <c r="CH227" s="6083"/>
      <c r="CI227" s="6083"/>
      <c r="CJ227" s="6084"/>
      <c r="CK227" s="6058"/>
      <c r="CO227" s="6055"/>
      <c r="CP227" s="6082"/>
      <c r="CQ227" s="6083"/>
      <c r="CR227" s="6083"/>
      <c r="CS227" s="6083"/>
      <c r="CT227" s="6083"/>
      <c r="CU227" s="6083"/>
      <c r="CV227" s="6083"/>
      <c r="CW227" s="6083"/>
      <c r="CX227" s="6083"/>
      <c r="CY227" s="6083"/>
      <c r="CZ227" s="6083"/>
      <c r="DA227" s="6083"/>
      <c r="DB227" s="6083"/>
      <c r="DC227" s="6083"/>
      <c r="DD227" s="6083"/>
      <c r="DE227" s="6083"/>
      <c r="DF227" s="6083"/>
      <c r="DG227" s="6083"/>
      <c r="DH227" s="6083"/>
      <c r="DI227" s="6083"/>
      <c r="DJ227" s="6083"/>
      <c r="DK227" s="6083"/>
      <c r="DL227" s="6083"/>
      <c r="DM227" s="6083"/>
      <c r="DN227" s="6083"/>
      <c r="DO227" s="6083"/>
      <c r="DP227" s="6083"/>
      <c r="DQ227" s="6083"/>
      <c r="DR227" s="6083"/>
      <c r="DS227" s="6083"/>
      <c r="DT227" s="6083"/>
      <c r="DU227" s="6083"/>
      <c r="DV227" s="6083"/>
      <c r="DW227" s="6083"/>
      <c r="DX227" s="6083"/>
      <c r="DY227" s="6083"/>
      <c r="DZ227" s="6083"/>
      <c r="EA227" s="6083"/>
      <c r="EB227" s="6083"/>
      <c r="EC227" s="6084"/>
      <c r="ED227" s="6058"/>
      <c r="EH227" s="6055"/>
      <c r="EI227" s="6082"/>
      <c r="EJ227" s="6083"/>
      <c r="EK227" s="6083"/>
      <c r="EL227" s="6083"/>
      <c r="EM227" s="6083"/>
      <c r="EN227" s="6083"/>
      <c r="EO227" s="6083"/>
      <c r="EP227" s="6083"/>
      <c r="EQ227" s="6083"/>
      <c r="ER227" s="6083"/>
      <c r="ES227" s="6083"/>
      <c r="ET227" s="6083"/>
      <c r="EU227" s="6083"/>
      <c r="EV227" s="6083"/>
      <c r="EW227" s="6083"/>
      <c r="EX227" s="6083"/>
      <c r="EY227" s="6083"/>
      <c r="EZ227" s="6083"/>
      <c r="FA227" s="6083"/>
      <c r="FB227" s="6083"/>
      <c r="FC227" s="6083"/>
      <c r="FD227" s="6083"/>
      <c r="FE227" s="6083"/>
      <c r="FF227" s="6083"/>
      <c r="FG227" s="6083"/>
      <c r="FH227" s="6083"/>
      <c r="FI227" s="6083"/>
      <c r="FJ227" s="6083"/>
      <c r="FK227" s="6083"/>
      <c r="FL227" s="6083"/>
      <c r="FM227" s="6083"/>
      <c r="FN227" s="6083"/>
      <c r="FO227" s="6083"/>
      <c r="FP227" s="6083"/>
      <c r="FQ227" s="6083"/>
      <c r="FR227" s="6083"/>
      <c r="FS227" s="6083"/>
      <c r="FT227" s="6083"/>
      <c r="FU227" s="6083"/>
      <c r="FV227" s="6084"/>
      <c r="FW227" s="6058"/>
      <c r="GA227" s="6055"/>
      <c r="GB227" s="6082"/>
      <c r="GC227" s="6083"/>
      <c r="GD227" s="6083"/>
      <c r="GE227" s="6083"/>
      <c r="GF227" s="6083"/>
      <c r="GG227" s="6083"/>
      <c r="GH227" s="6083"/>
      <c r="GI227" s="6083"/>
      <c r="GJ227" s="6083"/>
      <c r="GK227" s="6083"/>
      <c r="GL227" s="6083"/>
      <c r="GM227" s="6083"/>
      <c r="GN227" s="6083"/>
      <c r="GO227" s="6083"/>
      <c r="GP227" s="6083"/>
      <c r="GQ227" s="6083"/>
      <c r="GR227" s="6083"/>
      <c r="GS227" s="6083"/>
      <c r="GT227" s="6083"/>
      <c r="GU227" s="6083"/>
      <c r="GV227" s="6083"/>
      <c r="GW227" s="6083"/>
      <c r="GX227" s="6083"/>
      <c r="GY227" s="6083"/>
      <c r="GZ227" s="6083"/>
      <c r="HA227" s="6083"/>
      <c r="HB227" s="6083"/>
      <c r="HC227" s="6083"/>
      <c r="HD227" s="6083"/>
      <c r="HE227" s="6083"/>
      <c r="HF227" s="6083"/>
      <c r="HG227" s="6083"/>
      <c r="HH227" s="6083"/>
      <c r="HI227" s="6083"/>
      <c r="HJ227" s="6083"/>
      <c r="HK227" s="6083"/>
      <c r="HL227" s="6083"/>
      <c r="HM227" s="6083"/>
      <c r="HN227" s="6083"/>
      <c r="HO227" s="6084"/>
      <c r="HP227" s="6058"/>
      <c r="HT227" s="6055"/>
      <c r="HU227" s="6082"/>
      <c r="HV227" s="6083"/>
      <c r="HW227" s="6083"/>
      <c r="HX227" s="6083"/>
      <c r="HY227" s="6083"/>
      <c r="HZ227" s="6083"/>
      <c r="IA227" s="6083"/>
      <c r="IB227" s="6083"/>
      <c r="IC227" s="6083"/>
      <c r="ID227" s="6083"/>
      <c r="IE227" s="6083"/>
      <c r="IF227" s="6083"/>
      <c r="IG227" s="6083"/>
      <c r="IH227" s="6083"/>
      <c r="II227" s="6083"/>
      <c r="IJ227" s="6083"/>
      <c r="IK227" s="6083"/>
      <c r="IL227" s="6083"/>
      <c r="IM227" s="6083"/>
      <c r="IN227" s="6083"/>
      <c r="IO227" s="6083"/>
      <c r="IP227" s="6083"/>
      <c r="IQ227" s="6083"/>
      <c r="IR227" s="6083"/>
      <c r="IS227" s="6083"/>
      <c r="IT227" s="6083"/>
      <c r="IU227" s="6083"/>
      <c r="IV227" s="6083"/>
      <c r="IW227" s="6083"/>
      <c r="IX227" s="6083"/>
      <c r="IY227" s="6083"/>
      <c r="IZ227" s="6083"/>
      <c r="JA227" s="6083"/>
      <c r="JB227" s="6083"/>
      <c r="JC227" s="6083"/>
      <c r="JD227" s="6083"/>
      <c r="JE227" s="6083"/>
      <c r="JF227" s="6083"/>
      <c r="JG227" s="6083"/>
      <c r="JH227" s="6084"/>
      <c r="JI227" s="6058"/>
      <c r="JM227" s="6055"/>
      <c r="JN227" s="6082"/>
      <c r="JO227" s="6083"/>
      <c r="JP227" s="6083"/>
      <c r="JQ227" s="6083"/>
      <c r="JR227" s="6083"/>
      <c r="JS227" s="6083"/>
      <c r="JT227" s="6083"/>
      <c r="JU227" s="6083"/>
      <c r="JV227" s="6083"/>
      <c r="JW227" s="6083"/>
      <c r="JX227" s="6083"/>
      <c r="JY227" s="6083"/>
      <c r="JZ227" s="6083"/>
      <c r="KA227" s="6083"/>
      <c r="KB227" s="6083"/>
      <c r="KC227" s="6083"/>
      <c r="KD227" s="6083"/>
      <c r="KE227" s="6083"/>
      <c r="KF227" s="6083"/>
      <c r="KG227" s="6083"/>
      <c r="KH227" s="6083"/>
      <c r="KI227" s="6083"/>
      <c r="KJ227" s="6083"/>
      <c r="KK227" s="6083"/>
      <c r="KL227" s="6083"/>
      <c r="KM227" s="6083"/>
      <c r="KN227" s="6083"/>
      <c r="KO227" s="6083"/>
      <c r="KP227" s="6083"/>
      <c r="KQ227" s="6083"/>
      <c r="KR227" s="6083"/>
      <c r="KS227" s="6083"/>
      <c r="KT227" s="6083"/>
      <c r="KU227" s="6083"/>
      <c r="KV227" s="6083"/>
      <c r="KW227" s="6083"/>
      <c r="KX227" s="6083"/>
      <c r="KY227" s="6083"/>
      <c r="KZ227" s="6083"/>
      <c r="LA227" s="6084"/>
      <c r="LB227" s="6058"/>
      <c r="LF227" s="6055"/>
      <c r="LG227" s="6082"/>
      <c r="LH227" s="6083"/>
      <c r="LI227" s="6083"/>
      <c r="LJ227" s="6083"/>
      <c r="LK227" s="6083"/>
      <c r="LL227" s="6083"/>
      <c r="LM227" s="6083"/>
      <c r="LN227" s="6083"/>
      <c r="LO227" s="6083"/>
      <c r="LP227" s="6083"/>
      <c r="LQ227" s="6083"/>
      <c r="LR227" s="6083"/>
      <c r="LS227" s="6083"/>
      <c r="LT227" s="6083"/>
      <c r="LU227" s="6083"/>
      <c r="LV227" s="6083"/>
      <c r="LW227" s="6083"/>
      <c r="LX227" s="6083"/>
      <c r="LY227" s="6083"/>
      <c r="LZ227" s="6083"/>
      <c r="MA227" s="6083"/>
      <c r="MB227" s="6083"/>
      <c r="MC227" s="6083"/>
      <c r="MD227" s="6083"/>
      <c r="ME227" s="6083"/>
      <c r="MF227" s="6083"/>
      <c r="MG227" s="6083"/>
      <c r="MH227" s="6083"/>
      <c r="MI227" s="6083"/>
      <c r="MJ227" s="6083"/>
      <c r="MK227" s="6083"/>
      <c r="ML227" s="6083"/>
      <c r="MM227" s="6083"/>
      <c r="MN227" s="6083"/>
      <c r="MO227" s="6083"/>
      <c r="MP227" s="6083"/>
      <c r="MQ227" s="6083"/>
      <c r="MR227" s="6083"/>
      <c r="MS227" s="6083"/>
      <c r="MT227" s="6084"/>
      <c r="MU227" s="6058"/>
      <c r="MY227" s="6055"/>
      <c r="MZ227" s="6082"/>
      <c r="NA227" s="6083"/>
      <c r="NB227" s="6083"/>
      <c r="NC227" s="6083"/>
      <c r="ND227" s="6083"/>
      <c r="NE227" s="6083"/>
      <c r="NF227" s="6083"/>
      <c r="NG227" s="6083"/>
      <c r="NH227" s="6083"/>
      <c r="NI227" s="6083"/>
      <c r="NJ227" s="6083"/>
      <c r="NK227" s="6083"/>
      <c r="NL227" s="6083"/>
      <c r="NM227" s="6083"/>
      <c r="NN227" s="6083"/>
      <c r="NO227" s="6083"/>
      <c r="NP227" s="6083"/>
      <c r="NQ227" s="6083"/>
      <c r="NR227" s="6083"/>
      <c r="NS227" s="6083"/>
      <c r="NT227" s="6083"/>
      <c r="NU227" s="6083"/>
      <c r="NV227" s="6083"/>
      <c r="NW227" s="6083"/>
      <c r="NX227" s="6083"/>
      <c r="NY227" s="6083"/>
      <c r="NZ227" s="6083"/>
      <c r="OA227" s="6083"/>
      <c r="OB227" s="6083"/>
      <c r="OC227" s="6083"/>
      <c r="OD227" s="6083"/>
      <c r="OE227" s="6083"/>
      <c r="OF227" s="6083"/>
      <c r="OG227" s="6083"/>
      <c r="OH227" s="6083"/>
      <c r="OI227" s="6083"/>
      <c r="OJ227" s="6083"/>
      <c r="OK227" s="6083"/>
      <c r="OL227" s="6083"/>
      <c r="OM227" s="6084"/>
      <c r="ON227" s="6058"/>
    </row>
    <row r="228" spans="3:405" ht="408.95" customHeight="1" x14ac:dyDescent="0.2">
      <c r="C228" s="6055"/>
      <c r="D228" s="6040"/>
      <c r="E228" s="6782" t="str">
        <f>_Calcs!$IK$174</f>
        <v>-</v>
      </c>
      <c r="F228" s="6782"/>
      <c r="G228" s="6782"/>
      <c r="H228" s="6782"/>
      <c r="I228" s="6782"/>
      <c r="J228" s="6782"/>
      <c r="K228" s="6782"/>
      <c r="L228" s="6782"/>
      <c r="M228" s="6782"/>
      <c r="N228" s="6782"/>
      <c r="O228" s="6782"/>
      <c r="P228" s="6782"/>
      <c r="Q228" s="6782"/>
      <c r="R228" s="6782"/>
      <c r="S228" s="6782"/>
      <c r="T228" s="6782"/>
      <c r="U228" s="6782"/>
      <c r="V228" s="6782"/>
      <c r="W228" s="6782"/>
      <c r="X228" s="6782"/>
      <c r="Y228" s="6782"/>
      <c r="Z228" s="6782"/>
      <c r="AA228" s="6782"/>
      <c r="AB228" s="6782"/>
      <c r="AC228" s="6782"/>
      <c r="AD228" s="6782"/>
      <c r="AE228" s="6782"/>
      <c r="AF228" s="6782"/>
      <c r="AG228" s="6782"/>
      <c r="AH228" s="6782"/>
      <c r="AI228" s="6782"/>
      <c r="AJ228" s="6782"/>
      <c r="AK228" s="6782"/>
      <c r="AL228" s="6782"/>
      <c r="AM228" s="6782"/>
      <c r="AN228" s="6782"/>
      <c r="AO228" s="6782"/>
      <c r="AP228" s="6782"/>
      <c r="AQ228" s="6085"/>
      <c r="AR228" s="6058"/>
      <c r="AV228" s="6055"/>
      <c r="AW228" s="6040"/>
      <c r="AX228" s="6782" t="str">
        <f>_Calcs!$IL$174</f>
        <v>-</v>
      </c>
      <c r="AY228" s="6782"/>
      <c r="AZ228" s="6782"/>
      <c r="BA228" s="6782"/>
      <c r="BB228" s="6782"/>
      <c r="BC228" s="6782"/>
      <c r="BD228" s="6782"/>
      <c r="BE228" s="6782"/>
      <c r="BF228" s="6782"/>
      <c r="BG228" s="6782"/>
      <c r="BH228" s="6782"/>
      <c r="BI228" s="6782"/>
      <c r="BJ228" s="6782"/>
      <c r="BK228" s="6782"/>
      <c r="BL228" s="6782"/>
      <c r="BM228" s="6782"/>
      <c r="BN228" s="6782"/>
      <c r="BO228" s="6782"/>
      <c r="BP228" s="6782"/>
      <c r="BQ228" s="6782"/>
      <c r="BR228" s="6782"/>
      <c r="BS228" s="6782"/>
      <c r="BT228" s="6782"/>
      <c r="BU228" s="6782"/>
      <c r="BV228" s="6782"/>
      <c r="BW228" s="6782"/>
      <c r="BX228" s="6782"/>
      <c r="BY228" s="6782"/>
      <c r="BZ228" s="6782"/>
      <c r="CA228" s="6782"/>
      <c r="CB228" s="6782"/>
      <c r="CC228" s="6782"/>
      <c r="CD228" s="6782"/>
      <c r="CE228" s="6782"/>
      <c r="CF228" s="6782"/>
      <c r="CG228" s="6782"/>
      <c r="CH228" s="6782"/>
      <c r="CI228" s="6782"/>
      <c r="CJ228" s="6085"/>
      <c r="CK228" s="6058"/>
      <c r="CO228" s="6055"/>
      <c r="CP228" s="6040"/>
      <c r="CQ228" s="6782" t="str">
        <f>_Calcs!$IM$174</f>
        <v>-</v>
      </c>
      <c r="CR228" s="6782"/>
      <c r="CS228" s="6782"/>
      <c r="CT228" s="6782"/>
      <c r="CU228" s="6782"/>
      <c r="CV228" s="6782"/>
      <c r="CW228" s="6782"/>
      <c r="CX228" s="6782"/>
      <c r="CY228" s="6782"/>
      <c r="CZ228" s="6782"/>
      <c r="DA228" s="6782"/>
      <c r="DB228" s="6782"/>
      <c r="DC228" s="6782"/>
      <c r="DD228" s="6782"/>
      <c r="DE228" s="6782"/>
      <c r="DF228" s="6782"/>
      <c r="DG228" s="6782"/>
      <c r="DH228" s="6782"/>
      <c r="DI228" s="6782"/>
      <c r="DJ228" s="6782"/>
      <c r="DK228" s="6782"/>
      <c r="DL228" s="6782"/>
      <c r="DM228" s="6782"/>
      <c r="DN228" s="6782"/>
      <c r="DO228" s="6782"/>
      <c r="DP228" s="6782"/>
      <c r="DQ228" s="6782"/>
      <c r="DR228" s="6782"/>
      <c r="DS228" s="6782"/>
      <c r="DT228" s="6782"/>
      <c r="DU228" s="6782"/>
      <c r="DV228" s="6782"/>
      <c r="DW228" s="6782"/>
      <c r="DX228" s="6782"/>
      <c r="DY228" s="6782"/>
      <c r="DZ228" s="6782"/>
      <c r="EA228" s="6782"/>
      <c r="EB228" s="6782"/>
      <c r="EC228" s="6085"/>
      <c r="ED228" s="6058"/>
      <c r="EH228" s="6055"/>
      <c r="EI228" s="6040"/>
      <c r="EJ228" s="6782" t="str">
        <f>_Calcs!$IN$174</f>
        <v>-</v>
      </c>
      <c r="EK228" s="6782"/>
      <c r="EL228" s="6782"/>
      <c r="EM228" s="6782"/>
      <c r="EN228" s="6782"/>
      <c r="EO228" s="6782"/>
      <c r="EP228" s="6782"/>
      <c r="EQ228" s="6782"/>
      <c r="ER228" s="6782"/>
      <c r="ES228" s="6782"/>
      <c r="ET228" s="6782"/>
      <c r="EU228" s="6782"/>
      <c r="EV228" s="6782"/>
      <c r="EW228" s="6782"/>
      <c r="EX228" s="6782"/>
      <c r="EY228" s="6782"/>
      <c r="EZ228" s="6782"/>
      <c r="FA228" s="6782"/>
      <c r="FB228" s="6782"/>
      <c r="FC228" s="6782"/>
      <c r="FD228" s="6782"/>
      <c r="FE228" s="6782"/>
      <c r="FF228" s="6782"/>
      <c r="FG228" s="6782"/>
      <c r="FH228" s="6782"/>
      <c r="FI228" s="6782"/>
      <c r="FJ228" s="6782"/>
      <c r="FK228" s="6782"/>
      <c r="FL228" s="6782"/>
      <c r="FM228" s="6782"/>
      <c r="FN228" s="6782"/>
      <c r="FO228" s="6782"/>
      <c r="FP228" s="6782"/>
      <c r="FQ228" s="6782"/>
      <c r="FR228" s="6782"/>
      <c r="FS228" s="6782"/>
      <c r="FT228" s="6782"/>
      <c r="FU228" s="6782"/>
      <c r="FV228" s="6085"/>
      <c r="FW228" s="6058"/>
      <c r="GA228" s="6055"/>
      <c r="GB228" s="6040"/>
      <c r="GC228" s="6782" t="str">
        <f>_Calcs!$IO$174</f>
        <v>-</v>
      </c>
      <c r="GD228" s="6782"/>
      <c r="GE228" s="6782"/>
      <c r="GF228" s="6782"/>
      <c r="GG228" s="6782"/>
      <c r="GH228" s="6782"/>
      <c r="GI228" s="6782"/>
      <c r="GJ228" s="6782"/>
      <c r="GK228" s="6782"/>
      <c r="GL228" s="6782"/>
      <c r="GM228" s="6782"/>
      <c r="GN228" s="6782"/>
      <c r="GO228" s="6782"/>
      <c r="GP228" s="6782"/>
      <c r="GQ228" s="6782"/>
      <c r="GR228" s="6782"/>
      <c r="GS228" s="6782"/>
      <c r="GT228" s="6782"/>
      <c r="GU228" s="6782"/>
      <c r="GV228" s="6782"/>
      <c r="GW228" s="6782"/>
      <c r="GX228" s="6782"/>
      <c r="GY228" s="6782"/>
      <c r="GZ228" s="6782"/>
      <c r="HA228" s="6782"/>
      <c r="HB228" s="6782"/>
      <c r="HC228" s="6782"/>
      <c r="HD228" s="6782"/>
      <c r="HE228" s="6782"/>
      <c r="HF228" s="6782"/>
      <c r="HG228" s="6782"/>
      <c r="HH228" s="6782"/>
      <c r="HI228" s="6782"/>
      <c r="HJ228" s="6782"/>
      <c r="HK228" s="6782"/>
      <c r="HL228" s="6782"/>
      <c r="HM228" s="6782"/>
      <c r="HN228" s="6782"/>
      <c r="HO228" s="6085"/>
      <c r="HP228" s="6058"/>
      <c r="HT228" s="6055"/>
      <c r="HU228" s="6040"/>
      <c r="HV228" s="6782" t="str">
        <f>_Calcs!$IP$174</f>
        <v>-</v>
      </c>
      <c r="HW228" s="6782"/>
      <c r="HX228" s="6782"/>
      <c r="HY228" s="6782"/>
      <c r="HZ228" s="6782"/>
      <c r="IA228" s="6782"/>
      <c r="IB228" s="6782"/>
      <c r="IC228" s="6782"/>
      <c r="ID228" s="6782"/>
      <c r="IE228" s="6782"/>
      <c r="IF228" s="6782"/>
      <c r="IG228" s="6782"/>
      <c r="IH228" s="6782"/>
      <c r="II228" s="6782"/>
      <c r="IJ228" s="6782"/>
      <c r="IK228" s="6782"/>
      <c r="IL228" s="6782"/>
      <c r="IM228" s="6782"/>
      <c r="IN228" s="6782"/>
      <c r="IO228" s="6782"/>
      <c r="IP228" s="6782"/>
      <c r="IQ228" s="6782"/>
      <c r="IR228" s="6782"/>
      <c r="IS228" s="6782"/>
      <c r="IT228" s="6782"/>
      <c r="IU228" s="6782"/>
      <c r="IV228" s="6782"/>
      <c r="IW228" s="6782"/>
      <c r="IX228" s="6782"/>
      <c r="IY228" s="6782"/>
      <c r="IZ228" s="6782"/>
      <c r="JA228" s="6782"/>
      <c r="JB228" s="6782"/>
      <c r="JC228" s="6782"/>
      <c r="JD228" s="6782"/>
      <c r="JE228" s="6782"/>
      <c r="JF228" s="6782"/>
      <c r="JG228" s="6782"/>
      <c r="JH228" s="6085"/>
      <c r="JI228" s="6058"/>
      <c r="JM228" s="6055"/>
      <c r="JN228" s="6040"/>
      <c r="JO228" s="6782" t="str">
        <f>_Calcs!$IQ$174</f>
        <v>-</v>
      </c>
      <c r="JP228" s="6782"/>
      <c r="JQ228" s="6782"/>
      <c r="JR228" s="6782"/>
      <c r="JS228" s="6782"/>
      <c r="JT228" s="6782"/>
      <c r="JU228" s="6782"/>
      <c r="JV228" s="6782"/>
      <c r="JW228" s="6782"/>
      <c r="JX228" s="6782"/>
      <c r="JY228" s="6782"/>
      <c r="JZ228" s="6782"/>
      <c r="KA228" s="6782"/>
      <c r="KB228" s="6782"/>
      <c r="KC228" s="6782"/>
      <c r="KD228" s="6782"/>
      <c r="KE228" s="6782"/>
      <c r="KF228" s="6782"/>
      <c r="KG228" s="6782"/>
      <c r="KH228" s="6782"/>
      <c r="KI228" s="6782"/>
      <c r="KJ228" s="6782"/>
      <c r="KK228" s="6782"/>
      <c r="KL228" s="6782"/>
      <c r="KM228" s="6782"/>
      <c r="KN228" s="6782"/>
      <c r="KO228" s="6782"/>
      <c r="KP228" s="6782"/>
      <c r="KQ228" s="6782"/>
      <c r="KR228" s="6782"/>
      <c r="KS228" s="6782"/>
      <c r="KT228" s="6782"/>
      <c r="KU228" s="6782"/>
      <c r="KV228" s="6782"/>
      <c r="KW228" s="6782"/>
      <c r="KX228" s="6782"/>
      <c r="KY228" s="6782"/>
      <c r="KZ228" s="6782"/>
      <c r="LA228" s="6085"/>
      <c r="LB228" s="6058"/>
      <c r="LF228" s="6055"/>
      <c r="LG228" s="6040"/>
      <c r="LH228" s="6782" t="str">
        <f>_Calcs!$IR$174</f>
        <v>-</v>
      </c>
      <c r="LI228" s="6782"/>
      <c r="LJ228" s="6782"/>
      <c r="LK228" s="6782"/>
      <c r="LL228" s="6782"/>
      <c r="LM228" s="6782"/>
      <c r="LN228" s="6782"/>
      <c r="LO228" s="6782"/>
      <c r="LP228" s="6782"/>
      <c r="LQ228" s="6782"/>
      <c r="LR228" s="6782"/>
      <c r="LS228" s="6782"/>
      <c r="LT228" s="6782"/>
      <c r="LU228" s="6782"/>
      <c r="LV228" s="6782"/>
      <c r="LW228" s="6782"/>
      <c r="LX228" s="6782"/>
      <c r="LY228" s="6782"/>
      <c r="LZ228" s="6782"/>
      <c r="MA228" s="6782"/>
      <c r="MB228" s="6782"/>
      <c r="MC228" s="6782"/>
      <c r="MD228" s="6782"/>
      <c r="ME228" s="6782"/>
      <c r="MF228" s="6782"/>
      <c r="MG228" s="6782"/>
      <c r="MH228" s="6782"/>
      <c r="MI228" s="6782"/>
      <c r="MJ228" s="6782"/>
      <c r="MK228" s="6782"/>
      <c r="ML228" s="6782"/>
      <c r="MM228" s="6782"/>
      <c r="MN228" s="6782"/>
      <c r="MO228" s="6782"/>
      <c r="MP228" s="6782"/>
      <c r="MQ228" s="6782"/>
      <c r="MR228" s="6782"/>
      <c r="MS228" s="6782"/>
      <c r="MT228" s="6085"/>
      <c r="MU228" s="6058"/>
      <c r="MY228" s="6055"/>
      <c r="MZ228" s="6040"/>
      <c r="NA228" s="6782" t="str">
        <f>_Calcs!$IS$174</f>
        <v>-</v>
      </c>
      <c r="NB228" s="6782"/>
      <c r="NC228" s="6782"/>
      <c r="ND228" s="6782"/>
      <c r="NE228" s="6782"/>
      <c r="NF228" s="6782"/>
      <c r="NG228" s="6782"/>
      <c r="NH228" s="6782"/>
      <c r="NI228" s="6782"/>
      <c r="NJ228" s="6782"/>
      <c r="NK228" s="6782"/>
      <c r="NL228" s="6782"/>
      <c r="NM228" s="6782"/>
      <c r="NN228" s="6782"/>
      <c r="NO228" s="6782"/>
      <c r="NP228" s="6782"/>
      <c r="NQ228" s="6782"/>
      <c r="NR228" s="6782"/>
      <c r="NS228" s="6782"/>
      <c r="NT228" s="6782"/>
      <c r="NU228" s="6782"/>
      <c r="NV228" s="6782"/>
      <c r="NW228" s="6782"/>
      <c r="NX228" s="6782"/>
      <c r="NY228" s="6782"/>
      <c r="NZ228" s="6782"/>
      <c r="OA228" s="6782"/>
      <c r="OB228" s="6782"/>
      <c r="OC228" s="6782"/>
      <c r="OD228" s="6782"/>
      <c r="OE228" s="6782"/>
      <c r="OF228" s="6782"/>
      <c r="OG228" s="6782"/>
      <c r="OH228" s="6782"/>
      <c r="OI228" s="6782"/>
      <c r="OJ228" s="6782"/>
      <c r="OK228" s="6782"/>
      <c r="OL228" s="6782"/>
      <c r="OM228" s="6085"/>
      <c r="ON228" s="6058"/>
    </row>
    <row r="229" spans="3:405" ht="8.1" customHeight="1" thickBot="1" x14ac:dyDescent="0.25">
      <c r="C229" s="6055"/>
      <c r="D229" s="6044"/>
      <c r="E229" s="6046"/>
      <c r="F229" s="6046"/>
      <c r="G229" s="6046"/>
      <c r="H229" s="6046"/>
      <c r="I229" s="6046"/>
      <c r="J229" s="6046"/>
      <c r="K229" s="6046"/>
      <c r="L229" s="6046"/>
      <c r="M229" s="6046"/>
      <c r="N229" s="6046"/>
      <c r="O229" s="6046"/>
      <c r="P229" s="6046"/>
      <c r="Q229" s="6046"/>
      <c r="R229" s="6046"/>
      <c r="S229" s="6046"/>
      <c r="T229" s="6046"/>
      <c r="U229" s="6046"/>
      <c r="V229" s="6086"/>
      <c r="W229" s="6086"/>
      <c r="X229" s="6086"/>
      <c r="Y229" s="6086"/>
      <c r="Z229" s="6086"/>
      <c r="AA229" s="6046"/>
      <c r="AB229" s="6086"/>
      <c r="AC229" s="6086"/>
      <c r="AD229" s="6086"/>
      <c r="AE229" s="6046"/>
      <c r="AF229" s="6086"/>
      <c r="AG229" s="6086"/>
      <c r="AH229" s="6086"/>
      <c r="AI229" s="6086"/>
      <c r="AJ229" s="6086"/>
      <c r="AK229" s="6086"/>
      <c r="AL229" s="6086"/>
      <c r="AM229" s="6086"/>
      <c r="AN229" s="6086"/>
      <c r="AO229" s="6086"/>
      <c r="AP229" s="6086"/>
      <c r="AQ229" s="6048"/>
      <c r="AR229" s="6058"/>
      <c r="AV229" s="6055"/>
      <c r="AW229" s="6044"/>
      <c r="AX229" s="6046"/>
      <c r="AY229" s="6046"/>
      <c r="AZ229" s="6046"/>
      <c r="BA229" s="6046"/>
      <c r="BB229" s="6046"/>
      <c r="BC229" s="6046"/>
      <c r="BD229" s="6046"/>
      <c r="BE229" s="6046"/>
      <c r="BF229" s="6046"/>
      <c r="BG229" s="6046"/>
      <c r="BH229" s="6046"/>
      <c r="BI229" s="6046"/>
      <c r="BJ229" s="6046"/>
      <c r="BK229" s="6046"/>
      <c r="BL229" s="6046"/>
      <c r="BM229" s="6046"/>
      <c r="BN229" s="6046"/>
      <c r="BO229" s="6086"/>
      <c r="BP229" s="6086"/>
      <c r="BQ229" s="6086"/>
      <c r="BR229" s="6086"/>
      <c r="BS229" s="6086"/>
      <c r="BT229" s="6046"/>
      <c r="BU229" s="6086"/>
      <c r="BV229" s="6086"/>
      <c r="BW229" s="6086"/>
      <c r="BX229" s="6046"/>
      <c r="BY229" s="6086"/>
      <c r="BZ229" s="6086"/>
      <c r="CA229" s="6086"/>
      <c r="CB229" s="6086"/>
      <c r="CC229" s="6086"/>
      <c r="CD229" s="6086"/>
      <c r="CE229" s="6086"/>
      <c r="CF229" s="6086"/>
      <c r="CG229" s="6086"/>
      <c r="CH229" s="6086"/>
      <c r="CI229" s="6086"/>
      <c r="CJ229" s="6048"/>
      <c r="CK229" s="6058"/>
      <c r="CO229" s="6055"/>
      <c r="CP229" s="6044"/>
      <c r="CQ229" s="6046"/>
      <c r="CR229" s="6046"/>
      <c r="CS229" s="6046"/>
      <c r="CT229" s="6046"/>
      <c r="CU229" s="6046"/>
      <c r="CV229" s="6046"/>
      <c r="CW229" s="6046"/>
      <c r="CX229" s="6046"/>
      <c r="CY229" s="6046"/>
      <c r="CZ229" s="6046"/>
      <c r="DA229" s="6046"/>
      <c r="DB229" s="6046"/>
      <c r="DC229" s="6046"/>
      <c r="DD229" s="6046"/>
      <c r="DE229" s="6046"/>
      <c r="DF229" s="6046"/>
      <c r="DG229" s="6046"/>
      <c r="DH229" s="6086"/>
      <c r="DI229" s="6086"/>
      <c r="DJ229" s="6086"/>
      <c r="DK229" s="6086"/>
      <c r="DL229" s="6086"/>
      <c r="DM229" s="6046"/>
      <c r="DN229" s="6086"/>
      <c r="DO229" s="6086"/>
      <c r="DP229" s="6086"/>
      <c r="DQ229" s="6046"/>
      <c r="DR229" s="6086"/>
      <c r="DS229" s="6086"/>
      <c r="DT229" s="6086"/>
      <c r="DU229" s="6086"/>
      <c r="DV229" s="6086"/>
      <c r="DW229" s="6086"/>
      <c r="DX229" s="6086"/>
      <c r="DY229" s="6086"/>
      <c r="DZ229" s="6086"/>
      <c r="EA229" s="6086"/>
      <c r="EB229" s="6086"/>
      <c r="EC229" s="6048"/>
      <c r="ED229" s="6058"/>
      <c r="EH229" s="6055"/>
      <c r="EI229" s="6044"/>
      <c r="EJ229" s="6046"/>
      <c r="EK229" s="6046"/>
      <c r="EL229" s="6046"/>
      <c r="EM229" s="6046"/>
      <c r="EN229" s="6046"/>
      <c r="EO229" s="6046"/>
      <c r="EP229" s="6046"/>
      <c r="EQ229" s="6046"/>
      <c r="ER229" s="6046"/>
      <c r="ES229" s="6046"/>
      <c r="ET229" s="6046"/>
      <c r="EU229" s="6046"/>
      <c r="EV229" s="6046"/>
      <c r="EW229" s="6046"/>
      <c r="EX229" s="6046"/>
      <c r="EY229" s="6046"/>
      <c r="EZ229" s="6046"/>
      <c r="FA229" s="6086"/>
      <c r="FB229" s="6086"/>
      <c r="FC229" s="6086"/>
      <c r="FD229" s="6086"/>
      <c r="FE229" s="6086"/>
      <c r="FF229" s="6046"/>
      <c r="FG229" s="6086"/>
      <c r="FH229" s="6086"/>
      <c r="FI229" s="6086"/>
      <c r="FJ229" s="6046"/>
      <c r="FK229" s="6086"/>
      <c r="FL229" s="6086"/>
      <c r="FM229" s="6086"/>
      <c r="FN229" s="6086"/>
      <c r="FO229" s="6086"/>
      <c r="FP229" s="6086"/>
      <c r="FQ229" s="6086"/>
      <c r="FR229" s="6086"/>
      <c r="FS229" s="6086"/>
      <c r="FT229" s="6086"/>
      <c r="FU229" s="6086"/>
      <c r="FV229" s="6048"/>
      <c r="FW229" s="6058"/>
      <c r="GA229" s="6055"/>
      <c r="GB229" s="6044"/>
      <c r="GC229" s="6046"/>
      <c r="GD229" s="6046"/>
      <c r="GE229" s="6046"/>
      <c r="GF229" s="6046"/>
      <c r="GG229" s="6046"/>
      <c r="GH229" s="6046"/>
      <c r="GI229" s="6046"/>
      <c r="GJ229" s="6046"/>
      <c r="GK229" s="6046"/>
      <c r="GL229" s="6046"/>
      <c r="GM229" s="6046"/>
      <c r="GN229" s="6046"/>
      <c r="GO229" s="6046"/>
      <c r="GP229" s="6046"/>
      <c r="GQ229" s="6046"/>
      <c r="GR229" s="6046"/>
      <c r="GS229" s="6046"/>
      <c r="GT229" s="6086"/>
      <c r="GU229" s="6086"/>
      <c r="GV229" s="6086"/>
      <c r="GW229" s="6086"/>
      <c r="GX229" s="6086"/>
      <c r="GY229" s="6046"/>
      <c r="GZ229" s="6086"/>
      <c r="HA229" s="6086"/>
      <c r="HB229" s="6086"/>
      <c r="HC229" s="6046"/>
      <c r="HD229" s="6086"/>
      <c r="HE229" s="6086"/>
      <c r="HF229" s="6086"/>
      <c r="HG229" s="6086"/>
      <c r="HH229" s="6086"/>
      <c r="HI229" s="6086"/>
      <c r="HJ229" s="6086"/>
      <c r="HK229" s="6086"/>
      <c r="HL229" s="6086"/>
      <c r="HM229" s="6086"/>
      <c r="HN229" s="6086"/>
      <c r="HO229" s="6048"/>
      <c r="HP229" s="6058"/>
      <c r="HT229" s="6055"/>
      <c r="HU229" s="6044"/>
      <c r="HV229" s="6046"/>
      <c r="HW229" s="6046"/>
      <c r="HX229" s="6046"/>
      <c r="HY229" s="6046"/>
      <c r="HZ229" s="6046"/>
      <c r="IA229" s="6046"/>
      <c r="IB229" s="6046"/>
      <c r="IC229" s="6046"/>
      <c r="ID229" s="6046"/>
      <c r="IE229" s="6046"/>
      <c r="IF229" s="6046"/>
      <c r="IG229" s="6046"/>
      <c r="IH229" s="6046"/>
      <c r="II229" s="6046"/>
      <c r="IJ229" s="6046"/>
      <c r="IK229" s="6046"/>
      <c r="IL229" s="6046"/>
      <c r="IM229" s="6086"/>
      <c r="IN229" s="6086"/>
      <c r="IO229" s="6086"/>
      <c r="IP229" s="6086"/>
      <c r="IQ229" s="6086"/>
      <c r="IR229" s="6046"/>
      <c r="IS229" s="6086"/>
      <c r="IT229" s="6086"/>
      <c r="IU229" s="6086"/>
      <c r="IV229" s="6046"/>
      <c r="IW229" s="6086"/>
      <c r="IX229" s="6086"/>
      <c r="IY229" s="6086"/>
      <c r="IZ229" s="6086"/>
      <c r="JA229" s="6086"/>
      <c r="JB229" s="6086"/>
      <c r="JC229" s="6086"/>
      <c r="JD229" s="6086"/>
      <c r="JE229" s="6086"/>
      <c r="JF229" s="6086"/>
      <c r="JG229" s="6086"/>
      <c r="JH229" s="6048"/>
      <c r="JI229" s="6058"/>
      <c r="JM229" s="6055"/>
      <c r="JN229" s="6044"/>
      <c r="JO229" s="6046"/>
      <c r="JP229" s="6046"/>
      <c r="JQ229" s="6046"/>
      <c r="JR229" s="6046"/>
      <c r="JS229" s="6046"/>
      <c r="JT229" s="6046"/>
      <c r="JU229" s="6046"/>
      <c r="JV229" s="6046"/>
      <c r="JW229" s="6046"/>
      <c r="JX229" s="6046"/>
      <c r="JY229" s="6046"/>
      <c r="JZ229" s="6046"/>
      <c r="KA229" s="6046"/>
      <c r="KB229" s="6046"/>
      <c r="KC229" s="6046"/>
      <c r="KD229" s="6046"/>
      <c r="KE229" s="6046"/>
      <c r="KF229" s="6086"/>
      <c r="KG229" s="6086"/>
      <c r="KH229" s="6086"/>
      <c r="KI229" s="6086"/>
      <c r="KJ229" s="6086"/>
      <c r="KK229" s="6046"/>
      <c r="KL229" s="6086"/>
      <c r="KM229" s="6086"/>
      <c r="KN229" s="6086"/>
      <c r="KO229" s="6046"/>
      <c r="KP229" s="6086"/>
      <c r="KQ229" s="6086"/>
      <c r="KR229" s="6086"/>
      <c r="KS229" s="6086"/>
      <c r="KT229" s="6086"/>
      <c r="KU229" s="6086"/>
      <c r="KV229" s="6086"/>
      <c r="KW229" s="6086"/>
      <c r="KX229" s="6086"/>
      <c r="KY229" s="6086"/>
      <c r="KZ229" s="6086"/>
      <c r="LA229" s="6048"/>
      <c r="LB229" s="6058"/>
      <c r="LF229" s="6055"/>
      <c r="LG229" s="6044"/>
      <c r="LH229" s="6046"/>
      <c r="LI229" s="6046"/>
      <c r="LJ229" s="6046"/>
      <c r="LK229" s="6046"/>
      <c r="LL229" s="6046"/>
      <c r="LM229" s="6046"/>
      <c r="LN229" s="6046"/>
      <c r="LO229" s="6046"/>
      <c r="LP229" s="6046"/>
      <c r="LQ229" s="6046"/>
      <c r="LR229" s="6046"/>
      <c r="LS229" s="6046"/>
      <c r="LT229" s="6046"/>
      <c r="LU229" s="6046"/>
      <c r="LV229" s="6046"/>
      <c r="LW229" s="6046"/>
      <c r="LX229" s="6046"/>
      <c r="LY229" s="6086"/>
      <c r="LZ229" s="6086"/>
      <c r="MA229" s="6086"/>
      <c r="MB229" s="6086"/>
      <c r="MC229" s="6086"/>
      <c r="MD229" s="6046"/>
      <c r="ME229" s="6086"/>
      <c r="MF229" s="6086"/>
      <c r="MG229" s="6086"/>
      <c r="MH229" s="6046"/>
      <c r="MI229" s="6086"/>
      <c r="MJ229" s="6086"/>
      <c r="MK229" s="6086"/>
      <c r="ML229" s="6086"/>
      <c r="MM229" s="6086"/>
      <c r="MN229" s="6086"/>
      <c r="MO229" s="6086"/>
      <c r="MP229" s="6086"/>
      <c r="MQ229" s="6086"/>
      <c r="MR229" s="6086"/>
      <c r="MS229" s="6086"/>
      <c r="MT229" s="6048"/>
      <c r="MU229" s="6058"/>
      <c r="MY229" s="6055"/>
      <c r="MZ229" s="6044"/>
      <c r="NA229" s="6046"/>
      <c r="NB229" s="6046"/>
      <c r="NC229" s="6046"/>
      <c r="ND229" s="6046"/>
      <c r="NE229" s="6046"/>
      <c r="NF229" s="6046"/>
      <c r="NG229" s="6046"/>
      <c r="NH229" s="6046"/>
      <c r="NI229" s="6046"/>
      <c r="NJ229" s="6046"/>
      <c r="NK229" s="6046"/>
      <c r="NL229" s="6046"/>
      <c r="NM229" s="6046"/>
      <c r="NN229" s="6046"/>
      <c r="NO229" s="6046"/>
      <c r="NP229" s="6046"/>
      <c r="NQ229" s="6046"/>
      <c r="NR229" s="6086"/>
      <c r="NS229" s="6086"/>
      <c r="NT229" s="6086"/>
      <c r="NU229" s="6086"/>
      <c r="NV229" s="6086"/>
      <c r="NW229" s="6046"/>
      <c r="NX229" s="6086"/>
      <c r="NY229" s="6086"/>
      <c r="NZ229" s="6086"/>
      <c r="OA229" s="6046"/>
      <c r="OB229" s="6086"/>
      <c r="OC229" s="6086"/>
      <c r="OD229" s="6086"/>
      <c r="OE229" s="6086"/>
      <c r="OF229" s="6086"/>
      <c r="OG229" s="6086"/>
      <c r="OH229" s="6086"/>
      <c r="OI229" s="6086"/>
      <c r="OJ229" s="6086"/>
      <c r="OK229" s="6086"/>
      <c r="OL229" s="6086"/>
      <c r="OM229" s="6048"/>
      <c r="ON229" s="6058"/>
    </row>
    <row r="230" spans="3:405" ht="15" thickBot="1" x14ac:dyDescent="0.25">
      <c r="C230" s="6087"/>
      <c r="D230" s="6088"/>
      <c r="E230" s="6088"/>
      <c r="F230" s="6088"/>
      <c r="G230" s="6088"/>
      <c r="H230" s="6088"/>
      <c r="I230" s="6088"/>
      <c r="J230" s="6088"/>
      <c r="K230" s="6088"/>
      <c r="L230" s="6088"/>
      <c r="M230" s="6088"/>
      <c r="N230" s="6088"/>
      <c r="O230" s="6088"/>
      <c r="P230" s="6088"/>
      <c r="Q230" s="6088"/>
      <c r="R230" s="6088"/>
      <c r="S230" s="6088"/>
      <c r="T230" s="6088"/>
      <c r="U230" s="6088"/>
      <c r="V230" s="6088"/>
      <c r="W230" s="6088"/>
      <c r="X230" s="6088"/>
      <c r="Y230" s="6088"/>
      <c r="Z230" s="6088"/>
      <c r="AA230" s="6088"/>
      <c r="AB230" s="6088"/>
      <c r="AC230" s="6088"/>
      <c r="AD230" s="6088"/>
      <c r="AE230" s="6088"/>
      <c r="AF230" s="6088"/>
      <c r="AG230" s="6088"/>
      <c r="AH230" s="6088"/>
      <c r="AI230" s="6088"/>
      <c r="AJ230" s="6088"/>
      <c r="AK230" s="6088"/>
      <c r="AL230" s="6088"/>
      <c r="AM230" s="6088"/>
      <c r="AN230" s="6088"/>
      <c r="AO230" s="6088"/>
      <c r="AP230" s="6088"/>
      <c r="AQ230" s="6088"/>
      <c r="AR230" s="6089"/>
      <c r="AV230" s="6087"/>
      <c r="AW230" s="6088"/>
      <c r="AX230" s="6088"/>
      <c r="AY230" s="6088"/>
      <c r="AZ230" s="6088"/>
      <c r="BA230" s="6088"/>
      <c r="BB230" s="6088"/>
      <c r="BC230" s="6088"/>
      <c r="BD230" s="6088"/>
      <c r="BE230" s="6088"/>
      <c r="BF230" s="6088"/>
      <c r="BG230" s="6088"/>
      <c r="BH230" s="6088"/>
      <c r="BI230" s="6088"/>
      <c r="BJ230" s="6088"/>
      <c r="BK230" s="6088"/>
      <c r="BL230" s="6088"/>
      <c r="BM230" s="6088"/>
      <c r="BN230" s="6088"/>
      <c r="BO230" s="6088"/>
      <c r="BP230" s="6088"/>
      <c r="BQ230" s="6088"/>
      <c r="BR230" s="6088"/>
      <c r="BS230" s="6088"/>
      <c r="BT230" s="6088"/>
      <c r="BU230" s="6088"/>
      <c r="BV230" s="6088"/>
      <c r="BW230" s="6088"/>
      <c r="BX230" s="6088"/>
      <c r="BY230" s="6088"/>
      <c r="BZ230" s="6088"/>
      <c r="CA230" s="6088"/>
      <c r="CB230" s="6088"/>
      <c r="CC230" s="6088"/>
      <c r="CD230" s="6088"/>
      <c r="CE230" s="6088"/>
      <c r="CF230" s="6088"/>
      <c r="CG230" s="6088"/>
      <c r="CH230" s="6088"/>
      <c r="CI230" s="6088"/>
      <c r="CJ230" s="6088"/>
      <c r="CK230" s="6089"/>
      <c r="CO230" s="6087"/>
      <c r="CP230" s="6088"/>
      <c r="CQ230" s="6088"/>
      <c r="CR230" s="6088"/>
      <c r="CS230" s="6088"/>
      <c r="CT230" s="6088"/>
      <c r="CU230" s="6088"/>
      <c r="CV230" s="6088"/>
      <c r="CW230" s="6088"/>
      <c r="CX230" s="6088"/>
      <c r="CY230" s="6088"/>
      <c r="CZ230" s="6088"/>
      <c r="DA230" s="6088"/>
      <c r="DB230" s="6088"/>
      <c r="DC230" s="6088"/>
      <c r="DD230" s="6088"/>
      <c r="DE230" s="6088"/>
      <c r="DF230" s="6088"/>
      <c r="DG230" s="6088"/>
      <c r="DH230" s="6088"/>
      <c r="DI230" s="6088"/>
      <c r="DJ230" s="6088"/>
      <c r="DK230" s="6088"/>
      <c r="DL230" s="6088"/>
      <c r="DM230" s="6088"/>
      <c r="DN230" s="6088"/>
      <c r="DO230" s="6088"/>
      <c r="DP230" s="6088"/>
      <c r="DQ230" s="6088"/>
      <c r="DR230" s="6088"/>
      <c r="DS230" s="6088"/>
      <c r="DT230" s="6088"/>
      <c r="DU230" s="6088"/>
      <c r="DV230" s="6088"/>
      <c r="DW230" s="6088"/>
      <c r="DX230" s="6088"/>
      <c r="DY230" s="6088"/>
      <c r="DZ230" s="6088"/>
      <c r="EA230" s="6088"/>
      <c r="EB230" s="6088"/>
      <c r="EC230" s="6088"/>
      <c r="ED230" s="6089"/>
      <c r="EH230" s="6087"/>
      <c r="EI230" s="6088"/>
      <c r="EJ230" s="6088"/>
      <c r="EK230" s="6088"/>
      <c r="EL230" s="6088"/>
      <c r="EM230" s="6088"/>
      <c r="EN230" s="6088"/>
      <c r="EO230" s="6088"/>
      <c r="EP230" s="6088"/>
      <c r="EQ230" s="6088"/>
      <c r="ER230" s="6088"/>
      <c r="ES230" s="6088"/>
      <c r="ET230" s="6088"/>
      <c r="EU230" s="6088"/>
      <c r="EV230" s="6088"/>
      <c r="EW230" s="6088"/>
      <c r="EX230" s="6088"/>
      <c r="EY230" s="6088"/>
      <c r="EZ230" s="6088"/>
      <c r="FA230" s="6088"/>
      <c r="FB230" s="6088"/>
      <c r="FC230" s="6088"/>
      <c r="FD230" s="6088"/>
      <c r="FE230" s="6088"/>
      <c r="FF230" s="6088"/>
      <c r="FG230" s="6088"/>
      <c r="FH230" s="6088"/>
      <c r="FI230" s="6088"/>
      <c r="FJ230" s="6088"/>
      <c r="FK230" s="6088"/>
      <c r="FL230" s="6088"/>
      <c r="FM230" s="6088"/>
      <c r="FN230" s="6088"/>
      <c r="FO230" s="6088"/>
      <c r="FP230" s="6088"/>
      <c r="FQ230" s="6088"/>
      <c r="FR230" s="6088"/>
      <c r="FS230" s="6088"/>
      <c r="FT230" s="6088"/>
      <c r="FU230" s="6088"/>
      <c r="FV230" s="6088"/>
      <c r="FW230" s="6089"/>
      <c r="GA230" s="6087"/>
      <c r="GB230" s="6088"/>
      <c r="GC230" s="6088"/>
      <c r="GD230" s="6088"/>
      <c r="GE230" s="6088"/>
      <c r="GF230" s="6088"/>
      <c r="GG230" s="6088"/>
      <c r="GH230" s="6088"/>
      <c r="GI230" s="6088"/>
      <c r="GJ230" s="6088"/>
      <c r="GK230" s="6088"/>
      <c r="GL230" s="6088"/>
      <c r="GM230" s="6088"/>
      <c r="GN230" s="6088"/>
      <c r="GO230" s="6088"/>
      <c r="GP230" s="6088"/>
      <c r="GQ230" s="6088"/>
      <c r="GR230" s="6088"/>
      <c r="GS230" s="6088"/>
      <c r="GT230" s="6088"/>
      <c r="GU230" s="6088"/>
      <c r="GV230" s="6088"/>
      <c r="GW230" s="6088"/>
      <c r="GX230" s="6088"/>
      <c r="GY230" s="6088"/>
      <c r="GZ230" s="6088"/>
      <c r="HA230" s="6088"/>
      <c r="HB230" s="6088"/>
      <c r="HC230" s="6088"/>
      <c r="HD230" s="6088"/>
      <c r="HE230" s="6088"/>
      <c r="HF230" s="6088"/>
      <c r="HG230" s="6088"/>
      <c r="HH230" s="6088"/>
      <c r="HI230" s="6088"/>
      <c r="HJ230" s="6088"/>
      <c r="HK230" s="6088"/>
      <c r="HL230" s="6088"/>
      <c r="HM230" s="6088"/>
      <c r="HN230" s="6088"/>
      <c r="HO230" s="6088"/>
      <c r="HP230" s="6089"/>
      <c r="HT230" s="6087"/>
      <c r="HU230" s="6088"/>
      <c r="HV230" s="6088"/>
      <c r="HW230" s="6088"/>
      <c r="HX230" s="6088"/>
      <c r="HY230" s="6088"/>
      <c r="HZ230" s="6088"/>
      <c r="IA230" s="6088"/>
      <c r="IB230" s="6088"/>
      <c r="IC230" s="6088"/>
      <c r="ID230" s="6088"/>
      <c r="IE230" s="6088"/>
      <c r="IF230" s="6088"/>
      <c r="IG230" s="6088"/>
      <c r="IH230" s="6088"/>
      <c r="II230" s="6088"/>
      <c r="IJ230" s="6088"/>
      <c r="IK230" s="6088"/>
      <c r="IL230" s="6088"/>
      <c r="IM230" s="6088"/>
      <c r="IN230" s="6088"/>
      <c r="IO230" s="6088"/>
      <c r="IP230" s="6088"/>
      <c r="IQ230" s="6088"/>
      <c r="IR230" s="6088"/>
      <c r="IS230" s="6088"/>
      <c r="IT230" s="6088"/>
      <c r="IU230" s="6088"/>
      <c r="IV230" s="6088"/>
      <c r="IW230" s="6088"/>
      <c r="IX230" s="6088"/>
      <c r="IY230" s="6088"/>
      <c r="IZ230" s="6088"/>
      <c r="JA230" s="6088"/>
      <c r="JB230" s="6088"/>
      <c r="JC230" s="6088"/>
      <c r="JD230" s="6088"/>
      <c r="JE230" s="6088"/>
      <c r="JF230" s="6088"/>
      <c r="JG230" s="6088"/>
      <c r="JH230" s="6088"/>
      <c r="JI230" s="6089"/>
      <c r="JM230" s="6087"/>
      <c r="JN230" s="6088"/>
      <c r="JO230" s="6088"/>
      <c r="JP230" s="6088"/>
      <c r="JQ230" s="6088"/>
      <c r="JR230" s="6088"/>
      <c r="JS230" s="6088"/>
      <c r="JT230" s="6088"/>
      <c r="JU230" s="6088"/>
      <c r="JV230" s="6088"/>
      <c r="JW230" s="6088"/>
      <c r="JX230" s="6088"/>
      <c r="JY230" s="6088"/>
      <c r="JZ230" s="6088"/>
      <c r="KA230" s="6088"/>
      <c r="KB230" s="6088"/>
      <c r="KC230" s="6088"/>
      <c r="KD230" s="6088"/>
      <c r="KE230" s="6088"/>
      <c r="KF230" s="6088"/>
      <c r="KG230" s="6088"/>
      <c r="KH230" s="6088"/>
      <c r="KI230" s="6088"/>
      <c r="KJ230" s="6088"/>
      <c r="KK230" s="6088"/>
      <c r="KL230" s="6088"/>
      <c r="KM230" s="6088"/>
      <c r="KN230" s="6088"/>
      <c r="KO230" s="6088"/>
      <c r="KP230" s="6088"/>
      <c r="KQ230" s="6088"/>
      <c r="KR230" s="6088"/>
      <c r="KS230" s="6088"/>
      <c r="KT230" s="6088"/>
      <c r="KU230" s="6088"/>
      <c r="KV230" s="6088"/>
      <c r="KW230" s="6088"/>
      <c r="KX230" s="6088"/>
      <c r="KY230" s="6088"/>
      <c r="KZ230" s="6088"/>
      <c r="LA230" s="6088"/>
      <c r="LB230" s="6089"/>
      <c r="LF230" s="6087"/>
      <c r="LG230" s="6088"/>
      <c r="LH230" s="6088"/>
      <c r="LI230" s="6088"/>
      <c r="LJ230" s="6088"/>
      <c r="LK230" s="6088"/>
      <c r="LL230" s="6088"/>
      <c r="LM230" s="6088"/>
      <c r="LN230" s="6088"/>
      <c r="LO230" s="6088"/>
      <c r="LP230" s="6088"/>
      <c r="LQ230" s="6088"/>
      <c r="LR230" s="6088"/>
      <c r="LS230" s="6088"/>
      <c r="LT230" s="6088"/>
      <c r="LU230" s="6088"/>
      <c r="LV230" s="6088"/>
      <c r="LW230" s="6088"/>
      <c r="LX230" s="6088"/>
      <c r="LY230" s="6088"/>
      <c r="LZ230" s="6088"/>
      <c r="MA230" s="6088"/>
      <c r="MB230" s="6088"/>
      <c r="MC230" s="6088"/>
      <c r="MD230" s="6088"/>
      <c r="ME230" s="6088"/>
      <c r="MF230" s="6088"/>
      <c r="MG230" s="6088"/>
      <c r="MH230" s="6088"/>
      <c r="MI230" s="6088"/>
      <c r="MJ230" s="6088"/>
      <c r="MK230" s="6088"/>
      <c r="ML230" s="6088"/>
      <c r="MM230" s="6088"/>
      <c r="MN230" s="6088"/>
      <c r="MO230" s="6088"/>
      <c r="MP230" s="6088"/>
      <c r="MQ230" s="6088"/>
      <c r="MR230" s="6088"/>
      <c r="MS230" s="6088"/>
      <c r="MT230" s="6088"/>
      <c r="MU230" s="6089"/>
      <c r="MY230" s="6087"/>
      <c r="MZ230" s="6088"/>
      <c r="NA230" s="6088"/>
      <c r="NB230" s="6088"/>
      <c r="NC230" s="6088"/>
      <c r="ND230" s="6088"/>
      <c r="NE230" s="6088"/>
      <c r="NF230" s="6088"/>
      <c r="NG230" s="6088"/>
      <c r="NH230" s="6088"/>
      <c r="NI230" s="6088"/>
      <c r="NJ230" s="6088"/>
      <c r="NK230" s="6088"/>
      <c r="NL230" s="6088"/>
      <c r="NM230" s="6088"/>
      <c r="NN230" s="6088"/>
      <c r="NO230" s="6088"/>
      <c r="NP230" s="6088"/>
      <c r="NQ230" s="6088"/>
      <c r="NR230" s="6088"/>
      <c r="NS230" s="6088"/>
      <c r="NT230" s="6088"/>
      <c r="NU230" s="6088"/>
      <c r="NV230" s="6088"/>
      <c r="NW230" s="6088"/>
      <c r="NX230" s="6088"/>
      <c r="NY230" s="6088"/>
      <c r="NZ230" s="6088"/>
      <c r="OA230" s="6088"/>
      <c r="OB230" s="6088"/>
      <c r="OC230" s="6088"/>
      <c r="OD230" s="6088"/>
      <c r="OE230" s="6088"/>
      <c r="OF230" s="6088"/>
      <c r="OG230" s="6088"/>
      <c r="OH230" s="6088"/>
      <c r="OI230" s="6088"/>
      <c r="OJ230" s="6088"/>
      <c r="OK230" s="6088"/>
      <c r="OL230" s="6088"/>
      <c r="OM230" s="6088"/>
      <c r="ON230" s="6089"/>
    </row>
    <row r="231" spans="3:405" ht="9.9499999999999993" customHeight="1" x14ac:dyDescent="0.2"/>
    <row r="232" spans="3:405" ht="7.5" customHeight="1" x14ac:dyDescent="0.2">
      <c r="C232" s="6090"/>
      <c r="D232" s="6090"/>
      <c r="E232" s="6090"/>
      <c r="F232" s="6090"/>
      <c r="G232" s="6090"/>
      <c r="H232" s="6090"/>
      <c r="I232" s="6090"/>
      <c r="J232" s="6090"/>
      <c r="K232" s="6090"/>
      <c r="L232" s="6090"/>
      <c r="M232" s="6090"/>
      <c r="N232" s="6090"/>
      <c r="O232" s="6090"/>
      <c r="P232" s="6090"/>
      <c r="Q232" s="6090"/>
      <c r="R232" s="6090"/>
      <c r="S232" s="6090"/>
      <c r="T232" s="6090"/>
      <c r="U232" s="6090"/>
      <c r="V232" s="6090"/>
      <c r="W232" s="6090"/>
      <c r="X232" s="6090"/>
      <c r="Y232" s="6090"/>
      <c r="Z232" s="6090"/>
      <c r="AA232" s="6090"/>
      <c r="AB232" s="6090"/>
      <c r="AC232" s="6090"/>
      <c r="AD232" s="6090"/>
      <c r="AE232" s="6090"/>
      <c r="AF232" s="6090"/>
      <c r="AG232" s="6090"/>
      <c r="AH232" s="6090"/>
      <c r="AI232" s="6090"/>
      <c r="AJ232" s="6090"/>
      <c r="AK232" s="6090"/>
      <c r="AL232" s="6090"/>
      <c r="AM232" s="6090"/>
      <c r="AN232" s="6090"/>
      <c r="AO232" s="6090"/>
      <c r="AP232" s="6090"/>
      <c r="AQ232" s="6090"/>
      <c r="AR232" s="6090"/>
      <c r="AV232" s="6090"/>
      <c r="AW232" s="6090"/>
      <c r="AX232" s="6090"/>
      <c r="AY232" s="6090"/>
      <c r="AZ232" s="6090"/>
      <c r="BA232" s="6090"/>
      <c r="BB232" s="6090"/>
      <c r="BC232" s="6090"/>
      <c r="BD232" s="6090"/>
      <c r="BE232" s="6090"/>
      <c r="BF232" s="6090"/>
      <c r="BG232" s="6090"/>
      <c r="BH232" s="6090"/>
      <c r="BI232" s="6090"/>
      <c r="BJ232" s="6090"/>
      <c r="BK232" s="6090"/>
      <c r="BL232" s="6090"/>
      <c r="BM232" s="6090"/>
      <c r="BN232" s="6090"/>
      <c r="BO232" s="6090"/>
      <c r="BP232" s="6090"/>
      <c r="BQ232" s="6090"/>
      <c r="BR232" s="6090"/>
      <c r="BS232" s="6090"/>
      <c r="BT232" s="6090"/>
      <c r="BU232" s="6090"/>
      <c r="BV232" s="6090"/>
      <c r="BW232" s="6090"/>
      <c r="BX232" s="6090"/>
      <c r="BY232" s="6090"/>
      <c r="BZ232" s="6090"/>
      <c r="CA232" s="6090"/>
      <c r="CB232" s="6090"/>
      <c r="CC232" s="6090"/>
      <c r="CD232" s="6090"/>
      <c r="CE232" s="6090"/>
      <c r="CF232" s="6090"/>
      <c r="CG232" s="6090"/>
      <c r="CH232" s="6090"/>
      <c r="CI232" s="6090"/>
      <c r="CJ232" s="6090"/>
      <c r="CK232" s="6090"/>
      <c r="CO232" s="6090"/>
      <c r="CP232" s="6090"/>
      <c r="CQ232" s="6090"/>
      <c r="CR232" s="6090"/>
      <c r="CS232" s="6090"/>
      <c r="CT232" s="6090"/>
      <c r="CU232" s="6090"/>
      <c r="CV232" s="6090"/>
      <c r="CW232" s="6090"/>
      <c r="CX232" s="6090"/>
      <c r="CY232" s="6090"/>
      <c r="CZ232" s="6090"/>
      <c r="DA232" s="6090"/>
      <c r="DB232" s="6090"/>
      <c r="DC232" s="6090"/>
      <c r="DD232" s="6090"/>
      <c r="DE232" s="6090"/>
      <c r="DF232" s="6090"/>
      <c r="DG232" s="6090"/>
      <c r="DH232" s="6090"/>
      <c r="DI232" s="6090"/>
      <c r="DJ232" s="6090"/>
      <c r="DK232" s="6090"/>
      <c r="DL232" s="6090"/>
      <c r="DM232" s="6090"/>
      <c r="DN232" s="6090"/>
      <c r="DO232" s="6090"/>
      <c r="DP232" s="6090"/>
      <c r="DQ232" s="6090"/>
      <c r="DR232" s="6090"/>
      <c r="DS232" s="6090"/>
      <c r="DT232" s="6090"/>
      <c r="DU232" s="6090"/>
      <c r="DV232" s="6090"/>
      <c r="DW232" s="6090"/>
      <c r="DX232" s="6090"/>
      <c r="DY232" s="6090"/>
      <c r="DZ232" s="6090"/>
      <c r="EA232" s="6090"/>
      <c r="EB232" s="6090"/>
      <c r="EC232" s="6090"/>
      <c r="ED232" s="6090"/>
      <c r="EH232" s="6090"/>
      <c r="EI232" s="6090"/>
      <c r="EJ232" s="6090"/>
      <c r="EK232" s="6090"/>
      <c r="EL232" s="6090"/>
      <c r="EM232" s="6090"/>
      <c r="EN232" s="6090"/>
      <c r="EO232" s="6090"/>
      <c r="EP232" s="6090"/>
      <c r="EQ232" s="6090"/>
      <c r="ER232" s="6090"/>
      <c r="ES232" s="6090"/>
      <c r="ET232" s="6090"/>
      <c r="EU232" s="6090"/>
      <c r="EV232" s="6090"/>
      <c r="EW232" s="6090"/>
      <c r="EX232" s="6090"/>
      <c r="EY232" s="6090"/>
      <c r="EZ232" s="6090"/>
      <c r="FA232" s="6090"/>
      <c r="FB232" s="6090"/>
      <c r="FC232" s="6090"/>
      <c r="FD232" s="6090"/>
      <c r="FE232" s="6090"/>
      <c r="FF232" s="6090"/>
      <c r="FG232" s="6090"/>
      <c r="FH232" s="6090"/>
      <c r="FI232" s="6090"/>
      <c r="FJ232" s="6090"/>
      <c r="FK232" s="6090"/>
      <c r="FL232" s="6090"/>
      <c r="FM232" s="6090"/>
      <c r="FN232" s="6090"/>
      <c r="FO232" s="6090"/>
      <c r="FP232" s="6090"/>
      <c r="FQ232" s="6090"/>
      <c r="FR232" s="6090"/>
      <c r="FS232" s="6090"/>
      <c r="FT232" s="6090"/>
      <c r="FU232" s="6090"/>
      <c r="FV232" s="6090"/>
      <c r="FW232" s="6090"/>
      <c r="GA232" s="6090"/>
      <c r="GB232" s="6090"/>
      <c r="GC232" s="6090"/>
      <c r="GD232" s="6090"/>
      <c r="GE232" s="6090"/>
      <c r="GF232" s="6090"/>
      <c r="GG232" s="6090"/>
      <c r="GH232" s="6090"/>
      <c r="GI232" s="6090"/>
      <c r="GJ232" s="6090"/>
      <c r="GK232" s="6090"/>
      <c r="GL232" s="6090"/>
      <c r="GM232" s="6090"/>
      <c r="GN232" s="6090"/>
      <c r="GO232" s="6090"/>
      <c r="GP232" s="6090"/>
      <c r="GQ232" s="6090"/>
      <c r="GR232" s="6090"/>
      <c r="GS232" s="6090"/>
      <c r="GT232" s="6090"/>
      <c r="GU232" s="6090"/>
      <c r="GV232" s="6090"/>
      <c r="GW232" s="6090"/>
      <c r="GX232" s="6090"/>
      <c r="GY232" s="6090"/>
      <c r="GZ232" s="6090"/>
      <c r="HA232" s="6090"/>
      <c r="HB232" s="6090"/>
      <c r="HC232" s="6090"/>
      <c r="HD232" s="6090"/>
      <c r="HE232" s="6090"/>
      <c r="HF232" s="6090"/>
      <c r="HG232" s="6090"/>
      <c r="HH232" s="6090"/>
      <c r="HI232" s="6090"/>
      <c r="HJ232" s="6090"/>
      <c r="HK232" s="6090"/>
      <c r="HL232" s="6090"/>
      <c r="HM232" s="6090"/>
      <c r="HN232" s="6090"/>
      <c r="HO232" s="6090"/>
      <c r="HP232" s="6090"/>
      <c r="HT232" s="6090"/>
      <c r="HU232" s="6090"/>
      <c r="HV232" s="6090"/>
      <c r="HW232" s="6090"/>
      <c r="HX232" s="6090"/>
      <c r="HY232" s="6090"/>
      <c r="HZ232" s="6090"/>
      <c r="IA232" s="6090"/>
      <c r="IB232" s="6090"/>
      <c r="IC232" s="6090"/>
      <c r="ID232" s="6090"/>
      <c r="IE232" s="6090"/>
      <c r="IF232" s="6090"/>
      <c r="IG232" s="6090"/>
      <c r="IH232" s="6090"/>
      <c r="II232" s="6090"/>
      <c r="IJ232" s="6090"/>
      <c r="IK232" s="6090"/>
      <c r="IL232" s="6090"/>
      <c r="IM232" s="6090"/>
      <c r="IN232" s="6090"/>
      <c r="IO232" s="6090"/>
      <c r="IP232" s="6090"/>
      <c r="IQ232" s="6090"/>
      <c r="IR232" s="6090"/>
      <c r="IS232" s="6090"/>
      <c r="IT232" s="6090"/>
      <c r="IU232" s="6090"/>
      <c r="IV232" s="6090"/>
      <c r="IW232" s="6090"/>
      <c r="IX232" s="6090"/>
      <c r="IY232" s="6090"/>
      <c r="IZ232" s="6090"/>
      <c r="JA232" s="6090"/>
      <c r="JB232" s="6090"/>
      <c r="JC232" s="6090"/>
      <c r="JD232" s="6090"/>
      <c r="JE232" s="6090"/>
      <c r="JF232" s="6090"/>
      <c r="JG232" s="6090"/>
      <c r="JH232" s="6090"/>
      <c r="JI232" s="6090"/>
      <c r="JM232" s="6090"/>
      <c r="JN232" s="6090"/>
      <c r="JO232" s="6090"/>
      <c r="JP232" s="6090"/>
      <c r="JQ232" s="6090"/>
      <c r="JR232" s="6090"/>
      <c r="JS232" s="6090"/>
      <c r="JT232" s="6090"/>
      <c r="JU232" s="6090"/>
      <c r="JV232" s="6090"/>
      <c r="JW232" s="6090"/>
      <c r="JX232" s="6090"/>
      <c r="JY232" s="6090"/>
      <c r="JZ232" s="6090"/>
      <c r="KA232" s="6090"/>
      <c r="KB232" s="6090"/>
      <c r="KC232" s="6090"/>
      <c r="KD232" s="6090"/>
      <c r="KE232" s="6090"/>
      <c r="KF232" s="6090"/>
      <c r="KG232" s="6090"/>
      <c r="KH232" s="6090"/>
      <c r="KI232" s="6090"/>
      <c r="KJ232" s="6090"/>
      <c r="KK232" s="6090"/>
      <c r="KL232" s="6090"/>
      <c r="KM232" s="6090"/>
      <c r="KN232" s="6090"/>
      <c r="KO232" s="6090"/>
      <c r="KP232" s="6090"/>
      <c r="KQ232" s="6090"/>
      <c r="KR232" s="6090"/>
      <c r="KS232" s="6090"/>
      <c r="KT232" s="6090"/>
      <c r="KU232" s="6090"/>
      <c r="KV232" s="6090"/>
      <c r="KW232" s="6090"/>
      <c r="KX232" s="6090"/>
      <c r="KY232" s="6090"/>
      <c r="KZ232" s="6090"/>
      <c r="LA232" s="6090"/>
      <c r="LB232" s="6090"/>
      <c r="LF232" s="6090"/>
      <c r="LG232" s="6090"/>
      <c r="LH232" s="6090"/>
      <c r="LI232" s="6090"/>
      <c r="LJ232" s="6090"/>
      <c r="LK232" s="6090"/>
      <c r="LL232" s="6090"/>
      <c r="LM232" s="6090"/>
      <c r="LN232" s="6090"/>
      <c r="LO232" s="6090"/>
      <c r="LP232" s="6090"/>
      <c r="LQ232" s="6090"/>
      <c r="LR232" s="6090"/>
      <c r="LS232" s="6090"/>
      <c r="LT232" s="6090"/>
      <c r="LU232" s="6090"/>
      <c r="LV232" s="6090"/>
      <c r="LW232" s="6090"/>
      <c r="LX232" s="6090"/>
      <c r="LY232" s="6090"/>
      <c r="LZ232" s="6090"/>
      <c r="MA232" s="6090"/>
      <c r="MB232" s="6090"/>
      <c r="MC232" s="6090"/>
      <c r="MD232" s="6090"/>
      <c r="ME232" s="6090"/>
      <c r="MF232" s="6090"/>
      <c r="MG232" s="6090"/>
      <c r="MH232" s="6090"/>
      <c r="MI232" s="6090"/>
      <c r="MJ232" s="6090"/>
      <c r="MK232" s="6090"/>
      <c r="ML232" s="6090"/>
      <c r="MM232" s="6090"/>
      <c r="MN232" s="6090"/>
      <c r="MO232" s="6090"/>
      <c r="MP232" s="6090"/>
      <c r="MQ232" s="6090"/>
      <c r="MR232" s="6090"/>
      <c r="MS232" s="6090"/>
      <c r="MT232" s="6090"/>
      <c r="MU232" s="6090"/>
      <c r="MY232" s="6090"/>
      <c r="MZ232" s="6090"/>
      <c r="NA232" s="6090"/>
      <c r="NB232" s="6090"/>
      <c r="NC232" s="6090"/>
      <c r="ND232" s="6090"/>
      <c r="NE232" s="6090"/>
      <c r="NF232" s="6090"/>
      <c r="NG232" s="6090"/>
      <c r="NH232" s="6090"/>
      <c r="NI232" s="6090"/>
      <c r="NJ232" s="6090"/>
      <c r="NK232" s="6090"/>
      <c r="NL232" s="6090"/>
      <c r="NM232" s="6090"/>
      <c r="NN232" s="6090"/>
      <c r="NO232" s="6090"/>
      <c r="NP232" s="6090"/>
      <c r="NQ232" s="6090"/>
      <c r="NR232" s="6090"/>
      <c r="NS232" s="6090"/>
      <c r="NT232" s="6090"/>
      <c r="NU232" s="6090"/>
      <c r="NV232" s="6090"/>
      <c r="NW232" s="6090"/>
      <c r="NX232" s="6090"/>
      <c r="NY232" s="6090"/>
      <c r="NZ232" s="6090"/>
      <c r="OA232" s="6090"/>
      <c r="OB232" s="6090"/>
      <c r="OC232" s="6090"/>
      <c r="OD232" s="6090"/>
      <c r="OE232" s="6090"/>
      <c r="OF232" s="6090"/>
      <c r="OG232" s="6090"/>
      <c r="OH232" s="6090"/>
      <c r="OI232" s="6090"/>
      <c r="OJ232" s="6090"/>
      <c r="OK232" s="6090"/>
      <c r="OL232" s="6090"/>
      <c r="OM232" s="6090"/>
      <c r="ON232" s="6090"/>
    </row>
    <row r="233" spans="3:405" ht="5.0999999999999996" customHeight="1" x14ac:dyDescent="0.2">
      <c r="D233" s="6091"/>
      <c r="AW233" s="6091"/>
      <c r="CP233" s="6091"/>
      <c r="EI233" s="6091"/>
      <c r="GB233" s="6091"/>
      <c r="HU233" s="6091"/>
      <c r="JN233" s="6091"/>
      <c r="LG233" s="6091"/>
      <c r="MZ233" s="6091"/>
    </row>
    <row r="234" spans="3:405" ht="5.0999999999999996" customHeight="1" x14ac:dyDescent="0.2"/>
    <row r="235" spans="3:405" ht="8.1" customHeight="1" x14ac:dyDescent="0.2">
      <c r="C235" s="6090"/>
      <c r="D235" s="6090"/>
      <c r="E235" s="6090"/>
      <c r="F235" s="6090"/>
      <c r="G235" s="6090"/>
      <c r="H235" s="6090"/>
      <c r="I235" s="6090"/>
      <c r="J235" s="6090"/>
      <c r="K235" s="6090"/>
      <c r="L235" s="6090"/>
      <c r="M235" s="6090"/>
      <c r="N235" s="6090"/>
      <c r="O235" s="6090"/>
      <c r="P235" s="6090"/>
      <c r="Q235" s="6090"/>
      <c r="R235" s="6090"/>
      <c r="S235" s="6090"/>
      <c r="T235" s="6090"/>
      <c r="U235" s="6090"/>
      <c r="V235" s="6090"/>
      <c r="W235" s="6090"/>
      <c r="X235" s="6090"/>
      <c r="Y235" s="6090"/>
      <c r="Z235" s="6090"/>
      <c r="AA235" s="6090"/>
      <c r="AB235" s="6090"/>
      <c r="AC235" s="6090"/>
      <c r="AD235" s="6090"/>
      <c r="AE235" s="6090"/>
      <c r="AF235" s="6090"/>
      <c r="AG235" s="6090"/>
      <c r="AH235" s="6090"/>
      <c r="AI235" s="6090"/>
      <c r="AJ235" s="6090"/>
      <c r="AK235" s="6090"/>
      <c r="AL235" s="6090"/>
      <c r="AM235" s="6090"/>
      <c r="AN235" s="6090"/>
      <c r="AO235" s="6090"/>
      <c r="AP235" s="6090"/>
      <c r="AQ235" s="6090"/>
      <c r="AR235" s="6090"/>
      <c r="AV235" s="6090"/>
      <c r="AW235" s="6090"/>
      <c r="AX235" s="6090"/>
      <c r="AY235" s="6090"/>
      <c r="AZ235" s="6090"/>
      <c r="BA235" s="6090"/>
      <c r="BB235" s="6090"/>
      <c r="BC235" s="6090"/>
      <c r="BD235" s="6090"/>
      <c r="BE235" s="6090"/>
      <c r="BF235" s="6090"/>
      <c r="BG235" s="6090"/>
      <c r="BH235" s="6090"/>
      <c r="BI235" s="6090"/>
      <c r="BJ235" s="6090"/>
      <c r="BK235" s="6090"/>
      <c r="BL235" s="6090"/>
      <c r="BM235" s="6090"/>
      <c r="BN235" s="6090"/>
      <c r="BO235" s="6090"/>
      <c r="BP235" s="6090"/>
      <c r="BQ235" s="6090"/>
      <c r="BR235" s="6090"/>
      <c r="BS235" s="6090"/>
      <c r="BT235" s="6090"/>
      <c r="BU235" s="6090"/>
      <c r="BV235" s="6090"/>
      <c r="BW235" s="6090"/>
      <c r="BX235" s="6090"/>
      <c r="BY235" s="6090"/>
      <c r="BZ235" s="6090"/>
      <c r="CA235" s="6090"/>
      <c r="CB235" s="6090"/>
      <c r="CC235" s="6090"/>
      <c r="CD235" s="6090"/>
      <c r="CE235" s="6090"/>
      <c r="CF235" s="6090"/>
      <c r="CG235" s="6090"/>
      <c r="CH235" s="6090"/>
      <c r="CI235" s="6090"/>
      <c r="CJ235" s="6090"/>
      <c r="CK235" s="6090"/>
      <c r="CO235" s="6090"/>
      <c r="CP235" s="6090"/>
      <c r="CQ235" s="6090"/>
      <c r="CR235" s="6090"/>
      <c r="CS235" s="6090"/>
      <c r="CT235" s="6090"/>
      <c r="CU235" s="6090"/>
      <c r="CV235" s="6090"/>
      <c r="CW235" s="6090"/>
      <c r="CX235" s="6090"/>
      <c r="CY235" s="6090"/>
      <c r="CZ235" s="6090"/>
      <c r="DA235" s="6090"/>
      <c r="DB235" s="6090"/>
      <c r="DC235" s="6090"/>
      <c r="DD235" s="6090"/>
      <c r="DE235" s="6090"/>
      <c r="DF235" s="6090"/>
      <c r="DG235" s="6090"/>
      <c r="DH235" s="6090"/>
      <c r="DI235" s="6090"/>
      <c r="DJ235" s="6090"/>
      <c r="DK235" s="6090"/>
      <c r="DL235" s="6090"/>
      <c r="DM235" s="6090"/>
      <c r="DN235" s="6090"/>
      <c r="DO235" s="6090"/>
      <c r="DP235" s="6090"/>
      <c r="DQ235" s="6090"/>
      <c r="DR235" s="6090"/>
      <c r="DS235" s="6090"/>
      <c r="DT235" s="6090"/>
      <c r="DU235" s="6090"/>
      <c r="DV235" s="6090"/>
      <c r="DW235" s="6090"/>
      <c r="DX235" s="6090"/>
      <c r="DY235" s="6090"/>
      <c r="DZ235" s="6090"/>
      <c r="EA235" s="6090"/>
      <c r="EB235" s="6090"/>
      <c r="EC235" s="6090"/>
      <c r="ED235" s="6090"/>
      <c r="EH235" s="6090"/>
      <c r="EI235" s="6090"/>
      <c r="EJ235" s="6090"/>
      <c r="EK235" s="6090"/>
      <c r="EL235" s="6090"/>
      <c r="EM235" s="6090"/>
      <c r="EN235" s="6090"/>
      <c r="EO235" s="6090"/>
      <c r="EP235" s="6090"/>
      <c r="EQ235" s="6090"/>
      <c r="ER235" s="6090"/>
      <c r="ES235" s="6090"/>
      <c r="ET235" s="6090"/>
      <c r="EU235" s="6090"/>
      <c r="EV235" s="6090"/>
      <c r="EW235" s="6090"/>
      <c r="EX235" s="6090"/>
      <c r="EY235" s="6090"/>
      <c r="EZ235" s="6090"/>
      <c r="FA235" s="6090"/>
      <c r="FB235" s="6090"/>
      <c r="FC235" s="6090"/>
      <c r="FD235" s="6090"/>
      <c r="FE235" s="6090"/>
      <c r="FF235" s="6090"/>
      <c r="FG235" s="6090"/>
      <c r="FH235" s="6090"/>
      <c r="FI235" s="6090"/>
      <c r="FJ235" s="6090"/>
      <c r="FK235" s="6090"/>
      <c r="FL235" s="6090"/>
      <c r="FM235" s="6090"/>
      <c r="FN235" s="6090"/>
      <c r="FO235" s="6090"/>
      <c r="FP235" s="6090"/>
      <c r="FQ235" s="6090"/>
      <c r="FR235" s="6090"/>
      <c r="FS235" s="6090"/>
      <c r="FT235" s="6090"/>
      <c r="FU235" s="6090"/>
      <c r="FV235" s="6090"/>
      <c r="FW235" s="6090"/>
      <c r="GA235" s="6090"/>
      <c r="GB235" s="6090"/>
      <c r="GC235" s="6090"/>
      <c r="GD235" s="6090"/>
      <c r="GE235" s="6090"/>
      <c r="GF235" s="6090"/>
      <c r="GG235" s="6090"/>
      <c r="GH235" s="6090"/>
      <c r="GI235" s="6090"/>
      <c r="GJ235" s="6090"/>
      <c r="GK235" s="6090"/>
      <c r="GL235" s="6090"/>
      <c r="GM235" s="6090"/>
      <c r="GN235" s="6090"/>
      <c r="GO235" s="6090"/>
      <c r="GP235" s="6090"/>
      <c r="GQ235" s="6090"/>
      <c r="GR235" s="6090"/>
      <c r="GS235" s="6090"/>
      <c r="GT235" s="6090"/>
      <c r="GU235" s="6090"/>
      <c r="GV235" s="6090"/>
      <c r="GW235" s="6090"/>
      <c r="GX235" s="6090"/>
      <c r="GY235" s="6090"/>
      <c r="GZ235" s="6090"/>
      <c r="HA235" s="6090"/>
      <c r="HB235" s="6090"/>
      <c r="HC235" s="6090"/>
      <c r="HD235" s="6090"/>
      <c r="HE235" s="6090"/>
      <c r="HF235" s="6090"/>
      <c r="HG235" s="6090"/>
      <c r="HH235" s="6090"/>
      <c r="HI235" s="6090"/>
      <c r="HJ235" s="6090"/>
      <c r="HK235" s="6090"/>
      <c r="HL235" s="6090"/>
      <c r="HM235" s="6090"/>
      <c r="HN235" s="6090"/>
      <c r="HO235" s="6090"/>
      <c r="HP235" s="6090"/>
      <c r="HT235" s="6090"/>
      <c r="HU235" s="6090"/>
      <c r="HV235" s="6090"/>
      <c r="HW235" s="6090"/>
      <c r="HX235" s="6090"/>
      <c r="HY235" s="6090"/>
      <c r="HZ235" s="6090"/>
      <c r="IA235" s="6090"/>
      <c r="IB235" s="6090"/>
      <c r="IC235" s="6090"/>
      <c r="ID235" s="6090"/>
      <c r="IE235" s="6090"/>
      <c r="IF235" s="6090"/>
      <c r="IG235" s="6090"/>
      <c r="IH235" s="6090"/>
      <c r="II235" s="6090"/>
      <c r="IJ235" s="6090"/>
      <c r="IK235" s="6090"/>
      <c r="IL235" s="6090"/>
      <c r="IM235" s="6090"/>
      <c r="IN235" s="6090"/>
      <c r="IO235" s="6090"/>
      <c r="IP235" s="6090"/>
      <c r="IQ235" s="6090"/>
      <c r="IR235" s="6090"/>
      <c r="IS235" s="6090"/>
      <c r="IT235" s="6090"/>
      <c r="IU235" s="6090"/>
      <c r="IV235" s="6090"/>
      <c r="IW235" s="6090"/>
      <c r="IX235" s="6090"/>
      <c r="IY235" s="6090"/>
      <c r="IZ235" s="6090"/>
      <c r="JA235" s="6090"/>
      <c r="JB235" s="6090"/>
      <c r="JC235" s="6090"/>
      <c r="JD235" s="6090"/>
      <c r="JE235" s="6090"/>
      <c r="JF235" s="6090"/>
      <c r="JG235" s="6090"/>
      <c r="JH235" s="6090"/>
      <c r="JI235" s="6090"/>
      <c r="JM235" s="6090"/>
      <c r="JN235" s="6090"/>
      <c r="JO235" s="6090"/>
      <c r="JP235" s="6090"/>
      <c r="JQ235" s="6090"/>
      <c r="JR235" s="6090"/>
      <c r="JS235" s="6090"/>
      <c r="JT235" s="6090"/>
      <c r="JU235" s="6090"/>
      <c r="JV235" s="6090"/>
      <c r="JW235" s="6090"/>
      <c r="JX235" s="6090"/>
      <c r="JY235" s="6090"/>
      <c r="JZ235" s="6090"/>
      <c r="KA235" s="6090"/>
      <c r="KB235" s="6090"/>
      <c r="KC235" s="6090"/>
      <c r="KD235" s="6090"/>
      <c r="KE235" s="6090"/>
      <c r="KF235" s="6090"/>
      <c r="KG235" s="6090"/>
      <c r="KH235" s="6090"/>
      <c r="KI235" s="6090"/>
      <c r="KJ235" s="6090"/>
      <c r="KK235" s="6090"/>
      <c r="KL235" s="6090"/>
      <c r="KM235" s="6090"/>
      <c r="KN235" s="6090"/>
      <c r="KO235" s="6090"/>
      <c r="KP235" s="6090"/>
      <c r="KQ235" s="6090"/>
      <c r="KR235" s="6090"/>
      <c r="KS235" s="6090"/>
      <c r="KT235" s="6090"/>
      <c r="KU235" s="6090"/>
      <c r="KV235" s="6090"/>
      <c r="KW235" s="6090"/>
      <c r="KX235" s="6090"/>
      <c r="KY235" s="6090"/>
      <c r="KZ235" s="6090"/>
      <c r="LA235" s="6090"/>
      <c r="LB235" s="6090"/>
      <c r="LF235" s="6090"/>
      <c r="LG235" s="6090"/>
      <c r="LH235" s="6090"/>
      <c r="LI235" s="6090"/>
      <c r="LJ235" s="6090"/>
      <c r="LK235" s="6090"/>
      <c r="LL235" s="6090"/>
      <c r="LM235" s="6090"/>
      <c r="LN235" s="6090"/>
      <c r="LO235" s="6090"/>
      <c r="LP235" s="6090"/>
      <c r="LQ235" s="6090"/>
      <c r="LR235" s="6090"/>
      <c r="LS235" s="6090"/>
      <c r="LT235" s="6090"/>
      <c r="LU235" s="6090"/>
      <c r="LV235" s="6090"/>
      <c r="LW235" s="6090"/>
      <c r="LX235" s="6090"/>
      <c r="LY235" s="6090"/>
      <c r="LZ235" s="6090"/>
      <c r="MA235" s="6090"/>
      <c r="MB235" s="6090"/>
      <c r="MC235" s="6090"/>
      <c r="MD235" s="6090"/>
      <c r="ME235" s="6090"/>
      <c r="MF235" s="6090"/>
      <c r="MG235" s="6090"/>
      <c r="MH235" s="6090"/>
      <c r="MI235" s="6090"/>
      <c r="MJ235" s="6090"/>
      <c r="MK235" s="6090"/>
      <c r="ML235" s="6090"/>
      <c r="MM235" s="6090"/>
      <c r="MN235" s="6090"/>
      <c r="MO235" s="6090"/>
      <c r="MP235" s="6090"/>
      <c r="MQ235" s="6090"/>
      <c r="MR235" s="6090"/>
      <c r="MS235" s="6090"/>
      <c r="MT235" s="6090"/>
      <c r="MU235" s="6090"/>
      <c r="MY235" s="6090"/>
      <c r="MZ235" s="6090"/>
      <c r="NA235" s="6090"/>
      <c r="NB235" s="6090"/>
      <c r="NC235" s="6090"/>
      <c r="ND235" s="6090"/>
      <c r="NE235" s="6090"/>
      <c r="NF235" s="6090"/>
      <c r="NG235" s="6090"/>
      <c r="NH235" s="6090"/>
      <c r="NI235" s="6090"/>
      <c r="NJ235" s="6090"/>
      <c r="NK235" s="6090"/>
      <c r="NL235" s="6090"/>
      <c r="NM235" s="6090"/>
      <c r="NN235" s="6090"/>
      <c r="NO235" s="6090"/>
      <c r="NP235" s="6090"/>
      <c r="NQ235" s="6090"/>
      <c r="NR235" s="6090"/>
      <c r="NS235" s="6090"/>
      <c r="NT235" s="6090"/>
      <c r="NU235" s="6090"/>
      <c r="NV235" s="6090"/>
      <c r="NW235" s="6090"/>
      <c r="NX235" s="6090"/>
      <c r="NY235" s="6090"/>
      <c r="NZ235" s="6090"/>
      <c r="OA235" s="6090"/>
      <c r="OB235" s="6090"/>
      <c r="OC235" s="6090"/>
      <c r="OD235" s="6090"/>
      <c r="OE235" s="6090"/>
      <c r="OF235" s="6090"/>
      <c r="OG235" s="6090"/>
      <c r="OH235" s="6090"/>
      <c r="OI235" s="6090"/>
      <c r="OJ235" s="6090"/>
      <c r="OK235" s="6090"/>
      <c r="OL235" s="6090"/>
      <c r="OM235" s="6090"/>
      <c r="ON235" s="6090"/>
    </row>
    <row r="236" spans="3:405" ht="9.9499999999999993" customHeight="1" thickBot="1" x14ac:dyDescent="0.25"/>
    <row r="237" spans="3:405" ht="9.9499999999999993" customHeight="1" thickBot="1" x14ac:dyDescent="0.25">
      <c r="C237" s="6015"/>
      <c r="D237" s="6016"/>
      <c r="E237" s="6016"/>
      <c r="F237" s="6016"/>
      <c r="G237" s="6016"/>
      <c r="H237" s="6016"/>
      <c r="I237" s="6016"/>
      <c r="J237" s="6016"/>
      <c r="K237" s="6016"/>
      <c r="L237" s="6016"/>
      <c r="M237" s="6016"/>
      <c r="N237" s="6016"/>
      <c r="O237" s="6016"/>
      <c r="P237" s="6016"/>
      <c r="Q237" s="6016"/>
      <c r="R237" s="6016"/>
      <c r="S237" s="6016"/>
      <c r="T237" s="6016"/>
      <c r="U237" s="6016"/>
      <c r="V237" s="6016"/>
      <c r="W237" s="6016"/>
      <c r="X237" s="6016"/>
      <c r="Y237" s="6016"/>
      <c r="Z237" s="6016"/>
      <c r="AA237" s="6016"/>
      <c r="AB237" s="6016"/>
      <c r="AC237" s="6016"/>
      <c r="AD237" s="6016"/>
      <c r="AE237" s="6016"/>
      <c r="AF237" s="6016"/>
      <c r="AG237" s="6016"/>
      <c r="AH237" s="6016"/>
      <c r="AI237" s="6016"/>
      <c r="AJ237" s="6016"/>
      <c r="AK237" s="6016"/>
      <c r="AL237" s="6016"/>
      <c r="AM237" s="6016"/>
      <c r="AN237" s="6016"/>
      <c r="AO237" s="6016"/>
      <c r="AP237" s="6016"/>
      <c r="AQ237" s="6016"/>
      <c r="AR237" s="6017"/>
      <c r="AV237" s="6015"/>
      <c r="AW237" s="6016"/>
      <c r="AX237" s="6016"/>
      <c r="AY237" s="6016"/>
      <c r="AZ237" s="6016"/>
      <c r="BA237" s="6016"/>
      <c r="BB237" s="6016"/>
      <c r="BC237" s="6016"/>
      <c r="BD237" s="6016"/>
      <c r="BE237" s="6016"/>
      <c r="BF237" s="6016"/>
      <c r="BG237" s="6016"/>
      <c r="BH237" s="6016"/>
      <c r="BI237" s="6016"/>
      <c r="BJ237" s="6016"/>
      <c r="BK237" s="6016"/>
      <c r="BL237" s="6016"/>
      <c r="BM237" s="6016"/>
      <c r="BN237" s="6016"/>
      <c r="BO237" s="6016"/>
      <c r="BP237" s="6016"/>
      <c r="BQ237" s="6016"/>
      <c r="BR237" s="6016"/>
      <c r="BS237" s="6016"/>
      <c r="BT237" s="6016"/>
      <c r="BU237" s="6016"/>
      <c r="BV237" s="6016"/>
      <c r="BW237" s="6016"/>
      <c r="BX237" s="6016"/>
      <c r="BY237" s="6016"/>
      <c r="BZ237" s="6016"/>
      <c r="CA237" s="6016"/>
      <c r="CB237" s="6016"/>
      <c r="CC237" s="6016"/>
      <c r="CD237" s="6016"/>
      <c r="CE237" s="6016"/>
      <c r="CF237" s="6016"/>
      <c r="CG237" s="6016"/>
      <c r="CH237" s="6016"/>
      <c r="CI237" s="6016"/>
      <c r="CJ237" s="6016"/>
      <c r="CK237" s="6017"/>
      <c r="CO237" s="6015"/>
      <c r="CP237" s="6016"/>
      <c r="CQ237" s="6016"/>
      <c r="CR237" s="6016"/>
      <c r="CS237" s="6016"/>
      <c r="CT237" s="6016"/>
      <c r="CU237" s="6016"/>
      <c r="CV237" s="6016"/>
      <c r="CW237" s="6016"/>
      <c r="CX237" s="6016"/>
      <c r="CY237" s="6016"/>
      <c r="CZ237" s="6016"/>
      <c r="DA237" s="6016"/>
      <c r="DB237" s="6016"/>
      <c r="DC237" s="6016"/>
      <c r="DD237" s="6016"/>
      <c r="DE237" s="6016"/>
      <c r="DF237" s="6016"/>
      <c r="DG237" s="6016"/>
      <c r="DH237" s="6016"/>
      <c r="DI237" s="6016"/>
      <c r="DJ237" s="6016"/>
      <c r="DK237" s="6016"/>
      <c r="DL237" s="6016"/>
      <c r="DM237" s="6016"/>
      <c r="DN237" s="6016"/>
      <c r="DO237" s="6016"/>
      <c r="DP237" s="6016"/>
      <c r="DQ237" s="6016"/>
      <c r="DR237" s="6016"/>
      <c r="DS237" s="6016"/>
      <c r="DT237" s="6016"/>
      <c r="DU237" s="6016"/>
      <c r="DV237" s="6016"/>
      <c r="DW237" s="6016"/>
      <c r="DX237" s="6016"/>
      <c r="DY237" s="6016"/>
      <c r="DZ237" s="6016"/>
      <c r="EA237" s="6016"/>
      <c r="EB237" s="6016"/>
      <c r="EC237" s="6016"/>
      <c r="ED237" s="6017"/>
      <c r="EH237" s="6015"/>
      <c r="EI237" s="6016"/>
      <c r="EJ237" s="6016"/>
      <c r="EK237" s="6016"/>
      <c r="EL237" s="6016"/>
      <c r="EM237" s="6016"/>
      <c r="EN237" s="6016"/>
      <c r="EO237" s="6016"/>
      <c r="EP237" s="6016"/>
      <c r="EQ237" s="6016"/>
      <c r="ER237" s="6016"/>
      <c r="ES237" s="6016"/>
      <c r="ET237" s="6016"/>
      <c r="EU237" s="6016"/>
      <c r="EV237" s="6016"/>
      <c r="EW237" s="6016"/>
      <c r="EX237" s="6016"/>
      <c r="EY237" s="6016"/>
      <c r="EZ237" s="6016"/>
      <c r="FA237" s="6016"/>
      <c r="FB237" s="6016"/>
      <c r="FC237" s="6016"/>
      <c r="FD237" s="6016"/>
      <c r="FE237" s="6016"/>
      <c r="FF237" s="6016"/>
      <c r="FG237" s="6016"/>
      <c r="FH237" s="6016"/>
      <c r="FI237" s="6016"/>
      <c r="FJ237" s="6016"/>
      <c r="FK237" s="6016"/>
      <c r="FL237" s="6016"/>
      <c r="FM237" s="6016"/>
      <c r="FN237" s="6016"/>
      <c r="FO237" s="6016"/>
      <c r="FP237" s="6016"/>
      <c r="FQ237" s="6016"/>
      <c r="FR237" s="6016"/>
      <c r="FS237" s="6016"/>
      <c r="FT237" s="6016"/>
      <c r="FU237" s="6016"/>
      <c r="FV237" s="6016"/>
      <c r="FW237" s="6017"/>
      <c r="GA237" s="6015"/>
      <c r="GB237" s="6016"/>
      <c r="GC237" s="6016"/>
      <c r="GD237" s="6016"/>
      <c r="GE237" s="6016"/>
      <c r="GF237" s="6016"/>
      <c r="GG237" s="6016"/>
      <c r="GH237" s="6016"/>
      <c r="GI237" s="6016"/>
      <c r="GJ237" s="6016"/>
      <c r="GK237" s="6016"/>
      <c r="GL237" s="6016"/>
      <c r="GM237" s="6016"/>
      <c r="GN237" s="6016"/>
      <c r="GO237" s="6016"/>
      <c r="GP237" s="6016"/>
      <c r="GQ237" s="6016"/>
      <c r="GR237" s="6016"/>
      <c r="GS237" s="6016"/>
      <c r="GT237" s="6016"/>
      <c r="GU237" s="6016"/>
      <c r="GV237" s="6016"/>
      <c r="GW237" s="6016"/>
      <c r="GX237" s="6016"/>
      <c r="GY237" s="6016"/>
      <c r="GZ237" s="6016"/>
      <c r="HA237" s="6016"/>
      <c r="HB237" s="6016"/>
      <c r="HC237" s="6016"/>
      <c r="HD237" s="6016"/>
      <c r="HE237" s="6016"/>
      <c r="HF237" s="6016"/>
      <c r="HG237" s="6016"/>
      <c r="HH237" s="6016"/>
      <c r="HI237" s="6016"/>
      <c r="HJ237" s="6016"/>
      <c r="HK237" s="6016"/>
      <c r="HL237" s="6016"/>
      <c r="HM237" s="6016"/>
      <c r="HN237" s="6016"/>
      <c r="HO237" s="6016"/>
      <c r="HP237" s="6017"/>
      <c r="HT237" s="6015"/>
      <c r="HU237" s="6016"/>
      <c r="HV237" s="6016"/>
      <c r="HW237" s="6016"/>
      <c r="HX237" s="6016"/>
      <c r="HY237" s="6016"/>
      <c r="HZ237" s="6016"/>
      <c r="IA237" s="6016"/>
      <c r="IB237" s="6016"/>
      <c r="IC237" s="6016"/>
      <c r="ID237" s="6016"/>
      <c r="IE237" s="6016"/>
      <c r="IF237" s="6016"/>
      <c r="IG237" s="6016"/>
      <c r="IH237" s="6016"/>
      <c r="II237" s="6016"/>
      <c r="IJ237" s="6016"/>
      <c r="IK237" s="6016"/>
      <c r="IL237" s="6016"/>
      <c r="IM237" s="6016"/>
      <c r="IN237" s="6016"/>
      <c r="IO237" s="6016"/>
      <c r="IP237" s="6016"/>
      <c r="IQ237" s="6016"/>
      <c r="IR237" s="6016"/>
      <c r="IS237" s="6016"/>
      <c r="IT237" s="6016"/>
      <c r="IU237" s="6016"/>
      <c r="IV237" s="6016"/>
      <c r="IW237" s="6016"/>
      <c r="IX237" s="6016"/>
      <c r="IY237" s="6016"/>
      <c r="IZ237" s="6016"/>
      <c r="JA237" s="6016"/>
      <c r="JB237" s="6016"/>
      <c r="JC237" s="6016"/>
      <c r="JD237" s="6016"/>
      <c r="JE237" s="6016"/>
      <c r="JF237" s="6016"/>
      <c r="JG237" s="6016"/>
      <c r="JH237" s="6016"/>
      <c r="JI237" s="6017"/>
      <c r="JM237" s="6015"/>
      <c r="JN237" s="6016"/>
      <c r="JO237" s="6016"/>
      <c r="JP237" s="6016"/>
      <c r="JQ237" s="6016"/>
      <c r="JR237" s="6016"/>
      <c r="JS237" s="6016"/>
      <c r="JT237" s="6016"/>
      <c r="JU237" s="6016"/>
      <c r="JV237" s="6016"/>
      <c r="JW237" s="6016"/>
      <c r="JX237" s="6016"/>
      <c r="JY237" s="6016"/>
      <c r="JZ237" s="6016"/>
      <c r="KA237" s="6016"/>
      <c r="KB237" s="6016"/>
      <c r="KC237" s="6016"/>
      <c r="KD237" s="6016"/>
      <c r="KE237" s="6016"/>
      <c r="KF237" s="6016"/>
      <c r="KG237" s="6016"/>
      <c r="KH237" s="6016"/>
      <c r="KI237" s="6016"/>
      <c r="KJ237" s="6016"/>
      <c r="KK237" s="6016"/>
      <c r="KL237" s="6016"/>
      <c r="KM237" s="6016"/>
      <c r="KN237" s="6016"/>
      <c r="KO237" s="6016"/>
      <c r="KP237" s="6016"/>
      <c r="KQ237" s="6016"/>
      <c r="KR237" s="6016"/>
      <c r="KS237" s="6016"/>
      <c r="KT237" s="6016"/>
      <c r="KU237" s="6016"/>
      <c r="KV237" s="6016"/>
      <c r="KW237" s="6016"/>
      <c r="KX237" s="6016"/>
      <c r="KY237" s="6016"/>
      <c r="KZ237" s="6016"/>
      <c r="LA237" s="6016"/>
      <c r="LB237" s="6017"/>
      <c r="LC237" s="7"/>
      <c r="LF237" s="6015"/>
      <c r="LG237" s="6016"/>
      <c r="LH237" s="6016"/>
      <c r="LI237" s="6016"/>
      <c r="LJ237" s="6016"/>
      <c r="LK237" s="6016"/>
      <c r="LL237" s="6016"/>
      <c r="LM237" s="6016"/>
      <c r="LN237" s="6016"/>
      <c r="LO237" s="6016"/>
      <c r="LP237" s="6016"/>
      <c r="LQ237" s="6016"/>
      <c r="LR237" s="6016"/>
      <c r="LS237" s="6016"/>
      <c r="LT237" s="6016"/>
      <c r="LU237" s="6016"/>
      <c r="LV237" s="6016"/>
      <c r="LW237" s="6016"/>
      <c r="LX237" s="6016"/>
      <c r="LY237" s="6016"/>
      <c r="LZ237" s="6016"/>
      <c r="MA237" s="6016"/>
      <c r="MB237" s="6016"/>
      <c r="MC237" s="6016"/>
      <c r="MD237" s="6016"/>
      <c r="ME237" s="6016"/>
      <c r="MF237" s="6016"/>
      <c r="MG237" s="6016"/>
      <c r="MH237" s="6016"/>
      <c r="MI237" s="6016"/>
      <c r="MJ237" s="6016"/>
      <c r="MK237" s="6016"/>
      <c r="ML237" s="6016"/>
      <c r="MM237" s="6016"/>
      <c r="MN237" s="6016"/>
      <c r="MO237" s="6016"/>
      <c r="MP237" s="6016"/>
      <c r="MQ237" s="6016"/>
      <c r="MR237" s="6016"/>
      <c r="MS237" s="6016"/>
      <c r="MT237" s="6016"/>
      <c r="MU237" s="6017"/>
      <c r="MV237" s="7"/>
      <c r="MY237" s="6015"/>
      <c r="MZ237" s="6016"/>
      <c r="NA237" s="6016"/>
      <c r="NB237" s="6016"/>
      <c r="NC237" s="6016"/>
      <c r="ND237" s="6016"/>
      <c r="NE237" s="6016"/>
      <c r="NF237" s="6016"/>
      <c r="NG237" s="6016"/>
      <c r="NH237" s="6016"/>
      <c r="NI237" s="6016"/>
      <c r="NJ237" s="6016"/>
      <c r="NK237" s="6016"/>
      <c r="NL237" s="6016"/>
      <c r="NM237" s="6016"/>
      <c r="NN237" s="6016"/>
      <c r="NO237" s="6016"/>
      <c r="NP237" s="6016"/>
      <c r="NQ237" s="6016"/>
      <c r="NR237" s="6016"/>
      <c r="NS237" s="6016"/>
      <c r="NT237" s="6016"/>
      <c r="NU237" s="6016"/>
      <c r="NV237" s="6016"/>
      <c r="NW237" s="6016"/>
      <c r="NX237" s="6016"/>
      <c r="NY237" s="6016"/>
      <c r="NZ237" s="6016"/>
      <c r="OA237" s="6016"/>
      <c r="OB237" s="6016"/>
      <c r="OC237" s="6016"/>
      <c r="OD237" s="6016"/>
      <c r="OE237" s="6016"/>
      <c r="OF237" s="6016"/>
      <c r="OG237" s="6016"/>
      <c r="OH237" s="6016"/>
      <c r="OI237" s="6016"/>
      <c r="OJ237" s="6016"/>
      <c r="OK237" s="6016"/>
      <c r="OL237" s="6016"/>
      <c r="OM237" s="6016"/>
      <c r="ON237" s="6017"/>
      <c r="OO237" s="7"/>
    </row>
    <row r="238" spans="3:405" s="6027" customFormat="1" ht="15" customHeight="1" thickBot="1" x14ac:dyDescent="0.25">
      <c r="C238" s="6018"/>
      <c r="D238" s="6019"/>
      <c r="E238" s="6779" t="str">
        <f>_Calcs!$II$94</f>
        <v/>
      </c>
      <c r="F238" s="6779"/>
      <c r="G238" s="6779"/>
      <c r="H238" s="6779"/>
      <c r="I238" s="6779"/>
      <c r="J238" s="6779"/>
      <c r="K238" s="6779"/>
      <c r="L238" s="6779"/>
      <c r="M238" s="6779"/>
      <c r="N238" s="6779"/>
      <c r="O238" s="6779"/>
      <c r="P238" s="6779"/>
      <c r="Q238" s="6779"/>
      <c r="R238" s="6779"/>
      <c r="S238" s="6779"/>
      <c r="T238" s="6779"/>
      <c r="U238" s="6779"/>
      <c r="V238" s="6779"/>
      <c r="W238" s="6779"/>
      <c r="X238" s="6779"/>
      <c r="Y238" s="6779"/>
      <c r="Z238" s="6779"/>
      <c r="AA238" s="6779"/>
      <c r="AB238" s="6779"/>
      <c r="AC238" s="6779"/>
      <c r="AD238" s="6779"/>
      <c r="AE238" s="6779"/>
      <c r="AF238" s="6779"/>
      <c r="AG238" s="6779"/>
      <c r="AH238" s="6779"/>
      <c r="AI238" s="6779"/>
      <c r="AJ238" s="6020"/>
      <c r="AK238" s="6021"/>
      <c r="AL238" s="6022"/>
      <c r="AM238" s="6023" t="str">
        <f>_Calcs!$IK$177</f>
        <v>Side 8 av 9</v>
      </c>
      <c r="AN238" s="6024"/>
      <c r="AO238" s="6024"/>
      <c r="AP238" s="6024"/>
      <c r="AQ238" s="6025"/>
      <c r="AR238" s="6026"/>
      <c r="AV238" s="6018"/>
      <c r="AW238" s="6019"/>
      <c r="AX238" s="6779" t="str">
        <f>_Calcs!$II$94</f>
        <v/>
      </c>
      <c r="AY238" s="6779"/>
      <c r="AZ238" s="6779"/>
      <c r="BA238" s="6779"/>
      <c r="BB238" s="6779"/>
      <c r="BC238" s="6779"/>
      <c r="BD238" s="6779"/>
      <c r="BE238" s="6779"/>
      <c r="BF238" s="6779"/>
      <c r="BG238" s="6779"/>
      <c r="BH238" s="6779"/>
      <c r="BI238" s="6779"/>
      <c r="BJ238" s="6779"/>
      <c r="BK238" s="6779"/>
      <c r="BL238" s="6779"/>
      <c r="BM238" s="6779"/>
      <c r="BN238" s="6779"/>
      <c r="BO238" s="6779"/>
      <c r="BP238" s="6779"/>
      <c r="BQ238" s="6779"/>
      <c r="BR238" s="6779"/>
      <c r="BS238" s="6779"/>
      <c r="BT238" s="6779"/>
      <c r="BU238" s="6779"/>
      <c r="BV238" s="6779"/>
      <c r="BW238" s="6779"/>
      <c r="BX238" s="6779"/>
      <c r="BY238" s="6779"/>
      <c r="BZ238" s="6779"/>
      <c r="CA238" s="6779"/>
      <c r="CB238" s="6779"/>
      <c r="CC238" s="6020"/>
      <c r="CD238" s="6021"/>
      <c r="CE238" s="6022"/>
      <c r="CF238" s="6023" t="str">
        <f>_Calcs!$IL$177</f>
        <v>Side 8 av 9</v>
      </c>
      <c r="CG238" s="6024"/>
      <c r="CH238" s="6024"/>
      <c r="CI238" s="6024"/>
      <c r="CJ238" s="6025"/>
      <c r="CK238" s="6026"/>
      <c r="CO238" s="6018"/>
      <c r="CP238" s="6019"/>
      <c r="CQ238" s="6779" t="str">
        <f>_Calcs!$II$94</f>
        <v/>
      </c>
      <c r="CR238" s="6779"/>
      <c r="CS238" s="6779"/>
      <c r="CT238" s="6779"/>
      <c r="CU238" s="6779"/>
      <c r="CV238" s="6779"/>
      <c r="CW238" s="6779"/>
      <c r="CX238" s="6779"/>
      <c r="CY238" s="6779"/>
      <c r="CZ238" s="6779"/>
      <c r="DA238" s="6779"/>
      <c r="DB238" s="6779"/>
      <c r="DC238" s="6779"/>
      <c r="DD238" s="6779"/>
      <c r="DE238" s="6779"/>
      <c r="DF238" s="6779"/>
      <c r="DG238" s="6779"/>
      <c r="DH238" s="6779"/>
      <c r="DI238" s="6779"/>
      <c r="DJ238" s="6779"/>
      <c r="DK238" s="6779"/>
      <c r="DL238" s="6779"/>
      <c r="DM238" s="6779"/>
      <c r="DN238" s="6779"/>
      <c r="DO238" s="6779"/>
      <c r="DP238" s="6779"/>
      <c r="DQ238" s="6779"/>
      <c r="DR238" s="6779"/>
      <c r="DS238" s="6779"/>
      <c r="DT238" s="6779"/>
      <c r="DU238" s="6779"/>
      <c r="DV238" s="6020"/>
      <c r="DW238" s="6021"/>
      <c r="DX238" s="6022"/>
      <c r="DY238" s="6023" t="str">
        <f>_Calcs!$IM$177</f>
        <v>Side 8 av 9</v>
      </c>
      <c r="DZ238" s="6024"/>
      <c r="EA238" s="6024"/>
      <c r="EB238" s="6024"/>
      <c r="EC238" s="6025"/>
      <c r="ED238" s="6026"/>
      <c r="EH238" s="6018"/>
      <c r="EI238" s="6019"/>
      <c r="EJ238" s="6779" t="str">
        <f>_Calcs!$II$94</f>
        <v/>
      </c>
      <c r="EK238" s="6779"/>
      <c r="EL238" s="6779"/>
      <c r="EM238" s="6779"/>
      <c r="EN238" s="6779"/>
      <c r="EO238" s="6779"/>
      <c r="EP238" s="6779"/>
      <c r="EQ238" s="6779"/>
      <c r="ER238" s="6779"/>
      <c r="ES238" s="6779"/>
      <c r="ET238" s="6779"/>
      <c r="EU238" s="6779"/>
      <c r="EV238" s="6779"/>
      <c r="EW238" s="6779"/>
      <c r="EX238" s="6779"/>
      <c r="EY238" s="6779"/>
      <c r="EZ238" s="6779"/>
      <c r="FA238" s="6779"/>
      <c r="FB238" s="6779"/>
      <c r="FC238" s="6779"/>
      <c r="FD238" s="6779"/>
      <c r="FE238" s="6779"/>
      <c r="FF238" s="6779"/>
      <c r="FG238" s="6779"/>
      <c r="FH238" s="6779"/>
      <c r="FI238" s="6779"/>
      <c r="FJ238" s="6779"/>
      <c r="FK238" s="6779"/>
      <c r="FL238" s="6779"/>
      <c r="FM238" s="6779"/>
      <c r="FN238" s="6779"/>
      <c r="FO238" s="6020"/>
      <c r="FP238" s="6021"/>
      <c r="FQ238" s="6022"/>
      <c r="FR238" s="6023" t="str">
        <f>_Calcs!$IN$177</f>
        <v>Side 8 av 9</v>
      </c>
      <c r="FS238" s="6024"/>
      <c r="FT238" s="6024"/>
      <c r="FU238" s="6024"/>
      <c r="FV238" s="6025"/>
      <c r="FW238" s="6026"/>
      <c r="GA238" s="6018"/>
      <c r="GB238" s="6019"/>
      <c r="GC238" s="6779" t="str">
        <f>_Calcs!$II$94</f>
        <v/>
      </c>
      <c r="GD238" s="6779"/>
      <c r="GE238" s="6779"/>
      <c r="GF238" s="6779"/>
      <c r="GG238" s="6779"/>
      <c r="GH238" s="6779"/>
      <c r="GI238" s="6779"/>
      <c r="GJ238" s="6779"/>
      <c r="GK238" s="6779"/>
      <c r="GL238" s="6779"/>
      <c r="GM238" s="6779"/>
      <c r="GN238" s="6779"/>
      <c r="GO238" s="6779"/>
      <c r="GP238" s="6779"/>
      <c r="GQ238" s="6779"/>
      <c r="GR238" s="6779"/>
      <c r="GS238" s="6779"/>
      <c r="GT238" s="6779"/>
      <c r="GU238" s="6779"/>
      <c r="GV238" s="6779"/>
      <c r="GW238" s="6779"/>
      <c r="GX238" s="6779"/>
      <c r="GY238" s="6779"/>
      <c r="GZ238" s="6779"/>
      <c r="HA238" s="6779"/>
      <c r="HB238" s="6779"/>
      <c r="HC238" s="6779"/>
      <c r="HD238" s="6779"/>
      <c r="HE238" s="6779"/>
      <c r="HF238" s="6779"/>
      <c r="HG238" s="6779"/>
      <c r="HH238" s="6020"/>
      <c r="HI238" s="6021"/>
      <c r="HJ238" s="6022"/>
      <c r="HK238" s="6023" t="str">
        <f>_Calcs!$IO$177</f>
        <v>Side 8 av 9</v>
      </c>
      <c r="HL238" s="6024"/>
      <c r="HM238" s="6024"/>
      <c r="HN238" s="6024"/>
      <c r="HO238" s="6025"/>
      <c r="HP238" s="6026"/>
      <c r="HT238" s="6018"/>
      <c r="HU238" s="6019"/>
      <c r="HV238" s="6779" t="str">
        <f>_Calcs!$II$94</f>
        <v/>
      </c>
      <c r="HW238" s="6779"/>
      <c r="HX238" s="6779"/>
      <c r="HY238" s="6779"/>
      <c r="HZ238" s="6779"/>
      <c r="IA238" s="6779"/>
      <c r="IB238" s="6779"/>
      <c r="IC238" s="6779"/>
      <c r="ID238" s="6779"/>
      <c r="IE238" s="6779"/>
      <c r="IF238" s="6779"/>
      <c r="IG238" s="6779"/>
      <c r="IH238" s="6779"/>
      <c r="II238" s="6779"/>
      <c r="IJ238" s="6779"/>
      <c r="IK238" s="6779"/>
      <c r="IL238" s="6779"/>
      <c r="IM238" s="6779"/>
      <c r="IN238" s="6779"/>
      <c r="IO238" s="6779"/>
      <c r="IP238" s="6779"/>
      <c r="IQ238" s="6779"/>
      <c r="IR238" s="6779"/>
      <c r="IS238" s="6779"/>
      <c r="IT238" s="6779"/>
      <c r="IU238" s="6779"/>
      <c r="IV238" s="6779"/>
      <c r="IW238" s="6779"/>
      <c r="IX238" s="6779"/>
      <c r="IY238" s="6779"/>
      <c r="IZ238" s="6779"/>
      <c r="JA238" s="6020"/>
      <c r="JB238" s="6021"/>
      <c r="JC238" s="6022"/>
      <c r="JD238" s="6023" t="str">
        <f>_Calcs!$IP$177</f>
        <v>Side 8 av 9</v>
      </c>
      <c r="JE238" s="6024"/>
      <c r="JF238" s="6024"/>
      <c r="JG238" s="6024"/>
      <c r="JH238" s="6025"/>
      <c r="JI238" s="6026"/>
      <c r="JM238" s="6018"/>
      <c r="JN238" s="6019"/>
      <c r="JO238" s="6779" t="str">
        <f>_Calcs!$II$94</f>
        <v/>
      </c>
      <c r="JP238" s="6779"/>
      <c r="JQ238" s="6779"/>
      <c r="JR238" s="6779"/>
      <c r="JS238" s="6779"/>
      <c r="JT238" s="6779"/>
      <c r="JU238" s="6779"/>
      <c r="JV238" s="6779"/>
      <c r="JW238" s="6779"/>
      <c r="JX238" s="6779"/>
      <c r="JY238" s="6779"/>
      <c r="JZ238" s="6779"/>
      <c r="KA238" s="6779"/>
      <c r="KB238" s="6779"/>
      <c r="KC238" s="6779"/>
      <c r="KD238" s="6779"/>
      <c r="KE238" s="6779"/>
      <c r="KF238" s="6779"/>
      <c r="KG238" s="6779"/>
      <c r="KH238" s="6779"/>
      <c r="KI238" s="6779"/>
      <c r="KJ238" s="6779"/>
      <c r="KK238" s="6779"/>
      <c r="KL238" s="6779"/>
      <c r="KM238" s="6779"/>
      <c r="KN238" s="6779"/>
      <c r="KO238" s="6779"/>
      <c r="KP238" s="6779"/>
      <c r="KQ238" s="6779"/>
      <c r="KR238" s="6779"/>
      <c r="KS238" s="6779"/>
      <c r="KT238" s="6020"/>
      <c r="KU238" s="6021"/>
      <c r="KV238" s="6022"/>
      <c r="KW238" s="6023" t="str">
        <f>_Calcs!$IQ$177</f>
        <v>Side 8 av 9</v>
      </c>
      <c r="KX238" s="6024"/>
      <c r="KY238" s="6024"/>
      <c r="KZ238" s="6024"/>
      <c r="LA238" s="6025"/>
      <c r="LB238" s="6026"/>
      <c r="LC238" s="7"/>
      <c r="LF238" s="6018"/>
      <c r="LG238" s="6019"/>
      <c r="LH238" s="6779" t="str">
        <f>_Calcs!$II$94</f>
        <v/>
      </c>
      <c r="LI238" s="6779"/>
      <c r="LJ238" s="6779"/>
      <c r="LK238" s="6779"/>
      <c r="LL238" s="6779"/>
      <c r="LM238" s="6779"/>
      <c r="LN238" s="6779"/>
      <c r="LO238" s="6779"/>
      <c r="LP238" s="6779"/>
      <c r="LQ238" s="6779"/>
      <c r="LR238" s="6779"/>
      <c r="LS238" s="6779"/>
      <c r="LT238" s="6779"/>
      <c r="LU238" s="6779"/>
      <c r="LV238" s="6779"/>
      <c r="LW238" s="6779"/>
      <c r="LX238" s="6779"/>
      <c r="LY238" s="6779"/>
      <c r="LZ238" s="6779"/>
      <c r="MA238" s="6779"/>
      <c r="MB238" s="6779"/>
      <c r="MC238" s="6779"/>
      <c r="MD238" s="6779"/>
      <c r="ME238" s="6779"/>
      <c r="MF238" s="6779"/>
      <c r="MG238" s="6779"/>
      <c r="MH238" s="6779"/>
      <c r="MI238" s="6779"/>
      <c r="MJ238" s="6779"/>
      <c r="MK238" s="6779"/>
      <c r="ML238" s="6779"/>
      <c r="MM238" s="6020"/>
      <c r="MN238" s="6021"/>
      <c r="MO238" s="6022"/>
      <c r="MP238" s="6023" t="str">
        <f>_Calcs!$IR$177</f>
        <v>Side 8 av 9</v>
      </c>
      <c r="MQ238" s="6024"/>
      <c r="MR238" s="6024"/>
      <c r="MS238" s="6024"/>
      <c r="MT238" s="6025"/>
      <c r="MU238" s="6026"/>
      <c r="MV238" s="7"/>
      <c r="MY238" s="6018"/>
      <c r="MZ238" s="6019"/>
      <c r="NA238" s="6779" t="str">
        <f>_Calcs!$II$94</f>
        <v/>
      </c>
      <c r="NB238" s="6779"/>
      <c r="NC238" s="6779"/>
      <c r="ND238" s="6779"/>
      <c r="NE238" s="6779"/>
      <c r="NF238" s="6779"/>
      <c r="NG238" s="6779"/>
      <c r="NH238" s="6779"/>
      <c r="NI238" s="6779"/>
      <c r="NJ238" s="6779"/>
      <c r="NK238" s="6779"/>
      <c r="NL238" s="6779"/>
      <c r="NM238" s="6779"/>
      <c r="NN238" s="6779"/>
      <c r="NO238" s="6779"/>
      <c r="NP238" s="6779"/>
      <c r="NQ238" s="6779"/>
      <c r="NR238" s="6779"/>
      <c r="NS238" s="6779"/>
      <c r="NT238" s="6779"/>
      <c r="NU238" s="6779"/>
      <c r="NV238" s="6779"/>
      <c r="NW238" s="6779"/>
      <c r="NX238" s="6779"/>
      <c r="NY238" s="6779"/>
      <c r="NZ238" s="6779"/>
      <c r="OA238" s="6779"/>
      <c r="OB238" s="6779"/>
      <c r="OC238" s="6779"/>
      <c r="OD238" s="6779"/>
      <c r="OE238" s="6779"/>
      <c r="OF238" s="6020"/>
      <c r="OG238" s="6021"/>
      <c r="OH238" s="6022"/>
      <c r="OI238" s="6023" t="str">
        <f>_Calcs!$IS$177</f>
        <v>Side 8 av 9</v>
      </c>
      <c r="OJ238" s="6024"/>
      <c r="OK238" s="6024"/>
      <c r="OL238" s="6024"/>
      <c r="OM238" s="6025"/>
      <c r="ON238" s="6026"/>
      <c r="OO238" s="7"/>
    </row>
    <row r="239" spans="3:405" ht="5.0999999999999996" customHeight="1" thickBot="1" x14ac:dyDescent="0.25">
      <c r="C239" s="6028"/>
      <c r="D239" s="979"/>
      <c r="E239" s="3489"/>
      <c r="F239" s="3489"/>
      <c r="G239" s="3489"/>
      <c r="H239" s="3489"/>
      <c r="I239" s="3489"/>
      <c r="J239" s="3489"/>
      <c r="K239" s="3489"/>
      <c r="L239" s="3489"/>
      <c r="M239" s="3489"/>
      <c r="N239" s="3489"/>
      <c r="O239" s="3489"/>
      <c r="P239" s="3489"/>
      <c r="Q239" s="3489"/>
      <c r="R239" s="3489"/>
      <c r="S239" s="3489"/>
      <c r="T239" s="3489"/>
      <c r="U239" s="3489"/>
      <c r="V239" s="3489"/>
      <c r="W239" s="3489"/>
      <c r="X239" s="3489"/>
      <c r="Y239" s="3489"/>
      <c r="Z239" s="3489"/>
      <c r="AA239" s="3489"/>
      <c r="AB239" s="3489"/>
      <c r="AC239" s="3489"/>
      <c r="AD239" s="3489"/>
      <c r="AE239" s="3489"/>
      <c r="AF239" s="3489"/>
      <c r="AG239" s="3489"/>
      <c r="AH239" s="3489"/>
      <c r="AI239" s="3489"/>
      <c r="AJ239" s="979"/>
      <c r="AK239" s="979"/>
      <c r="AL239" s="979"/>
      <c r="AM239" s="979"/>
      <c r="AN239" s="979"/>
      <c r="AO239" s="979"/>
      <c r="AP239" s="979"/>
      <c r="AQ239" s="979"/>
      <c r="AR239" s="6029"/>
      <c r="AV239" s="6028"/>
      <c r="AW239" s="979"/>
      <c r="AX239" s="3489"/>
      <c r="AY239" s="3489"/>
      <c r="AZ239" s="3489"/>
      <c r="BA239" s="3489"/>
      <c r="BB239" s="3489"/>
      <c r="BC239" s="3489"/>
      <c r="BD239" s="3489"/>
      <c r="BE239" s="3489"/>
      <c r="BF239" s="3489"/>
      <c r="BG239" s="3489"/>
      <c r="BH239" s="3489"/>
      <c r="BI239" s="3489"/>
      <c r="BJ239" s="3489"/>
      <c r="BK239" s="3489"/>
      <c r="BL239" s="3489"/>
      <c r="BM239" s="3489"/>
      <c r="BN239" s="3489"/>
      <c r="BO239" s="3489"/>
      <c r="BP239" s="3489"/>
      <c r="BQ239" s="3489"/>
      <c r="BR239" s="3489"/>
      <c r="BS239" s="3489"/>
      <c r="BT239" s="3489"/>
      <c r="BU239" s="3489"/>
      <c r="BV239" s="3489"/>
      <c r="BW239" s="3489"/>
      <c r="BX239" s="3489"/>
      <c r="BY239" s="3489"/>
      <c r="BZ239" s="3489"/>
      <c r="CA239" s="3489"/>
      <c r="CB239" s="3489"/>
      <c r="CC239" s="979"/>
      <c r="CD239" s="979"/>
      <c r="CE239" s="979"/>
      <c r="CF239" s="979"/>
      <c r="CG239" s="979"/>
      <c r="CH239" s="979"/>
      <c r="CI239" s="979"/>
      <c r="CJ239" s="979"/>
      <c r="CK239" s="6029"/>
      <c r="CO239" s="6028"/>
      <c r="CP239" s="979"/>
      <c r="CQ239" s="3489"/>
      <c r="CR239" s="3489"/>
      <c r="CS239" s="3489"/>
      <c r="CT239" s="3489"/>
      <c r="CU239" s="3489"/>
      <c r="CV239" s="3489"/>
      <c r="CW239" s="3489"/>
      <c r="CX239" s="3489"/>
      <c r="CY239" s="3489"/>
      <c r="CZ239" s="3489"/>
      <c r="DA239" s="3489"/>
      <c r="DB239" s="3489"/>
      <c r="DC239" s="3489"/>
      <c r="DD239" s="3489"/>
      <c r="DE239" s="3489"/>
      <c r="DF239" s="3489"/>
      <c r="DG239" s="3489"/>
      <c r="DH239" s="3489"/>
      <c r="DI239" s="3489"/>
      <c r="DJ239" s="3489"/>
      <c r="DK239" s="3489"/>
      <c r="DL239" s="3489"/>
      <c r="DM239" s="3489"/>
      <c r="DN239" s="3489"/>
      <c r="DO239" s="3489"/>
      <c r="DP239" s="3489"/>
      <c r="DQ239" s="3489"/>
      <c r="DR239" s="3489"/>
      <c r="DS239" s="3489"/>
      <c r="DT239" s="3489"/>
      <c r="DU239" s="3489"/>
      <c r="DV239" s="979"/>
      <c r="DW239" s="979"/>
      <c r="DX239" s="979"/>
      <c r="DY239" s="979"/>
      <c r="DZ239" s="979"/>
      <c r="EA239" s="979"/>
      <c r="EB239" s="979"/>
      <c r="EC239" s="979"/>
      <c r="ED239" s="6029"/>
      <c r="EH239" s="6028"/>
      <c r="EI239" s="979"/>
      <c r="EJ239" s="3489"/>
      <c r="EK239" s="3489"/>
      <c r="EL239" s="3489"/>
      <c r="EM239" s="3489"/>
      <c r="EN239" s="3489"/>
      <c r="EO239" s="3489"/>
      <c r="EP239" s="3489"/>
      <c r="EQ239" s="3489"/>
      <c r="ER239" s="3489"/>
      <c r="ES239" s="3489"/>
      <c r="ET239" s="3489"/>
      <c r="EU239" s="3489"/>
      <c r="EV239" s="3489"/>
      <c r="EW239" s="3489"/>
      <c r="EX239" s="3489"/>
      <c r="EY239" s="3489"/>
      <c r="EZ239" s="3489"/>
      <c r="FA239" s="3489"/>
      <c r="FB239" s="3489"/>
      <c r="FC239" s="3489"/>
      <c r="FD239" s="3489"/>
      <c r="FE239" s="3489"/>
      <c r="FF239" s="3489"/>
      <c r="FG239" s="3489"/>
      <c r="FH239" s="3489"/>
      <c r="FI239" s="3489"/>
      <c r="FJ239" s="3489"/>
      <c r="FK239" s="3489"/>
      <c r="FL239" s="3489"/>
      <c r="FM239" s="3489"/>
      <c r="FN239" s="3489"/>
      <c r="FO239" s="979"/>
      <c r="FP239" s="979"/>
      <c r="FQ239" s="979"/>
      <c r="FR239" s="979"/>
      <c r="FS239" s="979"/>
      <c r="FT239" s="979"/>
      <c r="FU239" s="979"/>
      <c r="FV239" s="979"/>
      <c r="FW239" s="6029"/>
      <c r="GA239" s="6028"/>
      <c r="GB239" s="979"/>
      <c r="GC239" s="3489"/>
      <c r="GD239" s="3489"/>
      <c r="GE239" s="3489"/>
      <c r="GF239" s="3489"/>
      <c r="GG239" s="3489"/>
      <c r="GH239" s="3489"/>
      <c r="GI239" s="3489"/>
      <c r="GJ239" s="3489"/>
      <c r="GK239" s="3489"/>
      <c r="GL239" s="3489"/>
      <c r="GM239" s="3489"/>
      <c r="GN239" s="3489"/>
      <c r="GO239" s="3489"/>
      <c r="GP239" s="3489"/>
      <c r="GQ239" s="3489"/>
      <c r="GR239" s="3489"/>
      <c r="GS239" s="3489"/>
      <c r="GT239" s="3489"/>
      <c r="GU239" s="3489"/>
      <c r="GV239" s="3489"/>
      <c r="GW239" s="3489"/>
      <c r="GX239" s="3489"/>
      <c r="GY239" s="3489"/>
      <c r="GZ239" s="3489"/>
      <c r="HA239" s="3489"/>
      <c r="HB239" s="3489"/>
      <c r="HC239" s="3489"/>
      <c r="HD239" s="3489"/>
      <c r="HE239" s="3489"/>
      <c r="HF239" s="3489"/>
      <c r="HG239" s="3489"/>
      <c r="HH239" s="979"/>
      <c r="HI239" s="979"/>
      <c r="HJ239" s="979"/>
      <c r="HK239" s="979"/>
      <c r="HL239" s="979"/>
      <c r="HM239" s="979"/>
      <c r="HN239" s="979"/>
      <c r="HO239" s="979"/>
      <c r="HP239" s="6029"/>
      <c r="HT239" s="6028"/>
      <c r="HU239" s="979"/>
      <c r="HV239" s="3489"/>
      <c r="HW239" s="3489"/>
      <c r="HX239" s="3489"/>
      <c r="HY239" s="3489"/>
      <c r="HZ239" s="3489"/>
      <c r="IA239" s="3489"/>
      <c r="IB239" s="3489"/>
      <c r="IC239" s="3489"/>
      <c r="ID239" s="3489"/>
      <c r="IE239" s="3489"/>
      <c r="IF239" s="3489"/>
      <c r="IG239" s="3489"/>
      <c r="IH239" s="3489"/>
      <c r="II239" s="3489"/>
      <c r="IJ239" s="3489"/>
      <c r="IK239" s="3489"/>
      <c r="IL239" s="3489"/>
      <c r="IM239" s="3489"/>
      <c r="IN239" s="3489"/>
      <c r="IO239" s="3489"/>
      <c r="IP239" s="3489"/>
      <c r="IQ239" s="3489"/>
      <c r="IR239" s="3489"/>
      <c r="IS239" s="3489"/>
      <c r="IT239" s="3489"/>
      <c r="IU239" s="3489"/>
      <c r="IV239" s="3489"/>
      <c r="IW239" s="3489"/>
      <c r="IX239" s="3489"/>
      <c r="IY239" s="3489"/>
      <c r="IZ239" s="3489"/>
      <c r="JA239" s="979"/>
      <c r="JB239" s="979"/>
      <c r="JC239" s="979"/>
      <c r="JD239" s="979"/>
      <c r="JE239" s="979"/>
      <c r="JF239" s="979"/>
      <c r="JG239" s="979"/>
      <c r="JH239" s="979"/>
      <c r="JI239" s="6029"/>
      <c r="JM239" s="6028"/>
      <c r="JN239" s="979"/>
      <c r="JO239" s="3489"/>
      <c r="JP239" s="3489"/>
      <c r="JQ239" s="3489"/>
      <c r="JR239" s="3489"/>
      <c r="JS239" s="3489"/>
      <c r="JT239" s="3489"/>
      <c r="JU239" s="3489"/>
      <c r="JV239" s="3489"/>
      <c r="JW239" s="3489"/>
      <c r="JX239" s="3489"/>
      <c r="JY239" s="3489"/>
      <c r="JZ239" s="3489"/>
      <c r="KA239" s="3489"/>
      <c r="KB239" s="3489"/>
      <c r="KC239" s="3489"/>
      <c r="KD239" s="3489"/>
      <c r="KE239" s="3489"/>
      <c r="KF239" s="3489"/>
      <c r="KG239" s="3489"/>
      <c r="KH239" s="3489"/>
      <c r="KI239" s="3489"/>
      <c r="KJ239" s="3489"/>
      <c r="KK239" s="3489"/>
      <c r="KL239" s="3489"/>
      <c r="KM239" s="3489"/>
      <c r="KN239" s="3489"/>
      <c r="KO239" s="3489"/>
      <c r="KP239" s="3489"/>
      <c r="KQ239" s="3489"/>
      <c r="KR239" s="3489"/>
      <c r="KS239" s="3489"/>
      <c r="KT239" s="979"/>
      <c r="KU239" s="979"/>
      <c r="KV239" s="979"/>
      <c r="KW239" s="979"/>
      <c r="KX239" s="979"/>
      <c r="KY239" s="979"/>
      <c r="KZ239" s="979"/>
      <c r="LA239" s="979"/>
      <c r="LB239" s="6029"/>
      <c r="LC239" s="7"/>
      <c r="LF239" s="6028"/>
      <c r="LG239" s="979"/>
      <c r="LH239" s="3489"/>
      <c r="LI239" s="3489"/>
      <c r="LJ239" s="3489"/>
      <c r="LK239" s="3489"/>
      <c r="LL239" s="3489"/>
      <c r="LM239" s="3489"/>
      <c r="LN239" s="3489"/>
      <c r="LO239" s="3489"/>
      <c r="LP239" s="3489"/>
      <c r="LQ239" s="3489"/>
      <c r="LR239" s="3489"/>
      <c r="LS239" s="3489"/>
      <c r="LT239" s="3489"/>
      <c r="LU239" s="3489"/>
      <c r="LV239" s="3489"/>
      <c r="LW239" s="3489"/>
      <c r="LX239" s="3489"/>
      <c r="LY239" s="3489"/>
      <c r="LZ239" s="3489"/>
      <c r="MA239" s="3489"/>
      <c r="MB239" s="3489"/>
      <c r="MC239" s="3489"/>
      <c r="MD239" s="3489"/>
      <c r="ME239" s="3489"/>
      <c r="MF239" s="3489"/>
      <c r="MG239" s="3489"/>
      <c r="MH239" s="3489"/>
      <c r="MI239" s="3489"/>
      <c r="MJ239" s="3489"/>
      <c r="MK239" s="3489"/>
      <c r="ML239" s="3489"/>
      <c r="MM239" s="979"/>
      <c r="MN239" s="979"/>
      <c r="MO239" s="979"/>
      <c r="MP239" s="979"/>
      <c r="MQ239" s="979"/>
      <c r="MR239" s="979"/>
      <c r="MS239" s="979"/>
      <c r="MT239" s="979"/>
      <c r="MU239" s="6029"/>
      <c r="MV239" s="7"/>
      <c r="MY239" s="6028"/>
      <c r="MZ239" s="979"/>
      <c r="NA239" s="3489"/>
      <c r="NB239" s="3489"/>
      <c r="NC239" s="3489"/>
      <c r="ND239" s="3489"/>
      <c r="NE239" s="3489"/>
      <c r="NF239" s="3489"/>
      <c r="NG239" s="3489"/>
      <c r="NH239" s="3489"/>
      <c r="NI239" s="3489"/>
      <c r="NJ239" s="3489"/>
      <c r="NK239" s="3489"/>
      <c r="NL239" s="3489"/>
      <c r="NM239" s="3489"/>
      <c r="NN239" s="3489"/>
      <c r="NO239" s="3489"/>
      <c r="NP239" s="3489"/>
      <c r="NQ239" s="3489"/>
      <c r="NR239" s="3489"/>
      <c r="NS239" s="3489"/>
      <c r="NT239" s="3489"/>
      <c r="NU239" s="3489"/>
      <c r="NV239" s="3489"/>
      <c r="NW239" s="3489"/>
      <c r="NX239" s="3489"/>
      <c r="NY239" s="3489"/>
      <c r="NZ239" s="3489"/>
      <c r="OA239" s="3489"/>
      <c r="OB239" s="3489"/>
      <c r="OC239" s="3489"/>
      <c r="OD239" s="3489"/>
      <c r="OE239" s="3489"/>
      <c r="OF239" s="979"/>
      <c r="OG239" s="979"/>
      <c r="OH239" s="979"/>
      <c r="OI239" s="979"/>
      <c r="OJ239" s="979"/>
      <c r="OK239" s="979"/>
      <c r="OL239" s="979"/>
      <c r="OM239" s="979"/>
      <c r="ON239" s="6029"/>
      <c r="OO239" s="7"/>
    </row>
    <row r="240" spans="3:405" s="6031" customFormat="1" ht="15" customHeight="1" thickBot="1" x14ac:dyDescent="0.25">
      <c r="C240" s="6018"/>
      <c r="D240" s="6019"/>
      <c r="E240" s="6778" t="str">
        <f>_Calcs!$T$19</f>
        <v/>
      </c>
      <c r="F240" s="6778"/>
      <c r="G240" s="6778"/>
      <c r="H240" s="6778"/>
      <c r="I240" s="6778"/>
      <c r="J240" s="6778"/>
      <c r="K240" s="6778"/>
      <c r="L240" s="6778"/>
      <c r="M240" s="6778"/>
      <c r="N240" s="6778"/>
      <c r="O240" s="6778"/>
      <c r="P240" s="6778"/>
      <c r="Q240" s="6778"/>
      <c r="R240" s="6778"/>
      <c r="S240" s="6778"/>
      <c r="T240" s="6778"/>
      <c r="U240" s="6778"/>
      <c r="V240" s="6778"/>
      <c r="W240" s="6778"/>
      <c r="X240" s="6778"/>
      <c r="Y240" s="6778"/>
      <c r="Z240" s="6778"/>
      <c r="AA240" s="6778"/>
      <c r="AB240" s="6778"/>
      <c r="AC240" s="6778"/>
      <c r="AD240" s="6778"/>
      <c r="AE240" s="6778"/>
      <c r="AF240" s="6778"/>
      <c r="AG240" s="6778"/>
      <c r="AH240" s="6778"/>
      <c r="AI240" s="6778"/>
      <c r="AJ240" s="6778"/>
      <c r="AK240" s="6778"/>
      <c r="AL240" s="6778"/>
      <c r="AM240" s="6778"/>
      <c r="AN240" s="6778"/>
      <c r="AO240" s="6778"/>
      <c r="AP240" s="6778"/>
      <c r="AQ240" s="6030"/>
      <c r="AR240" s="6026"/>
      <c r="AV240" s="6018"/>
      <c r="AW240" s="6019"/>
      <c r="AX240" s="6778" t="str">
        <f>_Calcs!$T$19</f>
        <v/>
      </c>
      <c r="AY240" s="6778"/>
      <c r="AZ240" s="6778"/>
      <c r="BA240" s="6778"/>
      <c r="BB240" s="6778"/>
      <c r="BC240" s="6778"/>
      <c r="BD240" s="6778"/>
      <c r="BE240" s="6778"/>
      <c r="BF240" s="6778"/>
      <c r="BG240" s="6778"/>
      <c r="BH240" s="6778"/>
      <c r="BI240" s="6778"/>
      <c r="BJ240" s="6778"/>
      <c r="BK240" s="6778"/>
      <c r="BL240" s="6778"/>
      <c r="BM240" s="6778"/>
      <c r="BN240" s="6778"/>
      <c r="BO240" s="6778"/>
      <c r="BP240" s="6778"/>
      <c r="BQ240" s="6778"/>
      <c r="BR240" s="6778"/>
      <c r="BS240" s="6778"/>
      <c r="BT240" s="6778"/>
      <c r="BU240" s="6778"/>
      <c r="BV240" s="6778"/>
      <c r="BW240" s="6778"/>
      <c r="BX240" s="6778"/>
      <c r="BY240" s="6778"/>
      <c r="BZ240" s="6778"/>
      <c r="CA240" s="6778"/>
      <c r="CB240" s="6778"/>
      <c r="CC240" s="6778"/>
      <c r="CD240" s="6778"/>
      <c r="CE240" s="6778"/>
      <c r="CF240" s="6778"/>
      <c r="CG240" s="6778"/>
      <c r="CH240" s="6778"/>
      <c r="CI240" s="6778"/>
      <c r="CJ240" s="6030"/>
      <c r="CK240" s="6026"/>
      <c r="CO240" s="6018"/>
      <c r="CP240" s="6019"/>
      <c r="CQ240" s="6778" t="str">
        <f>_Calcs!$T$19</f>
        <v/>
      </c>
      <c r="CR240" s="6778"/>
      <c r="CS240" s="6778"/>
      <c r="CT240" s="6778"/>
      <c r="CU240" s="6778"/>
      <c r="CV240" s="6778"/>
      <c r="CW240" s="6778"/>
      <c r="CX240" s="6778"/>
      <c r="CY240" s="6778"/>
      <c r="CZ240" s="6778"/>
      <c r="DA240" s="6778"/>
      <c r="DB240" s="6778"/>
      <c r="DC240" s="6778"/>
      <c r="DD240" s="6778"/>
      <c r="DE240" s="6778"/>
      <c r="DF240" s="6778"/>
      <c r="DG240" s="6778"/>
      <c r="DH240" s="6778"/>
      <c r="DI240" s="6778"/>
      <c r="DJ240" s="6778"/>
      <c r="DK240" s="6778"/>
      <c r="DL240" s="6778"/>
      <c r="DM240" s="6778"/>
      <c r="DN240" s="6778"/>
      <c r="DO240" s="6778"/>
      <c r="DP240" s="6778"/>
      <c r="DQ240" s="6778"/>
      <c r="DR240" s="6778"/>
      <c r="DS240" s="6778"/>
      <c r="DT240" s="6778"/>
      <c r="DU240" s="6778"/>
      <c r="DV240" s="6778"/>
      <c r="DW240" s="6778"/>
      <c r="DX240" s="6778"/>
      <c r="DY240" s="6778"/>
      <c r="DZ240" s="6778"/>
      <c r="EA240" s="6778"/>
      <c r="EB240" s="6778"/>
      <c r="EC240" s="6030"/>
      <c r="ED240" s="6026"/>
      <c r="EH240" s="6018"/>
      <c r="EI240" s="6019"/>
      <c r="EJ240" s="6778" t="str">
        <f>_Calcs!$T$19</f>
        <v/>
      </c>
      <c r="EK240" s="6778"/>
      <c r="EL240" s="6778"/>
      <c r="EM240" s="6778"/>
      <c r="EN240" s="6778"/>
      <c r="EO240" s="6778"/>
      <c r="EP240" s="6778"/>
      <c r="EQ240" s="6778"/>
      <c r="ER240" s="6778"/>
      <c r="ES240" s="6778"/>
      <c r="ET240" s="6778"/>
      <c r="EU240" s="6778"/>
      <c r="EV240" s="6778"/>
      <c r="EW240" s="6778"/>
      <c r="EX240" s="6778"/>
      <c r="EY240" s="6778"/>
      <c r="EZ240" s="6778"/>
      <c r="FA240" s="6778"/>
      <c r="FB240" s="6778"/>
      <c r="FC240" s="6778"/>
      <c r="FD240" s="6778"/>
      <c r="FE240" s="6778"/>
      <c r="FF240" s="6778"/>
      <c r="FG240" s="6778"/>
      <c r="FH240" s="6778"/>
      <c r="FI240" s="6778"/>
      <c r="FJ240" s="6778"/>
      <c r="FK240" s="6778"/>
      <c r="FL240" s="6778"/>
      <c r="FM240" s="6778"/>
      <c r="FN240" s="6778"/>
      <c r="FO240" s="6778"/>
      <c r="FP240" s="6778"/>
      <c r="FQ240" s="6778"/>
      <c r="FR240" s="6778"/>
      <c r="FS240" s="6778"/>
      <c r="FT240" s="6778"/>
      <c r="FU240" s="6778"/>
      <c r="FV240" s="6030"/>
      <c r="FW240" s="6026"/>
      <c r="GA240" s="6018"/>
      <c r="GB240" s="6019"/>
      <c r="GC240" s="6778" t="str">
        <f>_Calcs!$T$19</f>
        <v/>
      </c>
      <c r="GD240" s="6778"/>
      <c r="GE240" s="6778"/>
      <c r="GF240" s="6778"/>
      <c r="GG240" s="6778"/>
      <c r="GH240" s="6778"/>
      <c r="GI240" s="6778"/>
      <c r="GJ240" s="6778"/>
      <c r="GK240" s="6778"/>
      <c r="GL240" s="6778"/>
      <c r="GM240" s="6778"/>
      <c r="GN240" s="6778"/>
      <c r="GO240" s="6778"/>
      <c r="GP240" s="6778"/>
      <c r="GQ240" s="6778"/>
      <c r="GR240" s="6778"/>
      <c r="GS240" s="6778"/>
      <c r="GT240" s="6778"/>
      <c r="GU240" s="6778"/>
      <c r="GV240" s="6778"/>
      <c r="GW240" s="6778"/>
      <c r="GX240" s="6778"/>
      <c r="GY240" s="6778"/>
      <c r="GZ240" s="6778"/>
      <c r="HA240" s="6778"/>
      <c r="HB240" s="6778"/>
      <c r="HC240" s="6778"/>
      <c r="HD240" s="6778"/>
      <c r="HE240" s="6778"/>
      <c r="HF240" s="6778"/>
      <c r="HG240" s="6778"/>
      <c r="HH240" s="6778"/>
      <c r="HI240" s="6778"/>
      <c r="HJ240" s="6778"/>
      <c r="HK240" s="6778"/>
      <c r="HL240" s="6778"/>
      <c r="HM240" s="6778"/>
      <c r="HN240" s="6778"/>
      <c r="HO240" s="6030"/>
      <c r="HP240" s="6026"/>
      <c r="HT240" s="6018"/>
      <c r="HU240" s="6019"/>
      <c r="HV240" s="6778" t="str">
        <f>_Calcs!$T$19</f>
        <v/>
      </c>
      <c r="HW240" s="6778"/>
      <c r="HX240" s="6778"/>
      <c r="HY240" s="6778"/>
      <c r="HZ240" s="6778"/>
      <c r="IA240" s="6778"/>
      <c r="IB240" s="6778"/>
      <c r="IC240" s="6778"/>
      <c r="ID240" s="6778"/>
      <c r="IE240" s="6778"/>
      <c r="IF240" s="6778"/>
      <c r="IG240" s="6778"/>
      <c r="IH240" s="6778"/>
      <c r="II240" s="6778"/>
      <c r="IJ240" s="6778"/>
      <c r="IK240" s="6778"/>
      <c r="IL240" s="6778"/>
      <c r="IM240" s="6778"/>
      <c r="IN240" s="6778"/>
      <c r="IO240" s="6778"/>
      <c r="IP240" s="6778"/>
      <c r="IQ240" s="6778"/>
      <c r="IR240" s="6778"/>
      <c r="IS240" s="6778"/>
      <c r="IT240" s="6778"/>
      <c r="IU240" s="6778"/>
      <c r="IV240" s="6778"/>
      <c r="IW240" s="6778"/>
      <c r="IX240" s="6778"/>
      <c r="IY240" s="6778"/>
      <c r="IZ240" s="6778"/>
      <c r="JA240" s="6778"/>
      <c r="JB240" s="6778"/>
      <c r="JC240" s="6778"/>
      <c r="JD240" s="6778"/>
      <c r="JE240" s="6778"/>
      <c r="JF240" s="6778"/>
      <c r="JG240" s="6778"/>
      <c r="JH240" s="6030"/>
      <c r="JI240" s="6026"/>
      <c r="JM240" s="6018"/>
      <c r="JN240" s="6019"/>
      <c r="JO240" s="6778" t="str">
        <f>_Calcs!$T$19</f>
        <v/>
      </c>
      <c r="JP240" s="6778"/>
      <c r="JQ240" s="6778"/>
      <c r="JR240" s="6778"/>
      <c r="JS240" s="6778"/>
      <c r="JT240" s="6778"/>
      <c r="JU240" s="6778"/>
      <c r="JV240" s="6778"/>
      <c r="JW240" s="6778"/>
      <c r="JX240" s="6778"/>
      <c r="JY240" s="6778"/>
      <c r="JZ240" s="6778"/>
      <c r="KA240" s="6778"/>
      <c r="KB240" s="6778"/>
      <c r="KC240" s="6778"/>
      <c r="KD240" s="6778"/>
      <c r="KE240" s="6778"/>
      <c r="KF240" s="6778"/>
      <c r="KG240" s="6778"/>
      <c r="KH240" s="6778"/>
      <c r="KI240" s="6778"/>
      <c r="KJ240" s="6778"/>
      <c r="KK240" s="6778"/>
      <c r="KL240" s="6778"/>
      <c r="KM240" s="6778"/>
      <c r="KN240" s="6778"/>
      <c r="KO240" s="6778"/>
      <c r="KP240" s="6778"/>
      <c r="KQ240" s="6778"/>
      <c r="KR240" s="6778"/>
      <c r="KS240" s="6778"/>
      <c r="KT240" s="6778"/>
      <c r="KU240" s="6778"/>
      <c r="KV240" s="6778"/>
      <c r="KW240" s="6778"/>
      <c r="KX240" s="6778"/>
      <c r="KY240" s="6778"/>
      <c r="KZ240" s="6778"/>
      <c r="LA240" s="6030"/>
      <c r="LB240" s="6026"/>
      <c r="LC240" s="7"/>
      <c r="LF240" s="6018"/>
      <c r="LG240" s="6019"/>
      <c r="LH240" s="6778" t="str">
        <f>_Calcs!$T$19</f>
        <v/>
      </c>
      <c r="LI240" s="6778"/>
      <c r="LJ240" s="6778"/>
      <c r="LK240" s="6778"/>
      <c r="LL240" s="6778"/>
      <c r="LM240" s="6778"/>
      <c r="LN240" s="6778"/>
      <c r="LO240" s="6778"/>
      <c r="LP240" s="6778"/>
      <c r="LQ240" s="6778"/>
      <c r="LR240" s="6778"/>
      <c r="LS240" s="6778"/>
      <c r="LT240" s="6778"/>
      <c r="LU240" s="6778"/>
      <c r="LV240" s="6778"/>
      <c r="LW240" s="6778"/>
      <c r="LX240" s="6778"/>
      <c r="LY240" s="6778"/>
      <c r="LZ240" s="6778"/>
      <c r="MA240" s="6778"/>
      <c r="MB240" s="6778"/>
      <c r="MC240" s="6778"/>
      <c r="MD240" s="6778"/>
      <c r="ME240" s="6778"/>
      <c r="MF240" s="6778"/>
      <c r="MG240" s="6778"/>
      <c r="MH240" s="6778"/>
      <c r="MI240" s="6778"/>
      <c r="MJ240" s="6778"/>
      <c r="MK240" s="6778"/>
      <c r="ML240" s="6778"/>
      <c r="MM240" s="6778"/>
      <c r="MN240" s="6778"/>
      <c r="MO240" s="6778"/>
      <c r="MP240" s="6778"/>
      <c r="MQ240" s="6778"/>
      <c r="MR240" s="6778"/>
      <c r="MS240" s="6778"/>
      <c r="MT240" s="6030"/>
      <c r="MU240" s="6026"/>
      <c r="MV240" s="7"/>
      <c r="MY240" s="6018"/>
      <c r="MZ240" s="6019"/>
      <c r="NA240" s="6778" t="str">
        <f>_Calcs!$T$19</f>
        <v/>
      </c>
      <c r="NB240" s="6778"/>
      <c r="NC240" s="6778"/>
      <c r="ND240" s="6778"/>
      <c r="NE240" s="6778"/>
      <c r="NF240" s="6778"/>
      <c r="NG240" s="6778"/>
      <c r="NH240" s="6778"/>
      <c r="NI240" s="6778"/>
      <c r="NJ240" s="6778"/>
      <c r="NK240" s="6778"/>
      <c r="NL240" s="6778"/>
      <c r="NM240" s="6778"/>
      <c r="NN240" s="6778"/>
      <c r="NO240" s="6778"/>
      <c r="NP240" s="6778"/>
      <c r="NQ240" s="6778"/>
      <c r="NR240" s="6778"/>
      <c r="NS240" s="6778"/>
      <c r="NT240" s="6778"/>
      <c r="NU240" s="6778"/>
      <c r="NV240" s="6778"/>
      <c r="NW240" s="6778"/>
      <c r="NX240" s="6778"/>
      <c r="NY240" s="6778"/>
      <c r="NZ240" s="6778"/>
      <c r="OA240" s="6778"/>
      <c r="OB240" s="6778"/>
      <c r="OC240" s="6778"/>
      <c r="OD240" s="6778"/>
      <c r="OE240" s="6778"/>
      <c r="OF240" s="6778"/>
      <c r="OG240" s="6778"/>
      <c r="OH240" s="6778"/>
      <c r="OI240" s="6778"/>
      <c r="OJ240" s="6778"/>
      <c r="OK240" s="6778"/>
      <c r="OL240" s="6778"/>
      <c r="OM240" s="6030"/>
      <c r="ON240" s="6026"/>
      <c r="OO240" s="7"/>
    </row>
    <row r="241" spans="3:405" s="1466" customFormat="1" ht="9.9499999999999993" customHeight="1" thickBot="1" x14ac:dyDescent="0.25">
      <c r="C241" s="6028"/>
      <c r="E241" s="6032"/>
      <c r="F241" s="6032"/>
      <c r="G241" s="6032"/>
      <c r="H241" s="6032"/>
      <c r="I241" s="6032"/>
      <c r="J241" s="6032"/>
      <c r="K241" s="6032"/>
      <c r="L241" s="6032"/>
      <c r="M241" s="6032"/>
      <c r="N241" s="6032"/>
      <c r="O241" s="6032"/>
      <c r="P241" s="6032"/>
      <c r="Q241" s="6032"/>
      <c r="R241" s="6032"/>
      <c r="S241" s="6032"/>
      <c r="T241" s="6032"/>
      <c r="U241" s="6032"/>
      <c r="V241" s="6032"/>
      <c r="W241" s="6032"/>
      <c r="X241" s="6032"/>
      <c r="Y241" s="6032"/>
      <c r="Z241" s="6032"/>
      <c r="AA241" s="6032"/>
      <c r="AB241" s="6032"/>
      <c r="AC241" s="3489"/>
      <c r="AD241" s="3489"/>
      <c r="AE241" s="6033"/>
      <c r="AF241" s="6033"/>
      <c r="AG241" s="6033"/>
      <c r="AH241" s="6033"/>
      <c r="AI241" s="6033"/>
      <c r="AJ241" s="6033"/>
      <c r="AK241" s="6033"/>
      <c r="AL241" s="6033"/>
      <c r="AM241" s="6033"/>
      <c r="AN241" s="6033"/>
      <c r="AO241" s="6033"/>
      <c r="AP241" s="6033"/>
      <c r="AQ241" s="3489"/>
      <c r="AR241" s="6029"/>
      <c r="AV241" s="6028"/>
      <c r="AX241" s="6032"/>
      <c r="AY241" s="6032"/>
      <c r="AZ241" s="6032"/>
      <c r="BA241" s="6032"/>
      <c r="BB241" s="6032"/>
      <c r="BC241" s="6032"/>
      <c r="BD241" s="6032"/>
      <c r="BE241" s="6032"/>
      <c r="BF241" s="6032"/>
      <c r="BG241" s="6032"/>
      <c r="BH241" s="6032"/>
      <c r="BI241" s="6032"/>
      <c r="BJ241" s="6032"/>
      <c r="BK241" s="6032"/>
      <c r="BL241" s="6032"/>
      <c r="BM241" s="6032"/>
      <c r="BN241" s="6032"/>
      <c r="BO241" s="6032"/>
      <c r="BP241" s="6032"/>
      <c r="BQ241" s="6032"/>
      <c r="BR241" s="6032"/>
      <c r="BS241" s="6032"/>
      <c r="BT241" s="6032"/>
      <c r="BU241" s="6032"/>
      <c r="BV241" s="3489"/>
      <c r="BW241" s="3489"/>
      <c r="BX241" s="6033"/>
      <c r="BY241" s="6033"/>
      <c r="BZ241" s="6033"/>
      <c r="CA241" s="6033"/>
      <c r="CB241" s="6033"/>
      <c r="CC241" s="6033"/>
      <c r="CD241" s="6033"/>
      <c r="CE241" s="6033"/>
      <c r="CF241" s="6033"/>
      <c r="CG241" s="6033"/>
      <c r="CH241" s="6033"/>
      <c r="CI241" s="6033"/>
      <c r="CJ241" s="3489"/>
      <c r="CK241" s="6029"/>
      <c r="CO241" s="6028"/>
      <c r="CQ241" s="6032"/>
      <c r="CR241" s="6032"/>
      <c r="CS241" s="6032"/>
      <c r="CT241" s="6032"/>
      <c r="CU241" s="6032"/>
      <c r="CV241" s="6032"/>
      <c r="CW241" s="6032"/>
      <c r="CX241" s="6032"/>
      <c r="CY241" s="6032"/>
      <c r="CZ241" s="6032"/>
      <c r="DA241" s="6032"/>
      <c r="DB241" s="6032"/>
      <c r="DC241" s="6032"/>
      <c r="DD241" s="6032"/>
      <c r="DE241" s="6032"/>
      <c r="DF241" s="6032"/>
      <c r="DG241" s="6032"/>
      <c r="DH241" s="6032"/>
      <c r="DI241" s="6032"/>
      <c r="DJ241" s="6032"/>
      <c r="DK241" s="6032"/>
      <c r="DL241" s="6032"/>
      <c r="DM241" s="6032"/>
      <c r="DN241" s="6032"/>
      <c r="DO241" s="3489"/>
      <c r="DP241" s="3489"/>
      <c r="DQ241" s="6033"/>
      <c r="DR241" s="6033"/>
      <c r="DS241" s="6033"/>
      <c r="DT241" s="6033"/>
      <c r="DU241" s="6033"/>
      <c r="DV241" s="6033"/>
      <c r="DW241" s="6033"/>
      <c r="DX241" s="6033"/>
      <c r="DY241" s="6033"/>
      <c r="DZ241" s="6033"/>
      <c r="EA241" s="6033"/>
      <c r="EB241" s="6033"/>
      <c r="EC241" s="3489"/>
      <c r="ED241" s="6029"/>
      <c r="EH241" s="6028"/>
      <c r="EJ241" s="6032"/>
      <c r="EK241" s="6032"/>
      <c r="EL241" s="6032"/>
      <c r="EM241" s="6032"/>
      <c r="EN241" s="6032"/>
      <c r="EO241" s="6032"/>
      <c r="EP241" s="6032"/>
      <c r="EQ241" s="6032"/>
      <c r="ER241" s="6032"/>
      <c r="ES241" s="6032"/>
      <c r="ET241" s="6032"/>
      <c r="EU241" s="6032"/>
      <c r="EV241" s="6032"/>
      <c r="EW241" s="6032"/>
      <c r="EX241" s="6032"/>
      <c r="EY241" s="6032"/>
      <c r="EZ241" s="6032"/>
      <c r="FA241" s="6032"/>
      <c r="FB241" s="6032"/>
      <c r="FC241" s="6032"/>
      <c r="FD241" s="6032"/>
      <c r="FE241" s="6032"/>
      <c r="FF241" s="6032"/>
      <c r="FG241" s="6032"/>
      <c r="FH241" s="3489"/>
      <c r="FI241" s="3489"/>
      <c r="FJ241" s="6033"/>
      <c r="FK241" s="6033"/>
      <c r="FL241" s="6033"/>
      <c r="FM241" s="6033"/>
      <c r="FN241" s="6033"/>
      <c r="FO241" s="6033"/>
      <c r="FP241" s="6033"/>
      <c r="FQ241" s="6033"/>
      <c r="FR241" s="6033"/>
      <c r="FS241" s="6033"/>
      <c r="FT241" s="6033"/>
      <c r="FU241" s="6033"/>
      <c r="FV241" s="3489"/>
      <c r="FW241" s="6029"/>
      <c r="GA241" s="6028"/>
      <c r="GC241" s="6032"/>
      <c r="GD241" s="6032"/>
      <c r="GE241" s="6032"/>
      <c r="GF241" s="6032"/>
      <c r="GG241" s="6032"/>
      <c r="GH241" s="6032"/>
      <c r="GI241" s="6032"/>
      <c r="GJ241" s="6032"/>
      <c r="GK241" s="6032"/>
      <c r="GL241" s="6032"/>
      <c r="GM241" s="6032"/>
      <c r="GN241" s="6032"/>
      <c r="GO241" s="6032"/>
      <c r="GP241" s="6032"/>
      <c r="GQ241" s="6032"/>
      <c r="GR241" s="6032"/>
      <c r="GS241" s="6032"/>
      <c r="GT241" s="6032"/>
      <c r="GU241" s="6032"/>
      <c r="GV241" s="6032"/>
      <c r="GW241" s="6032"/>
      <c r="GX241" s="6032"/>
      <c r="GY241" s="6032"/>
      <c r="GZ241" s="6032"/>
      <c r="HA241" s="3489"/>
      <c r="HB241" s="3489"/>
      <c r="HC241" s="6033"/>
      <c r="HD241" s="6033"/>
      <c r="HE241" s="6033"/>
      <c r="HF241" s="6033"/>
      <c r="HG241" s="6033"/>
      <c r="HH241" s="6033"/>
      <c r="HI241" s="6033"/>
      <c r="HJ241" s="6033"/>
      <c r="HK241" s="6033"/>
      <c r="HL241" s="6033"/>
      <c r="HM241" s="6033"/>
      <c r="HN241" s="6033"/>
      <c r="HO241" s="3489"/>
      <c r="HP241" s="6029"/>
      <c r="HT241" s="6028"/>
      <c r="HV241" s="6032"/>
      <c r="HW241" s="6032"/>
      <c r="HX241" s="6032"/>
      <c r="HY241" s="6032"/>
      <c r="HZ241" s="6032"/>
      <c r="IA241" s="6032"/>
      <c r="IB241" s="6032"/>
      <c r="IC241" s="6032"/>
      <c r="ID241" s="6032"/>
      <c r="IE241" s="6032"/>
      <c r="IF241" s="6032"/>
      <c r="IG241" s="6032"/>
      <c r="IH241" s="6032"/>
      <c r="II241" s="6032"/>
      <c r="IJ241" s="6032"/>
      <c r="IK241" s="6032"/>
      <c r="IL241" s="6032"/>
      <c r="IM241" s="6032"/>
      <c r="IN241" s="6032"/>
      <c r="IO241" s="6032"/>
      <c r="IP241" s="6032"/>
      <c r="IQ241" s="6032"/>
      <c r="IR241" s="6032"/>
      <c r="IS241" s="6032"/>
      <c r="IT241" s="3489"/>
      <c r="IU241" s="3489"/>
      <c r="IV241" s="6033"/>
      <c r="IW241" s="6033"/>
      <c r="IX241" s="6033"/>
      <c r="IY241" s="6033"/>
      <c r="IZ241" s="6033"/>
      <c r="JA241" s="6033"/>
      <c r="JB241" s="6033"/>
      <c r="JC241" s="6033"/>
      <c r="JD241" s="6033"/>
      <c r="JE241" s="6033"/>
      <c r="JF241" s="6033"/>
      <c r="JG241" s="6033"/>
      <c r="JH241" s="3489"/>
      <c r="JI241" s="6029"/>
      <c r="JM241" s="6028"/>
      <c r="JO241" s="6032"/>
      <c r="JP241" s="6032"/>
      <c r="JQ241" s="6032"/>
      <c r="JR241" s="6032"/>
      <c r="JS241" s="6032"/>
      <c r="JT241" s="6032"/>
      <c r="JU241" s="6032"/>
      <c r="JV241" s="6032"/>
      <c r="JW241" s="6032"/>
      <c r="JX241" s="6032"/>
      <c r="JY241" s="6032"/>
      <c r="JZ241" s="6032"/>
      <c r="KA241" s="6032"/>
      <c r="KB241" s="6032"/>
      <c r="KC241" s="6032"/>
      <c r="KD241" s="6032"/>
      <c r="KE241" s="6032"/>
      <c r="KF241" s="6032"/>
      <c r="KG241" s="6032"/>
      <c r="KH241" s="6032"/>
      <c r="KI241" s="6032"/>
      <c r="KJ241" s="6032"/>
      <c r="KK241" s="6032"/>
      <c r="KL241" s="6032"/>
      <c r="KM241" s="3489"/>
      <c r="KN241" s="3489"/>
      <c r="KO241" s="6033"/>
      <c r="KP241" s="6033"/>
      <c r="KQ241" s="6033"/>
      <c r="KR241" s="6033"/>
      <c r="KS241" s="6033"/>
      <c r="KT241" s="6033"/>
      <c r="KU241" s="6033"/>
      <c r="KV241" s="6033"/>
      <c r="KW241" s="6033"/>
      <c r="KX241" s="6033"/>
      <c r="KY241" s="6033"/>
      <c r="KZ241" s="6033"/>
      <c r="LA241" s="3489"/>
      <c r="LB241" s="6029"/>
      <c r="LC241" s="130"/>
      <c r="LF241" s="6028"/>
      <c r="LH241" s="6032"/>
      <c r="LI241" s="6032"/>
      <c r="LJ241" s="6032"/>
      <c r="LK241" s="6032"/>
      <c r="LL241" s="6032"/>
      <c r="LM241" s="6032"/>
      <c r="LN241" s="6032"/>
      <c r="LO241" s="6032"/>
      <c r="LP241" s="6032"/>
      <c r="LQ241" s="6032"/>
      <c r="LR241" s="6032"/>
      <c r="LS241" s="6032"/>
      <c r="LT241" s="6032"/>
      <c r="LU241" s="6032"/>
      <c r="LV241" s="6032"/>
      <c r="LW241" s="6032"/>
      <c r="LX241" s="6032"/>
      <c r="LY241" s="6032"/>
      <c r="LZ241" s="6032"/>
      <c r="MA241" s="6032"/>
      <c r="MB241" s="6032"/>
      <c r="MC241" s="6032"/>
      <c r="MD241" s="6032"/>
      <c r="ME241" s="6032"/>
      <c r="MF241" s="3489"/>
      <c r="MG241" s="3489"/>
      <c r="MH241" s="6033"/>
      <c r="MI241" s="6033"/>
      <c r="MJ241" s="6033"/>
      <c r="MK241" s="6033"/>
      <c r="ML241" s="6033"/>
      <c r="MM241" s="6033"/>
      <c r="MN241" s="6033"/>
      <c r="MO241" s="6033"/>
      <c r="MP241" s="6033"/>
      <c r="MQ241" s="6033"/>
      <c r="MR241" s="6033"/>
      <c r="MS241" s="6033"/>
      <c r="MT241" s="3489"/>
      <c r="MU241" s="6029"/>
      <c r="MV241" s="130"/>
      <c r="MY241" s="6028"/>
      <c r="NA241" s="6032"/>
      <c r="NB241" s="6032"/>
      <c r="NC241" s="6032"/>
      <c r="ND241" s="6032"/>
      <c r="NE241" s="6032"/>
      <c r="NF241" s="6032"/>
      <c r="NG241" s="6032"/>
      <c r="NH241" s="6032"/>
      <c r="NI241" s="6032"/>
      <c r="NJ241" s="6032"/>
      <c r="NK241" s="6032"/>
      <c r="NL241" s="6032"/>
      <c r="NM241" s="6032"/>
      <c r="NN241" s="6032"/>
      <c r="NO241" s="6032"/>
      <c r="NP241" s="6032"/>
      <c r="NQ241" s="6032"/>
      <c r="NR241" s="6032"/>
      <c r="NS241" s="6032"/>
      <c r="NT241" s="6032"/>
      <c r="NU241" s="6032"/>
      <c r="NV241" s="6032"/>
      <c r="NW241" s="6032"/>
      <c r="NX241" s="6032"/>
      <c r="NY241" s="3489"/>
      <c r="NZ241" s="3489"/>
      <c r="OA241" s="6033"/>
      <c r="OB241" s="6033"/>
      <c r="OC241" s="6033"/>
      <c r="OD241" s="6033"/>
      <c r="OE241" s="6033"/>
      <c r="OF241" s="6033"/>
      <c r="OG241" s="6033"/>
      <c r="OH241" s="6033"/>
      <c r="OI241" s="6033"/>
      <c r="OJ241" s="6033"/>
      <c r="OK241" s="6033"/>
      <c r="OL241" s="6033"/>
      <c r="OM241" s="3489"/>
      <c r="ON241" s="6029"/>
      <c r="OO241" s="130"/>
    </row>
    <row r="242" spans="3:405" s="1466" customFormat="1" ht="6" customHeight="1" x14ac:dyDescent="0.2">
      <c r="C242" s="6028"/>
      <c r="D242" s="6785" t="str">
        <f>_Calcs!$II$96</f>
        <v>Begrunnelser for tidsjusteringer</v>
      </c>
      <c r="E242" s="6785"/>
      <c r="F242" s="6785"/>
      <c r="G242" s="6785"/>
      <c r="H242" s="6785"/>
      <c r="I242" s="6785"/>
      <c r="J242" s="6785"/>
      <c r="K242" s="6785"/>
      <c r="L242" s="6785"/>
      <c r="M242" s="6785"/>
      <c r="N242" s="6785"/>
      <c r="O242" s="6785"/>
      <c r="P242" s="6785"/>
      <c r="Q242" s="6785"/>
      <c r="R242" s="6785"/>
      <c r="S242" s="6785"/>
      <c r="T242" s="6785"/>
      <c r="U242" s="6785"/>
      <c r="V242" s="6785"/>
      <c r="W242" s="6785"/>
      <c r="X242" s="6785"/>
      <c r="Y242" s="6785"/>
      <c r="Z242" s="6785"/>
      <c r="AA242" s="6785"/>
      <c r="AB242" s="6785"/>
      <c r="AC242" s="6785"/>
      <c r="AD242" s="3489"/>
      <c r="AE242" s="6033"/>
      <c r="AF242" s="6033"/>
      <c r="AG242" s="6034"/>
      <c r="AH242" s="6786" t="str">
        <f>_Calcs!$IK$176</f>
        <v>Stuff 1-1</v>
      </c>
      <c r="AI242" s="6786"/>
      <c r="AJ242" s="6786"/>
      <c r="AK242" s="6786"/>
      <c r="AL242" s="6786"/>
      <c r="AM242" s="6786"/>
      <c r="AN242" s="6786"/>
      <c r="AO242" s="6786"/>
      <c r="AP242" s="6786"/>
      <c r="AQ242" s="6035"/>
      <c r="AR242" s="6029"/>
      <c r="AV242" s="6028"/>
      <c r="AW242" s="6785" t="str">
        <f>_Calcs!$II$96</f>
        <v>Begrunnelser for tidsjusteringer</v>
      </c>
      <c r="AX242" s="6785"/>
      <c r="AY242" s="6785"/>
      <c r="AZ242" s="6785"/>
      <c r="BA242" s="6785"/>
      <c r="BB242" s="6785"/>
      <c r="BC242" s="6785"/>
      <c r="BD242" s="6785"/>
      <c r="BE242" s="6785"/>
      <c r="BF242" s="6785"/>
      <c r="BG242" s="6785"/>
      <c r="BH242" s="6785"/>
      <c r="BI242" s="6785"/>
      <c r="BJ242" s="6785"/>
      <c r="BK242" s="6785"/>
      <c r="BL242" s="6785"/>
      <c r="BM242" s="6785"/>
      <c r="BN242" s="6785"/>
      <c r="BO242" s="6785"/>
      <c r="BP242" s="6785"/>
      <c r="BQ242" s="6785"/>
      <c r="BR242" s="6785"/>
      <c r="BS242" s="6785"/>
      <c r="BT242" s="6785"/>
      <c r="BU242" s="6785"/>
      <c r="BV242" s="6785"/>
      <c r="BW242" s="3489"/>
      <c r="BX242" s="6033"/>
      <c r="BY242" s="6033"/>
      <c r="BZ242" s="6034"/>
      <c r="CA242" s="6786" t="str">
        <f>_Calcs!$IL$176</f>
        <v/>
      </c>
      <c r="CB242" s="6786"/>
      <c r="CC242" s="6786"/>
      <c r="CD242" s="6786"/>
      <c r="CE242" s="6786"/>
      <c r="CF242" s="6786"/>
      <c r="CG242" s="6786"/>
      <c r="CH242" s="6786"/>
      <c r="CI242" s="6786"/>
      <c r="CJ242" s="6035"/>
      <c r="CK242" s="6029"/>
      <c r="CO242" s="6028"/>
      <c r="CP242" s="6785" t="str">
        <f>_Calcs!$II$96</f>
        <v>Begrunnelser for tidsjusteringer</v>
      </c>
      <c r="CQ242" s="6785"/>
      <c r="CR242" s="6785"/>
      <c r="CS242" s="6785"/>
      <c r="CT242" s="6785"/>
      <c r="CU242" s="6785"/>
      <c r="CV242" s="6785"/>
      <c r="CW242" s="6785"/>
      <c r="CX242" s="6785"/>
      <c r="CY242" s="6785"/>
      <c r="CZ242" s="6785"/>
      <c r="DA242" s="6785"/>
      <c r="DB242" s="6785"/>
      <c r="DC242" s="6785"/>
      <c r="DD242" s="6785"/>
      <c r="DE242" s="6785"/>
      <c r="DF242" s="6785"/>
      <c r="DG242" s="6785"/>
      <c r="DH242" s="6785"/>
      <c r="DI242" s="6785"/>
      <c r="DJ242" s="6785"/>
      <c r="DK242" s="6785"/>
      <c r="DL242" s="6785"/>
      <c r="DM242" s="6785"/>
      <c r="DN242" s="6785"/>
      <c r="DO242" s="6785"/>
      <c r="DP242" s="3489"/>
      <c r="DQ242" s="6033"/>
      <c r="DR242" s="6033"/>
      <c r="DS242" s="6034"/>
      <c r="DT242" s="6786" t="str">
        <f>_Calcs!$IM$176</f>
        <v/>
      </c>
      <c r="DU242" s="6786"/>
      <c r="DV242" s="6786"/>
      <c r="DW242" s="6786"/>
      <c r="DX242" s="6786"/>
      <c r="DY242" s="6786"/>
      <c r="DZ242" s="6786"/>
      <c r="EA242" s="6786"/>
      <c r="EB242" s="6786"/>
      <c r="EC242" s="6035"/>
      <c r="ED242" s="6029"/>
      <c r="EH242" s="6028"/>
      <c r="EI242" s="6785" t="str">
        <f>_Calcs!$II$96</f>
        <v>Begrunnelser for tidsjusteringer</v>
      </c>
      <c r="EJ242" s="6785"/>
      <c r="EK242" s="6785"/>
      <c r="EL242" s="6785"/>
      <c r="EM242" s="6785"/>
      <c r="EN242" s="6785"/>
      <c r="EO242" s="6785"/>
      <c r="EP242" s="6785"/>
      <c r="EQ242" s="6785"/>
      <c r="ER242" s="6785"/>
      <c r="ES242" s="6785"/>
      <c r="ET242" s="6785"/>
      <c r="EU242" s="6785"/>
      <c r="EV242" s="6785"/>
      <c r="EW242" s="6785"/>
      <c r="EX242" s="6785"/>
      <c r="EY242" s="6785"/>
      <c r="EZ242" s="6785"/>
      <c r="FA242" s="6785"/>
      <c r="FB242" s="6785"/>
      <c r="FC242" s="6785"/>
      <c r="FD242" s="6785"/>
      <c r="FE242" s="6785"/>
      <c r="FF242" s="6785"/>
      <c r="FG242" s="6785"/>
      <c r="FH242" s="6785"/>
      <c r="FI242" s="3489"/>
      <c r="FJ242" s="6033"/>
      <c r="FK242" s="6033"/>
      <c r="FL242" s="6034"/>
      <c r="FM242" s="6786" t="str">
        <f>_Calcs!$IN$176</f>
        <v/>
      </c>
      <c r="FN242" s="6786"/>
      <c r="FO242" s="6786"/>
      <c r="FP242" s="6786"/>
      <c r="FQ242" s="6786"/>
      <c r="FR242" s="6786"/>
      <c r="FS242" s="6786"/>
      <c r="FT242" s="6786"/>
      <c r="FU242" s="6786"/>
      <c r="FV242" s="6035"/>
      <c r="FW242" s="6029"/>
      <c r="GA242" s="6028"/>
      <c r="GB242" s="6785" t="str">
        <f>_Calcs!$II$96</f>
        <v>Begrunnelser for tidsjusteringer</v>
      </c>
      <c r="GC242" s="6785"/>
      <c r="GD242" s="6785"/>
      <c r="GE242" s="6785"/>
      <c r="GF242" s="6785"/>
      <c r="GG242" s="6785"/>
      <c r="GH242" s="6785"/>
      <c r="GI242" s="6785"/>
      <c r="GJ242" s="6785"/>
      <c r="GK242" s="6785"/>
      <c r="GL242" s="6785"/>
      <c r="GM242" s="6785"/>
      <c r="GN242" s="6785"/>
      <c r="GO242" s="6785"/>
      <c r="GP242" s="6785"/>
      <c r="GQ242" s="6785"/>
      <c r="GR242" s="6785"/>
      <c r="GS242" s="6785"/>
      <c r="GT242" s="6785"/>
      <c r="GU242" s="6785"/>
      <c r="GV242" s="6785"/>
      <c r="GW242" s="6785"/>
      <c r="GX242" s="6785"/>
      <c r="GY242" s="6785"/>
      <c r="GZ242" s="6785"/>
      <c r="HA242" s="6785"/>
      <c r="HB242" s="3489"/>
      <c r="HC242" s="6033"/>
      <c r="HD242" s="6033"/>
      <c r="HE242" s="6034"/>
      <c r="HF242" s="6786" t="str">
        <f>_Calcs!$IO$176</f>
        <v/>
      </c>
      <c r="HG242" s="6786"/>
      <c r="HH242" s="6786"/>
      <c r="HI242" s="6786"/>
      <c r="HJ242" s="6786"/>
      <c r="HK242" s="6786"/>
      <c r="HL242" s="6786"/>
      <c r="HM242" s="6786"/>
      <c r="HN242" s="6786"/>
      <c r="HO242" s="6035"/>
      <c r="HP242" s="6029"/>
      <c r="HT242" s="6028"/>
      <c r="HU242" s="6785" t="str">
        <f>_Calcs!$II$96</f>
        <v>Begrunnelser for tidsjusteringer</v>
      </c>
      <c r="HV242" s="6785"/>
      <c r="HW242" s="6785"/>
      <c r="HX242" s="6785"/>
      <c r="HY242" s="6785"/>
      <c r="HZ242" s="6785"/>
      <c r="IA242" s="6785"/>
      <c r="IB242" s="6785"/>
      <c r="IC242" s="6785"/>
      <c r="ID242" s="6785"/>
      <c r="IE242" s="6785"/>
      <c r="IF242" s="6785"/>
      <c r="IG242" s="6785"/>
      <c r="IH242" s="6785"/>
      <c r="II242" s="6785"/>
      <c r="IJ242" s="6785"/>
      <c r="IK242" s="6785"/>
      <c r="IL242" s="6785"/>
      <c r="IM242" s="6785"/>
      <c r="IN242" s="6785"/>
      <c r="IO242" s="6785"/>
      <c r="IP242" s="6785"/>
      <c r="IQ242" s="6785"/>
      <c r="IR242" s="6785"/>
      <c r="IS242" s="6785"/>
      <c r="IT242" s="6785"/>
      <c r="IU242" s="3489"/>
      <c r="IV242" s="6033"/>
      <c r="IW242" s="6033"/>
      <c r="IX242" s="6034"/>
      <c r="IY242" s="6786" t="str">
        <f>_Calcs!$IP$176</f>
        <v/>
      </c>
      <c r="IZ242" s="6786"/>
      <c r="JA242" s="6786"/>
      <c r="JB242" s="6786"/>
      <c r="JC242" s="6786"/>
      <c r="JD242" s="6786"/>
      <c r="JE242" s="6786"/>
      <c r="JF242" s="6786"/>
      <c r="JG242" s="6786"/>
      <c r="JH242" s="6035"/>
      <c r="JI242" s="6029"/>
      <c r="JM242" s="6028"/>
      <c r="JN242" s="6785" t="str">
        <f>_Calcs!$II$96</f>
        <v>Begrunnelser for tidsjusteringer</v>
      </c>
      <c r="JO242" s="6785"/>
      <c r="JP242" s="6785"/>
      <c r="JQ242" s="6785"/>
      <c r="JR242" s="6785"/>
      <c r="JS242" s="6785"/>
      <c r="JT242" s="6785"/>
      <c r="JU242" s="6785"/>
      <c r="JV242" s="6785"/>
      <c r="JW242" s="6785"/>
      <c r="JX242" s="6785"/>
      <c r="JY242" s="6785"/>
      <c r="JZ242" s="6785"/>
      <c r="KA242" s="6785"/>
      <c r="KB242" s="6785"/>
      <c r="KC242" s="6785"/>
      <c r="KD242" s="6785"/>
      <c r="KE242" s="6785"/>
      <c r="KF242" s="6785"/>
      <c r="KG242" s="6785"/>
      <c r="KH242" s="6785"/>
      <c r="KI242" s="6785"/>
      <c r="KJ242" s="6785"/>
      <c r="KK242" s="6785"/>
      <c r="KL242" s="6785"/>
      <c r="KM242" s="6785"/>
      <c r="KN242" s="3489"/>
      <c r="KO242" s="6033"/>
      <c r="KP242" s="6033"/>
      <c r="KQ242" s="6034"/>
      <c r="KR242" s="6786" t="str">
        <f>_Calcs!$IQ$176</f>
        <v/>
      </c>
      <c r="KS242" s="6786"/>
      <c r="KT242" s="6786"/>
      <c r="KU242" s="6786"/>
      <c r="KV242" s="6786"/>
      <c r="KW242" s="6786"/>
      <c r="KX242" s="6786"/>
      <c r="KY242" s="6786"/>
      <c r="KZ242" s="6786"/>
      <c r="LA242" s="6035"/>
      <c r="LB242" s="6029"/>
      <c r="LC242" s="130"/>
      <c r="LF242" s="6028"/>
      <c r="LG242" s="6785" t="str">
        <f>_Calcs!$II$96</f>
        <v>Begrunnelser for tidsjusteringer</v>
      </c>
      <c r="LH242" s="6785"/>
      <c r="LI242" s="6785"/>
      <c r="LJ242" s="6785"/>
      <c r="LK242" s="6785"/>
      <c r="LL242" s="6785"/>
      <c r="LM242" s="6785"/>
      <c r="LN242" s="6785"/>
      <c r="LO242" s="6785"/>
      <c r="LP242" s="6785"/>
      <c r="LQ242" s="6785"/>
      <c r="LR242" s="6785"/>
      <c r="LS242" s="6785"/>
      <c r="LT242" s="6785"/>
      <c r="LU242" s="6785"/>
      <c r="LV242" s="6785"/>
      <c r="LW242" s="6785"/>
      <c r="LX242" s="6785"/>
      <c r="LY242" s="6785"/>
      <c r="LZ242" s="6785"/>
      <c r="MA242" s="6785"/>
      <c r="MB242" s="6785"/>
      <c r="MC242" s="6785"/>
      <c r="MD242" s="6785"/>
      <c r="ME242" s="6785"/>
      <c r="MF242" s="6785"/>
      <c r="MG242" s="3489"/>
      <c r="MH242" s="6033"/>
      <c r="MI242" s="6033"/>
      <c r="MJ242" s="6034"/>
      <c r="MK242" s="6786" t="str">
        <f>_Calcs!$IR$176</f>
        <v/>
      </c>
      <c r="ML242" s="6786"/>
      <c r="MM242" s="6786"/>
      <c r="MN242" s="6786"/>
      <c r="MO242" s="6786"/>
      <c r="MP242" s="6786"/>
      <c r="MQ242" s="6786"/>
      <c r="MR242" s="6786"/>
      <c r="MS242" s="6786"/>
      <c r="MT242" s="6035"/>
      <c r="MU242" s="6029"/>
      <c r="MV242" s="130"/>
      <c r="MY242" s="6028"/>
      <c r="MZ242" s="6785" t="str">
        <f>_Calcs!$II$96</f>
        <v>Begrunnelser for tidsjusteringer</v>
      </c>
      <c r="NA242" s="6785"/>
      <c r="NB242" s="6785"/>
      <c r="NC242" s="6785"/>
      <c r="ND242" s="6785"/>
      <c r="NE242" s="6785"/>
      <c r="NF242" s="6785"/>
      <c r="NG242" s="6785"/>
      <c r="NH242" s="6785"/>
      <c r="NI242" s="6785"/>
      <c r="NJ242" s="6785"/>
      <c r="NK242" s="6785"/>
      <c r="NL242" s="6785"/>
      <c r="NM242" s="6785"/>
      <c r="NN242" s="6785"/>
      <c r="NO242" s="6785"/>
      <c r="NP242" s="6785"/>
      <c r="NQ242" s="6785"/>
      <c r="NR242" s="6785"/>
      <c r="NS242" s="6785"/>
      <c r="NT242" s="6785"/>
      <c r="NU242" s="6785"/>
      <c r="NV242" s="6785"/>
      <c r="NW242" s="6785"/>
      <c r="NX242" s="6785"/>
      <c r="NY242" s="6785"/>
      <c r="NZ242" s="3489"/>
      <c r="OA242" s="6033"/>
      <c r="OB242" s="6033"/>
      <c r="OC242" s="6034"/>
      <c r="OD242" s="6786" t="str">
        <f>_Calcs!$IS$176</f>
        <v/>
      </c>
      <c r="OE242" s="6786"/>
      <c r="OF242" s="6786"/>
      <c r="OG242" s="6786"/>
      <c r="OH242" s="6786"/>
      <c r="OI242" s="6786"/>
      <c r="OJ242" s="6786"/>
      <c r="OK242" s="6786"/>
      <c r="OL242" s="6786"/>
      <c r="OM242" s="6035"/>
      <c r="ON242" s="6029"/>
      <c r="OO242" s="130"/>
    </row>
    <row r="243" spans="3:405" s="5321" customFormat="1" ht="12" customHeight="1" x14ac:dyDescent="0.2">
      <c r="C243" s="6036"/>
      <c r="D243" s="6785"/>
      <c r="E243" s="6785"/>
      <c r="F243" s="6785"/>
      <c r="G243" s="6785"/>
      <c r="H243" s="6785"/>
      <c r="I243" s="6785"/>
      <c r="J243" s="6785"/>
      <c r="K243" s="6785"/>
      <c r="L243" s="6785"/>
      <c r="M243" s="6785"/>
      <c r="N243" s="6785"/>
      <c r="O243" s="6785"/>
      <c r="P243" s="6785"/>
      <c r="Q243" s="6785"/>
      <c r="R243" s="6785"/>
      <c r="S243" s="6785"/>
      <c r="T243" s="6785"/>
      <c r="U243" s="6785"/>
      <c r="V243" s="6785"/>
      <c r="W243" s="6785"/>
      <c r="X243" s="6785"/>
      <c r="Y243" s="6785"/>
      <c r="Z243" s="6785"/>
      <c r="AA243" s="6785"/>
      <c r="AB243" s="6785"/>
      <c r="AC243" s="6785"/>
      <c r="AE243" s="6033"/>
      <c r="AF243" s="6033"/>
      <c r="AG243" s="6037"/>
      <c r="AH243" s="6787"/>
      <c r="AI243" s="6787"/>
      <c r="AJ243" s="6787"/>
      <c r="AK243" s="6787"/>
      <c r="AL243" s="6787"/>
      <c r="AM243" s="6787"/>
      <c r="AN243" s="6787"/>
      <c r="AO243" s="6787"/>
      <c r="AP243" s="6787"/>
      <c r="AQ243" s="6038"/>
      <c r="AR243" s="6039"/>
      <c r="AV243" s="6036"/>
      <c r="AW243" s="6785"/>
      <c r="AX243" s="6785"/>
      <c r="AY243" s="6785"/>
      <c r="AZ243" s="6785"/>
      <c r="BA243" s="6785"/>
      <c r="BB243" s="6785"/>
      <c r="BC243" s="6785"/>
      <c r="BD243" s="6785"/>
      <c r="BE243" s="6785"/>
      <c r="BF243" s="6785"/>
      <c r="BG243" s="6785"/>
      <c r="BH243" s="6785"/>
      <c r="BI243" s="6785"/>
      <c r="BJ243" s="6785"/>
      <c r="BK243" s="6785"/>
      <c r="BL243" s="6785"/>
      <c r="BM243" s="6785"/>
      <c r="BN243" s="6785"/>
      <c r="BO243" s="6785"/>
      <c r="BP243" s="6785"/>
      <c r="BQ243" s="6785"/>
      <c r="BR243" s="6785"/>
      <c r="BS243" s="6785"/>
      <c r="BT243" s="6785"/>
      <c r="BU243" s="6785"/>
      <c r="BV243" s="6785"/>
      <c r="BX243" s="6033"/>
      <c r="BY243" s="6033"/>
      <c r="BZ243" s="6037"/>
      <c r="CA243" s="6787"/>
      <c r="CB243" s="6787"/>
      <c r="CC243" s="6787"/>
      <c r="CD243" s="6787"/>
      <c r="CE243" s="6787"/>
      <c r="CF243" s="6787"/>
      <c r="CG243" s="6787"/>
      <c r="CH243" s="6787"/>
      <c r="CI243" s="6787"/>
      <c r="CJ243" s="6038"/>
      <c r="CK243" s="6039"/>
      <c r="CO243" s="6036"/>
      <c r="CP243" s="6785"/>
      <c r="CQ243" s="6785"/>
      <c r="CR243" s="6785"/>
      <c r="CS243" s="6785"/>
      <c r="CT243" s="6785"/>
      <c r="CU243" s="6785"/>
      <c r="CV243" s="6785"/>
      <c r="CW243" s="6785"/>
      <c r="CX243" s="6785"/>
      <c r="CY243" s="6785"/>
      <c r="CZ243" s="6785"/>
      <c r="DA243" s="6785"/>
      <c r="DB243" s="6785"/>
      <c r="DC243" s="6785"/>
      <c r="DD243" s="6785"/>
      <c r="DE243" s="6785"/>
      <c r="DF243" s="6785"/>
      <c r="DG243" s="6785"/>
      <c r="DH243" s="6785"/>
      <c r="DI243" s="6785"/>
      <c r="DJ243" s="6785"/>
      <c r="DK243" s="6785"/>
      <c r="DL243" s="6785"/>
      <c r="DM243" s="6785"/>
      <c r="DN243" s="6785"/>
      <c r="DO243" s="6785"/>
      <c r="DQ243" s="6033"/>
      <c r="DR243" s="6033"/>
      <c r="DS243" s="6037"/>
      <c r="DT243" s="6787"/>
      <c r="DU243" s="6787"/>
      <c r="DV243" s="6787"/>
      <c r="DW243" s="6787"/>
      <c r="DX243" s="6787"/>
      <c r="DY243" s="6787"/>
      <c r="DZ243" s="6787"/>
      <c r="EA243" s="6787"/>
      <c r="EB243" s="6787"/>
      <c r="EC243" s="6038"/>
      <c r="ED243" s="6039"/>
      <c r="EH243" s="6036"/>
      <c r="EI243" s="6785"/>
      <c r="EJ243" s="6785"/>
      <c r="EK243" s="6785"/>
      <c r="EL243" s="6785"/>
      <c r="EM243" s="6785"/>
      <c r="EN243" s="6785"/>
      <c r="EO243" s="6785"/>
      <c r="EP243" s="6785"/>
      <c r="EQ243" s="6785"/>
      <c r="ER243" s="6785"/>
      <c r="ES243" s="6785"/>
      <c r="ET243" s="6785"/>
      <c r="EU243" s="6785"/>
      <c r="EV243" s="6785"/>
      <c r="EW243" s="6785"/>
      <c r="EX243" s="6785"/>
      <c r="EY243" s="6785"/>
      <c r="EZ243" s="6785"/>
      <c r="FA243" s="6785"/>
      <c r="FB243" s="6785"/>
      <c r="FC243" s="6785"/>
      <c r="FD243" s="6785"/>
      <c r="FE243" s="6785"/>
      <c r="FF243" s="6785"/>
      <c r="FG243" s="6785"/>
      <c r="FH243" s="6785"/>
      <c r="FJ243" s="6033"/>
      <c r="FK243" s="6033"/>
      <c r="FL243" s="6037"/>
      <c r="FM243" s="6787"/>
      <c r="FN243" s="6787"/>
      <c r="FO243" s="6787"/>
      <c r="FP243" s="6787"/>
      <c r="FQ243" s="6787"/>
      <c r="FR243" s="6787"/>
      <c r="FS243" s="6787"/>
      <c r="FT243" s="6787"/>
      <c r="FU243" s="6787"/>
      <c r="FV243" s="6038"/>
      <c r="FW243" s="6039"/>
      <c r="GA243" s="6036"/>
      <c r="GB243" s="6785"/>
      <c r="GC243" s="6785"/>
      <c r="GD243" s="6785"/>
      <c r="GE243" s="6785"/>
      <c r="GF243" s="6785"/>
      <c r="GG243" s="6785"/>
      <c r="GH243" s="6785"/>
      <c r="GI243" s="6785"/>
      <c r="GJ243" s="6785"/>
      <c r="GK243" s="6785"/>
      <c r="GL243" s="6785"/>
      <c r="GM243" s="6785"/>
      <c r="GN243" s="6785"/>
      <c r="GO243" s="6785"/>
      <c r="GP243" s="6785"/>
      <c r="GQ243" s="6785"/>
      <c r="GR243" s="6785"/>
      <c r="GS243" s="6785"/>
      <c r="GT243" s="6785"/>
      <c r="GU243" s="6785"/>
      <c r="GV243" s="6785"/>
      <c r="GW243" s="6785"/>
      <c r="GX243" s="6785"/>
      <c r="GY243" s="6785"/>
      <c r="GZ243" s="6785"/>
      <c r="HA243" s="6785"/>
      <c r="HC243" s="6033"/>
      <c r="HD243" s="6033"/>
      <c r="HE243" s="6037"/>
      <c r="HF243" s="6787"/>
      <c r="HG243" s="6787"/>
      <c r="HH243" s="6787"/>
      <c r="HI243" s="6787"/>
      <c r="HJ243" s="6787"/>
      <c r="HK243" s="6787"/>
      <c r="HL243" s="6787"/>
      <c r="HM243" s="6787"/>
      <c r="HN243" s="6787"/>
      <c r="HO243" s="6038"/>
      <c r="HP243" s="6039"/>
      <c r="HT243" s="6036"/>
      <c r="HU243" s="6785"/>
      <c r="HV243" s="6785"/>
      <c r="HW243" s="6785"/>
      <c r="HX243" s="6785"/>
      <c r="HY243" s="6785"/>
      <c r="HZ243" s="6785"/>
      <c r="IA243" s="6785"/>
      <c r="IB243" s="6785"/>
      <c r="IC243" s="6785"/>
      <c r="ID243" s="6785"/>
      <c r="IE243" s="6785"/>
      <c r="IF243" s="6785"/>
      <c r="IG243" s="6785"/>
      <c r="IH243" s="6785"/>
      <c r="II243" s="6785"/>
      <c r="IJ243" s="6785"/>
      <c r="IK243" s="6785"/>
      <c r="IL243" s="6785"/>
      <c r="IM243" s="6785"/>
      <c r="IN243" s="6785"/>
      <c r="IO243" s="6785"/>
      <c r="IP243" s="6785"/>
      <c r="IQ243" s="6785"/>
      <c r="IR243" s="6785"/>
      <c r="IS243" s="6785"/>
      <c r="IT243" s="6785"/>
      <c r="IV243" s="6033"/>
      <c r="IW243" s="6033"/>
      <c r="IX243" s="6037"/>
      <c r="IY243" s="6787"/>
      <c r="IZ243" s="6787"/>
      <c r="JA243" s="6787"/>
      <c r="JB243" s="6787"/>
      <c r="JC243" s="6787"/>
      <c r="JD243" s="6787"/>
      <c r="JE243" s="6787"/>
      <c r="JF243" s="6787"/>
      <c r="JG243" s="6787"/>
      <c r="JH243" s="6038"/>
      <c r="JI243" s="6039"/>
      <c r="JM243" s="6036"/>
      <c r="JN243" s="6785"/>
      <c r="JO243" s="6785"/>
      <c r="JP243" s="6785"/>
      <c r="JQ243" s="6785"/>
      <c r="JR243" s="6785"/>
      <c r="JS243" s="6785"/>
      <c r="JT243" s="6785"/>
      <c r="JU243" s="6785"/>
      <c r="JV243" s="6785"/>
      <c r="JW243" s="6785"/>
      <c r="JX243" s="6785"/>
      <c r="JY243" s="6785"/>
      <c r="JZ243" s="6785"/>
      <c r="KA243" s="6785"/>
      <c r="KB243" s="6785"/>
      <c r="KC243" s="6785"/>
      <c r="KD243" s="6785"/>
      <c r="KE243" s="6785"/>
      <c r="KF243" s="6785"/>
      <c r="KG243" s="6785"/>
      <c r="KH243" s="6785"/>
      <c r="KI243" s="6785"/>
      <c r="KJ243" s="6785"/>
      <c r="KK243" s="6785"/>
      <c r="KL243" s="6785"/>
      <c r="KM243" s="6785"/>
      <c r="KO243" s="6033"/>
      <c r="KP243" s="6033"/>
      <c r="KQ243" s="6037"/>
      <c r="KR243" s="6787"/>
      <c r="KS243" s="6787"/>
      <c r="KT243" s="6787"/>
      <c r="KU243" s="6787"/>
      <c r="KV243" s="6787"/>
      <c r="KW243" s="6787"/>
      <c r="KX243" s="6787"/>
      <c r="KY243" s="6787"/>
      <c r="KZ243" s="6787"/>
      <c r="LA243" s="6038"/>
      <c r="LB243" s="6039"/>
      <c r="LC243" s="7"/>
      <c r="LF243" s="6036"/>
      <c r="LG243" s="6785"/>
      <c r="LH243" s="6785"/>
      <c r="LI243" s="6785"/>
      <c r="LJ243" s="6785"/>
      <c r="LK243" s="6785"/>
      <c r="LL243" s="6785"/>
      <c r="LM243" s="6785"/>
      <c r="LN243" s="6785"/>
      <c r="LO243" s="6785"/>
      <c r="LP243" s="6785"/>
      <c r="LQ243" s="6785"/>
      <c r="LR243" s="6785"/>
      <c r="LS243" s="6785"/>
      <c r="LT243" s="6785"/>
      <c r="LU243" s="6785"/>
      <c r="LV243" s="6785"/>
      <c r="LW243" s="6785"/>
      <c r="LX243" s="6785"/>
      <c r="LY243" s="6785"/>
      <c r="LZ243" s="6785"/>
      <c r="MA243" s="6785"/>
      <c r="MB243" s="6785"/>
      <c r="MC243" s="6785"/>
      <c r="MD243" s="6785"/>
      <c r="ME243" s="6785"/>
      <c r="MF243" s="6785"/>
      <c r="MH243" s="6033"/>
      <c r="MI243" s="6033"/>
      <c r="MJ243" s="6037"/>
      <c r="MK243" s="6787"/>
      <c r="ML243" s="6787"/>
      <c r="MM243" s="6787"/>
      <c r="MN243" s="6787"/>
      <c r="MO243" s="6787"/>
      <c r="MP243" s="6787"/>
      <c r="MQ243" s="6787"/>
      <c r="MR243" s="6787"/>
      <c r="MS243" s="6787"/>
      <c r="MT243" s="6038"/>
      <c r="MU243" s="6039"/>
      <c r="MV243" s="7"/>
      <c r="MY243" s="6036"/>
      <c r="MZ243" s="6785"/>
      <c r="NA243" s="6785"/>
      <c r="NB243" s="6785"/>
      <c r="NC243" s="6785"/>
      <c r="ND243" s="6785"/>
      <c r="NE243" s="6785"/>
      <c r="NF243" s="6785"/>
      <c r="NG243" s="6785"/>
      <c r="NH243" s="6785"/>
      <c r="NI243" s="6785"/>
      <c r="NJ243" s="6785"/>
      <c r="NK243" s="6785"/>
      <c r="NL243" s="6785"/>
      <c r="NM243" s="6785"/>
      <c r="NN243" s="6785"/>
      <c r="NO243" s="6785"/>
      <c r="NP243" s="6785"/>
      <c r="NQ243" s="6785"/>
      <c r="NR243" s="6785"/>
      <c r="NS243" s="6785"/>
      <c r="NT243" s="6785"/>
      <c r="NU243" s="6785"/>
      <c r="NV243" s="6785"/>
      <c r="NW243" s="6785"/>
      <c r="NX243" s="6785"/>
      <c r="NY243" s="6785"/>
      <c r="OA243" s="6033"/>
      <c r="OB243" s="6033"/>
      <c r="OC243" s="6037"/>
      <c r="OD243" s="6787"/>
      <c r="OE243" s="6787"/>
      <c r="OF243" s="6787"/>
      <c r="OG243" s="6787"/>
      <c r="OH243" s="6787"/>
      <c r="OI243" s="6787"/>
      <c r="OJ243" s="6787"/>
      <c r="OK243" s="6787"/>
      <c r="OL243" s="6787"/>
      <c r="OM243" s="6038"/>
      <c r="ON243" s="6039"/>
      <c r="OO243" s="7"/>
    </row>
    <row r="244" spans="3:405" s="1466" customFormat="1" ht="6" customHeight="1" thickBot="1" x14ac:dyDescent="0.25">
      <c r="C244" s="6040"/>
      <c r="D244" s="6785"/>
      <c r="E244" s="6785"/>
      <c r="F244" s="6785"/>
      <c r="G244" s="6785"/>
      <c r="H244" s="6785"/>
      <c r="I244" s="6785"/>
      <c r="J244" s="6785"/>
      <c r="K244" s="6785"/>
      <c r="L244" s="6785"/>
      <c r="M244" s="6785"/>
      <c r="N244" s="6785"/>
      <c r="O244" s="6785"/>
      <c r="P244" s="6785"/>
      <c r="Q244" s="6785"/>
      <c r="R244" s="6785"/>
      <c r="S244" s="6785"/>
      <c r="T244" s="6785"/>
      <c r="U244" s="6785"/>
      <c r="V244" s="6785"/>
      <c r="W244" s="6785"/>
      <c r="X244" s="6785"/>
      <c r="Y244" s="6785"/>
      <c r="Z244" s="6785"/>
      <c r="AA244" s="6785"/>
      <c r="AB244" s="6785"/>
      <c r="AC244" s="6785"/>
      <c r="AE244" s="6033"/>
      <c r="AF244" s="6033"/>
      <c r="AG244" s="6041"/>
      <c r="AH244" s="6788"/>
      <c r="AI244" s="6788"/>
      <c r="AJ244" s="6788"/>
      <c r="AK244" s="6788"/>
      <c r="AL244" s="6788"/>
      <c r="AM244" s="6788"/>
      <c r="AN244" s="6788"/>
      <c r="AO244" s="6788"/>
      <c r="AP244" s="6788"/>
      <c r="AQ244" s="6042"/>
      <c r="AR244" s="6043"/>
      <c r="AV244" s="6040"/>
      <c r="AW244" s="6785"/>
      <c r="AX244" s="6785"/>
      <c r="AY244" s="6785"/>
      <c r="AZ244" s="6785"/>
      <c r="BA244" s="6785"/>
      <c r="BB244" s="6785"/>
      <c r="BC244" s="6785"/>
      <c r="BD244" s="6785"/>
      <c r="BE244" s="6785"/>
      <c r="BF244" s="6785"/>
      <c r="BG244" s="6785"/>
      <c r="BH244" s="6785"/>
      <c r="BI244" s="6785"/>
      <c r="BJ244" s="6785"/>
      <c r="BK244" s="6785"/>
      <c r="BL244" s="6785"/>
      <c r="BM244" s="6785"/>
      <c r="BN244" s="6785"/>
      <c r="BO244" s="6785"/>
      <c r="BP244" s="6785"/>
      <c r="BQ244" s="6785"/>
      <c r="BR244" s="6785"/>
      <c r="BS244" s="6785"/>
      <c r="BT244" s="6785"/>
      <c r="BU244" s="6785"/>
      <c r="BV244" s="6785"/>
      <c r="BX244" s="6033"/>
      <c r="BY244" s="6033"/>
      <c r="BZ244" s="6041"/>
      <c r="CA244" s="6788"/>
      <c r="CB244" s="6788"/>
      <c r="CC244" s="6788"/>
      <c r="CD244" s="6788"/>
      <c r="CE244" s="6788"/>
      <c r="CF244" s="6788"/>
      <c r="CG244" s="6788"/>
      <c r="CH244" s="6788"/>
      <c r="CI244" s="6788"/>
      <c r="CJ244" s="6042"/>
      <c r="CK244" s="6043"/>
      <c r="CO244" s="6040"/>
      <c r="CP244" s="6785"/>
      <c r="CQ244" s="6785"/>
      <c r="CR244" s="6785"/>
      <c r="CS244" s="6785"/>
      <c r="CT244" s="6785"/>
      <c r="CU244" s="6785"/>
      <c r="CV244" s="6785"/>
      <c r="CW244" s="6785"/>
      <c r="CX244" s="6785"/>
      <c r="CY244" s="6785"/>
      <c r="CZ244" s="6785"/>
      <c r="DA244" s="6785"/>
      <c r="DB244" s="6785"/>
      <c r="DC244" s="6785"/>
      <c r="DD244" s="6785"/>
      <c r="DE244" s="6785"/>
      <c r="DF244" s="6785"/>
      <c r="DG244" s="6785"/>
      <c r="DH244" s="6785"/>
      <c r="DI244" s="6785"/>
      <c r="DJ244" s="6785"/>
      <c r="DK244" s="6785"/>
      <c r="DL244" s="6785"/>
      <c r="DM244" s="6785"/>
      <c r="DN244" s="6785"/>
      <c r="DO244" s="6785"/>
      <c r="DQ244" s="6033"/>
      <c r="DR244" s="6033"/>
      <c r="DS244" s="6041"/>
      <c r="DT244" s="6788"/>
      <c r="DU244" s="6788"/>
      <c r="DV244" s="6788"/>
      <c r="DW244" s="6788"/>
      <c r="DX244" s="6788"/>
      <c r="DY244" s="6788"/>
      <c r="DZ244" s="6788"/>
      <c r="EA244" s="6788"/>
      <c r="EB244" s="6788"/>
      <c r="EC244" s="6042"/>
      <c r="ED244" s="6043"/>
      <c r="EH244" s="6040"/>
      <c r="EI244" s="6785"/>
      <c r="EJ244" s="6785"/>
      <c r="EK244" s="6785"/>
      <c r="EL244" s="6785"/>
      <c r="EM244" s="6785"/>
      <c r="EN244" s="6785"/>
      <c r="EO244" s="6785"/>
      <c r="EP244" s="6785"/>
      <c r="EQ244" s="6785"/>
      <c r="ER244" s="6785"/>
      <c r="ES244" s="6785"/>
      <c r="ET244" s="6785"/>
      <c r="EU244" s="6785"/>
      <c r="EV244" s="6785"/>
      <c r="EW244" s="6785"/>
      <c r="EX244" s="6785"/>
      <c r="EY244" s="6785"/>
      <c r="EZ244" s="6785"/>
      <c r="FA244" s="6785"/>
      <c r="FB244" s="6785"/>
      <c r="FC244" s="6785"/>
      <c r="FD244" s="6785"/>
      <c r="FE244" s="6785"/>
      <c r="FF244" s="6785"/>
      <c r="FG244" s="6785"/>
      <c r="FH244" s="6785"/>
      <c r="FJ244" s="6033"/>
      <c r="FK244" s="6033"/>
      <c r="FL244" s="6041"/>
      <c r="FM244" s="6788"/>
      <c r="FN244" s="6788"/>
      <c r="FO244" s="6788"/>
      <c r="FP244" s="6788"/>
      <c r="FQ244" s="6788"/>
      <c r="FR244" s="6788"/>
      <c r="FS244" s="6788"/>
      <c r="FT244" s="6788"/>
      <c r="FU244" s="6788"/>
      <c r="FV244" s="6042"/>
      <c r="FW244" s="6043"/>
      <c r="GA244" s="6040"/>
      <c r="GB244" s="6785"/>
      <c r="GC244" s="6785"/>
      <c r="GD244" s="6785"/>
      <c r="GE244" s="6785"/>
      <c r="GF244" s="6785"/>
      <c r="GG244" s="6785"/>
      <c r="GH244" s="6785"/>
      <c r="GI244" s="6785"/>
      <c r="GJ244" s="6785"/>
      <c r="GK244" s="6785"/>
      <c r="GL244" s="6785"/>
      <c r="GM244" s="6785"/>
      <c r="GN244" s="6785"/>
      <c r="GO244" s="6785"/>
      <c r="GP244" s="6785"/>
      <c r="GQ244" s="6785"/>
      <c r="GR244" s="6785"/>
      <c r="GS244" s="6785"/>
      <c r="GT244" s="6785"/>
      <c r="GU244" s="6785"/>
      <c r="GV244" s="6785"/>
      <c r="GW244" s="6785"/>
      <c r="GX244" s="6785"/>
      <c r="GY244" s="6785"/>
      <c r="GZ244" s="6785"/>
      <c r="HA244" s="6785"/>
      <c r="HC244" s="6033"/>
      <c r="HD244" s="6033"/>
      <c r="HE244" s="6041"/>
      <c r="HF244" s="6788"/>
      <c r="HG244" s="6788"/>
      <c r="HH244" s="6788"/>
      <c r="HI244" s="6788"/>
      <c r="HJ244" s="6788"/>
      <c r="HK244" s="6788"/>
      <c r="HL244" s="6788"/>
      <c r="HM244" s="6788"/>
      <c r="HN244" s="6788"/>
      <c r="HO244" s="6042"/>
      <c r="HP244" s="6043"/>
      <c r="HT244" s="6040"/>
      <c r="HU244" s="6785"/>
      <c r="HV244" s="6785"/>
      <c r="HW244" s="6785"/>
      <c r="HX244" s="6785"/>
      <c r="HY244" s="6785"/>
      <c r="HZ244" s="6785"/>
      <c r="IA244" s="6785"/>
      <c r="IB244" s="6785"/>
      <c r="IC244" s="6785"/>
      <c r="ID244" s="6785"/>
      <c r="IE244" s="6785"/>
      <c r="IF244" s="6785"/>
      <c r="IG244" s="6785"/>
      <c r="IH244" s="6785"/>
      <c r="II244" s="6785"/>
      <c r="IJ244" s="6785"/>
      <c r="IK244" s="6785"/>
      <c r="IL244" s="6785"/>
      <c r="IM244" s="6785"/>
      <c r="IN244" s="6785"/>
      <c r="IO244" s="6785"/>
      <c r="IP244" s="6785"/>
      <c r="IQ244" s="6785"/>
      <c r="IR244" s="6785"/>
      <c r="IS244" s="6785"/>
      <c r="IT244" s="6785"/>
      <c r="IV244" s="6033"/>
      <c r="IW244" s="6033"/>
      <c r="IX244" s="6041"/>
      <c r="IY244" s="6788"/>
      <c r="IZ244" s="6788"/>
      <c r="JA244" s="6788"/>
      <c r="JB244" s="6788"/>
      <c r="JC244" s="6788"/>
      <c r="JD244" s="6788"/>
      <c r="JE244" s="6788"/>
      <c r="JF244" s="6788"/>
      <c r="JG244" s="6788"/>
      <c r="JH244" s="6042"/>
      <c r="JI244" s="6043"/>
      <c r="JM244" s="6040"/>
      <c r="JN244" s="6785"/>
      <c r="JO244" s="6785"/>
      <c r="JP244" s="6785"/>
      <c r="JQ244" s="6785"/>
      <c r="JR244" s="6785"/>
      <c r="JS244" s="6785"/>
      <c r="JT244" s="6785"/>
      <c r="JU244" s="6785"/>
      <c r="JV244" s="6785"/>
      <c r="JW244" s="6785"/>
      <c r="JX244" s="6785"/>
      <c r="JY244" s="6785"/>
      <c r="JZ244" s="6785"/>
      <c r="KA244" s="6785"/>
      <c r="KB244" s="6785"/>
      <c r="KC244" s="6785"/>
      <c r="KD244" s="6785"/>
      <c r="KE244" s="6785"/>
      <c r="KF244" s="6785"/>
      <c r="KG244" s="6785"/>
      <c r="KH244" s="6785"/>
      <c r="KI244" s="6785"/>
      <c r="KJ244" s="6785"/>
      <c r="KK244" s="6785"/>
      <c r="KL244" s="6785"/>
      <c r="KM244" s="6785"/>
      <c r="KO244" s="6033"/>
      <c r="KP244" s="6033"/>
      <c r="KQ244" s="6041"/>
      <c r="KR244" s="6788"/>
      <c r="KS244" s="6788"/>
      <c r="KT244" s="6788"/>
      <c r="KU244" s="6788"/>
      <c r="KV244" s="6788"/>
      <c r="KW244" s="6788"/>
      <c r="KX244" s="6788"/>
      <c r="KY244" s="6788"/>
      <c r="KZ244" s="6788"/>
      <c r="LA244" s="6042"/>
      <c r="LB244" s="6043"/>
      <c r="LF244" s="6040"/>
      <c r="LG244" s="6785"/>
      <c r="LH244" s="6785"/>
      <c r="LI244" s="6785"/>
      <c r="LJ244" s="6785"/>
      <c r="LK244" s="6785"/>
      <c r="LL244" s="6785"/>
      <c r="LM244" s="6785"/>
      <c r="LN244" s="6785"/>
      <c r="LO244" s="6785"/>
      <c r="LP244" s="6785"/>
      <c r="LQ244" s="6785"/>
      <c r="LR244" s="6785"/>
      <c r="LS244" s="6785"/>
      <c r="LT244" s="6785"/>
      <c r="LU244" s="6785"/>
      <c r="LV244" s="6785"/>
      <c r="LW244" s="6785"/>
      <c r="LX244" s="6785"/>
      <c r="LY244" s="6785"/>
      <c r="LZ244" s="6785"/>
      <c r="MA244" s="6785"/>
      <c r="MB244" s="6785"/>
      <c r="MC244" s="6785"/>
      <c r="MD244" s="6785"/>
      <c r="ME244" s="6785"/>
      <c r="MF244" s="6785"/>
      <c r="MH244" s="6033"/>
      <c r="MI244" s="6033"/>
      <c r="MJ244" s="6041"/>
      <c r="MK244" s="6788"/>
      <c r="ML244" s="6788"/>
      <c r="MM244" s="6788"/>
      <c r="MN244" s="6788"/>
      <c r="MO244" s="6788"/>
      <c r="MP244" s="6788"/>
      <c r="MQ244" s="6788"/>
      <c r="MR244" s="6788"/>
      <c r="MS244" s="6788"/>
      <c r="MT244" s="6042"/>
      <c r="MU244" s="6043"/>
      <c r="MY244" s="6040"/>
      <c r="MZ244" s="6785"/>
      <c r="NA244" s="6785"/>
      <c r="NB244" s="6785"/>
      <c r="NC244" s="6785"/>
      <c r="ND244" s="6785"/>
      <c r="NE244" s="6785"/>
      <c r="NF244" s="6785"/>
      <c r="NG244" s="6785"/>
      <c r="NH244" s="6785"/>
      <c r="NI244" s="6785"/>
      <c r="NJ244" s="6785"/>
      <c r="NK244" s="6785"/>
      <c r="NL244" s="6785"/>
      <c r="NM244" s="6785"/>
      <c r="NN244" s="6785"/>
      <c r="NO244" s="6785"/>
      <c r="NP244" s="6785"/>
      <c r="NQ244" s="6785"/>
      <c r="NR244" s="6785"/>
      <c r="NS244" s="6785"/>
      <c r="NT244" s="6785"/>
      <c r="NU244" s="6785"/>
      <c r="NV244" s="6785"/>
      <c r="NW244" s="6785"/>
      <c r="NX244" s="6785"/>
      <c r="NY244" s="6785"/>
      <c r="OA244" s="6033"/>
      <c r="OB244" s="6033"/>
      <c r="OC244" s="6041"/>
      <c r="OD244" s="6788"/>
      <c r="OE244" s="6788"/>
      <c r="OF244" s="6788"/>
      <c r="OG244" s="6788"/>
      <c r="OH244" s="6788"/>
      <c r="OI244" s="6788"/>
      <c r="OJ244" s="6788"/>
      <c r="OK244" s="6788"/>
      <c r="OL244" s="6788"/>
      <c r="OM244" s="6042"/>
      <c r="ON244" s="6043"/>
    </row>
    <row r="245" spans="3:405" s="1466" customFormat="1" ht="9.9499999999999993" customHeight="1" thickBot="1" x14ac:dyDescent="0.25">
      <c r="C245" s="6044"/>
      <c r="D245" s="6045"/>
      <c r="E245" s="6045"/>
      <c r="F245" s="6045"/>
      <c r="G245" s="6045"/>
      <c r="H245" s="6045"/>
      <c r="I245" s="6045"/>
      <c r="J245" s="6045"/>
      <c r="K245" s="6045"/>
      <c r="L245" s="6045"/>
      <c r="M245" s="6045"/>
      <c r="N245" s="6045"/>
      <c r="O245" s="6045"/>
      <c r="P245" s="6045"/>
      <c r="Q245" s="6045"/>
      <c r="R245" s="6045"/>
      <c r="S245" s="6045"/>
      <c r="T245" s="6045"/>
      <c r="U245" s="6045"/>
      <c r="V245" s="6045"/>
      <c r="W245" s="6046"/>
      <c r="X245" s="6046"/>
      <c r="Y245" s="6046"/>
      <c r="Z245" s="6046"/>
      <c r="AA245" s="6046"/>
      <c r="AB245" s="6046"/>
      <c r="AC245" s="6046"/>
      <c r="AD245" s="6046"/>
      <c r="AE245" s="6047"/>
      <c r="AF245" s="6047"/>
      <c r="AG245" s="6047"/>
      <c r="AH245" s="6047"/>
      <c r="AI245" s="6047"/>
      <c r="AJ245" s="6047"/>
      <c r="AK245" s="6047"/>
      <c r="AL245" s="6047"/>
      <c r="AM245" s="6047"/>
      <c r="AN245" s="6047"/>
      <c r="AO245" s="6047"/>
      <c r="AP245" s="6047"/>
      <c r="AQ245" s="6046"/>
      <c r="AR245" s="6048"/>
      <c r="AV245" s="6044"/>
      <c r="AW245" s="6045"/>
      <c r="AX245" s="6045"/>
      <c r="AY245" s="6045"/>
      <c r="AZ245" s="6045"/>
      <c r="BA245" s="6045"/>
      <c r="BB245" s="6045"/>
      <c r="BC245" s="6045"/>
      <c r="BD245" s="6045"/>
      <c r="BE245" s="6045"/>
      <c r="BF245" s="6045"/>
      <c r="BG245" s="6045"/>
      <c r="BH245" s="6045"/>
      <c r="BI245" s="6045"/>
      <c r="BJ245" s="6045"/>
      <c r="BK245" s="6045"/>
      <c r="BL245" s="6045"/>
      <c r="BM245" s="6045"/>
      <c r="BN245" s="6045"/>
      <c r="BO245" s="6045"/>
      <c r="BP245" s="6046"/>
      <c r="BQ245" s="6046"/>
      <c r="BR245" s="6046"/>
      <c r="BS245" s="6046"/>
      <c r="BT245" s="6046"/>
      <c r="BU245" s="6046"/>
      <c r="BV245" s="6046"/>
      <c r="BW245" s="6046"/>
      <c r="BX245" s="6047"/>
      <c r="BY245" s="6047"/>
      <c r="BZ245" s="6047"/>
      <c r="CA245" s="6047"/>
      <c r="CB245" s="6047"/>
      <c r="CC245" s="6047"/>
      <c r="CD245" s="6047"/>
      <c r="CE245" s="6047"/>
      <c r="CF245" s="6047"/>
      <c r="CG245" s="6047"/>
      <c r="CH245" s="6047"/>
      <c r="CI245" s="6047"/>
      <c r="CJ245" s="6046"/>
      <c r="CK245" s="6048"/>
      <c r="CO245" s="6044"/>
      <c r="CP245" s="6045"/>
      <c r="CQ245" s="6045"/>
      <c r="CR245" s="6045"/>
      <c r="CS245" s="6045"/>
      <c r="CT245" s="6045"/>
      <c r="CU245" s="6045"/>
      <c r="CV245" s="6045"/>
      <c r="CW245" s="6045"/>
      <c r="CX245" s="6045"/>
      <c r="CY245" s="6045"/>
      <c r="CZ245" s="6045"/>
      <c r="DA245" s="6045"/>
      <c r="DB245" s="6045"/>
      <c r="DC245" s="6045"/>
      <c r="DD245" s="6045"/>
      <c r="DE245" s="6045"/>
      <c r="DF245" s="6045"/>
      <c r="DG245" s="6045"/>
      <c r="DH245" s="6045"/>
      <c r="DI245" s="6046"/>
      <c r="DJ245" s="6046"/>
      <c r="DK245" s="6046"/>
      <c r="DL245" s="6046"/>
      <c r="DM245" s="6046"/>
      <c r="DN245" s="6046"/>
      <c r="DO245" s="6046"/>
      <c r="DP245" s="6046"/>
      <c r="DQ245" s="6047"/>
      <c r="DR245" s="6047"/>
      <c r="DS245" s="6047"/>
      <c r="DT245" s="6047"/>
      <c r="DU245" s="6047"/>
      <c r="DV245" s="6047"/>
      <c r="DW245" s="6047"/>
      <c r="DX245" s="6047"/>
      <c r="DY245" s="6047"/>
      <c r="DZ245" s="6047"/>
      <c r="EA245" s="6047"/>
      <c r="EB245" s="6047"/>
      <c r="EC245" s="6046"/>
      <c r="ED245" s="6048"/>
      <c r="EH245" s="6044"/>
      <c r="EI245" s="6045"/>
      <c r="EJ245" s="6045"/>
      <c r="EK245" s="6045"/>
      <c r="EL245" s="6045"/>
      <c r="EM245" s="6045"/>
      <c r="EN245" s="6045"/>
      <c r="EO245" s="6045"/>
      <c r="EP245" s="6045"/>
      <c r="EQ245" s="6045"/>
      <c r="ER245" s="6045"/>
      <c r="ES245" s="6045"/>
      <c r="ET245" s="6045"/>
      <c r="EU245" s="6045"/>
      <c r="EV245" s="6045"/>
      <c r="EW245" s="6045"/>
      <c r="EX245" s="6045"/>
      <c r="EY245" s="6045"/>
      <c r="EZ245" s="6045"/>
      <c r="FA245" s="6045"/>
      <c r="FB245" s="6046"/>
      <c r="FC245" s="6046"/>
      <c r="FD245" s="6046"/>
      <c r="FE245" s="6046"/>
      <c r="FF245" s="6046"/>
      <c r="FG245" s="6046"/>
      <c r="FH245" s="6046"/>
      <c r="FI245" s="6046"/>
      <c r="FJ245" s="6047"/>
      <c r="FK245" s="6047"/>
      <c r="FL245" s="6047"/>
      <c r="FM245" s="6047"/>
      <c r="FN245" s="6047"/>
      <c r="FO245" s="6047"/>
      <c r="FP245" s="6047"/>
      <c r="FQ245" s="6047"/>
      <c r="FR245" s="6047"/>
      <c r="FS245" s="6047"/>
      <c r="FT245" s="6047"/>
      <c r="FU245" s="6047"/>
      <c r="FV245" s="6046"/>
      <c r="FW245" s="6048"/>
      <c r="GA245" s="6044"/>
      <c r="GB245" s="6045"/>
      <c r="GC245" s="6045"/>
      <c r="GD245" s="6045"/>
      <c r="GE245" s="6045"/>
      <c r="GF245" s="6045"/>
      <c r="GG245" s="6045"/>
      <c r="GH245" s="6045"/>
      <c r="GI245" s="6045"/>
      <c r="GJ245" s="6045"/>
      <c r="GK245" s="6045"/>
      <c r="GL245" s="6045"/>
      <c r="GM245" s="6045"/>
      <c r="GN245" s="6045"/>
      <c r="GO245" s="6045"/>
      <c r="GP245" s="6045"/>
      <c r="GQ245" s="6045"/>
      <c r="GR245" s="6045"/>
      <c r="GS245" s="6045"/>
      <c r="GT245" s="6045"/>
      <c r="GU245" s="6046"/>
      <c r="GV245" s="6046"/>
      <c r="GW245" s="6046"/>
      <c r="GX245" s="6046"/>
      <c r="GY245" s="6046"/>
      <c r="GZ245" s="6046"/>
      <c r="HA245" s="6046"/>
      <c r="HB245" s="6046"/>
      <c r="HC245" s="6047"/>
      <c r="HD245" s="6047"/>
      <c r="HE245" s="6047"/>
      <c r="HF245" s="6047"/>
      <c r="HG245" s="6047"/>
      <c r="HH245" s="6047"/>
      <c r="HI245" s="6047"/>
      <c r="HJ245" s="6047"/>
      <c r="HK245" s="6047"/>
      <c r="HL245" s="6047"/>
      <c r="HM245" s="6047"/>
      <c r="HN245" s="6047"/>
      <c r="HO245" s="6046"/>
      <c r="HP245" s="6048"/>
      <c r="HT245" s="6044"/>
      <c r="HU245" s="6045"/>
      <c r="HV245" s="6045"/>
      <c r="HW245" s="6045"/>
      <c r="HX245" s="6045"/>
      <c r="HY245" s="6045"/>
      <c r="HZ245" s="6045"/>
      <c r="IA245" s="6045"/>
      <c r="IB245" s="6045"/>
      <c r="IC245" s="6045"/>
      <c r="ID245" s="6045"/>
      <c r="IE245" s="6045"/>
      <c r="IF245" s="6045"/>
      <c r="IG245" s="6045"/>
      <c r="IH245" s="6045"/>
      <c r="II245" s="6045"/>
      <c r="IJ245" s="6045"/>
      <c r="IK245" s="6045"/>
      <c r="IL245" s="6045"/>
      <c r="IM245" s="6045"/>
      <c r="IN245" s="6046"/>
      <c r="IO245" s="6046"/>
      <c r="IP245" s="6046"/>
      <c r="IQ245" s="6046"/>
      <c r="IR245" s="6046"/>
      <c r="IS245" s="6046"/>
      <c r="IT245" s="6046"/>
      <c r="IU245" s="6046"/>
      <c r="IV245" s="6047"/>
      <c r="IW245" s="6047"/>
      <c r="IX245" s="6047"/>
      <c r="IY245" s="6047"/>
      <c r="IZ245" s="6047"/>
      <c r="JA245" s="6047"/>
      <c r="JB245" s="6047"/>
      <c r="JC245" s="6047"/>
      <c r="JD245" s="6047"/>
      <c r="JE245" s="6047"/>
      <c r="JF245" s="6047"/>
      <c r="JG245" s="6047"/>
      <c r="JH245" s="6046"/>
      <c r="JI245" s="6048"/>
      <c r="JM245" s="6044"/>
      <c r="JN245" s="6045"/>
      <c r="JO245" s="6045"/>
      <c r="JP245" s="6045"/>
      <c r="JQ245" s="6045"/>
      <c r="JR245" s="6045"/>
      <c r="JS245" s="6045"/>
      <c r="JT245" s="6045"/>
      <c r="JU245" s="6045"/>
      <c r="JV245" s="6045"/>
      <c r="JW245" s="6045"/>
      <c r="JX245" s="6045"/>
      <c r="JY245" s="6045"/>
      <c r="JZ245" s="6045"/>
      <c r="KA245" s="6045"/>
      <c r="KB245" s="6045"/>
      <c r="KC245" s="6045"/>
      <c r="KD245" s="6045"/>
      <c r="KE245" s="6045"/>
      <c r="KF245" s="6045"/>
      <c r="KG245" s="6046"/>
      <c r="KH245" s="6046"/>
      <c r="KI245" s="6046"/>
      <c r="KJ245" s="6046"/>
      <c r="KK245" s="6046"/>
      <c r="KL245" s="6046"/>
      <c r="KM245" s="6046"/>
      <c r="KN245" s="6046"/>
      <c r="KO245" s="6047"/>
      <c r="KP245" s="6047"/>
      <c r="KQ245" s="6047"/>
      <c r="KR245" s="6047"/>
      <c r="KS245" s="6047"/>
      <c r="KT245" s="6047"/>
      <c r="KU245" s="6047"/>
      <c r="KV245" s="6047"/>
      <c r="KW245" s="6047"/>
      <c r="KX245" s="6047"/>
      <c r="KY245" s="6047"/>
      <c r="KZ245" s="6047"/>
      <c r="LA245" s="6046"/>
      <c r="LB245" s="6048"/>
      <c r="LF245" s="6044"/>
      <c r="LG245" s="6045"/>
      <c r="LH245" s="6045"/>
      <c r="LI245" s="6045"/>
      <c r="LJ245" s="6045"/>
      <c r="LK245" s="6045"/>
      <c r="LL245" s="6045"/>
      <c r="LM245" s="6045"/>
      <c r="LN245" s="6045"/>
      <c r="LO245" s="6045"/>
      <c r="LP245" s="6045"/>
      <c r="LQ245" s="6045"/>
      <c r="LR245" s="6045"/>
      <c r="LS245" s="6045"/>
      <c r="LT245" s="6045"/>
      <c r="LU245" s="6045"/>
      <c r="LV245" s="6045"/>
      <c r="LW245" s="6045"/>
      <c r="LX245" s="6045"/>
      <c r="LY245" s="6045"/>
      <c r="LZ245" s="6046"/>
      <c r="MA245" s="6046"/>
      <c r="MB245" s="6046"/>
      <c r="MC245" s="6046"/>
      <c r="MD245" s="6046"/>
      <c r="ME245" s="6046"/>
      <c r="MF245" s="6046"/>
      <c r="MG245" s="6046"/>
      <c r="MH245" s="6047"/>
      <c r="MI245" s="6047"/>
      <c r="MJ245" s="6047"/>
      <c r="MK245" s="6047"/>
      <c r="ML245" s="6047"/>
      <c r="MM245" s="6047"/>
      <c r="MN245" s="6047"/>
      <c r="MO245" s="6047"/>
      <c r="MP245" s="6047"/>
      <c r="MQ245" s="6047"/>
      <c r="MR245" s="6047"/>
      <c r="MS245" s="6047"/>
      <c r="MT245" s="6046"/>
      <c r="MU245" s="6048"/>
      <c r="MY245" s="6044"/>
      <c r="MZ245" s="6045"/>
      <c r="NA245" s="6045"/>
      <c r="NB245" s="6045"/>
      <c r="NC245" s="6045"/>
      <c r="ND245" s="6045"/>
      <c r="NE245" s="6045"/>
      <c r="NF245" s="6045"/>
      <c r="NG245" s="6045"/>
      <c r="NH245" s="6045"/>
      <c r="NI245" s="6045"/>
      <c r="NJ245" s="6045"/>
      <c r="NK245" s="6045"/>
      <c r="NL245" s="6045"/>
      <c r="NM245" s="6045"/>
      <c r="NN245" s="6045"/>
      <c r="NO245" s="6045"/>
      <c r="NP245" s="6045"/>
      <c r="NQ245" s="6045"/>
      <c r="NR245" s="6045"/>
      <c r="NS245" s="6046"/>
      <c r="NT245" s="6046"/>
      <c r="NU245" s="6046"/>
      <c r="NV245" s="6046"/>
      <c r="NW245" s="6046"/>
      <c r="NX245" s="6046"/>
      <c r="NY245" s="6046"/>
      <c r="NZ245" s="6046"/>
      <c r="OA245" s="6047"/>
      <c r="OB245" s="6047"/>
      <c r="OC245" s="6047"/>
      <c r="OD245" s="6047"/>
      <c r="OE245" s="6047"/>
      <c r="OF245" s="6047"/>
      <c r="OG245" s="6047"/>
      <c r="OH245" s="6047"/>
      <c r="OI245" s="6047"/>
      <c r="OJ245" s="6047"/>
      <c r="OK245" s="6047"/>
      <c r="OL245" s="6047"/>
      <c r="OM245" s="6046"/>
      <c r="ON245" s="6048"/>
    </row>
    <row r="246" spans="3:405" ht="9.9499999999999993" customHeight="1" thickBot="1" x14ac:dyDescent="0.25">
      <c r="D246" s="6091"/>
      <c r="AW246" s="6091"/>
      <c r="CP246" s="6091"/>
      <c r="EI246" s="6091"/>
      <c r="GB246" s="6091"/>
      <c r="HU246" s="6091"/>
      <c r="JN246" s="6091"/>
      <c r="LG246" s="6091"/>
      <c r="MZ246" s="6091"/>
    </row>
    <row r="247" spans="3:405" ht="15" customHeight="1" x14ac:dyDescent="0.2">
      <c r="C247" s="6049"/>
      <c r="D247" s="6050"/>
      <c r="E247" s="6050"/>
      <c r="F247" s="6050"/>
      <c r="G247" s="6050"/>
      <c r="H247" s="6050"/>
      <c r="I247" s="6050"/>
      <c r="J247" s="6050"/>
      <c r="K247" s="6050"/>
      <c r="L247" s="6050"/>
      <c r="M247" s="6050"/>
      <c r="N247" s="6050"/>
      <c r="O247" s="6050"/>
      <c r="P247" s="6050"/>
      <c r="Q247" s="6050"/>
      <c r="R247" s="6050"/>
      <c r="S247" s="6050"/>
      <c r="T247" s="6050"/>
      <c r="U247" s="6050"/>
      <c r="V247" s="6050"/>
      <c r="W247" s="6050"/>
      <c r="X247" s="6050"/>
      <c r="Y247" s="6050"/>
      <c r="Z247" s="6050"/>
      <c r="AA247" s="6050"/>
      <c r="AB247" s="6050"/>
      <c r="AC247" s="6050"/>
      <c r="AD247" s="6050"/>
      <c r="AE247" s="6050"/>
      <c r="AF247" s="6050"/>
      <c r="AG247" s="6050"/>
      <c r="AH247" s="6050"/>
      <c r="AI247" s="6050"/>
      <c r="AJ247" s="6050"/>
      <c r="AK247" s="6050"/>
      <c r="AL247" s="6050"/>
      <c r="AM247" s="6050"/>
      <c r="AN247" s="6050"/>
      <c r="AO247" s="6050"/>
      <c r="AP247" s="6050"/>
      <c r="AQ247" s="6050"/>
      <c r="AR247" s="6052"/>
      <c r="AV247" s="6049"/>
      <c r="AW247" s="6050"/>
      <c r="AX247" s="6050"/>
      <c r="AY247" s="6050"/>
      <c r="AZ247" s="6050"/>
      <c r="BA247" s="6050"/>
      <c r="BB247" s="6050"/>
      <c r="BC247" s="6050"/>
      <c r="BD247" s="6050"/>
      <c r="BE247" s="6050"/>
      <c r="BF247" s="6050"/>
      <c r="BG247" s="6050"/>
      <c r="BH247" s="6050"/>
      <c r="BI247" s="6050"/>
      <c r="BJ247" s="6050"/>
      <c r="BK247" s="6050"/>
      <c r="BL247" s="6050"/>
      <c r="BM247" s="6050"/>
      <c r="BN247" s="6050"/>
      <c r="BO247" s="6050"/>
      <c r="BP247" s="6050"/>
      <c r="BQ247" s="6050"/>
      <c r="BR247" s="6050"/>
      <c r="BS247" s="6050"/>
      <c r="BT247" s="6050"/>
      <c r="BU247" s="6050"/>
      <c r="BV247" s="6050"/>
      <c r="BW247" s="6050"/>
      <c r="BX247" s="6050"/>
      <c r="BY247" s="6050"/>
      <c r="BZ247" s="6050"/>
      <c r="CA247" s="6050"/>
      <c r="CB247" s="6050"/>
      <c r="CC247" s="6050"/>
      <c r="CD247" s="6050"/>
      <c r="CE247" s="6050"/>
      <c r="CF247" s="6050"/>
      <c r="CG247" s="6050"/>
      <c r="CH247" s="6050"/>
      <c r="CI247" s="6050"/>
      <c r="CJ247" s="6050"/>
      <c r="CK247" s="6052"/>
      <c r="CO247" s="6049"/>
      <c r="CP247" s="6050"/>
      <c r="CQ247" s="6050"/>
      <c r="CR247" s="6050"/>
      <c r="CS247" s="6050"/>
      <c r="CT247" s="6050"/>
      <c r="CU247" s="6050"/>
      <c r="CV247" s="6050"/>
      <c r="CW247" s="6050"/>
      <c r="CX247" s="6050"/>
      <c r="CY247" s="6050"/>
      <c r="CZ247" s="6050"/>
      <c r="DA247" s="6050"/>
      <c r="DB247" s="6050"/>
      <c r="DC247" s="6050"/>
      <c r="DD247" s="6050"/>
      <c r="DE247" s="6050"/>
      <c r="DF247" s="6050"/>
      <c r="DG247" s="6050"/>
      <c r="DH247" s="6050"/>
      <c r="DI247" s="6050"/>
      <c r="DJ247" s="6050"/>
      <c r="DK247" s="6050"/>
      <c r="DL247" s="6050"/>
      <c r="DM247" s="6050"/>
      <c r="DN247" s="6050"/>
      <c r="DO247" s="6050"/>
      <c r="DP247" s="6050"/>
      <c r="DQ247" s="6050"/>
      <c r="DR247" s="6050"/>
      <c r="DS247" s="6050"/>
      <c r="DT247" s="6050"/>
      <c r="DU247" s="6050"/>
      <c r="DV247" s="6050"/>
      <c r="DW247" s="6050"/>
      <c r="DX247" s="6050"/>
      <c r="DY247" s="6050"/>
      <c r="DZ247" s="6050"/>
      <c r="EA247" s="6050"/>
      <c r="EB247" s="6050"/>
      <c r="EC247" s="6050"/>
      <c r="ED247" s="6052"/>
      <c r="EH247" s="6049"/>
      <c r="EI247" s="6050"/>
      <c r="EJ247" s="6050"/>
      <c r="EK247" s="6050"/>
      <c r="EL247" s="6050"/>
      <c r="EM247" s="6050"/>
      <c r="EN247" s="6050"/>
      <c r="EO247" s="6050"/>
      <c r="EP247" s="6050"/>
      <c r="EQ247" s="6050"/>
      <c r="ER247" s="6050"/>
      <c r="ES247" s="6050"/>
      <c r="ET247" s="6050"/>
      <c r="EU247" s="6050"/>
      <c r="EV247" s="6050"/>
      <c r="EW247" s="6050"/>
      <c r="EX247" s="6050"/>
      <c r="EY247" s="6050"/>
      <c r="EZ247" s="6050"/>
      <c r="FA247" s="6050"/>
      <c r="FB247" s="6050"/>
      <c r="FC247" s="6050"/>
      <c r="FD247" s="6050"/>
      <c r="FE247" s="6050"/>
      <c r="FF247" s="6050"/>
      <c r="FG247" s="6050"/>
      <c r="FH247" s="6050"/>
      <c r="FI247" s="6050"/>
      <c r="FJ247" s="6050"/>
      <c r="FK247" s="6050"/>
      <c r="FL247" s="6050"/>
      <c r="FM247" s="6050"/>
      <c r="FN247" s="6050"/>
      <c r="FO247" s="6050"/>
      <c r="FP247" s="6050"/>
      <c r="FQ247" s="6050"/>
      <c r="FR247" s="6050"/>
      <c r="FS247" s="6050"/>
      <c r="FT247" s="6050"/>
      <c r="FU247" s="6050"/>
      <c r="FV247" s="6050"/>
      <c r="FW247" s="6052"/>
      <c r="GA247" s="6049"/>
      <c r="GB247" s="6050"/>
      <c r="GC247" s="6050"/>
      <c r="GD247" s="6050"/>
      <c r="GE247" s="6050"/>
      <c r="GF247" s="6050"/>
      <c r="GG247" s="6050"/>
      <c r="GH247" s="6050"/>
      <c r="GI247" s="6050"/>
      <c r="GJ247" s="6050"/>
      <c r="GK247" s="6050"/>
      <c r="GL247" s="6050"/>
      <c r="GM247" s="6050"/>
      <c r="GN247" s="6050"/>
      <c r="GO247" s="6050"/>
      <c r="GP247" s="6050"/>
      <c r="GQ247" s="6050"/>
      <c r="GR247" s="6050"/>
      <c r="GS247" s="6050"/>
      <c r="GT247" s="6050"/>
      <c r="GU247" s="6050"/>
      <c r="GV247" s="6050"/>
      <c r="GW247" s="6050"/>
      <c r="GX247" s="6050"/>
      <c r="GY247" s="6050"/>
      <c r="GZ247" s="6050"/>
      <c r="HA247" s="6050"/>
      <c r="HB247" s="6050"/>
      <c r="HC247" s="6050"/>
      <c r="HD247" s="6050"/>
      <c r="HE247" s="6050"/>
      <c r="HF247" s="6050"/>
      <c r="HG247" s="6050"/>
      <c r="HH247" s="6050"/>
      <c r="HI247" s="6050"/>
      <c r="HJ247" s="6050"/>
      <c r="HK247" s="6050"/>
      <c r="HL247" s="6050"/>
      <c r="HM247" s="6050"/>
      <c r="HN247" s="6050"/>
      <c r="HO247" s="6050"/>
      <c r="HP247" s="6052"/>
      <c r="HT247" s="6049"/>
      <c r="HU247" s="6050"/>
      <c r="HV247" s="6050"/>
      <c r="HW247" s="6050"/>
      <c r="HX247" s="6050"/>
      <c r="HY247" s="6050"/>
      <c r="HZ247" s="6050"/>
      <c r="IA247" s="6050"/>
      <c r="IB247" s="6050"/>
      <c r="IC247" s="6050"/>
      <c r="ID247" s="6050"/>
      <c r="IE247" s="6050"/>
      <c r="IF247" s="6050"/>
      <c r="IG247" s="6050"/>
      <c r="IH247" s="6050"/>
      <c r="II247" s="6050"/>
      <c r="IJ247" s="6050"/>
      <c r="IK247" s="6050"/>
      <c r="IL247" s="6050"/>
      <c r="IM247" s="6050"/>
      <c r="IN247" s="6050"/>
      <c r="IO247" s="6050"/>
      <c r="IP247" s="6050"/>
      <c r="IQ247" s="6050"/>
      <c r="IR247" s="6050"/>
      <c r="IS247" s="6050"/>
      <c r="IT247" s="6050"/>
      <c r="IU247" s="6050"/>
      <c r="IV247" s="6050"/>
      <c r="IW247" s="6050"/>
      <c r="IX247" s="6050"/>
      <c r="IY247" s="6050"/>
      <c r="IZ247" s="6050"/>
      <c r="JA247" s="6050"/>
      <c r="JB247" s="6050"/>
      <c r="JC247" s="6050"/>
      <c r="JD247" s="6050"/>
      <c r="JE247" s="6050"/>
      <c r="JF247" s="6050"/>
      <c r="JG247" s="6050"/>
      <c r="JH247" s="6050"/>
      <c r="JI247" s="6052"/>
      <c r="JM247" s="6049"/>
      <c r="JN247" s="6050"/>
      <c r="JO247" s="6050"/>
      <c r="JP247" s="6050"/>
      <c r="JQ247" s="6050"/>
      <c r="JR247" s="6050"/>
      <c r="JS247" s="6050"/>
      <c r="JT247" s="6050"/>
      <c r="JU247" s="6050"/>
      <c r="JV247" s="6050"/>
      <c r="JW247" s="6050"/>
      <c r="JX247" s="6050"/>
      <c r="JY247" s="6050"/>
      <c r="JZ247" s="6050"/>
      <c r="KA247" s="6050"/>
      <c r="KB247" s="6050"/>
      <c r="KC247" s="6050"/>
      <c r="KD247" s="6050"/>
      <c r="KE247" s="6050"/>
      <c r="KF247" s="6050"/>
      <c r="KG247" s="6050"/>
      <c r="KH247" s="6050"/>
      <c r="KI247" s="6050"/>
      <c r="KJ247" s="6050"/>
      <c r="KK247" s="6050"/>
      <c r="KL247" s="6050"/>
      <c r="KM247" s="6050"/>
      <c r="KN247" s="6050"/>
      <c r="KO247" s="6050"/>
      <c r="KP247" s="6050"/>
      <c r="KQ247" s="6050"/>
      <c r="KR247" s="6050"/>
      <c r="KS247" s="6050"/>
      <c r="KT247" s="6050"/>
      <c r="KU247" s="6050"/>
      <c r="KV247" s="6050"/>
      <c r="KW247" s="6050"/>
      <c r="KX247" s="6050"/>
      <c r="KY247" s="6050"/>
      <c r="KZ247" s="6050"/>
      <c r="LA247" s="6050"/>
      <c r="LB247" s="6052"/>
      <c r="LF247" s="6049"/>
      <c r="LG247" s="6050"/>
      <c r="LH247" s="6050"/>
      <c r="LI247" s="6050"/>
      <c r="LJ247" s="6050"/>
      <c r="LK247" s="6050"/>
      <c r="LL247" s="6050"/>
      <c r="LM247" s="6050"/>
      <c r="LN247" s="6050"/>
      <c r="LO247" s="6050"/>
      <c r="LP247" s="6050"/>
      <c r="LQ247" s="6050"/>
      <c r="LR247" s="6050"/>
      <c r="LS247" s="6050"/>
      <c r="LT247" s="6050"/>
      <c r="LU247" s="6050"/>
      <c r="LV247" s="6050"/>
      <c r="LW247" s="6050"/>
      <c r="LX247" s="6050"/>
      <c r="LY247" s="6050"/>
      <c r="LZ247" s="6050"/>
      <c r="MA247" s="6050"/>
      <c r="MB247" s="6050"/>
      <c r="MC247" s="6050"/>
      <c r="MD247" s="6050"/>
      <c r="ME247" s="6050"/>
      <c r="MF247" s="6050"/>
      <c r="MG247" s="6050"/>
      <c r="MH247" s="6050"/>
      <c r="MI247" s="6050"/>
      <c r="MJ247" s="6050"/>
      <c r="MK247" s="6050"/>
      <c r="ML247" s="6050"/>
      <c r="MM247" s="6050"/>
      <c r="MN247" s="6050"/>
      <c r="MO247" s="6050"/>
      <c r="MP247" s="6050"/>
      <c r="MQ247" s="6050"/>
      <c r="MR247" s="6050"/>
      <c r="MS247" s="6050"/>
      <c r="MT247" s="6050"/>
      <c r="MU247" s="6052"/>
      <c r="MY247" s="6049"/>
      <c r="MZ247" s="6050"/>
      <c r="NA247" s="6050"/>
      <c r="NB247" s="6050"/>
      <c r="NC247" s="6050"/>
      <c r="ND247" s="6050"/>
      <c r="NE247" s="6050"/>
      <c r="NF247" s="6050"/>
      <c r="NG247" s="6050"/>
      <c r="NH247" s="6050"/>
      <c r="NI247" s="6050"/>
      <c r="NJ247" s="6050"/>
      <c r="NK247" s="6050"/>
      <c r="NL247" s="6050"/>
      <c r="NM247" s="6050"/>
      <c r="NN247" s="6050"/>
      <c r="NO247" s="6050"/>
      <c r="NP247" s="6050"/>
      <c r="NQ247" s="6050"/>
      <c r="NR247" s="6050"/>
      <c r="NS247" s="6050"/>
      <c r="NT247" s="6050"/>
      <c r="NU247" s="6050"/>
      <c r="NV247" s="6050"/>
      <c r="NW247" s="6050"/>
      <c r="NX247" s="6050"/>
      <c r="NY247" s="6050"/>
      <c r="NZ247" s="6050"/>
      <c r="OA247" s="6050"/>
      <c r="OB247" s="6050"/>
      <c r="OC247" s="6050"/>
      <c r="OD247" s="6050"/>
      <c r="OE247" s="6050"/>
      <c r="OF247" s="6050"/>
      <c r="OG247" s="6050"/>
      <c r="OH247" s="6050"/>
      <c r="OI247" s="6050"/>
      <c r="OJ247" s="6050"/>
      <c r="OK247" s="6050"/>
      <c r="OL247" s="6050"/>
      <c r="OM247" s="6050"/>
      <c r="ON247" s="6052"/>
    </row>
    <row r="248" spans="3:405" s="21" customFormat="1" ht="20.100000000000001" customHeight="1" x14ac:dyDescent="0.2">
      <c r="C248" s="6053"/>
      <c r="D248" s="6783" t="str">
        <f>_Calcs!$IK$179</f>
        <v>Justeringer</v>
      </c>
      <c r="E248" s="6783"/>
      <c r="F248" s="6783"/>
      <c r="G248" s="6783"/>
      <c r="H248" s="6783"/>
      <c r="I248" s="6783"/>
      <c r="J248" s="6783"/>
      <c r="K248" s="6783"/>
      <c r="L248" s="6783"/>
      <c r="M248" s="6783"/>
      <c r="N248" s="6783"/>
      <c r="O248" s="6783"/>
      <c r="P248" s="6783"/>
      <c r="Q248" s="6783"/>
      <c r="R248" s="6783"/>
      <c r="S248" s="6783"/>
      <c r="T248" s="6783"/>
      <c r="U248" s="6783"/>
      <c r="V248" s="6783"/>
      <c r="W248" s="6783"/>
      <c r="X248" s="6783"/>
      <c r="Y248" s="6783"/>
      <c r="Z248" s="6783"/>
      <c r="AA248" s="6783"/>
      <c r="AB248" s="6783"/>
      <c r="AC248" s="6783"/>
      <c r="AD248" s="6783"/>
      <c r="AE248" s="6783"/>
      <c r="AF248" s="6783"/>
      <c r="AG248" s="6783"/>
      <c r="AH248" s="6783"/>
      <c r="AI248" s="6783"/>
      <c r="AJ248" s="6783"/>
      <c r="AK248" s="6783"/>
      <c r="AL248" s="6783"/>
      <c r="AM248" s="6783"/>
      <c r="AN248" s="6783"/>
      <c r="AO248" s="6783"/>
      <c r="AP248" s="6783"/>
      <c r="AQ248" s="6783"/>
      <c r="AR248" s="6054"/>
      <c r="AV248" s="6053"/>
      <c r="AW248" s="6783" t="str">
        <f>_Calcs!$IL$179</f>
        <v>Justeringer</v>
      </c>
      <c r="AX248" s="6783"/>
      <c r="AY248" s="6783"/>
      <c r="AZ248" s="6783"/>
      <c r="BA248" s="6783"/>
      <c r="BB248" s="6783"/>
      <c r="BC248" s="6783"/>
      <c r="BD248" s="6783"/>
      <c r="BE248" s="6783"/>
      <c r="BF248" s="6783"/>
      <c r="BG248" s="6783"/>
      <c r="BH248" s="6783"/>
      <c r="BI248" s="6783"/>
      <c r="BJ248" s="6783"/>
      <c r="BK248" s="6783"/>
      <c r="BL248" s="6783"/>
      <c r="BM248" s="6783"/>
      <c r="BN248" s="6783"/>
      <c r="BO248" s="6783"/>
      <c r="BP248" s="6783"/>
      <c r="BQ248" s="6783"/>
      <c r="BR248" s="6783"/>
      <c r="BS248" s="6783"/>
      <c r="BT248" s="6783"/>
      <c r="BU248" s="6783"/>
      <c r="BV248" s="6783"/>
      <c r="BW248" s="6783"/>
      <c r="BX248" s="6783"/>
      <c r="BY248" s="6783"/>
      <c r="BZ248" s="6783"/>
      <c r="CA248" s="6783"/>
      <c r="CB248" s="6783"/>
      <c r="CC248" s="6783"/>
      <c r="CD248" s="6783"/>
      <c r="CE248" s="6783"/>
      <c r="CF248" s="6783"/>
      <c r="CG248" s="6783"/>
      <c r="CH248" s="6783"/>
      <c r="CI248" s="6783"/>
      <c r="CJ248" s="6783"/>
      <c r="CK248" s="6054"/>
      <c r="CO248" s="6053"/>
      <c r="CP248" s="6783" t="str">
        <f>_Calcs!$IM$179</f>
        <v>Justeringer</v>
      </c>
      <c r="CQ248" s="6783"/>
      <c r="CR248" s="6783"/>
      <c r="CS248" s="6783"/>
      <c r="CT248" s="6783"/>
      <c r="CU248" s="6783"/>
      <c r="CV248" s="6783"/>
      <c r="CW248" s="6783"/>
      <c r="CX248" s="6783"/>
      <c r="CY248" s="6783"/>
      <c r="CZ248" s="6783"/>
      <c r="DA248" s="6783"/>
      <c r="DB248" s="6783"/>
      <c r="DC248" s="6783"/>
      <c r="DD248" s="6783"/>
      <c r="DE248" s="6783"/>
      <c r="DF248" s="6783"/>
      <c r="DG248" s="6783"/>
      <c r="DH248" s="6783"/>
      <c r="DI248" s="6783"/>
      <c r="DJ248" s="6783"/>
      <c r="DK248" s="6783"/>
      <c r="DL248" s="6783"/>
      <c r="DM248" s="6783"/>
      <c r="DN248" s="6783"/>
      <c r="DO248" s="6783"/>
      <c r="DP248" s="6783"/>
      <c r="DQ248" s="6783"/>
      <c r="DR248" s="6783"/>
      <c r="DS248" s="6783"/>
      <c r="DT248" s="6783"/>
      <c r="DU248" s="6783"/>
      <c r="DV248" s="6783"/>
      <c r="DW248" s="6783"/>
      <c r="DX248" s="6783"/>
      <c r="DY248" s="6783"/>
      <c r="DZ248" s="6783"/>
      <c r="EA248" s="6783"/>
      <c r="EB248" s="6783"/>
      <c r="EC248" s="6783"/>
      <c r="ED248" s="6054"/>
      <c r="EH248" s="6053"/>
      <c r="EI248" s="6783" t="str">
        <f>_Calcs!$IN$179</f>
        <v>Justeringer</v>
      </c>
      <c r="EJ248" s="6783"/>
      <c r="EK248" s="6783"/>
      <c r="EL248" s="6783"/>
      <c r="EM248" s="6783"/>
      <c r="EN248" s="6783"/>
      <c r="EO248" s="6783"/>
      <c r="EP248" s="6783"/>
      <c r="EQ248" s="6783"/>
      <c r="ER248" s="6783"/>
      <c r="ES248" s="6783"/>
      <c r="ET248" s="6783"/>
      <c r="EU248" s="6783"/>
      <c r="EV248" s="6783"/>
      <c r="EW248" s="6783"/>
      <c r="EX248" s="6783"/>
      <c r="EY248" s="6783"/>
      <c r="EZ248" s="6783"/>
      <c r="FA248" s="6783"/>
      <c r="FB248" s="6783"/>
      <c r="FC248" s="6783"/>
      <c r="FD248" s="6783"/>
      <c r="FE248" s="6783"/>
      <c r="FF248" s="6783"/>
      <c r="FG248" s="6783"/>
      <c r="FH248" s="6783"/>
      <c r="FI248" s="6783"/>
      <c r="FJ248" s="6783"/>
      <c r="FK248" s="6783"/>
      <c r="FL248" s="6783"/>
      <c r="FM248" s="6783"/>
      <c r="FN248" s="6783"/>
      <c r="FO248" s="6783"/>
      <c r="FP248" s="6783"/>
      <c r="FQ248" s="6783"/>
      <c r="FR248" s="6783"/>
      <c r="FS248" s="6783"/>
      <c r="FT248" s="6783"/>
      <c r="FU248" s="6783"/>
      <c r="FV248" s="6783"/>
      <c r="FW248" s="6054"/>
      <c r="GA248" s="6053"/>
      <c r="GB248" s="6783" t="str">
        <f>_Calcs!$IO$179</f>
        <v>Justeringer</v>
      </c>
      <c r="GC248" s="6783"/>
      <c r="GD248" s="6783"/>
      <c r="GE248" s="6783"/>
      <c r="GF248" s="6783"/>
      <c r="GG248" s="6783"/>
      <c r="GH248" s="6783"/>
      <c r="GI248" s="6783"/>
      <c r="GJ248" s="6783"/>
      <c r="GK248" s="6783"/>
      <c r="GL248" s="6783"/>
      <c r="GM248" s="6783"/>
      <c r="GN248" s="6783"/>
      <c r="GO248" s="6783"/>
      <c r="GP248" s="6783"/>
      <c r="GQ248" s="6783"/>
      <c r="GR248" s="6783"/>
      <c r="GS248" s="6783"/>
      <c r="GT248" s="6783"/>
      <c r="GU248" s="6783"/>
      <c r="GV248" s="6783"/>
      <c r="GW248" s="6783"/>
      <c r="GX248" s="6783"/>
      <c r="GY248" s="6783"/>
      <c r="GZ248" s="6783"/>
      <c r="HA248" s="6783"/>
      <c r="HB248" s="6783"/>
      <c r="HC248" s="6783"/>
      <c r="HD248" s="6783"/>
      <c r="HE248" s="6783"/>
      <c r="HF248" s="6783"/>
      <c r="HG248" s="6783"/>
      <c r="HH248" s="6783"/>
      <c r="HI248" s="6783"/>
      <c r="HJ248" s="6783"/>
      <c r="HK248" s="6783"/>
      <c r="HL248" s="6783"/>
      <c r="HM248" s="6783"/>
      <c r="HN248" s="6783"/>
      <c r="HO248" s="6783"/>
      <c r="HP248" s="6054"/>
      <c r="HT248" s="6053"/>
      <c r="HU248" s="6783" t="str">
        <f>_Calcs!$IP$179</f>
        <v>Justeringer</v>
      </c>
      <c r="HV248" s="6783"/>
      <c r="HW248" s="6783"/>
      <c r="HX248" s="6783"/>
      <c r="HY248" s="6783"/>
      <c r="HZ248" s="6783"/>
      <c r="IA248" s="6783"/>
      <c r="IB248" s="6783"/>
      <c r="IC248" s="6783"/>
      <c r="ID248" s="6783"/>
      <c r="IE248" s="6783"/>
      <c r="IF248" s="6783"/>
      <c r="IG248" s="6783"/>
      <c r="IH248" s="6783"/>
      <c r="II248" s="6783"/>
      <c r="IJ248" s="6783"/>
      <c r="IK248" s="6783"/>
      <c r="IL248" s="6783"/>
      <c r="IM248" s="6783"/>
      <c r="IN248" s="6783"/>
      <c r="IO248" s="6783"/>
      <c r="IP248" s="6783"/>
      <c r="IQ248" s="6783"/>
      <c r="IR248" s="6783"/>
      <c r="IS248" s="6783"/>
      <c r="IT248" s="6783"/>
      <c r="IU248" s="6783"/>
      <c r="IV248" s="6783"/>
      <c r="IW248" s="6783"/>
      <c r="IX248" s="6783"/>
      <c r="IY248" s="6783"/>
      <c r="IZ248" s="6783"/>
      <c r="JA248" s="6783"/>
      <c r="JB248" s="6783"/>
      <c r="JC248" s="6783"/>
      <c r="JD248" s="6783"/>
      <c r="JE248" s="6783"/>
      <c r="JF248" s="6783"/>
      <c r="JG248" s="6783"/>
      <c r="JH248" s="6783"/>
      <c r="JI248" s="6054"/>
      <c r="JM248" s="6053"/>
      <c r="JN248" s="6783" t="str">
        <f>_Calcs!$IQ$179</f>
        <v>Justeringer</v>
      </c>
      <c r="JO248" s="6783"/>
      <c r="JP248" s="6783"/>
      <c r="JQ248" s="6783"/>
      <c r="JR248" s="6783"/>
      <c r="JS248" s="6783"/>
      <c r="JT248" s="6783"/>
      <c r="JU248" s="6783"/>
      <c r="JV248" s="6783"/>
      <c r="JW248" s="6783"/>
      <c r="JX248" s="6783"/>
      <c r="JY248" s="6783"/>
      <c r="JZ248" s="6783"/>
      <c r="KA248" s="6783"/>
      <c r="KB248" s="6783"/>
      <c r="KC248" s="6783"/>
      <c r="KD248" s="6783"/>
      <c r="KE248" s="6783"/>
      <c r="KF248" s="6783"/>
      <c r="KG248" s="6783"/>
      <c r="KH248" s="6783"/>
      <c r="KI248" s="6783"/>
      <c r="KJ248" s="6783"/>
      <c r="KK248" s="6783"/>
      <c r="KL248" s="6783"/>
      <c r="KM248" s="6783"/>
      <c r="KN248" s="6783"/>
      <c r="KO248" s="6783"/>
      <c r="KP248" s="6783"/>
      <c r="KQ248" s="6783"/>
      <c r="KR248" s="6783"/>
      <c r="KS248" s="6783"/>
      <c r="KT248" s="6783"/>
      <c r="KU248" s="6783"/>
      <c r="KV248" s="6783"/>
      <c r="KW248" s="6783"/>
      <c r="KX248" s="6783"/>
      <c r="KY248" s="6783"/>
      <c r="KZ248" s="6783"/>
      <c r="LA248" s="6783"/>
      <c r="LB248" s="6054"/>
      <c r="LF248" s="6053"/>
      <c r="LG248" s="6783" t="str">
        <f>_Calcs!$IR$179</f>
        <v>Justeringer</v>
      </c>
      <c r="LH248" s="6783"/>
      <c r="LI248" s="6783"/>
      <c r="LJ248" s="6783"/>
      <c r="LK248" s="6783"/>
      <c r="LL248" s="6783"/>
      <c r="LM248" s="6783"/>
      <c r="LN248" s="6783"/>
      <c r="LO248" s="6783"/>
      <c r="LP248" s="6783"/>
      <c r="LQ248" s="6783"/>
      <c r="LR248" s="6783"/>
      <c r="LS248" s="6783"/>
      <c r="LT248" s="6783"/>
      <c r="LU248" s="6783"/>
      <c r="LV248" s="6783"/>
      <c r="LW248" s="6783"/>
      <c r="LX248" s="6783"/>
      <c r="LY248" s="6783"/>
      <c r="LZ248" s="6783"/>
      <c r="MA248" s="6783"/>
      <c r="MB248" s="6783"/>
      <c r="MC248" s="6783"/>
      <c r="MD248" s="6783"/>
      <c r="ME248" s="6783"/>
      <c r="MF248" s="6783"/>
      <c r="MG248" s="6783"/>
      <c r="MH248" s="6783"/>
      <c r="MI248" s="6783"/>
      <c r="MJ248" s="6783"/>
      <c r="MK248" s="6783"/>
      <c r="ML248" s="6783"/>
      <c r="MM248" s="6783"/>
      <c r="MN248" s="6783"/>
      <c r="MO248" s="6783"/>
      <c r="MP248" s="6783"/>
      <c r="MQ248" s="6783"/>
      <c r="MR248" s="6783"/>
      <c r="MS248" s="6783"/>
      <c r="MT248" s="6783"/>
      <c r="MU248" s="6054"/>
      <c r="MY248" s="6053"/>
      <c r="MZ248" s="6783" t="str">
        <f>_Calcs!$IS$179</f>
        <v>Justeringer</v>
      </c>
      <c r="NA248" s="6783"/>
      <c r="NB248" s="6783"/>
      <c r="NC248" s="6783"/>
      <c r="ND248" s="6783"/>
      <c r="NE248" s="6783"/>
      <c r="NF248" s="6783"/>
      <c r="NG248" s="6783"/>
      <c r="NH248" s="6783"/>
      <c r="NI248" s="6783"/>
      <c r="NJ248" s="6783"/>
      <c r="NK248" s="6783"/>
      <c r="NL248" s="6783"/>
      <c r="NM248" s="6783"/>
      <c r="NN248" s="6783"/>
      <c r="NO248" s="6783"/>
      <c r="NP248" s="6783"/>
      <c r="NQ248" s="6783"/>
      <c r="NR248" s="6783"/>
      <c r="NS248" s="6783"/>
      <c r="NT248" s="6783"/>
      <c r="NU248" s="6783"/>
      <c r="NV248" s="6783"/>
      <c r="NW248" s="6783"/>
      <c r="NX248" s="6783"/>
      <c r="NY248" s="6783"/>
      <c r="NZ248" s="6783"/>
      <c r="OA248" s="6783"/>
      <c r="OB248" s="6783"/>
      <c r="OC248" s="6783"/>
      <c r="OD248" s="6783"/>
      <c r="OE248" s="6783"/>
      <c r="OF248" s="6783"/>
      <c r="OG248" s="6783"/>
      <c r="OH248" s="6783"/>
      <c r="OI248" s="6783"/>
      <c r="OJ248" s="6783"/>
      <c r="OK248" s="6783"/>
      <c r="OL248" s="6783"/>
      <c r="OM248" s="6783"/>
      <c r="ON248" s="6054"/>
    </row>
    <row r="249" spans="3:405" ht="5.0999999999999996" customHeight="1" x14ac:dyDescent="0.2">
      <c r="C249" s="6055"/>
      <c r="D249" s="6056"/>
      <c r="E249" s="6056"/>
      <c r="F249" s="6056"/>
      <c r="G249" s="6056"/>
      <c r="H249" s="6056"/>
      <c r="I249" s="6056"/>
      <c r="J249" s="6056"/>
      <c r="K249" s="6056"/>
      <c r="L249" s="6056"/>
      <c r="M249" s="6056"/>
      <c r="N249" s="6056"/>
      <c r="O249" s="6056"/>
      <c r="P249" s="6056"/>
      <c r="Q249" s="6056"/>
      <c r="R249" s="6056"/>
      <c r="S249" s="6056"/>
      <c r="T249" s="6056"/>
      <c r="U249" s="6056"/>
      <c r="V249" s="6056"/>
      <c r="W249" s="6056"/>
      <c r="X249" s="6056"/>
      <c r="Y249" s="6056"/>
      <c r="Z249" s="6056"/>
      <c r="AA249" s="6056"/>
      <c r="AB249" s="6056"/>
      <c r="AC249" s="6056"/>
      <c r="AD249" s="6056"/>
      <c r="AE249" s="6056"/>
      <c r="AF249" s="6056"/>
      <c r="AG249" s="6056"/>
      <c r="AH249" s="6056"/>
      <c r="AI249" s="6056"/>
      <c r="AJ249" s="6056"/>
      <c r="AK249" s="6056"/>
      <c r="AL249" s="6056"/>
      <c r="AM249" s="6056"/>
      <c r="AN249" s="6056"/>
      <c r="AO249" s="6056"/>
      <c r="AP249" s="6056"/>
      <c r="AQ249" s="6056"/>
      <c r="AR249" s="6058"/>
      <c r="AV249" s="6055"/>
      <c r="AW249" s="6056"/>
      <c r="AX249" s="6056"/>
      <c r="AY249" s="6056"/>
      <c r="AZ249" s="6056"/>
      <c r="BA249" s="6056"/>
      <c r="BB249" s="6056"/>
      <c r="BC249" s="6056"/>
      <c r="BD249" s="6056"/>
      <c r="BE249" s="6056"/>
      <c r="BF249" s="6056"/>
      <c r="BG249" s="6056"/>
      <c r="BH249" s="6056"/>
      <c r="BI249" s="6056"/>
      <c r="BJ249" s="6056"/>
      <c r="BK249" s="6056"/>
      <c r="BL249" s="6056"/>
      <c r="BM249" s="6056"/>
      <c r="BN249" s="6056"/>
      <c r="BO249" s="6056"/>
      <c r="BP249" s="6056"/>
      <c r="BQ249" s="6056"/>
      <c r="BR249" s="6056"/>
      <c r="BS249" s="6056"/>
      <c r="BT249" s="6056"/>
      <c r="BU249" s="6056"/>
      <c r="BV249" s="6056"/>
      <c r="BW249" s="6056"/>
      <c r="BX249" s="6056"/>
      <c r="BY249" s="6056"/>
      <c r="BZ249" s="6056"/>
      <c r="CA249" s="6056"/>
      <c r="CB249" s="6056"/>
      <c r="CC249" s="6056"/>
      <c r="CD249" s="6056"/>
      <c r="CE249" s="6056"/>
      <c r="CF249" s="6056"/>
      <c r="CG249" s="6056"/>
      <c r="CH249" s="6056"/>
      <c r="CI249" s="6056"/>
      <c r="CJ249" s="6056"/>
      <c r="CK249" s="6058"/>
      <c r="CO249" s="6055"/>
      <c r="CP249" s="6056"/>
      <c r="CQ249" s="6056"/>
      <c r="CR249" s="6056"/>
      <c r="CS249" s="6056"/>
      <c r="CT249" s="6056"/>
      <c r="CU249" s="6056"/>
      <c r="CV249" s="6056"/>
      <c r="CW249" s="6056"/>
      <c r="CX249" s="6056"/>
      <c r="CY249" s="6056"/>
      <c r="CZ249" s="6056"/>
      <c r="DA249" s="6056"/>
      <c r="DB249" s="6056"/>
      <c r="DC249" s="6056"/>
      <c r="DD249" s="6056"/>
      <c r="DE249" s="6056"/>
      <c r="DF249" s="6056"/>
      <c r="DG249" s="6056"/>
      <c r="DH249" s="6056"/>
      <c r="DI249" s="6056"/>
      <c r="DJ249" s="6056"/>
      <c r="DK249" s="6056"/>
      <c r="DL249" s="6056"/>
      <c r="DM249" s="6056"/>
      <c r="DN249" s="6056"/>
      <c r="DO249" s="6056"/>
      <c r="DP249" s="6056"/>
      <c r="DQ249" s="6056"/>
      <c r="DR249" s="6056"/>
      <c r="DS249" s="6056"/>
      <c r="DT249" s="6056"/>
      <c r="DU249" s="6056"/>
      <c r="DV249" s="6056"/>
      <c r="DW249" s="6056"/>
      <c r="DX249" s="6056"/>
      <c r="DY249" s="6056"/>
      <c r="DZ249" s="6056"/>
      <c r="EA249" s="6056"/>
      <c r="EB249" s="6056"/>
      <c r="EC249" s="6056"/>
      <c r="ED249" s="6058"/>
      <c r="EH249" s="6055"/>
      <c r="EI249" s="6056"/>
      <c r="EJ249" s="6056"/>
      <c r="EK249" s="6056"/>
      <c r="EL249" s="6056"/>
      <c r="EM249" s="6056"/>
      <c r="EN249" s="6056"/>
      <c r="EO249" s="6056"/>
      <c r="EP249" s="6056"/>
      <c r="EQ249" s="6056"/>
      <c r="ER249" s="6056"/>
      <c r="ES249" s="6056"/>
      <c r="ET249" s="6056"/>
      <c r="EU249" s="6056"/>
      <c r="EV249" s="6056"/>
      <c r="EW249" s="6056"/>
      <c r="EX249" s="6056"/>
      <c r="EY249" s="6056"/>
      <c r="EZ249" s="6056"/>
      <c r="FA249" s="6056"/>
      <c r="FB249" s="6056"/>
      <c r="FC249" s="6056"/>
      <c r="FD249" s="6056"/>
      <c r="FE249" s="6056"/>
      <c r="FF249" s="6056"/>
      <c r="FG249" s="6056"/>
      <c r="FH249" s="6056"/>
      <c r="FI249" s="6056"/>
      <c r="FJ249" s="6056"/>
      <c r="FK249" s="6056"/>
      <c r="FL249" s="6056"/>
      <c r="FM249" s="6056"/>
      <c r="FN249" s="6056"/>
      <c r="FO249" s="6056"/>
      <c r="FP249" s="6056"/>
      <c r="FQ249" s="6056"/>
      <c r="FR249" s="6056"/>
      <c r="FS249" s="6056"/>
      <c r="FT249" s="6056"/>
      <c r="FU249" s="6056"/>
      <c r="FV249" s="6056"/>
      <c r="FW249" s="6058"/>
      <c r="GA249" s="6055"/>
      <c r="GB249" s="6056"/>
      <c r="GC249" s="6056"/>
      <c r="GD249" s="6056"/>
      <c r="GE249" s="6056"/>
      <c r="GF249" s="6056"/>
      <c r="GG249" s="6056"/>
      <c r="GH249" s="6056"/>
      <c r="GI249" s="6056"/>
      <c r="GJ249" s="6056"/>
      <c r="GK249" s="6056"/>
      <c r="GL249" s="6056"/>
      <c r="GM249" s="6056"/>
      <c r="GN249" s="6056"/>
      <c r="GO249" s="6056"/>
      <c r="GP249" s="6056"/>
      <c r="GQ249" s="6056"/>
      <c r="GR249" s="6056"/>
      <c r="GS249" s="6056"/>
      <c r="GT249" s="6056"/>
      <c r="GU249" s="6056"/>
      <c r="GV249" s="6056"/>
      <c r="GW249" s="6056"/>
      <c r="GX249" s="6056"/>
      <c r="GY249" s="6056"/>
      <c r="GZ249" s="6056"/>
      <c r="HA249" s="6056"/>
      <c r="HB249" s="6056"/>
      <c r="HC249" s="6056"/>
      <c r="HD249" s="6056"/>
      <c r="HE249" s="6056"/>
      <c r="HF249" s="6056"/>
      <c r="HG249" s="6056"/>
      <c r="HH249" s="6056"/>
      <c r="HI249" s="6056"/>
      <c r="HJ249" s="6056"/>
      <c r="HK249" s="6056"/>
      <c r="HL249" s="6056"/>
      <c r="HM249" s="6056"/>
      <c r="HN249" s="6056"/>
      <c r="HO249" s="6056"/>
      <c r="HP249" s="6058"/>
      <c r="HT249" s="6055"/>
      <c r="HU249" s="6056"/>
      <c r="HV249" s="6056"/>
      <c r="HW249" s="6056"/>
      <c r="HX249" s="6056"/>
      <c r="HY249" s="6056"/>
      <c r="HZ249" s="6056"/>
      <c r="IA249" s="6056"/>
      <c r="IB249" s="6056"/>
      <c r="IC249" s="6056"/>
      <c r="ID249" s="6056"/>
      <c r="IE249" s="6056"/>
      <c r="IF249" s="6056"/>
      <c r="IG249" s="6056"/>
      <c r="IH249" s="6056"/>
      <c r="II249" s="6056"/>
      <c r="IJ249" s="6056"/>
      <c r="IK249" s="6056"/>
      <c r="IL249" s="6056"/>
      <c r="IM249" s="6056"/>
      <c r="IN249" s="6056"/>
      <c r="IO249" s="6056"/>
      <c r="IP249" s="6056"/>
      <c r="IQ249" s="6056"/>
      <c r="IR249" s="6056"/>
      <c r="IS249" s="6056"/>
      <c r="IT249" s="6056"/>
      <c r="IU249" s="6056"/>
      <c r="IV249" s="6056"/>
      <c r="IW249" s="6056"/>
      <c r="IX249" s="6056"/>
      <c r="IY249" s="6056"/>
      <c r="IZ249" s="6056"/>
      <c r="JA249" s="6056"/>
      <c r="JB249" s="6056"/>
      <c r="JC249" s="6056"/>
      <c r="JD249" s="6056"/>
      <c r="JE249" s="6056"/>
      <c r="JF249" s="6056"/>
      <c r="JG249" s="6056"/>
      <c r="JH249" s="6056"/>
      <c r="JI249" s="6058"/>
      <c r="JM249" s="6055"/>
      <c r="JN249" s="6056"/>
      <c r="JO249" s="6056"/>
      <c r="JP249" s="6056"/>
      <c r="JQ249" s="6056"/>
      <c r="JR249" s="6056"/>
      <c r="JS249" s="6056"/>
      <c r="JT249" s="6056"/>
      <c r="JU249" s="6056"/>
      <c r="JV249" s="6056"/>
      <c r="JW249" s="6056"/>
      <c r="JX249" s="6056"/>
      <c r="JY249" s="6056"/>
      <c r="JZ249" s="6056"/>
      <c r="KA249" s="6056"/>
      <c r="KB249" s="6056"/>
      <c r="KC249" s="6056"/>
      <c r="KD249" s="6056"/>
      <c r="KE249" s="6056"/>
      <c r="KF249" s="6056"/>
      <c r="KG249" s="6056"/>
      <c r="KH249" s="6056"/>
      <c r="KI249" s="6056"/>
      <c r="KJ249" s="6056"/>
      <c r="KK249" s="6056"/>
      <c r="KL249" s="6056"/>
      <c r="KM249" s="6056"/>
      <c r="KN249" s="6056"/>
      <c r="KO249" s="6056"/>
      <c r="KP249" s="6056"/>
      <c r="KQ249" s="6056"/>
      <c r="KR249" s="6056"/>
      <c r="KS249" s="6056"/>
      <c r="KT249" s="6056"/>
      <c r="KU249" s="6056"/>
      <c r="KV249" s="6056"/>
      <c r="KW249" s="6056"/>
      <c r="KX249" s="6056"/>
      <c r="KY249" s="6056"/>
      <c r="KZ249" s="6056"/>
      <c r="LA249" s="6056"/>
      <c r="LB249" s="6058"/>
      <c r="LF249" s="6055"/>
      <c r="LG249" s="6056"/>
      <c r="LH249" s="6056"/>
      <c r="LI249" s="6056"/>
      <c r="LJ249" s="6056"/>
      <c r="LK249" s="6056"/>
      <c r="LL249" s="6056"/>
      <c r="LM249" s="6056"/>
      <c r="LN249" s="6056"/>
      <c r="LO249" s="6056"/>
      <c r="LP249" s="6056"/>
      <c r="LQ249" s="6056"/>
      <c r="LR249" s="6056"/>
      <c r="LS249" s="6056"/>
      <c r="LT249" s="6056"/>
      <c r="LU249" s="6056"/>
      <c r="LV249" s="6056"/>
      <c r="LW249" s="6056"/>
      <c r="LX249" s="6056"/>
      <c r="LY249" s="6056"/>
      <c r="LZ249" s="6056"/>
      <c r="MA249" s="6056"/>
      <c r="MB249" s="6056"/>
      <c r="MC249" s="6056"/>
      <c r="MD249" s="6056"/>
      <c r="ME249" s="6056"/>
      <c r="MF249" s="6056"/>
      <c r="MG249" s="6056"/>
      <c r="MH249" s="6056"/>
      <c r="MI249" s="6056"/>
      <c r="MJ249" s="6056"/>
      <c r="MK249" s="6056"/>
      <c r="ML249" s="6056"/>
      <c r="MM249" s="6056"/>
      <c r="MN249" s="6056"/>
      <c r="MO249" s="6056"/>
      <c r="MP249" s="6056"/>
      <c r="MQ249" s="6056"/>
      <c r="MR249" s="6056"/>
      <c r="MS249" s="6056"/>
      <c r="MT249" s="6056"/>
      <c r="MU249" s="6058"/>
      <c r="MY249" s="6055"/>
      <c r="MZ249" s="6056"/>
      <c r="NA249" s="6056"/>
      <c r="NB249" s="6056"/>
      <c r="NC249" s="6056"/>
      <c r="ND249" s="6056"/>
      <c r="NE249" s="6056"/>
      <c r="NF249" s="6056"/>
      <c r="NG249" s="6056"/>
      <c r="NH249" s="6056"/>
      <c r="NI249" s="6056"/>
      <c r="NJ249" s="6056"/>
      <c r="NK249" s="6056"/>
      <c r="NL249" s="6056"/>
      <c r="NM249" s="6056"/>
      <c r="NN249" s="6056"/>
      <c r="NO249" s="6056"/>
      <c r="NP249" s="6056"/>
      <c r="NQ249" s="6056"/>
      <c r="NR249" s="6056"/>
      <c r="NS249" s="6056"/>
      <c r="NT249" s="6056"/>
      <c r="NU249" s="6056"/>
      <c r="NV249" s="6056"/>
      <c r="NW249" s="6056"/>
      <c r="NX249" s="6056"/>
      <c r="NY249" s="6056"/>
      <c r="NZ249" s="6056"/>
      <c r="OA249" s="6056"/>
      <c r="OB249" s="6056"/>
      <c r="OC249" s="6056"/>
      <c r="OD249" s="6056"/>
      <c r="OE249" s="6056"/>
      <c r="OF249" s="6056"/>
      <c r="OG249" s="6056"/>
      <c r="OH249" s="6056"/>
      <c r="OI249" s="6056"/>
      <c r="OJ249" s="6056"/>
      <c r="OK249" s="6056"/>
      <c r="OL249" s="6056"/>
      <c r="OM249" s="6056"/>
      <c r="ON249" s="6058"/>
    </row>
    <row r="250" spans="3:405" s="6063" customFormat="1" ht="12" customHeight="1" x14ac:dyDescent="0.2">
      <c r="C250" s="6059"/>
      <c r="D250" s="6060" t="str">
        <f>_Calcs!$N$77</f>
        <v>Faktor</v>
      </c>
      <c r="E250" s="6060"/>
      <c r="F250" s="6060"/>
      <c r="G250" s="6060"/>
      <c r="H250" s="6060"/>
      <c r="I250" s="6060"/>
      <c r="J250" s="6060"/>
      <c r="K250" s="6060"/>
      <c r="L250" s="6060"/>
      <c r="M250" s="6060"/>
      <c r="N250" s="6060"/>
      <c r="O250" s="6060"/>
      <c r="P250" s="6060"/>
      <c r="Q250" s="6060"/>
      <c r="R250" s="6060"/>
      <c r="S250" s="6060"/>
      <c r="T250" s="6060"/>
      <c r="U250" s="6060"/>
      <c r="V250" s="6060"/>
      <c r="W250" s="6060"/>
      <c r="X250" s="6060"/>
      <c r="Y250" s="6060"/>
      <c r="Z250" s="6060"/>
      <c r="AA250" s="6060"/>
      <c r="AB250" s="6060"/>
      <c r="AC250" s="6060"/>
      <c r="AD250" s="6060"/>
      <c r="AE250" s="6060"/>
      <c r="AF250" s="6060"/>
      <c r="AG250" s="6060"/>
      <c r="AH250" s="6060"/>
      <c r="AI250" s="6092"/>
      <c r="AJ250" s="6092"/>
      <c r="AK250" s="6092"/>
      <c r="AL250" s="6060"/>
      <c r="AM250" s="6060" t="str">
        <f>_Calcs!$N$81</f>
        <v>Påvirkning</v>
      </c>
      <c r="AN250" s="6060"/>
      <c r="AO250" s="6060"/>
      <c r="AP250" s="6060"/>
      <c r="AQ250" s="6060"/>
      <c r="AR250" s="6062"/>
      <c r="AV250" s="6059"/>
      <c r="AW250" s="6060" t="str">
        <f>_Calcs!$N$77</f>
        <v>Faktor</v>
      </c>
      <c r="AX250" s="6060"/>
      <c r="AY250" s="6060"/>
      <c r="AZ250" s="6060"/>
      <c r="BA250" s="6060"/>
      <c r="BB250" s="6060"/>
      <c r="BC250" s="6060"/>
      <c r="BD250" s="6060"/>
      <c r="BE250" s="6060"/>
      <c r="BF250" s="6060"/>
      <c r="BG250" s="6060"/>
      <c r="BH250" s="6060"/>
      <c r="BI250" s="6060"/>
      <c r="BJ250" s="6060"/>
      <c r="BK250" s="6060"/>
      <c r="BL250" s="6060"/>
      <c r="BM250" s="6060"/>
      <c r="BN250" s="6060"/>
      <c r="BO250" s="6060"/>
      <c r="BP250" s="6060"/>
      <c r="BQ250" s="6060"/>
      <c r="BR250" s="6060"/>
      <c r="BS250" s="6060"/>
      <c r="BT250" s="6060"/>
      <c r="BU250" s="6060"/>
      <c r="BV250" s="6060"/>
      <c r="BW250" s="6060"/>
      <c r="BX250" s="6060"/>
      <c r="BY250" s="6060"/>
      <c r="BZ250" s="6060"/>
      <c r="CA250" s="6060"/>
      <c r="CB250" s="6092"/>
      <c r="CC250" s="6092"/>
      <c r="CD250" s="6092"/>
      <c r="CE250" s="6060"/>
      <c r="CF250" s="6060" t="str">
        <f>_Calcs!$N$81</f>
        <v>Påvirkning</v>
      </c>
      <c r="CG250" s="6060"/>
      <c r="CH250" s="6060"/>
      <c r="CI250" s="6060"/>
      <c r="CJ250" s="6060"/>
      <c r="CK250" s="6062"/>
      <c r="CO250" s="6059"/>
      <c r="CP250" s="6060" t="str">
        <f>_Calcs!$N$77</f>
        <v>Faktor</v>
      </c>
      <c r="CQ250" s="6060"/>
      <c r="CR250" s="6060"/>
      <c r="CS250" s="6060"/>
      <c r="CT250" s="6060"/>
      <c r="CU250" s="6060"/>
      <c r="CV250" s="6060"/>
      <c r="CW250" s="6060"/>
      <c r="CX250" s="6060"/>
      <c r="CY250" s="6060"/>
      <c r="CZ250" s="6060"/>
      <c r="DA250" s="6060"/>
      <c r="DB250" s="6060"/>
      <c r="DC250" s="6060"/>
      <c r="DD250" s="6060"/>
      <c r="DE250" s="6060"/>
      <c r="DF250" s="6060"/>
      <c r="DG250" s="6060"/>
      <c r="DH250" s="6060"/>
      <c r="DI250" s="6060"/>
      <c r="DJ250" s="6060"/>
      <c r="DK250" s="6060"/>
      <c r="DL250" s="6060"/>
      <c r="DM250" s="6060"/>
      <c r="DN250" s="6060"/>
      <c r="DO250" s="6060"/>
      <c r="DP250" s="6060"/>
      <c r="DQ250" s="6060"/>
      <c r="DR250" s="6060"/>
      <c r="DS250" s="6060"/>
      <c r="DT250" s="6060"/>
      <c r="DU250" s="6092"/>
      <c r="DV250" s="6092"/>
      <c r="DW250" s="6092"/>
      <c r="DX250" s="6060"/>
      <c r="DY250" s="6060" t="str">
        <f>_Calcs!$N$81</f>
        <v>Påvirkning</v>
      </c>
      <c r="DZ250" s="6060"/>
      <c r="EA250" s="6060"/>
      <c r="EB250" s="6060"/>
      <c r="EC250" s="6060"/>
      <c r="ED250" s="6062"/>
      <c r="EH250" s="6059"/>
      <c r="EI250" s="6060" t="str">
        <f>_Calcs!$N$77</f>
        <v>Faktor</v>
      </c>
      <c r="EJ250" s="6060"/>
      <c r="EK250" s="6060"/>
      <c r="EL250" s="6060"/>
      <c r="EM250" s="6060"/>
      <c r="EN250" s="6060"/>
      <c r="EO250" s="6060"/>
      <c r="EP250" s="6060"/>
      <c r="EQ250" s="6060"/>
      <c r="ER250" s="6060"/>
      <c r="ES250" s="6060"/>
      <c r="ET250" s="6060"/>
      <c r="EU250" s="6060"/>
      <c r="EV250" s="6060"/>
      <c r="EW250" s="6060"/>
      <c r="EX250" s="6060"/>
      <c r="EY250" s="6060"/>
      <c r="EZ250" s="6060"/>
      <c r="FA250" s="6060"/>
      <c r="FB250" s="6060"/>
      <c r="FC250" s="6060"/>
      <c r="FD250" s="6060"/>
      <c r="FE250" s="6060"/>
      <c r="FF250" s="6060"/>
      <c r="FG250" s="6060"/>
      <c r="FH250" s="6060"/>
      <c r="FI250" s="6060"/>
      <c r="FJ250" s="6060"/>
      <c r="FK250" s="6060"/>
      <c r="FL250" s="6060"/>
      <c r="FM250" s="6060"/>
      <c r="FN250" s="6092"/>
      <c r="FO250" s="6092"/>
      <c r="FP250" s="6092"/>
      <c r="FQ250" s="6060"/>
      <c r="FR250" s="6060" t="str">
        <f>_Calcs!$N$81</f>
        <v>Påvirkning</v>
      </c>
      <c r="FS250" s="6060"/>
      <c r="FT250" s="6060"/>
      <c r="FU250" s="6060"/>
      <c r="FV250" s="6060"/>
      <c r="FW250" s="6062"/>
      <c r="GA250" s="6059"/>
      <c r="GB250" s="6060" t="str">
        <f>_Calcs!$N$77</f>
        <v>Faktor</v>
      </c>
      <c r="GC250" s="6060"/>
      <c r="GD250" s="6060"/>
      <c r="GE250" s="6060"/>
      <c r="GF250" s="6060"/>
      <c r="GG250" s="6060"/>
      <c r="GH250" s="6060"/>
      <c r="GI250" s="6060"/>
      <c r="GJ250" s="6060"/>
      <c r="GK250" s="6060"/>
      <c r="GL250" s="6060"/>
      <c r="GM250" s="6060"/>
      <c r="GN250" s="6060"/>
      <c r="GO250" s="6060"/>
      <c r="GP250" s="6060"/>
      <c r="GQ250" s="6060"/>
      <c r="GR250" s="6060"/>
      <c r="GS250" s="6060"/>
      <c r="GT250" s="6060"/>
      <c r="GU250" s="6060"/>
      <c r="GV250" s="6060"/>
      <c r="GW250" s="6060"/>
      <c r="GX250" s="6060"/>
      <c r="GY250" s="6060"/>
      <c r="GZ250" s="6060"/>
      <c r="HA250" s="6060"/>
      <c r="HB250" s="6060"/>
      <c r="HC250" s="6060"/>
      <c r="HD250" s="6060"/>
      <c r="HE250" s="6060"/>
      <c r="HF250" s="6060"/>
      <c r="HG250" s="6092"/>
      <c r="HH250" s="6092"/>
      <c r="HI250" s="6092"/>
      <c r="HJ250" s="6060"/>
      <c r="HK250" s="6060" t="str">
        <f>_Calcs!$N$81</f>
        <v>Påvirkning</v>
      </c>
      <c r="HL250" s="6060"/>
      <c r="HM250" s="6060"/>
      <c r="HN250" s="6060"/>
      <c r="HO250" s="6060"/>
      <c r="HP250" s="6062"/>
      <c r="HT250" s="6059"/>
      <c r="HU250" s="6060" t="str">
        <f>_Calcs!$N$77</f>
        <v>Faktor</v>
      </c>
      <c r="HV250" s="6060"/>
      <c r="HW250" s="6060"/>
      <c r="HX250" s="6060"/>
      <c r="HY250" s="6060"/>
      <c r="HZ250" s="6060"/>
      <c r="IA250" s="6060"/>
      <c r="IB250" s="6060"/>
      <c r="IC250" s="6060"/>
      <c r="ID250" s="6060"/>
      <c r="IE250" s="6060"/>
      <c r="IF250" s="6060"/>
      <c r="IG250" s="6060"/>
      <c r="IH250" s="6060"/>
      <c r="II250" s="6060"/>
      <c r="IJ250" s="6060"/>
      <c r="IK250" s="6060"/>
      <c r="IL250" s="6060"/>
      <c r="IM250" s="6060"/>
      <c r="IN250" s="6060"/>
      <c r="IO250" s="6060"/>
      <c r="IP250" s="6060"/>
      <c r="IQ250" s="6060"/>
      <c r="IR250" s="6060"/>
      <c r="IS250" s="6060"/>
      <c r="IT250" s="6060"/>
      <c r="IU250" s="6060"/>
      <c r="IV250" s="6060"/>
      <c r="IW250" s="6060"/>
      <c r="IX250" s="6060"/>
      <c r="IY250" s="6060"/>
      <c r="IZ250" s="6092"/>
      <c r="JA250" s="6092"/>
      <c r="JB250" s="6092"/>
      <c r="JC250" s="6060"/>
      <c r="JD250" s="6060" t="str">
        <f>_Calcs!$N$81</f>
        <v>Påvirkning</v>
      </c>
      <c r="JE250" s="6060"/>
      <c r="JF250" s="6060"/>
      <c r="JG250" s="6060"/>
      <c r="JH250" s="6060"/>
      <c r="JI250" s="6062"/>
      <c r="JM250" s="6059"/>
      <c r="JN250" s="6060" t="str">
        <f>_Calcs!$N$77</f>
        <v>Faktor</v>
      </c>
      <c r="JO250" s="6060"/>
      <c r="JP250" s="6060"/>
      <c r="JQ250" s="6060"/>
      <c r="JR250" s="6060"/>
      <c r="JS250" s="6060"/>
      <c r="JT250" s="6060"/>
      <c r="JU250" s="6060"/>
      <c r="JV250" s="6060"/>
      <c r="JW250" s="6060"/>
      <c r="JX250" s="6060"/>
      <c r="JY250" s="6060"/>
      <c r="JZ250" s="6060"/>
      <c r="KA250" s="6060"/>
      <c r="KB250" s="6060"/>
      <c r="KC250" s="6060"/>
      <c r="KD250" s="6060"/>
      <c r="KE250" s="6060"/>
      <c r="KF250" s="6060"/>
      <c r="KG250" s="6060"/>
      <c r="KH250" s="6060"/>
      <c r="KI250" s="6060"/>
      <c r="KJ250" s="6060"/>
      <c r="KK250" s="6060"/>
      <c r="KL250" s="6060"/>
      <c r="KM250" s="6060"/>
      <c r="KN250" s="6060"/>
      <c r="KO250" s="6060"/>
      <c r="KP250" s="6060"/>
      <c r="KQ250" s="6060"/>
      <c r="KR250" s="6060"/>
      <c r="KS250" s="6092"/>
      <c r="KT250" s="6092"/>
      <c r="KU250" s="6092"/>
      <c r="KV250" s="6060"/>
      <c r="KW250" s="6060" t="str">
        <f>_Calcs!$N$81</f>
        <v>Påvirkning</v>
      </c>
      <c r="KX250" s="6060"/>
      <c r="KY250" s="6060"/>
      <c r="KZ250" s="6060"/>
      <c r="LA250" s="6060"/>
      <c r="LB250" s="6062"/>
      <c r="LF250" s="6059"/>
      <c r="LG250" s="6060" t="str">
        <f>_Calcs!$N$77</f>
        <v>Faktor</v>
      </c>
      <c r="LH250" s="6060"/>
      <c r="LI250" s="6060"/>
      <c r="LJ250" s="6060"/>
      <c r="LK250" s="6060"/>
      <c r="LL250" s="6060"/>
      <c r="LM250" s="6060"/>
      <c r="LN250" s="6060"/>
      <c r="LO250" s="6060"/>
      <c r="LP250" s="6060"/>
      <c r="LQ250" s="6060"/>
      <c r="LR250" s="6060"/>
      <c r="LS250" s="6060"/>
      <c r="LT250" s="6060"/>
      <c r="LU250" s="6060"/>
      <c r="LV250" s="6060"/>
      <c r="LW250" s="6060"/>
      <c r="LX250" s="6060"/>
      <c r="LY250" s="6060"/>
      <c r="LZ250" s="6060"/>
      <c r="MA250" s="6060"/>
      <c r="MB250" s="6060"/>
      <c r="MC250" s="6060"/>
      <c r="MD250" s="6060"/>
      <c r="ME250" s="6060"/>
      <c r="MF250" s="6060"/>
      <c r="MG250" s="6060"/>
      <c r="MH250" s="6060"/>
      <c r="MI250" s="6060"/>
      <c r="MJ250" s="6060"/>
      <c r="MK250" s="6060"/>
      <c r="ML250" s="6092"/>
      <c r="MM250" s="6092"/>
      <c r="MN250" s="6092"/>
      <c r="MO250" s="6060"/>
      <c r="MP250" s="6060" t="str">
        <f>_Calcs!$N$81</f>
        <v>Påvirkning</v>
      </c>
      <c r="MQ250" s="6060"/>
      <c r="MR250" s="6060"/>
      <c r="MS250" s="6060"/>
      <c r="MT250" s="6060"/>
      <c r="MU250" s="6062"/>
      <c r="MY250" s="6059"/>
      <c r="MZ250" s="6060" t="str">
        <f>_Calcs!$N$77</f>
        <v>Faktor</v>
      </c>
      <c r="NA250" s="6060"/>
      <c r="NB250" s="6060"/>
      <c r="NC250" s="6060"/>
      <c r="ND250" s="6060"/>
      <c r="NE250" s="6060"/>
      <c r="NF250" s="6060"/>
      <c r="NG250" s="6060"/>
      <c r="NH250" s="6060"/>
      <c r="NI250" s="6060"/>
      <c r="NJ250" s="6060"/>
      <c r="NK250" s="6060"/>
      <c r="NL250" s="6060"/>
      <c r="NM250" s="6060"/>
      <c r="NN250" s="6060"/>
      <c r="NO250" s="6060"/>
      <c r="NP250" s="6060"/>
      <c r="NQ250" s="6060"/>
      <c r="NR250" s="6060"/>
      <c r="NS250" s="6060"/>
      <c r="NT250" s="6060"/>
      <c r="NU250" s="6060"/>
      <c r="NV250" s="6060"/>
      <c r="NW250" s="6060"/>
      <c r="NX250" s="6060"/>
      <c r="NY250" s="6060"/>
      <c r="NZ250" s="6060"/>
      <c r="OA250" s="6060"/>
      <c r="OB250" s="6060"/>
      <c r="OC250" s="6060"/>
      <c r="OD250" s="6060"/>
      <c r="OE250" s="6092"/>
      <c r="OF250" s="6092"/>
      <c r="OG250" s="6092"/>
      <c r="OH250" s="6060"/>
      <c r="OI250" s="6060" t="str">
        <f>_Calcs!$N$81</f>
        <v>Påvirkning</v>
      </c>
      <c r="OJ250" s="6060"/>
      <c r="OK250" s="6060"/>
      <c r="OL250" s="6060"/>
      <c r="OM250" s="6060"/>
      <c r="ON250" s="6062"/>
    </row>
    <row r="251" spans="3:405" ht="5.0999999999999996" customHeight="1" thickBot="1" x14ac:dyDescent="0.25">
      <c r="C251" s="6055"/>
      <c r="D251" s="6056"/>
      <c r="E251" s="6056"/>
      <c r="F251" s="6056"/>
      <c r="G251" s="6056"/>
      <c r="H251" s="6056"/>
      <c r="I251" s="6056"/>
      <c r="J251" s="6056"/>
      <c r="K251" s="6056"/>
      <c r="L251" s="6056"/>
      <c r="M251" s="6056"/>
      <c r="N251" s="6056"/>
      <c r="O251" s="6056"/>
      <c r="P251" s="6056"/>
      <c r="Q251" s="6056"/>
      <c r="R251" s="6056"/>
      <c r="S251" s="6056"/>
      <c r="T251" s="6056"/>
      <c r="U251" s="6056"/>
      <c r="V251" s="6056"/>
      <c r="W251" s="6056"/>
      <c r="X251" s="6056"/>
      <c r="Y251" s="6056"/>
      <c r="Z251" s="6056"/>
      <c r="AA251" s="6056"/>
      <c r="AB251" s="6056"/>
      <c r="AC251" s="6056"/>
      <c r="AD251" s="6056"/>
      <c r="AE251" s="6056"/>
      <c r="AF251" s="6056"/>
      <c r="AG251" s="6056"/>
      <c r="AH251" s="6056"/>
      <c r="AI251" s="6061"/>
      <c r="AJ251" s="6061"/>
      <c r="AK251" s="6061"/>
      <c r="AL251" s="6056"/>
      <c r="AM251" s="6056"/>
      <c r="AN251" s="6056"/>
      <c r="AO251" s="6056"/>
      <c r="AP251" s="6056"/>
      <c r="AQ251" s="6056"/>
      <c r="AR251" s="6058"/>
      <c r="AV251" s="6055"/>
      <c r="AW251" s="6056"/>
      <c r="AX251" s="6056"/>
      <c r="AY251" s="6056"/>
      <c r="AZ251" s="6056"/>
      <c r="BA251" s="6056"/>
      <c r="BB251" s="6056"/>
      <c r="BC251" s="6056"/>
      <c r="BD251" s="6056"/>
      <c r="BE251" s="6056"/>
      <c r="BF251" s="6056"/>
      <c r="BG251" s="6056"/>
      <c r="BH251" s="6056"/>
      <c r="BI251" s="6056"/>
      <c r="BJ251" s="6056"/>
      <c r="BK251" s="6056"/>
      <c r="BL251" s="6056"/>
      <c r="BM251" s="6056"/>
      <c r="BN251" s="6056"/>
      <c r="BO251" s="6056"/>
      <c r="BP251" s="6056"/>
      <c r="BQ251" s="6056"/>
      <c r="BR251" s="6056"/>
      <c r="BS251" s="6056"/>
      <c r="BT251" s="6056"/>
      <c r="BU251" s="6056"/>
      <c r="BV251" s="6056"/>
      <c r="BW251" s="6056"/>
      <c r="BX251" s="6056"/>
      <c r="BY251" s="6056"/>
      <c r="BZ251" s="6056"/>
      <c r="CA251" s="6056"/>
      <c r="CB251" s="6061"/>
      <c r="CC251" s="6061"/>
      <c r="CD251" s="6061"/>
      <c r="CE251" s="6056"/>
      <c r="CF251" s="6056"/>
      <c r="CG251" s="6056"/>
      <c r="CH251" s="6056"/>
      <c r="CI251" s="6056"/>
      <c r="CJ251" s="6056"/>
      <c r="CK251" s="6058"/>
      <c r="CO251" s="6055"/>
      <c r="CP251" s="6056"/>
      <c r="CQ251" s="6056"/>
      <c r="CR251" s="6056"/>
      <c r="CS251" s="6056"/>
      <c r="CT251" s="6056"/>
      <c r="CU251" s="6056"/>
      <c r="CV251" s="6056"/>
      <c r="CW251" s="6056"/>
      <c r="CX251" s="6056"/>
      <c r="CY251" s="6056"/>
      <c r="CZ251" s="6056"/>
      <c r="DA251" s="6056"/>
      <c r="DB251" s="6056"/>
      <c r="DC251" s="6056"/>
      <c r="DD251" s="6056"/>
      <c r="DE251" s="6056"/>
      <c r="DF251" s="6056"/>
      <c r="DG251" s="6056"/>
      <c r="DH251" s="6056"/>
      <c r="DI251" s="6056"/>
      <c r="DJ251" s="6056"/>
      <c r="DK251" s="6056"/>
      <c r="DL251" s="6056"/>
      <c r="DM251" s="6056"/>
      <c r="DN251" s="6056"/>
      <c r="DO251" s="6056"/>
      <c r="DP251" s="6056"/>
      <c r="DQ251" s="6056"/>
      <c r="DR251" s="6056"/>
      <c r="DS251" s="6056"/>
      <c r="DT251" s="6056"/>
      <c r="DU251" s="6061"/>
      <c r="DV251" s="6061"/>
      <c r="DW251" s="6061"/>
      <c r="DX251" s="6056"/>
      <c r="DY251" s="6056"/>
      <c r="DZ251" s="6056"/>
      <c r="EA251" s="6056"/>
      <c r="EB251" s="6056"/>
      <c r="EC251" s="6056"/>
      <c r="ED251" s="6058"/>
      <c r="EH251" s="6055"/>
      <c r="EI251" s="6056"/>
      <c r="EJ251" s="6056"/>
      <c r="EK251" s="6056"/>
      <c r="EL251" s="6056"/>
      <c r="EM251" s="6056"/>
      <c r="EN251" s="6056"/>
      <c r="EO251" s="6056"/>
      <c r="EP251" s="6056"/>
      <c r="EQ251" s="6056"/>
      <c r="ER251" s="6056"/>
      <c r="ES251" s="6056"/>
      <c r="ET251" s="6056"/>
      <c r="EU251" s="6056"/>
      <c r="EV251" s="6056"/>
      <c r="EW251" s="6056"/>
      <c r="EX251" s="6056"/>
      <c r="EY251" s="6056"/>
      <c r="EZ251" s="6056"/>
      <c r="FA251" s="6056"/>
      <c r="FB251" s="6056"/>
      <c r="FC251" s="6056"/>
      <c r="FD251" s="6056"/>
      <c r="FE251" s="6056"/>
      <c r="FF251" s="6056"/>
      <c r="FG251" s="6056"/>
      <c r="FH251" s="6056"/>
      <c r="FI251" s="6056"/>
      <c r="FJ251" s="6056"/>
      <c r="FK251" s="6056"/>
      <c r="FL251" s="6056"/>
      <c r="FM251" s="6056"/>
      <c r="FN251" s="6061"/>
      <c r="FO251" s="6061"/>
      <c r="FP251" s="6061"/>
      <c r="FQ251" s="6056"/>
      <c r="FR251" s="6056"/>
      <c r="FS251" s="6056"/>
      <c r="FT251" s="6056"/>
      <c r="FU251" s="6056"/>
      <c r="FV251" s="6056"/>
      <c r="FW251" s="6058"/>
      <c r="GA251" s="6055"/>
      <c r="GB251" s="6056"/>
      <c r="GC251" s="6056"/>
      <c r="GD251" s="6056"/>
      <c r="GE251" s="6056"/>
      <c r="GF251" s="6056"/>
      <c r="GG251" s="6056"/>
      <c r="GH251" s="6056"/>
      <c r="GI251" s="6056"/>
      <c r="GJ251" s="6056"/>
      <c r="GK251" s="6056"/>
      <c r="GL251" s="6056"/>
      <c r="GM251" s="6056"/>
      <c r="GN251" s="6056"/>
      <c r="GO251" s="6056"/>
      <c r="GP251" s="6056"/>
      <c r="GQ251" s="6056"/>
      <c r="GR251" s="6056"/>
      <c r="GS251" s="6056"/>
      <c r="GT251" s="6056"/>
      <c r="GU251" s="6056"/>
      <c r="GV251" s="6056"/>
      <c r="GW251" s="6056"/>
      <c r="GX251" s="6056"/>
      <c r="GY251" s="6056"/>
      <c r="GZ251" s="6056"/>
      <c r="HA251" s="6056"/>
      <c r="HB251" s="6056"/>
      <c r="HC251" s="6056"/>
      <c r="HD251" s="6056"/>
      <c r="HE251" s="6056"/>
      <c r="HF251" s="6056"/>
      <c r="HG251" s="6061"/>
      <c r="HH251" s="6061"/>
      <c r="HI251" s="6061"/>
      <c r="HJ251" s="6056"/>
      <c r="HK251" s="6056"/>
      <c r="HL251" s="6056"/>
      <c r="HM251" s="6056"/>
      <c r="HN251" s="6056"/>
      <c r="HO251" s="6056"/>
      <c r="HP251" s="6058"/>
      <c r="HT251" s="6055"/>
      <c r="HU251" s="6056"/>
      <c r="HV251" s="6056"/>
      <c r="HW251" s="6056"/>
      <c r="HX251" s="6056"/>
      <c r="HY251" s="6056"/>
      <c r="HZ251" s="6056"/>
      <c r="IA251" s="6056"/>
      <c r="IB251" s="6056"/>
      <c r="IC251" s="6056"/>
      <c r="ID251" s="6056"/>
      <c r="IE251" s="6056"/>
      <c r="IF251" s="6056"/>
      <c r="IG251" s="6056"/>
      <c r="IH251" s="6056"/>
      <c r="II251" s="6056"/>
      <c r="IJ251" s="6056"/>
      <c r="IK251" s="6056"/>
      <c r="IL251" s="6056"/>
      <c r="IM251" s="6056"/>
      <c r="IN251" s="6056"/>
      <c r="IO251" s="6056"/>
      <c r="IP251" s="6056"/>
      <c r="IQ251" s="6056"/>
      <c r="IR251" s="6056"/>
      <c r="IS251" s="6056"/>
      <c r="IT251" s="6056"/>
      <c r="IU251" s="6056"/>
      <c r="IV251" s="6056"/>
      <c r="IW251" s="6056"/>
      <c r="IX251" s="6056"/>
      <c r="IY251" s="6056"/>
      <c r="IZ251" s="6061"/>
      <c r="JA251" s="6061"/>
      <c r="JB251" s="6061"/>
      <c r="JC251" s="6056"/>
      <c r="JD251" s="6056"/>
      <c r="JE251" s="6056"/>
      <c r="JF251" s="6056"/>
      <c r="JG251" s="6056"/>
      <c r="JH251" s="6056"/>
      <c r="JI251" s="6058"/>
      <c r="JM251" s="6055"/>
      <c r="JN251" s="6056"/>
      <c r="JO251" s="6056"/>
      <c r="JP251" s="6056"/>
      <c r="JQ251" s="6056"/>
      <c r="JR251" s="6056"/>
      <c r="JS251" s="6056"/>
      <c r="JT251" s="6056"/>
      <c r="JU251" s="6056"/>
      <c r="JV251" s="6056"/>
      <c r="JW251" s="6056"/>
      <c r="JX251" s="6056"/>
      <c r="JY251" s="6056"/>
      <c r="JZ251" s="6056"/>
      <c r="KA251" s="6056"/>
      <c r="KB251" s="6056"/>
      <c r="KC251" s="6056"/>
      <c r="KD251" s="6056"/>
      <c r="KE251" s="6056"/>
      <c r="KF251" s="6056"/>
      <c r="KG251" s="6056"/>
      <c r="KH251" s="6056"/>
      <c r="KI251" s="6056"/>
      <c r="KJ251" s="6056"/>
      <c r="KK251" s="6056"/>
      <c r="KL251" s="6056"/>
      <c r="KM251" s="6056"/>
      <c r="KN251" s="6056"/>
      <c r="KO251" s="6056"/>
      <c r="KP251" s="6056"/>
      <c r="KQ251" s="6056"/>
      <c r="KR251" s="6056"/>
      <c r="KS251" s="6061"/>
      <c r="KT251" s="6061"/>
      <c r="KU251" s="6061"/>
      <c r="KV251" s="6056"/>
      <c r="KW251" s="6056"/>
      <c r="KX251" s="6056"/>
      <c r="KY251" s="6056"/>
      <c r="KZ251" s="6056"/>
      <c r="LA251" s="6056"/>
      <c r="LB251" s="6058"/>
      <c r="LF251" s="6055"/>
      <c r="LG251" s="6056"/>
      <c r="LH251" s="6056"/>
      <c r="LI251" s="6056"/>
      <c r="LJ251" s="6056"/>
      <c r="LK251" s="6056"/>
      <c r="LL251" s="6056"/>
      <c r="LM251" s="6056"/>
      <c r="LN251" s="6056"/>
      <c r="LO251" s="6056"/>
      <c r="LP251" s="6056"/>
      <c r="LQ251" s="6056"/>
      <c r="LR251" s="6056"/>
      <c r="LS251" s="6056"/>
      <c r="LT251" s="6056"/>
      <c r="LU251" s="6056"/>
      <c r="LV251" s="6056"/>
      <c r="LW251" s="6056"/>
      <c r="LX251" s="6056"/>
      <c r="LY251" s="6056"/>
      <c r="LZ251" s="6056"/>
      <c r="MA251" s="6056"/>
      <c r="MB251" s="6056"/>
      <c r="MC251" s="6056"/>
      <c r="MD251" s="6056"/>
      <c r="ME251" s="6056"/>
      <c r="MF251" s="6056"/>
      <c r="MG251" s="6056"/>
      <c r="MH251" s="6056"/>
      <c r="MI251" s="6056"/>
      <c r="MJ251" s="6056"/>
      <c r="MK251" s="6056"/>
      <c r="ML251" s="6061"/>
      <c r="MM251" s="6061"/>
      <c r="MN251" s="6061"/>
      <c r="MO251" s="6056"/>
      <c r="MP251" s="6056"/>
      <c r="MQ251" s="6056"/>
      <c r="MR251" s="6056"/>
      <c r="MS251" s="6056"/>
      <c r="MT251" s="6056"/>
      <c r="MU251" s="6058"/>
      <c r="MY251" s="6055"/>
      <c r="MZ251" s="6056"/>
      <c r="NA251" s="6056"/>
      <c r="NB251" s="6056"/>
      <c r="NC251" s="6056"/>
      <c r="ND251" s="6056"/>
      <c r="NE251" s="6056"/>
      <c r="NF251" s="6056"/>
      <c r="NG251" s="6056"/>
      <c r="NH251" s="6056"/>
      <c r="NI251" s="6056"/>
      <c r="NJ251" s="6056"/>
      <c r="NK251" s="6056"/>
      <c r="NL251" s="6056"/>
      <c r="NM251" s="6056"/>
      <c r="NN251" s="6056"/>
      <c r="NO251" s="6056"/>
      <c r="NP251" s="6056"/>
      <c r="NQ251" s="6056"/>
      <c r="NR251" s="6056"/>
      <c r="NS251" s="6056"/>
      <c r="NT251" s="6056"/>
      <c r="NU251" s="6056"/>
      <c r="NV251" s="6056"/>
      <c r="NW251" s="6056"/>
      <c r="NX251" s="6056"/>
      <c r="NY251" s="6056"/>
      <c r="NZ251" s="6056"/>
      <c r="OA251" s="6056"/>
      <c r="OB251" s="6056"/>
      <c r="OC251" s="6056"/>
      <c r="OD251" s="6056"/>
      <c r="OE251" s="6061"/>
      <c r="OF251" s="6061"/>
      <c r="OG251" s="6061"/>
      <c r="OH251" s="6056"/>
      <c r="OI251" s="6056"/>
      <c r="OJ251" s="6056"/>
      <c r="OK251" s="6056"/>
      <c r="OL251" s="6056"/>
      <c r="OM251" s="6056"/>
      <c r="ON251" s="6058"/>
    </row>
    <row r="252" spans="3:405" s="6070" customFormat="1" ht="20.100000000000001" customHeight="1" thickBot="1" x14ac:dyDescent="0.25">
      <c r="C252" s="6064"/>
      <c r="D252" s="6093"/>
      <c r="E252" s="6784" t="str">
        <f>_Calcs!$IK$180</f>
        <v>Støyende arbeider</v>
      </c>
      <c r="F252" s="6784"/>
      <c r="G252" s="6784"/>
      <c r="H252" s="6784"/>
      <c r="I252" s="6784"/>
      <c r="J252" s="6784"/>
      <c r="K252" s="6784"/>
      <c r="L252" s="6784"/>
      <c r="M252" s="6784"/>
      <c r="N252" s="6784"/>
      <c r="O252" s="6784"/>
      <c r="P252" s="6784"/>
      <c r="Q252" s="6784"/>
      <c r="R252" s="6784"/>
      <c r="S252" s="6784"/>
      <c r="T252" s="6784"/>
      <c r="U252" s="6784"/>
      <c r="V252" s="6784"/>
      <c r="W252" s="6094"/>
      <c r="X252" s="6102"/>
      <c r="Y252" s="6102"/>
      <c r="Z252" s="6102"/>
      <c r="AA252" s="6102"/>
      <c r="AB252" s="6102"/>
      <c r="AC252" s="6102"/>
      <c r="AD252" s="6102"/>
      <c r="AE252" s="6102"/>
      <c r="AF252" s="6102"/>
      <c r="AG252" s="6102"/>
      <c r="AH252" s="6102"/>
      <c r="AI252" s="6103"/>
      <c r="AJ252" s="6103"/>
      <c r="AK252" s="6103"/>
      <c r="AL252" s="6068"/>
      <c r="AM252" s="6104"/>
      <c r="AN252" s="6780" t="str">
        <f>_Calcs!$IK$181</f>
        <v>Nei</v>
      </c>
      <c r="AO252" s="6780"/>
      <c r="AP252" s="6780"/>
      <c r="AQ252" s="6097"/>
      <c r="AR252" s="6098"/>
      <c r="AV252" s="6064"/>
      <c r="AW252" s="6093"/>
      <c r="AX252" s="6784" t="str">
        <f>_Calcs!$IL$180</f>
        <v>Støyende arbeider</v>
      </c>
      <c r="AY252" s="6784"/>
      <c r="AZ252" s="6784"/>
      <c r="BA252" s="6784"/>
      <c r="BB252" s="6784"/>
      <c r="BC252" s="6784"/>
      <c r="BD252" s="6784"/>
      <c r="BE252" s="6784"/>
      <c r="BF252" s="6784"/>
      <c r="BG252" s="6784"/>
      <c r="BH252" s="6784"/>
      <c r="BI252" s="6784"/>
      <c r="BJ252" s="6784"/>
      <c r="BK252" s="6784"/>
      <c r="BL252" s="6784"/>
      <c r="BM252" s="6784"/>
      <c r="BN252" s="6784"/>
      <c r="BO252" s="6784"/>
      <c r="BP252" s="6094"/>
      <c r="BQ252" s="6102"/>
      <c r="BR252" s="6102"/>
      <c r="BS252" s="6102"/>
      <c r="BT252" s="6102"/>
      <c r="BU252" s="6102"/>
      <c r="BV252" s="6102"/>
      <c r="BW252" s="6102"/>
      <c r="BX252" s="6102"/>
      <c r="BY252" s="6102"/>
      <c r="BZ252" s="6102"/>
      <c r="CA252" s="6102"/>
      <c r="CB252" s="6103"/>
      <c r="CC252" s="6103"/>
      <c r="CD252" s="6103"/>
      <c r="CE252" s="6068"/>
      <c r="CF252" s="6104"/>
      <c r="CG252" s="6780" t="str">
        <f>_Calcs!$IL$181</f>
        <v>Nei</v>
      </c>
      <c r="CH252" s="6780"/>
      <c r="CI252" s="6780"/>
      <c r="CJ252" s="6097"/>
      <c r="CK252" s="6098"/>
      <c r="CO252" s="6064"/>
      <c r="CP252" s="6093"/>
      <c r="CQ252" s="6784" t="str">
        <f>_Calcs!$IM$180</f>
        <v>Støyende arbeider</v>
      </c>
      <c r="CR252" s="6784"/>
      <c r="CS252" s="6784"/>
      <c r="CT252" s="6784"/>
      <c r="CU252" s="6784"/>
      <c r="CV252" s="6784"/>
      <c r="CW252" s="6784"/>
      <c r="CX252" s="6784"/>
      <c r="CY252" s="6784"/>
      <c r="CZ252" s="6784"/>
      <c r="DA252" s="6784"/>
      <c r="DB252" s="6784"/>
      <c r="DC252" s="6784"/>
      <c r="DD252" s="6784"/>
      <c r="DE252" s="6784"/>
      <c r="DF252" s="6784"/>
      <c r="DG252" s="6784"/>
      <c r="DH252" s="6784"/>
      <c r="DI252" s="6094"/>
      <c r="DJ252" s="6102"/>
      <c r="DK252" s="6102"/>
      <c r="DL252" s="6102"/>
      <c r="DM252" s="6102"/>
      <c r="DN252" s="6102"/>
      <c r="DO252" s="6102"/>
      <c r="DP252" s="6102"/>
      <c r="DQ252" s="6102"/>
      <c r="DR252" s="6102"/>
      <c r="DS252" s="6102"/>
      <c r="DT252" s="6102"/>
      <c r="DU252" s="6103"/>
      <c r="DV252" s="6103"/>
      <c r="DW252" s="6103"/>
      <c r="DX252" s="6068"/>
      <c r="DY252" s="6104"/>
      <c r="DZ252" s="6780" t="str">
        <f>_Calcs!$IM$181</f>
        <v>Nei</v>
      </c>
      <c r="EA252" s="6780"/>
      <c r="EB252" s="6780"/>
      <c r="EC252" s="6097"/>
      <c r="ED252" s="6098"/>
      <c r="EH252" s="6064"/>
      <c r="EI252" s="6093"/>
      <c r="EJ252" s="6784" t="str">
        <f>_Calcs!$IN$180</f>
        <v>Støyende arbeider</v>
      </c>
      <c r="EK252" s="6784"/>
      <c r="EL252" s="6784"/>
      <c r="EM252" s="6784"/>
      <c r="EN252" s="6784"/>
      <c r="EO252" s="6784"/>
      <c r="EP252" s="6784"/>
      <c r="EQ252" s="6784"/>
      <c r="ER252" s="6784"/>
      <c r="ES252" s="6784"/>
      <c r="ET252" s="6784"/>
      <c r="EU252" s="6784"/>
      <c r="EV252" s="6784"/>
      <c r="EW252" s="6784"/>
      <c r="EX252" s="6784"/>
      <c r="EY252" s="6784"/>
      <c r="EZ252" s="6784"/>
      <c r="FA252" s="6784"/>
      <c r="FB252" s="6094"/>
      <c r="FC252" s="6102"/>
      <c r="FD252" s="6102"/>
      <c r="FE252" s="6102"/>
      <c r="FF252" s="6102"/>
      <c r="FG252" s="6102"/>
      <c r="FH252" s="6102"/>
      <c r="FI252" s="6102"/>
      <c r="FJ252" s="6102"/>
      <c r="FK252" s="6102"/>
      <c r="FL252" s="6102"/>
      <c r="FM252" s="6102"/>
      <c r="FN252" s="6103"/>
      <c r="FO252" s="6103"/>
      <c r="FP252" s="6103"/>
      <c r="FQ252" s="6068"/>
      <c r="FR252" s="6104"/>
      <c r="FS252" s="6780" t="str">
        <f>_Calcs!$IN$181</f>
        <v>Nei</v>
      </c>
      <c r="FT252" s="6780"/>
      <c r="FU252" s="6780"/>
      <c r="FV252" s="6097"/>
      <c r="FW252" s="6098"/>
      <c r="GA252" s="6064"/>
      <c r="GB252" s="6093"/>
      <c r="GC252" s="6784" t="str">
        <f>_Calcs!$IO$180</f>
        <v>Støyende arbeider</v>
      </c>
      <c r="GD252" s="6784"/>
      <c r="GE252" s="6784"/>
      <c r="GF252" s="6784"/>
      <c r="GG252" s="6784"/>
      <c r="GH252" s="6784"/>
      <c r="GI252" s="6784"/>
      <c r="GJ252" s="6784"/>
      <c r="GK252" s="6784"/>
      <c r="GL252" s="6784"/>
      <c r="GM252" s="6784"/>
      <c r="GN252" s="6784"/>
      <c r="GO252" s="6784"/>
      <c r="GP252" s="6784"/>
      <c r="GQ252" s="6784"/>
      <c r="GR252" s="6784"/>
      <c r="GS252" s="6784"/>
      <c r="GT252" s="6784"/>
      <c r="GU252" s="6094"/>
      <c r="GV252" s="6102"/>
      <c r="GW252" s="6102"/>
      <c r="GX252" s="6102"/>
      <c r="GY252" s="6102"/>
      <c r="GZ252" s="6102"/>
      <c r="HA252" s="6102"/>
      <c r="HB252" s="6102"/>
      <c r="HC252" s="6102"/>
      <c r="HD252" s="6102"/>
      <c r="HE252" s="6102"/>
      <c r="HF252" s="6102"/>
      <c r="HG252" s="6103"/>
      <c r="HH252" s="6103"/>
      <c r="HI252" s="6103"/>
      <c r="HJ252" s="6068"/>
      <c r="HK252" s="6104"/>
      <c r="HL252" s="6780" t="str">
        <f>_Calcs!$IO$181</f>
        <v>Nei</v>
      </c>
      <c r="HM252" s="6780"/>
      <c r="HN252" s="6780"/>
      <c r="HO252" s="6097"/>
      <c r="HP252" s="6098"/>
      <c r="HT252" s="6064"/>
      <c r="HU252" s="6093"/>
      <c r="HV252" s="6784" t="str">
        <f>_Calcs!$IP$180</f>
        <v>Støyende arbeider</v>
      </c>
      <c r="HW252" s="6784"/>
      <c r="HX252" s="6784"/>
      <c r="HY252" s="6784"/>
      <c r="HZ252" s="6784"/>
      <c r="IA252" s="6784"/>
      <c r="IB252" s="6784"/>
      <c r="IC252" s="6784"/>
      <c r="ID252" s="6784"/>
      <c r="IE252" s="6784"/>
      <c r="IF252" s="6784"/>
      <c r="IG252" s="6784"/>
      <c r="IH252" s="6784"/>
      <c r="II252" s="6784"/>
      <c r="IJ252" s="6784"/>
      <c r="IK252" s="6784"/>
      <c r="IL252" s="6784"/>
      <c r="IM252" s="6784"/>
      <c r="IN252" s="6094"/>
      <c r="IO252" s="6102"/>
      <c r="IP252" s="6102"/>
      <c r="IQ252" s="6102"/>
      <c r="IR252" s="6102"/>
      <c r="IS252" s="6102"/>
      <c r="IT252" s="6102"/>
      <c r="IU252" s="6102"/>
      <c r="IV252" s="6102"/>
      <c r="IW252" s="6102"/>
      <c r="IX252" s="6102"/>
      <c r="IY252" s="6102"/>
      <c r="IZ252" s="6103"/>
      <c r="JA252" s="6103"/>
      <c r="JB252" s="6103"/>
      <c r="JC252" s="6068"/>
      <c r="JD252" s="6104"/>
      <c r="JE252" s="6780" t="str">
        <f>_Calcs!$IP$181</f>
        <v>Nei</v>
      </c>
      <c r="JF252" s="6780"/>
      <c r="JG252" s="6780"/>
      <c r="JH252" s="6097"/>
      <c r="JI252" s="6098"/>
      <c r="JM252" s="6064"/>
      <c r="JN252" s="6093"/>
      <c r="JO252" s="6784" t="str">
        <f>_Calcs!$IQ$180</f>
        <v>Støyende arbeider</v>
      </c>
      <c r="JP252" s="6784"/>
      <c r="JQ252" s="6784"/>
      <c r="JR252" s="6784"/>
      <c r="JS252" s="6784"/>
      <c r="JT252" s="6784"/>
      <c r="JU252" s="6784"/>
      <c r="JV252" s="6784"/>
      <c r="JW252" s="6784"/>
      <c r="JX252" s="6784"/>
      <c r="JY252" s="6784"/>
      <c r="JZ252" s="6784"/>
      <c r="KA252" s="6784"/>
      <c r="KB252" s="6784"/>
      <c r="KC252" s="6784"/>
      <c r="KD252" s="6784"/>
      <c r="KE252" s="6784"/>
      <c r="KF252" s="6784"/>
      <c r="KG252" s="6094"/>
      <c r="KH252" s="6102"/>
      <c r="KI252" s="6102"/>
      <c r="KJ252" s="6102"/>
      <c r="KK252" s="6102"/>
      <c r="KL252" s="6102"/>
      <c r="KM252" s="6102"/>
      <c r="KN252" s="6102"/>
      <c r="KO252" s="6102"/>
      <c r="KP252" s="6102"/>
      <c r="KQ252" s="6102"/>
      <c r="KR252" s="6102"/>
      <c r="KS252" s="6103"/>
      <c r="KT252" s="6103"/>
      <c r="KU252" s="6103"/>
      <c r="KV252" s="6068"/>
      <c r="KW252" s="6104"/>
      <c r="KX252" s="6780" t="str">
        <f>_Calcs!$IQ$181</f>
        <v>Nei</v>
      </c>
      <c r="KY252" s="6780"/>
      <c r="KZ252" s="6780"/>
      <c r="LA252" s="6097"/>
      <c r="LB252" s="6098"/>
      <c r="LF252" s="6064"/>
      <c r="LG252" s="6093"/>
      <c r="LH252" s="6784" t="str">
        <f>_Calcs!$IR$180</f>
        <v>Støyende arbeider</v>
      </c>
      <c r="LI252" s="6784"/>
      <c r="LJ252" s="6784"/>
      <c r="LK252" s="6784"/>
      <c r="LL252" s="6784"/>
      <c r="LM252" s="6784"/>
      <c r="LN252" s="6784"/>
      <c r="LO252" s="6784"/>
      <c r="LP252" s="6784"/>
      <c r="LQ252" s="6784"/>
      <c r="LR252" s="6784"/>
      <c r="LS252" s="6784"/>
      <c r="LT252" s="6784"/>
      <c r="LU252" s="6784"/>
      <c r="LV252" s="6784"/>
      <c r="LW252" s="6784"/>
      <c r="LX252" s="6784"/>
      <c r="LY252" s="6784"/>
      <c r="LZ252" s="6094"/>
      <c r="MA252" s="6102"/>
      <c r="MB252" s="6102"/>
      <c r="MC252" s="6102"/>
      <c r="MD252" s="6102"/>
      <c r="ME252" s="6102"/>
      <c r="MF252" s="6102"/>
      <c r="MG252" s="6102"/>
      <c r="MH252" s="6102"/>
      <c r="MI252" s="6102"/>
      <c r="MJ252" s="6102"/>
      <c r="MK252" s="6102"/>
      <c r="ML252" s="6103"/>
      <c r="MM252" s="6103"/>
      <c r="MN252" s="6103"/>
      <c r="MO252" s="6068"/>
      <c r="MP252" s="6104"/>
      <c r="MQ252" s="6780" t="str">
        <f>_Calcs!$IR$181</f>
        <v>Nei</v>
      </c>
      <c r="MR252" s="6780"/>
      <c r="MS252" s="6780"/>
      <c r="MT252" s="6097"/>
      <c r="MU252" s="6098"/>
      <c r="MY252" s="6064"/>
      <c r="MZ252" s="6093"/>
      <c r="NA252" s="6784" t="str">
        <f>_Calcs!$IS$180</f>
        <v>Støyende arbeider</v>
      </c>
      <c r="NB252" s="6784"/>
      <c r="NC252" s="6784"/>
      <c r="ND252" s="6784"/>
      <c r="NE252" s="6784"/>
      <c r="NF252" s="6784"/>
      <c r="NG252" s="6784"/>
      <c r="NH252" s="6784"/>
      <c r="NI252" s="6784"/>
      <c r="NJ252" s="6784"/>
      <c r="NK252" s="6784"/>
      <c r="NL252" s="6784"/>
      <c r="NM252" s="6784"/>
      <c r="NN252" s="6784"/>
      <c r="NO252" s="6784"/>
      <c r="NP252" s="6784"/>
      <c r="NQ252" s="6784"/>
      <c r="NR252" s="6784"/>
      <c r="NS252" s="6094"/>
      <c r="NT252" s="6102"/>
      <c r="NU252" s="6102"/>
      <c r="NV252" s="6102"/>
      <c r="NW252" s="6102"/>
      <c r="NX252" s="6102"/>
      <c r="NY252" s="6102"/>
      <c r="NZ252" s="6102"/>
      <c r="OA252" s="6102"/>
      <c r="OB252" s="6102"/>
      <c r="OC252" s="6102"/>
      <c r="OD252" s="6102"/>
      <c r="OE252" s="6103"/>
      <c r="OF252" s="6103"/>
      <c r="OG252" s="6103"/>
      <c r="OH252" s="6068"/>
      <c r="OI252" s="6104"/>
      <c r="OJ252" s="6780" t="str">
        <f>_Calcs!$IS$181</f>
        <v>Nei</v>
      </c>
      <c r="OK252" s="6780"/>
      <c r="OL252" s="6780"/>
      <c r="OM252" s="6097"/>
      <c r="ON252" s="6098"/>
    </row>
    <row r="253" spans="3:405" ht="8.1" customHeight="1" x14ac:dyDescent="0.2">
      <c r="C253" s="6055"/>
      <c r="D253" s="6056"/>
      <c r="E253" s="6056"/>
      <c r="F253" s="6056"/>
      <c r="G253" s="6056"/>
      <c r="H253" s="6056"/>
      <c r="I253" s="6056"/>
      <c r="J253" s="6056"/>
      <c r="K253" s="6056"/>
      <c r="L253" s="6056"/>
      <c r="M253" s="6056"/>
      <c r="N253" s="6056"/>
      <c r="O253" s="6056"/>
      <c r="P253" s="6056"/>
      <c r="Q253" s="6056"/>
      <c r="R253" s="6056"/>
      <c r="S253" s="6056"/>
      <c r="T253" s="6056"/>
      <c r="U253" s="6056"/>
      <c r="V253" s="6057"/>
      <c r="W253" s="6057"/>
      <c r="X253" s="6057"/>
      <c r="Y253" s="6057"/>
      <c r="Z253" s="6057"/>
      <c r="AA253" s="6056"/>
      <c r="AB253" s="6057"/>
      <c r="AC253" s="6057"/>
      <c r="AD253" s="6057"/>
      <c r="AE253" s="6056"/>
      <c r="AF253" s="6057"/>
      <c r="AG253" s="6057"/>
      <c r="AH253" s="6057"/>
      <c r="AI253" s="6057"/>
      <c r="AJ253" s="6057"/>
      <c r="AK253" s="6056"/>
      <c r="AL253" s="6056"/>
      <c r="AM253" s="6056"/>
      <c r="AN253" s="6056"/>
      <c r="AO253" s="6056"/>
      <c r="AP253" s="6056"/>
      <c r="AQ253" s="6056"/>
      <c r="AR253" s="6058"/>
      <c r="AV253" s="6055"/>
      <c r="AW253" s="6056"/>
      <c r="AX253" s="6056"/>
      <c r="AY253" s="6056"/>
      <c r="AZ253" s="6056"/>
      <c r="BA253" s="6056"/>
      <c r="BB253" s="6056"/>
      <c r="BC253" s="6056"/>
      <c r="BD253" s="6056"/>
      <c r="BE253" s="6056"/>
      <c r="BF253" s="6056"/>
      <c r="BG253" s="6056"/>
      <c r="BH253" s="6056"/>
      <c r="BI253" s="6056"/>
      <c r="BJ253" s="6056"/>
      <c r="BK253" s="6056"/>
      <c r="BL253" s="6056"/>
      <c r="BM253" s="6056"/>
      <c r="BN253" s="6056"/>
      <c r="BO253" s="6057"/>
      <c r="BP253" s="6057"/>
      <c r="BQ253" s="6057"/>
      <c r="BR253" s="6057"/>
      <c r="BS253" s="6057"/>
      <c r="BT253" s="6056"/>
      <c r="BU253" s="6057"/>
      <c r="BV253" s="6057"/>
      <c r="BW253" s="6057"/>
      <c r="BX253" s="6056"/>
      <c r="BY253" s="6057"/>
      <c r="BZ253" s="6057"/>
      <c r="CA253" s="6057"/>
      <c r="CB253" s="6057"/>
      <c r="CC253" s="6057"/>
      <c r="CD253" s="6056"/>
      <c r="CE253" s="6056"/>
      <c r="CF253" s="6056"/>
      <c r="CG253" s="6056"/>
      <c r="CH253" s="6056"/>
      <c r="CI253" s="6056"/>
      <c r="CJ253" s="6056"/>
      <c r="CK253" s="6058"/>
      <c r="CO253" s="6055"/>
      <c r="CP253" s="6056"/>
      <c r="CQ253" s="6056"/>
      <c r="CR253" s="6056"/>
      <c r="CS253" s="6056"/>
      <c r="CT253" s="6056"/>
      <c r="CU253" s="6056"/>
      <c r="CV253" s="6056"/>
      <c r="CW253" s="6056"/>
      <c r="CX253" s="6056"/>
      <c r="CY253" s="6056"/>
      <c r="CZ253" s="6056"/>
      <c r="DA253" s="6056"/>
      <c r="DB253" s="6056"/>
      <c r="DC253" s="6056"/>
      <c r="DD253" s="6056"/>
      <c r="DE253" s="6056"/>
      <c r="DF253" s="6056"/>
      <c r="DG253" s="6056"/>
      <c r="DH253" s="6057"/>
      <c r="DI253" s="6057"/>
      <c r="DJ253" s="6057"/>
      <c r="DK253" s="6057"/>
      <c r="DL253" s="6057"/>
      <c r="DM253" s="6056"/>
      <c r="DN253" s="6057"/>
      <c r="DO253" s="6057"/>
      <c r="DP253" s="6057"/>
      <c r="DQ253" s="6056"/>
      <c r="DR253" s="6057"/>
      <c r="DS253" s="6057"/>
      <c r="DT253" s="6057"/>
      <c r="DU253" s="6057"/>
      <c r="DV253" s="6057"/>
      <c r="DW253" s="6056"/>
      <c r="DX253" s="6056"/>
      <c r="DY253" s="6056"/>
      <c r="DZ253" s="6056"/>
      <c r="EA253" s="6056"/>
      <c r="EB253" s="6056"/>
      <c r="EC253" s="6056"/>
      <c r="ED253" s="6058"/>
      <c r="EH253" s="6055"/>
      <c r="EI253" s="6056"/>
      <c r="EJ253" s="6056"/>
      <c r="EK253" s="6056"/>
      <c r="EL253" s="6056"/>
      <c r="EM253" s="6056"/>
      <c r="EN253" s="6056"/>
      <c r="EO253" s="6056"/>
      <c r="EP253" s="6056"/>
      <c r="EQ253" s="6056"/>
      <c r="ER253" s="6056"/>
      <c r="ES253" s="6056"/>
      <c r="ET253" s="6056"/>
      <c r="EU253" s="6056"/>
      <c r="EV253" s="6056"/>
      <c r="EW253" s="6056"/>
      <c r="EX253" s="6056"/>
      <c r="EY253" s="6056"/>
      <c r="EZ253" s="6056"/>
      <c r="FA253" s="6057"/>
      <c r="FB253" s="6057"/>
      <c r="FC253" s="6057"/>
      <c r="FD253" s="6057"/>
      <c r="FE253" s="6057"/>
      <c r="FF253" s="6056"/>
      <c r="FG253" s="6057"/>
      <c r="FH253" s="6057"/>
      <c r="FI253" s="6057"/>
      <c r="FJ253" s="6056"/>
      <c r="FK253" s="6057"/>
      <c r="FL253" s="6057"/>
      <c r="FM253" s="6057"/>
      <c r="FN253" s="6057"/>
      <c r="FO253" s="6057"/>
      <c r="FP253" s="6056"/>
      <c r="FQ253" s="6056"/>
      <c r="FR253" s="6056"/>
      <c r="FS253" s="6056"/>
      <c r="FT253" s="6056"/>
      <c r="FU253" s="6056"/>
      <c r="FV253" s="6056"/>
      <c r="FW253" s="6058"/>
      <c r="GA253" s="6055"/>
      <c r="GB253" s="6056"/>
      <c r="GC253" s="6056"/>
      <c r="GD253" s="6056"/>
      <c r="GE253" s="6056"/>
      <c r="GF253" s="6056"/>
      <c r="GG253" s="6056"/>
      <c r="GH253" s="6056"/>
      <c r="GI253" s="6056"/>
      <c r="GJ253" s="6056"/>
      <c r="GK253" s="6056"/>
      <c r="GL253" s="6056"/>
      <c r="GM253" s="6056"/>
      <c r="GN253" s="6056"/>
      <c r="GO253" s="6056"/>
      <c r="GP253" s="6056"/>
      <c r="GQ253" s="6056"/>
      <c r="GR253" s="6056"/>
      <c r="GS253" s="6056"/>
      <c r="GT253" s="6057"/>
      <c r="GU253" s="6057"/>
      <c r="GV253" s="6057"/>
      <c r="GW253" s="6057"/>
      <c r="GX253" s="6057"/>
      <c r="GY253" s="6056"/>
      <c r="GZ253" s="6057"/>
      <c r="HA253" s="6057"/>
      <c r="HB253" s="6057"/>
      <c r="HC253" s="6056"/>
      <c r="HD253" s="6057"/>
      <c r="HE253" s="6057"/>
      <c r="HF253" s="6057"/>
      <c r="HG253" s="6057"/>
      <c r="HH253" s="6057"/>
      <c r="HI253" s="6056"/>
      <c r="HJ253" s="6056"/>
      <c r="HK253" s="6056"/>
      <c r="HL253" s="6056"/>
      <c r="HM253" s="6056"/>
      <c r="HN253" s="6056"/>
      <c r="HO253" s="6056"/>
      <c r="HP253" s="6058"/>
      <c r="HT253" s="6055"/>
      <c r="HU253" s="6056"/>
      <c r="HV253" s="6056"/>
      <c r="HW253" s="6056"/>
      <c r="HX253" s="6056"/>
      <c r="HY253" s="6056"/>
      <c r="HZ253" s="6056"/>
      <c r="IA253" s="6056"/>
      <c r="IB253" s="6056"/>
      <c r="IC253" s="6056"/>
      <c r="ID253" s="6056"/>
      <c r="IE253" s="6056"/>
      <c r="IF253" s="6056"/>
      <c r="IG253" s="6056"/>
      <c r="IH253" s="6056"/>
      <c r="II253" s="6056"/>
      <c r="IJ253" s="6056"/>
      <c r="IK253" s="6056"/>
      <c r="IL253" s="6056"/>
      <c r="IM253" s="6057"/>
      <c r="IN253" s="6057"/>
      <c r="IO253" s="6057"/>
      <c r="IP253" s="6057"/>
      <c r="IQ253" s="6057"/>
      <c r="IR253" s="6056"/>
      <c r="IS253" s="6057"/>
      <c r="IT253" s="6057"/>
      <c r="IU253" s="6057"/>
      <c r="IV253" s="6056"/>
      <c r="IW253" s="6057"/>
      <c r="IX253" s="6057"/>
      <c r="IY253" s="6057"/>
      <c r="IZ253" s="6057"/>
      <c r="JA253" s="6057"/>
      <c r="JB253" s="6056"/>
      <c r="JC253" s="6056"/>
      <c r="JD253" s="6056"/>
      <c r="JE253" s="6056"/>
      <c r="JF253" s="6056"/>
      <c r="JG253" s="6056"/>
      <c r="JH253" s="6056"/>
      <c r="JI253" s="6058"/>
      <c r="JM253" s="6055"/>
      <c r="JN253" s="6056"/>
      <c r="JO253" s="6056"/>
      <c r="JP253" s="6056"/>
      <c r="JQ253" s="6056"/>
      <c r="JR253" s="6056"/>
      <c r="JS253" s="6056"/>
      <c r="JT253" s="6056"/>
      <c r="JU253" s="6056"/>
      <c r="JV253" s="6056"/>
      <c r="JW253" s="6056"/>
      <c r="JX253" s="6056"/>
      <c r="JY253" s="6056"/>
      <c r="JZ253" s="6056"/>
      <c r="KA253" s="6056"/>
      <c r="KB253" s="6056"/>
      <c r="KC253" s="6056"/>
      <c r="KD253" s="6056"/>
      <c r="KE253" s="6056"/>
      <c r="KF253" s="6057"/>
      <c r="KG253" s="6057"/>
      <c r="KH253" s="6057"/>
      <c r="KI253" s="6057"/>
      <c r="KJ253" s="6057"/>
      <c r="KK253" s="6056"/>
      <c r="KL253" s="6057"/>
      <c r="KM253" s="6057"/>
      <c r="KN253" s="6057"/>
      <c r="KO253" s="6056"/>
      <c r="KP253" s="6057"/>
      <c r="KQ253" s="6057"/>
      <c r="KR253" s="6057"/>
      <c r="KS253" s="6057"/>
      <c r="KT253" s="6057"/>
      <c r="KU253" s="6056"/>
      <c r="KV253" s="6056"/>
      <c r="KW253" s="6056"/>
      <c r="KX253" s="6056"/>
      <c r="KY253" s="6056"/>
      <c r="KZ253" s="6056"/>
      <c r="LA253" s="6056"/>
      <c r="LB253" s="6058"/>
      <c r="LF253" s="6055"/>
      <c r="LG253" s="6056"/>
      <c r="LH253" s="6056"/>
      <c r="LI253" s="6056"/>
      <c r="LJ253" s="6056"/>
      <c r="LK253" s="6056"/>
      <c r="LL253" s="6056"/>
      <c r="LM253" s="6056"/>
      <c r="LN253" s="6056"/>
      <c r="LO253" s="6056"/>
      <c r="LP253" s="6056"/>
      <c r="LQ253" s="6056"/>
      <c r="LR253" s="6056"/>
      <c r="LS253" s="6056"/>
      <c r="LT253" s="6056"/>
      <c r="LU253" s="6056"/>
      <c r="LV253" s="6056"/>
      <c r="LW253" s="6056"/>
      <c r="LX253" s="6056"/>
      <c r="LY253" s="6057"/>
      <c r="LZ253" s="6057"/>
      <c r="MA253" s="6057"/>
      <c r="MB253" s="6057"/>
      <c r="MC253" s="6057"/>
      <c r="MD253" s="6056"/>
      <c r="ME253" s="6057"/>
      <c r="MF253" s="6057"/>
      <c r="MG253" s="6057"/>
      <c r="MH253" s="6056"/>
      <c r="MI253" s="6057"/>
      <c r="MJ253" s="6057"/>
      <c r="MK253" s="6057"/>
      <c r="ML253" s="6057"/>
      <c r="MM253" s="6057"/>
      <c r="MN253" s="6056"/>
      <c r="MO253" s="6056"/>
      <c r="MP253" s="6056"/>
      <c r="MQ253" s="6056"/>
      <c r="MR253" s="6056"/>
      <c r="MS253" s="6056"/>
      <c r="MT253" s="6056"/>
      <c r="MU253" s="6058"/>
      <c r="MY253" s="6055"/>
      <c r="MZ253" s="6056"/>
      <c r="NA253" s="6056"/>
      <c r="NB253" s="6056"/>
      <c r="NC253" s="6056"/>
      <c r="ND253" s="6056"/>
      <c r="NE253" s="6056"/>
      <c r="NF253" s="6056"/>
      <c r="NG253" s="6056"/>
      <c r="NH253" s="6056"/>
      <c r="NI253" s="6056"/>
      <c r="NJ253" s="6056"/>
      <c r="NK253" s="6056"/>
      <c r="NL253" s="6056"/>
      <c r="NM253" s="6056"/>
      <c r="NN253" s="6056"/>
      <c r="NO253" s="6056"/>
      <c r="NP253" s="6056"/>
      <c r="NQ253" s="6056"/>
      <c r="NR253" s="6057"/>
      <c r="NS253" s="6057"/>
      <c r="NT253" s="6057"/>
      <c r="NU253" s="6057"/>
      <c r="NV253" s="6057"/>
      <c r="NW253" s="6056"/>
      <c r="NX253" s="6057"/>
      <c r="NY253" s="6057"/>
      <c r="NZ253" s="6057"/>
      <c r="OA253" s="6056"/>
      <c r="OB253" s="6057"/>
      <c r="OC253" s="6057"/>
      <c r="OD253" s="6057"/>
      <c r="OE253" s="6057"/>
      <c r="OF253" s="6057"/>
      <c r="OG253" s="6056"/>
      <c r="OH253" s="6056"/>
      <c r="OI253" s="6056"/>
      <c r="OJ253" s="6056"/>
      <c r="OK253" s="6056"/>
      <c r="OL253" s="6056"/>
      <c r="OM253" s="6056"/>
      <c r="ON253" s="6058"/>
    </row>
    <row r="254" spans="3:405" s="6075" customFormat="1" ht="12" customHeight="1" x14ac:dyDescent="0.2">
      <c r="C254" s="6071"/>
      <c r="D254" s="6060" t="str">
        <f>_Calcs!$N$80</f>
        <v>Tidjustering</v>
      </c>
      <c r="E254" s="6072"/>
      <c r="F254" s="6072"/>
      <c r="G254" s="6072"/>
      <c r="H254" s="6072"/>
      <c r="I254" s="6072"/>
      <c r="J254" s="6072"/>
      <c r="K254" s="6072"/>
      <c r="L254" s="6072"/>
      <c r="M254" s="6099"/>
      <c r="N254" s="6099"/>
      <c r="O254" s="6099"/>
      <c r="P254" s="6099"/>
      <c r="Q254" s="6099"/>
      <c r="R254" s="6099"/>
      <c r="S254" s="6099"/>
      <c r="T254" s="6099"/>
      <c r="U254" s="6072"/>
      <c r="V254" s="6072"/>
      <c r="W254" s="6072"/>
      <c r="X254" s="6072"/>
      <c r="Y254" s="6072"/>
      <c r="Z254" s="6072"/>
      <c r="AA254" s="6072"/>
      <c r="AB254" s="6072"/>
      <c r="AC254" s="6072"/>
      <c r="AD254" s="6072"/>
      <c r="AE254" s="6072"/>
      <c r="AF254" s="6072"/>
      <c r="AG254" s="6072"/>
      <c r="AH254" s="6072"/>
      <c r="AI254" s="6072"/>
      <c r="AJ254" s="6072"/>
      <c r="AK254" s="6072"/>
      <c r="AL254" s="6072"/>
      <c r="AM254" s="6072"/>
      <c r="AN254" s="6072"/>
      <c r="AO254" s="6072"/>
      <c r="AP254" s="6072"/>
      <c r="AQ254" s="6072"/>
      <c r="AR254" s="6074"/>
      <c r="AV254" s="6071"/>
      <c r="AW254" s="6060" t="str">
        <f>_Calcs!$N$80</f>
        <v>Tidjustering</v>
      </c>
      <c r="AX254" s="6072"/>
      <c r="AY254" s="6072"/>
      <c r="AZ254" s="6072"/>
      <c r="BA254" s="6072"/>
      <c r="BB254" s="6072"/>
      <c r="BC254" s="6072"/>
      <c r="BD254" s="6072"/>
      <c r="BE254" s="6072"/>
      <c r="BF254" s="6099"/>
      <c r="BG254" s="6099"/>
      <c r="BH254" s="6099"/>
      <c r="BI254" s="6099"/>
      <c r="BJ254" s="6099"/>
      <c r="BK254" s="6099"/>
      <c r="BL254" s="6099"/>
      <c r="BM254" s="6099"/>
      <c r="BN254" s="6072"/>
      <c r="BO254" s="6072"/>
      <c r="BP254" s="6072"/>
      <c r="BQ254" s="6072"/>
      <c r="BR254" s="6072"/>
      <c r="BS254" s="6072"/>
      <c r="BT254" s="6072"/>
      <c r="BU254" s="6072"/>
      <c r="BV254" s="6072"/>
      <c r="BW254" s="6072"/>
      <c r="BX254" s="6072"/>
      <c r="BY254" s="6072"/>
      <c r="BZ254" s="6072"/>
      <c r="CA254" s="6072"/>
      <c r="CB254" s="6072"/>
      <c r="CC254" s="6072"/>
      <c r="CD254" s="6072"/>
      <c r="CE254" s="6072"/>
      <c r="CF254" s="6072"/>
      <c r="CG254" s="6072"/>
      <c r="CH254" s="6072"/>
      <c r="CI254" s="6072"/>
      <c r="CJ254" s="6072"/>
      <c r="CK254" s="6074"/>
      <c r="CO254" s="6071"/>
      <c r="CP254" s="6060" t="str">
        <f>_Calcs!$N$80</f>
        <v>Tidjustering</v>
      </c>
      <c r="CQ254" s="6072"/>
      <c r="CR254" s="6072"/>
      <c r="CS254" s="6072"/>
      <c r="CT254" s="6072"/>
      <c r="CU254" s="6072"/>
      <c r="CV254" s="6072"/>
      <c r="CW254" s="6072"/>
      <c r="CX254" s="6072"/>
      <c r="CY254" s="6099"/>
      <c r="CZ254" s="6099"/>
      <c r="DA254" s="6099"/>
      <c r="DB254" s="6099"/>
      <c r="DC254" s="6099"/>
      <c r="DD254" s="6099"/>
      <c r="DE254" s="6099"/>
      <c r="DF254" s="6099"/>
      <c r="DG254" s="6072"/>
      <c r="DH254" s="6072"/>
      <c r="DI254" s="6072"/>
      <c r="DJ254" s="6072"/>
      <c r="DK254" s="6072"/>
      <c r="DL254" s="6072"/>
      <c r="DM254" s="6072"/>
      <c r="DN254" s="6072"/>
      <c r="DO254" s="6072"/>
      <c r="DP254" s="6072"/>
      <c r="DQ254" s="6072"/>
      <c r="DR254" s="6072"/>
      <c r="DS254" s="6072"/>
      <c r="DT254" s="6072"/>
      <c r="DU254" s="6072"/>
      <c r="DV254" s="6072"/>
      <c r="DW254" s="6072"/>
      <c r="DX254" s="6072"/>
      <c r="DY254" s="6072"/>
      <c r="DZ254" s="6072"/>
      <c r="EA254" s="6072"/>
      <c r="EB254" s="6072"/>
      <c r="EC254" s="6072"/>
      <c r="ED254" s="6074"/>
      <c r="EH254" s="6071"/>
      <c r="EI254" s="6060" t="str">
        <f>_Calcs!$N$80</f>
        <v>Tidjustering</v>
      </c>
      <c r="EJ254" s="6072"/>
      <c r="EK254" s="6072"/>
      <c r="EL254" s="6072"/>
      <c r="EM254" s="6072"/>
      <c r="EN254" s="6072"/>
      <c r="EO254" s="6072"/>
      <c r="EP254" s="6072"/>
      <c r="EQ254" s="6072"/>
      <c r="ER254" s="6099"/>
      <c r="ES254" s="6099"/>
      <c r="ET254" s="6099"/>
      <c r="EU254" s="6099"/>
      <c r="EV254" s="6099"/>
      <c r="EW254" s="6099"/>
      <c r="EX254" s="6099"/>
      <c r="EY254" s="6099"/>
      <c r="EZ254" s="6072"/>
      <c r="FA254" s="6072"/>
      <c r="FB254" s="6072"/>
      <c r="FC254" s="6072"/>
      <c r="FD254" s="6072"/>
      <c r="FE254" s="6072"/>
      <c r="FF254" s="6072"/>
      <c r="FG254" s="6072"/>
      <c r="FH254" s="6072"/>
      <c r="FI254" s="6072"/>
      <c r="FJ254" s="6072"/>
      <c r="FK254" s="6072"/>
      <c r="FL254" s="6072"/>
      <c r="FM254" s="6072"/>
      <c r="FN254" s="6072"/>
      <c r="FO254" s="6072"/>
      <c r="FP254" s="6072"/>
      <c r="FQ254" s="6072"/>
      <c r="FR254" s="6072"/>
      <c r="FS254" s="6072"/>
      <c r="FT254" s="6072"/>
      <c r="FU254" s="6072"/>
      <c r="FV254" s="6072"/>
      <c r="FW254" s="6074"/>
      <c r="GA254" s="6071"/>
      <c r="GB254" s="6060" t="str">
        <f>_Calcs!$N$80</f>
        <v>Tidjustering</v>
      </c>
      <c r="GC254" s="6072"/>
      <c r="GD254" s="6072"/>
      <c r="GE254" s="6072"/>
      <c r="GF254" s="6072"/>
      <c r="GG254" s="6072"/>
      <c r="GH254" s="6072"/>
      <c r="GI254" s="6072"/>
      <c r="GJ254" s="6072"/>
      <c r="GK254" s="6099"/>
      <c r="GL254" s="6099"/>
      <c r="GM254" s="6099"/>
      <c r="GN254" s="6099"/>
      <c r="GO254" s="6099"/>
      <c r="GP254" s="6099"/>
      <c r="GQ254" s="6099"/>
      <c r="GR254" s="6099"/>
      <c r="GS254" s="6072"/>
      <c r="GT254" s="6072"/>
      <c r="GU254" s="6072"/>
      <c r="GV254" s="6072"/>
      <c r="GW254" s="6072"/>
      <c r="GX254" s="6072"/>
      <c r="GY254" s="6072"/>
      <c r="GZ254" s="6072"/>
      <c r="HA254" s="6072"/>
      <c r="HB254" s="6072"/>
      <c r="HC254" s="6072"/>
      <c r="HD254" s="6072"/>
      <c r="HE254" s="6072"/>
      <c r="HF254" s="6072"/>
      <c r="HG254" s="6072"/>
      <c r="HH254" s="6072"/>
      <c r="HI254" s="6072"/>
      <c r="HJ254" s="6072"/>
      <c r="HK254" s="6072"/>
      <c r="HL254" s="6072"/>
      <c r="HM254" s="6072"/>
      <c r="HN254" s="6072"/>
      <c r="HO254" s="6072"/>
      <c r="HP254" s="6074"/>
      <c r="HT254" s="6071"/>
      <c r="HU254" s="6060" t="str">
        <f>_Calcs!$N$80</f>
        <v>Tidjustering</v>
      </c>
      <c r="HV254" s="6072"/>
      <c r="HW254" s="6072"/>
      <c r="HX254" s="6072"/>
      <c r="HY254" s="6072"/>
      <c r="HZ254" s="6072"/>
      <c r="IA254" s="6072"/>
      <c r="IB254" s="6072"/>
      <c r="IC254" s="6072"/>
      <c r="ID254" s="6099"/>
      <c r="IE254" s="6099"/>
      <c r="IF254" s="6099"/>
      <c r="IG254" s="6099"/>
      <c r="IH254" s="6099"/>
      <c r="II254" s="6099"/>
      <c r="IJ254" s="6099"/>
      <c r="IK254" s="6099"/>
      <c r="IL254" s="6072"/>
      <c r="IM254" s="6072"/>
      <c r="IN254" s="6072"/>
      <c r="IO254" s="6072"/>
      <c r="IP254" s="6072"/>
      <c r="IQ254" s="6072"/>
      <c r="IR254" s="6072"/>
      <c r="IS254" s="6072"/>
      <c r="IT254" s="6072"/>
      <c r="IU254" s="6072"/>
      <c r="IV254" s="6072"/>
      <c r="IW254" s="6072"/>
      <c r="IX254" s="6072"/>
      <c r="IY254" s="6072"/>
      <c r="IZ254" s="6072"/>
      <c r="JA254" s="6072"/>
      <c r="JB254" s="6072"/>
      <c r="JC254" s="6072"/>
      <c r="JD254" s="6072"/>
      <c r="JE254" s="6072"/>
      <c r="JF254" s="6072"/>
      <c r="JG254" s="6072"/>
      <c r="JH254" s="6072"/>
      <c r="JI254" s="6074"/>
      <c r="JM254" s="6071"/>
      <c r="JN254" s="6060" t="str">
        <f>_Calcs!$N$80</f>
        <v>Tidjustering</v>
      </c>
      <c r="JO254" s="6072"/>
      <c r="JP254" s="6072"/>
      <c r="JQ254" s="6072"/>
      <c r="JR254" s="6072"/>
      <c r="JS254" s="6072"/>
      <c r="JT254" s="6072"/>
      <c r="JU254" s="6072"/>
      <c r="JV254" s="6072"/>
      <c r="JW254" s="6099"/>
      <c r="JX254" s="6099"/>
      <c r="JY254" s="6099"/>
      <c r="JZ254" s="6099"/>
      <c r="KA254" s="6099"/>
      <c r="KB254" s="6099"/>
      <c r="KC254" s="6099"/>
      <c r="KD254" s="6099"/>
      <c r="KE254" s="6072"/>
      <c r="KF254" s="6072"/>
      <c r="KG254" s="6072"/>
      <c r="KH254" s="6072"/>
      <c r="KI254" s="6072"/>
      <c r="KJ254" s="6072"/>
      <c r="KK254" s="6072"/>
      <c r="KL254" s="6072"/>
      <c r="KM254" s="6072"/>
      <c r="KN254" s="6072"/>
      <c r="KO254" s="6072"/>
      <c r="KP254" s="6072"/>
      <c r="KQ254" s="6072"/>
      <c r="KR254" s="6072"/>
      <c r="KS254" s="6072"/>
      <c r="KT254" s="6072"/>
      <c r="KU254" s="6072"/>
      <c r="KV254" s="6072"/>
      <c r="KW254" s="6072"/>
      <c r="KX254" s="6072"/>
      <c r="KY254" s="6072"/>
      <c r="KZ254" s="6072"/>
      <c r="LA254" s="6072"/>
      <c r="LB254" s="6074"/>
      <c r="LF254" s="6071"/>
      <c r="LG254" s="6060" t="str">
        <f>_Calcs!$N$80</f>
        <v>Tidjustering</v>
      </c>
      <c r="LH254" s="6072"/>
      <c r="LI254" s="6072"/>
      <c r="LJ254" s="6072"/>
      <c r="LK254" s="6072"/>
      <c r="LL254" s="6072"/>
      <c r="LM254" s="6072"/>
      <c r="LN254" s="6072"/>
      <c r="LO254" s="6072"/>
      <c r="LP254" s="6099"/>
      <c r="LQ254" s="6099"/>
      <c r="LR254" s="6099"/>
      <c r="LS254" s="6099"/>
      <c r="LT254" s="6099"/>
      <c r="LU254" s="6099"/>
      <c r="LV254" s="6099"/>
      <c r="LW254" s="6099"/>
      <c r="LX254" s="6072"/>
      <c r="LY254" s="6072"/>
      <c r="LZ254" s="6072"/>
      <c r="MA254" s="6072"/>
      <c r="MB254" s="6072"/>
      <c r="MC254" s="6072"/>
      <c r="MD254" s="6072"/>
      <c r="ME254" s="6072"/>
      <c r="MF254" s="6072"/>
      <c r="MG254" s="6072"/>
      <c r="MH254" s="6072"/>
      <c r="MI254" s="6072"/>
      <c r="MJ254" s="6072"/>
      <c r="MK254" s="6072"/>
      <c r="ML254" s="6072"/>
      <c r="MM254" s="6072"/>
      <c r="MN254" s="6072"/>
      <c r="MO254" s="6072"/>
      <c r="MP254" s="6072"/>
      <c r="MQ254" s="6072"/>
      <c r="MR254" s="6072"/>
      <c r="MS254" s="6072"/>
      <c r="MT254" s="6072"/>
      <c r="MU254" s="6074"/>
      <c r="MY254" s="6071"/>
      <c r="MZ254" s="6060" t="str">
        <f>_Calcs!$N$80</f>
        <v>Tidjustering</v>
      </c>
      <c r="NA254" s="6072"/>
      <c r="NB254" s="6072"/>
      <c r="NC254" s="6072"/>
      <c r="ND254" s="6072"/>
      <c r="NE254" s="6072"/>
      <c r="NF254" s="6072"/>
      <c r="NG254" s="6072"/>
      <c r="NH254" s="6072"/>
      <c r="NI254" s="6099"/>
      <c r="NJ254" s="6099"/>
      <c r="NK254" s="6099"/>
      <c r="NL254" s="6099"/>
      <c r="NM254" s="6099"/>
      <c r="NN254" s="6099"/>
      <c r="NO254" s="6099"/>
      <c r="NP254" s="6099"/>
      <c r="NQ254" s="6072"/>
      <c r="NR254" s="6072"/>
      <c r="NS254" s="6072"/>
      <c r="NT254" s="6072"/>
      <c r="NU254" s="6072"/>
      <c r="NV254" s="6072"/>
      <c r="NW254" s="6072"/>
      <c r="NX254" s="6072"/>
      <c r="NY254" s="6072"/>
      <c r="NZ254" s="6072"/>
      <c r="OA254" s="6072"/>
      <c r="OB254" s="6072"/>
      <c r="OC254" s="6072"/>
      <c r="OD254" s="6072"/>
      <c r="OE254" s="6072"/>
      <c r="OF254" s="6072"/>
      <c r="OG254" s="6072"/>
      <c r="OH254" s="6072"/>
      <c r="OI254" s="6072"/>
      <c r="OJ254" s="6072"/>
      <c r="OK254" s="6072"/>
      <c r="OL254" s="6072"/>
      <c r="OM254" s="6072"/>
      <c r="ON254" s="6074"/>
    </row>
    <row r="255" spans="3:405" ht="5.0999999999999996" customHeight="1" thickBot="1" x14ac:dyDescent="0.25">
      <c r="C255" s="6055"/>
      <c r="D255" s="6056"/>
      <c r="E255" s="6056"/>
      <c r="F255" s="6056"/>
      <c r="G255" s="6056"/>
      <c r="H255" s="6056"/>
      <c r="I255" s="6056"/>
      <c r="J255" s="6056"/>
      <c r="K255" s="6056"/>
      <c r="L255" s="6056"/>
      <c r="M255" s="6100"/>
      <c r="N255" s="6100"/>
      <c r="O255" s="6100"/>
      <c r="P255" s="6100"/>
      <c r="Q255" s="6100"/>
      <c r="R255" s="6100"/>
      <c r="S255" s="6100"/>
      <c r="T255" s="6100"/>
      <c r="U255" s="6056"/>
      <c r="V255" s="6057"/>
      <c r="W255" s="6057"/>
      <c r="X255" s="6057"/>
      <c r="Y255" s="6057"/>
      <c r="Z255" s="6057"/>
      <c r="AA255" s="6056"/>
      <c r="AB255" s="6057"/>
      <c r="AC255" s="6057"/>
      <c r="AD255" s="6057"/>
      <c r="AE255" s="6056"/>
      <c r="AF255" s="6057"/>
      <c r="AG255" s="6057"/>
      <c r="AH255" s="6057"/>
      <c r="AI255" s="6057"/>
      <c r="AJ255" s="6057"/>
      <c r="AK255" s="6056"/>
      <c r="AL255" s="6056"/>
      <c r="AM255" s="6056"/>
      <c r="AN255" s="6056"/>
      <c r="AO255" s="6056"/>
      <c r="AP255" s="6056"/>
      <c r="AQ255" s="6056"/>
      <c r="AR255" s="6058"/>
      <c r="AV255" s="6055"/>
      <c r="AW255" s="6056"/>
      <c r="AX255" s="6056"/>
      <c r="AY255" s="6056"/>
      <c r="AZ255" s="6056"/>
      <c r="BA255" s="6056"/>
      <c r="BB255" s="6056"/>
      <c r="BC255" s="6056"/>
      <c r="BD255" s="6056"/>
      <c r="BE255" s="6056"/>
      <c r="BF255" s="6100"/>
      <c r="BG255" s="6100"/>
      <c r="BH255" s="6100"/>
      <c r="BI255" s="6100"/>
      <c r="BJ255" s="6100"/>
      <c r="BK255" s="6100"/>
      <c r="BL255" s="6100"/>
      <c r="BM255" s="6100"/>
      <c r="BN255" s="6056"/>
      <c r="BO255" s="6057"/>
      <c r="BP255" s="6057"/>
      <c r="BQ255" s="6057"/>
      <c r="BR255" s="6057"/>
      <c r="BS255" s="6057"/>
      <c r="BT255" s="6056"/>
      <c r="BU255" s="6057"/>
      <c r="BV255" s="6057"/>
      <c r="BW255" s="6057"/>
      <c r="BX255" s="6056"/>
      <c r="BY255" s="6057"/>
      <c r="BZ255" s="6057"/>
      <c r="CA255" s="6057"/>
      <c r="CB255" s="6057"/>
      <c r="CC255" s="6057"/>
      <c r="CD255" s="6056"/>
      <c r="CE255" s="6056"/>
      <c r="CF255" s="6056"/>
      <c r="CG255" s="6056"/>
      <c r="CH255" s="6056"/>
      <c r="CI255" s="6056"/>
      <c r="CJ255" s="6056"/>
      <c r="CK255" s="6058"/>
      <c r="CO255" s="6055"/>
      <c r="CP255" s="6056"/>
      <c r="CQ255" s="6056"/>
      <c r="CR255" s="6056"/>
      <c r="CS255" s="6056"/>
      <c r="CT255" s="6056"/>
      <c r="CU255" s="6056"/>
      <c r="CV255" s="6056"/>
      <c r="CW255" s="6056"/>
      <c r="CX255" s="6056"/>
      <c r="CY255" s="6100"/>
      <c r="CZ255" s="6100"/>
      <c r="DA255" s="6100"/>
      <c r="DB255" s="6100"/>
      <c r="DC255" s="6100"/>
      <c r="DD255" s="6100"/>
      <c r="DE255" s="6100"/>
      <c r="DF255" s="6100"/>
      <c r="DG255" s="6056"/>
      <c r="DH255" s="6057"/>
      <c r="DI255" s="6057"/>
      <c r="DJ255" s="6057"/>
      <c r="DK255" s="6057"/>
      <c r="DL255" s="6057"/>
      <c r="DM255" s="6056"/>
      <c r="DN255" s="6057"/>
      <c r="DO255" s="6057"/>
      <c r="DP255" s="6057"/>
      <c r="DQ255" s="6056"/>
      <c r="DR255" s="6057"/>
      <c r="DS255" s="6057"/>
      <c r="DT255" s="6057"/>
      <c r="DU255" s="6057"/>
      <c r="DV255" s="6057"/>
      <c r="DW255" s="6056"/>
      <c r="DX255" s="6056"/>
      <c r="DY255" s="6056"/>
      <c r="DZ255" s="6056"/>
      <c r="EA255" s="6056"/>
      <c r="EB255" s="6056"/>
      <c r="EC255" s="6056"/>
      <c r="ED255" s="6058"/>
      <c r="EH255" s="6055"/>
      <c r="EI255" s="6056"/>
      <c r="EJ255" s="6056"/>
      <c r="EK255" s="6056"/>
      <c r="EL255" s="6056"/>
      <c r="EM255" s="6056"/>
      <c r="EN255" s="6056"/>
      <c r="EO255" s="6056"/>
      <c r="EP255" s="6056"/>
      <c r="EQ255" s="6056"/>
      <c r="ER255" s="6100"/>
      <c r="ES255" s="6100"/>
      <c r="ET255" s="6100"/>
      <c r="EU255" s="6100"/>
      <c r="EV255" s="6100"/>
      <c r="EW255" s="6100"/>
      <c r="EX255" s="6100"/>
      <c r="EY255" s="6100"/>
      <c r="EZ255" s="6056"/>
      <c r="FA255" s="6057"/>
      <c r="FB255" s="6057"/>
      <c r="FC255" s="6057"/>
      <c r="FD255" s="6057"/>
      <c r="FE255" s="6057"/>
      <c r="FF255" s="6056"/>
      <c r="FG255" s="6057"/>
      <c r="FH255" s="6057"/>
      <c r="FI255" s="6057"/>
      <c r="FJ255" s="6056"/>
      <c r="FK255" s="6057"/>
      <c r="FL255" s="6057"/>
      <c r="FM255" s="6057"/>
      <c r="FN255" s="6057"/>
      <c r="FO255" s="6057"/>
      <c r="FP255" s="6056"/>
      <c r="FQ255" s="6056"/>
      <c r="FR255" s="6056"/>
      <c r="FS255" s="6056"/>
      <c r="FT255" s="6056"/>
      <c r="FU255" s="6056"/>
      <c r="FV255" s="6056"/>
      <c r="FW255" s="6058"/>
      <c r="GA255" s="6055"/>
      <c r="GB255" s="6056"/>
      <c r="GC255" s="6056"/>
      <c r="GD255" s="6056"/>
      <c r="GE255" s="6056"/>
      <c r="GF255" s="6056"/>
      <c r="GG255" s="6056"/>
      <c r="GH255" s="6056"/>
      <c r="GI255" s="6056"/>
      <c r="GJ255" s="6056"/>
      <c r="GK255" s="6100"/>
      <c r="GL255" s="6100"/>
      <c r="GM255" s="6100"/>
      <c r="GN255" s="6100"/>
      <c r="GO255" s="6100"/>
      <c r="GP255" s="6100"/>
      <c r="GQ255" s="6100"/>
      <c r="GR255" s="6100"/>
      <c r="GS255" s="6056"/>
      <c r="GT255" s="6057"/>
      <c r="GU255" s="6057"/>
      <c r="GV255" s="6057"/>
      <c r="GW255" s="6057"/>
      <c r="GX255" s="6057"/>
      <c r="GY255" s="6056"/>
      <c r="GZ255" s="6057"/>
      <c r="HA255" s="6057"/>
      <c r="HB255" s="6057"/>
      <c r="HC255" s="6056"/>
      <c r="HD255" s="6057"/>
      <c r="HE255" s="6057"/>
      <c r="HF255" s="6057"/>
      <c r="HG255" s="6057"/>
      <c r="HH255" s="6057"/>
      <c r="HI255" s="6056"/>
      <c r="HJ255" s="6056"/>
      <c r="HK255" s="6056"/>
      <c r="HL255" s="6056"/>
      <c r="HM255" s="6056"/>
      <c r="HN255" s="6056"/>
      <c r="HO255" s="6056"/>
      <c r="HP255" s="6058"/>
      <c r="HT255" s="6055"/>
      <c r="HU255" s="6056"/>
      <c r="HV255" s="6056"/>
      <c r="HW255" s="6056"/>
      <c r="HX255" s="6056"/>
      <c r="HY255" s="6056"/>
      <c r="HZ255" s="6056"/>
      <c r="IA255" s="6056"/>
      <c r="IB255" s="6056"/>
      <c r="IC255" s="6056"/>
      <c r="ID255" s="6100"/>
      <c r="IE255" s="6100"/>
      <c r="IF255" s="6100"/>
      <c r="IG255" s="6100"/>
      <c r="IH255" s="6100"/>
      <c r="II255" s="6100"/>
      <c r="IJ255" s="6100"/>
      <c r="IK255" s="6100"/>
      <c r="IL255" s="6056"/>
      <c r="IM255" s="6057"/>
      <c r="IN255" s="6057"/>
      <c r="IO255" s="6057"/>
      <c r="IP255" s="6057"/>
      <c r="IQ255" s="6057"/>
      <c r="IR255" s="6056"/>
      <c r="IS255" s="6057"/>
      <c r="IT255" s="6057"/>
      <c r="IU255" s="6057"/>
      <c r="IV255" s="6056"/>
      <c r="IW255" s="6057"/>
      <c r="IX255" s="6057"/>
      <c r="IY255" s="6057"/>
      <c r="IZ255" s="6057"/>
      <c r="JA255" s="6057"/>
      <c r="JB255" s="6056"/>
      <c r="JC255" s="6056"/>
      <c r="JD255" s="6056"/>
      <c r="JE255" s="6056"/>
      <c r="JF255" s="6056"/>
      <c r="JG255" s="6056"/>
      <c r="JH255" s="6056"/>
      <c r="JI255" s="6058"/>
      <c r="JM255" s="6055"/>
      <c r="JN255" s="6056"/>
      <c r="JO255" s="6056"/>
      <c r="JP255" s="6056"/>
      <c r="JQ255" s="6056"/>
      <c r="JR255" s="6056"/>
      <c r="JS255" s="6056"/>
      <c r="JT255" s="6056"/>
      <c r="JU255" s="6056"/>
      <c r="JV255" s="6056"/>
      <c r="JW255" s="6100"/>
      <c r="JX255" s="6100"/>
      <c r="JY255" s="6100"/>
      <c r="JZ255" s="6100"/>
      <c r="KA255" s="6100"/>
      <c r="KB255" s="6100"/>
      <c r="KC255" s="6100"/>
      <c r="KD255" s="6100"/>
      <c r="KE255" s="6056"/>
      <c r="KF255" s="6057"/>
      <c r="KG255" s="6057"/>
      <c r="KH255" s="6057"/>
      <c r="KI255" s="6057"/>
      <c r="KJ255" s="6057"/>
      <c r="KK255" s="6056"/>
      <c r="KL255" s="6057"/>
      <c r="KM255" s="6057"/>
      <c r="KN255" s="6057"/>
      <c r="KO255" s="6056"/>
      <c r="KP255" s="6057"/>
      <c r="KQ255" s="6057"/>
      <c r="KR255" s="6057"/>
      <c r="KS255" s="6057"/>
      <c r="KT255" s="6057"/>
      <c r="KU255" s="6056"/>
      <c r="KV255" s="6056"/>
      <c r="KW255" s="6056"/>
      <c r="KX255" s="6056"/>
      <c r="KY255" s="6056"/>
      <c r="KZ255" s="6056"/>
      <c r="LA255" s="6056"/>
      <c r="LB255" s="6058"/>
      <c r="LF255" s="6055"/>
      <c r="LG255" s="6056"/>
      <c r="LH255" s="6056"/>
      <c r="LI255" s="6056"/>
      <c r="LJ255" s="6056"/>
      <c r="LK255" s="6056"/>
      <c r="LL255" s="6056"/>
      <c r="LM255" s="6056"/>
      <c r="LN255" s="6056"/>
      <c r="LO255" s="6056"/>
      <c r="LP255" s="6100"/>
      <c r="LQ255" s="6100"/>
      <c r="LR255" s="6100"/>
      <c r="LS255" s="6100"/>
      <c r="LT255" s="6100"/>
      <c r="LU255" s="6100"/>
      <c r="LV255" s="6100"/>
      <c r="LW255" s="6100"/>
      <c r="LX255" s="6056"/>
      <c r="LY255" s="6057"/>
      <c r="LZ255" s="6057"/>
      <c r="MA255" s="6057"/>
      <c r="MB255" s="6057"/>
      <c r="MC255" s="6057"/>
      <c r="MD255" s="6056"/>
      <c r="ME255" s="6057"/>
      <c r="MF255" s="6057"/>
      <c r="MG255" s="6057"/>
      <c r="MH255" s="6056"/>
      <c r="MI255" s="6057"/>
      <c r="MJ255" s="6057"/>
      <c r="MK255" s="6057"/>
      <c r="ML255" s="6057"/>
      <c r="MM255" s="6057"/>
      <c r="MN255" s="6056"/>
      <c r="MO255" s="6056"/>
      <c r="MP255" s="6056"/>
      <c r="MQ255" s="6056"/>
      <c r="MR255" s="6056"/>
      <c r="MS255" s="6056"/>
      <c r="MT255" s="6056"/>
      <c r="MU255" s="6058"/>
      <c r="MY255" s="6055"/>
      <c r="MZ255" s="6056"/>
      <c r="NA255" s="6056"/>
      <c r="NB255" s="6056"/>
      <c r="NC255" s="6056"/>
      <c r="ND255" s="6056"/>
      <c r="NE255" s="6056"/>
      <c r="NF255" s="6056"/>
      <c r="NG255" s="6056"/>
      <c r="NH255" s="6056"/>
      <c r="NI255" s="6100"/>
      <c r="NJ255" s="6100"/>
      <c r="NK255" s="6100"/>
      <c r="NL255" s="6100"/>
      <c r="NM255" s="6100"/>
      <c r="NN255" s="6100"/>
      <c r="NO255" s="6100"/>
      <c r="NP255" s="6100"/>
      <c r="NQ255" s="6056"/>
      <c r="NR255" s="6057"/>
      <c r="NS255" s="6057"/>
      <c r="NT255" s="6057"/>
      <c r="NU255" s="6057"/>
      <c r="NV255" s="6057"/>
      <c r="NW255" s="6056"/>
      <c r="NX255" s="6057"/>
      <c r="NY255" s="6057"/>
      <c r="NZ255" s="6057"/>
      <c r="OA255" s="6056"/>
      <c r="OB255" s="6057"/>
      <c r="OC255" s="6057"/>
      <c r="OD255" s="6057"/>
      <c r="OE255" s="6057"/>
      <c r="OF255" s="6057"/>
      <c r="OG255" s="6056"/>
      <c r="OH255" s="6056"/>
      <c r="OI255" s="6056"/>
      <c r="OJ255" s="6056"/>
      <c r="OK255" s="6056"/>
      <c r="OL255" s="6056"/>
      <c r="OM255" s="6056"/>
      <c r="ON255" s="6058"/>
    </row>
    <row r="256" spans="3:405" s="6070" customFormat="1" ht="20.100000000000001" customHeight="1" thickBot="1" x14ac:dyDescent="0.25">
      <c r="C256" s="6064"/>
      <c r="D256" s="6076"/>
      <c r="E256" s="6781" t="str">
        <f>_Calcs!$IK$182</f>
        <v/>
      </c>
      <c r="F256" s="6781"/>
      <c r="G256" s="6781"/>
      <c r="H256" s="6781"/>
      <c r="I256" s="6781"/>
      <c r="J256" s="6781"/>
      <c r="K256" s="6080"/>
      <c r="L256" s="6101"/>
      <c r="M256" s="6101"/>
      <c r="N256" s="6101"/>
      <c r="O256" s="6101"/>
      <c r="P256" s="6101"/>
      <c r="Q256" s="6101"/>
      <c r="R256" s="6101"/>
      <c r="S256" s="6101"/>
      <c r="T256" s="6101"/>
      <c r="U256" s="6068"/>
      <c r="V256" s="6067"/>
      <c r="W256" s="6067"/>
      <c r="X256" s="6067"/>
      <c r="Y256" s="6067"/>
      <c r="Z256" s="6067"/>
      <c r="AA256" s="6068"/>
      <c r="AB256" s="6067"/>
      <c r="AC256" s="6067"/>
      <c r="AD256" s="6067"/>
      <c r="AE256" s="6068"/>
      <c r="AF256" s="6067"/>
      <c r="AG256" s="6067"/>
      <c r="AH256" s="6067"/>
      <c r="AI256" s="6067"/>
      <c r="AJ256" s="6067"/>
      <c r="AK256" s="6068"/>
      <c r="AL256" s="6068"/>
      <c r="AM256" s="6068"/>
      <c r="AN256" s="6068"/>
      <c r="AO256" s="6068"/>
      <c r="AP256" s="6068"/>
      <c r="AQ256" s="6068"/>
      <c r="AR256" s="6098"/>
      <c r="AV256" s="6064"/>
      <c r="AW256" s="6076"/>
      <c r="AX256" s="6781" t="str">
        <f>_Calcs!$IL$182</f>
        <v/>
      </c>
      <c r="AY256" s="6781"/>
      <c r="AZ256" s="6781"/>
      <c r="BA256" s="6781"/>
      <c r="BB256" s="6781"/>
      <c r="BC256" s="6781"/>
      <c r="BD256" s="6080"/>
      <c r="BE256" s="6101"/>
      <c r="BF256" s="6101"/>
      <c r="BG256" s="6101"/>
      <c r="BH256" s="6101"/>
      <c r="BI256" s="6101"/>
      <c r="BJ256" s="6101"/>
      <c r="BK256" s="6101"/>
      <c r="BL256" s="6101"/>
      <c r="BM256" s="6101"/>
      <c r="BN256" s="6068"/>
      <c r="BO256" s="6067"/>
      <c r="BP256" s="6067"/>
      <c r="BQ256" s="6067"/>
      <c r="BR256" s="6067"/>
      <c r="BS256" s="6067"/>
      <c r="BT256" s="6068"/>
      <c r="BU256" s="6067"/>
      <c r="BV256" s="6067"/>
      <c r="BW256" s="6067"/>
      <c r="BX256" s="6068"/>
      <c r="BY256" s="6067"/>
      <c r="BZ256" s="6067"/>
      <c r="CA256" s="6067"/>
      <c r="CB256" s="6067"/>
      <c r="CC256" s="6067"/>
      <c r="CD256" s="6068"/>
      <c r="CE256" s="6068"/>
      <c r="CF256" s="6068"/>
      <c r="CG256" s="6068"/>
      <c r="CH256" s="6068"/>
      <c r="CI256" s="6068"/>
      <c r="CJ256" s="6068"/>
      <c r="CK256" s="6098"/>
      <c r="CO256" s="6064"/>
      <c r="CP256" s="6076"/>
      <c r="CQ256" s="6781" t="str">
        <f>_Calcs!$IM$182</f>
        <v/>
      </c>
      <c r="CR256" s="6781"/>
      <c r="CS256" s="6781"/>
      <c r="CT256" s="6781"/>
      <c r="CU256" s="6781"/>
      <c r="CV256" s="6781"/>
      <c r="CW256" s="6080"/>
      <c r="CX256" s="6101"/>
      <c r="CY256" s="6101"/>
      <c r="CZ256" s="6101"/>
      <c r="DA256" s="6101"/>
      <c r="DB256" s="6101"/>
      <c r="DC256" s="6101"/>
      <c r="DD256" s="6101"/>
      <c r="DE256" s="6101"/>
      <c r="DF256" s="6101"/>
      <c r="DG256" s="6068"/>
      <c r="DH256" s="6067"/>
      <c r="DI256" s="6067"/>
      <c r="DJ256" s="6067"/>
      <c r="DK256" s="6067"/>
      <c r="DL256" s="6067"/>
      <c r="DM256" s="6068"/>
      <c r="DN256" s="6067"/>
      <c r="DO256" s="6067"/>
      <c r="DP256" s="6067"/>
      <c r="DQ256" s="6068"/>
      <c r="DR256" s="6067"/>
      <c r="DS256" s="6067"/>
      <c r="DT256" s="6067"/>
      <c r="DU256" s="6067"/>
      <c r="DV256" s="6067"/>
      <c r="DW256" s="6068"/>
      <c r="DX256" s="6068"/>
      <c r="DY256" s="6068"/>
      <c r="DZ256" s="6068"/>
      <c r="EA256" s="6068"/>
      <c r="EB256" s="6068"/>
      <c r="EC256" s="6068"/>
      <c r="ED256" s="6098"/>
      <c r="EH256" s="6064"/>
      <c r="EI256" s="6076"/>
      <c r="EJ256" s="6781" t="str">
        <f>_Calcs!$IN$182</f>
        <v/>
      </c>
      <c r="EK256" s="6781"/>
      <c r="EL256" s="6781"/>
      <c r="EM256" s="6781"/>
      <c r="EN256" s="6781"/>
      <c r="EO256" s="6781"/>
      <c r="EP256" s="6080"/>
      <c r="EQ256" s="6101"/>
      <c r="ER256" s="6101"/>
      <c r="ES256" s="6101"/>
      <c r="ET256" s="6101"/>
      <c r="EU256" s="6101"/>
      <c r="EV256" s="6101"/>
      <c r="EW256" s="6101"/>
      <c r="EX256" s="6101"/>
      <c r="EY256" s="6101"/>
      <c r="EZ256" s="6068"/>
      <c r="FA256" s="6067"/>
      <c r="FB256" s="6067"/>
      <c r="FC256" s="6067"/>
      <c r="FD256" s="6067"/>
      <c r="FE256" s="6067"/>
      <c r="FF256" s="6068"/>
      <c r="FG256" s="6067"/>
      <c r="FH256" s="6067"/>
      <c r="FI256" s="6067"/>
      <c r="FJ256" s="6068"/>
      <c r="FK256" s="6067"/>
      <c r="FL256" s="6067"/>
      <c r="FM256" s="6067"/>
      <c r="FN256" s="6067"/>
      <c r="FO256" s="6067"/>
      <c r="FP256" s="6068"/>
      <c r="FQ256" s="6068"/>
      <c r="FR256" s="6068"/>
      <c r="FS256" s="6068"/>
      <c r="FT256" s="6068"/>
      <c r="FU256" s="6068"/>
      <c r="FV256" s="6068"/>
      <c r="FW256" s="6098"/>
      <c r="GA256" s="6064"/>
      <c r="GB256" s="6076"/>
      <c r="GC256" s="6781" t="str">
        <f>_Calcs!$IO$182</f>
        <v/>
      </c>
      <c r="GD256" s="6781"/>
      <c r="GE256" s="6781"/>
      <c r="GF256" s="6781"/>
      <c r="GG256" s="6781"/>
      <c r="GH256" s="6781"/>
      <c r="GI256" s="6080"/>
      <c r="GJ256" s="6101"/>
      <c r="GK256" s="6101"/>
      <c r="GL256" s="6101"/>
      <c r="GM256" s="6101"/>
      <c r="GN256" s="6101"/>
      <c r="GO256" s="6101"/>
      <c r="GP256" s="6101"/>
      <c r="GQ256" s="6101"/>
      <c r="GR256" s="6101"/>
      <c r="GS256" s="6068"/>
      <c r="GT256" s="6067"/>
      <c r="GU256" s="6067"/>
      <c r="GV256" s="6067"/>
      <c r="GW256" s="6067"/>
      <c r="GX256" s="6067"/>
      <c r="GY256" s="6068"/>
      <c r="GZ256" s="6067"/>
      <c r="HA256" s="6067"/>
      <c r="HB256" s="6067"/>
      <c r="HC256" s="6068"/>
      <c r="HD256" s="6067"/>
      <c r="HE256" s="6067"/>
      <c r="HF256" s="6067"/>
      <c r="HG256" s="6067"/>
      <c r="HH256" s="6067"/>
      <c r="HI256" s="6068"/>
      <c r="HJ256" s="6068"/>
      <c r="HK256" s="6068"/>
      <c r="HL256" s="6068"/>
      <c r="HM256" s="6068"/>
      <c r="HN256" s="6068"/>
      <c r="HO256" s="6068"/>
      <c r="HP256" s="6098"/>
      <c r="HT256" s="6064"/>
      <c r="HU256" s="6076"/>
      <c r="HV256" s="6781" t="str">
        <f>_Calcs!$IP$182</f>
        <v/>
      </c>
      <c r="HW256" s="6781"/>
      <c r="HX256" s="6781"/>
      <c r="HY256" s="6781"/>
      <c r="HZ256" s="6781"/>
      <c r="IA256" s="6781"/>
      <c r="IB256" s="6080"/>
      <c r="IC256" s="6101"/>
      <c r="ID256" s="6101"/>
      <c r="IE256" s="6101"/>
      <c r="IF256" s="6101"/>
      <c r="IG256" s="6101"/>
      <c r="IH256" s="6101"/>
      <c r="II256" s="6101"/>
      <c r="IJ256" s="6101"/>
      <c r="IK256" s="6101"/>
      <c r="IL256" s="6068"/>
      <c r="IM256" s="6067"/>
      <c r="IN256" s="6067"/>
      <c r="IO256" s="6067"/>
      <c r="IP256" s="6067"/>
      <c r="IQ256" s="6067"/>
      <c r="IR256" s="6068"/>
      <c r="IS256" s="6067"/>
      <c r="IT256" s="6067"/>
      <c r="IU256" s="6067"/>
      <c r="IV256" s="6068"/>
      <c r="IW256" s="6067"/>
      <c r="IX256" s="6067"/>
      <c r="IY256" s="6067"/>
      <c r="IZ256" s="6067"/>
      <c r="JA256" s="6067"/>
      <c r="JB256" s="6068"/>
      <c r="JC256" s="6068"/>
      <c r="JD256" s="6068"/>
      <c r="JE256" s="6068"/>
      <c r="JF256" s="6068"/>
      <c r="JG256" s="6068"/>
      <c r="JH256" s="6068"/>
      <c r="JI256" s="6098"/>
      <c r="JM256" s="6064"/>
      <c r="JN256" s="6076"/>
      <c r="JO256" s="6781" t="str">
        <f>_Calcs!$IQ$182</f>
        <v/>
      </c>
      <c r="JP256" s="6781"/>
      <c r="JQ256" s="6781"/>
      <c r="JR256" s="6781"/>
      <c r="JS256" s="6781"/>
      <c r="JT256" s="6781"/>
      <c r="JU256" s="6080"/>
      <c r="JV256" s="6101"/>
      <c r="JW256" s="6101"/>
      <c r="JX256" s="6101"/>
      <c r="JY256" s="6101"/>
      <c r="JZ256" s="6101"/>
      <c r="KA256" s="6101"/>
      <c r="KB256" s="6101"/>
      <c r="KC256" s="6101"/>
      <c r="KD256" s="6101"/>
      <c r="KE256" s="6068"/>
      <c r="KF256" s="6067"/>
      <c r="KG256" s="6067"/>
      <c r="KH256" s="6067"/>
      <c r="KI256" s="6067"/>
      <c r="KJ256" s="6067"/>
      <c r="KK256" s="6068"/>
      <c r="KL256" s="6067"/>
      <c r="KM256" s="6067"/>
      <c r="KN256" s="6067"/>
      <c r="KO256" s="6068"/>
      <c r="KP256" s="6067"/>
      <c r="KQ256" s="6067"/>
      <c r="KR256" s="6067"/>
      <c r="KS256" s="6067"/>
      <c r="KT256" s="6067"/>
      <c r="KU256" s="6068"/>
      <c r="KV256" s="6068"/>
      <c r="KW256" s="6068"/>
      <c r="KX256" s="6068"/>
      <c r="KY256" s="6068"/>
      <c r="KZ256" s="6068"/>
      <c r="LA256" s="6068"/>
      <c r="LB256" s="6098"/>
      <c r="LF256" s="6064"/>
      <c r="LG256" s="6076"/>
      <c r="LH256" s="6781" t="str">
        <f>_Calcs!$IR$182</f>
        <v/>
      </c>
      <c r="LI256" s="6781"/>
      <c r="LJ256" s="6781"/>
      <c r="LK256" s="6781"/>
      <c r="LL256" s="6781"/>
      <c r="LM256" s="6781"/>
      <c r="LN256" s="6080"/>
      <c r="LO256" s="6101"/>
      <c r="LP256" s="6101"/>
      <c r="LQ256" s="6101"/>
      <c r="LR256" s="6101"/>
      <c r="LS256" s="6101"/>
      <c r="LT256" s="6101"/>
      <c r="LU256" s="6101"/>
      <c r="LV256" s="6101"/>
      <c r="LW256" s="6101"/>
      <c r="LX256" s="6068"/>
      <c r="LY256" s="6067"/>
      <c r="LZ256" s="6067"/>
      <c r="MA256" s="6067"/>
      <c r="MB256" s="6067"/>
      <c r="MC256" s="6067"/>
      <c r="MD256" s="6068"/>
      <c r="ME256" s="6067"/>
      <c r="MF256" s="6067"/>
      <c r="MG256" s="6067"/>
      <c r="MH256" s="6068"/>
      <c r="MI256" s="6067"/>
      <c r="MJ256" s="6067"/>
      <c r="MK256" s="6067"/>
      <c r="ML256" s="6067"/>
      <c r="MM256" s="6067"/>
      <c r="MN256" s="6068"/>
      <c r="MO256" s="6068"/>
      <c r="MP256" s="6068"/>
      <c r="MQ256" s="6068"/>
      <c r="MR256" s="6068"/>
      <c r="MS256" s="6068"/>
      <c r="MT256" s="6068"/>
      <c r="MU256" s="6098"/>
      <c r="MY256" s="6064"/>
      <c r="MZ256" s="6076"/>
      <c r="NA256" s="6781" t="str">
        <f>_Calcs!$IS$182</f>
        <v/>
      </c>
      <c r="NB256" s="6781"/>
      <c r="NC256" s="6781"/>
      <c r="ND256" s="6781"/>
      <c r="NE256" s="6781"/>
      <c r="NF256" s="6781"/>
      <c r="NG256" s="6080"/>
      <c r="NH256" s="6101"/>
      <c r="NI256" s="6101"/>
      <c r="NJ256" s="6101"/>
      <c r="NK256" s="6101"/>
      <c r="NL256" s="6101"/>
      <c r="NM256" s="6101"/>
      <c r="NN256" s="6101"/>
      <c r="NO256" s="6101"/>
      <c r="NP256" s="6101"/>
      <c r="NQ256" s="6068"/>
      <c r="NR256" s="6067"/>
      <c r="NS256" s="6067"/>
      <c r="NT256" s="6067"/>
      <c r="NU256" s="6067"/>
      <c r="NV256" s="6067"/>
      <c r="NW256" s="6068"/>
      <c r="NX256" s="6067"/>
      <c r="NY256" s="6067"/>
      <c r="NZ256" s="6067"/>
      <c r="OA256" s="6068"/>
      <c r="OB256" s="6067"/>
      <c r="OC256" s="6067"/>
      <c r="OD256" s="6067"/>
      <c r="OE256" s="6067"/>
      <c r="OF256" s="6067"/>
      <c r="OG256" s="6068"/>
      <c r="OH256" s="6068"/>
      <c r="OI256" s="6068"/>
      <c r="OJ256" s="6068"/>
      <c r="OK256" s="6068"/>
      <c r="OL256" s="6068"/>
      <c r="OM256" s="6068"/>
      <c r="ON256" s="6098"/>
    </row>
    <row r="257" spans="3:405" ht="8.1" customHeight="1" x14ac:dyDescent="0.2">
      <c r="C257" s="6055"/>
      <c r="D257" s="6056"/>
      <c r="E257" s="6056"/>
      <c r="F257" s="6056"/>
      <c r="G257" s="6056"/>
      <c r="H257" s="6056"/>
      <c r="I257" s="6056"/>
      <c r="J257" s="6056"/>
      <c r="K257" s="6056"/>
      <c r="L257" s="6056"/>
      <c r="M257" s="6056"/>
      <c r="N257" s="6056"/>
      <c r="O257" s="6056"/>
      <c r="P257" s="6056"/>
      <c r="Q257" s="6056"/>
      <c r="R257" s="6056"/>
      <c r="S257" s="6056"/>
      <c r="T257" s="6056"/>
      <c r="U257" s="6056"/>
      <c r="V257" s="6057"/>
      <c r="W257" s="6057"/>
      <c r="X257" s="6057"/>
      <c r="Y257" s="6057"/>
      <c r="Z257" s="6057"/>
      <c r="AA257" s="6056"/>
      <c r="AB257" s="6057"/>
      <c r="AC257" s="6057"/>
      <c r="AD257" s="6057"/>
      <c r="AE257" s="6056"/>
      <c r="AF257" s="6057"/>
      <c r="AG257" s="6057"/>
      <c r="AH257" s="6057"/>
      <c r="AI257" s="6057"/>
      <c r="AJ257" s="6057"/>
      <c r="AK257" s="6056"/>
      <c r="AL257" s="6056"/>
      <c r="AM257" s="6056"/>
      <c r="AN257" s="6056"/>
      <c r="AO257" s="6056"/>
      <c r="AP257" s="6056"/>
      <c r="AQ257" s="6056"/>
      <c r="AR257" s="6058"/>
      <c r="AV257" s="6055"/>
      <c r="AW257" s="6056"/>
      <c r="AX257" s="6056"/>
      <c r="AY257" s="6056"/>
      <c r="AZ257" s="6056"/>
      <c r="BA257" s="6056"/>
      <c r="BB257" s="6056"/>
      <c r="BC257" s="6056"/>
      <c r="BD257" s="6056"/>
      <c r="BE257" s="6056"/>
      <c r="BF257" s="6056"/>
      <c r="BG257" s="6056"/>
      <c r="BH257" s="6056"/>
      <c r="BI257" s="6056"/>
      <c r="BJ257" s="6056"/>
      <c r="BK257" s="6056"/>
      <c r="BL257" s="6056"/>
      <c r="BM257" s="6056"/>
      <c r="BN257" s="6056"/>
      <c r="BO257" s="6057"/>
      <c r="BP257" s="6057"/>
      <c r="BQ257" s="6057"/>
      <c r="BR257" s="6057"/>
      <c r="BS257" s="6057"/>
      <c r="BT257" s="6056"/>
      <c r="BU257" s="6057"/>
      <c r="BV257" s="6057"/>
      <c r="BW257" s="6057"/>
      <c r="BX257" s="6056"/>
      <c r="BY257" s="6057"/>
      <c r="BZ257" s="6057"/>
      <c r="CA257" s="6057"/>
      <c r="CB257" s="6057"/>
      <c r="CC257" s="6057"/>
      <c r="CD257" s="6056"/>
      <c r="CE257" s="6056"/>
      <c r="CF257" s="6056"/>
      <c r="CG257" s="6056"/>
      <c r="CH257" s="6056"/>
      <c r="CI257" s="6056"/>
      <c r="CJ257" s="6056"/>
      <c r="CK257" s="6058"/>
      <c r="CO257" s="6055"/>
      <c r="CP257" s="6056"/>
      <c r="CQ257" s="6056"/>
      <c r="CR257" s="6056"/>
      <c r="CS257" s="6056"/>
      <c r="CT257" s="6056"/>
      <c r="CU257" s="6056"/>
      <c r="CV257" s="6056"/>
      <c r="CW257" s="6056"/>
      <c r="CX257" s="6056"/>
      <c r="CY257" s="6056"/>
      <c r="CZ257" s="6056"/>
      <c r="DA257" s="6056"/>
      <c r="DB257" s="6056"/>
      <c r="DC257" s="6056"/>
      <c r="DD257" s="6056"/>
      <c r="DE257" s="6056"/>
      <c r="DF257" s="6056"/>
      <c r="DG257" s="6056"/>
      <c r="DH257" s="6057"/>
      <c r="DI257" s="6057"/>
      <c r="DJ257" s="6057"/>
      <c r="DK257" s="6057"/>
      <c r="DL257" s="6057"/>
      <c r="DM257" s="6056"/>
      <c r="DN257" s="6057"/>
      <c r="DO257" s="6057"/>
      <c r="DP257" s="6057"/>
      <c r="DQ257" s="6056"/>
      <c r="DR257" s="6057"/>
      <c r="DS257" s="6057"/>
      <c r="DT257" s="6057"/>
      <c r="DU257" s="6057"/>
      <c r="DV257" s="6057"/>
      <c r="DW257" s="6056"/>
      <c r="DX257" s="6056"/>
      <c r="DY257" s="6056"/>
      <c r="DZ257" s="6056"/>
      <c r="EA257" s="6056"/>
      <c r="EB257" s="6056"/>
      <c r="EC257" s="6056"/>
      <c r="ED257" s="6058"/>
      <c r="EH257" s="6055"/>
      <c r="EI257" s="6056"/>
      <c r="EJ257" s="6056"/>
      <c r="EK257" s="6056"/>
      <c r="EL257" s="6056"/>
      <c r="EM257" s="6056"/>
      <c r="EN257" s="6056"/>
      <c r="EO257" s="6056"/>
      <c r="EP257" s="6056"/>
      <c r="EQ257" s="6056"/>
      <c r="ER257" s="6056"/>
      <c r="ES257" s="6056"/>
      <c r="ET257" s="6056"/>
      <c r="EU257" s="6056"/>
      <c r="EV257" s="6056"/>
      <c r="EW257" s="6056"/>
      <c r="EX257" s="6056"/>
      <c r="EY257" s="6056"/>
      <c r="EZ257" s="6056"/>
      <c r="FA257" s="6057"/>
      <c r="FB257" s="6057"/>
      <c r="FC257" s="6057"/>
      <c r="FD257" s="6057"/>
      <c r="FE257" s="6057"/>
      <c r="FF257" s="6056"/>
      <c r="FG257" s="6057"/>
      <c r="FH257" s="6057"/>
      <c r="FI257" s="6057"/>
      <c r="FJ257" s="6056"/>
      <c r="FK257" s="6057"/>
      <c r="FL257" s="6057"/>
      <c r="FM257" s="6057"/>
      <c r="FN257" s="6057"/>
      <c r="FO257" s="6057"/>
      <c r="FP257" s="6056"/>
      <c r="FQ257" s="6056"/>
      <c r="FR257" s="6056"/>
      <c r="FS257" s="6056"/>
      <c r="FT257" s="6056"/>
      <c r="FU257" s="6056"/>
      <c r="FV257" s="6056"/>
      <c r="FW257" s="6058"/>
      <c r="GA257" s="6055"/>
      <c r="GB257" s="6056"/>
      <c r="GC257" s="6056"/>
      <c r="GD257" s="6056"/>
      <c r="GE257" s="6056"/>
      <c r="GF257" s="6056"/>
      <c r="GG257" s="6056"/>
      <c r="GH257" s="6056"/>
      <c r="GI257" s="6056"/>
      <c r="GJ257" s="6056"/>
      <c r="GK257" s="6056"/>
      <c r="GL257" s="6056"/>
      <c r="GM257" s="6056"/>
      <c r="GN257" s="6056"/>
      <c r="GO257" s="6056"/>
      <c r="GP257" s="6056"/>
      <c r="GQ257" s="6056"/>
      <c r="GR257" s="6056"/>
      <c r="GS257" s="6056"/>
      <c r="GT257" s="6057"/>
      <c r="GU257" s="6057"/>
      <c r="GV257" s="6057"/>
      <c r="GW257" s="6057"/>
      <c r="GX257" s="6057"/>
      <c r="GY257" s="6056"/>
      <c r="GZ257" s="6057"/>
      <c r="HA257" s="6057"/>
      <c r="HB257" s="6057"/>
      <c r="HC257" s="6056"/>
      <c r="HD257" s="6057"/>
      <c r="HE257" s="6057"/>
      <c r="HF257" s="6057"/>
      <c r="HG257" s="6057"/>
      <c r="HH257" s="6057"/>
      <c r="HI257" s="6056"/>
      <c r="HJ257" s="6056"/>
      <c r="HK257" s="6056"/>
      <c r="HL257" s="6056"/>
      <c r="HM257" s="6056"/>
      <c r="HN257" s="6056"/>
      <c r="HO257" s="6056"/>
      <c r="HP257" s="6058"/>
      <c r="HT257" s="6055"/>
      <c r="HU257" s="6056"/>
      <c r="HV257" s="6056"/>
      <c r="HW257" s="6056"/>
      <c r="HX257" s="6056"/>
      <c r="HY257" s="6056"/>
      <c r="HZ257" s="6056"/>
      <c r="IA257" s="6056"/>
      <c r="IB257" s="6056"/>
      <c r="IC257" s="6056"/>
      <c r="ID257" s="6056"/>
      <c r="IE257" s="6056"/>
      <c r="IF257" s="6056"/>
      <c r="IG257" s="6056"/>
      <c r="IH257" s="6056"/>
      <c r="II257" s="6056"/>
      <c r="IJ257" s="6056"/>
      <c r="IK257" s="6056"/>
      <c r="IL257" s="6056"/>
      <c r="IM257" s="6057"/>
      <c r="IN257" s="6057"/>
      <c r="IO257" s="6057"/>
      <c r="IP257" s="6057"/>
      <c r="IQ257" s="6057"/>
      <c r="IR257" s="6056"/>
      <c r="IS257" s="6057"/>
      <c r="IT257" s="6057"/>
      <c r="IU257" s="6057"/>
      <c r="IV257" s="6056"/>
      <c r="IW257" s="6057"/>
      <c r="IX257" s="6057"/>
      <c r="IY257" s="6057"/>
      <c r="IZ257" s="6057"/>
      <c r="JA257" s="6057"/>
      <c r="JB257" s="6056"/>
      <c r="JC257" s="6056"/>
      <c r="JD257" s="6056"/>
      <c r="JE257" s="6056"/>
      <c r="JF257" s="6056"/>
      <c r="JG257" s="6056"/>
      <c r="JH257" s="6056"/>
      <c r="JI257" s="6058"/>
      <c r="JM257" s="6055"/>
      <c r="JN257" s="6056"/>
      <c r="JO257" s="6056"/>
      <c r="JP257" s="6056"/>
      <c r="JQ257" s="6056"/>
      <c r="JR257" s="6056"/>
      <c r="JS257" s="6056"/>
      <c r="JT257" s="6056"/>
      <c r="JU257" s="6056"/>
      <c r="JV257" s="6056"/>
      <c r="JW257" s="6056"/>
      <c r="JX257" s="6056"/>
      <c r="JY257" s="6056"/>
      <c r="JZ257" s="6056"/>
      <c r="KA257" s="6056"/>
      <c r="KB257" s="6056"/>
      <c r="KC257" s="6056"/>
      <c r="KD257" s="6056"/>
      <c r="KE257" s="6056"/>
      <c r="KF257" s="6057"/>
      <c r="KG257" s="6057"/>
      <c r="KH257" s="6057"/>
      <c r="KI257" s="6057"/>
      <c r="KJ257" s="6057"/>
      <c r="KK257" s="6056"/>
      <c r="KL257" s="6057"/>
      <c r="KM257" s="6057"/>
      <c r="KN257" s="6057"/>
      <c r="KO257" s="6056"/>
      <c r="KP257" s="6057"/>
      <c r="KQ257" s="6057"/>
      <c r="KR257" s="6057"/>
      <c r="KS257" s="6057"/>
      <c r="KT257" s="6057"/>
      <c r="KU257" s="6056"/>
      <c r="KV257" s="6056"/>
      <c r="KW257" s="6056"/>
      <c r="KX257" s="6056"/>
      <c r="KY257" s="6056"/>
      <c r="KZ257" s="6056"/>
      <c r="LA257" s="6056"/>
      <c r="LB257" s="6058"/>
      <c r="LF257" s="6055"/>
      <c r="LG257" s="6056"/>
      <c r="LH257" s="6056"/>
      <c r="LI257" s="6056"/>
      <c r="LJ257" s="6056"/>
      <c r="LK257" s="6056"/>
      <c r="LL257" s="6056"/>
      <c r="LM257" s="6056"/>
      <c r="LN257" s="6056"/>
      <c r="LO257" s="6056"/>
      <c r="LP257" s="6056"/>
      <c r="LQ257" s="6056"/>
      <c r="LR257" s="6056"/>
      <c r="LS257" s="6056"/>
      <c r="LT257" s="6056"/>
      <c r="LU257" s="6056"/>
      <c r="LV257" s="6056"/>
      <c r="LW257" s="6056"/>
      <c r="LX257" s="6056"/>
      <c r="LY257" s="6057"/>
      <c r="LZ257" s="6057"/>
      <c r="MA257" s="6057"/>
      <c r="MB257" s="6057"/>
      <c r="MC257" s="6057"/>
      <c r="MD257" s="6056"/>
      <c r="ME257" s="6057"/>
      <c r="MF257" s="6057"/>
      <c r="MG257" s="6057"/>
      <c r="MH257" s="6056"/>
      <c r="MI257" s="6057"/>
      <c r="MJ257" s="6057"/>
      <c r="MK257" s="6057"/>
      <c r="ML257" s="6057"/>
      <c r="MM257" s="6057"/>
      <c r="MN257" s="6056"/>
      <c r="MO257" s="6056"/>
      <c r="MP257" s="6056"/>
      <c r="MQ257" s="6056"/>
      <c r="MR257" s="6056"/>
      <c r="MS257" s="6056"/>
      <c r="MT257" s="6056"/>
      <c r="MU257" s="6058"/>
      <c r="MY257" s="6055"/>
      <c r="MZ257" s="6056"/>
      <c r="NA257" s="6056"/>
      <c r="NB257" s="6056"/>
      <c r="NC257" s="6056"/>
      <c r="ND257" s="6056"/>
      <c r="NE257" s="6056"/>
      <c r="NF257" s="6056"/>
      <c r="NG257" s="6056"/>
      <c r="NH257" s="6056"/>
      <c r="NI257" s="6056"/>
      <c r="NJ257" s="6056"/>
      <c r="NK257" s="6056"/>
      <c r="NL257" s="6056"/>
      <c r="NM257" s="6056"/>
      <c r="NN257" s="6056"/>
      <c r="NO257" s="6056"/>
      <c r="NP257" s="6056"/>
      <c r="NQ257" s="6056"/>
      <c r="NR257" s="6057"/>
      <c r="NS257" s="6057"/>
      <c r="NT257" s="6057"/>
      <c r="NU257" s="6057"/>
      <c r="NV257" s="6057"/>
      <c r="NW257" s="6056"/>
      <c r="NX257" s="6057"/>
      <c r="NY257" s="6057"/>
      <c r="NZ257" s="6057"/>
      <c r="OA257" s="6056"/>
      <c r="OB257" s="6057"/>
      <c r="OC257" s="6057"/>
      <c r="OD257" s="6057"/>
      <c r="OE257" s="6057"/>
      <c r="OF257" s="6057"/>
      <c r="OG257" s="6056"/>
      <c r="OH257" s="6056"/>
      <c r="OI257" s="6056"/>
      <c r="OJ257" s="6056"/>
      <c r="OK257" s="6056"/>
      <c r="OL257" s="6056"/>
      <c r="OM257" s="6056"/>
      <c r="ON257" s="6058"/>
    </row>
    <row r="258" spans="3:405" s="6075" customFormat="1" ht="12" customHeight="1" x14ac:dyDescent="0.2">
      <c r="C258" s="6071"/>
      <c r="D258" s="6060" t="str">
        <f>_Calcs!$N$79</f>
        <v>Begrunnelse</v>
      </c>
      <c r="E258" s="6099"/>
      <c r="F258" s="6060"/>
      <c r="G258" s="6060"/>
      <c r="H258" s="6060"/>
      <c r="I258" s="6060"/>
      <c r="J258" s="6060"/>
      <c r="K258" s="6060"/>
      <c r="L258" s="6060"/>
      <c r="M258" s="6060"/>
      <c r="N258" s="6060"/>
      <c r="O258" s="6060"/>
      <c r="P258" s="6060"/>
      <c r="Q258" s="6060"/>
      <c r="R258" s="6060"/>
      <c r="S258" s="6060"/>
      <c r="T258" s="6072"/>
      <c r="U258" s="6072"/>
      <c r="V258" s="6072"/>
      <c r="W258" s="6072"/>
      <c r="X258" s="6072"/>
      <c r="Y258" s="6072"/>
      <c r="Z258" s="6072"/>
      <c r="AA258" s="6072"/>
      <c r="AB258" s="6072"/>
      <c r="AC258" s="6072"/>
      <c r="AD258" s="6072"/>
      <c r="AE258" s="6072"/>
      <c r="AF258" s="6072"/>
      <c r="AG258" s="6072"/>
      <c r="AH258" s="6072"/>
      <c r="AI258" s="6072"/>
      <c r="AJ258" s="6072"/>
      <c r="AK258" s="6072"/>
      <c r="AL258" s="6072"/>
      <c r="AM258" s="6072"/>
      <c r="AN258" s="6072"/>
      <c r="AO258" s="6072"/>
      <c r="AP258" s="6072"/>
      <c r="AQ258" s="6072"/>
      <c r="AR258" s="6074"/>
      <c r="AV258" s="6071"/>
      <c r="AW258" s="6060" t="str">
        <f>_Calcs!$N$79</f>
        <v>Begrunnelse</v>
      </c>
      <c r="AX258" s="6099"/>
      <c r="AY258" s="6060"/>
      <c r="AZ258" s="6060"/>
      <c r="BA258" s="6060"/>
      <c r="BB258" s="6060"/>
      <c r="BC258" s="6060"/>
      <c r="BD258" s="6060"/>
      <c r="BE258" s="6060"/>
      <c r="BF258" s="6060"/>
      <c r="BG258" s="6060"/>
      <c r="BH258" s="6060"/>
      <c r="BI258" s="6060"/>
      <c r="BJ258" s="6060"/>
      <c r="BK258" s="6060"/>
      <c r="BL258" s="6060"/>
      <c r="BM258" s="6072"/>
      <c r="BN258" s="6072"/>
      <c r="BO258" s="6072"/>
      <c r="BP258" s="6072"/>
      <c r="BQ258" s="6072"/>
      <c r="BR258" s="6072"/>
      <c r="BS258" s="6072"/>
      <c r="BT258" s="6072"/>
      <c r="BU258" s="6072"/>
      <c r="BV258" s="6072"/>
      <c r="BW258" s="6072"/>
      <c r="BX258" s="6072"/>
      <c r="BY258" s="6072"/>
      <c r="BZ258" s="6072"/>
      <c r="CA258" s="6072"/>
      <c r="CB258" s="6072"/>
      <c r="CC258" s="6072"/>
      <c r="CD258" s="6072"/>
      <c r="CE258" s="6072"/>
      <c r="CF258" s="6072"/>
      <c r="CG258" s="6072"/>
      <c r="CH258" s="6072"/>
      <c r="CI258" s="6072"/>
      <c r="CJ258" s="6072"/>
      <c r="CK258" s="6074"/>
      <c r="CO258" s="6071"/>
      <c r="CP258" s="6060" t="str">
        <f>_Calcs!$N$79</f>
        <v>Begrunnelse</v>
      </c>
      <c r="CQ258" s="6099"/>
      <c r="CR258" s="6060"/>
      <c r="CS258" s="6060"/>
      <c r="CT258" s="6060"/>
      <c r="CU258" s="6060"/>
      <c r="CV258" s="6060"/>
      <c r="CW258" s="6060"/>
      <c r="CX258" s="6060"/>
      <c r="CY258" s="6060"/>
      <c r="CZ258" s="6060"/>
      <c r="DA258" s="6060"/>
      <c r="DB258" s="6060"/>
      <c r="DC258" s="6060"/>
      <c r="DD258" s="6060"/>
      <c r="DE258" s="6060"/>
      <c r="DF258" s="6072"/>
      <c r="DG258" s="6072"/>
      <c r="DH258" s="6072"/>
      <c r="DI258" s="6072"/>
      <c r="DJ258" s="6072"/>
      <c r="DK258" s="6072"/>
      <c r="DL258" s="6072"/>
      <c r="DM258" s="6072"/>
      <c r="DN258" s="6072"/>
      <c r="DO258" s="6072"/>
      <c r="DP258" s="6072"/>
      <c r="DQ258" s="6072"/>
      <c r="DR258" s="6072"/>
      <c r="DS258" s="6072"/>
      <c r="DT258" s="6072"/>
      <c r="DU258" s="6072"/>
      <c r="DV258" s="6072"/>
      <c r="DW258" s="6072"/>
      <c r="DX258" s="6072"/>
      <c r="DY258" s="6072"/>
      <c r="DZ258" s="6072"/>
      <c r="EA258" s="6072"/>
      <c r="EB258" s="6072"/>
      <c r="EC258" s="6072"/>
      <c r="ED258" s="6074"/>
      <c r="EH258" s="6071"/>
      <c r="EI258" s="6060" t="str">
        <f>_Calcs!$N$79</f>
        <v>Begrunnelse</v>
      </c>
      <c r="EJ258" s="6099"/>
      <c r="EK258" s="6060"/>
      <c r="EL258" s="6060"/>
      <c r="EM258" s="6060"/>
      <c r="EN258" s="6060"/>
      <c r="EO258" s="6060"/>
      <c r="EP258" s="6060"/>
      <c r="EQ258" s="6060"/>
      <c r="ER258" s="6060"/>
      <c r="ES258" s="6060"/>
      <c r="ET258" s="6060"/>
      <c r="EU258" s="6060"/>
      <c r="EV258" s="6060"/>
      <c r="EW258" s="6060"/>
      <c r="EX258" s="6060"/>
      <c r="EY258" s="6072"/>
      <c r="EZ258" s="6072"/>
      <c r="FA258" s="6072"/>
      <c r="FB258" s="6072"/>
      <c r="FC258" s="6072"/>
      <c r="FD258" s="6072"/>
      <c r="FE258" s="6072"/>
      <c r="FF258" s="6072"/>
      <c r="FG258" s="6072"/>
      <c r="FH258" s="6072"/>
      <c r="FI258" s="6072"/>
      <c r="FJ258" s="6072"/>
      <c r="FK258" s="6072"/>
      <c r="FL258" s="6072"/>
      <c r="FM258" s="6072"/>
      <c r="FN258" s="6072"/>
      <c r="FO258" s="6072"/>
      <c r="FP258" s="6072"/>
      <c r="FQ258" s="6072"/>
      <c r="FR258" s="6072"/>
      <c r="FS258" s="6072"/>
      <c r="FT258" s="6072"/>
      <c r="FU258" s="6072"/>
      <c r="FV258" s="6072"/>
      <c r="FW258" s="6074"/>
      <c r="GA258" s="6071"/>
      <c r="GB258" s="6060" t="str">
        <f>_Calcs!$N$79</f>
        <v>Begrunnelse</v>
      </c>
      <c r="GC258" s="6099"/>
      <c r="GD258" s="6060"/>
      <c r="GE258" s="6060"/>
      <c r="GF258" s="6060"/>
      <c r="GG258" s="6060"/>
      <c r="GH258" s="6060"/>
      <c r="GI258" s="6060"/>
      <c r="GJ258" s="6060"/>
      <c r="GK258" s="6060"/>
      <c r="GL258" s="6060"/>
      <c r="GM258" s="6060"/>
      <c r="GN258" s="6060"/>
      <c r="GO258" s="6060"/>
      <c r="GP258" s="6060"/>
      <c r="GQ258" s="6060"/>
      <c r="GR258" s="6072"/>
      <c r="GS258" s="6072"/>
      <c r="GT258" s="6072"/>
      <c r="GU258" s="6072"/>
      <c r="GV258" s="6072"/>
      <c r="GW258" s="6072"/>
      <c r="GX258" s="6072"/>
      <c r="GY258" s="6072"/>
      <c r="GZ258" s="6072"/>
      <c r="HA258" s="6072"/>
      <c r="HB258" s="6072"/>
      <c r="HC258" s="6072"/>
      <c r="HD258" s="6072"/>
      <c r="HE258" s="6072"/>
      <c r="HF258" s="6072"/>
      <c r="HG258" s="6072"/>
      <c r="HH258" s="6072"/>
      <c r="HI258" s="6072"/>
      <c r="HJ258" s="6072"/>
      <c r="HK258" s="6072"/>
      <c r="HL258" s="6072"/>
      <c r="HM258" s="6072"/>
      <c r="HN258" s="6072"/>
      <c r="HO258" s="6072"/>
      <c r="HP258" s="6074"/>
      <c r="HT258" s="6071"/>
      <c r="HU258" s="6060" t="str">
        <f>_Calcs!$N$79</f>
        <v>Begrunnelse</v>
      </c>
      <c r="HV258" s="6099"/>
      <c r="HW258" s="6060"/>
      <c r="HX258" s="6060"/>
      <c r="HY258" s="6060"/>
      <c r="HZ258" s="6060"/>
      <c r="IA258" s="6060"/>
      <c r="IB258" s="6060"/>
      <c r="IC258" s="6060"/>
      <c r="ID258" s="6060"/>
      <c r="IE258" s="6060"/>
      <c r="IF258" s="6060"/>
      <c r="IG258" s="6060"/>
      <c r="IH258" s="6060"/>
      <c r="II258" s="6060"/>
      <c r="IJ258" s="6060"/>
      <c r="IK258" s="6072"/>
      <c r="IL258" s="6072"/>
      <c r="IM258" s="6072"/>
      <c r="IN258" s="6072"/>
      <c r="IO258" s="6072"/>
      <c r="IP258" s="6072"/>
      <c r="IQ258" s="6072"/>
      <c r="IR258" s="6072"/>
      <c r="IS258" s="6072"/>
      <c r="IT258" s="6072"/>
      <c r="IU258" s="6072"/>
      <c r="IV258" s="6072"/>
      <c r="IW258" s="6072"/>
      <c r="IX258" s="6072"/>
      <c r="IY258" s="6072"/>
      <c r="IZ258" s="6072"/>
      <c r="JA258" s="6072"/>
      <c r="JB258" s="6072"/>
      <c r="JC258" s="6072"/>
      <c r="JD258" s="6072"/>
      <c r="JE258" s="6072"/>
      <c r="JF258" s="6072"/>
      <c r="JG258" s="6072"/>
      <c r="JH258" s="6072"/>
      <c r="JI258" s="6074"/>
      <c r="JM258" s="6071"/>
      <c r="JN258" s="6060" t="str">
        <f>_Calcs!$N$79</f>
        <v>Begrunnelse</v>
      </c>
      <c r="JO258" s="6099"/>
      <c r="JP258" s="6060"/>
      <c r="JQ258" s="6060"/>
      <c r="JR258" s="6060"/>
      <c r="JS258" s="6060"/>
      <c r="JT258" s="6060"/>
      <c r="JU258" s="6060"/>
      <c r="JV258" s="6060"/>
      <c r="JW258" s="6060"/>
      <c r="JX258" s="6060"/>
      <c r="JY258" s="6060"/>
      <c r="JZ258" s="6060"/>
      <c r="KA258" s="6060"/>
      <c r="KB258" s="6060"/>
      <c r="KC258" s="6060"/>
      <c r="KD258" s="6072"/>
      <c r="KE258" s="6072"/>
      <c r="KF258" s="6072"/>
      <c r="KG258" s="6072"/>
      <c r="KH258" s="6072"/>
      <c r="KI258" s="6072"/>
      <c r="KJ258" s="6072"/>
      <c r="KK258" s="6072"/>
      <c r="KL258" s="6072"/>
      <c r="KM258" s="6072"/>
      <c r="KN258" s="6072"/>
      <c r="KO258" s="6072"/>
      <c r="KP258" s="6072"/>
      <c r="KQ258" s="6072"/>
      <c r="KR258" s="6072"/>
      <c r="KS258" s="6072"/>
      <c r="KT258" s="6072"/>
      <c r="KU258" s="6072"/>
      <c r="KV258" s="6072"/>
      <c r="KW258" s="6072"/>
      <c r="KX258" s="6072"/>
      <c r="KY258" s="6072"/>
      <c r="KZ258" s="6072"/>
      <c r="LA258" s="6072"/>
      <c r="LB258" s="6074"/>
      <c r="LF258" s="6071"/>
      <c r="LG258" s="6060" t="str">
        <f>_Calcs!$N$79</f>
        <v>Begrunnelse</v>
      </c>
      <c r="LH258" s="6099"/>
      <c r="LI258" s="6060"/>
      <c r="LJ258" s="6060"/>
      <c r="LK258" s="6060"/>
      <c r="LL258" s="6060"/>
      <c r="LM258" s="6060"/>
      <c r="LN258" s="6060"/>
      <c r="LO258" s="6060"/>
      <c r="LP258" s="6060"/>
      <c r="LQ258" s="6060"/>
      <c r="LR258" s="6060"/>
      <c r="LS258" s="6060"/>
      <c r="LT258" s="6060"/>
      <c r="LU258" s="6060"/>
      <c r="LV258" s="6060"/>
      <c r="LW258" s="6072"/>
      <c r="LX258" s="6072"/>
      <c r="LY258" s="6072"/>
      <c r="LZ258" s="6072"/>
      <c r="MA258" s="6072"/>
      <c r="MB258" s="6072"/>
      <c r="MC258" s="6072"/>
      <c r="MD258" s="6072"/>
      <c r="ME258" s="6072"/>
      <c r="MF258" s="6072"/>
      <c r="MG258" s="6072"/>
      <c r="MH258" s="6072"/>
      <c r="MI258" s="6072"/>
      <c r="MJ258" s="6072"/>
      <c r="MK258" s="6072"/>
      <c r="ML258" s="6072"/>
      <c r="MM258" s="6072"/>
      <c r="MN258" s="6072"/>
      <c r="MO258" s="6072"/>
      <c r="MP258" s="6072"/>
      <c r="MQ258" s="6072"/>
      <c r="MR258" s="6072"/>
      <c r="MS258" s="6072"/>
      <c r="MT258" s="6072"/>
      <c r="MU258" s="6074"/>
      <c r="MY258" s="6071"/>
      <c r="MZ258" s="6060" t="str">
        <f>_Calcs!$N$79</f>
        <v>Begrunnelse</v>
      </c>
      <c r="NA258" s="6099"/>
      <c r="NB258" s="6060"/>
      <c r="NC258" s="6060"/>
      <c r="ND258" s="6060"/>
      <c r="NE258" s="6060"/>
      <c r="NF258" s="6060"/>
      <c r="NG258" s="6060"/>
      <c r="NH258" s="6060"/>
      <c r="NI258" s="6060"/>
      <c r="NJ258" s="6060"/>
      <c r="NK258" s="6060"/>
      <c r="NL258" s="6060"/>
      <c r="NM258" s="6060"/>
      <c r="NN258" s="6060"/>
      <c r="NO258" s="6060"/>
      <c r="NP258" s="6072"/>
      <c r="NQ258" s="6072"/>
      <c r="NR258" s="6072"/>
      <c r="NS258" s="6072"/>
      <c r="NT258" s="6072"/>
      <c r="NU258" s="6072"/>
      <c r="NV258" s="6072"/>
      <c r="NW258" s="6072"/>
      <c r="NX258" s="6072"/>
      <c r="NY258" s="6072"/>
      <c r="NZ258" s="6072"/>
      <c r="OA258" s="6072"/>
      <c r="OB258" s="6072"/>
      <c r="OC258" s="6072"/>
      <c r="OD258" s="6072"/>
      <c r="OE258" s="6072"/>
      <c r="OF258" s="6072"/>
      <c r="OG258" s="6072"/>
      <c r="OH258" s="6072"/>
      <c r="OI258" s="6072"/>
      <c r="OJ258" s="6072"/>
      <c r="OK258" s="6072"/>
      <c r="OL258" s="6072"/>
      <c r="OM258" s="6072"/>
      <c r="ON258" s="6074"/>
    </row>
    <row r="259" spans="3:405" ht="5.0999999999999996" customHeight="1" thickBot="1" x14ac:dyDescent="0.25">
      <c r="C259" s="6055"/>
      <c r="D259" s="6056"/>
      <c r="E259" s="6056"/>
      <c r="F259" s="6056"/>
      <c r="G259" s="6056"/>
      <c r="H259" s="6056"/>
      <c r="I259" s="6056"/>
      <c r="J259" s="6056"/>
      <c r="K259" s="6056"/>
      <c r="L259" s="6056"/>
      <c r="M259" s="6056"/>
      <c r="N259" s="6056"/>
      <c r="O259" s="6056"/>
      <c r="P259" s="6056"/>
      <c r="Q259" s="6056"/>
      <c r="R259" s="6056"/>
      <c r="S259" s="6056"/>
      <c r="T259" s="6056"/>
      <c r="U259" s="6056"/>
      <c r="V259" s="6056"/>
      <c r="W259" s="6056"/>
      <c r="X259" s="6056"/>
      <c r="Y259" s="6056"/>
      <c r="Z259" s="6056"/>
      <c r="AA259" s="6056"/>
      <c r="AB259" s="6056"/>
      <c r="AC259" s="6056"/>
      <c r="AD259" s="6056"/>
      <c r="AE259" s="6056"/>
      <c r="AF259" s="6056"/>
      <c r="AG259" s="6056"/>
      <c r="AH259" s="6056"/>
      <c r="AI259" s="6056"/>
      <c r="AJ259" s="6056"/>
      <c r="AK259" s="6056"/>
      <c r="AL259" s="6056"/>
      <c r="AM259" s="6056"/>
      <c r="AN259" s="6056"/>
      <c r="AO259" s="6056"/>
      <c r="AP259" s="6056"/>
      <c r="AQ259" s="6056"/>
      <c r="AR259" s="6058"/>
      <c r="AV259" s="6055"/>
      <c r="AW259" s="6056"/>
      <c r="AX259" s="6056"/>
      <c r="AY259" s="6056"/>
      <c r="AZ259" s="6056"/>
      <c r="BA259" s="6056"/>
      <c r="BB259" s="6056"/>
      <c r="BC259" s="6056"/>
      <c r="BD259" s="6056"/>
      <c r="BE259" s="6056"/>
      <c r="BF259" s="6056"/>
      <c r="BG259" s="6056"/>
      <c r="BH259" s="6056"/>
      <c r="BI259" s="6056"/>
      <c r="BJ259" s="6056"/>
      <c r="BK259" s="6056"/>
      <c r="BL259" s="6056"/>
      <c r="BM259" s="6056"/>
      <c r="BN259" s="6056"/>
      <c r="BO259" s="6056"/>
      <c r="BP259" s="6056"/>
      <c r="BQ259" s="6056"/>
      <c r="BR259" s="6056"/>
      <c r="BS259" s="6056"/>
      <c r="BT259" s="6056"/>
      <c r="BU259" s="6056"/>
      <c r="BV259" s="6056"/>
      <c r="BW259" s="6056"/>
      <c r="BX259" s="6056"/>
      <c r="BY259" s="6056"/>
      <c r="BZ259" s="6056"/>
      <c r="CA259" s="6056"/>
      <c r="CB259" s="6056"/>
      <c r="CC259" s="6056"/>
      <c r="CD259" s="6056"/>
      <c r="CE259" s="6056"/>
      <c r="CF259" s="6056"/>
      <c r="CG259" s="6056"/>
      <c r="CH259" s="6056"/>
      <c r="CI259" s="6056"/>
      <c r="CJ259" s="6056"/>
      <c r="CK259" s="6058"/>
      <c r="CO259" s="6055"/>
      <c r="CP259" s="6056"/>
      <c r="CQ259" s="6056"/>
      <c r="CR259" s="6056"/>
      <c r="CS259" s="6056"/>
      <c r="CT259" s="6056"/>
      <c r="CU259" s="6056"/>
      <c r="CV259" s="6056"/>
      <c r="CW259" s="6056"/>
      <c r="CX259" s="6056"/>
      <c r="CY259" s="6056"/>
      <c r="CZ259" s="6056"/>
      <c r="DA259" s="6056"/>
      <c r="DB259" s="6056"/>
      <c r="DC259" s="6056"/>
      <c r="DD259" s="6056"/>
      <c r="DE259" s="6056"/>
      <c r="DF259" s="6056"/>
      <c r="DG259" s="6056"/>
      <c r="DH259" s="6056"/>
      <c r="DI259" s="6056"/>
      <c r="DJ259" s="6056"/>
      <c r="DK259" s="6056"/>
      <c r="DL259" s="6056"/>
      <c r="DM259" s="6056"/>
      <c r="DN259" s="6056"/>
      <c r="DO259" s="6056"/>
      <c r="DP259" s="6056"/>
      <c r="DQ259" s="6056"/>
      <c r="DR259" s="6056"/>
      <c r="DS259" s="6056"/>
      <c r="DT259" s="6056"/>
      <c r="DU259" s="6056"/>
      <c r="DV259" s="6056"/>
      <c r="DW259" s="6056"/>
      <c r="DX259" s="6056"/>
      <c r="DY259" s="6056"/>
      <c r="DZ259" s="6056"/>
      <c r="EA259" s="6056"/>
      <c r="EB259" s="6056"/>
      <c r="EC259" s="6056"/>
      <c r="ED259" s="6058"/>
      <c r="EH259" s="6055"/>
      <c r="EI259" s="6056"/>
      <c r="EJ259" s="6056"/>
      <c r="EK259" s="6056"/>
      <c r="EL259" s="6056"/>
      <c r="EM259" s="6056"/>
      <c r="EN259" s="6056"/>
      <c r="EO259" s="6056"/>
      <c r="EP259" s="6056"/>
      <c r="EQ259" s="6056"/>
      <c r="ER259" s="6056"/>
      <c r="ES259" s="6056"/>
      <c r="ET259" s="6056"/>
      <c r="EU259" s="6056"/>
      <c r="EV259" s="6056"/>
      <c r="EW259" s="6056"/>
      <c r="EX259" s="6056"/>
      <c r="EY259" s="6056"/>
      <c r="EZ259" s="6056"/>
      <c r="FA259" s="6056"/>
      <c r="FB259" s="6056"/>
      <c r="FC259" s="6056"/>
      <c r="FD259" s="6056"/>
      <c r="FE259" s="6056"/>
      <c r="FF259" s="6056"/>
      <c r="FG259" s="6056"/>
      <c r="FH259" s="6056"/>
      <c r="FI259" s="6056"/>
      <c r="FJ259" s="6056"/>
      <c r="FK259" s="6056"/>
      <c r="FL259" s="6056"/>
      <c r="FM259" s="6056"/>
      <c r="FN259" s="6056"/>
      <c r="FO259" s="6056"/>
      <c r="FP259" s="6056"/>
      <c r="FQ259" s="6056"/>
      <c r="FR259" s="6056"/>
      <c r="FS259" s="6056"/>
      <c r="FT259" s="6056"/>
      <c r="FU259" s="6056"/>
      <c r="FV259" s="6056"/>
      <c r="FW259" s="6058"/>
      <c r="GA259" s="6055"/>
      <c r="GB259" s="6056"/>
      <c r="GC259" s="6056"/>
      <c r="GD259" s="6056"/>
      <c r="GE259" s="6056"/>
      <c r="GF259" s="6056"/>
      <c r="GG259" s="6056"/>
      <c r="GH259" s="6056"/>
      <c r="GI259" s="6056"/>
      <c r="GJ259" s="6056"/>
      <c r="GK259" s="6056"/>
      <c r="GL259" s="6056"/>
      <c r="GM259" s="6056"/>
      <c r="GN259" s="6056"/>
      <c r="GO259" s="6056"/>
      <c r="GP259" s="6056"/>
      <c r="GQ259" s="6056"/>
      <c r="GR259" s="6056"/>
      <c r="GS259" s="6056"/>
      <c r="GT259" s="6056"/>
      <c r="GU259" s="6056"/>
      <c r="GV259" s="6056"/>
      <c r="GW259" s="6056"/>
      <c r="GX259" s="6056"/>
      <c r="GY259" s="6056"/>
      <c r="GZ259" s="6056"/>
      <c r="HA259" s="6056"/>
      <c r="HB259" s="6056"/>
      <c r="HC259" s="6056"/>
      <c r="HD259" s="6056"/>
      <c r="HE259" s="6056"/>
      <c r="HF259" s="6056"/>
      <c r="HG259" s="6056"/>
      <c r="HH259" s="6056"/>
      <c r="HI259" s="6056"/>
      <c r="HJ259" s="6056"/>
      <c r="HK259" s="6056"/>
      <c r="HL259" s="6056"/>
      <c r="HM259" s="6056"/>
      <c r="HN259" s="6056"/>
      <c r="HO259" s="6056"/>
      <c r="HP259" s="6058"/>
      <c r="HT259" s="6055"/>
      <c r="HU259" s="6056"/>
      <c r="HV259" s="6056"/>
      <c r="HW259" s="6056"/>
      <c r="HX259" s="6056"/>
      <c r="HY259" s="6056"/>
      <c r="HZ259" s="6056"/>
      <c r="IA259" s="6056"/>
      <c r="IB259" s="6056"/>
      <c r="IC259" s="6056"/>
      <c r="ID259" s="6056"/>
      <c r="IE259" s="6056"/>
      <c r="IF259" s="6056"/>
      <c r="IG259" s="6056"/>
      <c r="IH259" s="6056"/>
      <c r="II259" s="6056"/>
      <c r="IJ259" s="6056"/>
      <c r="IK259" s="6056"/>
      <c r="IL259" s="6056"/>
      <c r="IM259" s="6056"/>
      <c r="IN259" s="6056"/>
      <c r="IO259" s="6056"/>
      <c r="IP259" s="6056"/>
      <c r="IQ259" s="6056"/>
      <c r="IR259" s="6056"/>
      <c r="IS259" s="6056"/>
      <c r="IT259" s="6056"/>
      <c r="IU259" s="6056"/>
      <c r="IV259" s="6056"/>
      <c r="IW259" s="6056"/>
      <c r="IX259" s="6056"/>
      <c r="IY259" s="6056"/>
      <c r="IZ259" s="6056"/>
      <c r="JA259" s="6056"/>
      <c r="JB259" s="6056"/>
      <c r="JC259" s="6056"/>
      <c r="JD259" s="6056"/>
      <c r="JE259" s="6056"/>
      <c r="JF259" s="6056"/>
      <c r="JG259" s="6056"/>
      <c r="JH259" s="6056"/>
      <c r="JI259" s="6058"/>
      <c r="JM259" s="6055"/>
      <c r="JN259" s="6056"/>
      <c r="JO259" s="6056"/>
      <c r="JP259" s="6056"/>
      <c r="JQ259" s="6056"/>
      <c r="JR259" s="6056"/>
      <c r="JS259" s="6056"/>
      <c r="JT259" s="6056"/>
      <c r="JU259" s="6056"/>
      <c r="JV259" s="6056"/>
      <c r="JW259" s="6056"/>
      <c r="JX259" s="6056"/>
      <c r="JY259" s="6056"/>
      <c r="JZ259" s="6056"/>
      <c r="KA259" s="6056"/>
      <c r="KB259" s="6056"/>
      <c r="KC259" s="6056"/>
      <c r="KD259" s="6056"/>
      <c r="KE259" s="6056"/>
      <c r="KF259" s="6056"/>
      <c r="KG259" s="6056"/>
      <c r="KH259" s="6056"/>
      <c r="KI259" s="6056"/>
      <c r="KJ259" s="6056"/>
      <c r="KK259" s="6056"/>
      <c r="KL259" s="6056"/>
      <c r="KM259" s="6056"/>
      <c r="KN259" s="6056"/>
      <c r="KO259" s="6056"/>
      <c r="KP259" s="6056"/>
      <c r="KQ259" s="6056"/>
      <c r="KR259" s="6056"/>
      <c r="KS259" s="6056"/>
      <c r="KT259" s="6056"/>
      <c r="KU259" s="6056"/>
      <c r="KV259" s="6056"/>
      <c r="KW259" s="6056"/>
      <c r="KX259" s="6056"/>
      <c r="KY259" s="6056"/>
      <c r="KZ259" s="6056"/>
      <c r="LA259" s="6056"/>
      <c r="LB259" s="6058"/>
      <c r="LF259" s="6055"/>
      <c r="LG259" s="6056"/>
      <c r="LH259" s="6056"/>
      <c r="LI259" s="6056"/>
      <c r="LJ259" s="6056"/>
      <c r="LK259" s="6056"/>
      <c r="LL259" s="6056"/>
      <c r="LM259" s="6056"/>
      <c r="LN259" s="6056"/>
      <c r="LO259" s="6056"/>
      <c r="LP259" s="6056"/>
      <c r="LQ259" s="6056"/>
      <c r="LR259" s="6056"/>
      <c r="LS259" s="6056"/>
      <c r="LT259" s="6056"/>
      <c r="LU259" s="6056"/>
      <c r="LV259" s="6056"/>
      <c r="LW259" s="6056"/>
      <c r="LX259" s="6056"/>
      <c r="LY259" s="6056"/>
      <c r="LZ259" s="6056"/>
      <c r="MA259" s="6056"/>
      <c r="MB259" s="6056"/>
      <c r="MC259" s="6056"/>
      <c r="MD259" s="6056"/>
      <c r="ME259" s="6056"/>
      <c r="MF259" s="6056"/>
      <c r="MG259" s="6056"/>
      <c r="MH259" s="6056"/>
      <c r="MI259" s="6056"/>
      <c r="MJ259" s="6056"/>
      <c r="MK259" s="6056"/>
      <c r="ML259" s="6056"/>
      <c r="MM259" s="6056"/>
      <c r="MN259" s="6056"/>
      <c r="MO259" s="6056"/>
      <c r="MP259" s="6056"/>
      <c r="MQ259" s="6056"/>
      <c r="MR259" s="6056"/>
      <c r="MS259" s="6056"/>
      <c r="MT259" s="6056"/>
      <c r="MU259" s="6058"/>
      <c r="MY259" s="6055"/>
      <c r="MZ259" s="6056"/>
      <c r="NA259" s="6056"/>
      <c r="NB259" s="6056"/>
      <c r="NC259" s="6056"/>
      <c r="ND259" s="6056"/>
      <c r="NE259" s="6056"/>
      <c r="NF259" s="6056"/>
      <c r="NG259" s="6056"/>
      <c r="NH259" s="6056"/>
      <c r="NI259" s="6056"/>
      <c r="NJ259" s="6056"/>
      <c r="NK259" s="6056"/>
      <c r="NL259" s="6056"/>
      <c r="NM259" s="6056"/>
      <c r="NN259" s="6056"/>
      <c r="NO259" s="6056"/>
      <c r="NP259" s="6056"/>
      <c r="NQ259" s="6056"/>
      <c r="NR259" s="6056"/>
      <c r="NS259" s="6056"/>
      <c r="NT259" s="6056"/>
      <c r="NU259" s="6056"/>
      <c r="NV259" s="6056"/>
      <c r="NW259" s="6056"/>
      <c r="NX259" s="6056"/>
      <c r="NY259" s="6056"/>
      <c r="NZ259" s="6056"/>
      <c r="OA259" s="6056"/>
      <c r="OB259" s="6056"/>
      <c r="OC259" s="6056"/>
      <c r="OD259" s="6056"/>
      <c r="OE259" s="6056"/>
      <c r="OF259" s="6056"/>
      <c r="OG259" s="6056"/>
      <c r="OH259" s="6056"/>
      <c r="OI259" s="6056"/>
      <c r="OJ259" s="6056"/>
      <c r="OK259" s="6056"/>
      <c r="OL259" s="6056"/>
      <c r="OM259" s="6056"/>
      <c r="ON259" s="6058"/>
    </row>
    <row r="260" spans="3:405" ht="8.1" customHeight="1" x14ac:dyDescent="0.2">
      <c r="C260" s="6055"/>
      <c r="D260" s="6082"/>
      <c r="E260" s="6083"/>
      <c r="F260" s="6083"/>
      <c r="G260" s="6083"/>
      <c r="H260" s="6083"/>
      <c r="I260" s="6083"/>
      <c r="J260" s="6083"/>
      <c r="K260" s="6083"/>
      <c r="L260" s="6083"/>
      <c r="M260" s="6083"/>
      <c r="N260" s="6083"/>
      <c r="O260" s="6083"/>
      <c r="P260" s="6083"/>
      <c r="Q260" s="6083"/>
      <c r="R260" s="6083"/>
      <c r="S260" s="6083"/>
      <c r="T260" s="6083"/>
      <c r="U260" s="6083"/>
      <c r="V260" s="6083"/>
      <c r="W260" s="6083"/>
      <c r="X260" s="6083"/>
      <c r="Y260" s="6083"/>
      <c r="Z260" s="6083"/>
      <c r="AA260" s="6083"/>
      <c r="AB260" s="6083"/>
      <c r="AC260" s="6083"/>
      <c r="AD260" s="6083"/>
      <c r="AE260" s="6083"/>
      <c r="AF260" s="6083"/>
      <c r="AG260" s="6083"/>
      <c r="AH260" s="6083"/>
      <c r="AI260" s="6083"/>
      <c r="AJ260" s="6083"/>
      <c r="AK260" s="6083"/>
      <c r="AL260" s="6083"/>
      <c r="AM260" s="6083"/>
      <c r="AN260" s="6083"/>
      <c r="AO260" s="6083"/>
      <c r="AP260" s="6083"/>
      <c r="AQ260" s="6084"/>
      <c r="AR260" s="6058"/>
      <c r="AV260" s="6055"/>
      <c r="AW260" s="6082"/>
      <c r="AX260" s="6083"/>
      <c r="AY260" s="6083"/>
      <c r="AZ260" s="6083"/>
      <c r="BA260" s="6083"/>
      <c r="BB260" s="6083"/>
      <c r="BC260" s="6083"/>
      <c r="BD260" s="6083"/>
      <c r="BE260" s="6083"/>
      <c r="BF260" s="6083"/>
      <c r="BG260" s="6083"/>
      <c r="BH260" s="6083"/>
      <c r="BI260" s="6083"/>
      <c r="BJ260" s="6083"/>
      <c r="BK260" s="6083"/>
      <c r="BL260" s="6083"/>
      <c r="BM260" s="6083"/>
      <c r="BN260" s="6083"/>
      <c r="BO260" s="6083"/>
      <c r="BP260" s="6083"/>
      <c r="BQ260" s="6083"/>
      <c r="BR260" s="6083"/>
      <c r="BS260" s="6083"/>
      <c r="BT260" s="6083"/>
      <c r="BU260" s="6083"/>
      <c r="BV260" s="6083"/>
      <c r="BW260" s="6083"/>
      <c r="BX260" s="6083"/>
      <c r="BY260" s="6083"/>
      <c r="BZ260" s="6083"/>
      <c r="CA260" s="6083"/>
      <c r="CB260" s="6083"/>
      <c r="CC260" s="6083"/>
      <c r="CD260" s="6083"/>
      <c r="CE260" s="6083"/>
      <c r="CF260" s="6083"/>
      <c r="CG260" s="6083"/>
      <c r="CH260" s="6083"/>
      <c r="CI260" s="6083"/>
      <c r="CJ260" s="6084"/>
      <c r="CK260" s="6058"/>
      <c r="CO260" s="6055"/>
      <c r="CP260" s="6082"/>
      <c r="CQ260" s="6083"/>
      <c r="CR260" s="6083"/>
      <c r="CS260" s="6083"/>
      <c r="CT260" s="6083"/>
      <c r="CU260" s="6083"/>
      <c r="CV260" s="6083"/>
      <c r="CW260" s="6083"/>
      <c r="CX260" s="6083"/>
      <c r="CY260" s="6083"/>
      <c r="CZ260" s="6083"/>
      <c r="DA260" s="6083"/>
      <c r="DB260" s="6083"/>
      <c r="DC260" s="6083"/>
      <c r="DD260" s="6083"/>
      <c r="DE260" s="6083"/>
      <c r="DF260" s="6083"/>
      <c r="DG260" s="6083"/>
      <c r="DH260" s="6083"/>
      <c r="DI260" s="6083"/>
      <c r="DJ260" s="6083"/>
      <c r="DK260" s="6083"/>
      <c r="DL260" s="6083"/>
      <c r="DM260" s="6083"/>
      <c r="DN260" s="6083"/>
      <c r="DO260" s="6083"/>
      <c r="DP260" s="6083"/>
      <c r="DQ260" s="6083"/>
      <c r="DR260" s="6083"/>
      <c r="DS260" s="6083"/>
      <c r="DT260" s="6083"/>
      <c r="DU260" s="6083"/>
      <c r="DV260" s="6083"/>
      <c r="DW260" s="6083"/>
      <c r="DX260" s="6083"/>
      <c r="DY260" s="6083"/>
      <c r="DZ260" s="6083"/>
      <c r="EA260" s="6083"/>
      <c r="EB260" s="6083"/>
      <c r="EC260" s="6084"/>
      <c r="ED260" s="6058"/>
      <c r="EH260" s="6055"/>
      <c r="EI260" s="6082"/>
      <c r="EJ260" s="6083"/>
      <c r="EK260" s="6083"/>
      <c r="EL260" s="6083"/>
      <c r="EM260" s="6083"/>
      <c r="EN260" s="6083"/>
      <c r="EO260" s="6083"/>
      <c r="EP260" s="6083"/>
      <c r="EQ260" s="6083"/>
      <c r="ER260" s="6083"/>
      <c r="ES260" s="6083"/>
      <c r="ET260" s="6083"/>
      <c r="EU260" s="6083"/>
      <c r="EV260" s="6083"/>
      <c r="EW260" s="6083"/>
      <c r="EX260" s="6083"/>
      <c r="EY260" s="6083"/>
      <c r="EZ260" s="6083"/>
      <c r="FA260" s="6083"/>
      <c r="FB260" s="6083"/>
      <c r="FC260" s="6083"/>
      <c r="FD260" s="6083"/>
      <c r="FE260" s="6083"/>
      <c r="FF260" s="6083"/>
      <c r="FG260" s="6083"/>
      <c r="FH260" s="6083"/>
      <c r="FI260" s="6083"/>
      <c r="FJ260" s="6083"/>
      <c r="FK260" s="6083"/>
      <c r="FL260" s="6083"/>
      <c r="FM260" s="6083"/>
      <c r="FN260" s="6083"/>
      <c r="FO260" s="6083"/>
      <c r="FP260" s="6083"/>
      <c r="FQ260" s="6083"/>
      <c r="FR260" s="6083"/>
      <c r="FS260" s="6083"/>
      <c r="FT260" s="6083"/>
      <c r="FU260" s="6083"/>
      <c r="FV260" s="6084"/>
      <c r="FW260" s="6058"/>
      <c r="GA260" s="6055"/>
      <c r="GB260" s="6082"/>
      <c r="GC260" s="6083"/>
      <c r="GD260" s="6083"/>
      <c r="GE260" s="6083"/>
      <c r="GF260" s="6083"/>
      <c r="GG260" s="6083"/>
      <c r="GH260" s="6083"/>
      <c r="GI260" s="6083"/>
      <c r="GJ260" s="6083"/>
      <c r="GK260" s="6083"/>
      <c r="GL260" s="6083"/>
      <c r="GM260" s="6083"/>
      <c r="GN260" s="6083"/>
      <c r="GO260" s="6083"/>
      <c r="GP260" s="6083"/>
      <c r="GQ260" s="6083"/>
      <c r="GR260" s="6083"/>
      <c r="GS260" s="6083"/>
      <c r="GT260" s="6083"/>
      <c r="GU260" s="6083"/>
      <c r="GV260" s="6083"/>
      <c r="GW260" s="6083"/>
      <c r="GX260" s="6083"/>
      <c r="GY260" s="6083"/>
      <c r="GZ260" s="6083"/>
      <c r="HA260" s="6083"/>
      <c r="HB260" s="6083"/>
      <c r="HC260" s="6083"/>
      <c r="HD260" s="6083"/>
      <c r="HE260" s="6083"/>
      <c r="HF260" s="6083"/>
      <c r="HG260" s="6083"/>
      <c r="HH260" s="6083"/>
      <c r="HI260" s="6083"/>
      <c r="HJ260" s="6083"/>
      <c r="HK260" s="6083"/>
      <c r="HL260" s="6083"/>
      <c r="HM260" s="6083"/>
      <c r="HN260" s="6083"/>
      <c r="HO260" s="6084"/>
      <c r="HP260" s="6058"/>
      <c r="HT260" s="6055"/>
      <c r="HU260" s="6082"/>
      <c r="HV260" s="6083"/>
      <c r="HW260" s="6083"/>
      <c r="HX260" s="6083"/>
      <c r="HY260" s="6083"/>
      <c r="HZ260" s="6083"/>
      <c r="IA260" s="6083"/>
      <c r="IB260" s="6083"/>
      <c r="IC260" s="6083"/>
      <c r="ID260" s="6083"/>
      <c r="IE260" s="6083"/>
      <c r="IF260" s="6083"/>
      <c r="IG260" s="6083"/>
      <c r="IH260" s="6083"/>
      <c r="II260" s="6083"/>
      <c r="IJ260" s="6083"/>
      <c r="IK260" s="6083"/>
      <c r="IL260" s="6083"/>
      <c r="IM260" s="6083"/>
      <c r="IN260" s="6083"/>
      <c r="IO260" s="6083"/>
      <c r="IP260" s="6083"/>
      <c r="IQ260" s="6083"/>
      <c r="IR260" s="6083"/>
      <c r="IS260" s="6083"/>
      <c r="IT260" s="6083"/>
      <c r="IU260" s="6083"/>
      <c r="IV260" s="6083"/>
      <c r="IW260" s="6083"/>
      <c r="IX260" s="6083"/>
      <c r="IY260" s="6083"/>
      <c r="IZ260" s="6083"/>
      <c r="JA260" s="6083"/>
      <c r="JB260" s="6083"/>
      <c r="JC260" s="6083"/>
      <c r="JD260" s="6083"/>
      <c r="JE260" s="6083"/>
      <c r="JF260" s="6083"/>
      <c r="JG260" s="6083"/>
      <c r="JH260" s="6084"/>
      <c r="JI260" s="6058"/>
      <c r="JM260" s="6055"/>
      <c r="JN260" s="6082"/>
      <c r="JO260" s="6083"/>
      <c r="JP260" s="6083"/>
      <c r="JQ260" s="6083"/>
      <c r="JR260" s="6083"/>
      <c r="JS260" s="6083"/>
      <c r="JT260" s="6083"/>
      <c r="JU260" s="6083"/>
      <c r="JV260" s="6083"/>
      <c r="JW260" s="6083"/>
      <c r="JX260" s="6083"/>
      <c r="JY260" s="6083"/>
      <c r="JZ260" s="6083"/>
      <c r="KA260" s="6083"/>
      <c r="KB260" s="6083"/>
      <c r="KC260" s="6083"/>
      <c r="KD260" s="6083"/>
      <c r="KE260" s="6083"/>
      <c r="KF260" s="6083"/>
      <c r="KG260" s="6083"/>
      <c r="KH260" s="6083"/>
      <c r="KI260" s="6083"/>
      <c r="KJ260" s="6083"/>
      <c r="KK260" s="6083"/>
      <c r="KL260" s="6083"/>
      <c r="KM260" s="6083"/>
      <c r="KN260" s="6083"/>
      <c r="KO260" s="6083"/>
      <c r="KP260" s="6083"/>
      <c r="KQ260" s="6083"/>
      <c r="KR260" s="6083"/>
      <c r="KS260" s="6083"/>
      <c r="KT260" s="6083"/>
      <c r="KU260" s="6083"/>
      <c r="KV260" s="6083"/>
      <c r="KW260" s="6083"/>
      <c r="KX260" s="6083"/>
      <c r="KY260" s="6083"/>
      <c r="KZ260" s="6083"/>
      <c r="LA260" s="6084"/>
      <c r="LB260" s="6058"/>
      <c r="LF260" s="6055"/>
      <c r="LG260" s="6082"/>
      <c r="LH260" s="6083"/>
      <c r="LI260" s="6083"/>
      <c r="LJ260" s="6083"/>
      <c r="LK260" s="6083"/>
      <c r="LL260" s="6083"/>
      <c r="LM260" s="6083"/>
      <c r="LN260" s="6083"/>
      <c r="LO260" s="6083"/>
      <c r="LP260" s="6083"/>
      <c r="LQ260" s="6083"/>
      <c r="LR260" s="6083"/>
      <c r="LS260" s="6083"/>
      <c r="LT260" s="6083"/>
      <c r="LU260" s="6083"/>
      <c r="LV260" s="6083"/>
      <c r="LW260" s="6083"/>
      <c r="LX260" s="6083"/>
      <c r="LY260" s="6083"/>
      <c r="LZ260" s="6083"/>
      <c r="MA260" s="6083"/>
      <c r="MB260" s="6083"/>
      <c r="MC260" s="6083"/>
      <c r="MD260" s="6083"/>
      <c r="ME260" s="6083"/>
      <c r="MF260" s="6083"/>
      <c r="MG260" s="6083"/>
      <c r="MH260" s="6083"/>
      <c r="MI260" s="6083"/>
      <c r="MJ260" s="6083"/>
      <c r="MK260" s="6083"/>
      <c r="ML260" s="6083"/>
      <c r="MM260" s="6083"/>
      <c r="MN260" s="6083"/>
      <c r="MO260" s="6083"/>
      <c r="MP260" s="6083"/>
      <c r="MQ260" s="6083"/>
      <c r="MR260" s="6083"/>
      <c r="MS260" s="6083"/>
      <c r="MT260" s="6084"/>
      <c r="MU260" s="6058"/>
      <c r="MY260" s="6055"/>
      <c r="MZ260" s="6082"/>
      <c r="NA260" s="6083"/>
      <c r="NB260" s="6083"/>
      <c r="NC260" s="6083"/>
      <c r="ND260" s="6083"/>
      <c r="NE260" s="6083"/>
      <c r="NF260" s="6083"/>
      <c r="NG260" s="6083"/>
      <c r="NH260" s="6083"/>
      <c r="NI260" s="6083"/>
      <c r="NJ260" s="6083"/>
      <c r="NK260" s="6083"/>
      <c r="NL260" s="6083"/>
      <c r="NM260" s="6083"/>
      <c r="NN260" s="6083"/>
      <c r="NO260" s="6083"/>
      <c r="NP260" s="6083"/>
      <c r="NQ260" s="6083"/>
      <c r="NR260" s="6083"/>
      <c r="NS260" s="6083"/>
      <c r="NT260" s="6083"/>
      <c r="NU260" s="6083"/>
      <c r="NV260" s="6083"/>
      <c r="NW260" s="6083"/>
      <c r="NX260" s="6083"/>
      <c r="NY260" s="6083"/>
      <c r="NZ260" s="6083"/>
      <c r="OA260" s="6083"/>
      <c r="OB260" s="6083"/>
      <c r="OC260" s="6083"/>
      <c r="OD260" s="6083"/>
      <c r="OE260" s="6083"/>
      <c r="OF260" s="6083"/>
      <c r="OG260" s="6083"/>
      <c r="OH260" s="6083"/>
      <c r="OI260" s="6083"/>
      <c r="OJ260" s="6083"/>
      <c r="OK260" s="6083"/>
      <c r="OL260" s="6083"/>
      <c r="OM260" s="6084"/>
      <c r="ON260" s="6058"/>
    </row>
    <row r="261" spans="3:405" ht="408.95" customHeight="1" x14ac:dyDescent="0.2">
      <c r="C261" s="6055"/>
      <c r="D261" s="6040"/>
      <c r="E261" s="6782" t="str">
        <f>_Calcs!$IK$183</f>
        <v>-</v>
      </c>
      <c r="F261" s="6782"/>
      <c r="G261" s="6782"/>
      <c r="H261" s="6782"/>
      <c r="I261" s="6782"/>
      <c r="J261" s="6782"/>
      <c r="K261" s="6782"/>
      <c r="L261" s="6782"/>
      <c r="M261" s="6782"/>
      <c r="N261" s="6782"/>
      <c r="O261" s="6782"/>
      <c r="P261" s="6782"/>
      <c r="Q261" s="6782"/>
      <c r="R261" s="6782"/>
      <c r="S261" s="6782"/>
      <c r="T261" s="6782"/>
      <c r="U261" s="6782"/>
      <c r="V261" s="6782"/>
      <c r="W261" s="6782"/>
      <c r="X261" s="6782"/>
      <c r="Y261" s="6782"/>
      <c r="Z261" s="6782"/>
      <c r="AA261" s="6782"/>
      <c r="AB261" s="6782"/>
      <c r="AC261" s="6782"/>
      <c r="AD261" s="6782"/>
      <c r="AE261" s="6782"/>
      <c r="AF261" s="6782"/>
      <c r="AG261" s="6782"/>
      <c r="AH261" s="6782"/>
      <c r="AI261" s="6782"/>
      <c r="AJ261" s="6782"/>
      <c r="AK261" s="6782"/>
      <c r="AL261" s="6782"/>
      <c r="AM261" s="6782"/>
      <c r="AN261" s="6782"/>
      <c r="AO261" s="6782"/>
      <c r="AP261" s="6782"/>
      <c r="AQ261" s="6085"/>
      <c r="AR261" s="6058"/>
      <c r="AV261" s="6055"/>
      <c r="AW261" s="6040"/>
      <c r="AX261" s="6782" t="str">
        <f>_Calcs!$IL$183</f>
        <v>-</v>
      </c>
      <c r="AY261" s="6782"/>
      <c r="AZ261" s="6782"/>
      <c r="BA261" s="6782"/>
      <c r="BB261" s="6782"/>
      <c r="BC261" s="6782"/>
      <c r="BD261" s="6782"/>
      <c r="BE261" s="6782"/>
      <c r="BF261" s="6782"/>
      <c r="BG261" s="6782"/>
      <c r="BH261" s="6782"/>
      <c r="BI261" s="6782"/>
      <c r="BJ261" s="6782"/>
      <c r="BK261" s="6782"/>
      <c r="BL261" s="6782"/>
      <c r="BM261" s="6782"/>
      <c r="BN261" s="6782"/>
      <c r="BO261" s="6782"/>
      <c r="BP261" s="6782"/>
      <c r="BQ261" s="6782"/>
      <c r="BR261" s="6782"/>
      <c r="BS261" s="6782"/>
      <c r="BT261" s="6782"/>
      <c r="BU261" s="6782"/>
      <c r="BV261" s="6782"/>
      <c r="BW261" s="6782"/>
      <c r="BX261" s="6782"/>
      <c r="BY261" s="6782"/>
      <c r="BZ261" s="6782"/>
      <c r="CA261" s="6782"/>
      <c r="CB261" s="6782"/>
      <c r="CC261" s="6782"/>
      <c r="CD261" s="6782"/>
      <c r="CE261" s="6782"/>
      <c r="CF261" s="6782"/>
      <c r="CG261" s="6782"/>
      <c r="CH261" s="6782"/>
      <c r="CI261" s="6782"/>
      <c r="CJ261" s="6085"/>
      <c r="CK261" s="6058"/>
      <c r="CO261" s="6055"/>
      <c r="CP261" s="6040"/>
      <c r="CQ261" s="6782" t="str">
        <f>_Calcs!$IM$183</f>
        <v>-</v>
      </c>
      <c r="CR261" s="6782"/>
      <c r="CS261" s="6782"/>
      <c r="CT261" s="6782"/>
      <c r="CU261" s="6782"/>
      <c r="CV261" s="6782"/>
      <c r="CW261" s="6782"/>
      <c r="CX261" s="6782"/>
      <c r="CY261" s="6782"/>
      <c r="CZ261" s="6782"/>
      <c r="DA261" s="6782"/>
      <c r="DB261" s="6782"/>
      <c r="DC261" s="6782"/>
      <c r="DD261" s="6782"/>
      <c r="DE261" s="6782"/>
      <c r="DF261" s="6782"/>
      <c r="DG261" s="6782"/>
      <c r="DH261" s="6782"/>
      <c r="DI261" s="6782"/>
      <c r="DJ261" s="6782"/>
      <c r="DK261" s="6782"/>
      <c r="DL261" s="6782"/>
      <c r="DM261" s="6782"/>
      <c r="DN261" s="6782"/>
      <c r="DO261" s="6782"/>
      <c r="DP261" s="6782"/>
      <c r="DQ261" s="6782"/>
      <c r="DR261" s="6782"/>
      <c r="DS261" s="6782"/>
      <c r="DT261" s="6782"/>
      <c r="DU261" s="6782"/>
      <c r="DV261" s="6782"/>
      <c r="DW261" s="6782"/>
      <c r="DX261" s="6782"/>
      <c r="DY261" s="6782"/>
      <c r="DZ261" s="6782"/>
      <c r="EA261" s="6782"/>
      <c r="EB261" s="6782"/>
      <c r="EC261" s="6085"/>
      <c r="ED261" s="6058"/>
      <c r="EH261" s="6055"/>
      <c r="EI261" s="6040"/>
      <c r="EJ261" s="6782" t="str">
        <f>_Calcs!$IN$183</f>
        <v>-</v>
      </c>
      <c r="EK261" s="6782"/>
      <c r="EL261" s="6782"/>
      <c r="EM261" s="6782"/>
      <c r="EN261" s="6782"/>
      <c r="EO261" s="6782"/>
      <c r="EP261" s="6782"/>
      <c r="EQ261" s="6782"/>
      <c r="ER261" s="6782"/>
      <c r="ES261" s="6782"/>
      <c r="ET261" s="6782"/>
      <c r="EU261" s="6782"/>
      <c r="EV261" s="6782"/>
      <c r="EW261" s="6782"/>
      <c r="EX261" s="6782"/>
      <c r="EY261" s="6782"/>
      <c r="EZ261" s="6782"/>
      <c r="FA261" s="6782"/>
      <c r="FB261" s="6782"/>
      <c r="FC261" s="6782"/>
      <c r="FD261" s="6782"/>
      <c r="FE261" s="6782"/>
      <c r="FF261" s="6782"/>
      <c r="FG261" s="6782"/>
      <c r="FH261" s="6782"/>
      <c r="FI261" s="6782"/>
      <c r="FJ261" s="6782"/>
      <c r="FK261" s="6782"/>
      <c r="FL261" s="6782"/>
      <c r="FM261" s="6782"/>
      <c r="FN261" s="6782"/>
      <c r="FO261" s="6782"/>
      <c r="FP261" s="6782"/>
      <c r="FQ261" s="6782"/>
      <c r="FR261" s="6782"/>
      <c r="FS261" s="6782"/>
      <c r="FT261" s="6782"/>
      <c r="FU261" s="6782"/>
      <c r="FV261" s="6085"/>
      <c r="FW261" s="6058"/>
      <c r="GA261" s="6055"/>
      <c r="GB261" s="6040"/>
      <c r="GC261" s="6782" t="str">
        <f>_Calcs!$IO$183</f>
        <v>-</v>
      </c>
      <c r="GD261" s="6782"/>
      <c r="GE261" s="6782"/>
      <c r="GF261" s="6782"/>
      <c r="GG261" s="6782"/>
      <c r="GH261" s="6782"/>
      <c r="GI261" s="6782"/>
      <c r="GJ261" s="6782"/>
      <c r="GK261" s="6782"/>
      <c r="GL261" s="6782"/>
      <c r="GM261" s="6782"/>
      <c r="GN261" s="6782"/>
      <c r="GO261" s="6782"/>
      <c r="GP261" s="6782"/>
      <c r="GQ261" s="6782"/>
      <c r="GR261" s="6782"/>
      <c r="GS261" s="6782"/>
      <c r="GT261" s="6782"/>
      <c r="GU261" s="6782"/>
      <c r="GV261" s="6782"/>
      <c r="GW261" s="6782"/>
      <c r="GX261" s="6782"/>
      <c r="GY261" s="6782"/>
      <c r="GZ261" s="6782"/>
      <c r="HA261" s="6782"/>
      <c r="HB261" s="6782"/>
      <c r="HC261" s="6782"/>
      <c r="HD261" s="6782"/>
      <c r="HE261" s="6782"/>
      <c r="HF261" s="6782"/>
      <c r="HG261" s="6782"/>
      <c r="HH261" s="6782"/>
      <c r="HI261" s="6782"/>
      <c r="HJ261" s="6782"/>
      <c r="HK261" s="6782"/>
      <c r="HL261" s="6782"/>
      <c r="HM261" s="6782"/>
      <c r="HN261" s="6782"/>
      <c r="HO261" s="6085"/>
      <c r="HP261" s="6058"/>
      <c r="HT261" s="6055"/>
      <c r="HU261" s="6040"/>
      <c r="HV261" s="6782" t="str">
        <f>_Calcs!$IP$183</f>
        <v>-</v>
      </c>
      <c r="HW261" s="6782"/>
      <c r="HX261" s="6782"/>
      <c r="HY261" s="6782"/>
      <c r="HZ261" s="6782"/>
      <c r="IA261" s="6782"/>
      <c r="IB261" s="6782"/>
      <c r="IC261" s="6782"/>
      <c r="ID261" s="6782"/>
      <c r="IE261" s="6782"/>
      <c r="IF261" s="6782"/>
      <c r="IG261" s="6782"/>
      <c r="IH261" s="6782"/>
      <c r="II261" s="6782"/>
      <c r="IJ261" s="6782"/>
      <c r="IK261" s="6782"/>
      <c r="IL261" s="6782"/>
      <c r="IM261" s="6782"/>
      <c r="IN261" s="6782"/>
      <c r="IO261" s="6782"/>
      <c r="IP261" s="6782"/>
      <c r="IQ261" s="6782"/>
      <c r="IR261" s="6782"/>
      <c r="IS261" s="6782"/>
      <c r="IT261" s="6782"/>
      <c r="IU261" s="6782"/>
      <c r="IV261" s="6782"/>
      <c r="IW261" s="6782"/>
      <c r="IX261" s="6782"/>
      <c r="IY261" s="6782"/>
      <c r="IZ261" s="6782"/>
      <c r="JA261" s="6782"/>
      <c r="JB261" s="6782"/>
      <c r="JC261" s="6782"/>
      <c r="JD261" s="6782"/>
      <c r="JE261" s="6782"/>
      <c r="JF261" s="6782"/>
      <c r="JG261" s="6782"/>
      <c r="JH261" s="6085"/>
      <c r="JI261" s="6058"/>
      <c r="JM261" s="6055"/>
      <c r="JN261" s="6040"/>
      <c r="JO261" s="6782" t="str">
        <f>_Calcs!$IQ$183</f>
        <v>-</v>
      </c>
      <c r="JP261" s="6782"/>
      <c r="JQ261" s="6782"/>
      <c r="JR261" s="6782"/>
      <c r="JS261" s="6782"/>
      <c r="JT261" s="6782"/>
      <c r="JU261" s="6782"/>
      <c r="JV261" s="6782"/>
      <c r="JW261" s="6782"/>
      <c r="JX261" s="6782"/>
      <c r="JY261" s="6782"/>
      <c r="JZ261" s="6782"/>
      <c r="KA261" s="6782"/>
      <c r="KB261" s="6782"/>
      <c r="KC261" s="6782"/>
      <c r="KD261" s="6782"/>
      <c r="KE261" s="6782"/>
      <c r="KF261" s="6782"/>
      <c r="KG261" s="6782"/>
      <c r="KH261" s="6782"/>
      <c r="KI261" s="6782"/>
      <c r="KJ261" s="6782"/>
      <c r="KK261" s="6782"/>
      <c r="KL261" s="6782"/>
      <c r="KM261" s="6782"/>
      <c r="KN261" s="6782"/>
      <c r="KO261" s="6782"/>
      <c r="KP261" s="6782"/>
      <c r="KQ261" s="6782"/>
      <c r="KR261" s="6782"/>
      <c r="KS261" s="6782"/>
      <c r="KT261" s="6782"/>
      <c r="KU261" s="6782"/>
      <c r="KV261" s="6782"/>
      <c r="KW261" s="6782"/>
      <c r="KX261" s="6782"/>
      <c r="KY261" s="6782"/>
      <c r="KZ261" s="6782"/>
      <c r="LA261" s="6085"/>
      <c r="LB261" s="6058"/>
      <c r="LF261" s="6055"/>
      <c r="LG261" s="6040"/>
      <c r="LH261" s="6782" t="str">
        <f>_Calcs!$IR$183</f>
        <v>-</v>
      </c>
      <c r="LI261" s="6782"/>
      <c r="LJ261" s="6782"/>
      <c r="LK261" s="6782"/>
      <c r="LL261" s="6782"/>
      <c r="LM261" s="6782"/>
      <c r="LN261" s="6782"/>
      <c r="LO261" s="6782"/>
      <c r="LP261" s="6782"/>
      <c r="LQ261" s="6782"/>
      <c r="LR261" s="6782"/>
      <c r="LS261" s="6782"/>
      <c r="LT261" s="6782"/>
      <c r="LU261" s="6782"/>
      <c r="LV261" s="6782"/>
      <c r="LW261" s="6782"/>
      <c r="LX261" s="6782"/>
      <c r="LY261" s="6782"/>
      <c r="LZ261" s="6782"/>
      <c r="MA261" s="6782"/>
      <c r="MB261" s="6782"/>
      <c r="MC261" s="6782"/>
      <c r="MD261" s="6782"/>
      <c r="ME261" s="6782"/>
      <c r="MF261" s="6782"/>
      <c r="MG261" s="6782"/>
      <c r="MH261" s="6782"/>
      <c r="MI261" s="6782"/>
      <c r="MJ261" s="6782"/>
      <c r="MK261" s="6782"/>
      <c r="ML261" s="6782"/>
      <c r="MM261" s="6782"/>
      <c r="MN261" s="6782"/>
      <c r="MO261" s="6782"/>
      <c r="MP261" s="6782"/>
      <c r="MQ261" s="6782"/>
      <c r="MR261" s="6782"/>
      <c r="MS261" s="6782"/>
      <c r="MT261" s="6085"/>
      <c r="MU261" s="6058"/>
      <c r="MY261" s="6055"/>
      <c r="MZ261" s="6040"/>
      <c r="NA261" s="6782" t="str">
        <f>_Calcs!$IS$183</f>
        <v>-</v>
      </c>
      <c r="NB261" s="6782"/>
      <c r="NC261" s="6782"/>
      <c r="ND261" s="6782"/>
      <c r="NE261" s="6782"/>
      <c r="NF261" s="6782"/>
      <c r="NG261" s="6782"/>
      <c r="NH261" s="6782"/>
      <c r="NI261" s="6782"/>
      <c r="NJ261" s="6782"/>
      <c r="NK261" s="6782"/>
      <c r="NL261" s="6782"/>
      <c r="NM261" s="6782"/>
      <c r="NN261" s="6782"/>
      <c r="NO261" s="6782"/>
      <c r="NP261" s="6782"/>
      <c r="NQ261" s="6782"/>
      <c r="NR261" s="6782"/>
      <c r="NS261" s="6782"/>
      <c r="NT261" s="6782"/>
      <c r="NU261" s="6782"/>
      <c r="NV261" s="6782"/>
      <c r="NW261" s="6782"/>
      <c r="NX261" s="6782"/>
      <c r="NY261" s="6782"/>
      <c r="NZ261" s="6782"/>
      <c r="OA261" s="6782"/>
      <c r="OB261" s="6782"/>
      <c r="OC261" s="6782"/>
      <c r="OD261" s="6782"/>
      <c r="OE261" s="6782"/>
      <c r="OF261" s="6782"/>
      <c r="OG261" s="6782"/>
      <c r="OH261" s="6782"/>
      <c r="OI261" s="6782"/>
      <c r="OJ261" s="6782"/>
      <c r="OK261" s="6782"/>
      <c r="OL261" s="6782"/>
      <c r="OM261" s="6085"/>
      <c r="ON261" s="6058"/>
    </row>
    <row r="262" spans="3:405" ht="8.1" customHeight="1" thickBot="1" x14ac:dyDescent="0.25">
      <c r="C262" s="6055"/>
      <c r="D262" s="6044"/>
      <c r="E262" s="6046"/>
      <c r="F262" s="6046"/>
      <c r="G262" s="6046"/>
      <c r="H262" s="6046"/>
      <c r="I262" s="6046"/>
      <c r="J262" s="6046"/>
      <c r="K262" s="6046"/>
      <c r="L262" s="6046"/>
      <c r="M262" s="6046"/>
      <c r="N262" s="6046"/>
      <c r="O262" s="6046"/>
      <c r="P262" s="6046"/>
      <c r="Q262" s="6046"/>
      <c r="R262" s="6046"/>
      <c r="S262" s="6046"/>
      <c r="T262" s="6046"/>
      <c r="U262" s="6046"/>
      <c r="V262" s="6086"/>
      <c r="W262" s="6086"/>
      <c r="X262" s="6086"/>
      <c r="Y262" s="6086"/>
      <c r="Z262" s="6086"/>
      <c r="AA262" s="6046"/>
      <c r="AB262" s="6086"/>
      <c r="AC262" s="6086"/>
      <c r="AD262" s="6086"/>
      <c r="AE262" s="6046"/>
      <c r="AF262" s="6086"/>
      <c r="AG262" s="6086"/>
      <c r="AH262" s="6086"/>
      <c r="AI262" s="6086"/>
      <c r="AJ262" s="6086"/>
      <c r="AK262" s="6086"/>
      <c r="AL262" s="6086"/>
      <c r="AM262" s="6086"/>
      <c r="AN262" s="6086"/>
      <c r="AO262" s="6086"/>
      <c r="AP262" s="6086"/>
      <c r="AQ262" s="6048"/>
      <c r="AR262" s="6058"/>
      <c r="AV262" s="6055"/>
      <c r="AW262" s="6044"/>
      <c r="AX262" s="6046"/>
      <c r="AY262" s="6046"/>
      <c r="AZ262" s="6046"/>
      <c r="BA262" s="6046"/>
      <c r="BB262" s="6046"/>
      <c r="BC262" s="6046"/>
      <c r="BD262" s="6046"/>
      <c r="BE262" s="6046"/>
      <c r="BF262" s="6046"/>
      <c r="BG262" s="6046"/>
      <c r="BH262" s="6046"/>
      <c r="BI262" s="6046"/>
      <c r="BJ262" s="6046"/>
      <c r="BK262" s="6046"/>
      <c r="BL262" s="6046"/>
      <c r="BM262" s="6046"/>
      <c r="BN262" s="6046"/>
      <c r="BO262" s="6086"/>
      <c r="BP262" s="6086"/>
      <c r="BQ262" s="6086"/>
      <c r="BR262" s="6086"/>
      <c r="BS262" s="6086"/>
      <c r="BT262" s="6046"/>
      <c r="BU262" s="6086"/>
      <c r="BV262" s="6086"/>
      <c r="BW262" s="6086"/>
      <c r="BX262" s="6046"/>
      <c r="BY262" s="6086"/>
      <c r="BZ262" s="6086"/>
      <c r="CA262" s="6086"/>
      <c r="CB262" s="6086"/>
      <c r="CC262" s="6086"/>
      <c r="CD262" s="6086"/>
      <c r="CE262" s="6086"/>
      <c r="CF262" s="6086"/>
      <c r="CG262" s="6086"/>
      <c r="CH262" s="6086"/>
      <c r="CI262" s="6086"/>
      <c r="CJ262" s="6048"/>
      <c r="CK262" s="6058"/>
      <c r="CO262" s="6055"/>
      <c r="CP262" s="6044"/>
      <c r="CQ262" s="6046"/>
      <c r="CR262" s="6046"/>
      <c r="CS262" s="6046"/>
      <c r="CT262" s="6046"/>
      <c r="CU262" s="6046"/>
      <c r="CV262" s="6046"/>
      <c r="CW262" s="6046"/>
      <c r="CX262" s="6046"/>
      <c r="CY262" s="6046"/>
      <c r="CZ262" s="6046"/>
      <c r="DA262" s="6046"/>
      <c r="DB262" s="6046"/>
      <c r="DC262" s="6046"/>
      <c r="DD262" s="6046"/>
      <c r="DE262" s="6046"/>
      <c r="DF262" s="6046"/>
      <c r="DG262" s="6046"/>
      <c r="DH262" s="6086"/>
      <c r="DI262" s="6086"/>
      <c r="DJ262" s="6086"/>
      <c r="DK262" s="6086"/>
      <c r="DL262" s="6086"/>
      <c r="DM262" s="6046"/>
      <c r="DN262" s="6086"/>
      <c r="DO262" s="6086"/>
      <c r="DP262" s="6086"/>
      <c r="DQ262" s="6046"/>
      <c r="DR262" s="6086"/>
      <c r="DS262" s="6086"/>
      <c r="DT262" s="6086"/>
      <c r="DU262" s="6086"/>
      <c r="DV262" s="6086"/>
      <c r="DW262" s="6086"/>
      <c r="DX262" s="6086"/>
      <c r="DY262" s="6086"/>
      <c r="DZ262" s="6086"/>
      <c r="EA262" s="6086"/>
      <c r="EB262" s="6086"/>
      <c r="EC262" s="6048"/>
      <c r="ED262" s="6058"/>
      <c r="EH262" s="6055"/>
      <c r="EI262" s="6044"/>
      <c r="EJ262" s="6046"/>
      <c r="EK262" s="6046"/>
      <c r="EL262" s="6046"/>
      <c r="EM262" s="6046"/>
      <c r="EN262" s="6046"/>
      <c r="EO262" s="6046"/>
      <c r="EP262" s="6046"/>
      <c r="EQ262" s="6046"/>
      <c r="ER262" s="6046"/>
      <c r="ES262" s="6046"/>
      <c r="ET262" s="6046"/>
      <c r="EU262" s="6046"/>
      <c r="EV262" s="6046"/>
      <c r="EW262" s="6046"/>
      <c r="EX262" s="6046"/>
      <c r="EY262" s="6046"/>
      <c r="EZ262" s="6046"/>
      <c r="FA262" s="6086"/>
      <c r="FB262" s="6086"/>
      <c r="FC262" s="6086"/>
      <c r="FD262" s="6086"/>
      <c r="FE262" s="6086"/>
      <c r="FF262" s="6046"/>
      <c r="FG262" s="6086"/>
      <c r="FH262" s="6086"/>
      <c r="FI262" s="6086"/>
      <c r="FJ262" s="6046"/>
      <c r="FK262" s="6086"/>
      <c r="FL262" s="6086"/>
      <c r="FM262" s="6086"/>
      <c r="FN262" s="6086"/>
      <c r="FO262" s="6086"/>
      <c r="FP262" s="6086"/>
      <c r="FQ262" s="6086"/>
      <c r="FR262" s="6086"/>
      <c r="FS262" s="6086"/>
      <c r="FT262" s="6086"/>
      <c r="FU262" s="6086"/>
      <c r="FV262" s="6048"/>
      <c r="FW262" s="6058"/>
      <c r="GA262" s="6055"/>
      <c r="GB262" s="6044"/>
      <c r="GC262" s="6046"/>
      <c r="GD262" s="6046"/>
      <c r="GE262" s="6046"/>
      <c r="GF262" s="6046"/>
      <c r="GG262" s="6046"/>
      <c r="GH262" s="6046"/>
      <c r="GI262" s="6046"/>
      <c r="GJ262" s="6046"/>
      <c r="GK262" s="6046"/>
      <c r="GL262" s="6046"/>
      <c r="GM262" s="6046"/>
      <c r="GN262" s="6046"/>
      <c r="GO262" s="6046"/>
      <c r="GP262" s="6046"/>
      <c r="GQ262" s="6046"/>
      <c r="GR262" s="6046"/>
      <c r="GS262" s="6046"/>
      <c r="GT262" s="6086"/>
      <c r="GU262" s="6086"/>
      <c r="GV262" s="6086"/>
      <c r="GW262" s="6086"/>
      <c r="GX262" s="6086"/>
      <c r="GY262" s="6046"/>
      <c r="GZ262" s="6086"/>
      <c r="HA262" s="6086"/>
      <c r="HB262" s="6086"/>
      <c r="HC262" s="6046"/>
      <c r="HD262" s="6086"/>
      <c r="HE262" s="6086"/>
      <c r="HF262" s="6086"/>
      <c r="HG262" s="6086"/>
      <c r="HH262" s="6086"/>
      <c r="HI262" s="6086"/>
      <c r="HJ262" s="6086"/>
      <c r="HK262" s="6086"/>
      <c r="HL262" s="6086"/>
      <c r="HM262" s="6086"/>
      <c r="HN262" s="6086"/>
      <c r="HO262" s="6048"/>
      <c r="HP262" s="6058"/>
      <c r="HT262" s="6055"/>
      <c r="HU262" s="6044"/>
      <c r="HV262" s="6046"/>
      <c r="HW262" s="6046"/>
      <c r="HX262" s="6046"/>
      <c r="HY262" s="6046"/>
      <c r="HZ262" s="6046"/>
      <c r="IA262" s="6046"/>
      <c r="IB262" s="6046"/>
      <c r="IC262" s="6046"/>
      <c r="ID262" s="6046"/>
      <c r="IE262" s="6046"/>
      <c r="IF262" s="6046"/>
      <c r="IG262" s="6046"/>
      <c r="IH262" s="6046"/>
      <c r="II262" s="6046"/>
      <c r="IJ262" s="6046"/>
      <c r="IK262" s="6046"/>
      <c r="IL262" s="6046"/>
      <c r="IM262" s="6086"/>
      <c r="IN262" s="6086"/>
      <c r="IO262" s="6086"/>
      <c r="IP262" s="6086"/>
      <c r="IQ262" s="6086"/>
      <c r="IR262" s="6046"/>
      <c r="IS262" s="6086"/>
      <c r="IT262" s="6086"/>
      <c r="IU262" s="6086"/>
      <c r="IV262" s="6046"/>
      <c r="IW262" s="6086"/>
      <c r="IX262" s="6086"/>
      <c r="IY262" s="6086"/>
      <c r="IZ262" s="6086"/>
      <c r="JA262" s="6086"/>
      <c r="JB262" s="6086"/>
      <c r="JC262" s="6086"/>
      <c r="JD262" s="6086"/>
      <c r="JE262" s="6086"/>
      <c r="JF262" s="6086"/>
      <c r="JG262" s="6086"/>
      <c r="JH262" s="6048"/>
      <c r="JI262" s="6058"/>
      <c r="JM262" s="6055"/>
      <c r="JN262" s="6044"/>
      <c r="JO262" s="6046"/>
      <c r="JP262" s="6046"/>
      <c r="JQ262" s="6046"/>
      <c r="JR262" s="6046"/>
      <c r="JS262" s="6046"/>
      <c r="JT262" s="6046"/>
      <c r="JU262" s="6046"/>
      <c r="JV262" s="6046"/>
      <c r="JW262" s="6046"/>
      <c r="JX262" s="6046"/>
      <c r="JY262" s="6046"/>
      <c r="JZ262" s="6046"/>
      <c r="KA262" s="6046"/>
      <c r="KB262" s="6046"/>
      <c r="KC262" s="6046"/>
      <c r="KD262" s="6046"/>
      <c r="KE262" s="6046"/>
      <c r="KF262" s="6086"/>
      <c r="KG262" s="6086"/>
      <c r="KH262" s="6086"/>
      <c r="KI262" s="6086"/>
      <c r="KJ262" s="6086"/>
      <c r="KK262" s="6046"/>
      <c r="KL262" s="6086"/>
      <c r="KM262" s="6086"/>
      <c r="KN262" s="6086"/>
      <c r="KO262" s="6046"/>
      <c r="KP262" s="6086"/>
      <c r="KQ262" s="6086"/>
      <c r="KR262" s="6086"/>
      <c r="KS262" s="6086"/>
      <c r="KT262" s="6086"/>
      <c r="KU262" s="6086"/>
      <c r="KV262" s="6086"/>
      <c r="KW262" s="6086"/>
      <c r="KX262" s="6086"/>
      <c r="KY262" s="6086"/>
      <c r="KZ262" s="6086"/>
      <c r="LA262" s="6048"/>
      <c r="LB262" s="6058"/>
      <c r="LF262" s="6055"/>
      <c r="LG262" s="6044"/>
      <c r="LH262" s="6046"/>
      <c r="LI262" s="6046"/>
      <c r="LJ262" s="6046"/>
      <c r="LK262" s="6046"/>
      <c r="LL262" s="6046"/>
      <c r="LM262" s="6046"/>
      <c r="LN262" s="6046"/>
      <c r="LO262" s="6046"/>
      <c r="LP262" s="6046"/>
      <c r="LQ262" s="6046"/>
      <c r="LR262" s="6046"/>
      <c r="LS262" s="6046"/>
      <c r="LT262" s="6046"/>
      <c r="LU262" s="6046"/>
      <c r="LV262" s="6046"/>
      <c r="LW262" s="6046"/>
      <c r="LX262" s="6046"/>
      <c r="LY262" s="6086"/>
      <c r="LZ262" s="6086"/>
      <c r="MA262" s="6086"/>
      <c r="MB262" s="6086"/>
      <c r="MC262" s="6086"/>
      <c r="MD262" s="6046"/>
      <c r="ME262" s="6086"/>
      <c r="MF262" s="6086"/>
      <c r="MG262" s="6086"/>
      <c r="MH262" s="6046"/>
      <c r="MI262" s="6086"/>
      <c r="MJ262" s="6086"/>
      <c r="MK262" s="6086"/>
      <c r="ML262" s="6086"/>
      <c r="MM262" s="6086"/>
      <c r="MN262" s="6086"/>
      <c r="MO262" s="6086"/>
      <c r="MP262" s="6086"/>
      <c r="MQ262" s="6086"/>
      <c r="MR262" s="6086"/>
      <c r="MS262" s="6086"/>
      <c r="MT262" s="6048"/>
      <c r="MU262" s="6058"/>
      <c r="MY262" s="6055"/>
      <c r="MZ262" s="6044"/>
      <c r="NA262" s="6046"/>
      <c r="NB262" s="6046"/>
      <c r="NC262" s="6046"/>
      <c r="ND262" s="6046"/>
      <c r="NE262" s="6046"/>
      <c r="NF262" s="6046"/>
      <c r="NG262" s="6046"/>
      <c r="NH262" s="6046"/>
      <c r="NI262" s="6046"/>
      <c r="NJ262" s="6046"/>
      <c r="NK262" s="6046"/>
      <c r="NL262" s="6046"/>
      <c r="NM262" s="6046"/>
      <c r="NN262" s="6046"/>
      <c r="NO262" s="6046"/>
      <c r="NP262" s="6046"/>
      <c r="NQ262" s="6046"/>
      <c r="NR262" s="6086"/>
      <c r="NS262" s="6086"/>
      <c r="NT262" s="6086"/>
      <c r="NU262" s="6086"/>
      <c r="NV262" s="6086"/>
      <c r="NW262" s="6046"/>
      <c r="NX262" s="6086"/>
      <c r="NY262" s="6086"/>
      <c r="NZ262" s="6086"/>
      <c r="OA262" s="6046"/>
      <c r="OB262" s="6086"/>
      <c r="OC262" s="6086"/>
      <c r="OD262" s="6086"/>
      <c r="OE262" s="6086"/>
      <c r="OF262" s="6086"/>
      <c r="OG262" s="6086"/>
      <c r="OH262" s="6086"/>
      <c r="OI262" s="6086"/>
      <c r="OJ262" s="6086"/>
      <c r="OK262" s="6086"/>
      <c r="OL262" s="6086"/>
      <c r="OM262" s="6048"/>
      <c r="ON262" s="6058"/>
    </row>
    <row r="263" spans="3:405" ht="15" thickBot="1" x14ac:dyDescent="0.25">
      <c r="C263" s="6087"/>
      <c r="D263" s="6088"/>
      <c r="E263" s="6088"/>
      <c r="F263" s="6088"/>
      <c r="G263" s="6088"/>
      <c r="H263" s="6088"/>
      <c r="I263" s="6088"/>
      <c r="J263" s="6088"/>
      <c r="K263" s="6088"/>
      <c r="L263" s="6088"/>
      <c r="M263" s="6088"/>
      <c r="N263" s="6088"/>
      <c r="O263" s="6088"/>
      <c r="P263" s="6088"/>
      <c r="Q263" s="6088"/>
      <c r="R263" s="6088"/>
      <c r="S263" s="6088"/>
      <c r="T263" s="6088"/>
      <c r="U263" s="6088"/>
      <c r="V263" s="6088"/>
      <c r="W263" s="6088"/>
      <c r="X263" s="6088"/>
      <c r="Y263" s="6088"/>
      <c r="Z263" s="6088"/>
      <c r="AA263" s="6088"/>
      <c r="AB263" s="6088"/>
      <c r="AC263" s="6088"/>
      <c r="AD263" s="6088"/>
      <c r="AE263" s="6088"/>
      <c r="AF263" s="6088"/>
      <c r="AG263" s="6088"/>
      <c r="AH263" s="6088"/>
      <c r="AI263" s="6088"/>
      <c r="AJ263" s="6088"/>
      <c r="AK263" s="6088"/>
      <c r="AL263" s="6088"/>
      <c r="AM263" s="6088"/>
      <c r="AN263" s="6088"/>
      <c r="AO263" s="6088"/>
      <c r="AP263" s="6088"/>
      <c r="AQ263" s="6088"/>
      <c r="AR263" s="6089"/>
      <c r="AV263" s="6087"/>
      <c r="AW263" s="6088"/>
      <c r="AX263" s="6088"/>
      <c r="AY263" s="6088"/>
      <c r="AZ263" s="6088"/>
      <c r="BA263" s="6088"/>
      <c r="BB263" s="6088"/>
      <c r="BC263" s="6088"/>
      <c r="BD263" s="6088"/>
      <c r="BE263" s="6088"/>
      <c r="BF263" s="6088"/>
      <c r="BG263" s="6088"/>
      <c r="BH263" s="6088"/>
      <c r="BI263" s="6088"/>
      <c r="BJ263" s="6088"/>
      <c r="BK263" s="6088"/>
      <c r="BL263" s="6088"/>
      <c r="BM263" s="6088"/>
      <c r="BN263" s="6088"/>
      <c r="BO263" s="6088"/>
      <c r="BP263" s="6088"/>
      <c r="BQ263" s="6088"/>
      <c r="BR263" s="6088"/>
      <c r="BS263" s="6088"/>
      <c r="BT263" s="6088"/>
      <c r="BU263" s="6088"/>
      <c r="BV263" s="6088"/>
      <c r="BW263" s="6088"/>
      <c r="BX263" s="6088"/>
      <c r="BY263" s="6088"/>
      <c r="BZ263" s="6088"/>
      <c r="CA263" s="6088"/>
      <c r="CB263" s="6088"/>
      <c r="CC263" s="6088"/>
      <c r="CD263" s="6088"/>
      <c r="CE263" s="6088"/>
      <c r="CF263" s="6088"/>
      <c r="CG263" s="6088"/>
      <c r="CH263" s="6088"/>
      <c r="CI263" s="6088"/>
      <c r="CJ263" s="6088"/>
      <c r="CK263" s="6089"/>
      <c r="CO263" s="6087"/>
      <c r="CP263" s="6088"/>
      <c r="CQ263" s="6088"/>
      <c r="CR263" s="6088"/>
      <c r="CS263" s="6088"/>
      <c r="CT263" s="6088"/>
      <c r="CU263" s="6088"/>
      <c r="CV263" s="6088"/>
      <c r="CW263" s="6088"/>
      <c r="CX263" s="6088"/>
      <c r="CY263" s="6088"/>
      <c r="CZ263" s="6088"/>
      <c r="DA263" s="6088"/>
      <c r="DB263" s="6088"/>
      <c r="DC263" s="6088"/>
      <c r="DD263" s="6088"/>
      <c r="DE263" s="6088"/>
      <c r="DF263" s="6088"/>
      <c r="DG263" s="6088"/>
      <c r="DH263" s="6088"/>
      <c r="DI263" s="6088"/>
      <c r="DJ263" s="6088"/>
      <c r="DK263" s="6088"/>
      <c r="DL263" s="6088"/>
      <c r="DM263" s="6088"/>
      <c r="DN263" s="6088"/>
      <c r="DO263" s="6088"/>
      <c r="DP263" s="6088"/>
      <c r="DQ263" s="6088"/>
      <c r="DR263" s="6088"/>
      <c r="DS263" s="6088"/>
      <c r="DT263" s="6088"/>
      <c r="DU263" s="6088"/>
      <c r="DV263" s="6088"/>
      <c r="DW263" s="6088"/>
      <c r="DX263" s="6088"/>
      <c r="DY263" s="6088"/>
      <c r="DZ263" s="6088"/>
      <c r="EA263" s="6088"/>
      <c r="EB263" s="6088"/>
      <c r="EC263" s="6088"/>
      <c r="ED263" s="6089"/>
      <c r="EH263" s="6087"/>
      <c r="EI263" s="6088"/>
      <c r="EJ263" s="6088"/>
      <c r="EK263" s="6088"/>
      <c r="EL263" s="6088"/>
      <c r="EM263" s="6088"/>
      <c r="EN263" s="6088"/>
      <c r="EO263" s="6088"/>
      <c r="EP263" s="6088"/>
      <c r="EQ263" s="6088"/>
      <c r="ER263" s="6088"/>
      <c r="ES263" s="6088"/>
      <c r="ET263" s="6088"/>
      <c r="EU263" s="6088"/>
      <c r="EV263" s="6088"/>
      <c r="EW263" s="6088"/>
      <c r="EX263" s="6088"/>
      <c r="EY263" s="6088"/>
      <c r="EZ263" s="6088"/>
      <c r="FA263" s="6088"/>
      <c r="FB263" s="6088"/>
      <c r="FC263" s="6088"/>
      <c r="FD263" s="6088"/>
      <c r="FE263" s="6088"/>
      <c r="FF263" s="6088"/>
      <c r="FG263" s="6088"/>
      <c r="FH263" s="6088"/>
      <c r="FI263" s="6088"/>
      <c r="FJ263" s="6088"/>
      <c r="FK263" s="6088"/>
      <c r="FL263" s="6088"/>
      <c r="FM263" s="6088"/>
      <c r="FN263" s="6088"/>
      <c r="FO263" s="6088"/>
      <c r="FP263" s="6088"/>
      <c r="FQ263" s="6088"/>
      <c r="FR263" s="6088"/>
      <c r="FS263" s="6088"/>
      <c r="FT263" s="6088"/>
      <c r="FU263" s="6088"/>
      <c r="FV263" s="6088"/>
      <c r="FW263" s="6089"/>
      <c r="GA263" s="6087"/>
      <c r="GB263" s="6088"/>
      <c r="GC263" s="6088"/>
      <c r="GD263" s="6088"/>
      <c r="GE263" s="6088"/>
      <c r="GF263" s="6088"/>
      <c r="GG263" s="6088"/>
      <c r="GH263" s="6088"/>
      <c r="GI263" s="6088"/>
      <c r="GJ263" s="6088"/>
      <c r="GK263" s="6088"/>
      <c r="GL263" s="6088"/>
      <c r="GM263" s="6088"/>
      <c r="GN263" s="6088"/>
      <c r="GO263" s="6088"/>
      <c r="GP263" s="6088"/>
      <c r="GQ263" s="6088"/>
      <c r="GR263" s="6088"/>
      <c r="GS263" s="6088"/>
      <c r="GT263" s="6088"/>
      <c r="GU263" s="6088"/>
      <c r="GV263" s="6088"/>
      <c r="GW263" s="6088"/>
      <c r="GX263" s="6088"/>
      <c r="GY263" s="6088"/>
      <c r="GZ263" s="6088"/>
      <c r="HA263" s="6088"/>
      <c r="HB263" s="6088"/>
      <c r="HC263" s="6088"/>
      <c r="HD263" s="6088"/>
      <c r="HE263" s="6088"/>
      <c r="HF263" s="6088"/>
      <c r="HG263" s="6088"/>
      <c r="HH263" s="6088"/>
      <c r="HI263" s="6088"/>
      <c r="HJ263" s="6088"/>
      <c r="HK263" s="6088"/>
      <c r="HL263" s="6088"/>
      <c r="HM263" s="6088"/>
      <c r="HN263" s="6088"/>
      <c r="HO263" s="6088"/>
      <c r="HP263" s="6089"/>
      <c r="HT263" s="6087"/>
      <c r="HU263" s="6088"/>
      <c r="HV263" s="6088"/>
      <c r="HW263" s="6088"/>
      <c r="HX263" s="6088"/>
      <c r="HY263" s="6088"/>
      <c r="HZ263" s="6088"/>
      <c r="IA263" s="6088"/>
      <c r="IB263" s="6088"/>
      <c r="IC263" s="6088"/>
      <c r="ID263" s="6088"/>
      <c r="IE263" s="6088"/>
      <c r="IF263" s="6088"/>
      <c r="IG263" s="6088"/>
      <c r="IH263" s="6088"/>
      <c r="II263" s="6088"/>
      <c r="IJ263" s="6088"/>
      <c r="IK263" s="6088"/>
      <c r="IL263" s="6088"/>
      <c r="IM263" s="6088"/>
      <c r="IN263" s="6088"/>
      <c r="IO263" s="6088"/>
      <c r="IP263" s="6088"/>
      <c r="IQ263" s="6088"/>
      <c r="IR263" s="6088"/>
      <c r="IS263" s="6088"/>
      <c r="IT263" s="6088"/>
      <c r="IU263" s="6088"/>
      <c r="IV263" s="6088"/>
      <c r="IW263" s="6088"/>
      <c r="IX263" s="6088"/>
      <c r="IY263" s="6088"/>
      <c r="IZ263" s="6088"/>
      <c r="JA263" s="6088"/>
      <c r="JB263" s="6088"/>
      <c r="JC263" s="6088"/>
      <c r="JD263" s="6088"/>
      <c r="JE263" s="6088"/>
      <c r="JF263" s="6088"/>
      <c r="JG263" s="6088"/>
      <c r="JH263" s="6088"/>
      <c r="JI263" s="6089"/>
      <c r="JM263" s="6087"/>
      <c r="JN263" s="6088"/>
      <c r="JO263" s="6088"/>
      <c r="JP263" s="6088"/>
      <c r="JQ263" s="6088"/>
      <c r="JR263" s="6088"/>
      <c r="JS263" s="6088"/>
      <c r="JT263" s="6088"/>
      <c r="JU263" s="6088"/>
      <c r="JV263" s="6088"/>
      <c r="JW263" s="6088"/>
      <c r="JX263" s="6088"/>
      <c r="JY263" s="6088"/>
      <c r="JZ263" s="6088"/>
      <c r="KA263" s="6088"/>
      <c r="KB263" s="6088"/>
      <c r="KC263" s="6088"/>
      <c r="KD263" s="6088"/>
      <c r="KE263" s="6088"/>
      <c r="KF263" s="6088"/>
      <c r="KG263" s="6088"/>
      <c r="KH263" s="6088"/>
      <c r="KI263" s="6088"/>
      <c r="KJ263" s="6088"/>
      <c r="KK263" s="6088"/>
      <c r="KL263" s="6088"/>
      <c r="KM263" s="6088"/>
      <c r="KN263" s="6088"/>
      <c r="KO263" s="6088"/>
      <c r="KP263" s="6088"/>
      <c r="KQ263" s="6088"/>
      <c r="KR263" s="6088"/>
      <c r="KS263" s="6088"/>
      <c r="KT263" s="6088"/>
      <c r="KU263" s="6088"/>
      <c r="KV263" s="6088"/>
      <c r="KW263" s="6088"/>
      <c r="KX263" s="6088"/>
      <c r="KY263" s="6088"/>
      <c r="KZ263" s="6088"/>
      <c r="LA263" s="6088"/>
      <c r="LB263" s="6089"/>
      <c r="LF263" s="6087"/>
      <c r="LG263" s="6088"/>
      <c r="LH263" s="6088"/>
      <c r="LI263" s="6088"/>
      <c r="LJ263" s="6088"/>
      <c r="LK263" s="6088"/>
      <c r="LL263" s="6088"/>
      <c r="LM263" s="6088"/>
      <c r="LN263" s="6088"/>
      <c r="LO263" s="6088"/>
      <c r="LP263" s="6088"/>
      <c r="LQ263" s="6088"/>
      <c r="LR263" s="6088"/>
      <c r="LS263" s="6088"/>
      <c r="LT263" s="6088"/>
      <c r="LU263" s="6088"/>
      <c r="LV263" s="6088"/>
      <c r="LW263" s="6088"/>
      <c r="LX263" s="6088"/>
      <c r="LY263" s="6088"/>
      <c r="LZ263" s="6088"/>
      <c r="MA263" s="6088"/>
      <c r="MB263" s="6088"/>
      <c r="MC263" s="6088"/>
      <c r="MD263" s="6088"/>
      <c r="ME263" s="6088"/>
      <c r="MF263" s="6088"/>
      <c r="MG263" s="6088"/>
      <c r="MH263" s="6088"/>
      <c r="MI263" s="6088"/>
      <c r="MJ263" s="6088"/>
      <c r="MK263" s="6088"/>
      <c r="ML263" s="6088"/>
      <c r="MM263" s="6088"/>
      <c r="MN263" s="6088"/>
      <c r="MO263" s="6088"/>
      <c r="MP263" s="6088"/>
      <c r="MQ263" s="6088"/>
      <c r="MR263" s="6088"/>
      <c r="MS263" s="6088"/>
      <c r="MT263" s="6088"/>
      <c r="MU263" s="6089"/>
      <c r="MY263" s="6087"/>
      <c r="MZ263" s="6088"/>
      <c r="NA263" s="6088"/>
      <c r="NB263" s="6088"/>
      <c r="NC263" s="6088"/>
      <c r="ND263" s="6088"/>
      <c r="NE263" s="6088"/>
      <c r="NF263" s="6088"/>
      <c r="NG263" s="6088"/>
      <c r="NH263" s="6088"/>
      <c r="NI263" s="6088"/>
      <c r="NJ263" s="6088"/>
      <c r="NK263" s="6088"/>
      <c r="NL263" s="6088"/>
      <c r="NM263" s="6088"/>
      <c r="NN263" s="6088"/>
      <c r="NO263" s="6088"/>
      <c r="NP263" s="6088"/>
      <c r="NQ263" s="6088"/>
      <c r="NR263" s="6088"/>
      <c r="NS263" s="6088"/>
      <c r="NT263" s="6088"/>
      <c r="NU263" s="6088"/>
      <c r="NV263" s="6088"/>
      <c r="NW263" s="6088"/>
      <c r="NX263" s="6088"/>
      <c r="NY263" s="6088"/>
      <c r="NZ263" s="6088"/>
      <c r="OA263" s="6088"/>
      <c r="OB263" s="6088"/>
      <c r="OC263" s="6088"/>
      <c r="OD263" s="6088"/>
      <c r="OE263" s="6088"/>
      <c r="OF263" s="6088"/>
      <c r="OG263" s="6088"/>
      <c r="OH263" s="6088"/>
      <c r="OI263" s="6088"/>
      <c r="OJ263" s="6088"/>
      <c r="OK263" s="6088"/>
      <c r="OL263" s="6088"/>
      <c r="OM263" s="6088"/>
      <c r="ON263" s="6089"/>
    </row>
    <row r="264" spans="3:405" ht="9.9499999999999993" customHeight="1" x14ac:dyDescent="0.2"/>
    <row r="265" spans="3:405" ht="7.5" customHeight="1" x14ac:dyDescent="0.2">
      <c r="C265" s="6090"/>
      <c r="D265" s="6090"/>
      <c r="E265" s="6090"/>
      <c r="F265" s="6090"/>
      <c r="G265" s="6090"/>
      <c r="H265" s="6090"/>
      <c r="I265" s="6090"/>
      <c r="J265" s="6090"/>
      <c r="K265" s="6090"/>
      <c r="L265" s="6090"/>
      <c r="M265" s="6090"/>
      <c r="N265" s="6090"/>
      <c r="O265" s="6090"/>
      <c r="P265" s="6090"/>
      <c r="Q265" s="6090"/>
      <c r="R265" s="6090"/>
      <c r="S265" s="6090"/>
      <c r="T265" s="6090"/>
      <c r="U265" s="6090"/>
      <c r="V265" s="6090"/>
      <c r="W265" s="6090"/>
      <c r="X265" s="6090"/>
      <c r="Y265" s="6090"/>
      <c r="Z265" s="6090"/>
      <c r="AA265" s="6090"/>
      <c r="AB265" s="6090"/>
      <c r="AC265" s="6090"/>
      <c r="AD265" s="6090"/>
      <c r="AE265" s="6090"/>
      <c r="AF265" s="6090"/>
      <c r="AG265" s="6090"/>
      <c r="AH265" s="6090"/>
      <c r="AI265" s="6090"/>
      <c r="AJ265" s="6090"/>
      <c r="AK265" s="6090"/>
      <c r="AL265" s="6090"/>
      <c r="AM265" s="6090"/>
      <c r="AN265" s="6090"/>
      <c r="AO265" s="6090"/>
      <c r="AP265" s="6090"/>
      <c r="AQ265" s="6090"/>
      <c r="AR265" s="6090"/>
      <c r="AV265" s="6090"/>
      <c r="AW265" s="6090"/>
      <c r="AX265" s="6090"/>
      <c r="AY265" s="6090"/>
      <c r="AZ265" s="6090"/>
      <c r="BA265" s="6090"/>
      <c r="BB265" s="6090"/>
      <c r="BC265" s="6090"/>
      <c r="BD265" s="6090"/>
      <c r="BE265" s="6090"/>
      <c r="BF265" s="6090"/>
      <c r="BG265" s="6090"/>
      <c r="BH265" s="6090"/>
      <c r="BI265" s="6090"/>
      <c r="BJ265" s="6090"/>
      <c r="BK265" s="6090"/>
      <c r="BL265" s="6090"/>
      <c r="BM265" s="6090"/>
      <c r="BN265" s="6090"/>
      <c r="BO265" s="6090"/>
      <c r="BP265" s="6090"/>
      <c r="BQ265" s="6090"/>
      <c r="BR265" s="6090"/>
      <c r="BS265" s="6090"/>
      <c r="BT265" s="6090"/>
      <c r="BU265" s="6090"/>
      <c r="BV265" s="6090"/>
      <c r="BW265" s="6090"/>
      <c r="BX265" s="6090"/>
      <c r="BY265" s="6090"/>
      <c r="BZ265" s="6090"/>
      <c r="CA265" s="6090"/>
      <c r="CB265" s="6090"/>
      <c r="CC265" s="6090"/>
      <c r="CD265" s="6090"/>
      <c r="CE265" s="6090"/>
      <c r="CF265" s="6090"/>
      <c r="CG265" s="6090"/>
      <c r="CH265" s="6090"/>
      <c r="CI265" s="6090"/>
      <c r="CJ265" s="6090"/>
      <c r="CK265" s="6090"/>
      <c r="CO265" s="6090"/>
      <c r="CP265" s="6090"/>
      <c r="CQ265" s="6090"/>
      <c r="CR265" s="6090"/>
      <c r="CS265" s="6090"/>
      <c r="CT265" s="6090"/>
      <c r="CU265" s="6090"/>
      <c r="CV265" s="6090"/>
      <c r="CW265" s="6090"/>
      <c r="CX265" s="6090"/>
      <c r="CY265" s="6090"/>
      <c r="CZ265" s="6090"/>
      <c r="DA265" s="6090"/>
      <c r="DB265" s="6090"/>
      <c r="DC265" s="6090"/>
      <c r="DD265" s="6090"/>
      <c r="DE265" s="6090"/>
      <c r="DF265" s="6090"/>
      <c r="DG265" s="6090"/>
      <c r="DH265" s="6090"/>
      <c r="DI265" s="6090"/>
      <c r="DJ265" s="6090"/>
      <c r="DK265" s="6090"/>
      <c r="DL265" s="6090"/>
      <c r="DM265" s="6090"/>
      <c r="DN265" s="6090"/>
      <c r="DO265" s="6090"/>
      <c r="DP265" s="6090"/>
      <c r="DQ265" s="6090"/>
      <c r="DR265" s="6090"/>
      <c r="DS265" s="6090"/>
      <c r="DT265" s="6090"/>
      <c r="DU265" s="6090"/>
      <c r="DV265" s="6090"/>
      <c r="DW265" s="6090"/>
      <c r="DX265" s="6090"/>
      <c r="DY265" s="6090"/>
      <c r="DZ265" s="6090"/>
      <c r="EA265" s="6090"/>
      <c r="EB265" s="6090"/>
      <c r="EC265" s="6090"/>
      <c r="ED265" s="6090"/>
      <c r="EH265" s="6090"/>
      <c r="EI265" s="6090"/>
      <c r="EJ265" s="6090"/>
      <c r="EK265" s="6090"/>
      <c r="EL265" s="6090"/>
      <c r="EM265" s="6090"/>
      <c r="EN265" s="6090"/>
      <c r="EO265" s="6090"/>
      <c r="EP265" s="6090"/>
      <c r="EQ265" s="6090"/>
      <c r="ER265" s="6090"/>
      <c r="ES265" s="6090"/>
      <c r="ET265" s="6090"/>
      <c r="EU265" s="6090"/>
      <c r="EV265" s="6090"/>
      <c r="EW265" s="6090"/>
      <c r="EX265" s="6090"/>
      <c r="EY265" s="6090"/>
      <c r="EZ265" s="6090"/>
      <c r="FA265" s="6090"/>
      <c r="FB265" s="6090"/>
      <c r="FC265" s="6090"/>
      <c r="FD265" s="6090"/>
      <c r="FE265" s="6090"/>
      <c r="FF265" s="6090"/>
      <c r="FG265" s="6090"/>
      <c r="FH265" s="6090"/>
      <c r="FI265" s="6090"/>
      <c r="FJ265" s="6090"/>
      <c r="FK265" s="6090"/>
      <c r="FL265" s="6090"/>
      <c r="FM265" s="6090"/>
      <c r="FN265" s="6090"/>
      <c r="FO265" s="6090"/>
      <c r="FP265" s="6090"/>
      <c r="FQ265" s="6090"/>
      <c r="FR265" s="6090"/>
      <c r="FS265" s="6090"/>
      <c r="FT265" s="6090"/>
      <c r="FU265" s="6090"/>
      <c r="FV265" s="6090"/>
      <c r="FW265" s="6090"/>
      <c r="GA265" s="6090"/>
      <c r="GB265" s="6090"/>
      <c r="GC265" s="6090"/>
      <c r="GD265" s="6090"/>
      <c r="GE265" s="6090"/>
      <c r="GF265" s="6090"/>
      <c r="GG265" s="6090"/>
      <c r="GH265" s="6090"/>
      <c r="GI265" s="6090"/>
      <c r="GJ265" s="6090"/>
      <c r="GK265" s="6090"/>
      <c r="GL265" s="6090"/>
      <c r="GM265" s="6090"/>
      <c r="GN265" s="6090"/>
      <c r="GO265" s="6090"/>
      <c r="GP265" s="6090"/>
      <c r="GQ265" s="6090"/>
      <c r="GR265" s="6090"/>
      <c r="GS265" s="6090"/>
      <c r="GT265" s="6090"/>
      <c r="GU265" s="6090"/>
      <c r="GV265" s="6090"/>
      <c r="GW265" s="6090"/>
      <c r="GX265" s="6090"/>
      <c r="GY265" s="6090"/>
      <c r="GZ265" s="6090"/>
      <c r="HA265" s="6090"/>
      <c r="HB265" s="6090"/>
      <c r="HC265" s="6090"/>
      <c r="HD265" s="6090"/>
      <c r="HE265" s="6090"/>
      <c r="HF265" s="6090"/>
      <c r="HG265" s="6090"/>
      <c r="HH265" s="6090"/>
      <c r="HI265" s="6090"/>
      <c r="HJ265" s="6090"/>
      <c r="HK265" s="6090"/>
      <c r="HL265" s="6090"/>
      <c r="HM265" s="6090"/>
      <c r="HN265" s="6090"/>
      <c r="HO265" s="6090"/>
      <c r="HP265" s="6090"/>
      <c r="HT265" s="6090"/>
      <c r="HU265" s="6090"/>
      <c r="HV265" s="6090"/>
      <c r="HW265" s="6090"/>
      <c r="HX265" s="6090"/>
      <c r="HY265" s="6090"/>
      <c r="HZ265" s="6090"/>
      <c r="IA265" s="6090"/>
      <c r="IB265" s="6090"/>
      <c r="IC265" s="6090"/>
      <c r="ID265" s="6090"/>
      <c r="IE265" s="6090"/>
      <c r="IF265" s="6090"/>
      <c r="IG265" s="6090"/>
      <c r="IH265" s="6090"/>
      <c r="II265" s="6090"/>
      <c r="IJ265" s="6090"/>
      <c r="IK265" s="6090"/>
      <c r="IL265" s="6090"/>
      <c r="IM265" s="6090"/>
      <c r="IN265" s="6090"/>
      <c r="IO265" s="6090"/>
      <c r="IP265" s="6090"/>
      <c r="IQ265" s="6090"/>
      <c r="IR265" s="6090"/>
      <c r="IS265" s="6090"/>
      <c r="IT265" s="6090"/>
      <c r="IU265" s="6090"/>
      <c r="IV265" s="6090"/>
      <c r="IW265" s="6090"/>
      <c r="IX265" s="6090"/>
      <c r="IY265" s="6090"/>
      <c r="IZ265" s="6090"/>
      <c r="JA265" s="6090"/>
      <c r="JB265" s="6090"/>
      <c r="JC265" s="6090"/>
      <c r="JD265" s="6090"/>
      <c r="JE265" s="6090"/>
      <c r="JF265" s="6090"/>
      <c r="JG265" s="6090"/>
      <c r="JH265" s="6090"/>
      <c r="JI265" s="6090"/>
      <c r="JM265" s="6090"/>
      <c r="JN265" s="6090"/>
      <c r="JO265" s="6090"/>
      <c r="JP265" s="6090"/>
      <c r="JQ265" s="6090"/>
      <c r="JR265" s="6090"/>
      <c r="JS265" s="6090"/>
      <c r="JT265" s="6090"/>
      <c r="JU265" s="6090"/>
      <c r="JV265" s="6090"/>
      <c r="JW265" s="6090"/>
      <c r="JX265" s="6090"/>
      <c r="JY265" s="6090"/>
      <c r="JZ265" s="6090"/>
      <c r="KA265" s="6090"/>
      <c r="KB265" s="6090"/>
      <c r="KC265" s="6090"/>
      <c r="KD265" s="6090"/>
      <c r="KE265" s="6090"/>
      <c r="KF265" s="6090"/>
      <c r="KG265" s="6090"/>
      <c r="KH265" s="6090"/>
      <c r="KI265" s="6090"/>
      <c r="KJ265" s="6090"/>
      <c r="KK265" s="6090"/>
      <c r="KL265" s="6090"/>
      <c r="KM265" s="6090"/>
      <c r="KN265" s="6090"/>
      <c r="KO265" s="6090"/>
      <c r="KP265" s="6090"/>
      <c r="KQ265" s="6090"/>
      <c r="KR265" s="6090"/>
      <c r="KS265" s="6090"/>
      <c r="KT265" s="6090"/>
      <c r="KU265" s="6090"/>
      <c r="KV265" s="6090"/>
      <c r="KW265" s="6090"/>
      <c r="KX265" s="6090"/>
      <c r="KY265" s="6090"/>
      <c r="KZ265" s="6090"/>
      <c r="LA265" s="6090"/>
      <c r="LB265" s="6090"/>
      <c r="LF265" s="6090"/>
      <c r="LG265" s="6090"/>
      <c r="LH265" s="6090"/>
      <c r="LI265" s="6090"/>
      <c r="LJ265" s="6090"/>
      <c r="LK265" s="6090"/>
      <c r="LL265" s="6090"/>
      <c r="LM265" s="6090"/>
      <c r="LN265" s="6090"/>
      <c r="LO265" s="6090"/>
      <c r="LP265" s="6090"/>
      <c r="LQ265" s="6090"/>
      <c r="LR265" s="6090"/>
      <c r="LS265" s="6090"/>
      <c r="LT265" s="6090"/>
      <c r="LU265" s="6090"/>
      <c r="LV265" s="6090"/>
      <c r="LW265" s="6090"/>
      <c r="LX265" s="6090"/>
      <c r="LY265" s="6090"/>
      <c r="LZ265" s="6090"/>
      <c r="MA265" s="6090"/>
      <c r="MB265" s="6090"/>
      <c r="MC265" s="6090"/>
      <c r="MD265" s="6090"/>
      <c r="ME265" s="6090"/>
      <c r="MF265" s="6090"/>
      <c r="MG265" s="6090"/>
      <c r="MH265" s="6090"/>
      <c r="MI265" s="6090"/>
      <c r="MJ265" s="6090"/>
      <c r="MK265" s="6090"/>
      <c r="ML265" s="6090"/>
      <c r="MM265" s="6090"/>
      <c r="MN265" s="6090"/>
      <c r="MO265" s="6090"/>
      <c r="MP265" s="6090"/>
      <c r="MQ265" s="6090"/>
      <c r="MR265" s="6090"/>
      <c r="MS265" s="6090"/>
      <c r="MT265" s="6090"/>
      <c r="MU265" s="6090"/>
      <c r="MY265" s="6090"/>
      <c r="MZ265" s="6090"/>
      <c r="NA265" s="6090"/>
      <c r="NB265" s="6090"/>
      <c r="NC265" s="6090"/>
      <c r="ND265" s="6090"/>
      <c r="NE265" s="6090"/>
      <c r="NF265" s="6090"/>
      <c r="NG265" s="6090"/>
      <c r="NH265" s="6090"/>
      <c r="NI265" s="6090"/>
      <c r="NJ265" s="6090"/>
      <c r="NK265" s="6090"/>
      <c r="NL265" s="6090"/>
      <c r="NM265" s="6090"/>
      <c r="NN265" s="6090"/>
      <c r="NO265" s="6090"/>
      <c r="NP265" s="6090"/>
      <c r="NQ265" s="6090"/>
      <c r="NR265" s="6090"/>
      <c r="NS265" s="6090"/>
      <c r="NT265" s="6090"/>
      <c r="NU265" s="6090"/>
      <c r="NV265" s="6090"/>
      <c r="NW265" s="6090"/>
      <c r="NX265" s="6090"/>
      <c r="NY265" s="6090"/>
      <c r="NZ265" s="6090"/>
      <c r="OA265" s="6090"/>
      <c r="OB265" s="6090"/>
      <c r="OC265" s="6090"/>
      <c r="OD265" s="6090"/>
      <c r="OE265" s="6090"/>
      <c r="OF265" s="6090"/>
      <c r="OG265" s="6090"/>
      <c r="OH265" s="6090"/>
      <c r="OI265" s="6090"/>
      <c r="OJ265" s="6090"/>
      <c r="OK265" s="6090"/>
      <c r="OL265" s="6090"/>
      <c r="OM265" s="6090"/>
      <c r="ON265" s="6090"/>
    </row>
    <row r="266" spans="3:405" ht="5.0999999999999996" customHeight="1" x14ac:dyDescent="0.2">
      <c r="D266" s="6091"/>
      <c r="AW266" s="6091"/>
      <c r="CP266" s="6091"/>
      <c r="EI266" s="6091"/>
      <c r="GB266" s="6091"/>
      <c r="HU266" s="6091"/>
      <c r="JN266" s="6091"/>
      <c r="LG266" s="6091"/>
      <c r="MZ266" s="6091"/>
    </row>
    <row r="267" spans="3:405" ht="5.0999999999999996" customHeight="1" x14ac:dyDescent="0.2"/>
    <row r="268" spans="3:405" ht="8.1" customHeight="1" x14ac:dyDescent="0.2">
      <c r="C268" s="6090"/>
      <c r="D268" s="6090"/>
      <c r="E268" s="6090"/>
      <c r="F268" s="6090"/>
      <c r="G268" s="6090"/>
      <c r="H268" s="6090"/>
      <c r="I268" s="6090"/>
      <c r="J268" s="6090"/>
      <c r="K268" s="6090"/>
      <c r="L268" s="6090"/>
      <c r="M268" s="6090"/>
      <c r="N268" s="6090"/>
      <c r="O268" s="6090"/>
      <c r="P268" s="6090"/>
      <c r="Q268" s="6090"/>
      <c r="R268" s="6090"/>
      <c r="S268" s="6090"/>
      <c r="T268" s="6090"/>
      <c r="U268" s="6090"/>
      <c r="V268" s="6090"/>
      <c r="W268" s="6090"/>
      <c r="X268" s="6090"/>
      <c r="Y268" s="6090"/>
      <c r="Z268" s="6090"/>
      <c r="AA268" s="6090"/>
      <c r="AB268" s="6090"/>
      <c r="AC268" s="6090"/>
      <c r="AD268" s="6090"/>
      <c r="AE268" s="6090"/>
      <c r="AF268" s="6090"/>
      <c r="AG268" s="6090"/>
      <c r="AH268" s="6090"/>
      <c r="AI268" s="6090"/>
      <c r="AJ268" s="6090"/>
      <c r="AK268" s="6090"/>
      <c r="AL268" s="6090"/>
      <c r="AM268" s="6090"/>
      <c r="AN268" s="6090"/>
      <c r="AO268" s="6090"/>
      <c r="AP268" s="6090"/>
      <c r="AQ268" s="6090"/>
      <c r="AR268" s="6090"/>
      <c r="AV268" s="6090"/>
      <c r="AW268" s="6090"/>
      <c r="AX268" s="6090"/>
      <c r="AY268" s="6090"/>
      <c r="AZ268" s="6090"/>
      <c r="BA268" s="6090"/>
      <c r="BB268" s="6090"/>
      <c r="BC268" s="6090"/>
      <c r="BD268" s="6090"/>
      <c r="BE268" s="6090"/>
      <c r="BF268" s="6090"/>
      <c r="BG268" s="6090"/>
      <c r="BH268" s="6090"/>
      <c r="BI268" s="6090"/>
      <c r="BJ268" s="6090"/>
      <c r="BK268" s="6090"/>
      <c r="BL268" s="6090"/>
      <c r="BM268" s="6090"/>
      <c r="BN268" s="6090"/>
      <c r="BO268" s="6090"/>
      <c r="BP268" s="6090"/>
      <c r="BQ268" s="6090"/>
      <c r="BR268" s="6090"/>
      <c r="BS268" s="6090"/>
      <c r="BT268" s="6090"/>
      <c r="BU268" s="6090"/>
      <c r="BV268" s="6090"/>
      <c r="BW268" s="6090"/>
      <c r="BX268" s="6090"/>
      <c r="BY268" s="6090"/>
      <c r="BZ268" s="6090"/>
      <c r="CA268" s="6090"/>
      <c r="CB268" s="6090"/>
      <c r="CC268" s="6090"/>
      <c r="CD268" s="6090"/>
      <c r="CE268" s="6090"/>
      <c r="CF268" s="6090"/>
      <c r="CG268" s="6090"/>
      <c r="CH268" s="6090"/>
      <c r="CI268" s="6090"/>
      <c r="CJ268" s="6090"/>
      <c r="CK268" s="6090"/>
      <c r="CO268" s="6090"/>
      <c r="CP268" s="6090"/>
      <c r="CQ268" s="6090"/>
      <c r="CR268" s="6090"/>
      <c r="CS268" s="6090"/>
      <c r="CT268" s="6090"/>
      <c r="CU268" s="6090"/>
      <c r="CV268" s="6090"/>
      <c r="CW268" s="6090"/>
      <c r="CX268" s="6090"/>
      <c r="CY268" s="6090"/>
      <c r="CZ268" s="6090"/>
      <c r="DA268" s="6090"/>
      <c r="DB268" s="6090"/>
      <c r="DC268" s="6090"/>
      <c r="DD268" s="6090"/>
      <c r="DE268" s="6090"/>
      <c r="DF268" s="6090"/>
      <c r="DG268" s="6090"/>
      <c r="DH268" s="6090"/>
      <c r="DI268" s="6090"/>
      <c r="DJ268" s="6090"/>
      <c r="DK268" s="6090"/>
      <c r="DL268" s="6090"/>
      <c r="DM268" s="6090"/>
      <c r="DN268" s="6090"/>
      <c r="DO268" s="6090"/>
      <c r="DP268" s="6090"/>
      <c r="DQ268" s="6090"/>
      <c r="DR268" s="6090"/>
      <c r="DS268" s="6090"/>
      <c r="DT268" s="6090"/>
      <c r="DU268" s="6090"/>
      <c r="DV268" s="6090"/>
      <c r="DW268" s="6090"/>
      <c r="DX268" s="6090"/>
      <c r="DY268" s="6090"/>
      <c r="DZ268" s="6090"/>
      <c r="EA268" s="6090"/>
      <c r="EB268" s="6090"/>
      <c r="EC268" s="6090"/>
      <c r="ED268" s="6090"/>
      <c r="EH268" s="6090"/>
      <c r="EI268" s="6090"/>
      <c r="EJ268" s="6090"/>
      <c r="EK268" s="6090"/>
      <c r="EL268" s="6090"/>
      <c r="EM268" s="6090"/>
      <c r="EN268" s="6090"/>
      <c r="EO268" s="6090"/>
      <c r="EP268" s="6090"/>
      <c r="EQ268" s="6090"/>
      <c r="ER268" s="6090"/>
      <c r="ES268" s="6090"/>
      <c r="ET268" s="6090"/>
      <c r="EU268" s="6090"/>
      <c r="EV268" s="6090"/>
      <c r="EW268" s="6090"/>
      <c r="EX268" s="6090"/>
      <c r="EY268" s="6090"/>
      <c r="EZ268" s="6090"/>
      <c r="FA268" s="6090"/>
      <c r="FB268" s="6090"/>
      <c r="FC268" s="6090"/>
      <c r="FD268" s="6090"/>
      <c r="FE268" s="6090"/>
      <c r="FF268" s="6090"/>
      <c r="FG268" s="6090"/>
      <c r="FH268" s="6090"/>
      <c r="FI268" s="6090"/>
      <c r="FJ268" s="6090"/>
      <c r="FK268" s="6090"/>
      <c r="FL268" s="6090"/>
      <c r="FM268" s="6090"/>
      <c r="FN268" s="6090"/>
      <c r="FO268" s="6090"/>
      <c r="FP268" s="6090"/>
      <c r="FQ268" s="6090"/>
      <c r="FR268" s="6090"/>
      <c r="FS268" s="6090"/>
      <c r="FT268" s="6090"/>
      <c r="FU268" s="6090"/>
      <c r="FV268" s="6090"/>
      <c r="FW268" s="6090"/>
      <c r="GA268" s="6090"/>
      <c r="GB268" s="6090"/>
      <c r="GC268" s="6090"/>
      <c r="GD268" s="6090"/>
      <c r="GE268" s="6090"/>
      <c r="GF268" s="6090"/>
      <c r="GG268" s="6090"/>
      <c r="GH268" s="6090"/>
      <c r="GI268" s="6090"/>
      <c r="GJ268" s="6090"/>
      <c r="GK268" s="6090"/>
      <c r="GL268" s="6090"/>
      <c r="GM268" s="6090"/>
      <c r="GN268" s="6090"/>
      <c r="GO268" s="6090"/>
      <c r="GP268" s="6090"/>
      <c r="GQ268" s="6090"/>
      <c r="GR268" s="6090"/>
      <c r="GS268" s="6090"/>
      <c r="GT268" s="6090"/>
      <c r="GU268" s="6090"/>
      <c r="GV268" s="6090"/>
      <c r="GW268" s="6090"/>
      <c r="GX268" s="6090"/>
      <c r="GY268" s="6090"/>
      <c r="GZ268" s="6090"/>
      <c r="HA268" s="6090"/>
      <c r="HB268" s="6090"/>
      <c r="HC268" s="6090"/>
      <c r="HD268" s="6090"/>
      <c r="HE268" s="6090"/>
      <c r="HF268" s="6090"/>
      <c r="HG268" s="6090"/>
      <c r="HH268" s="6090"/>
      <c r="HI268" s="6090"/>
      <c r="HJ268" s="6090"/>
      <c r="HK268" s="6090"/>
      <c r="HL268" s="6090"/>
      <c r="HM268" s="6090"/>
      <c r="HN268" s="6090"/>
      <c r="HO268" s="6090"/>
      <c r="HP268" s="6090"/>
      <c r="HT268" s="6090"/>
      <c r="HU268" s="6090"/>
      <c r="HV268" s="6090"/>
      <c r="HW268" s="6090"/>
      <c r="HX268" s="6090"/>
      <c r="HY268" s="6090"/>
      <c r="HZ268" s="6090"/>
      <c r="IA268" s="6090"/>
      <c r="IB268" s="6090"/>
      <c r="IC268" s="6090"/>
      <c r="ID268" s="6090"/>
      <c r="IE268" s="6090"/>
      <c r="IF268" s="6090"/>
      <c r="IG268" s="6090"/>
      <c r="IH268" s="6090"/>
      <c r="II268" s="6090"/>
      <c r="IJ268" s="6090"/>
      <c r="IK268" s="6090"/>
      <c r="IL268" s="6090"/>
      <c r="IM268" s="6090"/>
      <c r="IN268" s="6090"/>
      <c r="IO268" s="6090"/>
      <c r="IP268" s="6090"/>
      <c r="IQ268" s="6090"/>
      <c r="IR268" s="6090"/>
      <c r="IS268" s="6090"/>
      <c r="IT268" s="6090"/>
      <c r="IU268" s="6090"/>
      <c r="IV268" s="6090"/>
      <c r="IW268" s="6090"/>
      <c r="IX268" s="6090"/>
      <c r="IY268" s="6090"/>
      <c r="IZ268" s="6090"/>
      <c r="JA268" s="6090"/>
      <c r="JB268" s="6090"/>
      <c r="JC268" s="6090"/>
      <c r="JD268" s="6090"/>
      <c r="JE268" s="6090"/>
      <c r="JF268" s="6090"/>
      <c r="JG268" s="6090"/>
      <c r="JH268" s="6090"/>
      <c r="JI268" s="6090"/>
      <c r="JM268" s="6090"/>
      <c r="JN268" s="6090"/>
      <c r="JO268" s="6090"/>
      <c r="JP268" s="6090"/>
      <c r="JQ268" s="6090"/>
      <c r="JR268" s="6090"/>
      <c r="JS268" s="6090"/>
      <c r="JT268" s="6090"/>
      <c r="JU268" s="6090"/>
      <c r="JV268" s="6090"/>
      <c r="JW268" s="6090"/>
      <c r="JX268" s="6090"/>
      <c r="JY268" s="6090"/>
      <c r="JZ268" s="6090"/>
      <c r="KA268" s="6090"/>
      <c r="KB268" s="6090"/>
      <c r="KC268" s="6090"/>
      <c r="KD268" s="6090"/>
      <c r="KE268" s="6090"/>
      <c r="KF268" s="6090"/>
      <c r="KG268" s="6090"/>
      <c r="KH268" s="6090"/>
      <c r="KI268" s="6090"/>
      <c r="KJ268" s="6090"/>
      <c r="KK268" s="6090"/>
      <c r="KL268" s="6090"/>
      <c r="KM268" s="6090"/>
      <c r="KN268" s="6090"/>
      <c r="KO268" s="6090"/>
      <c r="KP268" s="6090"/>
      <c r="KQ268" s="6090"/>
      <c r="KR268" s="6090"/>
      <c r="KS268" s="6090"/>
      <c r="KT268" s="6090"/>
      <c r="KU268" s="6090"/>
      <c r="KV268" s="6090"/>
      <c r="KW268" s="6090"/>
      <c r="KX268" s="6090"/>
      <c r="KY268" s="6090"/>
      <c r="KZ268" s="6090"/>
      <c r="LA268" s="6090"/>
      <c r="LB268" s="6090"/>
      <c r="LF268" s="6090"/>
      <c r="LG268" s="6090"/>
      <c r="LH268" s="6090"/>
      <c r="LI268" s="6090"/>
      <c r="LJ268" s="6090"/>
      <c r="LK268" s="6090"/>
      <c r="LL268" s="6090"/>
      <c r="LM268" s="6090"/>
      <c r="LN268" s="6090"/>
      <c r="LO268" s="6090"/>
      <c r="LP268" s="6090"/>
      <c r="LQ268" s="6090"/>
      <c r="LR268" s="6090"/>
      <c r="LS268" s="6090"/>
      <c r="LT268" s="6090"/>
      <c r="LU268" s="6090"/>
      <c r="LV268" s="6090"/>
      <c r="LW268" s="6090"/>
      <c r="LX268" s="6090"/>
      <c r="LY268" s="6090"/>
      <c r="LZ268" s="6090"/>
      <c r="MA268" s="6090"/>
      <c r="MB268" s="6090"/>
      <c r="MC268" s="6090"/>
      <c r="MD268" s="6090"/>
      <c r="ME268" s="6090"/>
      <c r="MF268" s="6090"/>
      <c r="MG268" s="6090"/>
      <c r="MH268" s="6090"/>
      <c r="MI268" s="6090"/>
      <c r="MJ268" s="6090"/>
      <c r="MK268" s="6090"/>
      <c r="ML268" s="6090"/>
      <c r="MM268" s="6090"/>
      <c r="MN268" s="6090"/>
      <c r="MO268" s="6090"/>
      <c r="MP268" s="6090"/>
      <c r="MQ268" s="6090"/>
      <c r="MR268" s="6090"/>
      <c r="MS268" s="6090"/>
      <c r="MT268" s="6090"/>
      <c r="MU268" s="6090"/>
      <c r="MY268" s="6090"/>
      <c r="MZ268" s="6090"/>
      <c r="NA268" s="6090"/>
      <c r="NB268" s="6090"/>
      <c r="NC268" s="6090"/>
      <c r="ND268" s="6090"/>
      <c r="NE268" s="6090"/>
      <c r="NF268" s="6090"/>
      <c r="NG268" s="6090"/>
      <c r="NH268" s="6090"/>
      <c r="NI268" s="6090"/>
      <c r="NJ268" s="6090"/>
      <c r="NK268" s="6090"/>
      <c r="NL268" s="6090"/>
      <c r="NM268" s="6090"/>
      <c r="NN268" s="6090"/>
      <c r="NO268" s="6090"/>
      <c r="NP268" s="6090"/>
      <c r="NQ268" s="6090"/>
      <c r="NR268" s="6090"/>
      <c r="NS268" s="6090"/>
      <c r="NT268" s="6090"/>
      <c r="NU268" s="6090"/>
      <c r="NV268" s="6090"/>
      <c r="NW268" s="6090"/>
      <c r="NX268" s="6090"/>
      <c r="NY268" s="6090"/>
      <c r="NZ268" s="6090"/>
      <c r="OA268" s="6090"/>
      <c r="OB268" s="6090"/>
      <c r="OC268" s="6090"/>
      <c r="OD268" s="6090"/>
      <c r="OE268" s="6090"/>
      <c r="OF268" s="6090"/>
      <c r="OG268" s="6090"/>
      <c r="OH268" s="6090"/>
      <c r="OI268" s="6090"/>
      <c r="OJ268" s="6090"/>
      <c r="OK268" s="6090"/>
      <c r="OL268" s="6090"/>
      <c r="OM268" s="6090"/>
      <c r="ON268" s="6090"/>
    </row>
    <row r="269" spans="3:405" ht="9.9499999999999993" customHeight="1" thickBot="1" x14ac:dyDescent="0.25"/>
    <row r="270" spans="3:405" ht="9.9499999999999993" customHeight="1" thickBot="1" x14ac:dyDescent="0.25">
      <c r="C270" s="6015"/>
      <c r="D270" s="6016"/>
      <c r="E270" s="6016"/>
      <c r="F270" s="6016"/>
      <c r="G270" s="6016"/>
      <c r="H270" s="6016"/>
      <c r="I270" s="6016"/>
      <c r="J270" s="6016"/>
      <c r="K270" s="6016"/>
      <c r="L270" s="6016"/>
      <c r="M270" s="6016"/>
      <c r="N270" s="6016"/>
      <c r="O270" s="6016"/>
      <c r="P270" s="6016"/>
      <c r="Q270" s="6016"/>
      <c r="R270" s="6016"/>
      <c r="S270" s="6016"/>
      <c r="T270" s="6016"/>
      <c r="U270" s="6016"/>
      <c r="V270" s="6016"/>
      <c r="W270" s="6016"/>
      <c r="X270" s="6016"/>
      <c r="Y270" s="6016"/>
      <c r="Z270" s="6016"/>
      <c r="AA270" s="6016"/>
      <c r="AB270" s="6016"/>
      <c r="AC270" s="6016"/>
      <c r="AD270" s="6016"/>
      <c r="AE270" s="6016"/>
      <c r="AF270" s="6016"/>
      <c r="AG270" s="6016"/>
      <c r="AH270" s="6016"/>
      <c r="AI270" s="6016"/>
      <c r="AJ270" s="6016"/>
      <c r="AK270" s="6016"/>
      <c r="AL270" s="6016"/>
      <c r="AM270" s="6016"/>
      <c r="AN270" s="6016"/>
      <c r="AO270" s="6016"/>
      <c r="AP270" s="6016"/>
      <c r="AQ270" s="6016"/>
      <c r="AR270" s="6017"/>
      <c r="AV270" s="6015"/>
      <c r="AW270" s="6016"/>
      <c r="AX270" s="6016"/>
      <c r="AY270" s="6016"/>
      <c r="AZ270" s="6016"/>
      <c r="BA270" s="6016"/>
      <c r="BB270" s="6016"/>
      <c r="BC270" s="6016"/>
      <c r="BD270" s="6016"/>
      <c r="BE270" s="6016"/>
      <c r="BF270" s="6016"/>
      <c r="BG270" s="6016"/>
      <c r="BH270" s="6016"/>
      <c r="BI270" s="6016"/>
      <c r="BJ270" s="6016"/>
      <c r="BK270" s="6016"/>
      <c r="BL270" s="6016"/>
      <c r="BM270" s="6016"/>
      <c r="BN270" s="6016"/>
      <c r="BO270" s="6016"/>
      <c r="BP270" s="6016"/>
      <c r="BQ270" s="6016"/>
      <c r="BR270" s="6016"/>
      <c r="BS270" s="6016"/>
      <c r="BT270" s="6016"/>
      <c r="BU270" s="6016"/>
      <c r="BV270" s="6016"/>
      <c r="BW270" s="6016"/>
      <c r="BX270" s="6016"/>
      <c r="BY270" s="6016"/>
      <c r="BZ270" s="6016"/>
      <c r="CA270" s="6016"/>
      <c r="CB270" s="6016"/>
      <c r="CC270" s="6016"/>
      <c r="CD270" s="6016"/>
      <c r="CE270" s="6016"/>
      <c r="CF270" s="6016"/>
      <c r="CG270" s="6016"/>
      <c r="CH270" s="6016"/>
      <c r="CI270" s="6016"/>
      <c r="CJ270" s="6016"/>
      <c r="CK270" s="6017"/>
      <c r="CO270" s="6015"/>
      <c r="CP270" s="6016"/>
      <c r="CQ270" s="6016"/>
      <c r="CR270" s="6016"/>
      <c r="CS270" s="6016"/>
      <c r="CT270" s="6016"/>
      <c r="CU270" s="6016"/>
      <c r="CV270" s="6016"/>
      <c r="CW270" s="6016"/>
      <c r="CX270" s="6016"/>
      <c r="CY270" s="6016"/>
      <c r="CZ270" s="6016"/>
      <c r="DA270" s="6016"/>
      <c r="DB270" s="6016"/>
      <c r="DC270" s="6016"/>
      <c r="DD270" s="6016"/>
      <c r="DE270" s="6016"/>
      <c r="DF270" s="6016"/>
      <c r="DG270" s="6016"/>
      <c r="DH270" s="6016"/>
      <c r="DI270" s="6016"/>
      <c r="DJ270" s="6016"/>
      <c r="DK270" s="6016"/>
      <c r="DL270" s="6016"/>
      <c r="DM270" s="6016"/>
      <c r="DN270" s="6016"/>
      <c r="DO270" s="6016"/>
      <c r="DP270" s="6016"/>
      <c r="DQ270" s="6016"/>
      <c r="DR270" s="6016"/>
      <c r="DS270" s="6016"/>
      <c r="DT270" s="6016"/>
      <c r="DU270" s="6016"/>
      <c r="DV270" s="6016"/>
      <c r="DW270" s="6016"/>
      <c r="DX270" s="6016"/>
      <c r="DY270" s="6016"/>
      <c r="DZ270" s="6016"/>
      <c r="EA270" s="6016"/>
      <c r="EB270" s="6016"/>
      <c r="EC270" s="6016"/>
      <c r="ED270" s="6017"/>
      <c r="EH270" s="6015"/>
      <c r="EI270" s="6016"/>
      <c r="EJ270" s="6016"/>
      <c r="EK270" s="6016"/>
      <c r="EL270" s="6016"/>
      <c r="EM270" s="6016"/>
      <c r="EN270" s="6016"/>
      <c r="EO270" s="6016"/>
      <c r="EP270" s="6016"/>
      <c r="EQ270" s="6016"/>
      <c r="ER270" s="6016"/>
      <c r="ES270" s="6016"/>
      <c r="ET270" s="6016"/>
      <c r="EU270" s="6016"/>
      <c r="EV270" s="6016"/>
      <c r="EW270" s="6016"/>
      <c r="EX270" s="6016"/>
      <c r="EY270" s="6016"/>
      <c r="EZ270" s="6016"/>
      <c r="FA270" s="6016"/>
      <c r="FB270" s="6016"/>
      <c r="FC270" s="6016"/>
      <c r="FD270" s="6016"/>
      <c r="FE270" s="6016"/>
      <c r="FF270" s="6016"/>
      <c r="FG270" s="6016"/>
      <c r="FH270" s="6016"/>
      <c r="FI270" s="6016"/>
      <c r="FJ270" s="6016"/>
      <c r="FK270" s="6016"/>
      <c r="FL270" s="6016"/>
      <c r="FM270" s="6016"/>
      <c r="FN270" s="6016"/>
      <c r="FO270" s="6016"/>
      <c r="FP270" s="6016"/>
      <c r="FQ270" s="6016"/>
      <c r="FR270" s="6016"/>
      <c r="FS270" s="6016"/>
      <c r="FT270" s="6016"/>
      <c r="FU270" s="6016"/>
      <c r="FV270" s="6016"/>
      <c r="FW270" s="6017"/>
      <c r="GA270" s="6015"/>
      <c r="GB270" s="6016"/>
      <c r="GC270" s="6016"/>
      <c r="GD270" s="6016"/>
      <c r="GE270" s="6016"/>
      <c r="GF270" s="6016"/>
      <c r="GG270" s="6016"/>
      <c r="GH270" s="6016"/>
      <c r="GI270" s="6016"/>
      <c r="GJ270" s="6016"/>
      <c r="GK270" s="6016"/>
      <c r="GL270" s="6016"/>
      <c r="GM270" s="6016"/>
      <c r="GN270" s="6016"/>
      <c r="GO270" s="6016"/>
      <c r="GP270" s="6016"/>
      <c r="GQ270" s="6016"/>
      <c r="GR270" s="6016"/>
      <c r="GS270" s="6016"/>
      <c r="GT270" s="6016"/>
      <c r="GU270" s="6016"/>
      <c r="GV270" s="6016"/>
      <c r="GW270" s="6016"/>
      <c r="GX270" s="6016"/>
      <c r="GY270" s="6016"/>
      <c r="GZ270" s="6016"/>
      <c r="HA270" s="6016"/>
      <c r="HB270" s="6016"/>
      <c r="HC270" s="6016"/>
      <c r="HD270" s="6016"/>
      <c r="HE270" s="6016"/>
      <c r="HF270" s="6016"/>
      <c r="HG270" s="6016"/>
      <c r="HH270" s="6016"/>
      <c r="HI270" s="6016"/>
      <c r="HJ270" s="6016"/>
      <c r="HK270" s="6016"/>
      <c r="HL270" s="6016"/>
      <c r="HM270" s="6016"/>
      <c r="HN270" s="6016"/>
      <c r="HO270" s="6016"/>
      <c r="HP270" s="6017"/>
      <c r="HT270" s="6015"/>
      <c r="HU270" s="6016"/>
      <c r="HV270" s="6016"/>
      <c r="HW270" s="6016"/>
      <c r="HX270" s="6016"/>
      <c r="HY270" s="6016"/>
      <c r="HZ270" s="6016"/>
      <c r="IA270" s="6016"/>
      <c r="IB270" s="6016"/>
      <c r="IC270" s="6016"/>
      <c r="ID270" s="6016"/>
      <c r="IE270" s="6016"/>
      <c r="IF270" s="6016"/>
      <c r="IG270" s="6016"/>
      <c r="IH270" s="6016"/>
      <c r="II270" s="6016"/>
      <c r="IJ270" s="6016"/>
      <c r="IK270" s="6016"/>
      <c r="IL270" s="6016"/>
      <c r="IM270" s="6016"/>
      <c r="IN270" s="6016"/>
      <c r="IO270" s="6016"/>
      <c r="IP270" s="6016"/>
      <c r="IQ270" s="6016"/>
      <c r="IR270" s="6016"/>
      <c r="IS270" s="6016"/>
      <c r="IT270" s="6016"/>
      <c r="IU270" s="6016"/>
      <c r="IV270" s="6016"/>
      <c r="IW270" s="6016"/>
      <c r="IX270" s="6016"/>
      <c r="IY270" s="6016"/>
      <c r="IZ270" s="6016"/>
      <c r="JA270" s="6016"/>
      <c r="JB270" s="6016"/>
      <c r="JC270" s="6016"/>
      <c r="JD270" s="6016"/>
      <c r="JE270" s="6016"/>
      <c r="JF270" s="6016"/>
      <c r="JG270" s="6016"/>
      <c r="JH270" s="6016"/>
      <c r="JI270" s="6017"/>
      <c r="JM270" s="6015"/>
      <c r="JN270" s="6016"/>
      <c r="JO270" s="6016"/>
      <c r="JP270" s="6016"/>
      <c r="JQ270" s="6016"/>
      <c r="JR270" s="6016"/>
      <c r="JS270" s="6016"/>
      <c r="JT270" s="6016"/>
      <c r="JU270" s="6016"/>
      <c r="JV270" s="6016"/>
      <c r="JW270" s="6016"/>
      <c r="JX270" s="6016"/>
      <c r="JY270" s="6016"/>
      <c r="JZ270" s="6016"/>
      <c r="KA270" s="6016"/>
      <c r="KB270" s="6016"/>
      <c r="KC270" s="6016"/>
      <c r="KD270" s="6016"/>
      <c r="KE270" s="6016"/>
      <c r="KF270" s="6016"/>
      <c r="KG270" s="6016"/>
      <c r="KH270" s="6016"/>
      <c r="KI270" s="6016"/>
      <c r="KJ270" s="6016"/>
      <c r="KK270" s="6016"/>
      <c r="KL270" s="6016"/>
      <c r="KM270" s="6016"/>
      <c r="KN270" s="6016"/>
      <c r="KO270" s="6016"/>
      <c r="KP270" s="6016"/>
      <c r="KQ270" s="6016"/>
      <c r="KR270" s="6016"/>
      <c r="KS270" s="6016"/>
      <c r="KT270" s="6016"/>
      <c r="KU270" s="6016"/>
      <c r="KV270" s="6016"/>
      <c r="KW270" s="6016"/>
      <c r="KX270" s="6016"/>
      <c r="KY270" s="6016"/>
      <c r="KZ270" s="6016"/>
      <c r="LA270" s="6016"/>
      <c r="LB270" s="6017"/>
      <c r="LC270" s="7"/>
      <c r="LF270" s="6015"/>
      <c r="LG270" s="6016"/>
      <c r="LH270" s="6016"/>
      <c r="LI270" s="6016"/>
      <c r="LJ270" s="6016"/>
      <c r="LK270" s="6016"/>
      <c r="LL270" s="6016"/>
      <c r="LM270" s="6016"/>
      <c r="LN270" s="6016"/>
      <c r="LO270" s="6016"/>
      <c r="LP270" s="6016"/>
      <c r="LQ270" s="6016"/>
      <c r="LR270" s="6016"/>
      <c r="LS270" s="6016"/>
      <c r="LT270" s="6016"/>
      <c r="LU270" s="6016"/>
      <c r="LV270" s="6016"/>
      <c r="LW270" s="6016"/>
      <c r="LX270" s="6016"/>
      <c r="LY270" s="6016"/>
      <c r="LZ270" s="6016"/>
      <c r="MA270" s="6016"/>
      <c r="MB270" s="6016"/>
      <c r="MC270" s="6016"/>
      <c r="MD270" s="6016"/>
      <c r="ME270" s="6016"/>
      <c r="MF270" s="6016"/>
      <c r="MG270" s="6016"/>
      <c r="MH270" s="6016"/>
      <c r="MI270" s="6016"/>
      <c r="MJ270" s="6016"/>
      <c r="MK270" s="6016"/>
      <c r="ML270" s="6016"/>
      <c r="MM270" s="6016"/>
      <c r="MN270" s="6016"/>
      <c r="MO270" s="6016"/>
      <c r="MP270" s="6016"/>
      <c r="MQ270" s="6016"/>
      <c r="MR270" s="6016"/>
      <c r="MS270" s="6016"/>
      <c r="MT270" s="6016"/>
      <c r="MU270" s="6017"/>
      <c r="MV270" s="7"/>
      <c r="MY270" s="6015"/>
      <c r="MZ270" s="6016"/>
      <c r="NA270" s="6016"/>
      <c r="NB270" s="6016"/>
      <c r="NC270" s="6016"/>
      <c r="ND270" s="6016"/>
      <c r="NE270" s="6016"/>
      <c r="NF270" s="6016"/>
      <c r="NG270" s="6016"/>
      <c r="NH270" s="6016"/>
      <c r="NI270" s="6016"/>
      <c r="NJ270" s="6016"/>
      <c r="NK270" s="6016"/>
      <c r="NL270" s="6016"/>
      <c r="NM270" s="6016"/>
      <c r="NN270" s="6016"/>
      <c r="NO270" s="6016"/>
      <c r="NP270" s="6016"/>
      <c r="NQ270" s="6016"/>
      <c r="NR270" s="6016"/>
      <c r="NS270" s="6016"/>
      <c r="NT270" s="6016"/>
      <c r="NU270" s="6016"/>
      <c r="NV270" s="6016"/>
      <c r="NW270" s="6016"/>
      <c r="NX270" s="6016"/>
      <c r="NY270" s="6016"/>
      <c r="NZ270" s="6016"/>
      <c r="OA270" s="6016"/>
      <c r="OB270" s="6016"/>
      <c r="OC270" s="6016"/>
      <c r="OD270" s="6016"/>
      <c r="OE270" s="6016"/>
      <c r="OF270" s="6016"/>
      <c r="OG270" s="6016"/>
      <c r="OH270" s="6016"/>
      <c r="OI270" s="6016"/>
      <c r="OJ270" s="6016"/>
      <c r="OK270" s="6016"/>
      <c r="OL270" s="6016"/>
      <c r="OM270" s="6016"/>
      <c r="ON270" s="6017"/>
      <c r="OO270" s="7"/>
    </row>
    <row r="271" spans="3:405" s="6027" customFormat="1" ht="15" customHeight="1" thickBot="1" x14ac:dyDescent="0.25">
      <c r="C271" s="6018"/>
      <c r="D271" s="6019"/>
      <c r="E271" s="6779" t="str">
        <f>_Calcs!$II$94</f>
        <v/>
      </c>
      <c r="F271" s="6779"/>
      <c r="G271" s="6779"/>
      <c r="H271" s="6779"/>
      <c r="I271" s="6779"/>
      <c r="J271" s="6779"/>
      <c r="K271" s="6779"/>
      <c r="L271" s="6779"/>
      <c r="M271" s="6779"/>
      <c r="N271" s="6779"/>
      <c r="O271" s="6779"/>
      <c r="P271" s="6779"/>
      <c r="Q271" s="6779"/>
      <c r="R271" s="6779"/>
      <c r="S271" s="6779"/>
      <c r="T271" s="6779"/>
      <c r="U271" s="6779"/>
      <c r="V271" s="6779"/>
      <c r="W271" s="6779"/>
      <c r="X271" s="6779"/>
      <c r="Y271" s="6779"/>
      <c r="Z271" s="6779"/>
      <c r="AA271" s="6779"/>
      <c r="AB271" s="6779"/>
      <c r="AC271" s="6779"/>
      <c r="AD271" s="6779"/>
      <c r="AE271" s="6779"/>
      <c r="AF271" s="6779"/>
      <c r="AG271" s="6779"/>
      <c r="AH271" s="6779"/>
      <c r="AI271" s="6779"/>
      <c r="AJ271" s="6020"/>
      <c r="AK271" s="6021"/>
      <c r="AL271" s="6022"/>
      <c r="AM271" s="6023" t="str">
        <f>_Calcs!$IK$186</f>
        <v>Side 9 av 9</v>
      </c>
      <c r="AN271" s="6024"/>
      <c r="AO271" s="6024"/>
      <c r="AP271" s="6024"/>
      <c r="AQ271" s="6025"/>
      <c r="AR271" s="6026"/>
      <c r="AV271" s="6018"/>
      <c r="AW271" s="6019"/>
      <c r="AX271" s="6779" t="str">
        <f>_Calcs!$II$94</f>
        <v/>
      </c>
      <c r="AY271" s="6779"/>
      <c r="AZ271" s="6779"/>
      <c r="BA271" s="6779"/>
      <c r="BB271" s="6779"/>
      <c r="BC271" s="6779"/>
      <c r="BD271" s="6779"/>
      <c r="BE271" s="6779"/>
      <c r="BF271" s="6779"/>
      <c r="BG271" s="6779"/>
      <c r="BH271" s="6779"/>
      <c r="BI271" s="6779"/>
      <c r="BJ271" s="6779"/>
      <c r="BK271" s="6779"/>
      <c r="BL271" s="6779"/>
      <c r="BM271" s="6779"/>
      <c r="BN271" s="6779"/>
      <c r="BO271" s="6779"/>
      <c r="BP271" s="6779"/>
      <c r="BQ271" s="6779"/>
      <c r="BR271" s="6779"/>
      <c r="BS271" s="6779"/>
      <c r="BT271" s="6779"/>
      <c r="BU271" s="6779"/>
      <c r="BV271" s="6779"/>
      <c r="BW271" s="6779"/>
      <c r="BX271" s="6779"/>
      <c r="BY271" s="6779"/>
      <c r="BZ271" s="6779"/>
      <c r="CA271" s="6779"/>
      <c r="CB271" s="6779"/>
      <c r="CC271" s="6020"/>
      <c r="CD271" s="6021"/>
      <c r="CE271" s="6022"/>
      <c r="CF271" s="6023" t="str">
        <f>_Calcs!$IL$186</f>
        <v>Side 9 av 9</v>
      </c>
      <c r="CG271" s="6024"/>
      <c r="CH271" s="6024"/>
      <c r="CI271" s="6024"/>
      <c r="CJ271" s="6025"/>
      <c r="CK271" s="6026"/>
      <c r="CO271" s="6018"/>
      <c r="CP271" s="6019"/>
      <c r="CQ271" s="6779" t="str">
        <f>_Calcs!$II$94</f>
        <v/>
      </c>
      <c r="CR271" s="6779"/>
      <c r="CS271" s="6779"/>
      <c r="CT271" s="6779"/>
      <c r="CU271" s="6779"/>
      <c r="CV271" s="6779"/>
      <c r="CW271" s="6779"/>
      <c r="CX271" s="6779"/>
      <c r="CY271" s="6779"/>
      <c r="CZ271" s="6779"/>
      <c r="DA271" s="6779"/>
      <c r="DB271" s="6779"/>
      <c r="DC271" s="6779"/>
      <c r="DD271" s="6779"/>
      <c r="DE271" s="6779"/>
      <c r="DF271" s="6779"/>
      <c r="DG271" s="6779"/>
      <c r="DH271" s="6779"/>
      <c r="DI271" s="6779"/>
      <c r="DJ271" s="6779"/>
      <c r="DK271" s="6779"/>
      <c r="DL271" s="6779"/>
      <c r="DM271" s="6779"/>
      <c r="DN271" s="6779"/>
      <c r="DO271" s="6779"/>
      <c r="DP271" s="6779"/>
      <c r="DQ271" s="6779"/>
      <c r="DR271" s="6779"/>
      <c r="DS271" s="6779"/>
      <c r="DT271" s="6779"/>
      <c r="DU271" s="6779"/>
      <c r="DV271" s="6020"/>
      <c r="DW271" s="6021"/>
      <c r="DX271" s="6022"/>
      <c r="DY271" s="6023" t="str">
        <f>_Calcs!$IM$186</f>
        <v>Side 9 av 9</v>
      </c>
      <c r="DZ271" s="6024"/>
      <c r="EA271" s="6024"/>
      <c r="EB271" s="6024"/>
      <c r="EC271" s="6025"/>
      <c r="ED271" s="6026"/>
      <c r="EH271" s="6018"/>
      <c r="EI271" s="6019"/>
      <c r="EJ271" s="6779" t="str">
        <f>_Calcs!$II$94</f>
        <v/>
      </c>
      <c r="EK271" s="6779"/>
      <c r="EL271" s="6779"/>
      <c r="EM271" s="6779"/>
      <c r="EN271" s="6779"/>
      <c r="EO271" s="6779"/>
      <c r="EP271" s="6779"/>
      <c r="EQ271" s="6779"/>
      <c r="ER271" s="6779"/>
      <c r="ES271" s="6779"/>
      <c r="ET271" s="6779"/>
      <c r="EU271" s="6779"/>
      <c r="EV271" s="6779"/>
      <c r="EW271" s="6779"/>
      <c r="EX271" s="6779"/>
      <c r="EY271" s="6779"/>
      <c r="EZ271" s="6779"/>
      <c r="FA271" s="6779"/>
      <c r="FB271" s="6779"/>
      <c r="FC271" s="6779"/>
      <c r="FD271" s="6779"/>
      <c r="FE271" s="6779"/>
      <c r="FF271" s="6779"/>
      <c r="FG271" s="6779"/>
      <c r="FH271" s="6779"/>
      <c r="FI271" s="6779"/>
      <c r="FJ271" s="6779"/>
      <c r="FK271" s="6779"/>
      <c r="FL271" s="6779"/>
      <c r="FM271" s="6779"/>
      <c r="FN271" s="6779"/>
      <c r="FO271" s="6020"/>
      <c r="FP271" s="6021"/>
      <c r="FQ271" s="6022"/>
      <c r="FR271" s="6023" t="str">
        <f>_Calcs!$IN$186</f>
        <v>Side 9 av 9</v>
      </c>
      <c r="FS271" s="6024"/>
      <c r="FT271" s="6024"/>
      <c r="FU271" s="6024"/>
      <c r="FV271" s="6025"/>
      <c r="FW271" s="6026"/>
      <c r="GA271" s="6018"/>
      <c r="GB271" s="6019"/>
      <c r="GC271" s="6779" t="str">
        <f>_Calcs!$II$94</f>
        <v/>
      </c>
      <c r="GD271" s="6779"/>
      <c r="GE271" s="6779"/>
      <c r="GF271" s="6779"/>
      <c r="GG271" s="6779"/>
      <c r="GH271" s="6779"/>
      <c r="GI271" s="6779"/>
      <c r="GJ271" s="6779"/>
      <c r="GK271" s="6779"/>
      <c r="GL271" s="6779"/>
      <c r="GM271" s="6779"/>
      <c r="GN271" s="6779"/>
      <c r="GO271" s="6779"/>
      <c r="GP271" s="6779"/>
      <c r="GQ271" s="6779"/>
      <c r="GR271" s="6779"/>
      <c r="GS271" s="6779"/>
      <c r="GT271" s="6779"/>
      <c r="GU271" s="6779"/>
      <c r="GV271" s="6779"/>
      <c r="GW271" s="6779"/>
      <c r="GX271" s="6779"/>
      <c r="GY271" s="6779"/>
      <c r="GZ271" s="6779"/>
      <c r="HA271" s="6779"/>
      <c r="HB271" s="6779"/>
      <c r="HC271" s="6779"/>
      <c r="HD271" s="6779"/>
      <c r="HE271" s="6779"/>
      <c r="HF271" s="6779"/>
      <c r="HG271" s="6779"/>
      <c r="HH271" s="6020"/>
      <c r="HI271" s="6021"/>
      <c r="HJ271" s="6022"/>
      <c r="HK271" s="6023" t="str">
        <f>_Calcs!$IO$186</f>
        <v>Side 9 av 9</v>
      </c>
      <c r="HL271" s="6024"/>
      <c r="HM271" s="6024"/>
      <c r="HN271" s="6024"/>
      <c r="HO271" s="6025"/>
      <c r="HP271" s="6026"/>
      <c r="HT271" s="6018"/>
      <c r="HU271" s="6019"/>
      <c r="HV271" s="6779" t="str">
        <f>_Calcs!$II$94</f>
        <v/>
      </c>
      <c r="HW271" s="6779"/>
      <c r="HX271" s="6779"/>
      <c r="HY271" s="6779"/>
      <c r="HZ271" s="6779"/>
      <c r="IA271" s="6779"/>
      <c r="IB271" s="6779"/>
      <c r="IC271" s="6779"/>
      <c r="ID271" s="6779"/>
      <c r="IE271" s="6779"/>
      <c r="IF271" s="6779"/>
      <c r="IG271" s="6779"/>
      <c r="IH271" s="6779"/>
      <c r="II271" s="6779"/>
      <c r="IJ271" s="6779"/>
      <c r="IK271" s="6779"/>
      <c r="IL271" s="6779"/>
      <c r="IM271" s="6779"/>
      <c r="IN271" s="6779"/>
      <c r="IO271" s="6779"/>
      <c r="IP271" s="6779"/>
      <c r="IQ271" s="6779"/>
      <c r="IR271" s="6779"/>
      <c r="IS271" s="6779"/>
      <c r="IT271" s="6779"/>
      <c r="IU271" s="6779"/>
      <c r="IV271" s="6779"/>
      <c r="IW271" s="6779"/>
      <c r="IX271" s="6779"/>
      <c r="IY271" s="6779"/>
      <c r="IZ271" s="6779"/>
      <c r="JA271" s="6020"/>
      <c r="JB271" s="6021"/>
      <c r="JC271" s="6022"/>
      <c r="JD271" s="6023" t="str">
        <f>_Calcs!$IP$186</f>
        <v>Side 9 av 9</v>
      </c>
      <c r="JE271" s="6024"/>
      <c r="JF271" s="6024"/>
      <c r="JG271" s="6024"/>
      <c r="JH271" s="6025"/>
      <c r="JI271" s="6026"/>
      <c r="JM271" s="6018"/>
      <c r="JN271" s="6019"/>
      <c r="JO271" s="6779" t="str">
        <f>_Calcs!$II$94</f>
        <v/>
      </c>
      <c r="JP271" s="6779"/>
      <c r="JQ271" s="6779"/>
      <c r="JR271" s="6779"/>
      <c r="JS271" s="6779"/>
      <c r="JT271" s="6779"/>
      <c r="JU271" s="6779"/>
      <c r="JV271" s="6779"/>
      <c r="JW271" s="6779"/>
      <c r="JX271" s="6779"/>
      <c r="JY271" s="6779"/>
      <c r="JZ271" s="6779"/>
      <c r="KA271" s="6779"/>
      <c r="KB271" s="6779"/>
      <c r="KC271" s="6779"/>
      <c r="KD271" s="6779"/>
      <c r="KE271" s="6779"/>
      <c r="KF271" s="6779"/>
      <c r="KG271" s="6779"/>
      <c r="KH271" s="6779"/>
      <c r="KI271" s="6779"/>
      <c r="KJ271" s="6779"/>
      <c r="KK271" s="6779"/>
      <c r="KL271" s="6779"/>
      <c r="KM271" s="6779"/>
      <c r="KN271" s="6779"/>
      <c r="KO271" s="6779"/>
      <c r="KP271" s="6779"/>
      <c r="KQ271" s="6779"/>
      <c r="KR271" s="6779"/>
      <c r="KS271" s="6779"/>
      <c r="KT271" s="6020"/>
      <c r="KU271" s="6021"/>
      <c r="KV271" s="6022"/>
      <c r="KW271" s="6023" t="str">
        <f>_Calcs!$IQ$186</f>
        <v>Side 9 av 9</v>
      </c>
      <c r="KX271" s="6024"/>
      <c r="KY271" s="6024"/>
      <c r="KZ271" s="6024"/>
      <c r="LA271" s="6025"/>
      <c r="LB271" s="6026"/>
      <c r="LC271" s="7"/>
      <c r="LF271" s="6018"/>
      <c r="LG271" s="6019"/>
      <c r="LH271" s="6779" t="str">
        <f>_Calcs!$II$94</f>
        <v/>
      </c>
      <c r="LI271" s="6779"/>
      <c r="LJ271" s="6779"/>
      <c r="LK271" s="6779"/>
      <c r="LL271" s="6779"/>
      <c r="LM271" s="6779"/>
      <c r="LN271" s="6779"/>
      <c r="LO271" s="6779"/>
      <c r="LP271" s="6779"/>
      <c r="LQ271" s="6779"/>
      <c r="LR271" s="6779"/>
      <c r="LS271" s="6779"/>
      <c r="LT271" s="6779"/>
      <c r="LU271" s="6779"/>
      <c r="LV271" s="6779"/>
      <c r="LW271" s="6779"/>
      <c r="LX271" s="6779"/>
      <c r="LY271" s="6779"/>
      <c r="LZ271" s="6779"/>
      <c r="MA271" s="6779"/>
      <c r="MB271" s="6779"/>
      <c r="MC271" s="6779"/>
      <c r="MD271" s="6779"/>
      <c r="ME271" s="6779"/>
      <c r="MF271" s="6779"/>
      <c r="MG271" s="6779"/>
      <c r="MH271" s="6779"/>
      <c r="MI271" s="6779"/>
      <c r="MJ271" s="6779"/>
      <c r="MK271" s="6779"/>
      <c r="ML271" s="6779"/>
      <c r="MM271" s="6020"/>
      <c r="MN271" s="6021"/>
      <c r="MO271" s="6022"/>
      <c r="MP271" s="6023" t="str">
        <f>_Calcs!$IR$186</f>
        <v>Side 9 av 9</v>
      </c>
      <c r="MQ271" s="6024"/>
      <c r="MR271" s="6024"/>
      <c r="MS271" s="6024"/>
      <c r="MT271" s="6025"/>
      <c r="MU271" s="6026"/>
      <c r="MV271" s="7"/>
      <c r="MY271" s="6018"/>
      <c r="MZ271" s="6019"/>
      <c r="NA271" s="6779" t="str">
        <f>_Calcs!$II$94</f>
        <v/>
      </c>
      <c r="NB271" s="6779"/>
      <c r="NC271" s="6779"/>
      <c r="ND271" s="6779"/>
      <c r="NE271" s="6779"/>
      <c r="NF271" s="6779"/>
      <c r="NG271" s="6779"/>
      <c r="NH271" s="6779"/>
      <c r="NI271" s="6779"/>
      <c r="NJ271" s="6779"/>
      <c r="NK271" s="6779"/>
      <c r="NL271" s="6779"/>
      <c r="NM271" s="6779"/>
      <c r="NN271" s="6779"/>
      <c r="NO271" s="6779"/>
      <c r="NP271" s="6779"/>
      <c r="NQ271" s="6779"/>
      <c r="NR271" s="6779"/>
      <c r="NS271" s="6779"/>
      <c r="NT271" s="6779"/>
      <c r="NU271" s="6779"/>
      <c r="NV271" s="6779"/>
      <c r="NW271" s="6779"/>
      <c r="NX271" s="6779"/>
      <c r="NY271" s="6779"/>
      <c r="NZ271" s="6779"/>
      <c r="OA271" s="6779"/>
      <c r="OB271" s="6779"/>
      <c r="OC271" s="6779"/>
      <c r="OD271" s="6779"/>
      <c r="OE271" s="6779"/>
      <c r="OF271" s="6020"/>
      <c r="OG271" s="6021"/>
      <c r="OH271" s="6022"/>
      <c r="OI271" s="6023" t="str">
        <f>_Calcs!$IS$186</f>
        <v>Side 9 av 9</v>
      </c>
      <c r="OJ271" s="6024"/>
      <c r="OK271" s="6024"/>
      <c r="OL271" s="6024"/>
      <c r="OM271" s="6025"/>
      <c r="ON271" s="6026"/>
      <c r="OO271" s="7"/>
    </row>
    <row r="272" spans="3:405" ht="5.0999999999999996" customHeight="1" thickBot="1" x14ac:dyDescent="0.25">
      <c r="C272" s="6028"/>
      <c r="D272" s="979"/>
      <c r="E272" s="3489"/>
      <c r="F272" s="3489"/>
      <c r="G272" s="3489"/>
      <c r="H272" s="3489"/>
      <c r="I272" s="3489"/>
      <c r="J272" s="3489"/>
      <c r="K272" s="3489"/>
      <c r="L272" s="3489"/>
      <c r="M272" s="3489"/>
      <c r="N272" s="3489"/>
      <c r="O272" s="3489"/>
      <c r="P272" s="3489"/>
      <c r="Q272" s="3489"/>
      <c r="R272" s="3489"/>
      <c r="S272" s="3489"/>
      <c r="T272" s="3489"/>
      <c r="U272" s="3489"/>
      <c r="V272" s="3489"/>
      <c r="W272" s="3489"/>
      <c r="X272" s="3489"/>
      <c r="Y272" s="3489"/>
      <c r="Z272" s="3489"/>
      <c r="AA272" s="3489"/>
      <c r="AB272" s="3489"/>
      <c r="AC272" s="3489"/>
      <c r="AD272" s="3489"/>
      <c r="AE272" s="3489"/>
      <c r="AF272" s="3489"/>
      <c r="AG272" s="3489"/>
      <c r="AH272" s="3489"/>
      <c r="AI272" s="3489"/>
      <c r="AJ272" s="979"/>
      <c r="AK272" s="979"/>
      <c r="AL272" s="979"/>
      <c r="AM272" s="979"/>
      <c r="AN272" s="979"/>
      <c r="AO272" s="979"/>
      <c r="AP272" s="979"/>
      <c r="AQ272" s="979"/>
      <c r="AR272" s="6029"/>
      <c r="AV272" s="6028"/>
      <c r="AW272" s="979"/>
      <c r="AX272" s="3489"/>
      <c r="AY272" s="3489"/>
      <c r="AZ272" s="3489"/>
      <c r="BA272" s="3489"/>
      <c r="BB272" s="3489"/>
      <c r="BC272" s="3489"/>
      <c r="BD272" s="3489"/>
      <c r="BE272" s="3489"/>
      <c r="BF272" s="3489"/>
      <c r="BG272" s="3489"/>
      <c r="BH272" s="3489"/>
      <c r="BI272" s="3489"/>
      <c r="BJ272" s="3489"/>
      <c r="BK272" s="3489"/>
      <c r="BL272" s="3489"/>
      <c r="BM272" s="3489"/>
      <c r="BN272" s="3489"/>
      <c r="BO272" s="3489"/>
      <c r="BP272" s="3489"/>
      <c r="BQ272" s="3489"/>
      <c r="BR272" s="3489"/>
      <c r="BS272" s="3489"/>
      <c r="BT272" s="3489"/>
      <c r="BU272" s="3489"/>
      <c r="BV272" s="3489"/>
      <c r="BW272" s="3489"/>
      <c r="BX272" s="3489"/>
      <c r="BY272" s="3489"/>
      <c r="BZ272" s="3489"/>
      <c r="CA272" s="3489"/>
      <c r="CB272" s="3489"/>
      <c r="CC272" s="979"/>
      <c r="CD272" s="979"/>
      <c r="CE272" s="979"/>
      <c r="CF272" s="979"/>
      <c r="CG272" s="979"/>
      <c r="CH272" s="979"/>
      <c r="CI272" s="979"/>
      <c r="CJ272" s="979"/>
      <c r="CK272" s="6029"/>
      <c r="CO272" s="6028"/>
      <c r="CP272" s="979"/>
      <c r="CQ272" s="3489"/>
      <c r="CR272" s="3489"/>
      <c r="CS272" s="3489"/>
      <c r="CT272" s="3489"/>
      <c r="CU272" s="3489"/>
      <c r="CV272" s="3489"/>
      <c r="CW272" s="3489"/>
      <c r="CX272" s="3489"/>
      <c r="CY272" s="3489"/>
      <c r="CZ272" s="3489"/>
      <c r="DA272" s="3489"/>
      <c r="DB272" s="3489"/>
      <c r="DC272" s="3489"/>
      <c r="DD272" s="3489"/>
      <c r="DE272" s="3489"/>
      <c r="DF272" s="3489"/>
      <c r="DG272" s="3489"/>
      <c r="DH272" s="3489"/>
      <c r="DI272" s="3489"/>
      <c r="DJ272" s="3489"/>
      <c r="DK272" s="3489"/>
      <c r="DL272" s="3489"/>
      <c r="DM272" s="3489"/>
      <c r="DN272" s="3489"/>
      <c r="DO272" s="3489"/>
      <c r="DP272" s="3489"/>
      <c r="DQ272" s="3489"/>
      <c r="DR272" s="3489"/>
      <c r="DS272" s="3489"/>
      <c r="DT272" s="3489"/>
      <c r="DU272" s="3489"/>
      <c r="DV272" s="979"/>
      <c r="DW272" s="979"/>
      <c r="DX272" s="979"/>
      <c r="DY272" s="979"/>
      <c r="DZ272" s="979"/>
      <c r="EA272" s="979"/>
      <c r="EB272" s="979"/>
      <c r="EC272" s="979"/>
      <c r="ED272" s="6029"/>
      <c r="EH272" s="6028"/>
      <c r="EI272" s="979"/>
      <c r="EJ272" s="3489"/>
      <c r="EK272" s="3489"/>
      <c r="EL272" s="3489"/>
      <c r="EM272" s="3489"/>
      <c r="EN272" s="3489"/>
      <c r="EO272" s="3489"/>
      <c r="EP272" s="3489"/>
      <c r="EQ272" s="3489"/>
      <c r="ER272" s="3489"/>
      <c r="ES272" s="3489"/>
      <c r="ET272" s="3489"/>
      <c r="EU272" s="3489"/>
      <c r="EV272" s="3489"/>
      <c r="EW272" s="3489"/>
      <c r="EX272" s="3489"/>
      <c r="EY272" s="3489"/>
      <c r="EZ272" s="3489"/>
      <c r="FA272" s="3489"/>
      <c r="FB272" s="3489"/>
      <c r="FC272" s="3489"/>
      <c r="FD272" s="3489"/>
      <c r="FE272" s="3489"/>
      <c r="FF272" s="3489"/>
      <c r="FG272" s="3489"/>
      <c r="FH272" s="3489"/>
      <c r="FI272" s="3489"/>
      <c r="FJ272" s="3489"/>
      <c r="FK272" s="3489"/>
      <c r="FL272" s="3489"/>
      <c r="FM272" s="3489"/>
      <c r="FN272" s="3489"/>
      <c r="FO272" s="979"/>
      <c r="FP272" s="979"/>
      <c r="FQ272" s="979"/>
      <c r="FR272" s="979"/>
      <c r="FS272" s="979"/>
      <c r="FT272" s="979"/>
      <c r="FU272" s="979"/>
      <c r="FV272" s="979"/>
      <c r="FW272" s="6029"/>
      <c r="GA272" s="6028"/>
      <c r="GB272" s="979"/>
      <c r="GC272" s="3489"/>
      <c r="GD272" s="3489"/>
      <c r="GE272" s="3489"/>
      <c r="GF272" s="3489"/>
      <c r="GG272" s="3489"/>
      <c r="GH272" s="3489"/>
      <c r="GI272" s="3489"/>
      <c r="GJ272" s="3489"/>
      <c r="GK272" s="3489"/>
      <c r="GL272" s="3489"/>
      <c r="GM272" s="3489"/>
      <c r="GN272" s="3489"/>
      <c r="GO272" s="3489"/>
      <c r="GP272" s="3489"/>
      <c r="GQ272" s="3489"/>
      <c r="GR272" s="3489"/>
      <c r="GS272" s="3489"/>
      <c r="GT272" s="3489"/>
      <c r="GU272" s="3489"/>
      <c r="GV272" s="3489"/>
      <c r="GW272" s="3489"/>
      <c r="GX272" s="3489"/>
      <c r="GY272" s="3489"/>
      <c r="GZ272" s="3489"/>
      <c r="HA272" s="3489"/>
      <c r="HB272" s="3489"/>
      <c r="HC272" s="3489"/>
      <c r="HD272" s="3489"/>
      <c r="HE272" s="3489"/>
      <c r="HF272" s="3489"/>
      <c r="HG272" s="3489"/>
      <c r="HH272" s="979"/>
      <c r="HI272" s="979"/>
      <c r="HJ272" s="979"/>
      <c r="HK272" s="979"/>
      <c r="HL272" s="979"/>
      <c r="HM272" s="979"/>
      <c r="HN272" s="979"/>
      <c r="HO272" s="979"/>
      <c r="HP272" s="6029"/>
      <c r="HT272" s="6028"/>
      <c r="HU272" s="979"/>
      <c r="HV272" s="3489"/>
      <c r="HW272" s="3489"/>
      <c r="HX272" s="3489"/>
      <c r="HY272" s="3489"/>
      <c r="HZ272" s="3489"/>
      <c r="IA272" s="3489"/>
      <c r="IB272" s="3489"/>
      <c r="IC272" s="3489"/>
      <c r="ID272" s="3489"/>
      <c r="IE272" s="3489"/>
      <c r="IF272" s="3489"/>
      <c r="IG272" s="3489"/>
      <c r="IH272" s="3489"/>
      <c r="II272" s="3489"/>
      <c r="IJ272" s="3489"/>
      <c r="IK272" s="3489"/>
      <c r="IL272" s="3489"/>
      <c r="IM272" s="3489"/>
      <c r="IN272" s="3489"/>
      <c r="IO272" s="3489"/>
      <c r="IP272" s="3489"/>
      <c r="IQ272" s="3489"/>
      <c r="IR272" s="3489"/>
      <c r="IS272" s="3489"/>
      <c r="IT272" s="3489"/>
      <c r="IU272" s="3489"/>
      <c r="IV272" s="3489"/>
      <c r="IW272" s="3489"/>
      <c r="IX272" s="3489"/>
      <c r="IY272" s="3489"/>
      <c r="IZ272" s="3489"/>
      <c r="JA272" s="979"/>
      <c r="JB272" s="979"/>
      <c r="JC272" s="979"/>
      <c r="JD272" s="979"/>
      <c r="JE272" s="979"/>
      <c r="JF272" s="979"/>
      <c r="JG272" s="979"/>
      <c r="JH272" s="979"/>
      <c r="JI272" s="6029"/>
      <c r="JM272" s="6028"/>
      <c r="JN272" s="979"/>
      <c r="JO272" s="3489"/>
      <c r="JP272" s="3489"/>
      <c r="JQ272" s="3489"/>
      <c r="JR272" s="3489"/>
      <c r="JS272" s="3489"/>
      <c r="JT272" s="3489"/>
      <c r="JU272" s="3489"/>
      <c r="JV272" s="3489"/>
      <c r="JW272" s="3489"/>
      <c r="JX272" s="3489"/>
      <c r="JY272" s="3489"/>
      <c r="JZ272" s="3489"/>
      <c r="KA272" s="3489"/>
      <c r="KB272" s="3489"/>
      <c r="KC272" s="3489"/>
      <c r="KD272" s="3489"/>
      <c r="KE272" s="3489"/>
      <c r="KF272" s="3489"/>
      <c r="KG272" s="3489"/>
      <c r="KH272" s="3489"/>
      <c r="KI272" s="3489"/>
      <c r="KJ272" s="3489"/>
      <c r="KK272" s="3489"/>
      <c r="KL272" s="3489"/>
      <c r="KM272" s="3489"/>
      <c r="KN272" s="3489"/>
      <c r="KO272" s="3489"/>
      <c r="KP272" s="3489"/>
      <c r="KQ272" s="3489"/>
      <c r="KR272" s="3489"/>
      <c r="KS272" s="3489"/>
      <c r="KT272" s="979"/>
      <c r="KU272" s="979"/>
      <c r="KV272" s="979"/>
      <c r="KW272" s="979"/>
      <c r="KX272" s="979"/>
      <c r="KY272" s="979"/>
      <c r="KZ272" s="979"/>
      <c r="LA272" s="979"/>
      <c r="LB272" s="6029"/>
      <c r="LC272" s="7"/>
      <c r="LF272" s="6028"/>
      <c r="LG272" s="979"/>
      <c r="LH272" s="3489"/>
      <c r="LI272" s="3489"/>
      <c r="LJ272" s="3489"/>
      <c r="LK272" s="3489"/>
      <c r="LL272" s="3489"/>
      <c r="LM272" s="3489"/>
      <c r="LN272" s="3489"/>
      <c r="LO272" s="3489"/>
      <c r="LP272" s="3489"/>
      <c r="LQ272" s="3489"/>
      <c r="LR272" s="3489"/>
      <c r="LS272" s="3489"/>
      <c r="LT272" s="3489"/>
      <c r="LU272" s="3489"/>
      <c r="LV272" s="3489"/>
      <c r="LW272" s="3489"/>
      <c r="LX272" s="3489"/>
      <c r="LY272" s="3489"/>
      <c r="LZ272" s="3489"/>
      <c r="MA272" s="3489"/>
      <c r="MB272" s="3489"/>
      <c r="MC272" s="3489"/>
      <c r="MD272" s="3489"/>
      <c r="ME272" s="3489"/>
      <c r="MF272" s="3489"/>
      <c r="MG272" s="3489"/>
      <c r="MH272" s="3489"/>
      <c r="MI272" s="3489"/>
      <c r="MJ272" s="3489"/>
      <c r="MK272" s="3489"/>
      <c r="ML272" s="3489"/>
      <c r="MM272" s="979"/>
      <c r="MN272" s="979"/>
      <c r="MO272" s="979"/>
      <c r="MP272" s="979"/>
      <c r="MQ272" s="979"/>
      <c r="MR272" s="979"/>
      <c r="MS272" s="979"/>
      <c r="MT272" s="979"/>
      <c r="MU272" s="6029"/>
      <c r="MV272" s="7"/>
      <c r="MY272" s="6028"/>
      <c r="MZ272" s="979"/>
      <c r="NA272" s="3489"/>
      <c r="NB272" s="3489"/>
      <c r="NC272" s="3489"/>
      <c r="ND272" s="3489"/>
      <c r="NE272" s="3489"/>
      <c r="NF272" s="3489"/>
      <c r="NG272" s="3489"/>
      <c r="NH272" s="3489"/>
      <c r="NI272" s="3489"/>
      <c r="NJ272" s="3489"/>
      <c r="NK272" s="3489"/>
      <c r="NL272" s="3489"/>
      <c r="NM272" s="3489"/>
      <c r="NN272" s="3489"/>
      <c r="NO272" s="3489"/>
      <c r="NP272" s="3489"/>
      <c r="NQ272" s="3489"/>
      <c r="NR272" s="3489"/>
      <c r="NS272" s="3489"/>
      <c r="NT272" s="3489"/>
      <c r="NU272" s="3489"/>
      <c r="NV272" s="3489"/>
      <c r="NW272" s="3489"/>
      <c r="NX272" s="3489"/>
      <c r="NY272" s="3489"/>
      <c r="NZ272" s="3489"/>
      <c r="OA272" s="3489"/>
      <c r="OB272" s="3489"/>
      <c r="OC272" s="3489"/>
      <c r="OD272" s="3489"/>
      <c r="OE272" s="3489"/>
      <c r="OF272" s="979"/>
      <c r="OG272" s="979"/>
      <c r="OH272" s="979"/>
      <c r="OI272" s="979"/>
      <c r="OJ272" s="979"/>
      <c r="OK272" s="979"/>
      <c r="OL272" s="979"/>
      <c r="OM272" s="979"/>
      <c r="ON272" s="6029"/>
      <c r="OO272" s="7"/>
    </row>
    <row r="273" spans="3:405" s="6031" customFormat="1" ht="15" customHeight="1" thickBot="1" x14ac:dyDescent="0.25">
      <c r="C273" s="6018"/>
      <c r="D273" s="6019"/>
      <c r="E273" s="6778" t="str">
        <f>_Calcs!$T$19</f>
        <v/>
      </c>
      <c r="F273" s="6778"/>
      <c r="G273" s="6778"/>
      <c r="H273" s="6778"/>
      <c r="I273" s="6778"/>
      <c r="J273" s="6778"/>
      <c r="K273" s="6778"/>
      <c r="L273" s="6778"/>
      <c r="M273" s="6778"/>
      <c r="N273" s="6778"/>
      <c r="O273" s="6778"/>
      <c r="P273" s="6778"/>
      <c r="Q273" s="6778"/>
      <c r="R273" s="6778"/>
      <c r="S273" s="6778"/>
      <c r="T273" s="6778"/>
      <c r="U273" s="6778"/>
      <c r="V273" s="6778"/>
      <c r="W273" s="6778"/>
      <c r="X273" s="6778"/>
      <c r="Y273" s="6778"/>
      <c r="Z273" s="6778"/>
      <c r="AA273" s="6778"/>
      <c r="AB273" s="6778"/>
      <c r="AC273" s="6778"/>
      <c r="AD273" s="6778"/>
      <c r="AE273" s="6778"/>
      <c r="AF273" s="6778"/>
      <c r="AG273" s="6778"/>
      <c r="AH273" s="6778"/>
      <c r="AI273" s="6778"/>
      <c r="AJ273" s="6778"/>
      <c r="AK273" s="6778"/>
      <c r="AL273" s="6778"/>
      <c r="AM273" s="6778"/>
      <c r="AN273" s="6778"/>
      <c r="AO273" s="6778"/>
      <c r="AP273" s="6778"/>
      <c r="AQ273" s="6030"/>
      <c r="AR273" s="6026"/>
      <c r="AV273" s="6018"/>
      <c r="AW273" s="6019"/>
      <c r="AX273" s="6778" t="str">
        <f>_Calcs!$T$19</f>
        <v/>
      </c>
      <c r="AY273" s="6778"/>
      <c r="AZ273" s="6778"/>
      <c r="BA273" s="6778"/>
      <c r="BB273" s="6778"/>
      <c r="BC273" s="6778"/>
      <c r="BD273" s="6778"/>
      <c r="BE273" s="6778"/>
      <c r="BF273" s="6778"/>
      <c r="BG273" s="6778"/>
      <c r="BH273" s="6778"/>
      <c r="BI273" s="6778"/>
      <c r="BJ273" s="6778"/>
      <c r="BK273" s="6778"/>
      <c r="BL273" s="6778"/>
      <c r="BM273" s="6778"/>
      <c r="BN273" s="6778"/>
      <c r="BO273" s="6778"/>
      <c r="BP273" s="6778"/>
      <c r="BQ273" s="6778"/>
      <c r="BR273" s="6778"/>
      <c r="BS273" s="6778"/>
      <c r="BT273" s="6778"/>
      <c r="BU273" s="6778"/>
      <c r="BV273" s="6778"/>
      <c r="BW273" s="6778"/>
      <c r="BX273" s="6778"/>
      <c r="BY273" s="6778"/>
      <c r="BZ273" s="6778"/>
      <c r="CA273" s="6778"/>
      <c r="CB273" s="6778"/>
      <c r="CC273" s="6778"/>
      <c r="CD273" s="6778"/>
      <c r="CE273" s="6778"/>
      <c r="CF273" s="6778"/>
      <c r="CG273" s="6778"/>
      <c r="CH273" s="6778"/>
      <c r="CI273" s="6778"/>
      <c r="CJ273" s="6030"/>
      <c r="CK273" s="6026"/>
      <c r="CO273" s="6018"/>
      <c r="CP273" s="6019"/>
      <c r="CQ273" s="6778" t="str">
        <f>_Calcs!$T$19</f>
        <v/>
      </c>
      <c r="CR273" s="6778"/>
      <c r="CS273" s="6778"/>
      <c r="CT273" s="6778"/>
      <c r="CU273" s="6778"/>
      <c r="CV273" s="6778"/>
      <c r="CW273" s="6778"/>
      <c r="CX273" s="6778"/>
      <c r="CY273" s="6778"/>
      <c r="CZ273" s="6778"/>
      <c r="DA273" s="6778"/>
      <c r="DB273" s="6778"/>
      <c r="DC273" s="6778"/>
      <c r="DD273" s="6778"/>
      <c r="DE273" s="6778"/>
      <c r="DF273" s="6778"/>
      <c r="DG273" s="6778"/>
      <c r="DH273" s="6778"/>
      <c r="DI273" s="6778"/>
      <c r="DJ273" s="6778"/>
      <c r="DK273" s="6778"/>
      <c r="DL273" s="6778"/>
      <c r="DM273" s="6778"/>
      <c r="DN273" s="6778"/>
      <c r="DO273" s="6778"/>
      <c r="DP273" s="6778"/>
      <c r="DQ273" s="6778"/>
      <c r="DR273" s="6778"/>
      <c r="DS273" s="6778"/>
      <c r="DT273" s="6778"/>
      <c r="DU273" s="6778"/>
      <c r="DV273" s="6778"/>
      <c r="DW273" s="6778"/>
      <c r="DX273" s="6778"/>
      <c r="DY273" s="6778"/>
      <c r="DZ273" s="6778"/>
      <c r="EA273" s="6778"/>
      <c r="EB273" s="6778"/>
      <c r="EC273" s="6030"/>
      <c r="ED273" s="6026"/>
      <c r="EH273" s="6018"/>
      <c r="EI273" s="6019"/>
      <c r="EJ273" s="6778" t="str">
        <f>_Calcs!$T$19</f>
        <v/>
      </c>
      <c r="EK273" s="6778"/>
      <c r="EL273" s="6778"/>
      <c r="EM273" s="6778"/>
      <c r="EN273" s="6778"/>
      <c r="EO273" s="6778"/>
      <c r="EP273" s="6778"/>
      <c r="EQ273" s="6778"/>
      <c r="ER273" s="6778"/>
      <c r="ES273" s="6778"/>
      <c r="ET273" s="6778"/>
      <c r="EU273" s="6778"/>
      <c r="EV273" s="6778"/>
      <c r="EW273" s="6778"/>
      <c r="EX273" s="6778"/>
      <c r="EY273" s="6778"/>
      <c r="EZ273" s="6778"/>
      <c r="FA273" s="6778"/>
      <c r="FB273" s="6778"/>
      <c r="FC273" s="6778"/>
      <c r="FD273" s="6778"/>
      <c r="FE273" s="6778"/>
      <c r="FF273" s="6778"/>
      <c r="FG273" s="6778"/>
      <c r="FH273" s="6778"/>
      <c r="FI273" s="6778"/>
      <c r="FJ273" s="6778"/>
      <c r="FK273" s="6778"/>
      <c r="FL273" s="6778"/>
      <c r="FM273" s="6778"/>
      <c r="FN273" s="6778"/>
      <c r="FO273" s="6778"/>
      <c r="FP273" s="6778"/>
      <c r="FQ273" s="6778"/>
      <c r="FR273" s="6778"/>
      <c r="FS273" s="6778"/>
      <c r="FT273" s="6778"/>
      <c r="FU273" s="6778"/>
      <c r="FV273" s="6030"/>
      <c r="FW273" s="6026"/>
      <c r="GA273" s="6018"/>
      <c r="GB273" s="6019"/>
      <c r="GC273" s="6778" t="str">
        <f>_Calcs!$T$19</f>
        <v/>
      </c>
      <c r="GD273" s="6778"/>
      <c r="GE273" s="6778"/>
      <c r="GF273" s="6778"/>
      <c r="GG273" s="6778"/>
      <c r="GH273" s="6778"/>
      <c r="GI273" s="6778"/>
      <c r="GJ273" s="6778"/>
      <c r="GK273" s="6778"/>
      <c r="GL273" s="6778"/>
      <c r="GM273" s="6778"/>
      <c r="GN273" s="6778"/>
      <c r="GO273" s="6778"/>
      <c r="GP273" s="6778"/>
      <c r="GQ273" s="6778"/>
      <c r="GR273" s="6778"/>
      <c r="GS273" s="6778"/>
      <c r="GT273" s="6778"/>
      <c r="GU273" s="6778"/>
      <c r="GV273" s="6778"/>
      <c r="GW273" s="6778"/>
      <c r="GX273" s="6778"/>
      <c r="GY273" s="6778"/>
      <c r="GZ273" s="6778"/>
      <c r="HA273" s="6778"/>
      <c r="HB273" s="6778"/>
      <c r="HC273" s="6778"/>
      <c r="HD273" s="6778"/>
      <c r="HE273" s="6778"/>
      <c r="HF273" s="6778"/>
      <c r="HG273" s="6778"/>
      <c r="HH273" s="6778"/>
      <c r="HI273" s="6778"/>
      <c r="HJ273" s="6778"/>
      <c r="HK273" s="6778"/>
      <c r="HL273" s="6778"/>
      <c r="HM273" s="6778"/>
      <c r="HN273" s="6778"/>
      <c r="HO273" s="6030"/>
      <c r="HP273" s="6026"/>
      <c r="HT273" s="6018"/>
      <c r="HU273" s="6019"/>
      <c r="HV273" s="6778" t="str">
        <f>_Calcs!$T$19</f>
        <v/>
      </c>
      <c r="HW273" s="6778"/>
      <c r="HX273" s="6778"/>
      <c r="HY273" s="6778"/>
      <c r="HZ273" s="6778"/>
      <c r="IA273" s="6778"/>
      <c r="IB273" s="6778"/>
      <c r="IC273" s="6778"/>
      <c r="ID273" s="6778"/>
      <c r="IE273" s="6778"/>
      <c r="IF273" s="6778"/>
      <c r="IG273" s="6778"/>
      <c r="IH273" s="6778"/>
      <c r="II273" s="6778"/>
      <c r="IJ273" s="6778"/>
      <c r="IK273" s="6778"/>
      <c r="IL273" s="6778"/>
      <c r="IM273" s="6778"/>
      <c r="IN273" s="6778"/>
      <c r="IO273" s="6778"/>
      <c r="IP273" s="6778"/>
      <c r="IQ273" s="6778"/>
      <c r="IR273" s="6778"/>
      <c r="IS273" s="6778"/>
      <c r="IT273" s="6778"/>
      <c r="IU273" s="6778"/>
      <c r="IV273" s="6778"/>
      <c r="IW273" s="6778"/>
      <c r="IX273" s="6778"/>
      <c r="IY273" s="6778"/>
      <c r="IZ273" s="6778"/>
      <c r="JA273" s="6778"/>
      <c r="JB273" s="6778"/>
      <c r="JC273" s="6778"/>
      <c r="JD273" s="6778"/>
      <c r="JE273" s="6778"/>
      <c r="JF273" s="6778"/>
      <c r="JG273" s="6778"/>
      <c r="JH273" s="6030"/>
      <c r="JI273" s="6026"/>
      <c r="JM273" s="6018"/>
      <c r="JN273" s="6019"/>
      <c r="JO273" s="6778" t="str">
        <f>_Calcs!$T$19</f>
        <v/>
      </c>
      <c r="JP273" s="6778"/>
      <c r="JQ273" s="6778"/>
      <c r="JR273" s="6778"/>
      <c r="JS273" s="6778"/>
      <c r="JT273" s="6778"/>
      <c r="JU273" s="6778"/>
      <c r="JV273" s="6778"/>
      <c r="JW273" s="6778"/>
      <c r="JX273" s="6778"/>
      <c r="JY273" s="6778"/>
      <c r="JZ273" s="6778"/>
      <c r="KA273" s="6778"/>
      <c r="KB273" s="6778"/>
      <c r="KC273" s="6778"/>
      <c r="KD273" s="6778"/>
      <c r="KE273" s="6778"/>
      <c r="KF273" s="6778"/>
      <c r="KG273" s="6778"/>
      <c r="KH273" s="6778"/>
      <c r="KI273" s="6778"/>
      <c r="KJ273" s="6778"/>
      <c r="KK273" s="6778"/>
      <c r="KL273" s="6778"/>
      <c r="KM273" s="6778"/>
      <c r="KN273" s="6778"/>
      <c r="KO273" s="6778"/>
      <c r="KP273" s="6778"/>
      <c r="KQ273" s="6778"/>
      <c r="KR273" s="6778"/>
      <c r="KS273" s="6778"/>
      <c r="KT273" s="6778"/>
      <c r="KU273" s="6778"/>
      <c r="KV273" s="6778"/>
      <c r="KW273" s="6778"/>
      <c r="KX273" s="6778"/>
      <c r="KY273" s="6778"/>
      <c r="KZ273" s="6778"/>
      <c r="LA273" s="6030"/>
      <c r="LB273" s="6026"/>
      <c r="LC273" s="7"/>
      <c r="LF273" s="6018"/>
      <c r="LG273" s="6019"/>
      <c r="LH273" s="6778" t="str">
        <f>_Calcs!$T$19</f>
        <v/>
      </c>
      <c r="LI273" s="6778"/>
      <c r="LJ273" s="6778"/>
      <c r="LK273" s="6778"/>
      <c r="LL273" s="6778"/>
      <c r="LM273" s="6778"/>
      <c r="LN273" s="6778"/>
      <c r="LO273" s="6778"/>
      <c r="LP273" s="6778"/>
      <c r="LQ273" s="6778"/>
      <c r="LR273" s="6778"/>
      <c r="LS273" s="6778"/>
      <c r="LT273" s="6778"/>
      <c r="LU273" s="6778"/>
      <c r="LV273" s="6778"/>
      <c r="LW273" s="6778"/>
      <c r="LX273" s="6778"/>
      <c r="LY273" s="6778"/>
      <c r="LZ273" s="6778"/>
      <c r="MA273" s="6778"/>
      <c r="MB273" s="6778"/>
      <c r="MC273" s="6778"/>
      <c r="MD273" s="6778"/>
      <c r="ME273" s="6778"/>
      <c r="MF273" s="6778"/>
      <c r="MG273" s="6778"/>
      <c r="MH273" s="6778"/>
      <c r="MI273" s="6778"/>
      <c r="MJ273" s="6778"/>
      <c r="MK273" s="6778"/>
      <c r="ML273" s="6778"/>
      <c r="MM273" s="6778"/>
      <c r="MN273" s="6778"/>
      <c r="MO273" s="6778"/>
      <c r="MP273" s="6778"/>
      <c r="MQ273" s="6778"/>
      <c r="MR273" s="6778"/>
      <c r="MS273" s="6778"/>
      <c r="MT273" s="6030"/>
      <c r="MU273" s="6026"/>
      <c r="MV273" s="7"/>
      <c r="MY273" s="6018"/>
      <c r="MZ273" s="6019"/>
      <c r="NA273" s="6778" t="str">
        <f>_Calcs!$T$19</f>
        <v/>
      </c>
      <c r="NB273" s="6778"/>
      <c r="NC273" s="6778"/>
      <c r="ND273" s="6778"/>
      <c r="NE273" s="6778"/>
      <c r="NF273" s="6778"/>
      <c r="NG273" s="6778"/>
      <c r="NH273" s="6778"/>
      <c r="NI273" s="6778"/>
      <c r="NJ273" s="6778"/>
      <c r="NK273" s="6778"/>
      <c r="NL273" s="6778"/>
      <c r="NM273" s="6778"/>
      <c r="NN273" s="6778"/>
      <c r="NO273" s="6778"/>
      <c r="NP273" s="6778"/>
      <c r="NQ273" s="6778"/>
      <c r="NR273" s="6778"/>
      <c r="NS273" s="6778"/>
      <c r="NT273" s="6778"/>
      <c r="NU273" s="6778"/>
      <c r="NV273" s="6778"/>
      <c r="NW273" s="6778"/>
      <c r="NX273" s="6778"/>
      <c r="NY273" s="6778"/>
      <c r="NZ273" s="6778"/>
      <c r="OA273" s="6778"/>
      <c r="OB273" s="6778"/>
      <c r="OC273" s="6778"/>
      <c r="OD273" s="6778"/>
      <c r="OE273" s="6778"/>
      <c r="OF273" s="6778"/>
      <c r="OG273" s="6778"/>
      <c r="OH273" s="6778"/>
      <c r="OI273" s="6778"/>
      <c r="OJ273" s="6778"/>
      <c r="OK273" s="6778"/>
      <c r="OL273" s="6778"/>
      <c r="OM273" s="6030"/>
      <c r="ON273" s="6026"/>
      <c r="OO273" s="7"/>
    </row>
    <row r="274" spans="3:405" s="1466" customFormat="1" ht="9.9499999999999993" customHeight="1" thickBot="1" x14ac:dyDescent="0.25">
      <c r="C274" s="6028"/>
      <c r="E274" s="6032"/>
      <c r="F274" s="6032"/>
      <c r="G274" s="6032"/>
      <c r="H274" s="6032"/>
      <c r="I274" s="6032"/>
      <c r="J274" s="6032"/>
      <c r="K274" s="6032"/>
      <c r="L274" s="6032"/>
      <c r="M274" s="6032"/>
      <c r="N274" s="6032"/>
      <c r="O274" s="6032"/>
      <c r="P274" s="6032"/>
      <c r="Q274" s="6032"/>
      <c r="R274" s="6032"/>
      <c r="S274" s="6032"/>
      <c r="T274" s="6032"/>
      <c r="U274" s="6032"/>
      <c r="V274" s="6032"/>
      <c r="W274" s="6032"/>
      <c r="X274" s="6032"/>
      <c r="Y274" s="6032"/>
      <c r="Z274" s="6032"/>
      <c r="AA274" s="6032"/>
      <c r="AB274" s="6032"/>
      <c r="AC274" s="3489"/>
      <c r="AD274" s="3489"/>
      <c r="AE274" s="6033"/>
      <c r="AF274" s="6033"/>
      <c r="AG274" s="6033"/>
      <c r="AH274" s="6033"/>
      <c r="AI274" s="6033"/>
      <c r="AJ274" s="6033"/>
      <c r="AK274" s="6033"/>
      <c r="AL274" s="6033"/>
      <c r="AM274" s="6033"/>
      <c r="AN274" s="6033"/>
      <c r="AO274" s="6033"/>
      <c r="AP274" s="6033"/>
      <c r="AQ274" s="3489"/>
      <c r="AR274" s="6029"/>
      <c r="AV274" s="6028"/>
      <c r="AX274" s="6032"/>
      <c r="AY274" s="6032"/>
      <c r="AZ274" s="6032"/>
      <c r="BA274" s="6032"/>
      <c r="BB274" s="6032"/>
      <c r="BC274" s="6032"/>
      <c r="BD274" s="6032"/>
      <c r="BE274" s="6032"/>
      <c r="BF274" s="6032"/>
      <c r="BG274" s="6032"/>
      <c r="BH274" s="6032"/>
      <c r="BI274" s="6032"/>
      <c r="BJ274" s="6032"/>
      <c r="BK274" s="6032"/>
      <c r="BL274" s="6032"/>
      <c r="BM274" s="6032"/>
      <c r="BN274" s="6032"/>
      <c r="BO274" s="6032"/>
      <c r="BP274" s="6032"/>
      <c r="BQ274" s="6032"/>
      <c r="BR274" s="6032"/>
      <c r="BS274" s="6032"/>
      <c r="BT274" s="6032"/>
      <c r="BU274" s="6032"/>
      <c r="BV274" s="3489"/>
      <c r="BW274" s="3489"/>
      <c r="BX274" s="6033"/>
      <c r="BY274" s="6033"/>
      <c r="BZ274" s="6033"/>
      <c r="CA274" s="6033"/>
      <c r="CB274" s="6033"/>
      <c r="CC274" s="6033"/>
      <c r="CD274" s="6033"/>
      <c r="CE274" s="6033"/>
      <c r="CF274" s="6033"/>
      <c r="CG274" s="6033"/>
      <c r="CH274" s="6033"/>
      <c r="CI274" s="6033"/>
      <c r="CJ274" s="3489"/>
      <c r="CK274" s="6029"/>
      <c r="CO274" s="6028"/>
      <c r="CQ274" s="6032"/>
      <c r="CR274" s="6032"/>
      <c r="CS274" s="6032"/>
      <c r="CT274" s="6032"/>
      <c r="CU274" s="6032"/>
      <c r="CV274" s="6032"/>
      <c r="CW274" s="6032"/>
      <c r="CX274" s="6032"/>
      <c r="CY274" s="6032"/>
      <c r="CZ274" s="6032"/>
      <c r="DA274" s="6032"/>
      <c r="DB274" s="6032"/>
      <c r="DC274" s="6032"/>
      <c r="DD274" s="6032"/>
      <c r="DE274" s="6032"/>
      <c r="DF274" s="6032"/>
      <c r="DG274" s="6032"/>
      <c r="DH274" s="6032"/>
      <c r="DI274" s="6032"/>
      <c r="DJ274" s="6032"/>
      <c r="DK274" s="6032"/>
      <c r="DL274" s="6032"/>
      <c r="DM274" s="6032"/>
      <c r="DN274" s="6032"/>
      <c r="DO274" s="3489"/>
      <c r="DP274" s="3489"/>
      <c r="DQ274" s="6033"/>
      <c r="DR274" s="6033"/>
      <c r="DS274" s="6033"/>
      <c r="DT274" s="6033"/>
      <c r="DU274" s="6033"/>
      <c r="DV274" s="6033"/>
      <c r="DW274" s="6033"/>
      <c r="DX274" s="6033"/>
      <c r="DY274" s="6033"/>
      <c r="DZ274" s="6033"/>
      <c r="EA274" s="6033"/>
      <c r="EB274" s="6033"/>
      <c r="EC274" s="3489"/>
      <c r="ED274" s="6029"/>
      <c r="EH274" s="6028"/>
      <c r="EJ274" s="6032"/>
      <c r="EK274" s="6032"/>
      <c r="EL274" s="6032"/>
      <c r="EM274" s="6032"/>
      <c r="EN274" s="6032"/>
      <c r="EO274" s="6032"/>
      <c r="EP274" s="6032"/>
      <c r="EQ274" s="6032"/>
      <c r="ER274" s="6032"/>
      <c r="ES274" s="6032"/>
      <c r="ET274" s="6032"/>
      <c r="EU274" s="6032"/>
      <c r="EV274" s="6032"/>
      <c r="EW274" s="6032"/>
      <c r="EX274" s="6032"/>
      <c r="EY274" s="6032"/>
      <c r="EZ274" s="6032"/>
      <c r="FA274" s="6032"/>
      <c r="FB274" s="6032"/>
      <c r="FC274" s="6032"/>
      <c r="FD274" s="6032"/>
      <c r="FE274" s="6032"/>
      <c r="FF274" s="6032"/>
      <c r="FG274" s="6032"/>
      <c r="FH274" s="3489"/>
      <c r="FI274" s="3489"/>
      <c r="FJ274" s="6033"/>
      <c r="FK274" s="6033"/>
      <c r="FL274" s="6033"/>
      <c r="FM274" s="6033"/>
      <c r="FN274" s="6033"/>
      <c r="FO274" s="6033"/>
      <c r="FP274" s="6033"/>
      <c r="FQ274" s="6033"/>
      <c r="FR274" s="6033"/>
      <c r="FS274" s="6033"/>
      <c r="FT274" s="6033"/>
      <c r="FU274" s="6033"/>
      <c r="FV274" s="3489"/>
      <c r="FW274" s="6029"/>
      <c r="GA274" s="6028"/>
      <c r="GC274" s="6032"/>
      <c r="GD274" s="6032"/>
      <c r="GE274" s="6032"/>
      <c r="GF274" s="6032"/>
      <c r="GG274" s="6032"/>
      <c r="GH274" s="6032"/>
      <c r="GI274" s="6032"/>
      <c r="GJ274" s="6032"/>
      <c r="GK274" s="6032"/>
      <c r="GL274" s="6032"/>
      <c r="GM274" s="6032"/>
      <c r="GN274" s="6032"/>
      <c r="GO274" s="6032"/>
      <c r="GP274" s="6032"/>
      <c r="GQ274" s="6032"/>
      <c r="GR274" s="6032"/>
      <c r="GS274" s="6032"/>
      <c r="GT274" s="6032"/>
      <c r="GU274" s="6032"/>
      <c r="GV274" s="6032"/>
      <c r="GW274" s="6032"/>
      <c r="GX274" s="6032"/>
      <c r="GY274" s="6032"/>
      <c r="GZ274" s="6032"/>
      <c r="HA274" s="3489"/>
      <c r="HB274" s="3489"/>
      <c r="HC274" s="6033"/>
      <c r="HD274" s="6033"/>
      <c r="HE274" s="6033"/>
      <c r="HF274" s="6033"/>
      <c r="HG274" s="6033"/>
      <c r="HH274" s="6033"/>
      <c r="HI274" s="6033"/>
      <c r="HJ274" s="6033"/>
      <c r="HK274" s="6033"/>
      <c r="HL274" s="6033"/>
      <c r="HM274" s="6033"/>
      <c r="HN274" s="6033"/>
      <c r="HO274" s="3489"/>
      <c r="HP274" s="6029"/>
      <c r="HT274" s="6028"/>
      <c r="HV274" s="6032"/>
      <c r="HW274" s="6032"/>
      <c r="HX274" s="6032"/>
      <c r="HY274" s="6032"/>
      <c r="HZ274" s="6032"/>
      <c r="IA274" s="6032"/>
      <c r="IB274" s="6032"/>
      <c r="IC274" s="6032"/>
      <c r="ID274" s="6032"/>
      <c r="IE274" s="6032"/>
      <c r="IF274" s="6032"/>
      <c r="IG274" s="6032"/>
      <c r="IH274" s="6032"/>
      <c r="II274" s="6032"/>
      <c r="IJ274" s="6032"/>
      <c r="IK274" s="6032"/>
      <c r="IL274" s="6032"/>
      <c r="IM274" s="6032"/>
      <c r="IN274" s="6032"/>
      <c r="IO274" s="6032"/>
      <c r="IP274" s="6032"/>
      <c r="IQ274" s="6032"/>
      <c r="IR274" s="6032"/>
      <c r="IS274" s="6032"/>
      <c r="IT274" s="3489"/>
      <c r="IU274" s="3489"/>
      <c r="IV274" s="6033"/>
      <c r="IW274" s="6033"/>
      <c r="IX274" s="6033"/>
      <c r="IY274" s="6033"/>
      <c r="IZ274" s="6033"/>
      <c r="JA274" s="6033"/>
      <c r="JB274" s="6033"/>
      <c r="JC274" s="6033"/>
      <c r="JD274" s="6033"/>
      <c r="JE274" s="6033"/>
      <c r="JF274" s="6033"/>
      <c r="JG274" s="6033"/>
      <c r="JH274" s="3489"/>
      <c r="JI274" s="6029"/>
      <c r="JM274" s="6028"/>
      <c r="JO274" s="6032"/>
      <c r="JP274" s="6032"/>
      <c r="JQ274" s="6032"/>
      <c r="JR274" s="6032"/>
      <c r="JS274" s="6032"/>
      <c r="JT274" s="6032"/>
      <c r="JU274" s="6032"/>
      <c r="JV274" s="6032"/>
      <c r="JW274" s="6032"/>
      <c r="JX274" s="6032"/>
      <c r="JY274" s="6032"/>
      <c r="JZ274" s="6032"/>
      <c r="KA274" s="6032"/>
      <c r="KB274" s="6032"/>
      <c r="KC274" s="6032"/>
      <c r="KD274" s="6032"/>
      <c r="KE274" s="6032"/>
      <c r="KF274" s="6032"/>
      <c r="KG274" s="6032"/>
      <c r="KH274" s="6032"/>
      <c r="KI274" s="6032"/>
      <c r="KJ274" s="6032"/>
      <c r="KK274" s="6032"/>
      <c r="KL274" s="6032"/>
      <c r="KM274" s="3489"/>
      <c r="KN274" s="3489"/>
      <c r="KO274" s="6033"/>
      <c r="KP274" s="6033"/>
      <c r="KQ274" s="6033"/>
      <c r="KR274" s="6033"/>
      <c r="KS274" s="6033"/>
      <c r="KT274" s="6033"/>
      <c r="KU274" s="6033"/>
      <c r="KV274" s="6033"/>
      <c r="KW274" s="6033"/>
      <c r="KX274" s="6033"/>
      <c r="KY274" s="6033"/>
      <c r="KZ274" s="6033"/>
      <c r="LA274" s="3489"/>
      <c r="LB274" s="6029"/>
      <c r="LC274" s="130"/>
      <c r="LF274" s="6028"/>
      <c r="LH274" s="6032"/>
      <c r="LI274" s="6032"/>
      <c r="LJ274" s="6032"/>
      <c r="LK274" s="6032"/>
      <c r="LL274" s="6032"/>
      <c r="LM274" s="6032"/>
      <c r="LN274" s="6032"/>
      <c r="LO274" s="6032"/>
      <c r="LP274" s="6032"/>
      <c r="LQ274" s="6032"/>
      <c r="LR274" s="6032"/>
      <c r="LS274" s="6032"/>
      <c r="LT274" s="6032"/>
      <c r="LU274" s="6032"/>
      <c r="LV274" s="6032"/>
      <c r="LW274" s="6032"/>
      <c r="LX274" s="6032"/>
      <c r="LY274" s="6032"/>
      <c r="LZ274" s="6032"/>
      <c r="MA274" s="6032"/>
      <c r="MB274" s="6032"/>
      <c r="MC274" s="6032"/>
      <c r="MD274" s="6032"/>
      <c r="ME274" s="6032"/>
      <c r="MF274" s="3489"/>
      <c r="MG274" s="3489"/>
      <c r="MH274" s="6033"/>
      <c r="MI274" s="6033"/>
      <c r="MJ274" s="6033"/>
      <c r="MK274" s="6033"/>
      <c r="ML274" s="6033"/>
      <c r="MM274" s="6033"/>
      <c r="MN274" s="6033"/>
      <c r="MO274" s="6033"/>
      <c r="MP274" s="6033"/>
      <c r="MQ274" s="6033"/>
      <c r="MR274" s="6033"/>
      <c r="MS274" s="6033"/>
      <c r="MT274" s="3489"/>
      <c r="MU274" s="6029"/>
      <c r="MV274" s="130"/>
      <c r="MY274" s="6028"/>
      <c r="NA274" s="6032"/>
      <c r="NB274" s="6032"/>
      <c r="NC274" s="6032"/>
      <c r="ND274" s="6032"/>
      <c r="NE274" s="6032"/>
      <c r="NF274" s="6032"/>
      <c r="NG274" s="6032"/>
      <c r="NH274" s="6032"/>
      <c r="NI274" s="6032"/>
      <c r="NJ274" s="6032"/>
      <c r="NK274" s="6032"/>
      <c r="NL274" s="6032"/>
      <c r="NM274" s="6032"/>
      <c r="NN274" s="6032"/>
      <c r="NO274" s="6032"/>
      <c r="NP274" s="6032"/>
      <c r="NQ274" s="6032"/>
      <c r="NR274" s="6032"/>
      <c r="NS274" s="6032"/>
      <c r="NT274" s="6032"/>
      <c r="NU274" s="6032"/>
      <c r="NV274" s="6032"/>
      <c r="NW274" s="6032"/>
      <c r="NX274" s="6032"/>
      <c r="NY274" s="3489"/>
      <c r="NZ274" s="3489"/>
      <c r="OA274" s="6033"/>
      <c r="OB274" s="6033"/>
      <c r="OC274" s="6033"/>
      <c r="OD274" s="6033"/>
      <c r="OE274" s="6033"/>
      <c r="OF274" s="6033"/>
      <c r="OG274" s="6033"/>
      <c r="OH274" s="6033"/>
      <c r="OI274" s="6033"/>
      <c r="OJ274" s="6033"/>
      <c r="OK274" s="6033"/>
      <c r="OL274" s="6033"/>
      <c r="OM274" s="3489"/>
      <c r="ON274" s="6029"/>
      <c r="OO274" s="130"/>
    </row>
    <row r="275" spans="3:405" s="1466" customFormat="1" ht="6" customHeight="1" x14ac:dyDescent="0.2">
      <c r="C275" s="6028"/>
      <c r="D275" s="6785" t="str">
        <f>_Calcs!$II$96</f>
        <v>Begrunnelser for tidsjusteringer</v>
      </c>
      <c r="E275" s="6785"/>
      <c r="F275" s="6785"/>
      <c r="G275" s="6785"/>
      <c r="H275" s="6785"/>
      <c r="I275" s="6785"/>
      <c r="J275" s="6785"/>
      <c r="K275" s="6785"/>
      <c r="L275" s="6785"/>
      <c r="M275" s="6785"/>
      <c r="N275" s="6785"/>
      <c r="O275" s="6785"/>
      <c r="P275" s="6785"/>
      <c r="Q275" s="6785"/>
      <c r="R275" s="6785"/>
      <c r="S275" s="6785"/>
      <c r="T275" s="6785"/>
      <c r="U275" s="6785"/>
      <c r="V275" s="6785"/>
      <c r="W275" s="6785"/>
      <c r="X275" s="6785"/>
      <c r="Y275" s="6785"/>
      <c r="Z275" s="6785"/>
      <c r="AA275" s="6785"/>
      <c r="AB275" s="6785"/>
      <c r="AC275" s="6785"/>
      <c r="AD275" s="3489"/>
      <c r="AE275" s="6033"/>
      <c r="AF275" s="6033"/>
      <c r="AG275" s="6034"/>
      <c r="AH275" s="6786" t="str">
        <f>_Calcs!$IK$185</f>
        <v>Stuff 1-1</v>
      </c>
      <c r="AI275" s="6786"/>
      <c r="AJ275" s="6786"/>
      <c r="AK275" s="6786"/>
      <c r="AL275" s="6786"/>
      <c r="AM275" s="6786"/>
      <c r="AN275" s="6786"/>
      <c r="AO275" s="6786"/>
      <c r="AP275" s="6786"/>
      <c r="AQ275" s="6035"/>
      <c r="AR275" s="6029"/>
      <c r="AV275" s="6028"/>
      <c r="AW275" s="6785" t="str">
        <f>_Calcs!$II$96</f>
        <v>Begrunnelser for tidsjusteringer</v>
      </c>
      <c r="AX275" s="6785"/>
      <c r="AY275" s="6785"/>
      <c r="AZ275" s="6785"/>
      <c r="BA275" s="6785"/>
      <c r="BB275" s="6785"/>
      <c r="BC275" s="6785"/>
      <c r="BD275" s="6785"/>
      <c r="BE275" s="6785"/>
      <c r="BF275" s="6785"/>
      <c r="BG275" s="6785"/>
      <c r="BH275" s="6785"/>
      <c r="BI275" s="6785"/>
      <c r="BJ275" s="6785"/>
      <c r="BK275" s="6785"/>
      <c r="BL275" s="6785"/>
      <c r="BM275" s="6785"/>
      <c r="BN275" s="6785"/>
      <c r="BO275" s="6785"/>
      <c r="BP275" s="6785"/>
      <c r="BQ275" s="6785"/>
      <c r="BR275" s="6785"/>
      <c r="BS275" s="6785"/>
      <c r="BT275" s="6785"/>
      <c r="BU275" s="6785"/>
      <c r="BV275" s="6785"/>
      <c r="BW275" s="3489"/>
      <c r="BX275" s="6033"/>
      <c r="BY275" s="6033"/>
      <c r="BZ275" s="6034"/>
      <c r="CA275" s="6786" t="str">
        <f>_Calcs!$IL$185</f>
        <v/>
      </c>
      <c r="CB275" s="6786"/>
      <c r="CC275" s="6786"/>
      <c r="CD275" s="6786"/>
      <c r="CE275" s="6786"/>
      <c r="CF275" s="6786"/>
      <c r="CG275" s="6786"/>
      <c r="CH275" s="6786"/>
      <c r="CI275" s="6786"/>
      <c r="CJ275" s="6035"/>
      <c r="CK275" s="6029"/>
      <c r="CO275" s="6028"/>
      <c r="CP275" s="6785" t="str">
        <f>_Calcs!$II$96</f>
        <v>Begrunnelser for tidsjusteringer</v>
      </c>
      <c r="CQ275" s="6785"/>
      <c r="CR275" s="6785"/>
      <c r="CS275" s="6785"/>
      <c r="CT275" s="6785"/>
      <c r="CU275" s="6785"/>
      <c r="CV275" s="6785"/>
      <c r="CW275" s="6785"/>
      <c r="CX275" s="6785"/>
      <c r="CY275" s="6785"/>
      <c r="CZ275" s="6785"/>
      <c r="DA275" s="6785"/>
      <c r="DB275" s="6785"/>
      <c r="DC275" s="6785"/>
      <c r="DD275" s="6785"/>
      <c r="DE275" s="6785"/>
      <c r="DF275" s="6785"/>
      <c r="DG275" s="6785"/>
      <c r="DH275" s="6785"/>
      <c r="DI275" s="6785"/>
      <c r="DJ275" s="6785"/>
      <c r="DK275" s="6785"/>
      <c r="DL275" s="6785"/>
      <c r="DM275" s="6785"/>
      <c r="DN275" s="6785"/>
      <c r="DO275" s="6785"/>
      <c r="DP275" s="3489"/>
      <c r="DQ275" s="6033"/>
      <c r="DR275" s="6033"/>
      <c r="DS275" s="6034"/>
      <c r="DT275" s="6786" t="str">
        <f>_Calcs!$IM$185</f>
        <v/>
      </c>
      <c r="DU275" s="6786"/>
      <c r="DV275" s="6786"/>
      <c r="DW275" s="6786"/>
      <c r="DX275" s="6786"/>
      <c r="DY275" s="6786"/>
      <c r="DZ275" s="6786"/>
      <c r="EA275" s="6786"/>
      <c r="EB275" s="6786"/>
      <c r="EC275" s="6035"/>
      <c r="ED275" s="6029"/>
      <c r="EH275" s="6028"/>
      <c r="EI275" s="6785" t="str">
        <f>_Calcs!$II$96</f>
        <v>Begrunnelser for tidsjusteringer</v>
      </c>
      <c r="EJ275" s="6785"/>
      <c r="EK275" s="6785"/>
      <c r="EL275" s="6785"/>
      <c r="EM275" s="6785"/>
      <c r="EN275" s="6785"/>
      <c r="EO275" s="6785"/>
      <c r="EP275" s="6785"/>
      <c r="EQ275" s="6785"/>
      <c r="ER275" s="6785"/>
      <c r="ES275" s="6785"/>
      <c r="ET275" s="6785"/>
      <c r="EU275" s="6785"/>
      <c r="EV275" s="6785"/>
      <c r="EW275" s="6785"/>
      <c r="EX275" s="6785"/>
      <c r="EY275" s="6785"/>
      <c r="EZ275" s="6785"/>
      <c r="FA275" s="6785"/>
      <c r="FB275" s="6785"/>
      <c r="FC275" s="6785"/>
      <c r="FD275" s="6785"/>
      <c r="FE275" s="6785"/>
      <c r="FF275" s="6785"/>
      <c r="FG275" s="6785"/>
      <c r="FH275" s="6785"/>
      <c r="FI275" s="3489"/>
      <c r="FJ275" s="6033"/>
      <c r="FK275" s="6033"/>
      <c r="FL275" s="6034"/>
      <c r="FM275" s="6786" t="str">
        <f>_Calcs!$IN$185</f>
        <v/>
      </c>
      <c r="FN275" s="6786"/>
      <c r="FO275" s="6786"/>
      <c r="FP275" s="6786"/>
      <c r="FQ275" s="6786"/>
      <c r="FR275" s="6786"/>
      <c r="FS275" s="6786"/>
      <c r="FT275" s="6786"/>
      <c r="FU275" s="6786"/>
      <c r="FV275" s="6035"/>
      <c r="FW275" s="6029"/>
      <c r="GA275" s="6028"/>
      <c r="GB275" s="6785" t="str">
        <f>_Calcs!$II$96</f>
        <v>Begrunnelser for tidsjusteringer</v>
      </c>
      <c r="GC275" s="6785"/>
      <c r="GD275" s="6785"/>
      <c r="GE275" s="6785"/>
      <c r="GF275" s="6785"/>
      <c r="GG275" s="6785"/>
      <c r="GH275" s="6785"/>
      <c r="GI275" s="6785"/>
      <c r="GJ275" s="6785"/>
      <c r="GK275" s="6785"/>
      <c r="GL275" s="6785"/>
      <c r="GM275" s="6785"/>
      <c r="GN275" s="6785"/>
      <c r="GO275" s="6785"/>
      <c r="GP275" s="6785"/>
      <c r="GQ275" s="6785"/>
      <c r="GR275" s="6785"/>
      <c r="GS275" s="6785"/>
      <c r="GT275" s="6785"/>
      <c r="GU275" s="6785"/>
      <c r="GV275" s="6785"/>
      <c r="GW275" s="6785"/>
      <c r="GX275" s="6785"/>
      <c r="GY275" s="6785"/>
      <c r="GZ275" s="6785"/>
      <c r="HA275" s="6785"/>
      <c r="HB275" s="3489"/>
      <c r="HC275" s="6033"/>
      <c r="HD275" s="6033"/>
      <c r="HE275" s="6034"/>
      <c r="HF275" s="6786" t="str">
        <f>_Calcs!$IO$185</f>
        <v/>
      </c>
      <c r="HG275" s="6786"/>
      <c r="HH275" s="6786"/>
      <c r="HI275" s="6786"/>
      <c r="HJ275" s="6786"/>
      <c r="HK275" s="6786"/>
      <c r="HL275" s="6786"/>
      <c r="HM275" s="6786"/>
      <c r="HN275" s="6786"/>
      <c r="HO275" s="6035"/>
      <c r="HP275" s="6029"/>
      <c r="HT275" s="6028"/>
      <c r="HU275" s="6785" t="str">
        <f>_Calcs!$II$96</f>
        <v>Begrunnelser for tidsjusteringer</v>
      </c>
      <c r="HV275" s="6785"/>
      <c r="HW275" s="6785"/>
      <c r="HX275" s="6785"/>
      <c r="HY275" s="6785"/>
      <c r="HZ275" s="6785"/>
      <c r="IA275" s="6785"/>
      <c r="IB275" s="6785"/>
      <c r="IC275" s="6785"/>
      <c r="ID275" s="6785"/>
      <c r="IE275" s="6785"/>
      <c r="IF275" s="6785"/>
      <c r="IG275" s="6785"/>
      <c r="IH275" s="6785"/>
      <c r="II275" s="6785"/>
      <c r="IJ275" s="6785"/>
      <c r="IK275" s="6785"/>
      <c r="IL275" s="6785"/>
      <c r="IM275" s="6785"/>
      <c r="IN275" s="6785"/>
      <c r="IO275" s="6785"/>
      <c r="IP275" s="6785"/>
      <c r="IQ275" s="6785"/>
      <c r="IR275" s="6785"/>
      <c r="IS275" s="6785"/>
      <c r="IT275" s="6785"/>
      <c r="IU275" s="3489"/>
      <c r="IV275" s="6033"/>
      <c r="IW275" s="6033"/>
      <c r="IX275" s="6034"/>
      <c r="IY275" s="6786" t="str">
        <f>_Calcs!$IP$185</f>
        <v/>
      </c>
      <c r="IZ275" s="6786"/>
      <c r="JA275" s="6786"/>
      <c r="JB275" s="6786"/>
      <c r="JC275" s="6786"/>
      <c r="JD275" s="6786"/>
      <c r="JE275" s="6786"/>
      <c r="JF275" s="6786"/>
      <c r="JG275" s="6786"/>
      <c r="JH275" s="6035"/>
      <c r="JI275" s="6029"/>
      <c r="JM275" s="6028"/>
      <c r="JN275" s="6785" t="str">
        <f>_Calcs!$II$96</f>
        <v>Begrunnelser for tidsjusteringer</v>
      </c>
      <c r="JO275" s="6785"/>
      <c r="JP275" s="6785"/>
      <c r="JQ275" s="6785"/>
      <c r="JR275" s="6785"/>
      <c r="JS275" s="6785"/>
      <c r="JT275" s="6785"/>
      <c r="JU275" s="6785"/>
      <c r="JV275" s="6785"/>
      <c r="JW275" s="6785"/>
      <c r="JX275" s="6785"/>
      <c r="JY275" s="6785"/>
      <c r="JZ275" s="6785"/>
      <c r="KA275" s="6785"/>
      <c r="KB275" s="6785"/>
      <c r="KC275" s="6785"/>
      <c r="KD275" s="6785"/>
      <c r="KE275" s="6785"/>
      <c r="KF275" s="6785"/>
      <c r="KG275" s="6785"/>
      <c r="KH275" s="6785"/>
      <c r="KI275" s="6785"/>
      <c r="KJ275" s="6785"/>
      <c r="KK275" s="6785"/>
      <c r="KL275" s="6785"/>
      <c r="KM275" s="6785"/>
      <c r="KN275" s="3489"/>
      <c r="KO275" s="6033"/>
      <c r="KP275" s="6033"/>
      <c r="KQ275" s="6034"/>
      <c r="KR275" s="6786" t="str">
        <f>_Calcs!$IQ$185</f>
        <v/>
      </c>
      <c r="KS275" s="6786"/>
      <c r="KT275" s="6786"/>
      <c r="KU275" s="6786"/>
      <c r="KV275" s="6786"/>
      <c r="KW275" s="6786"/>
      <c r="KX275" s="6786"/>
      <c r="KY275" s="6786"/>
      <c r="KZ275" s="6786"/>
      <c r="LA275" s="6035"/>
      <c r="LB275" s="6029"/>
      <c r="LC275" s="130"/>
      <c r="LF275" s="6028"/>
      <c r="LG275" s="6785" t="str">
        <f>_Calcs!$II$96</f>
        <v>Begrunnelser for tidsjusteringer</v>
      </c>
      <c r="LH275" s="6785"/>
      <c r="LI275" s="6785"/>
      <c r="LJ275" s="6785"/>
      <c r="LK275" s="6785"/>
      <c r="LL275" s="6785"/>
      <c r="LM275" s="6785"/>
      <c r="LN275" s="6785"/>
      <c r="LO275" s="6785"/>
      <c r="LP275" s="6785"/>
      <c r="LQ275" s="6785"/>
      <c r="LR275" s="6785"/>
      <c r="LS275" s="6785"/>
      <c r="LT275" s="6785"/>
      <c r="LU275" s="6785"/>
      <c r="LV275" s="6785"/>
      <c r="LW275" s="6785"/>
      <c r="LX275" s="6785"/>
      <c r="LY275" s="6785"/>
      <c r="LZ275" s="6785"/>
      <c r="MA275" s="6785"/>
      <c r="MB275" s="6785"/>
      <c r="MC275" s="6785"/>
      <c r="MD275" s="6785"/>
      <c r="ME275" s="6785"/>
      <c r="MF275" s="6785"/>
      <c r="MG275" s="3489"/>
      <c r="MH275" s="6033"/>
      <c r="MI275" s="6033"/>
      <c r="MJ275" s="6034"/>
      <c r="MK275" s="6786" t="str">
        <f>_Calcs!$IR$185</f>
        <v/>
      </c>
      <c r="ML275" s="6786"/>
      <c r="MM275" s="6786"/>
      <c r="MN275" s="6786"/>
      <c r="MO275" s="6786"/>
      <c r="MP275" s="6786"/>
      <c r="MQ275" s="6786"/>
      <c r="MR275" s="6786"/>
      <c r="MS275" s="6786"/>
      <c r="MT275" s="6035"/>
      <c r="MU275" s="6029"/>
      <c r="MV275" s="130"/>
      <c r="MY275" s="6028"/>
      <c r="MZ275" s="6785" t="str">
        <f>_Calcs!$II$96</f>
        <v>Begrunnelser for tidsjusteringer</v>
      </c>
      <c r="NA275" s="6785"/>
      <c r="NB275" s="6785"/>
      <c r="NC275" s="6785"/>
      <c r="ND275" s="6785"/>
      <c r="NE275" s="6785"/>
      <c r="NF275" s="6785"/>
      <c r="NG275" s="6785"/>
      <c r="NH275" s="6785"/>
      <c r="NI275" s="6785"/>
      <c r="NJ275" s="6785"/>
      <c r="NK275" s="6785"/>
      <c r="NL275" s="6785"/>
      <c r="NM275" s="6785"/>
      <c r="NN275" s="6785"/>
      <c r="NO275" s="6785"/>
      <c r="NP275" s="6785"/>
      <c r="NQ275" s="6785"/>
      <c r="NR275" s="6785"/>
      <c r="NS275" s="6785"/>
      <c r="NT275" s="6785"/>
      <c r="NU275" s="6785"/>
      <c r="NV275" s="6785"/>
      <c r="NW275" s="6785"/>
      <c r="NX275" s="6785"/>
      <c r="NY275" s="6785"/>
      <c r="NZ275" s="3489"/>
      <c r="OA275" s="6033"/>
      <c r="OB275" s="6033"/>
      <c r="OC275" s="6034"/>
      <c r="OD275" s="6786" t="str">
        <f>_Calcs!$IS$185</f>
        <v/>
      </c>
      <c r="OE275" s="6786"/>
      <c r="OF275" s="6786"/>
      <c r="OG275" s="6786"/>
      <c r="OH275" s="6786"/>
      <c r="OI275" s="6786"/>
      <c r="OJ275" s="6786"/>
      <c r="OK275" s="6786"/>
      <c r="OL275" s="6786"/>
      <c r="OM275" s="6035"/>
      <c r="ON275" s="6029"/>
      <c r="OO275" s="130"/>
    </row>
    <row r="276" spans="3:405" s="5321" customFormat="1" ht="12" customHeight="1" x14ac:dyDescent="0.2">
      <c r="C276" s="6036"/>
      <c r="D276" s="6785"/>
      <c r="E276" s="6785"/>
      <c r="F276" s="6785"/>
      <c r="G276" s="6785"/>
      <c r="H276" s="6785"/>
      <c r="I276" s="6785"/>
      <c r="J276" s="6785"/>
      <c r="K276" s="6785"/>
      <c r="L276" s="6785"/>
      <c r="M276" s="6785"/>
      <c r="N276" s="6785"/>
      <c r="O276" s="6785"/>
      <c r="P276" s="6785"/>
      <c r="Q276" s="6785"/>
      <c r="R276" s="6785"/>
      <c r="S276" s="6785"/>
      <c r="T276" s="6785"/>
      <c r="U276" s="6785"/>
      <c r="V276" s="6785"/>
      <c r="W276" s="6785"/>
      <c r="X276" s="6785"/>
      <c r="Y276" s="6785"/>
      <c r="Z276" s="6785"/>
      <c r="AA276" s="6785"/>
      <c r="AB276" s="6785"/>
      <c r="AC276" s="6785"/>
      <c r="AE276" s="6033"/>
      <c r="AF276" s="6033"/>
      <c r="AG276" s="6037"/>
      <c r="AH276" s="6787"/>
      <c r="AI276" s="6787"/>
      <c r="AJ276" s="6787"/>
      <c r="AK276" s="6787"/>
      <c r="AL276" s="6787"/>
      <c r="AM276" s="6787"/>
      <c r="AN276" s="6787"/>
      <c r="AO276" s="6787"/>
      <c r="AP276" s="6787"/>
      <c r="AQ276" s="6038"/>
      <c r="AR276" s="6039"/>
      <c r="AV276" s="6036"/>
      <c r="AW276" s="6785"/>
      <c r="AX276" s="6785"/>
      <c r="AY276" s="6785"/>
      <c r="AZ276" s="6785"/>
      <c r="BA276" s="6785"/>
      <c r="BB276" s="6785"/>
      <c r="BC276" s="6785"/>
      <c r="BD276" s="6785"/>
      <c r="BE276" s="6785"/>
      <c r="BF276" s="6785"/>
      <c r="BG276" s="6785"/>
      <c r="BH276" s="6785"/>
      <c r="BI276" s="6785"/>
      <c r="BJ276" s="6785"/>
      <c r="BK276" s="6785"/>
      <c r="BL276" s="6785"/>
      <c r="BM276" s="6785"/>
      <c r="BN276" s="6785"/>
      <c r="BO276" s="6785"/>
      <c r="BP276" s="6785"/>
      <c r="BQ276" s="6785"/>
      <c r="BR276" s="6785"/>
      <c r="BS276" s="6785"/>
      <c r="BT276" s="6785"/>
      <c r="BU276" s="6785"/>
      <c r="BV276" s="6785"/>
      <c r="BX276" s="6033"/>
      <c r="BY276" s="6033"/>
      <c r="BZ276" s="6037"/>
      <c r="CA276" s="6787"/>
      <c r="CB276" s="6787"/>
      <c r="CC276" s="6787"/>
      <c r="CD276" s="6787"/>
      <c r="CE276" s="6787"/>
      <c r="CF276" s="6787"/>
      <c r="CG276" s="6787"/>
      <c r="CH276" s="6787"/>
      <c r="CI276" s="6787"/>
      <c r="CJ276" s="6038"/>
      <c r="CK276" s="6039"/>
      <c r="CO276" s="6036"/>
      <c r="CP276" s="6785"/>
      <c r="CQ276" s="6785"/>
      <c r="CR276" s="6785"/>
      <c r="CS276" s="6785"/>
      <c r="CT276" s="6785"/>
      <c r="CU276" s="6785"/>
      <c r="CV276" s="6785"/>
      <c r="CW276" s="6785"/>
      <c r="CX276" s="6785"/>
      <c r="CY276" s="6785"/>
      <c r="CZ276" s="6785"/>
      <c r="DA276" s="6785"/>
      <c r="DB276" s="6785"/>
      <c r="DC276" s="6785"/>
      <c r="DD276" s="6785"/>
      <c r="DE276" s="6785"/>
      <c r="DF276" s="6785"/>
      <c r="DG276" s="6785"/>
      <c r="DH276" s="6785"/>
      <c r="DI276" s="6785"/>
      <c r="DJ276" s="6785"/>
      <c r="DK276" s="6785"/>
      <c r="DL276" s="6785"/>
      <c r="DM276" s="6785"/>
      <c r="DN276" s="6785"/>
      <c r="DO276" s="6785"/>
      <c r="DQ276" s="6033"/>
      <c r="DR276" s="6033"/>
      <c r="DS276" s="6037"/>
      <c r="DT276" s="6787"/>
      <c r="DU276" s="6787"/>
      <c r="DV276" s="6787"/>
      <c r="DW276" s="6787"/>
      <c r="DX276" s="6787"/>
      <c r="DY276" s="6787"/>
      <c r="DZ276" s="6787"/>
      <c r="EA276" s="6787"/>
      <c r="EB276" s="6787"/>
      <c r="EC276" s="6038"/>
      <c r="ED276" s="6039"/>
      <c r="EH276" s="6036"/>
      <c r="EI276" s="6785"/>
      <c r="EJ276" s="6785"/>
      <c r="EK276" s="6785"/>
      <c r="EL276" s="6785"/>
      <c r="EM276" s="6785"/>
      <c r="EN276" s="6785"/>
      <c r="EO276" s="6785"/>
      <c r="EP276" s="6785"/>
      <c r="EQ276" s="6785"/>
      <c r="ER276" s="6785"/>
      <c r="ES276" s="6785"/>
      <c r="ET276" s="6785"/>
      <c r="EU276" s="6785"/>
      <c r="EV276" s="6785"/>
      <c r="EW276" s="6785"/>
      <c r="EX276" s="6785"/>
      <c r="EY276" s="6785"/>
      <c r="EZ276" s="6785"/>
      <c r="FA276" s="6785"/>
      <c r="FB276" s="6785"/>
      <c r="FC276" s="6785"/>
      <c r="FD276" s="6785"/>
      <c r="FE276" s="6785"/>
      <c r="FF276" s="6785"/>
      <c r="FG276" s="6785"/>
      <c r="FH276" s="6785"/>
      <c r="FJ276" s="6033"/>
      <c r="FK276" s="6033"/>
      <c r="FL276" s="6037"/>
      <c r="FM276" s="6787"/>
      <c r="FN276" s="6787"/>
      <c r="FO276" s="6787"/>
      <c r="FP276" s="6787"/>
      <c r="FQ276" s="6787"/>
      <c r="FR276" s="6787"/>
      <c r="FS276" s="6787"/>
      <c r="FT276" s="6787"/>
      <c r="FU276" s="6787"/>
      <c r="FV276" s="6038"/>
      <c r="FW276" s="6039"/>
      <c r="GA276" s="6036"/>
      <c r="GB276" s="6785"/>
      <c r="GC276" s="6785"/>
      <c r="GD276" s="6785"/>
      <c r="GE276" s="6785"/>
      <c r="GF276" s="6785"/>
      <c r="GG276" s="6785"/>
      <c r="GH276" s="6785"/>
      <c r="GI276" s="6785"/>
      <c r="GJ276" s="6785"/>
      <c r="GK276" s="6785"/>
      <c r="GL276" s="6785"/>
      <c r="GM276" s="6785"/>
      <c r="GN276" s="6785"/>
      <c r="GO276" s="6785"/>
      <c r="GP276" s="6785"/>
      <c r="GQ276" s="6785"/>
      <c r="GR276" s="6785"/>
      <c r="GS276" s="6785"/>
      <c r="GT276" s="6785"/>
      <c r="GU276" s="6785"/>
      <c r="GV276" s="6785"/>
      <c r="GW276" s="6785"/>
      <c r="GX276" s="6785"/>
      <c r="GY276" s="6785"/>
      <c r="GZ276" s="6785"/>
      <c r="HA276" s="6785"/>
      <c r="HC276" s="6033"/>
      <c r="HD276" s="6033"/>
      <c r="HE276" s="6037"/>
      <c r="HF276" s="6787"/>
      <c r="HG276" s="6787"/>
      <c r="HH276" s="6787"/>
      <c r="HI276" s="6787"/>
      <c r="HJ276" s="6787"/>
      <c r="HK276" s="6787"/>
      <c r="HL276" s="6787"/>
      <c r="HM276" s="6787"/>
      <c r="HN276" s="6787"/>
      <c r="HO276" s="6038"/>
      <c r="HP276" s="6039"/>
      <c r="HT276" s="6036"/>
      <c r="HU276" s="6785"/>
      <c r="HV276" s="6785"/>
      <c r="HW276" s="6785"/>
      <c r="HX276" s="6785"/>
      <c r="HY276" s="6785"/>
      <c r="HZ276" s="6785"/>
      <c r="IA276" s="6785"/>
      <c r="IB276" s="6785"/>
      <c r="IC276" s="6785"/>
      <c r="ID276" s="6785"/>
      <c r="IE276" s="6785"/>
      <c r="IF276" s="6785"/>
      <c r="IG276" s="6785"/>
      <c r="IH276" s="6785"/>
      <c r="II276" s="6785"/>
      <c r="IJ276" s="6785"/>
      <c r="IK276" s="6785"/>
      <c r="IL276" s="6785"/>
      <c r="IM276" s="6785"/>
      <c r="IN276" s="6785"/>
      <c r="IO276" s="6785"/>
      <c r="IP276" s="6785"/>
      <c r="IQ276" s="6785"/>
      <c r="IR276" s="6785"/>
      <c r="IS276" s="6785"/>
      <c r="IT276" s="6785"/>
      <c r="IV276" s="6033"/>
      <c r="IW276" s="6033"/>
      <c r="IX276" s="6037"/>
      <c r="IY276" s="6787"/>
      <c r="IZ276" s="6787"/>
      <c r="JA276" s="6787"/>
      <c r="JB276" s="6787"/>
      <c r="JC276" s="6787"/>
      <c r="JD276" s="6787"/>
      <c r="JE276" s="6787"/>
      <c r="JF276" s="6787"/>
      <c r="JG276" s="6787"/>
      <c r="JH276" s="6038"/>
      <c r="JI276" s="6039"/>
      <c r="JM276" s="6036"/>
      <c r="JN276" s="6785"/>
      <c r="JO276" s="6785"/>
      <c r="JP276" s="6785"/>
      <c r="JQ276" s="6785"/>
      <c r="JR276" s="6785"/>
      <c r="JS276" s="6785"/>
      <c r="JT276" s="6785"/>
      <c r="JU276" s="6785"/>
      <c r="JV276" s="6785"/>
      <c r="JW276" s="6785"/>
      <c r="JX276" s="6785"/>
      <c r="JY276" s="6785"/>
      <c r="JZ276" s="6785"/>
      <c r="KA276" s="6785"/>
      <c r="KB276" s="6785"/>
      <c r="KC276" s="6785"/>
      <c r="KD276" s="6785"/>
      <c r="KE276" s="6785"/>
      <c r="KF276" s="6785"/>
      <c r="KG276" s="6785"/>
      <c r="KH276" s="6785"/>
      <c r="KI276" s="6785"/>
      <c r="KJ276" s="6785"/>
      <c r="KK276" s="6785"/>
      <c r="KL276" s="6785"/>
      <c r="KM276" s="6785"/>
      <c r="KO276" s="6033"/>
      <c r="KP276" s="6033"/>
      <c r="KQ276" s="6037"/>
      <c r="KR276" s="6787"/>
      <c r="KS276" s="6787"/>
      <c r="KT276" s="6787"/>
      <c r="KU276" s="6787"/>
      <c r="KV276" s="6787"/>
      <c r="KW276" s="6787"/>
      <c r="KX276" s="6787"/>
      <c r="KY276" s="6787"/>
      <c r="KZ276" s="6787"/>
      <c r="LA276" s="6038"/>
      <c r="LB276" s="6039"/>
      <c r="LC276" s="7"/>
      <c r="LF276" s="6036"/>
      <c r="LG276" s="6785"/>
      <c r="LH276" s="6785"/>
      <c r="LI276" s="6785"/>
      <c r="LJ276" s="6785"/>
      <c r="LK276" s="6785"/>
      <c r="LL276" s="6785"/>
      <c r="LM276" s="6785"/>
      <c r="LN276" s="6785"/>
      <c r="LO276" s="6785"/>
      <c r="LP276" s="6785"/>
      <c r="LQ276" s="6785"/>
      <c r="LR276" s="6785"/>
      <c r="LS276" s="6785"/>
      <c r="LT276" s="6785"/>
      <c r="LU276" s="6785"/>
      <c r="LV276" s="6785"/>
      <c r="LW276" s="6785"/>
      <c r="LX276" s="6785"/>
      <c r="LY276" s="6785"/>
      <c r="LZ276" s="6785"/>
      <c r="MA276" s="6785"/>
      <c r="MB276" s="6785"/>
      <c r="MC276" s="6785"/>
      <c r="MD276" s="6785"/>
      <c r="ME276" s="6785"/>
      <c r="MF276" s="6785"/>
      <c r="MH276" s="6033"/>
      <c r="MI276" s="6033"/>
      <c r="MJ276" s="6037"/>
      <c r="MK276" s="6787"/>
      <c r="ML276" s="6787"/>
      <c r="MM276" s="6787"/>
      <c r="MN276" s="6787"/>
      <c r="MO276" s="6787"/>
      <c r="MP276" s="6787"/>
      <c r="MQ276" s="6787"/>
      <c r="MR276" s="6787"/>
      <c r="MS276" s="6787"/>
      <c r="MT276" s="6038"/>
      <c r="MU276" s="6039"/>
      <c r="MV276" s="7"/>
      <c r="MY276" s="6036"/>
      <c r="MZ276" s="6785"/>
      <c r="NA276" s="6785"/>
      <c r="NB276" s="6785"/>
      <c r="NC276" s="6785"/>
      <c r="ND276" s="6785"/>
      <c r="NE276" s="6785"/>
      <c r="NF276" s="6785"/>
      <c r="NG276" s="6785"/>
      <c r="NH276" s="6785"/>
      <c r="NI276" s="6785"/>
      <c r="NJ276" s="6785"/>
      <c r="NK276" s="6785"/>
      <c r="NL276" s="6785"/>
      <c r="NM276" s="6785"/>
      <c r="NN276" s="6785"/>
      <c r="NO276" s="6785"/>
      <c r="NP276" s="6785"/>
      <c r="NQ276" s="6785"/>
      <c r="NR276" s="6785"/>
      <c r="NS276" s="6785"/>
      <c r="NT276" s="6785"/>
      <c r="NU276" s="6785"/>
      <c r="NV276" s="6785"/>
      <c r="NW276" s="6785"/>
      <c r="NX276" s="6785"/>
      <c r="NY276" s="6785"/>
      <c r="OA276" s="6033"/>
      <c r="OB276" s="6033"/>
      <c r="OC276" s="6037"/>
      <c r="OD276" s="6787"/>
      <c r="OE276" s="6787"/>
      <c r="OF276" s="6787"/>
      <c r="OG276" s="6787"/>
      <c r="OH276" s="6787"/>
      <c r="OI276" s="6787"/>
      <c r="OJ276" s="6787"/>
      <c r="OK276" s="6787"/>
      <c r="OL276" s="6787"/>
      <c r="OM276" s="6038"/>
      <c r="ON276" s="6039"/>
      <c r="OO276" s="7"/>
    </row>
    <row r="277" spans="3:405" s="1466" customFormat="1" ht="6" customHeight="1" thickBot="1" x14ac:dyDescent="0.25">
      <c r="C277" s="6040"/>
      <c r="D277" s="6785"/>
      <c r="E277" s="6785"/>
      <c r="F277" s="6785"/>
      <c r="G277" s="6785"/>
      <c r="H277" s="6785"/>
      <c r="I277" s="6785"/>
      <c r="J277" s="6785"/>
      <c r="K277" s="6785"/>
      <c r="L277" s="6785"/>
      <c r="M277" s="6785"/>
      <c r="N277" s="6785"/>
      <c r="O277" s="6785"/>
      <c r="P277" s="6785"/>
      <c r="Q277" s="6785"/>
      <c r="R277" s="6785"/>
      <c r="S277" s="6785"/>
      <c r="T277" s="6785"/>
      <c r="U277" s="6785"/>
      <c r="V277" s="6785"/>
      <c r="W277" s="6785"/>
      <c r="X277" s="6785"/>
      <c r="Y277" s="6785"/>
      <c r="Z277" s="6785"/>
      <c r="AA277" s="6785"/>
      <c r="AB277" s="6785"/>
      <c r="AC277" s="6785"/>
      <c r="AE277" s="6033"/>
      <c r="AF277" s="6033"/>
      <c r="AG277" s="6041"/>
      <c r="AH277" s="6788"/>
      <c r="AI277" s="6788"/>
      <c r="AJ277" s="6788"/>
      <c r="AK277" s="6788"/>
      <c r="AL277" s="6788"/>
      <c r="AM277" s="6788"/>
      <c r="AN277" s="6788"/>
      <c r="AO277" s="6788"/>
      <c r="AP277" s="6788"/>
      <c r="AQ277" s="6042"/>
      <c r="AR277" s="6043"/>
      <c r="AV277" s="6040"/>
      <c r="AW277" s="6785"/>
      <c r="AX277" s="6785"/>
      <c r="AY277" s="6785"/>
      <c r="AZ277" s="6785"/>
      <c r="BA277" s="6785"/>
      <c r="BB277" s="6785"/>
      <c r="BC277" s="6785"/>
      <c r="BD277" s="6785"/>
      <c r="BE277" s="6785"/>
      <c r="BF277" s="6785"/>
      <c r="BG277" s="6785"/>
      <c r="BH277" s="6785"/>
      <c r="BI277" s="6785"/>
      <c r="BJ277" s="6785"/>
      <c r="BK277" s="6785"/>
      <c r="BL277" s="6785"/>
      <c r="BM277" s="6785"/>
      <c r="BN277" s="6785"/>
      <c r="BO277" s="6785"/>
      <c r="BP277" s="6785"/>
      <c r="BQ277" s="6785"/>
      <c r="BR277" s="6785"/>
      <c r="BS277" s="6785"/>
      <c r="BT277" s="6785"/>
      <c r="BU277" s="6785"/>
      <c r="BV277" s="6785"/>
      <c r="BX277" s="6033"/>
      <c r="BY277" s="6033"/>
      <c r="BZ277" s="6041"/>
      <c r="CA277" s="6788"/>
      <c r="CB277" s="6788"/>
      <c r="CC277" s="6788"/>
      <c r="CD277" s="6788"/>
      <c r="CE277" s="6788"/>
      <c r="CF277" s="6788"/>
      <c r="CG277" s="6788"/>
      <c r="CH277" s="6788"/>
      <c r="CI277" s="6788"/>
      <c r="CJ277" s="6042"/>
      <c r="CK277" s="6043"/>
      <c r="CO277" s="6040"/>
      <c r="CP277" s="6785"/>
      <c r="CQ277" s="6785"/>
      <c r="CR277" s="6785"/>
      <c r="CS277" s="6785"/>
      <c r="CT277" s="6785"/>
      <c r="CU277" s="6785"/>
      <c r="CV277" s="6785"/>
      <c r="CW277" s="6785"/>
      <c r="CX277" s="6785"/>
      <c r="CY277" s="6785"/>
      <c r="CZ277" s="6785"/>
      <c r="DA277" s="6785"/>
      <c r="DB277" s="6785"/>
      <c r="DC277" s="6785"/>
      <c r="DD277" s="6785"/>
      <c r="DE277" s="6785"/>
      <c r="DF277" s="6785"/>
      <c r="DG277" s="6785"/>
      <c r="DH277" s="6785"/>
      <c r="DI277" s="6785"/>
      <c r="DJ277" s="6785"/>
      <c r="DK277" s="6785"/>
      <c r="DL277" s="6785"/>
      <c r="DM277" s="6785"/>
      <c r="DN277" s="6785"/>
      <c r="DO277" s="6785"/>
      <c r="DQ277" s="6033"/>
      <c r="DR277" s="6033"/>
      <c r="DS277" s="6041"/>
      <c r="DT277" s="6788"/>
      <c r="DU277" s="6788"/>
      <c r="DV277" s="6788"/>
      <c r="DW277" s="6788"/>
      <c r="DX277" s="6788"/>
      <c r="DY277" s="6788"/>
      <c r="DZ277" s="6788"/>
      <c r="EA277" s="6788"/>
      <c r="EB277" s="6788"/>
      <c r="EC277" s="6042"/>
      <c r="ED277" s="6043"/>
      <c r="EH277" s="6040"/>
      <c r="EI277" s="6785"/>
      <c r="EJ277" s="6785"/>
      <c r="EK277" s="6785"/>
      <c r="EL277" s="6785"/>
      <c r="EM277" s="6785"/>
      <c r="EN277" s="6785"/>
      <c r="EO277" s="6785"/>
      <c r="EP277" s="6785"/>
      <c r="EQ277" s="6785"/>
      <c r="ER277" s="6785"/>
      <c r="ES277" s="6785"/>
      <c r="ET277" s="6785"/>
      <c r="EU277" s="6785"/>
      <c r="EV277" s="6785"/>
      <c r="EW277" s="6785"/>
      <c r="EX277" s="6785"/>
      <c r="EY277" s="6785"/>
      <c r="EZ277" s="6785"/>
      <c r="FA277" s="6785"/>
      <c r="FB277" s="6785"/>
      <c r="FC277" s="6785"/>
      <c r="FD277" s="6785"/>
      <c r="FE277" s="6785"/>
      <c r="FF277" s="6785"/>
      <c r="FG277" s="6785"/>
      <c r="FH277" s="6785"/>
      <c r="FJ277" s="6033"/>
      <c r="FK277" s="6033"/>
      <c r="FL277" s="6041"/>
      <c r="FM277" s="6788"/>
      <c r="FN277" s="6788"/>
      <c r="FO277" s="6788"/>
      <c r="FP277" s="6788"/>
      <c r="FQ277" s="6788"/>
      <c r="FR277" s="6788"/>
      <c r="FS277" s="6788"/>
      <c r="FT277" s="6788"/>
      <c r="FU277" s="6788"/>
      <c r="FV277" s="6042"/>
      <c r="FW277" s="6043"/>
      <c r="GA277" s="6040"/>
      <c r="GB277" s="6785"/>
      <c r="GC277" s="6785"/>
      <c r="GD277" s="6785"/>
      <c r="GE277" s="6785"/>
      <c r="GF277" s="6785"/>
      <c r="GG277" s="6785"/>
      <c r="GH277" s="6785"/>
      <c r="GI277" s="6785"/>
      <c r="GJ277" s="6785"/>
      <c r="GK277" s="6785"/>
      <c r="GL277" s="6785"/>
      <c r="GM277" s="6785"/>
      <c r="GN277" s="6785"/>
      <c r="GO277" s="6785"/>
      <c r="GP277" s="6785"/>
      <c r="GQ277" s="6785"/>
      <c r="GR277" s="6785"/>
      <c r="GS277" s="6785"/>
      <c r="GT277" s="6785"/>
      <c r="GU277" s="6785"/>
      <c r="GV277" s="6785"/>
      <c r="GW277" s="6785"/>
      <c r="GX277" s="6785"/>
      <c r="GY277" s="6785"/>
      <c r="GZ277" s="6785"/>
      <c r="HA277" s="6785"/>
      <c r="HC277" s="6033"/>
      <c r="HD277" s="6033"/>
      <c r="HE277" s="6041"/>
      <c r="HF277" s="6788"/>
      <c r="HG277" s="6788"/>
      <c r="HH277" s="6788"/>
      <c r="HI277" s="6788"/>
      <c r="HJ277" s="6788"/>
      <c r="HK277" s="6788"/>
      <c r="HL277" s="6788"/>
      <c r="HM277" s="6788"/>
      <c r="HN277" s="6788"/>
      <c r="HO277" s="6042"/>
      <c r="HP277" s="6043"/>
      <c r="HT277" s="6040"/>
      <c r="HU277" s="6785"/>
      <c r="HV277" s="6785"/>
      <c r="HW277" s="6785"/>
      <c r="HX277" s="6785"/>
      <c r="HY277" s="6785"/>
      <c r="HZ277" s="6785"/>
      <c r="IA277" s="6785"/>
      <c r="IB277" s="6785"/>
      <c r="IC277" s="6785"/>
      <c r="ID277" s="6785"/>
      <c r="IE277" s="6785"/>
      <c r="IF277" s="6785"/>
      <c r="IG277" s="6785"/>
      <c r="IH277" s="6785"/>
      <c r="II277" s="6785"/>
      <c r="IJ277" s="6785"/>
      <c r="IK277" s="6785"/>
      <c r="IL277" s="6785"/>
      <c r="IM277" s="6785"/>
      <c r="IN277" s="6785"/>
      <c r="IO277" s="6785"/>
      <c r="IP277" s="6785"/>
      <c r="IQ277" s="6785"/>
      <c r="IR277" s="6785"/>
      <c r="IS277" s="6785"/>
      <c r="IT277" s="6785"/>
      <c r="IV277" s="6033"/>
      <c r="IW277" s="6033"/>
      <c r="IX277" s="6041"/>
      <c r="IY277" s="6788"/>
      <c r="IZ277" s="6788"/>
      <c r="JA277" s="6788"/>
      <c r="JB277" s="6788"/>
      <c r="JC277" s="6788"/>
      <c r="JD277" s="6788"/>
      <c r="JE277" s="6788"/>
      <c r="JF277" s="6788"/>
      <c r="JG277" s="6788"/>
      <c r="JH277" s="6042"/>
      <c r="JI277" s="6043"/>
      <c r="JM277" s="6040"/>
      <c r="JN277" s="6785"/>
      <c r="JO277" s="6785"/>
      <c r="JP277" s="6785"/>
      <c r="JQ277" s="6785"/>
      <c r="JR277" s="6785"/>
      <c r="JS277" s="6785"/>
      <c r="JT277" s="6785"/>
      <c r="JU277" s="6785"/>
      <c r="JV277" s="6785"/>
      <c r="JW277" s="6785"/>
      <c r="JX277" s="6785"/>
      <c r="JY277" s="6785"/>
      <c r="JZ277" s="6785"/>
      <c r="KA277" s="6785"/>
      <c r="KB277" s="6785"/>
      <c r="KC277" s="6785"/>
      <c r="KD277" s="6785"/>
      <c r="KE277" s="6785"/>
      <c r="KF277" s="6785"/>
      <c r="KG277" s="6785"/>
      <c r="KH277" s="6785"/>
      <c r="KI277" s="6785"/>
      <c r="KJ277" s="6785"/>
      <c r="KK277" s="6785"/>
      <c r="KL277" s="6785"/>
      <c r="KM277" s="6785"/>
      <c r="KO277" s="6033"/>
      <c r="KP277" s="6033"/>
      <c r="KQ277" s="6041"/>
      <c r="KR277" s="6788"/>
      <c r="KS277" s="6788"/>
      <c r="KT277" s="6788"/>
      <c r="KU277" s="6788"/>
      <c r="KV277" s="6788"/>
      <c r="KW277" s="6788"/>
      <c r="KX277" s="6788"/>
      <c r="KY277" s="6788"/>
      <c r="KZ277" s="6788"/>
      <c r="LA277" s="6042"/>
      <c r="LB277" s="6043"/>
      <c r="LF277" s="6040"/>
      <c r="LG277" s="6785"/>
      <c r="LH277" s="6785"/>
      <c r="LI277" s="6785"/>
      <c r="LJ277" s="6785"/>
      <c r="LK277" s="6785"/>
      <c r="LL277" s="6785"/>
      <c r="LM277" s="6785"/>
      <c r="LN277" s="6785"/>
      <c r="LO277" s="6785"/>
      <c r="LP277" s="6785"/>
      <c r="LQ277" s="6785"/>
      <c r="LR277" s="6785"/>
      <c r="LS277" s="6785"/>
      <c r="LT277" s="6785"/>
      <c r="LU277" s="6785"/>
      <c r="LV277" s="6785"/>
      <c r="LW277" s="6785"/>
      <c r="LX277" s="6785"/>
      <c r="LY277" s="6785"/>
      <c r="LZ277" s="6785"/>
      <c r="MA277" s="6785"/>
      <c r="MB277" s="6785"/>
      <c r="MC277" s="6785"/>
      <c r="MD277" s="6785"/>
      <c r="ME277" s="6785"/>
      <c r="MF277" s="6785"/>
      <c r="MH277" s="6033"/>
      <c r="MI277" s="6033"/>
      <c r="MJ277" s="6041"/>
      <c r="MK277" s="6788"/>
      <c r="ML277" s="6788"/>
      <c r="MM277" s="6788"/>
      <c r="MN277" s="6788"/>
      <c r="MO277" s="6788"/>
      <c r="MP277" s="6788"/>
      <c r="MQ277" s="6788"/>
      <c r="MR277" s="6788"/>
      <c r="MS277" s="6788"/>
      <c r="MT277" s="6042"/>
      <c r="MU277" s="6043"/>
      <c r="MY277" s="6040"/>
      <c r="MZ277" s="6785"/>
      <c r="NA277" s="6785"/>
      <c r="NB277" s="6785"/>
      <c r="NC277" s="6785"/>
      <c r="ND277" s="6785"/>
      <c r="NE277" s="6785"/>
      <c r="NF277" s="6785"/>
      <c r="NG277" s="6785"/>
      <c r="NH277" s="6785"/>
      <c r="NI277" s="6785"/>
      <c r="NJ277" s="6785"/>
      <c r="NK277" s="6785"/>
      <c r="NL277" s="6785"/>
      <c r="NM277" s="6785"/>
      <c r="NN277" s="6785"/>
      <c r="NO277" s="6785"/>
      <c r="NP277" s="6785"/>
      <c r="NQ277" s="6785"/>
      <c r="NR277" s="6785"/>
      <c r="NS277" s="6785"/>
      <c r="NT277" s="6785"/>
      <c r="NU277" s="6785"/>
      <c r="NV277" s="6785"/>
      <c r="NW277" s="6785"/>
      <c r="NX277" s="6785"/>
      <c r="NY277" s="6785"/>
      <c r="OA277" s="6033"/>
      <c r="OB277" s="6033"/>
      <c r="OC277" s="6041"/>
      <c r="OD277" s="6788"/>
      <c r="OE277" s="6788"/>
      <c r="OF277" s="6788"/>
      <c r="OG277" s="6788"/>
      <c r="OH277" s="6788"/>
      <c r="OI277" s="6788"/>
      <c r="OJ277" s="6788"/>
      <c r="OK277" s="6788"/>
      <c r="OL277" s="6788"/>
      <c r="OM277" s="6042"/>
      <c r="ON277" s="6043"/>
    </row>
    <row r="278" spans="3:405" s="1466" customFormat="1" ht="9.9499999999999993" customHeight="1" thickBot="1" x14ac:dyDescent="0.25">
      <c r="C278" s="6044"/>
      <c r="D278" s="6045"/>
      <c r="E278" s="6045"/>
      <c r="F278" s="6045"/>
      <c r="G278" s="6045"/>
      <c r="H278" s="6045"/>
      <c r="I278" s="6045"/>
      <c r="J278" s="6045"/>
      <c r="K278" s="6045"/>
      <c r="L278" s="6045"/>
      <c r="M278" s="6045"/>
      <c r="N278" s="6045"/>
      <c r="O278" s="6045"/>
      <c r="P278" s="6045"/>
      <c r="Q278" s="6045"/>
      <c r="R278" s="6045"/>
      <c r="S278" s="6045"/>
      <c r="T278" s="6045"/>
      <c r="U278" s="6045"/>
      <c r="V278" s="6045"/>
      <c r="W278" s="6046"/>
      <c r="X278" s="6046"/>
      <c r="Y278" s="6046"/>
      <c r="Z278" s="6046"/>
      <c r="AA278" s="6046"/>
      <c r="AB278" s="6046"/>
      <c r="AC278" s="6046"/>
      <c r="AD278" s="6046"/>
      <c r="AE278" s="6047"/>
      <c r="AF278" s="6047"/>
      <c r="AG278" s="6047"/>
      <c r="AH278" s="6047"/>
      <c r="AI278" s="6047"/>
      <c r="AJ278" s="6047"/>
      <c r="AK278" s="6047"/>
      <c r="AL278" s="6047"/>
      <c r="AM278" s="6047"/>
      <c r="AN278" s="6047"/>
      <c r="AO278" s="6047"/>
      <c r="AP278" s="6047"/>
      <c r="AQ278" s="6046"/>
      <c r="AR278" s="6048"/>
      <c r="AV278" s="6044"/>
      <c r="AW278" s="6045"/>
      <c r="AX278" s="6045"/>
      <c r="AY278" s="6045"/>
      <c r="AZ278" s="6045"/>
      <c r="BA278" s="6045"/>
      <c r="BB278" s="6045"/>
      <c r="BC278" s="6045"/>
      <c r="BD278" s="6045"/>
      <c r="BE278" s="6045"/>
      <c r="BF278" s="6045"/>
      <c r="BG278" s="6045"/>
      <c r="BH278" s="6045"/>
      <c r="BI278" s="6045"/>
      <c r="BJ278" s="6045"/>
      <c r="BK278" s="6045"/>
      <c r="BL278" s="6045"/>
      <c r="BM278" s="6045"/>
      <c r="BN278" s="6045"/>
      <c r="BO278" s="6045"/>
      <c r="BP278" s="6046"/>
      <c r="BQ278" s="6046"/>
      <c r="BR278" s="6046"/>
      <c r="BS278" s="6046"/>
      <c r="BT278" s="6046"/>
      <c r="BU278" s="6046"/>
      <c r="BV278" s="6046"/>
      <c r="BW278" s="6046"/>
      <c r="BX278" s="6047"/>
      <c r="BY278" s="6047"/>
      <c r="BZ278" s="6047"/>
      <c r="CA278" s="6047"/>
      <c r="CB278" s="6047"/>
      <c r="CC278" s="6047"/>
      <c r="CD278" s="6047"/>
      <c r="CE278" s="6047"/>
      <c r="CF278" s="6047"/>
      <c r="CG278" s="6047"/>
      <c r="CH278" s="6047"/>
      <c r="CI278" s="6047"/>
      <c r="CJ278" s="6046"/>
      <c r="CK278" s="6048"/>
      <c r="CO278" s="6044"/>
      <c r="CP278" s="6045"/>
      <c r="CQ278" s="6045"/>
      <c r="CR278" s="6045"/>
      <c r="CS278" s="6045"/>
      <c r="CT278" s="6045"/>
      <c r="CU278" s="6045"/>
      <c r="CV278" s="6045"/>
      <c r="CW278" s="6045"/>
      <c r="CX278" s="6045"/>
      <c r="CY278" s="6045"/>
      <c r="CZ278" s="6045"/>
      <c r="DA278" s="6045"/>
      <c r="DB278" s="6045"/>
      <c r="DC278" s="6045"/>
      <c r="DD278" s="6045"/>
      <c r="DE278" s="6045"/>
      <c r="DF278" s="6045"/>
      <c r="DG278" s="6045"/>
      <c r="DH278" s="6045"/>
      <c r="DI278" s="6046"/>
      <c r="DJ278" s="6046"/>
      <c r="DK278" s="6046"/>
      <c r="DL278" s="6046"/>
      <c r="DM278" s="6046"/>
      <c r="DN278" s="6046"/>
      <c r="DO278" s="6046"/>
      <c r="DP278" s="6046"/>
      <c r="DQ278" s="6047"/>
      <c r="DR278" s="6047"/>
      <c r="DS278" s="6047"/>
      <c r="DT278" s="6047"/>
      <c r="DU278" s="6047"/>
      <c r="DV278" s="6047"/>
      <c r="DW278" s="6047"/>
      <c r="DX278" s="6047"/>
      <c r="DY278" s="6047"/>
      <c r="DZ278" s="6047"/>
      <c r="EA278" s="6047"/>
      <c r="EB278" s="6047"/>
      <c r="EC278" s="6046"/>
      <c r="ED278" s="6048"/>
      <c r="EH278" s="6044"/>
      <c r="EI278" s="6045"/>
      <c r="EJ278" s="6045"/>
      <c r="EK278" s="6045"/>
      <c r="EL278" s="6045"/>
      <c r="EM278" s="6045"/>
      <c r="EN278" s="6045"/>
      <c r="EO278" s="6045"/>
      <c r="EP278" s="6045"/>
      <c r="EQ278" s="6045"/>
      <c r="ER278" s="6045"/>
      <c r="ES278" s="6045"/>
      <c r="ET278" s="6045"/>
      <c r="EU278" s="6045"/>
      <c r="EV278" s="6045"/>
      <c r="EW278" s="6045"/>
      <c r="EX278" s="6045"/>
      <c r="EY278" s="6045"/>
      <c r="EZ278" s="6045"/>
      <c r="FA278" s="6045"/>
      <c r="FB278" s="6046"/>
      <c r="FC278" s="6046"/>
      <c r="FD278" s="6046"/>
      <c r="FE278" s="6046"/>
      <c r="FF278" s="6046"/>
      <c r="FG278" s="6046"/>
      <c r="FH278" s="6046"/>
      <c r="FI278" s="6046"/>
      <c r="FJ278" s="6047"/>
      <c r="FK278" s="6047"/>
      <c r="FL278" s="6047"/>
      <c r="FM278" s="6047"/>
      <c r="FN278" s="6047"/>
      <c r="FO278" s="6047"/>
      <c r="FP278" s="6047"/>
      <c r="FQ278" s="6047"/>
      <c r="FR278" s="6047"/>
      <c r="FS278" s="6047"/>
      <c r="FT278" s="6047"/>
      <c r="FU278" s="6047"/>
      <c r="FV278" s="6046"/>
      <c r="FW278" s="6048"/>
      <c r="GA278" s="6044"/>
      <c r="GB278" s="6045"/>
      <c r="GC278" s="6045"/>
      <c r="GD278" s="6045"/>
      <c r="GE278" s="6045"/>
      <c r="GF278" s="6045"/>
      <c r="GG278" s="6045"/>
      <c r="GH278" s="6045"/>
      <c r="GI278" s="6045"/>
      <c r="GJ278" s="6045"/>
      <c r="GK278" s="6045"/>
      <c r="GL278" s="6045"/>
      <c r="GM278" s="6045"/>
      <c r="GN278" s="6045"/>
      <c r="GO278" s="6045"/>
      <c r="GP278" s="6045"/>
      <c r="GQ278" s="6045"/>
      <c r="GR278" s="6045"/>
      <c r="GS278" s="6045"/>
      <c r="GT278" s="6045"/>
      <c r="GU278" s="6046"/>
      <c r="GV278" s="6046"/>
      <c r="GW278" s="6046"/>
      <c r="GX278" s="6046"/>
      <c r="GY278" s="6046"/>
      <c r="GZ278" s="6046"/>
      <c r="HA278" s="6046"/>
      <c r="HB278" s="6046"/>
      <c r="HC278" s="6047"/>
      <c r="HD278" s="6047"/>
      <c r="HE278" s="6047"/>
      <c r="HF278" s="6047"/>
      <c r="HG278" s="6047"/>
      <c r="HH278" s="6047"/>
      <c r="HI278" s="6047"/>
      <c r="HJ278" s="6047"/>
      <c r="HK278" s="6047"/>
      <c r="HL278" s="6047"/>
      <c r="HM278" s="6047"/>
      <c r="HN278" s="6047"/>
      <c r="HO278" s="6046"/>
      <c r="HP278" s="6048"/>
      <c r="HT278" s="6044"/>
      <c r="HU278" s="6045"/>
      <c r="HV278" s="6045"/>
      <c r="HW278" s="6045"/>
      <c r="HX278" s="6045"/>
      <c r="HY278" s="6045"/>
      <c r="HZ278" s="6045"/>
      <c r="IA278" s="6045"/>
      <c r="IB278" s="6045"/>
      <c r="IC278" s="6045"/>
      <c r="ID278" s="6045"/>
      <c r="IE278" s="6045"/>
      <c r="IF278" s="6045"/>
      <c r="IG278" s="6045"/>
      <c r="IH278" s="6045"/>
      <c r="II278" s="6045"/>
      <c r="IJ278" s="6045"/>
      <c r="IK278" s="6045"/>
      <c r="IL278" s="6045"/>
      <c r="IM278" s="6045"/>
      <c r="IN278" s="6046"/>
      <c r="IO278" s="6046"/>
      <c r="IP278" s="6046"/>
      <c r="IQ278" s="6046"/>
      <c r="IR278" s="6046"/>
      <c r="IS278" s="6046"/>
      <c r="IT278" s="6046"/>
      <c r="IU278" s="6046"/>
      <c r="IV278" s="6047"/>
      <c r="IW278" s="6047"/>
      <c r="IX278" s="6047"/>
      <c r="IY278" s="6047"/>
      <c r="IZ278" s="6047"/>
      <c r="JA278" s="6047"/>
      <c r="JB278" s="6047"/>
      <c r="JC278" s="6047"/>
      <c r="JD278" s="6047"/>
      <c r="JE278" s="6047"/>
      <c r="JF278" s="6047"/>
      <c r="JG278" s="6047"/>
      <c r="JH278" s="6046"/>
      <c r="JI278" s="6048"/>
      <c r="JM278" s="6044"/>
      <c r="JN278" s="6045"/>
      <c r="JO278" s="6045"/>
      <c r="JP278" s="6045"/>
      <c r="JQ278" s="6045"/>
      <c r="JR278" s="6045"/>
      <c r="JS278" s="6045"/>
      <c r="JT278" s="6045"/>
      <c r="JU278" s="6045"/>
      <c r="JV278" s="6045"/>
      <c r="JW278" s="6045"/>
      <c r="JX278" s="6045"/>
      <c r="JY278" s="6045"/>
      <c r="JZ278" s="6045"/>
      <c r="KA278" s="6045"/>
      <c r="KB278" s="6045"/>
      <c r="KC278" s="6045"/>
      <c r="KD278" s="6045"/>
      <c r="KE278" s="6045"/>
      <c r="KF278" s="6045"/>
      <c r="KG278" s="6046"/>
      <c r="KH278" s="6046"/>
      <c r="KI278" s="6046"/>
      <c r="KJ278" s="6046"/>
      <c r="KK278" s="6046"/>
      <c r="KL278" s="6046"/>
      <c r="KM278" s="6046"/>
      <c r="KN278" s="6046"/>
      <c r="KO278" s="6047"/>
      <c r="KP278" s="6047"/>
      <c r="KQ278" s="6047"/>
      <c r="KR278" s="6047"/>
      <c r="KS278" s="6047"/>
      <c r="KT278" s="6047"/>
      <c r="KU278" s="6047"/>
      <c r="KV278" s="6047"/>
      <c r="KW278" s="6047"/>
      <c r="KX278" s="6047"/>
      <c r="KY278" s="6047"/>
      <c r="KZ278" s="6047"/>
      <c r="LA278" s="6046"/>
      <c r="LB278" s="6048"/>
      <c r="LF278" s="6044"/>
      <c r="LG278" s="6045"/>
      <c r="LH278" s="6045"/>
      <c r="LI278" s="6045"/>
      <c r="LJ278" s="6045"/>
      <c r="LK278" s="6045"/>
      <c r="LL278" s="6045"/>
      <c r="LM278" s="6045"/>
      <c r="LN278" s="6045"/>
      <c r="LO278" s="6045"/>
      <c r="LP278" s="6045"/>
      <c r="LQ278" s="6045"/>
      <c r="LR278" s="6045"/>
      <c r="LS278" s="6045"/>
      <c r="LT278" s="6045"/>
      <c r="LU278" s="6045"/>
      <c r="LV278" s="6045"/>
      <c r="LW278" s="6045"/>
      <c r="LX278" s="6045"/>
      <c r="LY278" s="6045"/>
      <c r="LZ278" s="6046"/>
      <c r="MA278" s="6046"/>
      <c r="MB278" s="6046"/>
      <c r="MC278" s="6046"/>
      <c r="MD278" s="6046"/>
      <c r="ME278" s="6046"/>
      <c r="MF278" s="6046"/>
      <c r="MG278" s="6046"/>
      <c r="MH278" s="6047"/>
      <c r="MI278" s="6047"/>
      <c r="MJ278" s="6047"/>
      <c r="MK278" s="6047"/>
      <c r="ML278" s="6047"/>
      <c r="MM278" s="6047"/>
      <c r="MN278" s="6047"/>
      <c r="MO278" s="6047"/>
      <c r="MP278" s="6047"/>
      <c r="MQ278" s="6047"/>
      <c r="MR278" s="6047"/>
      <c r="MS278" s="6047"/>
      <c r="MT278" s="6046"/>
      <c r="MU278" s="6048"/>
      <c r="MY278" s="6044"/>
      <c r="MZ278" s="6045"/>
      <c r="NA278" s="6045"/>
      <c r="NB278" s="6045"/>
      <c r="NC278" s="6045"/>
      <c r="ND278" s="6045"/>
      <c r="NE278" s="6045"/>
      <c r="NF278" s="6045"/>
      <c r="NG278" s="6045"/>
      <c r="NH278" s="6045"/>
      <c r="NI278" s="6045"/>
      <c r="NJ278" s="6045"/>
      <c r="NK278" s="6045"/>
      <c r="NL278" s="6045"/>
      <c r="NM278" s="6045"/>
      <c r="NN278" s="6045"/>
      <c r="NO278" s="6045"/>
      <c r="NP278" s="6045"/>
      <c r="NQ278" s="6045"/>
      <c r="NR278" s="6045"/>
      <c r="NS278" s="6046"/>
      <c r="NT278" s="6046"/>
      <c r="NU278" s="6046"/>
      <c r="NV278" s="6046"/>
      <c r="NW278" s="6046"/>
      <c r="NX278" s="6046"/>
      <c r="NY278" s="6046"/>
      <c r="NZ278" s="6046"/>
      <c r="OA278" s="6047"/>
      <c r="OB278" s="6047"/>
      <c r="OC278" s="6047"/>
      <c r="OD278" s="6047"/>
      <c r="OE278" s="6047"/>
      <c r="OF278" s="6047"/>
      <c r="OG278" s="6047"/>
      <c r="OH278" s="6047"/>
      <c r="OI278" s="6047"/>
      <c r="OJ278" s="6047"/>
      <c r="OK278" s="6047"/>
      <c r="OL278" s="6047"/>
      <c r="OM278" s="6046"/>
      <c r="ON278" s="6048"/>
    </row>
    <row r="279" spans="3:405" ht="9.9499999999999993" customHeight="1" thickBot="1" x14ac:dyDescent="0.25">
      <c r="D279" s="6091"/>
      <c r="AW279" s="6091"/>
      <c r="CP279" s="6091"/>
      <c r="EI279" s="6091"/>
      <c r="GB279" s="6091"/>
      <c r="HU279" s="6091"/>
      <c r="JN279" s="6091"/>
      <c r="LG279" s="6091"/>
      <c r="MZ279" s="6091"/>
    </row>
    <row r="280" spans="3:405" ht="15" customHeight="1" x14ac:dyDescent="0.2">
      <c r="C280" s="6049"/>
      <c r="D280" s="6050"/>
      <c r="E280" s="6050"/>
      <c r="F280" s="6050"/>
      <c r="G280" s="6050"/>
      <c r="H280" s="6050"/>
      <c r="I280" s="6050"/>
      <c r="J280" s="6050"/>
      <c r="K280" s="6050"/>
      <c r="L280" s="6050"/>
      <c r="M280" s="6050"/>
      <c r="N280" s="6050"/>
      <c r="O280" s="6050"/>
      <c r="P280" s="6050"/>
      <c r="Q280" s="6050"/>
      <c r="R280" s="6050"/>
      <c r="S280" s="6050"/>
      <c r="T280" s="6050"/>
      <c r="U280" s="6050"/>
      <c r="V280" s="6050"/>
      <c r="W280" s="6050"/>
      <c r="X280" s="6050"/>
      <c r="Y280" s="6050"/>
      <c r="Z280" s="6050"/>
      <c r="AA280" s="6050"/>
      <c r="AB280" s="6050"/>
      <c r="AC280" s="6050"/>
      <c r="AD280" s="6050"/>
      <c r="AE280" s="6050"/>
      <c r="AF280" s="6050"/>
      <c r="AG280" s="6050"/>
      <c r="AH280" s="6050"/>
      <c r="AI280" s="6050"/>
      <c r="AJ280" s="6050"/>
      <c r="AK280" s="6050"/>
      <c r="AL280" s="6050"/>
      <c r="AM280" s="6050"/>
      <c r="AN280" s="6050"/>
      <c r="AO280" s="6050"/>
      <c r="AP280" s="6050"/>
      <c r="AQ280" s="6050"/>
      <c r="AR280" s="6052"/>
      <c r="AV280" s="6049"/>
      <c r="AW280" s="6050"/>
      <c r="AX280" s="6050"/>
      <c r="AY280" s="6050"/>
      <c r="AZ280" s="6050"/>
      <c r="BA280" s="6050"/>
      <c r="BB280" s="6050"/>
      <c r="BC280" s="6050"/>
      <c r="BD280" s="6050"/>
      <c r="BE280" s="6050"/>
      <c r="BF280" s="6050"/>
      <c r="BG280" s="6050"/>
      <c r="BH280" s="6050"/>
      <c r="BI280" s="6050"/>
      <c r="BJ280" s="6050"/>
      <c r="BK280" s="6050"/>
      <c r="BL280" s="6050"/>
      <c r="BM280" s="6050"/>
      <c r="BN280" s="6050"/>
      <c r="BO280" s="6050"/>
      <c r="BP280" s="6050"/>
      <c r="BQ280" s="6050"/>
      <c r="BR280" s="6050"/>
      <c r="BS280" s="6050"/>
      <c r="BT280" s="6050"/>
      <c r="BU280" s="6050"/>
      <c r="BV280" s="6050"/>
      <c r="BW280" s="6050"/>
      <c r="BX280" s="6050"/>
      <c r="BY280" s="6050"/>
      <c r="BZ280" s="6050"/>
      <c r="CA280" s="6050"/>
      <c r="CB280" s="6050"/>
      <c r="CC280" s="6050"/>
      <c r="CD280" s="6050"/>
      <c r="CE280" s="6050"/>
      <c r="CF280" s="6050"/>
      <c r="CG280" s="6050"/>
      <c r="CH280" s="6050"/>
      <c r="CI280" s="6050"/>
      <c r="CJ280" s="6050"/>
      <c r="CK280" s="6052"/>
      <c r="CO280" s="6049"/>
      <c r="CP280" s="6050"/>
      <c r="CQ280" s="6050"/>
      <c r="CR280" s="6050"/>
      <c r="CS280" s="6050"/>
      <c r="CT280" s="6050"/>
      <c r="CU280" s="6050"/>
      <c r="CV280" s="6050"/>
      <c r="CW280" s="6050"/>
      <c r="CX280" s="6050"/>
      <c r="CY280" s="6050"/>
      <c r="CZ280" s="6050"/>
      <c r="DA280" s="6050"/>
      <c r="DB280" s="6050"/>
      <c r="DC280" s="6050"/>
      <c r="DD280" s="6050"/>
      <c r="DE280" s="6050"/>
      <c r="DF280" s="6050"/>
      <c r="DG280" s="6050"/>
      <c r="DH280" s="6050"/>
      <c r="DI280" s="6050"/>
      <c r="DJ280" s="6050"/>
      <c r="DK280" s="6050"/>
      <c r="DL280" s="6050"/>
      <c r="DM280" s="6050"/>
      <c r="DN280" s="6050"/>
      <c r="DO280" s="6050"/>
      <c r="DP280" s="6050"/>
      <c r="DQ280" s="6050"/>
      <c r="DR280" s="6050"/>
      <c r="DS280" s="6050"/>
      <c r="DT280" s="6050"/>
      <c r="DU280" s="6050"/>
      <c r="DV280" s="6050"/>
      <c r="DW280" s="6050"/>
      <c r="DX280" s="6050"/>
      <c r="DY280" s="6050"/>
      <c r="DZ280" s="6050"/>
      <c r="EA280" s="6050"/>
      <c r="EB280" s="6050"/>
      <c r="EC280" s="6050"/>
      <c r="ED280" s="6052"/>
      <c r="EH280" s="6049"/>
      <c r="EI280" s="6050"/>
      <c r="EJ280" s="6050"/>
      <c r="EK280" s="6050"/>
      <c r="EL280" s="6050"/>
      <c r="EM280" s="6050"/>
      <c r="EN280" s="6050"/>
      <c r="EO280" s="6050"/>
      <c r="EP280" s="6050"/>
      <c r="EQ280" s="6050"/>
      <c r="ER280" s="6050"/>
      <c r="ES280" s="6050"/>
      <c r="ET280" s="6050"/>
      <c r="EU280" s="6050"/>
      <c r="EV280" s="6050"/>
      <c r="EW280" s="6050"/>
      <c r="EX280" s="6050"/>
      <c r="EY280" s="6050"/>
      <c r="EZ280" s="6050"/>
      <c r="FA280" s="6050"/>
      <c r="FB280" s="6050"/>
      <c r="FC280" s="6050"/>
      <c r="FD280" s="6050"/>
      <c r="FE280" s="6050"/>
      <c r="FF280" s="6050"/>
      <c r="FG280" s="6050"/>
      <c r="FH280" s="6050"/>
      <c r="FI280" s="6050"/>
      <c r="FJ280" s="6050"/>
      <c r="FK280" s="6050"/>
      <c r="FL280" s="6050"/>
      <c r="FM280" s="6050"/>
      <c r="FN280" s="6050"/>
      <c r="FO280" s="6050"/>
      <c r="FP280" s="6050"/>
      <c r="FQ280" s="6050"/>
      <c r="FR280" s="6050"/>
      <c r="FS280" s="6050"/>
      <c r="FT280" s="6050"/>
      <c r="FU280" s="6050"/>
      <c r="FV280" s="6050"/>
      <c r="FW280" s="6052"/>
      <c r="GA280" s="6049"/>
      <c r="GB280" s="6050"/>
      <c r="GC280" s="6050"/>
      <c r="GD280" s="6050"/>
      <c r="GE280" s="6050"/>
      <c r="GF280" s="6050"/>
      <c r="GG280" s="6050"/>
      <c r="GH280" s="6050"/>
      <c r="GI280" s="6050"/>
      <c r="GJ280" s="6050"/>
      <c r="GK280" s="6050"/>
      <c r="GL280" s="6050"/>
      <c r="GM280" s="6050"/>
      <c r="GN280" s="6050"/>
      <c r="GO280" s="6050"/>
      <c r="GP280" s="6050"/>
      <c r="GQ280" s="6050"/>
      <c r="GR280" s="6050"/>
      <c r="GS280" s="6050"/>
      <c r="GT280" s="6050"/>
      <c r="GU280" s="6050"/>
      <c r="GV280" s="6050"/>
      <c r="GW280" s="6050"/>
      <c r="GX280" s="6050"/>
      <c r="GY280" s="6050"/>
      <c r="GZ280" s="6050"/>
      <c r="HA280" s="6050"/>
      <c r="HB280" s="6050"/>
      <c r="HC280" s="6050"/>
      <c r="HD280" s="6050"/>
      <c r="HE280" s="6050"/>
      <c r="HF280" s="6050"/>
      <c r="HG280" s="6050"/>
      <c r="HH280" s="6050"/>
      <c r="HI280" s="6050"/>
      <c r="HJ280" s="6050"/>
      <c r="HK280" s="6050"/>
      <c r="HL280" s="6050"/>
      <c r="HM280" s="6050"/>
      <c r="HN280" s="6050"/>
      <c r="HO280" s="6050"/>
      <c r="HP280" s="6052"/>
      <c r="HT280" s="6049"/>
      <c r="HU280" s="6050"/>
      <c r="HV280" s="6050"/>
      <c r="HW280" s="6050"/>
      <c r="HX280" s="6050"/>
      <c r="HY280" s="6050"/>
      <c r="HZ280" s="6050"/>
      <c r="IA280" s="6050"/>
      <c r="IB280" s="6050"/>
      <c r="IC280" s="6050"/>
      <c r="ID280" s="6050"/>
      <c r="IE280" s="6050"/>
      <c r="IF280" s="6050"/>
      <c r="IG280" s="6050"/>
      <c r="IH280" s="6050"/>
      <c r="II280" s="6050"/>
      <c r="IJ280" s="6050"/>
      <c r="IK280" s="6050"/>
      <c r="IL280" s="6050"/>
      <c r="IM280" s="6050"/>
      <c r="IN280" s="6050"/>
      <c r="IO280" s="6050"/>
      <c r="IP280" s="6050"/>
      <c r="IQ280" s="6050"/>
      <c r="IR280" s="6050"/>
      <c r="IS280" s="6050"/>
      <c r="IT280" s="6050"/>
      <c r="IU280" s="6050"/>
      <c r="IV280" s="6050"/>
      <c r="IW280" s="6050"/>
      <c r="IX280" s="6050"/>
      <c r="IY280" s="6050"/>
      <c r="IZ280" s="6050"/>
      <c r="JA280" s="6050"/>
      <c r="JB280" s="6050"/>
      <c r="JC280" s="6050"/>
      <c r="JD280" s="6050"/>
      <c r="JE280" s="6050"/>
      <c r="JF280" s="6050"/>
      <c r="JG280" s="6050"/>
      <c r="JH280" s="6050"/>
      <c r="JI280" s="6052"/>
      <c r="JM280" s="6049"/>
      <c r="JN280" s="6050"/>
      <c r="JO280" s="6050"/>
      <c r="JP280" s="6050"/>
      <c r="JQ280" s="6050"/>
      <c r="JR280" s="6050"/>
      <c r="JS280" s="6050"/>
      <c r="JT280" s="6050"/>
      <c r="JU280" s="6050"/>
      <c r="JV280" s="6050"/>
      <c r="JW280" s="6050"/>
      <c r="JX280" s="6050"/>
      <c r="JY280" s="6050"/>
      <c r="JZ280" s="6050"/>
      <c r="KA280" s="6050"/>
      <c r="KB280" s="6050"/>
      <c r="KC280" s="6050"/>
      <c r="KD280" s="6050"/>
      <c r="KE280" s="6050"/>
      <c r="KF280" s="6050"/>
      <c r="KG280" s="6050"/>
      <c r="KH280" s="6050"/>
      <c r="KI280" s="6050"/>
      <c r="KJ280" s="6050"/>
      <c r="KK280" s="6050"/>
      <c r="KL280" s="6050"/>
      <c r="KM280" s="6050"/>
      <c r="KN280" s="6050"/>
      <c r="KO280" s="6050"/>
      <c r="KP280" s="6050"/>
      <c r="KQ280" s="6050"/>
      <c r="KR280" s="6050"/>
      <c r="KS280" s="6050"/>
      <c r="KT280" s="6050"/>
      <c r="KU280" s="6050"/>
      <c r="KV280" s="6050"/>
      <c r="KW280" s="6050"/>
      <c r="KX280" s="6050"/>
      <c r="KY280" s="6050"/>
      <c r="KZ280" s="6050"/>
      <c r="LA280" s="6050"/>
      <c r="LB280" s="6052"/>
      <c r="LF280" s="6049"/>
      <c r="LG280" s="6050"/>
      <c r="LH280" s="6050"/>
      <c r="LI280" s="6050"/>
      <c r="LJ280" s="6050"/>
      <c r="LK280" s="6050"/>
      <c r="LL280" s="6050"/>
      <c r="LM280" s="6050"/>
      <c r="LN280" s="6050"/>
      <c r="LO280" s="6050"/>
      <c r="LP280" s="6050"/>
      <c r="LQ280" s="6050"/>
      <c r="LR280" s="6050"/>
      <c r="LS280" s="6050"/>
      <c r="LT280" s="6050"/>
      <c r="LU280" s="6050"/>
      <c r="LV280" s="6050"/>
      <c r="LW280" s="6050"/>
      <c r="LX280" s="6050"/>
      <c r="LY280" s="6050"/>
      <c r="LZ280" s="6050"/>
      <c r="MA280" s="6050"/>
      <c r="MB280" s="6050"/>
      <c r="MC280" s="6050"/>
      <c r="MD280" s="6050"/>
      <c r="ME280" s="6050"/>
      <c r="MF280" s="6050"/>
      <c r="MG280" s="6050"/>
      <c r="MH280" s="6050"/>
      <c r="MI280" s="6050"/>
      <c r="MJ280" s="6050"/>
      <c r="MK280" s="6050"/>
      <c r="ML280" s="6050"/>
      <c r="MM280" s="6050"/>
      <c r="MN280" s="6050"/>
      <c r="MO280" s="6050"/>
      <c r="MP280" s="6050"/>
      <c r="MQ280" s="6050"/>
      <c r="MR280" s="6050"/>
      <c r="MS280" s="6050"/>
      <c r="MT280" s="6050"/>
      <c r="MU280" s="6052"/>
      <c r="MY280" s="6049"/>
      <c r="MZ280" s="6050"/>
      <c r="NA280" s="6050"/>
      <c r="NB280" s="6050"/>
      <c r="NC280" s="6050"/>
      <c r="ND280" s="6050"/>
      <c r="NE280" s="6050"/>
      <c r="NF280" s="6050"/>
      <c r="NG280" s="6050"/>
      <c r="NH280" s="6050"/>
      <c r="NI280" s="6050"/>
      <c r="NJ280" s="6050"/>
      <c r="NK280" s="6050"/>
      <c r="NL280" s="6050"/>
      <c r="NM280" s="6050"/>
      <c r="NN280" s="6050"/>
      <c r="NO280" s="6050"/>
      <c r="NP280" s="6050"/>
      <c r="NQ280" s="6050"/>
      <c r="NR280" s="6050"/>
      <c r="NS280" s="6050"/>
      <c r="NT280" s="6050"/>
      <c r="NU280" s="6050"/>
      <c r="NV280" s="6050"/>
      <c r="NW280" s="6050"/>
      <c r="NX280" s="6050"/>
      <c r="NY280" s="6050"/>
      <c r="NZ280" s="6050"/>
      <c r="OA280" s="6050"/>
      <c r="OB280" s="6050"/>
      <c r="OC280" s="6050"/>
      <c r="OD280" s="6050"/>
      <c r="OE280" s="6050"/>
      <c r="OF280" s="6050"/>
      <c r="OG280" s="6050"/>
      <c r="OH280" s="6050"/>
      <c r="OI280" s="6050"/>
      <c r="OJ280" s="6050"/>
      <c r="OK280" s="6050"/>
      <c r="OL280" s="6050"/>
      <c r="OM280" s="6050"/>
      <c r="ON280" s="6052"/>
    </row>
    <row r="281" spans="3:405" s="21" customFormat="1" ht="20.100000000000001" customHeight="1" x14ac:dyDescent="0.2">
      <c r="C281" s="6053"/>
      <c r="D281" s="6783" t="str">
        <f>_Calcs!$IK$188</f>
        <v>Justeringer</v>
      </c>
      <c r="E281" s="6783"/>
      <c r="F281" s="6783"/>
      <c r="G281" s="6783"/>
      <c r="H281" s="6783"/>
      <c r="I281" s="6783"/>
      <c r="J281" s="6783"/>
      <c r="K281" s="6783"/>
      <c r="L281" s="6783"/>
      <c r="M281" s="6783"/>
      <c r="N281" s="6783"/>
      <c r="O281" s="6783"/>
      <c r="P281" s="6783"/>
      <c r="Q281" s="6783"/>
      <c r="R281" s="6783"/>
      <c r="S281" s="6783"/>
      <c r="T281" s="6783"/>
      <c r="U281" s="6783"/>
      <c r="V281" s="6783"/>
      <c r="W281" s="6783"/>
      <c r="X281" s="6783"/>
      <c r="Y281" s="6783"/>
      <c r="Z281" s="6783"/>
      <c r="AA281" s="6783"/>
      <c r="AB281" s="6783"/>
      <c r="AC281" s="6783"/>
      <c r="AD281" s="6783"/>
      <c r="AE281" s="6783"/>
      <c r="AF281" s="6783"/>
      <c r="AG281" s="6783"/>
      <c r="AH281" s="6783"/>
      <c r="AI281" s="6783"/>
      <c r="AJ281" s="6783"/>
      <c r="AK281" s="6783"/>
      <c r="AL281" s="6783"/>
      <c r="AM281" s="6783"/>
      <c r="AN281" s="6783"/>
      <c r="AO281" s="6783"/>
      <c r="AP281" s="6783"/>
      <c r="AQ281" s="6783"/>
      <c r="AR281" s="6054"/>
      <c r="AV281" s="6053"/>
      <c r="AW281" s="6783" t="str">
        <f>_Calcs!$IL$188</f>
        <v>Justeringer</v>
      </c>
      <c r="AX281" s="6783"/>
      <c r="AY281" s="6783"/>
      <c r="AZ281" s="6783"/>
      <c r="BA281" s="6783"/>
      <c r="BB281" s="6783"/>
      <c r="BC281" s="6783"/>
      <c r="BD281" s="6783"/>
      <c r="BE281" s="6783"/>
      <c r="BF281" s="6783"/>
      <c r="BG281" s="6783"/>
      <c r="BH281" s="6783"/>
      <c r="BI281" s="6783"/>
      <c r="BJ281" s="6783"/>
      <c r="BK281" s="6783"/>
      <c r="BL281" s="6783"/>
      <c r="BM281" s="6783"/>
      <c r="BN281" s="6783"/>
      <c r="BO281" s="6783"/>
      <c r="BP281" s="6783"/>
      <c r="BQ281" s="6783"/>
      <c r="BR281" s="6783"/>
      <c r="BS281" s="6783"/>
      <c r="BT281" s="6783"/>
      <c r="BU281" s="6783"/>
      <c r="BV281" s="6783"/>
      <c r="BW281" s="6783"/>
      <c r="BX281" s="6783"/>
      <c r="BY281" s="6783"/>
      <c r="BZ281" s="6783"/>
      <c r="CA281" s="6783"/>
      <c r="CB281" s="6783"/>
      <c r="CC281" s="6783"/>
      <c r="CD281" s="6783"/>
      <c r="CE281" s="6783"/>
      <c r="CF281" s="6783"/>
      <c r="CG281" s="6783"/>
      <c r="CH281" s="6783"/>
      <c r="CI281" s="6783"/>
      <c r="CJ281" s="6783"/>
      <c r="CK281" s="6054"/>
      <c r="CO281" s="6053"/>
      <c r="CP281" s="6783" t="str">
        <f>_Calcs!$IM$188</f>
        <v>Justeringer</v>
      </c>
      <c r="CQ281" s="6783"/>
      <c r="CR281" s="6783"/>
      <c r="CS281" s="6783"/>
      <c r="CT281" s="6783"/>
      <c r="CU281" s="6783"/>
      <c r="CV281" s="6783"/>
      <c r="CW281" s="6783"/>
      <c r="CX281" s="6783"/>
      <c r="CY281" s="6783"/>
      <c r="CZ281" s="6783"/>
      <c r="DA281" s="6783"/>
      <c r="DB281" s="6783"/>
      <c r="DC281" s="6783"/>
      <c r="DD281" s="6783"/>
      <c r="DE281" s="6783"/>
      <c r="DF281" s="6783"/>
      <c r="DG281" s="6783"/>
      <c r="DH281" s="6783"/>
      <c r="DI281" s="6783"/>
      <c r="DJ281" s="6783"/>
      <c r="DK281" s="6783"/>
      <c r="DL281" s="6783"/>
      <c r="DM281" s="6783"/>
      <c r="DN281" s="6783"/>
      <c r="DO281" s="6783"/>
      <c r="DP281" s="6783"/>
      <c r="DQ281" s="6783"/>
      <c r="DR281" s="6783"/>
      <c r="DS281" s="6783"/>
      <c r="DT281" s="6783"/>
      <c r="DU281" s="6783"/>
      <c r="DV281" s="6783"/>
      <c r="DW281" s="6783"/>
      <c r="DX281" s="6783"/>
      <c r="DY281" s="6783"/>
      <c r="DZ281" s="6783"/>
      <c r="EA281" s="6783"/>
      <c r="EB281" s="6783"/>
      <c r="EC281" s="6783"/>
      <c r="ED281" s="6054"/>
      <c r="EH281" s="6053"/>
      <c r="EI281" s="6783" t="str">
        <f>_Calcs!$IN$188</f>
        <v>Justeringer</v>
      </c>
      <c r="EJ281" s="6783"/>
      <c r="EK281" s="6783"/>
      <c r="EL281" s="6783"/>
      <c r="EM281" s="6783"/>
      <c r="EN281" s="6783"/>
      <c r="EO281" s="6783"/>
      <c r="EP281" s="6783"/>
      <c r="EQ281" s="6783"/>
      <c r="ER281" s="6783"/>
      <c r="ES281" s="6783"/>
      <c r="ET281" s="6783"/>
      <c r="EU281" s="6783"/>
      <c r="EV281" s="6783"/>
      <c r="EW281" s="6783"/>
      <c r="EX281" s="6783"/>
      <c r="EY281" s="6783"/>
      <c r="EZ281" s="6783"/>
      <c r="FA281" s="6783"/>
      <c r="FB281" s="6783"/>
      <c r="FC281" s="6783"/>
      <c r="FD281" s="6783"/>
      <c r="FE281" s="6783"/>
      <c r="FF281" s="6783"/>
      <c r="FG281" s="6783"/>
      <c r="FH281" s="6783"/>
      <c r="FI281" s="6783"/>
      <c r="FJ281" s="6783"/>
      <c r="FK281" s="6783"/>
      <c r="FL281" s="6783"/>
      <c r="FM281" s="6783"/>
      <c r="FN281" s="6783"/>
      <c r="FO281" s="6783"/>
      <c r="FP281" s="6783"/>
      <c r="FQ281" s="6783"/>
      <c r="FR281" s="6783"/>
      <c r="FS281" s="6783"/>
      <c r="FT281" s="6783"/>
      <c r="FU281" s="6783"/>
      <c r="FV281" s="6783"/>
      <c r="FW281" s="6054"/>
      <c r="GA281" s="6053"/>
      <c r="GB281" s="6783" t="str">
        <f>_Calcs!$IO$188</f>
        <v>Justeringer</v>
      </c>
      <c r="GC281" s="6783"/>
      <c r="GD281" s="6783"/>
      <c r="GE281" s="6783"/>
      <c r="GF281" s="6783"/>
      <c r="GG281" s="6783"/>
      <c r="GH281" s="6783"/>
      <c r="GI281" s="6783"/>
      <c r="GJ281" s="6783"/>
      <c r="GK281" s="6783"/>
      <c r="GL281" s="6783"/>
      <c r="GM281" s="6783"/>
      <c r="GN281" s="6783"/>
      <c r="GO281" s="6783"/>
      <c r="GP281" s="6783"/>
      <c r="GQ281" s="6783"/>
      <c r="GR281" s="6783"/>
      <c r="GS281" s="6783"/>
      <c r="GT281" s="6783"/>
      <c r="GU281" s="6783"/>
      <c r="GV281" s="6783"/>
      <c r="GW281" s="6783"/>
      <c r="GX281" s="6783"/>
      <c r="GY281" s="6783"/>
      <c r="GZ281" s="6783"/>
      <c r="HA281" s="6783"/>
      <c r="HB281" s="6783"/>
      <c r="HC281" s="6783"/>
      <c r="HD281" s="6783"/>
      <c r="HE281" s="6783"/>
      <c r="HF281" s="6783"/>
      <c r="HG281" s="6783"/>
      <c r="HH281" s="6783"/>
      <c r="HI281" s="6783"/>
      <c r="HJ281" s="6783"/>
      <c r="HK281" s="6783"/>
      <c r="HL281" s="6783"/>
      <c r="HM281" s="6783"/>
      <c r="HN281" s="6783"/>
      <c r="HO281" s="6783"/>
      <c r="HP281" s="6054"/>
      <c r="HT281" s="6053"/>
      <c r="HU281" s="6783" t="str">
        <f>_Calcs!$IP$188</f>
        <v>Justeringer</v>
      </c>
      <c r="HV281" s="6783"/>
      <c r="HW281" s="6783"/>
      <c r="HX281" s="6783"/>
      <c r="HY281" s="6783"/>
      <c r="HZ281" s="6783"/>
      <c r="IA281" s="6783"/>
      <c r="IB281" s="6783"/>
      <c r="IC281" s="6783"/>
      <c r="ID281" s="6783"/>
      <c r="IE281" s="6783"/>
      <c r="IF281" s="6783"/>
      <c r="IG281" s="6783"/>
      <c r="IH281" s="6783"/>
      <c r="II281" s="6783"/>
      <c r="IJ281" s="6783"/>
      <c r="IK281" s="6783"/>
      <c r="IL281" s="6783"/>
      <c r="IM281" s="6783"/>
      <c r="IN281" s="6783"/>
      <c r="IO281" s="6783"/>
      <c r="IP281" s="6783"/>
      <c r="IQ281" s="6783"/>
      <c r="IR281" s="6783"/>
      <c r="IS281" s="6783"/>
      <c r="IT281" s="6783"/>
      <c r="IU281" s="6783"/>
      <c r="IV281" s="6783"/>
      <c r="IW281" s="6783"/>
      <c r="IX281" s="6783"/>
      <c r="IY281" s="6783"/>
      <c r="IZ281" s="6783"/>
      <c r="JA281" s="6783"/>
      <c r="JB281" s="6783"/>
      <c r="JC281" s="6783"/>
      <c r="JD281" s="6783"/>
      <c r="JE281" s="6783"/>
      <c r="JF281" s="6783"/>
      <c r="JG281" s="6783"/>
      <c r="JH281" s="6783"/>
      <c r="JI281" s="6054"/>
      <c r="JM281" s="6053"/>
      <c r="JN281" s="6783" t="str">
        <f>_Calcs!$IQ$188</f>
        <v>Justeringer</v>
      </c>
      <c r="JO281" s="6783"/>
      <c r="JP281" s="6783"/>
      <c r="JQ281" s="6783"/>
      <c r="JR281" s="6783"/>
      <c r="JS281" s="6783"/>
      <c r="JT281" s="6783"/>
      <c r="JU281" s="6783"/>
      <c r="JV281" s="6783"/>
      <c r="JW281" s="6783"/>
      <c r="JX281" s="6783"/>
      <c r="JY281" s="6783"/>
      <c r="JZ281" s="6783"/>
      <c r="KA281" s="6783"/>
      <c r="KB281" s="6783"/>
      <c r="KC281" s="6783"/>
      <c r="KD281" s="6783"/>
      <c r="KE281" s="6783"/>
      <c r="KF281" s="6783"/>
      <c r="KG281" s="6783"/>
      <c r="KH281" s="6783"/>
      <c r="KI281" s="6783"/>
      <c r="KJ281" s="6783"/>
      <c r="KK281" s="6783"/>
      <c r="KL281" s="6783"/>
      <c r="KM281" s="6783"/>
      <c r="KN281" s="6783"/>
      <c r="KO281" s="6783"/>
      <c r="KP281" s="6783"/>
      <c r="KQ281" s="6783"/>
      <c r="KR281" s="6783"/>
      <c r="KS281" s="6783"/>
      <c r="KT281" s="6783"/>
      <c r="KU281" s="6783"/>
      <c r="KV281" s="6783"/>
      <c r="KW281" s="6783"/>
      <c r="KX281" s="6783"/>
      <c r="KY281" s="6783"/>
      <c r="KZ281" s="6783"/>
      <c r="LA281" s="6783"/>
      <c r="LB281" s="6054"/>
      <c r="LF281" s="6053"/>
      <c r="LG281" s="6783" t="str">
        <f>_Calcs!$IR$188</f>
        <v>Justeringer</v>
      </c>
      <c r="LH281" s="6783"/>
      <c r="LI281" s="6783"/>
      <c r="LJ281" s="6783"/>
      <c r="LK281" s="6783"/>
      <c r="LL281" s="6783"/>
      <c r="LM281" s="6783"/>
      <c r="LN281" s="6783"/>
      <c r="LO281" s="6783"/>
      <c r="LP281" s="6783"/>
      <c r="LQ281" s="6783"/>
      <c r="LR281" s="6783"/>
      <c r="LS281" s="6783"/>
      <c r="LT281" s="6783"/>
      <c r="LU281" s="6783"/>
      <c r="LV281" s="6783"/>
      <c r="LW281" s="6783"/>
      <c r="LX281" s="6783"/>
      <c r="LY281" s="6783"/>
      <c r="LZ281" s="6783"/>
      <c r="MA281" s="6783"/>
      <c r="MB281" s="6783"/>
      <c r="MC281" s="6783"/>
      <c r="MD281" s="6783"/>
      <c r="ME281" s="6783"/>
      <c r="MF281" s="6783"/>
      <c r="MG281" s="6783"/>
      <c r="MH281" s="6783"/>
      <c r="MI281" s="6783"/>
      <c r="MJ281" s="6783"/>
      <c r="MK281" s="6783"/>
      <c r="ML281" s="6783"/>
      <c r="MM281" s="6783"/>
      <c r="MN281" s="6783"/>
      <c r="MO281" s="6783"/>
      <c r="MP281" s="6783"/>
      <c r="MQ281" s="6783"/>
      <c r="MR281" s="6783"/>
      <c r="MS281" s="6783"/>
      <c r="MT281" s="6783"/>
      <c r="MU281" s="6054"/>
      <c r="MY281" s="6053"/>
      <c r="MZ281" s="6783" t="str">
        <f>_Calcs!$IS$188</f>
        <v>Justeringer</v>
      </c>
      <c r="NA281" s="6783"/>
      <c r="NB281" s="6783"/>
      <c r="NC281" s="6783"/>
      <c r="ND281" s="6783"/>
      <c r="NE281" s="6783"/>
      <c r="NF281" s="6783"/>
      <c r="NG281" s="6783"/>
      <c r="NH281" s="6783"/>
      <c r="NI281" s="6783"/>
      <c r="NJ281" s="6783"/>
      <c r="NK281" s="6783"/>
      <c r="NL281" s="6783"/>
      <c r="NM281" s="6783"/>
      <c r="NN281" s="6783"/>
      <c r="NO281" s="6783"/>
      <c r="NP281" s="6783"/>
      <c r="NQ281" s="6783"/>
      <c r="NR281" s="6783"/>
      <c r="NS281" s="6783"/>
      <c r="NT281" s="6783"/>
      <c r="NU281" s="6783"/>
      <c r="NV281" s="6783"/>
      <c r="NW281" s="6783"/>
      <c r="NX281" s="6783"/>
      <c r="NY281" s="6783"/>
      <c r="NZ281" s="6783"/>
      <c r="OA281" s="6783"/>
      <c r="OB281" s="6783"/>
      <c r="OC281" s="6783"/>
      <c r="OD281" s="6783"/>
      <c r="OE281" s="6783"/>
      <c r="OF281" s="6783"/>
      <c r="OG281" s="6783"/>
      <c r="OH281" s="6783"/>
      <c r="OI281" s="6783"/>
      <c r="OJ281" s="6783"/>
      <c r="OK281" s="6783"/>
      <c r="OL281" s="6783"/>
      <c r="OM281" s="6783"/>
      <c r="ON281" s="6054"/>
    </row>
    <row r="282" spans="3:405" ht="5.0999999999999996" customHeight="1" x14ac:dyDescent="0.2">
      <c r="C282" s="6055"/>
      <c r="D282" s="6056"/>
      <c r="E282" s="6056"/>
      <c r="F282" s="6056"/>
      <c r="G282" s="6056"/>
      <c r="H282" s="6056"/>
      <c r="I282" s="6056"/>
      <c r="J282" s="6056"/>
      <c r="K282" s="6056"/>
      <c r="L282" s="6056"/>
      <c r="M282" s="6056"/>
      <c r="N282" s="6056"/>
      <c r="O282" s="6056"/>
      <c r="P282" s="6056"/>
      <c r="Q282" s="6056"/>
      <c r="R282" s="6056"/>
      <c r="S282" s="6056"/>
      <c r="T282" s="6056"/>
      <c r="U282" s="6056"/>
      <c r="V282" s="6056"/>
      <c r="W282" s="6056"/>
      <c r="X282" s="6056"/>
      <c r="Y282" s="6056"/>
      <c r="Z282" s="6056"/>
      <c r="AA282" s="6056"/>
      <c r="AB282" s="6056"/>
      <c r="AC282" s="6056"/>
      <c r="AD282" s="6056"/>
      <c r="AE282" s="6056"/>
      <c r="AF282" s="6056"/>
      <c r="AG282" s="6056"/>
      <c r="AH282" s="6056"/>
      <c r="AI282" s="6056"/>
      <c r="AJ282" s="6056"/>
      <c r="AK282" s="6056"/>
      <c r="AL282" s="6056"/>
      <c r="AM282" s="6056"/>
      <c r="AN282" s="6056"/>
      <c r="AO282" s="6056"/>
      <c r="AP282" s="6056"/>
      <c r="AQ282" s="6056"/>
      <c r="AR282" s="6058"/>
      <c r="AV282" s="6055"/>
      <c r="AW282" s="6056"/>
      <c r="AX282" s="6056"/>
      <c r="AY282" s="6056"/>
      <c r="AZ282" s="6056"/>
      <c r="BA282" s="6056"/>
      <c r="BB282" s="6056"/>
      <c r="BC282" s="6056"/>
      <c r="BD282" s="6056"/>
      <c r="BE282" s="6056"/>
      <c r="BF282" s="6056"/>
      <c r="BG282" s="6056"/>
      <c r="BH282" s="6056"/>
      <c r="BI282" s="6056"/>
      <c r="BJ282" s="6056"/>
      <c r="BK282" s="6056"/>
      <c r="BL282" s="6056"/>
      <c r="BM282" s="6056"/>
      <c r="BN282" s="6056"/>
      <c r="BO282" s="6056"/>
      <c r="BP282" s="6056"/>
      <c r="BQ282" s="6056"/>
      <c r="BR282" s="6056"/>
      <c r="BS282" s="6056"/>
      <c r="BT282" s="6056"/>
      <c r="BU282" s="6056"/>
      <c r="BV282" s="6056"/>
      <c r="BW282" s="6056"/>
      <c r="BX282" s="6056"/>
      <c r="BY282" s="6056"/>
      <c r="BZ282" s="6056"/>
      <c r="CA282" s="6056"/>
      <c r="CB282" s="6056"/>
      <c r="CC282" s="6056"/>
      <c r="CD282" s="6056"/>
      <c r="CE282" s="6056"/>
      <c r="CF282" s="6056"/>
      <c r="CG282" s="6056"/>
      <c r="CH282" s="6056"/>
      <c r="CI282" s="6056"/>
      <c r="CJ282" s="6056"/>
      <c r="CK282" s="6058"/>
      <c r="CO282" s="6055"/>
      <c r="CP282" s="6056"/>
      <c r="CQ282" s="6056"/>
      <c r="CR282" s="6056"/>
      <c r="CS282" s="6056"/>
      <c r="CT282" s="6056"/>
      <c r="CU282" s="6056"/>
      <c r="CV282" s="6056"/>
      <c r="CW282" s="6056"/>
      <c r="CX282" s="6056"/>
      <c r="CY282" s="6056"/>
      <c r="CZ282" s="6056"/>
      <c r="DA282" s="6056"/>
      <c r="DB282" s="6056"/>
      <c r="DC282" s="6056"/>
      <c r="DD282" s="6056"/>
      <c r="DE282" s="6056"/>
      <c r="DF282" s="6056"/>
      <c r="DG282" s="6056"/>
      <c r="DH282" s="6056"/>
      <c r="DI282" s="6056"/>
      <c r="DJ282" s="6056"/>
      <c r="DK282" s="6056"/>
      <c r="DL282" s="6056"/>
      <c r="DM282" s="6056"/>
      <c r="DN282" s="6056"/>
      <c r="DO282" s="6056"/>
      <c r="DP282" s="6056"/>
      <c r="DQ282" s="6056"/>
      <c r="DR282" s="6056"/>
      <c r="DS282" s="6056"/>
      <c r="DT282" s="6056"/>
      <c r="DU282" s="6056"/>
      <c r="DV282" s="6056"/>
      <c r="DW282" s="6056"/>
      <c r="DX282" s="6056"/>
      <c r="DY282" s="6056"/>
      <c r="DZ282" s="6056"/>
      <c r="EA282" s="6056"/>
      <c r="EB282" s="6056"/>
      <c r="EC282" s="6056"/>
      <c r="ED282" s="6058"/>
      <c r="EH282" s="6055"/>
      <c r="EI282" s="6056"/>
      <c r="EJ282" s="6056"/>
      <c r="EK282" s="6056"/>
      <c r="EL282" s="6056"/>
      <c r="EM282" s="6056"/>
      <c r="EN282" s="6056"/>
      <c r="EO282" s="6056"/>
      <c r="EP282" s="6056"/>
      <c r="EQ282" s="6056"/>
      <c r="ER282" s="6056"/>
      <c r="ES282" s="6056"/>
      <c r="ET282" s="6056"/>
      <c r="EU282" s="6056"/>
      <c r="EV282" s="6056"/>
      <c r="EW282" s="6056"/>
      <c r="EX282" s="6056"/>
      <c r="EY282" s="6056"/>
      <c r="EZ282" s="6056"/>
      <c r="FA282" s="6056"/>
      <c r="FB282" s="6056"/>
      <c r="FC282" s="6056"/>
      <c r="FD282" s="6056"/>
      <c r="FE282" s="6056"/>
      <c r="FF282" s="6056"/>
      <c r="FG282" s="6056"/>
      <c r="FH282" s="6056"/>
      <c r="FI282" s="6056"/>
      <c r="FJ282" s="6056"/>
      <c r="FK282" s="6056"/>
      <c r="FL282" s="6056"/>
      <c r="FM282" s="6056"/>
      <c r="FN282" s="6056"/>
      <c r="FO282" s="6056"/>
      <c r="FP282" s="6056"/>
      <c r="FQ282" s="6056"/>
      <c r="FR282" s="6056"/>
      <c r="FS282" s="6056"/>
      <c r="FT282" s="6056"/>
      <c r="FU282" s="6056"/>
      <c r="FV282" s="6056"/>
      <c r="FW282" s="6058"/>
      <c r="GA282" s="6055"/>
      <c r="GB282" s="6056"/>
      <c r="GC282" s="6056"/>
      <c r="GD282" s="6056"/>
      <c r="GE282" s="6056"/>
      <c r="GF282" s="6056"/>
      <c r="GG282" s="6056"/>
      <c r="GH282" s="6056"/>
      <c r="GI282" s="6056"/>
      <c r="GJ282" s="6056"/>
      <c r="GK282" s="6056"/>
      <c r="GL282" s="6056"/>
      <c r="GM282" s="6056"/>
      <c r="GN282" s="6056"/>
      <c r="GO282" s="6056"/>
      <c r="GP282" s="6056"/>
      <c r="GQ282" s="6056"/>
      <c r="GR282" s="6056"/>
      <c r="GS282" s="6056"/>
      <c r="GT282" s="6056"/>
      <c r="GU282" s="6056"/>
      <c r="GV282" s="6056"/>
      <c r="GW282" s="6056"/>
      <c r="GX282" s="6056"/>
      <c r="GY282" s="6056"/>
      <c r="GZ282" s="6056"/>
      <c r="HA282" s="6056"/>
      <c r="HB282" s="6056"/>
      <c r="HC282" s="6056"/>
      <c r="HD282" s="6056"/>
      <c r="HE282" s="6056"/>
      <c r="HF282" s="6056"/>
      <c r="HG282" s="6056"/>
      <c r="HH282" s="6056"/>
      <c r="HI282" s="6056"/>
      <c r="HJ282" s="6056"/>
      <c r="HK282" s="6056"/>
      <c r="HL282" s="6056"/>
      <c r="HM282" s="6056"/>
      <c r="HN282" s="6056"/>
      <c r="HO282" s="6056"/>
      <c r="HP282" s="6058"/>
      <c r="HT282" s="6055"/>
      <c r="HU282" s="6056"/>
      <c r="HV282" s="6056"/>
      <c r="HW282" s="6056"/>
      <c r="HX282" s="6056"/>
      <c r="HY282" s="6056"/>
      <c r="HZ282" s="6056"/>
      <c r="IA282" s="6056"/>
      <c r="IB282" s="6056"/>
      <c r="IC282" s="6056"/>
      <c r="ID282" s="6056"/>
      <c r="IE282" s="6056"/>
      <c r="IF282" s="6056"/>
      <c r="IG282" s="6056"/>
      <c r="IH282" s="6056"/>
      <c r="II282" s="6056"/>
      <c r="IJ282" s="6056"/>
      <c r="IK282" s="6056"/>
      <c r="IL282" s="6056"/>
      <c r="IM282" s="6056"/>
      <c r="IN282" s="6056"/>
      <c r="IO282" s="6056"/>
      <c r="IP282" s="6056"/>
      <c r="IQ282" s="6056"/>
      <c r="IR282" s="6056"/>
      <c r="IS282" s="6056"/>
      <c r="IT282" s="6056"/>
      <c r="IU282" s="6056"/>
      <c r="IV282" s="6056"/>
      <c r="IW282" s="6056"/>
      <c r="IX282" s="6056"/>
      <c r="IY282" s="6056"/>
      <c r="IZ282" s="6056"/>
      <c r="JA282" s="6056"/>
      <c r="JB282" s="6056"/>
      <c r="JC282" s="6056"/>
      <c r="JD282" s="6056"/>
      <c r="JE282" s="6056"/>
      <c r="JF282" s="6056"/>
      <c r="JG282" s="6056"/>
      <c r="JH282" s="6056"/>
      <c r="JI282" s="6058"/>
      <c r="JM282" s="6055"/>
      <c r="JN282" s="6056"/>
      <c r="JO282" s="6056"/>
      <c r="JP282" s="6056"/>
      <c r="JQ282" s="6056"/>
      <c r="JR282" s="6056"/>
      <c r="JS282" s="6056"/>
      <c r="JT282" s="6056"/>
      <c r="JU282" s="6056"/>
      <c r="JV282" s="6056"/>
      <c r="JW282" s="6056"/>
      <c r="JX282" s="6056"/>
      <c r="JY282" s="6056"/>
      <c r="JZ282" s="6056"/>
      <c r="KA282" s="6056"/>
      <c r="KB282" s="6056"/>
      <c r="KC282" s="6056"/>
      <c r="KD282" s="6056"/>
      <c r="KE282" s="6056"/>
      <c r="KF282" s="6056"/>
      <c r="KG282" s="6056"/>
      <c r="KH282" s="6056"/>
      <c r="KI282" s="6056"/>
      <c r="KJ282" s="6056"/>
      <c r="KK282" s="6056"/>
      <c r="KL282" s="6056"/>
      <c r="KM282" s="6056"/>
      <c r="KN282" s="6056"/>
      <c r="KO282" s="6056"/>
      <c r="KP282" s="6056"/>
      <c r="KQ282" s="6056"/>
      <c r="KR282" s="6056"/>
      <c r="KS282" s="6056"/>
      <c r="KT282" s="6056"/>
      <c r="KU282" s="6056"/>
      <c r="KV282" s="6056"/>
      <c r="KW282" s="6056"/>
      <c r="KX282" s="6056"/>
      <c r="KY282" s="6056"/>
      <c r="KZ282" s="6056"/>
      <c r="LA282" s="6056"/>
      <c r="LB282" s="6058"/>
      <c r="LF282" s="6055"/>
      <c r="LG282" s="6056"/>
      <c r="LH282" s="6056"/>
      <c r="LI282" s="6056"/>
      <c r="LJ282" s="6056"/>
      <c r="LK282" s="6056"/>
      <c r="LL282" s="6056"/>
      <c r="LM282" s="6056"/>
      <c r="LN282" s="6056"/>
      <c r="LO282" s="6056"/>
      <c r="LP282" s="6056"/>
      <c r="LQ282" s="6056"/>
      <c r="LR282" s="6056"/>
      <c r="LS282" s="6056"/>
      <c r="LT282" s="6056"/>
      <c r="LU282" s="6056"/>
      <c r="LV282" s="6056"/>
      <c r="LW282" s="6056"/>
      <c r="LX282" s="6056"/>
      <c r="LY282" s="6056"/>
      <c r="LZ282" s="6056"/>
      <c r="MA282" s="6056"/>
      <c r="MB282" s="6056"/>
      <c r="MC282" s="6056"/>
      <c r="MD282" s="6056"/>
      <c r="ME282" s="6056"/>
      <c r="MF282" s="6056"/>
      <c r="MG282" s="6056"/>
      <c r="MH282" s="6056"/>
      <c r="MI282" s="6056"/>
      <c r="MJ282" s="6056"/>
      <c r="MK282" s="6056"/>
      <c r="ML282" s="6056"/>
      <c r="MM282" s="6056"/>
      <c r="MN282" s="6056"/>
      <c r="MO282" s="6056"/>
      <c r="MP282" s="6056"/>
      <c r="MQ282" s="6056"/>
      <c r="MR282" s="6056"/>
      <c r="MS282" s="6056"/>
      <c r="MT282" s="6056"/>
      <c r="MU282" s="6058"/>
      <c r="MY282" s="6055"/>
      <c r="MZ282" s="6056"/>
      <c r="NA282" s="6056"/>
      <c r="NB282" s="6056"/>
      <c r="NC282" s="6056"/>
      <c r="ND282" s="6056"/>
      <c r="NE282" s="6056"/>
      <c r="NF282" s="6056"/>
      <c r="NG282" s="6056"/>
      <c r="NH282" s="6056"/>
      <c r="NI282" s="6056"/>
      <c r="NJ282" s="6056"/>
      <c r="NK282" s="6056"/>
      <c r="NL282" s="6056"/>
      <c r="NM282" s="6056"/>
      <c r="NN282" s="6056"/>
      <c r="NO282" s="6056"/>
      <c r="NP282" s="6056"/>
      <c r="NQ282" s="6056"/>
      <c r="NR282" s="6056"/>
      <c r="NS282" s="6056"/>
      <c r="NT282" s="6056"/>
      <c r="NU282" s="6056"/>
      <c r="NV282" s="6056"/>
      <c r="NW282" s="6056"/>
      <c r="NX282" s="6056"/>
      <c r="NY282" s="6056"/>
      <c r="NZ282" s="6056"/>
      <c r="OA282" s="6056"/>
      <c r="OB282" s="6056"/>
      <c r="OC282" s="6056"/>
      <c r="OD282" s="6056"/>
      <c r="OE282" s="6056"/>
      <c r="OF282" s="6056"/>
      <c r="OG282" s="6056"/>
      <c r="OH282" s="6056"/>
      <c r="OI282" s="6056"/>
      <c r="OJ282" s="6056"/>
      <c r="OK282" s="6056"/>
      <c r="OL282" s="6056"/>
      <c r="OM282" s="6056"/>
      <c r="ON282" s="6058"/>
    </row>
    <row r="283" spans="3:405" s="6063" customFormat="1" ht="12" customHeight="1" x14ac:dyDescent="0.2">
      <c r="C283" s="6059"/>
      <c r="D283" s="6060" t="str">
        <f>_Calcs!$N$77</f>
        <v>Faktor</v>
      </c>
      <c r="E283" s="6060"/>
      <c r="F283" s="6060"/>
      <c r="G283" s="6060"/>
      <c r="H283" s="6060"/>
      <c r="I283" s="6060"/>
      <c r="J283" s="6060"/>
      <c r="K283" s="6060"/>
      <c r="L283" s="6060"/>
      <c r="M283" s="6060"/>
      <c r="N283" s="6060"/>
      <c r="O283" s="6060"/>
      <c r="P283" s="6060"/>
      <c r="Q283" s="6060"/>
      <c r="R283" s="6060"/>
      <c r="S283" s="6060"/>
      <c r="T283" s="6060"/>
      <c r="U283" s="6060"/>
      <c r="V283" s="6060"/>
      <c r="W283" s="6060"/>
      <c r="X283" s="6060"/>
      <c r="Y283" s="6060"/>
      <c r="Z283" s="6060"/>
      <c r="AA283" s="6060"/>
      <c r="AB283" s="6060"/>
      <c r="AC283" s="6060"/>
      <c r="AD283" s="6060"/>
      <c r="AE283" s="6060"/>
      <c r="AF283" s="6060"/>
      <c r="AG283" s="6060"/>
      <c r="AH283" s="6060"/>
      <c r="AI283" s="6092"/>
      <c r="AJ283" s="6092"/>
      <c r="AK283" s="6092"/>
      <c r="AL283" s="6060"/>
      <c r="AM283" s="6060" t="str">
        <f>_Calcs!$N$81</f>
        <v>Påvirkning</v>
      </c>
      <c r="AN283" s="6060"/>
      <c r="AO283" s="6060"/>
      <c r="AP283" s="6060"/>
      <c r="AQ283" s="6060"/>
      <c r="AR283" s="6062"/>
      <c r="AV283" s="6059"/>
      <c r="AW283" s="6060" t="str">
        <f>_Calcs!$N$77</f>
        <v>Faktor</v>
      </c>
      <c r="AX283" s="6060"/>
      <c r="AY283" s="6060"/>
      <c r="AZ283" s="6060"/>
      <c r="BA283" s="6060"/>
      <c r="BB283" s="6060"/>
      <c r="BC283" s="6060"/>
      <c r="BD283" s="6060"/>
      <c r="BE283" s="6060"/>
      <c r="BF283" s="6060"/>
      <c r="BG283" s="6060"/>
      <c r="BH283" s="6060"/>
      <c r="BI283" s="6060"/>
      <c r="BJ283" s="6060"/>
      <c r="BK283" s="6060"/>
      <c r="BL283" s="6060"/>
      <c r="BM283" s="6060"/>
      <c r="BN283" s="6060"/>
      <c r="BO283" s="6060"/>
      <c r="BP283" s="6060"/>
      <c r="BQ283" s="6060"/>
      <c r="BR283" s="6060"/>
      <c r="BS283" s="6060"/>
      <c r="BT283" s="6060"/>
      <c r="BU283" s="6060"/>
      <c r="BV283" s="6060"/>
      <c r="BW283" s="6060"/>
      <c r="BX283" s="6060"/>
      <c r="BY283" s="6060"/>
      <c r="BZ283" s="6060"/>
      <c r="CA283" s="6060"/>
      <c r="CB283" s="6092"/>
      <c r="CC283" s="6092"/>
      <c r="CD283" s="6092"/>
      <c r="CE283" s="6060"/>
      <c r="CF283" s="6060" t="str">
        <f>_Calcs!$N$81</f>
        <v>Påvirkning</v>
      </c>
      <c r="CG283" s="6060"/>
      <c r="CH283" s="6060"/>
      <c r="CI283" s="6060"/>
      <c r="CJ283" s="6060"/>
      <c r="CK283" s="6062"/>
      <c r="CO283" s="6059"/>
      <c r="CP283" s="6060" t="str">
        <f>_Calcs!$N$77</f>
        <v>Faktor</v>
      </c>
      <c r="CQ283" s="6060"/>
      <c r="CR283" s="6060"/>
      <c r="CS283" s="6060"/>
      <c r="CT283" s="6060"/>
      <c r="CU283" s="6060"/>
      <c r="CV283" s="6060"/>
      <c r="CW283" s="6060"/>
      <c r="CX283" s="6060"/>
      <c r="CY283" s="6060"/>
      <c r="CZ283" s="6060"/>
      <c r="DA283" s="6060"/>
      <c r="DB283" s="6060"/>
      <c r="DC283" s="6060"/>
      <c r="DD283" s="6060"/>
      <c r="DE283" s="6060"/>
      <c r="DF283" s="6060"/>
      <c r="DG283" s="6060"/>
      <c r="DH283" s="6060"/>
      <c r="DI283" s="6060"/>
      <c r="DJ283" s="6060"/>
      <c r="DK283" s="6060"/>
      <c r="DL283" s="6060"/>
      <c r="DM283" s="6060"/>
      <c r="DN283" s="6060"/>
      <c r="DO283" s="6060"/>
      <c r="DP283" s="6060"/>
      <c r="DQ283" s="6060"/>
      <c r="DR283" s="6060"/>
      <c r="DS283" s="6060"/>
      <c r="DT283" s="6060"/>
      <c r="DU283" s="6092"/>
      <c r="DV283" s="6092"/>
      <c r="DW283" s="6092"/>
      <c r="DX283" s="6060"/>
      <c r="DY283" s="6060" t="str">
        <f>_Calcs!$N$81</f>
        <v>Påvirkning</v>
      </c>
      <c r="DZ283" s="6060"/>
      <c r="EA283" s="6060"/>
      <c r="EB283" s="6060"/>
      <c r="EC283" s="6060"/>
      <c r="ED283" s="6062"/>
      <c r="EH283" s="6059"/>
      <c r="EI283" s="6060" t="str">
        <f>_Calcs!$N$77</f>
        <v>Faktor</v>
      </c>
      <c r="EJ283" s="6060"/>
      <c r="EK283" s="6060"/>
      <c r="EL283" s="6060"/>
      <c r="EM283" s="6060"/>
      <c r="EN283" s="6060"/>
      <c r="EO283" s="6060"/>
      <c r="EP283" s="6060"/>
      <c r="EQ283" s="6060"/>
      <c r="ER283" s="6060"/>
      <c r="ES283" s="6060"/>
      <c r="ET283" s="6060"/>
      <c r="EU283" s="6060"/>
      <c r="EV283" s="6060"/>
      <c r="EW283" s="6060"/>
      <c r="EX283" s="6060"/>
      <c r="EY283" s="6060"/>
      <c r="EZ283" s="6060"/>
      <c r="FA283" s="6060"/>
      <c r="FB283" s="6060"/>
      <c r="FC283" s="6060"/>
      <c r="FD283" s="6060"/>
      <c r="FE283" s="6060"/>
      <c r="FF283" s="6060"/>
      <c r="FG283" s="6060"/>
      <c r="FH283" s="6060"/>
      <c r="FI283" s="6060"/>
      <c r="FJ283" s="6060"/>
      <c r="FK283" s="6060"/>
      <c r="FL283" s="6060"/>
      <c r="FM283" s="6060"/>
      <c r="FN283" s="6092"/>
      <c r="FO283" s="6092"/>
      <c r="FP283" s="6092"/>
      <c r="FQ283" s="6060"/>
      <c r="FR283" s="6060" t="str">
        <f>_Calcs!$N$81</f>
        <v>Påvirkning</v>
      </c>
      <c r="FS283" s="6060"/>
      <c r="FT283" s="6060"/>
      <c r="FU283" s="6060"/>
      <c r="FV283" s="6060"/>
      <c r="FW283" s="6062"/>
      <c r="GA283" s="6059"/>
      <c r="GB283" s="6060" t="str">
        <f>_Calcs!$N$77</f>
        <v>Faktor</v>
      </c>
      <c r="GC283" s="6060"/>
      <c r="GD283" s="6060"/>
      <c r="GE283" s="6060"/>
      <c r="GF283" s="6060"/>
      <c r="GG283" s="6060"/>
      <c r="GH283" s="6060"/>
      <c r="GI283" s="6060"/>
      <c r="GJ283" s="6060"/>
      <c r="GK283" s="6060"/>
      <c r="GL283" s="6060"/>
      <c r="GM283" s="6060"/>
      <c r="GN283" s="6060"/>
      <c r="GO283" s="6060"/>
      <c r="GP283" s="6060"/>
      <c r="GQ283" s="6060"/>
      <c r="GR283" s="6060"/>
      <c r="GS283" s="6060"/>
      <c r="GT283" s="6060"/>
      <c r="GU283" s="6060"/>
      <c r="GV283" s="6060"/>
      <c r="GW283" s="6060"/>
      <c r="GX283" s="6060"/>
      <c r="GY283" s="6060"/>
      <c r="GZ283" s="6060"/>
      <c r="HA283" s="6060"/>
      <c r="HB283" s="6060"/>
      <c r="HC283" s="6060"/>
      <c r="HD283" s="6060"/>
      <c r="HE283" s="6060"/>
      <c r="HF283" s="6060"/>
      <c r="HG283" s="6092"/>
      <c r="HH283" s="6092"/>
      <c r="HI283" s="6092"/>
      <c r="HJ283" s="6060"/>
      <c r="HK283" s="6060" t="str">
        <f>_Calcs!$N$81</f>
        <v>Påvirkning</v>
      </c>
      <c r="HL283" s="6060"/>
      <c r="HM283" s="6060"/>
      <c r="HN283" s="6060"/>
      <c r="HO283" s="6060"/>
      <c r="HP283" s="6062"/>
      <c r="HT283" s="6059"/>
      <c r="HU283" s="6060" t="str">
        <f>_Calcs!$N$77</f>
        <v>Faktor</v>
      </c>
      <c r="HV283" s="6060"/>
      <c r="HW283" s="6060"/>
      <c r="HX283" s="6060"/>
      <c r="HY283" s="6060"/>
      <c r="HZ283" s="6060"/>
      <c r="IA283" s="6060"/>
      <c r="IB283" s="6060"/>
      <c r="IC283" s="6060"/>
      <c r="ID283" s="6060"/>
      <c r="IE283" s="6060"/>
      <c r="IF283" s="6060"/>
      <c r="IG283" s="6060"/>
      <c r="IH283" s="6060"/>
      <c r="II283" s="6060"/>
      <c r="IJ283" s="6060"/>
      <c r="IK283" s="6060"/>
      <c r="IL283" s="6060"/>
      <c r="IM283" s="6060"/>
      <c r="IN283" s="6060"/>
      <c r="IO283" s="6060"/>
      <c r="IP283" s="6060"/>
      <c r="IQ283" s="6060"/>
      <c r="IR283" s="6060"/>
      <c r="IS283" s="6060"/>
      <c r="IT283" s="6060"/>
      <c r="IU283" s="6060"/>
      <c r="IV283" s="6060"/>
      <c r="IW283" s="6060"/>
      <c r="IX283" s="6060"/>
      <c r="IY283" s="6060"/>
      <c r="IZ283" s="6092"/>
      <c r="JA283" s="6092"/>
      <c r="JB283" s="6092"/>
      <c r="JC283" s="6060"/>
      <c r="JD283" s="6060" t="str">
        <f>_Calcs!$N$81</f>
        <v>Påvirkning</v>
      </c>
      <c r="JE283" s="6060"/>
      <c r="JF283" s="6060"/>
      <c r="JG283" s="6060"/>
      <c r="JH283" s="6060"/>
      <c r="JI283" s="6062"/>
      <c r="JM283" s="6059"/>
      <c r="JN283" s="6060" t="str">
        <f>_Calcs!$N$77</f>
        <v>Faktor</v>
      </c>
      <c r="JO283" s="6060"/>
      <c r="JP283" s="6060"/>
      <c r="JQ283" s="6060"/>
      <c r="JR283" s="6060"/>
      <c r="JS283" s="6060"/>
      <c r="JT283" s="6060"/>
      <c r="JU283" s="6060"/>
      <c r="JV283" s="6060"/>
      <c r="JW283" s="6060"/>
      <c r="JX283" s="6060"/>
      <c r="JY283" s="6060"/>
      <c r="JZ283" s="6060"/>
      <c r="KA283" s="6060"/>
      <c r="KB283" s="6060"/>
      <c r="KC283" s="6060"/>
      <c r="KD283" s="6060"/>
      <c r="KE283" s="6060"/>
      <c r="KF283" s="6060"/>
      <c r="KG283" s="6060"/>
      <c r="KH283" s="6060"/>
      <c r="KI283" s="6060"/>
      <c r="KJ283" s="6060"/>
      <c r="KK283" s="6060"/>
      <c r="KL283" s="6060"/>
      <c r="KM283" s="6060"/>
      <c r="KN283" s="6060"/>
      <c r="KO283" s="6060"/>
      <c r="KP283" s="6060"/>
      <c r="KQ283" s="6060"/>
      <c r="KR283" s="6060"/>
      <c r="KS283" s="6092"/>
      <c r="KT283" s="6092"/>
      <c r="KU283" s="6092"/>
      <c r="KV283" s="6060"/>
      <c r="KW283" s="6060" t="str">
        <f>_Calcs!$N$81</f>
        <v>Påvirkning</v>
      </c>
      <c r="KX283" s="6060"/>
      <c r="KY283" s="6060"/>
      <c r="KZ283" s="6060"/>
      <c r="LA283" s="6060"/>
      <c r="LB283" s="6062"/>
      <c r="LF283" s="6059"/>
      <c r="LG283" s="6060" t="str">
        <f>_Calcs!$N$77</f>
        <v>Faktor</v>
      </c>
      <c r="LH283" s="6060"/>
      <c r="LI283" s="6060"/>
      <c r="LJ283" s="6060"/>
      <c r="LK283" s="6060"/>
      <c r="LL283" s="6060"/>
      <c r="LM283" s="6060"/>
      <c r="LN283" s="6060"/>
      <c r="LO283" s="6060"/>
      <c r="LP283" s="6060"/>
      <c r="LQ283" s="6060"/>
      <c r="LR283" s="6060"/>
      <c r="LS283" s="6060"/>
      <c r="LT283" s="6060"/>
      <c r="LU283" s="6060"/>
      <c r="LV283" s="6060"/>
      <c r="LW283" s="6060"/>
      <c r="LX283" s="6060"/>
      <c r="LY283" s="6060"/>
      <c r="LZ283" s="6060"/>
      <c r="MA283" s="6060"/>
      <c r="MB283" s="6060"/>
      <c r="MC283" s="6060"/>
      <c r="MD283" s="6060"/>
      <c r="ME283" s="6060"/>
      <c r="MF283" s="6060"/>
      <c r="MG283" s="6060"/>
      <c r="MH283" s="6060"/>
      <c r="MI283" s="6060"/>
      <c r="MJ283" s="6060"/>
      <c r="MK283" s="6060"/>
      <c r="ML283" s="6092"/>
      <c r="MM283" s="6092"/>
      <c r="MN283" s="6092"/>
      <c r="MO283" s="6060"/>
      <c r="MP283" s="6060" t="str">
        <f>_Calcs!$N$81</f>
        <v>Påvirkning</v>
      </c>
      <c r="MQ283" s="6060"/>
      <c r="MR283" s="6060"/>
      <c r="MS283" s="6060"/>
      <c r="MT283" s="6060"/>
      <c r="MU283" s="6062"/>
      <c r="MY283" s="6059"/>
      <c r="MZ283" s="6060" t="str">
        <f>_Calcs!$N$77</f>
        <v>Faktor</v>
      </c>
      <c r="NA283" s="6060"/>
      <c r="NB283" s="6060"/>
      <c r="NC283" s="6060"/>
      <c r="ND283" s="6060"/>
      <c r="NE283" s="6060"/>
      <c r="NF283" s="6060"/>
      <c r="NG283" s="6060"/>
      <c r="NH283" s="6060"/>
      <c r="NI283" s="6060"/>
      <c r="NJ283" s="6060"/>
      <c r="NK283" s="6060"/>
      <c r="NL283" s="6060"/>
      <c r="NM283" s="6060"/>
      <c r="NN283" s="6060"/>
      <c r="NO283" s="6060"/>
      <c r="NP283" s="6060"/>
      <c r="NQ283" s="6060"/>
      <c r="NR283" s="6060"/>
      <c r="NS283" s="6060"/>
      <c r="NT283" s="6060"/>
      <c r="NU283" s="6060"/>
      <c r="NV283" s="6060"/>
      <c r="NW283" s="6060"/>
      <c r="NX283" s="6060"/>
      <c r="NY283" s="6060"/>
      <c r="NZ283" s="6060"/>
      <c r="OA283" s="6060"/>
      <c r="OB283" s="6060"/>
      <c r="OC283" s="6060"/>
      <c r="OD283" s="6060"/>
      <c r="OE283" s="6092"/>
      <c r="OF283" s="6092"/>
      <c r="OG283" s="6092"/>
      <c r="OH283" s="6060"/>
      <c r="OI283" s="6060" t="str">
        <f>_Calcs!$N$81</f>
        <v>Påvirkning</v>
      </c>
      <c r="OJ283" s="6060"/>
      <c r="OK283" s="6060"/>
      <c r="OL283" s="6060"/>
      <c r="OM283" s="6060"/>
      <c r="ON283" s="6062"/>
    </row>
    <row r="284" spans="3:405" ht="5.0999999999999996" customHeight="1" thickBot="1" x14ac:dyDescent="0.25">
      <c r="C284" s="6055"/>
      <c r="D284" s="6056"/>
      <c r="E284" s="6056"/>
      <c r="F284" s="6056"/>
      <c r="G284" s="6056"/>
      <c r="H284" s="6056"/>
      <c r="I284" s="6056"/>
      <c r="J284" s="6056"/>
      <c r="K284" s="6056"/>
      <c r="L284" s="6056"/>
      <c r="M284" s="6056"/>
      <c r="N284" s="6056"/>
      <c r="O284" s="6056"/>
      <c r="P284" s="6056"/>
      <c r="Q284" s="6056"/>
      <c r="R284" s="6056"/>
      <c r="S284" s="6056"/>
      <c r="T284" s="6056"/>
      <c r="U284" s="6056"/>
      <c r="V284" s="6056"/>
      <c r="W284" s="6056"/>
      <c r="X284" s="6056"/>
      <c r="Y284" s="6056"/>
      <c r="Z284" s="6056"/>
      <c r="AA284" s="6056"/>
      <c r="AB284" s="6056"/>
      <c r="AC284" s="6056"/>
      <c r="AD284" s="6056"/>
      <c r="AE284" s="6056"/>
      <c r="AF284" s="6056"/>
      <c r="AG284" s="6056"/>
      <c r="AH284" s="6056"/>
      <c r="AI284" s="6061"/>
      <c r="AJ284" s="6061"/>
      <c r="AK284" s="6061"/>
      <c r="AL284" s="6056"/>
      <c r="AM284" s="6056"/>
      <c r="AN284" s="6056"/>
      <c r="AO284" s="6056"/>
      <c r="AP284" s="6056"/>
      <c r="AQ284" s="6056"/>
      <c r="AR284" s="6058"/>
      <c r="AV284" s="6055"/>
      <c r="AW284" s="6056"/>
      <c r="AX284" s="6056"/>
      <c r="AY284" s="6056"/>
      <c r="AZ284" s="6056"/>
      <c r="BA284" s="6056"/>
      <c r="BB284" s="6056"/>
      <c r="BC284" s="6056"/>
      <c r="BD284" s="6056"/>
      <c r="BE284" s="6056"/>
      <c r="BF284" s="6056"/>
      <c r="BG284" s="6056"/>
      <c r="BH284" s="6056"/>
      <c r="BI284" s="6056"/>
      <c r="BJ284" s="6056"/>
      <c r="BK284" s="6056"/>
      <c r="BL284" s="6056"/>
      <c r="BM284" s="6056"/>
      <c r="BN284" s="6056"/>
      <c r="BO284" s="6056"/>
      <c r="BP284" s="6056"/>
      <c r="BQ284" s="6056"/>
      <c r="BR284" s="6056"/>
      <c r="BS284" s="6056"/>
      <c r="BT284" s="6056"/>
      <c r="BU284" s="6056"/>
      <c r="BV284" s="6056"/>
      <c r="BW284" s="6056"/>
      <c r="BX284" s="6056"/>
      <c r="BY284" s="6056"/>
      <c r="BZ284" s="6056"/>
      <c r="CA284" s="6056"/>
      <c r="CB284" s="6061"/>
      <c r="CC284" s="6061"/>
      <c r="CD284" s="6061"/>
      <c r="CE284" s="6056"/>
      <c r="CF284" s="6056"/>
      <c r="CG284" s="6056"/>
      <c r="CH284" s="6056"/>
      <c r="CI284" s="6056"/>
      <c r="CJ284" s="6056"/>
      <c r="CK284" s="6058"/>
      <c r="CO284" s="6055"/>
      <c r="CP284" s="6056"/>
      <c r="CQ284" s="6056"/>
      <c r="CR284" s="6056"/>
      <c r="CS284" s="6056"/>
      <c r="CT284" s="6056"/>
      <c r="CU284" s="6056"/>
      <c r="CV284" s="6056"/>
      <c r="CW284" s="6056"/>
      <c r="CX284" s="6056"/>
      <c r="CY284" s="6056"/>
      <c r="CZ284" s="6056"/>
      <c r="DA284" s="6056"/>
      <c r="DB284" s="6056"/>
      <c r="DC284" s="6056"/>
      <c r="DD284" s="6056"/>
      <c r="DE284" s="6056"/>
      <c r="DF284" s="6056"/>
      <c r="DG284" s="6056"/>
      <c r="DH284" s="6056"/>
      <c r="DI284" s="6056"/>
      <c r="DJ284" s="6056"/>
      <c r="DK284" s="6056"/>
      <c r="DL284" s="6056"/>
      <c r="DM284" s="6056"/>
      <c r="DN284" s="6056"/>
      <c r="DO284" s="6056"/>
      <c r="DP284" s="6056"/>
      <c r="DQ284" s="6056"/>
      <c r="DR284" s="6056"/>
      <c r="DS284" s="6056"/>
      <c r="DT284" s="6056"/>
      <c r="DU284" s="6061"/>
      <c r="DV284" s="6061"/>
      <c r="DW284" s="6061"/>
      <c r="DX284" s="6056"/>
      <c r="DY284" s="6056"/>
      <c r="DZ284" s="6056"/>
      <c r="EA284" s="6056"/>
      <c r="EB284" s="6056"/>
      <c r="EC284" s="6056"/>
      <c r="ED284" s="6058"/>
      <c r="EH284" s="6055"/>
      <c r="EI284" s="6056"/>
      <c r="EJ284" s="6056"/>
      <c r="EK284" s="6056"/>
      <c r="EL284" s="6056"/>
      <c r="EM284" s="6056"/>
      <c r="EN284" s="6056"/>
      <c r="EO284" s="6056"/>
      <c r="EP284" s="6056"/>
      <c r="EQ284" s="6056"/>
      <c r="ER284" s="6056"/>
      <c r="ES284" s="6056"/>
      <c r="ET284" s="6056"/>
      <c r="EU284" s="6056"/>
      <c r="EV284" s="6056"/>
      <c r="EW284" s="6056"/>
      <c r="EX284" s="6056"/>
      <c r="EY284" s="6056"/>
      <c r="EZ284" s="6056"/>
      <c r="FA284" s="6056"/>
      <c r="FB284" s="6056"/>
      <c r="FC284" s="6056"/>
      <c r="FD284" s="6056"/>
      <c r="FE284" s="6056"/>
      <c r="FF284" s="6056"/>
      <c r="FG284" s="6056"/>
      <c r="FH284" s="6056"/>
      <c r="FI284" s="6056"/>
      <c r="FJ284" s="6056"/>
      <c r="FK284" s="6056"/>
      <c r="FL284" s="6056"/>
      <c r="FM284" s="6056"/>
      <c r="FN284" s="6061"/>
      <c r="FO284" s="6061"/>
      <c r="FP284" s="6061"/>
      <c r="FQ284" s="6056"/>
      <c r="FR284" s="6056"/>
      <c r="FS284" s="6056"/>
      <c r="FT284" s="6056"/>
      <c r="FU284" s="6056"/>
      <c r="FV284" s="6056"/>
      <c r="FW284" s="6058"/>
      <c r="GA284" s="6055"/>
      <c r="GB284" s="6056"/>
      <c r="GC284" s="6056"/>
      <c r="GD284" s="6056"/>
      <c r="GE284" s="6056"/>
      <c r="GF284" s="6056"/>
      <c r="GG284" s="6056"/>
      <c r="GH284" s="6056"/>
      <c r="GI284" s="6056"/>
      <c r="GJ284" s="6056"/>
      <c r="GK284" s="6056"/>
      <c r="GL284" s="6056"/>
      <c r="GM284" s="6056"/>
      <c r="GN284" s="6056"/>
      <c r="GO284" s="6056"/>
      <c r="GP284" s="6056"/>
      <c r="GQ284" s="6056"/>
      <c r="GR284" s="6056"/>
      <c r="GS284" s="6056"/>
      <c r="GT284" s="6056"/>
      <c r="GU284" s="6056"/>
      <c r="GV284" s="6056"/>
      <c r="GW284" s="6056"/>
      <c r="GX284" s="6056"/>
      <c r="GY284" s="6056"/>
      <c r="GZ284" s="6056"/>
      <c r="HA284" s="6056"/>
      <c r="HB284" s="6056"/>
      <c r="HC284" s="6056"/>
      <c r="HD284" s="6056"/>
      <c r="HE284" s="6056"/>
      <c r="HF284" s="6056"/>
      <c r="HG284" s="6061"/>
      <c r="HH284" s="6061"/>
      <c r="HI284" s="6061"/>
      <c r="HJ284" s="6056"/>
      <c r="HK284" s="6056"/>
      <c r="HL284" s="6056"/>
      <c r="HM284" s="6056"/>
      <c r="HN284" s="6056"/>
      <c r="HO284" s="6056"/>
      <c r="HP284" s="6058"/>
      <c r="HT284" s="6055"/>
      <c r="HU284" s="6056"/>
      <c r="HV284" s="6056"/>
      <c r="HW284" s="6056"/>
      <c r="HX284" s="6056"/>
      <c r="HY284" s="6056"/>
      <c r="HZ284" s="6056"/>
      <c r="IA284" s="6056"/>
      <c r="IB284" s="6056"/>
      <c r="IC284" s="6056"/>
      <c r="ID284" s="6056"/>
      <c r="IE284" s="6056"/>
      <c r="IF284" s="6056"/>
      <c r="IG284" s="6056"/>
      <c r="IH284" s="6056"/>
      <c r="II284" s="6056"/>
      <c r="IJ284" s="6056"/>
      <c r="IK284" s="6056"/>
      <c r="IL284" s="6056"/>
      <c r="IM284" s="6056"/>
      <c r="IN284" s="6056"/>
      <c r="IO284" s="6056"/>
      <c r="IP284" s="6056"/>
      <c r="IQ284" s="6056"/>
      <c r="IR284" s="6056"/>
      <c r="IS284" s="6056"/>
      <c r="IT284" s="6056"/>
      <c r="IU284" s="6056"/>
      <c r="IV284" s="6056"/>
      <c r="IW284" s="6056"/>
      <c r="IX284" s="6056"/>
      <c r="IY284" s="6056"/>
      <c r="IZ284" s="6061"/>
      <c r="JA284" s="6061"/>
      <c r="JB284" s="6061"/>
      <c r="JC284" s="6056"/>
      <c r="JD284" s="6056"/>
      <c r="JE284" s="6056"/>
      <c r="JF284" s="6056"/>
      <c r="JG284" s="6056"/>
      <c r="JH284" s="6056"/>
      <c r="JI284" s="6058"/>
      <c r="JM284" s="6055"/>
      <c r="JN284" s="6056"/>
      <c r="JO284" s="6056"/>
      <c r="JP284" s="6056"/>
      <c r="JQ284" s="6056"/>
      <c r="JR284" s="6056"/>
      <c r="JS284" s="6056"/>
      <c r="JT284" s="6056"/>
      <c r="JU284" s="6056"/>
      <c r="JV284" s="6056"/>
      <c r="JW284" s="6056"/>
      <c r="JX284" s="6056"/>
      <c r="JY284" s="6056"/>
      <c r="JZ284" s="6056"/>
      <c r="KA284" s="6056"/>
      <c r="KB284" s="6056"/>
      <c r="KC284" s="6056"/>
      <c r="KD284" s="6056"/>
      <c r="KE284" s="6056"/>
      <c r="KF284" s="6056"/>
      <c r="KG284" s="6056"/>
      <c r="KH284" s="6056"/>
      <c r="KI284" s="6056"/>
      <c r="KJ284" s="6056"/>
      <c r="KK284" s="6056"/>
      <c r="KL284" s="6056"/>
      <c r="KM284" s="6056"/>
      <c r="KN284" s="6056"/>
      <c r="KO284" s="6056"/>
      <c r="KP284" s="6056"/>
      <c r="KQ284" s="6056"/>
      <c r="KR284" s="6056"/>
      <c r="KS284" s="6061"/>
      <c r="KT284" s="6061"/>
      <c r="KU284" s="6061"/>
      <c r="KV284" s="6056"/>
      <c r="KW284" s="6056"/>
      <c r="KX284" s="6056"/>
      <c r="KY284" s="6056"/>
      <c r="KZ284" s="6056"/>
      <c r="LA284" s="6056"/>
      <c r="LB284" s="6058"/>
      <c r="LF284" s="6055"/>
      <c r="LG284" s="6056"/>
      <c r="LH284" s="6056"/>
      <c r="LI284" s="6056"/>
      <c r="LJ284" s="6056"/>
      <c r="LK284" s="6056"/>
      <c r="LL284" s="6056"/>
      <c r="LM284" s="6056"/>
      <c r="LN284" s="6056"/>
      <c r="LO284" s="6056"/>
      <c r="LP284" s="6056"/>
      <c r="LQ284" s="6056"/>
      <c r="LR284" s="6056"/>
      <c r="LS284" s="6056"/>
      <c r="LT284" s="6056"/>
      <c r="LU284" s="6056"/>
      <c r="LV284" s="6056"/>
      <c r="LW284" s="6056"/>
      <c r="LX284" s="6056"/>
      <c r="LY284" s="6056"/>
      <c r="LZ284" s="6056"/>
      <c r="MA284" s="6056"/>
      <c r="MB284" s="6056"/>
      <c r="MC284" s="6056"/>
      <c r="MD284" s="6056"/>
      <c r="ME284" s="6056"/>
      <c r="MF284" s="6056"/>
      <c r="MG284" s="6056"/>
      <c r="MH284" s="6056"/>
      <c r="MI284" s="6056"/>
      <c r="MJ284" s="6056"/>
      <c r="MK284" s="6056"/>
      <c r="ML284" s="6061"/>
      <c r="MM284" s="6061"/>
      <c r="MN284" s="6061"/>
      <c r="MO284" s="6056"/>
      <c r="MP284" s="6056"/>
      <c r="MQ284" s="6056"/>
      <c r="MR284" s="6056"/>
      <c r="MS284" s="6056"/>
      <c r="MT284" s="6056"/>
      <c r="MU284" s="6058"/>
      <c r="MY284" s="6055"/>
      <c r="MZ284" s="6056"/>
      <c r="NA284" s="6056"/>
      <c r="NB284" s="6056"/>
      <c r="NC284" s="6056"/>
      <c r="ND284" s="6056"/>
      <c r="NE284" s="6056"/>
      <c r="NF284" s="6056"/>
      <c r="NG284" s="6056"/>
      <c r="NH284" s="6056"/>
      <c r="NI284" s="6056"/>
      <c r="NJ284" s="6056"/>
      <c r="NK284" s="6056"/>
      <c r="NL284" s="6056"/>
      <c r="NM284" s="6056"/>
      <c r="NN284" s="6056"/>
      <c r="NO284" s="6056"/>
      <c r="NP284" s="6056"/>
      <c r="NQ284" s="6056"/>
      <c r="NR284" s="6056"/>
      <c r="NS284" s="6056"/>
      <c r="NT284" s="6056"/>
      <c r="NU284" s="6056"/>
      <c r="NV284" s="6056"/>
      <c r="NW284" s="6056"/>
      <c r="NX284" s="6056"/>
      <c r="NY284" s="6056"/>
      <c r="NZ284" s="6056"/>
      <c r="OA284" s="6056"/>
      <c r="OB284" s="6056"/>
      <c r="OC284" s="6056"/>
      <c r="OD284" s="6056"/>
      <c r="OE284" s="6061"/>
      <c r="OF284" s="6061"/>
      <c r="OG284" s="6061"/>
      <c r="OH284" s="6056"/>
      <c r="OI284" s="6056"/>
      <c r="OJ284" s="6056"/>
      <c r="OK284" s="6056"/>
      <c r="OL284" s="6056"/>
      <c r="OM284" s="6056"/>
      <c r="ON284" s="6058"/>
    </row>
    <row r="285" spans="3:405" s="6070" customFormat="1" ht="20.100000000000001" customHeight="1" thickBot="1" x14ac:dyDescent="0.25">
      <c r="C285" s="6064"/>
      <c r="D285" s="6093"/>
      <c r="E285" s="6784" t="str">
        <f>_Calcs!$IK$189</f>
        <v>Andre faktorer</v>
      </c>
      <c r="F285" s="6784"/>
      <c r="G285" s="6784"/>
      <c r="H285" s="6784"/>
      <c r="I285" s="6784"/>
      <c r="J285" s="6784"/>
      <c r="K285" s="6784"/>
      <c r="L285" s="6784"/>
      <c r="M285" s="6784"/>
      <c r="N285" s="6784"/>
      <c r="O285" s="6784"/>
      <c r="P285" s="6784"/>
      <c r="Q285" s="6784"/>
      <c r="R285" s="6784"/>
      <c r="S285" s="6784"/>
      <c r="T285" s="6784"/>
      <c r="U285" s="6784"/>
      <c r="V285" s="6784"/>
      <c r="W285" s="6094"/>
      <c r="X285" s="6102"/>
      <c r="Y285" s="6102"/>
      <c r="Z285" s="6102"/>
      <c r="AA285" s="6102"/>
      <c r="AB285" s="6102"/>
      <c r="AC285" s="6102"/>
      <c r="AD285" s="6102"/>
      <c r="AE285" s="6102"/>
      <c r="AF285" s="6102"/>
      <c r="AG285" s="6102"/>
      <c r="AH285" s="6102"/>
      <c r="AI285" s="6103"/>
      <c r="AJ285" s="6103"/>
      <c r="AK285" s="6103"/>
      <c r="AL285" s="6068"/>
      <c r="AM285" s="6104"/>
      <c r="AN285" s="6780" t="str">
        <f>_Calcs!$IK$190</f>
        <v>Nei</v>
      </c>
      <c r="AO285" s="6780"/>
      <c r="AP285" s="6780"/>
      <c r="AQ285" s="6097"/>
      <c r="AR285" s="6098"/>
      <c r="AV285" s="6064"/>
      <c r="AW285" s="6093"/>
      <c r="AX285" s="6784" t="str">
        <f>_Calcs!$IL$189</f>
        <v>Andre faktorer</v>
      </c>
      <c r="AY285" s="6784"/>
      <c r="AZ285" s="6784"/>
      <c r="BA285" s="6784"/>
      <c r="BB285" s="6784"/>
      <c r="BC285" s="6784"/>
      <c r="BD285" s="6784"/>
      <c r="BE285" s="6784"/>
      <c r="BF285" s="6784"/>
      <c r="BG285" s="6784"/>
      <c r="BH285" s="6784"/>
      <c r="BI285" s="6784"/>
      <c r="BJ285" s="6784"/>
      <c r="BK285" s="6784"/>
      <c r="BL285" s="6784"/>
      <c r="BM285" s="6784"/>
      <c r="BN285" s="6784"/>
      <c r="BO285" s="6784"/>
      <c r="BP285" s="6094"/>
      <c r="BQ285" s="6102"/>
      <c r="BR285" s="6102"/>
      <c r="BS285" s="6102"/>
      <c r="BT285" s="6102"/>
      <c r="BU285" s="6102"/>
      <c r="BV285" s="6102"/>
      <c r="BW285" s="6102"/>
      <c r="BX285" s="6102"/>
      <c r="BY285" s="6102"/>
      <c r="BZ285" s="6102"/>
      <c r="CA285" s="6102"/>
      <c r="CB285" s="6103"/>
      <c r="CC285" s="6103"/>
      <c r="CD285" s="6103"/>
      <c r="CE285" s="6068"/>
      <c r="CF285" s="6104"/>
      <c r="CG285" s="6780" t="str">
        <f>_Calcs!$IL$190</f>
        <v>Nei</v>
      </c>
      <c r="CH285" s="6780"/>
      <c r="CI285" s="6780"/>
      <c r="CJ285" s="6097"/>
      <c r="CK285" s="6098"/>
      <c r="CO285" s="6064"/>
      <c r="CP285" s="6093"/>
      <c r="CQ285" s="6784" t="str">
        <f>_Calcs!$IM$189</f>
        <v>Andre faktorer</v>
      </c>
      <c r="CR285" s="6784"/>
      <c r="CS285" s="6784"/>
      <c r="CT285" s="6784"/>
      <c r="CU285" s="6784"/>
      <c r="CV285" s="6784"/>
      <c r="CW285" s="6784"/>
      <c r="CX285" s="6784"/>
      <c r="CY285" s="6784"/>
      <c r="CZ285" s="6784"/>
      <c r="DA285" s="6784"/>
      <c r="DB285" s="6784"/>
      <c r="DC285" s="6784"/>
      <c r="DD285" s="6784"/>
      <c r="DE285" s="6784"/>
      <c r="DF285" s="6784"/>
      <c r="DG285" s="6784"/>
      <c r="DH285" s="6784"/>
      <c r="DI285" s="6094"/>
      <c r="DJ285" s="6102"/>
      <c r="DK285" s="6102"/>
      <c r="DL285" s="6102"/>
      <c r="DM285" s="6102"/>
      <c r="DN285" s="6102"/>
      <c r="DO285" s="6102"/>
      <c r="DP285" s="6102"/>
      <c r="DQ285" s="6102"/>
      <c r="DR285" s="6102"/>
      <c r="DS285" s="6102"/>
      <c r="DT285" s="6102"/>
      <c r="DU285" s="6103"/>
      <c r="DV285" s="6103"/>
      <c r="DW285" s="6103"/>
      <c r="DX285" s="6068"/>
      <c r="DY285" s="6104"/>
      <c r="DZ285" s="6780" t="str">
        <f>_Calcs!$IM$190</f>
        <v>Nei</v>
      </c>
      <c r="EA285" s="6780"/>
      <c r="EB285" s="6780"/>
      <c r="EC285" s="6097"/>
      <c r="ED285" s="6098"/>
      <c r="EH285" s="6064"/>
      <c r="EI285" s="6093"/>
      <c r="EJ285" s="6784" t="str">
        <f>_Calcs!$IN$189</f>
        <v>Andre faktorer</v>
      </c>
      <c r="EK285" s="6784"/>
      <c r="EL285" s="6784"/>
      <c r="EM285" s="6784"/>
      <c r="EN285" s="6784"/>
      <c r="EO285" s="6784"/>
      <c r="EP285" s="6784"/>
      <c r="EQ285" s="6784"/>
      <c r="ER285" s="6784"/>
      <c r="ES285" s="6784"/>
      <c r="ET285" s="6784"/>
      <c r="EU285" s="6784"/>
      <c r="EV285" s="6784"/>
      <c r="EW285" s="6784"/>
      <c r="EX285" s="6784"/>
      <c r="EY285" s="6784"/>
      <c r="EZ285" s="6784"/>
      <c r="FA285" s="6784"/>
      <c r="FB285" s="6094"/>
      <c r="FC285" s="6102"/>
      <c r="FD285" s="6102"/>
      <c r="FE285" s="6102"/>
      <c r="FF285" s="6102"/>
      <c r="FG285" s="6102"/>
      <c r="FH285" s="6102"/>
      <c r="FI285" s="6102"/>
      <c r="FJ285" s="6102"/>
      <c r="FK285" s="6102"/>
      <c r="FL285" s="6102"/>
      <c r="FM285" s="6102"/>
      <c r="FN285" s="6103"/>
      <c r="FO285" s="6103"/>
      <c r="FP285" s="6103"/>
      <c r="FQ285" s="6068"/>
      <c r="FR285" s="6104"/>
      <c r="FS285" s="6780" t="str">
        <f>_Calcs!$IN$190</f>
        <v>Nei</v>
      </c>
      <c r="FT285" s="6780"/>
      <c r="FU285" s="6780"/>
      <c r="FV285" s="6097"/>
      <c r="FW285" s="6098"/>
      <c r="GA285" s="6064"/>
      <c r="GB285" s="6093"/>
      <c r="GC285" s="6784" t="str">
        <f>_Calcs!$IO$189</f>
        <v>Andre faktorer</v>
      </c>
      <c r="GD285" s="6784"/>
      <c r="GE285" s="6784"/>
      <c r="GF285" s="6784"/>
      <c r="GG285" s="6784"/>
      <c r="GH285" s="6784"/>
      <c r="GI285" s="6784"/>
      <c r="GJ285" s="6784"/>
      <c r="GK285" s="6784"/>
      <c r="GL285" s="6784"/>
      <c r="GM285" s="6784"/>
      <c r="GN285" s="6784"/>
      <c r="GO285" s="6784"/>
      <c r="GP285" s="6784"/>
      <c r="GQ285" s="6784"/>
      <c r="GR285" s="6784"/>
      <c r="GS285" s="6784"/>
      <c r="GT285" s="6784"/>
      <c r="GU285" s="6094"/>
      <c r="GV285" s="6102"/>
      <c r="GW285" s="6102"/>
      <c r="GX285" s="6102"/>
      <c r="GY285" s="6102"/>
      <c r="GZ285" s="6102"/>
      <c r="HA285" s="6102"/>
      <c r="HB285" s="6102"/>
      <c r="HC285" s="6102"/>
      <c r="HD285" s="6102"/>
      <c r="HE285" s="6102"/>
      <c r="HF285" s="6102"/>
      <c r="HG285" s="6103"/>
      <c r="HH285" s="6103"/>
      <c r="HI285" s="6103"/>
      <c r="HJ285" s="6068"/>
      <c r="HK285" s="6104"/>
      <c r="HL285" s="6780" t="str">
        <f>_Calcs!$IO$190</f>
        <v>Nei</v>
      </c>
      <c r="HM285" s="6780"/>
      <c r="HN285" s="6780"/>
      <c r="HO285" s="6097"/>
      <c r="HP285" s="6098"/>
      <c r="HT285" s="6064"/>
      <c r="HU285" s="6093"/>
      <c r="HV285" s="6784" t="str">
        <f>_Calcs!$IP$189</f>
        <v>Andre faktorer</v>
      </c>
      <c r="HW285" s="6784"/>
      <c r="HX285" s="6784"/>
      <c r="HY285" s="6784"/>
      <c r="HZ285" s="6784"/>
      <c r="IA285" s="6784"/>
      <c r="IB285" s="6784"/>
      <c r="IC285" s="6784"/>
      <c r="ID285" s="6784"/>
      <c r="IE285" s="6784"/>
      <c r="IF285" s="6784"/>
      <c r="IG285" s="6784"/>
      <c r="IH285" s="6784"/>
      <c r="II285" s="6784"/>
      <c r="IJ285" s="6784"/>
      <c r="IK285" s="6784"/>
      <c r="IL285" s="6784"/>
      <c r="IM285" s="6784"/>
      <c r="IN285" s="6094"/>
      <c r="IO285" s="6102"/>
      <c r="IP285" s="6102"/>
      <c r="IQ285" s="6102"/>
      <c r="IR285" s="6102"/>
      <c r="IS285" s="6102"/>
      <c r="IT285" s="6102"/>
      <c r="IU285" s="6102"/>
      <c r="IV285" s="6102"/>
      <c r="IW285" s="6102"/>
      <c r="IX285" s="6102"/>
      <c r="IY285" s="6102"/>
      <c r="IZ285" s="6103"/>
      <c r="JA285" s="6103"/>
      <c r="JB285" s="6103"/>
      <c r="JC285" s="6068"/>
      <c r="JD285" s="6104"/>
      <c r="JE285" s="6780" t="str">
        <f>_Calcs!$IP$190</f>
        <v>Nei</v>
      </c>
      <c r="JF285" s="6780"/>
      <c r="JG285" s="6780"/>
      <c r="JH285" s="6097"/>
      <c r="JI285" s="6098"/>
      <c r="JM285" s="6064"/>
      <c r="JN285" s="6093"/>
      <c r="JO285" s="6784" t="str">
        <f>_Calcs!$IQ$189</f>
        <v>Andre faktorer</v>
      </c>
      <c r="JP285" s="6784"/>
      <c r="JQ285" s="6784"/>
      <c r="JR285" s="6784"/>
      <c r="JS285" s="6784"/>
      <c r="JT285" s="6784"/>
      <c r="JU285" s="6784"/>
      <c r="JV285" s="6784"/>
      <c r="JW285" s="6784"/>
      <c r="JX285" s="6784"/>
      <c r="JY285" s="6784"/>
      <c r="JZ285" s="6784"/>
      <c r="KA285" s="6784"/>
      <c r="KB285" s="6784"/>
      <c r="KC285" s="6784"/>
      <c r="KD285" s="6784"/>
      <c r="KE285" s="6784"/>
      <c r="KF285" s="6784"/>
      <c r="KG285" s="6094"/>
      <c r="KH285" s="6102"/>
      <c r="KI285" s="6102"/>
      <c r="KJ285" s="6102"/>
      <c r="KK285" s="6102"/>
      <c r="KL285" s="6102"/>
      <c r="KM285" s="6102"/>
      <c r="KN285" s="6102"/>
      <c r="KO285" s="6102"/>
      <c r="KP285" s="6102"/>
      <c r="KQ285" s="6102"/>
      <c r="KR285" s="6102"/>
      <c r="KS285" s="6103"/>
      <c r="KT285" s="6103"/>
      <c r="KU285" s="6103"/>
      <c r="KV285" s="6068"/>
      <c r="KW285" s="6104"/>
      <c r="KX285" s="6780" t="str">
        <f>_Calcs!$IQ$190</f>
        <v>Nei</v>
      </c>
      <c r="KY285" s="6780"/>
      <c r="KZ285" s="6780"/>
      <c r="LA285" s="6097"/>
      <c r="LB285" s="6098"/>
      <c r="LF285" s="6064"/>
      <c r="LG285" s="6093"/>
      <c r="LH285" s="6784" t="str">
        <f>_Calcs!$IR$189</f>
        <v>Andre faktorer</v>
      </c>
      <c r="LI285" s="6784"/>
      <c r="LJ285" s="6784"/>
      <c r="LK285" s="6784"/>
      <c r="LL285" s="6784"/>
      <c r="LM285" s="6784"/>
      <c r="LN285" s="6784"/>
      <c r="LO285" s="6784"/>
      <c r="LP285" s="6784"/>
      <c r="LQ285" s="6784"/>
      <c r="LR285" s="6784"/>
      <c r="LS285" s="6784"/>
      <c r="LT285" s="6784"/>
      <c r="LU285" s="6784"/>
      <c r="LV285" s="6784"/>
      <c r="LW285" s="6784"/>
      <c r="LX285" s="6784"/>
      <c r="LY285" s="6784"/>
      <c r="LZ285" s="6094"/>
      <c r="MA285" s="6102"/>
      <c r="MB285" s="6102"/>
      <c r="MC285" s="6102"/>
      <c r="MD285" s="6102"/>
      <c r="ME285" s="6102"/>
      <c r="MF285" s="6102"/>
      <c r="MG285" s="6102"/>
      <c r="MH285" s="6102"/>
      <c r="MI285" s="6102"/>
      <c r="MJ285" s="6102"/>
      <c r="MK285" s="6102"/>
      <c r="ML285" s="6103"/>
      <c r="MM285" s="6103"/>
      <c r="MN285" s="6103"/>
      <c r="MO285" s="6068"/>
      <c r="MP285" s="6104"/>
      <c r="MQ285" s="6780" t="str">
        <f>_Calcs!$IR$190</f>
        <v>Nei</v>
      </c>
      <c r="MR285" s="6780"/>
      <c r="MS285" s="6780"/>
      <c r="MT285" s="6097"/>
      <c r="MU285" s="6098"/>
      <c r="MY285" s="6064"/>
      <c r="MZ285" s="6093"/>
      <c r="NA285" s="6784" t="str">
        <f>_Calcs!$IS$189</f>
        <v>Andre faktorer</v>
      </c>
      <c r="NB285" s="6784"/>
      <c r="NC285" s="6784"/>
      <c r="ND285" s="6784"/>
      <c r="NE285" s="6784"/>
      <c r="NF285" s="6784"/>
      <c r="NG285" s="6784"/>
      <c r="NH285" s="6784"/>
      <c r="NI285" s="6784"/>
      <c r="NJ285" s="6784"/>
      <c r="NK285" s="6784"/>
      <c r="NL285" s="6784"/>
      <c r="NM285" s="6784"/>
      <c r="NN285" s="6784"/>
      <c r="NO285" s="6784"/>
      <c r="NP285" s="6784"/>
      <c r="NQ285" s="6784"/>
      <c r="NR285" s="6784"/>
      <c r="NS285" s="6094"/>
      <c r="NT285" s="6102"/>
      <c r="NU285" s="6102"/>
      <c r="NV285" s="6102"/>
      <c r="NW285" s="6102"/>
      <c r="NX285" s="6102"/>
      <c r="NY285" s="6102"/>
      <c r="NZ285" s="6102"/>
      <c r="OA285" s="6102"/>
      <c r="OB285" s="6102"/>
      <c r="OC285" s="6102"/>
      <c r="OD285" s="6102"/>
      <c r="OE285" s="6103"/>
      <c r="OF285" s="6103"/>
      <c r="OG285" s="6103"/>
      <c r="OH285" s="6068"/>
      <c r="OI285" s="6104"/>
      <c r="OJ285" s="6780" t="str">
        <f>_Calcs!$IS$190</f>
        <v>Nei</v>
      </c>
      <c r="OK285" s="6780"/>
      <c r="OL285" s="6780"/>
      <c r="OM285" s="6097"/>
      <c r="ON285" s="6098"/>
    </row>
    <row r="286" spans="3:405" ht="8.1" customHeight="1" x14ac:dyDescent="0.2">
      <c r="C286" s="6055"/>
      <c r="D286" s="6056"/>
      <c r="E286" s="6056"/>
      <c r="F286" s="6056"/>
      <c r="G286" s="6056"/>
      <c r="H286" s="6056"/>
      <c r="I286" s="6056"/>
      <c r="J286" s="6056"/>
      <c r="K286" s="6056"/>
      <c r="L286" s="6056"/>
      <c r="M286" s="6056"/>
      <c r="N286" s="6056"/>
      <c r="O286" s="6056"/>
      <c r="P286" s="6056"/>
      <c r="Q286" s="6056"/>
      <c r="R286" s="6056"/>
      <c r="S286" s="6056"/>
      <c r="T286" s="6056"/>
      <c r="U286" s="6056"/>
      <c r="V286" s="6057"/>
      <c r="W286" s="6057"/>
      <c r="X286" s="6057"/>
      <c r="Y286" s="6057"/>
      <c r="Z286" s="6057"/>
      <c r="AA286" s="6056"/>
      <c r="AB286" s="6057"/>
      <c r="AC286" s="6057"/>
      <c r="AD286" s="6057"/>
      <c r="AE286" s="6056"/>
      <c r="AF286" s="6057"/>
      <c r="AG286" s="6057"/>
      <c r="AH286" s="6057"/>
      <c r="AI286" s="6057"/>
      <c r="AJ286" s="6057"/>
      <c r="AK286" s="6056"/>
      <c r="AL286" s="6056"/>
      <c r="AM286" s="6056"/>
      <c r="AN286" s="6056"/>
      <c r="AO286" s="6056"/>
      <c r="AP286" s="6056"/>
      <c r="AQ286" s="6056"/>
      <c r="AR286" s="6058"/>
      <c r="AV286" s="6055"/>
      <c r="AW286" s="6056"/>
      <c r="AX286" s="6056"/>
      <c r="AY286" s="6056"/>
      <c r="AZ286" s="6056"/>
      <c r="BA286" s="6056"/>
      <c r="BB286" s="6056"/>
      <c r="BC286" s="6056"/>
      <c r="BD286" s="6056"/>
      <c r="BE286" s="6056"/>
      <c r="BF286" s="6056"/>
      <c r="BG286" s="6056"/>
      <c r="BH286" s="6056"/>
      <c r="BI286" s="6056"/>
      <c r="BJ286" s="6056"/>
      <c r="BK286" s="6056"/>
      <c r="BL286" s="6056"/>
      <c r="BM286" s="6056"/>
      <c r="BN286" s="6056"/>
      <c r="BO286" s="6057"/>
      <c r="BP286" s="6057"/>
      <c r="BQ286" s="6057"/>
      <c r="BR286" s="6057"/>
      <c r="BS286" s="6057"/>
      <c r="BT286" s="6056"/>
      <c r="BU286" s="6057"/>
      <c r="BV286" s="6057"/>
      <c r="BW286" s="6057"/>
      <c r="BX286" s="6056"/>
      <c r="BY286" s="6057"/>
      <c r="BZ286" s="6057"/>
      <c r="CA286" s="6057"/>
      <c r="CB286" s="6057"/>
      <c r="CC286" s="6057"/>
      <c r="CD286" s="6056"/>
      <c r="CE286" s="6056"/>
      <c r="CF286" s="6056"/>
      <c r="CG286" s="6056"/>
      <c r="CH286" s="6056"/>
      <c r="CI286" s="6056"/>
      <c r="CJ286" s="6056"/>
      <c r="CK286" s="6058"/>
      <c r="CO286" s="6055"/>
      <c r="CP286" s="6056"/>
      <c r="CQ286" s="6056"/>
      <c r="CR286" s="6056"/>
      <c r="CS286" s="6056"/>
      <c r="CT286" s="6056"/>
      <c r="CU286" s="6056"/>
      <c r="CV286" s="6056"/>
      <c r="CW286" s="6056"/>
      <c r="CX286" s="6056"/>
      <c r="CY286" s="6056"/>
      <c r="CZ286" s="6056"/>
      <c r="DA286" s="6056"/>
      <c r="DB286" s="6056"/>
      <c r="DC286" s="6056"/>
      <c r="DD286" s="6056"/>
      <c r="DE286" s="6056"/>
      <c r="DF286" s="6056"/>
      <c r="DG286" s="6056"/>
      <c r="DH286" s="6057"/>
      <c r="DI286" s="6057"/>
      <c r="DJ286" s="6057"/>
      <c r="DK286" s="6057"/>
      <c r="DL286" s="6057"/>
      <c r="DM286" s="6056"/>
      <c r="DN286" s="6057"/>
      <c r="DO286" s="6057"/>
      <c r="DP286" s="6057"/>
      <c r="DQ286" s="6056"/>
      <c r="DR286" s="6057"/>
      <c r="DS286" s="6057"/>
      <c r="DT286" s="6057"/>
      <c r="DU286" s="6057"/>
      <c r="DV286" s="6057"/>
      <c r="DW286" s="6056"/>
      <c r="DX286" s="6056"/>
      <c r="DY286" s="6056"/>
      <c r="DZ286" s="6056"/>
      <c r="EA286" s="6056"/>
      <c r="EB286" s="6056"/>
      <c r="EC286" s="6056"/>
      <c r="ED286" s="6058"/>
      <c r="EH286" s="6055"/>
      <c r="EI286" s="6056"/>
      <c r="EJ286" s="6056"/>
      <c r="EK286" s="6056"/>
      <c r="EL286" s="6056"/>
      <c r="EM286" s="6056"/>
      <c r="EN286" s="6056"/>
      <c r="EO286" s="6056"/>
      <c r="EP286" s="6056"/>
      <c r="EQ286" s="6056"/>
      <c r="ER286" s="6056"/>
      <c r="ES286" s="6056"/>
      <c r="ET286" s="6056"/>
      <c r="EU286" s="6056"/>
      <c r="EV286" s="6056"/>
      <c r="EW286" s="6056"/>
      <c r="EX286" s="6056"/>
      <c r="EY286" s="6056"/>
      <c r="EZ286" s="6056"/>
      <c r="FA286" s="6057"/>
      <c r="FB286" s="6057"/>
      <c r="FC286" s="6057"/>
      <c r="FD286" s="6057"/>
      <c r="FE286" s="6057"/>
      <c r="FF286" s="6056"/>
      <c r="FG286" s="6057"/>
      <c r="FH286" s="6057"/>
      <c r="FI286" s="6057"/>
      <c r="FJ286" s="6056"/>
      <c r="FK286" s="6057"/>
      <c r="FL286" s="6057"/>
      <c r="FM286" s="6057"/>
      <c r="FN286" s="6057"/>
      <c r="FO286" s="6057"/>
      <c r="FP286" s="6056"/>
      <c r="FQ286" s="6056"/>
      <c r="FR286" s="6056"/>
      <c r="FS286" s="6056"/>
      <c r="FT286" s="6056"/>
      <c r="FU286" s="6056"/>
      <c r="FV286" s="6056"/>
      <c r="FW286" s="6058"/>
      <c r="GA286" s="6055"/>
      <c r="GB286" s="6056"/>
      <c r="GC286" s="6056"/>
      <c r="GD286" s="6056"/>
      <c r="GE286" s="6056"/>
      <c r="GF286" s="6056"/>
      <c r="GG286" s="6056"/>
      <c r="GH286" s="6056"/>
      <c r="GI286" s="6056"/>
      <c r="GJ286" s="6056"/>
      <c r="GK286" s="6056"/>
      <c r="GL286" s="6056"/>
      <c r="GM286" s="6056"/>
      <c r="GN286" s="6056"/>
      <c r="GO286" s="6056"/>
      <c r="GP286" s="6056"/>
      <c r="GQ286" s="6056"/>
      <c r="GR286" s="6056"/>
      <c r="GS286" s="6056"/>
      <c r="GT286" s="6057"/>
      <c r="GU286" s="6057"/>
      <c r="GV286" s="6057"/>
      <c r="GW286" s="6057"/>
      <c r="GX286" s="6057"/>
      <c r="GY286" s="6056"/>
      <c r="GZ286" s="6057"/>
      <c r="HA286" s="6057"/>
      <c r="HB286" s="6057"/>
      <c r="HC286" s="6056"/>
      <c r="HD286" s="6057"/>
      <c r="HE286" s="6057"/>
      <c r="HF286" s="6057"/>
      <c r="HG286" s="6057"/>
      <c r="HH286" s="6057"/>
      <c r="HI286" s="6056"/>
      <c r="HJ286" s="6056"/>
      <c r="HK286" s="6056"/>
      <c r="HL286" s="6056"/>
      <c r="HM286" s="6056"/>
      <c r="HN286" s="6056"/>
      <c r="HO286" s="6056"/>
      <c r="HP286" s="6058"/>
      <c r="HT286" s="6055"/>
      <c r="HU286" s="6056"/>
      <c r="HV286" s="6056"/>
      <c r="HW286" s="6056"/>
      <c r="HX286" s="6056"/>
      <c r="HY286" s="6056"/>
      <c r="HZ286" s="6056"/>
      <c r="IA286" s="6056"/>
      <c r="IB286" s="6056"/>
      <c r="IC286" s="6056"/>
      <c r="ID286" s="6056"/>
      <c r="IE286" s="6056"/>
      <c r="IF286" s="6056"/>
      <c r="IG286" s="6056"/>
      <c r="IH286" s="6056"/>
      <c r="II286" s="6056"/>
      <c r="IJ286" s="6056"/>
      <c r="IK286" s="6056"/>
      <c r="IL286" s="6056"/>
      <c r="IM286" s="6057"/>
      <c r="IN286" s="6057"/>
      <c r="IO286" s="6057"/>
      <c r="IP286" s="6057"/>
      <c r="IQ286" s="6057"/>
      <c r="IR286" s="6056"/>
      <c r="IS286" s="6057"/>
      <c r="IT286" s="6057"/>
      <c r="IU286" s="6057"/>
      <c r="IV286" s="6056"/>
      <c r="IW286" s="6057"/>
      <c r="IX286" s="6057"/>
      <c r="IY286" s="6057"/>
      <c r="IZ286" s="6057"/>
      <c r="JA286" s="6057"/>
      <c r="JB286" s="6056"/>
      <c r="JC286" s="6056"/>
      <c r="JD286" s="6056"/>
      <c r="JE286" s="6056"/>
      <c r="JF286" s="6056"/>
      <c r="JG286" s="6056"/>
      <c r="JH286" s="6056"/>
      <c r="JI286" s="6058"/>
      <c r="JM286" s="6055"/>
      <c r="JN286" s="6056"/>
      <c r="JO286" s="6056"/>
      <c r="JP286" s="6056"/>
      <c r="JQ286" s="6056"/>
      <c r="JR286" s="6056"/>
      <c r="JS286" s="6056"/>
      <c r="JT286" s="6056"/>
      <c r="JU286" s="6056"/>
      <c r="JV286" s="6056"/>
      <c r="JW286" s="6056"/>
      <c r="JX286" s="6056"/>
      <c r="JY286" s="6056"/>
      <c r="JZ286" s="6056"/>
      <c r="KA286" s="6056"/>
      <c r="KB286" s="6056"/>
      <c r="KC286" s="6056"/>
      <c r="KD286" s="6056"/>
      <c r="KE286" s="6056"/>
      <c r="KF286" s="6057"/>
      <c r="KG286" s="6057"/>
      <c r="KH286" s="6057"/>
      <c r="KI286" s="6057"/>
      <c r="KJ286" s="6057"/>
      <c r="KK286" s="6056"/>
      <c r="KL286" s="6057"/>
      <c r="KM286" s="6057"/>
      <c r="KN286" s="6057"/>
      <c r="KO286" s="6056"/>
      <c r="KP286" s="6057"/>
      <c r="KQ286" s="6057"/>
      <c r="KR286" s="6057"/>
      <c r="KS286" s="6057"/>
      <c r="KT286" s="6057"/>
      <c r="KU286" s="6056"/>
      <c r="KV286" s="6056"/>
      <c r="KW286" s="6056"/>
      <c r="KX286" s="6056"/>
      <c r="KY286" s="6056"/>
      <c r="KZ286" s="6056"/>
      <c r="LA286" s="6056"/>
      <c r="LB286" s="6058"/>
      <c r="LF286" s="6055"/>
      <c r="LG286" s="6056"/>
      <c r="LH286" s="6056"/>
      <c r="LI286" s="6056"/>
      <c r="LJ286" s="6056"/>
      <c r="LK286" s="6056"/>
      <c r="LL286" s="6056"/>
      <c r="LM286" s="6056"/>
      <c r="LN286" s="6056"/>
      <c r="LO286" s="6056"/>
      <c r="LP286" s="6056"/>
      <c r="LQ286" s="6056"/>
      <c r="LR286" s="6056"/>
      <c r="LS286" s="6056"/>
      <c r="LT286" s="6056"/>
      <c r="LU286" s="6056"/>
      <c r="LV286" s="6056"/>
      <c r="LW286" s="6056"/>
      <c r="LX286" s="6056"/>
      <c r="LY286" s="6057"/>
      <c r="LZ286" s="6057"/>
      <c r="MA286" s="6057"/>
      <c r="MB286" s="6057"/>
      <c r="MC286" s="6057"/>
      <c r="MD286" s="6056"/>
      <c r="ME286" s="6057"/>
      <c r="MF286" s="6057"/>
      <c r="MG286" s="6057"/>
      <c r="MH286" s="6056"/>
      <c r="MI286" s="6057"/>
      <c r="MJ286" s="6057"/>
      <c r="MK286" s="6057"/>
      <c r="ML286" s="6057"/>
      <c r="MM286" s="6057"/>
      <c r="MN286" s="6056"/>
      <c r="MO286" s="6056"/>
      <c r="MP286" s="6056"/>
      <c r="MQ286" s="6056"/>
      <c r="MR286" s="6056"/>
      <c r="MS286" s="6056"/>
      <c r="MT286" s="6056"/>
      <c r="MU286" s="6058"/>
      <c r="MY286" s="6055"/>
      <c r="MZ286" s="6056"/>
      <c r="NA286" s="6056"/>
      <c r="NB286" s="6056"/>
      <c r="NC286" s="6056"/>
      <c r="ND286" s="6056"/>
      <c r="NE286" s="6056"/>
      <c r="NF286" s="6056"/>
      <c r="NG286" s="6056"/>
      <c r="NH286" s="6056"/>
      <c r="NI286" s="6056"/>
      <c r="NJ286" s="6056"/>
      <c r="NK286" s="6056"/>
      <c r="NL286" s="6056"/>
      <c r="NM286" s="6056"/>
      <c r="NN286" s="6056"/>
      <c r="NO286" s="6056"/>
      <c r="NP286" s="6056"/>
      <c r="NQ286" s="6056"/>
      <c r="NR286" s="6057"/>
      <c r="NS286" s="6057"/>
      <c r="NT286" s="6057"/>
      <c r="NU286" s="6057"/>
      <c r="NV286" s="6057"/>
      <c r="NW286" s="6056"/>
      <c r="NX286" s="6057"/>
      <c r="NY286" s="6057"/>
      <c r="NZ286" s="6057"/>
      <c r="OA286" s="6056"/>
      <c r="OB286" s="6057"/>
      <c r="OC286" s="6057"/>
      <c r="OD286" s="6057"/>
      <c r="OE286" s="6057"/>
      <c r="OF286" s="6057"/>
      <c r="OG286" s="6056"/>
      <c r="OH286" s="6056"/>
      <c r="OI286" s="6056"/>
      <c r="OJ286" s="6056"/>
      <c r="OK286" s="6056"/>
      <c r="OL286" s="6056"/>
      <c r="OM286" s="6056"/>
      <c r="ON286" s="6058"/>
    </row>
    <row r="287" spans="3:405" s="6075" customFormat="1" ht="12" customHeight="1" x14ac:dyDescent="0.2">
      <c r="C287" s="6071"/>
      <c r="D287" s="6060" t="str">
        <f>_Calcs!$N$80</f>
        <v>Tidjustering</v>
      </c>
      <c r="E287" s="6072"/>
      <c r="F287" s="6072"/>
      <c r="G287" s="6072"/>
      <c r="H287" s="6072"/>
      <c r="I287" s="6072"/>
      <c r="J287" s="6072"/>
      <c r="K287" s="6072"/>
      <c r="L287" s="6072"/>
      <c r="M287" s="6099"/>
      <c r="N287" s="6099"/>
      <c r="O287" s="6099"/>
      <c r="P287" s="6099"/>
      <c r="Q287" s="6099"/>
      <c r="R287" s="6099"/>
      <c r="S287" s="6099"/>
      <c r="T287" s="6099"/>
      <c r="U287" s="6072"/>
      <c r="V287" s="6072"/>
      <c r="W287" s="6072"/>
      <c r="X287" s="6072"/>
      <c r="Y287" s="6072"/>
      <c r="Z287" s="6072"/>
      <c r="AA287" s="6072"/>
      <c r="AB287" s="6072"/>
      <c r="AC287" s="6072"/>
      <c r="AD287" s="6072"/>
      <c r="AE287" s="6072"/>
      <c r="AF287" s="6072"/>
      <c r="AG287" s="6072"/>
      <c r="AH287" s="6072"/>
      <c r="AI287" s="6072"/>
      <c r="AJ287" s="6072"/>
      <c r="AK287" s="6072"/>
      <c r="AL287" s="6072"/>
      <c r="AM287" s="6072"/>
      <c r="AN287" s="6072"/>
      <c r="AO287" s="6072"/>
      <c r="AP287" s="6072"/>
      <c r="AQ287" s="6072"/>
      <c r="AR287" s="6074"/>
      <c r="AV287" s="6071"/>
      <c r="AW287" s="6060" t="str">
        <f>_Calcs!$N$80</f>
        <v>Tidjustering</v>
      </c>
      <c r="AX287" s="6072"/>
      <c r="AY287" s="6072"/>
      <c r="AZ287" s="6072"/>
      <c r="BA287" s="6072"/>
      <c r="BB287" s="6072"/>
      <c r="BC287" s="6072"/>
      <c r="BD287" s="6072"/>
      <c r="BE287" s="6072"/>
      <c r="BF287" s="6099"/>
      <c r="BG287" s="6099"/>
      <c r="BH287" s="6099"/>
      <c r="BI287" s="6099"/>
      <c r="BJ287" s="6099"/>
      <c r="BK287" s="6099"/>
      <c r="BL287" s="6099"/>
      <c r="BM287" s="6099"/>
      <c r="BN287" s="6072"/>
      <c r="BO287" s="6072"/>
      <c r="BP287" s="6072"/>
      <c r="BQ287" s="6072"/>
      <c r="BR287" s="6072"/>
      <c r="BS287" s="6072"/>
      <c r="BT287" s="6072"/>
      <c r="BU287" s="6072"/>
      <c r="BV287" s="6072"/>
      <c r="BW287" s="6072"/>
      <c r="BX287" s="6072"/>
      <c r="BY287" s="6072"/>
      <c r="BZ287" s="6072"/>
      <c r="CA287" s="6072"/>
      <c r="CB287" s="6072"/>
      <c r="CC287" s="6072"/>
      <c r="CD287" s="6072"/>
      <c r="CE287" s="6072"/>
      <c r="CF287" s="6072"/>
      <c r="CG287" s="6072"/>
      <c r="CH287" s="6072"/>
      <c r="CI287" s="6072"/>
      <c r="CJ287" s="6072"/>
      <c r="CK287" s="6074"/>
      <c r="CO287" s="6071"/>
      <c r="CP287" s="6060" t="str">
        <f>_Calcs!$N$80</f>
        <v>Tidjustering</v>
      </c>
      <c r="CQ287" s="6072"/>
      <c r="CR287" s="6072"/>
      <c r="CS287" s="6072"/>
      <c r="CT287" s="6072"/>
      <c r="CU287" s="6072"/>
      <c r="CV287" s="6072"/>
      <c r="CW287" s="6072"/>
      <c r="CX287" s="6072"/>
      <c r="CY287" s="6099"/>
      <c r="CZ287" s="6099"/>
      <c r="DA287" s="6099"/>
      <c r="DB287" s="6099"/>
      <c r="DC287" s="6099"/>
      <c r="DD287" s="6099"/>
      <c r="DE287" s="6099"/>
      <c r="DF287" s="6099"/>
      <c r="DG287" s="6072"/>
      <c r="DH287" s="6072"/>
      <c r="DI287" s="6072"/>
      <c r="DJ287" s="6072"/>
      <c r="DK287" s="6072"/>
      <c r="DL287" s="6072"/>
      <c r="DM287" s="6072"/>
      <c r="DN287" s="6072"/>
      <c r="DO287" s="6072"/>
      <c r="DP287" s="6072"/>
      <c r="DQ287" s="6072"/>
      <c r="DR287" s="6072"/>
      <c r="DS287" s="6072"/>
      <c r="DT287" s="6072"/>
      <c r="DU287" s="6072"/>
      <c r="DV287" s="6072"/>
      <c r="DW287" s="6072"/>
      <c r="DX287" s="6072"/>
      <c r="DY287" s="6072"/>
      <c r="DZ287" s="6072"/>
      <c r="EA287" s="6072"/>
      <c r="EB287" s="6072"/>
      <c r="EC287" s="6072"/>
      <c r="ED287" s="6074"/>
      <c r="EH287" s="6071"/>
      <c r="EI287" s="6060" t="str">
        <f>_Calcs!$N$80</f>
        <v>Tidjustering</v>
      </c>
      <c r="EJ287" s="6072"/>
      <c r="EK287" s="6072"/>
      <c r="EL287" s="6072"/>
      <c r="EM287" s="6072"/>
      <c r="EN287" s="6072"/>
      <c r="EO287" s="6072"/>
      <c r="EP287" s="6072"/>
      <c r="EQ287" s="6072"/>
      <c r="ER287" s="6099"/>
      <c r="ES287" s="6099"/>
      <c r="ET287" s="6099"/>
      <c r="EU287" s="6099"/>
      <c r="EV287" s="6099"/>
      <c r="EW287" s="6099"/>
      <c r="EX287" s="6099"/>
      <c r="EY287" s="6099"/>
      <c r="EZ287" s="6072"/>
      <c r="FA287" s="6072"/>
      <c r="FB287" s="6072"/>
      <c r="FC287" s="6072"/>
      <c r="FD287" s="6072"/>
      <c r="FE287" s="6072"/>
      <c r="FF287" s="6072"/>
      <c r="FG287" s="6072"/>
      <c r="FH287" s="6072"/>
      <c r="FI287" s="6072"/>
      <c r="FJ287" s="6072"/>
      <c r="FK287" s="6072"/>
      <c r="FL287" s="6072"/>
      <c r="FM287" s="6072"/>
      <c r="FN287" s="6072"/>
      <c r="FO287" s="6072"/>
      <c r="FP287" s="6072"/>
      <c r="FQ287" s="6072"/>
      <c r="FR287" s="6072"/>
      <c r="FS287" s="6072"/>
      <c r="FT287" s="6072"/>
      <c r="FU287" s="6072"/>
      <c r="FV287" s="6072"/>
      <c r="FW287" s="6074"/>
      <c r="GA287" s="6071"/>
      <c r="GB287" s="6060" t="str">
        <f>_Calcs!$N$80</f>
        <v>Tidjustering</v>
      </c>
      <c r="GC287" s="6072"/>
      <c r="GD287" s="6072"/>
      <c r="GE287" s="6072"/>
      <c r="GF287" s="6072"/>
      <c r="GG287" s="6072"/>
      <c r="GH287" s="6072"/>
      <c r="GI287" s="6072"/>
      <c r="GJ287" s="6072"/>
      <c r="GK287" s="6099"/>
      <c r="GL287" s="6099"/>
      <c r="GM287" s="6099"/>
      <c r="GN287" s="6099"/>
      <c r="GO287" s="6099"/>
      <c r="GP287" s="6099"/>
      <c r="GQ287" s="6099"/>
      <c r="GR287" s="6099"/>
      <c r="GS287" s="6072"/>
      <c r="GT287" s="6072"/>
      <c r="GU287" s="6072"/>
      <c r="GV287" s="6072"/>
      <c r="GW287" s="6072"/>
      <c r="GX287" s="6072"/>
      <c r="GY287" s="6072"/>
      <c r="GZ287" s="6072"/>
      <c r="HA287" s="6072"/>
      <c r="HB287" s="6072"/>
      <c r="HC287" s="6072"/>
      <c r="HD287" s="6072"/>
      <c r="HE287" s="6072"/>
      <c r="HF287" s="6072"/>
      <c r="HG287" s="6072"/>
      <c r="HH287" s="6072"/>
      <c r="HI287" s="6072"/>
      <c r="HJ287" s="6072"/>
      <c r="HK287" s="6072"/>
      <c r="HL287" s="6072"/>
      <c r="HM287" s="6072"/>
      <c r="HN287" s="6072"/>
      <c r="HO287" s="6072"/>
      <c r="HP287" s="6074"/>
      <c r="HT287" s="6071"/>
      <c r="HU287" s="6060" t="str">
        <f>_Calcs!$N$80</f>
        <v>Tidjustering</v>
      </c>
      <c r="HV287" s="6072"/>
      <c r="HW287" s="6072"/>
      <c r="HX287" s="6072"/>
      <c r="HY287" s="6072"/>
      <c r="HZ287" s="6072"/>
      <c r="IA287" s="6072"/>
      <c r="IB287" s="6072"/>
      <c r="IC287" s="6072"/>
      <c r="ID287" s="6099"/>
      <c r="IE287" s="6099"/>
      <c r="IF287" s="6099"/>
      <c r="IG287" s="6099"/>
      <c r="IH287" s="6099"/>
      <c r="II287" s="6099"/>
      <c r="IJ287" s="6099"/>
      <c r="IK287" s="6099"/>
      <c r="IL287" s="6072"/>
      <c r="IM287" s="6072"/>
      <c r="IN287" s="6072"/>
      <c r="IO287" s="6072"/>
      <c r="IP287" s="6072"/>
      <c r="IQ287" s="6072"/>
      <c r="IR287" s="6072"/>
      <c r="IS287" s="6072"/>
      <c r="IT287" s="6072"/>
      <c r="IU287" s="6072"/>
      <c r="IV287" s="6072"/>
      <c r="IW287" s="6072"/>
      <c r="IX287" s="6072"/>
      <c r="IY287" s="6072"/>
      <c r="IZ287" s="6072"/>
      <c r="JA287" s="6072"/>
      <c r="JB287" s="6072"/>
      <c r="JC287" s="6072"/>
      <c r="JD287" s="6072"/>
      <c r="JE287" s="6072"/>
      <c r="JF287" s="6072"/>
      <c r="JG287" s="6072"/>
      <c r="JH287" s="6072"/>
      <c r="JI287" s="6074"/>
      <c r="JM287" s="6071"/>
      <c r="JN287" s="6060" t="str">
        <f>_Calcs!$N$80</f>
        <v>Tidjustering</v>
      </c>
      <c r="JO287" s="6072"/>
      <c r="JP287" s="6072"/>
      <c r="JQ287" s="6072"/>
      <c r="JR287" s="6072"/>
      <c r="JS287" s="6072"/>
      <c r="JT287" s="6072"/>
      <c r="JU287" s="6072"/>
      <c r="JV287" s="6072"/>
      <c r="JW287" s="6099"/>
      <c r="JX287" s="6099"/>
      <c r="JY287" s="6099"/>
      <c r="JZ287" s="6099"/>
      <c r="KA287" s="6099"/>
      <c r="KB287" s="6099"/>
      <c r="KC287" s="6099"/>
      <c r="KD287" s="6099"/>
      <c r="KE287" s="6072"/>
      <c r="KF287" s="6072"/>
      <c r="KG287" s="6072"/>
      <c r="KH287" s="6072"/>
      <c r="KI287" s="6072"/>
      <c r="KJ287" s="6072"/>
      <c r="KK287" s="6072"/>
      <c r="KL287" s="6072"/>
      <c r="KM287" s="6072"/>
      <c r="KN287" s="6072"/>
      <c r="KO287" s="6072"/>
      <c r="KP287" s="6072"/>
      <c r="KQ287" s="6072"/>
      <c r="KR287" s="6072"/>
      <c r="KS287" s="6072"/>
      <c r="KT287" s="6072"/>
      <c r="KU287" s="6072"/>
      <c r="KV287" s="6072"/>
      <c r="KW287" s="6072"/>
      <c r="KX287" s="6072"/>
      <c r="KY287" s="6072"/>
      <c r="KZ287" s="6072"/>
      <c r="LA287" s="6072"/>
      <c r="LB287" s="6074"/>
      <c r="LF287" s="6071"/>
      <c r="LG287" s="6060" t="str">
        <f>_Calcs!$N$80</f>
        <v>Tidjustering</v>
      </c>
      <c r="LH287" s="6072"/>
      <c r="LI287" s="6072"/>
      <c r="LJ287" s="6072"/>
      <c r="LK287" s="6072"/>
      <c r="LL287" s="6072"/>
      <c r="LM287" s="6072"/>
      <c r="LN287" s="6072"/>
      <c r="LO287" s="6072"/>
      <c r="LP287" s="6099"/>
      <c r="LQ287" s="6099"/>
      <c r="LR287" s="6099"/>
      <c r="LS287" s="6099"/>
      <c r="LT287" s="6099"/>
      <c r="LU287" s="6099"/>
      <c r="LV287" s="6099"/>
      <c r="LW287" s="6099"/>
      <c r="LX287" s="6072"/>
      <c r="LY287" s="6072"/>
      <c r="LZ287" s="6072"/>
      <c r="MA287" s="6072"/>
      <c r="MB287" s="6072"/>
      <c r="MC287" s="6072"/>
      <c r="MD287" s="6072"/>
      <c r="ME287" s="6072"/>
      <c r="MF287" s="6072"/>
      <c r="MG287" s="6072"/>
      <c r="MH287" s="6072"/>
      <c r="MI287" s="6072"/>
      <c r="MJ287" s="6072"/>
      <c r="MK287" s="6072"/>
      <c r="ML287" s="6072"/>
      <c r="MM287" s="6072"/>
      <c r="MN287" s="6072"/>
      <c r="MO287" s="6072"/>
      <c r="MP287" s="6072"/>
      <c r="MQ287" s="6072"/>
      <c r="MR287" s="6072"/>
      <c r="MS287" s="6072"/>
      <c r="MT287" s="6072"/>
      <c r="MU287" s="6074"/>
      <c r="MY287" s="6071"/>
      <c r="MZ287" s="6060" t="str">
        <f>_Calcs!$N$80</f>
        <v>Tidjustering</v>
      </c>
      <c r="NA287" s="6072"/>
      <c r="NB287" s="6072"/>
      <c r="NC287" s="6072"/>
      <c r="ND287" s="6072"/>
      <c r="NE287" s="6072"/>
      <c r="NF287" s="6072"/>
      <c r="NG287" s="6072"/>
      <c r="NH287" s="6072"/>
      <c r="NI287" s="6099"/>
      <c r="NJ287" s="6099"/>
      <c r="NK287" s="6099"/>
      <c r="NL287" s="6099"/>
      <c r="NM287" s="6099"/>
      <c r="NN287" s="6099"/>
      <c r="NO287" s="6099"/>
      <c r="NP287" s="6099"/>
      <c r="NQ287" s="6072"/>
      <c r="NR287" s="6072"/>
      <c r="NS287" s="6072"/>
      <c r="NT287" s="6072"/>
      <c r="NU287" s="6072"/>
      <c r="NV287" s="6072"/>
      <c r="NW287" s="6072"/>
      <c r="NX287" s="6072"/>
      <c r="NY287" s="6072"/>
      <c r="NZ287" s="6072"/>
      <c r="OA287" s="6072"/>
      <c r="OB287" s="6072"/>
      <c r="OC287" s="6072"/>
      <c r="OD287" s="6072"/>
      <c r="OE287" s="6072"/>
      <c r="OF287" s="6072"/>
      <c r="OG287" s="6072"/>
      <c r="OH287" s="6072"/>
      <c r="OI287" s="6072"/>
      <c r="OJ287" s="6072"/>
      <c r="OK287" s="6072"/>
      <c r="OL287" s="6072"/>
      <c r="OM287" s="6072"/>
      <c r="ON287" s="6074"/>
    </row>
    <row r="288" spans="3:405" ht="5.0999999999999996" customHeight="1" thickBot="1" x14ac:dyDescent="0.25">
      <c r="C288" s="6055"/>
      <c r="D288" s="6056"/>
      <c r="E288" s="6056"/>
      <c r="F288" s="6056"/>
      <c r="G288" s="6056"/>
      <c r="H288" s="6056"/>
      <c r="I288" s="6056"/>
      <c r="J288" s="6056"/>
      <c r="K288" s="6056"/>
      <c r="L288" s="6056"/>
      <c r="M288" s="6100"/>
      <c r="N288" s="6100"/>
      <c r="O288" s="6100"/>
      <c r="P288" s="6100"/>
      <c r="Q288" s="6100"/>
      <c r="R288" s="6100"/>
      <c r="S288" s="6100"/>
      <c r="T288" s="6100"/>
      <c r="U288" s="6056"/>
      <c r="V288" s="6057"/>
      <c r="W288" s="6057"/>
      <c r="X288" s="6057"/>
      <c r="Y288" s="6057"/>
      <c r="Z288" s="6057"/>
      <c r="AA288" s="6056"/>
      <c r="AB288" s="6057"/>
      <c r="AC288" s="6057"/>
      <c r="AD288" s="6057"/>
      <c r="AE288" s="6056"/>
      <c r="AF288" s="6057"/>
      <c r="AG288" s="6057"/>
      <c r="AH288" s="6057"/>
      <c r="AI288" s="6057"/>
      <c r="AJ288" s="6057"/>
      <c r="AK288" s="6056"/>
      <c r="AL288" s="6056"/>
      <c r="AM288" s="6056"/>
      <c r="AN288" s="6056"/>
      <c r="AO288" s="6056"/>
      <c r="AP288" s="6056"/>
      <c r="AQ288" s="6056"/>
      <c r="AR288" s="6058"/>
      <c r="AV288" s="6055"/>
      <c r="AW288" s="6056"/>
      <c r="AX288" s="6056"/>
      <c r="AY288" s="6056"/>
      <c r="AZ288" s="6056"/>
      <c r="BA288" s="6056"/>
      <c r="BB288" s="6056"/>
      <c r="BC288" s="6056"/>
      <c r="BD288" s="6056"/>
      <c r="BE288" s="6056"/>
      <c r="BF288" s="6100"/>
      <c r="BG288" s="6100"/>
      <c r="BH288" s="6100"/>
      <c r="BI288" s="6100"/>
      <c r="BJ288" s="6100"/>
      <c r="BK288" s="6100"/>
      <c r="BL288" s="6100"/>
      <c r="BM288" s="6100"/>
      <c r="BN288" s="6056"/>
      <c r="BO288" s="6057"/>
      <c r="BP288" s="6057"/>
      <c r="BQ288" s="6057"/>
      <c r="BR288" s="6057"/>
      <c r="BS288" s="6057"/>
      <c r="BT288" s="6056"/>
      <c r="BU288" s="6057"/>
      <c r="BV288" s="6057"/>
      <c r="BW288" s="6057"/>
      <c r="BX288" s="6056"/>
      <c r="BY288" s="6057"/>
      <c r="BZ288" s="6057"/>
      <c r="CA288" s="6057"/>
      <c r="CB288" s="6057"/>
      <c r="CC288" s="6057"/>
      <c r="CD288" s="6056"/>
      <c r="CE288" s="6056"/>
      <c r="CF288" s="6056"/>
      <c r="CG288" s="6056"/>
      <c r="CH288" s="6056"/>
      <c r="CI288" s="6056"/>
      <c r="CJ288" s="6056"/>
      <c r="CK288" s="6058"/>
      <c r="CO288" s="6055"/>
      <c r="CP288" s="6056"/>
      <c r="CQ288" s="6056"/>
      <c r="CR288" s="6056"/>
      <c r="CS288" s="6056"/>
      <c r="CT288" s="6056"/>
      <c r="CU288" s="6056"/>
      <c r="CV288" s="6056"/>
      <c r="CW288" s="6056"/>
      <c r="CX288" s="6056"/>
      <c r="CY288" s="6100"/>
      <c r="CZ288" s="6100"/>
      <c r="DA288" s="6100"/>
      <c r="DB288" s="6100"/>
      <c r="DC288" s="6100"/>
      <c r="DD288" s="6100"/>
      <c r="DE288" s="6100"/>
      <c r="DF288" s="6100"/>
      <c r="DG288" s="6056"/>
      <c r="DH288" s="6057"/>
      <c r="DI288" s="6057"/>
      <c r="DJ288" s="6057"/>
      <c r="DK288" s="6057"/>
      <c r="DL288" s="6057"/>
      <c r="DM288" s="6056"/>
      <c r="DN288" s="6057"/>
      <c r="DO288" s="6057"/>
      <c r="DP288" s="6057"/>
      <c r="DQ288" s="6056"/>
      <c r="DR288" s="6057"/>
      <c r="DS288" s="6057"/>
      <c r="DT288" s="6057"/>
      <c r="DU288" s="6057"/>
      <c r="DV288" s="6057"/>
      <c r="DW288" s="6056"/>
      <c r="DX288" s="6056"/>
      <c r="DY288" s="6056"/>
      <c r="DZ288" s="6056"/>
      <c r="EA288" s="6056"/>
      <c r="EB288" s="6056"/>
      <c r="EC288" s="6056"/>
      <c r="ED288" s="6058"/>
      <c r="EH288" s="6055"/>
      <c r="EI288" s="6056"/>
      <c r="EJ288" s="6056"/>
      <c r="EK288" s="6056"/>
      <c r="EL288" s="6056"/>
      <c r="EM288" s="6056"/>
      <c r="EN288" s="6056"/>
      <c r="EO288" s="6056"/>
      <c r="EP288" s="6056"/>
      <c r="EQ288" s="6056"/>
      <c r="ER288" s="6100"/>
      <c r="ES288" s="6100"/>
      <c r="ET288" s="6100"/>
      <c r="EU288" s="6100"/>
      <c r="EV288" s="6100"/>
      <c r="EW288" s="6100"/>
      <c r="EX288" s="6100"/>
      <c r="EY288" s="6100"/>
      <c r="EZ288" s="6056"/>
      <c r="FA288" s="6057"/>
      <c r="FB288" s="6057"/>
      <c r="FC288" s="6057"/>
      <c r="FD288" s="6057"/>
      <c r="FE288" s="6057"/>
      <c r="FF288" s="6056"/>
      <c r="FG288" s="6057"/>
      <c r="FH288" s="6057"/>
      <c r="FI288" s="6057"/>
      <c r="FJ288" s="6056"/>
      <c r="FK288" s="6057"/>
      <c r="FL288" s="6057"/>
      <c r="FM288" s="6057"/>
      <c r="FN288" s="6057"/>
      <c r="FO288" s="6057"/>
      <c r="FP288" s="6056"/>
      <c r="FQ288" s="6056"/>
      <c r="FR288" s="6056"/>
      <c r="FS288" s="6056"/>
      <c r="FT288" s="6056"/>
      <c r="FU288" s="6056"/>
      <c r="FV288" s="6056"/>
      <c r="FW288" s="6058"/>
      <c r="GA288" s="6055"/>
      <c r="GB288" s="6056"/>
      <c r="GC288" s="6056"/>
      <c r="GD288" s="6056"/>
      <c r="GE288" s="6056"/>
      <c r="GF288" s="6056"/>
      <c r="GG288" s="6056"/>
      <c r="GH288" s="6056"/>
      <c r="GI288" s="6056"/>
      <c r="GJ288" s="6056"/>
      <c r="GK288" s="6100"/>
      <c r="GL288" s="6100"/>
      <c r="GM288" s="6100"/>
      <c r="GN288" s="6100"/>
      <c r="GO288" s="6100"/>
      <c r="GP288" s="6100"/>
      <c r="GQ288" s="6100"/>
      <c r="GR288" s="6100"/>
      <c r="GS288" s="6056"/>
      <c r="GT288" s="6057"/>
      <c r="GU288" s="6057"/>
      <c r="GV288" s="6057"/>
      <c r="GW288" s="6057"/>
      <c r="GX288" s="6057"/>
      <c r="GY288" s="6056"/>
      <c r="GZ288" s="6057"/>
      <c r="HA288" s="6057"/>
      <c r="HB288" s="6057"/>
      <c r="HC288" s="6056"/>
      <c r="HD288" s="6057"/>
      <c r="HE288" s="6057"/>
      <c r="HF288" s="6057"/>
      <c r="HG288" s="6057"/>
      <c r="HH288" s="6057"/>
      <c r="HI288" s="6056"/>
      <c r="HJ288" s="6056"/>
      <c r="HK288" s="6056"/>
      <c r="HL288" s="6056"/>
      <c r="HM288" s="6056"/>
      <c r="HN288" s="6056"/>
      <c r="HO288" s="6056"/>
      <c r="HP288" s="6058"/>
      <c r="HT288" s="6055"/>
      <c r="HU288" s="6056"/>
      <c r="HV288" s="6056"/>
      <c r="HW288" s="6056"/>
      <c r="HX288" s="6056"/>
      <c r="HY288" s="6056"/>
      <c r="HZ288" s="6056"/>
      <c r="IA288" s="6056"/>
      <c r="IB288" s="6056"/>
      <c r="IC288" s="6056"/>
      <c r="ID288" s="6100"/>
      <c r="IE288" s="6100"/>
      <c r="IF288" s="6100"/>
      <c r="IG288" s="6100"/>
      <c r="IH288" s="6100"/>
      <c r="II288" s="6100"/>
      <c r="IJ288" s="6100"/>
      <c r="IK288" s="6100"/>
      <c r="IL288" s="6056"/>
      <c r="IM288" s="6057"/>
      <c r="IN288" s="6057"/>
      <c r="IO288" s="6057"/>
      <c r="IP288" s="6057"/>
      <c r="IQ288" s="6057"/>
      <c r="IR288" s="6056"/>
      <c r="IS288" s="6057"/>
      <c r="IT288" s="6057"/>
      <c r="IU288" s="6057"/>
      <c r="IV288" s="6056"/>
      <c r="IW288" s="6057"/>
      <c r="IX288" s="6057"/>
      <c r="IY288" s="6057"/>
      <c r="IZ288" s="6057"/>
      <c r="JA288" s="6057"/>
      <c r="JB288" s="6056"/>
      <c r="JC288" s="6056"/>
      <c r="JD288" s="6056"/>
      <c r="JE288" s="6056"/>
      <c r="JF288" s="6056"/>
      <c r="JG288" s="6056"/>
      <c r="JH288" s="6056"/>
      <c r="JI288" s="6058"/>
      <c r="JM288" s="6055"/>
      <c r="JN288" s="6056"/>
      <c r="JO288" s="6056"/>
      <c r="JP288" s="6056"/>
      <c r="JQ288" s="6056"/>
      <c r="JR288" s="6056"/>
      <c r="JS288" s="6056"/>
      <c r="JT288" s="6056"/>
      <c r="JU288" s="6056"/>
      <c r="JV288" s="6056"/>
      <c r="JW288" s="6100"/>
      <c r="JX288" s="6100"/>
      <c r="JY288" s="6100"/>
      <c r="JZ288" s="6100"/>
      <c r="KA288" s="6100"/>
      <c r="KB288" s="6100"/>
      <c r="KC288" s="6100"/>
      <c r="KD288" s="6100"/>
      <c r="KE288" s="6056"/>
      <c r="KF288" s="6057"/>
      <c r="KG288" s="6057"/>
      <c r="KH288" s="6057"/>
      <c r="KI288" s="6057"/>
      <c r="KJ288" s="6057"/>
      <c r="KK288" s="6056"/>
      <c r="KL288" s="6057"/>
      <c r="KM288" s="6057"/>
      <c r="KN288" s="6057"/>
      <c r="KO288" s="6056"/>
      <c r="KP288" s="6057"/>
      <c r="KQ288" s="6057"/>
      <c r="KR288" s="6057"/>
      <c r="KS288" s="6057"/>
      <c r="KT288" s="6057"/>
      <c r="KU288" s="6056"/>
      <c r="KV288" s="6056"/>
      <c r="KW288" s="6056"/>
      <c r="KX288" s="6056"/>
      <c r="KY288" s="6056"/>
      <c r="KZ288" s="6056"/>
      <c r="LA288" s="6056"/>
      <c r="LB288" s="6058"/>
      <c r="LF288" s="6055"/>
      <c r="LG288" s="6056"/>
      <c r="LH288" s="6056"/>
      <c r="LI288" s="6056"/>
      <c r="LJ288" s="6056"/>
      <c r="LK288" s="6056"/>
      <c r="LL288" s="6056"/>
      <c r="LM288" s="6056"/>
      <c r="LN288" s="6056"/>
      <c r="LO288" s="6056"/>
      <c r="LP288" s="6100"/>
      <c r="LQ288" s="6100"/>
      <c r="LR288" s="6100"/>
      <c r="LS288" s="6100"/>
      <c r="LT288" s="6100"/>
      <c r="LU288" s="6100"/>
      <c r="LV288" s="6100"/>
      <c r="LW288" s="6100"/>
      <c r="LX288" s="6056"/>
      <c r="LY288" s="6057"/>
      <c r="LZ288" s="6057"/>
      <c r="MA288" s="6057"/>
      <c r="MB288" s="6057"/>
      <c r="MC288" s="6057"/>
      <c r="MD288" s="6056"/>
      <c r="ME288" s="6057"/>
      <c r="MF288" s="6057"/>
      <c r="MG288" s="6057"/>
      <c r="MH288" s="6056"/>
      <c r="MI288" s="6057"/>
      <c r="MJ288" s="6057"/>
      <c r="MK288" s="6057"/>
      <c r="ML288" s="6057"/>
      <c r="MM288" s="6057"/>
      <c r="MN288" s="6056"/>
      <c r="MO288" s="6056"/>
      <c r="MP288" s="6056"/>
      <c r="MQ288" s="6056"/>
      <c r="MR288" s="6056"/>
      <c r="MS288" s="6056"/>
      <c r="MT288" s="6056"/>
      <c r="MU288" s="6058"/>
      <c r="MY288" s="6055"/>
      <c r="MZ288" s="6056"/>
      <c r="NA288" s="6056"/>
      <c r="NB288" s="6056"/>
      <c r="NC288" s="6056"/>
      <c r="ND288" s="6056"/>
      <c r="NE288" s="6056"/>
      <c r="NF288" s="6056"/>
      <c r="NG288" s="6056"/>
      <c r="NH288" s="6056"/>
      <c r="NI288" s="6100"/>
      <c r="NJ288" s="6100"/>
      <c r="NK288" s="6100"/>
      <c r="NL288" s="6100"/>
      <c r="NM288" s="6100"/>
      <c r="NN288" s="6100"/>
      <c r="NO288" s="6100"/>
      <c r="NP288" s="6100"/>
      <c r="NQ288" s="6056"/>
      <c r="NR288" s="6057"/>
      <c r="NS288" s="6057"/>
      <c r="NT288" s="6057"/>
      <c r="NU288" s="6057"/>
      <c r="NV288" s="6057"/>
      <c r="NW288" s="6056"/>
      <c r="NX288" s="6057"/>
      <c r="NY288" s="6057"/>
      <c r="NZ288" s="6057"/>
      <c r="OA288" s="6056"/>
      <c r="OB288" s="6057"/>
      <c r="OC288" s="6057"/>
      <c r="OD288" s="6057"/>
      <c r="OE288" s="6057"/>
      <c r="OF288" s="6057"/>
      <c r="OG288" s="6056"/>
      <c r="OH288" s="6056"/>
      <c r="OI288" s="6056"/>
      <c r="OJ288" s="6056"/>
      <c r="OK288" s="6056"/>
      <c r="OL288" s="6056"/>
      <c r="OM288" s="6056"/>
      <c r="ON288" s="6058"/>
    </row>
    <row r="289" spans="3:404" s="6070" customFormat="1" ht="20.100000000000001" customHeight="1" thickBot="1" x14ac:dyDescent="0.25">
      <c r="C289" s="6064"/>
      <c r="D289" s="6076"/>
      <c r="E289" s="6781" t="str">
        <f>_Calcs!$IK$191</f>
        <v/>
      </c>
      <c r="F289" s="6781"/>
      <c r="G289" s="6781"/>
      <c r="H289" s="6781"/>
      <c r="I289" s="6781"/>
      <c r="J289" s="6781"/>
      <c r="K289" s="6080"/>
      <c r="L289" s="6101"/>
      <c r="M289" s="6101"/>
      <c r="N289" s="6101"/>
      <c r="O289" s="6101"/>
      <c r="P289" s="6101"/>
      <c r="Q289" s="6101"/>
      <c r="R289" s="6101"/>
      <c r="S289" s="6101"/>
      <c r="T289" s="6101"/>
      <c r="U289" s="6068"/>
      <c r="V289" s="6067"/>
      <c r="W289" s="6067"/>
      <c r="X289" s="6067"/>
      <c r="Y289" s="6067"/>
      <c r="Z289" s="6067"/>
      <c r="AA289" s="6068"/>
      <c r="AB289" s="6067"/>
      <c r="AC289" s="6067"/>
      <c r="AD289" s="6067"/>
      <c r="AE289" s="6068"/>
      <c r="AF289" s="6067"/>
      <c r="AG289" s="6067"/>
      <c r="AH289" s="6067"/>
      <c r="AI289" s="6067"/>
      <c r="AJ289" s="6067"/>
      <c r="AK289" s="6068"/>
      <c r="AL289" s="6068"/>
      <c r="AM289" s="6068"/>
      <c r="AN289" s="6068"/>
      <c r="AO289" s="6068"/>
      <c r="AP289" s="6068"/>
      <c r="AQ289" s="6068"/>
      <c r="AR289" s="6098"/>
      <c r="AV289" s="6064"/>
      <c r="AW289" s="6076"/>
      <c r="AX289" s="6781" t="str">
        <f>_Calcs!$IL$191</f>
        <v/>
      </c>
      <c r="AY289" s="6781"/>
      <c r="AZ289" s="6781"/>
      <c r="BA289" s="6781"/>
      <c r="BB289" s="6781"/>
      <c r="BC289" s="6781"/>
      <c r="BD289" s="6080"/>
      <c r="BE289" s="6101"/>
      <c r="BF289" s="6101"/>
      <c r="BG289" s="6101"/>
      <c r="BH289" s="6101"/>
      <c r="BI289" s="6101"/>
      <c r="BJ289" s="6101"/>
      <c r="BK289" s="6101"/>
      <c r="BL289" s="6101"/>
      <c r="BM289" s="6101"/>
      <c r="BN289" s="6068"/>
      <c r="BO289" s="6067"/>
      <c r="BP289" s="6067"/>
      <c r="BQ289" s="6067"/>
      <c r="BR289" s="6067"/>
      <c r="BS289" s="6067"/>
      <c r="BT289" s="6068"/>
      <c r="BU289" s="6067"/>
      <c r="BV289" s="6067"/>
      <c r="BW289" s="6067"/>
      <c r="BX289" s="6068"/>
      <c r="BY289" s="6067"/>
      <c r="BZ289" s="6067"/>
      <c r="CA289" s="6067"/>
      <c r="CB289" s="6067"/>
      <c r="CC289" s="6067"/>
      <c r="CD289" s="6068"/>
      <c r="CE289" s="6068"/>
      <c r="CF289" s="6068"/>
      <c r="CG289" s="6068"/>
      <c r="CH289" s="6068"/>
      <c r="CI289" s="6068"/>
      <c r="CJ289" s="6068"/>
      <c r="CK289" s="6098"/>
      <c r="CO289" s="6064"/>
      <c r="CP289" s="6076"/>
      <c r="CQ289" s="6781" t="str">
        <f>_Calcs!$IM$191</f>
        <v/>
      </c>
      <c r="CR289" s="6781"/>
      <c r="CS289" s="6781"/>
      <c r="CT289" s="6781"/>
      <c r="CU289" s="6781"/>
      <c r="CV289" s="6781"/>
      <c r="CW289" s="6080"/>
      <c r="CX289" s="6101"/>
      <c r="CY289" s="6101"/>
      <c r="CZ289" s="6101"/>
      <c r="DA289" s="6101"/>
      <c r="DB289" s="6101"/>
      <c r="DC289" s="6101"/>
      <c r="DD289" s="6101"/>
      <c r="DE289" s="6101"/>
      <c r="DF289" s="6101"/>
      <c r="DG289" s="6068"/>
      <c r="DH289" s="6067"/>
      <c r="DI289" s="6067"/>
      <c r="DJ289" s="6067"/>
      <c r="DK289" s="6067"/>
      <c r="DL289" s="6067"/>
      <c r="DM289" s="6068"/>
      <c r="DN289" s="6067"/>
      <c r="DO289" s="6067"/>
      <c r="DP289" s="6067"/>
      <c r="DQ289" s="6068"/>
      <c r="DR289" s="6067"/>
      <c r="DS289" s="6067"/>
      <c r="DT289" s="6067"/>
      <c r="DU289" s="6067"/>
      <c r="DV289" s="6067"/>
      <c r="DW289" s="6068"/>
      <c r="DX289" s="6068"/>
      <c r="DY289" s="6068"/>
      <c r="DZ289" s="6068"/>
      <c r="EA289" s="6068"/>
      <c r="EB289" s="6068"/>
      <c r="EC289" s="6068"/>
      <c r="ED289" s="6098"/>
      <c r="EH289" s="6064"/>
      <c r="EI289" s="6076"/>
      <c r="EJ289" s="6781" t="str">
        <f>_Calcs!$IN$191</f>
        <v/>
      </c>
      <c r="EK289" s="6781"/>
      <c r="EL289" s="6781"/>
      <c r="EM289" s="6781"/>
      <c r="EN289" s="6781"/>
      <c r="EO289" s="6781"/>
      <c r="EP289" s="6080"/>
      <c r="EQ289" s="6101"/>
      <c r="ER289" s="6101"/>
      <c r="ES289" s="6101"/>
      <c r="ET289" s="6101"/>
      <c r="EU289" s="6101"/>
      <c r="EV289" s="6101"/>
      <c r="EW289" s="6101"/>
      <c r="EX289" s="6101"/>
      <c r="EY289" s="6101"/>
      <c r="EZ289" s="6068"/>
      <c r="FA289" s="6067"/>
      <c r="FB289" s="6067"/>
      <c r="FC289" s="6067"/>
      <c r="FD289" s="6067"/>
      <c r="FE289" s="6067"/>
      <c r="FF289" s="6068"/>
      <c r="FG289" s="6067"/>
      <c r="FH289" s="6067"/>
      <c r="FI289" s="6067"/>
      <c r="FJ289" s="6068"/>
      <c r="FK289" s="6067"/>
      <c r="FL289" s="6067"/>
      <c r="FM289" s="6067"/>
      <c r="FN289" s="6067"/>
      <c r="FO289" s="6067"/>
      <c r="FP289" s="6068"/>
      <c r="FQ289" s="6068"/>
      <c r="FR289" s="6068"/>
      <c r="FS289" s="6068"/>
      <c r="FT289" s="6068"/>
      <c r="FU289" s="6068"/>
      <c r="FV289" s="6068"/>
      <c r="FW289" s="6098"/>
      <c r="GA289" s="6064"/>
      <c r="GB289" s="6076"/>
      <c r="GC289" s="6781" t="str">
        <f>_Calcs!$IO$191</f>
        <v/>
      </c>
      <c r="GD289" s="6781"/>
      <c r="GE289" s="6781"/>
      <c r="GF289" s="6781"/>
      <c r="GG289" s="6781"/>
      <c r="GH289" s="6781"/>
      <c r="GI289" s="6080"/>
      <c r="GJ289" s="6101"/>
      <c r="GK289" s="6101"/>
      <c r="GL289" s="6101"/>
      <c r="GM289" s="6101"/>
      <c r="GN289" s="6101"/>
      <c r="GO289" s="6101"/>
      <c r="GP289" s="6101"/>
      <c r="GQ289" s="6101"/>
      <c r="GR289" s="6101"/>
      <c r="GS289" s="6068"/>
      <c r="GT289" s="6067"/>
      <c r="GU289" s="6067"/>
      <c r="GV289" s="6067"/>
      <c r="GW289" s="6067"/>
      <c r="GX289" s="6067"/>
      <c r="GY289" s="6068"/>
      <c r="GZ289" s="6067"/>
      <c r="HA289" s="6067"/>
      <c r="HB289" s="6067"/>
      <c r="HC289" s="6068"/>
      <c r="HD289" s="6067"/>
      <c r="HE289" s="6067"/>
      <c r="HF289" s="6067"/>
      <c r="HG289" s="6067"/>
      <c r="HH289" s="6067"/>
      <c r="HI289" s="6068"/>
      <c r="HJ289" s="6068"/>
      <c r="HK289" s="6068"/>
      <c r="HL289" s="6068"/>
      <c r="HM289" s="6068"/>
      <c r="HN289" s="6068"/>
      <c r="HO289" s="6068"/>
      <c r="HP289" s="6098"/>
      <c r="HT289" s="6064"/>
      <c r="HU289" s="6076"/>
      <c r="HV289" s="6781" t="str">
        <f>_Calcs!$IP$191</f>
        <v/>
      </c>
      <c r="HW289" s="6781"/>
      <c r="HX289" s="6781"/>
      <c r="HY289" s="6781"/>
      <c r="HZ289" s="6781"/>
      <c r="IA289" s="6781"/>
      <c r="IB289" s="6080"/>
      <c r="IC289" s="6101"/>
      <c r="ID289" s="6101"/>
      <c r="IE289" s="6101"/>
      <c r="IF289" s="6101"/>
      <c r="IG289" s="6101"/>
      <c r="IH289" s="6101"/>
      <c r="II289" s="6101"/>
      <c r="IJ289" s="6101"/>
      <c r="IK289" s="6101"/>
      <c r="IL289" s="6068"/>
      <c r="IM289" s="6067"/>
      <c r="IN289" s="6067"/>
      <c r="IO289" s="6067"/>
      <c r="IP289" s="6067"/>
      <c r="IQ289" s="6067"/>
      <c r="IR289" s="6068"/>
      <c r="IS289" s="6067"/>
      <c r="IT289" s="6067"/>
      <c r="IU289" s="6067"/>
      <c r="IV289" s="6068"/>
      <c r="IW289" s="6067"/>
      <c r="IX289" s="6067"/>
      <c r="IY289" s="6067"/>
      <c r="IZ289" s="6067"/>
      <c r="JA289" s="6067"/>
      <c r="JB289" s="6068"/>
      <c r="JC289" s="6068"/>
      <c r="JD289" s="6068"/>
      <c r="JE289" s="6068"/>
      <c r="JF289" s="6068"/>
      <c r="JG289" s="6068"/>
      <c r="JH289" s="6068"/>
      <c r="JI289" s="6098"/>
      <c r="JM289" s="6064"/>
      <c r="JN289" s="6076"/>
      <c r="JO289" s="6781" t="str">
        <f>_Calcs!$IQ$191</f>
        <v/>
      </c>
      <c r="JP289" s="6781"/>
      <c r="JQ289" s="6781"/>
      <c r="JR289" s="6781"/>
      <c r="JS289" s="6781"/>
      <c r="JT289" s="6781"/>
      <c r="JU289" s="6080"/>
      <c r="JV289" s="6101"/>
      <c r="JW289" s="6101"/>
      <c r="JX289" s="6101"/>
      <c r="JY289" s="6101"/>
      <c r="JZ289" s="6101"/>
      <c r="KA289" s="6101"/>
      <c r="KB289" s="6101"/>
      <c r="KC289" s="6101"/>
      <c r="KD289" s="6101"/>
      <c r="KE289" s="6068"/>
      <c r="KF289" s="6067"/>
      <c r="KG289" s="6067"/>
      <c r="KH289" s="6067"/>
      <c r="KI289" s="6067"/>
      <c r="KJ289" s="6067"/>
      <c r="KK289" s="6068"/>
      <c r="KL289" s="6067"/>
      <c r="KM289" s="6067"/>
      <c r="KN289" s="6067"/>
      <c r="KO289" s="6068"/>
      <c r="KP289" s="6067"/>
      <c r="KQ289" s="6067"/>
      <c r="KR289" s="6067"/>
      <c r="KS289" s="6067"/>
      <c r="KT289" s="6067"/>
      <c r="KU289" s="6068"/>
      <c r="KV289" s="6068"/>
      <c r="KW289" s="6068"/>
      <c r="KX289" s="6068"/>
      <c r="KY289" s="6068"/>
      <c r="KZ289" s="6068"/>
      <c r="LA289" s="6068"/>
      <c r="LB289" s="6098"/>
      <c r="LF289" s="6064"/>
      <c r="LG289" s="6076"/>
      <c r="LH289" s="6781" t="str">
        <f>_Calcs!$IR$191</f>
        <v/>
      </c>
      <c r="LI289" s="6781"/>
      <c r="LJ289" s="6781"/>
      <c r="LK289" s="6781"/>
      <c r="LL289" s="6781"/>
      <c r="LM289" s="6781"/>
      <c r="LN289" s="6080"/>
      <c r="LO289" s="6101"/>
      <c r="LP289" s="6101"/>
      <c r="LQ289" s="6101"/>
      <c r="LR289" s="6101"/>
      <c r="LS289" s="6101"/>
      <c r="LT289" s="6101"/>
      <c r="LU289" s="6101"/>
      <c r="LV289" s="6101"/>
      <c r="LW289" s="6101"/>
      <c r="LX289" s="6068"/>
      <c r="LY289" s="6067"/>
      <c r="LZ289" s="6067"/>
      <c r="MA289" s="6067"/>
      <c r="MB289" s="6067"/>
      <c r="MC289" s="6067"/>
      <c r="MD289" s="6068"/>
      <c r="ME289" s="6067"/>
      <c r="MF289" s="6067"/>
      <c r="MG289" s="6067"/>
      <c r="MH289" s="6068"/>
      <c r="MI289" s="6067"/>
      <c r="MJ289" s="6067"/>
      <c r="MK289" s="6067"/>
      <c r="ML289" s="6067"/>
      <c r="MM289" s="6067"/>
      <c r="MN289" s="6068"/>
      <c r="MO289" s="6068"/>
      <c r="MP289" s="6068"/>
      <c r="MQ289" s="6068"/>
      <c r="MR289" s="6068"/>
      <c r="MS289" s="6068"/>
      <c r="MT289" s="6068"/>
      <c r="MU289" s="6098"/>
      <c r="MY289" s="6064"/>
      <c r="MZ289" s="6076"/>
      <c r="NA289" s="6781" t="str">
        <f>_Calcs!$IS$191</f>
        <v/>
      </c>
      <c r="NB289" s="6781"/>
      <c r="NC289" s="6781"/>
      <c r="ND289" s="6781"/>
      <c r="NE289" s="6781"/>
      <c r="NF289" s="6781"/>
      <c r="NG289" s="6080"/>
      <c r="NH289" s="6101"/>
      <c r="NI289" s="6101"/>
      <c r="NJ289" s="6101"/>
      <c r="NK289" s="6101"/>
      <c r="NL289" s="6101"/>
      <c r="NM289" s="6101"/>
      <c r="NN289" s="6101"/>
      <c r="NO289" s="6101"/>
      <c r="NP289" s="6101"/>
      <c r="NQ289" s="6068"/>
      <c r="NR289" s="6067"/>
      <c r="NS289" s="6067"/>
      <c r="NT289" s="6067"/>
      <c r="NU289" s="6067"/>
      <c r="NV289" s="6067"/>
      <c r="NW289" s="6068"/>
      <c r="NX289" s="6067"/>
      <c r="NY289" s="6067"/>
      <c r="NZ289" s="6067"/>
      <c r="OA289" s="6068"/>
      <c r="OB289" s="6067"/>
      <c r="OC289" s="6067"/>
      <c r="OD289" s="6067"/>
      <c r="OE289" s="6067"/>
      <c r="OF289" s="6067"/>
      <c r="OG289" s="6068"/>
      <c r="OH289" s="6068"/>
      <c r="OI289" s="6068"/>
      <c r="OJ289" s="6068"/>
      <c r="OK289" s="6068"/>
      <c r="OL289" s="6068"/>
      <c r="OM289" s="6068"/>
      <c r="ON289" s="6098"/>
    </row>
    <row r="290" spans="3:404" ht="8.1" customHeight="1" x14ac:dyDescent="0.2">
      <c r="C290" s="6055"/>
      <c r="D290" s="6056"/>
      <c r="E290" s="6056"/>
      <c r="F290" s="6056"/>
      <c r="G290" s="6056"/>
      <c r="H290" s="6056"/>
      <c r="I290" s="6056"/>
      <c r="J290" s="6056"/>
      <c r="K290" s="6056"/>
      <c r="L290" s="6056"/>
      <c r="M290" s="6056"/>
      <c r="N290" s="6056"/>
      <c r="O290" s="6056"/>
      <c r="P290" s="6056"/>
      <c r="Q290" s="6056"/>
      <c r="R290" s="6056"/>
      <c r="S290" s="6056"/>
      <c r="T290" s="6056"/>
      <c r="U290" s="6056"/>
      <c r="V290" s="6057"/>
      <c r="W290" s="6057"/>
      <c r="X290" s="6057"/>
      <c r="Y290" s="6057"/>
      <c r="Z290" s="6057"/>
      <c r="AA290" s="6056"/>
      <c r="AB290" s="6057"/>
      <c r="AC290" s="6057"/>
      <c r="AD290" s="6057"/>
      <c r="AE290" s="6056"/>
      <c r="AF290" s="6057"/>
      <c r="AG290" s="6057"/>
      <c r="AH290" s="6057"/>
      <c r="AI290" s="6057"/>
      <c r="AJ290" s="6057"/>
      <c r="AK290" s="6056"/>
      <c r="AL290" s="6056"/>
      <c r="AM290" s="6056"/>
      <c r="AN290" s="6056"/>
      <c r="AO290" s="6056"/>
      <c r="AP290" s="6056"/>
      <c r="AQ290" s="6056"/>
      <c r="AR290" s="6058"/>
      <c r="AV290" s="6055"/>
      <c r="AW290" s="6056"/>
      <c r="AX290" s="6056"/>
      <c r="AY290" s="6056"/>
      <c r="AZ290" s="6056"/>
      <c r="BA290" s="6056"/>
      <c r="BB290" s="6056"/>
      <c r="BC290" s="6056"/>
      <c r="BD290" s="6056"/>
      <c r="BE290" s="6056"/>
      <c r="BF290" s="6056"/>
      <c r="BG290" s="6056"/>
      <c r="BH290" s="6056"/>
      <c r="BI290" s="6056"/>
      <c r="BJ290" s="6056"/>
      <c r="BK290" s="6056"/>
      <c r="BL290" s="6056"/>
      <c r="BM290" s="6056"/>
      <c r="BN290" s="6056"/>
      <c r="BO290" s="6057"/>
      <c r="BP290" s="6057"/>
      <c r="BQ290" s="6057"/>
      <c r="BR290" s="6057"/>
      <c r="BS290" s="6057"/>
      <c r="BT290" s="6056"/>
      <c r="BU290" s="6057"/>
      <c r="BV290" s="6057"/>
      <c r="BW290" s="6057"/>
      <c r="BX290" s="6056"/>
      <c r="BY290" s="6057"/>
      <c r="BZ290" s="6057"/>
      <c r="CA290" s="6057"/>
      <c r="CB290" s="6057"/>
      <c r="CC290" s="6057"/>
      <c r="CD290" s="6056"/>
      <c r="CE290" s="6056"/>
      <c r="CF290" s="6056"/>
      <c r="CG290" s="6056"/>
      <c r="CH290" s="6056"/>
      <c r="CI290" s="6056"/>
      <c r="CJ290" s="6056"/>
      <c r="CK290" s="6058"/>
      <c r="CO290" s="6055"/>
      <c r="CP290" s="6056"/>
      <c r="CQ290" s="6056"/>
      <c r="CR290" s="6056"/>
      <c r="CS290" s="6056"/>
      <c r="CT290" s="6056"/>
      <c r="CU290" s="6056"/>
      <c r="CV290" s="6056"/>
      <c r="CW290" s="6056"/>
      <c r="CX290" s="6056"/>
      <c r="CY290" s="6056"/>
      <c r="CZ290" s="6056"/>
      <c r="DA290" s="6056"/>
      <c r="DB290" s="6056"/>
      <c r="DC290" s="6056"/>
      <c r="DD290" s="6056"/>
      <c r="DE290" s="6056"/>
      <c r="DF290" s="6056"/>
      <c r="DG290" s="6056"/>
      <c r="DH290" s="6057"/>
      <c r="DI290" s="6057"/>
      <c r="DJ290" s="6057"/>
      <c r="DK290" s="6057"/>
      <c r="DL290" s="6057"/>
      <c r="DM290" s="6056"/>
      <c r="DN290" s="6057"/>
      <c r="DO290" s="6057"/>
      <c r="DP290" s="6057"/>
      <c r="DQ290" s="6056"/>
      <c r="DR290" s="6057"/>
      <c r="DS290" s="6057"/>
      <c r="DT290" s="6057"/>
      <c r="DU290" s="6057"/>
      <c r="DV290" s="6057"/>
      <c r="DW290" s="6056"/>
      <c r="DX290" s="6056"/>
      <c r="DY290" s="6056"/>
      <c r="DZ290" s="6056"/>
      <c r="EA290" s="6056"/>
      <c r="EB290" s="6056"/>
      <c r="EC290" s="6056"/>
      <c r="ED290" s="6058"/>
      <c r="EH290" s="6055"/>
      <c r="EI290" s="6056"/>
      <c r="EJ290" s="6056"/>
      <c r="EK290" s="6056"/>
      <c r="EL290" s="6056"/>
      <c r="EM290" s="6056"/>
      <c r="EN290" s="6056"/>
      <c r="EO290" s="6056"/>
      <c r="EP290" s="6056"/>
      <c r="EQ290" s="6056"/>
      <c r="ER290" s="6056"/>
      <c r="ES290" s="6056"/>
      <c r="ET290" s="6056"/>
      <c r="EU290" s="6056"/>
      <c r="EV290" s="6056"/>
      <c r="EW290" s="6056"/>
      <c r="EX290" s="6056"/>
      <c r="EY290" s="6056"/>
      <c r="EZ290" s="6056"/>
      <c r="FA290" s="6057"/>
      <c r="FB290" s="6057"/>
      <c r="FC290" s="6057"/>
      <c r="FD290" s="6057"/>
      <c r="FE290" s="6057"/>
      <c r="FF290" s="6056"/>
      <c r="FG290" s="6057"/>
      <c r="FH290" s="6057"/>
      <c r="FI290" s="6057"/>
      <c r="FJ290" s="6056"/>
      <c r="FK290" s="6057"/>
      <c r="FL290" s="6057"/>
      <c r="FM290" s="6057"/>
      <c r="FN290" s="6057"/>
      <c r="FO290" s="6057"/>
      <c r="FP290" s="6056"/>
      <c r="FQ290" s="6056"/>
      <c r="FR290" s="6056"/>
      <c r="FS290" s="6056"/>
      <c r="FT290" s="6056"/>
      <c r="FU290" s="6056"/>
      <c r="FV290" s="6056"/>
      <c r="FW290" s="6058"/>
      <c r="GA290" s="6055"/>
      <c r="GB290" s="6056"/>
      <c r="GC290" s="6056"/>
      <c r="GD290" s="6056"/>
      <c r="GE290" s="6056"/>
      <c r="GF290" s="6056"/>
      <c r="GG290" s="6056"/>
      <c r="GH290" s="6056"/>
      <c r="GI290" s="6056"/>
      <c r="GJ290" s="6056"/>
      <c r="GK290" s="6056"/>
      <c r="GL290" s="6056"/>
      <c r="GM290" s="6056"/>
      <c r="GN290" s="6056"/>
      <c r="GO290" s="6056"/>
      <c r="GP290" s="6056"/>
      <c r="GQ290" s="6056"/>
      <c r="GR290" s="6056"/>
      <c r="GS290" s="6056"/>
      <c r="GT290" s="6057"/>
      <c r="GU290" s="6057"/>
      <c r="GV290" s="6057"/>
      <c r="GW290" s="6057"/>
      <c r="GX290" s="6057"/>
      <c r="GY290" s="6056"/>
      <c r="GZ290" s="6057"/>
      <c r="HA290" s="6057"/>
      <c r="HB290" s="6057"/>
      <c r="HC290" s="6056"/>
      <c r="HD290" s="6057"/>
      <c r="HE290" s="6057"/>
      <c r="HF290" s="6057"/>
      <c r="HG290" s="6057"/>
      <c r="HH290" s="6057"/>
      <c r="HI290" s="6056"/>
      <c r="HJ290" s="6056"/>
      <c r="HK290" s="6056"/>
      <c r="HL290" s="6056"/>
      <c r="HM290" s="6056"/>
      <c r="HN290" s="6056"/>
      <c r="HO290" s="6056"/>
      <c r="HP290" s="6058"/>
      <c r="HT290" s="6055"/>
      <c r="HU290" s="6056"/>
      <c r="HV290" s="6056"/>
      <c r="HW290" s="6056"/>
      <c r="HX290" s="6056"/>
      <c r="HY290" s="6056"/>
      <c r="HZ290" s="6056"/>
      <c r="IA290" s="6056"/>
      <c r="IB290" s="6056"/>
      <c r="IC290" s="6056"/>
      <c r="ID290" s="6056"/>
      <c r="IE290" s="6056"/>
      <c r="IF290" s="6056"/>
      <c r="IG290" s="6056"/>
      <c r="IH290" s="6056"/>
      <c r="II290" s="6056"/>
      <c r="IJ290" s="6056"/>
      <c r="IK290" s="6056"/>
      <c r="IL290" s="6056"/>
      <c r="IM290" s="6057"/>
      <c r="IN290" s="6057"/>
      <c r="IO290" s="6057"/>
      <c r="IP290" s="6057"/>
      <c r="IQ290" s="6057"/>
      <c r="IR290" s="6056"/>
      <c r="IS290" s="6057"/>
      <c r="IT290" s="6057"/>
      <c r="IU290" s="6057"/>
      <c r="IV290" s="6056"/>
      <c r="IW290" s="6057"/>
      <c r="IX290" s="6057"/>
      <c r="IY290" s="6057"/>
      <c r="IZ290" s="6057"/>
      <c r="JA290" s="6057"/>
      <c r="JB290" s="6056"/>
      <c r="JC290" s="6056"/>
      <c r="JD290" s="6056"/>
      <c r="JE290" s="6056"/>
      <c r="JF290" s="6056"/>
      <c r="JG290" s="6056"/>
      <c r="JH290" s="6056"/>
      <c r="JI290" s="6058"/>
      <c r="JM290" s="6055"/>
      <c r="JN290" s="6056"/>
      <c r="JO290" s="6056"/>
      <c r="JP290" s="6056"/>
      <c r="JQ290" s="6056"/>
      <c r="JR290" s="6056"/>
      <c r="JS290" s="6056"/>
      <c r="JT290" s="6056"/>
      <c r="JU290" s="6056"/>
      <c r="JV290" s="6056"/>
      <c r="JW290" s="6056"/>
      <c r="JX290" s="6056"/>
      <c r="JY290" s="6056"/>
      <c r="JZ290" s="6056"/>
      <c r="KA290" s="6056"/>
      <c r="KB290" s="6056"/>
      <c r="KC290" s="6056"/>
      <c r="KD290" s="6056"/>
      <c r="KE290" s="6056"/>
      <c r="KF290" s="6057"/>
      <c r="KG290" s="6057"/>
      <c r="KH290" s="6057"/>
      <c r="KI290" s="6057"/>
      <c r="KJ290" s="6057"/>
      <c r="KK290" s="6056"/>
      <c r="KL290" s="6057"/>
      <c r="KM290" s="6057"/>
      <c r="KN290" s="6057"/>
      <c r="KO290" s="6056"/>
      <c r="KP290" s="6057"/>
      <c r="KQ290" s="6057"/>
      <c r="KR290" s="6057"/>
      <c r="KS290" s="6057"/>
      <c r="KT290" s="6057"/>
      <c r="KU290" s="6056"/>
      <c r="KV290" s="6056"/>
      <c r="KW290" s="6056"/>
      <c r="KX290" s="6056"/>
      <c r="KY290" s="6056"/>
      <c r="KZ290" s="6056"/>
      <c r="LA290" s="6056"/>
      <c r="LB290" s="6058"/>
      <c r="LF290" s="6055"/>
      <c r="LG290" s="6056"/>
      <c r="LH290" s="6056"/>
      <c r="LI290" s="6056"/>
      <c r="LJ290" s="6056"/>
      <c r="LK290" s="6056"/>
      <c r="LL290" s="6056"/>
      <c r="LM290" s="6056"/>
      <c r="LN290" s="6056"/>
      <c r="LO290" s="6056"/>
      <c r="LP290" s="6056"/>
      <c r="LQ290" s="6056"/>
      <c r="LR290" s="6056"/>
      <c r="LS290" s="6056"/>
      <c r="LT290" s="6056"/>
      <c r="LU290" s="6056"/>
      <c r="LV290" s="6056"/>
      <c r="LW290" s="6056"/>
      <c r="LX290" s="6056"/>
      <c r="LY290" s="6057"/>
      <c r="LZ290" s="6057"/>
      <c r="MA290" s="6057"/>
      <c r="MB290" s="6057"/>
      <c r="MC290" s="6057"/>
      <c r="MD290" s="6056"/>
      <c r="ME290" s="6057"/>
      <c r="MF290" s="6057"/>
      <c r="MG290" s="6057"/>
      <c r="MH290" s="6056"/>
      <c r="MI290" s="6057"/>
      <c r="MJ290" s="6057"/>
      <c r="MK290" s="6057"/>
      <c r="ML290" s="6057"/>
      <c r="MM290" s="6057"/>
      <c r="MN290" s="6056"/>
      <c r="MO290" s="6056"/>
      <c r="MP290" s="6056"/>
      <c r="MQ290" s="6056"/>
      <c r="MR290" s="6056"/>
      <c r="MS290" s="6056"/>
      <c r="MT290" s="6056"/>
      <c r="MU290" s="6058"/>
      <c r="MY290" s="6055"/>
      <c r="MZ290" s="6056"/>
      <c r="NA290" s="6056"/>
      <c r="NB290" s="6056"/>
      <c r="NC290" s="6056"/>
      <c r="ND290" s="6056"/>
      <c r="NE290" s="6056"/>
      <c r="NF290" s="6056"/>
      <c r="NG290" s="6056"/>
      <c r="NH290" s="6056"/>
      <c r="NI290" s="6056"/>
      <c r="NJ290" s="6056"/>
      <c r="NK290" s="6056"/>
      <c r="NL290" s="6056"/>
      <c r="NM290" s="6056"/>
      <c r="NN290" s="6056"/>
      <c r="NO290" s="6056"/>
      <c r="NP290" s="6056"/>
      <c r="NQ290" s="6056"/>
      <c r="NR290" s="6057"/>
      <c r="NS290" s="6057"/>
      <c r="NT290" s="6057"/>
      <c r="NU290" s="6057"/>
      <c r="NV290" s="6057"/>
      <c r="NW290" s="6056"/>
      <c r="NX290" s="6057"/>
      <c r="NY290" s="6057"/>
      <c r="NZ290" s="6057"/>
      <c r="OA290" s="6056"/>
      <c r="OB290" s="6057"/>
      <c r="OC290" s="6057"/>
      <c r="OD290" s="6057"/>
      <c r="OE290" s="6057"/>
      <c r="OF290" s="6057"/>
      <c r="OG290" s="6056"/>
      <c r="OH290" s="6056"/>
      <c r="OI290" s="6056"/>
      <c r="OJ290" s="6056"/>
      <c r="OK290" s="6056"/>
      <c r="OL290" s="6056"/>
      <c r="OM290" s="6056"/>
      <c r="ON290" s="6058"/>
    </row>
    <row r="291" spans="3:404" s="6075" customFormat="1" ht="12" customHeight="1" x14ac:dyDescent="0.2">
      <c r="C291" s="6071"/>
      <c r="D291" s="6060" t="str">
        <f>_Calcs!$N$79</f>
        <v>Begrunnelse</v>
      </c>
      <c r="E291" s="6099"/>
      <c r="F291" s="6060"/>
      <c r="G291" s="6060"/>
      <c r="H291" s="6060"/>
      <c r="I291" s="6060"/>
      <c r="J291" s="6060"/>
      <c r="K291" s="6060"/>
      <c r="L291" s="6060"/>
      <c r="M291" s="6060"/>
      <c r="N291" s="6060"/>
      <c r="O291" s="6060"/>
      <c r="P291" s="6060"/>
      <c r="Q291" s="6060"/>
      <c r="R291" s="6060"/>
      <c r="S291" s="6060"/>
      <c r="T291" s="6072"/>
      <c r="U291" s="6072"/>
      <c r="V291" s="6072"/>
      <c r="W291" s="6072"/>
      <c r="X291" s="6072"/>
      <c r="Y291" s="6072"/>
      <c r="Z291" s="6072"/>
      <c r="AA291" s="6072"/>
      <c r="AB291" s="6072"/>
      <c r="AC291" s="6072"/>
      <c r="AD291" s="6072"/>
      <c r="AE291" s="6072"/>
      <c r="AF291" s="6072"/>
      <c r="AG291" s="6072"/>
      <c r="AH291" s="6072"/>
      <c r="AI291" s="6072"/>
      <c r="AJ291" s="6072"/>
      <c r="AK291" s="6072"/>
      <c r="AL291" s="6072"/>
      <c r="AM291" s="6072"/>
      <c r="AN291" s="6072"/>
      <c r="AO291" s="6072"/>
      <c r="AP291" s="6072"/>
      <c r="AQ291" s="6072"/>
      <c r="AR291" s="6074"/>
      <c r="AV291" s="6071"/>
      <c r="AW291" s="6060" t="str">
        <f>_Calcs!$N$79</f>
        <v>Begrunnelse</v>
      </c>
      <c r="AX291" s="6099"/>
      <c r="AY291" s="6060"/>
      <c r="AZ291" s="6060"/>
      <c r="BA291" s="6060"/>
      <c r="BB291" s="6060"/>
      <c r="BC291" s="6060"/>
      <c r="BD291" s="6060"/>
      <c r="BE291" s="6060"/>
      <c r="BF291" s="6060"/>
      <c r="BG291" s="6060"/>
      <c r="BH291" s="6060"/>
      <c r="BI291" s="6060"/>
      <c r="BJ291" s="6060"/>
      <c r="BK291" s="6060"/>
      <c r="BL291" s="6060"/>
      <c r="BM291" s="6072"/>
      <c r="BN291" s="6072"/>
      <c r="BO291" s="6072"/>
      <c r="BP291" s="6072"/>
      <c r="BQ291" s="6072"/>
      <c r="BR291" s="6072"/>
      <c r="BS291" s="6072"/>
      <c r="BT291" s="6072"/>
      <c r="BU291" s="6072"/>
      <c r="BV291" s="6072"/>
      <c r="BW291" s="6072"/>
      <c r="BX291" s="6072"/>
      <c r="BY291" s="6072"/>
      <c r="BZ291" s="6072"/>
      <c r="CA291" s="6072"/>
      <c r="CB291" s="6072"/>
      <c r="CC291" s="6072"/>
      <c r="CD291" s="6072"/>
      <c r="CE291" s="6072"/>
      <c r="CF291" s="6072"/>
      <c r="CG291" s="6072"/>
      <c r="CH291" s="6072"/>
      <c r="CI291" s="6072"/>
      <c r="CJ291" s="6072"/>
      <c r="CK291" s="6074"/>
      <c r="CO291" s="6071"/>
      <c r="CP291" s="6060" t="str">
        <f>_Calcs!$N$79</f>
        <v>Begrunnelse</v>
      </c>
      <c r="CQ291" s="6099"/>
      <c r="CR291" s="6060"/>
      <c r="CS291" s="6060"/>
      <c r="CT291" s="6060"/>
      <c r="CU291" s="6060"/>
      <c r="CV291" s="6060"/>
      <c r="CW291" s="6060"/>
      <c r="CX291" s="6060"/>
      <c r="CY291" s="6060"/>
      <c r="CZ291" s="6060"/>
      <c r="DA291" s="6060"/>
      <c r="DB291" s="6060"/>
      <c r="DC291" s="6060"/>
      <c r="DD291" s="6060"/>
      <c r="DE291" s="6060"/>
      <c r="DF291" s="6072"/>
      <c r="DG291" s="6072"/>
      <c r="DH291" s="6072"/>
      <c r="DI291" s="6072"/>
      <c r="DJ291" s="6072"/>
      <c r="DK291" s="6072"/>
      <c r="DL291" s="6072"/>
      <c r="DM291" s="6072"/>
      <c r="DN291" s="6072"/>
      <c r="DO291" s="6072"/>
      <c r="DP291" s="6072"/>
      <c r="DQ291" s="6072"/>
      <c r="DR291" s="6072"/>
      <c r="DS291" s="6072"/>
      <c r="DT291" s="6072"/>
      <c r="DU291" s="6072"/>
      <c r="DV291" s="6072"/>
      <c r="DW291" s="6072"/>
      <c r="DX291" s="6072"/>
      <c r="DY291" s="6072"/>
      <c r="DZ291" s="6072"/>
      <c r="EA291" s="6072"/>
      <c r="EB291" s="6072"/>
      <c r="EC291" s="6072"/>
      <c r="ED291" s="6074"/>
      <c r="EH291" s="6071"/>
      <c r="EI291" s="6060" t="str">
        <f>_Calcs!$N$79</f>
        <v>Begrunnelse</v>
      </c>
      <c r="EJ291" s="6099"/>
      <c r="EK291" s="6060"/>
      <c r="EL291" s="6060"/>
      <c r="EM291" s="6060"/>
      <c r="EN291" s="6060"/>
      <c r="EO291" s="6060"/>
      <c r="EP291" s="6060"/>
      <c r="EQ291" s="6060"/>
      <c r="ER291" s="6060"/>
      <c r="ES291" s="6060"/>
      <c r="ET291" s="6060"/>
      <c r="EU291" s="6060"/>
      <c r="EV291" s="6060"/>
      <c r="EW291" s="6060"/>
      <c r="EX291" s="6060"/>
      <c r="EY291" s="6072"/>
      <c r="EZ291" s="6072"/>
      <c r="FA291" s="6072"/>
      <c r="FB291" s="6072"/>
      <c r="FC291" s="6072"/>
      <c r="FD291" s="6072"/>
      <c r="FE291" s="6072"/>
      <c r="FF291" s="6072"/>
      <c r="FG291" s="6072"/>
      <c r="FH291" s="6072"/>
      <c r="FI291" s="6072"/>
      <c r="FJ291" s="6072"/>
      <c r="FK291" s="6072"/>
      <c r="FL291" s="6072"/>
      <c r="FM291" s="6072"/>
      <c r="FN291" s="6072"/>
      <c r="FO291" s="6072"/>
      <c r="FP291" s="6072"/>
      <c r="FQ291" s="6072"/>
      <c r="FR291" s="6072"/>
      <c r="FS291" s="6072"/>
      <c r="FT291" s="6072"/>
      <c r="FU291" s="6072"/>
      <c r="FV291" s="6072"/>
      <c r="FW291" s="6074"/>
      <c r="GA291" s="6071"/>
      <c r="GB291" s="6060" t="str">
        <f>_Calcs!$N$79</f>
        <v>Begrunnelse</v>
      </c>
      <c r="GC291" s="6099"/>
      <c r="GD291" s="6060"/>
      <c r="GE291" s="6060"/>
      <c r="GF291" s="6060"/>
      <c r="GG291" s="6060"/>
      <c r="GH291" s="6060"/>
      <c r="GI291" s="6060"/>
      <c r="GJ291" s="6060"/>
      <c r="GK291" s="6060"/>
      <c r="GL291" s="6060"/>
      <c r="GM291" s="6060"/>
      <c r="GN291" s="6060"/>
      <c r="GO291" s="6060"/>
      <c r="GP291" s="6060"/>
      <c r="GQ291" s="6060"/>
      <c r="GR291" s="6072"/>
      <c r="GS291" s="6072"/>
      <c r="GT291" s="6072"/>
      <c r="GU291" s="6072"/>
      <c r="GV291" s="6072"/>
      <c r="GW291" s="6072"/>
      <c r="GX291" s="6072"/>
      <c r="GY291" s="6072"/>
      <c r="GZ291" s="6072"/>
      <c r="HA291" s="6072"/>
      <c r="HB291" s="6072"/>
      <c r="HC291" s="6072"/>
      <c r="HD291" s="6072"/>
      <c r="HE291" s="6072"/>
      <c r="HF291" s="6072"/>
      <c r="HG291" s="6072"/>
      <c r="HH291" s="6072"/>
      <c r="HI291" s="6072"/>
      <c r="HJ291" s="6072"/>
      <c r="HK291" s="6072"/>
      <c r="HL291" s="6072"/>
      <c r="HM291" s="6072"/>
      <c r="HN291" s="6072"/>
      <c r="HO291" s="6072"/>
      <c r="HP291" s="6074"/>
      <c r="HT291" s="6071"/>
      <c r="HU291" s="6060" t="str">
        <f>_Calcs!$N$79</f>
        <v>Begrunnelse</v>
      </c>
      <c r="HV291" s="6099"/>
      <c r="HW291" s="6060"/>
      <c r="HX291" s="6060"/>
      <c r="HY291" s="6060"/>
      <c r="HZ291" s="6060"/>
      <c r="IA291" s="6060"/>
      <c r="IB291" s="6060"/>
      <c r="IC291" s="6060"/>
      <c r="ID291" s="6060"/>
      <c r="IE291" s="6060"/>
      <c r="IF291" s="6060"/>
      <c r="IG291" s="6060"/>
      <c r="IH291" s="6060"/>
      <c r="II291" s="6060"/>
      <c r="IJ291" s="6060"/>
      <c r="IK291" s="6072"/>
      <c r="IL291" s="6072"/>
      <c r="IM291" s="6072"/>
      <c r="IN291" s="6072"/>
      <c r="IO291" s="6072"/>
      <c r="IP291" s="6072"/>
      <c r="IQ291" s="6072"/>
      <c r="IR291" s="6072"/>
      <c r="IS291" s="6072"/>
      <c r="IT291" s="6072"/>
      <c r="IU291" s="6072"/>
      <c r="IV291" s="6072"/>
      <c r="IW291" s="6072"/>
      <c r="IX291" s="6072"/>
      <c r="IY291" s="6072"/>
      <c r="IZ291" s="6072"/>
      <c r="JA291" s="6072"/>
      <c r="JB291" s="6072"/>
      <c r="JC291" s="6072"/>
      <c r="JD291" s="6072"/>
      <c r="JE291" s="6072"/>
      <c r="JF291" s="6072"/>
      <c r="JG291" s="6072"/>
      <c r="JH291" s="6072"/>
      <c r="JI291" s="6074"/>
      <c r="JM291" s="6071"/>
      <c r="JN291" s="6060" t="str">
        <f>_Calcs!$N$79</f>
        <v>Begrunnelse</v>
      </c>
      <c r="JO291" s="6099"/>
      <c r="JP291" s="6060"/>
      <c r="JQ291" s="6060"/>
      <c r="JR291" s="6060"/>
      <c r="JS291" s="6060"/>
      <c r="JT291" s="6060"/>
      <c r="JU291" s="6060"/>
      <c r="JV291" s="6060"/>
      <c r="JW291" s="6060"/>
      <c r="JX291" s="6060"/>
      <c r="JY291" s="6060"/>
      <c r="JZ291" s="6060"/>
      <c r="KA291" s="6060"/>
      <c r="KB291" s="6060"/>
      <c r="KC291" s="6060"/>
      <c r="KD291" s="6072"/>
      <c r="KE291" s="6072"/>
      <c r="KF291" s="6072"/>
      <c r="KG291" s="6072"/>
      <c r="KH291" s="6072"/>
      <c r="KI291" s="6072"/>
      <c r="KJ291" s="6072"/>
      <c r="KK291" s="6072"/>
      <c r="KL291" s="6072"/>
      <c r="KM291" s="6072"/>
      <c r="KN291" s="6072"/>
      <c r="KO291" s="6072"/>
      <c r="KP291" s="6072"/>
      <c r="KQ291" s="6072"/>
      <c r="KR291" s="6072"/>
      <c r="KS291" s="6072"/>
      <c r="KT291" s="6072"/>
      <c r="KU291" s="6072"/>
      <c r="KV291" s="6072"/>
      <c r="KW291" s="6072"/>
      <c r="KX291" s="6072"/>
      <c r="KY291" s="6072"/>
      <c r="KZ291" s="6072"/>
      <c r="LA291" s="6072"/>
      <c r="LB291" s="6074"/>
      <c r="LF291" s="6071"/>
      <c r="LG291" s="6060" t="str">
        <f>_Calcs!$N$79</f>
        <v>Begrunnelse</v>
      </c>
      <c r="LH291" s="6099"/>
      <c r="LI291" s="6060"/>
      <c r="LJ291" s="6060"/>
      <c r="LK291" s="6060"/>
      <c r="LL291" s="6060"/>
      <c r="LM291" s="6060"/>
      <c r="LN291" s="6060"/>
      <c r="LO291" s="6060"/>
      <c r="LP291" s="6060"/>
      <c r="LQ291" s="6060"/>
      <c r="LR291" s="6060"/>
      <c r="LS291" s="6060"/>
      <c r="LT291" s="6060"/>
      <c r="LU291" s="6060"/>
      <c r="LV291" s="6060"/>
      <c r="LW291" s="6072"/>
      <c r="LX291" s="6072"/>
      <c r="LY291" s="6072"/>
      <c r="LZ291" s="6072"/>
      <c r="MA291" s="6072"/>
      <c r="MB291" s="6072"/>
      <c r="MC291" s="6072"/>
      <c r="MD291" s="6072"/>
      <c r="ME291" s="6072"/>
      <c r="MF291" s="6072"/>
      <c r="MG291" s="6072"/>
      <c r="MH291" s="6072"/>
      <c r="MI291" s="6072"/>
      <c r="MJ291" s="6072"/>
      <c r="MK291" s="6072"/>
      <c r="ML291" s="6072"/>
      <c r="MM291" s="6072"/>
      <c r="MN291" s="6072"/>
      <c r="MO291" s="6072"/>
      <c r="MP291" s="6072"/>
      <c r="MQ291" s="6072"/>
      <c r="MR291" s="6072"/>
      <c r="MS291" s="6072"/>
      <c r="MT291" s="6072"/>
      <c r="MU291" s="6074"/>
      <c r="MY291" s="6071"/>
      <c r="MZ291" s="6060" t="str">
        <f>_Calcs!$N$79</f>
        <v>Begrunnelse</v>
      </c>
      <c r="NA291" s="6099"/>
      <c r="NB291" s="6060"/>
      <c r="NC291" s="6060"/>
      <c r="ND291" s="6060"/>
      <c r="NE291" s="6060"/>
      <c r="NF291" s="6060"/>
      <c r="NG291" s="6060"/>
      <c r="NH291" s="6060"/>
      <c r="NI291" s="6060"/>
      <c r="NJ291" s="6060"/>
      <c r="NK291" s="6060"/>
      <c r="NL291" s="6060"/>
      <c r="NM291" s="6060"/>
      <c r="NN291" s="6060"/>
      <c r="NO291" s="6060"/>
      <c r="NP291" s="6072"/>
      <c r="NQ291" s="6072"/>
      <c r="NR291" s="6072"/>
      <c r="NS291" s="6072"/>
      <c r="NT291" s="6072"/>
      <c r="NU291" s="6072"/>
      <c r="NV291" s="6072"/>
      <c r="NW291" s="6072"/>
      <c r="NX291" s="6072"/>
      <c r="NY291" s="6072"/>
      <c r="NZ291" s="6072"/>
      <c r="OA291" s="6072"/>
      <c r="OB291" s="6072"/>
      <c r="OC291" s="6072"/>
      <c r="OD291" s="6072"/>
      <c r="OE291" s="6072"/>
      <c r="OF291" s="6072"/>
      <c r="OG291" s="6072"/>
      <c r="OH291" s="6072"/>
      <c r="OI291" s="6072"/>
      <c r="OJ291" s="6072"/>
      <c r="OK291" s="6072"/>
      <c r="OL291" s="6072"/>
      <c r="OM291" s="6072"/>
      <c r="ON291" s="6074"/>
    </row>
    <row r="292" spans="3:404" ht="5.0999999999999996" customHeight="1" thickBot="1" x14ac:dyDescent="0.25">
      <c r="C292" s="6055"/>
      <c r="D292" s="6056"/>
      <c r="E292" s="6056"/>
      <c r="F292" s="6056"/>
      <c r="G292" s="6056"/>
      <c r="H292" s="6056"/>
      <c r="I292" s="6056"/>
      <c r="J292" s="6056"/>
      <c r="K292" s="6056"/>
      <c r="L292" s="6056"/>
      <c r="M292" s="6056"/>
      <c r="N292" s="6056"/>
      <c r="O292" s="6056"/>
      <c r="P292" s="6056"/>
      <c r="Q292" s="6056"/>
      <c r="R292" s="6056"/>
      <c r="S292" s="6056"/>
      <c r="T292" s="6056"/>
      <c r="U292" s="6056"/>
      <c r="V292" s="6056"/>
      <c r="W292" s="6056"/>
      <c r="X292" s="6056"/>
      <c r="Y292" s="6056"/>
      <c r="Z292" s="6056"/>
      <c r="AA292" s="6056"/>
      <c r="AB292" s="6056"/>
      <c r="AC292" s="6056"/>
      <c r="AD292" s="6056"/>
      <c r="AE292" s="6056"/>
      <c r="AF292" s="6056"/>
      <c r="AG292" s="6056"/>
      <c r="AH292" s="6056"/>
      <c r="AI292" s="6056"/>
      <c r="AJ292" s="6056"/>
      <c r="AK292" s="6056"/>
      <c r="AL292" s="6056"/>
      <c r="AM292" s="6056"/>
      <c r="AN292" s="6056"/>
      <c r="AO292" s="6056"/>
      <c r="AP292" s="6056"/>
      <c r="AQ292" s="6056"/>
      <c r="AR292" s="6058"/>
      <c r="AV292" s="6055"/>
      <c r="AW292" s="6056"/>
      <c r="AX292" s="6056"/>
      <c r="AY292" s="6056"/>
      <c r="AZ292" s="6056"/>
      <c r="BA292" s="6056"/>
      <c r="BB292" s="6056"/>
      <c r="BC292" s="6056"/>
      <c r="BD292" s="6056"/>
      <c r="BE292" s="6056"/>
      <c r="BF292" s="6056"/>
      <c r="BG292" s="6056"/>
      <c r="BH292" s="6056"/>
      <c r="BI292" s="6056"/>
      <c r="BJ292" s="6056"/>
      <c r="BK292" s="6056"/>
      <c r="BL292" s="6056"/>
      <c r="BM292" s="6056"/>
      <c r="BN292" s="6056"/>
      <c r="BO292" s="6056"/>
      <c r="BP292" s="6056"/>
      <c r="BQ292" s="6056"/>
      <c r="BR292" s="6056"/>
      <c r="BS292" s="6056"/>
      <c r="BT292" s="6056"/>
      <c r="BU292" s="6056"/>
      <c r="BV292" s="6056"/>
      <c r="BW292" s="6056"/>
      <c r="BX292" s="6056"/>
      <c r="BY292" s="6056"/>
      <c r="BZ292" s="6056"/>
      <c r="CA292" s="6056"/>
      <c r="CB292" s="6056"/>
      <c r="CC292" s="6056"/>
      <c r="CD292" s="6056"/>
      <c r="CE292" s="6056"/>
      <c r="CF292" s="6056"/>
      <c r="CG292" s="6056"/>
      <c r="CH292" s="6056"/>
      <c r="CI292" s="6056"/>
      <c r="CJ292" s="6056"/>
      <c r="CK292" s="6058"/>
      <c r="CO292" s="6055"/>
      <c r="CP292" s="6056"/>
      <c r="CQ292" s="6056"/>
      <c r="CR292" s="6056"/>
      <c r="CS292" s="6056"/>
      <c r="CT292" s="6056"/>
      <c r="CU292" s="6056"/>
      <c r="CV292" s="6056"/>
      <c r="CW292" s="6056"/>
      <c r="CX292" s="6056"/>
      <c r="CY292" s="6056"/>
      <c r="CZ292" s="6056"/>
      <c r="DA292" s="6056"/>
      <c r="DB292" s="6056"/>
      <c r="DC292" s="6056"/>
      <c r="DD292" s="6056"/>
      <c r="DE292" s="6056"/>
      <c r="DF292" s="6056"/>
      <c r="DG292" s="6056"/>
      <c r="DH292" s="6056"/>
      <c r="DI292" s="6056"/>
      <c r="DJ292" s="6056"/>
      <c r="DK292" s="6056"/>
      <c r="DL292" s="6056"/>
      <c r="DM292" s="6056"/>
      <c r="DN292" s="6056"/>
      <c r="DO292" s="6056"/>
      <c r="DP292" s="6056"/>
      <c r="DQ292" s="6056"/>
      <c r="DR292" s="6056"/>
      <c r="DS292" s="6056"/>
      <c r="DT292" s="6056"/>
      <c r="DU292" s="6056"/>
      <c r="DV292" s="6056"/>
      <c r="DW292" s="6056"/>
      <c r="DX292" s="6056"/>
      <c r="DY292" s="6056"/>
      <c r="DZ292" s="6056"/>
      <c r="EA292" s="6056"/>
      <c r="EB292" s="6056"/>
      <c r="EC292" s="6056"/>
      <c r="ED292" s="6058"/>
      <c r="EH292" s="6055"/>
      <c r="EI292" s="6056"/>
      <c r="EJ292" s="6056"/>
      <c r="EK292" s="6056"/>
      <c r="EL292" s="6056"/>
      <c r="EM292" s="6056"/>
      <c r="EN292" s="6056"/>
      <c r="EO292" s="6056"/>
      <c r="EP292" s="6056"/>
      <c r="EQ292" s="6056"/>
      <c r="ER292" s="6056"/>
      <c r="ES292" s="6056"/>
      <c r="ET292" s="6056"/>
      <c r="EU292" s="6056"/>
      <c r="EV292" s="6056"/>
      <c r="EW292" s="6056"/>
      <c r="EX292" s="6056"/>
      <c r="EY292" s="6056"/>
      <c r="EZ292" s="6056"/>
      <c r="FA292" s="6056"/>
      <c r="FB292" s="6056"/>
      <c r="FC292" s="6056"/>
      <c r="FD292" s="6056"/>
      <c r="FE292" s="6056"/>
      <c r="FF292" s="6056"/>
      <c r="FG292" s="6056"/>
      <c r="FH292" s="6056"/>
      <c r="FI292" s="6056"/>
      <c r="FJ292" s="6056"/>
      <c r="FK292" s="6056"/>
      <c r="FL292" s="6056"/>
      <c r="FM292" s="6056"/>
      <c r="FN292" s="6056"/>
      <c r="FO292" s="6056"/>
      <c r="FP292" s="6056"/>
      <c r="FQ292" s="6056"/>
      <c r="FR292" s="6056"/>
      <c r="FS292" s="6056"/>
      <c r="FT292" s="6056"/>
      <c r="FU292" s="6056"/>
      <c r="FV292" s="6056"/>
      <c r="FW292" s="6058"/>
      <c r="GA292" s="6055"/>
      <c r="GB292" s="6056"/>
      <c r="GC292" s="6056"/>
      <c r="GD292" s="6056"/>
      <c r="GE292" s="6056"/>
      <c r="GF292" s="6056"/>
      <c r="GG292" s="6056"/>
      <c r="GH292" s="6056"/>
      <c r="GI292" s="6056"/>
      <c r="GJ292" s="6056"/>
      <c r="GK292" s="6056"/>
      <c r="GL292" s="6056"/>
      <c r="GM292" s="6056"/>
      <c r="GN292" s="6056"/>
      <c r="GO292" s="6056"/>
      <c r="GP292" s="6056"/>
      <c r="GQ292" s="6056"/>
      <c r="GR292" s="6056"/>
      <c r="GS292" s="6056"/>
      <c r="GT292" s="6056"/>
      <c r="GU292" s="6056"/>
      <c r="GV292" s="6056"/>
      <c r="GW292" s="6056"/>
      <c r="GX292" s="6056"/>
      <c r="GY292" s="6056"/>
      <c r="GZ292" s="6056"/>
      <c r="HA292" s="6056"/>
      <c r="HB292" s="6056"/>
      <c r="HC292" s="6056"/>
      <c r="HD292" s="6056"/>
      <c r="HE292" s="6056"/>
      <c r="HF292" s="6056"/>
      <c r="HG292" s="6056"/>
      <c r="HH292" s="6056"/>
      <c r="HI292" s="6056"/>
      <c r="HJ292" s="6056"/>
      <c r="HK292" s="6056"/>
      <c r="HL292" s="6056"/>
      <c r="HM292" s="6056"/>
      <c r="HN292" s="6056"/>
      <c r="HO292" s="6056"/>
      <c r="HP292" s="6058"/>
      <c r="HT292" s="6055"/>
      <c r="HU292" s="6056"/>
      <c r="HV292" s="6056"/>
      <c r="HW292" s="6056"/>
      <c r="HX292" s="6056"/>
      <c r="HY292" s="6056"/>
      <c r="HZ292" s="6056"/>
      <c r="IA292" s="6056"/>
      <c r="IB292" s="6056"/>
      <c r="IC292" s="6056"/>
      <c r="ID292" s="6056"/>
      <c r="IE292" s="6056"/>
      <c r="IF292" s="6056"/>
      <c r="IG292" s="6056"/>
      <c r="IH292" s="6056"/>
      <c r="II292" s="6056"/>
      <c r="IJ292" s="6056"/>
      <c r="IK292" s="6056"/>
      <c r="IL292" s="6056"/>
      <c r="IM292" s="6056"/>
      <c r="IN292" s="6056"/>
      <c r="IO292" s="6056"/>
      <c r="IP292" s="6056"/>
      <c r="IQ292" s="6056"/>
      <c r="IR292" s="6056"/>
      <c r="IS292" s="6056"/>
      <c r="IT292" s="6056"/>
      <c r="IU292" s="6056"/>
      <c r="IV292" s="6056"/>
      <c r="IW292" s="6056"/>
      <c r="IX292" s="6056"/>
      <c r="IY292" s="6056"/>
      <c r="IZ292" s="6056"/>
      <c r="JA292" s="6056"/>
      <c r="JB292" s="6056"/>
      <c r="JC292" s="6056"/>
      <c r="JD292" s="6056"/>
      <c r="JE292" s="6056"/>
      <c r="JF292" s="6056"/>
      <c r="JG292" s="6056"/>
      <c r="JH292" s="6056"/>
      <c r="JI292" s="6058"/>
      <c r="JM292" s="6055"/>
      <c r="JN292" s="6056"/>
      <c r="JO292" s="6056"/>
      <c r="JP292" s="6056"/>
      <c r="JQ292" s="6056"/>
      <c r="JR292" s="6056"/>
      <c r="JS292" s="6056"/>
      <c r="JT292" s="6056"/>
      <c r="JU292" s="6056"/>
      <c r="JV292" s="6056"/>
      <c r="JW292" s="6056"/>
      <c r="JX292" s="6056"/>
      <c r="JY292" s="6056"/>
      <c r="JZ292" s="6056"/>
      <c r="KA292" s="6056"/>
      <c r="KB292" s="6056"/>
      <c r="KC292" s="6056"/>
      <c r="KD292" s="6056"/>
      <c r="KE292" s="6056"/>
      <c r="KF292" s="6056"/>
      <c r="KG292" s="6056"/>
      <c r="KH292" s="6056"/>
      <c r="KI292" s="6056"/>
      <c r="KJ292" s="6056"/>
      <c r="KK292" s="6056"/>
      <c r="KL292" s="6056"/>
      <c r="KM292" s="6056"/>
      <c r="KN292" s="6056"/>
      <c r="KO292" s="6056"/>
      <c r="KP292" s="6056"/>
      <c r="KQ292" s="6056"/>
      <c r="KR292" s="6056"/>
      <c r="KS292" s="6056"/>
      <c r="KT292" s="6056"/>
      <c r="KU292" s="6056"/>
      <c r="KV292" s="6056"/>
      <c r="KW292" s="6056"/>
      <c r="KX292" s="6056"/>
      <c r="KY292" s="6056"/>
      <c r="KZ292" s="6056"/>
      <c r="LA292" s="6056"/>
      <c r="LB292" s="6058"/>
      <c r="LF292" s="6055"/>
      <c r="LG292" s="6056"/>
      <c r="LH292" s="6056"/>
      <c r="LI292" s="6056"/>
      <c r="LJ292" s="6056"/>
      <c r="LK292" s="6056"/>
      <c r="LL292" s="6056"/>
      <c r="LM292" s="6056"/>
      <c r="LN292" s="6056"/>
      <c r="LO292" s="6056"/>
      <c r="LP292" s="6056"/>
      <c r="LQ292" s="6056"/>
      <c r="LR292" s="6056"/>
      <c r="LS292" s="6056"/>
      <c r="LT292" s="6056"/>
      <c r="LU292" s="6056"/>
      <c r="LV292" s="6056"/>
      <c r="LW292" s="6056"/>
      <c r="LX292" s="6056"/>
      <c r="LY292" s="6056"/>
      <c r="LZ292" s="6056"/>
      <c r="MA292" s="6056"/>
      <c r="MB292" s="6056"/>
      <c r="MC292" s="6056"/>
      <c r="MD292" s="6056"/>
      <c r="ME292" s="6056"/>
      <c r="MF292" s="6056"/>
      <c r="MG292" s="6056"/>
      <c r="MH292" s="6056"/>
      <c r="MI292" s="6056"/>
      <c r="MJ292" s="6056"/>
      <c r="MK292" s="6056"/>
      <c r="ML292" s="6056"/>
      <c r="MM292" s="6056"/>
      <c r="MN292" s="6056"/>
      <c r="MO292" s="6056"/>
      <c r="MP292" s="6056"/>
      <c r="MQ292" s="6056"/>
      <c r="MR292" s="6056"/>
      <c r="MS292" s="6056"/>
      <c r="MT292" s="6056"/>
      <c r="MU292" s="6058"/>
      <c r="MY292" s="6055"/>
      <c r="MZ292" s="6056"/>
      <c r="NA292" s="6056"/>
      <c r="NB292" s="6056"/>
      <c r="NC292" s="6056"/>
      <c r="ND292" s="6056"/>
      <c r="NE292" s="6056"/>
      <c r="NF292" s="6056"/>
      <c r="NG292" s="6056"/>
      <c r="NH292" s="6056"/>
      <c r="NI292" s="6056"/>
      <c r="NJ292" s="6056"/>
      <c r="NK292" s="6056"/>
      <c r="NL292" s="6056"/>
      <c r="NM292" s="6056"/>
      <c r="NN292" s="6056"/>
      <c r="NO292" s="6056"/>
      <c r="NP292" s="6056"/>
      <c r="NQ292" s="6056"/>
      <c r="NR292" s="6056"/>
      <c r="NS292" s="6056"/>
      <c r="NT292" s="6056"/>
      <c r="NU292" s="6056"/>
      <c r="NV292" s="6056"/>
      <c r="NW292" s="6056"/>
      <c r="NX292" s="6056"/>
      <c r="NY292" s="6056"/>
      <c r="NZ292" s="6056"/>
      <c r="OA292" s="6056"/>
      <c r="OB292" s="6056"/>
      <c r="OC292" s="6056"/>
      <c r="OD292" s="6056"/>
      <c r="OE292" s="6056"/>
      <c r="OF292" s="6056"/>
      <c r="OG292" s="6056"/>
      <c r="OH292" s="6056"/>
      <c r="OI292" s="6056"/>
      <c r="OJ292" s="6056"/>
      <c r="OK292" s="6056"/>
      <c r="OL292" s="6056"/>
      <c r="OM292" s="6056"/>
      <c r="ON292" s="6058"/>
    </row>
    <row r="293" spans="3:404" ht="8.1" customHeight="1" x14ac:dyDescent="0.2">
      <c r="C293" s="6055"/>
      <c r="D293" s="6082"/>
      <c r="E293" s="6083"/>
      <c r="F293" s="6083"/>
      <c r="G293" s="6083"/>
      <c r="H293" s="6083"/>
      <c r="I293" s="6083"/>
      <c r="J293" s="6083"/>
      <c r="K293" s="6083"/>
      <c r="L293" s="6083"/>
      <c r="M293" s="6083"/>
      <c r="N293" s="6083"/>
      <c r="O293" s="6083"/>
      <c r="P293" s="6083"/>
      <c r="Q293" s="6083"/>
      <c r="R293" s="6083"/>
      <c r="S293" s="6083"/>
      <c r="T293" s="6083"/>
      <c r="U293" s="6083"/>
      <c r="V293" s="6083"/>
      <c r="W293" s="6083"/>
      <c r="X293" s="6083"/>
      <c r="Y293" s="6083"/>
      <c r="Z293" s="6083"/>
      <c r="AA293" s="6083"/>
      <c r="AB293" s="6083"/>
      <c r="AC293" s="6083"/>
      <c r="AD293" s="6083"/>
      <c r="AE293" s="6083"/>
      <c r="AF293" s="6083"/>
      <c r="AG293" s="6083"/>
      <c r="AH293" s="6083"/>
      <c r="AI293" s="6083"/>
      <c r="AJ293" s="6083"/>
      <c r="AK293" s="6083"/>
      <c r="AL293" s="6083"/>
      <c r="AM293" s="6083"/>
      <c r="AN293" s="6083"/>
      <c r="AO293" s="6083"/>
      <c r="AP293" s="6083"/>
      <c r="AQ293" s="6084"/>
      <c r="AR293" s="6058"/>
      <c r="AV293" s="6055"/>
      <c r="AW293" s="6082"/>
      <c r="AX293" s="6083"/>
      <c r="AY293" s="6083"/>
      <c r="AZ293" s="6083"/>
      <c r="BA293" s="6083"/>
      <c r="BB293" s="6083"/>
      <c r="BC293" s="6083"/>
      <c r="BD293" s="6083"/>
      <c r="BE293" s="6083"/>
      <c r="BF293" s="6083"/>
      <c r="BG293" s="6083"/>
      <c r="BH293" s="6083"/>
      <c r="BI293" s="6083"/>
      <c r="BJ293" s="6083"/>
      <c r="BK293" s="6083"/>
      <c r="BL293" s="6083"/>
      <c r="BM293" s="6083"/>
      <c r="BN293" s="6083"/>
      <c r="BO293" s="6083"/>
      <c r="BP293" s="6083"/>
      <c r="BQ293" s="6083"/>
      <c r="BR293" s="6083"/>
      <c r="BS293" s="6083"/>
      <c r="BT293" s="6083"/>
      <c r="BU293" s="6083"/>
      <c r="BV293" s="6083"/>
      <c r="BW293" s="6083"/>
      <c r="BX293" s="6083"/>
      <c r="BY293" s="6083"/>
      <c r="BZ293" s="6083"/>
      <c r="CA293" s="6083"/>
      <c r="CB293" s="6083"/>
      <c r="CC293" s="6083"/>
      <c r="CD293" s="6083"/>
      <c r="CE293" s="6083"/>
      <c r="CF293" s="6083"/>
      <c r="CG293" s="6083"/>
      <c r="CH293" s="6083"/>
      <c r="CI293" s="6083"/>
      <c r="CJ293" s="6084"/>
      <c r="CK293" s="6058"/>
      <c r="CO293" s="6055"/>
      <c r="CP293" s="6082"/>
      <c r="CQ293" s="6083"/>
      <c r="CR293" s="6083"/>
      <c r="CS293" s="6083"/>
      <c r="CT293" s="6083"/>
      <c r="CU293" s="6083"/>
      <c r="CV293" s="6083"/>
      <c r="CW293" s="6083"/>
      <c r="CX293" s="6083"/>
      <c r="CY293" s="6083"/>
      <c r="CZ293" s="6083"/>
      <c r="DA293" s="6083"/>
      <c r="DB293" s="6083"/>
      <c r="DC293" s="6083"/>
      <c r="DD293" s="6083"/>
      <c r="DE293" s="6083"/>
      <c r="DF293" s="6083"/>
      <c r="DG293" s="6083"/>
      <c r="DH293" s="6083"/>
      <c r="DI293" s="6083"/>
      <c r="DJ293" s="6083"/>
      <c r="DK293" s="6083"/>
      <c r="DL293" s="6083"/>
      <c r="DM293" s="6083"/>
      <c r="DN293" s="6083"/>
      <c r="DO293" s="6083"/>
      <c r="DP293" s="6083"/>
      <c r="DQ293" s="6083"/>
      <c r="DR293" s="6083"/>
      <c r="DS293" s="6083"/>
      <c r="DT293" s="6083"/>
      <c r="DU293" s="6083"/>
      <c r="DV293" s="6083"/>
      <c r="DW293" s="6083"/>
      <c r="DX293" s="6083"/>
      <c r="DY293" s="6083"/>
      <c r="DZ293" s="6083"/>
      <c r="EA293" s="6083"/>
      <c r="EB293" s="6083"/>
      <c r="EC293" s="6084"/>
      <c r="ED293" s="6058"/>
      <c r="EH293" s="6055"/>
      <c r="EI293" s="6082"/>
      <c r="EJ293" s="6083"/>
      <c r="EK293" s="6083"/>
      <c r="EL293" s="6083"/>
      <c r="EM293" s="6083"/>
      <c r="EN293" s="6083"/>
      <c r="EO293" s="6083"/>
      <c r="EP293" s="6083"/>
      <c r="EQ293" s="6083"/>
      <c r="ER293" s="6083"/>
      <c r="ES293" s="6083"/>
      <c r="ET293" s="6083"/>
      <c r="EU293" s="6083"/>
      <c r="EV293" s="6083"/>
      <c r="EW293" s="6083"/>
      <c r="EX293" s="6083"/>
      <c r="EY293" s="6083"/>
      <c r="EZ293" s="6083"/>
      <c r="FA293" s="6083"/>
      <c r="FB293" s="6083"/>
      <c r="FC293" s="6083"/>
      <c r="FD293" s="6083"/>
      <c r="FE293" s="6083"/>
      <c r="FF293" s="6083"/>
      <c r="FG293" s="6083"/>
      <c r="FH293" s="6083"/>
      <c r="FI293" s="6083"/>
      <c r="FJ293" s="6083"/>
      <c r="FK293" s="6083"/>
      <c r="FL293" s="6083"/>
      <c r="FM293" s="6083"/>
      <c r="FN293" s="6083"/>
      <c r="FO293" s="6083"/>
      <c r="FP293" s="6083"/>
      <c r="FQ293" s="6083"/>
      <c r="FR293" s="6083"/>
      <c r="FS293" s="6083"/>
      <c r="FT293" s="6083"/>
      <c r="FU293" s="6083"/>
      <c r="FV293" s="6084"/>
      <c r="FW293" s="6058"/>
      <c r="GA293" s="6055"/>
      <c r="GB293" s="6082"/>
      <c r="GC293" s="6083"/>
      <c r="GD293" s="6083"/>
      <c r="GE293" s="6083"/>
      <c r="GF293" s="6083"/>
      <c r="GG293" s="6083"/>
      <c r="GH293" s="6083"/>
      <c r="GI293" s="6083"/>
      <c r="GJ293" s="6083"/>
      <c r="GK293" s="6083"/>
      <c r="GL293" s="6083"/>
      <c r="GM293" s="6083"/>
      <c r="GN293" s="6083"/>
      <c r="GO293" s="6083"/>
      <c r="GP293" s="6083"/>
      <c r="GQ293" s="6083"/>
      <c r="GR293" s="6083"/>
      <c r="GS293" s="6083"/>
      <c r="GT293" s="6083"/>
      <c r="GU293" s="6083"/>
      <c r="GV293" s="6083"/>
      <c r="GW293" s="6083"/>
      <c r="GX293" s="6083"/>
      <c r="GY293" s="6083"/>
      <c r="GZ293" s="6083"/>
      <c r="HA293" s="6083"/>
      <c r="HB293" s="6083"/>
      <c r="HC293" s="6083"/>
      <c r="HD293" s="6083"/>
      <c r="HE293" s="6083"/>
      <c r="HF293" s="6083"/>
      <c r="HG293" s="6083"/>
      <c r="HH293" s="6083"/>
      <c r="HI293" s="6083"/>
      <c r="HJ293" s="6083"/>
      <c r="HK293" s="6083"/>
      <c r="HL293" s="6083"/>
      <c r="HM293" s="6083"/>
      <c r="HN293" s="6083"/>
      <c r="HO293" s="6084"/>
      <c r="HP293" s="6058"/>
      <c r="HT293" s="6055"/>
      <c r="HU293" s="6082"/>
      <c r="HV293" s="6083"/>
      <c r="HW293" s="6083"/>
      <c r="HX293" s="6083"/>
      <c r="HY293" s="6083"/>
      <c r="HZ293" s="6083"/>
      <c r="IA293" s="6083"/>
      <c r="IB293" s="6083"/>
      <c r="IC293" s="6083"/>
      <c r="ID293" s="6083"/>
      <c r="IE293" s="6083"/>
      <c r="IF293" s="6083"/>
      <c r="IG293" s="6083"/>
      <c r="IH293" s="6083"/>
      <c r="II293" s="6083"/>
      <c r="IJ293" s="6083"/>
      <c r="IK293" s="6083"/>
      <c r="IL293" s="6083"/>
      <c r="IM293" s="6083"/>
      <c r="IN293" s="6083"/>
      <c r="IO293" s="6083"/>
      <c r="IP293" s="6083"/>
      <c r="IQ293" s="6083"/>
      <c r="IR293" s="6083"/>
      <c r="IS293" s="6083"/>
      <c r="IT293" s="6083"/>
      <c r="IU293" s="6083"/>
      <c r="IV293" s="6083"/>
      <c r="IW293" s="6083"/>
      <c r="IX293" s="6083"/>
      <c r="IY293" s="6083"/>
      <c r="IZ293" s="6083"/>
      <c r="JA293" s="6083"/>
      <c r="JB293" s="6083"/>
      <c r="JC293" s="6083"/>
      <c r="JD293" s="6083"/>
      <c r="JE293" s="6083"/>
      <c r="JF293" s="6083"/>
      <c r="JG293" s="6083"/>
      <c r="JH293" s="6084"/>
      <c r="JI293" s="6058"/>
      <c r="JM293" s="6055"/>
      <c r="JN293" s="6082"/>
      <c r="JO293" s="6083"/>
      <c r="JP293" s="6083"/>
      <c r="JQ293" s="6083"/>
      <c r="JR293" s="6083"/>
      <c r="JS293" s="6083"/>
      <c r="JT293" s="6083"/>
      <c r="JU293" s="6083"/>
      <c r="JV293" s="6083"/>
      <c r="JW293" s="6083"/>
      <c r="JX293" s="6083"/>
      <c r="JY293" s="6083"/>
      <c r="JZ293" s="6083"/>
      <c r="KA293" s="6083"/>
      <c r="KB293" s="6083"/>
      <c r="KC293" s="6083"/>
      <c r="KD293" s="6083"/>
      <c r="KE293" s="6083"/>
      <c r="KF293" s="6083"/>
      <c r="KG293" s="6083"/>
      <c r="KH293" s="6083"/>
      <c r="KI293" s="6083"/>
      <c r="KJ293" s="6083"/>
      <c r="KK293" s="6083"/>
      <c r="KL293" s="6083"/>
      <c r="KM293" s="6083"/>
      <c r="KN293" s="6083"/>
      <c r="KO293" s="6083"/>
      <c r="KP293" s="6083"/>
      <c r="KQ293" s="6083"/>
      <c r="KR293" s="6083"/>
      <c r="KS293" s="6083"/>
      <c r="KT293" s="6083"/>
      <c r="KU293" s="6083"/>
      <c r="KV293" s="6083"/>
      <c r="KW293" s="6083"/>
      <c r="KX293" s="6083"/>
      <c r="KY293" s="6083"/>
      <c r="KZ293" s="6083"/>
      <c r="LA293" s="6084"/>
      <c r="LB293" s="6058"/>
      <c r="LF293" s="6055"/>
      <c r="LG293" s="6082"/>
      <c r="LH293" s="6083"/>
      <c r="LI293" s="6083"/>
      <c r="LJ293" s="6083"/>
      <c r="LK293" s="6083"/>
      <c r="LL293" s="6083"/>
      <c r="LM293" s="6083"/>
      <c r="LN293" s="6083"/>
      <c r="LO293" s="6083"/>
      <c r="LP293" s="6083"/>
      <c r="LQ293" s="6083"/>
      <c r="LR293" s="6083"/>
      <c r="LS293" s="6083"/>
      <c r="LT293" s="6083"/>
      <c r="LU293" s="6083"/>
      <c r="LV293" s="6083"/>
      <c r="LW293" s="6083"/>
      <c r="LX293" s="6083"/>
      <c r="LY293" s="6083"/>
      <c r="LZ293" s="6083"/>
      <c r="MA293" s="6083"/>
      <c r="MB293" s="6083"/>
      <c r="MC293" s="6083"/>
      <c r="MD293" s="6083"/>
      <c r="ME293" s="6083"/>
      <c r="MF293" s="6083"/>
      <c r="MG293" s="6083"/>
      <c r="MH293" s="6083"/>
      <c r="MI293" s="6083"/>
      <c r="MJ293" s="6083"/>
      <c r="MK293" s="6083"/>
      <c r="ML293" s="6083"/>
      <c r="MM293" s="6083"/>
      <c r="MN293" s="6083"/>
      <c r="MO293" s="6083"/>
      <c r="MP293" s="6083"/>
      <c r="MQ293" s="6083"/>
      <c r="MR293" s="6083"/>
      <c r="MS293" s="6083"/>
      <c r="MT293" s="6084"/>
      <c r="MU293" s="6058"/>
      <c r="MY293" s="6055"/>
      <c r="MZ293" s="6082"/>
      <c r="NA293" s="6083"/>
      <c r="NB293" s="6083"/>
      <c r="NC293" s="6083"/>
      <c r="ND293" s="6083"/>
      <c r="NE293" s="6083"/>
      <c r="NF293" s="6083"/>
      <c r="NG293" s="6083"/>
      <c r="NH293" s="6083"/>
      <c r="NI293" s="6083"/>
      <c r="NJ293" s="6083"/>
      <c r="NK293" s="6083"/>
      <c r="NL293" s="6083"/>
      <c r="NM293" s="6083"/>
      <c r="NN293" s="6083"/>
      <c r="NO293" s="6083"/>
      <c r="NP293" s="6083"/>
      <c r="NQ293" s="6083"/>
      <c r="NR293" s="6083"/>
      <c r="NS293" s="6083"/>
      <c r="NT293" s="6083"/>
      <c r="NU293" s="6083"/>
      <c r="NV293" s="6083"/>
      <c r="NW293" s="6083"/>
      <c r="NX293" s="6083"/>
      <c r="NY293" s="6083"/>
      <c r="NZ293" s="6083"/>
      <c r="OA293" s="6083"/>
      <c r="OB293" s="6083"/>
      <c r="OC293" s="6083"/>
      <c r="OD293" s="6083"/>
      <c r="OE293" s="6083"/>
      <c r="OF293" s="6083"/>
      <c r="OG293" s="6083"/>
      <c r="OH293" s="6083"/>
      <c r="OI293" s="6083"/>
      <c r="OJ293" s="6083"/>
      <c r="OK293" s="6083"/>
      <c r="OL293" s="6083"/>
      <c r="OM293" s="6084"/>
      <c r="ON293" s="6058"/>
    </row>
    <row r="294" spans="3:404" ht="408.95" customHeight="1" x14ac:dyDescent="0.2">
      <c r="C294" s="6055"/>
      <c r="D294" s="6040"/>
      <c r="E294" s="6782" t="str">
        <f>_Calcs!$IK$192</f>
        <v>-</v>
      </c>
      <c r="F294" s="6782"/>
      <c r="G294" s="6782"/>
      <c r="H294" s="6782"/>
      <c r="I294" s="6782"/>
      <c r="J294" s="6782"/>
      <c r="K294" s="6782"/>
      <c r="L294" s="6782"/>
      <c r="M294" s="6782"/>
      <c r="N294" s="6782"/>
      <c r="O294" s="6782"/>
      <c r="P294" s="6782"/>
      <c r="Q294" s="6782"/>
      <c r="R294" s="6782"/>
      <c r="S294" s="6782"/>
      <c r="T294" s="6782"/>
      <c r="U294" s="6782"/>
      <c r="V294" s="6782"/>
      <c r="W294" s="6782"/>
      <c r="X294" s="6782"/>
      <c r="Y294" s="6782"/>
      <c r="Z294" s="6782"/>
      <c r="AA294" s="6782"/>
      <c r="AB294" s="6782"/>
      <c r="AC294" s="6782"/>
      <c r="AD294" s="6782"/>
      <c r="AE294" s="6782"/>
      <c r="AF294" s="6782"/>
      <c r="AG294" s="6782"/>
      <c r="AH294" s="6782"/>
      <c r="AI294" s="6782"/>
      <c r="AJ294" s="6782"/>
      <c r="AK294" s="6782"/>
      <c r="AL294" s="6782"/>
      <c r="AM294" s="6782"/>
      <c r="AN294" s="6782"/>
      <c r="AO294" s="6782"/>
      <c r="AP294" s="6782"/>
      <c r="AQ294" s="6085"/>
      <c r="AR294" s="6058"/>
      <c r="AV294" s="6055"/>
      <c r="AW294" s="6040"/>
      <c r="AX294" s="6782" t="str">
        <f>_Calcs!$IL$192</f>
        <v>-</v>
      </c>
      <c r="AY294" s="6782"/>
      <c r="AZ294" s="6782"/>
      <c r="BA294" s="6782"/>
      <c r="BB294" s="6782"/>
      <c r="BC294" s="6782"/>
      <c r="BD294" s="6782"/>
      <c r="BE294" s="6782"/>
      <c r="BF294" s="6782"/>
      <c r="BG294" s="6782"/>
      <c r="BH294" s="6782"/>
      <c r="BI294" s="6782"/>
      <c r="BJ294" s="6782"/>
      <c r="BK294" s="6782"/>
      <c r="BL294" s="6782"/>
      <c r="BM294" s="6782"/>
      <c r="BN294" s="6782"/>
      <c r="BO294" s="6782"/>
      <c r="BP294" s="6782"/>
      <c r="BQ294" s="6782"/>
      <c r="BR294" s="6782"/>
      <c r="BS294" s="6782"/>
      <c r="BT294" s="6782"/>
      <c r="BU294" s="6782"/>
      <c r="BV294" s="6782"/>
      <c r="BW294" s="6782"/>
      <c r="BX294" s="6782"/>
      <c r="BY294" s="6782"/>
      <c r="BZ294" s="6782"/>
      <c r="CA294" s="6782"/>
      <c r="CB294" s="6782"/>
      <c r="CC294" s="6782"/>
      <c r="CD294" s="6782"/>
      <c r="CE294" s="6782"/>
      <c r="CF294" s="6782"/>
      <c r="CG294" s="6782"/>
      <c r="CH294" s="6782"/>
      <c r="CI294" s="6782"/>
      <c r="CJ294" s="6085"/>
      <c r="CK294" s="6058"/>
      <c r="CO294" s="6055"/>
      <c r="CP294" s="6040"/>
      <c r="CQ294" s="6782" t="str">
        <f>_Calcs!$IM$192</f>
        <v>-</v>
      </c>
      <c r="CR294" s="6782"/>
      <c r="CS294" s="6782"/>
      <c r="CT294" s="6782"/>
      <c r="CU294" s="6782"/>
      <c r="CV294" s="6782"/>
      <c r="CW294" s="6782"/>
      <c r="CX294" s="6782"/>
      <c r="CY294" s="6782"/>
      <c r="CZ294" s="6782"/>
      <c r="DA294" s="6782"/>
      <c r="DB294" s="6782"/>
      <c r="DC294" s="6782"/>
      <c r="DD294" s="6782"/>
      <c r="DE294" s="6782"/>
      <c r="DF294" s="6782"/>
      <c r="DG294" s="6782"/>
      <c r="DH294" s="6782"/>
      <c r="DI294" s="6782"/>
      <c r="DJ294" s="6782"/>
      <c r="DK294" s="6782"/>
      <c r="DL294" s="6782"/>
      <c r="DM294" s="6782"/>
      <c r="DN294" s="6782"/>
      <c r="DO294" s="6782"/>
      <c r="DP294" s="6782"/>
      <c r="DQ294" s="6782"/>
      <c r="DR294" s="6782"/>
      <c r="DS294" s="6782"/>
      <c r="DT294" s="6782"/>
      <c r="DU294" s="6782"/>
      <c r="DV294" s="6782"/>
      <c r="DW294" s="6782"/>
      <c r="DX294" s="6782"/>
      <c r="DY294" s="6782"/>
      <c r="DZ294" s="6782"/>
      <c r="EA294" s="6782"/>
      <c r="EB294" s="6782"/>
      <c r="EC294" s="6085"/>
      <c r="ED294" s="6058"/>
      <c r="EH294" s="6055"/>
      <c r="EI294" s="6040"/>
      <c r="EJ294" s="6782" t="str">
        <f>_Calcs!$IN$192</f>
        <v>-</v>
      </c>
      <c r="EK294" s="6782"/>
      <c r="EL294" s="6782"/>
      <c r="EM294" s="6782"/>
      <c r="EN294" s="6782"/>
      <c r="EO294" s="6782"/>
      <c r="EP294" s="6782"/>
      <c r="EQ294" s="6782"/>
      <c r="ER294" s="6782"/>
      <c r="ES294" s="6782"/>
      <c r="ET294" s="6782"/>
      <c r="EU294" s="6782"/>
      <c r="EV294" s="6782"/>
      <c r="EW294" s="6782"/>
      <c r="EX294" s="6782"/>
      <c r="EY294" s="6782"/>
      <c r="EZ294" s="6782"/>
      <c r="FA294" s="6782"/>
      <c r="FB294" s="6782"/>
      <c r="FC294" s="6782"/>
      <c r="FD294" s="6782"/>
      <c r="FE294" s="6782"/>
      <c r="FF294" s="6782"/>
      <c r="FG294" s="6782"/>
      <c r="FH294" s="6782"/>
      <c r="FI294" s="6782"/>
      <c r="FJ294" s="6782"/>
      <c r="FK294" s="6782"/>
      <c r="FL294" s="6782"/>
      <c r="FM294" s="6782"/>
      <c r="FN294" s="6782"/>
      <c r="FO294" s="6782"/>
      <c r="FP294" s="6782"/>
      <c r="FQ294" s="6782"/>
      <c r="FR294" s="6782"/>
      <c r="FS294" s="6782"/>
      <c r="FT294" s="6782"/>
      <c r="FU294" s="6782"/>
      <c r="FV294" s="6085"/>
      <c r="FW294" s="6058"/>
      <c r="GA294" s="6055"/>
      <c r="GB294" s="6040"/>
      <c r="GC294" s="6782" t="str">
        <f>_Calcs!$IO$192</f>
        <v>-</v>
      </c>
      <c r="GD294" s="6782"/>
      <c r="GE294" s="6782"/>
      <c r="GF294" s="6782"/>
      <c r="GG294" s="6782"/>
      <c r="GH294" s="6782"/>
      <c r="GI294" s="6782"/>
      <c r="GJ294" s="6782"/>
      <c r="GK294" s="6782"/>
      <c r="GL294" s="6782"/>
      <c r="GM294" s="6782"/>
      <c r="GN294" s="6782"/>
      <c r="GO294" s="6782"/>
      <c r="GP294" s="6782"/>
      <c r="GQ294" s="6782"/>
      <c r="GR294" s="6782"/>
      <c r="GS294" s="6782"/>
      <c r="GT294" s="6782"/>
      <c r="GU294" s="6782"/>
      <c r="GV294" s="6782"/>
      <c r="GW294" s="6782"/>
      <c r="GX294" s="6782"/>
      <c r="GY294" s="6782"/>
      <c r="GZ294" s="6782"/>
      <c r="HA294" s="6782"/>
      <c r="HB294" s="6782"/>
      <c r="HC294" s="6782"/>
      <c r="HD294" s="6782"/>
      <c r="HE294" s="6782"/>
      <c r="HF294" s="6782"/>
      <c r="HG294" s="6782"/>
      <c r="HH294" s="6782"/>
      <c r="HI294" s="6782"/>
      <c r="HJ294" s="6782"/>
      <c r="HK294" s="6782"/>
      <c r="HL294" s="6782"/>
      <c r="HM294" s="6782"/>
      <c r="HN294" s="6782"/>
      <c r="HO294" s="6085"/>
      <c r="HP294" s="6058"/>
      <c r="HT294" s="6055"/>
      <c r="HU294" s="6040"/>
      <c r="HV294" s="6782" t="str">
        <f>_Calcs!$IP$192</f>
        <v>-</v>
      </c>
      <c r="HW294" s="6782"/>
      <c r="HX294" s="6782"/>
      <c r="HY294" s="6782"/>
      <c r="HZ294" s="6782"/>
      <c r="IA294" s="6782"/>
      <c r="IB294" s="6782"/>
      <c r="IC294" s="6782"/>
      <c r="ID294" s="6782"/>
      <c r="IE294" s="6782"/>
      <c r="IF294" s="6782"/>
      <c r="IG294" s="6782"/>
      <c r="IH294" s="6782"/>
      <c r="II294" s="6782"/>
      <c r="IJ294" s="6782"/>
      <c r="IK294" s="6782"/>
      <c r="IL294" s="6782"/>
      <c r="IM294" s="6782"/>
      <c r="IN294" s="6782"/>
      <c r="IO294" s="6782"/>
      <c r="IP294" s="6782"/>
      <c r="IQ294" s="6782"/>
      <c r="IR294" s="6782"/>
      <c r="IS294" s="6782"/>
      <c r="IT294" s="6782"/>
      <c r="IU294" s="6782"/>
      <c r="IV294" s="6782"/>
      <c r="IW294" s="6782"/>
      <c r="IX294" s="6782"/>
      <c r="IY294" s="6782"/>
      <c r="IZ294" s="6782"/>
      <c r="JA294" s="6782"/>
      <c r="JB294" s="6782"/>
      <c r="JC294" s="6782"/>
      <c r="JD294" s="6782"/>
      <c r="JE294" s="6782"/>
      <c r="JF294" s="6782"/>
      <c r="JG294" s="6782"/>
      <c r="JH294" s="6085"/>
      <c r="JI294" s="6058"/>
      <c r="JM294" s="6055"/>
      <c r="JN294" s="6040"/>
      <c r="JO294" s="6782" t="str">
        <f>_Calcs!$IQ$192</f>
        <v>-</v>
      </c>
      <c r="JP294" s="6782"/>
      <c r="JQ294" s="6782"/>
      <c r="JR294" s="6782"/>
      <c r="JS294" s="6782"/>
      <c r="JT294" s="6782"/>
      <c r="JU294" s="6782"/>
      <c r="JV294" s="6782"/>
      <c r="JW294" s="6782"/>
      <c r="JX294" s="6782"/>
      <c r="JY294" s="6782"/>
      <c r="JZ294" s="6782"/>
      <c r="KA294" s="6782"/>
      <c r="KB294" s="6782"/>
      <c r="KC294" s="6782"/>
      <c r="KD294" s="6782"/>
      <c r="KE294" s="6782"/>
      <c r="KF294" s="6782"/>
      <c r="KG294" s="6782"/>
      <c r="KH294" s="6782"/>
      <c r="KI294" s="6782"/>
      <c r="KJ294" s="6782"/>
      <c r="KK294" s="6782"/>
      <c r="KL294" s="6782"/>
      <c r="KM294" s="6782"/>
      <c r="KN294" s="6782"/>
      <c r="KO294" s="6782"/>
      <c r="KP294" s="6782"/>
      <c r="KQ294" s="6782"/>
      <c r="KR294" s="6782"/>
      <c r="KS294" s="6782"/>
      <c r="KT294" s="6782"/>
      <c r="KU294" s="6782"/>
      <c r="KV294" s="6782"/>
      <c r="KW294" s="6782"/>
      <c r="KX294" s="6782"/>
      <c r="KY294" s="6782"/>
      <c r="KZ294" s="6782"/>
      <c r="LA294" s="6085"/>
      <c r="LB294" s="6058"/>
      <c r="LF294" s="6055"/>
      <c r="LG294" s="6040"/>
      <c r="LH294" s="6782" t="str">
        <f>_Calcs!$IR$192</f>
        <v>-</v>
      </c>
      <c r="LI294" s="6782"/>
      <c r="LJ294" s="6782"/>
      <c r="LK294" s="6782"/>
      <c r="LL294" s="6782"/>
      <c r="LM294" s="6782"/>
      <c r="LN294" s="6782"/>
      <c r="LO294" s="6782"/>
      <c r="LP294" s="6782"/>
      <c r="LQ294" s="6782"/>
      <c r="LR294" s="6782"/>
      <c r="LS294" s="6782"/>
      <c r="LT294" s="6782"/>
      <c r="LU294" s="6782"/>
      <c r="LV294" s="6782"/>
      <c r="LW294" s="6782"/>
      <c r="LX294" s="6782"/>
      <c r="LY294" s="6782"/>
      <c r="LZ294" s="6782"/>
      <c r="MA294" s="6782"/>
      <c r="MB294" s="6782"/>
      <c r="MC294" s="6782"/>
      <c r="MD294" s="6782"/>
      <c r="ME294" s="6782"/>
      <c r="MF294" s="6782"/>
      <c r="MG294" s="6782"/>
      <c r="MH294" s="6782"/>
      <c r="MI294" s="6782"/>
      <c r="MJ294" s="6782"/>
      <c r="MK294" s="6782"/>
      <c r="ML294" s="6782"/>
      <c r="MM294" s="6782"/>
      <c r="MN294" s="6782"/>
      <c r="MO294" s="6782"/>
      <c r="MP294" s="6782"/>
      <c r="MQ294" s="6782"/>
      <c r="MR294" s="6782"/>
      <c r="MS294" s="6782"/>
      <c r="MT294" s="6085"/>
      <c r="MU294" s="6058"/>
      <c r="MY294" s="6055"/>
      <c r="MZ294" s="6040"/>
      <c r="NA294" s="6782" t="str">
        <f>_Calcs!$IS$192</f>
        <v>-</v>
      </c>
      <c r="NB294" s="6782"/>
      <c r="NC294" s="6782"/>
      <c r="ND294" s="6782"/>
      <c r="NE294" s="6782"/>
      <c r="NF294" s="6782"/>
      <c r="NG294" s="6782"/>
      <c r="NH294" s="6782"/>
      <c r="NI294" s="6782"/>
      <c r="NJ294" s="6782"/>
      <c r="NK294" s="6782"/>
      <c r="NL294" s="6782"/>
      <c r="NM294" s="6782"/>
      <c r="NN294" s="6782"/>
      <c r="NO294" s="6782"/>
      <c r="NP294" s="6782"/>
      <c r="NQ294" s="6782"/>
      <c r="NR294" s="6782"/>
      <c r="NS294" s="6782"/>
      <c r="NT294" s="6782"/>
      <c r="NU294" s="6782"/>
      <c r="NV294" s="6782"/>
      <c r="NW294" s="6782"/>
      <c r="NX294" s="6782"/>
      <c r="NY294" s="6782"/>
      <c r="NZ294" s="6782"/>
      <c r="OA294" s="6782"/>
      <c r="OB294" s="6782"/>
      <c r="OC294" s="6782"/>
      <c r="OD294" s="6782"/>
      <c r="OE294" s="6782"/>
      <c r="OF294" s="6782"/>
      <c r="OG294" s="6782"/>
      <c r="OH294" s="6782"/>
      <c r="OI294" s="6782"/>
      <c r="OJ294" s="6782"/>
      <c r="OK294" s="6782"/>
      <c r="OL294" s="6782"/>
      <c r="OM294" s="6085"/>
      <c r="ON294" s="6058"/>
    </row>
    <row r="295" spans="3:404" ht="8.1" customHeight="1" thickBot="1" x14ac:dyDescent="0.25">
      <c r="C295" s="6055"/>
      <c r="D295" s="6044"/>
      <c r="E295" s="6046"/>
      <c r="F295" s="6046"/>
      <c r="G295" s="6046"/>
      <c r="H295" s="6046"/>
      <c r="I295" s="6046"/>
      <c r="J295" s="6046"/>
      <c r="K295" s="6046"/>
      <c r="L295" s="6046"/>
      <c r="M295" s="6046"/>
      <c r="N295" s="6046"/>
      <c r="O295" s="6046"/>
      <c r="P295" s="6046"/>
      <c r="Q295" s="6046"/>
      <c r="R295" s="6046"/>
      <c r="S295" s="6046"/>
      <c r="T295" s="6046"/>
      <c r="U295" s="6046"/>
      <c r="V295" s="6086"/>
      <c r="W295" s="6086"/>
      <c r="X295" s="6086"/>
      <c r="Y295" s="6086"/>
      <c r="Z295" s="6086"/>
      <c r="AA295" s="6046"/>
      <c r="AB295" s="6086"/>
      <c r="AC295" s="6086"/>
      <c r="AD295" s="6086"/>
      <c r="AE295" s="6046"/>
      <c r="AF295" s="6086"/>
      <c r="AG295" s="6086"/>
      <c r="AH295" s="6086"/>
      <c r="AI295" s="6086"/>
      <c r="AJ295" s="6086"/>
      <c r="AK295" s="6086"/>
      <c r="AL295" s="6086"/>
      <c r="AM295" s="6086"/>
      <c r="AN295" s="6086"/>
      <c r="AO295" s="6086"/>
      <c r="AP295" s="6086"/>
      <c r="AQ295" s="6048"/>
      <c r="AR295" s="6058"/>
      <c r="AV295" s="6055"/>
      <c r="AW295" s="6044"/>
      <c r="AX295" s="6046"/>
      <c r="AY295" s="6046"/>
      <c r="AZ295" s="6046"/>
      <c r="BA295" s="6046"/>
      <c r="BB295" s="6046"/>
      <c r="BC295" s="6046"/>
      <c r="BD295" s="6046"/>
      <c r="BE295" s="6046"/>
      <c r="BF295" s="6046"/>
      <c r="BG295" s="6046"/>
      <c r="BH295" s="6046"/>
      <c r="BI295" s="6046"/>
      <c r="BJ295" s="6046"/>
      <c r="BK295" s="6046"/>
      <c r="BL295" s="6046"/>
      <c r="BM295" s="6046"/>
      <c r="BN295" s="6046"/>
      <c r="BO295" s="6086"/>
      <c r="BP295" s="6086"/>
      <c r="BQ295" s="6086"/>
      <c r="BR295" s="6086"/>
      <c r="BS295" s="6086"/>
      <c r="BT295" s="6046"/>
      <c r="BU295" s="6086"/>
      <c r="BV295" s="6086"/>
      <c r="BW295" s="6086"/>
      <c r="BX295" s="6046"/>
      <c r="BY295" s="6086"/>
      <c r="BZ295" s="6086"/>
      <c r="CA295" s="6086"/>
      <c r="CB295" s="6086"/>
      <c r="CC295" s="6086"/>
      <c r="CD295" s="6086"/>
      <c r="CE295" s="6086"/>
      <c r="CF295" s="6086"/>
      <c r="CG295" s="6086"/>
      <c r="CH295" s="6086"/>
      <c r="CI295" s="6086"/>
      <c r="CJ295" s="6048"/>
      <c r="CK295" s="6058"/>
      <c r="CO295" s="6055"/>
      <c r="CP295" s="6044"/>
      <c r="CQ295" s="6046"/>
      <c r="CR295" s="6046"/>
      <c r="CS295" s="6046"/>
      <c r="CT295" s="6046"/>
      <c r="CU295" s="6046"/>
      <c r="CV295" s="6046"/>
      <c r="CW295" s="6046"/>
      <c r="CX295" s="6046"/>
      <c r="CY295" s="6046"/>
      <c r="CZ295" s="6046"/>
      <c r="DA295" s="6046"/>
      <c r="DB295" s="6046"/>
      <c r="DC295" s="6046"/>
      <c r="DD295" s="6046"/>
      <c r="DE295" s="6046"/>
      <c r="DF295" s="6046"/>
      <c r="DG295" s="6046"/>
      <c r="DH295" s="6086"/>
      <c r="DI295" s="6086"/>
      <c r="DJ295" s="6086"/>
      <c r="DK295" s="6086"/>
      <c r="DL295" s="6086"/>
      <c r="DM295" s="6046"/>
      <c r="DN295" s="6086"/>
      <c r="DO295" s="6086"/>
      <c r="DP295" s="6086"/>
      <c r="DQ295" s="6046"/>
      <c r="DR295" s="6086"/>
      <c r="DS295" s="6086"/>
      <c r="DT295" s="6086"/>
      <c r="DU295" s="6086"/>
      <c r="DV295" s="6086"/>
      <c r="DW295" s="6086"/>
      <c r="DX295" s="6086"/>
      <c r="DY295" s="6086"/>
      <c r="DZ295" s="6086"/>
      <c r="EA295" s="6086"/>
      <c r="EB295" s="6086"/>
      <c r="EC295" s="6048"/>
      <c r="ED295" s="6058"/>
      <c r="EH295" s="6055"/>
      <c r="EI295" s="6044"/>
      <c r="EJ295" s="6046"/>
      <c r="EK295" s="6046"/>
      <c r="EL295" s="6046"/>
      <c r="EM295" s="6046"/>
      <c r="EN295" s="6046"/>
      <c r="EO295" s="6046"/>
      <c r="EP295" s="6046"/>
      <c r="EQ295" s="6046"/>
      <c r="ER295" s="6046"/>
      <c r="ES295" s="6046"/>
      <c r="ET295" s="6046"/>
      <c r="EU295" s="6046"/>
      <c r="EV295" s="6046"/>
      <c r="EW295" s="6046"/>
      <c r="EX295" s="6046"/>
      <c r="EY295" s="6046"/>
      <c r="EZ295" s="6046"/>
      <c r="FA295" s="6086"/>
      <c r="FB295" s="6086"/>
      <c r="FC295" s="6086"/>
      <c r="FD295" s="6086"/>
      <c r="FE295" s="6086"/>
      <c r="FF295" s="6046"/>
      <c r="FG295" s="6086"/>
      <c r="FH295" s="6086"/>
      <c r="FI295" s="6086"/>
      <c r="FJ295" s="6046"/>
      <c r="FK295" s="6086"/>
      <c r="FL295" s="6086"/>
      <c r="FM295" s="6086"/>
      <c r="FN295" s="6086"/>
      <c r="FO295" s="6086"/>
      <c r="FP295" s="6086"/>
      <c r="FQ295" s="6086"/>
      <c r="FR295" s="6086"/>
      <c r="FS295" s="6086"/>
      <c r="FT295" s="6086"/>
      <c r="FU295" s="6086"/>
      <c r="FV295" s="6048"/>
      <c r="FW295" s="6058"/>
      <c r="GA295" s="6055"/>
      <c r="GB295" s="6044"/>
      <c r="GC295" s="6046"/>
      <c r="GD295" s="6046"/>
      <c r="GE295" s="6046"/>
      <c r="GF295" s="6046"/>
      <c r="GG295" s="6046"/>
      <c r="GH295" s="6046"/>
      <c r="GI295" s="6046"/>
      <c r="GJ295" s="6046"/>
      <c r="GK295" s="6046"/>
      <c r="GL295" s="6046"/>
      <c r="GM295" s="6046"/>
      <c r="GN295" s="6046"/>
      <c r="GO295" s="6046"/>
      <c r="GP295" s="6046"/>
      <c r="GQ295" s="6046"/>
      <c r="GR295" s="6046"/>
      <c r="GS295" s="6046"/>
      <c r="GT295" s="6086"/>
      <c r="GU295" s="6086"/>
      <c r="GV295" s="6086"/>
      <c r="GW295" s="6086"/>
      <c r="GX295" s="6086"/>
      <c r="GY295" s="6046"/>
      <c r="GZ295" s="6086"/>
      <c r="HA295" s="6086"/>
      <c r="HB295" s="6086"/>
      <c r="HC295" s="6046"/>
      <c r="HD295" s="6086"/>
      <c r="HE295" s="6086"/>
      <c r="HF295" s="6086"/>
      <c r="HG295" s="6086"/>
      <c r="HH295" s="6086"/>
      <c r="HI295" s="6086"/>
      <c r="HJ295" s="6086"/>
      <c r="HK295" s="6086"/>
      <c r="HL295" s="6086"/>
      <c r="HM295" s="6086"/>
      <c r="HN295" s="6086"/>
      <c r="HO295" s="6048"/>
      <c r="HP295" s="6058"/>
      <c r="HT295" s="6055"/>
      <c r="HU295" s="6044"/>
      <c r="HV295" s="6046"/>
      <c r="HW295" s="6046"/>
      <c r="HX295" s="6046"/>
      <c r="HY295" s="6046"/>
      <c r="HZ295" s="6046"/>
      <c r="IA295" s="6046"/>
      <c r="IB295" s="6046"/>
      <c r="IC295" s="6046"/>
      <c r="ID295" s="6046"/>
      <c r="IE295" s="6046"/>
      <c r="IF295" s="6046"/>
      <c r="IG295" s="6046"/>
      <c r="IH295" s="6046"/>
      <c r="II295" s="6046"/>
      <c r="IJ295" s="6046"/>
      <c r="IK295" s="6046"/>
      <c r="IL295" s="6046"/>
      <c r="IM295" s="6086"/>
      <c r="IN295" s="6086"/>
      <c r="IO295" s="6086"/>
      <c r="IP295" s="6086"/>
      <c r="IQ295" s="6086"/>
      <c r="IR295" s="6046"/>
      <c r="IS295" s="6086"/>
      <c r="IT295" s="6086"/>
      <c r="IU295" s="6086"/>
      <c r="IV295" s="6046"/>
      <c r="IW295" s="6086"/>
      <c r="IX295" s="6086"/>
      <c r="IY295" s="6086"/>
      <c r="IZ295" s="6086"/>
      <c r="JA295" s="6086"/>
      <c r="JB295" s="6086"/>
      <c r="JC295" s="6086"/>
      <c r="JD295" s="6086"/>
      <c r="JE295" s="6086"/>
      <c r="JF295" s="6086"/>
      <c r="JG295" s="6086"/>
      <c r="JH295" s="6048"/>
      <c r="JI295" s="6058"/>
      <c r="JM295" s="6055"/>
      <c r="JN295" s="6044"/>
      <c r="JO295" s="6046"/>
      <c r="JP295" s="6046"/>
      <c r="JQ295" s="6046"/>
      <c r="JR295" s="6046"/>
      <c r="JS295" s="6046"/>
      <c r="JT295" s="6046"/>
      <c r="JU295" s="6046"/>
      <c r="JV295" s="6046"/>
      <c r="JW295" s="6046"/>
      <c r="JX295" s="6046"/>
      <c r="JY295" s="6046"/>
      <c r="JZ295" s="6046"/>
      <c r="KA295" s="6046"/>
      <c r="KB295" s="6046"/>
      <c r="KC295" s="6046"/>
      <c r="KD295" s="6046"/>
      <c r="KE295" s="6046"/>
      <c r="KF295" s="6086"/>
      <c r="KG295" s="6086"/>
      <c r="KH295" s="6086"/>
      <c r="KI295" s="6086"/>
      <c r="KJ295" s="6086"/>
      <c r="KK295" s="6046"/>
      <c r="KL295" s="6086"/>
      <c r="KM295" s="6086"/>
      <c r="KN295" s="6086"/>
      <c r="KO295" s="6046"/>
      <c r="KP295" s="6086"/>
      <c r="KQ295" s="6086"/>
      <c r="KR295" s="6086"/>
      <c r="KS295" s="6086"/>
      <c r="KT295" s="6086"/>
      <c r="KU295" s="6086"/>
      <c r="KV295" s="6086"/>
      <c r="KW295" s="6086"/>
      <c r="KX295" s="6086"/>
      <c r="KY295" s="6086"/>
      <c r="KZ295" s="6086"/>
      <c r="LA295" s="6048"/>
      <c r="LB295" s="6058"/>
      <c r="LF295" s="6055"/>
      <c r="LG295" s="6044"/>
      <c r="LH295" s="6046"/>
      <c r="LI295" s="6046"/>
      <c r="LJ295" s="6046"/>
      <c r="LK295" s="6046"/>
      <c r="LL295" s="6046"/>
      <c r="LM295" s="6046"/>
      <c r="LN295" s="6046"/>
      <c r="LO295" s="6046"/>
      <c r="LP295" s="6046"/>
      <c r="LQ295" s="6046"/>
      <c r="LR295" s="6046"/>
      <c r="LS295" s="6046"/>
      <c r="LT295" s="6046"/>
      <c r="LU295" s="6046"/>
      <c r="LV295" s="6046"/>
      <c r="LW295" s="6046"/>
      <c r="LX295" s="6046"/>
      <c r="LY295" s="6086"/>
      <c r="LZ295" s="6086"/>
      <c r="MA295" s="6086"/>
      <c r="MB295" s="6086"/>
      <c r="MC295" s="6086"/>
      <c r="MD295" s="6046"/>
      <c r="ME295" s="6086"/>
      <c r="MF295" s="6086"/>
      <c r="MG295" s="6086"/>
      <c r="MH295" s="6046"/>
      <c r="MI295" s="6086"/>
      <c r="MJ295" s="6086"/>
      <c r="MK295" s="6086"/>
      <c r="ML295" s="6086"/>
      <c r="MM295" s="6086"/>
      <c r="MN295" s="6086"/>
      <c r="MO295" s="6086"/>
      <c r="MP295" s="6086"/>
      <c r="MQ295" s="6086"/>
      <c r="MR295" s="6086"/>
      <c r="MS295" s="6086"/>
      <c r="MT295" s="6048"/>
      <c r="MU295" s="6058"/>
      <c r="MY295" s="6055"/>
      <c r="MZ295" s="6044"/>
      <c r="NA295" s="6046"/>
      <c r="NB295" s="6046"/>
      <c r="NC295" s="6046"/>
      <c r="ND295" s="6046"/>
      <c r="NE295" s="6046"/>
      <c r="NF295" s="6046"/>
      <c r="NG295" s="6046"/>
      <c r="NH295" s="6046"/>
      <c r="NI295" s="6046"/>
      <c r="NJ295" s="6046"/>
      <c r="NK295" s="6046"/>
      <c r="NL295" s="6046"/>
      <c r="NM295" s="6046"/>
      <c r="NN295" s="6046"/>
      <c r="NO295" s="6046"/>
      <c r="NP295" s="6046"/>
      <c r="NQ295" s="6046"/>
      <c r="NR295" s="6086"/>
      <c r="NS295" s="6086"/>
      <c r="NT295" s="6086"/>
      <c r="NU295" s="6086"/>
      <c r="NV295" s="6086"/>
      <c r="NW295" s="6046"/>
      <c r="NX295" s="6086"/>
      <c r="NY295" s="6086"/>
      <c r="NZ295" s="6086"/>
      <c r="OA295" s="6046"/>
      <c r="OB295" s="6086"/>
      <c r="OC295" s="6086"/>
      <c r="OD295" s="6086"/>
      <c r="OE295" s="6086"/>
      <c r="OF295" s="6086"/>
      <c r="OG295" s="6086"/>
      <c r="OH295" s="6086"/>
      <c r="OI295" s="6086"/>
      <c r="OJ295" s="6086"/>
      <c r="OK295" s="6086"/>
      <c r="OL295" s="6086"/>
      <c r="OM295" s="6048"/>
      <c r="ON295" s="6058"/>
    </row>
    <row r="296" spans="3:404" ht="15" thickBot="1" x14ac:dyDescent="0.25">
      <c r="C296" s="6087"/>
      <c r="D296" s="6088"/>
      <c r="E296" s="6088"/>
      <c r="F296" s="6088"/>
      <c r="G296" s="6088"/>
      <c r="H296" s="6088"/>
      <c r="I296" s="6088"/>
      <c r="J296" s="6088"/>
      <c r="K296" s="6088"/>
      <c r="L296" s="6088"/>
      <c r="M296" s="6088"/>
      <c r="N296" s="6088"/>
      <c r="O296" s="6088"/>
      <c r="P296" s="6088"/>
      <c r="Q296" s="6088"/>
      <c r="R296" s="6088"/>
      <c r="S296" s="6088"/>
      <c r="T296" s="6088"/>
      <c r="U296" s="6088"/>
      <c r="V296" s="6088"/>
      <c r="W296" s="6088"/>
      <c r="X296" s="6088"/>
      <c r="Y296" s="6088"/>
      <c r="Z296" s="6088"/>
      <c r="AA296" s="6088"/>
      <c r="AB296" s="6088"/>
      <c r="AC296" s="6088"/>
      <c r="AD296" s="6088"/>
      <c r="AE296" s="6088"/>
      <c r="AF296" s="6088"/>
      <c r="AG296" s="6088"/>
      <c r="AH296" s="6088"/>
      <c r="AI296" s="6088"/>
      <c r="AJ296" s="6088"/>
      <c r="AK296" s="6088"/>
      <c r="AL296" s="6088"/>
      <c r="AM296" s="6088"/>
      <c r="AN296" s="6088"/>
      <c r="AO296" s="6088"/>
      <c r="AP296" s="6088"/>
      <c r="AQ296" s="6088"/>
      <c r="AR296" s="6089"/>
      <c r="AV296" s="6087"/>
      <c r="AW296" s="6088"/>
      <c r="AX296" s="6088"/>
      <c r="AY296" s="6088"/>
      <c r="AZ296" s="6088"/>
      <c r="BA296" s="6088"/>
      <c r="BB296" s="6088"/>
      <c r="BC296" s="6088"/>
      <c r="BD296" s="6088"/>
      <c r="BE296" s="6088"/>
      <c r="BF296" s="6088"/>
      <c r="BG296" s="6088"/>
      <c r="BH296" s="6088"/>
      <c r="BI296" s="6088"/>
      <c r="BJ296" s="6088"/>
      <c r="BK296" s="6088"/>
      <c r="BL296" s="6088"/>
      <c r="BM296" s="6088"/>
      <c r="BN296" s="6088"/>
      <c r="BO296" s="6088"/>
      <c r="BP296" s="6088"/>
      <c r="BQ296" s="6088"/>
      <c r="BR296" s="6088"/>
      <c r="BS296" s="6088"/>
      <c r="BT296" s="6088"/>
      <c r="BU296" s="6088"/>
      <c r="BV296" s="6088"/>
      <c r="BW296" s="6088"/>
      <c r="BX296" s="6088"/>
      <c r="BY296" s="6088"/>
      <c r="BZ296" s="6088"/>
      <c r="CA296" s="6088"/>
      <c r="CB296" s="6088"/>
      <c r="CC296" s="6088"/>
      <c r="CD296" s="6088"/>
      <c r="CE296" s="6088"/>
      <c r="CF296" s="6088"/>
      <c r="CG296" s="6088"/>
      <c r="CH296" s="6088"/>
      <c r="CI296" s="6088"/>
      <c r="CJ296" s="6088"/>
      <c r="CK296" s="6089"/>
      <c r="CO296" s="6087"/>
      <c r="CP296" s="6088"/>
      <c r="CQ296" s="6088"/>
      <c r="CR296" s="6088"/>
      <c r="CS296" s="6088"/>
      <c r="CT296" s="6088"/>
      <c r="CU296" s="6088"/>
      <c r="CV296" s="6088"/>
      <c r="CW296" s="6088"/>
      <c r="CX296" s="6088"/>
      <c r="CY296" s="6088"/>
      <c r="CZ296" s="6088"/>
      <c r="DA296" s="6088"/>
      <c r="DB296" s="6088"/>
      <c r="DC296" s="6088"/>
      <c r="DD296" s="6088"/>
      <c r="DE296" s="6088"/>
      <c r="DF296" s="6088"/>
      <c r="DG296" s="6088"/>
      <c r="DH296" s="6088"/>
      <c r="DI296" s="6088"/>
      <c r="DJ296" s="6088"/>
      <c r="DK296" s="6088"/>
      <c r="DL296" s="6088"/>
      <c r="DM296" s="6088"/>
      <c r="DN296" s="6088"/>
      <c r="DO296" s="6088"/>
      <c r="DP296" s="6088"/>
      <c r="DQ296" s="6088"/>
      <c r="DR296" s="6088"/>
      <c r="DS296" s="6088"/>
      <c r="DT296" s="6088"/>
      <c r="DU296" s="6088"/>
      <c r="DV296" s="6088"/>
      <c r="DW296" s="6088"/>
      <c r="DX296" s="6088"/>
      <c r="DY296" s="6088"/>
      <c r="DZ296" s="6088"/>
      <c r="EA296" s="6088"/>
      <c r="EB296" s="6088"/>
      <c r="EC296" s="6088"/>
      <c r="ED296" s="6089"/>
      <c r="EH296" s="6087"/>
      <c r="EI296" s="6088"/>
      <c r="EJ296" s="6088"/>
      <c r="EK296" s="6088"/>
      <c r="EL296" s="6088"/>
      <c r="EM296" s="6088"/>
      <c r="EN296" s="6088"/>
      <c r="EO296" s="6088"/>
      <c r="EP296" s="6088"/>
      <c r="EQ296" s="6088"/>
      <c r="ER296" s="6088"/>
      <c r="ES296" s="6088"/>
      <c r="ET296" s="6088"/>
      <c r="EU296" s="6088"/>
      <c r="EV296" s="6088"/>
      <c r="EW296" s="6088"/>
      <c r="EX296" s="6088"/>
      <c r="EY296" s="6088"/>
      <c r="EZ296" s="6088"/>
      <c r="FA296" s="6088"/>
      <c r="FB296" s="6088"/>
      <c r="FC296" s="6088"/>
      <c r="FD296" s="6088"/>
      <c r="FE296" s="6088"/>
      <c r="FF296" s="6088"/>
      <c r="FG296" s="6088"/>
      <c r="FH296" s="6088"/>
      <c r="FI296" s="6088"/>
      <c r="FJ296" s="6088"/>
      <c r="FK296" s="6088"/>
      <c r="FL296" s="6088"/>
      <c r="FM296" s="6088"/>
      <c r="FN296" s="6088"/>
      <c r="FO296" s="6088"/>
      <c r="FP296" s="6088"/>
      <c r="FQ296" s="6088"/>
      <c r="FR296" s="6088"/>
      <c r="FS296" s="6088"/>
      <c r="FT296" s="6088"/>
      <c r="FU296" s="6088"/>
      <c r="FV296" s="6088"/>
      <c r="FW296" s="6089"/>
      <c r="GA296" s="6087"/>
      <c r="GB296" s="6088"/>
      <c r="GC296" s="6088"/>
      <c r="GD296" s="6088"/>
      <c r="GE296" s="6088"/>
      <c r="GF296" s="6088"/>
      <c r="GG296" s="6088"/>
      <c r="GH296" s="6088"/>
      <c r="GI296" s="6088"/>
      <c r="GJ296" s="6088"/>
      <c r="GK296" s="6088"/>
      <c r="GL296" s="6088"/>
      <c r="GM296" s="6088"/>
      <c r="GN296" s="6088"/>
      <c r="GO296" s="6088"/>
      <c r="GP296" s="6088"/>
      <c r="GQ296" s="6088"/>
      <c r="GR296" s="6088"/>
      <c r="GS296" s="6088"/>
      <c r="GT296" s="6088"/>
      <c r="GU296" s="6088"/>
      <c r="GV296" s="6088"/>
      <c r="GW296" s="6088"/>
      <c r="GX296" s="6088"/>
      <c r="GY296" s="6088"/>
      <c r="GZ296" s="6088"/>
      <c r="HA296" s="6088"/>
      <c r="HB296" s="6088"/>
      <c r="HC296" s="6088"/>
      <c r="HD296" s="6088"/>
      <c r="HE296" s="6088"/>
      <c r="HF296" s="6088"/>
      <c r="HG296" s="6088"/>
      <c r="HH296" s="6088"/>
      <c r="HI296" s="6088"/>
      <c r="HJ296" s="6088"/>
      <c r="HK296" s="6088"/>
      <c r="HL296" s="6088"/>
      <c r="HM296" s="6088"/>
      <c r="HN296" s="6088"/>
      <c r="HO296" s="6088"/>
      <c r="HP296" s="6089"/>
      <c r="HT296" s="6087"/>
      <c r="HU296" s="6088"/>
      <c r="HV296" s="6088"/>
      <c r="HW296" s="6088"/>
      <c r="HX296" s="6088"/>
      <c r="HY296" s="6088"/>
      <c r="HZ296" s="6088"/>
      <c r="IA296" s="6088"/>
      <c r="IB296" s="6088"/>
      <c r="IC296" s="6088"/>
      <c r="ID296" s="6088"/>
      <c r="IE296" s="6088"/>
      <c r="IF296" s="6088"/>
      <c r="IG296" s="6088"/>
      <c r="IH296" s="6088"/>
      <c r="II296" s="6088"/>
      <c r="IJ296" s="6088"/>
      <c r="IK296" s="6088"/>
      <c r="IL296" s="6088"/>
      <c r="IM296" s="6088"/>
      <c r="IN296" s="6088"/>
      <c r="IO296" s="6088"/>
      <c r="IP296" s="6088"/>
      <c r="IQ296" s="6088"/>
      <c r="IR296" s="6088"/>
      <c r="IS296" s="6088"/>
      <c r="IT296" s="6088"/>
      <c r="IU296" s="6088"/>
      <c r="IV296" s="6088"/>
      <c r="IW296" s="6088"/>
      <c r="IX296" s="6088"/>
      <c r="IY296" s="6088"/>
      <c r="IZ296" s="6088"/>
      <c r="JA296" s="6088"/>
      <c r="JB296" s="6088"/>
      <c r="JC296" s="6088"/>
      <c r="JD296" s="6088"/>
      <c r="JE296" s="6088"/>
      <c r="JF296" s="6088"/>
      <c r="JG296" s="6088"/>
      <c r="JH296" s="6088"/>
      <c r="JI296" s="6089"/>
      <c r="JM296" s="6087"/>
      <c r="JN296" s="6088"/>
      <c r="JO296" s="6088"/>
      <c r="JP296" s="6088"/>
      <c r="JQ296" s="6088"/>
      <c r="JR296" s="6088"/>
      <c r="JS296" s="6088"/>
      <c r="JT296" s="6088"/>
      <c r="JU296" s="6088"/>
      <c r="JV296" s="6088"/>
      <c r="JW296" s="6088"/>
      <c r="JX296" s="6088"/>
      <c r="JY296" s="6088"/>
      <c r="JZ296" s="6088"/>
      <c r="KA296" s="6088"/>
      <c r="KB296" s="6088"/>
      <c r="KC296" s="6088"/>
      <c r="KD296" s="6088"/>
      <c r="KE296" s="6088"/>
      <c r="KF296" s="6088"/>
      <c r="KG296" s="6088"/>
      <c r="KH296" s="6088"/>
      <c r="KI296" s="6088"/>
      <c r="KJ296" s="6088"/>
      <c r="KK296" s="6088"/>
      <c r="KL296" s="6088"/>
      <c r="KM296" s="6088"/>
      <c r="KN296" s="6088"/>
      <c r="KO296" s="6088"/>
      <c r="KP296" s="6088"/>
      <c r="KQ296" s="6088"/>
      <c r="KR296" s="6088"/>
      <c r="KS296" s="6088"/>
      <c r="KT296" s="6088"/>
      <c r="KU296" s="6088"/>
      <c r="KV296" s="6088"/>
      <c r="KW296" s="6088"/>
      <c r="KX296" s="6088"/>
      <c r="KY296" s="6088"/>
      <c r="KZ296" s="6088"/>
      <c r="LA296" s="6088"/>
      <c r="LB296" s="6089"/>
      <c r="LF296" s="6087"/>
      <c r="LG296" s="6088"/>
      <c r="LH296" s="6088"/>
      <c r="LI296" s="6088"/>
      <c r="LJ296" s="6088"/>
      <c r="LK296" s="6088"/>
      <c r="LL296" s="6088"/>
      <c r="LM296" s="6088"/>
      <c r="LN296" s="6088"/>
      <c r="LO296" s="6088"/>
      <c r="LP296" s="6088"/>
      <c r="LQ296" s="6088"/>
      <c r="LR296" s="6088"/>
      <c r="LS296" s="6088"/>
      <c r="LT296" s="6088"/>
      <c r="LU296" s="6088"/>
      <c r="LV296" s="6088"/>
      <c r="LW296" s="6088"/>
      <c r="LX296" s="6088"/>
      <c r="LY296" s="6088"/>
      <c r="LZ296" s="6088"/>
      <c r="MA296" s="6088"/>
      <c r="MB296" s="6088"/>
      <c r="MC296" s="6088"/>
      <c r="MD296" s="6088"/>
      <c r="ME296" s="6088"/>
      <c r="MF296" s="6088"/>
      <c r="MG296" s="6088"/>
      <c r="MH296" s="6088"/>
      <c r="MI296" s="6088"/>
      <c r="MJ296" s="6088"/>
      <c r="MK296" s="6088"/>
      <c r="ML296" s="6088"/>
      <c r="MM296" s="6088"/>
      <c r="MN296" s="6088"/>
      <c r="MO296" s="6088"/>
      <c r="MP296" s="6088"/>
      <c r="MQ296" s="6088"/>
      <c r="MR296" s="6088"/>
      <c r="MS296" s="6088"/>
      <c r="MT296" s="6088"/>
      <c r="MU296" s="6089"/>
      <c r="MY296" s="6087"/>
      <c r="MZ296" s="6088"/>
      <c r="NA296" s="6088"/>
      <c r="NB296" s="6088"/>
      <c r="NC296" s="6088"/>
      <c r="ND296" s="6088"/>
      <c r="NE296" s="6088"/>
      <c r="NF296" s="6088"/>
      <c r="NG296" s="6088"/>
      <c r="NH296" s="6088"/>
      <c r="NI296" s="6088"/>
      <c r="NJ296" s="6088"/>
      <c r="NK296" s="6088"/>
      <c r="NL296" s="6088"/>
      <c r="NM296" s="6088"/>
      <c r="NN296" s="6088"/>
      <c r="NO296" s="6088"/>
      <c r="NP296" s="6088"/>
      <c r="NQ296" s="6088"/>
      <c r="NR296" s="6088"/>
      <c r="NS296" s="6088"/>
      <c r="NT296" s="6088"/>
      <c r="NU296" s="6088"/>
      <c r="NV296" s="6088"/>
      <c r="NW296" s="6088"/>
      <c r="NX296" s="6088"/>
      <c r="NY296" s="6088"/>
      <c r="NZ296" s="6088"/>
      <c r="OA296" s="6088"/>
      <c r="OB296" s="6088"/>
      <c r="OC296" s="6088"/>
      <c r="OD296" s="6088"/>
      <c r="OE296" s="6088"/>
      <c r="OF296" s="6088"/>
      <c r="OG296" s="6088"/>
      <c r="OH296" s="6088"/>
      <c r="OI296" s="6088"/>
      <c r="OJ296" s="6088"/>
      <c r="OK296" s="6088"/>
      <c r="OL296" s="6088"/>
      <c r="OM296" s="6088"/>
      <c r="ON296" s="6089"/>
    </row>
    <row r="297" spans="3:404" ht="9.9499999999999993" customHeight="1" x14ac:dyDescent="0.2"/>
    <row r="298" spans="3:404" ht="3.95" customHeight="1" x14ac:dyDescent="0.2">
      <c r="C298" s="6090"/>
      <c r="D298" s="6090"/>
      <c r="E298" s="6090"/>
      <c r="F298" s="6090"/>
      <c r="G298" s="6090"/>
      <c r="H298" s="6090"/>
      <c r="I298" s="6090"/>
      <c r="J298" s="6090"/>
      <c r="K298" s="6090"/>
      <c r="L298" s="6090"/>
      <c r="M298" s="6090"/>
      <c r="N298" s="6090"/>
      <c r="O298" s="6090"/>
      <c r="P298" s="6090"/>
      <c r="Q298" s="6090"/>
      <c r="R298" s="6090"/>
      <c r="S298" s="6090"/>
      <c r="T298" s="6090"/>
      <c r="U298" s="6090"/>
      <c r="V298" s="6090"/>
      <c r="W298" s="6090"/>
      <c r="X298" s="6090"/>
      <c r="Y298" s="6090"/>
      <c r="Z298" s="6090"/>
      <c r="AA298" s="6090"/>
      <c r="AB298" s="6090"/>
      <c r="AC298" s="6090"/>
      <c r="AD298" s="6090"/>
      <c r="AE298" s="6090"/>
      <c r="AF298" s="6090"/>
      <c r="AG298" s="6090"/>
      <c r="AH298" s="6090"/>
      <c r="AI298" s="6090"/>
      <c r="AJ298" s="6090"/>
      <c r="AK298" s="6090"/>
      <c r="AL298" s="6090"/>
      <c r="AM298" s="6090"/>
      <c r="AN298" s="6090"/>
      <c r="AO298" s="6090"/>
      <c r="AP298" s="6090"/>
      <c r="AQ298" s="6090"/>
      <c r="AR298" s="6090"/>
      <c r="AV298" s="6090"/>
      <c r="AW298" s="6090"/>
      <c r="AX298" s="6090"/>
      <c r="AY298" s="6090"/>
      <c r="AZ298" s="6090"/>
      <c r="BA298" s="6090"/>
      <c r="BB298" s="6090"/>
      <c r="BC298" s="6090"/>
      <c r="BD298" s="6090"/>
      <c r="BE298" s="6090"/>
      <c r="BF298" s="6090"/>
      <c r="BG298" s="6090"/>
      <c r="BH298" s="6090"/>
      <c r="BI298" s="6090"/>
      <c r="BJ298" s="6090"/>
      <c r="BK298" s="6090"/>
      <c r="BL298" s="6090"/>
      <c r="BM298" s="6090"/>
      <c r="BN298" s="6090"/>
      <c r="BO298" s="6090"/>
      <c r="BP298" s="6090"/>
      <c r="BQ298" s="6090"/>
      <c r="BR298" s="6090"/>
      <c r="BS298" s="6090"/>
      <c r="BT298" s="6090"/>
      <c r="BU298" s="6090"/>
      <c r="BV298" s="6090"/>
      <c r="BW298" s="6090"/>
      <c r="BX298" s="6090"/>
      <c r="BY298" s="6090"/>
      <c r="BZ298" s="6090"/>
      <c r="CA298" s="6090"/>
      <c r="CB298" s="6090"/>
      <c r="CC298" s="6090"/>
      <c r="CD298" s="6090"/>
      <c r="CE298" s="6090"/>
      <c r="CF298" s="6090"/>
      <c r="CG298" s="6090"/>
      <c r="CH298" s="6090"/>
      <c r="CI298" s="6090"/>
      <c r="CJ298" s="6090"/>
      <c r="CK298" s="6090"/>
      <c r="CO298" s="6090"/>
      <c r="CP298" s="6090"/>
      <c r="CQ298" s="6090"/>
      <c r="CR298" s="6090"/>
      <c r="CS298" s="6090"/>
      <c r="CT298" s="6090"/>
      <c r="CU298" s="6090"/>
      <c r="CV298" s="6090"/>
      <c r="CW298" s="6090"/>
      <c r="CX298" s="6090"/>
      <c r="CY298" s="6090"/>
      <c r="CZ298" s="6090"/>
      <c r="DA298" s="6090"/>
      <c r="DB298" s="6090"/>
      <c r="DC298" s="6090"/>
      <c r="DD298" s="6090"/>
      <c r="DE298" s="6090"/>
      <c r="DF298" s="6090"/>
      <c r="DG298" s="6090"/>
      <c r="DH298" s="6090"/>
      <c r="DI298" s="6090"/>
      <c r="DJ298" s="6090"/>
      <c r="DK298" s="6090"/>
      <c r="DL298" s="6090"/>
      <c r="DM298" s="6090"/>
      <c r="DN298" s="6090"/>
      <c r="DO298" s="6090"/>
      <c r="DP298" s="6090"/>
      <c r="DQ298" s="6090"/>
      <c r="DR298" s="6090"/>
      <c r="DS298" s="6090"/>
      <c r="DT298" s="6090"/>
      <c r="DU298" s="6090"/>
      <c r="DV298" s="6090"/>
      <c r="DW298" s="6090"/>
      <c r="DX298" s="6090"/>
      <c r="DY298" s="6090"/>
      <c r="DZ298" s="6090"/>
      <c r="EA298" s="6090"/>
      <c r="EB298" s="6090"/>
      <c r="EC298" s="6090"/>
      <c r="ED298" s="6090"/>
      <c r="EH298" s="6090"/>
      <c r="EI298" s="6090"/>
      <c r="EJ298" s="6090"/>
      <c r="EK298" s="6090"/>
      <c r="EL298" s="6090"/>
      <c r="EM298" s="6090"/>
      <c r="EN298" s="6090"/>
      <c r="EO298" s="6090"/>
      <c r="EP298" s="6090"/>
      <c r="EQ298" s="6090"/>
      <c r="ER298" s="6090"/>
      <c r="ES298" s="6090"/>
      <c r="ET298" s="6090"/>
      <c r="EU298" s="6090"/>
      <c r="EV298" s="6090"/>
      <c r="EW298" s="6090"/>
      <c r="EX298" s="6090"/>
      <c r="EY298" s="6090"/>
      <c r="EZ298" s="6090"/>
      <c r="FA298" s="6090"/>
      <c r="FB298" s="6090"/>
      <c r="FC298" s="6090"/>
      <c r="FD298" s="6090"/>
      <c r="FE298" s="6090"/>
      <c r="FF298" s="6090"/>
      <c r="FG298" s="6090"/>
      <c r="FH298" s="6090"/>
      <c r="FI298" s="6090"/>
      <c r="FJ298" s="6090"/>
      <c r="FK298" s="6090"/>
      <c r="FL298" s="6090"/>
      <c r="FM298" s="6090"/>
      <c r="FN298" s="6090"/>
      <c r="FO298" s="6090"/>
      <c r="FP298" s="6090"/>
      <c r="FQ298" s="6090"/>
      <c r="FR298" s="6090"/>
      <c r="FS298" s="6090"/>
      <c r="FT298" s="6090"/>
      <c r="FU298" s="6090"/>
      <c r="FV298" s="6090"/>
      <c r="FW298" s="6090"/>
      <c r="GA298" s="6090"/>
      <c r="GB298" s="6090"/>
      <c r="GC298" s="6090"/>
      <c r="GD298" s="6090"/>
      <c r="GE298" s="6090"/>
      <c r="GF298" s="6090"/>
      <c r="GG298" s="6090"/>
      <c r="GH298" s="6090"/>
      <c r="GI298" s="6090"/>
      <c r="GJ298" s="6090"/>
      <c r="GK298" s="6090"/>
      <c r="GL298" s="6090"/>
      <c r="GM298" s="6090"/>
      <c r="GN298" s="6090"/>
      <c r="GO298" s="6090"/>
      <c r="GP298" s="6090"/>
      <c r="GQ298" s="6090"/>
      <c r="GR298" s="6090"/>
      <c r="GS298" s="6090"/>
      <c r="GT298" s="6090"/>
      <c r="GU298" s="6090"/>
      <c r="GV298" s="6090"/>
      <c r="GW298" s="6090"/>
      <c r="GX298" s="6090"/>
      <c r="GY298" s="6090"/>
      <c r="GZ298" s="6090"/>
      <c r="HA298" s="6090"/>
      <c r="HB298" s="6090"/>
      <c r="HC298" s="6090"/>
      <c r="HD298" s="6090"/>
      <c r="HE298" s="6090"/>
      <c r="HF298" s="6090"/>
      <c r="HG298" s="6090"/>
      <c r="HH298" s="6090"/>
      <c r="HI298" s="6090"/>
      <c r="HJ298" s="6090"/>
      <c r="HK298" s="6090"/>
      <c r="HL298" s="6090"/>
      <c r="HM298" s="6090"/>
      <c r="HN298" s="6090"/>
      <c r="HO298" s="6090"/>
      <c r="HP298" s="6090"/>
      <c r="HT298" s="6090"/>
      <c r="HU298" s="6090"/>
      <c r="HV298" s="6090"/>
      <c r="HW298" s="6090"/>
      <c r="HX298" s="6090"/>
      <c r="HY298" s="6090"/>
      <c r="HZ298" s="6090"/>
      <c r="IA298" s="6090"/>
      <c r="IB298" s="6090"/>
      <c r="IC298" s="6090"/>
      <c r="ID298" s="6090"/>
      <c r="IE298" s="6090"/>
      <c r="IF298" s="6090"/>
      <c r="IG298" s="6090"/>
      <c r="IH298" s="6090"/>
      <c r="II298" s="6090"/>
      <c r="IJ298" s="6090"/>
      <c r="IK298" s="6090"/>
      <c r="IL298" s="6090"/>
      <c r="IM298" s="6090"/>
      <c r="IN298" s="6090"/>
      <c r="IO298" s="6090"/>
      <c r="IP298" s="6090"/>
      <c r="IQ298" s="6090"/>
      <c r="IR298" s="6090"/>
      <c r="IS298" s="6090"/>
      <c r="IT298" s="6090"/>
      <c r="IU298" s="6090"/>
      <c r="IV298" s="6090"/>
      <c r="IW298" s="6090"/>
      <c r="IX298" s="6090"/>
      <c r="IY298" s="6090"/>
      <c r="IZ298" s="6090"/>
      <c r="JA298" s="6090"/>
      <c r="JB298" s="6090"/>
      <c r="JC298" s="6090"/>
      <c r="JD298" s="6090"/>
      <c r="JE298" s="6090"/>
      <c r="JF298" s="6090"/>
      <c r="JG298" s="6090"/>
      <c r="JH298" s="6090"/>
      <c r="JI298" s="6090"/>
      <c r="JM298" s="6090"/>
      <c r="JN298" s="6090"/>
      <c r="JO298" s="6090"/>
      <c r="JP298" s="6090"/>
      <c r="JQ298" s="6090"/>
      <c r="JR298" s="6090"/>
      <c r="JS298" s="6090"/>
      <c r="JT298" s="6090"/>
      <c r="JU298" s="6090"/>
      <c r="JV298" s="6090"/>
      <c r="JW298" s="6090"/>
      <c r="JX298" s="6090"/>
      <c r="JY298" s="6090"/>
      <c r="JZ298" s="6090"/>
      <c r="KA298" s="6090"/>
      <c r="KB298" s="6090"/>
      <c r="KC298" s="6090"/>
      <c r="KD298" s="6090"/>
      <c r="KE298" s="6090"/>
      <c r="KF298" s="6090"/>
      <c r="KG298" s="6090"/>
      <c r="KH298" s="6090"/>
      <c r="KI298" s="6090"/>
      <c r="KJ298" s="6090"/>
      <c r="KK298" s="6090"/>
      <c r="KL298" s="6090"/>
      <c r="KM298" s="6090"/>
      <c r="KN298" s="6090"/>
      <c r="KO298" s="6090"/>
      <c r="KP298" s="6090"/>
      <c r="KQ298" s="6090"/>
      <c r="KR298" s="6090"/>
      <c r="KS298" s="6090"/>
      <c r="KT298" s="6090"/>
      <c r="KU298" s="6090"/>
      <c r="KV298" s="6090"/>
      <c r="KW298" s="6090"/>
      <c r="KX298" s="6090"/>
      <c r="KY298" s="6090"/>
      <c r="KZ298" s="6090"/>
      <c r="LA298" s="6090"/>
      <c r="LB298" s="6090"/>
      <c r="LF298" s="6090"/>
      <c r="LG298" s="6090"/>
      <c r="LH298" s="6090"/>
      <c r="LI298" s="6090"/>
      <c r="LJ298" s="6090"/>
      <c r="LK298" s="6090"/>
      <c r="LL298" s="6090"/>
      <c r="LM298" s="6090"/>
      <c r="LN298" s="6090"/>
      <c r="LO298" s="6090"/>
      <c r="LP298" s="6090"/>
      <c r="LQ298" s="6090"/>
      <c r="LR298" s="6090"/>
      <c r="LS298" s="6090"/>
      <c r="LT298" s="6090"/>
      <c r="LU298" s="6090"/>
      <c r="LV298" s="6090"/>
      <c r="LW298" s="6090"/>
      <c r="LX298" s="6090"/>
      <c r="LY298" s="6090"/>
      <c r="LZ298" s="6090"/>
      <c r="MA298" s="6090"/>
      <c r="MB298" s="6090"/>
      <c r="MC298" s="6090"/>
      <c r="MD298" s="6090"/>
      <c r="ME298" s="6090"/>
      <c r="MF298" s="6090"/>
      <c r="MG298" s="6090"/>
      <c r="MH298" s="6090"/>
      <c r="MI298" s="6090"/>
      <c r="MJ298" s="6090"/>
      <c r="MK298" s="6090"/>
      <c r="ML298" s="6090"/>
      <c r="MM298" s="6090"/>
      <c r="MN298" s="6090"/>
      <c r="MO298" s="6090"/>
      <c r="MP298" s="6090"/>
      <c r="MQ298" s="6090"/>
      <c r="MR298" s="6090"/>
      <c r="MS298" s="6090"/>
      <c r="MT298" s="6090"/>
      <c r="MU298" s="6090"/>
      <c r="MY298" s="6090"/>
      <c r="MZ298" s="6090"/>
      <c r="NA298" s="6090"/>
      <c r="NB298" s="6090"/>
      <c r="NC298" s="6090"/>
      <c r="ND298" s="6090"/>
      <c r="NE298" s="6090"/>
      <c r="NF298" s="6090"/>
      <c r="NG298" s="6090"/>
      <c r="NH298" s="6090"/>
      <c r="NI298" s="6090"/>
      <c r="NJ298" s="6090"/>
      <c r="NK298" s="6090"/>
      <c r="NL298" s="6090"/>
      <c r="NM298" s="6090"/>
      <c r="NN298" s="6090"/>
      <c r="NO298" s="6090"/>
      <c r="NP298" s="6090"/>
      <c r="NQ298" s="6090"/>
      <c r="NR298" s="6090"/>
      <c r="NS298" s="6090"/>
      <c r="NT298" s="6090"/>
      <c r="NU298" s="6090"/>
      <c r="NV298" s="6090"/>
      <c r="NW298" s="6090"/>
      <c r="NX298" s="6090"/>
      <c r="NY298" s="6090"/>
      <c r="NZ298" s="6090"/>
      <c r="OA298" s="6090"/>
      <c r="OB298" s="6090"/>
      <c r="OC298" s="6090"/>
      <c r="OD298" s="6090"/>
      <c r="OE298" s="6090"/>
      <c r="OF298" s="6090"/>
      <c r="OG298" s="6090"/>
      <c r="OH298" s="6090"/>
      <c r="OI298" s="6090"/>
      <c r="OJ298" s="6090"/>
      <c r="OK298" s="6090"/>
      <c r="OL298" s="6090"/>
      <c r="OM298" s="6090"/>
      <c r="ON298" s="6090"/>
    </row>
    <row r="299" spans="3:404" ht="5.0999999999999996" customHeight="1" x14ac:dyDescent="0.2"/>
    <row r="300" spans="3:404" ht="12" customHeight="1" x14ac:dyDescent="0.2">
      <c r="C300" s="6090"/>
      <c r="D300" s="6090"/>
      <c r="E300" s="6090"/>
      <c r="F300" s="6090"/>
      <c r="G300" s="6090"/>
      <c r="H300" s="6090"/>
      <c r="I300" s="6090"/>
      <c r="J300" s="6090"/>
      <c r="K300" s="6090"/>
      <c r="L300" s="6090"/>
      <c r="M300" s="6090"/>
      <c r="N300" s="6090"/>
      <c r="O300" s="6090"/>
      <c r="P300" s="6090"/>
      <c r="Q300" s="6090"/>
      <c r="R300" s="6090"/>
      <c r="S300" s="6090"/>
      <c r="T300" s="6090"/>
      <c r="U300" s="6090"/>
      <c r="V300" s="6090"/>
      <c r="W300" s="6090"/>
      <c r="X300" s="6090"/>
      <c r="Y300" s="6090"/>
      <c r="Z300" s="6090"/>
      <c r="AA300" s="6090"/>
      <c r="AB300" s="6090"/>
      <c r="AC300" s="6090"/>
      <c r="AD300" s="6090"/>
      <c r="AE300" s="6090"/>
      <c r="AF300" s="6090"/>
      <c r="AG300" s="6090"/>
      <c r="AH300" s="6090"/>
      <c r="AI300" s="6090"/>
      <c r="AJ300" s="6090"/>
      <c r="AK300" s="6090"/>
      <c r="AL300" s="6090"/>
      <c r="AM300" s="6090"/>
      <c r="AN300" s="6090"/>
      <c r="AO300" s="6090"/>
      <c r="AP300" s="6090"/>
      <c r="AQ300" s="6090"/>
      <c r="AR300" s="6090"/>
      <c r="AV300" s="6090"/>
      <c r="AW300" s="6090"/>
      <c r="AX300" s="6090"/>
      <c r="AY300" s="6090"/>
      <c r="AZ300" s="6090"/>
      <c r="BA300" s="6090"/>
      <c r="BB300" s="6090"/>
      <c r="BC300" s="6090"/>
      <c r="BD300" s="6090"/>
      <c r="BE300" s="6090"/>
      <c r="BF300" s="6090"/>
      <c r="BG300" s="6090"/>
      <c r="BH300" s="6090"/>
      <c r="BI300" s="6090"/>
      <c r="BJ300" s="6090"/>
      <c r="BK300" s="6090"/>
      <c r="BL300" s="6090"/>
      <c r="BM300" s="6090"/>
      <c r="BN300" s="6090"/>
      <c r="BO300" s="6090"/>
      <c r="BP300" s="6090"/>
      <c r="BQ300" s="6090"/>
      <c r="BR300" s="6090"/>
      <c r="BS300" s="6090"/>
      <c r="BT300" s="6090"/>
      <c r="BU300" s="6090"/>
      <c r="BV300" s="6090"/>
      <c r="BW300" s="6090"/>
      <c r="BX300" s="6090"/>
      <c r="BY300" s="6090"/>
      <c r="BZ300" s="6090"/>
      <c r="CA300" s="6090"/>
      <c r="CB300" s="6090"/>
      <c r="CC300" s="6090"/>
      <c r="CD300" s="6090"/>
      <c r="CE300" s="6090"/>
      <c r="CF300" s="6090"/>
      <c r="CG300" s="6090"/>
      <c r="CH300" s="6090"/>
      <c r="CI300" s="6090"/>
      <c r="CJ300" s="6090"/>
      <c r="CK300" s="6090"/>
      <c r="CO300" s="6090"/>
      <c r="CP300" s="6090"/>
      <c r="CQ300" s="6090"/>
      <c r="CR300" s="6090"/>
      <c r="CS300" s="6090"/>
      <c r="CT300" s="6090"/>
      <c r="CU300" s="6090"/>
      <c r="CV300" s="6090"/>
      <c r="CW300" s="6090"/>
      <c r="CX300" s="6090"/>
      <c r="CY300" s="6090"/>
      <c r="CZ300" s="6090"/>
      <c r="DA300" s="6090"/>
      <c r="DB300" s="6090"/>
      <c r="DC300" s="6090"/>
      <c r="DD300" s="6090"/>
      <c r="DE300" s="6090"/>
      <c r="DF300" s="6090"/>
      <c r="DG300" s="6090"/>
      <c r="DH300" s="6090"/>
      <c r="DI300" s="6090"/>
      <c r="DJ300" s="6090"/>
      <c r="DK300" s="6090"/>
      <c r="DL300" s="6090"/>
      <c r="DM300" s="6090"/>
      <c r="DN300" s="6090"/>
      <c r="DO300" s="6090"/>
      <c r="DP300" s="6090"/>
      <c r="DQ300" s="6090"/>
      <c r="DR300" s="6090"/>
      <c r="DS300" s="6090"/>
      <c r="DT300" s="6090"/>
      <c r="DU300" s="6090"/>
      <c r="DV300" s="6090"/>
      <c r="DW300" s="6090"/>
      <c r="DX300" s="6090"/>
      <c r="DY300" s="6090"/>
      <c r="DZ300" s="6090"/>
      <c r="EA300" s="6090"/>
      <c r="EB300" s="6090"/>
      <c r="EC300" s="6090"/>
      <c r="ED300" s="6090"/>
      <c r="EH300" s="6090"/>
      <c r="EI300" s="6090"/>
      <c r="EJ300" s="6090"/>
      <c r="EK300" s="6090"/>
      <c r="EL300" s="6090"/>
      <c r="EM300" s="6090"/>
      <c r="EN300" s="6090"/>
      <c r="EO300" s="6090"/>
      <c r="EP300" s="6090"/>
      <c r="EQ300" s="6090"/>
      <c r="ER300" s="6090"/>
      <c r="ES300" s="6090"/>
      <c r="ET300" s="6090"/>
      <c r="EU300" s="6090"/>
      <c r="EV300" s="6090"/>
      <c r="EW300" s="6090"/>
      <c r="EX300" s="6090"/>
      <c r="EY300" s="6090"/>
      <c r="EZ300" s="6090"/>
      <c r="FA300" s="6090"/>
      <c r="FB300" s="6090"/>
      <c r="FC300" s="6090"/>
      <c r="FD300" s="6090"/>
      <c r="FE300" s="6090"/>
      <c r="FF300" s="6090"/>
      <c r="FG300" s="6090"/>
      <c r="FH300" s="6090"/>
      <c r="FI300" s="6090"/>
      <c r="FJ300" s="6090"/>
      <c r="FK300" s="6090"/>
      <c r="FL300" s="6090"/>
      <c r="FM300" s="6090"/>
      <c r="FN300" s="6090"/>
      <c r="FO300" s="6090"/>
      <c r="FP300" s="6090"/>
      <c r="FQ300" s="6090"/>
      <c r="FR300" s="6090"/>
      <c r="FS300" s="6090"/>
      <c r="FT300" s="6090"/>
      <c r="FU300" s="6090"/>
      <c r="FV300" s="6090"/>
      <c r="FW300" s="6090"/>
      <c r="GA300" s="6090"/>
      <c r="GB300" s="6090"/>
      <c r="GC300" s="6090"/>
      <c r="GD300" s="6090"/>
      <c r="GE300" s="6090"/>
      <c r="GF300" s="6090"/>
      <c r="GG300" s="6090"/>
      <c r="GH300" s="6090"/>
      <c r="GI300" s="6090"/>
      <c r="GJ300" s="6090"/>
      <c r="GK300" s="6090"/>
      <c r="GL300" s="6090"/>
      <c r="GM300" s="6090"/>
      <c r="GN300" s="6090"/>
      <c r="GO300" s="6090"/>
      <c r="GP300" s="6090"/>
      <c r="GQ300" s="6090"/>
      <c r="GR300" s="6090"/>
      <c r="GS300" s="6090"/>
      <c r="GT300" s="6090"/>
      <c r="GU300" s="6090"/>
      <c r="GV300" s="6090"/>
      <c r="GW300" s="6090"/>
      <c r="GX300" s="6090"/>
      <c r="GY300" s="6090"/>
      <c r="GZ300" s="6090"/>
      <c r="HA300" s="6090"/>
      <c r="HB300" s="6090"/>
      <c r="HC300" s="6090"/>
      <c r="HD300" s="6090"/>
      <c r="HE300" s="6090"/>
      <c r="HF300" s="6090"/>
      <c r="HG300" s="6090"/>
      <c r="HH300" s="6090"/>
      <c r="HI300" s="6090"/>
      <c r="HJ300" s="6090"/>
      <c r="HK300" s="6090"/>
      <c r="HL300" s="6090"/>
      <c r="HM300" s="6090"/>
      <c r="HN300" s="6090"/>
      <c r="HO300" s="6090"/>
      <c r="HP300" s="6090"/>
      <c r="HT300" s="6090"/>
      <c r="HU300" s="6090"/>
      <c r="HV300" s="6090"/>
      <c r="HW300" s="6090"/>
      <c r="HX300" s="6090"/>
      <c r="HY300" s="6090"/>
      <c r="HZ300" s="6090"/>
      <c r="IA300" s="6090"/>
      <c r="IB300" s="6090"/>
      <c r="IC300" s="6090"/>
      <c r="ID300" s="6090"/>
      <c r="IE300" s="6090"/>
      <c r="IF300" s="6090"/>
      <c r="IG300" s="6090"/>
      <c r="IH300" s="6090"/>
      <c r="II300" s="6090"/>
      <c r="IJ300" s="6090"/>
      <c r="IK300" s="6090"/>
      <c r="IL300" s="6090"/>
      <c r="IM300" s="6090"/>
      <c r="IN300" s="6090"/>
      <c r="IO300" s="6090"/>
      <c r="IP300" s="6090"/>
      <c r="IQ300" s="6090"/>
      <c r="IR300" s="6090"/>
      <c r="IS300" s="6090"/>
      <c r="IT300" s="6090"/>
      <c r="IU300" s="6090"/>
      <c r="IV300" s="6090"/>
      <c r="IW300" s="6090"/>
      <c r="IX300" s="6090"/>
      <c r="IY300" s="6090"/>
      <c r="IZ300" s="6090"/>
      <c r="JA300" s="6090"/>
      <c r="JB300" s="6090"/>
      <c r="JC300" s="6090"/>
      <c r="JD300" s="6090"/>
      <c r="JE300" s="6090"/>
      <c r="JF300" s="6090"/>
      <c r="JG300" s="6090"/>
      <c r="JH300" s="6090"/>
      <c r="JI300" s="6090"/>
      <c r="JM300" s="6090"/>
      <c r="JN300" s="6090"/>
      <c r="JO300" s="6090"/>
      <c r="JP300" s="6090"/>
      <c r="JQ300" s="6090"/>
      <c r="JR300" s="6090"/>
      <c r="JS300" s="6090"/>
      <c r="JT300" s="6090"/>
      <c r="JU300" s="6090"/>
      <c r="JV300" s="6090"/>
      <c r="JW300" s="6090"/>
      <c r="JX300" s="6090"/>
      <c r="JY300" s="6090"/>
      <c r="JZ300" s="6090"/>
      <c r="KA300" s="6090"/>
      <c r="KB300" s="6090"/>
      <c r="KC300" s="6090"/>
      <c r="KD300" s="6090"/>
      <c r="KE300" s="6090"/>
      <c r="KF300" s="6090"/>
      <c r="KG300" s="6090"/>
      <c r="KH300" s="6090"/>
      <c r="KI300" s="6090"/>
      <c r="KJ300" s="6090"/>
      <c r="KK300" s="6090"/>
      <c r="KL300" s="6090"/>
      <c r="KM300" s="6090"/>
      <c r="KN300" s="6090"/>
      <c r="KO300" s="6090"/>
      <c r="KP300" s="6090"/>
      <c r="KQ300" s="6090"/>
      <c r="KR300" s="6090"/>
      <c r="KS300" s="6090"/>
      <c r="KT300" s="6090"/>
      <c r="KU300" s="6090"/>
      <c r="KV300" s="6090"/>
      <c r="KW300" s="6090"/>
      <c r="KX300" s="6090"/>
      <c r="KY300" s="6090"/>
      <c r="KZ300" s="6090"/>
      <c r="LA300" s="6090"/>
      <c r="LB300" s="6090"/>
      <c r="LF300" s="6090"/>
      <c r="LG300" s="6090"/>
      <c r="LH300" s="6090"/>
      <c r="LI300" s="6090"/>
      <c r="LJ300" s="6090"/>
      <c r="LK300" s="6090"/>
      <c r="LL300" s="6090"/>
      <c r="LM300" s="6090"/>
      <c r="LN300" s="6090"/>
      <c r="LO300" s="6090"/>
      <c r="LP300" s="6090"/>
      <c r="LQ300" s="6090"/>
      <c r="LR300" s="6090"/>
      <c r="LS300" s="6090"/>
      <c r="LT300" s="6090"/>
      <c r="LU300" s="6090"/>
      <c r="LV300" s="6090"/>
      <c r="LW300" s="6090"/>
      <c r="LX300" s="6090"/>
      <c r="LY300" s="6090"/>
      <c r="LZ300" s="6090"/>
      <c r="MA300" s="6090"/>
      <c r="MB300" s="6090"/>
      <c r="MC300" s="6090"/>
      <c r="MD300" s="6090"/>
      <c r="ME300" s="6090"/>
      <c r="MF300" s="6090"/>
      <c r="MG300" s="6090"/>
      <c r="MH300" s="6090"/>
      <c r="MI300" s="6090"/>
      <c r="MJ300" s="6090"/>
      <c r="MK300" s="6090"/>
      <c r="ML300" s="6090"/>
      <c r="MM300" s="6090"/>
      <c r="MN300" s="6090"/>
      <c r="MO300" s="6090"/>
      <c r="MP300" s="6090"/>
      <c r="MQ300" s="6090"/>
      <c r="MR300" s="6090"/>
      <c r="MS300" s="6090"/>
      <c r="MT300" s="6090"/>
      <c r="MU300" s="6090"/>
      <c r="MY300" s="6090"/>
      <c r="MZ300" s="6090"/>
      <c r="NA300" s="6090"/>
      <c r="NB300" s="6090"/>
      <c r="NC300" s="6090"/>
      <c r="ND300" s="6090"/>
      <c r="NE300" s="6090"/>
      <c r="NF300" s="6090"/>
      <c r="NG300" s="6090"/>
      <c r="NH300" s="6090"/>
      <c r="NI300" s="6090"/>
      <c r="NJ300" s="6090"/>
      <c r="NK300" s="6090"/>
      <c r="NL300" s="6090"/>
      <c r="NM300" s="6090"/>
      <c r="NN300" s="6090"/>
      <c r="NO300" s="6090"/>
      <c r="NP300" s="6090"/>
      <c r="NQ300" s="6090"/>
      <c r="NR300" s="6090"/>
      <c r="NS300" s="6090"/>
      <c r="NT300" s="6090"/>
      <c r="NU300" s="6090"/>
      <c r="NV300" s="6090"/>
      <c r="NW300" s="6090"/>
      <c r="NX300" s="6090"/>
      <c r="NY300" s="6090"/>
      <c r="NZ300" s="6090"/>
      <c r="OA300" s="6090"/>
      <c r="OB300" s="6090"/>
      <c r="OC300" s="6090"/>
      <c r="OD300" s="6090"/>
      <c r="OE300" s="6090"/>
      <c r="OF300" s="6090"/>
      <c r="OG300" s="6090"/>
      <c r="OH300" s="6090"/>
      <c r="OI300" s="6090"/>
      <c r="OJ300" s="6090"/>
      <c r="OK300" s="6090"/>
      <c r="OL300" s="6090"/>
      <c r="OM300" s="6090"/>
      <c r="ON300" s="6090"/>
    </row>
    <row r="301" spans="3:404" ht="5.0999999999999996" customHeight="1" x14ac:dyDescent="0.2">
      <c r="D301" s="6091"/>
      <c r="AW301" s="6091"/>
      <c r="CP301" s="6091"/>
      <c r="EI301" s="6091"/>
      <c r="GB301" s="6091"/>
      <c r="HU301" s="6091"/>
      <c r="JN301" s="6091"/>
      <c r="LG301" s="6091"/>
      <c r="MZ301" s="6091"/>
    </row>
  </sheetData>
  <sheetProtection algorithmName="SHA-512" hashValue="g86gfMxUBR6HI1xOqw1sJ6p1iuTLwCMhzEZU9apJbc8JUrvrNEB6oTk6IZpzAVIqT7Aojsdcm5eiKlwZr7HLoA==" saltValue="eNINFJ7ogIMjYvgYqjURNQ==" spinCount="100000" sheet="1" objects="1" scenarios="1"/>
  <mergeCells count="747">
    <mergeCell ref="D110:AC112"/>
    <mergeCell ref="AH110:AP112"/>
    <mergeCell ref="D116:AQ116"/>
    <mergeCell ref="E120:V120"/>
    <mergeCell ref="AN120:AP120"/>
    <mergeCell ref="E124:J124"/>
    <mergeCell ref="E129:AP129"/>
    <mergeCell ref="E289:J289"/>
    <mergeCell ref="E294:AP294"/>
    <mergeCell ref="D248:AQ248"/>
    <mergeCell ref="D215:AQ215"/>
    <mergeCell ref="E219:V219"/>
    <mergeCell ref="AN219:AP219"/>
    <mergeCell ref="E223:J223"/>
    <mergeCell ref="E228:AP228"/>
    <mergeCell ref="D242:AC244"/>
    <mergeCell ref="AH242:AP244"/>
    <mergeCell ref="E252:V252"/>
    <mergeCell ref="AN252:AP252"/>
    <mergeCell ref="E256:J256"/>
    <mergeCell ref="D143:AC145"/>
    <mergeCell ref="E285:V285"/>
    <mergeCell ref="AN285:AP285"/>
    <mergeCell ref="E190:J190"/>
    <mergeCell ref="E21:K21"/>
    <mergeCell ref="D23:J23"/>
    <mergeCell ref="E25:I25"/>
    <mergeCell ref="O25:S25"/>
    <mergeCell ref="N23:T23"/>
    <mergeCell ref="E58:J58"/>
    <mergeCell ref="E63:AP63"/>
    <mergeCell ref="E30:AP30"/>
    <mergeCell ref="D77:AC79"/>
    <mergeCell ref="AH77:AP79"/>
    <mergeCell ref="D50:AQ50"/>
    <mergeCell ref="AN54:AP54"/>
    <mergeCell ref="E54:V54"/>
    <mergeCell ref="E73:AI73"/>
    <mergeCell ref="E195:AP195"/>
    <mergeCell ref="D209:AC211"/>
    <mergeCell ref="AH209:AP211"/>
    <mergeCell ref="E261:AP261"/>
    <mergeCell ref="E162:AP162"/>
    <mergeCell ref="D176:AC178"/>
    <mergeCell ref="AH176:AP178"/>
    <mergeCell ref="D182:AQ182"/>
    <mergeCell ref="E186:V186"/>
    <mergeCell ref="AN186:AP186"/>
    <mergeCell ref="AW11:BV13"/>
    <mergeCell ref="CA11:CI13"/>
    <mergeCell ref="AW17:CJ17"/>
    <mergeCell ref="AX21:BD21"/>
    <mergeCell ref="AW23:BC23"/>
    <mergeCell ref="BG23:BM23"/>
    <mergeCell ref="D275:AC277"/>
    <mergeCell ref="AH275:AP277"/>
    <mergeCell ref="D281:AQ281"/>
    <mergeCell ref="AH143:AP145"/>
    <mergeCell ref="D149:AQ149"/>
    <mergeCell ref="E153:V153"/>
    <mergeCell ref="AN153:AP153"/>
    <mergeCell ref="E157:J157"/>
    <mergeCell ref="D83:AQ83"/>
    <mergeCell ref="E87:V87"/>
    <mergeCell ref="AN87:AP87"/>
    <mergeCell ref="E91:J91"/>
    <mergeCell ref="E96:AP96"/>
    <mergeCell ref="AH11:AP13"/>
    <mergeCell ref="D17:AQ17"/>
    <mergeCell ref="D11:AC13"/>
    <mergeCell ref="D44:AC46"/>
    <mergeCell ref="AH44:AP46"/>
    <mergeCell ref="AW50:CJ50"/>
    <mergeCell ref="AX54:BO54"/>
    <mergeCell ref="CG54:CI54"/>
    <mergeCell ref="AX58:BC58"/>
    <mergeCell ref="AX63:CI63"/>
    <mergeCell ref="AX25:BB25"/>
    <mergeCell ref="BH25:BL25"/>
    <mergeCell ref="AX30:CI30"/>
    <mergeCell ref="AW44:BV46"/>
    <mergeCell ref="CA44:CI46"/>
    <mergeCell ref="AX91:BC91"/>
    <mergeCell ref="AX96:CI96"/>
    <mergeCell ref="AW110:BV112"/>
    <mergeCell ref="CA110:CI112"/>
    <mergeCell ref="AW116:CJ116"/>
    <mergeCell ref="AW77:BV79"/>
    <mergeCell ref="CA77:CI79"/>
    <mergeCell ref="AW83:CJ83"/>
    <mergeCell ref="AX87:BO87"/>
    <mergeCell ref="CG87:CI87"/>
    <mergeCell ref="AW149:CJ149"/>
    <mergeCell ref="AX153:BO153"/>
    <mergeCell ref="CG153:CI153"/>
    <mergeCell ref="AX157:BC157"/>
    <mergeCell ref="AX162:CI162"/>
    <mergeCell ref="AX120:BO120"/>
    <mergeCell ref="CG120:CI120"/>
    <mergeCell ref="AX124:BC124"/>
    <mergeCell ref="AX129:CI129"/>
    <mergeCell ref="AW143:BV145"/>
    <mergeCell ref="CA143:CI145"/>
    <mergeCell ref="AX190:BC190"/>
    <mergeCell ref="AX195:CI195"/>
    <mergeCell ref="AW209:BV211"/>
    <mergeCell ref="CA209:CI211"/>
    <mergeCell ref="AW215:CJ215"/>
    <mergeCell ref="AW176:BV178"/>
    <mergeCell ref="CA176:CI178"/>
    <mergeCell ref="AW182:CJ182"/>
    <mergeCell ref="AX186:BO186"/>
    <mergeCell ref="CG186:CI186"/>
    <mergeCell ref="AX285:BO285"/>
    <mergeCell ref="CG285:CI285"/>
    <mergeCell ref="AW248:CJ248"/>
    <mergeCell ref="AX252:BO252"/>
    <mergeCell ref="CG252:CI252"/>
    <mergeCell ref="AX256:BC256"/>
    <mergeCell ref="AX261:CI261"/>
    <mergeCell ref="AX219:BO219"/>
    <mergeCell ref="CG219:CI219"/>
    <mergeCell ref="AX223:BC223"/>
    <mergeCell ref="AX228:CI228"/>
    <mergeCell ref="AW242:BV244"/>
    <mergeCell ref="CA242:CI244"/>
    <mergeCell ref="AX271:CB271"/>
    <mergeCell ref="CQ58:CV58"/>
    <mergeCell ref="CQ63:EB63"/>
    <mergeCell ref="CP77:DO79"/>
    <mergeCell ref="DT77:EB79"/>
    <mergeCell ref="CP83:EC83"/>
    <mergeCell ref="AX289:BC289"/>
    <mergeCell ref="AX294:CI294"/>
    <mergeCell ref="CP11:DO13"/>
    <mergeCell ref="DT11:EB13"/>
    <mergeCell ref="CP17:EC17"/>
    <mergeCell ref="CQ21:CW21"/>
    <mergeCell ref="CP23:CV23"/>
    <mergeCell ref="CZ23:DF23"/>
    <mergeCell ref="CQ25:CU25"/>
    <mergeCell ref="DA25:DE25"/>
    <mergeCell ref="CQ30:EB30"/>
    <mergeCell ref="CP44:DO46"/>
    <mergeCell ref="DT44:EB46"/>
    <mergeCell ref="CP50:EC50"/>
    <mergeCell ref="CQ54:DH54"/>
    <mergeCell ref="DZ54:EB54"/>
    <mergeCell ref="AW275:BV277"/>
    <mergeCell ref="CA275:CI277"/>
    <mergeCell ref="AW281:CJ281"/>
    <mergeCell ref="CQ252:DH252"/>
    <mergeCell ref="DZ252:EB252"/>
    <mergeCell ref="CP215:EC215"/>
    <mergeCell ref="CQ219:DH219"/>
    <mergeCell ref="DZ219:EB219"/>
    <mergeCell ref="CQ223:CV223"/>
    <mergeCell ref="CQ228:EB228"/>
    <mergeCell ref="CQ186:DH186"/>
    <mergeCell ref="DZ186:EB186"/>
    <mergeCell ref="CQ190:CV190"/>
    <mergeCell ref="CQ195:EB195"/>
    <mergeCell ref="CP209:DO211"/>
    <mergeCell ref="DT209:EB211"/>
    <mergeCell ref="CQ238:DU238"/>
    <mergeCell ref="CQ285:DH285"/>
    <mergeCell ref="DZ285:EB285"/>
    <mergeCell ref="CQ289:CV289"/>
    <mergeCell ref="CQ294:EB294"/>
    <mergeCell ref="EI11:FH13"/>
    <mergeCell ref="EJ25:EN25"/>
    <mergeCell ref="ET25:EX25"/>
    <mergeCell ref="EJ30:FU30"/>
    <mergeCell ref="EI44:FH46"/>
    <mergeCell ref="FM44:FU46"/>
    <mergeCell ref="EI50:FV50"/>
    <mergeCell ref="EJ54:FA54"/>
    <mergeCell ref="FS54:FU54"/>
    <mergeCell ref="EJ58:EO58"/>
    <mergeCell ref="EJ63:FU63"/>
    <mergeCell ref="EI77:FH79"/>
    <mergeCell ref="CQ256:CV256"/>
    <mergeCell ref="CQ261:EB261"/>
    <mergeCell ref="CP275:DO277"/>
    <mergeCell ref="DT275:EB277"/>
    <mergeCell ref="CP281:EC281"/>
    <mergeCell ref="CP242:DO244"/>
    <mergeCell ref="DT242:EB244"/>
    <mergeCell ref="CP248:EC248"/>
    <mergeCell ref="FM77:FU79"/>
    <mergeCell ref="EI83:FV83"/>
    <mergeCell ref="EJ87:FA87"/>
    <mergeCell ref="FS87:FU87"/>
    <mergeCell ref="EJ91:EO91"/>
    <mergeCell ref="FM11:FU13"/>
    <mergeCell ref="EI17:FV17"/>
    <mergeCell ref="EJ21:EP21"/>
    <mergeCell ref="EI23:EO23"/>
    <mergeCell ref="ES23:EY23"/>
    <mergeCell ref="FM176:FU178"/>
    <mergeCell ref="EJ124:EO124"/>
    <mergeCell ref="EJ129:FU129"/>
    <mergeCell ref="EI143:FH145"/>
    <mergeCell ref="FM143:FU145"/>
    <mergeCell ref="EI149:FV149"/>
    <mergeCell ref="EJ96:FU96"/>
    <mergeCell ref="EI110:FH112"/>
    <mergeCell ref="FM110:FU112"/>
    <mergeCell ref="EI116:FV116"/>
    <mergeCell ref="EJ120:FA120"/>
    <mergeCell ref="FS120:FU120"/>
    <mergeCell ref="EJ289:EO289"/>
    <mergeCell ref="EJ294:FU294"/>
    <mergeCell ref="EJ252:FA252"/>
    <mergeCell ref="FS252:FU252"/>
    <mergeCell ref="EJ256:EO256"/>
    <mergeCell ref="EJ261:FU261"/>
    <mergeCell ref="EI275:FH277"/>
    <mergeCell ref="FM275:FU277"/>
    <mergeCell ref="EJ223:EO223"/>
    <mergeCell ref="EJ228:FU228"/>
    <mergeCell ref="EI242:FH244"/>
    <mergeCell ref="FM242:FU244"/>
    <mergeCell ref="EI248:FV248"/>
    <mergeCell ref="GB11:HA13"/>
    <mergeCell ref="HF11:HN13"/>
    <mergeCell ref="HU11:IT13"/>
    <mergeCell ref="IY11:JG13"/>
    <mergeCell ref="GB17:HO17"/>
    <mergeCell ref="HU17:JH17"/>
    <mergeCell ref="EI281:FV281"/>
    <mergeCell ref="EJ285:FA285"/>
    <mergeCell ref="FS285:FU285"/>
    <mergeCell ref="EI209:FH211"/>
    <mergeCell ref="FM209:FU211"/>
    <mergeCell ref="EI215:FV215"/>
    <mergeCell ref="EJ219:FA219"/>
    <mergeCell ref="FS219:FU219"/>
    <mergeCell ref="EI182:FV182"/>
    <mergeCell ref="EJ186:FA186"/>
    <mergeCell ref="FS186:FU186"/>
    <mergeCell ref="EJ190:EO190"/>
    <mergeCell ref="EJ195:FU195"/>
    <mergeCell ref="EJ153:FA153"/>
    <mergeCell ref="FS153:FU153"/>
    <mergeCell ref="EJ157:EO157"/>
    <mergeCell ref="EJ162:FU162"/>
    <mergeCell ref="EI176:FH178"/>
    <mergeCell ref="IE23:IK23"/>
    <mergeCell ref="GC25:GG25"/>
    <mergeCell ref="GM25:GQ25"/>
    <mergeCell ref="HV25:HZ25"/>
    <mergeCell ref="IF25:IJ25"/>
    <mergeCell ref="GC42:HN42"/>
    <mergeCell ref="GC40:HG40"/>
    <mergeCell ref="GC21:GI21"/>
    <mergeCell ref="HV21:IB21"/>
    <mergeCell ref="GB23:GH23"/>
    <mergeCell ref="GL23:GR23"/>
    <mergeCell ref="HU23:IA23"/>
    <mergeCell ref="GC54:GT54"/>
    <mergeCell ref="HL54:HN54"/>
    <mergeCell ref="HV54:IM54"/>
    <mergeCell ref="JE54:JG54"/>
    <mergeCell ref="GC75:HN75"/>
    <mergeCell ref="GC73:HG73"/>
    <mergeCell ref="GC30:HN30"/>
    <mergeCell ref="HV30:JG30"/>
    <mergeCell ref="GB44:HA46"/>
    <mergeCell ref="HF44:HN46"/>
    <mergeCell ref="HU44:IT46"/>
    <mergeCell ref="IY44:JG46"/>
    <mergeCell ref="GB110:HA112"/>
    <mergeCell ref="HF110:HN112"/>
    <mergeCell ref="HU110:IT112"/>
    <mergeCell ref="IY110:JG112"/>
    <mergeCell ref="GB83:HO83"/>
    <mergeCell ref="HU83:JH83"/>
    <mergeCell ref="GC87:GT87"/>
    <mergeCell ref="HL87:HN87"/>
    <mergeCell ref="HV87:IM87"/>
    <mergeCell ref="JE87:JG87"/>
    <mergeCell ref="GC108:HN108"/>
    <mergeCell ref="GC106:HG106"/>
    <mergeCell ref="GC124:GH124"/>
    <mergeCell ref="HV124:IA124"/>
    <mergeCell ref="GC129:HN129"/>
    <mergeCell ref="HV129:JG129"/>
    <mergeCell ref="GB143:HA145"/>
    <mergeCell ref="HF143:HN145"/>
    <mergeCell ref="HU143:IT145"/>
    <mergeCell ref="IY143:JG145"/>
    <mergeCell ref="GB116:HO116"/>
    <mergeCell ref="HU116:JH116"/>
    <mergeCell ref="GC120:GT120"/>
    <mergeCell ref="HL120:HN120"/>
    <mergeCell ref="HV120:IM120"/>
    <mergeCell ref="JE120:JG120"/>
    <mergeCell ref="GC141:HN141"/>
    <mergeCell ref="GC139:HG139"/>
    <mergeCell ref="HV141:JG141"/>
    <mergeCell ref="HV139:IZ139"/>
    <mergeCell ref="GC157:GH157"/>
    <mergeCell ref="HV157:IA157"/>
    <mergeCell ref="GC162:HN162"/>
    <mergeCell ref="HV162:JG162"/>
    <mergeCell ref="GB176:HA178"/>
    <mergeCell ref="HF176:HN178"/>
    <mergeCell ref="HU176:IT178"/>
    <mergeCell ref="IY176:JG178"/>
    <mergeCell ref="GB149:HO149"/>
    <mergeCell ref="HU149:JH149"/>
    <mergeCell ref="GC153:GT153"/>
    <mergeCell ref="HL153:HN153"/>
    <mergeCell ref="HV153:IM153"/>
    <mergeCell ref="JE153:JG153"/>
    <mergeCell ref="GC174:HN174"/>
    <mergeCell ref="GC172:HG172"/>
    <mergeCell ref="HV174:JG174"/>
    <mergeCell ref="HV172:IZ172"/>
    <mergeCell ref="GC190:GH190"/>
    <mergeCell ref="HV190:IA190"/>
    <mergeCell ref="GC195:HN195"/>
    <mergeCell ref="HV195:JG195"/>
    <mergeCell ref="GB209:HA211"/>
    <mergeCell ref="HF209:HN211"/>
    <mergeCell ref="HU209:IT211"/>
    <mergeCell ref="IY209:JG211"/>
    <mergeCell ref="GB182:HO182"/>
    <mergeCell ref="HU182:JH182"/>
    <mergeCell ref="GC186:GT186"/>
    <mergeCell ref="HL186:HN186"/>
    <mergeCell ref="HV186:IM186"/>
    <mergeCell ref="JE186:JG186"/>
    <mergeCell ref="GC207:HN207"/>
    <mergeCell ref="GC205:HG205"/>
    <mergeCell ref="HV207:JG207"/>
    <mergeCell ref="HV205:IZ205"/>
    <mergeCell ref="GC223:GH223"/>
    <mergeCell ref="HV223:IA223"/>
    <mergeCell ref="GC228:HN228"/>
    <mergeCell ref="HV228:JG228"/>
    <mergeCell ref="GB242:HA244"/>
    <mergeCell ref="HF242:HN244"/>
    <mergeCell ref="HU242:IT244"/>
    <mergeCell ref="IY242:JG244"/>
    <mergeCell ref="GB215:HO215"/>
    <mergeCell ref="HU215:JH215"/>
    <mergeCell ref="GC219:GT219"/>
    <mergeCell ref="HL219:HN219"/>
    <mergeCell ref="HV219:IM219"/>
    <mergeCell ref="JE219:JG219"/>
    <mergeCell ref="GC240:HN240"/>
    <mergeCell ref="GC238:HG238"/>
    <mergeCell ref="HV240:JG240"/>
    <mergeCell ref="HV238:IZ238"/>
    <mergeCell ref="GC261:HN261"/>
    <mergeCell ref="HV261:JG261"/>
    <mergeCell ref="GB275:HA277"/>
    <mergeCell ref="HF275:HN277"/>
    <mergeCell ref="HU275:IT277"/>
    <mergeCell ref="IY275:JG277"/>
    <mergeCell ref="GB248:HO248"/>
    <mergeCell ref="HU248:JH248"/>
    <mergeCell ref="GC252:GT252"/>
    <mergeCell ref="HL252:HN252"/>
    <mergeCell ref="HV252:IM252"/>
    <mergeCell ref="JE252:JG252"/>
    <mergeCell ref="GC273:HN273"/>
    <mergeCell ref="GC271:HG271"/>
    <mergeCell ref="HV273:JG273"/>
    <mergeCell ref="HV271:IZ271"/>
    <mergeCell ref="GC289:GH289"/>
    <mergeCell ref="HV289:IA289"/>
    <mergeCell ref="GC294:HN294"/>
    <mergeCell ref="HV294:JG294"/>
    <mergeCell ref="JN11:KM13"/>
    <mergeCell ref="JO25:JS25"/>
    <mergeCell ref="JY25:KC25"/>
    <mergeCell ref="JO30:KZ30"/>
    <mergeCell ref="JN44:KM46"/>
    <mergeCell ref="KR44:KZ46"/>
    <mergeCell ref="JN50:LA50"/>
    <mergeCell ref="JO54:KF54"/>
    <mergeCell ref="KX54:KZ54"/>
    <mergeCell ref="JO58:JT58"/>
    <mergeCell ref="JO63:KZ63"/>
    <mergeCell ref="JN77:KM79"/>
    <mergeCell ref="GB281:HO281"/>
    <mergeCell ref="HU281:JH281"/>
    <mergeCell ref="GC285:GT285"/>
    <mergeCell ref="HL285:HN285"/>
    <mergeCell ref="HV285:IM285"/>
    <mergeCell ref="JE285:JG285"/>
    <mergeCell ref="GC256:GH256"/>
    <mergeCell ref="HV256:IA256"/>
    <mergeCell ref="KR77:KZ79"/>
    <mergeCell ref="JN83:LA83"/>
    <mergeCell ref="JO87:KF87"/>
    <mergeCell ref="KX87:KZ87"/>
    <mergeCell ref="JO91:JT91"/>
    <mergeCell ref="KR11:KZ13"/>
    <mergeCell ref="JN17:LA17"/>
    <mergeCell ref="JO21:JU21"/>
    <mergeCell ref="JN23:JT23"/>
    <mergeCell ref="JX23:KD23"/>
    <mergeCell ref="JO75:KZ75"/>
    <mergeCell ref="JO73:KS73"/>
    <mergeCell ref="JO42:KZ42"/>
    <mergeCell ref="JO40:KS40"/>
    <mergeCell ref="JO96:KZ96"/>
    <mergeCell ref="JN110:KM112"/>
    <mergeCell ref="KR110:KZ112"/>
    <mergeCell ref="JN116:LA116"/>
    <mergeCell ref="JO120:KF120"/>
    <mergeCell ref="KX120:KZ120"/>
    <mergeCell ref="JO141:KZ141"/>
    <mergeCell ref="JO139:KS139"/>
    <mergeCell ref="JO108:KZ108"/>
    <mergeCell ref="JO106:KS106"/>
    <mergeCell ref="JO195:KZ195"/>
    <mergeCell ref="JO153:KF153"/>
    <mergeCell ref="KX153:KZ153"/>
    <mergeCell ref="JO157:JT157"/>
    <mergeCell ref="JO162:KZ162"/>
    <mergeCell ref="JN176:KM178"/>
    <mergeCell ref="KR176:KZ178"/>
    <mergeCell ref="JO124:JT124"/>
    <mergeCell ref="JO129:KZ129"/>
    <mergeCell ref="JN143:KM145"/>
    <mergeCell ref="KR143:KZ145"/>
    <mergeCell ref="JN149:LA149"/>
    <mergeCell ref="JN281:LA281"/>
    <mergeCell ref="JO285:KF285"/>
    <mergeCell ref="KX285:KZ285"/>
    <mergeCell ref="JO289:JT289"/>
    <mergeCell ref="JO294:KZ294"/>
    <mergeCell ref="JO252:KF252"/>
    <mergeCell ref="KX252:KZ252"/>
    <mergeCell ref="JO256:JT256"/>
    <mergeCell ref="JO261:KZ261"/>
    <mergeCell ref="JN275:KM277"/>
    <mergeCell ref="KR275:KZ277"/>
    <mergeCell ref="LH25:LL25"/>
    <mergeCell ref="LR25:LV25"/>
    <mergeCell ref="LH30:MS30"/>
    <mergeCell ref="LG44:MF46"/>
    <mergeCell ref="MK44:MS46"/>
    <mergeCell ref="LG11:MF13"/>
    <mergeCell ref="MK11:MS13"/>
    <mergeCell ref="LG17:MT17"/>
    <mergeCell ref="LH21:LN21"/>
    <mergeCell ref="LG23:LM23"/>
    <mergeCell ref="LQ23:LW23"/>
    <mergeCell ref="LH42:MS42"/>
    <mergeCell ref="LH40:ML40"/>
    <mergeCell ref="LG77:MF79"/>
    <mergeCell ref="MK77:MS79"/>
    <mergeCell ref="LG83:MT83"/>
    <mergeCell ref="LH87:LY87"/>
    <mergeCell ref="MQ87:MS87"/>
    <mergeCell ref="LG50:MT50"/>
    <mergeCell ref="LH54:LY54"/>
    <mergeCell ref="MQ54:MS54"/>
    <mergeCell ref="LH58:LM58"/>
    <mergeCell ref="LH63:MS63"/>
    <mergeCell ref="LH75:MS75"/>
    <mergeCell ref="LH73:ML73"/>
    <mergeCell ref="LH91:LM91"/>
    <mergeCell ref="LH96:MS96"/>
    <mergeCell ref="LG110:MF112"/>
    <mergeCell ref="MK110:MS112"/>
    <mergeCell ref="LG116:MT116"/>
    <mergeCell ref="LH141:MS141"/>
    <mergeCell ref="LH139:ML139"/>
    <mergeCell ref="LH108:MS108"/>
    <mergeCell ref="LH106:ML106"/>
    <mergeCell ref="LH186:LY186"/>
    <mergeCell ref="MQ186:MS186"/>
    <mergeCell ref="LG149:MT149"/>
    <mergeCell ref="LH153:LY153"/>
    <mergeCell ref="MQ153:MS153"/>
    <mergeCell ref="LH157:LM157"/>
    <mergeCell ref="LH162:MS162"/>
    <mergeCell ref="LH120:LY120"/>
    <mergeCell ref="MQ120:MS120"/>
    <mergeCell ref="LH124:LM124"/>
    <mergeCell ref="LH129:MS129"/>
    <mergeCell ref="LG143:MF145"/>
    <mergeCell ref="MK143:MS145"/>
    <mergeCell ref="LH289:LM289"/>
    <mergeCell ref="LH294:MS294"/>
    <mergeCell ref="LG275:MF277"/>
    <mergeCell ref="MK275:MS277"/>
    <mergeCell ref="LG281:MT281"/>
    <mergeCell ref="LH285:LY285"/>
    <mergeCell ref="MQ285:MS285"/>
    <mergeCell ref="LG248:MT248"/>
    <mergeCell ref="LH252:LY252"/>
    <mergeCell ref="MQ252:MS252"/>
    <mergeCell ref="LH256:LM256"/>
    <mergeCell ref="LH261:MS261"/>
    <mergeCell ref="MZ11:NY13"/>
    <mergeCell ref="OD11:OL13"/>
    <mergeCell ref="MZ17:OM17"/>
    <mergeCell ref="NA21:NG21"/>
    <mergeCell ref="MZ23:NF23"/>
    <mergeCell ref="NJ23:NP23"/>
    <mergeCell ref="NA25:NE25"/>
    <mergeCell ref="NK25:NO25"/>
    <mergeCell ref="NA30:OL30"/>
    <mergeCell ref="MZ116:OM116"/>
    <mergeCell ref="NA120:NR120"/>
    <mergeCell ref="OJ120:OL120"/>
    <mergeCell ref="NA108:OL108"/>
    <mergeCell ref="NA106:OE106"/>
    <mergeCell ref="MZ44:NY46"/>
    <mergeCell ref="OD44:OL46"/>
    <mergeCell ref="MZ50:OM50"/>
    <mergeCell ref="NA54:NR54"/>
    <mergeCell ref="OJ54:OL54"/>
    <mergeCell ref="NA58:NF58"/>
    <mergeCell ref="NA63:OL63"/>
    <mergeCell ref="MZ77:NY79"/>
    <mergeCell ref="OD77:OL79"/>
    <mergeCell ref="NA75:OL75"/>
    <mergeCell ref="NA73:OE73"/>
    <mergeCell ref="NA285:NR285"/>
    <mergeCell ref="OJ285:OL285"/>
    <mergeCell ref="NA289:NF289"/>
    <mergeCell ref="NA294:OL294"/>
    <mergeCell ref="MZ215:OM215"/>
    <mergeCell ref="NA219:NR219"/>
    <mergeCell ref="OJ219:OL219"/>
    <mergeCell ref="NA223:NF223"/>
    <mergeCell ref="NA228:OL228"/>
    <mergeCell ref="MZ242:NY244"/>
    <mergeCell ref="OD242:OL244"/>
    <mergeCell ref="MZ248:OM248"/>
    <mergeCell ref="NA252:NR252"/>
    <mergeCell ref="OJ252:OL252"/>
    <mergeCell ref="E9:AP9"/>
    <mergeCell ref="AX9:CI9"/>
    <mergeCell ref="AX7:CB7"/>
    <mergeCell ref="NA256:NF256"/>
    <mergeCell ref="NA261:OL261"/>
    <mergeCell ref="MZ275:NY277"/>
    <mergeCell ref="OD275:OL277"/>
    <mergeCell ref="MZ281:OM281"/>
    <mergeCell ref="MZ176:NY178"/>
    <mergeCell ref="OD176:OL178"/>
    <mergeCell ref="MZ182:OM182"/>
    <mergeCell ref="NA186:NR186"/>
    <mergeCell ref="OJ186:OL186"/>
    <mergeCell ref="NA190:NF190"/>
    <mergeCell ref="NA195:OL195"/>
    <mergeCell ref="MZ209:NY211"/>
    <mergeCell ref="OD209:OL211"/>
    <mergeCell ref="NA124:NF124"/>
    <mergeCell ref="NA129:OL129"/>
    <mergeCell ref="MZ143:NY145"/>
    <mergeCell ref="OD143:OL145"/>
    <mergeCell ref="MZ149:OM149"/>
    <mergeCell ref="NA153:NR153"/>
    <mergeCell ref="CQ240:EB240"/>
    <mergeCell ref="E7:AI7"/>
    <mergeCell ref="E40:AI40"/>
    <mergeCell ref="E106:AI106"/>
    <mergeCell ref="E139:AI139"/>
    <mergeCell ref="E172:AI172"/>
    <mergeCell ref="E205:AI205"/>
    <mergeCell ref="E238:AI238"/>
    <mergeCell ref="CQ157:CV157"/>
    <mergeCell ref="CQ162:EB162"/>
    <mergeCell ref="CP176:DO178"/>
    <mergeCell ref="DT176:EB178"/>
    <mergeCell ref="CP182:EC182"/>
    <mergeCell ref="CP143:DO145"/>
    <mergeCell ref="DT143:EB145"/>
    <mergeCell ref="CP149:EC149"/>
    <mergeCell ref="CQ153:DH153"/>
    <mergeCell ref="DZ153:EB153"/>
    <mergeCell ref="CP116:EC116"/>
    <mergeCell ref="CQ120:DH120"/>
    <mergeCell ref="DZ120:EB120"/>
    <mergeCell ref="CQ124:CV124"/>
    <mergeCell ref="CQ129:EB129"/>
    <mergeCell ref="CQ75:EB75"/>
    <mergeCell ref="CQ73:DU73"/>
    <mergeCell ref="CQ108:EB108"/>
    <mergeCell ref="CQ106:DU106"/>
    <mergeCell ref="CQ141:EB141"/>
    <mergeCell ref="CQ139:DU139"/>
    <mergeCell ref="CQ174:EB174"/>
    <mergeCell ref="CQ172:DU172"/>
    <mergeCell ref="CQ207:EB207"/>
    <mergeCell ref="CQ205:DU205"/>
    <mergeCell ref="CQ87:DH87"/>
    <mergeCell ref="DZ87:EB87"/>
    <mergeCell ref="CQ91:CV91"/>
    <mergeCell ref="CQ96:EB96"/>
    <mergeCell ref="CP110:DO112"/>
    <mergeCell ref="DT110:EB112"/>
    <mergeCell ref="E273:AP273"/>
    <mergeCell ref="AX273:CI273"/>
    <mergeCell ref="AX42:CI42"/>
    <mergeCell ref="AX40:CB40"/>
    <mergeCell ref="AX75:CI75"/>
    <mergeCell ref="AX73:CB73"/>
    <mergeCell ref="AX108:CI108"/>
    <mergeCell ref="AX106:CB106"/>
    <mergeCell ref="AX141:CI141"/>
    <mergeCell ref="AX139:CB139"/>
    <mergeCell ref="AX174:CI174"/>
    <mergeCell ref="AX172:CB172"/>
    <mergeCell ref="AX207:CI207"/>
    <mergeCell ref="AX205:CB205"/>
    <mergeCell ref="AX240:CI240"/>
    <mergeCell ref="AX238:CB238"/>
    <mergeCell ref="E42:AP42"/>
    <mergeCell ref="E75:AP75"/>
    <mergeCell ref="E108:AP108"/>
    <mergeCell ref="E141:AP141"/>
    <mergeCell ref="E174:AP174"/>
    <mergeCell ref="E207:AP207"/>
    <mergeCell ref="E240:AP240"/>
    <mergeCell ref="E271:AI271"/>
    <mergeCell ref="CQ273:EB273"/>
    <mergeCell ref="CQ271:DU271"/>
    <mergeCell ref="EJ9:FU9"/>
    <mergeCell ref="EJ7:FN7"/>
    <mergeCell ref="EJ42:FU42"/>
    <mergeCell ref="EJ40:FN40"/>
    <mergeCell ref="EJ75:FU75"/>
    <mergeCell ref="EJ73:FN73"/>
    <mergeCell ref="EJ108:FU108"/>
    <mergeCell ref="EJ106:FN106"/>
    <mergeCell ref="EJ141:FU141"/>
    <mergeCell ref="EJ139:FN139"/>
    <mergeCell ref="EJ174:FU174"/>
    <mergeCell ref="EJ172:FN172"/>
    <mergeCell ref="EJ207:FU207"/>
    <mergeCell ref="EJ205:FN205"/>
    <mergeCell ref="EJ240:FU240"/>
    <mergeCell ref="EJ238:FN238"/>
    <mergeCell ref="EJ273:FU273"/>
    <mergeCell ref="EJ271:FN271"/>
    <mergeCell ref="CQ9:EB9"/>
    <mergeCell ref="CQ7:DU7"/>
    <mergeCell ref="CQ42:EB42"/>
    <mergeCell ref="CQ40:DU40"/>
    <mergeCell ref="GC9:HN9"/>
    <mergeCell ref="GC7:HG7"/>
    <mergeCell ref="HV9:JG9"/>
    <mergeCell ref="HV7:IZ7"/>
    <mergeCell ref="HV42:JG42"/>
    <mergeCell ref="HV40:IZ40"/>
    <mergeCell ref="HV75:JG75"/>
    <mergeCell ref="HV73:IZ73"/>
    <mergeCell ref="HV108:JG108"/>
    <mergeCell ref="HV106:IZ106"/>
    <mergeCell ref="GC91:GH91"/>
    <mergeCell ref="HV91:IA91"/>
    <mergeCell ref="GC96:HN96"/>
    <mergeCell ref="HV96:JG96"/>
    <mergeCell ref="GC58:GH58"/>
    <mergeCell ref="HV58:IA58"/>
    <mergeCell ref="GC63:HN63"/>
    <mergeCell ref="HV63:JG63"/>
    <mergeCell ref="GB77:HA79"/>
    <mergeCell ref="HF77:HN79"/>
    <mergeCell ref="HU77:IT79"/>
    <mergeCell ref="IY77:JG79"/>
    <mergeCell ref="GB50:HO50"/>
    <mergeCell ref="HU50:JH50"/>
    <mergeCell ref="JO9:KZ9"/>
    <mergeCell ref="JO7:KS7"/>
    <mergeCell ref="JO273:KZ273"/>
    <mergeCell ref="JO271:KS271"/>
    <mergeCell ref="JO240:KZ240"/>
    <mergeCell ref="JO238:KS238"/>
    <mergeCell ref="JO207:KZ207"/>
    <mergeCell ref="JO205:KS205"/>
    <mergeCell ref="JO174:KZ174"/>
    <mergeCell ref="JO172:KS172"/>
    <mergeCell ref="JO223:JT223"/>
    <mergeCell ref="JO228:KZ228"/>
    <mergeCell ref="JN242:KM244"/>
    <mergeCell ref="KR242:KZ244"/>
    <mergeCell ref="JN248:LA248"/>
    <mergeCell ref="JN209:KM211"/>
    <mergeCell ref="KR209:KZ211"/>
    <mergeCell ref="JN215:LA215"/>
    <mergeCell ref="JO219:KF219"/>
    <mergeCell ref="KX219:KZ219"/>
    <mergeCell ref="JN182:LA182"/>
    <mergeCell ref="JO186:KF186"/>
    <mergeCell ref="KX186:KZ186"/>
    <mergeCell ref="JO190:JT190"/>
    <mergeCell ref="LH9:MS9"/>
    <mergeCell ref="LH7:ML7"/>
    <mergeCell ref="LH273:MS273"/>
    <mergeCell ref="LH271:ML271"/>
    <mergeCell ref="LH240:MS240"/>
    <mergeCell ref="LH238:ML238"/>
    <mergeCell ref="LH207:MS207"/>
    <mergeCell ref="LH205:ML205"/>
    <mergeCell ref="LH174:MS174"/>
    <mergeCell ref="LH172:ML172"/>
    <mergeCell ref="LH219:LY219"/>
    <mergeCell ref="MQ219:MS219"/>
    <mergeCell ref="LH223:LM223"/>
    <mergeCell ref="LH228:MS228"/>
    <mergeCell ref="LG242:MF244"/>
    <mergeCell ref="MK242:MS244"/>
    <mergeCell ref="LH190:LM190"/>
    <mergeCell ref="LH195:MS195"/>
    <mergeCell ref="LG209:MF211"/>
    <mergeCell ref="MK209:MS211"/>
    <mergeCell ref="LG215:MT215"/>
    <mergeCell ref="LG176:MF178"/>
    <mergeCell ref="MK176:MS178"/>
    <mergeCell ref="LG182:MT182"/>
    <mergeCell ref="NA42:OL42"/>
    <mergeCell ref="NA40:OE40"/>
    <mergeCell ref="NA9:OL9"/>
    <mergeCell ref="NA7:OE7"/>
    <mergeCell ref="NA174:OL174"/>
    <mergeCell ref="NA172:OE172"/>
    <mergeCell ref="NA141:OL141"/>
    <mergeCell ref="NA273:OL273"/>
    <mergeCell ref="NA271:OE271"/>
    <mergeCell ref="NA240:OL240"/>
    <mergeCell ref="NA238:OE238"/>
    <mergeCell ref="NA207:OL207"/>
    <mergeCell ref="NA205:OE205"/>
    <mergeCell ref="OJ153:OL153"/>
    <mergeCell ref="NA157:NF157"/>
    <mergeCell ref="NA162:OL162"/>
    <mergeCell ref="NA139:OE139"/>
    <mergeCell ref="MZ83:OM83"/>
    <mergeCell ref="NA87:NR87"/>
    <mergeCell ref="OJ87:OL87"/>
    <mergeCell ref="NA91:NF91"/>
    <mergeCell ref="NA96:OL96"/>
    <mergeCell ref="MZ110:NY112"/>
    <mergeCell ref="OD110:OL112"/>
  </mergeCells>
  <printOptions horizontalCentered="1"/>
  <pageMargins left="0.25" right="0.25" top="0.75" bottom="0.75" header="0.3" footer="0.3"/>
  <pageSetup paperSize="9" scale="99" fitToWidth="8" fitToHeight="0" orientation="portrait" r:id="rId1"/>
  <rowBreaks count="9" manualBreakCount="9">
    <brk id="35" max="366" man="1"/>
    <brk id="68" max="366" man="1"/>
    <brk id="101" max="366" man="1"/>
    <brk id="134" max="366" man="1"/>
    <brk id="167" max="366" man="1"/>
    <brk id="200" max="366" man="1"/>
    <brk id="233" max="366" man="1"/>
    <brk id="266" max="366" man="1"/>
    <brk id="301" max="94" man="1"/>
  </rowBreaks>
  <colBreaks count="8" manualBreakCount="8">
    <brk id="45" max="300" man="1"/>
    <brk id="90" max="300" man="1"/>
    <brk id="135" max="300" man="1"/>
    <brk id="180" max="300" man="1"/>
    <brk id="225" max="300" man="1"/>
    <brk id="270" max="300" man="1"/>
    <brk id="315" max="300" man="1"/>
    <brk id="360" max="300" man="1"/>
  </colBreaks>
  <extLst>
    <ext xmlns:x14="http://schemas.microsoft.com/office/spreadsheetml/2009/9/main" uri="{78C0D931-6437-407d-A8EE-F0AAD7539E65}">
      <x14:conditionalFormattings>
        <x14:conditionalFormatting xmlns:xm="http://schemas.microsoft.com/office/excel/2006/main">
          <x14:cfRule type="expression" priority="228" id="{98A0450B-15C1-4441-8D41-F1AAA51B8973}">
            <xm:f>_Calcs!$IL$117=_List!$AW$7</xm:f>
            <x14:dxf>
              <font>
                <color theme="6" tint="0.79998168889431442"/>
              </font>
              <fill>
                <patternFill>
                  <bgColor theme="6" tint="0.79998168889431442"/>
                </patternFill>
              </fill>
            </x14:dxf>
          </x14:cfRule>
          <xm:sqref>D29:Z31 D25:J25 N25:T25 AE29:AQ31 AW25:BC25 BG25:BM25 BX29:CJ31</xm:sqref>
        </x14:conditionalFormatting>
        <x14:conditionalFormatting xmlns:xm="http://schemas.microsoft.com/office/excel/2006/main">
          <x14:cfRule type="expression" priority="288" id="{39AC4C7E-7FE6-4A38-8D4B-7B51A71A9A68}">
            <xm:f>_Calcs!$IL$117=_List!$AW$7</xm:f>
            <x14:dxf>
              <fill>
                <patternFill>
                  <bgColor theme="6" tint="0.79998168889431442"/>
                </patternFill>
              </fill>
            </x14:dxf>
          </x14:cfRule>
          <xm:sqref>D21:E21 L21 BE21</xm:sqref>
        </x14:conditionalFormatting>
        <x14:conditionalFormatting xmlns:xm="http://schemas.microsoft.com/office/excel/2006/main">
          <x14:cfRule type="expression" priority="284" id="{6E41A6F5-3578-4ECA-A411-BF80AAEC5446}">
            <xm:f>_Calcs!$IK$127&lt;&gt;_List!$DK$5</xm:f>
            <x14:dxf>
              <fill>
                <patternFill>
                  <bgColor theme="6" tint="0.79998168889431442"/>
                </patternFill>
              </fill>
            </x14:dxf>
          </x14:cfRule>
          <xm:sqref>D54:W54 AM54:AQ54</xm:sqref>
        </x14:conditionalFormatting>
        <x14:conditionalFormatting xmlns:xm="http://schemas.microsoft.com/office/excel/2006/main">
          <x14:cfRule type="expression" priority="283" id="{C24C35BA-6C07-48EB-BB9E-B27147D05664}">
            <xm:f>_Calcs!$IK$127=_List!$DU$7</xm:f>
            <x14:dxf>
              <font>
                <color theme="6" tint="0.79998168889431442"/>
              </font>
              <fill>
                <patternFill>
                  <bgColor theme="6" tint="0.79998168889431442"/>
                </patternFill>
              </fill>
            </x14:dxf>
          </x14:cfRule>
          <xm:sqref>D62:AQ64 D58:K58</xm:sqref>
        </x14:conditionalFormatting>
        <x14:conditionalFormatting xmlns:xm="http://schemas.microsoft.com/office/excel/2006/main">
          <x14:cfRule type="expression" priority="289" id="{9DBB48A5-9BFE-439F-A188-95356F460F98}">
            <xm:f>_Calcs!$IL$119=_Calcs!$II$97</xm:f>
            <x14:dxf>
              <font>
                <b/>
                <i val="0"/>
              </font>
            </x14:dxf>
          </x14:cfRule>
          <xm:sqref>D25:E25</xm:sqref>
        </x14:conditionalFormatting>
        <x14:conditionalFormatting xmlns:xm="http://schemas.microsoft.com/office/excel/2006/main">
          <x14:cfRule type="expression" priority="231" id="{428AAA8D-7828-45F0-A39E-EDE5580B3925}">
            <xm:f>_Calcs!$IL$119&lt;&gt;_Calcs!$II$97</xm:f>
            <x14:dxf>
              <font>
                <b/>
                <i val="0"/>
                <color auto="1"/>
              </font>
              <border>
                <vertical/>
                <horizontal/>
              </border>
            </x14:dxf>
          </x14:cfRule>
          <xm:sqref>N25:O25 T25 BM25</xm:sqref>
        </x14:conditionalFormatting>
        <x14:conditionalFormatting xmlns:xm="http://schemas.microsoft.com/office/excel/2006/main">
          <x14:cfRule type="expression" priority="229" id="{C56BB612-6CCC-4FFB-81B5-62A5DDF91073}">
            <xm:f>_Calcs!$IL$119=_Calcs!$II$97</xm:f>
            <x14:dxf>
              <fill>
                <patternFill>
                  <bgColor theme="6" tint="0.79998168889431442"/>
                </patternFill>
              </fill>
            </x14:dxf>
          </x14:cfRule>
          <xm:sqref>D29:Z31 AE29:AQ31 BX29:CJ31</xm:sqref>
        </x14:conditionalFormatting>
        <x14:conditionalFormatting xmlns:xm="http://schemas.microsoft.com/office/excel/2006/main">
          <x14:cfRule type="expression" priority="218" id="{AD81F24A-4F84-4DCA-A0D3-F36DD138FE08}">
            <xm:f>_Calcs!$IL$117=_List!$AW$7</xm:f>
            <x14:dxf>
              <font>
                <color theme="6" tint="0.79998168889431442"/>
              </font>
              <fill>
                <patternFill>
                  <bgColor theme="6" tint="0.79998168889431442"/>
                </patternFill>
              </fill>
            </x14:dxf>
          </x14:cfRule>
          <xm:sqref>AA29:AD31</xm:sqref>
        </x14:conditionalFormatting>
        <x14:conditionalFormatting xmlns:xm="http://schemas.microsoft.com/office/excel/2006/main">
          <x14:cfRule type="expression" priority="219" id="{7B9846DE-D67E-44D8-84D2-539FB3CA5C46}">
            <xm:f>_Calcs!$IL$119=_Calcs!$II$97</xm:f>
            <x14:dxf>
              <fill>
                <patternFill>
                  <bgColor theme="6" tint="0.79998168889431442"/>
                </patternFill>
              </fill>
            </x14:dxf>
          </x14:cfRule>
          <xm:sqref>AA29:AD31</xm:sqref>
        </x14:conditionalFormatting>
        <x14:conditionalFormatting xmlns:xm="http://schemas.microsoft.com/office/excel/2006/main">
          <x14:cfRule type="expression" priority="206" id="{57EEA2B9-5262-45BB-85DC-92E333B92BA1}">
            <xm:f>_Calcs!$IK$136&lt;&gt;_List!$DK$5</xm:f>
            <x14:dxf>
              <fill>
                <patternFill>
                  <bgColor theme="6" tint="0.79998168889431442"/>
                </patternFill>
              </fill>
            </x14:dxf>
          </x14:cfRule>
          <xm:sqref>D87:W87 AM87:AQ87</xm:sqref>
        </x14:conditionalFormatting>
        <x14:conditionalFormatting xmlns:xm="http://schemas.microsoft.com/office/excel/2006/main">
          <x14:cfRule type="expression" priority="205" id="{C13BCA14-C711-4AAD-8B0B-94711DE82279}">
            <xm:f>_Calcs!$IK$136=_List!$DU$7</xm:f>
            <x14:dxf>
              <font>
                <color theme="6" tint="0.79998168889431442"/>
              </font>
              <fill>
                <patternFill>
                  <bgColor theme="6" tint="0.79998168889431442"/>
                </patternFill>
              </fill>
            </x14:dxf>
          </x14:cfRule>
          <xm:sqref>D95:AQ97 D91:K91</xm:sqref>
        </x14:conditionalFormatting>
        <x14:conditionalFormatting xmlns:xm="http://schemas.microsoft.com/office/excel/2006/main">
          <x14:cfRule type="expression" priority="204" id="{E6CE22A6-342A-4096-A92D-71887E293014}">
            <xm:f>_Calcs!$IK$145&lt;&gt;_List!$DK$5</xm:f>
            <x14:dxf>
              <fill>
                <patternFill>
                  <bgColor theme="6" tint="0.79998168889431442"/>
                </patternFill>
              </fill>
            </x14:dxf>
          </x14:cfRule>
          <xm:sqref>D120:W120 AM120:AQ120</xm:sqref>
        </x14:conditionalFormatting>
        <x14:conditionalFormatting xmlns:xm="http://schemas.microsoft.com/office/excel/2006/main">
          <x14:cfRule type="expression" priority="203" id="{0750F817-A607-4923-A9D3-F0C5726A7291}">
            <xm:f>_Calcs!$IK$145=_List!$DU$7</xm:f>
            <x14:dxf>
              <font>
                <color theme="6" tint="0.79998168889431442"/>
              </font>
              <fill>
                <patternFill>
                  <bgColor theme="6" tint="0.79998168889431442"/>
                </patternFill>
              </fill>
            </x14:dxf>
          </x14:cfRule>
          <xm:sqref>D128:AQ130 D124:K124</xm:sqref>
        </x14:conditionalFormatting>
        <x14:conditionalFormatting xmlns:xm="http://schemas.microsoft.com/office/excel/2006/main">
          <x14:cfRule type="expression" priority="202" id="{D4F3627E-2A42-475B-8348-A1E3B7029484}">
            <xm:f>_Calcs!$IK$154&lt;&gt;_List!$DK$5</xm:f>
            <x14:dxf>
              <fill>
                <patternFill>
                  <bgColor theme="6" tint="0.79998168889431442"/>
                </patternFill>
              </fill>
            </x14:dxf>
          </x14:cfRule>
          <xm:sqref>D153:W153 AM153:AQ153</xm:sqref>
        </x14:conditionalFormatting>
        <x14:conditionalFormatting xmlns:xm="http://schemas.microsoft.com/office/excel/2006/main">
          <x14:cfRule type="expression" priority="201" id="{8E7E34FE-48EC-48E5-ADF2-E2B13BE5F3F0}">
            <xm:f>_Calcs!$IK$154=_List!$DU$7</xm:f>
            <x14:dxf>
              <font>
                <color theme="6" tint="0.79998168889431442"/>
              </font>
              <fill>
                <patternFill>
                  <bgColor theme="6" tint="0.79998168889431442"/>
                </patternFill>
              </fill>
            </x14:dxf>
          </x14:cfRule>
          <xm:sqref>D161:AQ163 D157:K157</xm:sqref>
        </x14:conditionalFormatting>
        <x14:conditionalFormatting xmlns:xm="http://schemas.microsoft.com/office/excel/2006/main">
          <x14:cfRule type="expression" priority="200" id="{EA6E2B8E-596F-4F01-A8E3-614BFF182DE5}">
            <xm:f>_Calcs!$IK$163&lt;&gt;_List!$DK$5</xm:f>
            <x14:dxf>
              <fill>
                <patternFill>
                  <bgColor theme="6" tint="0.79998168889431442"/>
                </patternFill>
              </fill>
            </x14:dxf>
          </x14:cfRule>
          <xm:sqref>D186:W186 AM186:AQ186</xm:sqref>
        </x14:conditionalFormatting>
        <x14:conditionalFormatting xmlns:xm="http://schemas.microsoft.com/office/excel/2006/main">
          <x14:cfRule type="expression" priority="199" id="{5CE181DC-2595-4F82-82B3-AA03DD3C4081}">
            <xm:f>_Calcs!$IK$163=_List!$DU$7</xm:f>
            <x14:dxf>
              <font>
                <color theme="6" tint="0.79998168889431442"/>
              </font>
              <fill>
                <patternFill>
                  <bgColor theme="6" tint="0.79998168889431442"/>
                </patternFill>
              </fill>
            </x14:dxf>
          </x14:cfRule>
          <xm:sqref>D194:AQ196 D190:K190</xm:sqref>
        </x14:conditionalFormatting>
        <x14:conditionalFormatting xmlns:xm="http://schemas.microsoft.com/office/excel/2006/main">
          <x14:cfRule type="expression" priority="198" id="{C52B0EFF-2970-4EA4-B102-5AD468BA0D3D}">
            <xm:f>_Calcs!$IK$172&lt;&gt;_List!$DK$5</xm:f>
            <x14:dxf>
              <fill>
                <patternFill>
                  <bgColor theme="6" tint="0.79998168889431442"/>
                </patternFill>
              </fill>
            </x14:dxf>
          </x14:cfRule>
          <xm:sqref>D219:W219 AM219:AQ219</xm:sqref>
        </x14:conditionalFormatting>
        <x14:conditionalFormatting xmlns:xm="http://schemas.microsoft.com/office/excel/2006/main">
          <x14:cfRule type="expression" priority="197" id="{DC3B8B31-3B97-4758-B51E-94C10258B175}">
            <xm:f>_Calcs!$IK$172=_List!$DU$7</xm:f>
            <x14:dxf>
              <font>
                <color theme="6" tint="0.79998168889431442"/>
              </font>
              <fill>
                <patternFill>
                  <bgColor theme="6" tint="0.79998168889431442"/>
                </patternFill>
              </fill>
            </x14:dxf>
          </x14:cfRule>
          <xm:sqref>D227:AQ229 D223:K223</xm:sqref>
        </x14:conditionalFormatting>
        <x14:conditionalFormatting xmlns:xm="http://schemas.microsoft.com/office/excel/2006/main">
          <x14:cfRule type="expression" priority="196" id="{C2C8B502-39D8-46B3-8B29-F72848CD4C67}">
            <xm:f>_Calcs!$IK$181&lt;&gt;_List!$DK$5</xm:f>
            <x14:dxf>
              <fill>
                <patternFill>
                  <bgColor theme="6" tint="0.79998168889431442"/>
                </patternFill>
              </fill>
            </x14:dxf>
          </x14:cfRule>
          <xm:sqref>D252:W252 AM252:AQ252</xm:sqref>
        </x14:conditionalFormatting>
        <x14:conditionalFormatting xmlns:xm="http://schemas.microsoft.com/office/excel/2006/main">
          <x14:cfRule type="expression" priority="195" id="{7220998E-AD58-4486-B159-A294DB53A27C}">
            <xm:f>_Calcs!$IK$181=_List!$DU$7</xm:f>
            <x14:dxf>
              <font>
                <color theme="6" tint="0.79998168889431442"/>
              </font>
              <fill>
                <patternFill>
                  <bgColor theme="6" tint="0.79998168889431442"/>
                </patternFill>
              </fill>
            </x14:dxf>
          </x14:cfRule>
          <xm:sqref>D260:AQ262 D256:K256</xm:sqref>
        </x14:conditionalFormatting>
        <x14:conditionalFormatting xmlns:xm="http://schemas.microsoft.com/office/excel/2006/main">
          <x14:cfRule type="expression" priority="194" id="{A2CA9126-9CFC-4A02-9B05-02B342B1FEF2}">
            <xm:f>_Calcs!$IK$190&lt;&gt;_List!$DK$5</xm:f>
            <x14:dxf>
              <fill>
                <patternFill>
                  <bgColor theme="6" tint="0.79998168889431442"/>
                </patternFill>
              </fill>
            </x14:dxf>
          </x14:cfRule>
          <xm:sqref>D285:W285 AM285:AQ285</xm:sqref>
        </x14:conditionalFormatting>
        <x14:conditionalFormatting xmlns:xm="http://schemas.microsoft.com/office/excel/2006/main">
          <x14:cfRule type="expression" priority="193" id="{8048B2EF-A055-4158-A6AD-095C797B4AAD}">
            <xm:f>_Calcs!$IK$190=_List!$DU$7</xm:f>
            <x14:dxf>
              <font>
                <color theme="6" tint="0.79998168889431442"/>
              </font>
              <fill>
                <patternFill>
                  <bgColor theme="6" tint="0.79998168889431442"/>
                </patternFill>
              </fill>
            </x14:dxf>
          </x14:cfRule>
          <xm:sqref>D293:AQ295 D289:K289</xm:sqref>
        </x14:conditionalFormatting>
        <x14:conditionalFormatting xmlns:xm="http://schemas.microsoft.com/office/excel/2006/main">
          <x14:cfRule type="expression" priority="186" id="{D48B5DF6-EFFA-4CB6-B06F-481A740E32DB}">
            <xm:f>_Calcs!$IL$117=_List!$AW$7</xm:f>
            <x14:dxf>
              <font>
                <color theme="6" tint="0.79998168889431442"/>
              </font>
              <fill>
                <patternFill>
                  <bgColor theme="6" tint="0.79998168889431442"/>
                </patternFill>
              </fill>
            </x14:dxf>
          </x14:cfRule>
          <xm:sqref>AW29:BS31</xm:sqref>
        </x14:conditionalFormatting>
        <x14:conditionalFormatting xmlns:xm="http://schemas.microsoft.com/office/excel/2006/main">
          <x14:cfRule type="expression" priority="191" id="{C739B6EE-7C66-44F6-AC97-572F448E45F8}">
            <xm:f>_Calcs!$IL$117=_List!$AW$7</xm:f>
            <x14:dxf>
              <fill>
                <patternFill>
                  <bgColor theme="6" tint="0.79998168889431442"/>
                </patternFill>
              </fill>
            </x14:dxf>
          </x14:cfRule>
          <xm:sqref>AW21:AX21</xm:sqref>
        </x14:conditionalFormatting>
        <x14:conditionalFormatting xmlns:xm="http://schemas.microsoft.com/office/excel/2006/main">
          <x14:cfRule type="expression" priority="190" id="{408FD132-616A-4568-834E-B17760A810CD}">
            <xm:f>_Calcs!$IL$127&lt;&gt;_List!$DK$5</xm:f>
            <x14:dxf>
              <fill>
                <patternFill>
                  <bgColor theme="6" tint="0.79998168889431442"/>
                </patternFill>
              </fill>
            </x14:dxf>
          </x14:cfRule>
          <xm:sqref>AW54:BP54 CF54:CJ54</xm:sqref>
        </x14:conditionalFormatting>
        <x14:conditionalFormatting xmlns:xm="http://schemas.microsoft.com/office/excel/2006/main">
          <x14:cfRule type="expression" priority="189" id="{424FBD6E-2F22-41E8-929F-70BD0FA12C30}">
            <xm:f>_Calcs!$IL$127=_List!$DU$7</xm:f>
            <x14:dxf>
              <font>
                <color theme="6" tint="0.79998168889431442"/>
              </font>
              <fill>
                <patternFill>
                  <bgColor theme="6" tint="0.79998168889431442"/>
                </patternFill>
              </fill>
            </x14:dxf>
          </x14:cfRule>
          <xm:sqref>AW62:CJ64 AW58:BD58</xm:sqref>
        </x14:conditionalFormatting>
        <x14:conditionalFormatting xmlns:xm="http://schemas.microsoft.com/office/excel/2006/main">
          <x14:cfRule type="expression" priority="192" id="{193F5524-94B8-458E-B298-855B6E974F08}">
            <xm:f>_Calcs!$IL$119=_Calcs!$II$97</xm:f>
            <x14:dxf>
              <font>
                <b/>
                <i val="0"/>
              </font>
            </x14:dxf>
          </x14:cfRule>
          <xm:sqref>AW25:AX25</xm:sqref>
        </x14:conditionalFormatting>
        <x14:conditionalFormatting xmlns:xm="http://schemas.microsoft.com/office/excel/2006/main">
          <x14:cfRule type="expression" priority="188" id="{7BB74FEA-D40C-437F-8DBD-70EE4A0FE799}">
            <xm:f>_Calcs!$IL$119&lt;&gt;_Calcs!$II$97</xm:f>
            <x14:dxf>
              <font>
                <b/>
                <i val="0"/>
                <color auto="1"/>
              </font>
              <border>
                <vertical/>
                <horizontal/>
              </border>
            </x14:dxf>
          </x14:cfRule>
          <xm:sqref>BG25:BH25</xm:sqref>
        </x14:conditionalFormatting>
        <x14:conditionalFormatting xmlns:xm="http://schemas.microsoft.com/office/excel/2006/main">
          <x14:cfRule type="expression" priority="187" id="{349D186B-DC93-4089-A2DA-2CB3A9C8AEA4}">
            <xm:f>_Calcs!$IL$119=_Calcs!$II$97</xm:f>
            <x14:dxf>
              <fill>
                <patternFill>
                  <bgColor theme="6" tint="0.79998168889431442"/>
                </patternFill>
              </fill>
            </x14:dxf>
          </x14:cfRule>
          <xm:sqref>AW29:BS31</xm:sqref>
        </x14:conditionalFormatting>
        <x14:conditionalFormatting xmlns:xm="http://schemas.microsoft.com/office/excel/2006/main">
          <x14:cfRule type="expression" priority="184" id="{696FFBF8-3105-4453-A4FE-43D757496F11}">
            <xm:f>_Calcs!$IL$117=_List!$AW$7</xm:f>
            <x14:dxf>
              <font>
                <color theme="6" tint="0.79998168889431442"/>
              </font>
              <fill>
                <patternFill>
                  <bgColor theme="6" tint="0.79998168889431442"/>
                </patternFill>
              </fill>
            </x14:dxf>
          </x14:cfRule>
          <xm:sqref>BT29:BW31</xm:sqref>
        </x14:conditionalFormatting>
        <x14:conditionalFormatting xmlns:xm="http://schemas.microsoft.com/office/excel/2006/main">
          <x14:cfRule type="expression" priority="185" id="{51C4DF16-644C-410B-B331-97B2062A9944}">
            <xm:f>_Calcs!$IL$119=_Calcs!$II$97</xm:f>
            <x14:dxf>
              <fill>
                <patternFill>
                  <bgColor theme="6" tint="0.79998168889431442"/>
                </patternFill>
              </fill>
            </x14:dxf>
          </x14:cfRule>
          <xm:sqref>BT29:BW31</xm:sqref>
        </x14:conditionalFormatting>
        <x14:conditionalFormatting xmlns:xm="http://schemas.microsoft.com/office/excel/2006/main">
          <x14:cfRule type="expression" priority="183" id="{9C653EAE-8A79-4872-A6D1-03560CF81A10}">
            <xm:f>_Calcs!$IL$136&lt;&gt;_List!$DK$5</xm:f>
            <x14:dxf>
              <fill>
                <patternFill>
                  <bgColor theme="6" tint="0.79998168889431442"/>
                </patternFill>
              </fill>
            </x14:dxf>
          </x14:cfRule>
          <xm:sqref>AW87:BP87 CF87:CJ87</xm:sqref>
        </x14:conditionalFormatting>
        <x14:conditionalFormatting xmlns:xm="http://schemas.microsoft.com/office/excel/2006/main">
          <x14:cfRule type="expression" priority="182" id="{FD0385CA-F4D6-4B9D-9575-33C6E39AEF6C}">
            <xm:f>_Calcs!$IL$136=_List!$DU$7</xm:f>
            <x14:dxf>
              <font>
                <color theme="6" tint="0.79998168889431442"/>
              </font>
              <fill>
                <patternFill>
                  <bgColor theme="6" tint="0.79998168889431442"/>
                </patternFill>
              </fill>
            </x14:dxf>
          </x14:cfRule>
          <xm:sqref>AW95:CJ97 AW91:BD91</xm:sqref>
        </x14:conditionalFormatting>
        <x14:conditionalFormatting xmlns:xm="http://schemas.microsoft.com/office/excel/2006/main">
          <x14:cfRule type="expression" priority="181" id="{70C69FB0-22A3-4200-BDCF-F35B66EA604D}">
            <xm:f>_Calcs!$IL$145&lt;&gt;_List!$DK$5</xm:f>
            <x14:dxf>
              <fill>
                <patternFill>
                  <bgColor theme="6" tint="0.79998168889431442"/>
                </patternFill>
              </fill>
            </x14:dxf>
          </x14:cfRule>
          <xm:sqref>AW120:BP120 CF120:CJ120</xm:sqref>
        </x14:conditionalFormatting>
        <x14:conditionalFormatting xmlns:xm="http://schemas.microsoft.com/office/excel/2006/main">
          <x14:cfRule type="expression" priority="180" id="{483D5022-737B-47F7-8E5D-CB14A5262E99}">
            <xm:f>_Calcs!$IL$145=_List!$DU$7</xm:f>
            <x14:dxf>
              <font>
                <color theme="6" tint="0.79998168889431442"/>
              </font>
              <fill>
                <patternFill>
                  <bgColor theme="6" tint="0.79998168889431442"/>
                </patternFill>
              </fill>
            </x14:dxf>
          </x14:cfRule>
          <xm:sqref>AW128:CJ130 AW124:BD124</xm:sqref>
        </x14:conditionalFormatting>
        <x14:conditionalFormatting xmlns:xm="http://schemas.microsoft.com/office/excel/2006/main">
          <x14:cfRule type="expression" priority="179" id="{9086C5DD-F767-415E-A02D-F97FAEEFC63C}">
            <xm:f>_Calcs!$IL$154&lt;&gt;_List!$DK$5</xm:f>
            <x14:dxf>
              <fill>
                <patternFill>
                  <bgColor theme="6" tint="0.79998168889431442"/>
                </patternFill>
              </fill>
            </x14:dxf>
          </x14:cfRule>
          <xm:sqref>AW153:BP153 CF153:CJ153</xm:sqref>
        </x14:conditionalFormatting>
        <x14:conditionalFormatting xmlns:xm="http://schemas.microsoft.com/office/excel/2006/main">
          <x14:cfRule type="expression" priority="178" id="{926DE010-F4FC-44A8-826B-13CC40BEE5AC}">
            <xm:f>_Calcs!$IL$154=_List!$DU$7</xm:f>
            <x14:dxf>
              <font>
                <color theme="6" tint="0.79998168889431442"/>
              </font>
              <fill>
                <patternFill>
                  <bgColor theme="6" tint="0.79998168889431442"/>
                </patternFill>
              </fill>
            </x14:dxf>
          </x14:cfRule>
          <xm:sqref>AW161:CJ163 AW157:BD157</xm:sqref>
        </x14:conditionalFormatting>
        <x14:conditionalFormatting xmlns:xm="http://schemas.microsoft.com/office/excel/2006/main">
          <x14:cfRule type="expression" priority="177" id="{3C28D6B9-5613-4F5D-A6CF-FD839985E187}">
            <xm:f>_Calcs!$IL$163&lt;&gt;_List!$DK$5</xm:f>
            <x14:dxf>
              <fill>
                <patternFill>
                  <bgColor theme="6" tint="0.79998168889431442"/>
                </patternFill>
              </fill>
            </x14:dxf>
          </x14:cfRule>
          <xm:sqref>AW186:BP186 CF186:CJ186</xm:sqref>
        </x14:conditionalFormatting>
        <x14:conditionalFormatting xmlns:xm="http://schemas.microsoft.com/office/excel/2006/main">
          <x14:cfRule type="expression" priority="176" id="{2BF88F7B-9D11-45DC-9B62-00190A70420F}">
            <xm:f>_Calcs!$IL$163=_List!$DU$7</xm:f>
            <x14:dxf>
              <font>
                <color theme="6" tint="0.79998168889431442"/>
              </font>
              <fill>
                <patternFill>
                  <bgColor theme="6" tint="0.79998168889431442"/>
                </patternFill>
              </fill>
            </x14:dxf>
          </x14:cfRule>
          <xm:sqref>AW194:CJ196 AW190:BD190</xm:sqref>
        </x14:conditionalFormatting>
        <x14:conditionalFormatting xmlns:xm="http://schemas.microsoft.com/office/excel/2006/main">
          <x14:cfRule type="expression" priority="175" id="{6660DFDF-8349-49A0-9408-E6D1C7EF9284}">
            <xm:f>_Calcs!$IL$172&lt;&gt;_List!$DK$5</xm:f>
            <x14:dxf>
              <fill>
                <patternFill>
                  <bgColor theme="6" tint="0.79998168889431442"/>
                </patternFill>
              </fill>
            </x14:dxf>
          </x14:cfRule>
          <xm:sqref>AW219:BP219 CF219:CJ219</xm:sqref>
        </x14:conditionalFormatting>
        <x14:conditionalFormatting xmlns:xm="http://schemas.microsoft.com/office/excel/2006/main">
          <x14:cfRule type="expression" priority="174" id="{6E141369-C496-4428-8663-38C7984469D3}">
            <xm:f>_Calcs!$IL$172=_List!$DU$7</xm:f>
            <x14:dxf>
              <font>
                <color theme="6" tint="0.79998168889431442"/>
              </font>
              <fill>
                <patternFill>
                  <bgColor theme="6" tint="0.79998168889431442"/>
                </patternFill>
              </fill>
            </x14:dxf>
          </x14:cfRule>
          <xm:sqref>AW227:CJ229 AW223:BD223</xm:sqref>
        </x14:conditionalFormatting>
        <x14:conditionalFormatting xmlns:xm="http://schemas.microsoft.com/office/excel/2006/main">
          <x14:cfRule type="expression" priority="173" id="{64EDBF8F-4449-415B-AC07-F80617CE28EF}">
            <xm:f>_Calcs!$IL$181&lt;&gt;_List!$DK$5</xm:f>
            <x14:dxf>
              <fill>
                <patternFill>
                  <bgColor theme="6" tint="0.79998168889431442"/>
                </patternFill>
              </fill>
            </x14:dxf>
          </x14:cfRule>
          <xm:sqref>AW252:BP252 CF252:CJ252</xm:sqref>
        </x14:conditionalFormatting>
        <x14:conditionalFormatting xmlns:xm="http://schemas.microsoft.com/office/excel/2006/main">
          <x14:cfRule type="expression" priority="172" id="{FD454740-CA87-467F-B74B-0D50174945EF}">
            <xm:f>_Calcs!$IL$181=_List!$DU$7</xm:f>
            <x14:dxf>
              <font>
                <color theme="6" tint="0.79998168889431442"/>
              </font>
              <fill>
                <patternFill>
                  <bgColor theme="6" tint="0.79998168889431442"/>
                </patternFill>
              </fill>
            </x14:dxf>
          </x14:cfRule>
          <xm:sqref>AW260:CJ262 AW256:BD256</xm:sqref>
        </x14:conditionalFormatting>
        <x14:conditionalFormatting xmlns:xm="http://schemas.microsoft.com/office/excel/2006/main">
          <x14:cfRule type="expression" priority="171" id="{1CCA6FAF-9A03-40FF-945C-2BB9BA57819D}">
            <xm:f>_Calcs!$IL$190&lt;&gt;_List!$DK$5</xm:f>
            <x14:dxf>
              <fill>
                <patternFill>
                  <bgColor theme="6" tint="0.79998168889431442"/>
                </patternFill>
              </fill>
            </x14:dxf>
          </x14:cfRule>
          <xm:sqref>AW285:BP285 CF285:CJ285</xm:sqref>
        </x14:conditionalFormatting>
        <x14:conditionalFormatting xmlns:xm="http://schemas.microsoft.com/office/excel/2006/main">
          <x14:cfRule type="expression" priority="170" id="{14AEF5CC-2EF9-4384-A407-1D1B5DFF9424}">
            <xm:f>_Calcs!$IL$190=_List!$DU$7</xm:f>
            <x14:dxf>
              <font>
                <color theme="6" tint="0.79998168889431442"/>
              </font>
              <fill>
                <patternFill>
                  <bgColor theme="6" tint="0.79998168889431442"/>
                </patternFill>
              </fill>
            </x14:dxf>
          </x14:cfRule>
          <xm:sqref>AW293:CJ295 AW289:BD289</xm:sqref>
        </x14:conditionalFormatting>
        <x14:conditionalFormatting xmlns:xm="http://schemas.microsoft.com/office/excel/2006/main">
          <x14:cfRule type="expression" priority="163" id="{CB8CBCBB-9F9B-439E-828F-478585A5EA42}">
            <xm:f>_Calcs!$IM$117=_List!$AW$7</xm:f>
            <x14:dxf>
              <font>
                <color theme="6" tint="0.79998168889431442"/>
              </font>
              <fill>
                <patternFill>
                  <bgColor theme="6" tint="0.79998168889431442"/>
                </patternFill>
              </fill>
            </x14:dxf>
          </x14:cfRule>
          <xm:sqref>CP29:DL31 CP25:CV25 CZ25:DF25 DQ29:EC31</xm:sqref>
        </x14:conditionalFormatting>
        <x14:conditionalFormatting xmlns:xm="http://schemas.microsoft.com/office/excel/2006/main">
          <x14:cfRule type="expression" priority="168" id="{ACA562D3-002B-483C-B4D7-7D18FE9EC6C8}">
            <xm:f>_Calcs!$IM$117=_List!$AW$7</xm:f>
            <x14:dxf>
              <fill>
                <patternFill>
                  <bgColor theme="6" tint="0.79998168889431442"/>
                </patternFill>
              </fill>
            </x14:dxf>
          </x14:cfRule>
          <xm:sqref>CP21:CQ21 CX21</xm:sqref>
        </x14:conditionalFormatting>
        <x14:conditionalFormatting xmlns:xm="http://schemas.microsoft.com/office/excel/2006/main">
          <x14:cfRule type="expression" priority="167" id="{3AD3EABB-56FA-410A-BCD5-637A95AD7356}">
            <xm:f>_Calcs!$IM$127&lt;&gt;_List!$DK$5</xm:f>
            <x14:dxf>
              <fill>
                <patternFill>
                  <bgColor theme="6" tint="0.79998168889431442"/>
                </patternFill>
              </fill>
            </x14:dxf>
          </x14:cfRule>
          <xm:sqref>CP54:DI54 DY54:EC54</xm:sqref>
        </x14:conditionalFormatting>
        <x14:conditionalFormatting xmlns:xm="http://schemas.microsoft.com/office/excel/2006/main">
          <x14:cfRule type="expression" priority="166" id="{6F3FD8FF-A137-40EE-A6CB-C5C2860162B0}">
            <xm:f>_Calcs!$IM$127=_List!$DU$7</xm:f>
            <x14:dxf>
              <font>
                <color theme="6" tint="0.79998168889431442"/>
              </font>
              <fill>
                <patternFill>
                  <bgColor theme="6" tint="0.79998168889431442"/>
                </patternFill>
              </fill>
            </x14:dxf>
          </x14:cfRule>
          <xm:sqref>CP62:EC64 CP58:CW58</xm:sqref>
        </x14:conditionalFormatting>
        <x14:conditionalFormatting xmlns:xm="http://schemas.microsoft.com/office/excel/2006/main">
          <x14:cfRule type="expression" priority="169" id="{A68BE337-F898-46EF-A667-A5C8F4E473DC}">
            <xm:f>_Calcs!$IM$119=_Calcs!$II$97</xm:f>
            <x14:dxf>
              <font>
                <b/>
                <i val="0"/>
              </font>
            </x14:dxf>
          </x14:cfRule>
          <xm:sqref>CP25:CQ25</xm:sqref>
        </x14:conditionalFormatting>
        <x14:conditionalFormatting xmlns:xm="http://schemas.microsoft.com/office/excel/2006/main">
          <x14:cfRule type="expression" priority="165" id="{DDC26FAC-BE9A-47BC-9D00-B2D0F1815697}">
            <xm:f>_Calcs!$IM$119&lt;&gt;_Calcs!$II$97</xm:f>
            <x14:dxf>
              <font>
                <b/>
                <i val="0"/>
                <color auto="1"/>
              </font>
              <border>
                <vertical/>
                <horizontal/>
              </border>
            </x14:dxf>
          </x14:cfRule>
          <xm:sqref>CZ25:DA25 DF25</xm:sqref>
        </x14:conditionalFormatting>
        <x14:conditionalFormatting xmlns:xm="http://schemas.microsoft.com/office/excel/2006/main">
          <x14:cfRule type="expression" priority="164" id="{976B57C4-D305-49AB-B829-6511925EA1F1}">
            <xm:f>_Calcs!$IM$119=_Calcs!$II$97</xm:f>
            <x14:dxf>
              <fill>
                <patternFill>
                  <bgColor theme="6" tint="0.79998168889431442"/>
                </patternFill>
              </fill>
            </x14:dxf>
          </x14:cfRule>
          <xm:sqref>CP29:DL31 DQ29:EC31</xm:sqref>
        </x14:conditionalFormatting>
        <x14:conditionalFormatting xmlns:xm="http://schemas.microsoft.com/office/excel/2006/main">
          <x14:cfRule type="expression" priority="161" id="{FAA6F6BC-2566-4CC7-B425-ED2462518FF8}">
            <xm:f>_Calcs!$IM$117=_List!$AW$7</xm:f>
            <x14:dxf>
              <font>
                <color theme="6" tint="0.79998168889431442"/>
              </font>
              <fill>
                <patternFill>
                  <bgColor theme="6" tint="0.79998168889431442"/>
                </patternFill>
              </fill>
            </x14:dxf>
          </x14:cfRule>
          <xm:sqref>DM29:DP31</xm:sqref>
        </x14:conditionalFormatting>
        <x14:conditionalFormatting xmlns:xm="http://schemas.microsoft.com/office/excel/2006/main">
          <x14:cfRule type="expression" priority="162" id="{F5CD2795-0802-4620-922C-ACD8D6A025A3}">
            <xm:f>_Calcs!$IM$119=_Calcs!$II$97</xm:f>
            <x14:dxf>
              <fill>
                <patternFill>
                  <bgColor theme="6" tint="0.79998168889431442"/>
                </patternFill>
              </fill>
            </x14:dxf>
          </x14:cfRule>
          <xm:sqref>DM29:DP31</xm:sqref>
        </x14:conditionalFormatting>
        <x14:conditionalFormatting xmlns:xm="http://schemas.microsoft.com/office/excel/2006/main">
          <x14:cfRule type="expression" priority="160" id="{07EA852A-3667-4653-AE8C-DA382B8F767D}">
            <xm:f>_Calcs!$IM$136&lt;&gt;_List!$DK$5</xm:f>
            <x14:dxf>
              <fill>
                <patternFill>
                  <bgColor theme="6" tint="0.79998168889431442"/>
                </patternFill>
              </fill>
            </x14:dxf>
          </x14:cfRule>
          <xm:sqref>CP87:DI87 DY87:EC87</xm:sqref>
        </x14:conditionalFormatting>
        <x14:conditionalFormatting xmlns:xm="http://schemas.microsoft.com/office/excel/2006/main">
          <x14:cfRule type="expression" priority="159" id="{6520A98F-5999-4F90-AC1B-6D0AC0B26B41}">
            <xm:f>_Calcs!$IM$136=_List!$DU$7</xm:f>
            <x14:dxf>
              <font>
                <color theme="6" tint="0.79998168889431442"/>
              </font>
              <fill>
                <patternFill>
                  <bgColor theme="6" tint="0.79998168889431442"/>
                </patternFill>
              </fill>
            </x14:dxf>
          </x14:cfRule>
          <xm:sqref>CP95:EC97 CP91:CW91</xm:sqref>
        </x14:conditionalFormatting>
        <x14:conditionalFormatting xmlns:xm="http://schemas.microsoft.com/office/excel/2006/main">
          <x14:cfRule type="expression" priority="158" id="{0454DFBF-0C38-4F9A-BFF8-DECD8CCFD807}">
            <xm:f>_Calcs!$IM$145&lt;&gt;_List!$DK$5</xm:f>
            <x14:dxf>
              <fill>
                <patternFill>
                  <bgColor theme="6" tint="0.79998168889431442"/>
                </patternFill>
              </fill>
            </x14:dxf>
          </x14:cfRule>
          <xm:sqref>CP120:DI120 DY120:EC120</xm:sqref>
        </x14:conditionalFormatting>
        <x14:conditionalFormatting xmlns:xm="http://schemas.microsoft.com/office/excel/2006/main">
          <x14:cfRule type="expression" priority="157" id="{2BD78B32-83BD-4785-B5FD-80715A72C542}">
            <xm:f>_Calcs!$IM$145=_List!$DU$7</xm:f>
            <x14:dxf>
              <font>
                <color theme="6" tint="0.79998168889431442"/>
              </font>
              <fill>
                <patternFill>
                  <bgColor theme="6" tint="0.79998168889431442"/>
                </patternFill>
              </fill>
            </x14:dxf>
          </x14:cfRule>
          <xm:sqref>CP128:EC130 CP124:CW124</xm:sqref>
        </x14:conditionalFormatting>
        <x14:conditionalFormatting xmlns:xm="http://schemas.microsoft.com/office/excel/2006/main">
          <x14:cfRule type="expression" priority="156" id="{24DD46C1-76DA-410B-91BB-76C8593677B1}">
            <xm:f>_Calcs!$IM$154&lt;&gt;_List!$DK$5</xm:f>
            <x14:dxf>
              <fill>
                <patternFill>
                  <bgColor theme="6" tint="0.79998168889431442"/>
                </patternFill>
              </fill>
            </x14:dxf>
          </x14:cfRule>
          <xm:sqref>CP153:DI153 DY153:EC153</xm:sqref>
        </x14:conditionalFormatting>
        <x14:conditionalFormatting xmlns:xm="http://schemas.microsoft.com/office/excel/2006/main">
          <x14:cfRule type="expression" priority="155" id="{F4FC9C69-91F5-4F40-A81E-DDE65DF71472}">
            <xm:f>_Calcs!$IM$154=_List!$DU$7</xm:f>
            <x14:dxf>
              <font>
                <color theme="6" tint="0.79998168889431442"/>
              </font>
              <fill>
                <patternFill>
                  <bgColor theme="6" tint="0.79998168889431442"/>
                </patternFill>
              </fill>
            </x14:dxf>
          </x14:cfRule>
          <xm:sqref>CP161:EC163 CP157:CW157</xm:sqref>
        </x14:conditionalFormatting>
        <x14:conditionalFormatting xmlns:xm="http://schemas.microsoft.com/office/excel/2006/main">
          <x14:cfRule type="expression" priority="154" id="{E4DC33B6-67A9-4F8C-BDDC-555C6F0ED90E}">
            <xm:f>_Calcs!$IM$163&lt;&gt;_List!$DK$5</xm:f>
            <x14:dxf>
              <fill>
                <patternFill>
                  <bgColor theme="6" tint="0.79998168889431442"/>
                </patternFill>
              </fill>
            </x14:dxf>
          </x14:cfRule>
          <xm:sqref>CP186:DI186 DY186:EC186</xm:sqref>
        </x14:conditionalFormatting>
        <x14:conditionalFormatting xmlns:xm="http://schemas.microsoft.com/office/excel/2006/main">
          <x14:cfRule type="expression" priority="153" id="{18710658-1F32-46D3-8996-8FA661751183}">
            <xm:f>_Calcs!$IM$163=_List!$DU$7</xm:f>
            <x14:dxf>
              <font>
                <color theme="6" tint="0.79998168889431442"/>
              </font>
              <fill>
                <patternFill>
                  <bgColor theme="6" tint="0.79998168889431442"/>
                </patternFill>
              </fill>
            </x14:dxf>
          </x14:cfRule>
          <xm:sqref>CP194:EC196 CP190:CW190</xm:sqref>
        </x14:conditionalFormatting>
        <x14:conditionalFormatting xmlns:xm="http://schemas.microsoft.com/office/excel/2006/main">
          <x14:cfRule type="expression" priority="152" id="{A5F19F5F-16DA-4F47-91AA-A4FB4DCC2D05}">
            <xm:f>_Calcs!$IM$172&lt;&gt;_List!$DK$5</xm:f>
            <x14:dxf>
              <fill>
                <patternFill>
                  <bgColor theme="6" tint="0.79998168889431442"/>
                </patternFill>
              </fill>
            </x14:dxf>
          </x14:cfRule>
          <xm:sqref>CP219:DI219 DY219:EC219</xm:sqref>
        </x14:conditionalFormatting>
        <x14:conditionalFormatting xmlns:xm="http://schemas.microsoft.com/office/excel/2006/main">
          <x14:cfRule type="expression" priority="151" id="{A5A10A90-26EA-4990-9BA0-5227F437602E}">
            <xm:f>_Calcs!$IM$172=_List!$DU$7</xm:f>
            <x14:dxf>
              <font>
                <color theme="6" tint="0.79998168889431442"/>
              </font>
              <fill>
                <patternFill>
                  <bgColor theme="6" tint="0.79998168889431442"/>
                </patternFill>
              </fill>
            </x14:dxf>
          </x14:cfRule>
          <xm:sqref>CP227:EC229 CP223:CW223</xm:sqref>
        </x14:conditionalFormatting>
        <x14:conditionalFormatting xmlns:xm="http://schemas.microsoft.com/office/excel/2006/main">
          <x14:cfRule type="expression" priority="150" id="{8998D5B6-C9C5-44EB-83CF-46F1D51BEE0E}">
            <xm:f>_Calcs!$IM$181&lt;&gt;_List!$DK$5</xm:f>
            <x14:dxf>
              <fill>
                <patternFill>
                  <bgColor theme="6" tint="0.79998168889431442"/>
                </patternFill>
              </fill>
            </x14:dxf>
          </x14:cfRule>
          <xm:sqref>CP252:DI252 DY252:EC252</xm:sqref>
        </x14:conditionalFormatting>
        <x14:conditionalFormatting xmlns:xm="http://schemas.microsoft.com/office/excel/2006/main">
          <x14:cfRule type="expression" priority="149" id="{32C9693F-ADED-4C69-9281-509F866E95E1}">
            <xm:f>_Calcs!$IM$181=_List!$DU$7</xm:f>
            <x14:dxf>
              <font>
                <color theme="6" tint="0.79998168889431442"/>
              </font>
              <fill>
                <patternFill>
                  <bgColor theme="6" tint="0.79998168889431442"/>
                </patternFill>
              </fill>
            </x14:dxf>
          </x14:cfRule>
          <xm:sqref>CP260:EC262 CP256:CW256</xm:sqref>
        </x14:conditionalFormatting>
        <x14:conditionalFormatting xmlns:xm="http://schemas.microsoft.com/office/excel/2006/main">
          <x14:cfRule type="expression" priority="148" id="{4D4625EC-F836-45F8-B5AC-0B36E6FD04FA}">
            <xm:f>_Calcs!$IM$190&lt;&gt;_List!$DK$5</xm:f>
            <x14:dxf>
              <fill>
                <patternFill>
                  <bgColor theme="6" tint="0.79998168889431442"/>
                </patternFill>
              </fill>
            </x14:dxf>
          </x14:cfRule>
          <xm:sqref>CP285:DI285 DY285:EC285</xm:sqref>
        </x14:conditionalFormatting>
        <x14:conditionalFormatting xmlns:xm="http://schemas.microsoft.com/office/excel/2006/main">
          <x14:cfRule type="expression" priority="147" id="{22AEF67A-EB18-40E6-98D4-5377B67979F3}">
            <xm:f>_Calcs!$IM$190=_List!$DU$7</xm:f>
            <x14:dxf>
              <font>
                <color theme="6" tint="0.79998168889431442"/>
              </font>
              <fill>
                <patternFill>
                  <bgColor theme="6" tint="0.79998168889431442"/>
                </patternFill>
              </fill>
            </x14:dxf>
          </x14:cfRule>
          <xm:sqref>CP293:EC295 CP289:CW289</xm:sqref>
        </x14:conditionalFormatting>
        <x14:conditionalFormatting xmlns:xm="http://schemas.microsoft.com/office/excel/2006/main">
          <x14:cfRule type="expression" priority="140" id="{8FD273B5-EFB8-4798-87C9-40B17A3AD85F}">
            <xm:f>_Calcs!$IN$117=_List!$AW$7</xm:f>
            <x14:dxf>
              <font>
                <color theme="6" tint="0.79998168889431442"/>
              </font>
              <fill>
                <patternFill>
                  <bgColor theme="6" tint="0.79998168889431442"/>
                </patternFill>
              </fill>
            </x14:dxf>
          </x14:cfRule>
          <xm:sqref>EI29:FE31 EI25:EO25 ES25:EY25 FJ29:FV31</xm:sqref>
        </x14:conditionalFormatting>
        <x14:conditionalFormatting xmlns:xm="http://schemas.microsoft.com/office/excel/2006/main">
          <x14:cfRule type="expression" priority="145" id="{3A004F96-C5A5-4228-ACDD-6B49CF6FA1DE}">
            <xm:f>_Calcs!$IN$117=_List!$AW$7</xm:f>
            <x14:dxf>
              <fill>
                <patternFill>
                  <bgColor theme="6" tint="0.79998168889431442"/>
                </patternFill>
              </fill>
            </x14:dxf>
          </x14:cfRule>
          <xm:sqref>EI21:EJ21 EQ21</xm:sqref>
        </x14:conditionalFormatting>
        <x14:conditionalFormatting xmlns:xm="http://schemas.microsoft.com/office/excel/2006/main">
          <x14:cfRule type="expression" priority="144" id="{B6D80D25-D8D5-48A6-9CFD-EA377ED9EC2B}">
            <xm:f>_Calcs!$IN$127&lt;&gt;_List!$DK$5</xm:f>
            <x14:dxf>
              <fill>
                <patternFill>
                  <bgColor theme="6" tint="0.79998168889431442"/>
                </patternFill>
              </fill>
            </x14:dxf>
          </x14:cfRule>
          <xm:sqref>EI54:FB54 FR54:FV54</xm:sqref>
        </x14:conditionalFormatting>
        <x14:conditionalFormatting xmlns:xm="http://schemas.microsoft.com/office/excel/2006/main">
          <x14:cfRule type="expression" priority="143" id="{C78BE29C-518D-40D5-81AA-0C53905408ED}">
            <xm:f>_Calcs!$IN$127=_List!$DU$7</xm:f>
            <x14:dxf>
              <font>
                <color theme="6" tint="0.79998168889431442"/>
              </font>
              <fill>
                <patternFill>
                  <bgColor theme="6" tint="0.79998168889431442"/>
                </patternFill>
              </fill>
            </x14:dxf>
          </x14:cfRule>
          <xm:sqref>EI62:FV64 EI58:EP58</xm:sqref>
        </x14:conditionalFormatting>
        <x14:conditionalFormatting xmlns:xm="http://schemas.microsoft.com/office/excel/2006/main">
          <x14:cfRule type="expression" priority="146" id="{E88D6C0A-2895-44FB-B716-CB7C9020E5A9}">
            <xm:f>_Calcs!$IN$119=_Calcs!$II$97</xm:f>
            <x14:dxf>
              <font>
                <b/>
                <i val="0"/>
              </font>
            </x14:dxf>
          </x14:cfRule>
          <xm:sqref>EI25:EJ25</xm:sqref>
        </x14:conditionalFormatting>
        <x14:conditionalFormatting xmlns:xm="http://schemas.microsoft.com/office/excel/2006/main">
          <x14:cfRule type="expression" priority="142" id="{2FE2284C-D9E1-4808-A6A8-50A4F7E2AB80}">
            <xm:f>_Calcs!$IN$119&lt;&gt;_Calcs!$II$97</xm:f>
            <x14:dxf>
              <font>
                <b/>
                <i val="0"/>
                <color auto="1"/>
              </font>
              <border>
                <vertical/>
                <horizontal/>
              </border>
            </x14:dxf>
          </x14:cfRule>
          <xm:sqref>ES25:ET25 EY25</xm:sqref>
        </x14:conditionalFormatting>
        <x14:conditionalFormatting xmlns:xm="http://schemas.microsoft.com/office/excel/2006/main">
          <x14:cfRule type="expression" priority="141" id="{DA7451C6-B62E-403D-ABA7-79F3261D85B7}">
            <xm:f>_Calcs!$IN$119=_Calcs!$II$97</xm:f>
            <x14:dxf>
              <fill>
                <patternFill>
                  <bgColor theme="6" tint="0.79998168889431442"/>
                </patternFill>
              </fill>
            </x14:dxf>
          </x14:cfRule>
          <xm:sqref>EI29:FE31 FJ29:FV31</xm:sqref>
        </x14:conditionalFormatting>
        <x14:conditionalFormatting xmlns:xm="http://schemas.microsoft.com/office/excel/2006/main">
          <x14:cfRule type="expression" priority="138" id="{78C164BB-C0AB-4EC2-A866-379013E02563}">
            <xm:f>_Calcs!$IN$117=_List!$AW$7</xm:f>
            <x14:dxf>
              <font>
                <color theme="6" tint="0.79998168889431442"/>
              </font>
              <fill>
                <patternFill>
                  <bgColor theme="6" tint="0.79998168889431442"/>
                </patternFill>
              </fill>
            </x14:dxf>
          </x14:cfRule>
          <xm:sqref>FF29:FI31</xm:sqref>
        </x14:conditionalFormatting>
        <x14:conditionalFormatting xmlns:xm="http://schemas.microsoft.com/office/excel/2006/main">
          <x14:cfRule type="expression" priority="139" id="{CD1863CD-CE31-4871-8243-1AE2928CEC45}">
            <xm:f>_Calcs!$IN$119=_Calcs!$II$97</xm:f>
            <x14:dxf>
              <fill>
                <patternFill>
                  <bgColor theme="6" tint="0.79998168889431442"/>
                </patternFill>
              </fill>
            </x14:dxf>
          </x14:cfRule>
          <xm:sqref>FF29:FI31</xm:sqref>
        </x14:conditionalFormatting>
        <x14:conditionalFormatting xmlns:xm="http://schemas.microsoft.com/office/excel/2006/main">
          <x14:cfRule type="expression" priority="137" id="{267D21E9-2DAF-459D-93C1-5E5DEF8FB831}">
            <xm:f>_Calcs!$IN$136&lt;&gt;_List!$DK$5</xm:f>
            <x14:dxf>
              <fill>
                <patternFill>
                  <bgColor theme="6" tint="0.79998168889431442"/>
                </patternFill>
              </fill>
            </x14:dxf>
          </x14:cfRule>
          <xm:sqref>EI87:FB87 FR87:FV87</xm:sqref>
        </x14:conditionalFormatting>
        <x14:conditionalFormatting xmlns:xm="http://schemas.microsoft.com/office/excel/2006/main">
          <x14:cfRule type="expression" priority="136" id="{637D482F-B547-4FB1-B304-37AA92772D76}">
            <xm:f>_Calcs!$IN$136=_List!$DU$7</xm:f>
            <x14:dxf>
              <font>
                <color theme="6" tint="0.79998168889431442"/>
              </font>
              <fill>
                <patternFill>
                  <bgColor theme="6" tint="0.79998168889431442"/>
                </patternFill>
              </fill>
            </x14:dxf>
          </x14:cfRule>
          <xm:sqref>EI95:FV97 EI91:EP91</xm:sqref>
        </x14:conditionalFormatting>
        <x14:conditionalFormatting xmlns:xm="http://schemas.microsoft.com/office/excel/2006/main">
          <x14:cfRule type="expression" priority="135" id="{10CB5975-2DC6-4684-A7EC-4338A60A5B3E}">
            <xm:f>_Calcs!$IN$145&lt;&gt;_List!$DK$5</xm:f>
            <x14:dxf>
              <fill>
                <patternFill>
                  <bgColor theme="6" tint="0.79998168889431442"/>
                </patternFill>
              </fill>
            </x14:dxf>
          </x14:cfRule>
          <xm:sqref>EI120:FB120 FR120:FV120</xm:sqref>
        </x14:conditionalFormatting>
        <x14:conditionalFormatting xmlns:xm="http://schemas.microsoft.com/office/excel/2006/main">
          <x14:cfRule type="expression" priority="134" id="{4F2928DC-5DFA-4011-8014-D4BE4C2769E7}">
            <xm:f>_Calcs!$IN$145=_List!$DU$7</xm:f>
            <x14:dxf>
              <font>
                <color theme="6" tint="0.79998168889431442"/>
              </font>
              <fill>
                <patternFill>
                  <bgColor theme="6" tint="0.79998168889431442"/>
                </patternFill>
              </fill>
            </x14:dxf>
          </x14:cfRule>
          <xm:sqref>EI128:FV130 EI124:EP124</xm:sqref>
        </x14:conditionalFormatting>
        <x14:conditionalFormatting xmlns:xm="http://schemas.microsoft.com/office/excel/2006/main">
          <x14:cfRule type="expression" priority="133" id="{4E5005AB-504B-4BD4-8A5E-B14E83369116}">
            <xm:f>_Calcs!$IN$154&lt;&gt;_List!$DK$5</xm:f>
            <x14:dxf>
              <fill>
                <patternFill>
                  <bgColor theme="6" tint="0.79998168889431442"/>
                </patternFill>
              </fill>
            </x14:dxf>
          </x14:cfRule>
          <xm:sqref>EI153:FB153 FR153:FV153</xm:sqref>
        </x14:conditionalFormatting>
        <x14:conditionalFormatting xmlns:xm="http://schemas.microsoft.com/office/excel/2006/main">
          <x14:cfRule type="expression" priority="132" id="{F8EAFEEE-5775-470C-8582-038F3DEF6FEE}">
            <xm:f>_Calcs!$IN$154=_List!$DU$7</xm:f>
            <x14:dxf>
              <font>
                <color theme="6" tint="0.79998168889431442"/>
              </font>
              <fill>
                <patternFill>
                  <bgColor theme="6" tint="0.79998168889431442"/>
                </patternFill>
              </fill>
            </x14:dxf>
          </x14:cfRule>
          <xm:sqref>EI161:FV163 EI157:EP157</xm:sqref>
        </x14:conditionalFormatting>
        <x14:conditionalFormatting xmlns:xm="http://schemas.microsoft.com/office/excel/2006/main">
          <x14:cfRule type="expression" priority="131" id="{6E8DC08B-A7D8-411F-AB65-B8C76F29B687}">
            <xm:f>_Calcs!$IN$163&lt;&gt;_List!$DK$5</xm:f>
            <x14:dxf>
              <fill>
                <patternFill>
                  <bgColor theme="6" tint="0.79998168889431442"/>
                </patternFill>
              </fill>
            </x14:dxf>
          </x14:cfRule>
          <xm:sqref>EI186:FB186 FR186:FV186</xm:sqref>
        </x14:conditionalFormatting>
        <x14:conditionalFormatting xmlns:xm="http://schemas.microsoft.com/office/excel/2006/main">
          <x14:cfRule type="expression" priority="130" id="{7F638345-D462-40E2-A57D-B8498CFA7A18}">
            <xm:f>_Calcs!$IN$163=_List!$DU$7</xm:f>
            <x14:dxf>
              <font>
                <color theme="6" tint="0.79998168889431442"/>
              </font>
              <fill>
                <patternFill>
                  <bgColor theme="6" tint="0.79998168889431442"/>
                </patternFill>
              </fill>
            </x14:dxf>
          </x14:cfRule>
          <xm:sqref>EI194:FV196 EI190:EP190</xm:sqref>
        </x14:conditionalFormatting>
        <x14:conditionalFormatting xmlns:xm="http://schemas.microsoft.com/office/excel/2006/main">
          <x14:cfRule type="expression" priority="129" id="{1D1BEE3E-52DD-4598-85F9-B7ED9026608A}">
            <xm:f>_Calcs!$IN$172&lt;&gt;_List!$DK$5</xm:f>
            <x14:dxf>
              <fill>
                <patternFill>
                  <bgColor theme="6" tint="0.79998168889431442"/>
                </patternFill>
              </fill>
            </x14:dxf>
          </x14:cfRule>
          <xm:sqref>EI219:FB219 FR219:FV219</xm:sqref>
        </x14:conditionalFormatting>
        <x14:conditionalFormatting xmlns:xm="http://schemas.microsoft.com/office/excel/2006/main">
          <x14:cfRule type="expression" priority="128" id="{169E65A7-0FB0-4342-AFCF-EA648D910FF0}">
            <xm:f>_Calcs!$IN$172=_List!$DU$7</xm:f>
            <x14:dxf>
              <font>
                <color theme="6" tint="0.79998168889431442"/>
              </font>
              <fill>
                <patternFill>
                  <bgColor theme="6" tint="0.79998168889431442"/>
                </patternFill>
              </fill>
            </x14:dxf>
          </x14:cfRule>
          <xm:sqref>EI227:FV229 EI223:EP223</xm:sqref>
        </x14:conditionalFormatting>
        <x14:conditionalFormatting xmlns:xm="http://schemas.microsoft.com/office/excel/2006/main">
          <x14:cfRule type="expression" priority="127" id="{F8200DDC-65C9-486B-9CAD-5CC5F64B7DCD}">
            <xm:f>_Calcs!$IN$181&lt;&gt;_List!$DK$5</xm:f>
            <x14:dxf>
              <fill>
                <patternFill>
                  <bgColor theme="6" tint="0.79998168889431442"/>
                </patternFill>
              </fill>
            </x14:dxf>
          </x14:cfRule>
          <xm:sqref>EI252:FB252 FR252:FV252</xm:sqref>
        </x14:conditionalFormatting>
        <x14:conditionalFormatting xmlns:xm="http://schemas.microsoft.com/office/excel/2006/main">
          <x14:cfRule type="expression" priority="126" id="{5A4E81F0-0593-4ACA-BF5D-53ECC2DAA26F}">
            <xm:f>_Calcs!$IN$181=_List!$DU$7</xm:f>
            <x14:dxf>
              <font>
                <color theme="6" tint="0.79998168889431442"/>
              </font>
              <fill>
                <patternFill>
                  <bgColor theme="6" tint="0.79998168889431442"/>
                </patternFill>
              </fill>
            </x14:dxf>
          </x14:cfRule>
          <xm:sqref>EI260:FV262 EI256:EP256</xm:sqref>
        </x14:conditionalFormatting>
        <x14:conditionalFormatting xmlns:xm="http://schemas.microsoft.com/office/excel/2006/main">
          <x14:cfRule type="expression" priority="125" id="{C6BA083E-09CE-4EB7-ADD0-2C304DCBCE1A}">
            <xm:f>_Calcs!$IN$190&lt;&gt;_List!$DK$5</xm:f>
            <x14:dxf>
              <fill>
                <patternFill>
                  <bgColor theme="6" tint="0.79998168889431442"/>
                </patternFill>
              </fill>
            </x14:dxf>
          </x14:cfRule>
          <xm:sqref>EI285:FB285 FR285:FV285</xm:sqref>
        </x14:conditionalFormatting>
        <x14:conditionalFormatting xmlns:xm="http://schemas.microsoft.com/office/excel/2006/main">
          <x14:cfRule type="expression" priority="124" id="{03451C18-5875-43D4-B6E4-9DC024412A66}">
            <xm:f>_Calcs!$IN$190=_List!$DU$7</xm:f>
            <x14:dxf>
              <font>
                <color theme="6" tint="0.79998168889431442"/>
              </font>
              <fill>
                <patternFill>
                  <bgColor theme="6" tint="0.79998168889431442"/>
                </patternFill>
              </fill>
            </x14:dxf>
          </x14:cfRule>
          <xm:sqref>EI293:FV295 EI289:EP289</xm:sqref>
        </x14:conditionalFormatting>
        <x14:conditionalFormatting xmlns:xm="http://schemas.microsoft.com/office/excel/2006/main">
          <x14:cfRule type="expression" priority="117" id="{29FA81DF-86E6-45BC-825C-EDF31B5221FB}">
            <xm:f>_Calcs!$IO$117=_List!$AW$7</xm:f>
            <x14:dxf>
              <font>
                <color theme="6" tint="0.79998168889431442"/>
              </font>
              <fill>
                <patternFill>
                  <bgColor theme="6" tint="0.79998168889431442"/>
                </patternFill>
              </fill>
            </x14:dxf>
          </x14:cfRule>
          <xm:sqref>GB29:GX31 GB25:GH25 GL25:GR25 HC29:HO31</xm:sqref>
        </x14:conditionalFormatting>
        <x14:conditionalFormatting xmlns:xm="http://schemas.microsoft.com/office/excel/2006/main">
          <x14:cfRule type="expression" priority="122" id="{629925AB-66E5-4677-9720-AB5FC8C31EB3}">
            <xm:f>_Calcs!$IO$117=_List!$AW$7</xm:f>
            <x14:dxf>
              <fill>
                <patternFill>
                  <bgColor theme="6" tint="0.79998168889431442"/>
                </patternFill>
              </fill>
            </x14:dxf>
          </x14:cfRule>
          <xm:sqref>GB21:GC21 GJ21</xm:sqref>
        </x14:conditionalFormatting>
        <x14:conditionalFormatting xmlns:xm="http://schemas.microsoft.com/office/excel/2006/main">
          <x14:cfRule type="expression" priority="121" id="{BDE3ED7B-F8DA-4FB0-BC28-91AA06283BA6}">
            <xm:f>_Calcs!$IO$127&lt;&gt;_List!$DK$5</xm:f>
            <x14:dxf>
              <fill>
                <patternFill>
                  <bgColor theme="6" tint="0.79998168889431442"/>
                </patternFill>
              </fill>
            </x14:dxf>
          </x14:cfRule>
          <xm:sqref>GB54:GU54 HK54:HO54</xm:sqref>
        </x14:conditionalFormatting>
        <x14:conditionalFormatting xmlns:xm="http://schemas.microsoft.com/office/excel/2006/main">
          <x14:cfRule type="expression" priority="120" id="{7C0B5909-2D6C-4091-93F1-1B36CB3E445D}">
            <xm:f>_Calcs!$IO$127=_List!$DU$7</xm:f>
            <x14:dxf>
              <font>
                <color theme="6" tint="0.79998168889431442"/>
              </font>
              <fill>
                <patternFill>
                  <bgColor theme="6" tint="0.79998168889431442"/>
                </patternFill>
              </fill>
            </x14:dxf>
          </x14:cfRule>
          <xm:sqref>GB62:HO64 GB58:GI58</xm:sqref>
        </x14:conditionalFormatting>
        <x14:conditionalFormatting xmlns:xm="http://schemas.microsoft.com/office/excel/2006/main">
          <x14:cfRule type="expression" priority="123" id="{2A22CAE6-EF63-43C1-97DE-F82CA46FB673}">
            <xm:f>_Calcs!$IO$119=_Calcs!$II$97</xm:f>
            <x14:dxf>
              <font>
                <b/>
                <i val="0"/>
              </font>
            </x14:dxf>
          </x14:cfRule>
          <xm:sqref>GB25:GC25</xm:sqref>
        </x14:conditionalFormatting>
        <x14:conditionalFormatting xmlns:xm="http://schemas.microsoft.com/office/excel/2006/main">
          <x14:cfRule type="expression" priority="119" id="{3DCF04BE-4F9A-47D5-B1B8-D9EEDA2D3370}">
            <xm:f>_Calcs!$IO$119&lt;&gt;_Calcs!$II$97</xm:f>
            <x14:dxf>
              <font>
                <b/>
                <i val="0"/>
                <color auto="1"/>
              </font>
              <border>
                <vertical/>
                <horizontal/>
              </border>
            </x14:dxf>
          </x14:cfRule>
          <xm:sqref>GL25:GM25 GR25</xm:sqref>
        </x14:conditionalFormatting>
        <x14:conditionalFormatting xmlns:xm="http://schemas.microsoft.com/office/excel/2006/main">
          <x14:cfRule type="expression" priority="118" id="{E27B12CE-D1A0-45D7-95F7-17A0B78A43F0}">
            <xm:f>_Calcs!$IO$119=_Calcs!$II$97</xm:f>
            <x14:dxf>
              <fill>
                <patternFill>
                  <bgColor theme="6" tint="0.79998168889431442"/>
                </patternFill>
              </fill>
            </x14:dxf>
          </x14:cfRule>
          <xm:sqref>GB29:GX31 HC29:HO31</xm:sqref>
        </x14:conditionalFormatting>
        <x14:conditionalFormatting xmlns:xm="http://schemas.microsoft.com/office/excel/2006/main">
          <x14:cfRule type="expression" priority="115" id="{5A65BAD4-A21F-408C-80CA-0515E71BAEA6}">
            <xm:f>_Calcs!$IO$117=_List!$AW$7</xm:f>
            <x14:dxf>
              <font>
                <color theme="6" tint="0.79998168889431442"/>
              </font>
              <fill>
                <patternFill>
                  <bgColor theme="6" tint="0.79998168889431442"/>
                </patternFill>
              </fill>
            </x14:dxf>
          </x14:cfRule>
          <xm:sqref>GY29:HB31</xm:sqref>
        </x14:conditionalFormatting>
        <x14:conditionalFormatting xmlns:xm="http://schemas.microsoft.com/office/excel/2006/main">
          <x14:cfRule type="expression" priority="116" id="{F08387CF-2E48-4C9F-A630-6E342ECCAEF1}">
            <xm:f>_Calcs!$IO$119=_Calcs!$II$97</xm:f>
            <x14:dxf>
              <fill>
                <patternFill>
                  <bgColor theme="6" tint="0.79998168889431442"/>
                </patternFill>
              </fill>
            </x14:dxf>
          </x14:cfRule>
          <xm:sqref>GY29:HB31</xm:sqref>
        </x14:conditionalFormatting>
        <x14:conditionalFormatting xmlns:xm="http://schemas.microsoft.com/office/excel/2006/main">
          <x14:cfRule type="expression" priority="114" id="{9E07C245-A8DE-4767-B214-82C58E5CE6AA}">
            <xm:f>_Calcs!$IO$136&lt;&gt;_List!$DK$5</xm:f>
            <x14:dxf>
              <fill>
                <patternFill>
                  <bgColor theme="6" tint="0.79998168889431442"/>
                </patternFill>
              </fill>
            </x14:dxf>
          </x14:cfRule>
          <xm:sqref>GB87:GU87 HK87:HO87</xm:sqref>
        </x14:conditionalFormatting>
        <x14:conditionalFormatting xmlns:xm="http://schemas.microsoft.com/office/excel/2006/main">
          <x14:cfRule type="expression" priority="113" id="{4970A57C-9C71-41B6-8418-E7331F7D4C4E}">
            <xm:f>_Calcs!$IO$136=_List!$DU$7</xm:f>
            <x14:dxf>
              <font>
                <color theme="6" tint="0.79998168889431442"/>
              </font>
              <fill>
                <patternFill>
                  <bgColor theme="6" tint="0.79998168889431442"/>
                </patternFill>
              </fill>
            </x14:dxf>
          </x14:cfRule>
          <xm:sqref>GB95:HO97 GB91:GI91</xm:sqref>
        </x14:conditionalFormatting>
        <x14:conditionalFormatting xmlns:xm="http://schemas.microsoft.com/office/excel/2006/main">
          <x14:cfRule type="expression" priority="112" id="{7410888C-DE77-4EF5-A99D-C7206E04103B}">
            <xm:f>_Calcs!$IO$145&lt;&gt;_List!$DK$5</xm:f>
            <x14:dxf>
              <fill>
                <patternFill>
                  <bgColor theme="6" tint="0.79998168889431442"/>
                </patternFill>
              </fill>
            </x14:dxf>
          </x14:cfRule>
          <xm:sqref>GB120:GU120 HK120:HO120</xm:sqref>
        </x14:conditionalFormatting>
        <x14:conditionalFormatting xmlns:xm="http://schemas.microsoft.com/office/excel/2006/main">
          <x14:cfRule type="expression" priority="111" id="{D4FCBCF2-6D1B-47D1-A8B0-D0FF7B95D665}">
            <xm:f>_Calcs!$IO$145=_List!$DU$7</xm:f>
            <x14:dxf>
              <font>
                <color theme="6" tint="0.79998168889431442"/>
              </font>
              <fill>
                <patternFill>
                  <bgColor theme="6" tint="0.79998168889431442"/>
                </patternFill>
              </fill>
            </x14:dxf>
          </x14:cfRule>
          <xm:sqref>GB128:HO130 GB124:GI124</xm:sqref>
        </x14:conditionalFormatting>
        <x14:conditionalFormatting xmlns:xm="http://schemas.microsoft.com/office/excel/2006/main">
          <x14:cfRule type="expression" priority="110" id="{71468434-E426-4998-88FB-C8727441E3E8}">
            <xm:f>_Calcs!$IO$154&lt;&gt;_List!$DK$5</xm:f>
            <x14:dxf>
              <fill>
                <patternFill>
                  <bgColor theme="6" tint="0.79998168889431442"/>
                </patternFill>
              </fill>
            </x14:dxf>
          </x14:cfRule>
          <xm:sqref>GB153:GU153 HK153:HO153</xm:sqref>
        </x14:conditionalFormatting>
        <x14:conditionalFormatting xmlns:xm="http://schemas.microsoft.com/office/excel/2006/main">
          <x14:cfRule type="expression" priority="109" id="{827D834A-2973-41A3-8D39-8F7CC9C8022D}">
            <xm:f>_Calcs!$IO$154=_List!$DU$7</xm:f>
            <x14:dxf>
              <font>
                <color theme="6" tint="0.79998168889431442"/>
              </font>
              <fill>
                <patternFill>
                  <bgColor theme="6" tint="0.79998168889431442"/>
                </patternFill>
              </fill>
            </x14:dxf>
          </x14:cfRule>
          <xm:sqref>GB161:HO163 GB157:GI157</xm:sqref>
        </x14:conditionalFormatting>
        <x14:conditionalFormatting xmlns:xm="http://schemas.microsoft.com/office/excel/2006/main">
          <x14:cfRule type="expression" priority="108" id="{CB194EAC-C934-4444-95BB-B85D67142236}">
            <xm:f>_Calcs!$IO$163&lt;&gt;_List!$DK$5</xm:f>
            <x14:dxf>
              <fill>
                <patternFill>
                  <bgColor theme="6" tint="0.79998168889431442"/>
                </patternFill>
              </fill>
            </x14:dxf>
          </x14:cfRule>
          <xm:sqref>GB186:GU186 HK186:HO186</xm:sqref>
        </x14:conditionalFormatting>
        <x14:conditionalFormatting xmlns:xm="http://schemas.microsoft.com/office/excel/2006/main">
          <x14:cfRule type="expression" priority="107" id="{7463EB55-C87E-4556-93D0-8EEC2E6DEAD8}">
            <xm:f>_Calcs!$IO$163=_List!$DU$7</xm:f>
            <x14:dxf>
              <font>
                <color theme="6" tint="0.79998168889431442"/>
              </font>
              <fill>
                <patternFill>
                  <bgColor theme="6" tint="0.79998168889431442"/>
                </patternFill>
              </fill>
            </x14:dxf>
          </x14:cfRule>
          <xm:sqref>GB194:HO196 GB190:GI190</xm:sqref>
        </x14:conditionalFormatting>
        <x14:conditionalFormatting xmlns:xm="http://schemas.microsoft.com/office/excel/2006/main">
          <x14:cfRule type="expression" priority="106" id="{E05043D1-29D3-47C9-9F12-6751BDDB2DFA}">
            <xm:f>_Calcs!$IO$172&lt;&gt;_List!$DK$5</xm:f>
            <x14:dxf>
              <fill>
                <patternFill>
                  <bgColor theme="6" tint="0.79998168889431442"/>
                </patternFill>
              </fill>
            </x14:dxf>
          </x14:cfRule>
          <xm:sqref>GB219:GU219 HK219:HO219</xm:sqref>
        </x14:conditionalFormatting>
        <x14:conditionalFormatting xmlns:xm="http://schemas.microsoft.com/office/excel/2006/main">
          <x14:cfRule type="expression" priority="105" id="{D12D6835-0AF2-483F-91E7-2D826F5CB01D}">
            <xm:f>_Calcs!$IO$172=_List!$DU$7</xm:f>
            <x14:dxf>
              <font>
                <color theme="6" tint="0.79998168889431442"/>
              </font>
              <fill>
                <patternFill>
                  <bgColor theme="6" tint="0.79998168889431442"/>
                </patternFill>
              </fill>
            </x14:dxf>
          </x14:cfRule>
          <xm:sqref>GB227:HO229 GB223:GI223</xm:sqref>
        </x14:conditionalFormatting>
        <x14:conditionalFormatting xmlns:xm="http://schemas.microsoft.com/office/excel/2006/main">
          <x14:cfRule type="expression" priority="104" id="{B764D418-D453-4344-9989-A177AFA4FB7F}">
            <xm:f>_Calcs!$IO$181&lt;&gt;_List!$DK$5</xm:f>
            <x14:dxf>
              <fill>
                <patternFill>
                  <bgColor theme="6" tint="0.79998168889431442"/>
                </patternFill>
              </fill>
            </x14:dxf>
          </x14:cfRule>
          <xm:sqref>GB252:GU252 HK252:HO252</xm:sqref>
        </x14:conditionalFormatting>
        <x14:conditionalFormatting xmlns:xm="http://schemas.microsoft.com/office/excel/2006/main">
          <x14:cfRule type="expression" priority="103" id="{18636F7E-29F6-445E-B238-85523B7D54BC}">
            <xm:f>_Calcs!$IO$181=_List!$DU$7</xm:f>
            <x14:dxf>
              <font>
                <color theme="6" tint="0.79998168889431442"/>
              </font>
              <fill>
                <patternFill>
                  <bgColor theme="6" tint="0.79998168889431442"/>
                </patternFill>
              </fill>
            </x14:dxf>
          </x14:cfRule>
          <xm:sqref>GB260:HO262 GB256:GI256</xm:sqref>
        </x14:conditionalFormatting>
        <x14:conditionalFormatting xmlns:xm="http://schemas.microsoft.com/office/excel/2006/main">
          <x14:cfRule type="expression" priority="102" id="{477A6376-18BF-4CBE-9EE3-A66A94181805}">
            <xm:f>_Calcs!$IO$190&lt;&gt;_List!$DK$5</xm:f>
            <x14:dxf>
              <fill>
                <patternFill>
                  <bgColor theme="6" tint="0.79998168889431442"/>
                </patternFill>
              </fill>
            </x14:dxf>
          </x14:cfRule>
          <xm:sqref>GB285:GU285 HK285:HO285</xm:sqref>
        </x14:conditionalFormatting>
        <x14:conditionalFormatting xmlns:xm="http://schemas.microsoft.com/office/excel/2006/main">
          <x14:cfRule type="expression" priority="101" id="{E2444FFB-048D-4BAA-99C6-08F392CFCA24}">
            <xm:f>_Calcs!$IO$190=_List!$DU$7</xm:f>
            <x14:dxf>
              <font>
                <color theme="6" tint="0.79998168889431442"/>
              </font>
              <fill>
                <patternFill>
                  <bgColor theme="6" tint="0.79998168889431442"/>
                </patternFill>
              </fill>
            </x14:dxf>
          </x14:cfRule>
          <xm:sqref>GB293:HO295 GB289:GI289</xm:sqref>
        </x14:conditionalFormatting>
        <x14:conditionalFormatting xmlns:xm="http://schemas.microsoft.com/office/excel/2006/main">
          <x14:cfRule type="expression" priority="94" id="{4DFA3DEF-0DF1-4734-A0D1-563DEDE6D513}">
            <xm:f>_Calcs!$IP$117=_List!$AW$7</xm:f>
            <x14:dxf>
              <font>
                <color theme="6" tint="0.79998168889431442"/>
              </font>
              <fill>
                <patternFill>
                  <bgColor theme="6" tint="0.79998168889431442"/>
                </patternFill>
              </fill>
            </x14:dxf>
          </x14:cfRule>
          <xm:sqref>HU29:IQ31 HU25:IA25 IE25:IK25 IV29:JH31</xm:sqref>
        </x14:conditionalFormatting>
        <x14:conditionalFormatting xmlns:xm="http://schemas.microsoft.com/office/excel/2006/main">
          <x14:cfRule type="expression" priority="99" id="{17E11589-FF69-4D9D-8B77-740EB07D756A}">
            <xm:f>_Calcs!$IP$117=_List!$AW$7</xm:f>
            <x14:dxf>
              <fill>
                <patternFill>
                  <bgColor theme="6" tint="0.79998168889431442"/>
                </patternFill>
              </fill>
            </x14:dxf>
          </x14:cfRule>
          <xm:sqref>HU21:HV21 IC21</xm:sqref>
        </x14:conditionalFormatting>
        <x14:conditionalFormatting xmlns:xm="http://schemas.microsoft.com/office/excel/2006/main">
          <x14:cfRule type="expression" priority="98" id="{F11C2D38-EE9F-4D7E-A160-B7CF7DD985DD}">
            <xm:f>_Calcs!$IP$127&lt;&gt;_List!$DK$5</xm:f>
            <x14:dxf>
              <fill>
                <patternFill>
                  <bgColor theme="6" tint="0.79998168889431442"/>
                </patternFill>
              </fill>
            </x14:dxf>
          </x14:cfRule>
          <xm:sqref>HU54:IN54 JD54:JH54</xm:sqref>
        </x14:conditionalFormatting>
        <x14:conditionalFormatting xmlns:xm="http://schemas.microsoft.com/office/excel/2006/main">
          <x14:cfRule type="expression" priority="97" id="{08ED0EBA-F6E0-4509-91C1-375C47D3C470}">
            <xm:f>_Calcs!$IP$127=_List!$DU$7</xm:f>
            <x14:dxf>
              <font>
                <color theme="6" tint="0.79998168889431442"/>
              </font>
              <fill>
                <patternFill>
                  <bgColor theme="6" tint="0.79998168889431442"/>
                </patternFill>
              </fill>
            </x14:dxf>
          </x14:cfRule>
          <xm:sqref>HU62:JH64 HU58:IB58</xm:sqref>
        </x14:conditionalFormatting>
        <x14:conditionalFormatting xmlns:xm="http://schemas.microsoft.com/office/excel/2006/main">
          <x14:cfRule type="expression" priority="100" id="{9934754F-7264-460E-B762-650A4529A1E3}">
            <xm:f>_Calcs!$IP$119=_Calcs!$II$97</xm:f>
            <x14:dxf>
              <font>
                <b/>
                <i val="0"/>
              </font>
            </x14:dxf>
          </x14:cfRule>
          <xm:sqref>HU25:HV25</xm:sqref>
        </x14:conditionalFormatting>
        <x14:conditionalFormatting xmlns:xm="http://schemas.microsoft.com/office/excel/2006/main">
          <x14:cfRule type="expression" priority="96" id="{69ABC718-57A3-4FC6-90A6-1233C00C9299}">
            <xm:f>_Calcs!$IP$119&lt;&gt;_Calcs!$II$97</xm:f>
            <x14:dxf>
              <font>
                <b/>
                <i val="0"/>
                <color auto="1"/>
              </font>
              <border>
                <vertical/>
                <horizontal/>
              </border>
            </x14:dxf>
          </x14:cfRule>
          <xm:sqref>IE25:IF25 IK25</xm:sqref>
        </x14:conditionalFormatting>
        <x14:conditionalFormatting xmlns:xm="http://schemas.microsoft.com/office/excel/2006/main">
          <x14:cfRule type="expression" priority="95" id="{857E68F2-9E40-4F7F-A8D1-89CC9E8C111A}">
            <xm:f>_Calcs!$IP$119=_Calcs!$II$97</xm:f>
            <x14:dxf>
              <fill>
                <patternFill>
                  <bgColor theme="6" tint="0.79998168889431442"/>
                </patternFill>
              </fill>
            </x14:dxf>
          </x14:cfRule>
          <xm:sqref>HU29:IQ31 IV29:JH31</xm:sqref>
        </x14:conditionalFormatting>
        <x14:conditionalFormatting xmlns:xm="http://schemas.microsoft.com/office/excel/2006/main">
          <x14:cfRule type="expression" priority="92" id="{2BF6A083-0FD1-441B-BE37-3DBABD7C88BE}">
            <xm:f>_Calcs!$IP$117=_List!$AW$7</xm:f>
            <x14:dxf>
              <font>
                <color theme="6" tint="0.79998168889431442"/>
              </font>
              <fill>
                <patternFill>
                  <bgColor theme="6" tint="0.79998168889431442"/>
                </patternFill>
              </fill>
            </x14:dxf>
          </x14:cfRule>
          <xm:sqref>IR29:IU31</xm:sqref>
        </x14:conditionalFormatting>
        <x14:conditionalFormatting xmlns:xm="http://schemas.microsoft.com/office/excel/2006/main">
          <x14:cfRule type="expression" priority="93" id="{6141A517-2C92-4FA9-90BD-638C92953290}">
            <xm:f>_Calcs!$IP$119=_Calcs!$II$97</xm:f>
            <x14:dxf>
              <fill>
                <patternFill>
                  <bgColor theme="6" tint="0.79998168889431442"/>
                </patternFill>
              </fill>
            </x14:dxf>
          </x14:cfRule>
          <xm:sqref>IR29:IU31</xm:sqref>
        </x14:conditionalFormatting>
        <x14:conditionalFormatting xmlns:xm="http://schemas.microsoft.com/office/excel/2006/main">
          <x14:cfRule type="expression" priority="91" id="{5ECEEC3F-E16F-45B7-97EC-861A89F1E9AF}">
            <xm:f>_Calcs!$IP$136&lt;&gt;_List!$DK$5</xm:f>
            <x14:dxf>
              <fill>
                <patternFill>
                  <bgColor theme="6" tint="0.79998168889431442"/>
                </patternFill>
              </fill>
            </x14:dxf>
          </x14:cfRule>
          <xm:sqref>HU87:IN87 JD87:JH87</xm:sqref>
        </x14:conditionalFormatting>
        <x14:conditionalFormatting xmlns:xm="http://schemas.microsoft.com/office/excel/2006/main">
          <x14:cfRule type="expression" priority="90" id="{B98349CE-955A-4454-BE1C-2EFB57432F56}">
            <xm:f>_Calcs!$IP$136=_List!$DU$7</xm:f>
            <x14:dxf>
              <font>
                <color theme="6" tint="0.79998168889431442"/>
              </font>
              <fill>
                <patternFill>
                  <bgColor theme="6" tint="0.79998168889431442"/>
                </patternFill>
              </fill>
            </x14:dxf>
          </x14:cfRule>
          <xm:sqref>HU95:JH97 HU91:IB91</xm:sqref>
        </x14:conditionalFormatting>
        <x14:conditionalFormatting xmlns:xm="http://schemas.microsoft.com/office/excel/2006/main">
          <x14:cfRule type="expression" priority="89" id="{2F4A961C-D61B-4243-8A80-CF856C52A349}">
            <xm:f>_Calcs!$IP$145&lt;&gt;_List!$DK$5</xm:f>
            <x14:dxf>
              <fill>
                <patternFill>
                  <bgColor theme="6" tint="0.79998168889431442"/>
                </patternFill>
              </fill>
            </x14:dxf>
          </x14:cfRule>
          <xm:sqref>HU120:IN120 JD120:JH120</xm:sqref>
        </x14:conditionalFormatting>
        <x14:conditionalFormatting xmlns:xm="http://schemas.microsoft.com/office/excel/2006/main">
          <x14:cfRule type="expression" priority="88" id="{F0795FC7-AE64-47E4-B277-F66CF5548407}">
            <xm:f>_Calcs!$IP$145=_List!$DU$7</xm:f>
            <x14:dxf>
              <font>
                <color theme="6" tint="0.79998168889431442"/>
              </font>
              <fill>
                <patternFill>
                  <bgColor theme="6" tint="0.79998168889431442"/>
                </patternFill>
              </fill>
            </x14:dxf>
          </x14:cfRule>
          <xm:sqref>HU128:JH130 HU124:IB124</xm:sqref>
        </x14:conditionalFormatting>
        <x14:conditionalFormatting xmlns:xm="http://schemas.microsoft.com/office/excel/2006/main">
          <x14:cfRule type="expression" priority="87" id="{B913AD97-5D0B-449B-B324-A59C8097C537}">
            <xm:f>_Calcs!$IP$154&lt;&gt;_List!$DK$5</xm:f>
            <x14:dxf>
              <fill>
                <patternFill>
                  <bgColor theme="6" tint="0.79998168889431442"/>
                </patternFill>
              </fill>
            </x14:dxf>
          </x14:cfRule>
          <xm:sqref>HU153:IN153 JD153:JH153</xm:sqref>
        </x14:conditionalFormatting>
        <x14:conditionalFormatting xmlns:xm="http://schemas.microsoft.com/office/excel/2006/main">
          <x14:cfRule type="expression" priority="86" id="{D8B1546D-9270-4D4F-87FB-95D01F843EFB}">
            <xm:f>_Calcs!$IP$154=_List!$DU$7</xm:f>
            <x14:dxf>
              <font>
                <color theme="6" tint="0.79998168889431442"/>
              </font>
              <fill>
                <patternFill>
                  <bgColor theme="6" tint="0.79998168889431442"/>
                </patternFill>
              </fill>
            </x14:dxf>
          </x14:cfRule>
          <xm:sqref>HU161:JH163 HU157:IB157</xm:sqref>
        </x14:conditionalFormatting>
        <x14:conditionalFormatting xmlns:xm="http://schemas.microsoft.com/office/excel/2006/main">
          <x14:cfRule type="expression" priority="85" id="{4F113B7A-0706-4539-ADD0-FD2C9B37F4E6}">
            <xm:f>_Calcs!$IP$163&lt;&gt;_List!$DK$5</xm:f>
            <x14:dxf>
              <fill>
                <patternFill>
                  <bgColor theme="6" tint="0.79998168889431442"/>
                </patternFill>
              </fill>
            </x14:dxf>
          </x14:cfRule>
          <xm:sqref>HU186:IN186 JD186:JH186</xm:sqref>
        </x14:conditionalFormatting>
        <x14:conditionalFormatting xmlns:xm="http://schemas.microsoft.com/office/excel/2006/main">
          <x14:cfRule type="expression" priority="84" id="{2045724D-1508-4418-B1DE-305B92FEF499}">
            <xm:f>_Calcs!$IP$163=_List!$DU$7</xm:f>
            <x14:dxf>
              <font>
                <color theme="6" tint="0.79998168889431442"/>
              </font>
              <fill>
                <patternFill>
                  <bgColor theme="6" tint="0.79998168889431442"/>
                </patternFill>
              </fill>
            </x14:dxf>
          </x14:cfRule>
          <xm:sqref>HU194:JH196 HU190:IB190</xm:sqref>
        </x14:conditionalFormatting>
        <x14:conditionalFormatting xmlns:xm="http://schemas.microsoft.com/office/excel/2006/main">
          <x14:cfRule type="expression" priority="83" id="{0506D170-DB08-4D62-9E32-1D114B5D1456}">
            <xm:f>_Calcs!$IP$172&lt;&gt;_List!$DK$5</xm:f>
            <x14:dxf>
              <fill>
                <patternFill>
                  <bgColor theme="6" tint="0.79998168889431442"/>
                </patternFill>
              </fill>
            </x14:dxf>
          </x14:cfRule>
          <xm:sqref>HU219:IN219 JD219:JH219</xm:sqref>
        </x14:conditionalFormatting>
        <x14:conditionalFormatting xmlns:xm="http://schemas.microsoft.com/office/excel/2006/main">
          <x14:cfRule type="expression" priority="82" id="{D9CDD03A-585C-40C3-B6C8-2F2A2CB9184B}">
            <xm:f>_Calcs!$IP$172=_List!$DU$7</xm:f>
            <x14:dxf>
              <font>
                <color theme="6" tint="0.79998168889431442"/>
              </font>
              <fill>
                <patternFill>
                  <bgColor theme="6" tint="0.79998168889431442"/>
                </patternFill>
              </fill>
            </x14:dxf>
          </x14:cfRule>
          <xm:sqref>HU227:JH229 HU223:IB223</xm:sqref>
        </x14:conditionalFormatting>
        <x14:conditionalFormatting xmlns:xm="http://schemas.microsoft.com/office/excel/2006/main">
          <x14:cfRule type="expression" priority="81" id="{92CC5031-370B-4541-BF24-724C0051D35F}">
            <xm:f>_Calcs!$IP$181&lt;&gt;_List!$DK$5</xm:f>
            <x14:dxf>
              <fill>
                <patternFill>
                  <bgColor theme="6" tint="0.79998168889431442"/>
                </patternFill>
              </fill>
            </x14:dxf>
          </x14:cfRule>
          <xm:sqref>HU252:IN252 JD252:JH252</xm:sqref>
        </x14:conditionalFormatting>
        <x14:conditionalFormatting xmlns:xm="http://schemas.microsoft.com/office/excel/2006/main">
          <x14:cfRule type="expression" priority="80" id="{3BE87A99-4614-4CD4-A5ED-38617F296A2D}">
            <xm:f>_Calcs!$IP$181=_List!$DU$7</xm:f>
            <x14:dxf>
              <font>
                <color theme="6" tint="0.79998168889431442"/>
              </font>
              <fill>
                <patternFill>
                  <bgColor theme="6" tint="0.79998168889431442"/>
                </patternFill>
              </fill>
            </x14:dxf>
          </x14:cfRule>
          <xm:sqref>HU260:JH262 HU256:IB256</xm:sqref>
        </x14:conditionalFormatting>
        <x14:conditionalFormatting xmlns:xm="http://schemas.microsoft.com/office/excel/2006/main">
          <x14:cfRule type="expression" priority="79" id="{9AD8FC98-861C-4294-8CAE-0896B20666A2}">
            <xm:f>_Calcs!$IP$190&lt;&gt;_List!$DK$5</xm:f>
            <x14:dxf>
              <fill>
                <patternFill>
                  <bgColor theme="6" tint="0.79998168889431442"/>
                </patternFill>
              </fill>
            </x14:dxf>
          </x14:cfRule>
          <xm:sqref>HU285:IN285 JD285:JH285</xm:sqref>
        </x14:conditionalFormatting>
        <x14:conditionalFormatting xmlns:xm="http://schemas.microsoft.com/office/excel/2006/main">
          <x14:cfRule type="expression" priority="78" id="{7BD5E06C-C7AC-42DF-A67B-C82D35A6043D}">
            <xm:f>_Calcs!$IP$190=_List!$DU$7</xm:f>
            <x14:dxf>
              <font>
                <color theme="6" tint="0.79998168889431442"/>
              </font>
              <fill>
                <patternFill>
                  <bgColor theme="6" tint="0.79998168889431442"/>
                </patternFill>
              </fill>
            </x14:dxf>
          </x14:cfRule>
          <xm:sqref>HU293:JH295 HU289:IB289</xm:sqref>
        </x14:conditionalFormatting>
        <x14:conditionalFormatting xmlns:xm="http://schemas.microsoft.com/office/excel/2006/main">
          <x14:cfRule type="expression" priority="71" id="{4104154D-8C6D-4787-8908-D2CB2DFD3577}">
            <xm:f>_Calcs!$IQ$117=_List!$AW$7</xm:f>
            <x14:dxf>
              <font>
                <color theme="6" tint="0.79998168889431442"/>
              </font>
              <fill>
                <patternFill>
                  <bgColor theme="6" tint="0.79998168889431442"/>
                </patternFill>
              </fill>
            </x14:dxf>
          </x14:cfRule>
          <xm:sqref>JN29:KJ31 JN25:JT25 JX25:KD25 KO29:LA31</xm:sqref>
        </x14:conditionalFormatting>
        <x14:conditionalFormatting xmlns:xm="http://schemas.microsoft.com/office/excel/2006/main">
          <x14:cfRule type="expression" priority="76" id="{ED94AFB9-0946-4A20-8BFE-F28103470AE4}">
            <xm:f>_Calcs!$IQ$117=_List!$AW$7</xm:f>
            <x14:dxf>
              <fill>
                <patternFill>
                  <bgColor theme="6" tint="0.79998168889431442"/>
                </patternFill>
              </fill>
            </x14:dxf>
          </x14:cfRule>
          <xm:sqref>JN21:JO21 JV21</xm:sqref>
        </x14:conditionalFormatting>
        <x14:conditionalFormatting xmlns:xm="http://schemas.microsoft.com/office/excel/2006/main">
          <x14:cfRule type="expression" priority="75" id="{CDFA1C77-A1AE-49AB-836A-2AC7B82821A6}">
            <xm:f>_Calcs!$IQ$127&lt;&gt;_List!$DK$5</xm:f>
            <x14:dxf>
              <fill>
                <patternFill>
                  <bgColor theme="6" tint="0.79998168889431442"/>
                </patternFill>
              </fill>
            </x14:dxf>
          </x14:cfRule>
          <xm:sqref>JN54:KG54 KW54:LA54</xm:sqref>
        </x14:conditionalFormatting>
        <x14:conditionalFormatting xmlns:xm="http://schemas.microsoft.com/office/excel/2006/main">
          <x14:cfRule type="expression" priority="74" id="{C4C181F5-276E-42BB-B560-6AFFB9B3A55F}">
            <xm:f>_Calcs!$IQ$127=_List!$DU$7</xm:f>
            <x14:dxf>
              <font>
                <color theme="6" tint="0.79998168889431442"/>
              </font>
              <fill>
                <patternFill>
                  <bgColor theme="6" tint="0.79998168889431442"/>
                </patternFill>
              </fill>
            </x14:dxf>
          </x14:cfRule>
          <xm:sqref>JN62:LA64 JN58:JU58</xm:sqref>
        </x14:conditionalFormatting>
        <x14:conditionalFormatting xmlns:xm="http://schemas.microsoft.com/office/excel/2006/main">
          <x14:cfRule type="expression" priority="77" id="{B0BBCCAB-1DA0-4CDA-AA86-5FD00E8D5A1F}">
            <xm:f>_Calcs!$IQ$119=_Calcs!$II$97</xm:f>
            <x14:dxf>
              <font>
                <b/>
                <i val="0"/>
              </font>
            </x14:dxf>
          </x14:cfRule>
          <xm:sqref>JN25:JO25</xm:sqref>
        </x14:conditionalFormatting>
        <x14:conditionalFormatting xmlns:xm="http://schemas.microsoft.com/office/excel/2006/main">
          <x14:cfRule type="expression" priority="73" id="{78718293-07D4-4A03-9B51-AC2A45EC1B95}">
            <xm:f>_Calcs!$IQ$119&lt;&gt;_Calcs!$II$97</xm:f>
            <x14:dxf>
              <font>
                <b/>
                <i val="0"/>
                <color auto="1"/>
              </font>
              <border>
                <vertical/>
                <horizontal/>
              </border>
            </x14:dxf>
          </x14:cfRule>
          <xm:sqref>JX25:JY25 KD25</xm:sqref>
        </x14:conditionalFormatting>
        <x14:conditionalFormatting xmlns:xm="http://schemas.microsoft.com/office/excel/2006/main">
          <x14:cfRule type="expression" priority="72" id="{61E93140-4779-4EF3-8982-8E359D778EE1}">
            <xm:f>_Calcs!$IQ$119=_Calcs!$II$97</xm:f>
            <x14:dxf>
              <fill>
                <patternFill>
                  <bgColor theme="6" tint="0.79998168889431442"/>
                </patternFill>
              </fill>
            </x14:dxf>
          </x14:cfRule>
          <xm:sqref>JN29:KJ31 KO29:LA31</xm:sqref>
        </x14:conditionalFormatting>
        <x14:conditionalFormatting xmlns:xm="http://schemas.microsoft.com/office/excel/2006/main">
          <x14:cfRule type="expression" priority="69" id="{7DE91474-9BCF-4618-A711-3B9DA05CD4B0}">
            <xm:f>_Calcs!$IQ$117=_List!$AW$7</xm:f>
            <x14:dxf>
              <font>
                <color theme="6" tint="0.79998168889431442"/>
              </font>
              <fill>
                <patternFill>
                  <bgColor theme="6" tint="0.79998168889431442"/>
                </patternFill>
              </fill>
            </x14:dxf>
          </x14:cfRule>
          <xm:sqref>KK29:KN31</xm:sqref>
        </x14:conditionalFormatting>
        <x14:conditionalFormatting xmlns:xm="http://schemas.microsoft.com/office/excel/2006/main">
          <x14:cfRule type="expression" priority="70" id="{9C74C95B-38B0-4107-B386-0D3E89D3BF66}">
            <xm:f>_Calcs!$IQ$119=_Calcs!$II$97</xm:f>
            <x14:dxf>
              <fill>
                <patternFill>
                  <bgColor theme="6" tint="0.79998168889431442"/>
                </patternFill>
              </fill>
            </x14:dxf>
          </x14:cfRule>
          <xm:sqref>KK29:KN31</xm:sqref>
        </x14:conditionalFormatting>
        <x14:conditionalFormatting xmlns:xm="http://schemas.microsoft.com/office/excel/2006/main">
          <x14:cfRule type="expression" priority="68" id="{9A79EA16-C48D-4F2E-B2D7-1EE770371BCB}">
            <xm:f>_Calcs!$IQ$136&lt;&gt;_List!$DK$5</xm:f>
            <x14:dxf>
              <fill>
                <patternFill>
                  <bgColor theme="6" tint="0.79998168889431442"/>
                </patternFill>
              </fill>
            </x14:dxf>
          </x14:cfRule>
          <xm:sqref>JN87:KG87 KW87:LA87</xm:sqref>
        </x14:conditionalFormatting>
        <x14:conditionalFormatting xmlns:xm="http://schemas.microsoft.com/office/excel/2006/main">
          <x14:cfRule type="expression" priority="67" id="{AA72682C-D2A3-4474-8ECF-E1D8250AD3E2}">
            <xm:f>_Calcs!$IQ$136=_List!$DU$7</xm:f>
            <x14:dxf>
              <font>
                <color theme="6" tint="0.79998168889431442"/>
              </font>
              <fill>
                <patternFill>
                  <bgColor theme="6" tint="0.79998168889431442"/>
                </patternFill>
              </fill>
            </x14:dxf>
          </x14:cfRule>
          <xm:sqref>JN95:LA97 JN91:JU91</xm:sqref>
        </x14:conditionalFormatting>
        <x14:conditionalFormatting xmlns:xm="http://schemas.microsoft.com/office/excel/2006/main">
          <x14:cfRule type="expression" priority="66" id="{23BD679D-F9F4-4D46-92A7-55F7D25851BB}">
            <xm:f>_Calcs!$IQ$145&lt;&gt;_List!$DK$5</xm:f>
            <x14:dxf>
              <fill>
                <patternFill>
                  <bgColor theme="6" tint="0.79998168889431442"/>
                </patternFill>
              </fill>
            </x14:dxf>
          </x14:cfRule>
          <xm:sqref>JN120:KG120 KW120:LA120</xm:sqref>
        </x14:conditionalFormatting>
        <x14:conditionalFormatting xmlns:xm="http://schemas.microsoft.com/office/excel/2006/main">
          <x14:cfRule type="expression" priority="65" id="{312020A9-DE24-4D5C-A4DF-8DE4C2BF1561}">
            <xm:f>_Calcs!$IQ$145=_List!$DU$7</xm:f>
            <x14:dxf>
              <font>
                <color theme="6" tint="0.79998168889431442"/>
              </font>
              <fill>
                <patternFill>
                  <bgColor theme="6" tint="0.79998168889431442"/>
                </patternFill>
              </fill>
            </x14:dxf>
          </x14:cfRule>
          <xm:sqref>JN128:LA130 JN124:JU124</xm:sqref>
        </x14:conditionalFormatting>
        <x14:conditionalFormatting xmlns:xm="http://schemas.microsoft.com/office/excel/2006/main">
          <x14:cfRule type="expression" priority="64" id="{D6754FAF-BFA6-4014-9395-C0387691869E}">
            <xm:f>_Calcs!$IQ$154&lt;&gt;_List!$DK$5</xm:f>
            <x14:dxf>
              <fill>
                <patternFill>
                  <bgColor theme="6" tint="0.79998168889431442"/>
                </patternFill>
              </fill>
            </x14:dxf>
          </x14:cfRule>
          <xm:sqref>JN153:KG153 KW153:LA153</xm:sqref>
        </x14:conditionalFormatting>
        <x14:conditionalFormatting xmlns:xm="http://schemas.microsoft.com/office/excel/2006/main">
          <x14:cfRule type="expression" priority="63" id="{2AF0397A-5D0E-4713-BCBA-424FA1279FEF}">
            <xm:f>_Calcs!$IQ$154=_List!$DU$7</xm:f>
            <x14:dxf>
              <font>
                <color theme="6" tint="0.79998168889431442"/>
              </font>
              <fill>
                <patternFill>
                  <bgColor theme="6" tint="0.79998168889431442"/>
                </patternFill>
              </fill>
            </x14:dxf>
          </x14:cfRule>
          <xm:sqref>JN161:LA163 JN157:JU157</xm:sqref>
        </x14:conditionalFormatting>
        <x14:conditionalFormatting xmlns:xm="http://schemas.microsoft.com/office/excel/2006/main">
          <x14:cfRule type="expression" priority="62" id="{046FA4C5-9AA5-4338-8115-438BA90583CD}">
            <xm:f>_Calcs!$IQ$163&lt;&gt;_List!$DK$5</xm:f>
            <x14:dxf>
              <fill>
                <patternFill>
                  <bgColor theme="6" tint="0.79998168889431442"/>
                </patternFill>
              </fill>
            </x14:dxf>
          </x14:cfRule>
          <xm:sqref>JN186:KG186 KW186:LA186</xm:sqref>
        </x14:conditionalFormatting>
        <x14:conditionalFormatting xmlns:xm="http://schemas.microsoft.com/office/excel/2006/main">
          <x14:cfRule type="expression" priority="61" id="{73EAC3FA-78AB-4437-A1A1-F2EB76D46509}">
            <xm:f>_Calcs!$IQ$163=_List!$DU$7</xm:f>
            <x14:dxf>
              <font>
                <color theme="6" tint="0.79998168889431442"/>
              </font>
              <fill>
                <patternFill>
                  <bgColor theme="6" tint="0.79998168889431442"/>
                </patternFill>
              </fill>
            </x14:dxf>
          </x14:cfRule>
          <xm:sqref>JN194:LA196 JN190:JU190</xm:sqref>
        </x14:conditionalFormatting>
        <x14:conditionalFormatting xmlns:xm="http://schemas.microsoft.com/office/excel/2006/main">
          <x14:cfRule type="expression" priority="60" id="{D7FC0218-6785-4FF5-8B98-D789401DD308}">
            <xm:f>_Calcs!$IQ$172&lt;&gt;_List!$DK$5</xm:f>
            <x14:dxf>
              <fill>
                <patternFill>
                  <bgColor theme="6" tint="0.79998168889431442"/>
                </patternFill>
              </fill>
            </x14:dxf>
          </x14:cfRule>
          <xm:sqref>JN219:KG219 KW219:LA219</xm:sqref>
        </x14:conditionalFormatting>
        <x14:conditionalFormatting xmlns:xm="http://schemas.microsoft.com/office/excel/2006/main">
          <x14:cfRule type="expression" priority="59" id="{A20F009B-58DA-4A56-9BC3-CC59CC4596B6}">
            <xm:f>_Calcs!$IQ$172=_List!$DU$7</xm:f>
            <x14:dxf>
              <font>
                <color theme="6" tint="0.79998168889431442"/>
              </font>
              <fill>
                <patternFill>
                  <bgColor theme="6" tint="0.79998168889431442"/>
                </patternFill>
              </fill>
            </x14:dxf>
          </x14:cfRule>
          <xm:sqref>JN227:LA229 JN223:JU223</xm:sqref>
        </x14:conditionalFormatting>
        <x14:conditionalFormatting xmlns:xm="http://schemas.microsoft.com/office/excel/2006/main">
          <x14:cfRule type="expression" priority="58" id="{F965B561-6E69-4CE5-92EB-43688156E549}">
            <xm:f>_Calcs!$IQ$181&lt;&gt;_List!$DK$5</xm:f>
            <x14:dxf>
              <fill>
                <patternFill>
                  <bgColor theme="6" tint="0.79998168889431442"/>
                </patternFill>
              </fill>
            </x14:dxf>
          </x14:cfRule>
          <xm:sqref>JN252:KG252 KW252:LA252</xm:sqref>
        </x14:conditionalFormatting>
        <x14:conditionalFormatting xmlns:xm="http://schemas.microsoft.com/office/excel/2006/main">
          <x14:cfRule type="expression" priority="57" id="{D6D33018-70B0-4F02-8844-EADE4DBFC960}">
            <xm:f>_Calcs!$IQ$181=_List!$DU$7</xm:f>
            <x14:dxf>
              <font>
                <color theme="6" tint="0.79998168889431442"/>
              </font>
              <fill>
                <patternFill>
                  <bgColor theme="6" tint="0.79998168889431442"/>
                </patternFill>
              </fill>
            </x14:dxf>
          </x14:cfRule>
          <xm:sqref>JN260:LA262 JN256:JU256</xm:sqref>
        </x14:conditionalFormatting>
        <x14:conditionalFormatting xmlns:xm="http://schemas.microsoft.com/office/excel/2006/main">
          <x14:cfRule type="expression" priority="56" id="{2292ACE5-934A-4534-8FDD-3F8E33905B0E}">
            <xm:f>_Calcs!$IQ$190&lt;&gt;_List!$DK$5</xm:f>
            <x14:dxf>
              <fill>
                <patternFill>
                  <bgColor theme="6" tint="0.79998168889431442"/>
                </patternFill>
              </fill>
            </x14:dxf>
          </x14:cfRule>
          <xm:sqref>JN285:KG285 KW285:LA285</xm:sqref>
        </x14:conditionalFormatting>
        <x14:conditionalFormatting xmlns:xm="http://schemas.microsoft.com/office/excel/2006/main">
          <x14:cfRule type="expression" priority="55" id="{B7FF1946-5D41-44DF-83B9-91102B880D0C}">
            <xm:f>_Calcs!$IQ$190=_List!$DU$7</xm:f>
            <x14:dxf>
              <font>
                <color theme="6" tint="0.79998168889431442"/>
              </font>
              <fill>
                <patternFill>
                  <bgColor theme="6" tint="0.79998168889431442"/>
                </patternFill>
              </fill>
            </x14:dxf>
          </x14:cfRule>
          <xm:sqref>JN293:LA295 JN289:JU289</xm:sqref>
        </x14:conditionalFormatting>
        <x14:conditionalFormatting xmlns:xm="http://schemas.microsoft.com/office/excel/2006/main">
          <x14:cfRule type="expression" priority="48" id="{E7DC59B2-C97B-41E6-8927-017250C2B6E6}">
            <xm:f>_Calcs!$IR$117=_List!$AW$7</xm:f>
            <x14:dxf>
              <font>
                <color theme="6" tint="0.79998168889431442"/>
              </font>
              <fill>
                <patternFill>
                  <bgColor theme="6" tint="0.79998168889431442"/>
                </patternFill>
              </fill>
            </x14:dxf>
          </x14:cfRule>
          <xm:sqref>LG29:MC31 LG25:LM25 LQ25:LW25 MH29:MT31</xm:sqref>
        </x14:conditionalFormatting>
        <x14:conditionalFormatting xmlns:xm="http://schemas.microsoft.com/office/excel/2006/main">
          <x14:cfRule type="expression" priority="53" id="{B7ECDCA2-5E05-4DD5-B0D9-CA7CAA9F4891}">
            <xm:f>_Calcs!$IR$117=_List!$AW$7</xm:f>
            <x14:dxf>
              <fill>
                <patternFill>
                  <bgColor theme="6" tint="0.79998168889431442"/>
                </patternFill>
              </fill>
            </x14:dxf>
          </x14:cfRule>
          <xm:sqref>LG21:LH21 LO21</xm:sqref>
        </x14:conditionalFormatting>
        <x14:conditionalFormatting xmlns:xm="http://schemas.microsoft.com/office/excel/2006/main">
          <x14:cfRule type="expression" priority="52" id="{774BCD4F-69FF-42BF-96C5-1ED777184034}">
            <xm:f>_Calcs!$IR$127&lt;&gt;_List!$DK$5</xm:f>
            <x14:dxf>
              <fill>
                <patternFill>
                  <bgColor theme="6" tint="0.79998168889431442"/>
                </patternFill>
              </fill>
            </x14:dxf>
          </x14:cfRule>
          <xm:sqref>LG54:LZ54 MP54:MT54</xm:sqref>
        </x14:conditionalFormatting>
        <x14:conditionalFormatting xmlns:xm="http://schemas.microsoft.com/office/excel/2006/main">
          <x14:cfRule type="expression" priority="51" id="{0B0E34E1-B7B9-4426-B0D5-223205C962B6}">
            <xm:f>_Calcs!$IR$127=_List!$DU$7</xm:f>
            <x14:dxf>
              <font>
                <color theme="6" tint="0.79998168889431442"/>
              </font>
              <fill>
                <patternFill>
                  <bgColor theme="6" tint="0.79998168889431442"/>
                </patternFill>
              </fill>
            </x14:dxf>
          </x14:cfRule>
          <xm:sqref>LG62:MT64 LG58:LN58</xm:sqref>
        </x14:conditionalFormatting>
        <x14:conditionalFormatting xmlns:xm="http://schemas.microsoft.com/office/excel/2006/main">
          <x14:cfRule type="expression" priority="54" id="{A78A6812-9AD7-4ECE-95AF-D3088F2B2DED}">
            <xm:f>_Calcs!$IR$119=_Calcs!$II$97</xm:f>
            <x14:dxf>
              <font>
                <b/>
                <i val="0"/>
              </font>
            </x14:dxf>
          </x14:cfRule>
          <xm:sqref>LG25:LH25</xm:sqref>
        </x14:conditionalFormatting>
        <x14:conditionalFormatting xmlns:xm="http://schemas.microsoft.com/office/excel/2006/main">
          <x14:cfRule type="expression" priority="50" id="{0C9D48B0-034A-42AE-BBAB-3F8D5189E195}">
            <xm:f>_Calcs!$IR$119&lt;&gt;_Calcs!$II$97</xm:f>
            <x14:dxf>
              <font>
                <b/>
                <i val="0"/>
                <color auto="1"/>
              </font>
              <border>
                <vertical/>
                <horizontal/>
              </border>
            </x14:dxf>
          </x14:cfRule>
          <xm:sqref>LQ25:LR25 LW25</xm:sqref>
        </x14:conditionalFormatting>
        <x14:conditionalFormatting xmlns:xm="http://schemas.microsoft.com/office/excel/2006/main">
          <x14:cfRule type="expression" priority="49" id="{09920FDE-F5EF-4AA9-97B3-012D758A3262}">
            <xm:f>_Calcs!$IR$119=_Calcs!$II$97</xm:f>
            <x14:dxf>
              <fill>
                <patternFill>
                  <bgColor theme="6" tint="0.79998168889431442"/>
                </patternFill>
              </fill>
            </x14:dxf>
          </x14:cfRule>
          <xm:sqref>LG29:MC31 MH29:MT31</xm:sqref>
        </x14:conditionalFormatting>
        <x14:conditionalFormatting xmlns:xm="http://schemas.microsoft.com/office/excel/2006/main">
          <x14:cfRule type="expression" priority="46" id="{E697A3A0-9B7B-42B9-9F41-9E4322135F17}">
            <xm:f>_Calcs!$IR$117=_List!$AW$7</xm:f>
            <x14:dxf>
              <font>
                <color theme="6" tint="0.79998168889431442"/>
              </font>
              <fill>
                <patternFill>
                  <bgColor theme="6" tint="0.79998168889431442"/>
                </patternFill>
              </fill>
            </x14:dxf>
          </x14:cfRule>
          <xm:sqref>MD29:MG31</xm:sqref>
        </x14:conditionalFormatting>
        <x14:conditionalFormatting xmlns:xm="http://schemas.microsoft.com/office/excel/2006/main">
          <x14:cfRule type="expression" priority="47" id="{EA039EE5-6CDA-4DEB-8496-9C8117FB2BC2}">
            <xm:f>_Calcs!$IR$119=_Calcs!$II$97</xm:f>
            <x14:dxf>
              <fill>
                <patternFill>
                  <bgColor theme="6" tint="0.79998168889431442"/>
                </patternFill>
              </fill>
            </x14:dxf>
          </x14:cfRule>
          <xm:sqref>MD29:MG31</xm:sqref>
        </x14:conditionalFormatting>
        <x14:conditionalFormatting xmlns:xm="http://schemas.microsoft.com/office/excel/2006/main">
          <x14:cfRule type="expression" priority="45" id="{BDA5531C-B714-4566-A94E-36F715FD8DEE}">
            <xm:f>_Calcs!$IR$136&lt;&gt;_List!$DK$5</xm:f>
            <x14:dxf>
              <fill>
                <patternFill>
                  <bgColor theme="6" tint="0.79998168889431442"/>
                </patternFill>
              </fill>
            </x14:dxf>
          </x14:cfRule>
          <xm:sqref>LG87:LZ87 MP87:MT87</xm:sqref>
        </x14:conditionalFormatting>
        <x14:conditionalFormatting xmlns:xm="http://schemas.microsoft.com/office/excel/2006/main">
          <x14:cfRule type="expression" priority="44" id="{2E95DABA-4D65-4FD9-BB62-2DF5DA58A8ED}">
            <xm:f>_Calcs!$IR$136=_List!$DU$7</xm:f>
            <x14:dxf>
              <font>
                <color theme="6" tint="0.79998168889431442"/>
              </font>
              <fill>
                <patternFill>
                  <bgColor theme="6" tint="0.79998168889431442"/>
                </patternFill>
              </fill>
            </x14:dxf>
          </x14:cfRule>
          <xm:sqref>LG95:MT97 LG91:LN91</xm:sqref>
        </x14:conditionalFormatting>
        <x14:conditionalFormatting xmlns:xm="http://schemas.microsoft.com/office/excel/2006/main">
          <x14:cfRule type="expression" priority="43" id="{0F929745-F34B-455C-AF79-BE9449C9CA1F}">
            <xm:f>_Calcs!$IR$145&lt;&gt;_List!$DK$5</xm:f>
            <x14:dxf>
              <fill>
                <patternFill>
                  <bgColor theme="6" tint="0.79998168889431442"/>
                </patternFill>
              </fill>
            </x14:dxf>
          </x14:cfRule>
          <xm:sqref>LG120:LZ120 MP120:MT120</xm:sqref>
        </x14:conditionalFormatting>
        <x14:conditionalFormatting xmlns:xm="http://schemas.microsoft.com/office/excel/2006/main">
          <x14:cfRule type="expression" priority="42" id="{5084042C-3792-4D32-8AF0-50F4188C7605}">
            <xm:f>_Calcs!$IR$145=_List!$DU$7</xm:f>
            <x14:dxf>
              <font>
                <color theme="6" tint="0.79998168889431442"/>
              </font>
              <fill>
                <patternFill>
                  <bgColor theme="6" tint="0.79998168889431442"/>
                </patternFill>
              </fill>
            </x14:dxf>
          </x14:cfRule>
          <xm:sqref>LG128:MT130 LG124:LN124</xm:sqref>
        </x14:conditionalFormatting>
        <x14:conditionalFormatting xmlns:xm="http://schemas.microsoft.com/office/excel/2006/main">
          <x14:cfRule type="expression" priority="41" id="{4A9E24A9-56A5-45E8-98F5-6B797AC51ED7}">
            <xm:f>_Calcs!$IR$154&lt;&gt;_List!$DK$5</xm:f>
            <x14:dxf>
              <fill>
                <patternFill>
                  <bgColor theme="6" tint="0.79998168889431442"/>
                </patternFill>
              </fill>
            </x14:dxf>
          </x14:cfRule>
          <xm:sqref>LG153:LZ153 MP153:MT153</xm:sqref>
        </x14:conditionalFormatting>
        <x14:conditionalFormatting xmlns:xm="http://schemas.microsoft.com/office/excel/2006/main">
          <x14:cfRule type="expression" priority="40" id="{EB2C0DC4-27B4-40AA-8681-63BBB15F9839}">
            <xm:f>_Calcs!$IR$154=_List!$DU$7</xm:f>
            <x14:dxf>
              <font>
                <color theme="6" tint="0.79998168889431442"/>
              </font>
              <fill>
                <patternFill>
                  <bgColor theme="6" tint="0.79998168889431442"/>
                </patternFill>
              </fill>
            </x14:dxf>
          </x14:cfRule>
          <xm:sqref>LG161:MT163 LG157:LN157</xm:sqref>
        </x14:conditionalFormatting>
        <x14:conditionalFormatting xmlns:xm="http://schemas.microsoft.com/office/excel/2006/main">
          <x14:cfRule type="expression" priority="39" id="{43BE286B-8C2E-4B32-B8BA-639006890196}">
            <xm:f>_Calcs!$IR$163&lt;&gt;_List!$DK$5</xm:f>
            <x14:dxf>
              <fill>
                <patternFill>
                  <bgColor theme="6" tint="0.79998168889431442"/>
                </patternFill>
              </fill>
            </x14:dxf>
          </x14:cfRule>
          <xm:sqref>LG186:LZ186 MP186:MT186</xm:sqref>
        </x14:conditionalFormatting>
        <x14:conditionalFormatting xmlns:xm="http://schemas.microsoft.com/office/excel/2006/main">
          <x14:cfRule type="expression" priority="38" id="{6F995F14-AA26-4AC9-8882-C0680B33BA2A}">
            <xm:f>_Calcs!$IR$163=_List!$DU$7</xm:f>
            <x14:dxf>
              <font>
                <color theme="6" tint="0.79998168889431442"/>
              </font>
              <fill>
                <patternFill>
                  <bgColor theme="6" tint="0.79998168889431442"/>
                </patternFill>
              </fill>
            </x14:dxf>
          </x14:cfRule>
          <xm:sqref>LG194:MT196 LG190:LN190</xm:sqref>
        </x14:conditionalFormatting>
        <x14:conditionalFormatting xmlns:xm="http://schemas.microsoft.com/office/excel/2006/main">
          <x14:cfRule type="expression" priority="37" id="{220E1F3F-F930-495C-885E-BDE4030BB7E4}">
            <xm:f>_Calcs!$IR$172&lt;&gt;_List!$DK$5</xm:f>
            <x14:dxf>
              <fill>
                <patternFill>
                  <bgColor theme="6" tint="0.79998168889431442"/>
                </patternFill>
              </fill>
            </x14:dxf>
          </x14:cfRule>
          <xm:sqref>LG219:LZ219 MP219:MT219</xm:sqref>
        </x14:conditionalFormatting>
        <x14:conditionalFormatting xmlns:xm="http://schemas.microsoft.com/office/excel/2006/main">
          <x14:cfRule type="expression" priority="36" id="{44AC62E9-B597-430B-819B-7D7F88F73503}">
            <xm:f>_Calcs!$IR$172=_List!$DU$7</xm:f>
            <x14:dxf>
              <font>
                <color theme="6" tint="0.79998168889431442"/>
              </font>
              <fill>
                <patternFill>
                  <bgColor theme="6" tint="0.79998168889431442"/>
                </patternFill>
              </fill>
            </x14:dxf>
          </x14:cfRule>
          <xm:sqref>LG227:MT229 LG223:LN223</xm:sqref>
        </x14:conditionalFormatting>
        <x14:conditionalFormatting xmlns:xm="http://schemas.microsoft.com/office/excel/2006/main">
          <x14:cfRule type="expression" priority="35" id="{87923005-7CB1-480B-8F5E-0A456782E278}">
            <xm:f>_Calcs!$IR$181&lt;&gt;_List!$DK$5</xm:f>
            <x14:dxf>
              <fill>
                <patternFill>
                  <bgColor theme="6" tint="0.79998168889431442"/>
                </patternFill>
              </fill>
            </x14:dxf>
          </x14:cfRule>
          <xm:sqref>LG252:LZ252 MP252:MT252</xm:sqref>
        </x14:conditionalFormatting>
        <x14:conditionalFormatting xmlns:xm="http://schemas.microsoft.com/office/excel/2006/main">
          <x14:cfRule type="expression" priority="34" id="{1A95DDBB-9CFF-4459-8A3F-E65426CC88D4}">
            <xm:f>_Calcs!$IR$181=_List!$DU$7</xm:f>
            <x14:dxf>
              <font>
                <color theme="6" tint="0.79998168889431442"/>
              </font>
              <fill>
                <patternFill>
                  <bgColor theme="6" tint="0.79998168889431442"/>
                </patternFill>
              </fill>
            </x14:dxf>
          </x14:cfRule>
          <xm:sqref>LG260:MT262 LG256:LN256</xm:sqref>
        </x14:conditionalFormatting>
        <x14:conditionalFormatting xmlns:xm="http://schemas.microsoft.com/office/excel/2006/main">
          <x14:cfRule type="expression" priority="33" id="{3A061D6E-4678-4D95-8992-72E858DAE505}">
            <xm:f>_Calcs!$IR$190&lt;&gt;_List!$DK$5</xm:f>
            <x14:dxf>
              <fill>
                <patternFill>
                  <bgColor theme="6" tint="0.79998168889431442"/>
                </patternFill>
              </fill>
            </x14:dxf>
          </x14:cfRule>
          <xm:sqref>LG285:LZ285 MP285:MT285</xm:sqref>
        </x14:conditionalFormatting>
        <x14:conditionalFormatting xmlns:xm="http://schemas.microsoft.com/office/excel/2006/main">
          <x14:cfRule type="expression" priority="32" id="{6DD09273-E2F4-40A7-8423-20E26E7AC82F}">
            <xm:f>_Calcs!$IR$190=_List!$DU$7</xm:f>
            <x14:dxf>
              <font>
                <color theme="6" tint="0.79998168889431442"/>
              </font>
              <fill>
                <patternFill>
                  <bgColor theme="6" tint="0.79998168889431442"/>
                </patternFill>
              </fill>
            </x14:dxf>
          </x14:cfRule>
          <xm:sqref>LG293:MT295 LG289:LN289</xm:sqref>
        </x14:conditionalFormatting>
        <x14:conditionalFormatting xmlns:xm="http://schemas.microsoft.com/office/excel/2006/main">
          <x14:cfRule type="expression" priority="25" id="{A5D9AD31-233A-4FD7-BFF6-1AA582A55E74}">
            <xm:f>_Calcs!$IS$117=_List!$AW$7</xm:f>
            <x14:dxf>
              <font>
                <color theme="6" tint="0.79998168889431442"/>
              </font>
              <fill>
                <patternFill>
                  <bgColor theme="6" tint="0.79998168889431442"/>
                </patternFill>
              </fill>
            </x14:dxf>
          </x14:cfRule>
          <xm:sqref>MZ29:NV31 MZ25:NF25 NJ25:NP25 OA29:OM31</xm:sqref>
        </x14:conditionalFormatting>
        <x14:conditionalFormatting xmlns:xm="http://schemas.microsoft.com/office/excel/2006/main">
          <x14:cfRule type="expression" priority="30" id="{CDAF6830-A6C9-4FE8-AE63-5D6B997304D0}">
            <xm:f>_Calcs!$IS$117=_List!$AW$7</xm:f>
            <x14:dxf>
              <fill>
                <patternFill>
                  <bgColor theme="6" tint="0.79998168889431442"/>
                </patternFill>
              </fill>
            </x14:dxf>
          </x14:cfRule>
          <xm:sqref>MZ21:NA21 NH21</xm:sqref>
        </x14:conditionalFormatting>
        <x14:conditionalFormatting xmlns:xm="http://schemas.microsoft.com/office/excel/2006/main">
          <x14:cfRule type="expression" priority="29" id="{C635F8E7-2F6D-4438-B4EF-31F188875D7C}">
            <xm:f>_Calcs!$IS$127&lt;&gt;_List!$DK$5</xm:f>
            <x14:dxf>
              <fill>
                <patternFill>
                  <bgColor theme="6" tint="0.79998168889431442"/>
                </patternFill>
              </fill>
            </x14:dxf>
          </x14:cfRule>
          <xm:sqref>MZ54:NS54 OI54:OM54</xm:sqref>
        </x14:conditionalFormatting>
        <x14:conditionalFormatting xmlns:xm="http://schemas.microsoft.com/office/excel/2006/main">
          <x14:cfRule type="expression" priority="28" id="{FB5B0A40-4788-4FA1-B4A3-8D5ACBD5C218}">
            <xm:f>_Calcs!$IS$127=_List!$DU$7</xm:f>
            <x14:dxf>
              <font>
                <color theme="6" tint="0.79998168889431442"/>
              </font>
              <fill>
                <patternFill>
                  <bgColor theme="6" tint="0.79998168889431442"/>
                </patternFill>
              </fill>
            </x14:dxf>
          </x14:cfRule>
          <xm:sqref>MZ62:OM64 MZ58:NG58</xm:sqref>
        </x14:conditionalFormatting>
        <x14:conditionalFormatting xmlns:xm="http://schemas.microsoft.com/office/excel/2006/main">
          <x14:cfRule type="expression" priority="31" id="{13DB820B-71E5-47DD-A2B5-9DBA7C212E43}">
            <xm:f>_Calcs!$IS$119=_Calcs!$II$97</xm:f>
            <x14:dxf>
              <font>
                <b/>
                <i val="0"/>
              </font>
            </x14:dxf>
          </x14:cfRule>
          <xm:sqref>MZ25:NA25</xm:sqref>
        </x14:conditionalFormatting>
        <x14:conditionalFormatting xmlns:xm="http://schemas.microsoft.com/office/excel/2006/main">
          <x14:cfRule type="expression" priority="27" id="{1B7BD1C5-1B3D-43C4-BAEE-986A549241D4}">
            <xm:f>_Calcs!$IS$119&lt;&gt;_Calcs!$II$97</xm:f>
            <x14:dxf>
              <font>
                <b/>
                <i val="0"/>
                <color auto="1"/>
              </font>
              <border>
                <vertical/>
                <horizontal/>
              </border>
            </x14:dxf>
          </x14:cfRule>
          <xm:sqref>NJ25:NK25 NP25</xm:sqref>
        </x14:conditionalFormatting>
        <x14:conditionalFormatting xmlns:xm="http://schemas.microsoft.com/office/excel/2006/main">
          <x14:cfRule type="expression" priority="26" id="{F78494C1-B078-4CE0-8BA0-2515C201D4AE}">
            <xm:f>_Calcs!$IS$119=_Calcs!$II$97</xm:f>
            <x14:dxf>
              <fill>
                <patternFill>
                  <bgColor theme="6" tint="0.79998168889431442"/>
                </patternFill>
              </fill>
            </x14:dxf>
          </x14:cfRule>
          <xm:sqref>MZ29:NV31 OA29:OM31</xm:sqref>
        </x14:conditionalFormatting>
        <x14:conditionalFormatting xmlns:xm="http://schemas.microsoft.com/office/excel/2006/main">
          <x14:cfRule type="expression" priority="23" id="{D46BCF0E-7B7D-4F3C-A0D7-1E391873BBB9}">
            <xm:f>_Calcs!$IS$117=_List!$AW$7</xm:f>
            <x14:dxf>
              <font>
                <color theme="6" tint="0.79998168889431442"/>
              </font>
              <fill>
                <patternFill>
                  <bgColor theme="6" tint="0.79998168889431442"/>
                </patternFill>
              </fill>
            </x14:dxf>
          </x14:cfRule>
          <xm:sqref>NW29:NZ31</xm:sqref>
        </x14:conditionalFormatting>
        <x14:conditionalFormatting xmlns:xm="http://schemas.microsoft.com/office/excel/2006/main">
          <x14:cfRule type="expression" priority="24" id="{2B4746A4-4FFD-4450-9E9D-754E52299FF6}">
            <xm:f>_Calcs!$IS$119=_Calcs!$II$97</xm:f>
            <x14:dxf>
              <fill>
                <patternFill>
                  <bgColor theme="6" tint="0.79998168889431442"/>
                </patternFill>
              </fill>
            </x14:dxf>
          </x14:cfRule>
          <xm:sqref>NW29:NZ31</xm:sqref>
        </x14:conditionalFormatting>
        <x14:conditionalFormatting xmlns:xm="http://schemas.microsoft.com/office/excel/2006/main">
          <x14:cfRule type="expression" priority="22" id="{698C81F9-4D23-4CC4-A0E6-1C26EF430A95}">
            <xm:f>_Calcs!$IS$136&lt;&gt;_List!$DK$5</xm:f>
            <x14:dxf>
              <fill>
                <patternFill>
                  <bgColor theme="6" tint="0.79998168889431442"/>
                </patternFill>
              </fill>
            </x14:dxf>
          </x14:cfRule>
          <xm:sqref>MZ87:NS87 OI87:OM87</xm:sqref>
        </x14:conditionalFormatting>
        <x14:conditionalFormatting xmlns:xm="http://schemas.microsoft.com/office/excel/2006/main">
          <x14:cfRule type="expression" priority="21" id="{24799B44-0EC4-46D8-B768-4903DC8A5241}">
            <xm:f>_Calcs!$IS$136=_List!$DU$7</xm:f>
            <x14:dxf>
              <font>
                <color theme="6" tint="0.79998168889431442"/>
              </font>
              <fill>
                <patternFill>
                  <bgColor theme="6" tint="0.79998168889431442"/>
                </patternFill>
              </fill>
            </x14:dxf>
          </x14:cfRule>
          <xm:sqref>MZ95:OM97 MZ91:NG91</xm:sqref>
        </x14:conditionalFormatting>
        <x14:conditionalFormatting xmlns:xm="http://schemas.microsoft.com/office/excel/2006/main">
          <x14:cfRule type="expression" priority="20" id="{1F5DB134-20E1-4FAA-92D8-EB46890D0CC6}">
            <xm:f>_Calcs!$IS$145&lt;&gt;_List!$DK$5</xm:f>
            <x14:dxf>
              <fill>
                <patternFill>
                  <bgColor theme="6" tint="0.79998168889431442"/>
                </patternFill>
              </fill>
            </x14:dxf>
          </x14:cfRule>
          <xm:sqref>MZ120:NS120 OI120:OM120</xm:sqref>
        </x14:conditionalFormatting>
        <x14:conditionalFormatting xmlns:xm="http://schemas.microsoft.com/office/excel/2006/main">
          <x14:cfRule type="expression" priority="19" id="{64CCECD4-CCB6-4DCD-9297-DF34ACE38696}">
            <xm:f>_Calcs!$IS$145=_List!$DU$7</xm:f>
            <x14:dxf>
              <font>
                <color theme="6" tint="0.79998168889431442"/>
              </font>
              <fill>
                <patternFill>
                  <bgColor theme="6" tint="0.79998168889431442"/>
                </patternFill>
              </fill>
            </x14:dxf>
          </x14:cfRule>
          <xm:sqref>MZ128:OM130 MZ124:NG124</xm:sqref>
        </x14:conditionalFormatting>
        <x14:conditionalFormatting xmlns:xm="http://schemas.microsoft.com/office/excel/2006/main">
          <x14:cfRule type="expression" priority="18" id="{6E755F96-C5AD-44F4-BF1C-65CAD3A527F4}">
            <xm:f>_Calcs!$IS$154&lt;&gt;_List!$DK$5</xm:f>
            <x14:dxf>
              <fill>
                <patternFill>
                  <bgColor theme="6" tint="0.79998168889431442"/>
                </patternFill>
              </fill>
            </x14:dxf>
          </x14:cfRule>
          <xm:sqref>MZ153:NS153 OI153:OM153</xm:sqref>
        </x14:conditionalFormatting>
        <x14:conditionalFormatting xmlns:xm="http://schemas.microsoft.com/office/excel/2006/main">
          <x14:cfRule type="expression" priority="17" id="{2A031535-C52F-44CE-8996-59B5773CE82C}">
            <xm:f>_Calcs!$IS$154=_List!$DU$7</xm:f>
            <x14:dxf>
              <font>
                <color theme="6" tint="0.79998168889431442"/>
              </font>
              <fill>
                <patternFill>
                  <bgColor theme="6" tint="0.79998168889431442"/>
                </patternFill>
              </fill>
            </x14:dxf>
          </x14:cfRule>
          <xm:sqref>MZ161:OM163 MZ157:NG157</xm:sqref>
        </x14:conditionalFormatting>
        <x14:conditionalFormatting xmlns:xm="http://schemas.microsoft.com/office/excel/2006/main">
          <x14:cfRule type="expression" priority="16" id="{BA359C08-6C7F-4ADD-8250-045A1CF58F5F}">
            <xm:f>_Calcs!$IS$163&lt;&gt;_List!$DK$5</xm:f>
            <x14:dxf>
              <fill>
                <patternFill>
                  <bgColor theme="6" tint="0.79998168889431442"/>
                </patternFill>
              </fill>
            </x14:dxf>
          </x14:cfRule>
          <xm:sqref>MZ186:NS186 OI186:OM186</xm:sqref>
        </x14:conditionalFormatting>
        <x14:conditionalFormatting xmlns:xm="http://schemas.microsoft.com/office/excel/2006/main">
          <x14:cfRule type="expression" priority="15" id="{2A84F7D1-2CEF-44CB-877B-709BCFFE8D51}">
            <xm:f>_Calcs!$IS$163=_List!$DU$7</xm:f>
            <x14:dxf>
              <font>
                <color theme="6" tint="0.79998168889431442"/>
              </font>
              <fill>
                <patternFill>
                  <bgColor theme="6" tint="0.79998168889431442"/>
                </patternFill>
              </fill>
            </x14:dxf>
          </x14:cfRule>
          <xm:sqref>MZ194:OM196 MZ190:NG190</xm:sqref>
        </x14:conditionalFormatting>
        <x14:conditionalFormatting xmlns:xm="http://schemas.microsoft.com/office/excel/2006/main">
          <x14:cfRule type="expression" priority="14" id="{67B86DFF-2C4E-46C3-831C-8400B9D3132D}">
            <xm:f>_Calcs!$IS$172&lt;&gt;_List!$DK$5</xm:f>
            <x14:dxf>
              <fill>
                <patternFill>
                  <bgColor theme="6" tint="0.79998168889431442"/>
                </patternFill>
              </fill>
            </x14:dxf>
          </x14:cfRule>
          <xm:sqref>MZ219:NS219 OI219:OM219</xm:sqref>
        </x14:conditionalFormatting>
        <x14:conditionalFormatting xmlns:xm="http://schemas.microsoft.com/office/excel/2006/main">
          <x14:cfRule type="expression" priority="13" id="{7CF052FF-4C15-4228-B246-1B3E4431FA72}">
            <xm:f>_Calcs!$IS$172=_List!$DU$7</xm:f>
            <x14:dxf>
              <font>
                <color theme="6" tint="0.79998168889431442"/>
              </font>
              <fill>
                <patternFill>
                  <bgColor theme="6" tint="0.79998168889431442"/>
                </patternFill>
              </fill>
            </x14:dxf>
          </x14:cfRule>
          <xm:sqref>MZ227:OM229 MZ223:NG223</xm:sqref>
        </x14:conditionalFormatting>
        <x14:conditionalFormatting xmlns:xm="http://schemas.microsoft.com/office/excel/2006/main">
          <x14:cfRule type="expression" priority="12" id="{4E154B4A-1079-4DA5-895C-D7F111F47700}">
            <xm:f>_Calcs!$IS$181&lt;&gt;_List!$DK$5</xm:f>
            <x14:dxf>
              <fill>
                <patternFill>
                  <bgColor theme="6" tint="0.79998168889431442"/>
                </patternFill>
              </fill>
            </x14:dxf>
          </x14:cfRule>
          <xm:sqref>MZ252:NS252 OI252:OM252</xm:sqref>
        </x14:conditionalFormatting>
        <x14:conditionalFormatting xmlns:xm="http://schemas.microsoft.com/office/excel/2006/main">
          <x14:cfRule type="expression" priority="11" id="{258DC832-C378-4850-ACAA-F38DD59F0661}">
            <xm:f>_Calcs!$IS$181=_List!$DU$7</xm:f>
            <x14:dxf>
              <font>
                <color theme="6" tint="0.79998168889431442"/>
              </font>
              <fill>
                <patternFill>
                  <bgColor theme="6" tint="0.79998168889431442"/>
                </patternFill>
              </fill>
            </x14:dxf>
          </x14:cfRule>
          <xm:sqref>MZ260:OM262 MZ256:NG256</xm:sqref>
        </x14:conditionalFormatting>
        <x14:conditionalFormatting xmlns:xm="http://schemas.microsoft.com/office/excel/2006/main">
          <x14:cfRule type="expression" priority="10" id="{35EA7666-7AD5-4D16-A607-E01B90A90C1A}">
            <xm:f>_Calcs!$IS$190&lt;&gt;_List!$DK$5</xm:f>
            <x14:dxf>
              <fill>
                <patternFill>
                  <bgColor theme="6" tint="0.79998168889431442"/>
                </patternFill>
              </fill>
            </x14:dxf>
          </x14:cfRule>
          <xm:sqref>MZ285:NS285 OI285:OM285</xm:sqref>
        </x14:conditionalFormatting>
        <x14:conditionalFormatting xmlns:xm="http://schemas.microsoft.com/office/excel/2006/main">
          <x14:cfRule type="expression" priority="9" id="{7B9D9EDC-02B6-416A-9ABD-EABEBE48B90C}">
            <xm:f>_Calcs!$IS$190=_List!$DU$7</xm:f>
            <x14:dxf>
              <font>
                <color theme="6" tint="0.79998168889431442"/>
              </font>
              <fill>
                <patternFill>
                  <bgColor theme="6" tint="0.79998168889431442"/>
                </patternFill>
              </fill>
            </x14:dxf>
          </x14:cfRule>
          <xm:sqref>MZ293:OM295 MZ289:NG289</xm:sqref>
        </x14:conditionalFormatting>
        <x14:conditionalFormatting xmlns:xm="http://schemas.microsoft.com/office/excel/2006/main">
          <x14:cfRule type="expression" priority="8" id="{29BF48B4-7742-4294-A626-ACDE92BE10EC}">
            <xm:f>_Calcs!$NO$48&lt;9</xm:f>
            <x14:dxf>
              <font>
                <color theme="0"/>
              </font>
              <fill>
                <patternFill>
                  <bgColor theme="0"/>
                </patternFill>
              </fill>
              <border>
                <left/>
                <right/>
                <top/>
                <bottom/>
                <vertical/>
                <horizontal/>
              </border>
            </x14:dxf>
          </x14:cfRule>
          <xm:sqref>MW1:OO6 MW140:OO140 MW139:NA139 OF139:OO139 MW109:OO138 MW108:NA108 OM108:OO108 MW107:OO107 MW106:NA106 OF106:OO106 MW76:OO105 MW75:NA75 OM75:OO75 MW74:OO74 MW73:NA73 OF73:OO73 MW43:OO72 MW42:NA42 OM42:OO42 MW41:OO41 MW40:NA40 OF40:OO40 MW10:OO39 MW9:NA9 OM9:OO9 MW8:OO8 MW7:NA7 OF7:OO7 MW175:OO204 MW174:NA174 OM174:OO174 MW173:OO173 MW172:NA172 OF172:OO172 MW142:OO171 MW141:NA141 OM141:OO141 MW274:OO1048576 MW273:NA273 OM273:OO273 MW272:OO272 MW271:NA271 OF271:OO271 MW241:OO270 MW240:NA240 OM240:OO240 MW239:OO239 MW238:NA238 OF238:OO238 MW208:OO237 MW207:NA207 OM207:OO207 MW206:OO206 MW205:NA205 OF205:OO205</xm:sqref>
        </x14:conditionalFormatting>
        <x14:conditionalFormatting xmlns:xm="http://schemas.microsoft.com/office/excel/2006/main">
          <x14:cfRule type="expression" priority="7" id="{7B7C94DE-D466-49AE-B7AA-F5B52D40099D}">
            <xm:f>_Calcs!$NO$48&lt;8</xm:f>
            <x14:dxf>
              <font>
                <color theme="0"/>
              </font>
              <fill>
                <patternFill>
                  <bgColor theme="0"/>
                </patternFill>
              </fill>
              <border>
                <left/>
                <right/>
                <top/>
                <bottom/>
                <vertical/>
                <horizontal/>
              </border>
            </x14:dxf>
          </x14:cfRule>
          <xm:sqref>LD1:MV6 LD142:MV171 LD141:LH141 MT141:MV141 LD140:MV140 LD139:LH139 MM139:MV139 LD109:MV138 LD108:LH108 MT108:MV108 LD107:MV107 LD106:LH106 MM106:MV106 LD76:MV105 LD75:LH75 MT75:MV75 LD74:MV74 LD73:LH73 MM73:MV73 LD43:MV72 LD42:LH42 MT42:MV42 LD41:MV41 LD40:LH40 MM40:MV40 LD10:MV39 LD9:LH9 MT9:MV9 LD8:MV8 LD7:LH7 MM7:MV7 LD274:MV1048576 LD273:LH273 MT273:MV273 LD272:MV272 LD271:LH271 MM271:MV271 LD241:MV270 LD240:LH240 MT240:MV240 LD239:MV239 LD238:LH238 MM238:MV238 LD208:MV237 LD207:LH207 MT207:MV207 LD206:MV206 LD205:LH205 MM205:MV205 LD175:MV204 LD174:LH174 MT174:MV174 LD173:MV173 LD172:LH172 MM172:MV172</xm:sqref>
        </x14:conditionalFormatting>
        <x14:conditionalFormatting xmlns:xm="http://schemas.microsoft.com/office/excel/2006/main">
          <x14:cfRule type="expression" priority="6" id="{6B4CCA68-BBED-465F-9205-BABE00B86F80}">
            <xm:f>_Calcs!$NO$48&lt;7</xm:f>
            <x14:dxf>
              <font>
                <color theme="0"/>
              </font>
              <fill>
                <patternFill>
                  <bgColor theme="0"/>
                </patternFill>
              </fill>
              <border>
                <left/>
                <right/>
                <top/>
                <bottom/>
                <vertical/>
                <horizontal/>
              </border>
            </x14:dxf>
          </x14:cfRule>
          <xm:sqref>JK1:LC6 JK142:LC171 JK141:JO141 LA141:LC141 JK140:LC140 JK139:JO139 KT139:LC139 JK109:LC138 JK108:JO108 LA108:LC108 JK107:LC107 JK106:JO106 KT106:LC106 JK76:LC105 JK75:JO75 LA75:LC75 JK74:LC74 JK73:JO73 KT73:LC73 JK43:LC72 JK42:JO42 LA42:LC42 JK41:LC41 JK40:JO40 KT40:LC40 JK10:LC39 JK9:JO9 LA9:LC9 JK8:LC8 JK7:JO7 KT7:LC7 JK274:LC1048576 JK273:JO273 LA273:LC273 JK272:LC272 JK271:JO271 KT271:LC271 JK241:LC270 JK240:JO240 LA240:LC240 JK239:LC239 JK238:JO238 KT238:LC238 JK208:LC237 JK207:JO207 LA207:LC207 JK206:LC206 JK205:JO205 KT205:LC205 JK175:LC204 JK174:JO174 LA174:LC174 JK173:LC173 JK172:JO172 KT172:LC172</xm:sqref>
        </x14:conditionalFormatting>
        <x14:conditionalFormatting xmlns:xm="http://schemas.microsoft.com/office/excel/2006/main">
          <x14:cfRule type="expression" priority="5" id="{EF8D8190-65DC-4CC8-900D-9E55903C4B02}">
            <xm:f>_Calcs!$NO$48&lt;6</xm:f>
            <x14:dxf>
              <font>
                <color theme="0"/>
              </font>
              <fill>
                <patternFill>
                  <bgColor theme="0"/>
                </patternFill>
              </fill>
              <border>
                <left/>
                <right/>
                <top/>
                <bottom/>
                <vertical/>
                <horizontal/>
              </border>
            </x14:dxf>
          </x14:cfRule>
          <xm:sqref>HR1:JJ6 HR10:JJ39 HR9:HV9 JH9:JJ9 HR8:JJ8 HR7:HV7 JA7:JJ7 HR43:JJ72 HR42:HV42 JH42:JJ42 HR41:JJ41 HR40:HV40 JA40:JJ40 HR76:JJ105 HR75:HV75 JH75:JJ75 HR74:JJ74 HR73:HV73 JA73:JJ73 HR109:JJ138 HR108:HV108 JH108:JJ108 HR107:JJ107 HR106:HV106 JA106:JJ106 HR142:JJ171 HR141:HV141 JH141:JJ141 HR140:JJ140 HR139:HV139 JA139:JJ139 HR175:JJ204 HR174:HV174 JH174:JJ174 HR173:JJ173 HR172:HV172 JA172:JJ172 HR208:JJ237 HR207:HV207 JH207:JJ207 HR206:JJ206 HR205:HV205 JA205:JJ205 HR241:JJ270 HR240:HV240 JH240:JJ240 HR239:JJ239 HR238:HV238 JA238:JJ238 HR274:JJ1048576 HR273:HV273 JH273:JJ273 HR272:JJ272 HR271:HV271 JA271:JJ271</xm:sqref>
        </x14:conditionalFormatting>
        <x14:conditionalFormatting xmlns:xm="http://schemas.microsoft.com/office/excel/2006/main">
          <x14:cfRule type="expression" priority="4" id="{6685BCD6-3436-4BA1-AB05-E84942E5704A}">
            <xm:f>_Calcs!$NO$48&lt;5</xm:f>
            <x14:dxf>
              <font>
                <color theme="0"/>
              </font>
              <fill>
                <patternFill>
                  <bgColor theme="0"/>
                </patternFill>
              </fill>
              <border>
                <left/>
                <right/>
                <top/>
                <bottom/>
                <vertical/>
                <horizontal/>
              </border>
            </x14:dxf>
          </x14:cfRule>
          <xm:sqref>FY1:HQ6 FY274:HQ1048576 FY273:GC273 HO273:HQ273 FY272:HQ272 FY271:GC271 HH271:HQ271 FY241:HQ270 FY240:GC240 HO240:HQ240 FY239:HQ239 FY238:GC238 HH238:HQ238 FY208:HQ237 FY207:GC207 HO207:HQ207 FY206:HQ206 FY205:GC205 HH205:HQ205 FY175:HQ204 FY174:GC174 HO174:HQ174 FY173:HQ173 FY172:GC172 HH172:HQ172 FY142:HQ171 FY141:GC141 HO141:HQ141 FY140:HQ140 FY139:GC139 HH139:HQ139 FY109:HQ138 FY108:GC108 HO108:HQ108 FY107:HQ107 FY106:GC106 HH106:HQ106 FY76:HQ105 FY75:GC75 HO75:HQ75 FY74:HQ74 FY73:GC73 HH73:HQ73 FY43:HQ72 FY42:GC42 HO42:HQ42 FY41:HQ41 FY40:GC40 HH40:HQ40 FY10:HQ39 FY9:GC9 HO9:HQ9 FY8:HQ8 FY7:GC7 HH7:HQ7</xm:sqref>
        </x14:conditionalFormatting>
        <x14:conditionalFormatting xmlns:xm="http://schemas.microsoft.com/office/excel/2006/main">
          <x14:cfRule type="expression" priority="3" id="{96176AED-10E8-4E5D-BFDC-B0E29A934AEA}">
            <xm:f>_Calcs!$NO$48&lt;4</xm:f>
            <x14:dxf>
              <font>
                <color theme="0"/>
              </font>
              <fill>
                <patternFill>
                  <bgColor theme="0"/>
                </patternFill>
              </fill>
              <border>
                <left/>
                <right/>
                <top/>
                <bottom/>
                <vertical/>
                <horizontal/>
              </border>
            </x14:dxf>
          </x14:cfRule>
          <xm:sqref>EF1:FX6 EF10:FX39 EF9:EJ9 FV9:FX9 EF8:FX8 EF7:EJ7 FO7:FX7 EF43:FX72 EF42:EJ42 FV42:FX42 EF41:FX41 EF40:EJ40 FO40:FX40 EF76:FX105 EF75:EJ75 FV75:FX75 EF74:FX74 EF73:EJ73 FO73:FX73 EF109:FX138 EF108:EJ108 FV108:FX108 EF107:FX107 EF106:EJ106 FO106:FX106 EF142:FX171 EF141:EJ141 FV141:FX141 EF140:FX140 EF139:EJ139 FO139:FX139 EF175:FX204 EF174:EJ174 FV174:FX174 EF173:FX173 EF172:EJ172 FO172:FX172 EF208:FX237 EF207:EJ207 FV207:FX207 EF206:FX206 EF205:EJ205 FO205:FX205 EF241:FX270 EF240:EJ240 FV240:FX240 EF239:FX239 EF238:EJ238 FO238:FX238 EF274:FX1048576 EF273:EJ273 FV273:FX273 EF272:FX272 EF271:EJ271 FO271:FX271</xm:sqref>
        </x14:conditionalFormatting>
        <x14:conditionalFormatting xmlns:xm="http://schemas.microsoft.com/office/excel/2006/main">
          <x14:cfRule type="expression" priority="2" id="{AA25C6A5-872E-4722-8EBA-EAEAB7D83D00}">
            <xm:f>_Calcs!$NO$48&lt;3</xm:f>
            <x14:dxf>
              <font>
                <color theme="0"/>
              </font>
              <fill>
                <patternFill>
                  <bgColor theme="0"/>
                </patternFill>
              </fill>
              <border>
                <left/>
                <right/>
                <top/>
                <bottom/>
                <vertical/>
                <horizontal/>
              </border>
            </x14:dxf>
          </x14:cfRule>
          <xm:sqref>CM1:EE6 CM10:EE39 CM9:CQ9 EC9:EE9 CM8:EE8 CM7:CQ7 DV7:EE7 CM43:EE72 CM42:CQ42 EC42:EE42 CM41:EE41 CM40:CQ40 DV40:EE40 CM76:EE105 CM75:CQ75 EC75:EE75 CM74:EE74 CM73:CQ73 DV73:EE73 CM109:EE138 CM108:CQ108 EC108:EE108 CM107:EE107 CM106:CQ106 DV106:EE106 CM142:EE171 CM141:CQ141 EC141:EE141 CM140:EE140 CM139:CQ139 DV139:EE139 CM175:EE204 CM174:CQ174 EC174:EE174 CM173:EE173 CM172:CQ172 DV172:EE172 CM208:EE237 CM207:CQ207 EC207:EE207 CM206:EE206 CM205:CQ205 DV205:EE205 CM241:EE270 CM240:CQ240 EC240:EE240 CM239:EE239 CM238:CQ238 DV238:EE238 CM274:EE1048576 CM273:CQ273 EC273:EE273 CM272:EE272 CM271:CQ271 DV271:EE271</xm:sqref>
        </x14:conditionalFormatting>
        <x14:conditionalFormatting xmlns:xm="http://schemas.microsoft.com/office/excel/2006/main">
          <x14:cfRule type="expression" priority="1" id="{B5A595F5-B97A-4CF0-A796-E2EE6FBDEAA5}">
            <xm:f>_Calcs!$NO$48&lt;2</xm:f>
            <x14:dxf>
              <font>
                <color theme="0"/>
              </font>
              <fill>
                <patternFill>
                  <bgColor theme="0"/>
                </patternFill>
              </fill>
              <border>
                <left/>
                <right/>
                <top/>
                <bottom/>
                <vertical/>
                <horizontal/>
              </border>
            </x14:dxf>
          </x14:cfRule>
          <xm:sqref>AT1:CL6 AT272:CL272 AT271:AX271 CC271:CL271 AT10:CL39 AT9:AX9 CJ9:CL9 AT8:CL8 AT7:AX7 CC7:CL7 AT274:CL1048576 AT273:AX273 CJ273:CL273 AT43:CL72 AT42:AX42 CJ42:CL42 AT41:CL41 AT40:AX40 CC40:CL40 AT76:CL105 AT75:AX75 CJ75:CL75 AT74:CL74 AT73:AX73 CC73:CL73 AT109:CL138 AT108:AX108 CJ108:CL108 AT107:CL107 AT106:AX106 CC106:CL106 AT142:CL171 AT141:AX141 CJ141:CL141 AT140:CL140 AT139:AX139 CC139:CL139 AT175:CL204 AT174:AX174 CJ174:CL174 AT173:CL173 AT172:AX172 CC172:CL172 AT208:CL237 AT207:AX207 CJ207:CL207 AT206:CL206 AT205:AX205 CC205:CL205 AT241:CL270 AT240:AX240 CJ240:CL240 AT239:CL239 AT238:AX238 CC238:CL238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2EA2-9753-4304-9FCC-AF22A79CD05C}">
  <sheetPr codeName="Sheet17">
    <tabColor rgb="FFDEDCB8"/>
    <pageSetUpPr autoPageBreaks="0" fitToPage="1"/>
  </sheetPr>
  <dimension ref="A1:DQ362"/>
  <sheetViews>
    <sheetView workbookViewId="0"/>
  </sheetViews>
  <sheetFormatPr defaultColWidth="0" defaultRowHeight="24.95" customHeight="1" zeroHeight="1" x14ac:dyDescent="0.25"/>
  <cols>
    <col min="1" max="6" width="9" style="4204" customWidth="1"/>
    <col min="7" max="8" width="3.625" style="7" customWidth="1"/>
    <col min="9" max="9" width="30.125" style="7" customWidth="1"/>
    <col min="10" max="10" width="3.625" style="7" customWidth="1"/>
    <col min="11" max="11" width="3.625" style="8" customWidth="1"/>
    <col min="12" max="12" width="5.625" style="8" customWidth="1"/>
    <col min="13" max="13" width="40.625" style="8" customWidth="1"/>
    <col min="14" max="14" width="1.625" style="8" customWidth="1"/>
    <col min="15" max="15" width="3.625" style="34" customWidth="1"/>
    <col min="16" max="16" width="1.625" style="9" customWidth="1"/>
    <col min="17" max="17" width="8.625" style="9" customWidth="1"/>
    <col min="18" max="18" width="3.625" style="9" customWidth="1"/>
    <col min="19" max="19" width="4.125" style="16" customWidth="1"/>
    <col min="20" max="20" width="2.625" style="130" customWidth="1"/>
    <col min="21" max="21" width="0.875" style="7" customWidth="1"/>
    <col min="22" max="22" width="3.125" style="7" customWidth="1"/>
    <col min="23" max="23" width="2.625" style="2804" customWidth="1"/>
    <col min="24" max="24" width="11.625" style="2799" customWidth="1"/>
    <col min="25" max="25" width="4.625" style="2799" customWidth="1"/>
    <col min="26" max="28" width="2.625" style="2799" customWidth="1"/>
    <col min="29" max="29" width="5.625" style="3308" customWidth="1"/>
    <col min="30" max="33" width="2.625" style="3308" customWidth="1"/>
    <col min="34" max="36" width="2.625" style="2799" customWidth="1"/>
    <col min="37" max="37" width="2.625" style="2804" customWidth="1"/>
    <col min="38" max="38" width="15.625" style="2799" customWidth="1"/>
    <col min="39" max="39" width="2.625" style="2799" customWidth="1"/>
    <col min="40" max="40" width="3.625" style="2799" customWidth="1"/>
    <col min="41" max="41" width="2.625" style="2799" customWidth="1"/>
    <col min="42" max="42" width="15.625" style="3308" customWidth="1"/>
    <col min="43" max="43" width="2.625" style="2799" customWidth="1"/>
    <col min="44" max="44" width="8.125" style="181" customWidth="1"/>
    <col min="45" max="45" width="2.625" style="2804" customWidth="1"/>
    <col min="46" max="46" width="15.625" style="2799" customWidth="1"/>
    <col min="47" max="47" width="2.625" style="2799" customWidth="1"/>
    <col min="48" max="48" width="3.625" style="2799" customWidth="1"/>
    <col min="49" max="49" width="2.625" style="2799" customWidth="1"/>
    <col min="50" max="50" width="15.625" style="3308" customWidth="1"/>
    <col min="51" max="51" width="2.625" style="2799" customWidth="1"/>
    <col min="52" max="52" width="8.125" style="2799" customWidth="1"/>
    <col min="53" max="53" width="2.625" style="2804" customWidth="1"/>
    <col min="54" max="54" width="15.625" style="2799" customWidth="1"/>
    <col min="55" max="55" width="2.625" style="2799" customWidth="1"/>
    <col min="56" max="56" width="3.625" style="2799" customWidth="1"/>
    <col min="57" max="57" width="2.625" style="2799" customWidth="1"/>
    <col min="58" max="58" width="15.625" style="3308" customWidth="1"/>
    <col min="59" max="59" width="2.625" style="2799" customWidth="1"/>
    <col min="60" max="60" width="8.125" style="7" customWidth="1"/>
    <col min="61" max="61" width="2.625" style="2804" customWidth="1"/>
    <col min="62" max="62" width="15.625" style="2799" customWidth="1"/>
    <col min="63" max="63" width="2.625" style="2799" customWidth="1"/>
    <col min="64" max="64" width="5.625" style="2799" customWidth="1"/>
    <col min="65" max="65" width="2.625" style="2799" customWidth="1"/>
    <col min="66" max="66" width="15.625" style="3308" customWidth="1"/>
    <col min="67" max="67" width="2.625" style="2799" customWidth="1"/>
    <col min="68" max="68" width="5.625" style="7" customWidth="1"/>
    <col min="69" max="69" width="2.625" style="2804" customWidth="1"/>
    <col min="70" max="70" width="15.625" style="2799" customWidth="1"/>
    <col min="71" max="71" width="2.625" style="2799" customWidth="1"/>
    <col min="72" max="72" width="5.625" style="2799" customWidth="1"/>
    <col min="73" max="73" width="2.625" style="2799" customWidth="1"/>
    <col min="74" max="74" width="15.625" style="3308" customWidth="1"/>
    <col min="75" max="75" width="2.625" style="2799" customWidth="1"/>
    <col min="76" max="76" width="8.125" style="7" customWidth="1"/>
    <col min="77" max="77" width="2.625" style="2804" customWidth="1"/>
    <col min="78" max="78" width="15.625" style="2799" customWidth="1"/>
    <col min="79" max="79" width="2.625" style="2799" customWidth="1"/>
    <col min="80" max="80" width="3.625" style="2799" customWidth="1"/>
    <col min="81" max="81" width="2.625" style="2799" customWidth="1"/>
    <col min="82" max="82" width="15.625" style="3308" customWidth="1"/>
    <col min="83" max="83" width="2.625" style="2799" customWidth="1"/>
    <col min="84" max="84" width="8.125" style="7" customWidth="1"/>
    <col min="85" max="85" width="2.625" style="2804" customWidth="1"/>
    <col min="86" max="86" width="15.625" style="2799" customWidth="1"/>
    <col min="87" max="87" width="2.625" style="2799" customWidth="1"/>
    <col min="88" max="88" width="3.625" style="2799" customWidth="1"/>
    <col min="89" max="89" width="2.625" style="2799" customWidth="1"/>
    <col min="90" max="90" width="15.625" style="3308" customWidth="1"/>
    <col min="91" max="91" width="2.625" style="2799" customWidth="1"/>
    <col min="92" max="93" width="3.625" style="7" customWidth="1"/>
    <col min="94" max="105" width="3.625" style="7" hidden="1" customWidth="1"/>
    <col min="106" max="109" width="0" style="7" hidden="1" customWidth="1"/>
    <col min="110" max="121" width="3.625" style="7" hidden="1" customWidth="1"/>
    <col min="122" max="16384" width="9" style="7" hidden="1"/>
  </cols>
  <sheetData>
    <row r="1" spans="1:91" s="68" customFormat="1" ht="50.1" customHeight="1" x14ac:dyDescent="0.25">
      <c r="A1" s="4201"/>
      <c r="B1" s="4201"/>
      <c r="C1" s="4201"/>
      <c r="D1" s="4201"/>
      <c r="E1" s="4201"/>
      <c r="F1" s="4201"/>
      <c r="I1" s="16"/>
      <c r="J1" s="13"/>
      <c r="K1" s="20"/>
      <c r="L1" s="136"/>
      <c r="M1" s="136"/>
      <c r="N1" s="136"/>
      <c r="O1" s="16"/>
      <c r="P1" s="17"/>
      <c r="Q1" s="17"/>
      <c r="R1" s="17"/>
      <c r="S1" s="16"/>
      <c r="T1" s="2720"/>
      <c r="U1" s="181"/>
      <c r="V1" s="181"/>
      <c r="W1" s="181"/>
      <c r="X1" s="181"/>
      <c r="Y1" s="181"/>
      <c r="Z1" s="181"/>
      <c r="AA1" s="181"/>
      <c r="AB1" s="181"/>
      <c r="AC1" s="3304"/>
      <c r="AD1" s="3304"/>
      <c r="AE1" s="3304"/>
      <c r="AF1" s="3304"/>
      <c r="AG1" s="3304"/>
      <c r="AH1" s="181"/>
      <c r="AI1" s="181"/>
      <c r="AJ1" s="181"/>
      <c r="AK1" s="181"/>
      <c r="AL1" s="181"/>
      <c r="AM1" s="181"/>
      <c r="AN1" s="181"/>
      <c r="AO1" s="181"/>
      <c r="AP1" s="3304"/>
      <c r="AQ1" s="181"/>
      <c r="AR1" s="181"/>
      <c r="AS1" s="181"/>
      <c r="AT1" s="181"/>
      <c r="AU1" s="181"/>
      <c r="AV1" s="181"/>
      <c r="AW1" s="181"/>
      <c r="AX1" s="3304"/>
      <c r="AY1" s="181"/>
      <c r="AZ1" s="181"/>
      <c r="BA1" s="181"/>
      <c r="BB1" s="181"/>
      <c r="BC1" s="181"/>
      <c r="BD1" s="181"/>
      <c r="BE1" s="181"/>
      <c r="BF1" s="3304"/>
      <c r="BG1" s="181"/>
      <c r="BI1" s="181"/>
      <c r="BJ1" s="181"/>
      <c r="BK1" s="181"/>
      <c r="BL1" s="181"/>
      <c r="BM1" s="181"/>
      <c r="BN1" s="3304"/>
      <c r="BO1" s="181"/>
      <c r="BQ1" s="181"/>
      <c r="BR1" s="181"/>
      <c r="BS1" s="181"/>
      <c r="BT1" s="181"/>
      <c r="BU1" s="181"/>
      <c r="BV1" s="3304"/>
      <c r="BW1" s="181"/>
      <c r="BY1" s="181"/>
      <c r="BZ1" s="181"/>
      <c r="CA1" s="181"/>
      <c r="CB1" s="181"/>
      <c r="CC1" s="181"/>
      <c r="CD1" s="3304"/>
      <c r="CE1" s="181"/>
      <c r="CG1" s="181"/>
      <c r="CH1" s="181"/>
      <c r="CI1" s="181"/>
      <c r="CJ1" s="181"/>
      <c r="CK1" s="181"/>
      <c r="CL1" s="3304"/>
      <c r="CM1" s="181"/>
    </row>
    <row r="2" spans="1:91" s="70" customFormat="1" ht="12" customHeight="1" x14ac:dyDescent="0.25">
      <c r="A2" s="4202"/>
      <c r="B2" s="4202"/>
      <c r="C2" s="4202"/>
      <c r="D2" s="4202"/>
      <c r="E2" s="4202"/>
      <c r="F2" s="4202"/>
      <c r="I2" s="920"/>
      <c r="J2" s="78"/>
      <c r="K2" s="1872"/>
      <c r="L2" s="1873"/>
      <c r="M2" s="1873"/>
      <c r="N2" s="920"/>
      <c r="O2" s="920"/>
      <c r="P2" s="1873"/>
      <c r="Q2" s="921"/>
      <c r="R2" s="1873"/>
      <c r="S2" s="920"/>
      <c r="T2" s="1873"/>
      <c r="U2" s="1873"/>
      <c r="V2" s="1873"/>
      <c r="W2" s="1873"/>
      <c r="X2" s="1873"/>
      <c r="Y2" s="1873"/>
      <c r="Z2" s="1873"/>
      <c r="AA2" s="1873"/>
      <c r="AB2" s="1873"/>
      <c r="AC2" s="1873"/>
      <c r="AD2" s="1873"/>
      <c r="AE2" s="1873"/>
      <c r="AF2" s="1873"/>
      <c r="AG2" s="3304"/>
      <c r="AH2" s="181"/>
      <c r="AI2" s="181"/>
      <c r="AJ2" s="181"/>
      <c r="AK2" s="181"/>
      <c r="AL2" s="181"/>
      <c r="AM2" s="181"/>
      <c r="AN2" s="181"/>
      <c r="AO2" s="181"/>
      <c r="AP2" s="3304"/>
      <c r="AQ2" s="181"/>
      <c r="AR2" s="181"/>
      <c r="AS2" s="181"/>
      <c r="AT2" s="181"/>
      <c r="AU2" s="181"/>
      <c r="AV2" s="181"/>
      <c r="AW2" s="181"/>
      <c r="AX2" s="3304"/>
      <c r="AY2" s="181"/>
      <c r="AZ2" s="181"/>
      <c r="BA2" s="181"/>
      <c r="BB2" s="181"/>
      <c r="BC2" s="181"/>
      <c r="BD2" s="181"/>
      <c r="BE2" s="181"/>
      <c r="BF2" s="3304"/>
      <c r="BG2" s="181"/>
      <c r="BI2" s="181"/>
      <c r="BJ2" s="181"/>
      <c r="BK2" s="181"/>
      <c r="BL2" s="181"/>
      <c r="BM2" s="181"/>
      <c r="BN2" s="3304"/>
      <c r="BO2" s="181"/>
      <c r="BQ2" s="181"/>
      <c r="BR2" s="181"/>
      <c r="BS2" s="181"/>
      <c r="BT2" s="181"/>
      <c r="BU2" s="181"/>
      <c r="BV2" s="3304"/>
      <c r="BW2" s="181"/>
      <c r="BY2" s="181"/>
      <c r="BZ2" s="181"/>
      <c r="CA2" s="181"/>
      <c r="CB2" s="181"/>
      <c r="CC2" s="181"/>
      <c r="CD2" s="3304"/>
      <c r="CE2" s="181"/>
      <c r="CG2" s="181"/>
      <c r="CH2" s="181"/>
      <c r="CI2" s="181"/>
      <c r="CJ2" s="181"/>
      <c r="CK2" s="181"/>
      <c r="CL2" s="3304"/>
      <c r="CM2" s="181"/>
    </row>
    <row r="3" spans="1:91" s="70" customFormat="1" ht="5.0999999999999996" customHeight="1" x14ac:dyDescent="0.25">
      <c r="A3" s="4202"/>
      <c r="B3" s="4202"/>
      <c r="C3" s="4202"/>
      <c r="D3" s="4202"/>
      <c r="E3" s="4202"/>
      <c r="F3" s="4202"/>
      <c r="I3" s="16"/>
      <c r="J3" s="78"/>
      <c r="K3" s="20"/>
      <c r="L3" s="136"/>
      <c r="M3" s="136"/>
      <c r="N3" s="16"/>
      <c r="O3" s="16"/>
      <c r="P3" s="136"/>
      <c r="Q3" s="17"/>
      <c r="R3" s="136"/>
      <c r="S3" s="16"/>
      <c r="T3" s="136"/>
      <c r="U3" s="136"/>
      <c r="V3" s="136"/>
      <c r="W3" s="136"/>
      <c r="X3" s="136"/>
      <c r="Y3" s="136"/>
      <c r="Z3" s="136"/>
      <c r="AA3" s="136"/>
      <c r="AB3" s="136"/>
      <c r="AC3" s="136"/>
      <c r="AD3" s="136"/>
      <c r="AE3" s="136"/>
      <c r="AF3" s="136"/>
      <c r="AG3" s="3304"/>
      <c r="AH3" s="181"/>
      <c r="AI3" s="181"/>
      <c r="AJ3" s="181"/>
      <c r="AK3" s="181"/>
      <c r="AL3" s="181"/>
      <c r="AM3" s="181"/>
      <c r="AN3" s="181"/>
      <c r="AO3" s="181"/>
      <c r="AP3" s="3304"/>
      <c r="AQ3" s="181"/>
      <c r="AR3" s="181"/>
      <c r="AS3" s="181"/>
      <c r="AT3" s="181"/>
      <c r="AU3" s="181"/>
      <c r="AV3" s="181"/>
      <c r="AW3" s="181"/>
      <c r="AX3" s="3304"/>
      <c r="AY3" s="181"/>
      <c r="AZ3" s="181"/>
      <c r="BA3" s="181"/>
      <c r="BB3" s="181"/>
      <c r="BC3" s="181"/>
      <c r="BD3" s="181"/>
      <c r="BE3" s="181"/>
      <c r="BF3" s="3304"/>
      <c r="BG3" s="181"/>
      <c r="BI3" s="181"/>
      <c r="BJ3" s="181"/>
      <c r="BK3" s="181"/>
      <c r="BL3" s="181"/>
      <c r="BM3" s="181"/>
      <c r="BN3" s="3304"/>
      <c r="BO3" s="181"/>
      <c r="BQ3" s="181"/>
      <c r="BR3" s="181"/>
      <c r="BS3" s="181"/>
      <c r="BT3" s="181"/>
      <c r="BU3" s="181"/>
      <c r="BV3" s="3304"/>
      <c r="BW3" s="181"/>
      <c r="BX3" s="181"/>
      <c r="BY3" s="181"/>
      <c r="BZ3" s="181"/>
      <c r="CA3" s="181"/>
      <c r="CB3" s="181"/>
      <c r="CC3" s="181"/>
      <c r="CD3" s="3304"/>
      <c r="CE3" s="181"/>
      <c r="CF3" s="181"/>
      <c r="CG3" s="181"/>
      <c r="CH3" s="181"/>
      <c r="CI3" s="181"/>
      <c r="CJ3" s="181"/>
      <c r="CK3" s="181"/>
      <c r="CL3" s="3304"/>
      <c r="CM3" s="181"/>
    </row>
    <row r="4" spans="1:91" s="70" customFormat="1" ht="5.0999999999999996" customHeight="1" x14ac:dyDescent="0.25">
      <c r="A4" s="4202"/>
      <c r="B4" s="4202"/>
      <c r="C4" s="4202"/>
      <c r="D4" s="4202"/>
      <c r="E4" s="4202"/>
      <c r="F4" s="4202"/>
      <c r="I4" s="920"/>
      <c r="J4" s="78"/>
      <c r="K4" s="1872"/>
      <c r="L4" s="1873"/>
      <c r="M4" s="1873"/>
      <c r="N4" s="920"/>
      <c r="O4" s="920"/>
      <c r="P4" s="1873"/>
      <c r="Q4" s="921"/>
      <c r="R4" s="1873"/>
      <c r="S4" s="920"/>
      <c r="T4" s="1873"/>
      <c r="U4" s="1873"/>
      <c r="V4" s="1873"/>
      <c r="W4" s="1873"/>
      <c r="X4" s="1873"/>
      <c r="Y4" s="1873"/>
      <c r="Z4" s="1873"/>
      <c r="AA4" s="1873"/>
      <c r="AB4" s="1873"/>
      <c r="AC4" s="1873"/>
      <c r="AD4" s="1873"/>
      <c r="AE4" s="1873"/>
      <c r="AF4" s="1873"/>
      <c r="AG4" s="3304"/>
      <c r="AH4" s="181"/>
      <c r="AI4" s="181"/>
      <c r="AJ4" s="181"/>
      <c r="AK4" s="181"/>
      <c r="AL4" s="181"/>
      <c r="AM4" s="181"/>
      <c r="AN4" s="181"/>
      <c r="AO4" s="181"/>
      <c r="AP4" s="3304"/>
      <c r="AQ4" s="181"/>
      <c r="AR4" s="181"/>
      <c r="AS4" s="181"/>
      <c r="AT4" s="181"/>
      <c r="AU4" s="181"/>
      <c r="AV4" s="181"/>
      <c r="AW4" s="181"/>
      <c r="AX4" s="3304"/>
      <c r="AY4" s="181"/>
      <c r="AZ4" s="181"/>
      <c r="BA4" s="181"/>
      <c r="BB4" s="181"/>
      <c r="BC4" s="181"/>
      <c r="BD4" s="181"/>
      <c r="BE4" s="181"/>
      <c r="BF4" s="3304"/>
      <c r="BG4" s="181"/>
      <c r="BI4" s="181"/>
      <c r="BJ4" s="181"/>
      <c r="BK4" s="181"/>
      <c r="BL4" s="181"/>
      <c r="BM4" s="181"/>
      <c r="BN4" s="3304"/>
      <c r="BO4" s="181"/>
      <c r="BQ4" s="181"/>
      <c r="BR4" s="181"/>
      <c r="BS4" s="181"/>
      <c r="BT4" s="181"/>
      <c r="BU4" s="181"/>
      <c r="BV4" s="3304"/>
      <c r="BW4" s="181"/>
      <c r="BX4" s="181"/>
      <c r="BY4" s="181"/>
      <c r="BZ4" s="181"/>
      <c r="CA4" s="181"/>
      <c r="CB4" s="181"/>
      <c r="CC4" s="181"/>
      <c r="CD4" s="3304"/>
      <c r="CE4" s="181"/>
      <c r="CF4" s="181"/>
      <c r="CG4" s="181"/>
      <c r="CH4" s="181"/>
      <c r="CI4" s="181"/>
      <c r="CJ4" s="181"/>
      <c r="CK4" s="181"/>
      <c r="CL4" s="3304"/>
      <c r="CM4" s="181"/>
    </row>
    <row r="5" spans="1:91" s="8" customFormat="1" ht="30" customHeight="1" thickBot="1" x14ac:dyDescent="0.3">
      <c r="A5" s="4203"/>
      <c r="B5" s="4203"/>
      <c r="C5" s="4203"/>
      <c r="D5" s="4203"/>
      <c r="E5" s="4203"/>
      <c r="F5" s="4203"/>
      <c r="I5" s="13"/>
      <c r="J5" s="13"/>
      <c r="K5" s="14"/>
      <c r="L5" s="21"/>
      <c r="M5" s="21"/>
      <c r="N5" s="21"/>
      <c r="O5" s="13"/>
      <c r="P5" s="15"/>
      <c r="Q5" s="15"/>
      <c r="R5" s="15"/>
      <c r="S5" s="13"/>
      <c r="T5" s="15"/>
      <c r="U5" s="15"/>
      <c r="V5" s="15"/>
      <c r="W5" s="15"/>
      <c r="X5" s="15"/>
      <c r="Y5" s="15"/>
      <c r="Z5" s="15"/>
      <c r="AA5" s="15"/>
      <c r="AB5" s="15"/>
      <c r="AC5" s="15"/>
      <c r="AD5" s="15"/>
      <c r="AE5" s="15"/>
      <c r="AF5" s="15"/>
      <c r="AG5" s="3304"/>
      <c r="AH5" s="181"/>
      <c r="AI5" s="181"/>
      <c r="AJ5" s="181"/>
      <c r="AK5" s="181"/>
      <c r="AL5" s="181"/>
      <c r="AM5" s="181"/>
      <c r="AN5" s="181"/>
      <c r="AO5" s="181"/>
      <c r="AP5" s="3304"/>
      <c r="AQ5" s="181"/>
      <c r="AR5" s="181"/>
      <c r="AS5" s="181"/>
      <c r="AT5" s="181"/>
      <c r="AU5" s="181"/>
      <c r="AV5" s="181"/>
      <c r="AW5" s="181"/>
      <c r="AX5" s="3304"/>
      <c r="AY5" s="181"/>
      <c r="AZ5" s="181"/>
      <c r="BA5" s="181"/>
      <c r="BB5" s="181"/>
      <c r="BC5" s="181"/>
      <c r="BD5" s="181"/>
      <c r="BE5" s="181"/>
      <c r="BF5" s="3304"/>
      <c r="BG5" s="181"/>
      <c r="BI5" s="181"/>
      <c r="BJ5" s="181"/>
      <c r="BK5" s="181"/>
      <c r="BL5" s="181"/>
      <c r="BM5" s="181"/>
      <c r="BN5" s="3304"/>
      <c r="BO5" s="181"/>
      <c r="BQ5" s="181"/>
      <c r="BR5" s="181"/>
      <c r="BS5" s="181"/>
      <c r="BT5" s="181"/>
      <c r="BU5" s="181"/>
      <c r="BV5" s="3304"/>
      <c r="BW5" s="181"/>
      <c r="BX5" s="181"/>
      <c r="BY5" s="181"/>
      <c r="BZ5" s="181"/>
      <c r="CA5" s="181"/>
      <c r="CB5" s="181"/>
      <c r="CC5" s="181"/>
      <c r="CD5" s="3304"/>
      <c r="CE5" s="181"/>
      <c r="CF5" s="181"/>
      <c r="CG5" s="181"/>
      <c r="CH5" s="181"/>
      <c r="CI5" s="181"/>
      <c r="CJ5" s="181"/>
      <c r="CK5" s="181"/>
      <c r="CL5" s="3304"/>
      <c r="CM5" s="181"/>
    </row>
    <row r="6" spans="1:91" s="21" customFormat="1" ht="15" customHeight="1" thickBot="1" x14ac:dyDescent="0.3">
      <c r="A6" s="3881"/>
      <c r="B6" s="3881"/>
      <c r="C6" s="3881"/>
      <c r="D6" s="3881"/>
      <c r="E6" s="3881"/>
      <c r="F6" s="3881"/>
      <c r="I6" s="1107"/>
      <c r="J6" s="13"/>
      <c r="K6" s="2461"/>
      <c r="L6" s="2460"/>
      <c r="M6" s="2460"/>
      <c r="N6" s="2460"/>
      <c r="O6" s="2462"/>
      <c r="P6" s="2460"/>
      <c r="Q6" s="2463"/>
      <c r="R6" s="2460"/>
      <c r="S6" s="2462"/>
      <c r="T6" s="2460"/>
      <c r="U6" s="2460"/>
      <c r="V6" s="2460"/>
      <c r="W6" s="2460"/>
      <c r="X6" s="2460"/>
      <c r="Y6" s="2460"/>
      <c r="Z6" s="2460"/>
      <c r="AA6" s="2460"/>
      <c r="AB6" s="2460"/>
      <c r="AC6" s="2460"/>
      <c r="AD6" s="2460"/>
      <c r="AE6" s="2460"/>
      <c r="AF6" s="2464"/>
      <c r="AG6" s="3304"/>
      <c r="AH6" s="181"/>
      <c r="AI6" s="181"/>
      <c r="AJ6" s="181"/>
      <c r="AK6" s="181"/>
      <c r="AL6" s="181"/>
      <c r="AM6" s="181"/>
      <c r="AN6" s="181"/>
      <c r="AO6" s="181"/>
      <c r="AP6" s="3304"/>
      <c r="AQ6" s="181"/>
      <c r="AR6" s="181"/>
      <c r="AS6" s="181"/>
      <c r="AT6" s="181"/>
      <c r="AU6" s="181"/>
      <c r="AV6" s="181"/>
      <c r="AW6" s="181"/>
      <c r="AX6" s="3304"/>
      <c r="AY6" s="181"/>
      <c r="AZ6" s="181"/>
      <c r="BA6" s="181"/>
      <c r="BB6" s="181"/>
      <c r="BC6" s="181"/>
      <c r="BD6" s="181"/>
      <c r="BE6" s="181"/>
      <c r="BF6" s="3304"/>
      <c r="BG6" s="181"/>
      <c r="BI6" s="181"/>
      <c r="BJ6" s="181"/>
      <c r="BK6" s="181"/>
      <c r="BL6" s="181"/>
      <c r="BM6" s="181"/>
      <c r="BN6" s="3304"/>
      <c r="BO6" s="181"/>
      <c r="BQ6" s="181"/>
      <c r="BR6" s="181"/>
      <c r="BS6" s="181"/>
      <c r="BT6" s="181"/>
      <c r="BU6" s="181"/>
      <c r="BV6" s="3304"/>
      <c r="BW6" s="181"/>
      <c r="BX6" s="181"/>
      <c r="BY6" s="181"/>
      <c r="BZ6" s="181"/>
      <c r="CA6" s="181"/>
      <c r="CB6" s="181"/>
      <c r="CC6" s="181"/>
      <c r="CD6" s="3304"/>
      <c r="CE6" s="181"/>
      <c r="CF6" s="181"/>
      <c r="CG6" s="181"/>
      <c r="CH6" s="181"/>
      <c r="CI6" s="181"/>
      <c r="CJ6" s="181"/>
      <c r="CK6" s="181"/>
      <c r="CL6" s="3304"/>
      <c r="CM6" s="181"/>
    </row>
    <row r="7" spans="1:91" s="21" customFormat="1" ht="8.1" customHeight="1" thickBot="1" x14ac:dyDescent="0.3">
      <c r="A7" s="3881"/>
      <c r="B7" s="3881"/>
      <c r="C7" s="3881"/>
      <c r="D7" s="3881"/>
      <c r="E7" s="3881"/>
      <c r="F7" s="3881"/>
      <c r="I7" s="13"/>
      <c r="J7" s="13"/>
      <c r="K7" s="14"/>
      <c r="O7" s="13"/>
      <c r="P7" s="137"/>
      <c r="Q7" s="1185"/>
      <c r="R7" s="137"/>
      <c r="S7" s="1960"/>
      <c r="T7" s="137"/>
      <c r="U7" s="137"/>
      <c r="V7" s="137"/>
      <c r="W7" s="137"/>
      <c r="X7" s="137"/>
      <c r="Y7" s="137"/>
      <c r="Z7" s="137"/>
      <c r="AA7" s="137"/>
      <c r="AB7" s="137"/>
      <c r="AC7" s="137"/>
      <c r="AD7" s="137"/>
      <c r="AE7" s="137"/>
      <c r="AF7" s="137"/>
      <c r="AG7" s="3304"/>
      <c r="AH7" s="181"/>
      <c r="AI7" s="181"/>
      <c r="AJ7" s="181"/>
      <c r="AK7" s="181"/>
      <c r="AL7" s="181"/>
      <c r="AM7" s="181"/>
      <c r="AN7" s="181"/>
      <c r="AO7" s="181"/>
      <c r="AP7" s="3304"/>
      <c r="AQ7" s="181"/>
      <c r="AR7" s="181"/>
      <c r="AS7" s="181"/>
      <c r="AT7" s="181"/>
      <c r="AU7" s="181"/>
      <c r="AV7" s="181"/>
      <c r="AW7" s="181"/>
      <c r="AX7" s="3304"/>
      <c r="AY7" s="181"/>
      <c r="AZ7" s="181"/>
      <c r="BA7" s="181"/>
      <c r="BB7" s="181"/>
      <c r="BC7" s="181"/>
      <c r="BD7" s="181"/>
      <c r="BE7" s="181"/>
      <c r="BF7" s="3304"/>
      <c r="BG7" s="181"/>
      <c r="BI7" s="181"/>
      <c r="BJ7" s="181"/>
      <c r="BK7" s="181"/>
      <c r="BL7" s="181"/>
      <c r="BM7" s="181"/>
      <c r="BN7" s="3304"/>
      <c r="BO7" s="181"/>
      <c r="BQ7" s="181"/>
      <c r="BR7" s="181"/>
      <c r="BS7" s="181"/>
      <c r="BT7" s="181"/>
      <c r="BU7" s="181"/>
      <c r="BV7" s="3304"/>
      <c r="BW7" s="181"/>
      <c r="BX7" s="181"/>
      <c r="BY7" s="181"/>
      <c r="BZ7" s="181"/>
      <c r="CA7" s="181"/>
      <c r="CB7" s="181"/>
      <c r="CC7" s="181"/>
      <c r="CD7" s="3304"/>
      <c r="CE7" s="181"/>
      <c r="CF7" s="181"/>
      <c r="CG7" s="181"/>
      <c r="CH7" s="181"/>
      <c r="CI7" s="181"/>
      <c r="CJ7" s="181"/>
      <c r="CK7" s="181"/>
      <c r="CL7" s="3304"/>
      <c r="CM7" s="181"/>
    </row>
    <row r="8" spans="1:91" s="8" customFormat="1" ht="9.9499999999999993" customHeight="1" x14ac:dyDescent="0.25">
      <c r="A8" s="4203"/>
      <c r="B8" s="4203"/>
      <c r="C8" s="4203"/>
      <c r="D8" s="4203"/>
      <c r="E8" s="4203"/>
      <c r="F8" s="4203"/>
      <c r="I8" s="1458"/>
      <c r="J8" s="13"/>
      <c r="K8" s="2447"/>
      <c r="L8" s="2448"/>
      <c r="M8" s="2448"/>
      <c r="N8" s="2448"/>
      <c r="O8" s="2449"/>
      <c r="P8" s="2449"/>
      <c r="Q8" s="2450"/>
      <c r="R8" s="2449"/>
      <c r="S8" s="2449"/>
      <c r="T8" s="2449"/>
      <c r="U8" s="2449"/>
      <c r="V8" s="2449"/>
      <c r="W8" s="2449"/>
      <c r="X8" s="2449"/>
      <c r="Y8" s="2449"/>
      <c r="Z8" s="2449"/>
      <c r="AA8" s="2449"/>
      <c r="AB8" s="2449"/>
      <c r="AC8" s="2449"/>
      <c r="AD8" s="2449"/>
      <c r="AE8" s="2449"/>
      <c r="AF8" s="3682"/>
      <c r="AG8" s="181"/>
      <c r="AH8" s="181"/>
      <c r="AI8" s="181"/>
      <c r="AJ8" s="181"/>
      <c r="AK8" s="181"/>
      <c r="AL8" s="181"/>
      <c r="AM8" s="181"/>
      <c r="AN8" s="181"/>
      <c r="AO8" s="181"/>
      <c r="AP8" s="3304"/>
      <c r="AQ8" s="181"/>
      <c r="AR8" s="181"/>
      <c r="AS8" s="181"/>
      <c r="AT8" s="181"/>
      <c r="AU8" s="181"/>
      <c r="AV8" s="181"/>
      <c r="AW8" s="181"/>
      <c r="AX8" s="3304"/>
      <c r="AY8" s="181"/>
      <c r="AZ8" s="181"/>
      <c r="BA8" s="181"/>
      <c r="BB8" s="181"/>
      <c r="BC8" s="181"/>
      <c r="BD8" s="181"/>
      <c r="BE8" s="181"/>
      <c r="BF8" s="3304"/>
      <c r="BG8" s="181"/>
      <c r="BI8" s="181"/>
      <c r="BJ8" s="181"/>
      <c r="BK8" s="181"/>
      <c r="BL8" s="181"/>
      <c r="BM8" s="181"/>
      <c r="BN8" s="3304"/>
      <c r="BO8" s="181"/>
      <c r="BQ8" s="181"/>
      <c r="BR8" s="181"/>
      <c r="BS8" s="181"/>
      <c r="BT8" s="181"/>
      <c r="BU8" s="181"/>
      <c r="BV8" s="3304"/>
      <c r="BW8" s="181"/>
      <c r="BX8" s="181"/>
      <c r="BY8" s="181"/>
      <c r="BZ8" s="181"/>
      <c r="CA8" s="181"/>
      <c r="CB8" s="181"/>
      <c r="CC8" s="181"/>
      <c r="CD8" s="3304"/>
      <c r="CE8" s="181"/>
      <c r="CF8" s="181"/>
      <c r="CG8" s="181"/>
      <c r="CH8" s="181"/>
      <c r="CI8" s="181"/>
      <c r="CJ8" s="181"/>
      <c r="CK8" s="181"/>
      <c r="CL8" s="3304"/>
      <c r="CM8" s="181"/>
    </row>
    <row r="9" spans="1:91" s="8" customFormat="1" ht="39.950000000000003" customHeight="1" x14ac:dyDescent="0.25">
      <c r="A9" s="4203"/>
      <c r="B9" s="4203"/>
      <c r="C9" s="4203"/>
      <c r="D9" s="4203"/>
      <c r="E9" s="4203"/>
      <c r="F9" s="4203"/>
      <c r="I9" s="1357"/>
      <c r="J9" s="13"/>
      <c r="K9" s="2451"/>
      <c r="L9" s="2446" t="s">
        <v>1983</v>
      </c>
      <c r="M9" s="2446"/>
      <c r="N9" s="2446"/>
      <c r="O9" s="3772"/>
      <c r="P9" s="2446"/>
      <c r="Q9" s="3661"/>
      <c r="R9" s="2446"/>
      <c r="S9" s="3772"/>
      <c r="T9" s="2446"/>
      <c r="U9" s="2446"/>
      <c r="V9" s="2446"/>
      <c r="W9" s="2446"/>
      <c r="X9" s="2446"/>
      <c r="Y9" s="2446"/>
      <c r="Z9" s="2446"/>
      <c r="AA9" s="2446"/>
      <c r="AB9" s="2446"/>
      <c r="AC9" s="2446"/>
      <c r="AD9" s="2446"/>
      <c r="AE9" s="2446"/>
      <c r="AF9" s="3683"/>
      <c r="AG9" s="181"/>
      <c r="AH9" s="181"/>
      <c r="AI9" s="181"/>
      <c r="AJ9" s="181"/>
      <c r="AK9" s="181"/>
      <c r="AL9" s="181"/>
      <c r="AM9" s="181"/>
      <c r="AN9" s="181"/>
      <c r="AO9" s="181"/>
      <c r="AP9" s="3304"/>
      <c r="AQ9" s="181"/>
      <c r="AR9" s="181"/>
      <c r="AS9" s="181"/>
      <c r="AT9" s="181"/>
      <c r="AU9" s="181"/>
      <c r="AV9" s="181"/>
      <c r="AW9" s="181"/>
      <c r="AX9" s="3304"/>
      <c r="AY9" s="181"/>
      <c r="AZ9" s="181"/>
      <c r="BA9" s="181"/>
      <c r="BB9" s="181"/>
      <c r="BC9" s="181"/>
      <c r="BD9" s="181"/>
      <c r="BE9" s="181"/>
      <c r="BF9" s="3304"/>
      <c r="BG9" s="181"/>
      <c r="BI9" s="181"/>
      <c r="BJ9" s="181"/>
      <c r="BK9" s="181"/>
      <c r="BL9" s="181"/>
      <c r="BM9" s="181"/>
      <c r="BN9" s="3304"/>
      <c r="BO9" s="181"/>
      <c r="BQ9" s="181"/>
      <c r="BR9" s="181"/>
      <c r="BS9" s="181"/>
      <c r="BT9" s="181"/>
      <c r="BU9" s="181"/>
      <c r="BV9" s="3304"/>
      <c r="BW9" s="181"/>
      <c r="BX9" s="181"/>
      <c r="BY9" s="181"/>
      <c r="BZ9" s="181"/>
      <c r="CA9" s="181"/>
      <c r="CB9" s="181"/>
      <c r="CC9" s="181"/>
      <c r="CD9" s="3304"/>
      <c r="CE9" s="181"/>
      <c r="CF9" s="181"/>
      <c r="CG9" s="181"/>
      <c r="CH9" s="181"/>
      <c r="CI9" s="181"/>
      <c r="CJ9" s="181"/>
      <c r="CK9" s="181"/>
      <c r="CL9" s="3304"/>
      <c r="CM9" s="181"/>
    </row>
    <row r="10" spans="1:91" s="8" customFormat="1" ht="9.9499999999999993" customHeight="1" thickBot="1" x14ac:dyDescent="0.3">
      <c r="A10" s="4203"/>
      <c r="B10" s="4203"/>
      <c r="C10" s="4203"/>
      <c r="D10" s="4203"/>
      <c r="E10" s="4203"/>
      <c r="F10" s="4203"/>
      <c r="I10" s="1357"/>
      <c r="J10" s="13"/>
      <c r="K10" s="2455"/>
      <c r="L10" s="2807"/>
      <c r="M10" s="2807"/>
      <c r="N10" s="2807"/>
      <c r="O10" s="2808"/>
      <c r="P10" s="2807"/>
      <c r="Q10" s="2807"/>
      <c r="R10" s="2807"/>
      <c r="S10" s="2808"/>
      <c r="T10" s="2807"/>
      <c r="U10" s="2807"/>
      <c r="V10" s="2807"/>
      <c r="W10" s="2807"/>
      <c r="X10" s="2807"/>
      <c r="Y10" s="2807"/>
      <c r="Z10" s="2807"/>
      <c r="AA10" s="2807"/>
      <c r="AB10" s="2807"/>
      <c r="AC10" s="2807"/>
      <c r="AD10" s="2807"/>
      <c r="AE10" s="2807"/>
      <c r="AF10" s="3684"/>
      <c r="AG10" s="181"/>
      <c r="AH10" s="181"/>
      <c r="AI10" s="181"/>
      <c r="AJ10" s="181"/>
      <c r="AK10" s="181"/>
      <c r="AL10" s="181"/>
      <c r="AM10" s="181"/>
      <c r="AN10" s="181"/>
      <c r="AO10" s="181"/>
      <c r="AP10" s="3304"/>
      <c r="AQ10" s="181"/>
      <c r="AR10" s="181"/>
      <c r="AS10" s="181"/>
      <c r="AT10" s="181"/>
      <c r="AU10" s="181"/>
      <c r="AV10" s="181"/>
      <c r="AW10" s="181"/>
      <c r="AX10" s="3304"/>
      <c r="AY10" s="181"/>
      <c r="AZ10" s="181"/>
      <c r="BA10" s="181"/>
      <c r="BB10" s="181"/>
      <c r="BC10" s="181"/>
      <c r="BD10" s="181"/>
      <c r="BE10" s="181"/>
      <c r="BF10" s="3304"/>
      <c r="BG10" s="181"/>
      <c r="BI10" s="181"/>
      <c r="BJ10" s="181"/>
      <c r="BK10" s="181"/>
      <c r="BL10" s="181"/>
      <c r="BM10" s="181"/>
      <c r="BN10" s="3304"/>
      <c r="BO10" s="181"/>
      <c r="BQ10" s="181"/>
      <c r="BR10" s="181"/>
      <c r="BS10" s="181"/>
      <c r="BT10" s="181"/>
      <c r="BU10" s="181"/>
      <c r="BV10" s="3304"/>
      <c r="BW10" s="181"/>
      <c r="BX10" s="181"/>
      <c r="BY10" s="181"/>
      <c r="BZ10" s="181"/>
      <c r="CA10" s="181"/>
      <c r="CB10" s="181"/>
      <c r="CC10" s="181"/>
      <c r="CD10" s="3304"/>
      <c r="CE10" s="181"/>
      <c r="CF10" s="181"/>
      <c r="CG10" s="181"/>
      <c r="CH10" s="181"/>
      <c r="CI10" s="181"/>
      <c r="CJ10" s="181"/>
      <c r="CK10" s="181"/>
      <c r="CL10" s="3304"/>
      <c r="CM10" s="181"/>
    </row>
    <row r="11" spans="1:91" s="21" customFormat="1" ht="15" customHeight="1" thickBot="1" x14ac:dyDescent="0.3">
      <c r="A11" s="3881"/>
      <c r="B11" s="3881"/>
      <c r="C11" s="3881"/>
      <c r="D11" s="3881"/>
      <c r="E11" s="3881"/>
      <c r="F11" s="3881"/>
      <c r="I11" s="1357"/>
      <c r="J11" s="13"/>
      <c r="K11" s="13"/>
      <c r="L11" s="15"/>
      <c r="M11" s="13"/>
      <c r="N11" s="13"/>
      <c r="O11" s="13"/>
      <c r="P11" s="13"/>
      <c r="Q11" s="15"/>
      <c r="R11" s="13"/>
      <c r="S11" s="16"/>
      <c r="T11" s="2720"/>
      <c r="U11" s="181"/>
      <c r="V11" s="181"/>
      <c r="W11" s="181"/>
      <c r="X11" s="181"/>
      <c r="Y11" s="181"/>
      <c r="Z11" s="181"/>
      <c r="AA11" s="181"/>
      <c r="AB11" s="181"/>
      <c r="AC11" s="181"/>
      <c r="AD11" s="181"/>
      <c r="AE11" s="181"/>
      <c r="AF11" s="181"/>
      <c r="AG11" s="181"/>
      <c r="AH11" s="181"/>
      <c r="AI11" s="181"/>
      <c r="AJ11" s="181"/>
      <c r="AK11" s="181"/>
      <c r="AL11" s="181"/>
      <c r="AM11" s="181"/>
      <c r="AN11" s="181"/>
      <c r="AO11" s="181"/>
      <c r="AP11" s="3304"/>
      <c r="AQ11" s="181"/>
      <c r="AR11" s="181"/>
      <c r="AS11" s="181"/>
      <c r="AT11" s="181"/>
      <c r="AU11" s="181"/>
      <c r="AV11" s="181"/>
      <c r="AW11" s="181"/>
      <c r="AX11" s="3304"/>
      <c r="AY11" s="181"/>
      <c r="AZ11" s="181"/>
      <c r="BA11" s="181"/>
      <c r="BB11" s="181"/>
      <c r="BC11" s="181"/>
      <c r="BD11" s="181"/>
      <c r="BE11" s="181"/>
      <c r="BF11" s="3304"/>
      <c r="BG11" s="181"/>
      <c r="BI11" s="181"/>
      <c r="BJ11" s="181"/>
      <c r="BK11" s="181"/>
      <c r="BL11" s="181"/>
      <c r="BM11" s="181"/>
      <c r="BN11" s="3304"/>
      <c r="BO11" s="181"/>
      <c r="BQ11" s="181"/>
      <c r="BR11" s="181"/>
      <c r="BS11" s="181"/>
      <c r="BT11" s="181"/>
      <c r="BU11" s="181"/>
      <c r="BV11" s="3304"/>
      <c r="BW11" s="181"/>
      <c r="BX11" s="181"/>
      <c r="BY11" s="181"/>
      <c r="BZ11" s="181"/>
      <c r="CA11" s="181"/>
      <c r="CB11" s="181"/>
      <c r="CC11" s="181"/>
      <c r="CD11" s="3304"/>
      <c r="CE11" s="181"/>
      <c r="CF11" s="181"/>
      <c r="CG11" s="181"/>
      <c r="CH11" s="181"/>
      <c r="CI11" s="181"/>
      <c r="CJ11" s="181"/>
      <c r="CK11" s="181"/>
      <c r="CL11" s="3304"/>
      <c r="CM11" s="181"/>
    </row>
    <row r="12" spans="1:91" s="21" customFormat="1" ht="5.0999999999999996" customHeight="1" x14ac:dyDescent="0.25">
      <c r="A12" s="3881"/>
      <c r="B12" s="3881"/>
      <c r="C12" s="3881"/>
      <c r="D12" s="3881"/>
      <c r="E12" s="3881"/>
      <c r="F12" s="3881"/>
      <c r="I12" s="1357"/>
      <c r="J12" s="25"/>
      <c r="K12" s="2466"/>
      <c r="L12" s="2467"/>
      <c r="M12" s="683"/>
      <c r="N12" s="2467"/>
      <c r="O12" s="2468"/>
      <c r="P12" s="683"/>
      <c r="Q12" s="2467"/>
      <c r="R12" s="683"/>
      <c r="S12" s="2468"/>
      <c r="T12" s="683"/>
      <c r="U12" s="2467"/>
      <c r="V12" s="2467"/>
      <c r="W12" s="683"/>
      <c r="X12" s="2467"/>
      <c r="Y12" s="683"/>
      <c r="Z12" s="2467"/>
      <c r="AA12" s="683"/>
      <c r="AB12" s="2467"/>
      <c r="AC12" s="2467"/>
      <c r="AD12" s="683"/>
      <c r="AE12" s="2467"/>
      <c r="AF12" s="684"/>
      <c r="AG12" s="181"/>
      <c r="AH12" s="181"/>
      <c r="AI12" s="181"/>
      <c r="AJ12" s="181"/>
      <c r="AK12" s="181"/>
      <c r="AL12" s="181"/>
      <c r="AM12" s="181"/>
      <c r="AN12" s="181"/>
      <c r="AO12" s="181"/>
      <c r="AP12" s="3304"/>
      <c r="AQ12" s="181"/>
      <c r="AR12" s="181"/>
      <c r="AS12" s="181"/>
      <c r="AT12" s="181"/>
      <c r="AU12" s="181"/>
      <c r="AV12" s="181"/>
      <c r="AW12" s="181"/>
      <c r="AX12" s="3304"/>
      <c r="AY12" s="181"/>
      <c r="AZ12" s="181"/>
      <c r="BA12" s="181"/>
      <c r="BB12" s="181"/>
      <c r="BC12" s="181"/>
      <c r="BD12" s="181"/>
      <c r="BE12" s="181"/>
      <c r="BF12" s="3304"/>
      <c r="BG12" s="181"/>
      <c r="BI12" s="181"/>
      <c r="BJ12" s="181"/>
      <c r="BK12" s="181"/>
      <c r="BL12" s="181"/>
      <c r="BM12" s="181"/>
      <c r="BN12" s="3304"/>
      <c r="BO12" s="181"/>
      <c r="BQ12" s="181"/>
      <c r="BR12" s="181"/>
      <c r="BS12" s="181"/>
      <c r="BT12" s="181"/>
      <c r="BU12" s="181"/>
      <c r="BV12" s="3304"/>
      <c r="BW12" s="181"/>
      <c r="BX12" s="181"/>
      <c r="BY12" s="181"/>
      <c r="BZ12" s="181"/>
      <c r="CA12" s="181"/>
      <c r="CB12" s="181"/>
      <c r="CC12" s="181"/>
      <c r="CD12" s="3304"/>
      <c r="CE12" s="181"/>
      <c r="CF12" s="181"/>
      <c r="CG12" s="181"/>
      <c r="CH12" s="181"/>
      <c r="CI12" s="181"/>
      <c r="CJ12" s="181"/>
      <c r="CK12" s="181"/>
      <c r="CL12" s="3304"/>
      <c r="CM12" s="181"/>
    </row>
    <row r="13" spans="1:91" s="21" customFormat="1" ht="35.1" customHeight="1" x14ac:dyDescent="0.25">
      <c r="A13" s="3881"/>
      <c r="B13" s="3881"/>
      <c r="C13" s="3881"/>
      <c r="D13" s="3881"/>
      <c r="E13" s="3881"/>
      <c r="F13" s="3881"/>
      <c r="I13" s="1357"/>
      <c r="J13" s="25"/>
      <c r="K13" s="2465"/>
      <c r="L13" s="6967" t="s">
        <v>1542</v>
      </c>
      <c r="M13" s="6967"/>
      <c r="N13" s="6967"/>
      <c r="O13" s="6967"/>
      <c r="P13" s="6967"/>
      <c r="Q13" s="6967"/>
      <c r="R13" s="6967"/>
      <c r="S13" s="6967"/>
      <c r="T13" s="6967"/>
      <c r="U13" s="6967"/>
      <c r="V13" s="6967"/>
      <c r="W13" s="6967"/>
      <c r="X13" s="6967"/>
      <c r="Y13" s="6967"/>
      <c r="Z13" s="6967"/>
      <c r="AA13" s="6967"/>
      <c r="AB13" s="6967"/>
      <c r="AC13" s="6967"/>
      <c r="AD13" s="6967"/>
      <c r="AE13" s="6967"/>
      <c r="AF13" s="3685"/>
      <c r="AG13" s="181"/>
      <c r="AH13" s="181"/>
      <c r="AI13" s="181"/>
      <c r="AJ13" s="181"/>
      <c r="AK13" s="181"/>
      <c r="AL13" s="181"/>
      <c r="AM13" s="181"/>
      <c r="AN13" s="181"/>
      <c r="AO13" s="181"/>
      <c r="AP13" s="3304"/>
      <c r="AQ13" s="181"/>
      <c r="AR13" s="181"/>
      <c r="AS13" s="181"/>
      <c r="AT13" s="181"/>
      <c r="AU13" s="181"/>
      <c r="AV13" s="181"/>
      <c r="AW13" s="181"/>
      <c r="AX13" s="3304"/>
      <c r="AY13" s="181"/>
      <c r="AZ13" s="181"/>
      <c r="BA13" s="181"/>
      <c r="BB13" s="181"/>
      <c r="BC13" s="181"/>
      <c r="BD13" s="181"/>
      <c r="BE13" s="181"/>
      <c r="BF13" s="3304"/>
      <c r="BG13" s="181"/>
      <c r="BI13" s="181"/>
      <c r="BJ13" s="181"/>
      <c r="BK13" s="181"/>
      <c r="BL13" s="181"/>
      <c r="BM13" s="181"/>
      <c r="BN13" s="3304"/>
      <c r="BO13" s="181"/>
      <c r="BQ13" s="181"/>
      <c r="BR13" s="181"/>
      <c r="BS13" s="181"/>
      <c r="BT13" s="181"/>
      <c r="BU13" s="181"/>
      <c r="BV13" s="3304"/>
      <c r="BW13" s="181"/>
      <c r="BX13" s="181"/>
      <c r="BY13" s="181"/>
      <c r="BZ13" s="181"/>
      <c r="CA13" s="181"/>
      <c r="CB13" s="181"/>
      <c r="CC13" s="181"/>
      <c r="CD13" s="3304"/>
      <c r="CE13" s="181"/>
      <c r="CF13" s="181"/>
      <c r="CG13" s="181"/>
      <c r="CH13" s="181"/>
      <c r="CI13" s="181"/>
      <c r="CJ13" s="181"/>
      <c r="CK13" s="181"/>
      <c r="CL13" s="3304"/>
      <c r="CM13" s="181"/>
    </row>
    <row r="14" spans="1:91" s="21" customFormat="1" ht="5.0999999999999996" customHeight="1" thickBot="1" x14ac:dyDescent="0.3">
      <c r="A14" s="3881"/>
      <c r="B14" s="3881"/>
      <c r="C14" s="3881"/>
      <c r="D14" s="3881"/>
      <c r="E14" s="3881"/>
      <c r="F14" s="3881"/>
      <c r="I14" s="1358"/>
      <c r="J14" s="25"/>
      <c r="K14" s="2471"/>
      <c r="L14" s="2472"/>
      <c r="M14" s="2473"/>
      <c r="N14" s="2474"/>
      <c r="O14" s="2473"/>
      <c r="P14" s="2477"/>
      <c r="Q14" s="2474"/>
      <c r="R14" s="2477"/>
      <c r="S14" s="3773"/>
      <c r="T14" s="2473"/>
      <c r="U14" s="2474"/>
      <c r="V14" s="2473"/>
      <c r="W14" s="2477"/>
      <c r="X14" s="2474"/>
      <c r="Y14" s="2477"/>
      <c r="Z14" s="2472"/>
      <c r="AA14" s="2473"/>
      <c r="AB14" s="2474"/>
      <c r="AC14" s="2473"/>
      <c r="AD14" s="2477"/>
      <c r="AE14" s="2474"/>
      <c r="AF14" s="3686"/>
      <c r="AG14" s="181"/>
      <c r="AH14" s="181"/>
      <c r="AI14" s="181"/>
      <c r="AJ14" s="181"/>
      <c r="AK14" s="181"/>
      <c r="AL14" s="181"/>
      <c r="AM14" s="181"/>
      <c r="AN14" s="181"/>
      <c r="AO14" s="181"/>
      <c r="AP14" s="3304"/>
      <c r="AQ14" s="181"/>
      <c r="AR14" s="181"/>
      <c r="AS14" s="181"/>
      <c r="AT14" s="181" t="s">
        <v>426</v>
      </c>
      <c r="AU14" s="181"/>
      <c r="AV14" s="181"/>
      <c r="AW14" s="181"/>
      <c r="AX14" s="3304"/>
      <c r="AY14" s="181"/>
      <c r="AZ14" s="181"/>
      <c r="BA14" s="181"/>
      <c r="BB14" s="181"/>
      <c r="BC14" s="181"/>
      <c r="BD14" s="181"/>
      <c r="BE14" s="181"/>
      <c r="BF14" s="3304"/>
      <c r="BG14" s="181"/>
      <c r="BI14" s="181"/>
      <c r="BJ14" s="181"/>
      <c r="BK14" s="181"/>
      <c r="BL14" s="181"/>
      <c r="BM14" s="181"/>
      <c r="BN14" s="3304"/>
      <c r="BO14" s="181"/>
      <c r="BQ14" s="181"/>
      <c r="BR14" s="181"/>
      <c r="BS14" s="181"/>
      <c r="BT14" s="181"/>
      <c r="BU14" s="181"/>
      <c r="BV14" s="3304"/>
      <c r="BW14" s="181"/>
      <c r="BY14" s="181"/>
      <c r="BZ14" s="181"/>
      <c r="CA14" s="181"/>
      <c r="CB14" s="181"/>
      <c r="CC14" s="181"/>
      <c r="CD14" s="3304"/>
      <c r="CE14" s="181"/>
      <c r="CG14" s="181"/>
      <c r="CH14" s="181"/>
      <c r="CI14" s="181"/>
      <c r="CJ14" s="181"/>
      <c r="CK14" s="181"/>
      <c r="CL14" s="3304"/>
      <c r="CM14" s="181"/>
    </row>
    <row r="15" spans="1:91" s="8" customFormat="1" ht="24.95" customHeight="1" thickBot="1" x14ac:dyDescent="0.3">
      <c r="A15" s="4203"/>
      <c r="B15" s="4203"/>
      <c r="C15" s="4203"/>
      <c r="D15" s="4203"/>
      <c r="E15" s="4203"/>
      <c r="F15" s="4203"/>
      <c r="I15" s="13"/>
      <c r="J15" s="20"/>
      <c r="K15" s="14"/>
      <c r="L15" s="21"/>
      <c r="M15" s="21"/>
      <c r="N15" s="21"/>
      <c r="O15" s="13"/>
      <c r="P15" s="16"/>
      <c r="Q15" s="17"/>
      <c r="R15" s="16"/>
      <c r="S15" s="16"/>
      <c r="T15" s="2720"/>
      <c r="U15" s="181"/>
      <c r="V15" s="181"/>
      <c r="W15" s="181"/>
      <c r="X15" s="181"/>
      <c r="Y15" s="181"/>
      <c r="Z15" s="181"/>
      <c r="AA15" s="181"/>
      <c r="AB15" s="181"/>
      <c r="AC15" s="181"/>
      <c r="AD15" s="181"/>
      <c r="AE15" s="181"/>
      <c r="AF15" s="181"/>
      <c r="AG15" s="181"/>
      <c r="AH15" s="2797"/>
      <c r="AI15" s="2797"/>
      <c r="AJ15" s="2797"/>
      <c r="AK15" s="2797"/>
      <c r="AL15" s="2797"/>
      <c r="AM15" s="2797"/>
      <c r="AN15" s="2797"/>
      <c r="AO15" s="2797"/>
      <c r="AP15" s="3305"/>
      <c r="AQ15" s="2797"/>
      <c r="AR15" s="181"/>
      <c r="AS15" s="2797"/>
      <c r="AT15" s="2797"/>
      <c r="AU15" s="2797"/>
      <c r="AV15" s="2797"/>
      <c r="AW15" s="2797"/>
      <c r="AX15" s="3305"/>
      <c r="AY15" s="2797"/>
      <c r="AZ15" s="2797"/>
      <c r="BA15" s="2797"/>
      <c r="BB15" s="2797"/>
      <c r="BC15" s="2797"/>
      <c r="BD15" s="2797"/>
      <c r="BE15" s="2797"/>
      <c r="BF15" s="3305"/>
      <c r="BG15" s="2797"/>
      <c r="BI15" s="2797"/>
      <c r="BJ15" s="2797"/>
      <c r="BK15" s="2797"/>
      <c r="BL15" s="2797"/>
      <c r="BM15" s="2797"/>
      <c r="BN15" s="3305"/>
      <c r="BO15" s="2797"/>
      <c r="BQ15" s="2797"/>
      <c r="BR15" s="2797"/>
      <c r="BS15" s="2797"/>
      <c r="BT15" s="2797"/>
      <c r="BU15" s="2797"/>
      <c r="BV15" s="3305"/>
      <c r="BW15" s="2797"/>
      <c r="BY15" s="2797"/>
      <c r="BZ15" s="2797"/>
      <c r="CA15" s="2797"/>
      <c r="CB15" s="2797"/>
      <c r="CC15" s="2797"/>
      <c r="CD15" s="3305"/>
      <c r="CE15" s="2797"/>
      <c r="CG15" s="2797"/>
      <c r="CH15" s="2797"/>
      <c r="CI15" s="2797"/>
      <c r="CJ15" s="2797"/>
      <c r="CK15" s="2797"/>
      <c r="CL15" s="3305"/>
      <c r="CM15" s="2797"/>
    </row>
    <row r="16" spans="1:91" s="8" customFormat="1" ht="15" customHeight="1" thickBot="1" x14ac:dyDescent="0.3">
      <c r="A16" s="4203"/>
      <c r="B16" s="4203"/>
      <c r="C16" s="4203"/>
      <c r="D16" s="4203"/>
      <c r="E16" s="4203"/>
      <c r="F16" s="4203"/>
      <c r="I16" s="1060"/>
      <c r="J16" s="25"/>
      <c r="K16" s="1108"/>
      <c r="L16" s="1019"/>
      <c r="M16" s="1019"/>
      <c r="N16" s="1019"/>
      <c r="O16" s="4191" t="s">
        <v>131</v>
      </c>
      <c r="P16" s="1195"/>
      <c r="Q16" s="1195" t="s">
        <v>100</v>
      </c>
      <c r="R16" s="1195"/>
      <c r="S16" s="3674"/>
      <c r="T16" s="1195"/>
      <c r="U16" s="1195"/>
      <c r="V16" s="1195"/>
      <c r="W16" s="1195"/>
      <c r="X16" s="1195"/>
      <c r="Y16" s="1195"/>
      <c r="Z16" s="1195"/>
      <c r="AA16" s="1195"/>
      <c r="AB16" s="1195"/>
      <c r="AC16" s="1195"/>
      <c r="AD16" s="1195"/>
      <c r="AE16" s="1195"/>
      <c r="AF16" s="1347"/>
      <c r="AG16" s="181"/>
      <c r="AH16" s="2797"/>
      <c r="AI16" s="2797"/>
      <c r="AJ16" s="2797"/>
      <c r="AK16" s="2797"/>
      <c r="AL16" s="2797"/>
      <c r="AM16" s="2797"/>
      <c r="AN16" s="2797"/>
      <c r="AO16" s="2797"/>
      <c r="AP16" s="3305"/>
      <c r="AQ16" s="2797"/>
      <c r="AR16" s="181"/>
      <c r="AS16" s="2797"/>
      <c r="AT16" s="2797"/>
      <c r="AU16" s="2797"/>
      <c r="AV16" s="2797"/>
      <c r="AW16" s="2797"/>
      <c r="AX16" s="3305"/>
      <c r="AY16" s="2797"/>
      <c r="AZ16" s="2797"/>
      <c r="BA16" s="2797"/>
      <c r="BB16" s="2797"/>
      <c r="BC16" s="2797"/>
      <c r="BD16" s="2797"/>
      <c r="BE16" s="2797"/>
      <c r="BF16" s="3305"/>
      <c r="BG16" s="2797"/>
      <c r="BI16" s="2797"/>
      <c r="BJ16" s="2797"/>
      <c r="BK16" s="2797"/>
      <c r="BL16" s="2797"/>
      <c r="BM16" s="2797"/>
      <c r="BN16" s="3305"/>
      <c r="BO16" s="2797"/>
      <c r="BQ16" s="2797"/>
      <c r="BR16" s="2797"/>
      <c r="BS16" s="2797"/>
      <c r="BT16" s="2797"/>
      <c r="BU16" s="2797"/>
      <c r="BV16" s="3305"/>
      <c r="BW16" s="2797"/>
      <c r="BY16" s="2797"/>
      <c r="BZ16" s="2797"/>
      <c r="CA16" s="2797"/>
      <c r="CB16" s="2797"/>
      <c r="CC16" s="2797"/>
      <c r="CD16" s="3305"/>
      <c r="CE16" s="2797"/>
      <c r="CG16" s="2797"/>
      <c r="CH16" s="2797"/>
      <c r="CI16" s="2797"/>
      <c r="CJ16" s="2797"/>
      <c r="CK16" s="2797"/>
      <c r="CL16" s="3305"/>
      <c r="CM16" s="2797"/>
    </row>
    <row r="17" spans="1:91" s="8" customFormat="1" ht="24.95" customHeight="1" thickBot="1" x14ac:dyDescent="0.3">
      <c r="A17" s="4203"/>
      <c r="B17" s="4203"/>
      <c r="C17" s="4203"/>
      <c r="D17" s="4203"/>
      <c r="E17" s="4203"/>
      <c r="F17" s="4203"/>
      <c r="I17" s="13"/>
      <c r="J17" s="20"/>
      <c r="K17" s="14"/>
      <c r="L17" s="21"/>
      <c r="M17" s="21"/>
      <c r="N17" s="21"/>
      <c r="O17" s="13"/>
      <c r="P17" s="16"/>
      <c r="Q17" s="17"/>
      <c r="R17" s="16"/>
      <c r="S17" s="16"/>
      <c r="T17" s="2720"/>
      <c r="U17" s="181"/>
      <c r="V17" s="181"/>
      <c r="W17" s="181"/>
      <c r="X17" s="181"/>
      <c r="Y17" s="181"/>
      <c r="Z17" s="181"/>
      <c r="AA17" s="181"/>
      <c r="AB17" s="181"/>
      <c r="AC17" s="181"/>
      <c r="AD17" s="181"/>
      <c r="AE17" s="181"/>
      <c r="AF17" s="181"/>
      <c r="AG17" s="181"/>
      <c r="AH17" s="2797"/>
      <c r="AI17" s="2797"/>
      <c r="AJ17" s="2797"/>
      <c r="AK17" s="2797"/>
      <c r="AL17" s="2797"/>
      <c r="AM17" s="2797"/>
      <c r="AN17" s="2797"/>
      <c r="AO17" s="2797"/>
      <c r="AP17" s="3305"/>
      <c r="AQ17" s="2797"/>
      <c r="AR17" s="181"/>
      <c r="AS17" s="2797"/>
      <c r="AT17" s="2797"/>
      <c r="AU17" s="2797"/>
      <c r="AV17" s="2797"/>
      <c r="AW17" s="2797"/>
      <c r="AX17" s="3305"/>
      <c r="AY17" s="2797"/>
      <c r="AZ17" s="2797"/>
      <c r="BA17" s="2797"/>
      <c r="BB17" s="2797"/>
      <c r="BC17" s="2797"/>
      <c r="BD17" s="2797"/>
      <c r="BE17" s="2797"/>
      <c r="BF17" s="3305"/>
      <c r="BG17" s="2797"/>
      <c r="BI17" s="2797"/>
      <c r="BJ17" s="2797"/>
      <c r="BK17" s="2797"/>
      <c r="BL17" s="2797"/>
      <c r="BM17" s="2797"/>
      <c r="BN17" s="3305"/>
      <c r="BO17" s="2797"/>
      <c r="BQ17" s="2797"/>
      <c r="BR17" s="2797"/>
      <c r="BS17" s="2797"/>
      <c r="BT17" s="2797"/>
      <c r="BU17" s="2797"/>
      <c r="BV17" s="3305"/>
      <c r="BW17" s="2797"/>
      <c r="BY17" s="2797"/>
      <c r="BZ17" s="2797"/>
      <c r="CA17" s="2797"/>
      <c r="CB17" s="2797"/>
      <c r="CC17" s="2797"/>
      <c r="CD17" s="3305"/>
      <c r="CE17" s="2797"/>
      <c r="CG17" s="2797"/>
      <c r="CH17" s="2797"/>
      <c r="CI17" s="2797"/>
      <c r="CJ17" s="2797"/>
      <c r="CK17" s="2797"/>
      <c r="CL17" s="3305"/>
      <c r="CM17" s="2797"/>
    </row>
    <row r="18" spans="1:91" s="8" customFormat="1" ht="9" customHeight="1" x14ac:dyDescent="0.25">
      <c r="A18" s="4203"/>
      <c r="B18" s="4203"/>
      <c r="C18" s="4203"/>
      <c r="D18" s="4203"/>
      <c r="E18" s="4203"/>
      <c r="F18" s="4203"/>
      <c r="I18" s="3650"/>
      <c r="J18" s="20"/>
      <c r="K18" s="3646"/>
      <c r="L18" s="7003" t="s">
        <v>1009</v>
      </c>
      <c r="M18" s="7003"/>
      <c r="N18" s="7003"/>
      <c r="O18" s="7003"/>
      <c r="P18" s="7003"/>
      <c r="Q18" s="7003"/>
      <c r="R18" s="7003"/>
      <c r="S18" s="7003"/>
      <c r="T18" s="7003"/>
      <c r="U18" s="7003"/>
      <c r="V18" s="7003"/>
      <c r="W18" s="7003"/>
      <c r="X18" s="7003"/>
      <c r="Y18" s="7003"/>
      <c r="Z18" s="7003"/>
      <c r="AA18" s="7003"/>
      <c r="AB18" s="7003"/>
      <c r="AC18" s="7003"/>
      <c r="AD18" s="7003"/>
      <c r="AE18" s="7003"/>
      <c r="AF18" s="3647"/>
      <c r="AG18" s="181"/>
      <c r="AH18" s="2797"/>
      <c r="AI18" s="2797"/>
      <c r="AJ18" s="2797"/>
      <c r="AK18" s="2797"/>
      <c r="AL18" s="2797"/>
      <c r="AM18" s="2797"/>
      <c r="AN18" s="2797"/>
      <c r="AO18" s="2797"/>
      <c r="AP18" s="3305"/>
      <c r="AQ18" s="2797"/>
      <c r="AR18" s="181"/>
      <c r="AS18" s="2797"/>
      <c r="AT18" s="2797"/>
      <c r="AU18" s="2797"/>
      <c r="AV18" s="2797"/>
      <c r="AW18" s="2797"/>
      <c r="AX18" s="3305"/>
      <c r="AY18" s="2797"/>
      <c r="AZ18" s="2797"/>
      <c r="BA18" s="2797"/>
      <c r="BB18" s="2797"/>
      <c r="BC18" s="2797"/>
      <c r="BD18" s="2797"/>
      <c r="BE18" s="2797"/>
      <c r="BF18" s="3305"/>
      <c r="BG18" s="2797"/>
      <c r="BI18" s="2797"/>
      <c r="BJ18" s="2797"/>
      <c r="BK18" s="2797"/>
      <c r="BL18" s="2797"/>
      <c r="BM18" s="2797"/>
      <c r="BN18" s="3305"/>
      <c r="BO18" s="2797"/>
      <c r="BQ18" s="2797"/>
      <c r="BR18" s="2797"/>
      <c r="BS18" s="2797"/>
      <c r="BT18" s="2797"/>
      <c r="BU18" s="2797"/>
      <c r="BV18" s="3305"/>
      <c r="BW18" s="2797"/>
      <c r="BY18" s="2797"/>
      <c r="BZ18" s="2797"/>
      <c r="CA18" s="2797"/>
      <c r="CB18" s="2797"/>
      <c r="CC18" s="2797"/>
      <c r="CD18" s="3305"/>
      <c r="CE18" s="2797"/>
      <c r="CG18" s="2797"/>
      <c r="CH18" s="2797"/>
      <c r="CI18" s="2797"/>
      <c r="CJ18" s="2797"/>
      <c r="CK18" s="2797"/>
      <c r="CL18" s="3305"/>
      <c r="CM18" s="2797"/>
    </row>
    <row r="19" spans="1:91" s="8" customFormat="1" ht="24.95" customHeight="1" thickBot="1" x14ac:dyDescent="0.3">
      <c r="A19" s="4203"/>
      <c r="B19" s="4203"/>
      <c r="C19" s="4203"/>
      <c r="D19" s="4203"/>
      <c r="E19" s="4203"/>
      <c r="F19" s="4203"/>
      <c r="I19" s="6983" t="s">
        <v>1512</v>
      </c>
      <c r="J19" s="20"/>
      <c r="K19" s="3648"/>
      <c r="L19" s="7004"/>
      <c r="M19" s="7004"/>
      <c r="N19" s="7004"/>
      <c r="O19" s="7004"/>
      <c r="P19" s="7004"/>
      <c r="Q19" s="7004"/>
      <c r="R19" s="7004"/>
      <c r="S19" s="7004"/>
      <c r="T19" s="7004"/>
      <c r="U19" s="7004"/>
      <c r="V19" s="7004"/>
      <c r="W19" s="7004"/>
      <c r="X19" s="7004"/>
      <c r="Y19" s="7004"/>
      <c r="Z19" s="7004"/>
      <c r="AA19" s="7004"/>
      <c r="AB19" s="7004"/>
      <c r="AC19" s="7004"/>
      <c r="AD19" s="7004"/>
      <c r="AE19" s="7004"/>
      <c r="AF19" s="3649"/>
      <c r="AG19" s="181"/>
      <c r="AH19" s="181"/>
      <c r="AI19" s="181"/>
      <c r="AJ19" s="181"/>
      <c r="AK19" s="2797"/>
      <c r="AL19" s="2797"/>
      <c r="AM19" s="2797"/>
      <c r="AN19" s="2797"/>
      <c r="AO19" s="2797"/>
      <c r="AP19" s="3305"/>
      <c r="AQ19" s="2797"/>
      <c r="AR19" s="181"/>
      <c r="AS19" s="2797"/>
      <c r="AT19" s="2797"/>
      <c r="AU19" s="2797"/>
      <c r="AV19" s="2797"/>
      <c r="AW19" s="2797"/>
      <c r="AX19" s="3305"/>
      <c r="AY19" s="2797"/>
      <c r="AZ19" s="2797"/>
      <c r="BA19" s="2797"/>
      <c r="BB19" s="2797"/>
      <c r="BC19" s="2797"/>
      <c r="BD19" s="2797"/>
      <c r="BE19" s="2797"/>
      <c r="BF19" s="3305"/>
      <c r="BG19" s="2797"/>
      <c r="BI19" s="2797"/>
      <c r="BJ19" s="2797"/>
      <c r="BK19" s="2797"/>
      <c r="BL19" s="2797"/>
      <c r="BM19" s="2797"/>
      <c r="BN19" s="3305"/>
      <c r="BO19" s="2797"/>
      <c r="BQ19" s="2797"/>
      <c r="BR19" s="2797"/>
      <c r="BS19" s="2797"/>
      <c r="BT19" s="2797"/>
      <c r="BU19" s="2797"/>
      <c r="BV19" s="3305"/>
      <c r="BW19" s="2797"/>
      <c r="BY19" s="2797"/>
      <c r="BZ19" s="2797"/>
      <c r="CA19" s="2797"/>
      <c r="CB19" s="2797"/>
      <c r="CC19" s="2797"/>
      <c r="CD19" s="3305"/>
      <c r="CE19" s="2797"/>
      <c r="CG19" s="2797"/>
      <c r="CH19" s="2797"/>
      <c r="CI19" s="2797"/>
      <c r="CJ19" s="2797"/>
      <c r="CK19" s="2797"/>
      <c r="CL19" s="3305"/>
      <c r="CM19" s="2797"/>
    </row>
    <row r="20" spans="1:91" s="8" customFormat="1" ht="15" customHeight="1" thickBot="1" x14ac:dyDescent="0.3">
      <c r="A20" s="4203"/>
      <c r="B20" s="4203"/>
      <c r="C20" s="4203"/>
      <c r="D20" s="4203"/>
      <c r="E20" s="4203"/>
      <c r="F20" s="4203"/>
      <c r="I20" s="6983"/>
      <c r="J20" s="20"/>
      <c r="K20" s="14"/>
      <c r="L20" s="21"/>
      <c r="M20" s="21"/>
      <c r="N20" s="21"/>
      <c r="O20" s="13"/>
      <c r="P20" s="16"/>
      <c r="Q20" s="17"/>
      <c r="R20" s="16"/>
      <c r="S20" s="16"/>
      <c r="T20" s="2720"/>
      <c r="U20" s="181"/>
      <c r="V20" s="181"/>
      <c r="W20" s="181"/>
      <c r="X20" s="181"/>
      <c r="Y20" s="181"/>
      <c r="Z20" s="181"/>
      <c r="AA20" s="181"/>
      <c r="AB20" s="181"/>
      <c r="AC20" s="181"/>
      <c r="AD20" s="181"/>
      <c r="AE20" s="181"/>
      <c r="AF20" s="181"/>
      <c r="AG20" s="181"/>
      <c r="AH20" s="181"/>
      <c r="AI20" s="181"/>
      <c r="AJ20" s="181"/>
      <c r="AK20" s="2797"/>
      <c r="AL20" s="2797"/>
      <c r="AM20" s="2797"/>
      <c r="AN20" s="2797"/>
      <c r="AO20" s="2797"/>
      <c r="AP20" s="3305"/>
      <c r="AQ20" s="2797"/>
      <c r="AR20" s="181"/>
      <c r="AS20" s="2797"/>
      <c r="AT20" s="2797"/>
      <c r="AU20" s="2797"/>
      <c r="AV20" s="2797"/>
      <c r="AW20" s="2797"/>
      <c r="AX20" s="3305"/>
      <c r="AY20" s="2797"/>
      <c r="AZ20" s="2797"/>
      <c r="BA20" s="2797"/>
      <c r="BB20" s="2797"/>
      <c r="BC20" s="2797"/>
      <c r="BD20" s="2797"/>
      <c r="BE20" s="2797"/>
      <c r="BF20" s="3305"/>
      <c r="BG20" s="2797"/>
      <c r="BI20" s="2797"/>
      <c r="BJ20" s="2797"/>
      <c r="BK20" s="2797"/>
      <c r="BL20" s="2797"/>
      <c r="BM20" s="2797"/>
      <c r="BN20" s="3305"/>
      <c r="BO20" s="2797"/>
      <c r="BQ20" s="2797"/>
      <c r="BR20" s="2797"/>
      <c r="BS20" s="2797"/>
      <c r="BT20" s="2797"/>
      <c r="BU20" s="2797"/>
      <c r="BV20" s="3305"/>
      <c r="BW20" s="2797"/>
      <c r="BY20" s="2797"/>
      <c r="BZ20" s="2797"/>
      <c r="CA20" s="2797"/>
      <c r="CB20" s="2797"/>
      <c r="CC20" s="2797"/>
      <c r="CD20" s="3305"/>
      <c r="CE20" s="2797"/>
      <c r="CG20" s="2797"/>
      <c r="CH20" s="2797"/>
      <c r="CI20" s="2797"/>
      <c r="CJ20" s="2797"/>
      <c r="CK20" s="2797"/>
      <c r="CL20" s="3305"/>
      <c r="CM20" s="2797"/>
    </row>
    <row r="21" spans="1:91" s="8" customFormat="1" ht="15" customHeight="1" thickBot="1" x14ac:dyDescent="0.3">
      <c r="A21" s="4203"/>
      <c r="B21" s="4203"/>
      <c r="C21" s="4203"/>
      <c r="D21" s="4203"/>
      <c r="E21" s="4203"/>
      <c r="F21" s="4203"/>
      <c r="I21" s="6983"/>
      <c r="J21" s="676"/>
      <c r="K21" s="4435"/>
      <c r="L21" s="4436"/>
      <c r="M21" s="4436"/>
      <c r="N21" s="4437"/>
      <c r="O21" s="4438"/>
      <c r="P21" s="4436"/>
      <c r="Q21" s="4436"/>
      <c r="R21" s="4439"/>
      <c r="S21" s="4440"/>
      <c r="T21" s="4441"/>
      <c r="U21" s="4508"/>
      <c r="V21" s="4508"/>
      <c r="W21" s="4509"/>
      <c r="X21" s="4442"/>
      <c r="Y21" s="4442"/>
      <c r="Z21" s="4442"/>
      <c r="AA21" s="4442"/>
      <c r="AB21" s="4442"/>
      <c r="AC21" s="4509"/>
      <c r="AD21" s="4509"/>
      <c r="AE21" s="4443"/>
      <c r="AF21" s="4444"/>
      <c r="AG21" s="3434"/>
      <c r="AH21" s="3434"/>
      <c r="AI21" s="974"/>
      <c r="AJ21" s="974"/>
      <c r="AK21" s="974"/>
      <c r="AR21" s="181"/>
      <c r="AS21" s="2797"/>
      <c r="AT21" s="2797"/>
      <c r="AU21" s="2797"/>
      <c r="AV21" s="2797"/>
      <c r="AW21" s="2797"/>
      <c r="AX21" s="3305"/>
      <c r="AY21" s="2797"/>
      <c r="AZ21" s="2797"/>
      <c r="BA21" s="2797"/>
      <c r="BB21" s="2797"/>
      <c r="BC21" s="2797"/>
      <c r="BD21" s="2797"/>
      <c r="BE21" s="2797"/>
      <c r="BF21" s="3305"/>
      <c r="BG21" s="2797"/>
      <c r="BI21" s="2797"/>
      <c r="BJ21" s="2797"/>
      <c r="BK21" s="2797"/>
      <c r="BL21" s="2797"/>
      <c r="BM21" s="2797"/>
      <c r="BN21" s="3305"/>
      <c r="BO21" s="2797"/>
      <c r="BQ21" s="2797"/>
      <c r="BR21" s="2797"/>
      <c r="BS21" s="2797"/>
      <c r="BT21" s="2797"/>
      <c r="BU21" s="2797"/>
      <c r="BV21" s="3305"/>
      <c r="BW21" s="2797"/>
      <c r="BY21" s="2797"/>
      <c r="BZ21" s="2797"/>
      <c r="CA21" s="2797"/>
      <c r="CB21" s="2797"/>
      <c r="CC21" s="2797"/>
      <c r="CD21" s="3305"/>
      <c r="CE21" s="2797"/>
      <c r="CG21" s="2797"/>
      <c r="CH21" s="2797"/>
      <c r="CI21" s="2797"/>
      <c r="CJ21" s="2797"/>
      <c r="CK21" s="2797"/>
      <c r="CL21" s="3305"/>
      <c r="CM21" s="2797"/>
    </row>
    <row r="22" spans="1:91" s="8" customFormat="1" ht="24.95" customHeight="1" thickBot="1" x14ac:dyDescent="0.3">
      <c r="A22" s="4203"/>
      <c r="B22" s="4203"/>
      <c r="C22" s="4203"/>
      <c r="D22" s="4203"/>
      <c r="E22" s="4203"/>
      <c r="F22" s="4203"/>
      <c r="I22" s="6983"/>
      <c r="J22" s="676"/>
      <c r="K22" s="4446"/>
      <c r="L22" s="4381" t="str">
        <f>Prosjektinfo!F49</f>
        <v>Tunneltype</v>
      </c>
      <c r="M22" s="4381"/>
      <c r="N22" s="4382"/>
      <c r="O22" s="4383" t="s">
        <v>149</v>
      </c>
      <c r="P22" s="4381"/>
      <c r="Q22" s="4381"/>
      <c r="R22" s="4447"/>
      <c r="S22" s="4440"/>
      <c r="T22" s="4448"/>
      <c r="U22" s="4510"/>
      <c r="V22" s="6980" t="str">
        <f>_Calcs_Klasse!$AI$50</f>
        <v>Vegtunnel</v>
      </c>
      <c r="W22" s="6981"/>
      <c r="X22" s="6981"/>
      <c r="Y22" s="6981"/>
      <c r="Z22" s="6981"/>
      <c r="AA22" s="6981"/>
      <c r="AB22" s="6981"/>
      <c r="AC22" s="6982"/>
      <c r="AD22" s="4449"/>
      <c r="AE22" s="4427" t="str">
        <f>Prosjektinfo!$U$49</f>
        <v>✓</v>
      </c>
      <c r="AF22" s="4450"/>
      <c r="AG22" s="3434"/>
      <c r="AH22" s="3434"/>
      <c r="AI22" s="974"/>
      <c r="AJ22" s="974"/>
      <c r="AK22" s="974"/>
      <c r="AR22" s="181"/>
      <c r="AS22" s="2797"/>
      <c r="AT22" s="2797"/>
      <c r="AU22" s="2797"/>
      <c r="AV22" s="2797"/>
      <c r="AW22" s="2797"/>
      <c r="AX22" s="3305"/>
      <c r="AY22" s="2797"/>
      <c r="AZ22" s="2797"/>
      <c r="BA22" s="2797"/>
      <c r="BB22" s="2797"/>
      <c r="BC22" s="2797"/>
      <c r="BD22" s="2797"/>
      <c r="BE22" s="2797"/>
      <c r="BF22" s="3305"/>
      <c r="BG22" s="2797"/>
      <c r="BI22" s="2797"/>
      <c r="BJ22" s="2797"/>
      <c r="BK22" s="2797"/>
      <c r="BL22" s="2797"/>
      <c r="BM22" s="2797"/>
      <c r="BN22" s="3305"/>
      <c r="BO22" s="2797"/>
      <c r="BQ22" s="2797"/>
      <c r="BR22" s="2797"/>
      <c r="BS22" s="2797"/>
      <c r="BT22" s="2797"/>
      <c r="BU22" s="2797"/>
      <c r="BV22" s="3305"/>
      <c r="BW22" s="2797"/>
      <c r="BY22" s="2797"/>
      <c r="BZ22" s="2797"/>
      <c r="CA22" s="2797"/>
      <c r="CB22" s="2797"/>
      <c r="CC22" s="2797"/>
      <c r="CD22" s="3305"/>
      <c r="CE22" s="2797"/>
      <c r="CG22" s="2797"/>
      <c r="CH22" s="2797"/>
      <c r="CI22" s="2797"/>
      <c r="CJ22" s="2797"/>
      <c r="CK22" s="2797"/>
      <c r="CL22" s="3305"/>
      <c r="CM22" s="2797"/>
    </row>
    <row r="23" spans="1:91" s="8" customFormat="1" ht="15" customHeight="1" thickBot="1" x14ac:dyDescent="0.3">
      <c r="A23" s="4203"/>
      <c r="B23" s="4203"/>
      <c r="C23" s="4203"/>
      <c r="D23" s="4203"/>
      <c r="E23" s="4203"/>
      <c r="F23" s="4203"/>
      <c r="I23" s="3651"/>
      <c r="J23" s="676"/>
      <c r="K23" s="4446"/>
      <c r="L23" s="4382"/>
      <c r="M23" s="4382"/>
      <c r="N23" s="4382"/>
      <c r="O23" s="4384"/>
      <c r="P23" s="4381"/>
      <c r="Q23" s="4381"/>
      <c r="R23" s="4447"/>
      <c r="S23" s="4440"/>
      <c r="T23" s="4451"/>
      <c r="U23" s="4510"/>
      <c r="V23" s="4426"/>
      <c r="W23" s="4510"/>
      <c r="X23" s="4426"/>
      <c r="Y23" s="4426"/>
      <c r="Z23" s="4384"/>
      <c r="AA23" s="4510"/>
      <c r="AB23" s="4510"/>
      <c r="AC23" s="4510"/>
      <c r="AD23" s="4510"/>
      <c r="AE23" s="4384"/>
      <c r="AF23" s="4450"/>
      <c r="AG23" s="3434"/>
      <c r="AH23" s="3434"/>
      <c r="AI23" s="974"/>
      <c r="AJ23" s="974"/>
      <c r="AK23" s="974"/>
      <c r="AR23" s="181"/>
      <c r="AS23" s="2797"/>
      <c r="AT23" s="2797"/>
      <c r="AU23" s="2797"/>
      <c r="AV23" s="2797"/>
      <c r="AW23" s="2797"/>
      <c r="AX23" s="3305"/>
      <c r="AY23" s="2797"/>
      <c r="AZ23" s="2797"/>
      <c r="BA23" s="2797"/>
      <c r="BB23" s="2797"/>
      <c r="BC23" s="2797"/>
      <c r="BD23" s="2797"/>
      <c r="BE23" s="2797"/>
      <c r="BF23" s="3305"/>
      <c r="BG23" s="2797"/>
      <c r="BI23" s="2797"/>
      <c r="BJ23" s="2797"/>
      <c r="BK23" s="2797"/>
      <c r="BL23" s="2797"/>
      <c r="BM23" s="2797"/>
      <c r="BN23" s="3305"/>
      <c r="BO23" s="2797"/>
      <c r="BQ23" s="2797"/>
      <c r="BR23" s="2797"/>
      <c r="BS23" s="2797"/>
      <c r="BT23" s="2797"/>
      <c r="BU23" s="2797"/>
      <c r="BV23" s="3305"/>
      <c r="BW23" s="2797"/>
      <c r="BY23" s="2797"/>
      <c r="BZ23" s="2797"/>
      <c r="CA23" s="2797"/>
      <c r="CB23" s="2797"/>
      <c r="CC23" s="2797"/>
      <c r="CD23" s="3305"/>
      <c r="CE23" s="2797"/>
      <c r="CG23" s="2797"/>
      <c r="CH23" s="2797"/>
      <c r="CI23" s="2797"/>
      <c r="CJ23" s="2797"/>
      <c r="CK23" s="2797"/>
      <c r="CL23" s="3305"/>
      <c r="CM23" s="2797"/>
    </row>
    <row r="24" spans="1:91" s="8" customFormat="1" ht="24.95" customHeight="1" thickBot="1" x14ac:dyDescent="0.3">
      <c r="A24" s="4203"/>
      <c r="B24" s="4203"/>
      <c r="C24" s="4203"/>
      <c r="D24" s="4203"/>
      <c r="E24" s="4203"/>
      <c r="F24" s="4203"/>
      <c r="I24" s="3651"/>
      <c r="J24" s="676"/>
      <c r="K24" s="4446"/>
      <c r="L24" s="4381" t="str">
        <f>Prosjektinfo!F55</f>
        <v>Tunnelprofil</v>
      </c>
      <c r="M24" s="4381"/>
      <c r="N24" s="4382"/>
      <c r="O24" s="4383" t="s">
        <v>149</v>
      </c>
      <c r="P24" s="4381"/>
      <c r="Q24" s="4381"/>
      <c r="R24" s="4447"/>
      <c r="S24" s="4440"/>
      <c r="T24" s="4448"/>
      <c r="U24" s="4510"/>
      <c r="V24" s="6980">
        <f>_Calcs_Klasse!$AI$38</f>
        <v>0</v>
      </c>
      <c r="W24" s="6981"/>
      <c r="X24" s="6981"/>
      <c r="Y24" s="6981"/>
      <c r="Z24" s="6981"/>
      <c r="AA24" s="6981"/>
      <c r="AB24" s="6981"/>
      <c r="AC24" s="6982"/>
      <c r="AD24" s="4449"/>
      <c r="AE24" s="4427" t="str">
        <f>Prosjektinfo!$U$55</f>
        <v>!</v>
      </c>
      <c r="AF24" s="4450"/>
      <c r="AG24" s="3434"/>
      <c r="AH24" s="3434"/>
      <c r="AI24" s="974"/>
      <c r="AJ24" s="974"/>
      <c r="AK24" s="974"/>
      <c r="AR24" s="181"/>
      <c r="AS24" s="2797"/>
      <c r="AT24" s="2797"/>
      <c r="AU24" s="2797"/>
      <c r="AV24" s="2797"/>
      <c r="AW24" s="2797"/>
      <c r="AX24" s="3305"/>
      <c r="AY24" s="2797"/>
      <c r="AZ24" s="2797"/>
      <c r="BA24" s="2797"/>
      <c r="BB24" s="2797"/>
      <c r="BC24" s="2797"/>
      <c r="BD24" s="2797"/>
      <c r="BE24" s="2797"/>
      <c r="BF24" s="3305"/>
      <c r="BG24" s="2797"/>
      <c r="BI24" s="2797"/>
      <c r="BJ24" s="2797"/>
      <c r="BK24" s="2797"/>
      <c r="BL24" s="2797"/>
      <c r="BM24" s="2797"/>
      <c r="BN24" s="3305"/>
      <c r="BO24" s="2797"/>
      <c r="BQ24" s="2797"/>
      <c r="BR24" s="2797"/>
      <c r="BS24" s="2797"/>
      <c r="BT24" s="2797"/>
      <c r="BU24" s="2797"/>
      <c r="BV24" s="3305"/>
      <c r="BW24" s="2797"/>
      <c r="BY24" s="2797"/>
      <c r="BZ24" s="2797"/>
      <c r="CA24" s="2797"/>
      <c r="CB24" s="2797"/>
      <c r="CC24" s="2797"/>
      <c r="CD24" s="3305"/>
      <c r="CE24" s="2797"/>
      <c r="CG24" s="2797"/>
      <c r="CH24" s="2797"/>
      <c r="CI24" s="2797"/>
      <c r="CJ24" s="2797"/>
      <c r="CK24" s="2797"/>
      <c r="CL24" s="3305"/>
      <c r="CM24" s="2797"/>
    </row>
    <row r="25" spans="1:91" s="8" customFormat="1" ht="15" customHeight="1" thickBot="1" x14ac:dyDescent="0.3">
      <c r="A25" s="4203"/>
      <c r="B25" s="4203"/>
      <c r="C25" s="4203"/>
      <c r="D25" s="4203"/>
      <c r="E25" s="4203"/>
      <c r="F25" s="4203"/>
      <c r="I25" s="3651"/>
      <c r="J25" s="676"/>
      <c r="K25" s="4446"/>
      <c r="L25" s="4382"/>
      <c r="M25" s="4382"/>
      <c r="N25" s="4382"/>
      <c r="O25" s="4384"/>
      <c r="P25" s="4381"/>
      <c r="Q25" s="4381"/>
      <c r="R25" s="4447"/>
      <c r="S25" s="4440"/>
      <c r="T25" s="4451"/>
      <c r="U25" s="4510"/>
      <c r="V25" s="4426"/>
      <c r="W25" s="4510"/>
      <c r="X25" s="4426"/>
      <c r="Y25" s="4426"/>
      <c r="Z25" s="4384"/>
      <c r="AA25" s="4510"/>
      <c r="AB25" s="4510"/>
      <c r="AC25" s="4510"/>
      <c r="AD25" s="4510"/>
      <c r="AE25" s="4384"/>
      <c r="AF25" s="4450"/>
      <c r="AG25" s="3434"/>
      <c r="AH25" s="3434"/>
      <c r="AI25" s="974"/>
      <c r="AJ25" s="974"/>
      <c r="AK25" s="974"/>
      <c r="AR25" s="181"/>
      <c r="AS25" s="2797"/>
      <c r="AT25" s="2797"/>
      <c r="AU25" s="2797"/>
      <c r="AV25" s="2797"/>
      <c r="AW25" s="2797"/>
      <c r="AX25" s="3305"/>
      <c r="AY25" s="2797"/>
      <c r="AZ25" s="2797"/>
      <c r="BA25" s="2797"/>
      <c r="BB25" s="2797"/>
      <c r="BC25" s="2797"/>
      <c r="BD25" s="2797"/>
      <c r="BE25" s="2797"/>
      <c r="BF25" s="3305"/>
      <c r="BG25" s="2797"/>
      <c r="BI25" s="2797"/>
      <c r="BJ25" s="2797"/>
      <c r="BK25" s="2797"/>
      <c r="BL25" s="2797"/>
      <c r="BM25" s="2797"/>
      <c r="BN25" s="3305"/>
      <c r="BO25" s="2797"/>
      <c r="BQ25" s="2797"/>
      <c r="BR25" s="2797"/>
      <c r="BS25" s="2797"/>
      <c r="BT25" s="2797"/>
      <c r="BU25" s="2797"/>
      <c r="BV25" s="3305"/>
      <c r="BW25" s="2797"/>
      <c r="BY25" s="2797"/>
      <c r="BZ25" s="2797"/>
      <c r="CA25" s="2797"/>
      <c r="CB25" s="2797"/>
      <c r="CC25" s="2797"/>
      <c r="CD25" s="3305"/>
      <c r="CE25" s="2797"/>
      <c r="CG25" s="2797"/>
      <c r="CH25" s="2797"/>
      <c r="CI25" s="2797"/>
      <c r="CJ25" s="2797"/>
      <c r="CK25" s="2797"/>
      <c r="CL25" s="3305"/>
      <c r="CM25" s="2797"/>
    </row>
    <row r="26" spans="1:91" s="8" customFormat="1" ht="24.95" customHeight="1" thickBot="1" x14ac:dyDescent="0.3">
      <c r="A26" s="4203"/>
      <c r="B26" s="4203"/>
      <c r="C26" s="4203"/>
      <c r="D26" s="4203"/>
      <c r="E26" s="4203"/>
      <c r="F26" s="4203"/>
      <c r="I26" s="3651"/>
      <c r="J26" s="676"/>
      <c r="K26" s="4446"/>
      <c r="L26" s="4381" t="str">
        <f>Prosjektinfo!F59</f>
        <v>Standard teoretisk
sprengningsprofil (eks. grøfter)</v>
      </c>
      <c r="M26" s="4381"/>
      <c r="N26" s="4382"/>
      <c r="O26" s="4383" t="s">
        <v>149</v>
      </c>
      <c r="P26" s="4381"/>
      <c r="Q26" s="4381" t="s">
        <v>2139</v>
      </c>
      <c r="R26" s="4447"/>
      <c r="S26" s="4440"/>
      <c r="T26" s="4448"/>
      <c r="U26" s="4510"/>
      <c r="V26" s="6984" t="str">
        <f>Prosjektinfo!$AE$59</f>
        <v/>
      </c>
      <c r="W26" s="6985"/>
      <c r="X26" s="6985"/>
      <c r="Y26" s="6985"/>
      <c r="Z26" s="6985"/>
      <c r="AA26" s="6985"/>
      <c r="AB26" s="6985"/>
      <c r="AC26" s="6986"/>
      <c r="AD26" s="4452"/>
      <c r="AE26" s="4427" t="str">
        <f>Prosjektinfo!$U$59</f>
        <v>!</v>
      </c>
      <c r="AF26" s="4450"/>
      <c r="AG26" s="3434"/>
      <c r="AH26" s="3434"/>
      <c r="AI26" s="974"/>
      <c r="AJ26" s="974"/>
      <c r="AK26" s="974"/>
      <c r="AR26" s="181"/>
      <c r="AS26" s="2797"/>
      <c r="AT26" s="2797"/>
      <c r="AU26" s="2797"/>
      <c r="AV26" s="2797"/>
      <c r="AW26" s="2797"/>
      <c r="AX26" s="3305"/>
      <c r="AY26" s="2797"/>
      <c r="AZ26" s="2797"/>
      <c r="BA26" s="2797"/>
      <c r="BB26" s="2797"/>
      <c r="BC26" s="2797"/>
      <c r="BD26" s="2797"/>
      <c r="BE26" s="2797"/>
      <c r="BF26" s="3305"/>
      <c r="BG26" s="2797"/>
      <c r="BI26" s="2797"/>
      <c r="BJ26" s="2797"/>
      <c r="BK26" s="2797"/>
      <c r="BL26" s="2797"/>
      <c r="BM26" s="2797"/>
      <c r="BN26" s="3305"/>
      <c r="BO26" s="2797"/>
      <c r="BQ26" s="2797"/>
      <c r="BR26" s="2797"/>
      <c r="BS26" s="2797"/>
      <c r="BT26" s="2797"/>
      <c r="BU26" s="2797"/>
      <c r="BV26" s="3305"/>
      <c r="BW26" s="2797"/>
      <c r="BY26" s="2797"/>
      <c r="BZ26" s="2797"/>
      <c r="CA26" s="2797"/>
      <c r="CB26" s="2797"/>
      <c r="CC26" s="2797"/>
      <c r="CD26" s="3305"/>
      <c r="CE26" s="2797"/>
      <c r="CG26" s="2797"/>
      <c r="CH26" s="2797"/>
      <c r="CI26" s="2797"/>
      <c r="CJ26" s="2797"/>
      <c r="CK26" s="2797"/>
      <c r="CL26" s="3305"/>
      <c r="CM26" s="2797"/>
    </row>
    <row r="27" spans="1:91" s="8" customFormat="1" ht="15" customHeight="1" thickBot="1" x14ac:dyDescent="0.3">
      <c r="A27" s="4203"/>
      <c r="B27" s="4203"/>
      <c r="C27" s="4203"/>
      <c r="D27" s="4203"/>
      <c r="E27" s="4203"/>
      <c r="F27" s="4203"/>
      <c r="I27" s="3652"/>
      <c r="J27" s="676"/>
      <c r="K27" s="4453"/>
      <c r="L27" s="4385"/>
      <c r="M27" s="4385"/>
      <c r="N27" s="4386"/>
      <c r="O27" s="4387"/>
      <c r="P27" s="4385"/>
      <c r="Q27" s="4385"/>
      <c r="R27" s="4454"/>
      <c r="S27" s="4440"/>
      <c r="T27" s="4455"/>
      <c r="U27" s="4511"/>
      <c r="V27" s="4512"/>
      <c r="W27" s="4512"/>
      <c r="X27" s="4456"/>
      <c r="Y27" s="4456"/>
      <c r="Z27" s="4456"/>
      <c r="AA27" s="4456"/>
      <c r="AB27" s="4456"/>
      <c r="AC27" s="4512"/>
      <c r="AD27" s="4512"/>
      <c r="AE27" s="4428"/>
      <c r="AF27" s="4457"/>
      <c r="AG27" s="3434"/>
      <c r="AH27" s="3434"/>
      <c r="AI27" s="974"/>
      <c r="AJ27" s="974"/>
      <c r="AK27" s="974"/>
      <c r="AR27" s="181"/>
      <c r="AS27" s="2797"/>
      <c r="AT27" s="2797"/>
      <c r="AU27" s="2797"/>
      <c r="AV27" s="2797"/>
      <c r="AW27" s="2797"/>
      <c r="AX27" s="3305"/>
      <c r="AY27" s="2797"/>
      <c r="AZ27" s="2797"/>
      <c r="BA27" s="2797"/>
      <c r="BB27" s="2797"/>
      <c r="BC27" s="2797"/>
      <c r="BD27" s="2797"/>
      <c r="BE27" s="2797"/>
      <c r="BF27" s="3305"/>
      <c r="BG27" s="2797"/>
      <c r="BI27" s="2797"/>
      <c r="BJ27" s="2797"/>
      <c r="BK27" s="2797"/>
      <c r="BL27" s="2797"/>
      <c r="BM27" s="2797"/>
      <c r="BN27" s="3305"/>
      <c r="BO27" s="2797"/>
      <c r="BQ27" s="2797"/>
      <c r="BR27" s="2797"/>
      <c r="BS27" s="2797"/>
      <c r="BT27" s="2797"/>
      <c r="BU27" s="2797"/>
      <c r="BV27" s="3305"/>
      <c r="BW27" s="2797"/>
      <c r="BY27" s="2797"/>
      <c r="BZ27" s="2797"/>
      <c r="CA27" s="2797"/>
      <c r="CB27" s="2797"/>
      <c r="CC27" s="2797"/>
      <c r="CD27" s="3305"/>
      <c r="CE27" s="2797"/>
      <c r="CG27" s="2797"/>
      <c r="CH27" s="2797"/>
      <c r="CI27" s="2797"/>
      <c r="CJ27" s="2797"/>
      <c r="CK27" s="2797"/>
      <c r="CL27" s="3305"/>
      <c r="CM27" s="2797"/>
    </row>
    <row r="28" spans="1:91" s="8" customFormat="1" ht="24.95" customHeight="1" x14ac:dyDescent="0.25">
      <c r="A28" s="4203"/>
      <c r="B28" s="4203"/>
      <c r="C28" s="4203"/>
      <c r="D28" s="4203"/>
      <c r="E28" s="4203"/>
      <c r="F28" s="4203"/>
      <c r="H28" s="20"/>
      <c r="I28" s="20"/>
      <c r="J28" s="676"/>
      <c r="K28" s="4458"/>
      <c r="L28" s="4388"/>
      <c r="M28" s="4388"/>
      <c r="N28" s="4389"/>
      <c r="O28" s="4390"/>
      <c r="P28" s="4388"/>
      <c r="Q28" s="4388"/>
      <c r="R28" s="4388"/>
      <c r="S28" s="4440"/>
      <c r="T28" s="3439"/>
      <c r="U28" s="3434"/>
      <c r="V28" s="3434"/>
      <c r="W28" s="974"/>
      <c r="X28" s="3434"/>
      <c r="Y28" s="3434"/>
      <c r="Z28" s="3434"/>
      <c r="AA28" s="3434"/>
      <c r="AB28" s="3434"/>
      <c r="AC28" s="3434"/>
      <c r="AD28" s="3434"/>
      <c r="AE28" s="3434"/>
      <c r="AF28" s="3434"/>
      <c r="AG28" s="3434"/>
      <c r="AH28" s="3434"/>
      <c r="AI28" s="974"/>
      <c r="AJ28" s="974"/>
      <c r="AK28" s="974"/>
      <c r="AR28" s="181"/>
      <c r="AS28" s="2797"/>
      <c r="AT28" s="2797"/>
      <c r="AU28" s="2797"/>
      <c r="AV28" s="2797"/>
      <c r="AW28" s="2797"/>
      <c r="AX28" s="3305"/>
      <c r="AY28" s="2797"/>
      <c r="AZ28" s="2797"/>
      <c r="BA28" s="2797"/>
      <c r="BB28" s="2797"/>
      <c r="BC28" s="2797"/>
      <c r="BD28" s="2797"/>
      <c r="BE28" s="2797"/>
      <c r="BF28" s="3305"/>
      <c r="BG28" s="2797"/>
      <c r="BI28" s="2797"/>
      <c r="BJ28" s="2797"/>
      <c r="BK28" s="2797"/>
      <c r="BL28" s="2797"/>
      <c r="BM28" s="2797"/>
      <c r="BN28" s="3305"/>
      <c r="BO28" s="2797"/>
      <c r="BQ28" s="2797"/>
      <c r="BR28" s="2797"/>
      <c r="BS28" s="2797"/>
      <c r="BT28" s="2797"/>
      <c r="BU28" s="2797"/>
      <c r="BV28" s="3305"/>
      <c r="BW28" s="2797"/>
      <c r="BY28" s="2797"/>
      <c r="BZ28" s="2797"/>
      <c r="CA28" s="2797"/>
      <c r="CB28" s="2797"/>
      <c r="CC28" s="2797"/>
      <c r="CD28" s="3305"/>
      <c r="CE28" s="2797"/>
      <c r="CG28" s="2797"/>
      <c r="CH28" s="2797"/>
      <c r="CI28" s="2797"/>
      <c r="CJ28" s="2797"/>
      <c r="CK28" s="2797"/>
      <c r="CL28" s="3305"/>
      <c r="CM28" s="2797"/>
    </row>
    <row r="29" spans="1:91" s="8" customFormat="1" ht="15" customHeight="1" x14ac:dyDescent="0.25">
      <c r="A29" s="4203"/>
      <c r="B29" s="4203"/>
      <c r="C29" s="4203"/>
      <c r="D29" s="4203"/>
      <c r="E29" s="4203"/>
      <c r="F29" s="4203"/>
      <c r="H29" s="20"/>
      <c r="I29" s="751"/>
      <c r="J29" s="676"/>
      <c r="K29" s="4459"/>
      <c r="L29" s="4391"/>
      <c r="M29" s="4391"/>
      <c r="N29" s="4392"/>
      <c r="O29" s="4393"/>
      <c r="P29" s="4391"/>
      <c r="Q29" s="4391"/>
      <c r="R29" s="4391"/>
      <c r="S29" s="4460"/>
      <c r="T29" s="4513"/>
      <c r="U29" s="4514"/>
      <c r="V29" s="4514"/>
      <c r="W29" s="1000"/>
      <c r="X29" s="4514"/>
      <c r="Y29" s="4514"/>
      <c r="Z29" s="4514"/>
      <c r="AA29" s="4514"/>
      <c r="AB29" s="4514"/>
      <c r="AC29" s="4514"/>
      <c r="AD29" s="4514"/>
      <c r="AE29" s="4514"/>
      <c r="AF29" s="4514"/>
      <c r="AG29" s="3434"/>
      <c r="AH29" s="3434"/>
      <c r="AI29" s="974"/>
      <c r="AJ29" s="974"/>
      <c r="AK29" s="974"/>
      <c r="AR29" s="181"/>
      <c r="AS29" s="2797"/>
      <c r="AT29" s="2797"/>
      <c r="AU29" s="2797"/>
      <c r="AV29" s="2797"/>
      <c r="AW29" s="2797"/>
      <c r="AX29" s="3305"/>
      <c r="AY29" s="2797"/>
      <c r="AZ29" s="2797"/>
      <c r="BA29" s="2797"/>
      <c r="BB29" s="2797"/>
      <c r="BC29" s="2797"/>
      <c r="BD29" s="2797"/>
      <c r="BE29" s="2797"/>
      <c r="BF29" s="3305"/>
      <c r="BG29" s="2797"/>
      <c r="BI29" s="2797"/>
      <c r="BJ29" s="2797"/>
      <c r="BK29" s="2797"/>
      <c r="BL29" s="2797"/>
      <c r="BM29" s="2797"/>
      <c r="BN29" s="3305"/>
      <c r="BO29" s="2797"/>
      <c r="BQ29" s="2797"/>
      <c r="BR29" s="2797"/>
      <c r="BS29" s="2797"/>
      <c r="BT29" s="2797"/>
      <c r="BU29" s="2797"/>
      <c r="BV29" s="3305"/>
      <c r="BW29" s="2797"/>
      <c r="BY29" s="2797"/>
      <c r="BZ29" s="2797"/>
      <c r="CA29" s="2797"/>
      <c r="CB29" s="2797"/>
      <c r="CC29" s="2797"/>
      <c r="CD29" s="3305"/>
      <c r="CE29" s="2797"/>
      <c r="CG29" s="2797"/>
      <c r="CH29" s="2797"/>
      <c r="CI29" s="2797"/>
      <c r="CJ29" s="2797"/>
      <c r="CK29" s="2797"/>
      <c r="CL29" s="3305"/>
      <c r="CM29" s="2797"/>
    </row>
    <row r="30" spans="1:91" s="8" customFormat="1" ht="24.95" customHeight="1" thickBot="1" x14ac:dyDescent="0.3">
      <c r="A30" s="4203"/>
      <c r="B30" s="4203"/>
      <c r="C30" s="4203"/>
      <c r="D30" s="4203"/>
      <c r="E30" s="4203"/>
      <c r="F30" s="4203"/>
      <c r="H30" s="20"/>
      <c r="I30" s="20"/>
      <c r="J30" s="676"/>
      <c r="K30" s="4458"/>
      <c r="L30" s="4388"/>
      <c r="M30" s="4388"/>
      <c r="N30" s="4389"/>
      <c r="O30" s="4390"/>
      <c r="P30" s="4388"/>
      <c r="Q30" s="4388"/>
      <c r="R30" s="4388"/>
      <c r="S30" s="4440"/>
      <c r="T30" s="3439"/>
      <c r="U30" s="3434"/>
      <c r="V30" s="3434"/>
      <c r="W30" s="974"/>
      <c r="X30" s="3434"/>
      <c r="Y30" s="3434"/>
      <c r="Z30" s="3434"/>
      <c r="AA30" s="3434"/>
      <c r="AB30" s="3434"/>
      <c r="AC30" s="3434"/>
      <c r="AD30" s="3434"/>
      <c r="AE30" s="3434"/>
      <c r="AF30" s="3434"/>
      <c r="AG30" s="3434"/>
      <c r="AH30" s="3434"/>
      <c r="AI30" s="974"/>
      <c r="AJ30" s="974"/>
      <c r="AK30" s="974"/>
      <c r="AR30" s="181"/>
      <c r="AS30" s="2797"/>
      <c r="AT30" s="2797"/>
      <c r="AU30" s="2797"/>
      <c r="AV30" s="2797"/>
      <c r="AW30" s="2797"/>
      <c r="AX30" s="3305"/>
      <c r="AY30" s="2797"/>
      <c r="AZ30" s="2797"/>
      <c r="BA30" s="2797"/>
      <c r="BB30" s="2797"/>
      <c r="BC30" s="2797"/>
      <c r="BD30" s="2797"/>
      <c r="BE30" s="2797"/>
      <c r="BF30" s="3305"/>
      <c r="BG30" s="2797"/>
      <c r="BI30" s="2797"/>
      <c r="BJ30" s="2797"/>
      <c r="BK30" s="2797"/>
      <c r="BL30" s="2797"/>
      <c r="BM30" s="2797"/>
      <c r="BN30" s="3305"/>
      <c r="BO30" s="2797"/>
      <c r="BQ30" s="2797"/>
      <c r="BR30" s="2797"/>
      <c r="BS30" s="2797"/>
      <c r="BT30" s="2797"/>
      <c r="BU30" s="2797"/>
      <c r="BV30" s="3305"/>
      <c r="BW30" s="2797"/>
      <c r="BY30" s="2797"/>
      <c r="BZ30" s="2797"/>
      <c r="CA30" s="2797"/>
      <c r="CB30" s="2797"/>
      <c r="CC30" s="2797"/>
      <c r="CD30" s="3305"/>
      <c r="CE30" s="2797"/>
      <c r="CG30" s="2797"/>
      <c r="CH30" s="2797"/>
      <c r="CI30" s="2797"/>
      <c r="CJ30" s="2797"/>
      <c r="CK30" s="2797"/>
      <c r="CL30" s="3305"/>
      <c r="CM30" s="2797"/>
    </row>
    <row r="31" spans="1:91" s="8" customFormat="1" ht="15" customHeight="1" x14ac:dyDescent="0.25">
      <c r="A31" s="4203"/>
      <c r="B31" s="4203"/>
      <c r="C31" s="4203"/>
      <c r="D31" s="4203"/>
      <c r="E31" s="4203"/>
      <c r="F31" s="4203"/>
      <c r="I31" s="3671"/>
      <c r="J31" s="676"/>
      <c r="K31" s="4461"/>
      <c r="L31" s="4394"/>
      <c r="M31" s="4394"/>
      <c r="N31" s="4395"/>
      <c r="O31" s="4396"/>
      <c r="P31" s="4394"/>
      <c r="Q31" s="4394"/>
      <c r="R31" s="4462"/>
      <c r="S31" s="4440"/>
      <c r="T31" s="4515"/>
      <c r="U31" s="4516"/>
      <c r="V31" s="4517"/>
      <c r="W31" s="4517"/>
      <c r="X31" s="4516"/>
      <c r="Y31" s="4516"/>
      <c r="Z31" s="4516"/>
      <c r="AA31" s="4516"/>
      <c r="AB31" s="4516"/>
      <c r="AC31" s="4436"/>
      <c r="AD31" s="4436"/>
      <c r="AE31" s="4429"/>
      <c r="AF31" s="4463"/>
      <c r="AG31" s="3434"/>
      <c r="AH31" s="3434"/>
      <c r="AI31" s="974"/>
      <c r="AJ31" s="974"/>
      <c r="AK31" s="974"/>
      <c r="AR31" s="181"/>
      <c r="AS31" s="2797"/>
      <c r="AT31" s="2797"/>
      <c r="AU31" s="2797"/>
      <c r="AV31" s="2797"/>
      <c r="AW31" s="2797"/>
      <c r="AX31" s="3305"/>
      <c r="AY31" s="2797"/>
      <c r="AZ31" s="2797"/>
      <c r="BA31" s="2797"/>
      <c r="BB31" s="2797"/>
      <c r="BC31" s="2797"/>
      <c r="BD31" s="2797"/>
      <c r="BE31" s="2797"/>
      <c r="BF31" s="3305"/>
      <c r="BG31" s="2797"/>
      <c r="BI31" s="2797"/>
      <c r="BJ31" s="2797"/>
      <c r="BK31" s="2797"/>
      <c r="BL31" s="2797"/>
      <c r="BM31" s="2797"/>
      <c r="BN31" s="3305"/>
      <c r="BO31" s="2797"/>
      <c r="BQ31" s="2797"/>
      <c r="BR31" s="2797"/>
      <c r="BS31" s="2797"/>
      <c r="BT31" s="2797"/>
      <c r="BU31" s="2797"/>
      <c r="BV31" s="3305"/>
      <c r="BW31" s="2797"/>
      <c r="BY31" s="2797"/>
      <c r="BZ31" s="2797"/>
      <c r="CA31" s="2797"/>
      <c r="CB31" s="2797"/>
      <c r="CC31" s="2797"/>
      <c r="CD31" s="3305"/>
      <c r="CE31" s="2797"/>
      <c r="CG31" s="2797"/>
      <c r="CH31" s="2797"/>
      <c r="CI31" s="2797"/>
      <c r="CJ31" s="2797"/>
      <c r="CK31" s="2797"/>
      <c r="CL31" s="3305"/>
      <c r="CM31" s="2797"/>
    </row>
    <row r="32" spans="1:91" s="8" customFormat="1" ht="12.95" customHeight="1" x14ac:dyDescent="0.25">
      <c r="A32" s="4203"/>
      <c r="B32" s="4203"/>
      <c r="C32" s="4203"/>
      <c r="D32" s="4203"/>
      <c r="E32" s="4203"/>
      <c r="F32" s="4203"/>
      <c r="I32" s="6996" t="s">
        <v>1486</v>
      </c>
      <c r="J32" s="676"/>
      <c r="K32" s="4518"/>
      <c r="L32" s="4397"/>
      <c r="M32" s="4397"/>
      <c r="N32" s="4519"/>
      <c r="O32" s="4520"/>
      <c r="P32" s="4519"/>
      <c r="Q32" s="4521"/>
      <c r="R32" s="4522"/>
      <c r="S32" s="4464"/>
      <c r="T32" s="4523"/>
      <c r="U32" s="4510"/>
      <c r="V32" s="6813" t="str">
        <f>_Calcs!$M$19</f>
        <v>Brukerdefinert</v>
      </c>
      <c r="W32" s="6813"/>
      <c r="X32" s="6813"/>
      <c r="Y32" s="4510"/>
      <c r="Z32" s="7000" t="str">
        <f>_Calcs!$M$18</f>
        <v>Standard</v>
      </c>
      <c r="AA32" s="7000"/>
      <c r="AB32" s="7000"/>
      <c r="AC32" s="7000"/>
      <c r="AD32" s="4465"/>
      <c r="AE32" s="4524"/>
      <c r="AF32" s="4525"/>
      <c r="AG32" s="3434"/>
      <c r="AH32" s="3434"/>
      <c r="AI32" s="974"/>
      <c r="AJ32" s="974"/>
      <c r="AK32" s="974"/>
      <c r="AR32" s="181"/>
      <c r="AS32" s="2797"/>
      <c r="AT32" s="2797"/>
      <c r="AU32" s="2797"/>
      <c r="AV32" s="2797"/>
      <c r="AW32" s="2797"/>
      <c r="AX32" s="3305"/>
      <c r="AY32" s="2797"/>
      <c r="AZ32" s="2797"/>
      <c r="BA32" s="2797"/>
      <c r="BB32" s="2797"/>
      <c r="BC32" s="2797"/>
      <c r="BD32" s="2797"/>
      <c r="BE32" s="2797"/>
      <c r="BF32" s="3305"/>
      <c r="BG32" s="2797"/>
      <c r="BI32" s="2797"/>
      <c r="BJ32" s="2797"/>
      <c r="BK32" s="2797"/>
      <c r="BL32" s="2797"/>
      <c r="BM32" s="2797"/>
      <c r="BN32" s="3305"/>
      <c r="BO32" s="2797"/>
      <c r="BQ32" s="2797"/>
      <c r="BR32" s="2797"/>
      <c r="BS32" s="2797"/>
      <c r="BT32" s="2797"/>
      <c r="BU32" s="2797"/>
      <c r="BV32" s="3305"/>
      <c r="BW32" s="2797"/>
      <c r="BY32" s="2797"/>
      <c r="BZ32" s="2797"/>
      <c r="CA32" s="2797"/>
      <c r="CB32" s="2797"/>
      <c r="CC32" s="2797"/>
      <c r="CD32" s="3305"/>
      <c r="CE32" s="2797"/>
      <c r="CG32" s="2797"/>
      <c r="CH32" s="2797"/>
      <c r="CI32" s="2797"/>
      <c r="CJ32" s="2797"/>
      <c r="CK32" s="2797"/>
      <c r="CL32" s="3305"/>
      <c r="CM32" s="2797"/>
    </row>
    <row r="33" spans="1:91" s="8" customFormat="1" ht="3" customHeight="1" thickBot="1" x14ac:dyDescent="0.3">
      <c r="A33" s="4203"/>
      <c r="B33" s="4203"/>
      <c r="C33" s="4203"/>
      <c r="D33" s="4203"/>
      <c r="E33" s="4203"/>
      <c r="F33" s="4203"/>
      <c r="I33" s="6996"/>
      <c r="J33" s="676"/>
      <c r="K33" s="4518"/>
      <c r="L33" s="4397"/>
      <c r="M33" s="4397"/>
      <c r="N33" s="4519"/>
      <c r="O33" s="4520"/>
      <c r="P33" s="4519"/>
      <c r="Q33" s="4521"/>
      <c r="R33" s="4522"/>
      <c r="S33" s="4464"/>
      <c r="T33" s="4523"/>
      <c r="U33" s="4524"/>
      <c r="V33" s="4510"/>
      <c r="W33" s="4510"/>
      <c r="X33" s="4524"/>
      <c r="Y33" s="4524"/>
      <c r="Z33" s="4524"/>
      <c r="AA33" s="4524"/>
      <c r="AB33" s="4510"/>
      <c r="AC33" s="4524"/>
      <c r="AD33" s="4524"/>
      <c r="AE33" s="4524"/>
      <c r="AF33" s="4525"/>
      <c r="AG33" s="3434"/>
      <c r="AH33" s="3434"/>
      <c r="AI33" s="974"/>
      <c r="AJ33" s="974"/>
      <c r="AK33" s="974"/>
      <c r="AR33" s="181"/>
      <c r="AS33" s="2797"/>
      <c r="AT33" s="2797"/>
      <c r="AU33" s="2797"/>
      <c r="AV33" s="2797"/>
      <c r="AW33" s="2797"/>
      <c r="AX33" s="3305"/>
      <c r="AY33" s="2797"/>
      <c r="AZ33" s="2797"/>
      <c r="BA33" s="2797"/>
      <c r="BB33" s="2797"/>
      <c r="BC33" s="2797"/>
      <c r="BD33" s="2797"/>
      <c r="BE33" s="2797"/>
      <c r="BF33" s="3305"/>
      <c r="BG33" s="2797"/>
      <c r="BI33" s="2797"/>
      <c r="BJ33" s="2797"/>
      <c r="BK33" s="2797"/>
      <c r="BL33" s="2797"/>
      <c r="BM33" s="2797"/>
      <c r="BN33" s="3305"/>
      <c r="BO33" s="2797"/>
      <c r="BQ33" s="2797"/>
      <c r="BR33" s="2797"/>
      <c r="BS33" s="2797"/>
      <c r="BT33" s="2797"/>
      <c r="BU33" s="2797"/>
      <c r="BV33" s="3305"/>
      <c r="BW33" s="2797"/>
      <c r="BY33" s="2797"/>
      <c r="BZ33" s="2797"/>
      <c r="CA33" s="2797"/>
      <c r="CB33" s="2797"/>
      <c r="CC33" s="2797"/>
      <c r="CD33" s="3305"/>
      <c r="CE33" s="2797"/>
      <c r="CG33" s="2797"/>
      <c r="CH33" s="2797"/>
      <c r="CI33" s="2797"/>
      <c r="CJ33" s="2797"/>
      <c r="CK33" s="2797"/>
      <c r="CL33" s="3305"/>
      <c r="CM33" s="2797"/>
    </row>
    <row r="34" spans="1:91" s="8" customFormat="1" ht="24.95" customHeight="1" thickBot="1" x14ac:dyDescent="0.3">
      <c r="A34" s="4203"/>
      <c r="B34" s="4203"/>
      <c r="C34" s="4203"/>
      <c r="D34" s="4203"/>
      <c r="E34" s="4203"/>
      <c r="F34" s="4203"/>
      <c r="I34" s="6996"/>
      <c r="J34" s="676"/>
      <c r="K34" s="4466"/>
      <c r="L34" s="4398" t="s">
        <v>935</v>
      </c>
      <c r="M34" s="4397"/>
      <c r="N34" s="4399"/>
      <c r="O34" s="4400" t="s">
        <v>149</v>
      </c>
      <c r="P34" s="4401"/>
      <c r="Q34" s="4401" t="s">
        <v>78</v>
      </c>
      <c r="R34" s="4467"/>
      <c r="S34" s="4440"/>
      <c r="T34" s="4523"/>
      <c r="U34" s="4510"/>
      <c r="V34" s="6815"/>
      <c r="W34" s="6816"/>
      <c r="X34" s="6817"/>
      <c r="Y34" s="4468"/>
      <c r="Z34" s="6997" t="e">
        <f>INDEX(klasse_tunnelprofil[Buelendge
(såle-såle)],MATCH(_Calcs_Klasse!$AI$55,klasse_tunnelprofil[Tunnel_ID],0))</f>
        <v>#N/A</v>
      </c>
      <c r="AA34" s="6998"/>
      <c r="AB34" s="6998"/>
      <c r="AC34" s="6999"/>
      <c r="AD34" s="4469"/>
      <c r="AE34" s="4427" t="str">
        <f>Prosjektinfo!$U$49</f>
        <v>✓</v>
      </c>
      <c r="AF34" s="4470"/>
      <c r="AG34" s="3434"/>
      <c r="AH34" s="3434"/>
      <c r="AI34" s="974"/>
      <c r="AJ34" s="974"/>
      <c r="AK34" s="974"/>
      <c r="AR34" s="181"/>
      <c r="AS34" s="2797"/>
      <c r="AT34" s="2797"/>
      <c r="AU34" s="2797"/>
      <c r="AV34" s="2797"/>
      <c r="AW34" s="2797"/>
      <c r="AX34" s="3305"/>
      <c r="AY34" s="2797"/>
      <c r="AZ34" s="2797"/>
      <c r="BA34" s="2797"/>
      <c r="BB34" s="2797"/>
      <c r="BC34" s="2797"/>
      <c r="BD34" s="2797"/>
      <c r="BE34" s="2797"/>
      <c r="BF34" s="3305"/>
      <c r="BG34" s="2797"/>
      <c r="BI34" s="2797"/>
      <c r="BJ34" s="2797"/>
      <c r="BK34" s="2797"/>
      <c r="BL34" s="2797"/>
      <c r="BM34" s="2797"/>
      <c r="BN34" s="3305"/>
      <c r="BO34" s="2797"/>
      <c r="BQ34" s="2797"/>
      <c r="BR34" s="2797"/>
      <c r="BS34" s="2797"/>
      <c r="BT34" s="2797"/>
      <c r="BU34" s="2797"/>
      <c r="BV34" s="3305"/>
      <c r="BW34" s="2797"/>
      <c r="BY34" s="2797"/>
      <c r="BZ34" s="2797"/>
      <c r="CA34" s="2797"/>
      <c r="CB34" s="2797"/>
      <c r="CC34" s="2797"/>
      <c r="CD34" s="3305"/>
      <c r="CE34" s="2797"/>
      <c r="CG34" s="2797"/>
      <c r="CH34" s="2797"/>
      <c r="CI34" s="2797"/>
      <c r="CJ34" s="2797"/>
      <c r="CK34" s="2797"/>
      <c r="CL34" s="3305"/>
      <c r="CM34" s="2797"/>
    </row>
    <row r="35" spans="1:91" s="8" customFormat="1" ht="15" customHeight="1" thickBot="1" x14ac:dyDescent="0.3">
      <c r="A35" s="4203"/>
      <c r="B35" s="4203"/>
      <c r="C35" s="4203"/>
      <c r="D35" s="4203"/>
      <c r="E35" s="4203"/>
      <c r="F35" s="4203"/>
      <c r="I35" s="6996"/>
      <c r="J35" s="676"/>
      <c r="K35" s="4471"/>
      <c r="L35" s="4402"/>
      <c r="M35" s="4403"/>
      <c r="N35" s="4404"/>
      <c r="O35" s="4405"/>
      <c r="P35" s="4402"/>
      <c r="Q35" s="4402"/>
      <c r="R35" s="4472"/>
      <c r="S35" s="4440"/>
      <c r="T35" s="4526"/>
      <c r="U35" s="4527"/>
      <c r="V35" s="4528"/>
      <c r="W35" s="4528"/>
      <c r="X35" s="4473"/>
      <c r="Y35" s="4473"/>
      <c r="Z35" s="4527"/>
      <c r="AA35" s="4527"/>
      <c r="AB35" s="4528"/>
      <c r="AC35" s="4473"/>
      <c r="AD35" s="4473"/>
      <c r="AE35" s="4430"/>
      <c r="AF35" s="4474"/>
      <c r="AG35" s="3434"/>
      <c r="AH35" s="3434"/>
      <c r="AI35" s="974"/>
      <c r="AJ35" s="974"/>
      <c r="AK35" s="974"/>
      <c r="AR35" s="181"/>
      <c r="AS35" s="2797"/>
      <c r="AT35" s="2797"/>
      <c r="AU35" s="2797"/>
      <c r="AV35" s="2797"/>
      <c r="AW35" s="2797"/>
      <c r="AX35" s="3305"/>
      <c r="AY35" s="2797"/>
      <c r="AZ35" s="2797"/>
      <c r="BA35" s="2797"/>
      <c r="BB35" s="2797"/>
      <c r="BC35" s="2797"/>
      <c r="BD35" s="2797"/>
      <c r="BE35" s="2797"/>
      <c r="BF35" s="3305"/>
      <c r="BG35" s="2797"/>
      <c r="BI35" s="2797"/>
      <c r="BJ35" s="2797"/>
      <c r="BK35" s="2797"/>
      <c r="BL35" s="2797"/>
      <c r="BM35" s="2797"/>
      <c r="BN35" s="3305"/>
      <c r="BO35" s="2797"/>
      <c r="BQ35" s="2797"/>
      <c r="BR35" s="2797"/>
      <c r="BS35" s="2797"/>
      <c r="BT35" s="2797"/>
      <c r="BU35" s="2797"/>
      <c r="BV35" s="3305"/>
      <c r="BW35" s="2797"/>
      <c r="BY35" s="2797"/>
      <c r="BZ35" s="2797"/>
      <c r="CA35" s="2797"/>
      <c r="CB35" s="2797"/>
      <c r="CC35" s="2797"/>
      <c r="CD35" s="3305"/>
      <c r="CE35" s="2797"/>
      <c r="CG35" s="2797"/>
      <c r="CH35" s="2797"/>
      <c r="CI35" s="2797"/>
      <c r="CJ35" s="2797"/>
      <c r="CK35" s="2797"/>
      <c r="CL35" s="3305"/>
      <c r="CM35" s="2797"/>
    </row>
    <row r="36" spans="1:91" s="8" customFormat="1" ht="9.9499999999999993" customHeight="1" thickBot="1" x14ac:dyDescent="0.3">
      <c r="A36" s="4203"/>
      <c r="B36" s="4203"/>
      <c r="C36" s="4203"/>
      <c r="D36" s="4203"/>
      <c r="E36" s="4203"/>
      <c r="F36" s="4203"/>
      <c r="I36" s="3672"/>
      <c r="J36" s="676"/>
      <c r="K36" s="4458"/>
      <c r="L36" s="4406"/>
      <c r="M36" s="4388"/>
      <c r="N36" s="4389"/>
      <c r="O36" s="4407"/>
      <c r="P36" s="4406"/>
      <c r="Q36" s="4406"/>
      <c r="R36" s="4388"/>
      <c r="S36" s="4440"/>
      <c r="T36" s="3439"/>
      <c r="U36" s="3434"/>
      <c r="V36" s="3434"/>
      <c r="W36" s="974"/>
      <c r="X36" s="3434"/>
      <c r="Y36" s="3434"/>
      <c r="Z36" s="3434"/>
      <c r="AA36" s="3434"/>
      <c r="AB36" s="3434"/>
      <c r="AC36" s="3434"/>
      <c r="AD36" s="3434"/>
      <c r="AE36" s="3434"/>
      <c r="AF36" s="3434"/>
      <c r="AG36" s="3434"/>
      <c r="AH36" s="3434"/>
      <c r="AI36" s="974"/>
      <c r="AJ36" s="974"/>
      <c r="AK36" s="974"/>
      <c r="AR36" s="181"/>
      <c r="AS36" s="2797"/>
      <c r="AT36" s="2797"/>
      <c r="AU36" s="2797"/>
      <c r="AV36" s="2797"/>
      <c r="AW36" s="2797"/>
      <c r="AX36" s="3305"/>
      <c r="AY36" s="2797"/>
      <c r="AZ36" s="2797"/>
      <c r="BA36" s="2797"/>
      <c r="BB36" s="2797"/>
      <c r="BC36" s="2797"/>
      <c r="BD36" s="2797"/>
      <c r="BE36" s="2797"/>
      <c r="BF36" s="3305"/>
      <c r="BG36" s="2797"/>
      <c r="BI36" s="2797"/>
      <c r="BJ36" s="2797"/>
      <c r="BK36" s="2797"/>
      <c r="BL36" s="2797"/>
      <c r="BM36" s="2797"/>
      <c r="BN36" s="3305"/>
      <c r="BO36" s="2797"/>
      <c r="BQ36" s="2797"/>
      <c r="BR36" s="2797"/>
      <c r="BS36" s="2797"/>
      <c r="BT36" s="2797"/>
      <c r="BU36" s="2797"/>
      <c r="BV36" s="3305"/>
      <c r="BW36" s="2797"/>
      <c r="BY36" s="2797"/>
      <c r="BZ36" s="2797"/>
      <c r="CA36" s="2797"/>
      <c r="CB36" s="2797"/>
      <c r="CC36" s="2797"/>
      <c r="CD36" s="3305"/>
      <c r="CE36" s="2797"/>
      <c r="CG36" s="2797"/>
      <c r="CH36" s="2797"/>
      <c r="CI36" s="2797"/>
      <c r="CJ36" s="2797"/>
      <c r="CK36" s="2797"/>
      <c r="CL36" s="3305"/>
      <c r="CM36" s="2797"/>
    </row>
    <row r="37" spans="1:91" s="8" customFormat="1" ht="15" customHeight="1" x14ac:dyDescent="0.25">
      <c r="A37" s="4203"/>
      <c r="B37" s="4203"/>
      <c r="C37" s="4203"/>
      <c r="D37" s="4203"/>
      <c r="E37" s="4203"/>
      <c r="F37" s="4203"/>
      <c r="I37" s="3672"/>
      <c r="J37" s="676"/>
      <c r="K37" s="4475"/>
      <c r="L37" s="4408"/>
      <c r="M37" s="4409"/>
      <c r="N37" s="4410"/>
      <c r="O37" s="4411"/>
      <c r="P37" s="4408"/>
      <c r="Q37" s="4408"/>
      <c r="R37" s="4476"/>
      <c r="S37" s="4440"/>
      <c r="T37" s="4529"/>
      <c r="U37" s="4530"/>
      <c r="V37" s="4531"/>
      <c r="W37" s="4531"/>
      <c r="X37" s="4477"/>
      <c r="Y37" s="4477"/>
      <c r="Z37" s="4530"/>
      <c r="AA37" s="4530"/>
      <c r="AB37" s="4531"/>
      <c r="AC37" s="4477"/>
      <c r="AD37" s="4477"/>
      <c r="AE37" s="4431"/>
      <c r="AF37" s="4478"/>
      <c r="AG37" s="3434"/>
      <c r="AH37" s="3434"/>
      <c r="AI37" s="974"/>
      <c r="AJ37" s="974"/>
      <c r="AK37" s="974"/>
      <c r="AR37" s="181"/>
      <c r="AS37" s="2797"/>
      <c r="AT37" s="2797"/>
      <c r="AU37" s="2797"/>
      <c r="AV37" s="2797"/>
      <c r="AW37" s="2797"/>
      <c r="AX37" s="3305"/>
      <c r="AY37" s="2797"/>
      <c r="AZ37" s="2797"/>
      <c r="BA37" s="2797"/>
      <c r="BB37" s="2797"/>
      <c r="BC37" s="2797"/>
      <c r="BD37" s="2797"/>
      <c r="BE37" s="2797"/>
      <c r="BF37" s="3305"/>
      <c r="BG37" s="2797"/>
      <c r="BI37" s="2797"/>
      <c r="BJ37" s="2797"/>
      <c r="BK37" s="2797"/>
      <c r="BL37" s="2797"/>
      <c r="BM37" s="2797"/>
      <c r="BN37" s="3305"/>
      <c r="BO37" s="2797"/>
      <c r="BQ37" s="2797"/>
      <c r="BR37" s="2797"/>
      <c r="BS37" s="2797"/>
      <c r="BT37" s="2797"/>
      <c r="BU37" s="2797"/>
      <c r="BV37" s="3305"/>
      <c r="BW37" s="2797"/>
      <c r="BY37" s="2797"/>
      <c r="BZ37" s="2797"/>
      <c r="CA37" s="2797"/>
      <c r="CB37" s="2797"/>
      <c r="CC37" s="2797"/>
      <c r="CD37" s="3305"/>
      <c r="CE37" s="2797"/>
      <c r="CG37" s="2797"/>
      <c r="CH37" s="2797"/>
      <c r="CI37" s="2797"/>
      <c r="CJ37" s="2797"/>
      <c r="CK37" s="2797"/>
      <c r="CL37" s="3305"/>
      <c r="CM37" s="2797"/>
    </row>
    <row r="38" spans="1:91" s="8" customFormat="1" ht="12.95" customHeight="1" x14ac:dyDescent="0.25">
      <c r="A38" s="4203"/>
      <c r="B38" s="4203"/>
      <c r="C38" s="4203"/>
      <c r="D38" s="4203"/>
      <c r="E38" s="4203"/>
      <c r="F38" s="4203"/>
      <c r="I38" s="3672"/>
      <c r="J38" s="676"/>
      <c r="K38" s="4532"/>
      <c r="L38" s="4533"/>
      <c r="M38" s="4534"/>
      <c r="N38" s="4534"/>
      <c r="O38" s="4535"/>
      <c r="P38" s="4533"/>
      <c r="Q38" s="4536"/>
      <c r="R38" s="4537"/>
      <c r="S38" s="4464"/>
      <c r="T38" s="4532"/>
      <c r="U38" s="4538"/>
      <c r="V38" s="6818" t="str">
        <f>_Calcs!$M$19</f>
        <v>Brukerdefinert</v>
      </c>
      <c r="W38" s="6818"/>
      <c r="X38" s="6818"/>
      <c r="Y38" s="4479"/>
      <c r="Z38" s="7001" t="str">
        <f>_Calcs!$M$18</f>
        <v>Standard</v>
      </c>
      <c r="AA38" s="7001"/>
      <c r="AB38" s="7001"/>
      <c r="AC38" s="7001"/>
      <c r="AD38" s="4479"/>
      <c r="AE38" s="4534"/>
      <c r="AF38" s="4537"/>
      <c r="AG38" s="3434"/>
      <c r="AH38" s="3434"/>
      <c r="AI38" s="974"/>
      <c r="AJ38" s="974"/>
      <c r="AK38" s="3434"/>
      <c r="AL38" s="181"/>
      <c r="AM38" s="181"/>
      <c r="AN38" s="181"/>
      <c r="AO38" s="181"/>
      <c r="AP38" s="181"/>
      <c r="AQ38" s="181"/>
      <c r="AR38" s="181"/>
      <c r="AS38" s="2797"/>
      <c r="AT38" s="2797"/>
      <c r="AU38" s="2797"/>
      <c r="AV38" s="2797"/>
      <c r="AW38" s="2797"/>
      <c r="AX38" s="3305"/>
      <c r="AY38" s="2797"/>
      <c r="AZ38" s="2797"/>
      <c r="BA38" s="2797"/>
      <c r="BB38" s="2797"/>
      <c r="BC38" s="2797"/>
      <c r="BD38" s="2797"/>
      <c r="BE38" s="2797"/>
      <c r="BF38" s="3305"/>
      <c r="BG38" s="2797"/>
      <c r="BI38" s="2797"/>
      <c r="BJ38" s="2797"/>
      <c r="BK38" s="2797"/>
      <c r="BL38" s="2797"/>
      <c r="BM38" s="2797"/>
      <c r="BN38" s="3305"/>
      <c r="BO38" s="2797"/>
      <c r="BQ38" s="2797"/>
      <c r="BR38" s="2797"/>
      <c r="BS38" s="2797"/>
      <c r="BT38" s="2797"/>
      <c r="BU38" s="2797"/>
      <c r="BV38" s="3305"/>
      <c r="BW38" s="2797"/>
      <c r="BY38" s="2797"/>
      <c r="BZ38" s="2797"/>
      <c r="CA38" s="2797"/>
      <c r="CB38" s="2797"/>
      <c r="CC38" s="2797"/>
      <c r="CD38" s="3305"/>
      <c r="CE38" s="2797"/>
      <c r="CG38" s="2797"/>
      <c r="CH38" s="2797"/>
      <c r="CI38" s="2797"/>
      <c r="CJ38" s="2797"/>
      <c r="CK38" s="2797"/>
      <c r="CL38" s="3305"/>
      <c r="CM38" s="2797"/>
    </row>
    <row r="39" spans="1:91" s="8" customFormat="1" ht="3" customHeight="1" thickBot="1" x14ac:dyDescent="0.3">
      <c r="A39" s="4203"/>
      <c r="B39" s="4203"/>
      <c r="C39" s="4203"/>
      <c r="D39" s="4203"/>
      <c r="E39" s="4203"/>
      <c r="F39" s="4203"/>
      <c r="I39" s="3672"/>
      <c r="J39" s="676"/>
      <c r="K39" s="4532"/>
      <c r="L39" s="4533"/>
      <c r="M39" s="4534"/>
      <c r="N39" s="4534"/>
      <c r="O39" s="4535"/>
      <c r="P39" s="4533"/>
      <c r="Q39" s="4536"/>
      <c r="R39" s="4537"/>
      <c r="S39" s="4464"/>
      <c r="T39" s="4532"/>
      <c r="U39" s="4538"/>
      <c r="V39" s="4534"/>
      <c r="W39" s="4538"/>
      <c r="X39" s="4534"/>
      <c r="Y39" s="4534"/>
      <c r="Z39" s="4534"/>
      <c r="AA39" s="4534"/>
      <c r="AB39" s="4538"/>
      <c r="AC39" s="4534"/>
      <c r="AD39" s="4534"/>
      <c r="AE39" s="4534"/>
      <c r="AF39" s="4537"/>
      <c r="AG39" s="3434"/>
      <c r="AH39" s="3434"/>
      <c r="AI39" s="974"/>
      <c r="AJ39" s="974"/>
      <c r="AK39" s="3434"/>
      <c r="AL39" s="181"/>
      <c r="AM39" s="181"/>
      <c r="AN39" s="181"/>
      <c r="AO39" s="181"/>
      <c r="AP39" s="181"/>
      <c r="AQ39" s="181"/>
      <c r="AR39" s="181"/>
      <c r="AS39" s="2797"/>
      <c r="AT39" s="2797"/>
      <c r="AU39" s="2797"/>
      <c r="AV39" s="2797"/>
      <c r="AW39" s="2797"/>
      <c r="AX39" s="3305"/>
      <c r="AY39" s="2797"/>
      <c r="AZ39" s="2797"/>
      <c r="BA39" s="2797"/>
      <c r="BB39" s="2797"/>
      <c r="BC39" s="2797"/>
      <c r="BD39" s="2797"/>
      <c r="BE39" s="2797"/>
      <c r="BF39" s="3305"/>
      <c r="BG39" s="2797"/>
      <c r="BI39" s="2797"/>
      <c r="BJ39" s="2797"/>
      <c r="BK39" s="2797"/>
      <c r="BL39" s="2797"/>
      <c r="BM39" s="2797"/>
      <c r="BN39" s="3305"/>
      <c r="BO39" s="2797"/>
      <c r="BQ39" s="2797"/>
      <c r="BR39" s="2797"/>
      <c r="BS39" s="2797"/>
      <c r="BT39" s="2797"/>
      <c r="BU39" s="2797"/>
      <c r="BV39" s="3305"/>
      <c r="BW39" s="2797"/>
      <c r="BY39" s="2797"/>
      <c r="BZ39" s="2797"/>
      <c r="CA39" s="2797"/>
      <c r="CB39" s="2797"/>
      <c r="CC39" s="2797"/>
      <c r="CD39" s="3305"/>
      <c r="CE39" s="2797"/>
      <c r="CG39" s="2797"/>
      <c r="CH39" s="2797"/>
      <c r="CI39" s="2797"/>
      <c r="CJ39" s="2797"/>
      <c r="CK39" s="2797"/>
      <c r="CL39" s="3305"/>
      <c r="CM39" s="2797"/>
    </row>
    <row r="40" spans="1:91" s="8" customFormat="1" ht="24.95" customHeight="1" thickBot="1" x14ac:dyDescent="0.3">
      <c r="A40" s="4203"/>
      <c r="B40" s="4203"/>
      <c r="C40" s="4203"/>
      <c r="D40" s="4203"/>
      <c r="E40" s="4203"/>
      <c r="F40" s="4203"/>
      <c r="I40" s="3672"/>
      <c r="J40" s="676"/>
      <c r="K40" s="4480"/>
      <c r="L40" s="4412" t="s">
        <v>1487</v>
      </c>
      <c r="M40" s="4413"/>
      <c r="N40" s="4413"/>
      <c r="O40" s="4414" t="s">
        <v>149</v>
      </c>
      <c r="P40" s="4412"/>
      <c r="Q40" s="4412" t="s">
        <v>78</v>
      </c>
      <c r="R40" s="4539"/>
      <c r="S40" s="999"/>
      <c r="T40" s="4532"/>
      <c r="U40" s="4538"/>
      <c r="V40" s="6815"/>
      <c r="W40" s="6816"/>
      <c r="X40" s="6817"/>
      <c r="Y40" s="4481"/>
      <c r="Z40" s="6997" t="e">
        <f>INDEX(klasse_tunnelprofil[Vegg],MATCH(_Calcs_Klasse!$AI$55,klasse_tunnelprofil[Tunnel_ID],0))</f>
        <v>#N/A</v>
      </c>
      <c r="AA40" s="6998"/>
      <c r="AB40" s="6998"/>
      <c r="AC40" s="6999"/>
      <c r="AD40" s="4482"/>
      <c r="AE40" s="4432" t="e">
        <f>IF(_Calcs_Klasse!$AI$43&lt;&gt;0,"✓","!")</f>
        <v>#N/A</v>
      </c>
      <c r="AF40" s="4483"/>
      <c r="AG40" s="3434"/>
      <c r="AH40" s="3434"/>
      <c r="AI40" s="974"/>
      <c r="AJ40" s="974"/>
      <c r="AK40" s="3434"/>
      <c r="AL40" s="181"/>
      <c r="AM40" s="181"/>
      <c r="AN40" s="181"/>
      <c r="AO40" s="181"/>
      <c r="AP40" s="181"/>
      <c r="AQ40" s="181"/>
      <c r="AR40" s="181"/>
      <c r="AS40" s="2797"/>
      <c r="AT40" s="2797"/>
      <c r="AU40" s="2797"/>
      <c r="AV40" s="2797"/>
      <c r="AW40" s="2797"/>
      <c r="AX40" s="3305"/>
      <c r="AY40" s="2797"/>
      <c r="AZ40" s="2797"/>
      <c r="BA40" s="2797"/>
      <c r="BB40" s="2797"/>
      <c r="BC40" s="2797"/>
      <c r="BD40" s="2797"/>
      <c r="BE40" s="2797"/>
      <c r="BF40" s="3305"/>
      <c r="BG40" s="2797"/>
      <c r="BI40" s="2797"/>
      <c r="BJ40" s="2797"/>
      <c r="BK40" s="2797"/>
      <c r="BL40" s="2797"/>
      <c r="BM40" s="2797"/>
      <c r="BN40" s="3305"/>
      <c r="BO40" s="2797"/>
      <c r="BQ40" s="2797"/>
      <c r="BR40" s="2797"/>
      <c r="BS40" s="2797"/>
      <c r="BT40" s="2797"/>
      <c r="BU40" s="2797"/>
      <c r="BV40" s="3305"/>
      <c r="BW40" s="2797"/>
      <c r="BY40" s="2797"/>
      <c r="BZ40" s="2797"/>
      <c r="CA40" s="2797"/>
      <c r="CB40" s="2797"/>
      <c r="CC40" s="2797"/>
      <c r="CD40" s="3305"/>
      <c r="CE40" s="2797"/>
      <c r="CG40" s="2797"/>
      <c r="CH40" s="2797"/>
      <c r="CI40" s="2797"/>
      <c r="CJ40" s="2797"/>
      <c r="CK40" s="2797"/>
      <c r="CL40" s="3305"/>
      <c r="CM40" s="2797"/>
    </row>
    <row r="41" spans="1:91" s="8" customFormat="1" ht="15" customHeight="1" thickBot="1" x14ac:dyDescent="0.3">
      <c r="A41" s="4203"/>
      <c r="B41" s="4203"/>
      <c r="C41" s="4203"/>
      <c r="D41" s="4203"/>
      <c r="E41" s="4203"/>
      <c r="F41" s="4203"/>
      <c r="I41" s="3672"/>
      <c r="J41" s="676"/>
      <c r="K41" s="4484"/>
      <c r="L41" s="4415"/>
      <c r="M41" s="4416"/>
      <c r="N41" s="4416"/>
      <c r="O41" s="4417"/>
      <c r="P41" s="4418"/>
      <c r="Q41" s="4418"/>
      <c r="R41" s="4485"/>
      <c r="S41" s="4486"/>
      <c r="T41" s="4540"/>
      <c r="U41" s="4541"/>
      <c r="V41" s="4541"/>
      <c r="W41" s="4542"/>
      <c r="X41" s="4541"/>
      <c r="Y41" s="4541"/>
      <c r="Z41" s="4541"/>
      <c r="AA41" s="4541"/>
      <c r="AB41" s="4542"/>
      <c r="AC41" s="4487"/>
      <c r="AD41" s="4487"/>
      <c r="AE41" s="4433"/>
      <c r="AF41" s="4488"/>
      <c r="AG41" s="3434"/>
      <c r="AH41" s="3434"/>
      <c r="AI41" s="974"/>
      <c r="AJ41" s="974"/>
      <c r="AK41" s="4543"/>
      <c r="AL41" s="2797"/>
      <c r="AM41" s="2797"/>
      <c r="AN41" s="2797"/>
      <c r="AO41" s="2797"/>
      <c r="AP41" s="3305"/>
      <c r="AQ41" s="2797"/>
      <c r="AR41" s="181"/>
      <c r="AS41" s="2797"/>
      <c r="AT41" s="2797"/>
      <c r="AU41" s="2797"/>
      <c r="AV41" s="2797"/>
      <c r="AW41" s="2797"/>
      <c r="AX41" s="3305"/>
      <c r="AY41" s="2797"/>
      <c r="AZ41" s="2797"/>
      <c r="BA41" s="2797"/>
      <c r="BB41" s="2797"/>
      <c r="BC41" s="2797"/>
      <c r="BD41" s="2797"/>
      <c r="BE41" s="2797"/>
      <c r="BF41" s="3305"/>
      <c r="BG41" s="2797"/>
      <c r="BI41" s="2797"/>
      <c r="BJ41" s="2797"/>
      <c r="BK41" s="2797"/>
      <c r="BL41" s="2797"/>
      <c r="BM41" s="2797"/>
      <c r="BN41" s="3305"/>
      <c r="BO41" s="2797"/>
      <c r="BQ41" s="2797"/>
      <c r="BR41" s="2797"/>
      <c r="BS41" s="2797"/>
      <c r="BT41" s="2797"/>
      <c r="BU41" s="2797"/>
      <c r="BV41" s="3305"/>
      <c r="BW41" s="2797"/>
      <c r="BY41" s="2797"/>
      <c r="BZ41" s="2797"/>
      <c r="CA41" s="2797"/>
      <c r="CB41" s="2797"/>
      <c r="CC41" s="2797"/>
      <c r="CD41" s="3305"/>
      <c r="CE41" s="2797"/>
      <c r="CG41" s="2797"/>
      <c r="CH41" s="2797"/>
      <c r="CI41" s="2797"/>
      <c r="CJ41" s="2797"/>
      <c r="CK41" s="2797"/>
      <c r="CL41" s="3305"/>
      <c r="CM41" s="2797"/>
    </row>
    <row r="42" spans="1:91" s="8" customFormat="1" ht="9.9499999999999993" customHeight="1" thickBot="1" x14ac:dyDescent="0.3">
      <c r="A42" s="4203"/>
      <c r="B42" s="4203"/>
      <c r="C42" s="4203"/>
      <c r="D42" s="4203"/>
      <c r="E42" s="4203"/>
      <c r="F42" s="4203"/>
      <c r="I42" s="3672"/>
      <c r="J42" s="676"/>
      <c r="K42" s="4458"/>
      <c r="L42" s="4406"/>
      <c r="M42" s="4388"/>
      <c r="N42" s="4389"/>
      <c r="O42" s="4407"/>
      <c r="P42" s="4406"/>
      <c r="Q42" s="4406"/>
      <c r="R42" s="4388"/>
      <c r="S42" s="4440"/>
      <c r="T42" s="3439"/>
      <c r="U42" s="3434"/>
      <c r="V42" s="3434"/>
      <c r="W42" s="974"/>
      <c r="X42" s="3434"/>
      <c r="Y42" s="3434"/>
      <c r="Z42" s="3434"/>
      <c r="AA42" s="3434"/>
      <c r="AB42" s="3434"/>
      <c r="AC42" s="3434"/>
      <c r="AD42" s="3434"/>
      <c r="AE42" s="3434"/>
      <c r="AF42" s="3434"/>
      <c r="AG42" s="3434"/>
      <c r="AH42" s="3434"/>
      <c r="AI42" s="974"/>
      <c r="AJ42" s="974"/>
      <c r="AK42" s="974"/>
      <c r="AR42" s="181"/>
      <c r="AS42" s="2797"/>
      <c r="AT42" s="2797"/>
      <c r="AU42" s="2797"/>
      <c r="AV42" s="2797"/>
      <c r="AW42" s="2797"/>
      <c r="AX42" s="3305"/>
      <c r="AY42" s="2797"/>
      <c r="AZ42" s="2797"/>
      <c r="BA42" s="2797"/>
      <c r="BB42" s="2797"/>
      <c r="BC42" s="2797"/>
      <c r="BD42" s="2797"/>
      <c r="BE42" s="2797"/>
      <c r="BF42" s="3305"/>
      <c r="BG42" s="2797"/>
      <c r="BI42" s="2797"/>
      <c r="BJ42" s="2797"/>
      <c r="BK42" s="2797"/>
      <c r="BL42" s="2797"/>
      <c r="BM42" s="2797"/>
      <c r="BN42" s="3305"/>
      <c r="BO42" s="2797"/>
      <c r="BQ42" s="2797"/>
      <c r="BR42" s="2797"/>
      <c r="BS42" s="2797"/>
      <c r="BT42" s="2797"/>
      <c r="BU42" s="2797"/>
      <c r="BV42" s="3305"/>
      <c r="BW42" s="2797"/>
      <c r="BY42" s="2797"/>
      <c r="BZ42" s="2797"/>
      <c r="CA42" s="2797"/>
      <c r="CB42" s="2797"/>
      <c r="CC42" s="2797"/>
      <c r="CD42" s="3305"/>
      <c r="CE42" s="2797"/>
      <c r="CG42" s="2797"/>
      <c r="CH42" s="2797"/>
      <c r="CI42" s="2797"/>
      <c r="CJ42" s="2797"/>
      <c r="CK42" s="2797"/>
      <c r="CL42" s="3305"/>
      <c r="CM42" s="2797"/>
    </row>
    <row r="43" spans="1:91" s="8" customFormat="1" ht="12" customHeight="1" x14ac:dyDescent="0.25">
      <c r="A43" s="4203"/>
      <c r="B43" s="4203"/>
      <c r="C43" s="4203"/>
      <c r="D43" s="4203"/>
      <c r="E43" s="4203"/>
      <c r="F43" s="4203"/>
      <c r="I43" s="3672"/>
      <c r="J43" s="676"/>
      <c r="K43" s="4490"/>
      <c r="L43" s="4419"/>
      <c r="M43" s="4420"/>
      <c r="N43" s="4420"/>
      <c r="O43" s="4421"/>
      <c r="P43" s="4422"/>
      <c r="Q43" s="4422"/>
      <c r="R43" s="4491"/>
      <c r="S43" s="4486"/>
      <c r="T43" s="4544"/>
      <c r="U43" s="4545"/>
      <c r="V43" s="4545"/>
      <c r="W43" s="4546"/>
      <c r="X43" s="4545"/>
      <c r="Y43" s="4545"/>
      <c r="Z43" s="4545"/>
      <c r="AA43" s="4545"/>
      <c r="AB43" s="4546"/>
      <c r="AC43" s="4492"/>
      <c r="AD43" s="4492"/>
      <c r="AE43" s="4434"/>
      <c r="AF43" s="4493"/>
      <c r="AG43" s="3434"/>
      <c r="AH43" s="3434"/>
      <c r="AI43" s="974"/>
      <c r="AJ43" s="974"/>
      <c r="AK43" s="4543"/>
      <c r="AL43" s="2797"/>
      <c r="AM43" s="2797"/>
      <c r="AN43" s="2797"/>
      <c r="AO43" s="2797"/>
      <c r="AP43" s="3305"/>
      <c r="AQ43" s="2797"/>
      <c r="AR43" s="181"/>
      <c r="AS43" s="2797"/>
      <c r="AT43" s="2797"/>
      <c r="AU43" s="2797"/>
      <c r="AV43" s="2797"/>
      <c r="AW43" s="2797"/>
      <c r="AX43" s="3305"/>
      <c r="AY43" s="2797"/>
      <c r="AZ43" s="2797"/>
      <c r="BA43" s="2797"/>
      <c r="BB43" s="2797"/>
      <c r="BC43" s="2797"/>
      <c r="BD43" s="2797"/>
      <c r="BE43" s="2797"/>
      <c r="BF43" s="3305"/>
      <c r="BG43" s="2797"/>
      <c r="BI43" s="2797"/>
      <c r="BJ43" s="2797"/>
      <c r="BK43" s="2797"/>
      <c r="BL43" s="2797"/>
      <c r="BM43" s="2797"/>
      <c r="BN43" s="3305"/>
      <c r="BO43" s="2797"/>
      <c r="BQ43" s="2797"/>
      <c r="BR43" s="2797"/>
      <c r="BS43" s="2797"/>
      <c r="BT43" s="2797"/>
      <c r="BU43" s="2797"/>
      <c r="BV43" s="3305"/>
      <c r="BW43" s="2797"/>
      <c r="BY43" s="2797"/>
      <c r="BZ43" s="2797"/>
      <c r="CA43" s="2797"/>
      <c r="CB43" s="2797"/>
      <c r="CC43" s="2797"/>
      <c r="CD43" s="3305"/>
      <c r="CE43" s="2797"/>
      <c r="CG43" s="2797"/>
      <c r="CH43" s="2797"/>
      <c r="CI43" s="2797"/>
      <c r="CJ43" s="2797"/>
      <c r="CK43" s="2797"/>
      <c r="CL43" s="3305"/>
      <c r="CM43" s="2797"/>
    </row>
    <row r="44" spans="1:91" s="8" customFormat="1" ht="17.100000000000001" customHeight="1" x14ac:dyDescent="0.25">
      <c r="A44" s="4203"/>
      <c r="B44" s="4203"/>
      <c r="C44" s="4203"/>
      <c r="D44" s="4203"/>
      <c r="E44" s="4203"/>
      <c r="F44" s="4203"/>
      <c r="I44" s="3672"/>
      <c r="J44" s="676"/>
      <c r="K44" s="4547"/>
      <c r="L44" s="4548"/>
      <c r="M44" s="4549"/>
      <c r="N44" s="4549"/>
      <c r="O44" s="4550"/>
      <c r="P44" s="4548"/>
      <c r="Q44" s="4551"/>
      <c r="R44" s="4552"/>
      <c r="S44" s="4464"/>
      <c r="T44" s="4547"/>
      <c r="U44" s="4549"/>
      <c r="V44" s="4549"/>
      <c r="W44" s="4553"/>
      <c r="X44" s="4549"/>
      <c r="Y44" s="4549"/>
      <c r="Z44" s="7002" t="s">
        <v>1502</v>
      </c>
      <c r="AA44" s="7002"/>
      <c r="AB44" s="7002"/>
      <c r="AC44" s="7002"/>
      <c r="AD44" s="4494"/>
      <c r="AE44" s="4549"/>
      <c r="AF44" s="4552"/>
      <c r="AG44" s="3434"/>
      <c r="AH44" s="3434"/>
      <c r="AI44" s="974"/>
      <c r="AJ44" s="974"/>
      <c r="AK44" s="3434"/>
      <c r="AL44" s="181"/>
      <c r="AM44" s="181"/>
      <c r="AN44" s="181"/>
      <c r="AO44" s="181"/>
      <c r="AP44" s="181"/>
      <c r="AQ44" s="181"/>
      <c r="AR44" s="181"/>
      <c r="AS44" s="2797"/>
      <c r="AT44" s="2797"/>
      <c r="AU44" s="2797"/>
      <c r="AV44" s="2797"/>
      <c r="AW44" s="2797"/>
      <c r="AX44" s="3305"/>
      <c r="AY44" s="2797"/>
      <c r="AZ44" s="2797"/>
      <c r="BA44" s="2797"/>
      <c r="BB44" s="2797"/>
      <c r="BC44" s="2797"/>
      <c r="BD44" s="2797"/>
      <c r="BE44" s="2797"/>
      <c r="BF44" s="3305"/>
      <c r="BG44" s="2797"/>
      <c r="BI44" s="2797"/>
      <c r="BJ44" s="2797"/>
      <c r="BK44" s="2797"/>
      <c r="BL44" s="2797"/>
      <c r="BM44" s="2797"/>
      <c r="BN44" s="3305"/>
      <c r="BO44" s="2797"/>
      <c r="BQ44" s="2797"/>
      <c r="BR44" s="2797"/>
      <c r="BS44" s="2797"/>
      <c r="BT44" s="2797"/>
      <c r="BU44" s="2797"/>
      <c r="BV44" s="3305"/>
      <c r="BW44" s="2797"/>
      <c r="BY44" s="2797"/>
      <c r="BZ44" s="2797"/>
      <c r="CA44" s="2797"/>
      <c r="CB44" s="2797"/>
      <c r="CC44" s="2797"/>
      <c r="CD44" s="3305"/>
      <c r="CE44" s="2797"/>
      <c r="CG44" s="2797"/>
      <c r="CH44" s="2797"/>
      <c r="CI44" s="2797"/>
      <c r="CJ44" s="2797"/>
      <c r="CK44" s="2797"/>
      <c r="CL44" s="3305"/>
      <c r="CM44" s="2797"/>
    </row>
    <row r="45" spans="1:91" s="8" customFormat="1" ht="3" customHeight="1" thickBot="1" x14ac:dyDescent="0.3">
      <c r="A45" s="4203"/>
      <c r="B45" s="4203"/>
      <c r="C45" s="4203"/>
      <c r="D45" s="4203"/>
      <c r="E45" s="4203"/>
      <c r="F45" s="4203"/>
      <c r="I45" s="3672"/>
      <c r="J45" s="676"/>
      <c r="K45" s="4547"/>
      <c r="L45" s="4548"/>
      <c r="M45" s="4549"/>
      <c r="N45" s="4549"/>
      <c r="O45" s="4550"/>
      <c r="P45" s="4548"/>
      <c r="Q45" s="4551"/>
      <c r="R45" s="4552"/>
      <c r="S45" s="4464"/>
      <c r="T45" s="4547"/>
      <c r="U45" s="4549"/>
      <c r="V45" s="4549"/>
      <c r="W45" s="4553"/>
      <c r="X45" s="4549"/>
      <c r="Y45" s="4549"/>
      <c r="Z45" s="4549"/>
      <c r="AA45" s="4549"/>
      <c r="AB45" s="4553"/>
      <c r="AC45" s="4549"/>
      <c r="AD45" s="4549"/>
      <c r="AE45" s="4549"/>
      <c r="AF45" s="4552"/>
      <c r="AG45" s="3434"/>
      <c r="AH45" s="3434"/>
      <c r="AI45" s="974"/>
      <c r="AJ45" s="974"/>
      <c r="AK45" s="3434"/>
      <c r="AL45" s="181"/>
      <c r="AM45" s="181"/>
      <c r="AN45" s="181"/>
      <c r="AO45" s="181"/>
      <c r="AP45" s="181"/>
      <c r="AQ45" s="181"/>
      <c r="AR45" s="181"/>
      <c r="AS45" s="2797"/>
      <c r="AT45" s="2797"/>
      <c r="AU45" s="2797"/>
      <c r="AV45" s="2797"/>
      <c r="AW45" s="2797"/>
      <c r="AX45" s="3305"/>
      <c r="AY45" s="2797"/>
      <c r="AZ45" s="2797"/>
      <c r="BA45" s="2797"/>
      <c r="BB45" s="2797"/>
      <c r="BC45" s="2797"/>
      <c r="BD45" s="2797"/>
      <c r="BE45" s="2797"/>
      <c r="BF45" s="3305"/>
      <c r="BG45" s="2797"/>
      <c r="BI45" s="2797"/>
      <c r="BJ45" s="2797"/>
      <c r="BK45" s="2797"/>
      <c r="BL45" s="2797"/>
      <c r="BM45" s="2797"/>
      <c r="BN45" s="3305"/>
      <c r="BO45" s="2797"/>
      <c r="BQ45" s="2797"/>
      <c r="BR45" s="2797"/>
      <c r="BS45" s="2797"/>
      <c r="BT45" s="2797"/>
      <c r="BU45" s="2797"/>
      <c r="BV45" s="3305"/>
      <c r="BW45" s="2797"/>
      <c r="BY45" s="2797"/>
      <c r="BZ45" s="2797"/>
      <c r="CA45" s="2797"/>
      <c r="CB45" s="2797"/>
      <c r="CC45" s="2797"/>
      <c r="CD45" s="3305"/>
      <c r="CE45" s="2797"/>
      <c r="CG45" s="2797"/>
      <c r="CH45" s="2797"/>
      <c r="CI45" s="2797"/>
      <c r="CJ45" s="2797"/>
      <c r="CK45" s="2797"/>
      <c r="CL45" s="3305"/>
      <c r="CM45" s="2797"/>
    </row>
    <row r="46" spans="1:91" s="8" customFormat="1" ht="24.95" customHeight="1" thickBot="1" x14ac:dyDescent="0.3">
      <c r="A46" s="4203"/>
      <c r="B46" s="4203"/>
      <c r="C46" s="4203"/>
      <c r="D46" s="4203"/>
      <c r="E46" s="4203"/>
      <c r="F46" s="4203"/>
      <c r="I46" s="3672"/>
      <c r="J46" s="676"/>
      <c r="K46" s="4495"/>
      <c r="L46" s="4423" t="s">
        <v>1488</v>
      </c>
      <c r="M46" s="4424"/>
      <c r="N46" s="4424"/>
      <c r="O46" s="4425" t="s">
        <v>149</v>
      </c>
      <c r="P46" s="4423"/>
      <c r="Q46" s="4423" t="s">
        <v>78</v>
      </c>
      <c r="R46" s="4496"/>
      <c r="S46" s="4440"/>
      <c r="T46" s="4547"/>
      <c r="U46" s="4549"/>
      <c r="V46" s="4549"/>
      <c r="W46" s="4553"/>
      <c r="X46" s="4549"/>
      <c r="Y46" s="4549"/>
      <c r="Z46" s="6997" t="e">
        <f>_Calcs_Klasse!$AI$46</f>
        <v>#N/A</v>
      </c>
      <c r="AA46" s="6998"/>
      <c r="AB46" s="6998"/>
      <c r="AC46" s="6999"/>
      <c r="AD46" s="4497"/>
      <c r="AE46" s="4432" t="e">
        <f>IF(_Calcs_Klasse!$AI$47&lt;&gt;0,"✓","!")</f>
        <v>#N/A</v>
      </c>
      <c r="AF46" s="4498"/>
      <c r="AG46" s="3434"/>
      <c r="AH46" s="3434"/>
      <c r="AI46" s="974"/>
      <c r="AJ46" s="974"/>
      <c r="AK46" s="4543"/>
      <c r="AL46" s="2797"/>
      <c r="AM46" s="2797"/>
      <c r="AN46" s="2797"/>
      <c r="AO46" s="2797"/>
      <c r="AP46" s="3305"/>
      <c r="AQ46" s="2797"/>
      <c r="AR46" s="181"/>
      <c r="AS46" s="2797"/>
      <c r="AT46" s="2797"/>
      <c r="AU46" s="2797"/>
      <c r="AV46" s="2797"/>
      <c r="AW46" s="2797"/>
      <c r="AX46" s="3305"/>
      <c r="AY46" s="2797"/>
      <c r="AZ46" s="2797"/>
      <c r="BA46" s="2797"/>
      <c r="BB46" s="2797"/>
      <c r="BC46" s="2797"/>
      <c r="BD46" s="2797"/>
      <c r="BE46" s="2797"/>
      <c r="BF46" s="3305"/>
      <c r="BG46" s="2797"/>
      <c r="BI46" s="2797"/>
      <c r="BJ46" s="2797"/>
      <c r="BK46" s="2797"/>
      <c r="BL46" s="2797"/>
      <c r="BM46" s="2797"/>
      <c r="BN46" s="3305"/>
      <c r="BO46" s="2797"/>
      <c r="BQ46" s="2797"/>
      <c r="BR46" s="2797"/>
      <c r="BS46" s="2797"/>
      <c r="BT46" s="2797"/>
      <c r="BU46" s="2797"/>
      <c r="BV46" s="3305"/>
      <c r="BW46" s="2797"/>
      <c r="BY46" s="2797"/>
      <c r="BZ46" s="2797"/>
      <c r="CA46" s="2797"/>
      <c r="CB46" s="2797"/>
      <c r="CC46" s="2797"/>
      <c r="CD46" s="3305"/>
      <c r="CE46" s="2797"/>
      <c r="CG46" s="2797"/>
      <c r="CH46" s="2797"/>
      <c r="CI46" s="2797"/>
      <c r="CJ46" s="2797"/>
      <c r="CK46" s="2797"/>
      <c r="CL46" s="3305"/>
      <c r="CM46" s="2797"/>
    </row>
    <row r="47" spans="1:91" s="8" customFormat="1" ht="15" customHeight="1" thickBot="1" x14ac:dyDescent="0.3">
      <c r="A47" s="4203"/>
      <c r="B47" s="4203"/>
      <c r="C47" s="4203"/>
      <c r="D47" s="4203"/>
      <c r="E47" s="4203"/>
      <c r="F47" s="4203"/>
      <c r="I47" s="3673"/>
      <c r="J47" s="676"/>
      <c r="K47" s="4499"/>
      <c r="L47" s="4500"/>
      <c r="M47" s="4500"/>
      <c r="N47" s="4501"/>
      <c r="O47" s="4502"/>
      <c r="P47" s="4500"/>
      <c r="Q47" s="4500"/>
      <c r="R47" s="4503"/>
      <c r="S47" s="4440"/>
      <c r="T47" s="4554"/>
      <c r="U47" s="4555"/>
      <c r="V47" s="4555"/>
      <c r="W47" s="4556"/>
      <c r="X47" s="4555"/>
      <c r="Y47" s="4555"/>
      <c r="Z47" s="4555"/>
      <c r="AA47" s="4555"/>
      <c r="AB47" s="4555"/>
      <c r="AC47" s="4504"/>
      <c r="AD47" s="4504"/>
      <c r="AE47" s="4505"/>
      <c r="AF47" s="4506"/>
      <c r="AG47" s="3434"/>
      <c r="AH47" s="3434"/>
      <c r="AI47" s="974"/>
      <c r="AJ47" s="974"/>
      <c r="AK47" s="4543"/>
      <c r="AL47" s="2797"/>
      <c r="AM47" s="2797"/>
      <c r="AN47" s="2797"/>
      <c r="AO47" s="2797"/>
      <c r="AP47" s="3305"/>
      <c r="AQ47" s="2797"/>
      <c r="AR47" s="181"/>
      <c r="AS47" s="2797"/>
      <c r="AT47" s="2797"/>
      <c r="AU47" s="2797"/>
      <c r="AV47" s="2797"/>
      <c r="AW47" s="2797"/>
      <c r="AX47" s="3305"/>
      <c r="AY47" s="2797"/>
      <c r="AZ47" s="2797"/>
      <c r="BA47" s="2797"/>
      <c r="BB47" s="2797"/>
      <c r="BC47" s="2797"/>
      <c r="BD47" s="2797"/>
      <c r="BE47" s="2797"/>
      <c r="BF47" s="3305"/>
      <c r="BG47" s="2797"/>
      <c r="BI47" s="2797"/>
      <c r="BJ47" s="2797"/>
      <c r="BK47" s="2797"/>
      <c r="BL47" s="2797"/>
      <c r="BM47" s="2797"/>
      <c r="BN47" s="3305"/>
      <c r="BO47" s="2797"/>
      <c r="BQ47" s="2797"/>
      <c r="BR47" s="2797"/>
      <c r="BS47" s="2797"/>
      <c r="BT47" s="2797"/>
      <c r="BU47" s="2797"/>
      <c r="BV47" s="3305"/>
      <c r="BW47" s="2797"/>
      <c r="BY47" s="2797"/>
      <c r="BZ47" s="2797"/>
      <c r="CA47" s="2797"/>
      <c r="CB47" s="2797"/>
      <c r="CC47" s="2797"/>
      <c r="CD47" s="3305"/>
      <c r="CE47" s="2797"/>
      <c r="CG47" s="2797"/>
      <c r="CH47" s="2797"/>
      <c r="CI47" s="2797"/>
      <c r="CJ47" s="2797"/>
      <c r="CK47" s="2797"/>
      <c r="CL47" s="3305"/>
      <c r="CM47" s="2797"/>
    </row>
    <row r="48" spans="1:91" s="8" customFormat="1" ht="24.95" customHeight="1" x14ac:dyDescent="0.25">
      <c r="A48" s="4203"/>
      <c r="B48" s="4203"/>
      <c r="C48" s="4203"/>
      <c r="D48" s="4203"/>
      <c r="E48" s="4203"/>
      <c r="F48" s="4203"/>
      <c r="I48" s="3779"/>
      <c r="J48" s="676"/>
      <c r="K48" s="4458"/>
      <c r="L48" s="4388"/>
      <c r="M48" s="4388"/>
      <c r="N48" s="4389"/>
      <c r="O48" s="4390"/>
      <c r="P48" s="4388"/>
      <c r="Q48" s="4388"/>
      <c r="R48" s="4388"/>
      <c r="S48" s="4440"/>
      <c r="T48" s="3439"/>
      <c r="U48" s="3439"/>
      <c r="V48" s="3439"/>
      <c r="W48" s="979"/>
      <c r="X48" s="3439"/>
      <c r="Y48" s="3439"/>
      <c r="Z48" s="3439"/>
      <c r="AA48" s="3439"/>
      <c r="AB48" s="3439"/>
      <c r="AC48" s="4440"/>
      <c r="AD48" s="4440"/>
      <c r="AE48" s="4507"/>
      <c r="AF48" s="4440"/>
      <c r="AG48" s="3434"/>
      <c r="AH48" s="3434"/>
      <c r="AI48" s="974"/>
      <c r="AJ48" s="974"/>
      <c r="AK48" s="4543"/>
      <c r="AL48" s="2797"/>
      <c r="AM48" s="2797"/>
      <c r="AN48" s="2797"/>
      <c r="AO48" s="2797"/>
      <c r="AP48" s="3305"/>
      <c r="AQ48" s="2797"/>
      <c r="AR48" s="181"/>
      <c r="AS48" s="2797"/>
      <c r="AT48" s="2797"/>
      <c r="AU48" s="2797"/>
      <c r="AV48" s="2797"/>
      <c r="AW48" s="2797"/>
      <c r="AX48" s="3305"/>
      <c r="AY48" s="2797"/>
      <c r="AZ48" s="2797"/>
      <c r="BA48" s="2797"/>
      <c r="BB48" s="2797"/>
      <c r="BC48" s="2797"/>
      <c r="BD48" s="2797"/>
      <c r="BE48" s="2797"/>
      <c r="BF48" s="3305"/>
      <c r="BG48" s="2797"/>
      <c r="BI48" s="2797"/>
      <c r="BJ48" s="2797"/>
      <c r="BK48" s="2797"/>
      <c r="BL48" s="2797"/>
      <c r="BM48" s="2797"/>
      <c r="BN48" s="3305"/>
      <c r="BO48" s="2797"/>
      <c r="BQ48" s="2797"/>
      <c r="BR48" s="2797"/>
      <c r="BS48" s="2797"/>
      <c r="BT48" s="2797"/>
      <c r="BU48" s="2797"/>
      <c r="BV48" s="3305"/>
      <c r="BW48" s="2797"/>
      <c r="BY48" s="2797"/>
      <c r="BZ48" s="2797"/>
      <c r="CA48" s="2797"/>
      <c r="CB48" s="2797"/>
      <c r="CC48" s="2797"/>
      <c r="CD48" s="3305"/>
      <c r="CE48" s="2797"/>
      <c r="CG48" s="2797"/>
      <c r="CH48" s="2797"/>
      <c r="CI48" s="2797"/>
      <c r="CJ48" s="2797"/>
      <c r="CK48" s="2797"/>
      <c r="CL48" s="3305"/>
      <c r="CM48" s="2797"/>
    </row>
    <row r="49" spans="1:91" s="8" customFormat="1" ht="15" customHeight="1" x14ac:dyDescent="0.2">
      <c r="A49" s="4203"/>
      <c r="B49" s="4203"/>
      <c r="C49" s="4203"/>
      <c r="D49" s="4203"/>
      <c r="E49" s="4203"/>
      <c r="F49" s="4203"/>
      <c r="I49" s="3780"/>
      <c r="J49" s="3781"/>
      <c r="K49" s="3782"/>
      <c r="L49" s="3783"/>
      <c r="M49" s="3783"/>
      <c r="N49" s="3784"/>
      <c r="O49" s="3785"/>
      <c r="P49" s="3783"/>
      <c r="Q49" s="3783"/>
      <c r="R49" s="3783"/>
      <c r="S49" s="3786"/>
      <c r="T49" s="3787"/>
      <c r="U49" s="3787"/>
      <c r="V49" s="3787"/>
      <c r="W49" s="3788"/>
      <c r="X49" s="3787"/>
      <c r="Y49" s="3787"/>
      <c r="Z49" s="3787"/>
      <c r="AA49" s="3787"/>
      <c r="AB49" s="3787"/>
      <c r="AC49" s="3786"/>
      <c r="AD49" s="3786"/>
      <c r="AE49" s="3789"/>
      <c r="AF49" s="3786"/>
      <c r="AG49" s="3783"/>
      <c r="AH49" s="3783"/>
      <c r="AI49" s="3783"/>
      <c r="AJ49" s="3783"/>
      <c r="AK49" s="3783"/>
      <c r="AL49" s="3783"/>
      <c r="AM49" s="3783"/>
      <c r="AN49" s="3783"/>
      <c r="AO49" s="3783"/>
      <c r="AP49" s="3783"/>
      <c r="AQ49" s="3783"/>
      <c r="AR49" s="3783"/>
      <c r="AS49" s="3783"/>
      <c r="AT49" s="3783"/>
      <c r="AU49" s="3783"/>
      <c r="AV49" s="3783"/>
      <c r="AW49" s="3783"/>
      <c r="AX49" s="3783"/>
      <c r="AY49" s="3783"/>
      <c r="AZ49" s="3783"/>
      <c r="BA49" s="3783"/>
      <c r="BB49" s="3783"/>
      <c r="BC49" s="3783"/>
      <c r="BD49" s="3783"/>
      <c r="BE49" s="3783"/>
      <c r="BF49" s="3783"/>
      <c r="BG49" s="3783"/>
      <c r="BH49" s="3783"/>
      <c r="BI49" s="3783"/>
      <c r="BJ49" s="3783"/>
      <c r="BK49" s="3783"/>
      <c r="BL49" s="3783"/>
      <c r="BM49" s="3783"/>
      <c r="BN49" s="3783"/>
      <c r="BO49" s="3783"/>
      <c r="BP49" s="3783"/>
      <c r="BQ49" s="3783"/>
      <c r="BR49" s="3783"/>
      <c r="BS49" s="3783"/>
      <c r="BT49" s="3783"/>
      <c r="BU49" s="3783"/>
      <c r="BV49" s="3783"/>
      <c r="BW49" s="3783"/>
      <c r="BX49" s="3783"/>
      <c r="BY49" s="3783"/>
      <c r="BZ49" s="3783"/>
      <c r="CA49" s="3783"/>
      <c r="CB49" s="3783"/>
      <c r="CC49" s="3783"/>
      <c r="CD49" s="3783"/>
      <c r="CE49" s="3783"/>
      <c r="CF49" s="3783"/>
      <c r="CG49" s="3783"/>
      <c r="CH49" s="3783"/>
      <c r="CI49" s="3783"/>
      <c r="CJ49" s="3783"/>
      <c r="CK49" s="3783"/>
      <c r="CL49" s="3783"/>
      <c r="CM49" s="3783"/>
    </row>
    <row r="50" spans="1:91" s="8" customFormat="1" ht="24.95" customHeight="1" thickBot="1" x14ac:dyDescent="0.3">
      <c r="A50" s="4203"/>
      <c r="B50" s="4203"/>
      <c r="C50" s="4203"/>
      <c r="D50" s="4203"/>
      <c r="E50" s="4203"/>
      <c r="F50" s="5544" t="s">
        <v>2192</v>
      </c>
      <c r="I50" s="13"/>
      <c r="J50" s="20"/>
      <c r="K50" s="14"/>
      <c r="L50" s="21"/>
      <c r="M50" s="21"/>
      <c r="N50" s="21"/>
      <c r="O50" s="13"/>
      <c r="P50" s="16"/>
      <c r="Q50" s="17"/>
      <c r="R50" s="16"/>
      <c r="S50" s="16"/>
      <c r="T50" s="2720"/>
      <c r="U50" s="181"/>
      <c r="V50" s="181"/>
      <c r="W50" s="2797"/>
      <c r="X50" s="2797"/>
      <c r="Y50" s="2797"/>
      <c r="Z50" s="2797"/>
      <c r="AA50" s="2797"/>
      <c r="AB50" s="2797"/>
      <c r="AC50" s="3305"/>
      <c r="AD50" s="3305"/>
      <c r="AE50" s="3305"/>
      <c r="AF50" s="3305"/>
      <c r="AG50" s="3305"/>
      <c r="AH50" s="2797"/>
      <c r="AI50" s="2797"/>
      <c r="AJ50" s="2797"/>
      <c r="AK50" s="2797"/>
      <c r="AL50" s="2797"/>
      <c r="AM50" s="2797"/>
      <c r="AN50" s="2797"/>
      <c r="AO50" s="2797"/>
      <c r="AP50" s="3305"/>
      <c r="AQ50" s="2797"/>
      <c r="AR50" s="181"/>
      <c r="AS50" s="2797"/>
      <c r="AT50" s="2797"/>
      <c r="AU50" s="2797"/>
      <c r="AV50" s="2797"/>
      <c r="AW50" s="2797"/>
      <c r="AX50" s="3305"/>
      <c r="AY50" s="2797"/>
      <c r="AZ50" s="2797"/>
      <c r="BA50" s="2797"/>
      <c r="BB50" s="2797"/>
      <c r="BC50" s="2797"/>
      <c r="BD50" s="2797"/>
      <c r="BE50" s="2797"/>
      <c r="BF50" s="3305"/>
      <c r="BG50" s="2797"/>
      <c r="BI50" s="2797"/>
      <c r="BJ50" s="2797"/>
      <c r="BK50" s="2797"/>
      <c r="BL50" s="2797"/>
      <c r="BM50" s="2797"/>
      <c r="BN50" s="3305"/>
      <c r="BO50" s="2797"/>
      <c r="BQ50" s="2797"/>
      <c r="BR50" s="2797"/>
      <c r="BS50" s="2797"/>
      <c r="BT50" s="2797"/>
      <c r="BU50" s="2797"/>
      <c r="BV50" s="3305"/>
      <c r="BW50" s="2797"/>
      <c r="BY50" s="2797"/>
      <c r="BZ50" s="2797"/>
      <c r="CA50" s="2797"/>
      <c r="CB50" s="2797"/>
      <c r="CC50" s="2797"/>
      <c r="CD50" s="3305"/>
      <c r="CE50" s="2797"/>
      <c r="CG50" s="2797"/>
      <c r="CH50" s="2797"/>
      <c r="CI50" s="2797"/>
      <c r="CJ50" s="2797"/>
      <c r="CK50" s="2797"/>
      <c r="CL50" s="3305"/>
      <c r="CM50" s="2797"/>
    </row>
    <row r="51" spans="1:91" s="8" customFormat="1" ht="9.9499999999999993" customHeight="1" x14ac:dyDescent="0.2">
      <c r="A51" s="4203"/>
      <c r="B51" s="4203"/>
      <c r="C51" s="4203"/>
      <c r="D51" s="4203"/>
      <c r="E51" s="4203"/>
      <c r="F51" s="4203"/>
      <c r="I51" s="3314"/>
      <c r="J51" s="181"/>
      <c r="K51" s="2785"/>
      <c r="L51" s="2786"/>
      <c r="M51" s="2786"/>
      <c r="N51" s="2786"/>
      <c r="O51" s="4215"/>
      <c r="P51" s="2786"/>
      <c r="Q51" s="3662"/>
      <c r="R51" s="3311"/>
      <c r="S51" s="2582"/>
      <c r="T51" s="4373"/>
      <c r="W51" s="6971" t="str">
        <f>_Calcs_Klasse!$AH$89</f>
        <v>Sikringsklasse I</v>
      </c>
      <c r="X51" s="6972"/>
      <c r="Y51" s="6972"/>
      <c r="Z51" s="6972"/>
      <c r="AA51" s="6972"/>
      <c r="AB51" s="6972"/>
      <c r="AC51" s="6972"/>
      <c r="AD51" s="6972"/>
      <c r="AE51" s="6972"/>
      <c r="AF51" s="6972"/>
      <c r="AG51" s="6972"/>
      <c r="AH51" s="6972"/>
      <c r="AI51" s="6972"/>
      <c r="AJ51" s="6972"/>
      <c r="AK51" s="6972"/>
      <c r="AL51" s="6972"/>
      <c r="AM51" s="6972"/>
      <c r="AN51" s="6972"/>
      <c r="AO51" s="6972"/>
      <c r="AP51" s="6972"/>
      <c r="AQ51" s="6973"/>
      <c r="AR51" s="181"/>
      <c r="AS51" s="6823" t="str">
        <f>_Calcs_Klasse!$AH$90</f>
        <v>Sikringsklasse II</v>
      </c>
      <c r="AT51" s="6824"/>
      <c r="AU51" s="6824"/>
      <c r="AV51" s="6824"/>
      <c r="AW51" s="6824"/>
      <c r="AX51" s="6824"/>
      <c r="AY51" s="6825"/>
      <c r="AZ51" s="2797"/>
      <c r="BA51" s="6832" t="str">
        <f>_Calcs_Klasse!$AH$91</f>
        <v>Sikringsklasse III</v>
      </c>
      <c r="BB51" s="6833"/>
      <c r="BC51" s="6833"/>
      <c r="BD51" s="6833"/>
      <c r="BE51" s="6833"/>
      <c r="BF51" s="6833"/>
      <c r="BG51" s="6834"/>
      <c r="BI51" s="6890" t="str">
        <f>_Calcs_Klasse!$AH$92</f>
        <v>Sikringsklasse IV</v>
      </c>
      <c r="BJ51" s="6891"/>
      <c r="BK51" s="6891"/>
      <c r="BL51" s="6891"/>
      <c r="BM51" s="6891"/>
      <c r="BN51" s="6891"/>
      <c r="BO51" s="6891"/>
      <c r="BP51" s="6891"/>
      <c r="BQ51" s="6891"/>
      <c r="BR51" s="6891"/>
      <c r="BS51" s="6891"/>
      <c r="BT51" s="6891"/>
      <c r="BU51" s="6891"/>
      <c r="BV51" s="6891"/>
      <c r="BW51" s="6892"/>
      <c r="BY51" s="6920" t="str">
        <f>_Calcs_Klasse!$AH$93</f>
        <v>Sikringsklasse V</v>
      </c>
      <c r="BZ51" s="6921"/>
      <c r="CA51" s="6921"/>
      <c r="CB51" s="6921"/>
      <c r="CC51" s="6921"/>
      <c r="CD51" s="6921"/>
      <c r="CE51" s="6922"/>
      <c r="CG51" s="6869" t="str">
        <f>_Calcs_Klasse!$AH$94</f>
        <v>Sikringsklasse VI</v>
      </c>
      <c r="CH51" s="6870"/>
      <c r="CI51" s="6870"/>
      <c r="CJ51" s="6870"/>
      <c r="CK51" s="6870"/>
      <c r="CL51" s="6870"/>
      <c r="CM51" s="6871"/>
    </row>
    <row r="52" spans="1:91" s="8" customFormat="1" ht="19.5" customHeight="1" x14ac:dyDescent="0.2">
      <c r="A52" s="4203"/>
      <c r="B52" s="4203"/>
      <c r="C52" s="4203"/>
      <c r="D52" s="4203"/>
      <c r="E52" s="4203"/>
      <c r="F52" s="4203"/>
      <c r="I52" s="3315"/>
      <c r="J52" s="181"/>
      <c r="K52" s="2787"/>
      <c r="L52" s="2788"/>
      <c r="M52" s="2788"/>
      <c r="N52" s="2788"/>
      <c r="O52" s="4216"/>
      <c r="P52" s="2788"/>
      <c r="Q52" s="3663"/>
      <c r="R52" s="3312"/>
      <c r="S52" s="2582"/>
      <c r="T52" s="4373"/>
      <c r="W52" s="6974"/>
      <c r="X52" s="6975"/>
      <c r="Y52" s="6975"/>
      <c r="Z52" s="6975"/>
      <c r="AA52" s="6975"/>
      <c r="AB52" s="6975"/>
      <c r="AC52" s="6975"/>
      <c r="AD52" s="6975"/>
      <c r="AE52" s="6975"/>
      <c r="AF52" s="6975"/>
      <c r="AG52" s="6975"/>
      <c r="AH52" s="6975"/>
      <c r="AI52" s="6975"/>
      <c r="AJ52" s="6975"/>
      <c r="AK52" s="6975"/>
      <c r="AL52" s="6975"/>
      <c r="AM52" s="6975"/>
      <c r="AN52" s="6975"/>
      <c r="AO52" s="6975"/>
      <c r="AP52" s="6975"/>
      <c r="AQ52" s="6976"/>
      <c r="AR52" s="181"/>
      <c r="AS52" s="6826"/>
      <c r="AT52" s="6827"/>
      <c r="AU52" s="6827"/>
      <c r="AV52" s="6827"/>
      <c r="AW52" s="6827"/>
      <c r="AX52" s="6827"/>
      <c r="AY52" s="6828"/>
      <c r="AZ52" s="2797"/>
      <c r="BA52" s="6835"/>
      <c r="BB52" s="6836"/>
      <c r="BC52" s="6836"/>
      <c r="BD52" s="6836"/>
      <c r="BE52" s="6836"/>
      <c r="BF52" s="6836"/>
      <c r="BG52" s="6837"/>
      <c r="BI52" s="6893"/>
      <c r="BJ52" s="6894"/>
      <c r="BK52" s="6894"/>
      <c r="BL52" s="6894"/>
      <c r="BM52" s="6894"/>
      <c r="BN52" s="6894"/>
      <c r="BO52" s="6894"/>
      <c r="BP52" s="6894"/>
      <c r="BQ52" s="6894"/>
      <c r="BR52" s="6894"/>
      <c r="BS52" s="6894"/>
      <c r="BT52" s="6894"/>
      <c r="BU52" s="6894"/>
      <c r="BV52" s="6894"/>
      <c r="BW52" s="6895"/>
      <c r="BY52" s="6923"/>
      <c r="BZ52" s="6924"/>
      <c r="CA52" s="6924"/>
      <c r="CB52" s="6924"/>
      <c r="CC52" s="6924"/>
      <c r="CD52" s="6924"/>
      <c r="CE52" s="6925"/>
      <c r="CG52" s="6872"/>
      <c r="CH52" s="6873"/>
      <c r="CI52" s="6873"/>
      <c r="CJ52" s="6873"/>
      <c r="CK52" s="6873"/>
      <c r="CL52" s="6873"/>
      <c r="CM52" s="6874"/>
    </row>
    <row r="53" spans="1:91" s="8" customFormat="1" ht="9.9499999999999993" customHeight="1" thickBot="1" x14ac:dyDescent="0.25">
      <c r="A53" s="4203"/>
      <c r="B53" s="4203"/>
      <c r="C53" s="4203"/>
      <c r="D53" s="4203"/>
      <c r="E53" s="4203"/>
      <c r="F53" s="4203"/>
      <c r="I53" s="3316"/>
      <c r="J53" s="181"/>
      <c r="K53" s="2789"/>
      <c r="L53" s="2790"/>
      <c r="M53" s="2790"/>
      <c r="N53" s="2790"/>
      <c r="O53" s="4217"/>
      <c r="P53" s="2790"/>
      <c r="Q53" s="3664"/>
      <c r="R53" s="3313"/>
      <c r="S53" s="2582"/>
      <c r="T53" s="4373"/>
      <c r="W53" s="6977"/>
      <c r="X53" s="6978"/>
      <c r="Y53" s="6978"/>
      <c r="Z53" s="6978"/>
      <c r="AA53" s="6978"/>
      <c r="AB53" s="6978"/>
      <c r="AC53" s="6978"/>
      <c r="AD53" s="6978"/>
      <c r="AE53" s="6978"/>
      <c r="AF53" s="6978"/>
      <c r="AG53" s="6978"/>
      <c r="AH53" s="6978"/>
      <c r="AI53" s="6978"/>
      <c r="AJ53" s="6978"/>
      <c r="AK53" s="6978"/>
      <c r="AL53" s="6978"/>
      <c r="AM53" s="6978"/>
      <c r="AN53" s="6978"/>
      <c r="AO53" s="6978"/>
      <c r="AP53" s="6978"/>
      <c r="AQ53" s="6979"/>
      <c r="AR53" s="181"/>
      <c r="AS53" s="6829"/>
      <c r="AT53" s="6830"/>
      <c r="AU53" s="6830"/>
      <c r="AV53" s="6830"/>
      <c r="AW53" s="6830"/>
      <c r="AX53" s="6830"/>
      <c r="AY53" s="6831"/>
      <c r="AZ53" s="2797"/>
      <c r="BA53" s="6838"/>
      <c r="BB53" s="6839"/>
      <c r="BC53" s="6839"/>
      <c r="BD53" s="6839"/>
      <c r="BE53" s="6839"/>
      <c r="BF53" s="6839"/>
      <c r="BG53" s="6840"/>
      <c r="BI53" s="6896"/>
      <c r="BJ53" s="6897"/>
      <c r="BK53" s="6897"/>
      <c r="BL53" s="6897"/>
      <c r="BM53" s="6897"/>
      <c r="BN53" s="6897"/>
      <c r="BO53" s="6897"/>
      <c r="BP53" s="6897"/>
      <c r="BQ53" s="6897"/>
      <c r="BR53" s="6897"/>
      <c r="BS53" s="6897"/>
      <c r="BT53" s="6897"/>
      <c r="BU53" s="6897"/>
      <c r="BV53" s="6897"/>
      <c r="BW53" s="6898"/>
      <c r="BY53" s="6926"/>
      <c r="BZ53" s="6927"/>
      <c r="CA53" s="6927"/>
      <c r="CB53" s="6927"/>
      <c r="CC53" s="6927"/>
      <c r="CD53" s="6927"/>
      <c r="CE53" s="6928"/>
      <c r="CG53" s="6875"/>
      <c r="CH53" s="6876"/>
      <c r="CI53" s="6876"/>
      <c r="CJ53" s="6876"/>
      <c r="CK53" s="6876"/>
      <c r="CL53" s="6876"/>
      <c r="CM53" s="6877"/>
    </row>
    <row r="54" spans="1:91" s="8" customFormat="1" ht="4.5" customHeight="1" x14ac:dyDescent="0.25">
      <c r="A54" s="4203"/>
      <c r="B54" s="4203"/>
      <c r="C54" s="4203"/>
      <c r="D54" s="4203"/>
      <c r="E54" s="4203"/>
      <c r="F54" s="4203"/>
      <c r="I54" s="13"/>
      <c r="J54" s="20"/>
      <c r="K54" s="14"/>
      <c r="L54" s="21"/>
      <c r="M54" s="21"/>
      <c r="N54" s="21"/>
      <c r="O54" s="13"/>
      <c r="P54" s="16"/>
      <c r="Q54" s="17"/>
      <c r="R54" s="16"/>
      <c r="S54" s="16"/>
      <c r="T54" s="4373"/>
      <c r="U54" s="181"/>
      <c r="V54" s="181"/>
      <c r="W54" s="2797"/>
      <c r="X54" s="2797"/>
      <c r="Y54" s="2797"/>
      <c r="Z54" s="2797"/>
      <c r="AA54" s="2797"/>
      <c r="AB54" s="2797"/>
      <c r="AC54" s="3305"/>
      <c r="AD54" s="3305"/>
      <c r="AE54" s="3305"/>
      <c r="AF54" s="3305"/>
      <c r="AG54" s="3305"/>
      <c r="AH54" s="2797"/>
      <c r="AI54" s="2797"/>
      <c r="AJ54" s="2797"/>
      <c r="AK54" s="2797"/>
      <c r="AL54" s="2797"/>
      <c r="AM54" s="2797"/>
      <c r="AN54" s="2797"/>
      <c r="AO54" s="2797"/>
      <c r="AP54" s="3305"/>
      <c r="AQ54" s="2797"/>
      <c r="AR54" s="181"/>
      <c r="AS54" s="2797"/>
      <c r="AT54" s="2797"/>
      <c r="AU54" s="2797"/>
      <c r="AV54" s="2797"/>
      <c r="AW54" s="2797"/>
      <c r="AX54" s="3305"/>
      <c r="AY54" s="2797"/>
      <c r="AZ54" s="2797"/>
      <c r="BA54" s="2797"/>
      <c r="BB54" s="2797"/>
      <c r="BC54" s="2797"/>
      <c r="BD54" s="2797"/>
      <c r="BE54" s="2797"/>
      <c r="BF54" s="3305"/>
      <c r="BG54" s="2797"/>
      <c r="BI54" s="2797"/>
      <c r="BJ54" s="2797"/>
      <c r="BK54" s="2797"/>
      <c r="BL54" s="2797"/>
      <c r="BM54" s="2797"/>
      <c r="BN54" s="3305"/>
      <c r="BO54" s="2797"/>
      <c r="BQ54" s="2797"/>
      <c r="BR54" s="2797"/>
      <c r="BS54" s="2797"/>
      <c r="BT54" s="2797"/>
      <c r="BU54" s="2797"/>
      <c r="BV54" s="3305"/>
      <c r="BW54" s="2797"/>
      <c r="BY54" s="2797"/>
      <c r="BZ54" s="2797"/>
      <c r="CA54" s="2797"/>
      <c r="CB54" s="2797"/>
      <c r="CC54" s="2797"/>
      <c r="CD54" s="3305"/>
      <c r="CE54" s="2797"/>
      <c r="CG54" s="2797"/>
      <c r="CH54" s="2797"/>
      <c r="CI54" s="2797"/>
      <c r="CJ54" s="2797"/>
      <c r="CK54" s="2797"/>
      <c r="CL54" s="3305"/>
      <c r="CM54" s="2797"/>
    </row>
    <row r="55" spans="1:91" s="21" customFormat="1" ht="8.1" customHeight="1" thickBot="1" x14ac:dyDescent="0.3">
      <c r="A55" s="3881"/>
      <c r="B55" s="3881"/>
      <c r="C55" s="3881"/>
      <c r="D55" s="3881"/>
      <c r="E55" s="3881"/>
      <c r="F55" s="3881"/>
      <c r="I55" s="13"/>
      <c r="J55" s="13"/>
      <c r="K55" s="14"/>
      <c r="O55" s="13"/>
      <c r="P55" s="137"/>
      <c r="Q55" s="1185"/>
      <c r="R55" s="137"/>
      <c r="S55" s="1960"/>
      <c r="T55" s="4373"/>
      <c r="U55" s="181"/>
      <c r="V55" s="181"/>
      <c r="W55" s="2797"/>
      <c r="X55" s="2797"/>
      <c r="Y55" s="2797"/>
      <c r="Z55" s="2797"/>
      <c r="AA55" s="2797"/>
      <c r="AB55" s="2797"/>
      <c r="AC55" s="3305"/>
      <c r="AD55" s="3305"/>
      <c r="AE55" s="3305"/>
      <c r="AF55" s="3305"/>
      <c r="AG55" s="3305"/>
      <c r="AH55" s="2797"/>
      <c r="AI55" s="2797"/>
      <c r="AJ55" s="2797"/>
      <c r="AK55" s="2797"/>
      <c r="AL55" s="2797"/>
      <c r="AM55" s="2797"/>
      <c r="AN55" s="2797"/>
      <c r="AO55" s="2797"/>
      <c r="AP55" s="3305"/>
      <c r="AQ55" s="2797"/>
      <c r="AR55" s="181"/>
      <c r="AS55" s="2797"/>
      <c r="AT55" s="2797"/>
      <c r="AU55" s="2797"/>
      <c r="AV55" s="2797"/>
      <c r="AW55" s="2797"/>
      <c r="AX55" s="3305"/>
      <c r="AY55" s="2797"/>
      <c r="AZ55" s="2797"/>
      <c r="BA55" s="2797"/>
      <c r="BB55" s="2797"/>
      <c r="BC55" s="2797"/>
      <c r="BD55" s="2797"/>
      <c r="BE55" s="2797"/>
      <c r="BF55" s="3305"/>
      <c r="BG55" s="2797"/>
      <c r="BI55" s="2797"/>
      <c r="BJ55" s="2797"/>
      <c r="BK55" s="2797"/>
      <c r="BL55" s="2797"/>
      <c r="BM55" s="2797"/>
      <c r="BN55" s="3305"/>
      <c r="BO55" s="2797"/>
      <c r="BQ55" s="2797"/>
      <c r="BR55" s="2797"/>
      <c r="BS55" s="2797"/>
      <c r="BT55" s="2797"/>
      <c r="BU55" s="2797"/>
      <c r="BV55" s="3305"/>
      <c r="BW55" s="2797"/>
      <c r="BY55" s="2797"/>
      <c r="BZ55" s="2797"/>
      <c r="CA55" s="2797"/>
      <c r="CB55" s="2797"/>
      <c r="CC55" s="2797"/>
      <c r="CD55" s="3305"/>
      <c r="CE55" s="2797"/>
      <c r="CG55" s="2797"/>
      <c r="CH55" s="2797"/>
      <c r="CI55" s="2797"/>
      <c r="CJ55" s="2797"/>
      <c r="CK55" s="2797"/>
      <c r="CL55" s="3305"/>
      <c r="CM55" s="2797"/>
    </row>
    <row r="56" spans="1:91" s="8" customFormat="1" ht="9.9499999999999993" customHeight="1" x14ac:dyDescent="0.2">
      <c r="A56" s="4203"/>
      <c r="B56" s="4203"/>
      <c r="C56" s="4203"/>
      <c r="D56" s="4203"/>
      <c r="E56" s="4203"/>
      <c r="F56" s="4203"/>
      <c r="I56" s="3317"/>
      <c r="J56" s="2720"/>
      <c r="K56" s="3317"/>
      <c r="L56" s="3317"/>
      <c r="M56" s="3317"/>
      <c r="N56" s="3317"/>
      <c r="O56" s="4218"/>
      <c r="P56" s="3317"/>
      <c r="Q56" s="3665"/>
      <c r="R56" s="3317"/>
      <c r="S56" s="2582"/>
      <c r="T56" s="4373"/>
      <c r="W56" s="6987" t="str">
        <f>_Calcs_Klasse!$AI$89</f>
        <v>Klasse A</v>
      </c>
      <c r="X56" s="6988"/>
      <c r="Y56" s="6988"/>
      <c r="Z56" s="6988"/>
      <c r="AA56" s="6988"/>
      <c r="AB56" s="6988"/>
      <c r="AC56" s="6988"/>
      <c r="AD56" s="6988"/>
      <c r="AE56" s="6988"/>
      <c r="AF56" s="6988"/>
      <c r="AG56" s="6988"/>
      <c r="AH56" s="6989"/>
      <c r="AI56" s="2587"/>
      <c r="AJ56" s="2587"/>
      <c r="AK56" s="6941" t="str">
        <f>_Calcs_Klasse!$AJ$89</f>
        <v>Klasse B</v>
      </c>
      <c r="AL56" s="6942"/>
      <c r="AM56" s="6942"/>
      <c r="AN56" s="6942"/>
      <c r="AO56" s="6942"/>
      <c r="AP56" s="6942"/>
      <c r="AQ56" s="6943"/>
      <c r="AR56" s="181"/>
      <c r="AS56" s="6841" t="str">
        <f>_Calcs_Klasse!$AI$90</f>
        <v>Klasse C</v>
      </c>
      <c r="AT56" s="6842"/>
      <c r="AU56" s="6842"/>
      <c r="AV56" s="6842"/>
      <c r="AW56" s="6842"/>
      <c r="AX56" s="6842"/>
      <c r="AY56" s="6843"/>
      <c r="AZ56" s="2797"/>
      <c r="BA56" s="6850" t="str">
        <f>_Calcs_Klasse!$AI$91</f>
        <v>Klasse D</v>
      </c>
      <c r="BB56" s="6851"/>
      <c r="BC56" s="6851"/>
      <c r="BD56" s="6851"/>
      <c r="BE56" s="6851"/>
      <c r="BF56" s="6851"/>
      <c r="BG56" s="6852"/>
      <c r="BI56" s="6911" t="str">
        <f>_Calcs_Klasse!$AI$92</f>
        <v>Klasse E1</v>
      </c>
      <c r="BJ56" s="6912"/>
      <c r="BK56" s="6912"/>
      <c r="BL56" s="6912"/>
      <c r="BM56" s="6912"/>
      <c r="BN56" s="6912"/>
      <c r="BO56" s="6913"/>
      <c r="BQ56" s="6899" t="str">
        <f>_Calcs_Klasse!$AJ$92</f>
        <v>Klasse E2</v>
      </c>
      <c r="BR56" s="6900"/>
      <c r="BS56" s="6900"/>
      <c r="BT56" s="6900"/>
      <c r="BU56" s="6900"/>
      <c r="BV56" s="6900"/>
      <c r="BW56" s="6901"/>
      <c r="BY56" s="6929" t="str">
        <f>_Calcs_Klasse!$AI$93</f>
        <v>Klasse F</v>
      </c>
      <c r="BZ56" s="6930"/>
      <c r="CA56" s="6930"/>
      <c r="CB56" s="6930"/>
      <c r="CC56" s="6930"/>
      <c r="CD56" s="6930"/>
      <c r="CE56" s="6931"/>
      <c r="CG56" s="6878" t="str">
        <f>_Calcs_Klasse!$AI$94</f>
        <v>Klasse G</v>
      </c>
      <c r="CH56" s="6879"/>
      <c r="CI56" s="6879"/>
      <c r="CJ56" s="6879"/>
      <c r="CK56" s="6879"/>
      <c r="CL56" s="6879"/>
      <c r="CM56" s="6880"/>
    </row>
    <row r="57" spans="1:91" s="8" customFormat="1" ht="20.100000000000001" customHeight="1" x14ac:dyDescent="0.2">
      <c r="A57" s="4203"/>
      <c r="B57" s="4203"/>
      <c r="C57" s="4203"/>
      <c r="D57" s="4203"/>
      <c r="E57" s="4203"/>
      <c r="F57" s="4203"/>
      <c r="I57" s="3317"/>
      <c r="J57" s="2720"/>
      <c r="K57" s="3317"/>
      <c r="L57" s="3317"/>
      <c r="M57" s="3317"/>
      <c r="N57" s="3317"/>
      <c r="O57" s="4218"/>
      <c r="P57" s="3317"/>
      <c r="Q57" s="3665"/>
      <c r="R57" s="3317"/>
      <c r="S57" s="2582"/>
      <c r="T57" s="4373"/>
      <c r="W57" s="6990"/>
      <c r="X57" s="6991"/>
      <c r="Y57" s="6991"/>
      <c r="Z57" s="6991"/>
      <c r="AA57" s="6991"/>
      <c r="AB57" s="6991"/>
      <c r="AC57" s="6991"/>
      <c r="AD57" s="6991"/>
      <c r="AE57" s="6991"/>
      <c r="AF57" s="6991"/>
      <c r="AG57" s="6991"/>
      <c r="AH57" s="6992"/>
      <c r="AI57" s="2587"/>
      <c r="AJ57" s="2587"/>
      <c r="AK57" s="6944"/>
      <c r="AL57" s="6945"/>
      <c r="AM57" s="6945"/>
      <c r="AN57" s="6945"/>
      <c r="AO57" s="6945"/>
      <c r="AP57" s="6945"/>
      <c r="AQ57" s="6946"/>
      <c r="AR57" s="181"/>
      <c r="AS57" s="6844"/>
      <c r="AT57" s="6845"/>
      <c r="AU57" s="6845"/>
      <c r="AV57" s="6845"/>
      <c r="AW57" s="6845"/>
      <c r="AX57" s="6845"/>
      <c r="AY57" s="6846"/>
      <c r="AZ57" s="2797"/>
      <c r="BA57" s="6853"/>
      <c r="BB57" s="6854"/>
      <c r="BC57" s="6854"/>
      <c r="BD57" s="6854"/>
      <c r="BE57" s="6854"/>
      <c r="BF57" s="6854"/>
      <c r="BG57" s="6855"/>
      <c r="BI57" s="6914"/>
      <c r="BJ57" s="6915"/>
      <c r="BK57" s="6915"/>
      <c r="BL57" s="6915"/>
      <c r="BM57" s="6915"/>
      <c r="BN57" s="6915"/>
      <c r="BO57" s="6916"/>
      <c r="BQ57" s="6902"/>
      <c r="BR57" s="6903"/>
      <c r="BS57" s="6903"/>
      <c r="BT57" s="6903"/>
      <c r="BU57" s="6903"/>
      <c r="BV57" s="6903"/>
      <c r="BW57" s="6904"/>
      <c r="BY57" s="6932"/>
      <c r="BZ57" s="6933"/>
      <c r="CA57" s="6933"/>
      <c r="CB57" s="6933"/>
      <c r="CC57" s="6933"/>
      <c r="CD57" s="6933"/>
      <c r="CE57" s="6934"/>
      <c r="CG57" s="6881"/>
      <c r="CH57" s="6882"/>
      <c r="CI57" s="6882"/>
      <c r="CJ57" s="6882"/>
      <c r="CK57" s="6882"/>
      <c r="CL57" s="6882"/>
      <c r="CM57" s="6883"/>
    </row>
    <row r="58" spans="1:91" s="8" customFormat="1" ht="9.9499999999999993" customHeight="1" thickBot="1" x14ac:dyDescent="0.25">
      <c r="A58" s="4203"/>
      <c r="B58" s="4203"/>
      <c r="C58" s="4203"/>
      <c r="D58" s="4203"/>
      <c r="E58" s="4203"/>
      <c r="F58" s="4203"/>
      <c r="I58" s="3317"/>
      <c r="J58" s="2720"/>
      <c r="K58" s="3317"/>
      <c r="L58" s="3317"/>
      <c r="M58" s="3317"/>
      <c r="N58" s="3317"/>
      <c r="O58" s="4218"/>
      <c r="P58" s="3317"/>
      <c r="Q58" s="3665"/>
      <c r="R58" s="3317"/>
      <c r="S58" s="2582"/>
      <c r="T58" s="4373"/>
      <c r="W58" s="6993"/>
      <c r="X58" s="6994"/>
      <c r="Y58" s="6994"/>
      <c r="Z58" s="6994"/>
      <c r="AA58" s="6994"/>
      <c r="AB58" s="6994"/>
      <c r="AC58" s="6994"/>
      <c r="AD58" s="6994"/>
      <c r="AE58" s="6994"/>
      <c r="AF58" s="6994"/>
      <c r="AG58" s="6994"/>
      <c r="AH58" s="6995"/>
      <c r="AI58" s="2587"/>
      <c r="AJ58" s="2587"/>
      <c r="AK58" s="6947"/>
      <c r="AL58" s="6948"/>
      <c r="AM58" s="6948"/>
      <c r="AN58" s="6948"/>
      <c r="AO58" s="6948"/>
      <c r="AP58" s="6948"/>
      <c r="AQ58" s="6949"/>
      <c r="AR58" s="181"/>
      <c r="AS58" s="6847"/>
      <c r="AT58" s="6848"/>
      <c r="AU58" s="6848"/>
      <c r="AV58" s="6848"/>
      <c r="AW58" s="6848"/>
      <c r="AX58" s="6848"/>
      <c r="AY58" s="6849"/>
      <c r="AZ58" s="2797"/>
      <c r="BA58" s="6856"/>
      <c r="BB58" s="6857"/>
      <c r="BC58" s="6857"/>
      <c r="BD58" s="6857"/>
      <c r="BE58" s="6857"/>
      <c r="BF58" s="6857"/>
      <c r="BG58" s="6858"/>
      <c r="BI58" s="6917"/>
      <c r="BJ58" s="6918"/>
      <c r="BK58" s="6918"/>
      <c r="BL58" s="6918"/>
      <c r="BM58" s="6918"/>
      <c r="BN58" s="6918"/>
      <c r="BO58" s="6919"/>
      <c r="BQ58" s="6905"/>
      <c r="BR58" s="6906"/>
      <c r="BS58" s="6906"/>
      <c r="BT58" s="6906"/>
      <c r="BU58" s="6906"/>
      <c r="BV58" s="6906"/>
      <c r="BW58" s="6907"/>
      <c r="BY58" s="6935"/>
      <c r="BZ58" s="6936"/>
      <c r="CA58" s="6936"/>
      <c r="CB58" s="6936"/>
      <c r="CC58" s="6936"/>
      <c r="CD58" s="6936"/>
      <c r="CE58" s="6937"/>
      <c r="CG58" s="6884"/>
      <c r="CH58" s="6885"/>
      <c r="CI58" s="6885"/>
      <c r="CJ58" s="6885"/>
      <c r="CK58" s="6885"/>
      <c r="CL58" s="6885"/>
      <c r="CM58" s="6886"/>
    </row>
    <row r="59" spans="1:91" ht="24.95" customHeight="1" x14ac:dyDescent="0.25">
      <c r="T59" s="4374"/>
    </row>
    <row r="60" spans="1:91" ht="15" customHeight="1" x14ac:dyDescent="0.25">
      <c r="I60" s="4763"/>
      <c r="J60" s="4763"/>
      <c r="K60" s="4763"/>
      <c r="L60" s="4763"/>
      <c r="M60" s="4763"/>
      <c r="N60" s="4763"/>
      <c r="O60" s="4763"/>
      <c r="P60" s="4763"/>
      <c r="Q60" s="4763"/>
      <c r="R60" s="4763"/>
      <c r="T60" s="4374"/>
      <c r="W60" s="4763"/>
      <c r="X60" s="4763"/>
      <c r="Y60" s="4763"/>
      <c r="Z60" s="4763"/>
      <c r="AA60" s="4763"/>
      <c r="AB60" s="4763"/>
      <c r="AC60" s="4764"/>
      <c r="AD60" s="4764"/>
      <c r="AE60" s="4764"/>
      <c r="AF60" s="4764"/>
      <c r="AG60" s="4764"/>
      <c r="AH60" s="4763"/>
      <c r="AI60" s="4763"/>
      <c r="AJ60" s="4763"/>
      <c r="AK60" s="4763"/>
      <c r="AL60" s="4763"/>
      <c r="AM60" s="4763"/>
      <c r="AN60" s="4763"/>
      <c r="AO60" s="4763"/>
      <c r="AP60" s="4764"/>
      <c r="AQ60" s="4763"/>
      <c r="AR60" s="4763"/>
      <c r="AS60" s="4763"/>
      <c r="AT60" s="4763"/>
      <c r="AU60" s="4763"/>
      <c r="AV60" s="4763"/>
      <c r="AW60" s="4763"/>
      <c r="AX60" s="4764"/>
      <c r="AY60" s="4763"/>
      <c r="AZ60" s="4763"/>
      <c r="BA60" s="4763"/>
      <c r="BB60" s="4763"/>
      <c r="BC60" s="4763"/>
      <c r="BD60" s="4763"/>
      <c r="BE60" s="4763"/>
      <c r="BF60" s="4764"/>
      <c r="BG60" s="4763"/>
      <c r="BH60" s="4763"/>
      <c r="BI60" s="4763"/>
      <c r="BJ60" s="4763"/>
      <c r="BK60" s="4763"/>
      <c r="BL60" s="4763"/>
      <c r="BM60" s="4763"/>
      <c r="BN60" s="4764"/>
      <c r="BO60" s="4763"/>
      <c r="BP60" s="4763"/>
      <c r="BQ60" s="4763"/>
      <c r="BR60" s="4763"/>
      <c r="BS60" s="4763"/>
      <c r="BT60" s="4763"/>
      <c r="BU60" s="4763"/>
      <c r="BV60" s="4764"/>
      <c r="BW60" s="4763"/>
      <c r="BX60" s="4763"/>
      <c r="BY60" s="4763"/>
      <c r="BZ60" s="4763"/>
      <c r="CA60" s="4763"/>
      <c r="CB60" s="4763"/>
      <c r="CC60" s="4763"/>
      <c r="CD60" s="4764"/>
      <c r="CE60" s="4763"/>
      <c r="CF60" s="4763"/>
      <c r="CG60" s="4763"/>
      <c r="CH60" s="4763"/>
      <c r="CI60" s="4763"/>
      <c r="CJ60" s="4763"/>
      <c r="CK60" s="4763"/>
      <c r="CL60" s="4764"/>
      <c r="CM60" s="4763"/>
    </row>
    <row r="61" spans="1:91" s="8" customFormat="1" ht="24.95" customHeight="1" thickBot="1" x14ac:dyDescent="0.25">
      <c r="A61" s="4203"/>
      <c r="B61" s="4203"/>
      <c r="C61" s="4203"/>
      <c r="D61" s="4203"/>
      <c r="E61" s="4203"/>
      <c r="F61" s="4203"/>
      <c r="I61" s="13"/>
      <c r="J61" s="20"/>
      <c r="K61" s="14"/>
      <c r="L61" s="21"/>
      <c r="M61" s="21"/>
      <c r="N61" s="21"/>
      <c r="O61" s="13"/>
      <c r="P61" s="16"/>
      <c r="Q61" s="17"/>
      <c r="R61" s="16"/>
      <c r="S61" s="16"/>
      <c r="T61" s="4373"/>
      <c r="W61" s="2798"/>
      <c r="X61" s="2798"/>
      <c r="Y61" s="2798"/>
      <c r="Z61" s="2798"/>
      <c r="AA61" s="2587"/>
      <c r="AB61" s="2799"/>
      <c r="AC61" s="3306"/>
      <c r="AD61" s="3306"/>
      <c r="AE61" s="3306"/>
      <c r="AF61" s="3306"/>
      <c r="AG61" s="3306"/>
      <c r="AH61" s="2587"/>
      <c r="AI61" s="2587"/>
      <c r="AJ61" s="2587"/>
      <c r="AK61" s="2798"/>
      <c r="AL61" s="2798"/>
      <c r="AM61" s="2798"/>
      <c r="AN61" s="2587"/>
      <c r="AO61" s="2799"/>
      <c r="AP61" s="3306"/>
      <c r="AQ61" s="2587"/>
      <c r="AR61" s="181"/>
      <c r="AS61" s="2798"/>
      <c r="AT61" s="2798"/>
      <c r="AU61" s="2798"/>
      <c r="AV61" s="2587"/>
      <c r="AW61" s="2799"/>
      <c r="AX61" s="3306"/>
      <c r="AY61" s="2587"/>
      <c r="AZ61" s="2587"/>
      <c r="BA61" s="2798"/>
      <c r="BB61" s="2798"/>
      <c r="BC61" s="2798"/>
      <c r="BD61" s="2587"/>
      <c r="BE61" s="2799"/>
      <c r="BF61" s="3306"/>
      <c r="BG61" s="2587"/>
      <c r="BI61" s="2798"/>
      <c r="BJ61" s="2798"/>
      <c r="BK61" s="2798"/>
      <c r="BL61" s="2587"/>
      <c r="BM61" s="2799"/>
      <c r="BN61" s="3306"/>
      <c r="BO61" s="2587"/>
      <c r="BQ61" s="2798"/>
      <c r="BR61" s="2798"/>
      <c r="BS61" s="2798"/>
      <c r="BT61" s="2587"/>
      <c r="BU61" s="2799"/>
      <c r="BV61" s="3306"/>
      <c r="BW61" s="2587"/>
      <c r="BY61" s="2798"/>
      <c r="BZ61" s="2798"/>
      <c r="CA61" s="2798"/>
      <c r="CB61" s="2587"/>
      <c r="CC61" s="2799"/>
      <c r="CD61" s="3306"/>
      <c r="CE61" s="2587"/>
      <c r="CG61" s="2798"/>
      <c r="CH61" s="2798"/>
      <c r="CI61" s="2798"/>
      <c r="CJ61" s="2587"/>
      <c r="CK61" s="2799"/>
      <c r="CL61" s="3306"/>
      <c r="CM61" s="2587"/>
    </row>
    <row r="62" spans="1:91" s="8" customFormat="1" ht="15" customHeight="1" thickBot="1" x14ac:dyDescent="0.25">
      <c r="A62" s="4203"/>
      <c r="B62" s="4203"/>
      <c r="C62" s="4203"/>
      <c r="D62" s="4203"/>
      <c r="E62" s="4203"/>
      <c r="F62" s="4203"/>
      <c r="I62" s="5136"/>
      <c r="J62" s="10"/>
      <c r="K62" s="4266"/>
      <c r="L62" s="4267"/>
      <c r="M62" s="4267"/>
      <c r="N62" s="4267"/>
      <c r="O62" s="4268"/>
      <c r="P62" s="4269"/>
      <c r="Q62" s="4269"/>
      <c r="R62" s="4270"/>
      <c r="S62" s="2798"/>
      <c r="T62" s="4373"/>
      <c r="W62" s="3038"/>
      <c r="X62" s="3268"/>
      <c r="Y62" s="3268"/>
      <c r="Z62" s="3040"/>
      <c r="AA62" s="4300"/>
      <c r="AB62" s="3042"/>
      <c r="AC62" s="4301"/>
      <c r="AD62" s="4301"/>
      <c r="AE62" s="4301"/>
      <c r="AF62" s="4301"/>
      <c r="AG62" s="4301"/>
      <c r="AH62" s="3269"/>
      <c r="AI62" s="2587"/>
      <c r="AJ62" s="2587"/>
      <c r="AK62" s="3274"/>
      <c r="AL62" s="3273"/>
      <c r="AM62" s="4310"/>
      <c r="AN62" s="4311"/>
      <c r="AO62" s="4312"/>
      <c r="AP62" s="4313"/>
      <c r="AQ62" s="3275"/>
      <c r="AR62" s="181"/>
      <c r="AS62" s="3280"/>
      <c r="AT62" s="3279"/>
      <c r="AU62" s="4345"/>
      <c r="AV62" s="4346"/>
      <c r="AW62" s="4347"/>
      <c r="AX62" s="4348"/>
      <c r="AY62" s="3281"/>
      <c r="AZ62" s="4318"/>
      <c r="BA62" s="2821"/>
      <c r="BB62" s="2822"/>
      <c r="BC62" s="4349"/>
      <c r="BD62" s="4350"/>
      <c r="BE62" s="4351"/>
      <c r="BF62" s="4352"/>
      <c r="BG62" s="2823"/>
      <c r="BH62" s="68"/>
      <c r="BI62" s="2827"/>
      <c r="BJ62" s="2828"/>
      <c r="BK62" s="4353"/>
      <c r="BL62" s="4354"/>
      <c r="BM62" s="4355"/>
      <c r="BN62" s="4356"/>
      <c r="BO62" s="2829"/>
      <c r="BP62" s="68"/>
      <c r="BQ62" s="3286"/>
      <c r="BR62" s="3285"/>
      <c r="BS62" s="4357"/>
      <c r="BT62" s="4358"/>
      <c r="BU62" s="4359"/>
      <c r="BV62" s="4360"/>
      <c r="BW62" s="3287"/>
      <c r="BX62" s="68"/>
      <c r="BY62" s="3292"/>
      <c r="BZ62" s="3291"/>
      <c r="CA62" s="4361"/>
      <c r="CB62" s="4362"/>
      <c r="CC62" s="4363"/>
      <c r="CD62" s="4364"/>
      <c r="CE62" s="3293"/>
      <c r="CF62" s="68"/>
      <c r="CG62" s="3298"/>
      <c r="CH62" s="3297"/>
      <c r="CI62" s="4365"/>
      <c r="CJ62" s="4366"/>
      <c r="CK62" s="4367"/>
      <c r="CL62" s="4368"/>
      <c r="CM62" s="3299"/>
    </row>
    <row r="63" spans="1:91" s="4278" customFormat="1" ht="35.1" customHeight="1" thickBot="1" x14ac:dyDescent="0.35">
      <c r="A63" s="4277"/>
      <c r="B63" s="4277"/>
      <c r="C63" s="4277"/>
      <c r="D63" s="4277"/>
      <c r="E63" s="4277"/>
      <c r="F63" s="4277"/>
      <c r="I63" s="5136"/>
      <c r="J63" s="4279"/>
      <c r="K63" s="4280"/>
      <c r="L63" s="5134" t="str">
        <f>_Calcs!$K$92</f>
        <v>Sikringsklasse kapasitet</v>
      </c>
      <c r="M63" s="4308"/>
      <c r="N63" s="4308"/>
      <c r="O63" s="4309"/>
      <c r="P63" s="4307"/>
      <c r="Q63" s="5135" t="s">
        <v>2142</v>
      </c>
      <c r="R63" s="4281"/>
      <c r="S63" s="4282"/>
      <c r="T63" s="4374"/>
      <c r="W63" s="4283"/>
      <c r="X63" s="7015" t="e">
        <f>INDEX(klasse_kapasitet[total_kap],MATCH("A",klasse_kapasitet[Klasse],0))</f>
        <v>#N/A</v>
      </c>
      <c r="Y63" s="7016"/>
      <c r="Z63" s="7016"/>
      <c r="AA63" s="7016"/>
      <c r="AB63" s="7016"/>
      <c r="AC63" s="7016"/>
      <c r="AD63" s="7016"/>
      <c r="AE63" s="7016"/>
      <c r="AF63" s="7016"/>
      <c r="AG63" s="7017"/>
      <c r="AH63" s="4302"/>
      <c r="AI63" s="4284"/>
      <c r="AJ63" s="4284"/>
      <c r="AK63" s="4285"/>
      <c r="AL63" s="7012" t="e">
        <f>INDEX(klasse_kapasitet[total_kap],MATCH("b",klasse_kapasitet[Klasse],0))</f>
        <v>#N/A</v>
      </c>
      <c r="AM63" s="7013"/>
      <c r="AN63" s="7013"/>
      <c r="AO63" s="7013"/>
      <c r="AP63" s="7014"/>
      <c r="AQ63" s="4286"/>
      <c r="AR63" s="4287"/>
      <c r="AS63" s="4288"/>
      <c r="AT63" s="7012" t="e">
        <f>INDEX(klasse_kapasitet[total_kap],MATCH("c",klasse_kapasitet[Klasse],0))</f>
        <v>#N/A</v>
      </c>
      <c r="AU63" s="7013"/>
      <c r="AV63" s="7013"/>
      <c r="AW63" s="7013"/>
      <c r="AX63" s="7014"/>
      <c r="AY63" s="4289"/>
      <c r="AZ63" s="4319"/>
      <c r="BA63" s="4290"/>
      <c r="BB63" s="7012" t="e">
        <f>INDEX(klasse_kapasitet[total_kap],MATCH("d",klasse_kapasitet[Klasse],0))</f>
        <v>#N/A</v>
      </c>
      <c r="BC63" s="7013"/>
      <c r="BD63" s="7013"/>
      <c r="BE63" s="7013"/>
      <c r="BF63" s="7014"/>
      <c r="BG63" s="4291"/>
      <c r="BH63" s="4320"/>
      <c r="BI63" s="4292"/>
      <c r="BJ63" s="7012" t="e">
        <f>INDEX(klasse_kapasitet[total_kap],MATCH("e1",klasse_kapasitet[Klasse],0))</f>
        <v>#N/A</v>
      </c>
      <c r="BK63" s="7013"/>
      <c r="BL63" s="7013"/>
      <c r="BM63" s="7013"/>
      <c r="BN63" s="7014"/>
      <c r="BO63" s="4293"/>
      <c r="BP63" s="4320"/>
      <c r="BQ63" s="4294"/>
      <c r="BR63" s="7012" t="e">
        <f>INDEX(klasse_kapasitet[total_kap],MATCH("e2",klasse_kapasitet[Klasse],0))</f>
        <v>#N/A</v>
      </c>
      <c r="BS63" s="7013"/>
      <c r="BT63" s="7013"/>
      <c r="BU63" s="7013"/>
      <c r="BV63" s="7014"/>
      <c r="BW63" s="4295"/>
      <c r="BX63" s="4320"/>
      <c r="BY63" s="4296"/>
      <c r="BZ63" s="7012" t="e">
        <f>INDEX(klasse_kapasitet[total_kap],MATCH("f",klasse_kapasitet[Klasse],0))</f>
        <v>#N/A</v>
      </c>
      <c r="CA63" s="7013"/>
      <c r="CB63" s="7013"/>
      <c r="CC63" s="7013"/>
      <c r="CD63" s="7014"/>
      <c r="CE63" s="4297"/>
      <c r="CF63" s="4320"/>
      <c r="CG63" s="4298"/>
      <c r="CH63" s="7012" t="e">
        <f>INDEX(klasse_kapasitet[total_kap],MATCH("g",klasse_kapasitet[Klasse],0))</f>
        <v>#N/A</v>
      </c>
      <c r="CI63" s="7013"/>
      <c r="CJ63" s="7013"/>
      <c r="CK63" s="7013"/>
      <c r="CL63" s="7014"/>
      <c r="CM63" s="4299"/>
    </row>
    <row r="64" spans="1:91" s="8" customFormat="1" ht="15" customHeight="1" thickBot="1" x14ac:dyDescent="0.25">
      <c r="A64" s="4203"/>
      <c r="B64" s="4203"/>
      <c r="C64" s="4203"/>
      <c r="D64" s="4203"/>
      <c r="E64" s="4203"/>
      <c r="F64" s="4203"/>
      <c r="I64" s="5136"/>
      <c r="J64" s="10"/>
      <c r="K64" s="4271"/>
      <c r="L64" s="4272"/>
      <c r="M64" s="4272"/>
      <c r="N64" s="4272"/>
      <c r="O64" s="4273"/>
      <c r="P64" s="4274"/>
      <c r="Q64" s="4274"/>
      <c r="R64" s="4275"/>
      <c r="S64" s="2798"/>
      <c r="T64" s="4373"/>
      <c r="W64" s="3265"/>
      <c r="X64" s="3266"/>
      <c r="Y64" s="3266"/>
      <c r="Z64" s="4303"/>
      <c r="AA64" s="4304"/>
      <c r="AB64" s="4305"/>
      <c r="AC64" s="4306"/>
      <c r="AD64" s="4306"/>
      <c r="AE64" s="4306"/>
      <c r="AF64" s="4306"/>
      <c r="AG64" s="4306"/>
      <c r="AH64" s="3267"/>
      <c r="AI64" s="2587"/>
      <c r="AJ64" s="2587"/>
      <c r="AK64" s="3270"/>
      <c r="AL64" s="3271"/>
      <c r="AM64" s="4314"/>
      <c r="AN64" s="4315"/>
      <c r="AO64" s="4316"/>
      <c r="AP64" s="4317"/>
      <c r="AQ64" s="3272"/>
      <c r="AR64" s="181"/>
      <c r="AS64" s="3276"/>
      <c r="AT64" s="3277"/>
      <c r="AU64" s="4341"/>
      <c r="AV64" s="4342"/>
      <c r="AW64" s="4343"/>
      <c r="AX64" s="4344"/>
      <c r="AY64" s="3278"/>
      <c r="AZ64" s="4318"/>
      <c r="BA64" s="2818"/>
      <c r="BB64" s="2819"/>
      <c r="BC64" s="4337"/>
      <c r="BD64" s="4338"/>
      <c r="BE64" s="4339"/>
      <c r="BF64" s="4340"/>
      <c r="BG64" s="2820"/>
      <c r="BH64" s="68"/>
      <c r="BI64" s="2824"/>
      <c r="BJ64" s="2825"/>
      <c r="BK64" s="4333"/>
      <c r="BL64" s="4334"/>
      <c r="BM64" s="4335"/>
      <c r="BN64" s="4336"/>
      <c r="BO64" s="2826"/>
      <c r="BP64" s="68"/>
      <c r="BQ64" s="3282"/>
      <c r="BR64" s="3283"/>
      <c r="BS64" s="4329"/>
      <c r="BT64" s="4330"/>
      <c r="BU64" s="4331"/>
      <c r="BV64" s="4332"/>
      <c r="BW64" s="3284"/>
      <c r="BX64" s="68"/>
      <c r="BY64" s="3288"/>
      <c r="BZ64" s="3289"/>
      <c r="CA64" s="4325"/>
      <c r="CB64" s="4326"/>
      <c r="CC64" s="4327"/>
      <c r="CD64" s="4328"/>
      <c r="CE64" s="3290"/>
      <c r="CF64" s="68"/>
      <c r="CG64" s="3294"/>
      <c r="CH64" s="3295"/>
      <c r="CI64" s="4321"/>
      <c r="CJ64" s="4322"/>
      <c r="CK64" s="4323"/>
      <c r="CL64" s="4324"/>
      <c r="CM64" s="3296"/>
    </row>
    <row r="65" spans="1:91" ht="24.95" customHeight="1" x14ac:dyDescent="0.25">
      <c r="T65" s="4374"/>
    </row>
    <row r="66" spans="1:91" ht="15" customHeight="1" x14ac:dyDescent="0.25">
      <c r="I66" s="4763"/>
      <c r="J66" s="4763"/>
      <c r="K66" s="4763"/>
      <c r="L66" s="4763"/>
      <c r="M66" s="4763"/>
      <c r="N66" s="4763"/>
      <c r="O66" s="4763"/>
      <c r="P66" s="4763"/>
      <c r="Q66" s="4763"/>
      <c r="R66" s="4763"/>
      <c r="T66" s="4374"/>
      <c r="W66" s="4763"/>
      <c r="X66" s="4763"/>
      <c r="Y66" s="4763"/>
      <c r="Z66" s="4763"/>
      <c r="AA66" s="4763"/>
      <c r="AB66" s="4763"/>
      <c r="AC66" s="4764"/>
      <c r="AD66" s="4764"/>
      <c r="AE66" s="4764"/>
      <c r="AF66" s="4764"/>
      <c r="AG66" s="4764"/>
      <c r="AH66" s="4763"/>
      <c r="AI66" s="4763"/>
      <c r="AJ66" s="4763"/>
      <c r="AK66" s="4763"/>
      <c r="AL66" s="4763"/>
      <c r="AM66" s="4763"/>
      <c r="AN66" s="4763"/>
      <c r="AO66" s="4763"/>
      <c r="AP66" s="4764"/>
      <c r="AQ66" s="4763"/>
      <c r="AR66" s="4763"/>
      <c r="AS66" s="4763"/>
      <c r="AT66" s="4763"/>
      <c r="AU66" s="4763"/>
      <c r="AV66" s="4763"/>
      <c r="AW66" s="4763"/>
      <c r="AX66" s="4764"/>
      <c r="AY66" s="4763"/>
      <c r="AZ66" s="4763"/>
      <c r="BA66" s="4763"/>
      <c r="BB66" s="4763"/>
      <c r="BC66" s="4763"/>
      <c r="BD66" s="4763"/>
      <c r="BE66" s="4763"/>
      <c r="BF66" s="4764"/>
      <c r="BG66" s="4763"/>
      <c r="BH66" s="4763"/>
      <c r="BI66" s="4763"/>
      <c r="BJ66" s="4763"/>
      <c r="BK66" s="4763"/>
      <c r="BL66" s="4763"/>
      <c r="BM66" s="4763"/>
      <c r="BN66" s="4764"/>
      <c r="BO66" s="4763"/>
      <c r="BP66" s="4763"/>
      <c r="BQ66" s="4763"/>
      <c r="BR66" s="4763"/>
      <c r="BS66" s="4763"/>
      <c r="BT66" s="4763"/>
      <c r="BU66" s="4763"/>
      <c r="BV66" s="4764"/>
      <c r="BW66" s="4763"/>
      <c r="BX66" s="4763"/>
      <c r="BY66" s="4763"/>
      <c r="BZ66" s="4763"/>
      <c r="CA66" s="4763"/>
      <c r="CB66" s="4763"/>
      <c r="CC66" s="4763"/>
      <c r="CD66" s="4764"/>
      <c r="CE66" s="4763"/>
      <c r="CF66" s="4763"/>
      <c r="CG66" s="4763"/>
      <c r="CH66" s="4763"/>
      <c r="CI66" s="4763"/>
      <c r="CJ66" s="4763"/>
      <c r="CK66" s="4763"/>
      <c r="CL66" s="4764"/>
      <c r="CM66" s="4763"/>
    </row>
    <row r="67" spans="1:91" s="8" customFormat="1" ht="24.95" customHeight="1" thickBot="1" x14ac:dyDescent="0.25">
      <c r="A67" s="4203"/>
      <c r="B67" s="4203"/>
      <c r="C67" s="4203"/>
      <c r="D67" s="4203"/>
      <c r="E67" s="4203"/>
      <c r="F67" s="4203"/>
      <c r="I67" s="13"/>
      <c r="J67" s="20"/>
      <c r="K67" s="14"/>
      <c r="L67" s="21"/>
      <c r="M67" s="21"/>
      <c r="N67" s="21"/>
      <c r="O67" s="13"/>
      <c r="P67" s="16"/>
      <c r="Q67" s="17"/>
      <c r="R67" s="16"/>
      <c r="S67" s="16"/>
      <c r="T67" s="4373"/>
      <c r="W67" s="2798"/>
      <c r="X67" s="2798"/>
      <c r="Y67" s="2798"/>
      <c r="Z67" s="2798"/>
      <c r="AA67" s="2587"/>
      <c r="AB67" s="2799"/>
      <c r="AC67" s="3306"/>
      <c r="AD67" s="3306"/>
      <c r="AE67" s="3306"/>
      <c r="AF67" s="3306"/>
      <c r="AG67" s="3306"/>
      <c r="AH67" s="2587"/>
      <c r="AI67" s="2587"/>
      <c r="AJ67" s="2587"/>
      <c r="AK67" s="2798"/>
      <c r="AL67" s="2798"/>
      <c r="AM67" s="2798"/>
      <c r="AN67" s="2587"/>
      <c r="AO67" s="2799"/>
      <c r="AP67" s="3306"/>
      <c r="AQ67" s="2587"/>
      <c r="AR67" s="181"/>
      <c r="AS67" s="2798"/>
      <c r="AT67" s="2798"/>
      <c r="AU67" s="2798"/>
      <c r="AV67" s="2587"/>
      <c r="AW67" s="2799"/>
      <c r="AX67" s="3306"/>
      <c r="AY67" s="2587"/>
      <c r="AZ67" s="2587"/>
      <c r="BA67" s="2798"/>
      <c r="BB67" s="2798"/>
      <c r="BC67" s="2798"/>
      <c r="BD67" s="2587"/>
      <c r="BE67" s="2799"/>
      <c r="BF67" s="3306"/>
      <c r="BG67" s="2587"/>
      <c r="BI67" s="2798"/>
      <c r="BJ67" s="2798"/>
      <c r="BK67" s="2798"/>
      <c r="BL67" s="2587"/>
      <c r="BM67" s="2799"/>
      <c r="BN67" s="3306"/>
      <c r="BO67" s="2587"/>
      <c r="BQ67" s="2798"/>
      <c r="BR67" s="2798"/>
      <c r="BS67" s="2798"/>
      <c r="BT67" s="2587"/>
      <c r="BU67" s="2799"/>
      <c r="BV67" s="3306"/>
      <c r="BW67" s="2587"/>
      <c r="BY67" s="2798"/>
      <c r="BZ67" s="2798"/>
      <c r="CA67" s="2798"/>
      <c r="CB67" s="2587"/>
      <c r="CC67" s="2799"/>
      <c r="CD67" s="3306"/>
      <c r="CE67" s="2587"/>
      <c r="CG67" s="2798"/>
      <c r="CH67" s="2798"/>
      <c r="CI67" s="2798"/>
      <c r="CJ67" s="2587"/>
      <c r="CK67" s="2799"/>
      <c r="CL67" s="3306"/>
      <c r="CM67" s="2587"/>
    </row>
    <row r="68" spans="1:91" ht="39.950000000000003" customHeight="1" thickBot="1" x14ac:dyDescent="0.35">
      <c r="I68" s="2792"/>
      <c r="J68" s="10"/>
      <c r="K68" s="2783"/>
      <c r="L68" s="3659"/>
      <c r="M68" s="3659"/>
      <c r="N68" s="3659"/>
      <c r="O68" s="4192"/>
      <c r="P68" s="3659"/>
      <c r="Q68" s="3666"/>
      <c r="R68" s="2784"/>
      <c r="S68" s="3774"/>
      <c r="T68" s="4373"/>
      <c r="W68" s="6860" t="s">
        <v>845</v>
      </c>
      <c r="X68" s="6861"/>
      <c r="Y68" s="6861"/>
      <c r="Z68" s="6862"/>
      <c r="AA68" s="5137"/>
      <c r="AB68" s="6968" t="s">
        <v>21</v>
      </c>
      <c r="AC68" s="6969"/>
      <c r="AD68" s="6969"/>
      <c r="AE68" s="6969"/>
      <c r="AF68" s="6969"/>
      <c r="AG68" s="6969"/>
      <c r="AH68" s="6970"/>
      <c r="AI68" s="5137"/>
      <c r="AJ68" s="5137"/>
      <c r="AK68" s="6860" t="s">
        <v>845</v>
      </c>
      <c r="AL68" s="6861"/>
      <c r="AM68" s="6862"/>
      <c r="AN68" s="5137"/>
      <c r="AO68" s="6950" t="s">
        <v>21</v>
      </c>
      <c r="AP68" s="6951"/>
      <c r="AQ68" s="6952"/>
      <c r="AR68" s="5138"/>
      <c r="AS68" s="6860" t="s">
        <v>845</v>
      </c>
      <c r="AT68" s="6861"/>
      <c r="AU68" s="6862"/>
      <c r="AV68" s="5137"/>
      <c r="AW68" s="6863" t="s">
        <v>21</v>
      </c>
      <c r="AX68" s="6864"/>
      <c r="AY68" s="6865"/>
      <c r="AZ68" s="5137"/>
      <c r="BA68" s="6860" t="s">
        <v>845</v>
      </c>
      <c r="BB68" s="6861"/>
      <c r="BC68" s="6862"/>
      <c r="BD68" s="5137"/>
      <c r="BE68" s="6866" t="s">
        <v>21</v>
      </c>
      <c r="BF68" s="6867"/>
      <c r="BG68" s="6868"/>
      <c r="BH68" s="5139"/>
      <c r="BI68" s="6860" t="s">
        <v>845</v>
      </c>
      <c r="BJ68" s="6861"/>
      <c r="BK68" s="6862"/>
      <c r="BL68" s="5137"/>
      <c r="BM68" s="6866" t="s">
        <v>21</v>
      </c>
      <c r="BN68" s="6867"/>
      <c r="BO68" s="6868"/>
      <c r="BP68" s="5139"/>
      <c r="BQ68" s="6860" t="s">
        <v>845</v>
      </c>
      <c r="BR68" s="6861"/>
      <c r="BS68" s="6862"/>
      <c r="BT68" s="5137"/>
      <c r="BU68" s="6908" t="s">
        <v>21</v>
      </c>
      <c r="BV68" s="6909"/>
      <c r="BW68" s="6910"/>
      <c r="BX68" s="5139"/>
      <c r="BY68" s="6860" t="s">
        <v>845</v>
      </c>
      <c r="BZ68" s="6861"/>
      <c r="CA68" s="6862"/>
      <c r="CB68" s="5137"/>
      <c r="CC68" s="6938" t="s">
        <v>21</v>
      </c>
      <c r="CD68" s="6939"/>
      <c r="CE68" s="6940"/>
      <c r="CF68" s="5139"/>
      <c r="CG68" s="6860" t="s">
        <v>845</v>
      </c>
      <c r="CH68" s="6861"/>
      <c r="CI68" s="6862"/>
      <c r="CJ68" s="5137"/>
      <c r="CK68" s="6887" t="s">
        <v>21</v>
      </c>
      <c r="CL68" s="6888"/>
      <c r="CM68" s="6889"/>
    </row>
    <row r="69" spans="1:91" s="8" customFormat="1" ht="8.1" customHeight="1" thickBot="1" x14ac:dyDescent="0.25">
      <c r="A69" s="4203"/>
      <c r="B69" s="4203"/>
      <c r="C69" s="4203"/>
      <c r="D69" s="4203"/>
      <c r="E69" s="4203"/>
      <c r="F69" s="4203"/>
      <c r="I69" s="149"/>
      <c r="J69" s="10"/>
      <c r="K69" s="150"/>
      <c r="L69" s="150"/>
      <c r="M69" s="150"/>
      <c r="N69" s="150"/>
      <c r="O69" s="152"/>
      <c r="P69" s="152"/>
      <c r="Q69" s="3667"/>
      <c r="R69" s="152"/>
      <c r="S69" s="152"/>
      <c r="T69" s="4373"/>
      <c r="W69" s="2800"/>
      <c r="X69" s="2801"/>
      <c r="Y69" s="2801"/>
      <c r="Z69" s="2587"/>
      <c r="AA69" s="2799"/>
      <c r="AB69" s="2800"/>
      <c r="AC69" s="3307"/>
      <c r="AD69" s="3307"/>
      <c r="AE69" s="3307"/>
      <c r="AF69" s="3307"/>
      <c r="AG69" s="3307"/>
      <c r="AH69" s="2587"/>
      <c r="AI69" s="2587"/>
      <c r="AJ69" s="2587"/>
      <c r="AK69" s="2800"/>
      <c r="AL69" s="2801"/>
      <c r="AM69" s="2587"/>
      <c r="AN69" s="2799"/>
      <c r="AO69" s="2800"/>
      <c r="AP69" s="3307"/>
      <c r="AQ69" s="2587"/>
      <c r="AR69" s="181"/>
      <c r="AS69" s="2800"/>
      <c r="AT69" s="2801"/>
      <c r="AU69" s="2587"/>
      <c r="AV69" s="2799"/>
      <c r="AW69" s="2800"/>
      <c r="AX69" s="3307"/>
      <c r="AY69" s="2587"/>
      <c r="AZ69" s="2587"/>
      <c r="BA69" s="2800"/>
      <c r="BB69" s="2801"/>
      <c r="BC69" s="2587"/>
      <c r="BD69" s="2799"/>
      <c r="BE69" s="2800"/>
      <c r="BF69" s="3307"/>
      <c r="BG69" s="2587"/>
      <c r="BI69" s="2800"/>
      <c r="BJ69" s="2801"/>
      <c r="BK69" s="2587"/>
      <c r="BL69" s="2799"/>
      <c r="BM69" s="2800"/>
      <c r="BN69" s="3307"/>
      <c r="BO69" s="2587"/>
      <c r="BQ69" s="2800"/>
      <c r="BR69" s="2801"/>
      <c r="BS69" s="2587"/>
      <c r="BT69" s="2799"/>
      <c r="BU69" s="2800"/>
      <c r="BV69" s="3307"/>
      <c r="BW69" s="2587"/>
      <c r="BY69" s="2800"/>
      <c r="BZ69" s="2801"/>
      <c r="CA69" s="2587"/>
      <c r="CB69" s="2799"/>
      <c r="CC69" s="2800"/>
      <c r="CD69" s="3307"/>
      <c r="CE69" s="2587"/>
      <c r="CG69" s="2800"/>
      <c r="CH69" s="2801"/>
      <c r="CI69" s="2587"/>
      <c r="CJ69" s="2799"/>
      <c r="CK69" s="2800"/>
      <c r="CL69" s="3307"/>
      <c r="CM69" s="2587"/>
    </row>
    <row r="70" spans="1:91" s="974" customFormat="1" ht="20.100000000000001" customHeight="1" thickBot="1" x14ac:dyDescent="0.25">
      <c r="A70" s="4572"/>
      <c r="B70" s="4572"/>
      <c r="C70" s="4572"/>
      <c r="D70" s="4572"/>
      <c r="E70" s="4572"/>
      <c r="F70" s="4572"/>
      <c r="I70" s="4557"/>
      <c r="J70" s="1833"/>
      <c r="K70" s="4558"/>
      <c r="L70" s="4559"/>
      <c r="M70" s="4559"/>
      <c r="N70" s="4559"/>
      <c r="O70" s="4560" t="s">
        <v>131</v>
      </c>
      <c r="P70" s="4561"/>
      <c r="Q70" s="4561" t="s">
        <v>100</v>
      </c>
      <c r="R70" s="4562"/>
      <c r="S70" s="4563"/>
      <c r="T70" s="4564"/>
      <c r="W70" s="4565"/>
      <c r="X70" s="7018" t="s">
        <v>965</v>
      </c>
      <c r="Y70" s="7018"/>
      <c r="Z70" s="4567"/>
      <c r="AA70" s="4573"/>
      <c r="AB70" s="4569"/>
      <c r="AC70" s="7005" t="s">
        <v>965</v>
      </c>
      <c r="AD70" s="7005"/>
      <c r="AE70" s="7005"/>
      <c r="AF70" s="7005"/>
      <c r="AG70" s="7005"/>
      <c r="AH70" s="4570"/>
      <c r="AI70" s="4573"/>
      <c r="AJ70" s="4573"/>
      <c r="AK70" s="4565"/>
      <c r="AL70" s="4566" t="s">
        <v>965</v>
      </c>
      <c r="AM70" s="4567"/>
      <c r="AN70" s="4573"/>
      <c r="AO70" s="4569"/>
      <c r="AP70" s="4571" t="s">
        <v>965</v>
      </c>
      <c r="AQ70" s="4570"/>
      <c r="AR70" s="3434"/>
      <c r="AS70" s="4565"/>
      <c r="AT70" s="4566" t="s">
        <v>965</v>
      </c>
      <c r="AU70" s="4567"/>
      <c r="AV70" s="4573"/>
      <c r="AW70" s="4569"/>
      <c r="AX70" s="4571" t="s">
        <v>965</v>
      </c>
      <c r="AY70" s="4570"/>
      <c r="AZ70" s="4573"/>
      <c r="BA70" s="4565"/>
      <c r="BB70" s="4566" t="s">
        <v>965</v>
      </c>
      <c r="BC70" s="4567"/>
      <c r="BD70" s="4573"/>
      <c r="BE70" s="4569"/>
      <c r="BF70" s="4571" t="s">
        <v>965</v>
      </c>
      <c r="BG70" s="4570"/>
      <c r="BI70" s="4565"/>
      <c r="BJ70" s="4566" t="s">
        <v>965</v>
      </c>
      <c r="BK70" s="4567"/>
      <c r="BL70" s="4573"/>
      <c r="BM70" s="4569"/>
      <c r="BN70" s="4571" t="s">
        <v>965</v>
      </c>
      <c r="BO70" s="4570"/>
      <c r="BQ70" s="4565"/>
      <c r="BR70" s="4566" t="s">
        <v>965</v>
      </c>
      <c r="BS70" s="4567"/>
      <c r="BT70" s="4573"/>
      <c r="BU70" s="4569"/>
      <c r="BV70" s="4571" t="s">
        <v>965</v>
      </c>
      <c r="BW70" s="4570"/>
      <c r="BY70" s="4565"/>
      <c r="BZ70" s="4566" t="s">
        <v>965</v>
      </c>
      <c r="CA70" s="4567"/>
      <c r="CB70" s="4573"/>
      <c r="CC70" s="4569"/>
      <c r="CD70" s="4571" t="s">
        <v>965</v>
      </c>
      <c r="CE70" s="4570"/>
      <c r="CG70" s="4565"/>
      <c r="CH70" s="4566" t="s">
        <v>965</v>
      </c>
      <c r="CI70" s="4567"/>
      <c r="CJ70" s="4573"/>
      <c r="CK70" s="4569"/>
      <c r="CL70" s="4571" t="s">
        <v>965</v>
      </c>
      <c r="CM70" s="4570"/>
    </row>
    <row r="71" spans="1:91" s="8" customFormat="1" ht="30" customHeight="1" thickBot="1" x14ac:dyDescent="0.25">
      <c r="A71" s="4203"/>
      <c r="B71" s="4203"/>
      <c r="C71" s="4203"/>
      <c r="D71" s="4203"/>
      <c r="E71" s="4203"/>
      <c r="F71" s="4203"/>
      <c r="I71" s="13"/>
      <c r="J71" s="10"/>
      <c r="K71" s="14"/>
      <c r="L71" s="15"/>
      <c r="M71" s="15"/>
      <c r="N71" s="15"/>
      <c r="O71" s="16"/>
      <c r="P71" s="17"/>
      <c r="Q71" s="17"/>
      <c r="R71" s="17"/>
      <c r="S71" s="16"/>
      <c r="T71" s="4373"/>
      <c r="W71" s="4574"/>
      <c r="X71" s="4574"/>
      <c r="Y71" s="4574"/>
      <c r="Z71" s="4574"/>
      <c r="AA71" s="4575"/>
      <c r="AB71" s="4574"/>
      <c r="AC71" s="4576"/>
      <c r="AD71" s="4576"/>
      <c r="AE71" s="4576"/>
      <c r="AF71" s="4576"/>
      <c r="AG71" s="4576"/>
      <c r="AH71" s="4574"/>
      <c r="AI71" s="4568"/>
      <c r="AJ71" s="4568"/>
      <c r="AK71" s="4574"/>
      <c r="AL71" s="4574"/>
      <c r="AM71" s="4574"/>
      <c r="AN71" s="4575"/>
      <c r="AO71" s="4574"/>
      <c r="AP71" s="4576"/>
      <c r="AQ71" s="4574"/>
      <c r="AR71" s="3435"/>
      <c r="AS71" s="4574"/>
      <c r="AT71" s="4574"/>
      <c r="AU71" s="4574"/>
      <c r="AV71" s="4575"/>
      <c r="AW71" s="4574"/>
      <c r="AX71" s="4576"/>
      <c r="AY71" s="4574"/>
      <c r="AZ71" s="4568"/>
      <c r="BA71" s="4574"/>
      <c r="BB71" s="4574"/>
      <c r="BC71" s="4574"/>
      <c r="BD71" s="4575"/>
      <c r="BE71" s="4574"/>
      <c r="BF71" s="4576"/>
      <c r="BG71" s="4574"/>
      <c r="BH71" s="4445"/>
      <c r="BI71" s="4574"/>
      <c r="BJ71" s="4574"/>
      <c r="BK71" s="4574"/>
      <c r="BL71" s="4575"/>
      <c r="BM71" s="4574"/>
      <c r="BN71" s="4576"/>
      <c r="BO71" s="4574"/>
      <c r="BP71" s="4445"/>
      <c r="BQ71" s="4574"/>
      <c r="BR71" s="4574"/>
      <c r="BS71" s="4574"/>
      <c r="BT71" s="4575"/>
      <c r="BU71" s="4574"/>
      <c r="BV71" s="4576"/>
      <c r="BW71" s="4574"/>
      <c r="BX71" s="4445"/>
      <c r="BY71" s="4574"/>
      <c r="BZ71" s="4574"/>
      <c r="CA71" s="4574"/>
      <c r="CB71" s="4575"/>
      <c r="CC71" s="4574"/>
      <c r="CD71" s="4576"/>
      <c r="CE71" s="4574"/>
      <c r="CF71" s="4445"/>
      <c r="CG71" s="4574"/>
      <c r="CH71" s="4574"/>
      <c r="CI71" s="4574"/>
      <c r="CJ71" s="4575"/>
      <c r="CK71" s="4574"/>
      <c r="CL71" s="4576"/>
      <c r="CM71" s="4574"/>
    </row>
    <row r="72" spans="1:91" s="8" customFormat="1" ht="20.100000000000001" customHeight="1" thickBot="1" x14ac:dyDescent="0.25">
      <c r="A72" s="4203"/>
      <c r="B72" s="4203"/>
      <c r="C72" s="4203"/>
      <c r="D72" s="4203"/>
      <c r="E72" s="4203"/>
      <c r="F72" s="4203"/>
      <c r="I72" s="2723"/>
      <c r="J72" s="10"/>
      <c r="K72" s="3335"/>
      <c r="L72" s="6798" t="s">
        <v>1262</v>
      </c>
      <c r="M72" s="6798"/>
      <c r="N72" s="6798"/>
      <c r="O72" s="6798"/>
      <c r="P72" s="6798"/>
      <c r="Q72" s="6798"/>
      <c r="R72" s="3653"/>
      <c r="S72" s="3660"/>
      <c r="T72" s="4373"/>
      <c r="W72" s="4574"/>
      <c r="X72" s="4574"/>
      <c r="Y72" s="4574"/>
      <c r="Z72" s="4574"/>
      <c r="AA72" s="4575"/>
      <c r="AB72" s="4574"/>
      <c r="AC72" s="4576"/>
      <c r="AD72" s="4576"/>
      <c r="AE72" s="4576"/>
      <c r="AF72" s="4576"/>
      <c r="AG72" s="4576"/>
      <c r="AH72" s="4574"/>
      <c r="AI72" s="4568"/>
      <c r="AJ72" s="4568"/>
      <c r="AK72" s="4574"/>
      <c r="AL72" s="4574"/>
      <c r="AM72" s="4574"/>
      <c r="AN72" s="4575"/>
      <c r="AO72" s="4574"/>
      <c r="AP72" s="4576"/>
      <c r="AQ72" s="4574"/>
      <c r="AR72" s="3435"/>
      <c r="AS72" s="4574"/>
      <c r="AT72" s="4574"/>
      <c r="AU72" s="4574"/>
      <c r="AV72" s="4575"/>
      <c r="AW72" s="4574"/>
      <c r="AX72" s="4576"/>
      <c r="AY72" s="4574"/>
      <c r="AZ72" s="4568"/>
      <c r="BA72" s="4574"/>
      <c r="BB72" s="4574"/>
      <c r="BC72" s="4574"/>
      <c r="BD72" s="4575"/>
      <c r="BE72" s="4574"/>
      <c r="BF72" s="4576"/>
      <c r="BG72" s="4574"/>
      <c r="BH72" s="4445"/>
      <c r="BI72" s="4574"/>
      <c r="BJ72" s="4574"/>
      <c r="BK72" s="4574"/>
      <c r="BL72" s="4575"/>
      <c r="BM72" s="4574"/>
      <c r="BN72" s="4576"/>
      <c r="BO72" s="4574"/>
      <c r="BP72" s="4445"/>
      <c r="BQ72" s="4574"/>
      <c r="BR72" s="4574"/>
      <c r="BS72" s="4574"/>
      <c r="BT72" s="4575"/>
      <c r="BU72" s="4574"/>
      <c r="BV72" s="4576"/>
      <c r="BW72" s="4574"/>
      <c r="BX72" s="4445"/>
      <c r="BY72" s="4574"/>
      <c r="BZ72" s="4574"/>
      <c r="CA72" s="4574"/>
      <c r="CB72" s="4575"/>
      <c r="CC72" s="4574"/>
      <c r="CD72" s="4576"/>
      <c r="CE72" s="4574"/>
      <c r="CF72" s="4445"/>
      <c r="CG72" s="4574"/>
      <c r="CH72" s="4574"/>
      <c r="CI72" s="4574"/>
      <c r="CJ72" s="4575"/>
      <c r="CK72" s="4574"/>
      <c r="CL72" s="4576"/>
      <c r="CM72" s="4574"/>
    </row>
    <row r="73" spans="1:91" s="8" customFormat="1" ht="15" customHeight="1" thickBot="1" x14ac:dyDescent="0.25">
      <c r="A73" s="4203"/>
      <c r="B73" s="4203"/>
      <c r="C73" s="4203"/>
      <c r="D73" s="4203"/>
      <c r="E73" s="4203"/>
      <c r="F73" s="4203"/>
      <c r="I73" s="6795" t="s">
        <v>1235</v>
      </c>
      <c r="J73" s="10"/>
      <c r="K73" s="3336"/>
      <c r="L73" s="6799"/>
      <c r="M73" s="6799"/>
      <c r="N73" s="6799"/>
      <c r="O73" s="6799"/>
      <c r="P73" s="6799"/>
      <c r="Q73" s="6799"/>
      <c r="R73" s="3654"/>
      <c r="S73" s="3660"/>
      <c r="T73" s="4373"/>
      <c r="W73" s="4577"/>
      <c r="X73" s="4578"/>
      <c r="Y73" s="4578"/>
      <c r="Z73" s="4579"/>
      <c r="AA73" s="4489"/>
      <c r="AB73" s="4580"/>
      <c r="AC73" s="4581"/>
      <c r="AD73" s="4581"/>
      <c r="AE73" s="4581"/>
      <c r="AF73" s="4581"/>
      <c r="AG73" s="4581"/>
      <c r="AH73" s="4582"/>
      <c r="AI73" s="4568"/>
      <c r="AJ73" s="4568"/>
      <c r="AK73" s="4583"/>
      <c r="AL73" s="4584"/>
      <c r="AM73" s="4585"/>
      <c r="AN73" s="4489"/>
      <c r="AO73" s="4586"/>
      <c r="AP73" s="4587"/>
      <c r="AQ73" s="4588"/>
      <c r="AR73" s="3435"/>
      <c r="AS73" s="4589"/>
      <c r="AT73" s="4590"/>
      <c r="AU73" s="4591"/>
      <c r="AV73" s="4489"/>
      <c r="AW73" s="4592"/>
      <c r="AX73" s="4593"/>
      <c r="AY73" s="4594"/>
      <c r="AZ73" s="4568"/>
      <c r="BA73" s="4595"/>
      <c r="BB73" s="4596"/>
      <c r="BC73" s="4597"/>
      <c r="BD73" s="4489"/>
      <c r="BE73" s="4598"/>
      <c r="BF73" s="4599"/>
      <c r="BG73" s="4600"/>
      <c r="BH73" s="4445"/>
      <c r="BI73" s="4601"/>
      <c r="BJ73" s="4602"/>
      <c r="BK73" s="4603"/>
      <c r="BL73" s="4489"/>
      <c r="BM73" s="4604"/>
      <c r="BN73" s="4605"/>
      <c r="BO73" s="4606"/>
      <c r="BP73" s="4445"/>
      <c r="BQ73" s="4607"/>
      <c r="BR73" s="4608"/>
      <c r="BS73" s="4609"/>
      <c r="BT73" s="4489"/>
      <c r="BU73" s="4610"/>
      <c r="BV73" s="4611"/>
      <c r="BW73" s="4612"/>
      <c r="BX73" s="4445"/>
      <c r="BY73" s="4613"/>
      <c r="BZ73" s="4614"/>
      <c r="CA73" s="4615"/>
      <c r="CB73" s="4489"/>
      <c r="CC73" s="4616"/>
      <c r="CD73" s="4617"/>
      <c r="CE73" s="4618"/>
      <c r="CF73" s="4445"/>
      <c r="CG73" s="4619"/>
      <c r="CH73" s="4620"/>
      <c r="CI73" s="4621"/>
      <c r="CJ73" s="4489"/>
      <c r="CK73" s="4622"/>
      <c r="CL73" s="4623"/>
      <c r="CM73" s="4624"/>
    </row>
    <row r="74" spans="1:91" s="8" customFormat="1" ht="8.1" customHeight="1" thickBot="1" x14ac:dyDescent="0.25">
      <c r="A74" s="4203"/>
      <c r="B74" s="4203"/>
      <c r="C74" s="4203"/>
      <c r="D74" s="4203"/>
      <c r="E74" s="4203"/>
      <c r="F74" s="4203"/>
      <c r="I74" s="6795"/>
      <c r="J74" s="10"/>
      <c r="K74" s="14"/>
      <c r="L74" s="129"/>
      <c r="M74" s="129"/>
      <c r="N74" s="129"/>
      <c r="O74" s="16"/>
      <c r="P74" s="17"/>
      <c r="Q74" s="17"/>
      <c r="R74" s="17"/>
      <c r="S74" s="16"/>
      <c r="T74" s="4373"/>
      <c r="W74" s="4574"/>
      <c r="X74" s="4625"/>
      <c r="Y74" s="4625"/>
      <c r="Z74" s="4626"/>
      <c r="AA74" s="4575"/>
      <c r="AB74" s="4574"/>
      <c r="AC74" s="4627"/>
      <c r="AD74" s="4627"/>
      <c r="AE74" s="4627"/>
      <c r="AF74" s="4627"/>
      <c r="AG74" s="4627"/>
      <c r="AH74" s="4626"/>
      <c r="AI74" s="4568"/>
      <c r="AJ74" s="4568"/>
      <c r="AK74" s="4574"/>
      <c r="AL74" s="4625"/>
      <c r="AM74" s="4626"/>
      <c r="AN74" s="4575"/>
      <c r="AO74" s="4574"/>
      <c r="AP74" s="4627"/>
      <c r="AQ74" s="4626"/>
      <c r="AR74" s="3435"/>
      <c r="AS74" s="4574"/>
      <c r="AT74" s="4625"/>
      <c r="AU74" s="4626"/>
      <c r="AV74" s="4575"/>
      <c r="AW74" s="4574"/>
      <c r="AX74" s="4627"/>
      <c r="AY74" s="4626"/>
      <c r="AZ74" s="4568"/>
      <c r="BA74" s="4574"/>
      <c r="BB74" s="4625"/>
      <c r="BC74" s="4626"/>
      <c r="BD74" s="4575"/>
      <c r="BE74" s="4574"/>
      <c r="BF74" s="4627"/>
      <c r="BG74" s="4626"/>
      <c r="BH74" s="4445"/>
      <c r="BI74" s="4574"/>
      <c r="BJ74" s="4625"/>
      <c r="BK74" s="4626"/>
      <c r="BL74" s="4575"/>
      <c r="BM74" s="4574"/>
      <c r="BN74" s="4627"/>
      <c r="BO74" s="4626"/>
      <c r="BP74" s="4445"/>
      <c r="BQ74" s="4574"/>
      <c r="BR74" s="4625"/>
      <c r="BS74" s="4626"/>
      <c r="BT74" s="4575"/>
      <c r="BU74" s="4574"/>
      <c r="BV74" s="4627"/>
      <c r="BW74" s="4626"/>
      <c r="BX74" s="4445"/>
      <c r="BY74" s="4574"/>
      <c r="BZ74" s="4625"/>
      <c r="CA74" s="4626"/>
      <c r="CB74" s="4575"/>
      <c r="CC74" s="4574"/>
      <c r="CD74" s="4627"/>
      <c r="CE74" s="4626"/>
      <c r="CF74" s="4445"/>
      <c r="CG74" s="4574"/>
      <c r="CH74" s="4625"/>
      <c r="CI74" s="4626"/>
      <c r="CJ74" s="4575"/>
      <c r="CK74" s="4574"/>
      <c r="CL74" s="4627"/>
      <c r="CM74" s="4626"/>
    </row>
    <row r="75" spans="1:91" s="8" customFormat="1" ht="15" customHeight="1" thickBot="1" x14ac:dyDescent="0.25">
      <c r="A75" s="4203"/>
      <c r="B75" s="4203"/>
      <c r="C75" s="4203"/>
      <c r="D75" s="4203"/>
      <c r="E75" s="4203"/>
      <c r="F75" s="4203"/>
      <c r="I75" s="6795"/>
      <c r="J75" s="10"/>
      <c r="K75" s="3329"/>
      <c r="L75" s="3330"/>
      <c r="M75" s="3330"/>
      <c r="N75" s="3330"/>
      <c r="O75" s="3331"/>
      <c r="P75" s="3332"/>
      <c r="Q75" s="3332"/>
      <c r="R75" s="3626"/>
      <c r="S75" s="2798"/>
      <c r="T75" s="4373"/>
      <c r="W75" s="4628"/>
      <c r="X75" s="4629"/>
      <c r="Y75" s="4629"/>
      <c r="Z75" s="4630"/>
      <c r="AA75" s="4575"/>
      <c r="AB75" s="4631"/>
      <c r="AC75" s="4632"/>
      <c r="AD75" s="4632"/>
      <c r="AE75" s="4632"/>
      <c r="AF75" s="4632"/>
      <c r="AG75" s="4632"/>
      <c r="AH75" s="4633"/>
      <c r="AI75" s="4568"/>
      <c r="AJ75" s="4568"/>
      <c r="AK75" s="4634"/>
      <c r="AL75" s="4635"/>
      <c r="AM75" s="4636"/>
      <c r="AN75" s="4575"/>
      <c r="AO75" s="4637"/>
      <c r="AP75" s="4638"/>
      <c r="AQ75" s="4639"/>
      <c r="AR75" s="3435"/>
      <c r="AS75" s="4640"/>
      <c r="AT75" s="4641"/>
      <c r="AU75" s="4642"/>
      <c r="AV75" s="4575"/>
      <c r="AW75" s="4643"/>
      <c r="AX75" s="4644"/>
      <c r="AY75" s="4645"/>
      <c r="AZ75" s="4568"/>
      <c r="BA75" s="4646"/>
      <c r="BB75" s="4647"/>
      <c r="BC75" s="4648"/>
      <c r="BD75" s="4575"/>
      <c r="BE75" s="4649"/>
      <c r="BF75" s="4650"/>
      <c r="BG75" s="4651"/>
      <c r="BH75" s="4445"/>
      <c r="BI75" s="4652"/>
      <c r="BJ75" s="4653"/>
      <c r="BK75" s="4654"/>
      <c r="BL75" s="4575"/>
      <c r="BM75" s="4655"/>
      <c r="BN75" s="4656"/>
      <c r="BO75" s="4657"/>
      <c r="BP75" s="4445"/>
      <c r="BQ75" s="4658"/>
      <c r="BR75" s="4659"/>
      <c r="BS75" s="4660"/>
      <c r="BT75" s="4575"/>
      <c r="BU75" s="4661"/>
      <c r="BV75" s="4662"/>
      <c r="BW75" s="4663"/>
      <c r="BX75" s="4445"/>
      <c r="BY75" s="4664"/>
      <c r="BZ75" s="4665"/>
      <c r="CA75" s="4666"/>
      <c r="CB75" s="4575"/>
      <c r="CC75" s="4667"/>
      <c r="CD75" s="4668"/>
      <c r="CE75" s="4669"/>
      <c r="CF75" s="4445"/>
      <c r="CG75" s="4670"/>
      <c r="CH75" s="4671"/>
      <c r="CI75" s="4672"/>
      <c r="CJ75" s="4575"/>
      <c r="CK75" s="4673"/>
      <c r="CL75" s="4674"/>
      <c r="CM75" s="4675"/>
    </row>
    <row r="76" spans="1:91" s="8" customFormat="1" ht="24.95" customHeight="1" thickBot="1" x14ac:dyDescent="0.25">
      <c r="A76" s="4203"/>
      <c r="B76" s="4203"/>
      <c r="C76" s="4203"/>
      <c r="D76" s="4203"/>
      <c r="E76" s="4203"/>
      <c r="F76" s="4203" t="s">
        <v>1553</v>
      </c>
      <c r="I76" s="6795"/>
      <c r="J76" s="10"/>
      <c r="K76" s="3326"/>
      <c r="L76" s="4377" t="str">
        <f>_Calcs_Klasse!$ABA$36</f>
        <v>Gjennomsnitt salve-lengde</v>
      </c>
      <c r="M76" s="4377"/>
      <c r="N76" s="4377"/>
      <c r="O76" s="5095" t="s">
        <v>149</v>
      </c>
      <c r="P76" s="5096"/>
      <c r="Q76" s="5096" t="s">
        <v>78</v>
      </c>
      <c r="R76" s="3627"/>
      <c r="S76" s="2798"/>
      <c r="T76" s="4373"/>
      <c r="W76" s="4676"/>
      <c r="X76" s="6808"/>
      <c r="Y76" s="6809"/>
      <c r="Z76" s="4677"/>
      <c r="AA76" s="4678"/>
      <c r="AB76" s="4679"/>
      <c r="AC76" s="6810" t="e">
        <f>_Calcs_Klasse!$ABF$42</f>
        <v>#N/A</v>
      </c>
      <c r="AD76" s="6811"/>
      <c r="AE76" s="6811"/>
      <c r="AF76" s="6811"/>
      <c r="AG76" s="6812"/>
      <c r="AH76" s="4680"/>
      <c r="AI76" s="4681"/>
      <c r="AJ76" s="4681"/>
      <c r="AK76" s="4682"/>
      <c r="AL76" s="4683"/>
      <c r="AM76" s="4684"/>
      <c r="AN76" s="4678"/>
      <c r="AO76" s="4685"/>
      <c r="AP76" s="4686" t="e">
        <f>_Calcs_Klasse!$ABF$43</f>
        <v>#N/A</v>
      </c>
      <c r="AQ76" s="4687"/>
      <c r="AR76" s="4688"/>
      <c r="AS76" s="4689"/>
      <c r="AT76" s="4683"/>
      <c r="AU76" s="4690"/>
      <c r="AV76" s="4678"/>
      <c r="AW76" s="4691"/>
      <c r="AX76" s="4686" t="e">
        <f>_Calcs_Klasse!$ABF$44</f>
        <v>#N/A</v>
      </c>
      <c r="AY76" s="4692"/>
      <c r="AZ76" s="4681"/>
      <c r="BA76" s="4693"/>
      <c r="BB76" s="4683"/>
      <c r="BC76" s="4694"/>
      <c r="BD76" s="4678"/>
      <c r="BE76" s="4695"/>
      <c r="BF76" s="4686" t="e">
        <f>_Calcs_Klasse!$ABF$45</f>
        <v>#N/A</v>
      </c>
      <c r="BG76" s="4696"/>
      <c r="BH76" s="4697"/>
      <c r="BI76" s="4698"/>
      <c r="BJ76" s="4683"/>
      <c r="BK76" s="4699"/>
      <c r="BL76" s="4678"/>
      <c r="BM76" s="4700"/>
      <c r="BN76" s="4686" t="e">
        <f>_Calcs_Klasse!$ABF$46</f>
        <v>#N/A</v>
      </c>
      <c r="BO76" s="4701"/>
      <c r="BP76" s="4697"/>
      <c r="BQ76" s="4702"/>
      <c r="BR76" s="4683"/>
      <c r="BS76" s="4703"/>
      <c r="BT76" s="4678"/>
      <c r="BU76" s="4704"/>
      <c r="BV76" s="4686" t="e">
        <f>_Calcs_Klasse!$ABF$47</f>
        <v>#N/A</v>
      </c>
      <c r="BW76" s="4705"/>
      <c r="BX76" s="4697"/>
      <c r="BY76" s="4706"/>
      <c r="BZ76" s="4683"/>
      <c r="CA76" s="4707"/>
      <c r="CB76" s="4678"/>
      <c r="CC76" s="4708"/>
      <c r="CD76" s="4686" t="e">
        <f>_Calcs_Klasse!$ABF$48</f>
        <v>#N/A</v>
      </c>
      <c r="CE76" s="4709"/>
      <c r="CF76" s="4697"/>
      <c r="CG76" s="4710"/>
      <c r="CH76" s="4683"/>
      <c r="CI76" s="4711"/>
      <c r="CJ76" s="4678"/>
      <c r="CK76" s="4712"/>
      <c r="CL76" s="4686" t="e">
        <f>_Calcs_Klasse!$ABF$49</f>
        <v>#N/A</v>
      </c>
      <c r="CM76" s="4713"/>
    </row>
    <row r="77" spans="1:91" s="8" customFormat="1" ht="15" customHeight="1" thickBot="1" x14ac:dyDescent="0.25">
      <c r="A77" s="4203"/>
      <c r="B77" s="4203"/>
      <c r="C77" s="4203"/>
      <c r="D77" s="4203"/>
      <c r="E77" s="4203"/>
      <c r="F77" s="4203"/>
      <c r="I77" s="3309"/>
      <c r="J77" s="10"/>
      <c r="K77" s="3321"/>
      <c r="L77" s="3322"/>
      <c r="M77" s="3322"/>
      <c r="N77" s="3322"/>
      <c r="O77" s="3323"/>
      <c r="P77" s="3324"/>
      <c r="Q77" s="3324"/>
      <c r="R77" s="3628"/>
      <c r="S77" s="3728"/>
      <c r="T77" s="4373"/>
      <c r="W77" s="4714"/>
      <c r="X77" s="4715"/>
      <c r="Y77" s="4715"/>
      <c r="Z77" s="4716"/>
      <c r="AA77" s="4575"/>
      <c r="AB77" s="4717"/>
      <c r="AC77" s="4718"/>
      <c r="AD77" s="4718"/>
      <c r="AE77" s="4718"/>
      <c r="AF77" s="4718"/>
      <c r="AG77" s="4718"/>
      <c r="AH77" s="4719"/>
      <c r="AI77" s="4568"/>
      <c r="AJ77" s="4568"/>
      <c r="AK77" s="4720"/>
      <c r="AL77" s="4721"/>
      <c r="AM77" s="4722"/>
      <c r="AN77" s="4575"/>
      <c r="AO77" s="4723"/>
      <c r="AP77" s="4724"/>
      <c r="AQ77" s="4725"/>
      <c r="AR77" s="3435"/>
      <c r="AS77" s="4726"/>
      <c r="AT77" s="4727"/>
      <c r="AU77" s="4728"/>
      <c r="AV77" s="4575"/>
      <c r="AW77" s="4729"/>
      <c r="AX77" s="4730"/>
      <c r="AY77" s="4731"/>
      <c r="AZ77" s="4568"/>
      <c r="BA77" s="4732"/>
      <c r="BB77" s="4733"/>
      <c r="BC77" s="4734"/>
      <c r="BD77" s="4575"/>
      <c r="BE77" s="4735"/>
      <c r="BF77" s="4736"/>
      <c r="BG77" s="4737"/>
      <c r="BH77" s="4445"/>
      <c r="BI77" s="4738"/>
      <c r="BJ77" s="4739"/>
      <c r="BK77" s="4740"/>
      <c r="BL77" s="4575"/>
      <c r="BM77" s="4741"/>
      <c r="BN77" s="4742"/>
      <c r="BO77" s="4743"/>
      <c r="BP77" s="4445"/>
      <c r="BQ77" s="4744"/>
      <c r="BR77" s="4745"/>
      <c r="BS77" s="4746"/>
      <c r="BT77" s="4575"/>
      <c r="BU77" s="4747"/>
      <c r="BV77" s="4748"/>
      <c r="BW77" s="4749"/>
      <c r="BX77" s="4445"/>
      <c r="BY77" s="4750"/>
      <c r="BZ77" s="4751"/>
      <c r="CA77" s="4752"/>
      <c r="CB77" s="4575"/>
      <c r="CC77" s="4753"/>
      <c r="CD77" s="4754"/>
      <c r="CE77" s="4755"/>
      <c r="CF77" s="4445"/>
      <c r="CG77" s="4756"/>
      <c r="CH77" s="4757"/>
      <c r="CI77" s="4758"/>
      <c r="CJ77" s="4575"/>
      <c r="CK77" s="4759"/>
      <c r="CL77" s="4760"/>
      <c r="CM77" s="4761"/>
    </row>
    <row r="78" spans="1:91" s="181" customFormat="1" ht="34.5" customHeight="1" x14ac:dyDescent="0.25">
      <c r="A78" s="4205"/>
      <c r="B78" s="4205"/>
      <c r="C78" s="4205"/>
      <c r="D78" s="4205"/>
      <c r="E78" s="4205"/>
      <c r="F78" s="4205"/>
      <c r="L78" s="2617"/>
      <c r="M78" s="2617"/>
      <c r="N78" s="2617"/>
      <c r="O78" s="3460"/>
      <c r="P78" s="2617"/>
      <c r="Q78" s="2639"/>
      <c r="S78" s="435"/>
      <c r="T78" s="4373"/>
      <c r="W78" s="3435"/>
      <c r="X78" s="3435"/>
      <c r="Y78" s="3435"/>
      <c r="Z78" s="3435"/>
      <c r="AA78" s="3435"/>
      <c r="AB78" s="3435"/>
      <c r="AC78" s="4762"/>
      <c r="AD78" s="4762"/>
      <c r="AE78" s="4762"/>
      <c r="AF78" s="4762"/>
      <c r="AG78" s="4762"/>
      <c r="AH78" s="3435"/>
      <c r="AI78" s="3435"/>
      <c r="AJ78" s="3435"/>
      <c r="AK78" s="3435"/>
      <c r="AL78" s="3435"/>
      <c r="AM78" s="3435"/>
      <c r="AN78" s="3435"/>
      <c r="AO78" s="3435"/>
      <c r="AP78" s="4762"/>
      <c r="AQ78" s="3435"/>
      <c r="AR78" s="3435"/>
      <c r="AS78" s="3435"/>
      <c r="AT78" s="3435"/>
      <c r="AU78" s="3435"/>
      <c r="AV78" s="3435"/>
      <c r="AW78" s="3435"/>
      <c r="AX78" s="4762"/>
      <c r="AY78" s="3435"/>
      <c r="AZ78" s="3435"/>
      <c r="BA78" s="3435"/>
      <c r="BB78" s="3435"/>
      <c r="BC78" s="3435"/>
      <c r="BD78" s="3435"/>
      <c r="BE78" s="3435"/>
      <c r="BF78" s="4762"/>
      <c r="BG78" s="3435"/>
      <c r="BH78" s="3435"/>
      <c r="BI78" s="3435"/>
      <c r="BJ78" s="3435"/>
      <c r="BK78" s="3435"/>
      <c r="BL78" s="3435"/>
      <c r="BM78" s="3435"/>
      <c r="BN78" s="4762"/>
      <c r="BO78" s="3435"/>
      <c r="BP78" s="3435"/>
      <c r="BQ78" s="3435"/>
      <c r="BR78" s="3435"/>
      <c r="BS78" s="3435"/>
      <c r="BT78" s="3435"/>
      <c r="BU78" s="3435"/>
      <c r="BV78" s="4762"/>
      <c r="BW78" s="3435"/>
      <c r="BX78" s="3435"/>
      <c r="BY78" s="3435"/>
      <c r="BZ78" s="3435"/>
      <c r="CA78" s="3435"/>
      <c r="CB78" s="3435"/>
      <c r="CC78" s="3435"/>
      <c r="CD78" s="4762"/>
      <c r="CE78" s="3435"/>
      <c r="CF78" s="3435"/>
      <c r="CG78" s="3435"/>
      <c r="CH78" s="3435"/>
      <c r="CI78" s="3435"/>
      <c r="CJ78" s="3435"/>
      <c r="CK78" s="3435"/>
      <c r="CL78" s="4762"/>
      <c r="CM78" s="3435"/>
    </row>
    <row r="79" spans="1:91" s="2720" customFormat="1" ht="15" customHeight="1" x14ac:dyDescent="0.25">
      <c r="A79" s="4206"/>
      <c r="B79" s="4206"/>
      <c r="C79" s="4206"/>
      <c r="D79" s="4206"/>
      <c r="E79" s="4206"/>
      <c r="F79" s="4206"/>
      <c r="I79" s="3310"/>
      <c r="J79" s="3310"/>
      <c r="K79" s="3310"/>
      <c r="L79" s="3790"/>
      <c r="M79" s="3790"/>
      <c r="N79" s="3790"/>
      <c r="O79" s="4219"/>
      <c r="P79" s="3790"/>
      <c r="Q79" s="4222"/>
      <c r="R79" s="5537"/>
      <c r="S79" s="435"/>
      <c r="T79" s="4373"/>
      <c r="W79" s="4763"/>
      <c r="X79" s="4763"/>
      <c r="Y79" s="4763"/>
      <c r="Z79" s="4763"/>
      <c r="AA79" s="4763"/>
      <c r="AB79" s="4763"/>
      <c r="AC79" s="4764"/>
      <c r="AD79" s="4764"/>
      <c r="AE79" s="4764"/>
      <c r="AF79" s="4764"/>
      <c r="AG79" s="4764"/>
      <c r="AH79" s="4763"/>
      <c r="AI79" s="4763"/>
      <c r="AJ79" s="4763"/>
      <c r="AK79" s="4763"/>
      <c r="AL79" s="4763"/>
      <c r="AM79" s="4763"/>
      <c r="AN79" s="4763"/>
      <c r="AO79" s="4763"/>
      <c r="AP79" s="4764"/>
      <c r="AQ79" s="4763"/>
      <c r="AR79" s="4763"/>
      <c r="AS79" s="4763"/>
      <c r="AT79" s="4763"/>
      <c r="AU79" s="4763"/>
      <c r="AV79" s="4763"/>
      <c r="AW79" s="4763"/>
      <c r="AX79" s="4764"/>
      <c r="AY79" s="4763"/>
      <c r="AZ79" s="4763"/>
      <c r="BA79" s="4763"/>
      <c r="BB79" s="4763"/>
      <c r="BC79" s="4763"/>
      <c r="BD79" s="4763"/>
      <c r="BE79" s="4763"/>
      <c r="BF79" s="4764"/>
      <c r="BG79" s="4763"/>
      <c r="BH79" s="4763"/>
      <c r="BI79" s="4763"/>
      <c r="BJ79" s="4763"/>
      <c r="BK79" s="4763"/>
      <c r="BL79" s="4763"/>
      <c r="BM79" s="4763"/>
      <c r="BN79" s="4764"/>
      <c r="BO79" s="4763"/>
      <c r="BP79" s="4763"/>
      <c r="BQ79" s="4763"/>
      <c r="BR79" s="4763"/>
      <c r="BS79" s="4763"/>
      <c r="BT79" s="4763"/>
      <c r="BU79" s="4763"/>
      <c r="BV79" s="4764"/>
      <c r="BW79" s="4763"/>
      <c r="BX79" s="4763"/>
      <c r="BY79" s="4763"/>
      <c r="BZ79" s="4763"/>
      <c r="CA79" s="4763"/>
      <c r="CB79" s="4763"/>
      <c r="CC79" s="4763"/>
      <c r="CD79" s="4764"/>
      <c r="CE79" s="4763"/>
      <c r="CF79" s="4763"/>
      <c r="CG79" s="4763"/>
      <c r="CH79" s="4763"/>
      <c r="CI79" s="4763"/>
      <c r="CJ79" s="4763"/>
      <c r="CK79" s="4763"/>
      <c r="CL79" s="4764"/>
      <c r="CM79" s="4763"/>
    </row>
    <row r="80" spans="1:91" s="8" customFormat="1" ht="30" customHeight="1" thickBot="1" x14ac:dyDescent="0.25">
      <c r="A80" s="4203"/>
      <c r="B80" s="4203"/>
      <c r="C80" s="4203"/>
      <c r="D80" s="4203"/>
      <c r="E80" s="4203"/>
      <c r="F80" s="4203"/>
      <c r="I80" s="13"/>
      <c r="J80" s="10"/>
      <c r="K80" s="14"/>
      <c r="L80" s="15"/>
      <c r="M80" s="15"/>
      <c r="N80" s="15"/>
      <c r="O80" s="16"/>
      <c r="P80" s="17"/>
      <c r="Q80" s="17"/>
      <c r="R80" s="17"/>
      <c r="S80" s="16"/>
      <c r="T80" s="4373"/>
      <c r="W80" s="4574"/>
      <c r="X80" s="4574"/>
      <c r="Y80" s="4574"/>
      <c r="Z80" s="4574"/>
      <c r="AA80" s="4575"/>
      <c r="AB80" s="4574"/>
      <c r="AC80" s="4576"/>
      <c r="AD80" s="4576"/>
      <c r="AE80" s="4576"/>
      <c r="AF80" s="4576"/>
      <c r="AG80" s="4576"/>
      <c r="AH80" s="4574"/>
      <c r="AI80" s="4568"/>
      <c r="AJ80" s="4568"/>
      <c r="AK80" s="4574"/>
      <c r="AL80" s="4574"/>
      <c r="AM80" s="4574"/>
      <c r="AN80" s="4575"/>
      <c r="AO80" s="4574"/>
      <c r="AP80" s="4576"/>
      <c r="AQ80" s="4574"/>
      <c r="AR80" s="3435"/>
      <c r="AS80" s="4574"/>
      <c r="AT80" s="4574"/>
      <c r="AU80" s="4574"/>
      <c r="AV80" s="4575"/>
      <c r="AW80" s="4574"/>
      <c r="AX80" s="4576"/>
      <c r="AY80" s="4574"/>
      <c r="AZ80" s="4568"/>
      <c r="BA80" s="4574"/>
      <c r="BB80" s="4574"/>
      <c r="BC80" s="4574"/>
      <c r="BD80" s="4575"/>
      <c r="BE80" s="4574"/>
      <c r="BF80" s="4576"/>
      <c r="BG80" s="4574"/>
      <c r="BH80" s="4445"/>
      <c r="BI80" s="4574"/>
      <c r="BJ80" s="4574"/>
      <c r="BK80" s="4574"/>
      <c r="BL80" s="4575"/>
      <c r="BM80" s="4574"/>
      <c r="BN80" s="4576"/>
      <c r="BO80" s="4574"/>
      <c r="BP80" s="4445"/>
      <c r="BQ80" s="4574"/>
      <c r="BR80" s="4574"/>
      <c r="BS80" s="4574"/>
      <c r="BT80" s="4575"/>
      <c r="BU80" s="4574"/>
      <c r="BV80" s="4576"/>
      <c r="BW80" s="4574"/>
      <c r="BX80" s="4445"/>
      <c r="BY80" s="4574"/>
      <c r="BZ80" s="4574"/>
      <c r="CA80" s="4574"/>
      <c r="CB80" s="4575"/>
      <c r="CC80" s="4574"/>
      <c r="CD80" s="4576"/>
      <c r="CE80" s="4574"/>
      <c r="CF80" s="4445"/>
      <c r="CG80" s="4574"/>
      <c r="CH80" s="4574"/>
      <c r="CI80" s="4574"/>
      <c r="CJ80" s="4575"/>
      <c r="CK80" s="4574"/>
      <c r="CL80" s="4576"/>
      <c r="CM80" s="4574"/>
    </row>
    <row r="81" spans="1:91" s="8" customFormat="1" ht="20.100000000000001" customHeight="1" thickBot="1" x14ac:dyDescent="0.25">
      <c r="A81" s="4203"/>
      <c r="B81" s="4203"/>
      <c r="C81" s="4203"/>
      <c r="D81" s="4203"/>
      <c r="E81" s="4203"/>
      <c r="F81" s="4203"/>
      <c r="I81" s="2723"/>
      <c r="J81" s="10"/>
      <c r="K81" s="3335"/>
      <c r="L81" s="6798" t="str">
        <f>_Calcs!$M$54</f>
        <v>Manuell driftsrensk</v>
      </c>
      <c r="M81" s="6798"/>
      <c r="N81" s="6798"/>
      <c r="O81" s="6798"/>
      <c r="P81" s="6798"/>
      <c r="Q81" s="6798"/>
      <c r="R81" s="3653"/>
      <c r="S81" s="3660"/>
      <c r="T81" s="4373"/>
      <c r="W81" s="4574"/>
      <c r="X81" s="4574"/>
      <c r="Y81" s="4574"/>
      <c r="Z81" s="4574"/>
      <c r="AA81" s="4575"/>
      <c r="AB81" s="4574"/>
      <c r="AC81" s="4576"/>
      <c r="AD81" s="4576"/>
      <c r="AE81" s="4576"/>
      <c r="AF81" s="4576"/>
      <c r="AG81" s="4576"/>
      <c r="AH81" s="4574"/>
      <c r="AI81" s="4568"/>
      <c r="AJ81" s="4568"/>
      <c r="AK81" s="4574"/>
      <c r="AL81" s="4574"/>
      <c r="AM81" s="4574"/>
      <c r="AN81" s="4575"/>
      <c r="AO81" s="4574"/>
      <c r="AP81" s="4576"/>
      <c r="AQ81" s="4574"/>
      <c r="AR81" s="3435"/>
      <c r="AS81" s="4574"/>
      <c r="AT81" s="4574"/>
      <c r="AU81" s="4574"/>
      <c r="AV81" s="4575"/>
      <c r="AW81" s="4574"/>
      <c r="AX81" s="4576"/>
      <c r="AY81" s="4574"/>
      <c r="AZ81" s="4568"/>
      <c r="BA81" s="4574"/>
      <c r="BB81" s="4574"/>
      <c r="BC81" s="4574"/>
      <c r="BD81" s="4575"/>
      <c r="BE81" s="4574"/>
      <c r="BF81" s="4576"/>
      <c r="BG81" s="4574"/>
      <c r="BH81" s="4445"/>
      <c r="BI81" s="4574"/>
      <c r="BJ81" s="4574"/>
      <c r="BK81" s="4574"/>
      <c r="BL81" s="4575"/>
      <c r="BM81" s="4574"/>
      <c r="BN81" s="4576"/>
      <c r="BO81" s="4574"/>
      <c r="BP81" s="4445"/>
      <c r="BQ81" s="4574"/>
      <c r="BR81" s="4574"/>
      <c r="BS81" s="4574"/>
      <c r="BT81" s="4575"/>
      <c r="BU81" s="4574"/>
      <c r="BV81" s="4576"/>
      <c r="BW81" s="4574"/>
      <c r="BX81" s="4445"/>
      <c r="BY81" s="4574"/>
      <c r="BZ81" s="4574"/>
      <c r="CA81" s="4574"/>
      <c r="CB81" s="4575"/>
      <c r="CC81" s="4574"/>
      <c r="CD81" s="4576"/>
      <c r="CE81" s="4574"/>
      <c r="CF81" s="4445"/>
      <c r="CG81" s="4574"/>
      <c r="CH81" s="4574"/>
      <c r="CI81" s="4574"/>
      <c r="CJ81" s="4575"/>
      <c r="CK81" s="4574"/>
      <c r="CL81" s="4576"/>
      <c r="CM81" s="4574"/>
    </row>
    <row r="82" spans="1:91" s="8" customFormat="1" ht="15" customHeight="1" thickBot="1" x14ac:dyDescent="0.25">
      <c r="A82" s="4203"/>
      <c r="B82" s="4203"/>
      <c r="C82" s="4203"/>
      <c r="D82" s="4203"/>
      <c r="E82" s="4203"/>
      <c r="F82" s="4203"/>
      <c r="I82" s="6795" t="str">
        <f>_Calcs!$K$54</f>
        <v>Rensk og kartlegging</v>
      </c>
      <c r="J82" s="10"/>
      <c r="K82" s="3336"/>
      <c r="L82" s="6799"/>
      <c r="M82" s="6799"/>
      <c r="N82" s="6799"/>
      <c r="O82" s="6799"/>
      <c r="P82" s="6799"/>
      <c r="Q82" s="6799"/>
      <c r="R82" s="3654"/>
      <c r="S82" s="3660"/>
      <c r="T82" s="4373"/>
      <c r="W82" s="4577"/>
      <c r="X82" s="4578"/>
      <c r="Y82" s="4578"/>
      <c r="Z82" s="4579"/>
      <c r="AA82" s="4489"/>
      <c r="AB82" s="4580"/>
      <c r="AC82" s="4581"/>
      <c r="AD82" s="4581"/>
      <c r="AE82" s="4581"/>
      <c r="AF82" s="4581"/>
      <c r="AG82" s="4581"/>
      <c r="AH82" s="4582"/>
      <c r="AI82" s="4568"/>
      <c r="AJ82" s="4568"/>
      <c r="AK82" s="4583"/>
      <c r="AL82" s="4584"/>
      <c r="AM82" s="4585"/>
      <c r="AN82" s="4489"/>
      <c r="AO82" s="4586"/>
      <c r="AP82" s="4587"/>
      <c r="AQ82" s="4588"/>
      <c r="AR82" s="3435"/>
      <c r="AS82" s="4589"/>
      <c r="AT82" s="4590"/>
      <c r="AU82" s="4591"/>
      <c r="AV82" s="4489"/>
      <c r="AW82" s="4592"/>
      <c r="AX82" s="4593"/>
      <c r="AY82" s="4594"/>
      <c r="AZ82" s="4568"/>
      <c r="BA82" s="4595"/>
      <c r="BB82" s="4596"/>
      <c r="BC82" s="4597"/>
      <c r="BD82" s="4489"/>
      <c r="BE82" s="4598"/>
      <c r="BF82" s="4599"/>
      <c r="BG82" s="4600"/>
      <c r="BH82" s="4445"/>
      <c r="BI82" s="4601"/>
      <c r="BJ82" s="4602"/>
      <c r="BK82" s="4603"/>
      <c r="BL82" s="4489"/>
      <c r="BM82" s="4604"/>
      <c r="BN82" s="4605"/>
      <c r="BO82" s="4606"/>
      <c r="BP82" s="4445"/>
      <c r="BQ82" s="4607"/>
      <c r="BR82" s="4608"/>
      <c r="BS82" s="4609"/>
      <c r="BT82" s="4489"/>
      <c r="BU82" s="4610"/>
      <c r="BV82" s="4611"/>
      <c r="BW82" s="4612"/>
      <c r="BX82" s="4445"/>
      <c r="BY82" s="4613"/>
      <c r="BZ82" s="4614"/>
      <c r="CA82" s="4615"/>
      <c r="CB82" s="4489"/>
      <c r="CC82" s="4616"/>
      <c r="CD82" s="4617"/>
      <c r="CE82" s="4618"/>
      <c r="CF82" s="4445"/>
      <c r="CG82" s="4619"/>
      <c r="CH82" s="4620"/>
      <c r="CI82" s="4621"/>
      <c r="CJ82" s="4489"/>
      <c r="CK82" s="4622"/>
      <c r="CL82" s="4623"/>
      <c r="CM82" s="4624"/>
    </row>
    <row r="83" spans="1:91" s="8" customFormat="1" ht="8.1" customHeight="1" thickBot="1" x14ac:dyDescent="0.25">
      <c r="A83" s="4203"/>
      <c r="B83" s="4203"/>
      <c r="C83" s="4203"/>
      <c r="D83" s="4203"/>
      <c r="E83" s="4203"/>
      <c r="F83" s="4203"/>
      <c r="I83" s="6795"/>
      <c r="J83" s="10"/>
      <c r="K83" s="14"/>
      <c r="L83" s="129"/>
      <c r="M83" s="129"/>
      <c r="N83" s="129"/>
      <c r="O83" s="16"/>
      <c r="P83" s="17"/>
      <c r="Q83" s="17"/>
      <c r="R83" s="17"/>
      <c r="S83" s="16"/>
      <c r="T83" s="4373"/>
      <c r="W83" s="4574"/>
      <c r="X83" s="4625"/>
      <c r="Y83" s="4625"/>
      <c r="Z83" s="4626"/>
      <c r="AA83" s="4575"/>
      <c r="AB83" s="4574"/>
      <c r="AC83" s="4627"/>
      <c r="AD83" s="4627"/>
      <c r="AE83" s="4627"/>
      <c r="AF83" s="4627"/>
      <c r="AG83" s="4627"/>
      <c r="AH83" s="4626"/>
      <c r="AI83" s="4568"/>
      <c r="AJ83" s="4568"/>
      <c r="AK83" s="4574"/>
      <c r="AL83" s="4625"/>
      <c r="AM83" s="4626"/>
      <c r="AN83" s="4575"/>
      <c r="AO83" s="4574"/>
      <c r="AP83" s="4627"/>
      <c r="AQ83" s="4626"/>
      <c r="AR83" s="3435"/>
      <c r="AS83" s="4574"/>
      <c r="AT83" s="4625"/>
      <c r="AU83" s="4626"/>
      <c r="AV83" s="4575"/>
      <c r="AW83" s="4574"/>
      <c r="AX83" s="4627"/>
      <c r="AY83" s="4626"/>
      <c r="AZ83" s="4568"/>
      <c r="BA83" s="4574"/>
      <c r="BB83" s="4625"/>
      <c r="BC83" s="4626"/>
      <c r="BD83" s="4575"/>
      <c r="BE83" s="4574"/>
      <c r="BF83" s="4627"/>
      <c r="BG83" s="4626"/>
      <c r="BH83" s="4445"/>
      <c r="BI83" s="4574"/>
      <c r="BJ83" s="4625"/>
      <c r="BK83" s="4626"/>
      <c r="BL83" s="4575"/>
      <c r="BM83" s="4574"/>
      <c r="BN83" s="4627"/>
      <c r="BO83" s="4626"/>
      <c r="BP83" s="4445"/>
      <c r="BQ83" s="4574"/>
      <c r="BR83" s="4625"/>
      <c r="BS83" s="4626"/>
      <c r="BT83" s="4575"/>
      <c r="BU83" s="4574"/>
      <c r="BV83" s="4627"/>
      <c r="BW83" s="4626"/>
      <c r="BX83" s="4445"/>
      <c r="BY83" s="4574"/>
      <c r="BZ83" s="4625"/>
      <c r="CA83" s="4626"/>
      <c r="CB83" s="4575"/>
      <c r="CC83" s="4574"/>
      <c r="CD83" s="4627"/>
      <c r="CE83" s="4626"/>
      <c r="CF83" s="4445"/>
      <c r="CG83" s="4574"/>
      <c r="CH83" s="4625"/>
      <c r="CI83" s="4626"/>
      <c r="CJ83" s="4575"/>
      <c r="CK83" s="4574"/>
      <c r="CL83" s="4627"/>
      <c r="CM83" s="4626"/>
    </row>
    <row r="84" spans="1:91" s="8" customFormat="1" ht="15" customHeight="1" thickBot="1" x14ac:dyDescent="0.25">
      <c r="A84" s="4203"/>
      <c r="B84" s="4203"/>
      <c r="C84" s="4203"/>
      <c r="D84" s="4203"/>
      <c r="E84" s="4203"/>
      <c r="F84" s="4203"/>
      <c r="I84" s="6795"/>
      <c r="J84" s="10"/>
      <c r="K84" s="3329"/>
      <c r="L84" s="3330"/>
      <c r="M84" s="3330"/>
      <c r="N84" s="3330"/>
      <c r="O84" s="3331"/>
      <c r="P84" s="3332"/>
      <c r="Q84" s="3332"/>
      <c r="R84" s="3626"/>
      <c r="S84" s="2798"/>
      <c r="T84" s="4373"/>
      <c r="W84" s="4628"/>
      <c r="X84" s="4629"/>
      <c r="Y84" s="4629"/>
      <c r="Z84" s="4630"/>
      <c r="AA84" s="4575"/>
      <c r="AB84" s="4631"/>
      <c r="AC84" s="4632"/>
      <c r="AD84" s="4632"/>
      <c r="AE84" s="4632"/>
      <c r="AF84" s="4632"/>
      <c r="AG84" s="4632"/>
      <c r="AH84" s="4633"/>
      <c r="AI84" s="4568"/>
      <c r="AJ84" s="4568"/>
      <c r="AK84" s="4634"/>
      <c r="AL84" s="4635"/>
      <c r="AM84" s="4636"/>
      <c r="AN84" s="4575"/>
      <c r="AO84" s="4637"/>
      <c r="AP84" s="4638"/>
      <c r="AQ84" s="4639"/>
      <c r="AR84" s="3435"/>
      <c r="AS84" s="4640"/>
      <c r="AT84" s="4641"/>
      <c r="AU84" s="4642"/>
      <c r="AV84" s="4575"/>
      <c r="AW84" s="4643"/>
      <c r="AX84" s="4644"/>
      <c r="AY84" s="4645"/>
      <c r="AZ84" s="4568"/>
      <c r="BA84" s="4646"/>
      <c r="BB84" s="4647"/>
      <c r="BC84" s="4648"/>
      <c r="BD84" s="4575"/>
      <c r="BE84" s="4649"/>
      <c r="BF84" s="4650"/>
      <c r="BG84" s="4651"/>
      <c r="BH84" s="4445"/>
      <c r="BI84" s="4652"/>
      <c r="BJ84" s="4653"/>
      <c r="BK84" s="4654"/>
      <c r="BL84" s="4575"/>
      <c r="BM84" s="4655"/>
      <c r="BN84" s="4656"/>
      <c r="BO84" s="4657"/>
      <c r="BP84" s="4445"/>
      <c r="BQ84" s="4658"/>
      <c r="BR84" s="4659"/>
      <c r="BS84" s="4660"/>
      <c r="BT84" s="4575"/>
      <c r="BU84" s="4661"/>
      <c r="BV84" s="4662"/>
      <c r="BW84" s="4663"/>
      <c r="BX84" s="4445"/>
      <c r="BY84" s="4664"/>
      <c r="BZ84" s="4665"/>
      <c r="CA84" s="4666"/>
      <c r="CB84" s="4575"/>
      <c r="CC84" s="4667"/>
      <c r="CD84" s="4668"/>
      <c r="CE84" s="4669"/>
      <c r="CF84" s="4445"/>
      <c r="CG84" s="4670"/>
      <c r="CH84" s="4671"/>
      <c r="CI84" s="4672"/>
      <c r="CJ84" s="4575"/>
      <c r="CK84" s="4673"/>
      <c r="CL84" s="4674"/>
      <c r="CM84" s="4675"/>
    </row>
    <row r="85" spans="1:91" s="8" customFormat="1" ht="24.95" customHeight="1" thickBot="1" x14ac:dyDescent="0.25">
      <c r="A85" s="4203"/>
      <c r="B85" s="4203"/>
      <c r="C85" s="4203"/>
      <c r="D85" s="4203"/>
      <c r="E85" s="4203"/>
      <c r="F85" s="4203" t="s">
        <v>1553</v>
      </c>
      <c r="I85" s="6795"/>
      <c r="J85" s="10"/>
      <c r="K85" s="3326"/>
      <c r="L85" s="4377" t="str">
        <f>_Calcs_Klasse!$ABK$36</f>
        <v>Minutter per salve</v>
      </c>
      <c r="M85" s="4377"/>
      <c r="N85" s="4377"/>
      <c r="O85" s="5095" t="s">
        <v>149</v>
      </c>
      <c r="P85" s="5096"/>
      <c r="Q85" s="5096" t="s">
        <v>1539</v>
      </c>
      <c r="R85" s="5097"/>
      <c r="S85" s="2798"/>
      <c r="T85" s="4373"/>
      <c r="W85" s="4676"/>
      <c r="X85" s="6808">
        <v>20</v>
      </c>
      <c r="Y85" s="6809"/>
      <c r="Z85" s="4677"/>
      <c r="AA85" s="4678"/>
      <c r="AB85" s="4679"/>
      <c r="AC85" s="6810" t="e">
        <f>_Calcs_Klasse!$ABP$42</f>
        <v>#N/A</v>
      </c>
      <c r="AD85" s="6811"/>
      <c r="AE85" s="6811"/>
      <c r="AF85" s="6811"/>
      <c r="AG85" s="6812"/>
      <c r="AH85" s="4680"/>
      <c r="AI85" s="4681"/>
      <c r="AJ85" s="4681"/>
      <c r="AK85" s="4682"/>
      <c r="AL85" s="4683"/>
      <c r="AM85" s="4684"/>
      <c r="AN85" s="4678"/>
      <c r="AO85" s="4685"/>
      <c r="AP85" s="4686" t="e">
        <f>_Calcs_Klasse!$ABP$43</f>
        <v>#N/A</v>
      </c>
      <c r="AQ85" s="4687"/>
      <c r="AR85" s="4688"/>
      <c r="AS85" s="4689"/>
      <c r="AT85" s="4683"/>
      <c r="AU85" s="4690"/>
      <c r="AV85" s="4678"/>
      <c r="AW85" s="4691"/>
      <c r="AX85" s="4686" t="e">
        <f>_Calcs_Klasse!$ABP$44</f>
        <v>#N/A</v>
      </c>
      <c r="AY85" s="4692"/>
      <c r="AZ85" s="4681"/>
      <c r="BA85" s="4693"/>
      <c r="BB85" s="4683"/>
      <c r="BC85" s="4694"/>
      <c r="BD85" s="4678"/>
      <c r="BE85" s="4695"/>
      <c r="BF85" s="4686" t="e">
        <f>_Calcs_Klasse!$ABP$45</f>
        <v>#N/A</v>
      </c>
      <c r="BG85" s="4696"/>
      <c r="BH85" s="4697"/>
      <c r="BI85" s="4698"/>
      <c r="BJ85" s="4683"/>
      <c r="BK85" s="4699"/>
      <c r="BL85" s="4678"/>
      <c r="BM85" s="4700"/>
      <c r="BN85" s="4686" t="e">
        <f>_Calcs_Klasse!$ABP$46</f>
        <v>#N/A</v>
      </c>
      <c r="BO85" s="4701"/>
      <c r="BP85" s="4697"/>
      <c r="BQ85" s="4702"/>
      <c r="BR85" s="4683"/>
      <c r="BS85" s="4703"/>
      <c r="BT85" s="4678"/>
      <c r="BU85" s="4704"/>
      <c r="BV85" s="4686" t="e">
        <f>_Calcs_Klasse!$ABP$47</f>
        <v>#N/A</v>
      </c>
      <c r="BW85" s="4705"/>
      <c r="BX85" s="4697"/>
      <c r="BY85" s="4706"/>
      <c r="BZ85" s="4683"/>
      <c r="CA85" s="4707"/>
      <c r="CB85" s="4678"/>
      <c r="CC85" s="4708"/>
      <c r="CD85" s="4686" t="e">
        <f>_Calcs_Klasse!$ABP$48</f>
        <v>#N/A</v>
      </c>
      <c r="CE85" s="4709"/>
      <c r="CF85" s="4697"/>
      <c r="CG85" s="4710"/>
      <c r="CH85" s="4683"/>
      <c r="CI85" s="4711"/>
      <c r="CJ85" s="4678"/>
      <c r="CK85" s="4712"/>
      <c r="CL85" s="4686" t="e">
        <f>_Calcs_Klasse!$ABP$49</f>
        <v>#N/A</v>
      </c>
      <c r="CM85" s="4713"/>
    </row>
    <row r="86" spans="1:91" s="8" customFormat="1" ht="15" customHeight="1" thickBot="1" x14ac:dyDescent="0.25">
      <c r="A86" s="4203"/>
      <c r="B86" s="4203"/>
      <c r="C86" s="4203"/>
      <c r="D86" s="4203"/>
      <c r="E86" s="4203"/>
      <c r="F86" s="4203"/>
      <c r="I86" s="3578"/>
      <c r="J86" s="10"/>
      <c r="K86" s="3321"/>
      <c r="L86" s="3322"/>
      <c r="M86" s="3322"/>
      <c r="N86" s="3322"/>
      <c r="O86" s="3323"/>
      <c r="P86" s="3324"/>
      <c r="Q86" s="3324"/>
      <c r="R86" s="3628"/>
      <c r="S86" s="3728"/>
      <c r="T86" s="4373"/>
      <c r="W86" s="4714"/>
      <c r="X86" s="4715"/>
      <c r="Y86" s="4715"/>
      <c r="Z86" s="4716"/>
      <c r="AA86" s="4575"/>
      <c r="AB86" s="4717"/>
      <c r="AC86" s="4718"/>
      <c r="AD86" s="4718"/>
      <c r="AE86" s="4718"/>
      <c r="AF86" s="4718"/>
      <c r="AG86" s="4718"/>
      <c r="AH86" s="4719"/>
      <c r="AI86" s="4568"/>
      <c r="AJ86" s="4568"/>
      <c r="AK86" s="4720"/>
      <c r="AL86" s="4721"/>
      <c r="AM86" s="4722"/>
      <c r="AN86" s="4575"/>
      <c r="AO86" s="4723"/>
      <c r="AP86" s="4724"/>
      <c r="AQ86" s="4725"/>
      <c r="AR86" s="3435"/>
      <c r="AS86" s="4726"/>
      <c r="AT86" s="4727"/>
      <c r="AU86" s="4728"/>
      <c r="AV86" s="4575"/>
      <c r="AW86" s="4729"/>
      <c r="AX86" s="4730"/>
      <c r="AY86" s="4731"/>
      <c r="AZ86" s="4568"/>
      <c r="BA86" s="4732"/>
      <c r="BB86" s="4733"/>
      <c r="BC86" s="4734"/>
      <c r="BD86" s="4575"/>
      <c r="BE86" s="4735"/>
      <c r="BF86" s="4736"/>
      <c r="BG86" s="4737"/>
      <c r="BH86" s="4445"/>
      <c r="BI86" s="4738"/>
      <c r="BJ86" s="4739"/>
      <c r="BK86" s="4740"/>
      <c r="BL86" s="4575"/>
      <c r="BM86" s="4741"/>
      <c r="BN86" s="4742"/>
      <c r="BO86" s="4743"/>
      <c r="BP86" s="4445"/>
      <c r="BQ86" s="4744"/>
      <c r="BR86" s="4745"/>
      <c r="BS86" s="4746"/>
      <c r="BT86" s="4575"/>
      <c r="BU86" s="4747"/>
      <c r="BV86" s="4748"/>
      <c r="BW86" s="4749"/>
      <c r="BX86" s="4445"/>
      <c r="BY86" s="4750"/>
      <c r="BZ86" s="4751"/>
      <c r="CA86" s="4752"/>
      <c r="CB86" s="4575"/>
      <c r="CC86" s="4753"/>
      <c r="CD86" s="4754"/>
      <c r="CE86" s="4755"/>
      <c r="CF86" s="4445"/>
      <c r="CG86" s="4756"/>
      <c r="CH86" s="4757"/>
      <c r="CI86" s="4758"/>
      <c r="CJ86" s="4575"/>
      <c r="CK86" s="4759"/>
      <c r="CL86" s="4760"/>
      <c r="CM86" s="4761"/>
    </row>
    <row r="87" spans="1:91" s="8" customFormat="1" ht="15" customHeight="1" thickBot="1" x14ac:dyDescent="0.25">
      <c r="A87" s="4203"/>
      <c r="B87" s="4203"/>
      <c r="C87" s="4203"/>
      <c r="D87" s="4203"/>
      <c r="E87" s="4203"/>
      <c r="F87" s="4203"/>
      <c r="I87" s="2793"/>
      <c r="J87" s="10"/>
      <c r="K87" s="181"/>
      <c r="L87" s="2617"/>
      <c r="M87" s="2617"/>
      <c r="N87" s="2617"/>
      <c r="O87" s="3460"/>
      <c r="P87" s="2617"/>
      <c r="Q87" s="2639"/>
      <c r="R87" s="181"/>
      <c r="S87" s="435"/>
      <c r="T87" s="4373"/>
      <c r="W87" s="4445"/>
      <c r="X87" s="4445"/>
      <c r="Y87" s="4445"/>
      <c r="Z87" s="4445"/>
      <c r="AA87" s="4445"/>
      <c r="AB87" s="4445"/>
      <c r="AC87" s="4765"/>
      <c r="AD87" s="4765"/>
      <c r="AE87" s="4765"/>
      <c r="AF87" s="4765"/>
      <c r="AG87" s="4765"/>
      <c r="AH87" s="4445"/>
      <c r="AI87" s="4445"/>
      <c r="AJ87" s="4445"/>
      <c r="AK87" s="4445"/>
      <c r="AL87" s="4445"/>
      <c r="AM87" s="4445"/>
      <c r="AN87" s="4445"/>
      <c r="AO87" s="4445"/>
      <c r="AP87" s="4765"/>
      <c r="AQ87" s="4445"/>
      <c r="AR87" s="4445"/>
      <c r="AS87" s="4445"/>
      <c r="AT87" s="4445"/>
      <c r="AU87" s="4445"/>
      <c r="AV87" s="4445"/>
      <c r="AW87" s="4445"/>
      <c r="AX87" s="4765"/>
      <c r="AY87" s="4445"/>
      <c r="AZ87" s="4445"/>
      <c r="BA87" s="4445"/>
      <c r="BB87" s="4445"/>
      <c r="BC87" s="4445"/>
      <c r="BD87" s="4445"/>
      <c r="BE87" s="4445"/>
      <c r="BF87" s="4765"/>
      <c r="BG87" s="4445"/>
      <c r="BH87" s="4445"/>
      <c r="BI87" s="4445"/>
      <c r="BJ87" s="4445"/>
      <c r="BK87" s="4445"/>
      <c r="BL87" s="4445"/>
      <c r="BM87" s="4445"/>
      <c r="BN87" s="4765"/>
      <c r="BO87" s="4445"/>
      <c r="BP87" s="4445"/>
      <c r="BQ87" s="4445"/>
      <c r="BR87" s="4445"/>
      <c r="BS87" s="4445"/>
      <c r="BT87" s="4445"/>
      <c r="BU87" s="4445"/>
      <c r="BV87" s="4765"/>
      <c r="BW87" s="4445"/>
      <c r="BX87" s="4445"/>
      <c r="BY87" s="4445"/>
      <c r="BZ87" s="4445"/>
      <c r="CA87" s="4445"/>
      <c r="CB87" s="4445"/>
      <c r="CC87" s="4445"/>
      <c r="CD87" s="4765"/>
      <c r="CE87" s="4445"/>
      <c r="CF87" s="4445"/>
      <c r="CG87" s="4445"/>
      <c r="CH87" s="4445"/>
      <c r="CI87" s="4445"/>
      <c r="CJ87" s="4445"/>
      <c r="CK87" s="4445"/>
      <c r="CL87" s="4765"/>
      <c r="CM87" s="4445"/>
    </row>
    <row r="88" spans="1:91" s="8" customFormat="1" ht="20.100000000000001" customHeight="1" thickBot="1" x14ac:dyDescent="0.25">
      <c r="A88" s="4203"/>
      <c r="B88" s="4203"/>
      <c r="C88" s="4203"/>
      <c r="D88" s="4203"/>
      <c r="E88" s="4203"/>
      <c r="F88" s="4203"/>
      <c r="I88" s="2793"/>
      <c r="J88" s="10"/>
      <c r="K88" s="3335"/>
      <c r="L88" s="6798" t="str">
        <f>_Calcs!$M$55</f>
        <v>Registrering og kartlegging</v>
      </c>
      <c r="M88" s="6798"/>
      <c r="N88" s="6798"/>
      <c r="O88" s="6798"/>
      <c r="P88" s="6798"/>
      <c r="Q88" s="6798"/>
      <c r="R88" s="3653"/>
      <c r="S88" s="3660"/>
      <c r="T88" s="4373"/>
      <c r="W88" s="4574"/>
      <c r="X88" s="4574"/>
      <c r="Y88" s="4574"/>
      <c r="Z88" s="4574"/>
      <c r="AA88" s="4575"/>
      <c r="AB88" s="4574"/>
      <c r="AC88" s="4576"/>
      <c r="AD88" s="4576"/>
      <c r="AE88" s="4576"/>
      <c r="AF88" s="4576"/>
      <c r="AG88" s="4576"/>
      <c r="AH88" s="4574"/>
      <c r="AI88" s="4568"/>
      <c r="AJ88" s="4568"/>
      <c r="AK88" s="4574"/>
      <c r="AL88" s="4574"/>
      <c r="AM88" s="4574"/>
      <c r="AN88" s="4575"/>
      <c r="AO88" s="4574"/>
      <c r="AP88" s="4576"/>
      <c r="AQ88" s="4574"/>
      <c r="AR88" s="3435"/>
      <c r="AS88" s="4574"/>
      <c r="AT88" s="4574"/>
      <c r="AU88" s="4574"/>
      <c r="AV88" s="4575"/>
      <c r="AW88" s="4574"/>
      <c r="AX88" s="4576"/>
      <c r="AY88" s="4574"/>
      <c r="AZ88" s="4568"/>
      <c r="BA88" s="4574"/>
      <c r="BB88" s="4574"/>
      <c r="BC88" s="4574"/>
      <c r="BD88" s="4575"/>
      <c r="BE88" s="4574"/>
      <c r="BF88" s="4576"/>
      <c r="BG88" s="4574"/>
      <c r="BH88" s="4445"/>
      <c r="BI88" s="4574"/>
      <c r="BJ88" s="4574"/>
      <c r="BK88" s="4574"/>
      <c r="BL88" s="4575"/>
      <c r="BM88" s="4574"/>
      <c r="BN88" s="4576"/>
      <c r="BO88" s="4574"/>
      <c r="BP88" s="4445"/>
      <c r="BQ88" s="4574"/>
      <c r="BR88" s="4574"/>
      <c r="BS88" s="4574"/>
      <c r="BT88" s="4575"/>
      <c r="BU88" s="4574"/>
      <c r="BV88" s="4576"/>
      <c r="BW88" s="4574"/>
      <c r="BX88" s="4445"/>
      <c r="BY88" s="4574"/>
      <c r="BZ88" s="4574"/>
      <c r="CA88" s="4574"/>
      <c r="CB88" s="4575"/>
      <c r="CC88" s="4574"/>
      <c r="CD88" s="4576"/>
      <c r="CE88" s="4574"/>
      <c r="CF88" s="4445"/>
      <c r="CG88" s="4574"/>
      <c r="CH88" s="4574"/>
      <c r="CI88" s="4574"/>
      <c r="CJ88" s="4575"/>
      <c r="CK88" s="4574"/>
      <c r="CL88" s="4576"/>
      <c r="CM88" s="4574"/>
    </row>
    <row r="89" spans="1:91" s="8" customFormat="1" ht="15" customHeight="1" thickBot="1" x14ac:dyDescent="0.25">
      <c r="A89" s="4203"/>
      <c r="B89" s="4203"/>
      <c r="C89" s="4203"/>
      <c r="D89" s="4203"/>
      <c r="E89" s="4203"/>
      <c r="F89" s="4203"/>
      <c r="I89" s="2793"/>
      <c r="J89" s="10"/>
      <c r="K89" s="3336"/>
      <c r="L89" s="6799"/>
      <c r="M89" s="6799"/>
      <c r="N89" s="6799"/>
      <c r="O89" s="6799"/>
      <c r="P89" s="6799"/>
      <c r="Q89" s="6799"/>
      <c r="R89" s="3654"/>
      <c r="S89" s="3660"/>
      <c r="T89" s="4373"/>
      <c r="W89" s="4577"/>
      <c r="X89" s="4578"/>
      <c r="Y89" s="4578"/>
      <c r="Z89" s="4579"/>
      <c r="AA89" s="4489"/>
      <c r="AB89" s="4580"/>
      <c r="AC89" s="4581"/>
      <c r="AD89" s="4581"/>
      <c r="AE89" s="4581"/>
      <c r="AF89" s="4581"/>
      <c r="AG89" s="4581"/>
      <c r="AH89" s="4582"/>
      <c r="AI89" s="4568"/>
      <c r="AJ89" s="4568"/>
      <c r="AK89" s="4583"/>
      <c r="AL89" s="4584"/>
      <c r="AM89" s="4585"/>
      <c r="AN89" s="4489"/>
      <c r="AO89" s="4586"/>
      <c r="AP89" s="4587"/>
      <c r="AQ89" s="4588"/>
      <c r="AR89" s="3435"/>
      <c r="AS89" s="4589"/>
      <c r="AT89" s="4590"/>
      <c r="AU89" s="4591"/>
      <c r="AV89" s="4489"/>
      <c r="AW89" s="4592"/>
      <c r="AX89" s="4593"/>
      <c r="AY89" s="4594"/>
      <c r="AZ89" s="4568"/>
      <c r="BA89" s="4595"/>
      <c r="BB89" s="4596"/>
      <c r="BC89" s="4597"/>
      <c r="BD89" s="4489"/>
      <c r="BE89" s="4598"/>
      <c r="BF89" s="4599"/>
      <c r="BG89" s="4600"/>
      <c r="BH89" s="4445"/>
      <c r="BI89" s="4601"/>
      <c r="BJ89" s="4602"/>
      <c r="BK89" s="4603"/>
      <c r="BL89" s="4489"/>
      <c r="BM89" s="4604"/>
      <c r="BN89" s="4605"/>
      <c r="BO89" s="4606"/>
      <c r="BP89" s="4445"/>
      <c r="BQ89" s="4607"/>
      <c r="BR89" s="4608"/>
      <c r="BS89" s="4609"/>
      <c r="BT89" s="4489"/>
      <c r="BU89" s="4610"/>
      <c r="BV89" s="4611"/>
      <c r="BW89" s="4612"/>
      <c r="BX89" s="4445"/>
      <c r="BY89" s="4613"/>
      <c r="BZ89" s="4614"/>
      <c r="CA89" s="4615"/>
      <c r="CB89" s="4489"/>
      <c r="CC89" s="4616"/>
      <c r="CD89" s="4617"/>
      <c r="CE89" s="4618"/>
      <c r="CF89" s="4445"/>
      <c r="CG89" s="4619"/>
      <c r="CH89" s="4620"/>
      <c r="CI89" s="4621"/>
      <c r="CJ89" s="4489"/>
      <c r="CK89" s="4622"/>
      <c r="CL89" s="4623"/>
      <c r="CM89" s="4624"/>
    </row>
    <row r="90" spans="1:91" s="8" customFormat="1" ht="8.1" customHeight="1" thickBot="1" x14ac:dyDescent="0.25">
      <c r="A90" s="4203"/>
      <c r="B90" s="4203"/>
      <c r="C90" s="4203"/>
      <c r="D90" s="4203"/>
      <c r="E90" s="4203"/>
      <c r="F90" s="4203"/>
      <c r="I90" s="2793"/>
      <c r="J90" s="10"/>
      <c r="K90" s="14"/>
      <c r="L90" s="129"/>
      <c r="M90" s="129"/>
      <c r="N90" s="129"/>
      <c r="O90" s="16"/>
      <c r="P90" s="17"/>
      <c r="Q90" s="17"/>
      <c r="R90" s="17"/>
      <c r="S90" s="16"/>
      <c r="T90" s="4373"/>
      <c r="W90" s="4574"/>
      <c r="X90" s="4625"/>
      <c r="Y90" s="4625"/>
      <c r="Z90" s="4626"/>
      <c r="AA90" s="4575"/>
      <c r="AB90" s="4574"/>
      <c r="AC90" s="4627"/>
      <c r="AD90" s="4627"/>
      <c r="AE90" s="4627"/>
      <c r="AF90" s="4627"/>
      <c r="AG90" s="4627"/>
      <c r="AH90" s="4626"/>
      <c r="AI90" s="4568"/>
      <c r="AJ90" s="4568"/>
      <c r="AK90" s="4574"/>
      <c r="AL90" s="4625"/>
      <c r="AM90" s="4626"/>
      <c r="AN90" s="4575"/>
      <c r="AO90" s="4574"/>
      <c r="AP90" s="4627"/>
      <c r="AQ90" s="4626"/>
      <c r="AR90" s="3435"/>
      <c r="AS90" s="4574"/>
      <c r="AT90" s="4625"/>
      <c r="AU90" s="4626"/>
      <c r="AV90" s="4575"/>
      <c r="AW90" s="4574"/>
      <c r="AX90" s="4627"/>
      <c r="AY90" s="4626"/>
      <c r="AZ90" s="4568"/>
      <c r="BA90" s="4574"/>
      <c r="BB90" s="4625"/>
      <c r="BC90" s="4626"/>
      <c r="BD90" s="4575"/>
      <c r="BE90" s="4574"/>
      <c r="BF90" s="4627"/>
      <c r="BG90" s="4626"/>
      <c r="BH90" s="4445"/>
      <c r="BI90" s="4574"/>
      <c r="BJ90" s="4625"/>
      <c r="BK90" s="4626"/>
      <c r="BL90" s="4575"/>
      <c r="BM90" s="4574"/>
      <c r="BN90" s="4627"/>
      <c r="BO90" s="4626"/>
      <c r="BP90" s="4445"/>
      <c r="BQ90" s="4574"/>
      <c r="BR90" s="4625"/>
      <c r="BS90" s="4626"/>
      <c r="BT90" s="4575"/>
      <c r="BU90" s="4574"/>
      <c r="BV90" s="4627"/>
      <c r="BW90" s="4626"/>
      <c r="BX90" s="4445"/>
      <c r="BY90" s="4574"/>
      <c r="BZ90" s="4625"/>
      <c r="CA90" s="4626"/>
      <c r="CB90" s="4575"/>
      <c r="CC90" s="4574"/>
      <c r="CD90" s="4627"/>
      <c r="CE90" s="4626"/>
      <c r="CF90" s="4445"/>
      <c r="CG90" s="4574"/>
      <c r="CH90" s="4625"/>
      <c r="CI90" s="4626"/>
      <c r="CJ90" s="4575"/>
      <c r="CK90" s="4574"/>
      <c r="CL90" s="4627"/>
      <c r="CM90" s="4626"/>
    </row>
    <row r="91" spans="1:91" s="8" customFormat="1" ht="15" customHeight="1" thickBot="1" x14ac:dyDescent="0.25">
      <c r="A91" s="4203"/>
      <c r="B91" s="4203"/>
      <c r="C91" s="4203"/>
      <c r="D91" s="4203"/>
      <c r="E91" s="4203"/>
      <c r="F91" s="4203"/>
      <c r="I91" s="2793"/>
      <c r="J91" s="10"/>
      <c r="K91" s="3329"/>
      <c r="L91" s="3330"/>
      <c r="M91" s="3330"/>
      <c r="N91" s="3330"/>
      <c r="O91" s="3331"/>
      <c r="P91" s="3332"/>
      <c r="Q91" s="3332"/>
      <c r="R91" s="3626"/>
      <c r="S91" s="2798"/>
      <c r="T91" s="4373"/>
      <c r="W91" s="4628"/>
      <c r="X91" s="4629"/>
      <c r="Y91" s="4629"/>
      <c r="Z91" s="4630"/>
      <c r="AA91" s="4575"/>
      <c r="AB91" s="4631"/>
      <c r="AC91" s="4632"/>
      <c r="AD91" s="4632"/>
      <c r="AE91" s="4632"/>
      <c r="AF91" s="4632"/>
      <c r="AG91" s="4632"/>
      <c r="AH91" s="4633"/>
      <c r="AI91" s="4568"/>
      <c r="AJ91" s="4568"/>
      <c r="AK91" s="4634"/>
      <c r="AL91" s="4635"/>
      <c r="AM91" s="4636"/>
      <c r="AN91" s="4575"/>
      <c r="AO91" s="4637"/>
      <c r="AP91" s="4638"/>
      <c r="AQ91" s="4639"/>
      <c r="AR91" s="3435"/>
      <c r="AS91" s="4640"/>
      <c r="AT91" s="4641"/>
      <c r="AU91" s="4642"/>
      <c r="AV91" s="4575"/>
      <c r="AW91" s="4643"/>
      <c r="AX91" s="4644"/>
      <c r="AY91" s="4645"/>
      <c r="AZ91" s="4568"/>
      <c r="BA91" s="4646"/>
      <c r="BB91" s="4647"/>
      <c r="BC91" s="4648"/>
      <c r="BD91" s="4575"/>
      <c r="BE91" s="4649"/>
      <c r="BF91" s="4650"/>
      <c r="BG91" s="4651"/>
      <c r="BH91" s="4445"/>
      <c r="BI91" s="4652"/>
      <c r="BJ91" s="4653"/>
      <c r="BK91" s="4654"/>
      <c r="BL91" s="4575"/>
      <c r="BM91" s="4655"/>
      <c r="BN91" s="4656"/>
      <c r="BO91" s="4657"/>
      <c r="BP91" s="4445"/>
      <c r="BQ91" s="4658"/>
      <c r="BR91" s="4659"/>
      <c r="BS91" s="4660"/>
      <c r="BT91" s="4575"/>
      <c r="BU91" s="4661"/>
      <c r="BV91" s="4662"/>
      <c r="BW91" s="4663"/>
      <c r="BX91" s="4445"/>
      <c r="BY91" s="4664"/>
      <c r="BZ91" s="4665"/>
      <c r="CA91" s="4666"/>
      <c r="CB91" s="4575"/>
      <c r="CC91" s="4667"/>
      <c r="CD91" s="4668"/>
      <c r="CE91" s="4669"/>
      <c r="CF91" s="4445"/>
      <c r="CG91" s="4670"/>
      <c r="CH91" s="4671"/>
      <c r="CI91" s="4672"/>
      <c r="CJ91" s="4575"/>
      <c r="CK91" s="4673"/>
      <c r="CL91" s="4674"/>
      <c r="CM91" s="4675"/>
    </row>
    <row r="92" spans="1:91" s="8" customFormat="1" ht="24.95" customHeight="1" thickBot="1" x14ac:dyDescent="0.25">
      <c r="A92" s="4203"/>
      <c r="B92" s="4203"/>
      <c r="C92" s="4203"/>
      <c r="D92" s="4203"/>
      <c r="E92" s="4203"/>
      <c r="F92" s="4203" t="s">
        <v>1553</v>
      </c>
      <c r="I92" s="2793"/>
      <c r="J92" s="10"/>
      <c r="K92" s="3326"/>
      <c r="L92" s="4377" t="str">
        <f>_Calcs_Klasse!$ABU$36</f>
        <v>Minutter per salve</v>
      </c>
      <c r="M92" s="4377"/>
      <c r="N92" s="4377"/>
      <c r="O92" s="5095" t="s">
        <v>149</v>
      </c>
      <c r="P92" s="5096"/>
      <c r="Q92" s="5096" t="s">
        <v>1539</v>
      </c>
      <c r="R92" s="3627"/>
      <c r="S92" s="5185"/>
      <c r="T92" s="4373"/>
      <c r="W92" s="4676"/>
      <c r="X92" s="6808"/>
      <c r="Y92" s="6809"/>
      <c r="Z92" s="4677"/>
      <c r="AA92" s="4678"/>
      <c r="AB92" s="4679"/>
      <c r="AC92" s="6810" t="e">
        <f>_Calcs_Klasse!$ABZ$42</f>
        <v>#N/A</v>
      </c>
      <c r="AD92" s="6811"/>
      <c r="AE92" s="6811"/>
      <c r="AF92" s="6811"/>
      <c r="AG92" s="6812"/>
      <c r="AH92" s="4680"/>
      <c r="AI92" s="4681"/>
      <c r="AJ92" s="4681"/>
      <c r="AK92" s="4682"/>
      <c r="AL92" s="4683"/>
      <c r="AM92" s="4684"/>
      <c r="AN92" s="4678"/>
      <c r="AO92" s="4685"/>
      <c r="AP92" s="4686" t="e">
        <f>_Calcs_Klasse!$ABZ$43</f>
        <v>#N/A</v>
      </c>
      <c r="AQ92" s="4687"/>
      <c r="AR92" s="4688"/>
      <c r="AS92" s="4689"/>
      <c r="AT92" s="4683"/>
      <c r="AU92" s="4690"/>
      <c r="AV92" s="4678"/>
      <c r="AW92" s="4691"/>
      <c r="AX92" s="4686" t="e">
        <f>_Calcs_Klasse!$ABZ$44</f>
        <v>#N/A</v>
      </c>
      <c r="AY92" s="4692"/>
      <c r="AZ92" s="4681"/>
      <c r="BA92" s="4693"/>
      <c r="BB92" s="4683"/>
      <c r="BC92" s="4694"/>
      <c r="BD92" s="4678"/>
      <c r="BE92" s="4695"/>
      <c r="BF92" s="4686" t="e">
        <f>_Calcs_Klasse!$ABZ$45</f>
        <v>#N/A</v>
      </c>
      <c r="BG92" s="4696"/>
      <c r="BH92" s="4697"/>
      <c r="BI92" s="4698"/>
      <c r="BJ92" s="4683"/>
      <c r="BK92" s="4699"/>
      <c r="BL92" s="4678"/>
      <c r="BM92" s="4700"/>
      <c r="BN92" s="4686" t="e">
        <f>_Calcs_Klasse!$ABZ$46</f>
        <v>#N/A</v>
      </c>
      <c r="BO92" s="4701"/>
      <c r="BP92" s="4697"/>
      <c r="BQ92" s="4702"/>
      <c r="BR92" s="4683"/>
      <c r="BS92" s="4703"/>
      <c r="BT92" s="4678"/>
      <c r="BU92" s="4704"/>
      <c r="BV92" s="4686" t="e">
        <f>_Calcs_Klasse!$ABZ$47</f>
        <v>#N/A</v>
      </c>
      <c r="BW92" s="4705"/>
      <c r="BX92" s="4697"/>
      <c r="BY92" s="4706"/>
      <c r="BZ92" s="4683"/>
      <c r="CA92" s="4707"/>
      <c r="CB92" s="4678"/>
      <c r="CC92" s="4708"/>
      <c r="CD92" s="4686" t="e">
        <f>_Calcs_Klasse!$ABZ$48</f>
        <v>#N/A</v>
      </c>
      <c r="CE92" s="4709"/>
      <c r="CF92" s="4697"/>
      <c r="CG92" s="4710"/>
      <c r="CH92" s="4683"/>
      <c r="CI92" s="4711"/>
      <c r="CJ92" s="4678"/>
      <c r="CK92" s="4712"/>
      <c r="CL92" s="4686" t="e">
        <f>_Calcs_Klasse!$ABZ$49</f>
        <v>#N/A</v>
      </c>
      <c r="CM92" s="4713"/>
    </row>
    <row r="93" spans="1:91" s="8" customFormat="1" ht="15" customHeight="1" thickBot="1" x14ac:dyDescent="0.25">
      <c r="A93" s="4203"/>
      <c r="B93" s="4203"/>
      <c r="C93" s="4203"/>
      <c r="D93" s="4203"/>
      <c r="E93" s="4203"/>
      <c r="F93" s="4203"/>
      <c r="I93" s="3309"/>
      <c r="J93" s="10"/>
      <c r="K93" s="3321"/>
      <c r="L93" s="3322"/>
      <c r="M93" s="3322"/>
      <c r="N93" s="3322"/>
      <c r="O93" s="3323"/>
      <c r="P93" s="3324"/>
      <c r="Q93" s="3324"/>
      <c r="R93" s="3628"/>
      <c r="S93" s="3728"/>
      <c r="T93" s="4373"/>
      <c r="W93" s="4714"/>
      <c r="X93" s="4715"/>
      <c r="Y93" s="4715"/>
      <c r="Z93" s="4716"/>
      <c r="AA93" s="4575"/>
      <c r="AB93" s="4717"/>
      <c r="AC93" s="4718"/>
      <c r="AD93" s="4718"/>
      <c r="AE93" s="4718"/>
      <c r="AF93" s="4718"/>
      <c r="AG93" s="4718"/>
      <c r="AH93" s="4719"/>
      <c r="AI93" s="4568"/>
      <c r="AJ93" s="4568"/>
      <c r="AK93" s="4720"/>
      <c r="AL93" s="4721"/>
      <c r="AM93" s="4722"/>
      <c r="AN93" s="4575"/>
      <c r="AO93" s="4723"/>
      <c r="AP93" s="4724"/>
      <c r="AQ93" s="4725"/>
      <c r="AR93" s="3435"/>
      <c r="AS93" s="4726"/>
      <c r="AT93" s="4727"/>
      <c r="AU93" s="4728"/>
      <c r="AV93" s="4575"/>
      <c r="AW93" s="4729"/>
      <c r="AX93" s="4730"/>
      <c r="AY93" s="4731"/>
      <c r="AZ93" s="4568"/>
      <c r="BA93" s="4732"/>
      <c r="BB93" s="4733"/>
      <c r="BC93" s="4734"/>
      <c r="BD93" s="4575"/>
      <c r="BE93" s="4735"/>
      <c r="BF93" s="4736"/>
      <c r="BG93" s="4737"/>
      <c r="BH93" s="4445"/>
      <c r="BI93" s="4738"/>
      <c r="BJ93" s="4739"/>
      <c r="BK93" s="4740"/>
      <c r="BL93" s="4575"/>
      <c r="BM93" s="4741"/>
      <c r="BN93" s="4742"/>
      <c r="BO93" s="4743"/>
      <c r="BP93" s="4445"/>
      <c r="BQ93" s="4744"/>
      <c r="BR93" s="4745"/>
      <c r="BS93" s="4746"/>
      <c r="BT93" s="4575"/>
      <c r="BU93" s="4747"/>
      <c r="BV93" s="4748"/>
      <c r="BW93" s="4749"/>
      <c r="BX93" s="4445"/>
      <c r="BY93" s="4750"/>
      <c r="BZ93" s="4751"/>
      <c r="CA93" s="4752"/>
      <c r="CB93" s="4575"/>
      <c r="CC93" s="4753"/>
      <c r="CD93" s="4754"/>
      <c r="CE93" s="4755"/>
      <c r="CF93" s="4445"/>
      <c r="CG93" s="4756"/>
      <c r="CH93" s="4757"/>
      <c r="CI93" s="4758"/>
      <c r="CJ93" s="4575"/>
      <c r="CK93" s="4759"/>
      <c r="CL93" s="4760"/>
      <c r="CM93" s="4761"/>
    </row>
    <row r="94" spans="1:91" s="181" customFormat="1" ht="34.5" customHeight="1" x14ac:dyDescent="0.25">
      <c r="A94" s="4205"/>
      <c r="B94" s="4205"/>
      <c r="C94" s="4205"/>
      <c r="D94" s="4205"/>
      <c r="E94" s="4205"/>
      <c r="F94" s="4205"/>
      <c r="L94" s="2617"/>
      <c r="M94" s="2617"/>
      <c r="N94" s="2617"/>
      <c r="O94" s="3460"/>
      <c r="P94" s="2617"/>
      <c r="Q94" s="2639"/>
      <c r="S94" s="435"/>
      <c r="T94" s="4373"/>
      <c r="W94" s="3435"/>
      <c r="X94" s="3435"/>
      <c r="Y94" s="3435"/>
      <c r="Z94" s="3435"/>
      <c r="AA94" s="3435"/>
      <c r="AB94" s="3435"/>
      <c r="AC94" s="4762"/>
      <c r="AD94" s="4762"/>
      <c r="AE94" s="4762"/>
      <c r="AF94" s="4762"/>
      <c r="AG94" s="4762"/>
      <c r="AH94" s="3435"/>
      <c r="AI94" s="3435"/>
      <c r="AJ94" s="3435"/>
      <c r="AK94" s="3435"/>
      <c r="AL94" s="3435"/>
      <c r="AM94" s="3435"/>
      <c r="AN94" s="3435"/>
      <c r="AO94" s="3435"/>
      <c r="AP94" s="4762"/>
      <c r="AQ94" s="3435"/>
      <c r="AR94" s="3435"/>
      <c r="AS94" s="3435"/>
      <c r="AT94" s="3435"/>
      <c r="AU94" s="3435"/>
      <c r="AV94" s="3435"/>
      <c r="AW94" s="3435"/>
      <c r="AX94" s="4762"/>
      <c r="AY94" s="3435"/>
      <c r="AZ94" s="3435"/>
      <c r="BA94" s="3435"/>
      <c r="BB94" s="3435"/>
      <c r="BC94" s="3435"/>
      <c r="BD94" s="3435"/>
      <c r="BE94" s="3435"/>
      <c r="BF94" s="4762"/>
      <c r="BG94" s="3435"/>
      <c r="BH94" s="3435"/>
      <c r="BI94" s="3435"/>
      <c r="BJ94" s="3435"/>
      <c r="BK94" s="3435"/>
      <c r="BL94" s="3435"/>
      <c r="BM94" s="3435"/>
      <c r="BN94" s="4762"/>
      <c r="BO94" s="3435"/>
      <c r="BP94" s="3435"/>
      <c r="BQ94" s="3435"/>
      <c r="BR94" s="3435"/>
      <c r="BS94" s="3435"/>
      <c r="BT94" s="3435"/>
      <c r="BU94" s="3435"/>
      <c r="BV94" s="4762"/>
      <c r="BW94" s="3435"/>
      <c r="BX94" s="3435"/>
      <c r="BY94" s="3435"/>
      <c r="BZ94" s="3435"/>
      <c r="CA94" s="3435"/>
      <c r="CB94" s="3435"/>
      <c r="CC94" s="3435"/>
      <c r="CD94" s="4762"/>
      <c r="CE94" s="3435"/>
      <c r="CF94" s="3435"/>
      <c r="CG94" s="3435"/>
      <c r="CH94" s="3435"/>
      <c r="CI94" s="3435"/>
      <c r="CJ94" s="3435"/>
      <c r="CK94" s="3435"/>
      <c r="CL94" s="4762"/>
      <c r="CM94" s="3435"/>
    </row>
    <row r="95" spans="1:91" s="2720" customFormat="1" ht="15" customHeight="1" x14ac:dyDescent="0.25">
      <c r="A95" s="4206"/>
      <c r="B95" s="4206"/>
      <c r="C95" s="4206"/>
      <c r="D95" s="4206"/>
      <c r="E95" s="4206"/>
      <c r="F95" s="4210"/>
      <c r="I95" s="3310"/>
      <c r="J95" s="3310"/>
      <c r="K95" s="3310"/>
      <c r="L95" s="3790"/>
      <c r="M95" s="3790"/>
      <c r="N95" s="3790"/>
      <c r="O95" s="4219"/>
      <c r="P95" s="3790"/>
      <c r="Q95" s="4222"/>
      <c r="R95" s="3310"/>
      <c r="S95" s="435"/>
      <c r="T95" s="4373"/>
      <c r="W95" s="4763"/>
      <c r="X95" s="4763"/>
      <c r="Y95" s="4763"/>
      <c r="Z95" s="4763"/>
      <c r="AA95" s="4763"/>
      <c r="AB95" s="4763"/>
      <c r="AC95" s="4764"/>
      <c r="AD95" s="4764"/>
      <c r="AE95" s="4764"/>
      <c r="AF95" s="4764"/>
      <c r="AG95" s="4764"/>
      <c r="AH95" s="4763"/>
      <c r="AI95" s="4763"/>
      <c r="AJ95" s="4763"/>
      <c r="AK95" s="4763"/>
      <c r="AL95" s="4763"/>
      <c r="AM95" s="4763"/>
      <c r="AN95" s="4763"/>
      <c r="AO95" s="4763"/>
      <c r="AP95" s="4764"/>
      <c r="AQ95" s="4763"/>
      <c r="AR95" s="4763"/>
      <c r="AS95" s="4763"/>
      <c r="AT95" s="4763"/>
      <c r="AU95" s="4763"/>
      <c r="AV95" s="4763"/>
      <c r="AW95" s="4763"/>
      <c r="AX95" s="4764"/>
      <c r="AY95" s="4763"/>
      <c r="AZ95" s="4763"/>
      <c r="BA95" s="4763"/>
      <c r="BB95" s="4763"/>
      <c r="BC95" s="4763"/>
      <c r="BD95" s="4763"/>
      <c r="BE95" s="4763"/>
      <c r="BF95" s="4764"/>
      <c r="BG95" s="4763"/>
      <c r="BH95" s="4763"/>
      <c r="BI95" s="4763"/>
      <c r="BJ95" s="4763"/>
      <c r="BK95" s="4763"/>
      <c r="BL95" s="4763"/>
      <c r="BM95" s="4763"/>
      <c r="BN95" s="4764"/>
      <c r="BO95" s="4763"/>
      <c r="BP95" s="4763"/>
      <c r="BQ95" s="4763"/>
      <c r="BR95" s="4763"/>
      <c r="BS95" s="4763"/>
      <c r="BT95" s="4763"/>
      <c r="BU95" s="4763"/>
      <c r="BV95" s="4764"/>
      <c r="BW95" s="4763"/>
      <c r="BX95" s="4763"/>
      <c r="BY95" s="4763"/>
      <c r="BZ95" s="4763"/>
      <c r="CA95" s="4763"/>
      <c r="CB95" s="4763"/>
      <c r="CC95" s="4763"/>
      <c r="CD95" s="4764"/>
      <c r="CE95" s="4763"/>
      <c r="CF95" s="4763"/>
      <c r="CG95" s="4763"/>
      <c r="CH95" s="4763"/>
      <c r="CI95" s="4763"/>
      <c r="CJ95" s="4763"/>
      <c r="CK95" s="4763"/>
      <c r="CL95" s="4764"/>
      <c r="CM95" s="4763"/>
    </row>
    <row r="96" spans="1:91" s="181" customFormat="1" ht="35.1" customHeight="1" thickBot="1" x14ac:dyDescent="0.3">
      <c r="A96" s="4205"/>
      <c r="B96" s="4205"/>
      <c r="C96" s="4205"/>
      <c r="D96" s="4205"/>
      <c r="E96" s="4205"/>
      <c r="F96" s="4211"/>
      <c r="K96" s="2373"/>
      <c r="L96" s="2625"/>
      <c r="M96" s="2625"/>
      <c r="N96" s="2625"/>
      <c r="O96" s="2737"/>
      <c r="P96" s="207"/>
      <c r="Q96" s="402"/>
      <c r="R96" s="2809"/>
      <c r="S96" s="3675"/>
      <c r="T96" s="4373"/>
      <c r="W96" s="4489"/>
      <c r="X96" s="4489"/>
      <c r="Y96" s="4489"/>
      <c r="Z96" s="4489"/>
      <c r="AA96" s="4489"/>
      <c r="AB96" s="4489"/>
      <c r="AC96" s="4766"/>
      <c r="AD96" s="4766"/>
      <c r="AE96" s="4766"/>
      <c r="AF96" s="4766"/>
      <c r="AG96" s="4766"/>
      <c r="AH96" s="4489"/>
      <c r="AI96" s="4489"/>
      <c r="AJ96" s="4489"/>
      <c r="AK96" s="4489"/>
      <c r="AL96" s="4489"/>
      <c r="AM96" s="4489"/>
      <c r="AN96" s="4489"/>
      <c r="AO96" s="4489"/>
      <c r="AP96" s="4766"/>
      <c r="AQ96" s="4489"/>
      <c r="AR96" s="3435"/>
      <c r="AS96" s="4489"/>
      <c r="AT96" s="4489"/>
      <c r="AU96" s="4489"/>
      <c r="AV96" s="4489"/>
      <c r="AW96" s="4489"/>
      <c r="AX96" s="4766"/>
      <c r="AY96" s="4489"/>
      <c r="AZ96" s="4489"/>
      <c r="BA96" s="4489"/>
      <c r="BB96" s="4489"/>
      <c r="BC96" s="4489"/>
      <c r="BD96" s="4489"/>
      <c r="BE96" s="4489"/>
      <c r="BF96" s="4766"/>
      <c r="BG96" s="4489"/>
      <c r="BH96" s="3435"/>
      <c r="BI96" s="4489"/>
      <c r="BJ96" s="4489"/>
      <c r="BK96" s="4489"/>
      <c r="BL96" s="4489"/>
      <c r="BM96" s="4489"/>
      <c r="BN96" s="4766"/>
      <c r="BO96" s="4489"/>
      <c r="BP96" s="3435"/>
      <c r="BQ96" s="4489"/>
      <c r="BR96" s="4489"/>
      <c r="BS96" s="4489"/>
      <c r="BT96" s="4489"/>
      <c r="BU96" s="4489"/>
      <c r="BV96" s="4766"/>
      <c r="BW96" s="4489"/>
      <c r="BX96" s="3435"/>
      <c r="BY96" s="4489"/>
      <c r="BZ96" s="4489"/>
      <c r="CA96" s="4489"/>
      <c r="CB96" s="4489"/>
      <c r="CC96" s="4489"/>
      <c r="CD96" s="4766"/>
      <c r="CE96" s="4489"/>
      <c r="CF96" s="3435"/>
      <c r="CG96" s="4489"/>
      <c r="CH96" s="4489"/>
      <c r="CI96" s="4489"/>
      <c r="CJ96" s="4489"/>
      <c r="CK96" s="4489"/>
      <c r="CL96" s="4766"/>
      <c r="CM96" s="4489"/>
    </row>
    <row r="97" spans="1:91" s="8" customFormat="1" ht="20.100000000000001" customHeight="1" thickBot="1" x14ac:dyDescent="0.25">
      <c r="A97" s="4203"/>
      <c r="B97" s="4203"/>
      <c r="C97" s="4203"/>
      <c r="D97" s="4203"/>
      <c r="E97" s="4203"/>
      <c r="F97" s="4212"/>
      <c r="I97" s="2805"/>
      <c r="J97" s="10"/>
      <c r="K97" s="3335"/>
      <c r="L97" s="6798" t="str">
        <f>_Calcs_Klasse!$ACE$35</f>
        <v>Bolting - Heng og vederlag</v>
      </c>
      <c r="M97" s="6798"/>
      <c r="N97" s="6798"/>
      <c r="O97" s="6798"/>
      <c r="P97" s="6798"/>
      <c r="Q97" s="6798"/>
      <c r="R97" s="3653"/>
      <c r="S97" s="3660"/>
      <c r="T97" s="4373"/>
      <c r="W97" s="4574"/>
      <c r="X97" s="4574"/>
      <c r="Y97" s="4574"/>
      <c r="Z97" s="4574"/>
      <c r="AA97" s="4575"/>
      <c r="AB97" s="4574"/>
      <c r="AC97" s="4576"/>
      <c r="AD97" s="4576"/>
      <c r="AE97" s="4576"/>
      <c r="AF97" s="4576"/>
      <c r="AG97" s="4576"/>
      <c r="AH97" s="4574"/>
      <c r="AI97" s="4568"/>
      <c r="AJ97" s="4568"/>
      <c r="AK97" s="4574"/>
      <c r="AL97" s="4574"/>
      <c r="AM97" s="4574"/>
      <c r="AN97" s="4575"/>
      <c r="AO97" s="4574"/>
      <c r="AP97" s="4576"/>
      <c r="AQ97" s="4574"/>
      <c r="AR97" s="3435"/>
      <c r="AS97" s="4574"/>
      <c r="AT97" s="4574"/>
      <c r="AU97" s="4574"/>
      <c r="AV97" s="4575"/>
      <c r="AW97" s="4574"/>
      <c r="AX97" s="4576"/>
      <c r="AY97" s="4574"/>
      <c r="AZ97" s="4568"/>
      <c r="BA97" s="4574"/>
      <c r="BB97" s="4574"/>
      <c r="BC97" s="4574"/>
      <c r="BD97" s="4575"/>
      <c r="BE97" s="4574"/>
      <c r="BF97" s="4576"/>
      <c r="BG97" s="4574"/>
      <c r="BH97" s="4445"/>
      <c r="BI97" s="4574"/>
      <c r="BJ97" s="4574"/>
      <c r="BK97" s="4574"/>
      <c r="BL97" s="4575"/>
      <c r="BM97" s="4574"/>
      <c r="BN97" s="4576"/>
      <c r="BO97" s="4574"/>
      <c r="BP97" s="4445"/>
      <c r="BQ97" s="4574"/>
      <c r="BR97" s="4574"/>
      <c r="BS97" s="4574"/>
      <c r="BT97" s="4575"/>
      <c r="BU97" s="4574"/>
      <c r="BV97" s="4576"/>
      <c r="BW97" s="4574"/>
      <c r="BX97" s="4445"/>
      <c r="BY97" s="4574"/>
      <c r="BZ97" s="4574"/>
      <c r="CA97" s="4574"/>
      <c r="CB97" s="4575"/>
      <c r="CC97" s="4574"/>
      <c r="CD97" s="4576"/>
      <c r="CE97" s="4574"/>
      <c r="CF97" s="4445"/>
      <c r="CG97" s="4574"/>
      <c r="CH97" s="4574"/>
      <c r="CI97" s="4574"/>
      <c r="CJ97" s="4575"/>
      <c r="CK97" s="4574"/>
      <c r="CL97" s="4576"/>
      <c r="CM97" s="4574"/>
    </row>
    <row r="98" spans="1:91" s="8" customFormat="1" ht="15" customHeight="1" thickBot="1" x14ac:dyDescent="0.25">
      <c r="A98" s="4203"/>
      <c r="B98" s="4203"/>
      <c r="C98" s="4203"/>
      <c r="D98" s="4203"/>
      <c r="E98" s="4203"/>
      <c r="F98" s="4212"/>
      <c r="I98" s="6795" t="s">
        <v>1993</v>
      </c>
      <c r="J98" s="10"/>
      <c r="K98" s="3336"/>
      <c r="L98" s="6799"/>
      <c r="M98" s="6799"/>
      <c r="N98" s="6799"/>
      <c r="O98" s="6799"/>
      <c r="P98" s="6799"/>
      <c r="Q98" s="6799"/>
      <c r="R98" s="3654"/>
      <c r="S98" s="3660"/>
      <c r="T98" s="4373"/>
      <c r="W98" s="4577"/>
      <c r="X98" s="4578"/>
      <c r="Y98" s="4578"/>
      <c r="Z98" s="4579"/>
      <c r="AA98" s="4489"/>
      <c r="AB98" s="4580"/>
      <c r="AC98" s="4581"/>
      <c r="AD98" s="4581"/>
      <c r="AE98" s="4581"/>
      <c r="AF98" s="4581"/>
      <c r="AG98" s="4581"/>
      <c r="AH98" s="4582"/>
      <c r="AI98" s="4568"/>
      <c r="AJ98" s="4568"/>
      <c r="AK98" s="4583"/>
      <c r="AL98" s="4584"/>
      <c r="AM98" s="4585"/>
      <c r="AN98" s="4489"/>
      <c r="AO98" s="4586"/>
      <c r="AP98" s="4587"/>
      <c r="AQ98" s="4588"/>
      <c r="AR98" s="3435"/>
      <c r="AS98" s="4589"/>
      <c r="AT98" s="4590"/>
      <c r="AU98" s="4591"/>
      <c r="AV98" s="4489"/>
      <c r="AW98" s="4592"/>
      <c r="AX98" s="4593"/>
      <c r="AY98" s="4594"/>
      <c r="AZ98" s="4568"/>
      <c r="BA98" s="4595"/>
      <c r="BB98" s="4596"/>
      <c r="BC98" s="4597"/>
      <c r="BD98" s="4489"/>
      <c r="BE98" s="4598"/>
      <c r="BF98" s="4599"/>
      <c r="BG98" s="4600"/>
      <c r="BH98" s="4445"/>
      <c r="BI98" s="4601"/>
      <c r="BJ98" s="4602"/>
      <c r="BK98" s="4603"/>
      <c r="BL98" s="4489"/>
      <c r="BM98" s="4604"/>
      <c r="BN98" s="4605"/>
      <c r="BO98" s="4606"/>
      <c r="BP98" s="4445"/>
      <c r="BQ98" s="4607"/>
      <c r="BR98" s="4608"/>
      <c r="BS98" s="4609"/>
      <c r="BT98" s="4489"/>
      <c r="BU98" s="4610"/>
      <c r="BV98" s="4611"/>
      <c r="BW98" s="4612"/>
      <c r="BX98" s="4445"/>
      <c r="BY98" s="4613"/>
      <c r="BZ98" s="4614"/>
      <c r="CA98" s="4615"/>
      <c r="CB98" s="4489"/>
      <c r="CC98" s="4616"/>
      <c r="CD98" s="4617"/>
      <c r="CE98" s="4618"/>
      <c r="CF98" s="4445"/>
      <c r="CG98" s="4619"/>
      <c r="CH98" s="4620"/>
      <c r="CI98" s="4621"/>
      <c r="CJ98" s="4489"/>
      <c r="CK98" s="4622"/>
      <c r="CL98" s="4623"/>
      <c r="CM98" s="4624"/>
    </row>
    <row r="99" spans="1:91" s="8" customFormat="1" ht="8.1" customHeight="1" thickBot="1" x14ac:dyDescent="0.25">
      <c r="A99" s="4203"/>
      <c r="B99" s="4203"/>
      <c r="C99" s="4203"/>
      <c r="D99" s="4203"/>
      <c r="E99" s="4203"/>
      <c r="F99" s="4212"/>
      <c r="I99" s="6795"/>
      <c r="J99" s="10"/>
      <c r="K99" s="14"/>
      <c r="L99" s="129"/>
      <c r="M99" s="129"/>
      <c r="N99" s="129"/>
      <c r="O99" s="16"/>
      <c r="P99" s="17"/>
      <c r="Q99" s="17"/>
      <c r="R99" s="17"/>
      <c r="S99" s="16"/>
      <c r="T99" s="4373"/>
      <c r="W99" s="4574"/>
      <c r="X99" s="4625"/>
      <c r="Y99" s="4625"/>
      <c r="Z99" s="4626"/>
      <c r="AA99" s="4575"/>
      <c r="AB99" s="4574"/>
      <c r="AC99" s="4627"/>
      <c r="AD99" s="4627"/>
      <c r="AE99" s="4627"/>
      <c r="AF99" s="4627"/>
      <c r="AG99" s="4627"/>
      <c r="AH99" s="4626"/>
      <c r="AI99" s="4568"/>
      <c r="AJ99" s="4568"/>
      <c r="AK99" s="4574"/>
      <c r="AL99" s="4625"/>
      <c r="AM99" s="4626"/>
      <c r="AN99" s="4575"/>
      <c r="AO99" s="4574"/>
      <c r="AP99" s="4627"/>
      <c r="AQ99" s="4626"/>
      <c r="AR99" s="3435"/>
      <c r="AS99" s="4574"/>
      <c r="AT99" s="4625"/>
      <c r="AU99" s="4626"/>
      <c r="AV99" s="4575"/>
      <c r="AW99" s="4574"/>
      <c r="AX99" s="4627"/>
      <c r="AY99" s="4626"/>
      <c r="AZ99" s="4568"/>
      <c r="BA99" s="4574"/>
      <c r="BB99" s="4625"/>
      <c r="BC99" s="4626"/>
      <c r="BD99" s="4575"/>
      <c r="BE99" s="4574"/>
      <c r="BF99" s="4627"/>
      <c r="BG99" s="4626"/>
      <c r="BH99" s="4445"/>
      <c r="BI99" s="4574"/>
      <c r="BJ99" s="4625"/>
      <c r="BK99" s="4626"/>
      <c r="BL99" s="4575"/>
      <c r="BM99" s="4574"/>
      <c r="BN99" s="4627"/>
      <c r="BO99" s="4626"/>
      <c r="BP99" s="4445"/>
      <c r="BQ99" s="4574"/>
      <c r="BR99" s="4625"/>
      <c r="BS99" s="4626"/>
      <c r="BT99" s="4575"/>
      <c r="BU99" s="4574"/>
      <c r="BV99" s="4627"/>
      <c r="BW99" s="4626"/>
      <c r="BX99" s="4445"/>
      <c r="BY99" s="4574"/>
      <c r="BZ99" s="4625"/>
      <c r="CA99" s="4626"/>
      <c r="CB99" s="4575"/>
      <c r="CC99" s="4574"/>
      <c r="CD99" s="4627"/>
      <c r="CE99" s="4626"/>
      <c r="CF99" s="4445"/>
      <c r="CG99" s="4574"/>
      <c r="CH99" s="4625"/>
      <c r="CI99" s="4626"/>
      <c r="CJ99" s="4575"/>
      <c r="CK99" s="4574"/>
      <c r="CL99" s="4627"/>
      <c r="CM99" s="4626"/>
    </row>
    <row r="100" spans="1:91" s="8" customFormat="1" ht="15" customHeight="1" thickBot="1" x14ac:dyDescent="0.25">
      <c r="A100" s="4203"/>
      <c r="B100" s="4203"/>
      <c r="C100" s="4203"/>
      <c r="D100" s="4203"/>
      <c r="E100" s="4203"/>
      <c r="F100" s="4212"/>
      <c r="I100" s="6795"/>
      <c r="J100" s="10"/>
      <c r="K100" s="3329"/>
      <c r="L100" s="3330"/>
      <c r="M100" s="3330"/>
      <c r="N100" s="3330"/>
      <c r="O100" s="3331"/>
      <c r="P100" s="3332"/>
      <c r="Q100" s="3332"/>
      <c r="R100" s="3626"/>
      <c r="S100" s="2798"/>
      <c r="T100" s="4373"/>
      <c r="W100" s="4628"/>
      <c r="X100" s="4629"/>
      <c r="Y100" s="4629"/>
      <c r="Z100" s="4630"/>
      <c r="AA100" s="4767"/>
      <c r="AB100" s="4631"/>
      <c r="AC100" s="4632"/>
      <c r="AD100" s="4632"/>
      <c r="AE100" s="4632"/>
      <c r="AF100" s="4632"/>
      <c r="AG100" s="4632"/>
      <c r="AH100" s="4633"/>
      <c r="AI100" s="4568"/>
      <c r="AJ100" s="4568"/>
      <c r="AK100" s="4634"/>
      <c r="AL100" s="4635"/>
      <c r="AM100" s="4636"/>
      <c r="AN100" s="4767"/>
      <c r="AO100" s="4637"/>
      <c r="AP100" s="4638"/>
      <c r="AQ100" s="4639"/>
      <c r="AR100" s="3435"/>
      <c r="AS100" s="4640"/>
      <c r="AT100" s="4641"/>
      <c r="AU100" s="4642"/>
      <c r="AV100" s="4767"/>
      <c r="AW100" s="4643"/>
      <c r="AX100" s="4644"/>
      <c r="AY100" s="4645"/>
      <c r="AZ100" s="4568"/>
      <c r="BA100" s="4646"/>
      <c r="BB100" s="4647"/>
      <c r="BC100" s="4648"/>
      <c r="BD100" s="4767"/>
      <c r="BE100" s="4649"/>
      <c r="BF100" s="4650"/>
      <c r="BG100" s="4651"/>
      <c r="BH100" s="4445"/>
      <c r="BI100" s="4652"/>
      <c r="BJ100" s="4653"/>
      <c r="BK100" s="4654"/>
      <c r="BL100" s="4767"/>
      <c r="BM100" s="4655"/>
      <c r="BN100" s="4656"/>
      <c r="BO100" s="4657"/>
      <c r="BP100" s="4445"/>
      <c r="BQ100" s="4658"/>
      <c r="BR100" s="4659"/>
      <c r="BS100" s="4660"/>
      <c r="BT100" s="4767"/>
      <c r="BU100" s="4661"/>
      <c r="BV100" s="4662"/>
      <c r="BW100" s="4663"/>
      <c r="BX100" s="4445"/>
      <c r="BY100" s="4664"/>
      <c r="BZ100" s="4665"/>
      <c r="CA100" s="4666"/>
      <c r="CB100" s="4767"/>
      <c r="CC100" s="4667"/>
      <c r="CD100" s="4668"/>
      <c r="CE100" s="4669"/>
      <c r="CF100" s="4445"/>
      <c r="CG100" s="4670"/>
      <c r="CH100" s="4671"/>
      <c r="CI100" s="4672"/>
      <c r="CJ100" s="4767"/>
      <c r="CK100" s="4673"/>
      <c r="CL100" s="4674"/>
      <c r="CM100" s="4675"/>
    </row>
    <row r="101" spans="1:91" s="34" customFormat="1" ht="24.95" customHeight="1" thickBot="1" x14ac:dyDescent="0.25">
      <c r="A101" s="4207"/>
      <c r="B101" s="4207"/>
      <c r="C101" s="4207"/>
      <c r="D101" s="4207"/>
      <c r="E101" s="4207"/>
      <c r="F101" s="4212" t="s">
        <v>1553</v>
      </c>
      <c r="I101" s="6795"/>
      <c r="J101" s="2291"/>
      <c r="K101" s="3708"/>
      <c r="L101" s="4377" t="str">
        <f>_Calcs_Klasse!$ACF$39</f>
        <v>Bolting senteravstand</v>
      </c>
      <c r="M101" s="4377"/>
      <c r="N101" s="5098"/>
      <c r="O101" s="5095" t="s">
        <v>149</v>
      </c>
      <c r="P101" s="5098"/>
      <c r="Q101" s="5096" t="s">
        <v>78</v>
      </c>
      <c r="R101" s="3706"/>
      <c r="S101" s="2798"/>
      <c r="T101" s="4375"/>
      <c r="W101" s="4768"/>
      <c r="X101" s="6808"/>
      <c r="Y101" s="6809"/>
      <c r="Z101" s="4677"/>
      <c r="AA101" s="4678"/>
      <c r="AB101" s="4679"/>
      <c r="AC101" s="6810" t="e">
        <f>_Calcs_Klasse!$ACJ$42</f>
        <v>#N/A</v>
      </c>
      <c r="AD101" s="6811"/>
      <c r="AE101" s="6811"/>
      <c r="AF101" s="6811"/>
      <c r="AG101" s="6812"/>
      <c r="AH101" s="4680"/>
      <c r="AI101" s="4681"/>
      <c r="AJ101" s="4681"/>
      <c r="AK101" s="4682"/>
      <c r="AL101" s="4683"/>
      <c r="AM101" s="4684"/>
      <c r="AN101" s="4678"/>
      <c r="AO101" s="4685"/>
      <c r="AP101" s="4686" t="e">
        <f>_Calcs_Klasse!$ACJ$43</f>
        <v>#N/A</v>
      </c>
      <c r="AQ101" s="4687"/>
      <c r="AR101" s="4688"/>
      <c r="AS101" s="4689"/>
      <c r="AT101" s="4683"/>
      <c r="AU101" s="4690"/>
      <c r="AV101" s="4678"/>
      <c r="AW101" s="4691"/>
      <c r="AX101" s="4686" t="e">
        <f>_Calcs_Klasse!$ACJ$44</f>
        <v>#N/A</v>
      </c>
      <c r="AY101" s="4692"/>
      <c r="AZ101" s="4681"/>
      <c r="BA101" s="4693"/>
      <c r="BB101" s="4683"/>
      <c r="BC101" s="4694"/>
      <c r="BD101" s="4678"/>
      <c r="BE101" s="4695"/>
      <c r="BF101" s="4686" t="e">
        <f>_Calcs_Klasse!$ACJ$45</f>
        <v>#N/A</v>
      </c>
      <c r="BG101" s="4696"/>
      <c r="BH101" s="4697"/>
      <c r="BI101" s="4698"/>
      <c r="BJ101" s="4683"/>
      <c r="BK101" s="4699"/>
      <c r="BL101" s="4678"/>
      <c r="BM101" s="4700"/>
      <c r="BN101" s="4686" t="e">
        <f>_Calcs_Klasse!$ACJ$46</f>
        <v>#N/A</v>
      </c>
      <c r="BO101" s="4701"/>
      <c r="BP101" s="4697"/>
      <c r="BQ101" s="4702"/>
      <c r="BR101" s="4683"/>
      <c r="BS101" s="4703"/>
      <c r="BT101" s="4678"/>
      <c r="BU101" s="4704"/>
      <c r="BV101" s="4686" t="e">
        <f>_Calcs_Klasse!$ACJ$47</f>
        <v>#N/A</v>
      </c>
      <c r="BW101" s="4705"/>
      <c r="BX101" s="4697"/>
      <c r="BY101" s="4706"/>
      <c r="BZ101" s="4683"/>
      <c r="CA101" s="4707"/>
      <c r="CB101" s="4678"/>
      <c r="CC101" s="4708"/>
      <c r="CD101" s="4686" t="e">
        <f>_Calcs_Klasse!$ACJ$48</f>
        <v>#N/A</v>
      </c>
      <c r="CE101" s="4709"/>
      <c r="CF101" s="4697"/>
      <c r="CG101" s="4710"/>
      <c r="CH101" s="4683"/>
      <c r="CI101" s="4711"/>
      <c r="CJ101" s="4678"/>
      <c r="CK101" s="4712"/>
      <c r="CL101" s="4686" t="e">
        <f>_Calcs_Klasse!$ACJ$49</f>
        <v>#N/A</v>
      </c>
      <c r="CM101" s="4713"/>
    </row>
    <row r="102" spans="1:91" s="8" customFormat="1" ht="15" customHeight="1" thickBot="1" x14ac:dyDescent="0.25">
      <c r="A102" s="4203"/>
      <c r="B102" s="4203"/>
      <c r="C102" s="4203"/>
      <c r="D102" s="4203"/>
      <c r="E102" s="4203"/>
      <c r="F102" s="4212"/>
      <c r="I102" s="2725"/>
      <c r="J102" s="10"/>
      <c r="K102" s="3321"/>
      <c r="L102" s="4378"/>
      <c r="M102" s="4378"/>
      <c r="N102" s="4378"/>
      <c r="O102" s="5099"/>
      <c r="P102" s="5100"/>
      <c r="Q102" s="5100"/>
      <c r="R102" s="3628"/>
      <c r="S102" s="3728"/>
      <c r="T102" s="4373"/>
      <c r="W102" s="4714"/>
      <c r="X102" s="4715"/>
      <c r="Y102" s="4715"/>
      <c r="Z102" s="4716"/>
      <c r="AA102" s="4575"/>
      <c r="AB102" s="4769"/>
      <c r="AC102" s="4770"/>
      <c r="AD102" s="4770"/>
      <c r="AE102" s="4770"/>
      <c r="AF102" s="4770"/>
      <c r="AG102" s="4770"/>
      <c r="AH102" s="4771"/>
      <c r="AI102" s="4568"/>
      <c r="AJ102" s="4568"/>
      <c r="AK102" s="4720"/>
      <c r="AL102" s="4721"/>
      <c r="AM102" s="4722"/>
      <c r="AN102" s="4575"/>
      <c r="AO102" s="4772"/>
      <c r="AP102" s="4773"/>
      <c r="AQ102" s="4774"/>
      <c r="AR102" s="3435"/>
      <c r="AS102" s="4726"/>
      <c r="AT102" s="4727"/>
      <c r="AU102" s="4728"/>
      <c r="AV102" s="4575"/>
      <c r="AW102" s="4775"/>
      <c r="AX102" s="4776"/>
      <c r="AY102" s="4777"/>
      <c r="AZ102" s="4568"/>
      <c r="BA102" s="4732"/>
      <c r="BB102" s="4733"/>
      <c r="BC102" s="4734"/>
      <c r="BD102" s="4575"/>
      <c r="BE102" s="4778"/>
      <c r="BF102" s="4779"/>
      <c r="BG102" s="4780"/>
      <c r="BH102" s="4445"/>
      <c r="BI102" s="4738"/>
      <c r="BJ102" s="4739"/>
      <c r="BK102" s="4740"/>
      <c r="BL102" s="4575"/>
      <c r="BM102" s="4781"/>
      <c r="BN102" s="4782"/>
      <c r="BO102" s="4783"/>
      <c r="BP102" s="4445"/>
      <c r="BQ102" s="4744"/>
      <c r="BR102" s="4745"/>
      <c r="BS102" s="4746"/>
      <c r="BT102" s="4575"/>
      <c r="BU102" s="4784"/>
      <c r="BV102" s="4785"/>
      <c r="BW102" s="4786"/>
      <c r="BX102" s="4445"/>
      <c r="BY102" s="4750"/>
      <c r="BZ102" s="4751"/>
      <c r="CA102" s="4752"/>
      <c r="CB102" s="4575"/>
      <c r="CC102" s="4787"/>
      <c r="CD102" s="4788"/>
      <c r="CE102" s="4789"/>
      <c r="CF102" s="4445"/>
      <c r="CG102" s="4756"/>
      <c r="CH102" s="4757"/>
      <c r="CI102" s="4758"/>
      <c r="CJ102" s="4575"/>
      <c r="CK102" s="4790"/>
      <c r="CL102" s="4791"/>
      <c r="CM102" s="4792"/>
    </row>
    <row r="103" spans="1:91" s="8" customFormat="1" ht="8.1" customHeight="1" thickBot="1" x14ac:dyDescent="0.25">
      <c r="A103" s="4203"/>
      <c r="B103" s="4203"/>
      <c r="C103" s="4203"/>
      <c r="D103" s="4203"/>
      <c r="E103" s="4203"/>
      <c r="F103" s="4212"/>
      <c r="I103" s="2725"/>
      <c r="J103" s="10"/>
      <c r="K103" s="14"/>
      <c r="L103" s="5101"/>
      <c r="M103" s="5101"/>
      <c r="N103" s="5101"/>
      <c r="O103" s="1004"/>
      <c r="P103" s="952"/>
      <c r="Q103" s="952"/>
      <c r="R103" s="17"/>
      <c r="S103" s="16"/>
      <c r="T103" s="4373"/>
      <c r="W103" s="4574"/>
      <c r="X103" s="4793"/>
      <c r="Y103" s="4793"/>
      <c r="Z103" s="4793"/>
      <c r="AA103" s="4575"/>
      <c r="AB103" s="4574"/>
      <c r="AC103" s="4794"/>
      <c r="AD103" s="4794"/>
      <c r="AE103" s="4794"/>
      <c r="AF103" s="4794"/>
      <c r="AG103" s="4794"/>
      <c r="AH103" s="4793"/>
      <c r="AI103" s="4568"/>
      <c r="AJ103" s="4568"/>
      <c r="AK103" s="4574"/>
      <c r="AL103" s="4793"/>
      <c r="AM103" s="4793"/>
      <c r="AN103" s="4575"/>
      <c r="AO103" s="4574"/>
      <c r="AP103" s="4794"/>
      <c r="AQ103" s="4793"/>
      <c r="AR103" s="3435"/>
      <c r="AS103" s="4574"/>
      <c r="AT103" s="4793"/>
      <c r="AU103" s="4793"/>
      <c r="AV103" s="4575"/>
      <c r="AW103" s="4574"/>
      <c r="AX103" s="4794"/>
      <c r="AY103" s="4793"/>
      <c r="AZ103" s="4568"/>
      <c r="BA103" s="4574"/>
      <c r="BB103" s="4793"/>
      <c r="BC103" s="4793"/>
      <c r="BD103" s="4575"/>
      <c r="BE103" s="4574"/>
      <c r="BF103" s="4794"/>
      <c r="BG103" s="4793"/>
      <c r="BH103" s="4445"/>
      <c r="BI103" s="4574"/>
      <c r="BJ103" s="4793"/>
      <c r="BK103" s="4793"/>
      <c r="BL103" s="4575"/>
      <c r="BM103" s="4574"/>
      <c r="BN103" s="4794"/>
      <c r="BO103" s="4793"/>
      <c r="BP103" s="4445"/>
      <c r="BQ103" s="4574"/>
      <c r="BR103" s="4793"/>
      <c r="BS103" s="4793"/>
      <c r="BT103" s="4575"/>
      <c r="BU103" s="4574"/>
      <c r="BV103" s="4794"/>
      <c r="BW103" s="4793"/>
      <c r="BX103" s="4445"/>
      <c r="BY103" s="4574"/>
      <c r="BZ103" s="4793"/>
      <c r="CA103" s="4793"/>
      <c r="CB103" s="4575"/>
      <c r="CC103" s="4574"/>
      <c r="CD103" s="4794"/>
      <c r="CE103" s="4793"/>
      <c r="CF103" s="4445" t="s">
        <v>831</v>
      </c>
      <c r="CG103" s="4574"/>
      <c r="CH103" s="4793"/>
      <c r="CI103" s="4793"/>
      <c r="CJ103" s="4575"/>
      <c r="CK103" s="4574"/>
      <c r="CL103" s="4794"/>
      <c r="CM103" s="4793"/>
    </row>
    <row r="104" spans="1:91" s="8" customFormat="1" ht="15" customHeight="1" thickBot="1" x14ac:dyDescent="0.25">
      <c r="A104" s="4203"/>
      <c r="B104" s="4203"/>
      <c r="C104" s="4203"/>
      <c r="D104" s="4203"/>
      <c r="E104" s="4203"/>
      <c r="F104" s="4212"/>
      <c r="I104" s="2725"/>
      <c r="J104" s="10"/>
      <c r="K104" s="3329"/>
      <c r="L104" s="4379"/>
      <c r="M104" s="4379"/>
      <c r="N104" s="4379"/>
      <c r="O104" s="5102"/>
      <c r="P104" s="5103"/>
      <c r="Q104" s="5103"/>
      <c r="R104" s="3626"/>
      <c r="S104" s="2798"/>
      <c r="T104" s="4373"/>
      <c r="W104" s="4628"/>
      <c r="X104" s="4629"/>
      <c r="Y104" s="4629"/>
      <c r="Z104" s="4630"/>
      <c r="AA104" s="4575"/>
      <c r="AB104" s="4631"/>
      <c r="AC104" s="4632"/>
      <c r="AD104" s="4632"/>
      <c r="AE104" s="4632"/>
      <c r="AF104" s="4632"/>
      <c r="AG104" s="4632"/>
      <c r="AH104" s="4633"/>
      <c r="AI104" s="4568"/>
      <c r="AJ104" s="4568"/>
      <c r="AK104" s="4634"/>
      <c r="AL104" s="4635"/>
      <c r="AM104" s="4636"/>
      <c r="AN104" s="4575"/>
      <c r="AO104" s="4637"/>
      <c r="AP104" s="4638"/>
      <c r="AQ104" s="4639"/>
      <c r="AR104" s="3435"/>
      <c r="AS104" s="4640"/>
      <c r="AT104" s="4641"/>
      <c r="AU104" s="4642"/>
      <c r="AV104" s="4575"/>
      <c r="AW104" s="4643"/>
      <c r="AX104" s="4644"/>
      <c r="AY104" s="4645"/>
      <c r="AZ104" s="4568"/>
      <c r="BA104" s="4646"/>
      <c r="BB104" s="4647"/>
      <c r="BC104" s="4648"/>
      <c r="BD104" s="4575"/>
      <c r="BE104" s="4649"/>
      <c r="BF104" s="4650"/>
      <c r="BG104" s="4651"/>
      <c r="BH104" s="4445"/>
      <c r="BI104" s="4652"/>
      <c r="BJ104" s="4653"/>
      <c r="BK104" s="4654"/>
      <c r="BL104" s="4575"/>
      <c r="BM104" s="4655"/>
      <c r="BN104" s="4656"/>
      <c r="BO104" s="4657"/>
      <c r="BP104" s="4445"/>
      <c r="BQ104" s="4658"/>
      <c r="BR104" s="4659"/>
      <c r="BS104" s="4660"/>
      <c r="BT104" s="4575"/>
      <c r="BU104" s="4661"/>
      <c r="BV104" s="4662"/>
      <c r="BW104" s="4663"/>
      <c r="BX104" s="4445"/>
      <c r="BY104" s="4664"/>
      <c r="BZ104" s="4665"/>
      <c r="CA104" s="4666"/>
      <c r="CB104" s="4575"/>
      <c r="CC104" s="4667"/>
      <c r="CD104" s="4668"/>
      <c r="CE104" s="4669"/>
      <c r="CF104" s="4445"/>
      <c r="CG104" s="4670"/>
      <c r="CH104" s="4671"/>
      <c r="CI104" s="4672"/>
      <c r="CJ104" s="4575"/>
      <c r="CK104" s="4673"/>
      <c r="CL104" s="4674"/>
      <c r="CM104" s="4675"/>
    </row>
    <row r="105" spans="1:91" s="8" customFormat="1" ht="24.95" customHeight="1" thickBot="1" x14ac:dyDescent="0.25">
      <c r="A105" s="4203"/>
      <c r="B105" s="4203"/>
      <c r="C105" s="4203"/>
      <c r="D105" s="4203"/>
      <c r="E105" s="4203"/>
      <c r="F105" s="4212" t="s">
        <v>1553</v>
      </c>
      <c r="I105" s="2725"/>
      <c r="J105" s="10"/>
      <c r="K105" s="3326"/>
      <c r="L105" s="4377" t="str">
        <f>_Calcs_Klasse!$ACO$36</f>
        <v>Boltelengde fordeling (≤ 4 m)</v>
      </c>
      <c r="M105" s="4377"/>
      <c r="N105" s="4377"/>
      <c r="O105" s="5095" t="s">
        <v>149</v>
      </c>
      <c r="P105" s="5096"/>
      <c r="Q105" s="5096" t="s">
        <v>954</v>
      </c>
      <c r="R105" s="3627"/>
      <c r="S105" s="2798"/>
      <c r="T105" s="4373"/>
      <c r="W105" s="4676"/>
      <c r="X105" s="6803"/>
      <c r="Y105" s="6804"/>
      <c r="Z105" s="4795"/>
      <c r="AA105" s="4796"/>
      <c r="AB105" s="4797"/>
      <c r="AC105" s="6805" t="e">
        <f>_Calcs_Klasse!$ACS$42</f>
        <v>#N/A</v>
      </c>
      <c r="AD105" s="6806"/>
      <c r="AE105" s="6806"/>
      <c r="AF105" s="6806"/>
      <c r="AG105" s="6807"/>
      <c r="AH105" s="4798"/>
      <c r="AI105" s="4799"/>
      <c r="AJ105" s="4799"/>
      <c r="AK105" s="4800"/>
      <c r="AL105" s="4801"/>
      <c r="AM105" s="4802"/>
      <c r="AN105" s="4796"/>
      <c r="AO105" s="4803"/>
      <c r="AP105" s="4804" t="e">
        <f>_Calcs_Klasse!$ACS$43</f>
        <v>#N/A</v>
      </c>
      <c r="AQ105" s="4805"/>
      <c r="AR105" s="4806"/>
      <c r="AS105" s="4807"/>
      <c r="AT105" s="4801"/>
      <c r="AU105" s="4808"/>
      <c r="AV105" s="4796"/>
      <c r="AW105" s="4809"/>
      <c r="AX105" s="4804" t="e">
        <f>_Calcs_Klasse!$ACS$44</f>
        <v>#N/A</v>
      </c>
      <c r="AY105" s="4810"/>
      <c r="AZ105" s="4799"/>
      <c r="BA105" s="4811"/>
      <c r="BB105" s="4801"/>
      <c r="BC105" s="4812"/>
      <c r="BD105" s="4796"/>
      <c r="BE105" s="4813"/>
      <c r="BF105" s="4804" t="e">
        <f>_Calcs_Klasse!$ACS$45</f>
        <v>#N/A</v>
      </c>
      <c r="BG105" s="4814"/>
      <c r="BH105" s="4815"/>
      <c r="BI105" s="4816"/>
      <c r="BJ105" s="4801"/>
      <c r="BK105" s="4817"/>
      <c r="BL105" s="4796"/>
      <c r="BM105" s="4818"/>
      <c r="BN105" s="4804" t="e">
        <f>_Calcs_Klasse!$ACS$46</f>
        <v>#N/A</v>
      </c>
      <c r="BO105" s="4819"/>
      <c r="BP105" s="4815"/>
      <c r="BQ105" s="4820"/>
      <c r="BR105" s="4801"/>
      <c r="BS105" s="4821"/>
      <c r="BT105" s="4796"/>
      <c r="BU105" s="4822"/>
      <c r="BV105" s="4804" t="e">
        <f>_Calcs_Klasse!$ACS$47</f>
        <v>#N/A</v>
      </c>
      <c r="BW105" s="4823"/>
      <c r="BX105" s="4815"/>
      <c r="BY105" s="4824"/>
      <c r="BZ105" s="4801"/>
      <c r="CA105" s="4825"/>
      <c r="CB105" s="4796"/>
      <c r="CC105" s="4826"/>
      <c r="CD105" s="4804" t="e">
        <f>_Calcs_Klasse!$ACS$48</f>
        <v>#N/A</v>
      </c>
      <c r="CE105" s="4827"/>
      <c r="CF105" s="4815"/>
      <c r="CG105" s="4828"/>
      <c r="CH105" s="4801"/>
      <c r="CI105" s="4829"/>
      <c r="CJ105" s="4796"/>
      <c r="CK105" s="4830"/>
      <c r="CL105" s="4804" t="e">
        <f>_Calcs_Klasse!$ACS$49</f>
        <v>#N/A</v>
      </c>
      <c r="CM105" s="4713"/>
    </row>
    <row r="106" spans="1:91" s="8" customFormat="1" ht="15" customHeight="1" thickBot="1" x14ac:dyDescent="0.25">
      <c r="A106" s="4203"/>
      <c r="B106" s="4203"/>
      <c r="C106" s="4203"/>
      <c r="D106" s="4203"/>
      <c r="E106" s="4203"/>
      <c r="F106" s="4212"/>
      <c r="I106" s="2725"/>
      <c r="J106" s="10"/>
      <c r="K106" s="3655"/>
      <c r="L106" s="5104"/>
      <c r="M106" s="5104"/>
      <c r="N106" s="5104"/>
      <c r="O106" s="5105"/>
      <c r="P106" s="5104"/>
      <c r="Q106" s="5096"/>
      <c r="R106" s="3656"/>
      <c r="S106" s="16"/>
      <c r="T106" s="4373"/>
      <c r="W106" s="4676"/>
      <c r="X106" s="4831"/>
      <c r="Y106" s="4831"/>
      <c r="Z106" s="4832"/>
      <c r="AA106" s="4575"/>
      <c r="AB106" s="4833"/>
      <c r="AC106" s="4834"/>
      <c r="AD106" s="4834"/>
      <c r="AE106" s="4834"/>
      <c r="AF106" s="4834"/>
      <c r="AG106" s="4834"/>
      <c r="AH106" s="4835"/>
      <c r="AI106" s="4568"/>
      <c r="AJ106" s="4568"/>
      <c r="AK106" s="4836"/>
      <c r="AL106" s="4635"/>
      <c r="AM106" s="4837"/>
      <c r="AN106" s="4575"/>
      <c r="AO106" s="4838"/>
      <c r="AP106" s="4839"/>
      <c r="AQ106" s="4840"/>
      <c r="AR106" s="3435"/>
      <c r="AS106" s="4841"/>
      <c r="AT106" s="4641"/>
      <c r="AU106" s="4842"/>
      <c r="AV106" s="4575"/>
      <c r="AW106" s="4843"/>
      <c r="AX106" s="4844"/>
      <c r="AY106" s="4845"/>
      <c r="AZ106" s="4568"/>
      <c r="BA106" s="4846"/>
      <c r="BB106" s="4647"/>
      <c r="BC106" s="4847"/>
      <c r="BD106" s="4575"/>
      <c r="BE106" s="4848"/>
      <c r="BF106" s="4849"/>
      <c r="BG106" s="4850"/>
      <c r="BH106" s="4445"/>
      <c r="BI106" s="4851"/>
      <c r="BJ106" s="4653"/>
      <c r="BK106" s="4852"/>
      <c r="BL106" s="4575"/>
      <c r="BM106" s="4853"/>
      <c r="BN106" s="4854"/>
      <c r="BO106" s="4855"/>
      <c r="BP106" s="4445"/>
      <c r="BQ106" s="4856"/>
      <c r="BR106" s="4659"/>
      <c r="BS106" s="4857"/>
      <c r="BT106" s="4575"/>
      <c r="BU106" s="4858"/>
      <c r="BV106" s="4859"/>
      <c r="BW106" s="4860"/>
      <c r="BX106" s="4445"/>
      <c r="BY106" s="4861"/>
      <c r="BZ106" s="4665"/>
      <c r="CA106" s="4862"/>
      <c r="CB106" s="4575"/>
      <c r="CC106" s="4863"/>
      <c r="CD106" s="4864"/>
      <c r="CE106" s="4865"/>
      <c r="CF106" s="4445"/>
      <c r="CG106" s="4866"/>
      <c r="CH106" s="4671"/>
      <c r="CI106" s="4867"/>
      <c r="CJ106" s="4575"/>
      <c r="CK106" s="4868"/>
      <c r="CL106" s="4869"/>
      <c r="CM106" s="4713"/>
    </row>
    <row r="107" spans="1:91" s="34" customFormat="1" ht="24.95" customHeight="1" thickBot="1" x14ac:dyDescent="0.25">
      <c r="A107" s="4207"/>
      <c r="B107" s="4207"/>
      <c r="C107" s="4207"/>
      <c r="D107" s="4207"/>
      <c r="E107" s="4207"/>
      <c r="F107" s="4212" t="s">
        <v>1553</v>
      </c>
      <c r="I107" s="2725"/>
      <c r="J107" s="2291"/>
      <c r="K107" s="3657"/>
      <c r="L107" s="4377" t="str">
        <f>_Calcs_Klasse!$ACX$36</f>
        <v>Boltelengde fordeling (&gt; 4 m)</v>
      </c>
      <c r="M107" s="4377"/>
      <c r="N107" s="5105"/>
      <c r="O107" s="5095" t="s">
        <v>149</v>
      </c>
      <c r="P107" s="5105"/>
      <c r="Q107" s="5096" t="s">
        <v>954</v>
      </c>
      <c r="R107" s="3658"/>
      <c r="S107" s="16"/>
      <c r="T107" s="4373"/>
      <c r="W107" s="4768"/>
      <c r="X107" s="6805" t="str">
        <f>_Calcs_Klasse!$ACZ$42</f>
        <v/>
      </c>
      <c r="Y107" s="6807"/>
      <c r="Z107" s="4832"/>
      <c r="AA107" s="4870"/>
      <c r="AB107" s="4871"/>
      <c r="AC107" s="6805" t="e">
        <f>_Calcs_Klasse!$ADB$42</f>
        <v>#N/A</v>
      </c>
      <c r="AD107" s="6806"/>
      <c r="AE107" s="6806"/>
      <c r="AF107" s="6806"/>
      <c r="AG107" s="6807"/>
      <c r="AH107" s="4835"/>
      <c r="AI107" s="4870"/>
      <c r="AJ107" s="4870"/>
      <c r="AK107" s="4872"/>
      <c r="AL107" s="4873" t="str">
        <f>_Calcs_Klasse!$ACZ$43</f>
        <v/>
      </c>
      <c r="AM107" s="4837"/>
      <c r="AN107" s="4870"/>
      <c r="AO107" s="4874"/>
      <c r="AP107" s="4804" t="e">
        <f>_Calcs_Klasse!$ADB$43</f>
        <v>#N/A</v>
      </c>
      <c r="AQ107" s="4840"/>
      <c r="AR107" s="4875"/>
      <c r="AS107" s="4876"/>
      <c r="AT107" s="4873" t="str">
        <f>_Calcs_Klasse!$ACZ$44</f>
        <v/>
      </c>
      <c r="AU107" s="4842"/>
      <c r="AV107" s="4870"/>
      <c r="AW107" s="4877"/>
      <c r="AX107" s="4804" t="e">
        <f>_Calcs_Klasse!$ADB$44</f>
        <v>#N/A</v>
      </c>
      <c r="AY107" s="4845"/>
      <c r="AZ107" s="4870"/>
      <c r="BA107" s="4878"/>
      <c r="BB107" s="4873" t="str">
        <f>_Calcs_Klasse!$ACZ$45</f>
        <v/>
      </c>
      <c r="BC107" s="4847"/>
      <c r="BD107" s="4870"/>
      <c r="BE107" s="4879"/>
      <c r="BF107" s="4804" t="e">
        <f>_Calcs_Klasse!$ADB$45</f>
        <v>#N/A</v>
      </c>
      <c r="BG107" s="4850"/>
      <c r="BH107" s="4880"/>
      <c r="BI107" s="4881"/>
      <c r="BJ107" s="4873" t="str">
        <f>_Calcs_Klasse!$ACZ$46</f>
        <v/>
      </c>
      <c r="BK107" s="4852"/>
      <c r="BL107" s="4870"/>
      <c r="BM107" s="4882"/>
      <c r="BN107" s="4804" t="e">
        <f>_Calcs_Klasse!$ADB$46</f>
        <v>#N/A</v>
      </c>
      <c r="BO107" s="4855"/>
      <c r="BP107" s="4880"/>
      <c r="BQ107" s="4883"/>
      <c r="BR107" s="4873" t="str">
        <f>_Calcs_Klasse!$ACZ$47</f>
        <v/>
      </c>
      <c r="BS107" s="4857"/>
      <c r="BT107" s="4870"/>
      <c r="BU107" s="4884"/>
      <c r="BV107" s="4804" t="e">
        <f>_Calcs_Klasse!$ADB$47</f>
        <v>#N/A</v>
      </c>
      <c r="BW107" s="4860"/>
      <c r="BX107" s="4880"/>
      <c r="BY107" s="4885"/>
      <c r="BZ107" s="4873" t="str">
        <f>_Calcs_Klasse!$ACZ$48</f>
        <v/>
      </c>
      <c r="CA107" s="4862"/>
      <c r="CB107" s="4870"/>
      <c r="CC107" s="4886"/>
      <c r="CD107" s="4804" t="e">
        <f>_Calcs_Klasse!$ADB$48</f>
        <v>#N/A</v>
      </c>
      <c r="CE107" s="4865"/>
      <c r="CF107" s="4880"/>
      <c r="CG107" s="4887"/>
      <c r="CH107" s="4873" t="str">
        <f>_Calcs_Klasse!$ACZ$49</f>
        <v/>
      </c>
      <c r="CI107" s="4867"/>
      <c r="CJ107" s="4870"/>
      <c r="CK107" s="4888"/>
      <c r="CL107" s="4804" t="e">
        <f>_Calcs_Klasse!$ADB$49</f>
        <v>#N/A</v>
      </c>
      <c r="CM107" s="4713"/>
    </row>
    <row r="108" spans="1:91" s="8" customFormat="1" ht="15" customHeight="1" thickBot="1" x14ac:dyDescent="0.25">
      <c r="A108" s="4203"/>
      <c r="B108" s="4203"/>
      <c r="C108" s="4203"/>
      <c r="D108" s="4203"/>
      <c r="E108" s="4203"/>
      <c r="F108" s="4212"/>
      <c r="I108" s="2725"/>
      <c r="J108" s="10"/>
      <c r="K108" s="3321"/>
      <c r="L108" s="3322"/>
      <c r="M108" s="3322"/>
      <c r="N108" s="3322"/>
      <c r="O108" s="3323"/>
      <c r="P108" s="3324"/>
      <c r="Q108" s="3324"/>
      <c r="R108" s="3628"/>
      <c r="S108" s="3728"/>
      <c r="T108" s="4373"/>
      <c r="W108" s="4714"/>
      <c r="X108" s="4715"/>
      <c r="Y108" s="4715"/>
      <c r="Z108" s="4716"/>
      <c r="AA108" s="4575"/>
      <c r="AB108" s="4769"/>
      <c r="AC108" s="4770"/>
      <c r="AD108" s="4770"/>
      <c r="AE108" s="4770"/>
      <c r="AF108" s="4770"/>
      <c r="AG108" s="4770"/>
      <c r="AH108" s="4771"/>
      <c r="AI108" s="4568"/>
      <c r="AJ108" s="4568"/>
      <c r="AK108" s="4720"/>
      <c r="AL108" s="4721"/>
      <c r="AM108" s="4722"/>
      <c r="AN108" s="4575"/>
      <c r="AO108" s="4772"/>
      <c r="AP108" s="4773"/>
      <c r="AQ108" s="4774"/>
      <c r="AR108" s="3435"/>
      <c r="AS108" s="4726"/>
      <c r="AT108" s="4727"/>
      <c r="AU108" s="4728"/>
      <c r="AV108" s="4575"/>
      <c r="AW108" s="4775"/>
      <c r="AX108" s="4776"/>
      <c r="AY108" s="4777"/>
      <c r="AZ108" s="4568"/>
      <c r="BA108" s="4732"/>
      <c r="BB108" s="4733"/>
      <c r="BC108" s="4734"/>
      <c r="BD108" s="4575"/>
      <c r="BE108" s="4778"/>
      <c r="BF108" s="4779"/>
      <c r="BG108" s="4780"/>
      <c r="BH108" s="4445"/>
      <c r="BI108" s="4738"/>
      <c r="BJ108" s="4739"/>
      <c r="BK108" s="4740"/>
      <c r="BL108" s="4575"/>
      <c r="BM108" s="4781"/>
      <c r="BN108" s="4782"/>
      <c r="BO108" s="4783"/>
      <c r="BP108" s="4445"/>
      <c r="BQ108" s="4744"/>
      <c r="BR108" s="4745"/>
      <c r="BS108" s="4746"/>
      <c r="BT108" s="4575"/>
      <c r="BU108" s="4784"/>
      <c r="BV108" s="4785"/>
      <c r="BW108" s="4786"/>
      <c r="BX108" s="4445"/>
      <c r="BY108" s="4750"/>
      <c r="BZ108" s="4751"/>
      <c r="CA108" s="4752"/>
      <c r="CB108" s="4575"/>
      <c r="CC108" s="4787"/>
      <c r="CD108" s="4788"/>
      <c r="CE108" s="4789"/>
      <c r="CF108" s="4445"/>
      <c r="CG108" s="4756"/>
      <c r="CH108" s="4757"/>
      <c r="CI108" s="4758"/>
      <c r="CJ108" s="4575"/>
      <c r="CK108" s="4790"/>
      <c r="CL108" s="4791"/>
      <c r="CM108" s="4792"/>
    </row>
    <row r="109" spans="1:91" s="181" customFormat="1" ht="15" customHeight="1" thickBot="1" x14ac:dyDescent="0.3">
      <c r="A109" s="4205"/>
      <c r="B109" s="4205"/>
      <c r="C109" s="4205"/>
      <c r="D109" s="4205"/>
      <c r="E109" s="4205"/>
      <c r="F109" s="4211"/>
      <c r="I109" s="2725"/>
      <c r="K109" s="2373"/>
      <c r="L109" s="2625"/>
      <c r="M109" s="2625"/>
      <c r="N109" s="2625"/>
      <c r="O109" s="2737"/>
      <c r="P109" s="207"/>
      <c r="Q109" s="402"/>
      <c r="R109" s="2809"/>
      <c r="S109" s="3675"/>
      <c r="T109" s="4373"/>
      <c r="W109" s="4489"/>
      <c r="X109" s="4489"/>
      <c r="Y109" s="4489"/>
      <c r="Z109" s="4489"/>
      <c r="AA109" s="4489"/>
      <c r="AB109" s="4489"/>
      <c r="AC109" s="4766"/>
      <c r="AD109" s="4766"/>
      <c r="AE109" s="4766"/>
      <c r="AF109" s="4766"/>
      <c r="AG109" s="4766"/>
      <c r="AH109" s="4489"/>
      <c r="AI109" s="4489"/>
      <c r="AJ109" s="4489"/>
      <c r="AK109" s="4489"/>
      <c r="AL109" s="4489"/>
      <c r="AM109" s="4489"/>
      <c r="AN109" s="4489"/>
      <c r="AO109" s="4489"/>
      <c r="AP109" s="4766"/>
      <c r="AQ109" s="4489"/>
      <c r="AR109" s="3435"/>
      <c r="AS109" s="4489"/>
      <c r="AT109" s="4489"/>
      <c r="AU109" s="4489"/>
      <c r="AV109" s="4489"/>
      <c r="AW109" s="4489"/>
      <c r="AX109" s="4766"/>
      <c r="AY109" s="4489"/>
      <c r="AZ109" s="4489"/>
      <c r="BA109" s="4489"/>
      <c r="BB109" s="4489"/>
      <c r="BC109" s="4489"/>
      <c r="BD109" s="4489"/>
      <c r="BE109" s="4489"/>
      <c r="BF109" s="4766"/>
      <c r="BG109" s="4489"/>
      <c r="BH109" s="3435"/>
      <c r="BI109" s="4489"/>
      <c r="BJ109" s="4489"/>
      <c r="BK109" s="4489"/>
      <c r="BL109" s="4489"/>
      <c r="BM109" s="4489"/>
      <c r="BN109" s="4766"/>
      <c r="BO109" s="4489"/>
      <c r="BP109" s="3435"/>
      <c r="BQ109" s="4489"/>
      <c r="BR109" s="4489"/>
      <c r="BS109" s="4489"/>
      <c r="BT109" s="4489"/>
      <c r="BU109" s="4489"/>
      <c r="BV109" s="4766"/>
      <c r="BW109" s="4489"/>
      <c r="BX109" s="3435"/>
      <c r="BY109" s="4489"/>
      <c r="BZ109" s="4489"/>
      <c r="CA109" s="4489"/>
      <c r="CB109" s="4489"/>
      <c r="CC109" s="4489"/>
      <c r="CD109" s="4766"/>
      <c r="CE109" s="4489"/>
      <c r="CF109" s="3435"/>
      <c r="CG109" s="4489"/>
      <c r="CH109" s="4489"/>
      <c r="CI109" s="4489"/>
      <c r="CJ109" s="4489"/>
      <c r="CK109" s="4489"/>
      <c r="CL109" s="4766"/>
      <c r="CM109" s="4489"/>
    </row>
    <row r="110" spans="1:91" s="8" customFormat="1" ht="20.100000000000001" customHeight="1" thickBot="1" x14ac:dyDescent="0.25">
      <c r="A110" s="4203"/>
      <c r="B110" s="4203"/>
      <c r="C110" s="4203"/>
      <c r="D110" s="4203"/>
      <c r="E110" s="4203"/>
      <c r="F110" s="4212"/>
      <c r="I110" s="2725"/>
      <c r="J110" s="10"/>
      <c r="K110" s="3335"/>
      <c r="L110" s="6798" t="str">
        <f>_Calcs_Klasse!$ADG$35</f>
        <v>Bolting - Vegg</v>
      </c>
      <c r="M110" s="6798"/>
      <c r="N110" s="6798"/>
      <c r="O110" s="6798"/>
      <c r="P110" s="6798"/>
      <c r="Q110" s="6798"/>
      <c r="R110" s="3653"/>
      <c r="S110" s="3660"/>
      <c r="T110" s="4373"/>
      <c r="W110" s="4574"/>
      <c r="X110" s="4574"/>
      <c r="Y110" s="4574"/>
      <c r="Z110" s="4574"/>
      <c r="AA110" s="4575"/>
      <c r="AB110" s="4574"/>
      <c r="AC110" s="4576"/>
      <c r="AD110" s="4576"/>
      <c r="AE110" s="4576"/>
      <c r="AF110" s="4576"/>
      <c r="AG110" s="4576"/>
      <c r="AH110" s="4574"/>
      <c r="AI110" s="4568"/>
      <c r="AJ110" s="4568"/>
      <c r="AK110" s="4574"/>
      <c r="AL110" s="4574"/>
      <c r="AM110" s="4574"/>
      <c r="AN110" s="4575"/>
      <c r="AO110" s="4574"/>
      <c r="AP110" s="4576"/>
      <c r="AQ110" s="4574"/>
      <c r="AR110" s="3435"/>
      <c r="AS110" s="4574"/>
      <c r="AT110" s="4574"/>
      <c r="AU110" s="4574"/>
      <c r="AV110" s="4575"/>
      <c r="AW110" s="4574"/>
      <c r="AX110" s="4576"/>
      <c r="AY110" s="4574"/>
      <c r="AZ110" s="4568"/>
      <c r="BA110" s="4574"/>
      <c r="BB110" s="4574"/>
      <c r="BC110" s="4574"/>
      <c r="BD110" s="4575"/>
      <c r="BE110" s="4574"/>
      <c r="BF110" s="4576"/>
      <c r="BG110" s="4574"/>
      <c r="BH110" s="4445"/>
      <c r="BI110" s="4574"/>
      <c r="BJ110" s="4574"/>
      <c r="BK110" s="4574"/>
      <c r="BL110" s="4575"/>
      <c r="BM110" s="4574"/>
      <c r="BN110" s="4576"/>
      <c r="BO110" s="4574"/>
      <c r="BP110" s="4445"/>
      <c r="BQ110" s="4574"/>
      <c r="BR110" s="4574"/>
      <c r="BS110" s="4574"/>
      <c r="BT110" s="4575"/>
      <c r="BU110" s="4574"/>
      <c r="BV110" s="4576"/>
      <c r="BW110" s="4574"/>
      <c r="BX110" s="4445"/>
      <c r="BY110" s="4574"/>
      <c r="BZ110" s="4574"/>
      <c r="CA110" s="4574"/>
      <c r="CB110" s="4575"/>
      <c r="CC110" s="4574"/>
      <c r="CD110" s="4576"/>
      <c r="CE110" s="4574"/>
      <c r="CF110" s="4445"/>
      <c r="CG110" s="4574"/>
      <c r="CH110" s="4574"/>
      <c r="CI110" s="4574"/>
      <c r="CJ110" s="4575"/>
      <c r="CK110" s="4574"/>
      <c r="CL110" s="4576"/>
      <c r="CM110" s="4574"/>
    </row>
    <row r="111" spans="1:91" s="8" customFormat="1" ht="15" customHeight="1" thickBot="1" x14ac:dyDescent="0.25">
      <c r="A111" s="4203"/>
      <c r="B111" s="4203"/>
      <c r="C111" s="4203"/>
      <c r="D111" s="4203"/>
      <c r="E111" s="4203"/>
      <c r="F111" s="4212"/>
      <c r="I111" s="2725"/>
      <c r="J111" s="10"/>
      <c r="K111" s="3336"/>
      <c r="L111" s="6799"/>
      <c r="M111" s="6799"/>
      <c r="N111" s="6799"/>
      <c r="O111" s="6799"/>
      <c r="P111" s="6799"/>
      <c r="Q111" s="6799"/>
      <c r="R111" s="3654"/>
      <c r="S111" s="3660"/>
      <c r="T111" s="4373"/>
      <c r="W111" s="4577"/>
      <c r="X111" s="4578"/>
      <c r="Y111" s="4578"/>
      <c r="Z111" s="4579"/>
      <c r="AA111" s="4489"/>
      <c r="AB111" s="4580"/>
      <c r="AC111" s="4581"/>
      <c r="AD111" s="4581"/>
      <c r="AE111" s="4581"/>
      <c r="AF111" s="4581"/>
      <c r="AG111" s="4581"/>
      <c r="AH111" s="4582"/>
      <c r="AI111" s="4568"/>
      <c r="AJ111" s="4568"/>
      <c r="AK111" s="4583"/>
      <c r="AL111" s="4584"/>
      <c r="AM111" s="4585"/>
      <c r="AN111" s="4489"/>
      <c r="AO111" s="4586"/>
      <c r="AP111" s="4587"/>
      <c r="AQ111" s="4588"/>
      <c r="AR111" s="3435"/>
      <c r="AS111" s="4589"/>
      <c r="AT111" s="4590"/>
      <c r="AU111" s="4591"/>
      <c r="AV111" s="4489"/>
      <c r="AW111" s="4592"/>
      <c r="AX111" s="4593"/>
      <c r="AY111" s="4594"/>
      <c r="AZ111" s="4568"/>
      <c r="BA111" s="4595"/>
      <c r="BB111" s="4596"/>
      <c r="BC111" s="4597"/>
      <c r="BD111" s="4489"/>
      <c r="BE111" s="4598"/>
      <c r="BF111" s="4599"/>
      <c r="BG111" s="4600"/>
      <c r="BH111" s="4445"/>
      <c r="BI111" s="4601"/>
      <c r="BJ111" s="4602"/>
      <c r="BK111" s="4603"/>
      <c r="BL111" s="4489"/>
      <c r="BM111" s="4604"/>
      <c r="BN111" s="4605"/>
      <c r="BO111" s="4606"/>
      <c r="BP111" s="4445"/>
      <c r="BQ111" s="4607"/>
      <c r="BR111" s="4608"/>
      <c r="BS111" s="4609"/>
      <c r="BT111" s="4489"/>
      <c r="BU111" s="4610"/>
      <c r="BV111" s="4611"/>
      <c r="BW111" s="4612"/>
      <c r="BX111" s="4445"/>
      <c r="BY111" s="4613"/>
      <c r="BZ111" s="4614"/>
      <c r="CA111" s="4615"/>
      <c r="CB111" s="4489"/>
      <c r="CC111" s="4616"/>
      <c r="CD111" s="4617"/>
      <c r="CE111" s="4618"/>
      <c r="CF111" s="4445"/>
      <c r="CG111" s="4619"/>
      <c r="CH111" s="4620"/>
      <c r="CI111" s="4621"/>
      <c r="CJ111" s="4489"/>
      <c r="CK111" s="4622"/>
      <c r="CL111" s="4623"/>
      <c r="CM111" s="4624"/>
    </row>
    <row r="112" spans="1:91" s="8" customFormat="1" ht="8.1" customHeight="1" thickBot="1" x14ac:dyDescent="0.25">
      <c r="A112" s="4203"/>
      <c r="B112" s="4203"/>
      <c r="C112" s="4203"/>
      <c r="D112" s="4203"/>
      <c r="E112" s="4203"/>
      <c r="F112" s="4212"/>
      <c r="I112" s="2725"/>
      <c r="J112" s="10"/>
      <c r="K112" s="14"/>
      <c r="L112" s="129"/>
      <c r="M112" s="129"/>
      <c r="N112" s="129"/>
      <c r="O112" s="16"/>
      <c r="P112" s="17"/>
      <c r="Q112" s="17"/>
      <c r="R112" s="17"/>
      <c r="S112" s="16"/>
      <c r="T112" s="4373"/>
      <c r="W112" s="4574"/>
      <c r="X112" s="4625"/>
      <c r="Y112" s="4625"/>
      <c r="Z112" s="4626"/>
      <c r="AA112" s="4575"/>
      <c r="AB112" s="4574"/>
      <c r="AC112" s="4627"/>
      <c r="AD112" s="4627"/>
      <c r="AE112" s="4627"/>
      <c r="AF112" s="4627"/>
      <c r="AG112" s="4627"/>
      <c r="AH112" s="4626"/>
      <c r="AI112" s="4568"/>
      <c r="AJ112" s="4568"/>
      <c r="AK112" s="4574"/>
      <c r="AL112" s="4625"/>
      <c r="AM112" s="4626"/>
      <c r="AN112" s="4575"/>
      <c r="AO112" s="4574"/>
      <c r="AP112" s="4627"/>
      <c r="AQ112" s="4626"/>
      <c r="AR112" s="3435"/>
      <c r="AS112" s="4574"/>
      <c r="AT112" s="4625"/>
      <c r="AU112" s="4626"/>
      <c r="AV112" s="4575"/>
      <c r="AW112" s="4574"/>
      <c r="AX112" s="4627"/>
      <c r="AY112" s="4626"/>
      <c r="AZ112" s="4568"/>
      <c r="BA112" s="4574"/>
      <c r="BB112" s="4625"/>
      <c r="BC112" s="4626"/>
      <c r="BD112" s="4575"/>
      <c r="BE112" s="4574"/>
      <c r="BF112" s="4627"/>
      <c r="BG112" s="4626"/>
      <c r="BH112" s="4445"/>
      <c r="BI112" s="4574"/>
      <c r="BJ112" s="4625"/>
      <c r="BK112" s="4626"/>
      <c r="BL112" s="4575"/>
      <c r="BM112" s="4574"/>
      <c r="BN112" s="4627"/>
      <c r="BO112" s="4626"/>
      <c r="BP112" s="4445"/>
      <c r="BQ112" s="4574"/>
      <c r="BR112" s="4625"/>
      <c r="BS112" s="4626"/>
      <c r="BT112" s="4575"/>
      <c r="BU112" s="4574"/>
      <c r="BV112" s="4627"/>
      <c r="BW112" s="4626"/>
      <c r="BX112" s="4445"/>
      <c r="BY112" s="4574"/>
      <c r="BZ112" s="4625"/>
      <c r="CA112" s="4626"/>
      <c r="CB112" s="4575"/>
      <c r="CC112" s="4574"/>
      <c r="CD112" s="4627"/>
      <c r="CE112" s="4626"/>
      <c r="CF112" s="4445"/>
      <c r="CG112" s="4574"/>
      <c r="CH112" s="4625"/>
      <c r="CI112" s="4626"/>
      <c r="CJ112" s="4575"/>
      <c r="CK112" s="4574"/>
      <c r="CL112" s="4627"/>
      <c r="CM112" s="4626"/>
    </row>
    <row r="113" spans="1:91" s="8" customFormat="1" ht="15" customHeight="1" thickBot="1" x14ac:dyDescent="0.25">
      <c r="A113" s="4203"/>
      <c r="B113" s="4203"/>
      <c r="C113" s="4203"/>
      <c r="D113" s="4203"/>
      <c r="E113" s="4203"/>
      <c r="F113" s="4212"/>
      <c r="I113" s="2725"/>
      <c r="J113" s="10"/>
      <c r="K113" s="3329"/>
      <c r="L113" s="3330"/>
      <c r="M113" s="3330"/>
      <c r="N113" s="3330"/>
      <c r="O113" s="3331"/>
      <c r="P113" s="3332"/>
      <c r="Q113" s="3332"/>
      <c r="R113" s="3626"/>
      <c r="S113" s="2798"/>
      <c r="T113" s="4373"/>
      <c r="W113" s="4628"/>
      <c r="X113" s="4629"/>
      <c r="Y113" s="4629"/>
      <c r="Z113" s="4630"/>
      <c r="AA113" s="4767"/>
      <c r="AB113" s="4631"/>
      <c r="AC113" s="4632"/>
      <c r="AD113" s="4632"/>
      <c r="AE113" s="4632"/>
      <c r="AF113" s="4632"/>
      <c r="AG113" s="4632"/>
      <c r="AH113" s="4633"/>
      <c r="AI113" s="4568"/>
      <c r="AJ113" s="4568"/>
      <c r="AK113" s="4634"/>
      <c r="AL113" s="4635"/>
      <c r="AM113" s="4636"/>
      <c r="AN113" s="4767"/>
      <c r="AO113" s="4637"/>
      <c r="AP113" s="4638"/>
      <c r="AQ113" s="4639"/>
      <c r="AR113" s="3435"/>
      <c r="AS113" s="4640"/>
      <c r="AT113" s="4641"/>
      <c r="AU113" s="4642"/>
      <c r="AV113" s="4767"/>
      <c r="AW113" s="4643"/>
      <c r="AX113" s="4644"/>
      <c r="AY113" s="4645"/>
      <c r="AZ113" s="4568"/>
      <c r="BA113" s="4646"/>
      <c r="BB113" s="4647"/>
      <c r="BC113" s="4648"/>
      <c r="BD113" s="4767"/>
      <c r="BE113" s="4649"/>
      <c r="BF113" s="4650"/>
      <c r="BG113" s="4651"/>
      <c r="BH113" s="4445"/>
      <c r="BI113" s="4652"/>
      <c r="BJ113" s="4653"/>
      <c r="BK113" s="4654"/>
      <c r="BL113" s="4767"/>
      <c r="BM113" s="4655"/>
      <c r="BN113" s="4656"/>
      <c r="BO113" s="4657"/>
      <c r="BP113" s="4445"/>
      <c r="BQ113" s="4658"/>
      <c r="BR113" s="4659"/>
      <c r="BS113" s="4660"/>
      <c r="BT113" s="4767"/>
      <c r="BU113" s="4661"/>
      <c r="BV113" s="4662"/>
      <c r="BW113" s="4663"/>
      <c r="BX113" s="4445"/>
      <c r="BY113" s="4664"/>
      <c r="BZ113" s="4665"/>
      <c r="CA113" s="4666"/>
      <c r="CB113" s="4767"/>
      <c r="CC113" s="4667"/>
      <c r="CD113" s="4668"/>
      <c r="CE113" s="4669"/>
      <c r="CF113" s="4445"/>
      <c r="CG113" s="4670"/>
      <c r="CH113" s="4671"/>
      <c r="CI113" s="4672"/>
      <c r="CJ113" s="4767"/>
      <c r="CK113" s="4673"/>
      <c r="CL113" s="4674"/>
      <c r="CM113" s="4675"/>
    </row>
    <row r="114" spans="1:91" s="34" customFormat="1" ht="24.95" customHeight="1" thickBot="1" x14ac:dyDescent="0.25">
      <c r="A114" s="4207"/>
      <c r="B114" s="4207"/>
      <c r="C114" s="4207"/>
      <c r="D114" s="4207"/>
      <c r="E114" s="4207"/>
      <c r="F114" s="4212" t="s">
        <v>1553</v>
      </c>
      <c r="I114" s="3707"/>
      <c r="J114" s="2291"/>
      <c r="K114" s="3708"/>
      <c r="L114" s="4377" t="str">
        <f>_Calcs_Klasse!$ADH$39</f>
        <v>Bolting senteravstand</v>
      </c>
      <c r="M114" s="4377"/>
      <c r="N114" s="5098"/>
      <c r="O114" s="5095" t="s">
        <v>149</v>
      </c>
      <c r="P114" s="5098"/>
      <c r="Q114" s="5096" t="s">
        <v>78</v>
      </c>
      <c r="R114" s="3706"/>
      <c r="S114" s="2798"/>
      <c r="T114" s="4375"/>
      <c r="W114" s="4768"/>
      <c r="X114" s="6808"/>
      <c r="Y114" s="6809"/>
      <c r="Z114" s="4677"/>
      <c r="AA114" s="4678"/>
      <c r="AB114" s="4679"/>
      <c r="AC114" s="6810" t="e">
        <f>_Calcs_Klasse!$ADL$42</f>
        <v>#N/A</v>
      </c>
      <c r="AD114" s="6811"/>
      <c r="AE114" s="6811"/>
      <c r="AF114" s="6811"/>
      <c r="AG114" s="6812"/>
      <c r="AH114" s="4680"/>
      <c r="AI114" s="4681"/>
      <c r="AJ114" s="4681"/>
      <c r="AK114" s="4682"/>
      <c r="AL114" s="4683"/>
      <c r="AM114" s="4684"/>
      <c r="AN114" s="4678"/>
      <c r="AO114" s="4685"/>
      <c r="AP114" s="4686" t="e">
        <f>_Calcs_Klasse!$ADL$43</f>
        <v>#N/A</v>
      </c>
      <c r="AQ114" s="4687"/>
      <c r="AR114" s="4688"/>
      <c r="AS114" s="4689"/>
      <c r="AT114" s="4683"/>
      <c r="AU114" s="4690"/>
      <c r="AV114" s="4678"/>
      <c r="AW114" s="4691"/>
      <c r="AX114" s="4686" t="e">
        <f>_Calcs_Klasse!$ADL$44</f>
        <v>#N/A</v>
      </c>
      <c r="AY114" s="4692"/>
      <c r="AZ114" s="4681"/>
      <c r="BA114" s="4693"/>
      <c r="BB114" s="4683"/>
      <c r="BC114" s="4694"/>
      <c r="BD114" s="4678"/>
      <c r="BE114" s="4695"/>
      <c r="BF114" s="4686" t="e">
        <f>_Calcs_Klasse!$ADL$45</f>
        <v>#N/A</v>
      </c>
      <c r="BG114" s="4696"/>
      <c r="BH114" s="4697"/>
      <c r="BI114" s="4698"/>
      <c r="BJ114" s="4683"/>
      <c r="BK114" s="4699"/>
      <c r="BL114" s="4678"/>
      <c r="BM114" s="4700"/>
      <c r="BN114" s="4686" t="e">
        <f>_Calcs_Klasse!$ADL$46</f>
        <v>#N/A</v>
      </c>
      <c r="BO114" s="4701"/>
      <c r="BP114" s="4697"/>
      <c r="BQ114" s="4702"/>
      <c r="BR114" s="4683"/>
      <c r="BS114" s="4703"/>
      <c r="BT114" s="4678"/>
      <c r="BU114" s="4704"/>
      <c r="BV114" s="4686" t="e">
        <f>_Calcs_Klasse!$ADL$47</f>
        <v>#N/A</v>
      </c>
      <c r="BW114" s="4705"/>
      <c r="BX114" s="4697"/>
      <c r="BY114" s="4706"/>
      <c r="BZ114" s="4683"/>
      <c r="CA114" s="4707"/>
      <c r="CB114" s="4678"/>
      <c r="CC114" s="4708"/>
      <c r="CD114" s="4686" t="e">
        <f>_Calcs_Klasse!$ADL$48</f>
        <v>#N/A</v>
      </c>
      <c r="CE114" s="4709"/>
      <c r="CF114" s="4697"/>
      <c r="CG114" s="4710"/>
      <c r="CH114" s="4683"/>
      <c r="CI114" s="4711"/>
      <c r="CJ114" s="4678"/>
      <c r="CK114" s="4712"/>
      <c r="CL114" s="4686" t="e">
        <f>_Calcs_Klasse!$ADL$49</f>
        <v>#N/A</v>
      </c>
      <c r="CM114" s="4713"/>
    </row>
    <row r="115" spans="1:91" s="8" customFormat="1" ht="15" customHeight="1" thickBot="1" x14ac:dyDescent="0.25">
      <c r="A115" s="4203"/>
      <c r="B115" s="4203"/>
      <c r="C115" s="4203"/>
      <c r="D115" s="4203"/>
      <c r="E115" s="4203"/>
      <c r="F115" s="4212"/>
      <c r="I115" s="2725"/>
      <c r="J115" s="10"/>
      <c r="K115" s="3321"/>
      <c r="L115" s="4378"/>
      <c r="M115" s="4378"/>
      <c r="N115" s="4378"/>
      <c r="O115" s="5099"/>
      <c r="P115" s="5100"/>
      <c r="Q115" s="5100"/>
      <c r="R115" s="3628"/>
      <c r="S115" s="3728"/>
      <c r="T115" s="4373"/>
      <c r="W115" s="4714"/>
      <c r="X115" s="4715"/>
      <c r="Y115" s="4715"/>
      <c r="Z115" s="4716"/>
      <c r="AA115" s="4575"/>
      <c r="AB115" s="4769"/>
      <c r="AC115" s="4770"/>
      <c r="AD115" s="4770"/>
      <c r="AE115" s="4770"/>
      <c r="AF115" s="4770"/>
      <c r="AG115" s="4770"/>
      <c r="AH115" s="4771"/>
      <c r="AI115" s="4568"/>
      <c r="AJ115" s="4568"/>
      <c r="AK115" s="4720"/>
      <c r="AL115" s="4721"/>
      <c r="AM115" s="4722"/>
      <c r="AN115" s="4575"/>
      <c r="AO115" s="4772"/>
      <c r="AP115" s="4773"/>
      <c r="AQ115" s="4774"/>
      <c r="AR115" s="3435"/>
      <c r="AS115" s="4726"/>
      <c r="AT115" s="4727"/>
      <c r="AU115" s="4728"/>
      <c r="AV115" s="4575"/>
      <c r="AW115" s="4775"/>
      <c r="AX115" s="4776"/>
      <c r="AY115" s="4777"/>
      <c r="AZ115" s="4568"/>
      <c r="BA115" s="4732"/>
      <c r="BB115" s="4733"/>
      <c r="BC115" s="4734"/>
      <c r="BD115" s="4575"/>
      <c r="BE115" s="4778"/>
      <c r="BF115" s="4779"/>
      <c r="BG115" s="4780"/>
      <c r="BH115" s="4445"/>
      <c r="BI115" s="4738"/>
      <c r="BJ115" s="4739"/>
      <c r="BK115" s="4740"/>
      <c r="BL115" s="4575"/>
      <c r="BM115" s="4781"/>
      <c r="BN115" s="4782"/>
      <c r="BO115" s="4783"/>
      <c r="BP115" s="4445"/>
      <c r="BQ115" s="4744"/>
      <c r="BR115" s="4745"/>
      <c r="BS115" s="4746"/>
      <c r="BT115" s="4575"/>
      <c r="BU115" s="4784"/>
      <c r="BV115" s="4785"/>
      <c r="BW115" s="4786"/>
      <c r="BX115" s="4445"/>
      <c r="BY115" s="4750"/>
      <c r="BZ115" s="4751"/>
      <c r="CA115" s="4752"/>
      <c r="CB115" s="4575"/>
      <c r="CC115" s="4787"/>
      <c r="CD115" s="4788"/>
      <c r="CE115" s="4789"/>
      <c r="CF115" s="4445"/>
      <c r="CG115" s="4756"/>
      <c r="CH115" s="4757"/>
      <c r="CI115" s="4758"/>
      <c r="CJ115" s="4575"/>
      <c r="CK115" s="4790"/>
      <c r="CL115" s="4791"/>
      <c r="CM115" s="4792"/>
    </row>
    <row r="116" spans="1:91" s="8" customFormat="1" ht="8.1" customHeight="1" thickBot="1" x14ac:dyDescent="0.25">
      <c r="A116" s="4203"/>
      <c r="B116" s="4203"/>
      <c r="C116" s="4203"/>
      <c r="D116" s="4203"/>
      <c r="E116" s="4203"/>
      <c r="F116" s="4212"/>
      <c r="I116" s="2725"/>
      <c r="J116" s="10"/>
      <c r="K116" s="14"/>
      <c r="L116" s="5101"/>
      <c r="M116" s="5101"/>
      <c r="N116" s="5101"/>
      <c r="O116" s="1004"/>
      <c r="P116" s="952"/>
      <c r="Q116" s="952"/>
      <c r="R116" s="17"/>
      <c r="S116" s="16"/>
      <c r="T116" s="4373"/>
      <c r="W116" s="4574"/>
      <c r="X116" s="4793"/>
      <c r="Y116" s="4793"/>
      <c r="Z116" s="4793"/>
      <c r="AA116" s="4575"/>
      <c r="AB116" s="4574"/>
      <c r="AC116" s="4794"/>
      <c r="AD116" s="4794"/>
      <c r="AE116" s="4794"/>
      <c r="AF116" s="4794"/>
      <c r="AG116" s="4794"/>
      <c r="AH116" s="4793"/>
      <c r="AI116" s="4568"/>
      <c r="AJ116" s="4568"/>
      <c r="AK116" s="4574"/>
      <c r="AL116" s="4793"/>
      <c r="AM116" s="4793"/>
      <c r="AN116" s="4575"/>
      <c r="AO116" s="4574"/>
      <c r="AP116" s="4794"/>
      <c r="AQ116" s="4793"/>
      <c r="AR116" s="3435"/>
      <c r="AS116" s="4574"/>
      <c r="AT116" s="4793"/>
      <c r="AU116" s="4793"/>
      <c r="AV116" s="4575"/>
      <c r="AW116" s="4574"/>
      <c r="AX116" s="4794"/>
      <c r="AY116" s="4793"/>
      <c r="AZ116" s="4568"/>
      <c r="BA116" s="4574"/>
      <c r="BB116" s="4793"/>
      <c r="BC116" s="4793"/>
      <c r="BD116" s="4575"/>
      <c r="BE116" s="4574"/>
      <c r="BF116" s="4794"/>
      <c r="BG116" s="4793"/>
      <c r="BH116" s="4445"/>
      <c r="BI116" s="4574"/>
      <c r="BJ116" s="4793"/>
      <c r="BK116" s="4793"/>
      <c r="BL116" s="4575"/>
      <c r="BM116" s="4574"/>
      <c r="BN116" s="4794"/>
      <c r="BO116" s="4793"/>
      <c r="BP116" s="4445"/>
      <c r="BQ116" s="4574"/>
      <c r="BR116" s="4793"/>
      <c r="BS116" s="4793"/>
      <c r="BT116" s="4575"/>
      <c r="BU116" s="4574"/>
      <c r="BV116" s="4794"/>
      <c r="BW116" s="4793"/>
      <c r="BX116" s="4445"/>
      <c r="BY116" s="4574"/>
      <c r="BZ116" s="4793"/>
      <c r="CA116" s="4793"/>
      <c r="CB116" s="4575"/>
      <c r="CC116" s="4574"/>
      <c r="CD116" s="4794"/>
      <c r="CE116" s="4793"/>
      <c r="CF116" s="4445" t="s">
        <v>831</v>
      </c>
      <c r="CG116" s="4574"/>
      <c r="CH116" s="4793"/>
      <c r="CI116" s="4793"/>
      <c r="CJ116" s="4575"/>
      <c r="CK116" s="4574"/>
      <c r="CL116" s="4794"/>
      <c r="CM116" s="4793"/>
    </row>
    <row r="117" spans="1:91" s="8" customFormat="1" ht="15" customHeight="1" thickBot="1" x14ac:dyDescent="0.25">
      <c r="A117" s="4203"/>
      <c r="B117" s="4203"/>
      <c r="C117" s="4203"/>
      <c r="D117" s="4203"/>
      <c r="E117" s="4203"/>
      <c r="F117" s="4212"/>
      <c r="I117" s="2725"/>
      <c r="J117" s="10"/>
      <c r="K117" s="3329"/>
      <c r="L117" s="4379"/>
      <c r="M117" s="4379"/>
      <c r="N117" s="4379"/>
      <c r="O117" s="5102"/>
      <c r="P117" s="5103"/>
      <c r="Q117" s="5103"/>
      <c r="R117" s="3626"/>
      <c r="S117" s="2798"/>
      <c r="T117" s="4373"/>
      <c r="W117" s="4628"/>
      <c r="X117" s="4629"/>
      <c r="Y117" s="4629"/>
      <c r="Z117" s="4630"/>
      <c r="AA117" s="4575"/>
      <c r="AB117" s="4631"/>
      <c r="AC117" s="4632"/>
      <c r="AD117" s="4632"/>
      <c r="AE117" s="4632"/>
      <c r="AF117" s="4632"/>
      <c r="AG117" s="4632"/>
      <c r="AH117" s="4633"/>
      <c r="AI117" s="4568"/>
      <c r="AJ117" s="4568"/>
      <c r="AK117" s="4634"/>
      <c r="AL117" s="4635"/>
      <c r="AM117" s="4636"/>
      <c r="AN117" s="4575"/>
      <c r="AO117" s="4637"/>
      <c r="AP117" s="4638"/>
      <c r="AQ117" s="4639"/>
      <c r="AR117" s="3435"/>
      <c r="AS117" s="4640"/>
      <c r="AT117" s="4641"/>
      <c r="AU117" s="4642"/>
      <c r="AV117" s="4575"/>
      <c r="AW117" s="4643"/>
      <c r="AX117" s="4644"/>
      <c r="AY117" s="4645"/>
      <c r="AZ117" s="4568"/>
      <c r="BA117" s="4646"/>
      <c r="BB117" s="4647"/>
      <c r="BC117" s="4648"/>
      <c r="BD117" s="4575"/>
      <c r="BE117" s="4649"/>
      <c r="BF117" s="4650"/>
      <c r="BG117" s="4651"/>
      <c r="BH117" s="4445"/>
      <c r="BI117" s="4652"/>
      <c r="BJ117" s="4653"/>
      <c r="BK117" s="4654"/>
      <c r="BL117" s="4575"/>
      <c r="BM117" s="4655"/>
      <c r="BN117" s="4656"/>
      <c r="BO117" s="4657"/>
      <c r="BP117" s="4445"/>
      <c r="BQ117" s="4658"/>
      <c r="BR117" s="4659"/>
      <c r="BS117" s="4660"/>
      <c r="BT117" s="4575"/>
      <c r="BU117" s="4661"/>
      <c r="BV117" s="4662"/>
      <c r="BW117" s="4663"/>
      <c r="BX117" s="4445"/>
      <c r="BY117" s="4664"/>
      <c r="BZ117" s="4665"/>
      <c r="CA117" s="4666"/>
      <c r="CB117" s="4575"/>
      <c r="CC117" s="4667"/>
      <c r="CD117" s="4668"/>
      <c r="CE117" s="4669"/>
      <c r="CF117" s="4445"/>
      <c r="CG117" s="4670"/>
      <c r="CH117" s="4671"/>
      <c r="CI117" s="4672"/>
      <c r="CJ117" s="4575"/>
      <c r="CK117" s="4673"/>
      <c r="CL117" s="4674"/>
      <c r="CM117" s="4675"/>
    </row>
    <row r="118" spans="1:91" s="8" customFormat="1" ht="24.95" customHeight="1" thickBot="1" x14ac:dyDescent="0.25">
      <c r="A118" s="4203"/>
      <c r="B118" s="4203"/>
      <c r="C118" s="4203"/>
      <c r="D118" s="4203"/>
      <c r="E118" s="4203"/>
      <c r="F118" s="4212" t="s">
        <v>1553</v>
      </c>
      <c r="I118" s="2725"/>
      <c r="J118" s="10"/>
      <c r="K118" s="3326"/>
      <c r="L118" s="4377" t="str">
        <f>_Calcs_Klasse!$ADR$39</f>
        <v>Boltelengde fordeling (≤ 4 m)</v>
      </c>
      <c r="M118" s="4377"/>
      <c r="N118" s="4377"/>
      <c r="O118" s="5095" t="s">
        <v>149</v>
      </c>
      <c r="P118" s="5096"/>
      <c r="Q118" s="5096" t="s">
        <v>954</v>
      </c>
      <c r="R118" s="3627"/>
      <c r="S118" s="2798"/>
      <c r="T118" s="4373"/>
      <c r="W118" s="4676"/>
      <c r="X118" s="6803"/>
      <c r="Y118" s="6804"/>
      <c r="Z118" s="4795"/>
      <c r="AA118" s="4796"/>
      <c r="AB118" s="4797"/>
      <c r="AC118" s="6805" t="e">
        <f>_Calcs_Klasse!$ADV$42</f>
        <v>#N/A</v>
      </c>
      <c r="AD118" s="6806"/>
      <c r="AE118" s="6806"/>
      <c r="AF118" s="6806"/>
      <c r="AG118" s="6807"/>
      <c r="AH118" s="4798"/>
      <c r="AI118" s="4799"/>
      <c r="AJ118" s="4799"/>
      <c r="AK118" s="4800"/>
      <c r="AL118" s="4801"/>
      <c r="AM118" s="4802"/>
      <c r="AN118" s="4796"/>
      <c r="AO118" s="4803"/>
      <c r="AP118" s="4804" t="e">
        <f>_Calcs_Klasse!$ADV$43</f>
        <v>#N/A</v>
      </c>
      <c r="AQ118" s="4805"/>
      <c r="AR118" s="4806"/>
      <c r="AS118" s="4807"/>
      <c r="AT118" s="4801"/>
      <c r="AU118" s="4808"/>
      <c r="AV118" s="4796"/>
      <c r="AW118" s="4809"/>
      <c r="AX118" s="4804" t="e">
        <f>_Calcs_Klasse!$ADV$44</f>
        <v>#N/A</v>
      </c>
      <c r="AY118" s="4810"/>
      <c r="AZ118" s="4799"/>
      <c r="BA118" s="4811"/>
      <c r="BB118" s="4801"/>
      <c r="BC118" s="4812"/>
      <c r="BD118" s="4796"/>
      <c r="BE118" s="4813"/>
      <c r="BF118" s="4804" t="e">
        <f>_Calcs_Klasse!$ADV$45</f>
        <v>#N/A</v>
      </c>
      <c r="BG118" s="4814"/>
      <c r="BH118" s="4815"/>
      <c r="BI118" s="4816"/>
      <c r="BJ118" s="4801"/>
      <c r="BK118" s="4817"/>
      <c r="BL118" s="4796"/>
      <c r="BM118" s="4818"/>
      <c r="BN118" s="4804" t="e">
        <f>_Calcs_Klasse!$ADV$46</f>
        <v>#N/A</v>
      </c>
      <c r="BO118" s="4819"/>
      <c r="BP118" s="4815"/>
      <c r="BQ118" s="4820"/>
      <c r="BR118" s="4801"/>
      <c r="BS118" s="4821"/>
      <c r="BT118" s="4796"/>
      <c r="BU118" s="4822"/>
      <c r="BV118" s="4804" t="e">
        <f>_Calcs_Klasse!$ADV$47</f>
        <v>#N/A</v>
      </c>
      <c r="BW118" s="4823"/>
      <c r="BX118" s="4815"/>
      <c r="BY118" s="4824"/>
      <c r="BZ118" s="4801"/>
      <c r="CA118" s="4825"/>
      <c r="CB118" s="4796"/>
      <c r="CC118" s="4826"/>
      <c r="CD118" s="4804" t="e">
        <f>_Calcs_Klasse!$ADV$48</f>
        <v>#N/A</v>
      </c>
      <c r="CE118" s="4827"/>
      <c r="CF118" s="4815"/>
      <c r="CG118" s="4828"/>
      <c r="CH118" s="4801"/>
      <c r="CI118" s="4829"/>
      <c r="CJ118" s="4796"/>
      <c r="CK118" s="4830"/>
      <c r="CL118" s="4804" t="e">
        <f>_Calcs_Klasse!$ADV$49</f>
        <v>#N/A</v>
      </c>
      <c r="CM118" s="4713"/>
    </row>
    <row r="119" spans="1:91" s="8" customFormat="1" ht="15" customHeight="1" thickBot="1" x14ac:dyDescent="0.25">
      <c r="A119" s="4203"/>
      <c r="B119" s="4203"/>
      <c r="C119" s="4203"/>
      <c r="D119" s="4203"/>
      <c r="E119" s="4203"/>
      <c r="F119" s="4212"/>
      <c r="I119" s="2725"/>
      <c r="J119" s="10"/>
      <c r="K119" s="3655"/>
      <c r="L119" s="5104"/>
      <c r="M119" s="5104"/>
      <c r="N119" s="5104"/>
      <c r="O119" s="5105"/>
      <c r="P119" s="5104"/>
      <c r="Q119" s="5096"/>
      <c r="R119" s="3656"/>
      <c r="S119" s="16"/>
      <c r="T119" s="4373"/>
      <c r="W119" s="4676"/>
      <c r="X119" s="4831"/>
      <c r="Y119" s="4831"/>
      <c r="Z119" s="4832"/>
      <c r="AA119" s="4575"/>
      <c r="AB119" s="4833"/>
      <c r="AC119" s="4834"/>
      <c r="AD119" s="4834"/>
      <c r="AE119" s="4834"/>
      <c r="AF119" s="4834"/>
      <c r="AG119" s="4834"/>
      <c r="AH119" s="4835"/>
      <c r="AI119" s="4568"/>
      <c r="AJ119" s="4568"/>
      <c r="AK119" s="4836"/>
      <c r="AL119" s="4635"/>
      <c r="AM119" s="4837"/>
      <c r="AN119" s="4575"/>
      <c r="AO119" s="4838"/>
      <c r="AP119" s="4839"/>
      <c r="AQ119" s="4840"/>
      <c r="AR119" s="3435"/>
      <c r="AS119" s="4841"/>
      <c r="AT119" s="4641"/>
      <c r="AU119" s="4842"/>
      <c r="AV119" s="4575"/>
      <c r="AW119" s="4843"/>
      <c r="AX119" s="4844"/>
      <c r="AY119" s="4845"/>
      <c r="AZ119" s="4568"/>
      <c r="BA119" s="4846"/>
      <c r="BB119" s="4647"/>
      <c r="BC119" s="4847"/>
      <c r="BD119" s="4575"/>
      <c r="BE119" s="4848"/>
      <c r="BF119" s="4849"/>
      <c r="BG119" s="4850"/>
      <c r="BH119" s="4445"/>
      <c r="BI119" s="4851"/>
      <c r="BJ119" s="4653"/>
      <c r="BK119" s="4852"/>
      <c r="BL119" s="4575"/>
      <c r="BM119" s="4853"/>
      <c r="BN119" s="4854"/>
      <c r="BO119" s="4855"/>
      <c r="BP119" s="4445"/>
      <c r="BQ119" s="4856"/>
      <c r="BR119" s="4659"/>
      <c r="BS119" s="4857"/>
      <c r="BT119" s="4575"/>
      <c r="BU119" s="4858"/>
      <c r="BV119" s="4859"/>
      <c r="BW119" s="4860"/>
      <c r="BX119" s="4445"/>
      <c r="BY119" s="4861"/>
      <c r="BZ119" s="4665"/>
      <c r="CA119" s="4862"/>
      <c r="CB119" s="4575"/>
      <c r="CC119" s="4863"/>
      <c r="CD119" s="4864"/>
      <c r="CE119" s="4865"/>
      <c r="CF119" s="4445"/>
      <c r="CG119" s="4866"/>
      <c r="CH119" s="4671"/>
      <c r="CI119" s="4867"/>
      <c r="CJ119" s="4575"/>
      <c r="CK119" s="4868"/>
      <c r="CL119" s="4869"/>
      <c r="CM119" s="4713"/>
    </row>
    <row r="120" spans="1:91" s="34" customFormat="1" ht="24.95" customHeight="1" thickBot="1" x14ac:dyDescent="0.25">
      <c r="A120" s="4207"/>
      <c r="B120" s="4207"/>
      <c r="C120" s="4207"/>
      <c r="D120" s="4207"/>
      <c r="E120" s="4207"/>
      <c r="F120" s="4212" t="s">
        <v>1553</v>
      </c>
      <c r="I120" s="3748"/>
      <c r="J120" s="2291"/>
      <c r="K120" s="3657"/>
      <c r="L120" s="6797" t="str">
        <f>_Calcs_Klasse!$ADZ$39</f>
        <v>Boltelengde fordeling (&gt; 4 m)</v>
      </c>
      <c r="M120" s="6797"/>
      <c r="N120" s="5105"/>
      <c r="O120" s="5095" t="s">
        <v>149</v>
      </c>
      <c r="P120" s="5105"/>
      <c r="Q120" s="5096" t="s">
        <v>954</v>
      </c>
      <c r="R120" s="3658"/>
      <c r="S120" s="16"/>
      <c r="T120" s="4373"/>
      <c r="W120" s="4768"/>
      <c r="X120" s="6805" t="str">
        <f>_Calcs_Klasse!$AEB$42</f>
        <v/>
      </c>
      <c r="Y120" s="6807"/>
      <c r="Z120" s="4832"/>
      <c r="AA120" s="4870"/>
      <c r="AB120" s="4871"/>
      <c r="AC120" s="6805" t="e">
        <f>_Calcs_Klasse!$AED$42</f>
        <v>#N/A</v>
      </c>
      <c r="AD120" s="6806"/>
      <c r="AE120" s="6806"/>
      <c r="AF120" s="6806"/>
      <c r="AG120" s="6807"/>
      <c r="AH120" s="4835"/>
      <c r="AI120" s="4870"/>
      <c r="AJ120" s="4870"/>
      <c r="AK120" s="4872"/>
      <c r="AL120" s="4873" t="str">
        <f>_Calcs_Klasse!$AEB$43</f>
        <v/>
      </c>
      <c r="AM120" s="4837"/>
      <c r="AN120" s="4870"/>
      <c r="AO120" s="4874"/>
      <c r="AP120" s="4804" t="e">
        <f>_Calcs_Klasse!$AED$43</f>
        <v>#N/A</v>
      </c>
      <c r="AQ120" s="4840"/>
      <c r="AR120" s="4875"/>
      <c r="AS120" s="4876"/>
      <c r="AT120" s="4873" t="str">
        <f>_Calcs_Klasse!$AEB$44</f>
        <v/>
      </c>
      <c r="AU120" s="4842"/>
      <c r="AV120" s="4870"/>
      <c r="AW120" s="4877"/>
      <c r="AX120" s="4804" t="e">
        <f>_Calcs_Klasse!$AED$44</f>
        <v>#N/A</v>
      </c>
      <c r="AY120" s="4845"/>
      <c r="AZ120" s="4870"/>
      <c r="BA120" s="4878"/>
      <c r="BB120" s="4873" t="str">
        <f>_Calcs_Klasse!$AEB$45</f>
        <v/>
      </c>
      <c r="BC120" s="4847"/>
      <c r="BD120" s="4870"/>
      <c r="BE120" s="4879"/>
      <c r="BF120" s="4804" t="e">
        <f>_Calcs_Klasse!$AED$45</f>
        <v>#N/A</v>
      </c>
      <c r="BG120" s="4850"/>
      <c r="BH120" s="4880"/>
      <c r="BI120" s="4881"/>
      <c r="BJ120" s="4873" t="str">
        <f>_Calcs_Klasse!$AEB$46</f>
        <v/>
      </c>
      <c r="BK120" s="4852"/>
      <c r="BL120" s="4870"/>
      <c r="BM120" s="4882"/>
      <c r="BN120" s="4804" t="e">
        <f>_Calcs_Klasse!$AED$46</f>
        <v>#N/A</v>
      </c>
      <c r="BO120" s="4855"/>
      <c r="BP120" s="4880"/>
      <c r="BQ120" s="4883"/>
      <c r="BR120" s="4873" t="str">
        <f>_Calcs_Klasse!$AEB$47</f>
        <v/>
      </c>
      <c r="BS120" s="4857"/>
      <c r="BT120" s="4870"/>
      <c r="BU120" s="4884"/>
      <c r="BV120" s="4804" t="e">
        <f>_Calcs_Klasse!$AED$47</f>
        <v>#N/A</v>
      </c>
      <c r="BW120" s="4860"/>
      <c r="BX120" s="4880"/>
      <c r="BY120" s="4885"/>
      <c r="BZ120" s="4873" t="str">
        <f>_Calcs_Klasse!$AEB$48</f>
        <v/>
      </c>
      <c r="CA120" s="4862"/>
      <c r="CB120" s="4870"/>
      <c r="CC120" s="4886"/>
      <c r="CD120" s="4804" t="e">
        <f>_Calcs_Klasse!$AED$48</f>
        <v>#N/A</v>
      </c>
      <c r="CE120" s="4865"/>
      <c r="CF120" s="4880"/>
      <c r="CG120" s="4887"/>
      <c r="CH120" s="4873" t="str">
        <f>_Calcs_Klasse!$AEB$49</f>
        <v/>
      </c>
      <c r="CI120" s="4867"/>
      <c r="CJ120" s="4870"/>
      <c r="CK120" s="4888"/>
      <c r="CL120" s="4804" t="e">
        <f>_Calcs_Klasse!$AED$49</f>
        <v>#N/A</v>
      </c>
      <c r="CM120" s="4713"/>
    </row>
    <row r="121" spans="1:91" s="8" customFormat="1" ht="15" customHeight="1" thickBot="1" x14ac:dyDescent="0.25">
      <c r="A121" s="4203"/>
      <c r="B121" s="4203"/>
      <c r="C121" s="4203"/>
      <c r="D121" s="4203"/>
      <c r="E121" s="4203"/>
      <c r="F121" s="4212"/>
      <c r="I121" s="2728"/>
      <c r="J121" s="10"/>
      <c r="K121" s="3321"/>
      <c r="L121" s="3322"/>
      <c r="M121" s="3322"/>
      <c r="N121" s="3322"/>
      <c r="O121" s="3323"/>
      <c r="P121" s="3324"/>
      <c r="Q121" s="3324"/>
      <c r="R121" s="3628"/>
      <c r="S121" s="3728"/>
      <c r="T121" s="4373"/>
      <c r="W121" s="4714"/>
      <c r="X121" s="4715"/>
      <c r="Y121" s="4715"/>
      <c r="Z121" s="4716"/>
      <c r="AA121" s="4575"/>
      <c r="AB121" s="4769"/>
      <c r="AC121" s="4770"/>
      <c r="AD121" s="4770"/>
      <c r="AE121" s="4770"/>
      <c r="AF121" s="4770"/>
      <c r="AG121" s="4770"/>
      <c r="AH121" s="4771"/>
      <c r="AI121" s="4568"/>
      <c r="AJ121" s="4568"/>
      <c r="AK121" s="4720"/>
      <c r="AL121" s="4721"/>
      <c r="AM121" s="4722"/>
      <c r="AN121" s="4575"/>
      <c r="AO121" s="4772"/>
      <c r="AP121" s="4773"/>
      <c r="AQ121" s="4774"/>
      <c r="AR121" s="3435"/>
      <c r="AS121" s="4726"/>
      <c r="AT121" s="4727"/>
      <c r="AU121" s="4728"/>
      <c r="AV121" s="4575"/>
      <c r="AW121" s="4775"/>
      <c r="AX121" s="4776"/>
      <c r="AY121" s="4777"/>
      <c r="AZ121" s="4568"/>
      <c r="BA121" s="4732"/>
      <c r="BB121" s="4733"/>
      <c r="BC121" s="4734"/>
      <c r="BD121" s="4575"/>
      <c r="BE121" s="4778"/>
      <c r="BF121" s="4779"/>
      <c r="BG121" s="4780"/>
      <c r="BH121" s="4445"/>
      <c r="BI121" s="4738"/>
      <c r="BJ121" s="4739"/>
      <c r="BK121" s="4740"/>
      <c r="BL121" s="4575"/>
      <c r="BM121" s="4781"/>
      <c r="BN121" s="4782"/>
      <c r="BO121" s="4783"/>
      <c r="BP121" s="4445"/>
      <c r="BQ121" s="4744"/>
      <c r="BR121" s="4745"/>
      <c r="BS121" s="4746"/>
      <c r="BT121" s="4575"/>
      <c r="BU121" s="4784"/>
      <c r="BV121" s="4785"/>
      <c r="BW121" s="4786"/>
      <c r="BX121" s="4445"/>
      <c r="BY121" s="4750"/>
      <c r="BZ121" s="4751"/>
      <c r="CA121" s="4752"/>
      <c r="CB121" s="4575"/>
      <c r="CC121" s="4787"/>
      <c r="CD121" s="4788"/>
      <c r="CE121" s="4789"/>
      <c r="CF121" s="4445"/>
      <c r="CG121" s="4756"/>
      <c r="CH121" s="4757"/>
      <c r="CI121" s="4758"/>
      <c r="CJ121" s="4575"/>
      <c r="CK121" s="4790"/>
      <c r="CL121" s="4791"/>
      <c r="CM121" s="4792"/>
    </row>
    <row r="122" spans="1:91" s="8" customFormat="1" ht="35.1" customHeight="1" x14ac:dyDescent="0.25">
      <c r="A122" s="4203"/>
      <c r="B122" s="4203"/>
      <c r="C122" s="4203"/>
      <c r="D122" s="4203"/>
      <c r="E122" s="4203"/>
      <c r="F122" s="4212"/>
      <c r="L122" s="21"/>
      <c r="M122" s="21"/>
      <c r="N122" s="21"/>
      <c r="O122" s="13"/>
      <c r="P122" s="21"/>
      <c r="Q122" s="15"/>
      <c r="S122" s="16"/>
      <c r="T122" s="4373"/>
      <c r="U122" s="181"/>
      <c r="V122" s="181"/>
      <c r="W122" s="3435"/>
      <c r="X122" s="3435"/>
      <c r="Y122" s="3435"/>
      <c r="Z122" s="3435"/>
      <c r="AA122" s="3435"/>
      <c r="AB122" s="3435"/>
      <c r="AC122" s="4762"/>
      <c r="AD122" s="4762"/>
      <c r="AE122" s="4762"/>
      <c r="AF122" s="4762"/>
      <c r="AG122" s="4762"/>
      <c r="AH122" s="3435"/>
      <c r="AI122" s="3435"/>
      <c r="AJ122" s="3435"/>
      <c r="AK122" s="3435"/>
      <c r="AL122" s="3435"/>
      <c r="AM122" s="3435"/>
      <c r="AN122" s="3435"/>
      <c r="AO122" s="3435"/>
      <c r="AP122" s="4762"/>
      <c r="AQ122" s="3435"/>
      <c r="AR122" s="3435"/>
      <c r="AS122" s="3435"/>
      <c r="AT122" s="3435"/>
      <c r="AU122" s="3435"/>
      <c r="AV122" s="3435"/>
      <c r="AW122" s="3435"/>
      <c r="AX122" s="4762"/>
      <c r="AY122" s="3435"/>
      <c r="AZ122" s="3435"/>
      <c r="BA122" s="3435"/>
      <c r="BB122" s="3435"/>
      <c r="BC122" s="3435"/>
      <c r="BD122" s="3435"/>
      <c r="BE122" s="3435"/>
      <c r="BF122" s="4762"/>
      <c r="BG122" s="3435"/>
      <c r="BH122" s="3435"/>
      <c r="BI122" s="3435"/>
      <c r="BJ122" s="3435"/>
      <c r="BK122" s="3435"/>
      <c r="BL122" s="3435"/>
      <c r="BM122" s="3435"/>
      <c r="BN122" s="4762"/>
      <c r="BO122" s="3435"/>
      <c r="BP122" s="3435"/>
      <c r="BQ122" s="3435"/>
      <c r="BR122" s="3435"/>
      <c r="BS122" s="3435"/>
      <c r="BT122" s="3435"/>
      <c r="BU122" s="3435"/>
      <c r="BV122" s="4762"/>
      <c r="BW122" s="3435"/>
      <c r="BX122" s="3435"/>
      <c r="BY122" s="3435"/>
      <c r="BZ122" s="3435"/>
      <c r="CA122" s="3435"/>
      <c r="CB122" s="3435"/>
      <c r="CC122" s="3435"/>
      <c r="CD122" s="4762"/>
      <c r="CE122" s="3435"/>
      <c r="CF122" s="3435"/>
      <c r="CG122" s="3435"/>
      <c r="CH122" s="3435"/>
      <c r="CI122" s="3435"/>
      <c r="CJ122" s="3435"/>
      <c r="CK122" s="3435"/>
      <c r="CL122" s="4762"/>
      <c r="CM122" s="3435"/>
    </row>
    <row r="123" spans="1:91" s="2720" customFormat="1" ht="15" customHeight="1" x14ac:dyDescent="0.25">
      <c r="A123" s="4206"/>
      <c r="B123" s="4206"/>
      <c r="C123" s="4206"/>
      <c r="D123" s="4206"/>
      <c r="E123" s="4206"/>
      <c r="F123" s="4210"/>
      <c r="I123" s="3310"/>
      <c r="J123" s="3310"/>
      <c r="K123" s="3310"/>
      <c r="L123" s="3790"/>
      <c r="M123" s="3790"/>
      <c r="N123" s="3790"/>
      <c r="O123" s="4219"/>
      <c r="P123" s="3790"/>
      <c r="Q123" s="4222"/>
      <c r="R123" s="3310"/>
      <c r="S123" s="435"/>
      <c r="T123" s="4373"/>
      <c r="W123" s="4763"/>
      <c r="X123" s="4763"/>
      <c r="Y123" s="4763"/>
      <c r="Z123" s="4763"/>
      <c r="AA123" s="4763"/>
      <c r="AB123" s="4763"/>
      <c r="AC123" s="4764"/>
      <c r="AD123" s="4764"/>
      <c r="AE123" s="4764"/>
      <c r="AF123" s="4764"/>
      <c r="AG123" s="4764"/>
      <c r="AH123" s="4763"/>
      <c r="AI123" s="4763"/>
      <c r="AJ123" s="4763"/>
      <c r="AK123" s="4763"/>
      <c r="AL123" s="4763"/>
      <c r="AM123" s="4763"/>
      <c r="AN123" s="4763"/>
      <c r="AO123" s="4763"/>
      <c r="AP123" s="4764"/>
      <c r="AQ123" s="4763"/>
      <c r="AR123" s="4763"/>
      <c r="AS123" s="4763"/>
      <c r="AT123" s="4763"/>
      <c r="AU123" s="4763"/>
      <c r="AV123" s="4763"/>
      <c r="AW123" s="4763"/>
      <c r="AX123" s="4764"/>
      <c r="AY123" s="4763"/>
      <c r="AZ123" s="4763"/>
      <c r="BA123" s="4763"/>
      <c r="BB123" s="4763"/>
      <c r="BC123" s="4763"/>
      <c r="BD123" s="4763"/>
      <c r="BE123" s="4763"/>
      <c r="BF123" s="4764"/>
      <c r="BG123" s="4763"/>
      <c r="BH123" s="4763"/>
      <c r="BI123" s="4763"/>
      <c r="BJ123" s="4763"/>
      <c r="BK123" s="4763"/>
      <c r="BL123" s="4763"/>
      <c r="BM123" s="4763"/>
      <c r="BN123" s="4764"/>
      <c r="BO123" s="4763"/>
      <c r="BP123" s="4763"/>
      <c r="BQ123" s="4763"/>
      <c r="BR123" s="4763"/>
      <c r="BS123" s="4763"/>
      <c r="BT123" s="4763"/>
      <c r="BU123" s="4763"/>
      <c r="BV123" s="4764"/>
      <c r="BW123" s="4763"/>
      <c r="BX123" s="4763"/>
      <c r="BY123" s="4763"/>
      <c r="BZ123" s="4763"/>
      <c r="CA123" s="4763"/>
      <c r="CB123" s="4763"/>
      <c r="CC123" s="4763"/>
      <c r="CD123" s="4764"/>
      <c r="CE123" s="4763"/>
      <c r="CF123" s="4763"/>
      <c r="CG123" s="4763"/>
      <c r="CH123" s="4763"/>
      <c r="CI123" s="4763"/>
      <c r="CJ123" s="4763"/>
      <c r="CK123" s="4763"/>
      <c r="CL123" s="4764"/>
      <c r="CM123" s="4763"/>
    </row>
    <row r="124" spans="1:91" s="181" customFormat="1" ht="35.1" customHeight="1" thickBot="1" x14ac:dyDescent="0.3">
      <c r="A124" s="4205"/>
      <c r="B124" s="4205"/>
      <c r="C124" s="4205"/>
      <c r="D124" s="4205"/>
      <c r="E124" s="4205"/>
      <c r="F124" s="4211"/>
      <c r="K124" s="2373"/>
      <c r="L124" s="2625"/>
      <c r="M124" s="2625"/>
      <c r="N124" s="2625"/>
      <c r="O124" s="2737"/>
      <c r="P124" s="207"/>
      <c r="Q124" s="402"/>
      <c r="R124" s="2809"/>
      <c r="S124" s="3675"/>
      <c r="T124" s="4373"/>
      <c r="W124" s="4489"/>
      <c r="X124" s="4489"/>
      <c r="Y124" s="4489"/>
      <c r="Z124" s="4489"/>
      <c r="AA124" s="4489"/>
      <c r="AB124" s="4489"/>
      <c r="AC124" s="4766"/>
      <c r="AD124" s="4766"/>
      <c r="AE124" s="4766"/>
      <c r="AF124" s="4766"/>
      <c r="AG124" s="4766"/>
      <c r="AH124" s="4489"/>
      <c r="AI124" s="4489"/>
      <c r="AJ124" s="4489"/>
      <c r="AK124" s="4489"/>
      <c r="AL124" s="4489"/>
      <c r="AM124" s="4489"/>
      <c r="AN124" s="4489"/>
      <c r="AO124" s="4489"/>
      <c r="AP124" s="4766"/>
      <c r="AQ124" s="4489"/>
      <c r="AR124" s="3435"/>
      <c r="AS124" s="4489"/>
      <c r="AT124" s="4489"/>
      <c r="AU124" s="4489"/>
      <c r="AV124" s="4489"/>
      <c r="AW124" s="4489"/>
      <c r="AX124" s="4766"/>
      <c r="AY124" s="4489"/>
      <c r="AZ124" s="4489"/>
      <c r="BA124" s="4489"/>
      <c r="BB124" s="4489"/>
      <c r="BC124" s="4489"/>
      <c r="BD124" s="4489"/>
      <c r="BE124" s="4489"/>
      <c r="BF124" s="4766"/>
      <c r="BG124" s="4489"/>
      <c r="BH124" s="3435"/>
      <c r="BI124" s="4489"/>
      <c r="BJ124" s="4489"/>
      <c r="BK124" s="4489"/>
      <c r="BL124" s="4489"/>
      <c r="BM124" s="4489"/>
      <c r="BN124" s="4766"/>
      <c r="BO124" s="4489"/>
      <c r="BP124" s="3435"/>
      <c r="BQ124" s="4489"/>
      <c r="BR124" s="4489"/>
      <c r="BS124" s="4489"/>
      <c r="BT124" s="4489"/>
      <c r="BU124" s="4489"/>
      <c r="BV124" s="4766"/>
      <c r="BW124" s="4489"/>
      <c r="BX124" s="3435"/>
      <c r="BY124" s="4489"/>
      <c r="BZ124" s="4489"/>
      <c r="CA124" s="4489"/>
      <c r="CB124" s="4489"/>
      <c r="CC124" s="4489"/>
      <c r="CD124" s="4766"/>
      <c r="CE124" s="4489"/>
      <c r="CF124" s="3435"/>
      <c r="CG124" s="4489"/>
      <c r="CH124" s="4489"/>
      <c r="CI124" s="4489"/>
      <c r="CJ124" s="4489"/>
      <c r="CK124" s="4489"/>
      <c r="CL124" s="4766"/>
      <c r="CM124" s="4489"/>
    </row>
    <row r="125" spans="1:91" s="8" customFormat="1" ht="20.100000000000001" customHeight="1" thickBot="1" x14ac:dyDescent="0.25">
      <c r="A125" s="4203"/>
      <c r="B125" s="4203"/>
      <c r="C125" s="4203"/>
      <c r="D125" s="4203"/>
      <c r="E125" s="4203"/>
      <c r="F125" s="4212"/>
      <c r="I125" s="2805"/>
      <c r="J125" s="10"/>
      <c r="K125" s="3335"/>
      <c r="L125" s="6798" t="str">
        <f>_Calcs_Klasse!$AHQ$35</f>
        <v>Sprøytebetong - Heng og vederlag</v>
      </c>
      <c r="M125" s="6798"/>
      <c r="N125" s="6798"/>
      <c r="O125" s="6798"/>
      <c r="P125" s="6798"/>
      <c r="Q125" s="6798"/>
      <c r="R125" s="3653"/>
      <c r="S125" s="3660"/>
      <c r="T125" s="4373"/>
      <c r="W125" s="4574"/>
      <c r="X125" s="4574"/>
      <c r="Y125" s="4574"/>
      <c r="Z125" s="4574"/>
      <c r="AA125" s="4575"/>
      <c r="AB125" s="4574"/>
      <c r="AC125" s="4576"/>
      <c r="AD125" s="4576"/>
      <c r="AE125" s="4576"/>
      <c r="AF125" s="4576"/>
      <c r="AG125" s="4576"/>
      <c r="AH125" s="4574"/>
      <c r="AI125" s="4568"/>
      <c r="AJ125" s="4568"/>
      <c r="AK125" s="4574"/>
      <c r="AL125" s="4574"/>
      <c r="AM125" s="4574"/>
      <c r="AN125" s="4575"/>
      <c r="AO125" s="4574"/>
      <c r="AP125" s="4576"/>
      <c r="AQ125" s="4574"/>
      <c r="AR125" s="3435"/>
      <c r="AS125" s="4574"/>
      <c r="AT125" s="4574"/>
      <c r="AU125" s="4574"/>
      <c r="AV125" s="4575"/>
      <c r="AW125" s="4574"/>
      <c r="AX125" s="4576"/>
      <c r="AY125" s="4574"/>
      <c r="AZ125" s="4568"/>
      <c r="BA125" s="4574"/>
      <c r="BB125" s="4574"/>
      <c r="BC125" s="4574"/>
      <c r="BD125" s="4575"/>
      <c r="BE125" s="4574"/>
      <c r="BF125" s="4576"/>
      <c r="BG125" s="4574"/>
      <c r="BH125" s="4445"/>
      <c r="BI125" s="4574"/>
      <c r="BJ125" s="4574"/>
      <c r="BK125" s="4574"/>
      <c r="BL125" s="4575"/>
      <c r="BM125" s="4574"/>
      <c r="BN125" s="4576"/>
      <c r="BO125" s="4574"/>
      <c r="BP125" s="4445"/>
      <c r="BQ125" s="4574"/>
      <c r="BR125" s="4574"/>
      <c r="BS125" s="4574"/>
      <c r="BT125" s="4575"/>
      <c r="BU125" s="4574"/>
      <c r="BV125" s="4576"/>
      <c r="BW125" s="4574"/>
      <c r="BX125" s="4445"/>
      <c r="BY125" s="4574"/>
      <c r="BZ125" s="4574"/>
      <c r="CA125" s="4574"/>
      <c r="CB125" s="4575"/>
      <c r="CC125" s="4574"/>
      <c r="CD125" s="4576"/>
      <c r="CE125" s="4574"/>
      <c r="CF125" s="4445"/>
      <c r="CG125" s="4574"/>
      <c r="CH125" s="4574"/>
      <c r="CI125" s="4574"/>
      <c r="CJ125" s="4575"/>
      <c r="CK125" s="4574"/>
      <c r="CL125" s="4576"/>
      <c r="CM125" s="4574"/>
    </row>
    <row r="126" spans="1:91" s="8" customFormat="1" ht="15" customHeight="1" thickBot="1" x14ac:dyDescent="0.25">
      <c r="A126" s="4203"/>
      <c r="B126" s="4203"/>
      <c r="C126" s="4203"/>
      <c r="D126" s="4203"/>
      <c r="E126" s="4203"/>
      <c r="F126" s="4212"/>
      <c r="I126" s="6795" t="s">
        <v>105</v>
      </c>
      <c r="J126" s="10"/>
      <c r="K126" s="3336"/>
      <c r="L126" s="6799"/>
      <c r="M126" s="6799"/>
      <c r="N126" s="6799"/>
      <c r="O126" s="6799"/>
      <c r="P126" s="6799"/>
      <c r="Q126" s="6799"/>
      <c r="R126" s="3654"/>
      <c r="S126" s="3660"/>
      <c r="T126" s="4373"/>
      <c r="W126" s="4577"/>
      <c r="X126" s="4578"/>
      <c r="Y126" s="4578"/>
      <c r="Z126" s="4579"/>
      <c r="AA126" s="4489"/>
      <c r="AB126" s="4580"/>
      <c r="AC126" s="4581"/>
      <c r="AD126" s="4581"/>
      <c r="AE126" s="4581"/>
      <c r="AF126" s="4581"/>
      <c r="AG126" s="4581"/>
      <c r="AH126" s="4582"/>
      <c r="AI126" s="4568"/>
      <c r="AJ126" s="4568"/>
      <c r="AK126" s="4583"/>
      <c r="AL126" s="4584"/>
      <c r="AM126" s="4585"/>
      <c r="AN126" s="4489"/>
      <c r="AO126" s="4586"/>
      <c r="AP126" s="4587"/>
      <c r="AQ126" s="4588"/>
      <c r="AR126" s="3435"/>
      <c r="AS126" s="4589"/>
      <c r="AT126" s="4590"/>
      <c r="AU126" s="4591"/>
      <c r="AV126" s="4489"/>
      <c r="AW126" s="4592"/>
      <c r="AX126" s="4593"/>
      <c r="AY126" s="4594"/>
      <c r="AZ126" s="4568"/>
      <c r="BA126" s="4595"/>
      <c r="BB126" s="4596"/>
      <c r="BC126" s="4597"/>
      <c r="BD126" s="4489"/>
      <c r="BE126" s="4598"/>
      <c r="BF126" s="4599"/>
      <c r="BG126" s="4600"/>
      <c r="BH126" s="4445"/>
      <c r="BI126" s="4601"/>
      <c r="BJ126" s="4602"/>
      <c r="BK126" s="4603"/>
      <c r="BL126" s="4489"/>
      <c r="BM126" s="4604"/>
      <c r="BN126" s="4605"/>
      <c r="BO126" s="4606"/>
      <c r="BP126" s="4445"/>
      <c r="BQ126" s="4607"/>
      <c r="BR126" s="4608"/>
      <c r="BS126" s="4609"/>
      <c r="BT126" s="4489"/>
      <c r="BU126" s="4610"/>
      <c r="BV126" s="4611"/>
      <c r="BW126" s="4612"/>
      <c r="BX126" s="4445"/>
      <c r="BY126" s="4613"/>
      <c r="BZ126" s="4614"/>
      <c r="CA126" s="4615"/>
      <c r="CB126" s="4489"/>
      <c r="CC126" s="4616"/>
      <c r="CD126" s="4617"/>
      <c r="CE126" s="4618"/>
      <c r="CF126" s="4445"/>
      <c r="CG126" s="4619"/>
      <c r="CH126" s="4620"/>
      <c r="CI126" s="4621"/>
      <c r="CJ126" s="4489"/>
      <c r="CK126" s="4622"/>
      <c r="CL126" s="4623"/>
      <c r="CM126" s="4624"/>
    </row>
    <row r="127" spans="1:91" s="8" customFormat="1" ht="8.1" customHeight="1" thickBot="1" x14ac:dyDescent="0.25">
      <c r="A127" s="4203"/>
      <c r="B127" s="4203"/>
      <c r="C127" s="4203"/>
      <c r="D127" s="4203"/>
      <c r="E127" s="4203"/>
      <c r="F127" s="4212"/>
      <c r="I127" s="6795"/>
      <c r="J127" s="10"/>
      <c r="K127" s="14"/>
      <c r="L127" s="129"/>
      <c r="M127" s="129"/>
      <c r="N127" s="129"/>
      <c r="O127" s="16"/>
      <c r="P127" s="17"/>
      <c r="Q127" s="17"/>
      <c r="R127" s="17"/>
      <c r="S127" s="16"/>
      <c r="T127" s="4373"/>
      <c r="W127" s="4574"/>
      <c r="X127" s="4625"/>
      <c r="Y127" s="4625"/>
      <c r="Z127" s="4626"/>
      <c r="AA127" s="4575"/>
      <c r="AB127" s="4574"/>
      <c r="AC127" s="4627"/>
      <c r="AD127" s="4627"/>
      <c r="AE127" s="4627"/>
      <c r="AF127" s="4627"/>
      <c r="AG127" s="4627"/>
      <c r="AH127" s="4626"/>
      <c r="AI127" s="4568"/>
      <c r="AJ127" s="4568"/>
      <c r="AK127" s="4574"/>
      <c r="AL127" s="4625"/>
      <c r="AM127" s="4626"/>
      <c r="AN127" s="4575"/>
      <c r="AO127" s="4574"/>
      <c r="AP127" s="4627"/>
      <c r="AQ127" s="4626"/>
      <c r="AR127" s="3435"/>
      <c r="AS127" s="4574"/>
      <c r="AT127" s="4625"/>
      <c r="AU127" s="4626"/>
      <c r="AV127" s="4575"/>
      <c r="AW127" s="4574"/>
      <c r="AX127" s="4627"/>
      <c r="AY127" s="4626"/>
      <c r="AZ127" s="4568"/>
      <c r="BA127" s="4574"/>
      <c r="BB127" s="4625"/>
      <c r="BC127" s="4626"/>
      <c r="BD127" s="4575"/>
      <c r="BE127" s="4574"/>
      <c r="BF127" s="4627"/>
      <c r="BG127" s="4626"/>
      <c r="BH127" s="4445"/>
      <c r="BI127" s="4574"/>
      <c r="BJ127" s="4625"/>
      <c r="BK127" s="4626"/>
      <c r="BL127" s="4575"/>
      <c r="BM127" s="4574"/>
      <c r="BN127" s="4627"/>
      <c r="BO127" s="4626"/>
      <c r="BP127" s="4445"/>
      <c r="BQ127" s="4574"/>
      <c r="BR127" s="4625"/>
      <c r="BS127" s="4626"/>
      <c r="BT127" s="4575"/>
      <c r="BU127" s="4574"/>
      <c r="BV127" s="4627"/>
      <c r="BW127" s="4626"/>
      <c r="BX127" s="4445"/>
      <c r="BY127" s="4574"/>
      <c r="BZ127" s="4625"/>
      <c r="CA127" s="4626"/>
      <c r="CB127" s="4575"/>
      <c r="CC127" s="4574"/>
      <c r="CD127" s="4627"/>
      <c r="CE127" s="4626"/>
      <c r="CF127" s="4445"/>
      <c r="CG127" s="4574"/>
      <c r="CH127" s="4625"/>
      <c r="CI127" s="4626"/>
      <c r="CJ127" s="4575"/>
      <c r="CK127" s="4574"/>
      <c r="CL127" s="4627"/>
      <c r="CM127" s="4626"/>
    </row>
    <row r="128" spans="1:91" s="8" customFormat="1" ht="15" customHeight="1" thickBot="1" x14ac:dyDescent="0.25">
      <c r="A128" s="4203"/>
      <c r="B128" s="4203"/>
      <c r="C128" s="4203"/>
      <c r="D128" s="4203"/>
      <c r="E128" s="4203"/>
      <c r="F128" s="4212"/>
      <c r="I128" s="6795"/>
      <c r="J128" s="10"/>
      <c r="K128" s="3329"/>
      <c r="L128" s="3330"/>
      <c r="M128" s="3330"/>
      <c r="N128" s="3330"/>
      <c r="O128" s="3331"/>
      <c r="P128" s="3332"/>
      <c r="Q128" s="3332"/>
      <c r="R128" s="3626"/>
      <c r="S128" s="2798"/>
      <c r="T128" s="4373"/>
      <c r="W128" s="4628"/>
      <c r="X128" s="4629"/>
      <c r="Y128" s="4629"/>
      <c r="Z128" s="4630"/>
      <c r="AA128" s="4767"/>
      <c r="AB128" s="4631"/>
      <c r="AC128" s="4632"/>
      <c r="AD128" s="4632"/>
      <c r="AE128" s="4632"/>
      <c r="AF128" s="4632"/>
      <c r="AG128" s="4632"/>
      <c r="AH128" s="4633"/>
      <c r="AI128" s="4568"/>
      <c r="AJ128" s="4568"/>
      <c r="AK128" s="4634"/>
      <c r="AL128" s="4635"/>
      <c r="AM128" s="4636"/>
      <c r="AN128" s="4767"/>
      <c r="AO128" s="4637"/>
      <c r="AP128" s="4638"/>
      <c r="AQ128" s="4639"/>
      <c r="AR128" s="3435"/>
      <c r="AS128" s="4640"/>
      <c r="AT128" s="4641"/>
      <c r="AU128" s="4642"/>
      <c r="AV128" s="4767"/>
      <c r="AW128" s="4643"/>
      <c r="AX128" s="4644"/>
      <c r="AY128" s="4645"/>
      <c r="AZ128" s="4568"/>
      <c r="BA128" s="4646"/>
      <c r="BB128" s="4647"/>
      <c r="BC128" s="4648"/>
      <c r="BD128" s="4767"/>
      <c r="BE128" s="4649"/>
      <c r="BF128" s="4650"/>
      <c r="BG128" s="4651"/>
      <c r="BH128" s="4445"/>
      <c r="BI128" s="4652"/>
      <c r="BJ128" s="4653"/>
      <c r="BK128" s="4654"/>
      <c r="BL128" s="4767"/>
      <c r="BM128" s="4655"/>
      <c r="BN128" s="4656"/>
      <c r="BO128" s="4657"/>
      <c r="BP128" s="4445"/>
      <c r="BQ128" s="4658"/>
      <c r="BR128" s="4659"/>
      <c r="BS128" s="4660"/>
      <c r="BT128" s="4767"/>
      <c r="BU128" s="4661"/>
      <c r="BV128" s="4662"/>
      <c r="BW128" s="4663"/>
      <c r="BX128" s="4445"/>
      <c r="BY128" s="4664"/>
      <c r="BZ128" s="4665"/>
      <c r="CA128" s="4666"/>
      <c r="CB128" s="4767"/>
      <c r="CC128" s="4667"/>
      <c r="CD128" s="4668"/>
      <c r="CE128" s="4669"/>
      <c r="CF128" s="4445"/>
      <c r="CG128" s="4670"/>
      <c r="CH128" s="4671"/>
      <c r="CI128" s="4672"/>
      <c r="CJ128" s="4767"/>
      <c r="CK128" s="4673"/>
      <c r="CL128" s="4674"/>
      <c r="CM128" s="4675"/>
    </row>
    <row r="129" spans="1:91" s="8" customFormat="1" ht="24.95" customHeight="1" thickBot="1" x14ac:dyDescent="0.25">
      <c r="A129" s="4203"/>
      <c r="B129" s="4203"/>
      <c r="C129" s="4203"/>
      <c r="D129" s="4203"/>
      <c r="E129" s="4203"/>
      <c r="F129" s="4212" t="s">
        <v>1553</v>
      </c>
      <c r="I129" s="2791"/>
      <c r="J129" s="10"/>
      <c r="K129" s="3326"/>
      <c r="L129" s="4377" t="str">
        <f>_Calcs_Klasse!$AHQ$39</f>
        <v>Sprøytebetong tykkelse lag</v>
      </c>
      <c r="M129" s="4377"/>
      <c r="N129" s="4377"/>
      <c r="O129" s="5095" t="s">
        <v>149</v>
      </c>
      <c r="P129" s="5096"/>
      <c r="Q129" s="5096" t="s">
        <v>1067</v>
      </c>
      <c r="R129" s="3627"/>
      <c r="S129" s="16"/>
      <c r="T129" s="4373"/>
      <c r="W129" s="4676"/>
      <c r="X129" s="6808"/>
      <c r="Y129" s="6809"/>
      <c r="Z129" s="4677"/>
      <c r="AA129" s="4678"/>
      <c r="AB129" s="4679"/>
      <c r="AC129" s="6810" t="e">
        <f>_Calcs_Klasse!$AHU$42</f>
        <v>#N/A</v>
      </c>
      <c r="AD129" s="6811"/>
      <c r="AE129" s="6811"/>
      <c r="AF129" s="6811"/>
      <c r="AG129" s="6812"/>
      <c r="AH129" s="4680"/>
      <c r="AI129" s="4681"/>
      <c r="AJ129" s="4681"/>
      <c r="AK129" s="4682"/>
      <c r="AL129" s="4683"/>
      <c r="AM129" s="4684"/>
      <c r="AN129" s="4678"/>
      <c r="AO129" s="4685"/>
      <c r="AP129" s="4686" t="e">
        <f>_Calcs_Klasse!$AHU$43</f>
        <v>#N/A</v>
      </c>
      <c r="AQ129" s="4687"/>
      <c r="AR129" s="4688"/>
      <c r="AS129" s="4689"/>
      <c r="AT129" s="4683"/>
      <c r="AU129" s="4690"/>
      <c r="AV129" s="4678"/>
      <c r="AW129" s="4691"/>
      <c r="AX129" s="4686" t="e">
        <f>_Calcs_Klasse!$AHU$44</f>
        <v>#N/A</v>
      </c>
      <c r="AY129" s="4692"/>
      <c r="AZ129" s="4681"/>
      <c r="BA129" s="4693"/>
      <c r="BB129" s="4683"/>
      <c r="BC129" s="4694"/>
      <c r="BD129" s="4678"/>
      <c r="BE129" s="4695"/>
      <c r="BF129" s="4686" t="e">
        <f>_Calcs_Klasse!$AHU$45</f>
        <v>#N/A</v>
      </c>
      <c r="BG129" s="4696"/>
      <c r="BH129" s="4697"/>
      <c r="BI129" s="4698"/>
      <c r="BJ129" s="4683"/>
      <c r="BK129" s="4699"/>
      <c r="BL129" s="4678"/>
      <c r="BM129" s="4700"/>
      <c r="BN129" s="4686" t="e">
        <f>_Calcs_Klasse!$AHU$46</f>
        <v>#N/A</v>
      </c>
      <c r="BO129" s="4701"/>
      <c r="BP129" s="4697"/>
      <c r="BQ129" s="4702"/>
      <c r="BR129" s="4683"/>
      <c r="BS129" s="4703"/>
      <c r="BT129" s="4678"/>
      <c r="BU129" s="4704"/>
      <c r="BV129" s="4686" t="e">
        <f>_Calcs_Klasse!$AHU$47</f>
        <v>#N/A</v>
      </c>
      <c r="BW129" s="4705"/>
      <c r="BX129" s="4697"/>
      <c r="BY129" s="4706"/>
      <c r="BZ129" s="4683"/>
      <c r="CA129" s="4707"/>
      <c r="CB129" s="4678"/>
      <c r="CC129" s="4708"/>
      <c r="CD129" s="4686" t="e">
        <f>_Calcs_Klasse!$AHU$48</f>
        <v>#N/A</v>
      </c>
      <c r="CE129" s="4709"/>
      <c r="CF129" s="4697"/>
      <c r="CG129" s="4710"/>
      <c r="CH129" s="4683"/>
      <c r="CI129" s="4711"/>
      <c r="CJ129" s="4678"/>
      <c r="CK129" s="4712"/>
      <c r="CL129" s="4686" t="e">
        <f>_Calcs_Klasse!$AHU$49</f>
        <v>#N/A</v>
      </c>
      <c r="CM129" s="4713"/>
    </row>
    <row r="130" spans="1:91" s="8" customFormat="1" ht="12" customHeight="1" thickBot="1" x14ac:dyDescent="0.25">
      <c r="A130" s="4203"/>
      <c r="B130" s="4203"/>
      <c r="C130" s="4203"/>
      <c r="D130" s="4203"/>
      <c r="E130" s="4203"/>
      <c r="F130" s="4212"/>
      <c r="I130" s="2793"/>
      <c r="J130" s="10"/>
      <c r="K130" s="3321"/>
      <c r="L130" s="3322"/>
      <c r="M130" s="3322"/>
      <c r="N130" s="3322"/>
      <c r="O130" s="3323"/>
      <c r="P130" s="3324"/>
      <c r="Q130" s="3324"/>
      <c r="R130" s="3628"/>
      <c r="S130" s="3808"/>
      <c r="T130" s="4373"/>
      <c r="W130" s="4714"/>
      <c r="X130" s="4715"/>
      <c r="Y130" s="4715"/>
      <c r="Z130" s="4716"/>
      <c r="AA130" s="4767"/>
      <c r="AB130" s="4769"/>
      <c r="AC130" s="4770"/>
      <c r="AD130" s="4770"/>
      <c r="AE130" s="4770"/>
      <c r="AF130" s="4770"/>
      <c r="AG130" s="4770"/>
      <c r="AH130" s="4771"/>
      <c r="AI130" s="4568"/>
      <c r="AJ130" s="4568"/>
      <c r="AK130" s="4720"/>
      <c r="AL130" s="4721"/>
      <c r="AM130" s="4722"/>
      <c r="AN130" s="4767"/>
      <c r="AO130" s="4772"/>
      <c r="AP130" s="4773"/>
      <c r="AQ130" s="4774"/>
      <c r="AR130" s="3435"/>
      <c r="AS130" s="4726"/>
      <c r="AT130" s="4727"/>
      <c r="AU130" s="4728"/>
      <c r="AV130" s="4767"/>
      <c r="AW130" s="4775"/>
      <c r="AX130" s="4776"/>
      <c r="AY130" s="4777"/>
      <c r="AZ130" s="4568"/>
      <c r="BA130" s="4732"/>
      <c r="BB130" s="4733"/>
      <c r="BC130" s="4734"/>
      <c r="BD130" s="4767"/>
      <c r="BE130" s="4778"/>
      <c r="BF130" s="4779"/>
      <c r="BG130" s="4780"/>
      <c r="BH130" s="4445"/>
      <c r="BI130" s="4738"/>
      <c r="BJ130" s="4739"/>
      <c r="BK130" s="4740"/>
      <c r="BL130" s="4767"/>
      <c r="BM130" s="4781"/>
      <c r="BN130" s="4782"/>
      <c r="BO130" s="4783"/>
      <c r="BP130" s="4445"/>
      <c r="BQ130" s="4744"/>
      <c r="BR130" s="4745"/>
      <c r="BS130" s="4746"/>
      <c r="BT130" s="4767"/>
      <c r="BU130" s="4784"/>
      <c r="BV130" s="4785"/>
      <c r="BW130" s="4786"/>
      <c r="BX130" s="4445"/>
      <c r="BY130" s="4750"/>
      <c r="BZ130" s="4751"/>
      <c r="CA130" s="4752"/>
      <c r="CB130" s="4767"/>
      <c r="CC130" s="4787"/>
      <c r="CD130" s="4788"/>
      <c r="CE130" s="4789"/>
      <c r="CF130" s="4445"/>
      <c r="CG130" s="4756"/>
      <c r="CH130" s="4757"/>
      <c r="CI130" s="4758"/>
      <c r="CJ130" s="4767"/>
      <c r="CK130" s="4790"/>
      <c r="CL130" s="4791"/>
      <c r="CM130" s="4792"/>
    </row>
    <row r="131" spans="1:91" s="8" customFormat="1" ht="15" customHeight="1" thickBot="1" x14ac:dyDescent="0.3">
      <c r="A131" s="4203"/>
      <c r="B131" s="4203"/>
      <c r="C131" s="4203"/>
      <c r="D131" s="4203"/>
      <c r="E131" s="4203"/>
      <c r="F131" s="4212"/>
      <c r="I131" s="2793"/>
      <c r="L131" s="21"/>
      <c r="M131" s="21"/>
      <c r="N131" s="21"/>
      <c r="O131" s="13"/>
      <c r="P131" s="21"/>
      <c r="Q131" s="15"/>
      <c r="S131" s="16"/>
      <c r="T131" s="4373"/>
      <c r="U131" s="181"/>
      <c r="V131" s="181"/>
      <c r="W131" s="3435"/>
      <c r="X131" s="3435"/>
      <c r="Y131" s="3435"/>
      <c r="Z131" s="3435"/>
      <c r="AA131" s="3435"/>
      <c r="AB131" s="3435"/>
      <c r="AC131" s="4762"/>
      <c r="AD131" s="4762"/>
      <c r="AE131" s="4762"/>
      <c r="AF131" s="4762"/>
      <c r="AG131" s="4762"/>
      <c r="AH131" s="3435"/>
      <c r="AI131" s="3435"/>
      <c r="AJ131" s="3435"/>
      <c r="AK131" s="3435"/>
      <c r="AL131" s="3435"/>
      <c r="AM131" s="3435"/>
      <c r="AN131" s="3435"/>
      <c r="AO131" s="3435"/>
      <c r="AP131" s="4762"/>
      <c r="AQ131" s="3435"/>
      <c r="AR131" s="3435"/>
      <c r="AS131" s="3435"/>
      <c r="AT131" s="3435"/>
      <c r="AU131" s="3435"/>
      <c r="AV131" s="3435"/>
      <c r="AW131" s="3435"/>
      <c r="AX131" s="4762"/>
      <c r="AY131" s="3435"/>
      <c r="AZ131" s="3435"/>
      <c r="BA131" s="3435"/>
      <c r="BB131" s="3435"/>
      <c r="BC131" s="3435"/>
      <c r="BD131" s="3435"/>
      <c r="BE131" s="3435"/>
      <c r="BF131" s="4762"/>
      <c r="BG131" s="3435"/>
      <c r="BH131" s="3435"/>
      <c r="BI131" s="3435"/>
      <c r="BJ131" s="3435"/>
      <c r="BK131" s="3435"/>
      <c r="BL131" s="3435"/>
      <c r="BM131" s="3435"/>
      <c r="BN131" s="4762"/>
      <c r="BO131" s="3435"/>
      <c r="BP131" s="3435"/>
      <c r="BQ131" s="3435"/>
      <c r="BR131" s="3435"/>
      <c r="BS131" s="3435"/>
      <c r="BT131" s="3435"/>
      <c r="BU131" s="3435"/>
      <c r="BV131" s="4762"/>
      <c r="BW131" s="3435"/>
      <c r="BX131" s="3435"/>
      <c r="BY131" s="3435"/>
      <c r="BZ131" s="3435"/>
      <c r="CA131" s="3435"/>
      <c r="CB131" s="3435"/>
      <c r="CC131" s="3435"/>
      <c r="CD131" s="4762"/>
      <c r="CE131" s="3435"/>
      <c r="CF131" s="3435"/>
      <c r="CG131" s="3435"/>
      <c r="CH131" s="3435"/>
      <c r="CI131" s="3435"/>
      <c r="CJ131" s="3435"/>
      <c r="CK131" s="3435"/>
      <c r="CL131" s="4762"/>
      <c r="CM131" s="3435"/>
    </row>
    <row r="132" spans="1:91" s="8" customFormat="1" ht="20.100000000000001" customHeight="1" thickBot="1" x14ac:dyDescent="0.25">
      <c r="A132" s="4203"/>
      <c r="B132" s="4203"/>
      <c r="C132" s="4203"/>
      <c r="D132" s="4203"/>
      <c r="E132" s="4203"/>
      <c r="F132" s="4212"/>
      <c r="I132" s="2793"/>
      <c r="J132" s="10"/>
      <c r="K132" s="3335"/>
      <c r="L132" s="6798" t="str">
        <f>_Calcs_Klasse!$AIA$35</f>
        <v>Sprøytebetong - Vegg</v>
      </c>
      <c r="M132" s="6798"/>
      <c r="N132" s="6798"/>
      <c r="O132" s="6798"/>
      <c r="P132" s="6798"/>
      <c r="Q132" s="6798"/>
      <c r="R132" s="3653"/>
      <c r="S132" s="3660"/>
      <c r="T132" s="4373"/>
      <c r="W132" s="4574"/>
      <c r="X132" s="4574"/>
      <c r="Y132" s="4574"/>
      <c r="Z132" s="4574"/>
      <c r="AA132" s="4575"/>
      <c r="AB132" s="4574"/>
      <c r="AC132" s="4576"/>
      <c r="AD132" s="4576"/>
      <c r="AE132" s="4576"/>
      <c r="AF132" s="4576"/>
      <c r="AG132" s="4576"/>
      <c r="AH132" s="4574"/>
      <c r="AI132" s="4568"/>
      <c r="AJ132" s="4568"/>
      <c r="AK132" s="4574"/>
      <c r="AL132" s="4574"/>
      <c r="AM132" s="4574"/>
      <c r="AN132" s="4575"/>
      <c r="AO132" s="4574"/>
      <c r="AP132" s="4576"/>
      <c r="AQ132" s="4574"/>
      <c r="AR132" s="3435"/>
      <c r="AS132" s="4574"/>
      <c r="AT132" s="4574"/>
      <c r="AU132" s="4574"/>
      <c r="AV132" s="4575"/>
      <c r="AW132" s="4574"/>
      <c r="AX132" s="4576"/>
      <c r="AY132" s="4574"/>
      <c r="AZ132" s="4568"/>
      <c r="BA132" s="4574"/>
      <c r="BB132" s="4574"/>
      <c r="BC132" s="4574"/>
      <c r="BD132" s="4575"/>
      <c r="BE132" s="4574"/>
      <c r="BF132" s="4576"/>
      <c r="BG132" s="4574"/>
      <c r="BH132" s="4445"/>
      <c r="BI132" s="4574"/>
      <c r="BJ132" s="4574"/>
      <c r="BK132" s="4574"/>
      <c r="BL132" s="4575"/>
      <c r="BM132" s="4574"/>
      <c r="BN132" s="4576"/>
      <c r="BO132" s="4574"/>
      <c r="BP132" s="4445"/>
      <c r="BQ132" s="4574"/>
      <c r="BR132" s="4574"/>
      <c r="BS132" s="4574"/>
      <c r="BT132" s="4575"/>
      <c r="BU132" s="4574"/>
      <c r="BV132" s="4576"/>
      <c r="BW132" s="4574"/>
      <c r="BX132" s="4445"/>
      <c r="BY132" s="4574"/>
      <c r="BZ132" s="4574"/>
      <c r="CA132" s="4574"/>
      <c r="CB132" s="4575"/>
      <c r="CC132" s="4574"/>
      <c r="CD132" s="4576"/>
      <c r="CE132" s="4574"/>
      <c r="CF132" s="4445"/>
      <c r="CG132" s="4574"/>
      <c r="CH132" s="4574"/>
      <c r="CI132" s="4574"/>
      <c r="CJ132" s="4575"/>
      <c r="CK132" s="4574"/>
      <c r="CL132" s="4576"/>
      <c r="CM132" s="4574"/>
    </row>
    <row r="133" spans="1:91" s="8" customFormat="1" ht="15" customHeight="1" thickBot="1" x14ac:dyDescent="0.25">
      <c r="A133" s="4203"/>
      <c r="B133" s="4203"/>
      <c r="C133" s="4203"/>
      <c r="D133" s="4203"/>
      <c r="E133" s="4203"/>
      <c r="F133" s="4212"/>
      <c r="I133" s="2793"/>
      <c r="J133" s="10"/>
      <c r="K133" s="3336"/>
      <c r="L133" s="6799"/>
      <c r="M133" s="6799"/>
      <c r="N133" s="6799"/>
      <c r="O133" s="6799"/>
      <c r="P133" s="6799"/>
      <c r="Q133" s="6799"/>
      <c r="R133" s="3654"/>
      <c r="S133" s="3660"/>
      <c r="T133" s="4373"/>
      <c r="W133" s="4577"/>
      <c r="X133" s="4578"/>
      <c r="Y133" s="4578"/>
      <c r="Z133" s="4579"/>
      <c r="AA133" s="4489"/>
      <c r="AB133" s="4580"/>
      <c r="AC133" s="4581"/>
      <c r="AD133" s="4581"/>
      <c r="AE133" s="4581"/>
      <c r="AF133" s="4581"/>
      <c r="AG133" s="4581"/>
      <c r="AH133" s="4582"/>
      <c r="AI133" s="4568"/>
      <c r="AJ133" s="4568"/>
      <c r="AK133" s="4583"/>
      <c r="AL133" s="4584"/>
      <c r="AM133" s="4585"/>
      <c r="AN133" s="4489"/>
      <c r="AO133" s="4586"/>
      <c r="AP133" s="4587"/>
      <c r="AQ133" s="4588"/>
      <c r="AR133" s="3435"/>
      <c r="AS133" s="4589"/>
      <c r="AT133" s="4590"/>
      <c r="AU133" s="4591"/>
      <c r="AV133" s="4489"/>
      <c r="AW133" s="4592"/>
      <c r="AX133" s="4593"/>
      <c r="AY133" s="4594"/>
      <c r="AZ133" s="4568"/>
      <c r="BA133" s="4595"/>
      <c r="BB133" s="4596"/>
      <c r="BC133" s="4597"/>
      <c r="BD133" s="4489"/>
      <c r="BE133" s="4598"/>
      <c r="BF133" s="4599"/>
      <c r="BG133" s="4600"/>
      <c r="BH133" s="4445"/>
      <c r="BI133" s="4601"/>
      <c r="BJ133" s="4602"/>
      <c r="BK133" s="4603"/>
      <c r="BL133" s="4489"/>
      <c r="BM133" s="4604"/>
      <c r="BN133" s="4605"/>
      <c r="BO133" s="4606"/>
      <c r="BP133" s="4445"/>
      <c r="BQ133" s="4607"/>
      <c r="BR133" s="4608"/>
      <c r="BS133" s="4609"/>
      <c r="BT133" s="4489"/>
      <c r="BU133" s="4610"/>
      <c r="BV133" s="4611"/>
      <c r="BW133" s="4612"/>
      <c r="BX133" s="4445"/>
      <c r="BY133" s="4613"/>
      <c r="BZ133" s="4614"/>
      <c r="CA133" s="4615"/>
      <c r="CB133" s="4489"/>
      <c r="CC133" s="4616"/>
      <c r="CD133" s="4617"/>
      <c r="CE133" s="4618"/>
      <c r="CF133" s="4445"/>
      <c r="CG133" s="4619"/>
      <c r="CH133" s="4620"/>
      <c r="CI133" s="4621"/>
      <c r="CJ133" s="4489"/>
      <c r="CK133" s="4622"/>
      <c r="CL133" s="4623"/>
      <c r="CM133" s="4624"/>
    </row>
    <row r="134" spans="1:91" s="8" customFormat="1" ht="8.1" customHeight="1" thickBot="1" x14ac:dyDescent="0.25">
      <c r="A134" s="4203"/>
      <c r="B134" s="4203"/>
      <c r="C134" s="4203"/>
      <c r="D134" s="4203"/>
      <c r="E134" s="4203"/>
      <c r="F134" s="4212"/>
      <c r="I134" s="2793"/>
      <c r="J134" s="10"/>
      <c r="K134" s="14"/>
      <c r="L134" s="129"/>
      <c r="M134" s="129"/>
      <c r="N134" s="129"/>
      <c r="O134" s="16"/>
      <c r="P134" s="17"/>
      <c r="Q134" s="17"/>
      <c r="R134" s="17"/>
      <c r="S134" s="16"/>
      <c r="T134" s="4373"/>
      <c r="W134" s="4574"/>
      <c r="X134" s="4625"/>
      <c r="Y134" s="4625"/>
      <c r="Z134" s="4626"/>
      <c r="AA134" s="4575"/>
      <c r="AB134" s="4574"/>
      <c r="AC134" s="4627"/>
      <c r="AD134" s="4627"/>
      <c r="AE134" s="4627"/>
      <c r="AF134" s="4627"/>
      <c r="AG134" s="4627"/>
      <c r="AH134" s="4626"/>
      <c r="AI134" s="4568"/>
      <c r="AJ134" s="4568"/>
      <c r="AK134" s="4574"/>
      <c r="AL134" s="4625"/>
      <c r="AM134" s="4626"/>
      <c r="AN134" s="4575"/>
      <c r="AO134" s="4574"/>
      <c r="AP134" s="4627"/>
      <c r="AQ134" s="4626"/>
      <c r="AR134" s="3435"/>
      <c r="AS134" s="4574"/>
      <c r="AT134" s="4625"/>
      <c r="AU134" s="4626"/>
      <c r="AV134" s="4575"/>
      <c r="AW134" s="4574"/>
      <c r="AX134" s="4627"/>
      <c r="AY134" s="4626"/>
      <c r="AZ134" s="4568"/>
      <c r="BA134" s="4574"/>
      <c r="BB134" s="4625"/>
      <c r="BC134" s="4626"/>
      <c r="BD134" s="4575"/>
      <c r="BE134" s="4574"/>
      <c r="BF134" s="4627"/>
      <c r="BG134" s="4626"/>
      <c r="BH134" s="4445"/>
      <c r="BI134" s="4574"/>
      <c r="BJ134" s="4625"/>
      <c r="BK134" s="4626"/>
      <c r="BL134" s="4575"/>
      <c r="BM134" s="4574"/>
      <c r="BN134" s="4627"/>
      <c r="BO134" s="4626"/>
      <c r="BP134" s="4445"/>
      <c r="BQ134" s="4574"/>
      <c r="BR134" s="4625"/>
      <c r="BS134" s="4626"/>
      <c r="BT134" s="4575"/>
      <c r="BU134" s="4574"/>
      <c r="BV134" s="4627"/>
      <c r="BW134" s="4626"/>
      <c r="BX134" s="4445"/>
      <c r="BY134" s="4574"/>
      <c r="BZ134" s="4625"/>
      <c r="CA134" s="4626"/>
      <c r="CB134" s="4575"/>
      <c r="CC134" s="4574"/>
      <c r="CD134" s="4627"/>
      <c r="CE134" s="4626"/>
      <c r="CF134" s="4445"/>
      <c r="CG134" s="4574"/>
      <c r="CH134" s="4625"/>
      <c r="CI134" s="4626"/>
      <c r="CJ134" s="4575"/>
      <c r="CK134" s="4574"/>
      <c r="CL134" s="4627"/>
      <c r="CM134" s="4626"/>
    </row>
    <row r="135" spans="1:91" s="8" customFormat="1" ht="15" customHeight="1" thickBot="1" x14ac:dyDescent="0.25">
      <c r="A135" s="4203"/>
      <c r="B135" s="4203"/>
      <c r="C135" s="4203"/>
      <c r="D135" s="4203"/>
      <c r="E135" s="4203"/>
      <c r="F135" s="4212"/>
      <c r="I135" s="2793"/>
      <c r="J135" s="10"/>
      <c r="K135" s="3329"/>
      <c r="L135" s="3330"/>
      <c r="M135" s="3330"/>
      <c r="N135" s="3330"/>
      <c r="O135" s="3331"/>
      <c r="P135" s="3332"/>
      <c r="Q135" s="3332"/>
      <c r="R135" s="3626"/>
      <c r="S135" s="2798"/>
      <c r="T135" s="4373"/>
      <c r="W135" s="4628"/>
      <c r="X135" s="4629"/>
      <c r="Y135" s="4629"/>
      <c r="Z135" s="4630"/>
      <c r="AA135" s="4767"/>
      <c r="AB135" s="4631"/>
      <c r="AC135" s="4632"/>
      <c r="AD135" s="4632"/>
      <c r="AE135" s="4632"/>
      <c r="AF135" s="4632"/>
      <c r="AG135" s="4632"/>
      <c r="AH135" s="4633"/>
      <c r="AI135" s="4568"/>
      <c r="AJ135" s="4568"/>
      <c r="AK135" s="4634"/>
      <c r="AL135" s="4635"/>
      <c r="AM135" s="4636"/>
      <c r="AN135" s="4767"/>
      <c r="AO135" s="4637"/>
      <c r="AP135" s="4638"/>
      <c r="AQ135" s="4639"/>
      <c r="AR135" s="3435"/>
      <c r="AS135" s="4640"/>
      <c r="AT135" s="4641"/>
      <c r="AU135" s="4642"/>
      <c r="AV135" s="4767"/>
      <c r="AW135" s="4643"/>
      <c r="AX135" s="4644"/>
      <c r="AY135" s="4645"/>
      <c r="AZ135" s="4568"/>
      <c r="BA135" s="4646"/>
      <c r="BB135" s="4647"/>
      <c r="BC135" s="4648"/>
      <c r="BD135" s="4767"/>
      <c r="BE135" s="4649"/>
      <c r="BF135" s="4650"/>
      <c r="BG135" s="4651"/>
      <c r="BH135" s="4445"/>
      <c r="BI135" s="4652"/>
      <c r="BJ135" s="4653"/>
      <c r="BK135" s="4654"/>
      <c r="BL135" s="4767"/>
      <c r="BM135" s="4655"/>
      <c r="BN135" s="4656"/>
      <c r="BO135" s="4657"/>
      <c r="BP135" s="4445"/>
      <c r="BQ135" s="4658"/>
      <c r="BR135" s="4659"/>
      <c r="BS135" s="4660"/>
      <c r="BT135" s="4767"/>
      <c r="BU135" s="4661"/>
      <c r="BV135" s="4662"/>
      <c r="BW135" s="4663"/>
      <c r="BX135" s="4445"/>
      <c r="BY135" s="4664"/>
      <c r="BZ135" s="4665"/>
      <c r="CA135" s="4666"/>
      <c r="CB135" s="4767"/>
      <c r="CC135" s="4667"/>
      <c r="CD135" s="4668"/>
      <c r="CE135" s="4669"/>
      <c r="CF135" s="4445"/>
      <c r="CG135" s="4670"/>
      <c r="CH135" s="4671"/>
      <c r="CI135" s="4672"/>
      <c r="CJ135" s="4767"/>
      <c r="CK135" s="4673"/>
      <c r="CL135" s="4674"/>
      <c r="CM135" s="4675"/>
    </row>
    <row r="136" spans="1:91" s="8" customFormat="1" ht="24.95" customHeight="1" thickBot="1" x14ac:dyDescent="0.25">
      <c r="A136" s="4203"/>
      <c r="B136" s="4203"/>
      <c r="C136" s="4203"/>
      <c r="D136" s="4203"/>
      <c r="E136" s="4203"/>
      <c r="F136" s="4212" t="s">
        <v>1553</v>
      </c>
      <c r="I136" s="2791"/>
      <c r="J136" s="10"/>
      <c r="K136" s="3326"/>
      <c r="L136" s="4377" t="str">
        <f>_Calcs_Klasse!$AIA$39</f>
        <v>Sprøytebetong tykkelse lag</v>
      </c>
      <c r="M136" s="4377"/>
      <c r="N136" s="4377"/>
      <c r="O136" s="5095" t="s">
        <v>149</v>
      </c>
      <c r="P136" s="5096"/>
      <c r="Q136" s="5096" t="s">
        <v>1067</v>
      </c>
      <c r="R136" s="3627"/>
      <c r="S136" s="16"/>
      <c r="T136" s="4373"/>
      <c r="W136" s="4676"/>
      <c r="X136" s="6808"/>
      <c r="Y136" s="6809"/>
      <c r="Z136" s="4677"/>
      <c r="AA136" s="4678"/>
      <c r="AB136" s="4679"/>
      <c r="AC136" s="6810" t="e">
        <f>_Calcs_Klasse!$AIE$42</f>
        <v>#N/A</v>
      </c>
      <c r="AD136" s="6811"/>
      <c r="AE136" s="6811"/>
      <c r="AF136" s="6811"/>
      <c r="AG136" s="6812"/>
      <c r="AH136" s="4680"/>
      <c r="AI136" s="4681"/>
      <c r="AJ136" s="4681"/>
      <c r="AK136" s="4682"/>
      <c r="AL136" s="4683"/>
      <c r="AM136" s="4684"/>
      <c r="AN136" s="4678"/>
      <c r="AO136" s="4685"/>
      <c r="AP136" s="4686" t="e">
        <f>_Calcs_Klasse!$AIE$43</f>
        <v>#N/A</v>
      </c>
      <c r="AQ136" s="4687"/>
      <c r="AR136" s="4688"/>
      <c r="AS136" s="4689"/>
      <c r="AT136" s="4683"/>
      <c r="AU136" s="4690"/>
      <c r="AV136" s="4678"/>
      <c r="AW136" s="4691"/>
      <c r="AX136" s="4686" t="e">
        <f>_Calcs_Klasse!$AIE$44</f>
        <v>#N/A</v>
      </c>
      <c r="AY136" s="4692"/>
      <c r="AZ136" s="4681"/>
      <c r="BA136" s="4693"/>
      <c r="BB136" s="4683"/>
      <c r="BC136" s="4694"/>
      <c r="BD136" s="4678"/>
      <c r="BE136" s="4695"/>
      <c r="BF136" s="4686" t="e">
        <f>_Calcs_Klasse!$AIE$45</f>
        <v>#N/A</v>
      </c>
      <c r="BG136" s="4696"/>
      <c r="BH136" s="4697"/>
      <c r="BI136" s="4698"/>
      <c r="BJ136" s="4683"/>
      <c r="BK136" s="4699"/>
      <c r="BL136" s="4678"/>
      <c r="BM136" s="4700"/>
      <c r="BN136" s="4686" t="e">
        <f>_Calcs_Klasse!$AIE$46</f>
        <v>#N/A</v>
      </c>
      <c r="BO136" s="4701"/>
      <c r="BP136" s="4697"/>
      <c r="BQ136" s="4702"/>
      <c r="BR136" s="4683"/>
      <c r="BS136" s="4703"/>
      <c r="BT136" s="4678"/>
      <c r="BU136" s="4704"/>
      <c r="BV136" s="4686" t="e">
        <f>_Calcs_Klasse!$AIE$47</f>
        <v>#N/A</v>
      </c>
      <c r="BW136" s="4705"/>
      <c r="BX136" s="4697"/>
      <c r="BY136" s="4706"/>
      <c r="BZ136" s="4683"/>
      <c r="CA136" s="4707"/>
      <c r="CB136" s="4678"/>
      <c r="CC136" s="4708"/>
      <c r="CD136" s="4686" t="e">
        <f>_Calcs_Klasse!$AIE$48</f>
        <v>#N/A</v>
      </c>
      <c r="CE136" s="4709"/>
      <c r="CF136" s="4697"/>
      <c r="CG136" s="4710"/>
      <c r="CH136" s="4683"/>
      <c r="CI136" s="4711"/>
      <c r="CJ136" s="4678"/>
      <c r="CK136" s="4712"/>
      <c r="CL136" s="4686" t="e">
        <f>_Calcs_Klasse!$AIE$49</f>
        <v>#N/A</v>
      </c>
      <c r="CM136" s="4713"/>
    </row>
    <row r="137" spans="1:91" s="8" customFormat="1" ht="12" customHeight="1" thickBot="1" x14ac:dyDescent="0.25">
      <c r="A137" s="4203"/>
      <c r="B137" s="4203"/>
      <c r="C137" s="4203"/>
      <c r="D137" s="4203"/>
      <c r="E137" s="4203"/>
      <c r="F137" s="4212"/>
      <c r="I137" s="2793"/>
      <c r="J137" s="10"/>
      <c r="K137" s="3321"/>
      <c r="L137" s="3322"/>
      <c r="M137" s="3322"/>
      <c r="N137" s="3322"/>
      <c r="O137" s="3323"/>
      <c r="P137" s="3324"/>
      <c r="Q137" s="3324"/>
      <c r="R137" s="3628"/>
      <c r="S137" s="3808"/>
      <c r="T137" s="4373"/>
      <c r="W137" s="4714"/>
      <c r="X137" s="4715"/>
      <c r="Y137" s="4715"/>
      <c r="Z137" s="4716"/>
      <c r="AA137" s="4767"/>
      <c r="AB137" s="4769"/>
      <c r="AC137" s="4770"/>
      <c r="AD137" s="4770"/>
      <c r="AE137" s="4770"/>
      <c r="AF137" s="4770"/>
      <c r="AG137" s="4770"/>
      <c r="AH137" s="4771"/>
      <c r="AI137" s="4568"/>
      <c r="AJ137" s="4568"/>
      <c r="AK137" s="4720"/>
      <c r="AL137" s="4721"/>
      <c r="AM137" s="4722"/>
      <c r="AN137" s="4767"/>
      <c r="AO137" s="4772"/>
      <c r="AP137" s="4773"/>
      <c r="AQ137" s="4774"/>
      <c r="AR137" s="3435"/>
      <c r="AS137" s="4726"/>
      <c r="AT137" s="4727"/>
      <c r="AU137" s="4728"/>
      <c r="AV137" s="4767"/>
      <c r="AW137" s="4775"/>
      <c r="AX137" s="4776"/>
      <c r="AY137" s="4777"/>
      <c r="AZ137" s="4568"/>
      <c r="BA137" s="4732"/>
      <c r="BB137" s="4733"/>
      <c r="BC137" s="4734"/>
      <c r="BD137" s="4767"/>
      <c r="BE137" s="4778"/>
      <c r="BF137" s="4779"/>
      <c r="BG137" s="4780"/>
      <c r="BH137" s="4445"/>
      <c r="BI137" s="4738"/>
      <c r="BJ137" s="4739"/>
      <c r="BK137" s="4740"/>
      <c r="BL137" s="4767"/>
      <c r="BM137" s="4781"/>
      <c r="BN137" s="4782"/>
      <c r="BO137" s="4783"/>
      <c r="BP137" s="4445"/>
      <c r="BQ137" s="4744"/>
      <c r="BR137" s="4745"/>
      <c r="BS137" s="4746"/>
      <c r="BT137" s="4767"/>
      <c r="BU137" s="4784"/>
      <c r="BV137" s="4785"/>
      <c r="BW137" s="4786"/>
      <c r="BX137" s="4445"/>
      <c r="BY137" s="4750"/>
      <c r="BZ137" s="4751"/>
      <c r="CA137" s="4752"/>
      <c r="CB137" s="4767"/>
      <c r="CC137" s="4787"/>
      <c r="CD137" s="4788"/>
      <c r="CE137" s="4789"/>
      <c r="CF137" s="4445"/>
      <c r="CG137" s="4756"/>
      <c r="CH137" s="4757"/>
      <c r="CI137" s="4758"/>
      <c r="CJ137" s="4767"/>
      <c r="CK137" s="4790"/>
      <c r="CL137" s="4791"/>
      <c r="CM137" s="4792"/>
    </row>
    <row r="138" spans="1:91" s="8" customFormat="1" ht="15" customHeight="1" x14ac:dyDescent="0.2">
      <c r="A138" s="4203"/>
      <c r="B138" s="4203"/>
      <c r="C138" s="4203"/>
      <c r="D138" s="4203"/>
      <c r="E138" s="4203"/>
      <c r="F138" s="4212"/>
      <c r="I138" s="2725"/>
      <c r="J138" s="10"/>
      <c r="K138" s="10"/>
      <c r="L138" s="25"/>
      <c r="M138" s="25"/>
      <c r="N138" s="25"/>
      <c r="O138" s="38"/>
      <c r="P138" s="25"/>
      <c r="Q138" s="25"/>
      <c r="R138" s="10"/>
      <c r="S138" s="3808"/>
      <c r="T138" s="4373"/>
      <c r="W138" s="4574"/>
      <c r="X138" s="4625"/>
      <c r="Y138" s="4625"/>
      <c r="Z138" s="4626"/>
      <c r="AA138" s="4575"/>
      <c r="AB138" s="4574"/>
      <c r="AC138" s="4627"/>
      <c r="AD138" s="4627"/>
      <c r="AE138" s="4627"/>
      <c r="AF138" s="4627"/>
      <c r="AG138" s="4627"/>
      <c r="AH138" s="4626"/>
      <c r="AI138" s="4568"/>
      <c r="AJ138" s="4568"/>
      <c r="AK138" s="4574"/>
      <c r="AL138" s="4625"/>
      <c r="AM138" s="4626"/>
      <c r="AN138" s="4575"/>
      <c r="AO138" s="4574"/>
      <c r="AP138" s="4627"/>
      <c r="AQ138" s="4626"/>
      <c r="AR138" s="3435"/>
      <c r="AS138" s="4574"/>
      <c r="AT138" s="4625"/>
      <c r="AU138" s="4626"/>
      <c r="AV138" s="4575"/>
      <c r="AW138" s="4574"/>
      <c r="AX138" s="4627"/>
      <c r="AY138" s="4626"/>
      <c r="AZ138" s="4568"/>
      <c r="BA138" s="4574"/>
      <c r="BB138" s="4625"/>
      <c r="BC138" s="4626"/>
      <c r="BD138" s="4575"/>
      <c r="BE138" s="4574"/>
      <c r="BF138" s="4627"/>
      <c r="BG138" s="4626"/>
      <c r="BH138" s="4445"/>
      <c r="BI138" s="4574"/>
      <c r="BJ138" s="4625"/>
      <c r="BK138" s="4626"/>
      <c r="BL138" s="4575"/>
      <c r="BM138" s="4574"/>
      <c r="BN138" s="4627"/>
      <c r="BO138" s="4626"/>
      <c r="BP138" s="4445"/>
      <c r="BQ138" s="4574"/>
      <c r="BR138" s="4625"/>
      <c r="BS138" s="4626"/>
      <c r="BT138" s="4575"/>
      <c r="BU138" s="4574"/>
      <c r="BV138" s="4627"/>
      <c r="BW138" s="4626"/>
      <c r="BX138" s="4445"/>
      <c r="BY138" s="4574"/>
      <c r="BZ138" s="4625"/>
      <c r="CA138" s="4626"/>
      <c r="CB138" s="4575"/>
      <c r="CC138" s="4574"/>
      <c r="CD138" s="4627"/>
      <c r="CE138" s="4626"/>
      <c r="CF138" s="4445"/>
      <c r="CG138" s="4574"/>
      <c r="CH138" s="4625"/>
      <c r="CI138" s="4626"/>
      <c r="CJ138" s="4575"/>
      <c r="CK138" s="4574"/>
      <c r="CL138" s="4627"/>
      <c r="CM138" s="4626"/>
    </row>
    <row r="139" spans="1:91" s="8" customFormat="1" ht="15" customHeight="1" thickBot="1" x14ac:dyDescent="0.25">
      <c r="A139" s="4203"/>
      <c r="B139" s="4203"/>
      <c r="C139" s="4203"/>
      <c r="D139" s="4203"/>
      <c r="E139" s="4203"/>
      <c r="F139" s="4212"/>
      <c r="I139" s="2793"/>
      <c r="J139" s="10"/>
      <c r="K139" s="3814"/>
      <c r="L139" s="6814"/>
      <c r="M139" s="6814"/>
      <c r="N139" s="6814"/>
      <c r="O139" s="6814"/>
      <c r="P139" s="6814"/>
      <c r="Q139" s="6814"/>
      <c r="R139" s="3815"/>
      <c r="S139" s="3660"/>
      <c r="T139" s="4373"/>
      <c r="W139" s="4574"/>
      <c r="X139" s="4574"/>
      <c r="Y139" s="4574"/>
      <c r="Z139" s="4574"/>
      <c r="AA139" s="4575"/>
      <c r="AB139" s="4574"/>
      <c r="AC139" s="4576"/>
      <c r="AD139" s="4576"/>
      <c r="AE139" s="4576"/>
      <c r="AF139" s="4576"/>
      <c r="AG139" s="4576"/>
      <c r="AH139" s="4574"/>
      <c r="AI139" s="4568"/>
      <c r="AJ139" s="4568"/>
      <c r="AK139" s="4574"/>
      <c r="AL139" s="4574"/>
      <c r="AM139" s="4574"/>
      <c r="AN139" s="4575"/>
      <c r="AO139" s="4574"/>
      <c r="AP139" s="4576"/>
      <c r="AQ139" s="4574"/>
      <c r="AR139" s="3435"/>
      <c r="AS139" s="4574"/>
      <c r="AT139" s="4574"/>
      <c r="AU139" s="4574"/>
      <c r="AV139" s="4575"/>
      <c r="AW139" s="4574"/>
      <c r="AX139" s="4576"/>
      <c r="AY139" s="4574"/>
      <c r="AZ139" s="4568"/>
      <c r="BA139" s="4574"/>
      <c r="BB139" s="4574"/>
      <c r="BC139" s="4574"/>
      <c r="BD139" s="4575"/>
      <c r="BE139" s="4574"/>
      <c r="BF139" s="4576"/>
      <c r="BG139" s="4574"/>
      <c r="BH139" s="4445"/>
      <c r="BI139" s="4574"/>
      <c r="BJ139" s="4574"/>
      <c r="BK139" s="4574"/>
      <c r="BL139" s="4575"/>
      <c r="BM139" s="4574"/>
      <c r="BN139" s="4576"/>
      <c r="BO139" s="4574"/>
      <c r="BP139" s="4445"/>
      <c r="BQ139" s="4574"/>
      <c r="BR139" s="4574"/>
      <c r="BS139" s="4574"/>
      <c r="BT139" s="4575"/>
      <c r="BU139" s="4574"/>
      <c r="BV139" s="4576"/>
      <c r="BW139" s="4574"/>
      <c r="BX139" s="4445"/>
      <c r="BY139" s="4574"/>
      <c r="BZ139" s="4574"/>
      <c r="CA139" s="4574"/>
      <c r="CB139" s="4575"/>
      <c r="CC139" s="4574"/>
      <c r="CD139" s="4576"/>
      <c r="CE139" s="4574"/>
      <c r="CF139" s="4445"/>
      <c r="CG139" s="4574"/>
      <c r="CH139" s="4574"/>
      <c r="CI139" s="4574"/>
      <c r="CJ139" s="4575"/>
      <c r="CK139" s="4574"/>
      <c r="CL139" s="4576"/>
      <c r="CM139" s="4574"/>
    </row>
    <row r="140" spans="1:91" s="8" customFormat="1" ht="15" customHeight="1" thickBot="1" x14ac:dyDescent="0.25">
      <c r="A140" s="4203"/>
      <c r="B140" s="4203"/>
      <c r="C140" s="4203"/>
      <c r="D140" s="4203"/>
      <c r="E140" s="4203"/>
      <c r="F140" s="4212"/>
      <c r="I140" s="2725"/>
      <c r="J140" s="10"/>
      <c r="K140" s="3814"/>
      <c r="L140" s="6814"/>
      <c r="M140" s="6814"/>
      <c r="N140" s="6814"/>
      <c r="O140" s="6814"/>
      <c r="P140" s="6814"/>
      <c r="Q140" s="6814"/>
      <c r="R140" s="3815"/>
      <c r="S140" s="3660"/>
      <c r="T140" s="4373"/>
      <c r="W140" s="4577"/>
      <c r="X140" s="4578"/>
      <c r="Y140" s="4578"/>
      <c r="Z140" s="4579"/>
      <c r="AA140" s="4489"/>
      <c r="AB140" s="4580"/>
      <c r="AC140" s="4581"/>
      <c r="AD140" s="4581"/>
      <c r="AE140" s="4581"/>
      <c r="AF140" s="4581"/>
      <c r="AG140" s="4581"/>
      <c r="AH140" s="4582"/>
      <c r="AI140" s="4568"/>
      <c r="AJ140" s="4568"/>
      <c r="AK140" s="4583"/>
      <c r="AL140" s="4584"/>
      <c r="AM140" s="4585"/>
      <c r="AN140" s="4489"/>
      <c r="AO140" s="4586"/>
      <c r="AP140" s="4587"/>
      <c r="AQ140" s="4588"/>
      <c r="AR140" s="3435"/>
      <c r="AS140" s="4589"/>
      <c r="AT140" s="4590"/>
      <c r="AU140" s="4591"/>
      <c r="AV140" s="4489"/>
      <c r="AW140" s="4592"/>
      <c r="AX140" s="4593"/>
      <c r="AY140" s="4594"/>
      <c r="AZ140" s="4568"/>
      <c r="BA140" s="4595"/>
      <c r="BB140" s="4596"/>
      <c r="BC140" s="4597"/>
      <c r="BD140" s="4489"/>
      <c r="BE140" s="4598"/>
      <c r="BF140" s="4599"/>
      <c r="BG140" s="4600"/>
      <c r="BH140" s="4445"/>
      <c r="BI140" s="4601"/>
      <c r="BJ140" s="4602"/>
      <c r="BK140" s="4603"/>
      <c r="BL140" s="4489"/>
      <c r="BM140" s="4604"/>
      <c r="BN140" s="4605"/>
      <c r="BO140" s="4606"/>
      <c r="BP140" s="4445"/>
      <c r="BQ140" s="4607"/>
      <c r="BR140" s="4608"/>
      <c r="BS140" s="4609"/>
      <c r="BT140" s="4489"/>
      <c r="BU140" s="4610"/>
      <c r="BV140" s="4611"/>
      <c r="BW140" s="4612"/>
      <c r="BX140" s="4445"/>
      <c r="BY140" s="4613"/>
      <c r="BZ140" s="4614"/>
      <c r="CA140" s="4615"/>
      <c r="CB140" s="4489"/>
      <c r="CC140" s="4616"/>
      <c r="CD140" s="4617"/>
      <c r="CE140" s="4618"/>
      <c r="CF140" s="4445"/>
      <c r="CG140" s="4619"/>
      <c r="CH140" s="4620"/>
      <c r="CI140" s="4621"/>
      <c r="CJ140" s="4489"/>
      <c r="CK140" s="4622"/>
      <c r="CL140" s="4623"/>
      <c r="CM140" s="4624"/>
    </row>
    <row r="141" spans="1:91" s="8" customFormat="1" ht="8.1" customHeight="1" thickBot="1" x14ac:dyDescent="0.25">
      <c r="A141" s="4203"/>
      <c r="B141" s="4203"/>
      <c r="C141" s="4203"/>
      <c r="D141" s="4203"/>
      <c r="E141" s="4203"/>
      <c r="F141" s="4212"/>
      <c r="I141" s="2725"/>
      <c r="J141" s="10"/>
      <c r="K141" s="14"/>
      <c r="L141" s="129"/>
      <c r="M141" s="129"/>
      <c r="N141" s="129"/>
      <c r="O141" s="16"/>
      <c r="P141" s="17"/>
      <c r="Q141" s="17"/>
      <c r="R141" s="17"/>
      <c r="S141" s="16"/>
      <c r="T141" s="4373"/>
      <c r="W141" s="4574"/>
      <c r="X141" s="4625"/>
      <c r="Y141" s="4625"/>
      <c r="Z141" s="4626"/>
      <c r="AA141" s="4575"/>
      <c r="AB141" s="4574"/>
      <c r="AC141" s="4627"/>
      <c r="AD141" s="4627"/>
      <c r="AE141" s="4627"/>
      <c r="AF141" s="4627"/>
      <c r="AG141" s="4627"/>
      <c r="AH141" s="4626"/>
      <c r="AI141" s="4568"/>
      <c r="AJ141" s="4568"/>
      <c r="AK141" s="4574"/>
      <c r="AL141" s="4625"/>
      <c r="AM141" s="4626"/>
      <c r="AN141" s="4575"/>
      <c r="AO141" s="4574"/>
      <c r="AP141" s="4627"/>
      <c r="AQ141" s="4626"/>
      <c r="AR141" s="3435"/>
      <c r="AS141" s="4574"/>
      <c r="AT141" s="4625"/>
      <c r="AU141" s="4626"/>
      <c r="AV141" s="4575"/>
      <c r="AW141" s="4574"/>
      <c r="AX141" s="4627"/>
      <c r="AY141" s="4626"/>
      <c r="AZ141" s="4568"/>
      <c r="BA141" s="4574"/>
      <c r="BB141" s="4625"/>
      <c r="BC141" s="4626"/>
      <c r="BD141" s="4575"/>
      <c r="BE141" s="4574"/>
      <c r="BF141" s="4627"/>
      <c r="BG141" s="4626"/>
      <c r="BH141" s="4445"/>
      <c r="BI141" s="4574"/>
      <c r="BJ141" s="4625"/>
      <c r="BK141" s="4626"/>
      <c r="BL141" s="4575"/>
      <c r="BM141" s="4574"/>
      <c r="BN141" s="4627"/>
      <c r="BO141" s="4626"/>
      <c r="BP141" s="4445"/>
      <c r="BQ141" s="4574"/>
      <c r="BR141" s="4625"/>
      <c r="BS141" s="4626"/>
      <c r="BT141" s="4575"/>
      <c r="BU141" s="4574"/>
      <c r="BV141" s="4627"/>
      <c r="BW141" s="4626"/>
      <c r="BX141" s="4445"/>
      <c r="BY141" s="4574"/>
      <c r="BZ141" s="4625"/>
      <c r="CA141" s="4626"/>
      <c r="CB141" s="4575"/>
      <c r="CC141" s="4574"/>
      <c r="CD141" s="4627"/>
      <c r="CE141" s="4626"/>
      <c r="CF141" s="4445"/>
      <c r="CG141" s="4574"/>
      <c r="CH141" s="4625"/>
      <c r="CI141" s="4626"/>
      <c r="CJ141" s="4575"/>
      <c r="CK141" s="4574"/>
      <c r="CL141" s="4627"/>
      <c r="CM141" s="4626"/>
    </row>
    <row r="142" spans="1:91" s="8" customFormat="1" ht="15" customHeight="1" thickBot="1" x14ac:dyDescent="0.25">
      <c r="A142" s="4203"/>
      <c r="B142" s="4203"/>
      <c r="C142" s="4203"/>
      <c r="D142" s="4203"/>
      <c r="E142" s="4203"/>
      <c r="F142" s="4212"/>
      <c r="I142" s="2725"/>
      <c r="J142" s="10"/>
      <c r="K142" s="3329"/>
      <c r="L142" s="3330"/>
      <c r="M142" s="3330"/>
      <c r="N142" s="3330"/>
      <c r="O142" s="3331"/>
      <c r="P142" s="3332"/>
      <c r="Q142" s="3332"/>
      <c r="R142" s="3626"/>
      <c r="S142" s="2798"/>
      <c r="T142" s="4373"/>
      <c r="W142" s="4628"/>
      <c r="X142" s="4629"/>
      <c r="Y142" s="4629"/>
      <c r="Z142" s="4630"/>
      <c r="AA142" s="4575"/>
      <c r="AB142" s="4889"/>
      <c r="AC142" s="4890"/>
      <c r="AD142" s="4890"/>
      <c r="AE142" s="4890"/>
      <c r="AF142" s="4890"/>
      <c r="AG142" s="4890"/>
      <c r="AH142" s="4891"/>
      <c r="AI142" s="4568"/>
      <c r="AJ142" s="4568"/>
      <c r="AK142" s="4634"/>
      <c r="AL142" s="4635"/>
      <c r="AM142" s="4636"/>
      <c r="AN142" s="4575"/>
      <c r="AO142" s="4892"/>
      <c r="AP142" s="4893"/>
      <c r="AQ142" s="4894"/>
      <c r="AR142" s="3435"/>
      <c r="AS142" s="4640"/>
      <c r="AT142" s="4641"/>
      <c r="AU142" s="4642"/>
      <c r="AV142" s="4575"/>
      <c r="AW142" s="4895"/>
      <c r="AX142" s="4896"/>
      <c r="AY142" s="4897"/>
      <c r="AZ142" s="4568"/>
      <c r="BA142" s="4646"/>
      <c r="BB142" s="4647"/>
      <c r="BC142" s="4648"/>
      <c r="BD142" s="4575"/>
      <c r="BE142" s="4898"/>
      <c r="BF142" s="4899"/>
      <c r="BG142" s="4900"/>
      <c r="BH142" s="4445"/>
      <c r="BI142" s="4652"/>
      <c r="BJ142" s="4653"/>
      <c r="BK142" s="4654"/>
      <c r="BL142" s="4575"/>
      <c r="BM142" s="4901"/>
      <c r="BN142" s="4902"/>
      <c r="BO142" s="4903"/>
      <c r="BP142" s="4445"/>
      <c r="BQ142" s="4658"/>
      <c r="BR142" s="4659"/>
      <c r="BS142" s="4660"/>
      <c r="BT142" s="4575"/>
      <c r="BU142" s="4904"/>
      <c r="BV142" s="4905"/>
      <c r="BW142" s="4906"/>
      <c r="BX142" s="4445"/>
      <c r="BY142" s="4664"/>
      <c r="BZ142" s="4665"/>
      <c r="CA142" s="4666"/>
      <c r="CB142" s="4575"/>
      <c r="CC142" s="4907"/>
      <c r="CD142" s="4908"/>
      <c r="CE142" s="4909"/>
      <c r="CF142" s="4445"/>
      <c r="CG142" s="4670"/>
      <c r="CH142" s="4671"/>
      <c r="CI142" s="4672"/>
      <c r="CJ142" s="4575"/>
      <c r="CK142" s="4910"/>
      <c r="CL142" s="4911"/>
      <c r="CM142" s="4912"/>
    </row>
    <row r="143" spans="1:91" s="8" customFormat="1" ht="24.95" customHeight="1" thickBot="1" x14ac:dyDescent="0.25">
      <c r="A143" s="4203"/>
      <c r="B143" s="4203"/>
      <c r="C143" s="4203"/>
      <c r="D143" s="4203"/>
      <c r="E143" s="4203"/>
      <c r="F143" s="4212" t="s">
        <v>1553</v>
      </c>
      <c r="I143" s="2725"/>
      <c r="J143" s="10"/>
      <c r="K143" s="3326"/>
      <c r="L143" s="4377" t="str">
        <f>_Calcs_Klasse!$AIK$39</f>
        <v>Sprøytebetong ruhetsfaktor</v>
      </c>
      <c r="M143" s="4377"/>
      <c r="N143" s="4377"/>
      <c r="O143" s="5095" t="s">
        <v>149</v>
      </c>
      <c r="P143" s="5096"/>
      <c r="Q143" s="5096"/>
      <c r="R143" s="3627"/>
      <c r="S143" s="2798"/>
      <c r="T143" s="4373"/>
      <c r="W143" s="4676"/>
      <c r="X143" s="6808"/>
      <c r="Y143" s="6809"/>
      <c r="Z143" s="4677"/>
      <c r="AA143" s="4678"/>
      <c r="AB143" s="4679"/>
      <c r="AC143" s="6810" t="e">
        <f>_Calcs_Klasse!$AIO$42</f>
        <v>#N/A</v>
      </c>
      <c r="AD143" s="6811"/>
      <c r="AE143" s="6811"/>
      <c r="AF143" s="6811"/>
      <c r="AG143" s="6812"/>
      <c r="AH143" s="4680"/>
      <c r="AI143" s="4681"/>
      <c r="AJ143" s="4681"/>
      <c r="AK143" s="4682"/>
      <c r="AL143" s="4683"/>
      <c r="AM143" s="4684"/>
      <c r="AN143" s="4678"/>
      <c r="AO143" s="4685"/>
      <c r="AP143" s="4686" t="e">
        <f>_Calcs_Klasse!$AIO$43</f>
        <v>#N/A</v>
      </c>
      <c r="AQ143" s="4687"/>
      <c r="AR143" s="4688"/>
      <c r="AS143" s="4689"/>
      <c r="AT143" s="4683"/>
      <c r="AU143" s="4690"/>
      <c r="AV143" s="4678"/>
      <c r="AW143" s="4691"/>
      <c r="AX143" s="4686" t="e">
        <f>_Calcs_Klasse!$AIO$44</f>
        <v>#N/A</v>
      </c>
      <c r="AY143" s="4692"/>
      <c r="AZ143" s="4681"/>
      <c r="BA143" s="4693"/>
      <c r="BB143" s="4683"/>
      <c r="BC143" s="4694"/>
      <c r="BD143" s="4678"/>
      <c r="BE143" s="4695"/>
      <c r="BF143" s="4686" t="e">
        <f>_Calcs_Klasse!$AIO$45</f>
        <v>#N/A</v>
      </c>
      <c r="BG143" s="4696"/>
      <c r="BH143" s="4697"/>
      <c r="BI143" s="4698"/>
      <c r="BJ143" s="4683"/>
      <c r="BK143" s="4699"/>
      <c r="BL143" s="4678"/>
      <c r="BM143" s="4700"/>
      <c r="BN143" s="4686" t="e">
        <f>_Calcs_Klasse!$AIO$46</f>
        <v>#N/A</v>
      </c>
      <c r="BO143" s="4701"/>
      <c r="BP143" s="4697"/>
      <c r="BQ143" s="4702"/>
      <c r="BR143" s="4683"/>
      <c r="BS143" s="4703"/>
      <c r="BT143" s="4678"/>
      <c r="BU143" s="4704"/>
      <c r="BV143" s="4686" t="e">
        <f>_Calcs_Klasse!$AIO$47</f>
        <v>#N/A</v>
      </c>
      <c r="BW143" s="4705"/>
      <c r="BX143" s="4697"/>
      <c r="BY143" s="4706"/>
      <c r="BZ143" s="4683"/>
      <c r="CA143" s="4707"/>
      <c r="CB143" s="4678"/>
      <c r="CC143" s="4708"/>
      <c r="CD143" s="4686" t="e">
        <f>_Calcs_Klasse!$AIO$48</f>
        <v>#N/A</v>
      </c>
      <c r="CE143" s="4709"/>
      <c r="CF143" s="4697"/>
      <c r="CG143" s="4710"/>
      <c r="CH143" s="4683"/>
      <c r="CI143" s="4711"/>
      <c r="CJ143" s="4678"/>
      <c r="CK143" s="4712"/>
      <c r="CL143" s="4686" t="e">
        <f>_Calcs_Klasse!$AIO$49</f>
        <v>#N/A</v>
      </c>
      <c r="CM143" s="4913"/>
    </row>
    <row r="144" spans="1:91" s="8" customFormat="1" ht="15" customHeight="1" thickBot="1" x14ac:dyDescent="0.25">
      <c r="A144" s="4203"/>
      <c r="B144" s="4203"/>
      <c r="C144" s="4203"/>
      <c r="D144" s="4203"/>
      <c r="E144" s="4203"/>
      <c r="F144" s="4212"/>
      <c r="I144" s="2728"/>
      <c r="J144" s="10"/>
      <c r="K144" s="3321"/>
      <c r="L144" s="3322"/>
      <c r="M144" s="3322"/>
      <c r="N144" s="3322"/>
      <c r="O144" s="3323"/>
      <c r="P144" s="3324"/>
      <c r="Q144" s="3324"/>
      <c r="R144" s="3628"/>
      <c r="S144" s="3728"/>
      <c r="T144" s="4373"/>
      <c r="W144" s="4914"/>
      <c r="X144" s="4915"/>
      <c r="Y144" s="4715"/>
      <c r="Z144" s="4716"/>
      <c r="AA144" s="4575"/>
      <c r="AB144" s="4916"/>
      <c r="AC144" s="4718"/>
      <c r="AD144" s="4718"/>
      <c r="AE144" s="4718"/>
      <c r="AF144" s="4718"/>
      <c r="AG144" s="4718"/>
      <c r="AH144" s="4917"/>
      <c r="AI144" s="4568"/>
      <c r="AJ144" s="4568"/>
      <c r="AK144" s="4918"/>
      <c r="AL144" s="4919"/>
      <c r="AM144" s="4722"/>
      <c r="AN144" s="4575"/>
      <c r="AO144" s="4920"/>
      <c r="AP144" s="4724"/>
      <c r="AQ144" s="4921"/>
      <c r="AR144" s="3435"/>
      <c r="AS144" s="4922"/>
      <c r="AT144" s="4923"/>
      <c r="AU144" s="4728"/>
      <c r="AV144" s="4575"/>
      <c r="AW144" s="4924"/>
      <c r="AX144" s="4730"/>
      <c r="AY144" s="4925"/>
      <c r="AZ144" s="4568"/>
      <c r="BA144" s="4926"/>
      <c r="BB144" s="4927"/>
      <c r="BC144" s="4734"/>
      <c r="BD144" s="4575"/>
      <c r="BE144" s="4928"/>
      <c r="BF144" s="4736"/>
      <c r="BG144" s="4929"/>
      <c r="BH144" s="4445"/>
      <c r="BI144" s="4930"/>
      <c r="BJ144" s="4931"/>
      <c r="BK144" s="4740"/>
      <c r="BL144" s="4575"/>
      <c r="BM144" s="4932"/>
      <c r="BN144" s="4742"/>
      <c r="BO144" s="4933"/>
      <c r="BP144" s="4445"/>
      <c r="BQ144" s="4934"/>
      <c r="BR144" s="4935"/>
      <c r="BS144" s="4746"/>
      <c r="BT144" s="4575"/>
      <c r="BU144" s="4936"/>
      <c r="BV144" s="4748"/>
      <c r="BW144" s="4937"/>
      <c r="BX144" s="4445"/>
      <c r="BY144" s="4938"/>
      <c r="BZ144" s="4939"/>
      <c r="CA144" s="4752"/>
      <c r="CB144" s="4575"/>
      <c r="CC144" s="4940"/>
      <c r="CD144" s="4754"/>
      <c r="CE144" s="4941"/>
      <c r="CF144" s="4445"/>
      <c r="CG144" s="4942"/>
      <c r="CH144" s="4943"/>
      <c r="CI144" s="4758"/>
      <c r="CJ144" s="4575"/>
      <c r="CK144" s="4944"/>
      <c r="CL144" s="4760"/>
      <c r="CM144" s="4945"/>
    </row>
    <row r="145" spans="1:91" s="8" customFormat="1" ht="35.1" customHeight="1" x14ac:dyDescent="0.25">
      <c r="A145" s="4203"/>
      <c r="B145" s="4203"/>
      <c r="C145" s="4203"/>
      <c r="D145" s="4203"/>
      <c r="E145" s="4203"/>
      <c r="F145" s="4212"/>
      <c r="L145" s="21"/>
      <c r="M145" s="21"/>
      <c r="N145" s="21"/>
      <c r="O145" s="13"/>
      <c r="P145" s="21"/>
      <c r="Q145" s="15"/>
      <c r="S145" s="16"/>
      <c r="T145" s="4373"/>
      <c r="U145" s="181"/>
      <c r="V145" s="181"/>
      <c r="W145" s="3435"/>
      <c r="X145" s="3435"/>
      <c r="Y145" s="3435"/>
      <c r="Z145" s="3435"/>
      <c r="AA145" s="3435"/>
      <c r="AB145" s="3435"/>
      <c r="AC145" s="4762"/>
      <c r="AD145" s="4762"/>
      <c r="AE145" s="4762"/>
      <c r="AF145" s="4762"/>
      <c r="AG145" s="4762"/>
      <c r="AH145" s="3435"/>
      <c r="AI145" s="3435"/>
      <c r="AJ145" s="3435"/>
      <c r="AK145" s="3435"/>
      <c r="AL145" s="3435"/>
      <c r="AM145" s="3435"/>
      <c r="AN145" s="3435"/>
      <c r="AO145" s="3435"/>
      <c r="AP145" s="4762"/>
      <c r="AQ145" s="3435"/>
      <c r="AR145" s="3435"/>
      <c r="AS145" s="3435"/>
      <c r="AT145" s="3435"/>
      <c r="AU145" s="3435"/>
      <c r="AV145" s="3435"/>
      <c r="AW145" s="3435"/>
      <c r="AX145" s="4762"/>
      <c r="AY145" s="3435"/>
      <c r="AZ145" s="3435"/>
      <c r="BA145" s="3435"/>
      <c r="BB145" s="3435"/>
      <c r="BC145" s="3435"/>
      <c r="BD145" s="3435"/>
      <c r="BE145" s="3435"/>
      <c r="BF145" s="4762"/>
      <c r="BG145" s="3435"/>
      <c r="BH145" s="3435"/>
      <c r="BI145" s="3435"/>
      <c r="BJ145" s="3435"/>
      <c r="BK145" s="3435"/>
      <c r="BL145" s="3435"/>
      <c r="BM145" s="3435"/>
      <c r="BN145" s="4762"/>
      <c r="BO145" s="3435"/>
      <c r="BP145" s="3435"/>
      <c r="BQ145" s="3435"/>
      <c r="BR145" s="3435"/>
      <c r="BS145" s="3435"/>
      <c r="BT145" s="3435"/>
      <c r="BU145" s="3435"/>
      <c r="BV145" s="4762"/>
      <c r="BW145" s="3435"/>
      <c r="BX145" s="3435"/>
      <c r="BY145" s="3435"/>
      <c r="BZ145" s="3435"/>
      <c r="CA145" s="3435"/>
      <c r="CB145" s="3435"/>
      <c r="CC145" s="3435"/>
      <c r="CD145" s="4762"/>
      <c r="CE145" s="3435"/>
      <c r="CF145" s="3435"/>
      <c r="CG145" s="3435"/>
      <c r="CH145" s="3435"/>
      <c r="CI145" s="3435"/>
      <c r="CJ145" s="3435"/>
      <c r="CK145" s="3435"/>
      <c r="CL145" s="4762"/>
      <c r="CM145" s="3435"/>
    </row>
    <row r="146" spans="1:91" s="2720" customFormat="1" ht="15" customHeight="1" x14ac:dyDescent="0.25">
      <c r="A146" s="4206"/>
      <c r="B146" s="4206"/>
      <c r="C146" s="4206"/>
      <c r="D146" s="4206"/>
      <c r="E146" s="4206"/>
      <c r="F146" s="4210"/>
      <c r="I146" s="3310"/>
      <c r="J146" s="3310"/>
      <c r="K146" s="3310"/>
      <c r="L146" s="3790"/>
      <c r="M146" s="3790"/>
      <c r="N146" s="3790"/>
      <c r="O146" s="4219"/>
      <c r="P146" s="3790"/>
      <c r="Q146" s="4222"/>
      <c r="R146" s="3310"/>
      <c r="S146" s="435"/>
      <c r="T146" s="4373"/>
      <c r="W146" s="4763"/>
      <c r="X146" s="4763"/>
      <c r="Y146" s="4763"/>
      <c r="Z146" s="4763"/>
      <c r="AA146" s="4763"/>
      <c r="AB146" s="4763"/>
      <c r="AC146" s="4764"/>
      <c r="AD146" s="4764"/>
      <c r="AE146" s="4764"/>
      <c r="AF146" s="4764"/>
      <c r="AG146" s="4764"/>
      <c r="AH146" s="4763"/>
      <c r="AI146" s="4763"/>
      <c r="AJ146" s="4763"/>
      <c r="AK146" s="4763"/>
      <c r="AL146" s="4763"/>
      <c r="AM146" s="4763"/>
      <c r="AN146" s="4763"/>
      <c r="AO146" s="4763"/>
      <c r="AP146" s="4764"/>
      <c r="AQ146" s="4763"/>
      <c r="AR146" s="4763"/>
      <c r="AS146" s="4763"/>
      <c r="AT146" s="4763"/>
      <c r="AU146" s="4763"/>
      <c r="AV146" s="4763"/>
      <c r="AW146" s="4763"/>
      <c r="AX146" s="4764"/>
      <c r="AY146" s="4763"/>
      <c r="AZ146" s="4763"/>
      <c r="BA146" s="4763"/>
      <c r="BB146" s="4763"/>
      <c r="BC146" s="4763"/>
      <c r="BD146" s="4763"/>
      <c r="BE146" s="4763"/>
      <c r="BF146" s="4764"/>
      <c r="BG146" s="4763"/>
      <c r="BH146" s="4763"/>
      <c r="BI146" s="4763"/>
      <c r="BJ146" s="4763"/>
      <c r="BK146" s="4763"/>
      <c r="BL146" s="4763"/>
      <c r="BM146" s="4763"/>
      <c r="BN146" s="4764"/>
      <c r="BO146" s="4763"/>
      <c r="BP146" s="4763"/>
      <c r="BQ146" s="4763"/>
      <c r="BR146" s="4763"/>
      <c r="BS146" s="4763"/>
      <c r="BT146" s="4763"/>
      <c r="BU146" s="4763"/>
      <c r="BV146" s="4764"/>
      <c r="BW146" s="4763"/>
      <c r="BX146" s="4763"/>
      <c r="BY146" s="4763"/>
      <c r="BZ146" s="4763"/>
      <c r="CA146" s="4763"/>
      <c r="CB146" s="4763"/>
      <c r="CC146" s="4763"/>
      <c r="CD146" s="4764"/>
      <c r="CE146" s="4763"/>
      <c r="CF146" s="4763"/>
      <c r="CG146" s="4763"/>
      <c r="CH146" s="4763"/>
      <c r="CI146" s="4763"/>
      <c r="CJ146" s="4763"/>
      <c r="CK146" s="4763"/>
      <c r="CL146" s="4764"/>
      <c r="CM146" s="4763"/>
    </row>
    <row r="147" spans="1:91" s="181" customFormat="1" ht="35.1" customHeight="1" thickBot="1" x14ac:dyDescent="0.3">
      <c r="A147" s="4205"/>
      <c r="B147" s="4205"/>
      <c r="C147" s="4205"/>
      <c r="D147" s="4205"/>
      <c r="E147" s="4205"/>
      <c r="F147" s="4211"/>
      <c r="K147" s="2373"/>
      <c r="L147" s="2625"/>
      <c r="M147" s="2625"/>
      <c r="N147" s="2625"/>
      <c r="O147" s="2737"/>
      <c r="P147" s="207"/>
      <c r="Q147" s="402"/>
      <c r="R147" s="2809"/>
      <c r="S147" s="3675"/>
      <c r="T147" s="4373"/>
      <c r="W147" s="4489"/>
      <c r="X147" s="4489"/>
      <c r="Y147" s="4489"/>
      <c r="Z147" s="4489"/>
      <c r="AA147" s="4489"/>
      <c r="AB147" s="4489"/>
      <c r="AC147" s="4766"/>
      <c r="AD147" s="4766"/>
      <c r="AE147" s="4766"/>
      <c r="AF147" s="4766"/>
      <c r="AG147" s="4766"/>
      <c r="AH147" s="4489"/>
      <c r="AI147" s="4489"/>
      <c r="AJ147" s="4489"/>
      <c r="AK147" s="4489"/>
      <c r="AL147" s="4489"/>
      <c r="AM147" s="4489"/>
      <c r="AN147" s="4489"/>
      <c r="AO147" s="4489"/>
      <c r="AP147" s="4766"/>
      <c r="AQ147" s="4489"/>
      <c r="AR147" s="3435"/>
      <c r="AS147" s="4489"/>
      <c r="AT147" s="4489"/>
      <c r="AU147" s="4489"/>
      <c r="AV147" s="4489"/>
      <c r="AW147" s="4489"/>
      <c r="AX147" s="4766"/>
      <c r="AY147" s="4489"/>
      <c r="AZ147" s="4489"/>
      <c r="BA147" s="4489"/>
      <c r="BB147" s="4489"/>
      <c r="BC147" s="4489"/>
      <c r="BD147" s="4489"/>
      <c r="BE147" s="4489"/>
      <c r="BF147" s="4766"/>
      <c r="BG147" s="4489"/>
      <c r="BH147" s="3435"/>
      <c r="BI147" s="4489"/>
      <c r="BJ147" s="4489"/>
      <c r="BK147" s="4489"/>
      <c r="BL147" s="4489"/>
      <c r="BM147" s="4489"/>
      <c r="BN147" s="4766"/>
      <c r="BO147" s="4489"/>
      <c r="BP147" s="3435"/>
      <c r="BQ147" s="4489"/>
      <c r="BR147" s="4489"/>
      <c r="BS147" s="4489"/>
      <c r="BT147" s="4489"/>
      <c r="BU147" s="4489"/>
      <c r="BV147" s="4766"/>
      <c r="BW147" s="4489"/>
      <c r="BX147" s="3435"/>
      <c r="BY147" s="4489"/>
      <c r="BZ147" s="4489"/>
      <c r="CA147" s="4489"/>
      <c r="CB147" s="4489"/>
      <c r="CC147" s="4489"/>
      <c r="CD147" s="4766"/>
      <c r="CE147" s="4489"/>
      <c r="CF147" s="3435"/>
      <c r="CG147" s="4489"/>
      <c r="CH147" s="4489"/>
      <c r="CI147" s="4489"/>
      <c r="CJ147" s="4489"/>
      <c r="CK147" s="4489"/>
      <c r="CL147" s="4766"/>
      <c r="CM147" s="4489"/>
    </row>
    <row r="148" spans="1:91" s="8" customFormat="1" ht="20.100000000000001" customHeight="1" thickBot="1" x14ac:dyDescent="0.25">
      <c r="A148" s="4203"/>
      <c r="B148" s="4203"/>
      <c r="C148" s="4203"/>
      <c r="D148" s="4203"/>
      <c r="E148" s="4203"/>
      <c r="F148" s="4212"/>
      <c r="I148" s="2805"/>
      <c r="J148" s="10"/>
      <c r="K148" s="3335"/>
      <c r="L148" s="6798" t="str">
        <f>_Calcs_Klasse!APG35</f>
        <v>Forbolting</v>
      </c>
      <c r="M148" s="6798"/>
      <c r="N148" s="6798"/>
      <c r="O148" s="6798"/>
      <c r="P148" s="6798"/>
      <c r="Q148" s="6798"/>
      <c r="R148" s="3653"/>
      <c r="S148" s="3660"/>
      <c r="T148" s="4373"/>
      <c r="W148" s="4574"/>
      <c r="X148" s="4574"/>
      <c r="Y148" s="4574"/>
      <c r="Z148" s="4574"/>
      <c r="AA148" s="4575"/>
      <c r="AB148" s="4574"/>
      <c r="AC148" s="4576"/>
      <c r="AD148" s="4576"/>
      <c r="AE148" s="4576"/>
      <c r="AF148" s="4576"/>
      <c r="AG148" s="4576"/>
      <c r="AH148" s="4574"/>
      <c r="AI148" s="4568"/>
      <c r="AJ148" s="4568"/>
      <c r="AK148" s="4574"/>
      <c r="AL148" s="4574"/>
      <c r="AM148" s="4574"/>
      <c r="AN148" s="4575"/>
      <c r="AO148" s="4574"/>
      <c r="AP148" s="4576"/>
      <c r="AQ148" s="4574"/>
      <c r="AR148" s="3435"/>
      <c r="AS148" s="4574"/>
      <c r="AT148" s="4574"/>
      <c r="AU148" s="4574"/>
      <c r="AV148" s="4575"/>
      <c r="AW148" s="4574"/>
      <c r="AX148" s="4576"/>
      <c r="AY148" s="4574"/>
      <c r="AZ148" s="4568"/>
      <c r="BA148" s="4574"/>
      <c r="BB148" s="4574"/>
      <c r="BC148" s="4574"/>
      <c r="BD148" s="4575"/>
      <c r="BE148" s="4574"/>
      <c r="BF148" s="4576"/>
      <c r="BG148" s="4574"/>
      <c r="BH148" s="4445"/>
      <c r="BI148" s="4574"/>
      <c r="BJ148" s="4574"/>
      <c r="BK148" s="4574"/>
      <c r="BL148" s="4575"/>
      <c r="BM148" s="4574"/>
      <c r="BN148" s="4576"/>
      <c r="BO148" s="4574"/>
      <c r="BP148" s="4445"/>
      <c r="BQ148" s="4574"/>
      <c r="BR148" s="4574"/>
      <c r="BS148" s="4574"/>
      <c r="BT148" s="4575"/>
      <c r="BU148" s="4574"/>
      <c r="BV148" s="4576"/>
      <c r="BW148" s="4574"/>
      <c r="BX148" s="4445"/>
      <c r="BY148" s="4574"/>
      <c r="BZ148" s="4574"/>
      <c r="CA148" s="4574"/>
      <c r="CB148" s="4575"/>
      <c r="CC148" s="4574"/>
      <c r="CD148" s="4576"/>
      <c r="CE148" s="4574"/>
      <c r="CF148" s="4445"/>
      <c r="CG148" s="4574"/>
      <c r="CH148" s="4574"/>
      <c r="CI148" s="4574"/>
      <c r="CJ148" s="4575"/>
      <c r="CK148" s="4574"/>
      <c r="CL148" s="4576"/>
      <c r="CM148" s="4574"/>
    </row>
    <row r="149" spans="1:91" s="8" customFormat="1" ht="15" customHeight="1" thickBot="1" x14ac:dyDescent="0.25">
      <c r="A149" s="4203"/>
      <c r="B149" s="4203"/>
      <c r="C149" s="4203"/>
      <c r="D149" s="4203"/>
      <c r="E149" s="4203"/>
      <c r="F149" s="4212"/>
      <c r="I149" s="6795" t="str">
        <f>_Calcs!$K$72</f>
        <v>Forbolting</v>
      </c>
      <c r="J149" s="10"/>
      <c r="K149" s="3336"/>
      <c r="L149" s="6799"/>
      <c r="M149" s="6799"/>
      <c r="N149" s="6799"/>
      <c r="O149" s="6799"/>
      <c r="P149" s="6799"/>
      <c r="Q149" s="6799"/>
      <c r="R149" s="3654"/>
      <c r="S149" s="3660"/>
      <c r="T149" s="4373"/>
      <c r="W149" s="4577"/>
      <c r="X149" s="4578"/>
      <c r="Y149" s="4578"/>
      <c r="Z149" s="4579"/>
      <c r="AA149" s="4489"/>
      <c r="AB149" s="4580"/>
      <c r="AC149" s="4581"/>
      <c r="AD149" s="4581"/>
      <c r="AE149" s="4581"/>
      <c r="AF149" s="4581"/>
      <c r="AG149" s="4581"/>
      <c r="AH149" s="4582"/>
      <c r="AI149" s="4568"/>
      <c r="AJ149" s="4568"/>
      <c r="AK149" s="4583"/>
      <c r="AL149" s="4584"/>
      <c r="AM149" s="4585"/>
      <c r="AN149" s="4489"/>
      <c r="AO149" s="4586"/>
      <c r="AP149" s="4587"/>
      <c r="AQ149" s="4588"/>
      <c r="AR149" s="3435"/>
      <c r="AS149" s="4589"/>
      <c r="AT149" s="4590"/>
      <c r="AU149" s="4591"/>
      <c r="AV149" s="4489"/>
      <c r="AW149" s="4592"/>
      <c r="AX149" s="4593"/>
      <c r="AY149" s="4594"/>
      <c r="AZ149" s="4568"/>
      <c r="BA149" s="4595"/>
      <c r="BB149" s="4596"/>
      <c r="BC149" s="4597"/>
      <c r="BD149" s="4489"/>
      <c r="BE149" s="4598"/>
      <c r="BF149" s="4599"/>
      <c r="BG149" s="4600"/>
      <c r="BH149" s="4445"/>
      <c r="BI149" s="4601"/>
      <c r="BJ149" s="4602"/>
      <c r="BK149" s="4603"/>
      <c r="BL149" s="4489"/>
      <c r="BM149" s="4604"/>
      <c r="BN149" s="4605"/>
      <c r="BO149" s="4606"/>
      <c r="BP149" s="4445"/>
      <c r="BQ149" s="4607"/>
      <c r="BR149" s="4608"/>
      <c r="BS149" s="4609"/>
      <c r="BT149" s="4489"/>
      <c r="BU149" s="4610"/>
      <c r="BV149" s="4611"/>
      <c r="BW149" s="4612"/>
      <c r="BX149" s="4445"/>
      <c r="BY149" s="4613"/>
      <c r="BZ149" s="4614"/>
      <c r="CA149" s="4615"/>
      <c r="CB149" s="4489"/>
      <c r="CC149" s="4616"/>
      <c r="CD149" s="4617"/>
      <c r="CE149" s="4618"/>
      <c r="CF149" s="4445"/>
      <c r="CG149" s="4619"/>
      <c r="CH149" s="4620"/>
      <c r="CI149" s="4621"/>
      <c r="CJ149" s="4489"/>
      <c r="CK149" s="4622"/>
      <c r="CL149" s="4623"/>
      <c r="CM149" s="4624"/>
    </row>
    <row r="150" spans="1:91" s="8" customFormat="1" ht="8.1" customHeight="1" thickBot="1" x14ac:dyDescent="0.25">
      <c r="A150" s="4203"/>
      <c r="B150" s="4203"/>
      <c r="C150" s="4203"/>
      <c r="D150" s="4203"/>
      <c r="E150" s="4203"/>
      <c r="F150" s="4212"/>
      <c r="I150" s="6795"/>
      <c r="J150" s="10"/>
      <c r="L150" s="21"/>
      <c r="M150" s="21"/>
      <c r="N150" s="21"/>
      <c r="O150" s="13"/>
      <c r="P150" s="21"/>
      <c r="Q150" s="15"/>
      <c r="S150" s="16"/>
      <c r="T150" s="4373"/>
      <c r="W150" s="4574"/>
      <c r="X150" s="4625"/>
      <c r="Y150" s="4625"/>
      <c r="Z150" s="4626"/>
      <c r="AA150" s="4575"/>
      <c r="AB150" s="4574"/>
      <c r="AC150" s="4627"/>
      <c r="AD150" s="4627"/>
      <c r="AE150" s="4627"/>
      <c r="AF150" s="4627"/>
      <c r="AG150" s="4627"/>
      <c r="AH150" s="4626"/>
      <c r="AI150" s="4568"/>
      <c r="AJ150" s="4568"/>
      <c r="AK150" s="4574"/>
      <c r="AL150" s="4625"/>
      <c r="AM150" s="4626"/>
      <c r="AN150" s="4575"/>
      <c r="AO150" s="4574"/>
      <c r="AP150" s="4627"/>
      <c r="AQ150" s="4626"/>
      <c r="AR150" s="3435"/>
      <c r="AS150" s="4574"/>
      <c r="AT150" s="4625"/>
      <c r="AU150" s="4626"/>
      <c r="AV150" s="4575"/>
      <c r="AW150" s="4574"/>
      <c r="AX150" s="4627"/>
      <c r="AY150" s="4626"/>
      <c r="AZ150" s="4568"/>
      <c r="BA150" s="4574"/>
      <c r="BB150" s="4625"/>
      <c r="BC150" s="4626"/>
      <c r="BD150" s="4575"/>
      <c r="BE150" s="4574"/>
      <c r="BF150" s="4627"/>
      <c r="BG150" s="4626"/>
      <c r="BH150" s="4445"/>
      <c r="BI150" s="4574"/>
      <c r="BJ150" s="4625"/>
      <c r="BK150" s="4626"/>
      <c r="BL150" s="4575"/>
      <c r="BM150" s="4574"/>
      <c r="BN150" s="4627"/>
      <c r="BO150" s="4626"/>
      <c r="BP150" s="4445"/>
      <c r="BQ150" s="4574"/>
      <c r="BR150" s="4625"/>
      <c r="BS150" s="4626"/>
      <c r="BT150" s="4575"/>
      <c r="BU150" s="4574"/>
      <c r="BV150" s="4627"/>
      <c r="BW150" s="4626"/>
      <c r="BX150" s="4445"/>
      <c r="BY150" s="4574"/>
      <c r="BZ150" s="4625"/>
      <c r="CA150" s="4626"/>
      <c r="CB150" s="4575"/>
      <c r="CC150" s="4574"/>
      <c r="CD150" s="4627"/>
      <c r="CE150" s="4626"/>
      <c r="CF150" s="4445"/>
      <c r="CG150" s="4574"/>
      <c r="CH150" s="4625"/>
      <c r="CI150" s="4626"/>
      <c r="CJ150" s="4575"/>
      <c r="CK150" s="4574"/>
      <c r="CL150" s="4627"/>
      <c r="CM150" s="4626"/>
    </row>
    <row r="151" spans="1:91" s="34" customFormat="1" ht="15" customHeight="1" thickBot="1" x14ac:dyDescent="0.25">
      <c r="A151" s="4207"/>
      <c r="B151" s="4207"/>
      <c r="C151" s="4207"/>
      <c r="D151" s="4207"/>
      <c r="E151" s="4207"/>
      <c r="F151" s="4212"/>
      <c r="I151" s="6795"/>
      <c r="J151" s="2349"/>
      <c r="K151" s="3724"/>
      <c r="L151" s="3331"/>
      <c r="M151" s="3331"/>
      <c r="N151" s="3331"/>
      <c r="O151" s="3331"/>
      <c r="P151" s="3331"/>
      <c r="Q151" s="3332"/>
      <c r="R151" s="3725"/>
      <c r="S151" s="2798"/>
      <c r="T151" s="4375"/>
      <c r="W151" s="4946"/>
      <c r="X151" s="4629"/>
      <c r="Y151" s="4629"/>
      <c r="Z151" s="4630"/>
      <c r="AA151" s="4870"/>
      <c r="AB151" s="4947"/>
      <c r="AC151" s="4890"/>
      <c r="AD151" s="4890"/>
      <c r="AE151" s="4890"/>
      <c r="AF151" s="4890"/>
      <c r="AG151" s="4890"/>
      <c r="AH151" s="4891"/>
      <c r="AI151" s="4870"/>
      <c r="AJ151" s="4870"/>
      <c r="AK151" s="4948"/>
      <c r="AL151" s="4635"/>
      <c r="AM151" s="4636"/>
      <c r="AN151" s="4870"/>
      <c r="AO151" s="4949"/>
      <c r="AP151" s="4893"/>
      <c r="AQ151" s="4894"/>
      <c r="AR151" s="4875"/>
      <c r="AS151" s="4950"/>
      <c r="AT151" s="4641"/>
      <c r="AU151" s="4642"/>
      <c r="AV151" s="4870"/>
      <c r="AW151" s="4951"/>
      <c r="AX151" s="4896"/>
      <c r="AY151" s="4897"/>
      <c r="AZ151" s="4870"/>
      <c r="BA151" s="4952"/>
      <c r="BB151" s="4647"/>
      <c r="BC151" s="4648"/>
      <c r="BD151" s="4870"/>
      <c r="BE151" s="4953"/>
      <c r="BF151" s="4899"/>
      <c r="BG151" s="4900"/>
      <c r="BH151" s="4880"/>
      <c r="BI151" s="4954"/>
      <c r="BJ151" s="4653"/>
      <c r="BK151" s="4654"/>
      <c r="BL151" s="4870"/>
      <c r="BM151" s="4955"/>
      <c r="BN151" s="4902"/>
      <c r="BO151" s="4903"/>
      <c r="BP151" s="4880"/>
      <c r="BQ151" s="4956"/>
      <c r="BR151" s="4659"/>
      <c r="BS151" s="4660"/>
      <c r="BT151" s="4870"/>
      <c r="BU151" s="4957"/>
      <c r="BV151" s="4905"/>
      <c r="BW151" s="4906"/>
      <c r="BX151" s="4880"/>
      <c r="BY151" s="4958"/>
      <c r="BZ151" s="4665"/>
      <c r="CA151" s="4666"/>
      <c r="CB151" s="4870"/>
      <c r="CC151" s="4959"/>
      <c r="CD151" s="4908"/>
      <c r="CE151" s="4909"/>
      <c r="CF151" s="4880"/>
      <c r="CG151" s="4960"/>
      <c r="CH151" s="4671"/>
      <c r="CI151" s="4672"/>
      <c r="CJ151" s="4870"/>
      <c r="CK151" s="4961"/>
      <c r="CL151" s="4911"/>
      <c r="CM151" s="4912"/>
    </row>
    <row r="152" spans="1:91" s="34" customFormat="1" ht="24.95" customHeight="1" x14ac:dyDescent="0.2">
      <c r="A152" s="4207"/>
      <c r="B152" s="4207"/>
      <c r="C152" s="4207"/>
      <c r="D152" s="4207"/>
      <c r="E152" s="4207"/>
      <c r="F152" s="4212"/>
      <c r="I152" s="6859"/>
      <c r="J152" s="2349"/>
      <c r="K152" s="3708"/>
      <c r="L152" s="7006" t="str">
        <f>_Calcs_Klasse!$APG$36</f>
        <v>Forbolting -bueområde</v>
      </c>
      <c r="M152" s="7006"/>
      <c r="N152" s="5098"/>
      <c r="O152" s="6796" t="s">
        <v>149</v>
      </c>
      <c r="P152" s="5098"/>
      <c r="Q152" s="5096"/>
      <c r="R152" s="3706"/>
      <c r="S152" s="2798"/>
      <c r="T152" s="4375"/>
      <c r="W152" s="4768"/>
      <c r="X152" s="6819"/>
      <c r="Y152" s="6820"/>
      <c r="Z152" s="4832"/>
      <c r="AA152" s="4870"/>
      <c r="AB152" s="4962"/>
      <c r="AC152" s="6953" t="e">
        <f>_Calcs_Klasse!$APK$42</f>
        <v>#N/A</v>
      </c>
      <c r="AD152" s="6954"/>
      <c r="AE152" s="6954"/>
      <c r="AF152" s="6954"/>
      <c r="AG152" s="6955"/>
      <c r="AH152" s="4963"/>
      <c r="AI152" s="4870"/>
      <c r="AJ152" s="4870"/>
      <c r="AK152" s="4872"/>
      <c r="AL152" s="6965" t="s">
        <v>1080</v>
      </c>
      <c r="AM152" s="4837"/>
      <c r="AN152" s="4870"/>
      <c r="AO152" s="4964"/>
      <c r="AP152" s="6963" t="e">
        <f>_Calcs_Klasse!$APK$43</f>
        <v>#N/A</v>
      </c>
      <c r="AQ152" s="4965"/>
      <c r="AR152" s="4875"/>
      <c r="AS152" s="4876"/>
      <c r="AT152" s="6965" t="s">
        <v>1080</v>
      </c>
      <c r="AU152" s="4842"/>
      <c r="AV152" s="4870"/>
      <c r="AW152" s="4966"/>
      <c r="AX152" s="6963" t="e">
        <f>_Calcs_Klasse!$APK$44</f>
        <v>#N/A</v>
      </c>
      <c r="AY152" s="4967"/>
      <c r="AZ152" s="4870"/>
      <c r="BA152" s="4878"/>
      <c r="BB152" s="6965"/>
      <c r="BC152" s="4847"/>
      <c r="BD152" s="4870"/>
      <c r="BE152" s="4968"/>
      <c r="BF152" s="6963" t="e">
        <f>_Calcs_Klasse!$APK$45</f>
        <v>#N/A</v>
      </c>
      <c r="BG152" s="4969"/>
      <c r="BH152" s="4880"/>
      <c r="BI152" s="4881"/>
      <c r="BJ152" s="6965"/>
      <c r="BK152" s="4852"/>
      <c r="BL152" s="4870"/>
      <c r="BM152" s="4970"/>
      <c r="BN152" s="6963" t="e">
        <f>_Calcs_Klasse!$APK$46</f>
        <v>#N/A</v>
      </c>
      <c r="BO152" s="4971"/>
      <c r="BP152" s="4880"/>
      <c r="BQ152" s="4883"/>
      <c r="BR152" s="6965"/>
      <c r="BS152" s="4857"/>
      <c r="BT152" s="4870"/>
      <c r="BU152" s="4972"/>
      <c r="BV152" s="6963" t="e">
        <f>_Calcs_Klasse!$APK$47</f>
        <v>#N/A</v>
      </c>
      <c r="BW152" s="4973"/>
      <c r="BX152" s="4880"/>
      <c r="BY152" s="4885"/>
      <c r="BZ152" s="6965"/>
      <c r="CA152" s="4862"/>
      <c r="CB152" s="4870"/>
      <c r="CC152" s="4974"/>
      <c r="CD152" s="6963" t="e">
        <f>_Calcs_Klasse!$APK$48</f>
        <v>#N/A</v>
      </c>
      <c r="CE152" s="4975"/>
      <c r="CF152" s="4880"/>
      <c r="CG152" s="4887"/>
      <c r="CH152" s="6965"/>
      <c r="CI152" s="4867"/>
      <c r="CJ152" s="4870"/>
      <c r="CK152" s="4976"/>
      <c r="CL152" s="6963" t="e">
        <f>_Calcs_Klasse!$APK$49</f>
        <v>#N/A</v>
      </c>
      <c r="CM152" s="4913"/>
    </row>
    <row r="153" spans="1:91" s="34" customFormat="1" ht="15" customHeight="1" thickBot="1" x14ac:dyDescent="0.25">
      <c r="A153" s="4207"/>
      <c r="B153" s="4207"/>
      <c r="C153" s="4207"/>
      <c r="D153" s="4207"/>
      <c r="E153" s="4207"/>
      <c r="F153" s="4212" t="s">
        <v>1553</v>
      </c>
      <c r="I153" s="3580"/>
      <c r="J153" s="2349"/>
      <c r="K153" s="3726"/>
      <c r="L153" s="7006"/>
      <c r="M153" s="7006"/>
      <c r="N153" s="5098"/>
      <c r="O153" s="6796"/>
      <c r="P153" s="5106"/>
      <c r="Q153" s="5107"/>
      <c r="R153" s="3727"/>
      <c r="S153" s="3728"/>
      <c r="T153" s="4375"/>
      <c r="W153" s="4768"/>
      <c r="X153" s="6821"/>
      <c r="Y153" s="6822"/>
      <c r="Z153" s="4832"/>
      <c r="AA153" s="4880"/>
      <c r="AB153" s="4962"/>
      <c r="AC153" s="6956"/>
      <c r="AD153" s="6957"/>
      <c r="AE153" s="6957"/>
      <c r="AF153" s="6957"/>
      <c r="AG153" s="6958"/>
      <c r="AH153" s="4963"/>
      <c r="AI153" s="4880"/>
      <c r="AJ153" s="4880"/>
      <c r="AK153" s="4872"/>
      <c r="AL153" s="6966"/>
      <c r="AM153" s="4837"/>
      <c r="AN153" s="4880"/>
      <c r="AO153" s="4964"/>
      <c r="AP153" s="6964"/>
      <c r="AQ153" s="4965"/>
      <c r="AR153" s="4880"/>
      <c r="AS153" s="4876"/>
      <c r="AT153" s="6966"/>
      <c r="AU153" s="4842"/>
      <c r="AV153" s="4880"/>
      <c r="AW153" s="4966"/>
      <c r="AX153" s="6964"/>
      <c r="AY153" s="4967"/>
      <c r="AZ153" s="4880"/>
      <c r="BA153" s="4878"/>
      <c r="BB153" s="6966"/>
      <c r="BC153" s="4847"/>
      <c r="BD153" s="4880"/>
      <c r="BE153" s="4968"/>
      <c r="BF153" s="6964"/>
      <c r="BG153" s="4969"/>
      <c r="BH153" s="4880"/>
      <c r="BI153" s="4881"/>
      <c r="BJ153" s="6966"/>
      <c r="BK153" s="4852"/>
      <c r="BL153" s="4880"/>
      <c r="BM153" s="4970"/>
      <c r="BN153" s="6964"/>
      <c r="BO153" s="4971"/>
      <c r="BP153" s="4880"/>
      <c r="BQ153" s="4883"/>
      <c r="BR153" s="6966"/>
      <c r="BS153" s="4857"/>
      <c r="BT153" s="4880"/>
      <c r="BU153" s="4972"/>
      <c r="BV153" s="6964"/>
      <c r="BW153" s="4973"/>
      <c r="BX153" s="4880"/>
      <c r="BY153" s="4885"/>
      <c r="BZ153" s="6966"/>
      <c r="CA153" s="4862"/>
      <c r="CB153" s="4880"/>
      <c r="CC153" s="4974"/>
      <c r="CD153" s="6964"/>
      <c r="CE153" s="4975"/>
      <c r="CF153" s="4880"/>
      <c r="CG153" s="4887"/>
      <c r="CH153" s="6966"/>
      <c r="CI153" s="4867"/>
      <c r="CJ153" s="4880"/>
      <c r="CK153" s="4976"/>
      <c r="CL153" s="6964"/>
      <c r="CM153" s="4913"/>
    </row>
    <row r="154" spans="1:91" s="34" customFormat="1" ht="15" customHeight="1" thickBot="1" x14ac:dyDescent="0.25">
      <c r="A154" s="4207"/>
      <c r="B154" s="4207"/>
      <c r="C154" s="4207"/>
      <c r="D154" s="4207"/>
      <c r="E154" s="4207"/>
      <c r="F154" s="4212"/>
      <c r="I154" s="3740"/>
      <c r="J154" s="2291"/>
      <c r="K154" s="3729"/>
      <c r="L154" s="3730"/>
      <c r="M154" s="3730"/>
      <c r="N154" s="3323"/>
      <c r="O154" s="3333"/>
      <c r="P154" s="3731"/>
      <c r="Q154" s="3324"/>
      <c r="R154" s="3732"/>
      <c r="S154" s="3728"/>
      <c r="T154" s="4375"/>
      <c r="W154" s="4977"/>
      <c r="X154" s="4715"/>
      <c r="Y154" s="4715"/>
      <c r="Z154" s="4716"/>
      <c r="AA154" s="4870"/>
      <c r="AB154" s="4978"/>
      <c r="AC154" s="4718"/>
      <c r="AD154" s="4718"/>
      <c r="AE154" s="4718"/>
      <c r="AF154" s="4718"/>
      <c r="AG154" s="4718"/>
      <c r="AH154" s="4917"/>
      <c r="AI154" s="4870"/>
      <c r="AJ154" s="4870"/>
      <c r="AK154" s="4979"/>
      <c r="AL154" s="4919"/>
      <c r="AM154" s="4722"/>
      <c r="AN154" s="4870"/>
      <c r="AO154" s="4980"/>
      <c r="AP154" s="4724"/>
      <c r="AQ154" s="4921"/>
      <c r="AR154" s="4875"/>
      <c r="AS154" s="4981"/>
      <c r="AT154" s="4923"/>
      <c r="AU154" s="4728"/>
      <c r="AV154" s="4870"/>
      <c r="AW154" s="4982"/>
      <c r="AX154" s="4730"/>
      <c r="AY154" s="4925"/>
      <c r="AZ154" s="4870"/>
      <c r="BA154" s="4983"/>
      <c r="BB154" s="4927"/>
      <c r="BC154" s="4734"/>
      <c r="BD154" s="4870"/>
      <c r="BE154" s="4984"/>
      <c r="BF154" s="4736"/>
      <c r="BG154" s="4929"/>
      <c r="BH154" s="4880"/>
      <c r="BI154" s="4985"/>
      <c r="BJ154" s="4931"/>
      <c r="BK154" s="4740"/>
      <c r="BL154" s="4870"/>
      <c r="BM154" s="4986"/>
      <c r="BN154" s="4742"/>
      <c r="BO154" s="4933"/>
      <c r="BP154" s="4880"/>
      <c r="BQ154" s="4987"/>
      <c r="BR154" s="4935"/>
      <c r="BS154" s="4746"/>
      <c r="BT154" s="4870"/>
      <c r="BU154" s="4988"/>
      <c r="BV154" s="4748"/>
      <c r="BW154" s="4937"/>
      <c r="BX154" s="4880"/>
      <c r="BY154" s="4989"/>
      <c r="BZ154" s="4939"/>
      <c r="CA154" s="4752"/>
      <c r="CB154" s="4870"/>
      <c r="CC154" s="4990"/>
      <c r="CD154" s="4754"/>
      <c r="CE154" s="4941"/>
      <c r="CF154" s="4880"/>
      <c r="CG154" s="4991"/>
      <c r="CH154" s="4943"/>
      <c r="CI154" s="4758"/>
      <c r="CJ154" s="4870"/>
      <c r="CK154" s="4992"/>
      <c r="CL154" s="4760"/>
      <c r="CM154" s="4945"/>
    </row>
    <row r="155" spans="1:91" s="34" customFormat="1" ht="8.1" customHeight="1" thickBot="1" x14ac:dyDescent="0.25">
      <c r="A155" s="4207"/>
      <c r="B155" s="4207"/>
      <c r="C155" s="4207"/>
      <c r="D155" s="4207"/>
      <c r="E155" s="4207"/>
      <c r="F155" s="4212"/>
      <c r="I155" s="3740"/>
      <c r="J155" s="2291"/>
      <c r="K155" s="2349"/>
      <c r="L155" s="2737"/>
      <c r="M155" s="2737"/>
      <c r="N155" s="2737"/>
      <c r="O155" s="2737"/>
      <c r="P155" s="2737"/>
      <c r="Q155" s="2639"/>
      <c r="R155" s="2349"/>
      <c r="S155" s="4124"/>
      <c r="T155" s="4375"/>
      <c r="W155" s="4626"/>
      <c r="X155" s="4626"/>
      <c r="Y155" s="4626"/>
      <c r="Z155" s="4626"/>
      <c r="AA155" s="4870"/>
      <c r="AB155" s="4626"/>
      <c r="AC155" s="4993"/>
      <c r="AD155" s="4993"/>
      <c r="AE155" s="4993"/>
      <c r="AF155" s="4993"/>
      <c r="AG155" s="4993"/>
      <c r="AH155" s="4626"/>
      <c r="AI155" s="4870"/>
      <c r="AJ155" s="4870"/>
      <c r="AK155" s="4626"/>
      <c r="AL155" s="4626"/>
      <c r="AM155" s="4626"/>
      <c r="AN155" s="4870"/>
      <c r="AO155" s="4626"/>
      <c r="AP155" s="4993"/>
      <c r="AQ155" s="4626"/>
      <c r="AR155" s="4875"/>
      <c r="AS155" s="4626"/>
      <c r="AT155" s="4626"/>
      <c r="AU155" s="4626"/>
      <c r="AV155" s="4870"/>
      <c r="AW155" s="4626"/>
      <c r="AX155" s="4993"/>
      <c r="AY155" s="4626"/>
      <c r="AZ155" s="4870"/>
      <c r="BA155" s="4626"/>
      <c r="BB155" s="4626"/>
      <c r="BC155" s="4626"/>
      <c r="BD155" s="4870"/>
      <c r="BE155" s="4626"/>
      <c r="BF155" s="4993"/>
      <c r="BG155" s="4626"/>
      <c r="BH155" s="4880"/>
      <c r="BI155" s="4626"/>
      <c r="BJ155" s="4626"/>
      <c r="BK155" s="4626"/>
      <c r="BL155" s="4870"/>
      <c r="BM155" s="4626"/>
      <c r="BN155" s="4993"/>
      <c r="BO155" s="4626"/>
      <c r="BP155" s="4880"/>
      <c r="BQ155" s="4626"/>
      <c r="BR155" s="4626"/>
      <c r="BS155" s="4626"/>
      <c r="BT155" s="4870"/>
      <c r="BU155" s="4626"/>
      <c r="BV155" s="4993"/>
      <c r="BW155" s="4626"/>
      <c r="BX155" s="4880"/>
      <c r="BY155" s="4626"/>
      <c r="BZ155" s="4626"/>
      <c r="CA155" s="4626"/>
      <c r="CB155" s="4870"/>
      <c r="CC155" s="4626"/>
      <c r="CD155" s="4993"/>
      <c r="CE155" s="4626"/>
      <c r="CF155" s="4880"/>
      <c r="CG155" s="4626"/>
      <c r="CH155" s="4626"/>
      <c r="CI155" s="4626"/>
      <c r="CJ155" s="4870"/>
      <c r="CK155" s="4626"/>
      <c r="CL155" s="4993"/>
      <c r="CM155" s="4626"/>
    </row>
    <row r="156" spans="1:91" s="34" customFormat="1" ht="15" customHeight="1" thickBot="1" x14ac:dyDescent="0.25">
      <c r="A156" s="4207"/>
      <c r="B156" s="4207"/>
      <c r="C156" s="4207"/>
      <c r="D156" s="4207"/>
      <c r="E156" s="4207"/>
      <c r="F156" s="4212"/>
      <c r="I156" s="4123"/>
      <c r="J156" s="2291"/>
      <c r="K156" s="3724"/>
      <c r="L156" s="3331"/>
      <c r="M156" s="3331"/>
      <c r="N156" s="3331"/>
      <c r="O156" s="3331"/>
      <c r="P156" s="3331"/>
      <c r="Q156" s="3332"/>
      <c r="R156" s="3725"/>
      <c r="S156" s="2798"/>
      <c r="T156" s="4375"/>
      <c r="W156" s="4946"/>
      <c r="X156" s="4629"/>
      <c r="Y156" s="4629"/>
      <c r="Z156" s="4630"/>
      <c r="AA156" s="4994"/>
      <c r="AB156" s="4995"/>
      <c r="AC156" s="4632"/>
      <c r="AD156" s="4632"/>
      <c r="AE156" s="4632"/>
      <c r="AF156" s="4632"/>
      <c r="AG156" s="4632"/>
      <c r="AH156" s="4633"/>
      <c r="AI156" s="4870"/>
      <c r="AJ156" s="4870"/>
      <c r="AK156" s="4948"/>
      <c r="AL156" s="4635"/>
      <c r="AM156" s="4636"/>
      <c r="AN156" s="4994"/>
      <c r="AO156" s="4996"/>
      <c r="AP156" s="4638"/>
      <c r="AQ156" s="4639"/>
      <c r="AR156" s="4875"/>
      <c r="AS156" s="4950"/>
      <c r="AT156" s="4641"/>
      <c r="AU156" s="4642"/>
      <c r="AV156" s="4994"/>
      <c r="AW156" s="4997"/>
      <c r="AX156" s="4644"/>
      <c r="AY156" s="4645"/>
      <c r="AZ156" s="4870"/>
      <c r="BA156" s="4952"/>
      <c r="BB156" s="4647"/>
      <c r="BC156" s="4648"/>
      <c r="BD156" s="4994"/>
      <c r="BE156" s="4998"/>
      <c r="BF156" s="4650"/>
      <c r="BG156" s="4651"/>
      <c r="BH156" s="4880"/>
      <c r="BI156" s="4954"/>
      <c r="BJ156" s="4653"/>
      <c r="BK156" s="4654"/>
      <c r="BL156" s="4994"/>
      <c r="BM156" s="4999"/>
      <c r="BN156" s="4656"/>
      <c r="BO156" s="4657"/>
      <c r="BP156" s="4880"/>
      <c r="BQ156" s="4956"/>
      <c r="BR156" s="4659"/>
      <c r="BS156" s="4660"/>
      <c r="BT156" s="4994"/>
      <c r="BU156" s="5000"/>
      <c r="BV156" s="4662"/>
      <c r="BW156" s="4663"/>
      <c r="BX156" s="4880"/>
      <c r="BY156" s="4958"/>
      <c r="BZ156" s="4665"/>
      <c r="CA156" s="4666"/>
      <c r="CB156" s="4994"/>
      <c r="CC156" s="5001"/>
      <c r="CD156" s="4668"/>
      <c r="CE156" s="4669"/>
      <c r="CF156" s="4880"/>
      <c r="CG156" s="4960"/>
      <c r="CH156" s="4671"/>
      <c r="CI156" s="4672"/>
      <c r="CJ156" s="4994"/>
      <c r="CK156" s="5002"/>
      <c r="CL156" s="4674"/>
      <c r="CM156" s="4675"/>
    </row>
    <row r="157" spans="1:91" s="34" customFormat="1" ht="24.95" customHeight="1" thickBot="1" x14ac:dyDescent="0.25">
      <c r="A157" s="4207"/>
      <c r="B157" s="4207"/>
      <c r="C157" s="4207"/>
      <c r="D157" s="4207"/>
      <c r="E157" s="4207"/>
      <c r="F157" s="4212"/>
      <c r="I157" s="3707"/>
      <c r="J157" s="2291"/>
      <c r="K157" s="3733"/>
      <c r="L157" s="5108" t="str">
        <f>_Calcs_Klasse!$AOP$36</f>
        <v>Andel av lengde av tunnelklassen</v>
      </c>
      <c r="M157" s="5109"/>
      <c r="N157" s="5109"/>
      <c r="O157" s="5095" t="s">
        <v>149</v>
      </c>
      <c r="P157" s="5109"/>
      <c r="Q157" s="5108" t="s">
        <v>954</v>
      </c>
      <c r="R157" s="3734"/>
      <c r="S157" s="3809"/>
      <c r="T157" s="4375"/>
      <c r="W157" s="4768"/>
      <c r="X157" s="6803">
        <v>1</v>
      </c>
      <c r="Y157" s="6804"/>
      <c r="Z157" s="4677"/>
      <c r="AA157" s="4678"/>
      <c r="AB157" s="4679"/>
      <c r="AC157" s="6805" t="e">
        <f>_Calcs_Klasse!$AOT$42</f>
        <v>#N/A</v>
      </c>
      <c r="AD157" s="6806"/>
      <c r="AE157" s="6806"/>
      <c r="AF157" s="6806"/>
      <c r="AG157" s="6807"/>
      <c r="AH157" s="4680"/>
      <c r="AI157" s="4681"/>
      <c r="AJ157" s="4681"/>
      <c r="AK157" s="4682"/>
      <c r="AL157" s="4801">
        <v>1</v>
      </c>
      <c r="AM157" s="4684"/>
      <c r="AN157" s="4678"/>
      <c r="AO157" s="4685"/>
      <c r="AP157" s="4804" t="e">
        <f>_Calcs_Klasse!$AOT$43</f>
        <v>#N/A</v>
      </c>
      <c r="AQ157" s="4687"/>
      <c r="AR157" s="4688"/>
      <c r="AS157" s="4689"/>
      <c r="AT157" s="4801">
        <v>1</v>
      </c>
      <c r="AU157" s="4690"/>
      <c r="AV157" s="4678"/>
      <c r="AW157" s="4691"/>
      <c r="AX157" s="4804" t="e">
        <f>_Calcs_Klasse!$AOT$44</f>
        <v>#N/A</v>
      </c>
      <c r="AY157" s="4692"/>
      <c r="AZ157" s="4681"/>
      <c r="BA157" s="4693"/>
      <c r="BB157" s="4801">
        <v>1</v>
      </c>
      <c r="BC157" s="4694"/>
      <c r="BD157" s="4678"/>
      <c r="BE157" s="4695"/>
      <c r="BF157" s="4804" t="e">
        <f>_Calcs_Klasse!$AOT$45</f>
        <v>#N/A</v>
      </c>
      <c r="BG157" s="4696"/>
      <c r="BH157" s="4697"/>
      <c r="BI157" s="4698"/>
      <c r="BJ157" s="4801">
        <v>1</v>
      </c>
      <c r="BK157" s="4699"/>
      <c r="BL157" s="4678"/>
      <c r="BM157" s="4700"/>
      <c r="BN157" s="4804" t="e">
        <f>_Calcs_Klasse!$AOT$46</f>
        <v>#N/A</v>
      </c>
      <c r="BO157" s="4701"/>
      <c r="BP157" s="4697"/>
      <c r="BQ157" s="4702"/>
      <c r="BR157" s="4801"/>
      <c r="BS157" s="4703"/>
      <c r="BT157" s="4678"/>
      <c r="BU157" s="4704"/>
      <c r="BV157" s="4804" t="e">
        <f>_Calcs_Klasse!$AOT$47</f>
        <v>#N/A</v>
      </c>
      <c r="BW157" s="4705"/>
      <c r="BX157" s="4697"/>
      <c r="BY157" s="4706"/>
      <c r="BZ157" s="4801"/>
      <c r="CA157" s="4707"/>
      <c r="CB157" s="4678"/>
      <c r="CC157" s="4708"/>
      <c r="CD157" s="4804" t="e">
        <f>_Calcs_Klasse!$AOT$48</f>
        <v>#N/A</v>
      </c>
      <c r="CE157" s="4709"/>
      <c r="CF157" s="4697"/>
      <c r="CG157" s="4710"/>
      <c r="CH157" s="4801"/>
      <c r="CI157" s="4711"/>
      <c r="CJ157" s="4678"/>
      <c r="CK157" s="4712"/>
      <c r="CL157" s="4804" t="e">
        <f>_Calcs_Klasse!$AOT$49</f>
        <v>#N/A</v>
      </c>
      <c r="CM157" s="4713"/>
    </row>
    <row r="158" spans="1:91" s="34" customFormat="1" ht="15" customHeight="1" thickBot="1" x14ac:dyDescent="0.25">
      <c r="A158" s="4207"/>
      <c r="B158" s="4207"/>
      <c r="C158" s="4207"/>
      <c r="D158" s="4207"/>
      <c r="E158" s="4207"/>
      <c r="F158" s="4212"/>
      <c r="I158" s="4123"/>
      <c r="J158" s="2291"/>
      <c r="K158" s="3729"/>
      <c r="L158" s="3730"/>
      <c r="M158" s="3730"/>
      <c r="N158" s="3323"/>
      <c r="O158" s="3333"/>
      <c r="P158" s="3731"/>
      <c r="Q158" s="3324"/>
      <c r="R158" s="3732"/>
      <c r="S158" s="3728"/>
      <c r="T158" s="4375"/>
      <c r="W158" s="5003"/>
      <c r="X158" s="4715"/>
      <c r="Y158" s="4715"/>
      <c r="Z158" s="4716"/>
      <c r="AA158" s="4994"/>
      <c r="AB158" s="5004"/>
      <c r="AC158" s="4770"/>
      <c r="AD158" s="4770"/>
      <c r="AE158" s="4770"/>
      <c r="AF158" s="4770"/>
      <c r="AG158" s="4770"/>
      <c r="AH158" s="4771"/>
      <c r="AI158" s="4870"/>
      <c r="AJ158" s="4870"/>
      <c r="AK158" s="5005"/>
      <c r="AL158" s="4721"/>
      <c r="AM158" s="4722"/>
      <c r="AN158" s="4994"/>
      <c r="AO158" s="5006"/>
      <c r="AP158" s="4773"/>
      <c r="AQ158" s="4774"/>
      <c r="AR158" s="4875"/>
      <c r="AS158" s="5007"/>
      <c r="AT158" s="4727"/>
      <c r="AU158" s="4728"/>
      <c r="AV158" s="4994"/>
      <c r="AW158" s="5008"/>
      <c r="AX158" s="4776"/>
      <c r="AY158" s="4777"/>
      <c r="AZ158" s="4870"/>
      <c r="BA158" s="5009"/>
      <c r="BB158" s="4733"/>
      <c r="BC158" s="4734"/>
      <c r="BD158" s="4994"/>
      <c r="BE158" s="5010"/>
      <c r="BF158" s="4779"/>
      <c r="BG158" s="4780"/>
      <c r="BH158" s="4880"/>
      <c r="BI158" s="5011"/>
      <c r="BJ158" s="4739"/>
      <c r="BK158" s="4740"/>
      <c r="BL158" s="4994"/>
      <c r="BM158" s="5012"/>
      <c r="BN158" s="4782"/>
      <c r="BO158" s="4783"/>
      <c r="BP158" s="4880"/>
      <c r="BQ158" s="5013"/>
      <c r="BR158" s="4745"/>
      <c r="BS158" s="4746"/>
      <c r="BT158" s="4994"/>
      <c r="BU158" s="5014"/>
      <c r="BV158" s="4785"/>
      <c r="BW158" s="4786"/>
      <c r="BX158" s="4880"/>
      <c r="BY158" s="5015"/>
      <c r="BZ158" s="4751"/>
      <c r="CA158" s="4752"/>
      <c r="CB158" s="4994"/>
      <c r="CC158" s="5016"/>
      <c r="CD158" s="4788"/>
      <c r="CE158" s="4789"/>
      <c r="CF158" s="4880"/>
      <c r="CG158" s="5017"/>
      <c r="CH158" s="4757"/>
      <c r="CI158" s="4758"/>
      <c r="CJ158" s="4994"/>
      <c r="CK158" s="5018"/>
      <c r="CL158" s="4791"/>
      <c r="CM158" s="4792"/>
    </row>
    <row r="159" spans="1:91" s="34" customFormat="1" ht="8.1" customHeight="1" thickBot="1" x14ac:dyDescent="0.25">
      <c r="A159" s="4207"/>
      <c r="B159" s="4207"/>
      <c r="C159" s="4207"/>
      <c r="D159" s="4207"/>
      <c r="E159" s="4207"/>
      <c r="F159" s="4212"/>
      <c r="I159" s="3740"/>
      <c r="J159" s="2291"/>
      <c r="K159" s="2349"/>
      <c r="L159" s="2737"/>
      <c r="M159" s="2737"/>
      <c r="N159" s="2737"/>
      <c r="O159" s="2737"/>
      <c r="P159" s="2737"/>
      <c r="Q159" s="2639"/>
      <c r="R159" s="2349"/>
      <c r="S159" s="5162"/>
      <c r="T159" s="4375"/>
      <c r="W159" s="4626"/>
      <c r="X159" s="4626"/>
      <c r="Y159" s="4626"/>
      <c r="Z159" s="4626"/>
      <c r="AA159" s="4870"/>
      <c r="AB159" s="4626"/>
      <c r="AC159" s="4993"/>
      <c r="AD159" s="4993"/>
      <c r="AE159" s="4993"/>
      <c r="AF159" s="4993"/>
      <c r="AG159" s="4993"/>
      <c r="AH159" s="4626"/>
      <c r="AI159" s="4870"/>
      <c r="AJ159" s="4870"/>
      <c r="AK159" s="4626"/>
      <c r="AL159" s="4626"/>
      <c r="AM159" s="4626"/>
      <c r="AN159" s="4870"/>
      <c r="AO159" s="4626"/>
      <c r="AP159" s="4993"/>
      <c r="AQ159" s="4626"/>
      <c r="AR159" s="4875"/>
      <c r="AS159" s="4626"/>
      <c r="AT159" s="4626"/>
      <c r="AU159" s="4626"/>
      <c r="AV159" s="4870"/>
      <c r="AW159" s="4626"/>
      <c r="AX159" s="4993"/>
      <c r="AY159" s="4626"/>
      <c r="AZ159" s="4870"/>
      <c r="BA159" s="4626"/>
      <c r="BB159" s="4626"/>
      <c r="BC159" s="4626"/>
      <c r="BD159" s="4870"/>
      <c r="BE159" s="4626"/>
      <c r="BF159" s="4993"/>
      <c r="BG159" s="4626"/>
      <c r="BH159" s="4880"/>
      <c r="BI159" s="4626"/>
      <c r="BJ159" s="4626"/>
      <c r="BK159" s="4626"/>
      <c r="BL159" s="4870"/>
      <c r="BM159" s="4626"/>
      <c r="BN159" s="4993"/>
      <c r="BO159" s="4626"/>
      <c r="BP159" s="4880"/>
      <c r="BQ159" s="4626"/>
      <c r="BR159" s="4626"/>
      <c r="BS159" s="4626"/>
      <c r="BT159" s="4870"/>
      <c r="BU159" s="4626"/>
      <c r="BV159" s="4993"/>
      <c r="BW159" s="4626"/>
      <c r="BX159" s="4880"/>
      <c r="BY159" s="4626"/>
      <c r="BZ159" s="4626"/>
      <c r="CA159" s="4626"/>
      <c r="CB159" s="4870"/>
      <c r="CC159" s="4626"/>
      <c r="CD159" s="4993"/>
      <c r="CE159" s="4626"/>
      <c r="CF159" s="4880"/>
      <c r="CG159" s="4626"/>
      <c r="CH159" s="4626"/>
      <c r="CI159" s="4626"/>
      <c r="CJ159" s="4870"/>
      <c r="CK159" s="4626"/>
      <c r="CL159" s="4993"/>
      <c r="CM159" s="4626"/>
    </row>
    <row r="160" spans="1:91" s="34" customFormat="1" ht="15" customHeight="1" thickBot="1" x14ac:dyDescent="0.25">
      <c r="A160" s="4207"/>
      <c r="B160" s="4207"/>
      <c r="C160" s="4207"/>
      <c r="D160" s="4207"/>
      <c r="E160" s="4207"/>
      <c r="F160" s="4212"/>
      <c r="I160" s="5161"/>
      <c r="J160" s="2291"/>
      <c r="K160" s="3724"/>
      <c r="L160" s="3331"/>
      <c r="M160" s="3331"/>
      <c r="N160" s="3331"/>
      <c r="O160" s="3331"/>
      <c r="P160" s="3331"/>
      <c r="Q160" s="3332"/>
      <c r="R160" s="3725"/>
      <c r="S160" s="2798"/>
      <c r="T160" s="4375"/>
      <c r="W160" s="4946"/>
      <c r="X160" s="4629"/>
      <c r="Y160" s="4629"/>
      <c r="Z160" s="4630"/>
      <c r="AA160" s="4994"/>
      <c r="AB160" s="4995"/>
      <c r="AC160" s="4632"/>
      <c r="AD160" s="4632"/>
      <c r="AE160" s="4632"/>
      <c r="AF160" s="4632"/>
      <c r="AG160" s="4632"/>
      <c r="AH160" s="4633"/>
      <c r="AI160" s="4870"/>
      <c r="AJ160" s="4870"/>
      <c r="AK160" s="4948"/>
      <c r="AL160" s="4635"/>
      <c r="AM160" s="4636"/>
      <c r="AN160" s="4994"/>
      <c r="AO160" s="4996"/>
      <c r="AP160" s="4638"/>
      <c r="AQ160" s="4639"/>
      <c r="AR160" s="4875"/>
      <c r="AS160" s="4950"/>
      <c r="AT160" s="4641"/>
      <c r="AU160" s="4642"/>
      <c r="AV160" s="4994"/>
      <c r="AW160" s="4997"/>
      <c r="AX160" s="4644"/>
      <c r="AY160" s="4645"/>
      <c r="AZ160" s="4870"/>
      <c r="BA160" s="4952"/>
      <c r="BB160" s="4647"/>
      <c r="BC160" s="4648"/>
      <c r="BD160" s="4994"/>
      <c r="BE160" s="4998"/>
      <c r="BF160" s="4650"/>
      <c r="BG160" s="4651"/>
      <c r="BH160" s="4880"/>
      <c r="BI160" s="4954"/>
      <c r="BJ160" s="4653"/>
      <c r="BK160" s="4654"/>
      <c r="BL160" s="4994"/>
      <c r="BM160" s="4999"/>
      <c r="BN160" s="4656"/>
      <c r="BO160" s="4657"/>
      <c r="BP160" s="4880"/>
      <c r="BQ160" s="4956"/>
      <c r="BR160" s="4659"/>
      <c r="BS160" s="4660"/>
      <c r="BT160" s="4994"/>
      <c r="BU160" s="5000"/>
      <c r="BV160" s="4662"/>
      <c r="BW160" s="4663"/>
      <c r="BX160" s="4880"/>
      <c r="BY160" s="4958"/>
      <c r="BZ160" s="4665"/>
      <c r="CA160" s="4666"/>
      <c r="CB160" s="4994"/>
      <c r="CC160" s="5001"/>
      <c r="CD160" s="4668"/>
      <c r="CE160" s="4669"/>
      <c r="CF160" s="4880"/>
      <c r="CG160" s="4960"/>
      <c r="CH160" s="4671"/>
      <c r="CI160" s="4672"/>
      <c r="CJ160" s="4994"/>
      <c r="CK160" s="5002"/>
      <c r="CL160" s="4674"/>
      <c r="CM160" s="4675"/>
    </row>
    <row r="161" spans="1:91" s="34" customFormat="1" ht="24.95" customHeight="1" thickBot="1" x14ac:dyDescent="0.25">
      <c r="A161" s="4207"/>
      <c r="B161" s="4207"/>
      <c r="C161" s="4207"/>
      <c r="D161" s="4207"/>
      <c r="E161" s="4207"/>
      <c r="F161" s="5164" t="s">
        <v>2227</v>
      </c>
      <c r="I161" s="3707"/>
      <c r="J161" s="2291"/>
      <c r="K161" s="3733"/>
      <c r="L161" s="5108" t="str">
        <f>_Calcs_Klasse!$AOY$36</f>
        <v>Ekvivalent lengde</v>
      </c>
      <c r="M161" s="5164"/>
      <c r="N161" s="5109"/>
      <c r="O161" s="5160" t="s">
        <v>149</v>
      </c>
      <c r="P161" s="5109"/>
      <c r="Q161" s="5108" t="s">
        <v>78</v>
      </c>
      <c r="R161" s="3734"/>
      <c r="S161" s="3809"/>
      <c r="T161" s="4375"/>
      <c r="W161" s="4768"/>
      <c r="X161" s="6800">
        <f>_Calcs_Klasse!$APA$42</f>
        <v>1</v>
      </c>
      <c r="Y161" s="6802"/>
      <c r="Z161" s="4832"/>
      <c r="AA161" s="4870"/>
      <c r="AB161" s="4871"/>
      <c r="AC161" s="6800" t="e">
        <f>_Calcs_Klasse!$APC$42</f>
        <v>#N/A</v>
      </c>
      <c r="AD161" s="6801"/>
      <c r="AE161" s="6801"/>
      <c r="AF161" s="6801"/>
      <c r="AG161" s="6802"/>
      <c r="AH161" s="4835"/>
      <c r="AI161" s="4870"/>
      <c r="AJ161" s="4870"/>
      <c r="AK161" s="4872"/>
      <c r="AL161" s="5167">
        <f>_Calcs_Klasse!$APA$43</f>
        <v>1</v>
      </c>
      <c r="AM161" s="4837"/>
      <c r="AN161" s="4870"/>
      <c r="AO161" s="4874"/>
      <c r="AP161" s="5168" t="e">
        <f>_Calcs_Klasse!$APC$43</f>
        <v>#N/A</v>
      </c>
      <c r="AQ161" s="4840"/>
      <c r="AR161" s="4875"/>
      <c r="AS161" s="4876"/>
      <c r="AT161" s="5167">
        <f>_Calcs_Klasse!$APA$44</f>
        <v>1</v>
      </c>
      <c r="AU161" s="4842"/>
      <c r="AV161" s="4870"/>
      <c r="AW161" s="4877"/>
      <c r="AX161" s="5168" t="e">
        <f>_Calcs_Klasse!$APC$44</f>
        <v>#N/A</v>
      </c>
      <c r="AY161" s="4845"/>
      <c r="AZ161" s="4870"/>
      <c r="BA161" s="4878"/>
      <c r="BB161" s="5167">
        <f>_Calcs_Klasse!$APA$45</f>
        <v>1</v>
      </c>
      <c r="BC161" s="4847"/>
      <c r="BD161" s="4870"/>
      <c r="BE161" s="4879"/>
      <c r="BF161" s="5168" t="e">
        <f>_Calcs_Klasse!$APC$45</f>
        <v>#N/A</v>
      </c>
      <c r="BG161" s="4850"/>
      <c r="BH161" s="4880"/>
      <c r="BI161" s="4881"/>
      <c r="BJ161" s="5167">
        <f>_Calcs_Klasse!$APA$46</f>
        <v>1</v>
      </c>
      <c r="BK161" s="4852"/>
      <c r="BL161" s="4870"/>
      <c r="BM161" s="4882"/>
      <c r="BN161" s="5168" t="e">
        <f>_Calcs_Klasse!$APC$46</f>
        <v>#N/A</v>
      </c>
      <c r="BO161" s="4855"/>
      <c r="BP161" s="4880"/>
      <c r="BQ161" s="4883"/>
      <c r="BR161" s="5167" t="str">
        <f>_Calcs_Klasse!$APA$47</f>
        <v/>
      </c>
      <c r="BS161" s="4857"/>
      <c r="BT161" s="4870"/>
      <c r="BU161" s="4884"/>
      <c r="BV161" s="5168" t="e">
        <f>_Calcs_Klasse!$APC$47</f>
        <v>#N/A</v>
      </c>
      <c r="BW161" s="4860"/>
      <c r="BX161" s="4880"/>
      <c r="BY161" s="4885"/>
      <c r="BZ161" s="5167" t="str">
        <f>_Calcs_Klasse!$APA$48</f>
        <v/>
      </c>
      <c r="CA161" s="4862"/>
      <c r="CB161" s="4870"/>
      <c r="CC161" s="4886"/>
      <c r="CD161" s="5168" t="e">
        <f>_Calcs_Klasse!$APC$48</f>
        <v>#N/A</v>
      </c>
      <c r="CE161" s="4865"/>
      <c r="CF161" s="4880"/>
      <c r="CG161" s="4887"/>
      <c r="CH161" s="5167" t="str">
        <f>_Calcs_Klasse!$APA$49</f>
        <v/>
      </c>
      <c r="CI161" s="4867"/>
      <c r="CJ161" s="4870"/>
      <c r="CK161" s="4888"/>
      <c r="CL161" s="5168" t="e">
        <f>_Calcs_Klasse!$APC$49</f>
        <v>#N/A</v>
      </c>
      <c r="CM161" s="4713"/>
    </row>
    <row r="162" spans="1:91" s="34" customFormat="1" ht="15" customHeight="1" thickBot="1" x14ac:dyDescent="0.25">
      <c r="A162" s="4207"/>
      <c r="B162" s="4207"/>
      <c r="C162" s="4207"/>
      <c r="D162" s="4207"/>
      <c r="E162" s="4207"/>
      <c r="F162" s="4212"/>
      <c r="I162" s="5161"/>
      <c r="J162" s="2291"/>
      <c r="K162" s="3729"/>
      <c r="L162" s="3730"/>
      <c r="M162" s="3730"/>
      <c r="N162" s="3323"/>
      <c r="O162" s="3333"/>
      <c r="P162" s="3731"/>
      <c r="Q162" s="3324"/>
      <c r="R162" s="3732"/>
      <c r="S162" s="3728"/>
      <c r="T162" s="4375"/>
      <c r="W162" s="5003"/>
      <c r="X162" s="4715"/>
      <c r="Y162" s="4715"/>
      <c r="Z162" s="4716"/>
      <c r="AA162" s="4994"/>
      <c r="AB162" s="5004"/>
      <c r="AC162" s="4770"/>
      <c r="AD162" s="4770"/>
      <c r="AE162" s="4770"/>
      <c r="AF162" s="4770"/>
      <c r="AG162" s="4770"/>
      <c r="AH162" s="4771"/>
      <c r="AI162" s="4870"/>
      <c r="AJ162" s="4870"/>
      <c r="AK162" s="5005"/>
      <c r="AL162" s="4721"/>
      <c r="AM162" s="4722"/>
      <c r="AN162" s="4994"/>
      <c r="AO162" s="5006"/>
      <c r="AP162" s="4773"/>
      <c r="AQ162" s="4774"/>
      <c r="AR162" s="4875"/>
      <c r="AS162" s="5007"/>
      <c r="AT162" s="4727"/>
      <c r="AU162" s="4728"/>
      <c r="AV162" s="4994"/>
      <c r="AW162" s="5008"/>
      <c r="AX162" s="4776"/>
      <c r="AY162" s="4777"/>
      <c r="AZ162" s="4870"/>
      <c r="BA162" s="5009"/>
      <c r="BB162" s="4733"/>
      <c r="BC162" s="4734"/>
      <c r="BD162" s="4994"/>
      <c r="BE162" s="5010"/>
      <c r="BF162" s="4779"/>
      <c r="BG162" s="4780"/>
      <c r="BH162" s="4880"/>
      <c r="BI162" s="5011"/>
      <c r="BJ162" s="4739"/>
      <c r="BK162" s="4740"/>
      <c r="BL162" s="4994"/>
      <c r="BM162" s="5012"/>
      <c r="BN162" s="4782"/>
      <c r="BO162" s="4783"/>
      <c r="BP162" s="4880"/>
      <c r="BQ162" s="5013"/>
      <c r="BR162" s="4745"/>
      <c r="BS162" s="4746"/>
      <c r="BT162" s="4994"/>
      <c r="BU162" s="5014"/>
      <c r="BV162" s="4785"/>
      <c r="BW162" s="4786"/>
      <c r="BX162" s="4880"/>
      <c r="BY162" s="5015"/>
      <c r="BZ162" s="4751"/>
      <c r="CA162" s="4752"/>
      <c r="CB162" s="4994"/>
      <c r="CC162" s="5016"/>
      <c r="CD162" s="4788"/>
      <c r="CE162" s="4789"/>
      <c r="CF162" s="4880"/>
      <c r="CG162" s="5017"/>
      <c r="CH162" s="4757"/>
      <c r="CI162" s="4758"/>
      <c r="CJ162" s="4994"/>
      <c r="CK162" s="5018"/>
      <c r="CL162" s="4791"/>
      <c r="CM162" s="4792"/>
    </row>
    <row r="163" spans="1:91" s="2349" customFormat="1" ht="8.1" customHeight="1" thickBot="1" x14ac:dyDescent="0.25">
      <c r="A163" s="4208"/>
      <c r="B163" s="4208"/>
      <c r="C163" s="4208"/>
      <c r="D163" s="4208"/>
      <c r="E163" s="4208"/>
      <c r="F163" s="4213"/>
      <c r="I163" s="3740"/>
      <c r="K163" s="3735"/>
      <c r="L163" s="3793"/>
      <c r="M163" s="3793"/>
      <c r="N163" s="3793"/>
      <c r="O163" s="3793"/>
      <c r="P163" s="3793"/>
      <c r="Q163" s="3805"/>
      <c r="R163" s="3735"/>
      <c r="S163" s="3810"/>
      <c r="T163" s="4375"/>
      <c r="W163" s="5019"/>
      <c r="X163" s="5019"/>
      <c r="Y163" s="5019"/>
      <c r="Z163" s="5019"/>
      <c r="AA163" s="5019"/>
      <c r="AB163" s="5019"/>
      <c r="AC163" s="5020"/>
      <c r="AD163" s="5020"/>
      <c r="AE163" s="5020"/>
      <c r="AF163" s="5020"/>
      <c r="AG163" s="5020"/>
      <c r="AH163" s="5019"/>
      <c r="AI163" s="5019"/>
      <c r="AJ163" s="5019"/>
      <c r="AK163" s="5019"/>
      <c r="AL163" s="5019"/>
      <c r="AM163" s="5019"/>
      <c r="AN163" s="5019"/>
      <c r="AO163" s="5019"/>
      <c r="AP163" s="5020"/>
      <c r="AQ163" s="5019"/>
      <c r="AR163" s="4875"/>
      <c r="AS163" s="5019"/>
      <c r="AT163" s="5019"/>
      <c r="AU163" s="5019"/>
      <c r="AV163" s="5019"/>
      <c r="AW163" s="5019"/>
      <c r="AX163" s="5020"/>
      <c r="AY163" s="5019"/>
      <c r="AZ163" s="5019"/>
      <c r="BA163" s="5019"/>
      <c r="BB163" s="5019"/>
      <c r="BC163" s="5019"/>
      <c r="BD163" s="5019"/>
      <c r="BE163" s="5019"/>
      <c r="BF163" s="5020"/>
      <c r="BG163" s="5019"/>
      <c r="BH163" s="4875"/>
      <c r="BI163" s="5019"/>
      <c r="BJ163" s="5019"/>
      <c r="BK163" s="5019"/>
      <c r="BL163" s="5019"/>
      <c r="BM163" s="5019"/>
      <c r="BN163" s="5020"/>
      <c r="BO163" s="5019"/>
      <c r="BP163" s="4875"/>
      <c r="BQ163" s="5019"/>
      <c r="BR163" s="5019"/>
      <c r="BS163" s="5019"/>
      <c r="BT163" s="5019"/>
      <c r="BU163" s="5019"/>
      <c r="BV163" s="5020"/>
      <c r="BW163" s="5019"/>
      <c r="BX163" s="4875"/>
      <c r="BY163" s="5019"/>
      <c r="BZ163" s="5019"/>
      <c r="CA163" s="5019"/>
      <c r="CB163" s="5019"/>
      <c r="CC163" s="5019"/>
      <c r="CD163" s="5020"/>
      <c r="CE163" s="5019"/>
      <c r="CF163" s="4875"/>
      <c r="CG163" s="5019"/>
      <c r="CH163" s="5019"/>
      <c r="CI163" s="5019"/>
      <c r="CJ163" s="5019"/>
      <c r="CK163" s="5019"/>
      <c r="CL163" s="5020"/>
      <c r="CM163" s="5019"/>
    </row>
    <row r="164" spans="1:91" s="34" customFormat="1" ht="15" customHeight="1" thickBot="1" x14ac:dyDescent="0.25">
      <c r="A164" s="4207"/>
      <c r="B164" s="4207"/>
      <c r="C164" s="4207"/>
      <c r="D164" s="4207"/>
      <c r="E164" s="4207"/>
      <c r="F164" s="4212"/>
      <c r="I164" s="3580"/>
      <c r="J164" s="2291"/>
      <c r="K164" s="3724"/>
      <c r="L164" s="3331"/>
      <c r="M164" s="3331"/>
      <c r="N164" s="3331"/>
      <c r="O164" s="3331"/>
      <c r="P164" s="3331"/>
      <c r="Q164" s="3332"/>
      <c r="R164" s="3725"/>
      <c r="S164" s="2798"/>
      <c r="T164" s="4375"/>
      <c r="W164" s="4946"/>
      <c r="X164" s="4629"/>
      <c r="Y164" s="4629"/>
      <c r="Z164" s="4630"/>
      <c r="AA164" s="4994"/>
      <c r="AB164" s="4995"/>
      <c r="AC164" s="4632"/>
      <c r="AD164" s="4632"/>
      <c r="AE164" s="4632"/>
      <c r="AF164" s="4632"/>
      <c r="AG164" s="4632"/>
      <c r="AH164" s="4633"/>
      <c r="AI164" s="4870"/>
      <c r="AJ164" s="4870"/>
      <c r="AK164" s="4948"/>
      <c r="AL164" s="4635"/>
      <c r="AM164" s="4636"/>
      <c r="AN164" s="4994"/>
      <c r="AO164" s="4996"/>
      <c r="AP164" s="4638"/>
      <c r="AQ164" s="4639"/>
      <c r="AR164" s="4875"/>
      <c r="AS164" s="4950"/>
      <c r="AT164" s="4641"/>
      <c r="AU164" s="4642"/>
      <c r="AV164" s="4994"/>
      <c r="AW164" s="4997"/>
      <c r="AX164" s="4644"/>
      <c r="AY164" s="4645"/>
      <c r="AZ164" s="4870"/>
      <c r="BA164" s="4952"/>
      <c r="BB164" s="4647"/>
      <c r="BC164" s="4648"/>
      <c r="BD164" s="4994"/>
      <c r="BE164" s="4998"/>
      <c r="BF164" s="4650"/>
      <c r="BG164" s="4651"/>
      <c r="BH164" s="4880"/>
      <c r="BI164" s="4954"/>
      <c r="BJ164" s="4653"/>
      <c r="BK164" s="4654"/>
      <c r="BL164" s="4994"/>
      <c r="BM164" s="4999"/>
      <c r="BN164" s="4656"/>
      <c r="BO164" s="4657"/>
      <c r="BP164" s="4880"/>
      <c r="BQ164" s="4956"/>
      <c r="BR164" s="4659"/>
      <c r="BS164" s="4660"/>
      <c r="BT164" s="4994"/>
      <c r="BU164" s="5000"/>
      <c r="BV164" s="4662"/>
      <c r="BW164" s="4663"/>
      <c r="BX164" s="4880"/>
      <c r="BY164" s="4958"/>
      <c r="BZ164" s="4665"/>
      <c r="CA164" s="4666"/>
      <c r="CB164" s="4994"/>
      <c r="CC164" s="5001"/>
      <c r="CD164" s="4668"/>
      <c r="CE164" s="4669"/>
      <c r="CF164" s="4880"/>
      <c r="CG164" s="4960"/>
      <c r="CH164" s="4671"/>
      <c r="CI164" s="4672"/>
      <c r="CJ164" s="4994"/>
      <c r="CK164" s="5002"/>
      <c r="CL164" s="4674"/>
      <c r="CM164" s="4675"/>
    </row>
    <row r="165" spans="1:91" s="34" customFormat="1" ht="24.95" customHeight="1" thickBot="1" x14ac:dyDescent="0.25">
      <c r="A165" s="4207"/>
      <c r="B165" s="4207"/>
      <c r="C165" s="4207"/>
      <c r="D165" s="4207"/>
      <c r="E165" s="4207"/>
      <c r="F165" s="4212" t="s">
        <v>1553</v>
      </c>
      <c r="I165" s="3707"/>
      <c r="J165" s="2291"/>
      <c r="K165" s="3733"/>
      <c r="L165" s="5108" t="str">
        <f>_Calcs_Klasse!$APO$36</f>
        <v>Forbolting senteravstand</v>
      </c>
      <c r="M165" s="5109"/>
      <c r="N165" s="5109"/>
      <c r="O165" s="5095" t="s">
        <v>149</v>
      </c>
      <c r="P165" s="5109"/>
      <c r="Q165" s="5108" t="s">
        <v>78</v>
      </c>
      <c r="R165" s="3734"/>
      <c r="S165" s="3809"/>
      <c r="T165" s="4375"/>
      <c r="W165" s="4768"/>
      <c r="X165" s="6808">
        <v>5</v>
      </c>
      <c r="Y165" s="6809"/>
      <c r="Z165" s="4677"/>
      <c r="AA165" s="4678"/>
      <c r="AB165" s="4679"/>
      <c r="AC165" s="6810" t="e">
        <f>_Calcs_Klasse!$APS$42</f>
        <v>#N/A</v>
      </c>
      <c r="AD165" s="6811"/>
      <c r="AE165" s="6811"/>
      <c r="AF165" s="6811"/>
      <c r="AG165" s="6812"/>
      <c r="AH165" s="4680"/>
      <c r="AI165" s="4681"/>
      <c r="AJ165" s="4681"/>
      <c r="AK165" s="4682"/>
      <c r="AL165" s="4683"/>
      <c r="AM165" s="4684"/>
      <c r="AN165" s="4678"/>
      <c r="AO165" s="4685"/>
      <c r="AP165" s="4686" t="e">
        <f>_Calcs_Klasse!$APS$43</f>
        <v>#N/A</v>
      </c>
      <c r="AQ165" s="4687"/>
      <c r="AR165" s="4688"/>
      <c r="AS165" s="4689"/>
      <c r="AT165" s="4683"/>
      <c r="AU165" s="4690"/>
      <c r="AV165" s="4678"/>
      <c r="AW165" s="4691"/>
      <c r="AX165" s="4686" t="e">
        <f>_Calcs_Klasse!$APS$44</f>
        <v>#N/A</v>
      </c>
      <c r="AY165" s="4692"/>
      <c r="AZ165" s="4681"/>
      <c r="BA165" s="4693"/>
      <c r="BB165" s="4683">
        <v>0.5</v>
      </c>
      <c r="BC165" s="4694"/>
      <c r="BD165" s="4678"/>
      <c r="BE165" s="4695"/>
      <c r="BF165" s="4686" t="e">
        <f>_Calcs_Klasse!$APS$45</f>
        <v>#N/A</v>
      </c>
      <c r="BG165" s="4696"/>
      <c r="BH165" s="4697"/>
      <c r="BI165" s="4698"/>
      <c r="BJ165" s="4683"/>
      <c r="BK165" s="4699"/>
      <c r="BL165" s="4678"/>
      <c r="BM165" s="4700"/>
      <c r="BN165" s="4686" t="e">
        <f>_Calcs_Klasse!$APS$46</f>
        <v>#N/A</v>
      </c>
      <c r="BO165" s="4701"/>
      <c r="BP165" s="4697"/>
      <c r="BQ165" s="4702"/>
      <c r="BR165" s="4683"/>
      <c r="BS165" s="4703"/>
      <c r="BT165" s="4678"/>
      <c r="BU165" s="4704"/>
      <c r="BV165" s="4686" t="e">
        <f>_Calcs_Klasse!$APS$47</f>
        <v>#N/A</v>
      </c>
      <c r="BW165" s="4705"/>
      <c r="BX165" s="4697"/>
      <c r="BY165" s="4706"/>
      <c r="BZ165" s="4683"/>
      <c r="CA165" s="4707"/>
      <c r="CB165" s="4678"/>
      <c r="CC165" s="4708"/>
      <c r="CD165" s="4686" t="e">
        <f>_Calcs_Klasse!$APS$48</f>
        <v>#N/A</v>
      </c>
      <c r="CE165" s="4709"/>
      <c r="CF165" s="4697"/>
      <c r="CG165" s="4710"/>
      <c r="CH165" s="4683"/>
      <c r="CI165" s="4711"/>
      <c r="CJ165" s="4678"/>
      <c r="CK165" s="4712"/>
      <c r="CL165" s="4686" t="e">
        <f>_Calcs_Klasse!$APS$49</f>
        <v>#N/A</v>
      </c>
      <c r="CM165" s="4713"/>
    </row>
    <row r="166" spans="1:91" s="34" customFormat="1" ht="15" customHeight="1" thickBot="1" x14ac:dyDescent="0.25">
      <c r="A166" s="4207"/>
      <c r="B166" s="4207"/>
      <c r="C166" s="4207"/>
      <c r="D166" s="4207"/>
      <c r="E166" s="4207"/>
      <c r="F166" s="4212"/>
      <c r="I166" s="3580"/>
      <c r="J166" s="2291"/>
      <c r="K166" s="3729"/>
      <c r="L166" s="3730"/>
      <c r="M166" s="3730"/>
      <c r="N166" s="3323"/>
      <c r="O166" s="3333"/>
      <c r="P166" s="3731"/>
      <c r="Q166" s="3324"/>
      <c r="R166" s="3732"/>
      <c r="S166" s="3728"/>
      <c r="T166" s="4375"/>
      <c r="W166" s="5003"/>
      <c r="X166" s="4715"/>
      <c r="Y166" s="4715"/>
      <c r="Z166" s="4716"/>
      <c r="AA166" s="4994"/>
      <c r="AB166" s="5004"/>
      <c r="AC166" s="4770"/>
      <c r="AD166" s="4770"/>
      <c r="AE166" s="4770"/>
      <c r="AF166" s="4770"/>
      <c r="AG166" s="4770"/>
      <c r="AH166" s="4771"/>
      <c r="AI166" s="4870"/>
      <c r="AJ166" s="4870"/>
      <c r="AK166" s="5005"/>
      <c r="AL166" s="4721"/>
      <c r="AM166" s="4722"/>
      <c r="AN166" s="4994"/>
      <c r="AO166" s="5006"/>
      <c r="AP166" s="4773"/>
      <c r="AQ166" s="4774"/>
      <c r="AR166" s="4875"/>
      <c r="AS166" s="5007"/>
      <c r="AT166" s="4727"/>
      <c r="AU166" s="4728"/>
      <c r="AV166" s="4994"/>
      <c r="AW166" s="5008"/>
      <c r="AX166" s="4776"/>
      <c r="AY166" s="4777"/>
      <c r="AZ166" s="4870"/>
      <c r="BA166" s="5009"/>
      <c r="BB166" s="4733"/>
      <c r="BC166" s="4734"/>
      <c r="BD166" s="4994"/>
      <c r="BE166" s="5010"/>
      <c r="BF166" s="4779"/>
      <c r="BG166" s="4780"/>
      <c r="BH166" s="4880"/>
      <c r="BI166" s="5011"/>
      <c r="BJ166" s="4739"/>
      <c r="BK166" s="4740"/>
      <c r="BL166" s="4994"/>
      <c r="BM166" s="5012"/>
      <c r="BN166" s="4782"/>
      <c r="BO166" s="4783"/>
      <c r="BP166" s="4880"/>
      <c r="BQ166" s="5013"/>
      <c r="BR166" s="4745"/>
      <c r="BS166" s="4746"/>
      <c r="BT166" s="4994"/>
      <c r="BU166" s="5014"/>
      <c r="BV166" s="4785"/>
      <c r="BW166" s="4786"/>
      <c r="BX166" s="4880"/>
      <c r="BY166" s="5015"/>
      <c r="BZ166" s="4751"/>
      <c r="CA166" s="4752"/>
      <c r="CB166" s="4994"/>
      <c r="CC166" s="5016"/>
      <c r="CD166" s="4788"/>
      <c r="CE166" s="4789"/>
      <c r="CF166" s="4880"/>
      <c r="CG166" s="5017"/>
      <c r="CH166" s="4757"/>
      <c r="CI166" s="4758"/>
      <c r="CJ166" s="4994"/>
      <c r="CK166" s="5018"/>
      <c r="CL166" s="4791"/>
      <c r="CM166" s="4792"/>
    </row>
    <row r="167" spans="1:91" s="2349" customFormat="1" ht="8.1" customHeight="1" thickBot="1" x14ac:dyDescent="0.25">
      <c r="A167" s="4208"/>
      <c r="B167" s="4208"/>
      <c r="C167" s="4208"/>
      <c r="D167" s="4208"/>
      <c r="E167" s="4208"/>
      <c r="F167" s="4213"/>
      <c r="I167" s="3740"/>
      <c r="K167" s="3735"/>
      <c r="L167" s="3793"/>
      <c r="M167" s="3793"/>
      <c r="N167" s="3793"/>
      <c r="O167" s="3793"/>
      <c r="P167" s="3793"/>
      <c r="Q167" s="3805"/>
      <c r="R167" s="3735"/>
      <c r="S167" s="3810"/>
      <c r="T167" s="4375"/>
      <c r="W167" s="5019"/>
      <c r="X167" s="5019"/>
      <c r="Y167" s="5019"/>
      <c r="Z167" s="5019"/>
      <c r="AA167" s="5019"/>
      <c r="AB167" s="5019"/>
      <c r="AC167" s="5020"/>
      <c r="AD167" s="5020"/>
      <c r="AE167" s="5020"/>
      <c r="AF167" s="5020"/>
      <c r="AG167" s="5020"/>
      <c r="AH167" s="5019"/>
      <c r="AI167" s="5019"/>
      <c r="AJ167" s="5019"/>
      <c r="AK167" s="5019"/>
      <c r="AL167" s="5019"/>
      <c r="AM167" s="5019"/>
      <c r="AN167" s="5019"/>
      <c r="AO167" s="5019"/>
      <c r="AP167" s="5020"/>
      <c r="AQ167" s="5019"/>
      <c r="AR167" s="4875"/>
      <c r="AS167" s="5019"/>
      <c r="AT167" s="5019"/>
      <c r="AU167" s="5019"/>
      <c r="AV167" s="5019"/>
      <c r="AW167" s="5019"/>
      <c r="AX167" s="5020"/>
      <c r="AY167" s="5019"/>
      <c r="AZ167" s="5019"/>
      <c r="BA167" s="5019"/>
      <c r="BB167" s="5019"/>
      <c r="BC167" s="5019"/>
      <c r="BD167" s="5019"/>
      <c r="BE167" s="5019"/>
      <c r="BF167" s="5020"/>
      <c r="BG167" s="5019"/>
      <c r="BH167" s="4875"/>
      <c r="BI167" s="5019"/>
      <c r="BJ167" s="5019"/>
      <c r="BK167" s="5019"/>
      <c r="BL167" s="5019"/>
      <c r="BM167" s="5019"/>
      <c r="BN167" s="5020"/>
      <c r="BO167" s="5019"/>
      <c r="BP167" s="4875"/>
      <c r="BQ167" s="5019"/>
      <c r="BR167" s="5019"/>
      <c r="BS167" s="5019"/>
      <c r="BT167" s="5019"/>
      <c r="BU167" s="5019"/>
      <c r="BV167" s="5020"/>
      <c r="BW167" s="5019"/>
      <c r="BX167" s="4875"/>
      <c r="BY167" s="5019"/>
      <c r="BZ167" s="5019"/>
      <c r="CA167" s="5019"/>
      <c r="CB167" s="5019"/>
      <c r="CC167" s="5019"/>
      <c r="CD167" s="5020"/>
      <c r="CE167" s="5019"/>
      <c r="CF167" s="4875"/>
      <c r="CG167" s="5019"/>
      <c r="CH167" s="5019"/>
      <c r="CI167" s="5019"/>
      <c r="CJ167" s="5019"/>
      <c r="CK167" s="5019"/>
      <c r="CL167" s="5020"/>
      <c r="CM167" s="5019"/>
    </row>
    <row r="168" spans="1:91" s="34" customFormat="1" ht="15" customHeight="1" thickBot="1" x14ac:dyDescent="0.25">
      <c r="A168" s="4207"/>
      <c r="B168" s="4207"/>
      <c r="C168" s="4207"/>
      <c r="D168" s="4207"/>
      <c r="E168" s="4207"/>
      <c r="F168" s="4212"/>
      <c r="I168" s="3580"/>
      <c r="J168" s="2291"/>
      <c r="K168" s="3736"/>
      <c r="L168" s="3794"/>
      <c r="M168" s="3794"/>
      <c r="N168" s="3794"/>
      <c r="O168" s="3794"/>
      <c r="P168" s="3794"/>
      <c r="Q168" s="3806"/>
      <c r="R168" s="3737"/>
      <c r="S168" s="3810"/>
      <c r="T168" s="4375"/>
      <c r="W168" s="4946"/>
      <c r="X168" s="4629"/>
      <c r="Y168" s="4629"/>
      <c r="Z168" s="4630"/>
      <c r="AA168" s="4870"/>
      <c r="AB168" s="4995"/>
      <c r="AC168" s="4632"/>
      <c r="AD168" s="4632"/>
      <c r="AE168" s="4632"/>
      <c r="AF168" s="4632"/>
      <c r="AG168" s="4632"/>
      <c r="AH168" s="4633"/>
      <c r="AI168" s="4870"/>
      <c r="AJ168" s="4870"/>
      <c r="AK168" s="4948"/>
      <c r="AL168" s="4635"/>
      <c r="AM168" s="4636"/>
      <c r="AN168" s="4870"/>
      <c r="AO168" s="4996"/>
      <c r="AP168" s="4638"/>
      <c r="AQ168" s="4639"/>
      <c r="AR168" s="4875"/>
      <c r="AS168" s="4950"/>
      <c r="AT168" s="4641"/>
      <c r="AU168" s="4642"/>
      <c r="AV168" s="4870"/>
      <c r="AW168" s="4997"/>
      <c r="AX168" s="4644"/>
      <c r="AY168" s="4645"/>
      <c r="AZ168" s="4870"/>
      <c r="BA168" s="4952"/>
      <c r="BB168" s="4647"/>
      <c r="BC168" s="4648"/>
      <c r="BD168" s="4870"/>
      <c r="BE168" s="4998"/>
      <c r="BF168" s="4650"/>
      <c r="BG168" s="4651"/>
      <c r="BH168" s="4880"/>
      <c r="BI168" s="4954"/>
      <c r="BJ168" s="4653"/>
      <c r="BK168" s="4654"/>
      <c r="BL168" s="4870"/>
      <c r="BM168" s="4999"/>
      <c r="BN168" s="4656"/>
      <c r="BO168" s="4657"/>
      <c r="BP168" s="4880"/>
      <c r="BQ168" s="4956"/>
      <c r="BR168" s="4659"/>
      <c r="BS168" s="4660"/>
      <c r="BT168" s="4870"/>
      <c r="BU168" s="5000"/>
      <c r="BV168" s="4662"/>
      <c r="BW168" s="4663"/>
      <c r="BX168" s="4880"/>
      <c r="BY168" s="4958"/>
      <c r="BZ168" s="4665"/>
      <c r="CA168" s="4666"/>
      <c r="CB168" s="4870"/>
      <c r="CC168" s="5001"/>
      <c r="CD168" s="4668"/>
      <c r="CE168" s="4669"/>
      <c r="CF168" s="4880"/>
      <c r="CG168" s="4960"/>
      <c r="CH168" s="4671"/>
      <c r="CI168" s="4672"/>
      <c r="CJ168" s="4870"/>
      <c r="CK168" s="5002"/>
      <c r="CL168" s="4674"/>
      <c r="CM168" s="4675"/>
    </row>
    <row r="169" spans="1:91" s="34" customFormat="1" ht="24.95" customHeight="1" thickBot="1" x14ac:dyDescent="0.25">
      <c r="A169" s="4207"/>
      <c r="B169" s="4207"/>
      <c r="C169" s="4207"/>
      <c r="D169" s="4207"/>
      <c r="E169" s="4207"/>
      <c r="F169" s="4212" t="s">
        <v>1553</v>
      </c>
      <c r="I169" s="3580"/>
      <c r="J169" s="2291"/>
      <c r="K169" s="3738"/>
      <c r="L169" s="5110" t="str">
        <f>_Calcs_Klasse!$APW$36</f>
        <v>Forbolting: boltelengde fordeling (≤ 4 m)</v>
      </c>
      <c r="M169" s="5111"/>
      <c r="N169" s="5111"/>
      <c r="O169" s="5095" t="s">
        <v>149</v>
      </c>
      <c r="P169" s="5111"/>
      <c r="Q169" s="5110" t="s">
        <v>954</v>
      </c>
      <c r="R169" s="3739"/>
      <c r="S169" s="3810"/>
      <c r="T169" s="4375"/>
      <c r="W169" s="4768"/>
      <c r="X169" s="6803">
        <v>1</v>
      </c>
      <c r="Y169" s="6804"/>
      <c r="Z169" s="4795"/>
      <c r="AA169" s="4796"/>
      <c r="AB169" s="4797"/>
      <c r="AC169" s="6805" t="e">
        <f>_Calcs_Klasse!$AQA$42</f>
        <v>#N/A</v>
      </c>
      <c r="AD169" s="6806"/>
      <c r="AE169" s="6806"/>
      <c r="AF169" s="6806"/>
      <c r="AG169" s="6807"/>
      <c r="AH169" s="4798"/>
      <c r="AI169" s="4799"/>
      <c r="AJ169" s="4799"/>
      <c r="AK169" s="4800"/>
      <c r="AL169" s="4801"/>
      <c r="AM169" s="4802"/>
      <c r="AN169" s="4796"/>
      <c r="AO169" s="4803"/>
      <c r="AP169" s="4804" t="e">
        <f>_Calcs_Klasse!$AQA$43</f>
        <v>#N/A</v>
      </c>
      <c r="AQ169" s="4805"/>
      <c r="AR169" s="4806"/>
      <c r="AS169" s="4807"/>
      <c r="AT169" s="4801"/>
      <c r="AU169" s="4808"/>
      <c r="AV169" s="4796"/>
      <c r="AW169" s="4809"/>
      <c r="AX169" s="4804" t="e">
        <f>_Calcs_Klasse!$AQA$44</f>
        <v>#N/A</v>
      </c>
      <c r="AY169" s="4810"/>
      <c r="AZ169" s="4799"/>
      <c r="BA169" s="4811"/>
      <c r="BB169" s="4801">
        <v>0</v>
      </c>
      <c r="BC169" s="4812"/>
      <c r="BD169" s="4796"/>
      <c r="BE169" s="4813"/>
      <c r="BF169" s="4804" t="e">
        <f>_Calcs_Klasse!$AQA$45</f>
        <v>#N/A</v>
      </c>
      <c r="BG169" s="4814"/>
      <c r="BH169" s="4815"/>
      <c r="BI169" s="4816"/>
      <c r="BJ169" s="4801"/>
      <c r="BK169" s="4817"/>
      <c r="BL169" s="4796"/>
      <c r="BM169" s="4818"/>
      <c r="BN169" s="4804" t="e">
        <f>_Calcs_Klasse!$AQA$46</f>
        <v>#N/A</v>
      </c>
      <c r="BO169" s="4819"/>
      <c r="BP169" s="4815"/>
      <c r="BQ169" s="4820"/>
      <c r="BR169" s="4801"/>
      <c r="BS169" s="4821"/>
      <c r="BT169" s="4796"/>
      <c r="BU169" s="4822"/>
      <c r="BV169" s="4804" t="e">
        <f>_Calcs_Klasse!$AQA$47</f>
        <v>#N/A</v>
      </c>
      <c r="BW169" s="4823"/>
      <c r="BX169" s="4815"/>
      <c r="BY169" s="4824"/>
      <c r="BZ169" s="4801"/>
      <c r="CA169" s="4825"/>
      <c r="CB169" s="4796"/>
      <c r="CC169" s="4826"/>
      <c r="CD169" s="4804" t="e">
        <f>_Calcs_Klasse!$AQA$48</f>
        <v>#N/A</v>
      </c>
      <c r="CE169" s="4827"/>
      <c r="CF169" s="4815"/>
      <c r="CG169" s="4828"/>
      <c r="CH169" s="4801"/>
      <c r="CI169" s="4829"/>
      <c r="CJ169" s="4796"/>
      <c r="CK169" s="4830"/>
      <c r="CL169" s="4804" t="e">
        <f>_Calcs_Klasse!$AQA$49</f>
        <v>#N/A</v>
      </c>
      <c r="CM169" s="4713"/>
    </row>
    <row r="170" spans="1:91" s="34" customFormat="1" ht="15" customHeight="1" thickBot="1" x14ac:dyDescent="0.25">
      <c r="A170" s="4207"/>
      <c r="B170" s="4207"/>
      <c r="C170" s="4207"/>
      <c r="D170" s="4207"/>
      <c r="E170" s="4207"/>
      <c r="F170" s="4212"/>
      <c r="I170" s="3580"/>
      <c r="J170" s="2291"/>
      <c r="K170" s="3738"/>
      <c r="L170" s="5111"/>
      <c r="M170" s="5111"/>
      <c r="N170" s="5111"/>
      <c r="O170" s="5111"/>
      <c r="P170" s="5111"/>
      <c r="Q170" s="5110"/>
      <c r="R170" s="3739"/>
      <c r="S170" s="3810"/>
      <c r="T170" s="4375"/>
      <c r="W170" s="4768"/>
      <c r="X170" s="4831"/>
      <c r="Y170" s="4831"/>
      <c r="Z170" s="4832"/>
      <c r="AA170" s="4575"/>
      <c r="AB170" s="4833"/>
      <c r="AC170" s="4834"/>
      <c r="AD170" s="4834"/>
      <c r="AE170" s="4834"/>
      <c r="AF170" s="4834"/>
      <c r="AG170" s="4834"/>
      <c r="AH170" s="4835"/>
      <c r="AI170" s="4568"/>
      <c r="AJ170" s="4568"/>
      <c r="AK170" s="4836"/>
      <c r="AL170" s="4635"/>
      <c r="AM170" s="4837"/>
      <c r="AN170" s="4575"/>
      <c r="AO170" s="4838"/>
      <c r="AP170" s="4839"/>
      <c r="AQ170" s="4840"/>
      <c r="AR170" s="3435"/>
      <c r="AS170" s="4841"/>
      <c r="AT170" s="4641"/>
      <c r="AU170" s="4842"/>
      <c r="AV170" s="4575"/>
      <c r="AW170" s="4843"/>
      <c r="AX170" s="4844"/>
      <c r="AY170" s="4845"/>
      <c r="AZ170" s="4568"/>
      <c r="BA170" s="4846"/>
      <c r="BB170" s="4647"/>
      <c r="BC170" s="4847"/>
      <c r="BD170" s="4575"/>
      <c r="BE170" s="4848"/>
      <c r="BF170" s="4849"/>
      <c r="BG170" s="4850"/>
      <c r="BH170" s="4445"/>
      <c r="BI170" s="4851"/>
      <c r="BJ170" s="4653"/>
      <c r="BK170" s="4852"/>
      <c r="BL170" s="4575"/>
      <c r="BM170" s="4853"/>
      <c r="BN170" s="4854"/>
      <c r="BO170" s="4855"/>
      <c r="BP170" s="4445"/>
      <c r="BQ170" s="4856"/>
      <c r="BR170" s="4659"/>
      <c r="BS170" s="4857"/>
      <c r="BT170" s="4575"/>
      <c r="BU170" s="4858"/>
      <c r="BV170" s="4859"/>
      <c r="BW170" s="4860"/>
      <c r="BX170" s="4445"/>
      <c r="BY170" s="4861"/>
      <c r="BZ170" s="4665"/>
      <c r="CA170" s="4862"/>
      <c r="CB170" s="4575"/>
      <c r="CC170" s="4863"/>
      <c r="CD170" s="4864"/>
      <c r="CE170" s="4865"/>
      <c r="CF170" s="4445"/>
      <c r="CG170" s="4866"/>
      <c r="CH170" s="4671"/>
      <c r="CI170" s="4867"/>
      <c r="CJ170" s="4575"/>
      <c r="CK170" s="4868"/>
      <c r="CL170" s="4869"/>
      <c r="CM170" s="4713"/>
    </row>
    <row r="171" spans="1:91" s="34" customFormat="1" ht="24.95" customHeight="1" thickBot="1" x14ac:dyDescent="0.25">
      <c r="A171" s="4207"/>
      <c r="B171" s="4207"/>
      <c r="C171" s="4207"/>
      <c r="D171" s="4207"/>
      <c r="E171" s="4207"/>
      <c r="F171" s="4212"/>
      <c r="I171" s="3580"/>
      <c r="J171" s="2291"/>
      <c r="K171" s="3738"/>
      <c r="L171" s="5110" t="str">
        <f>_Calcs_Klasse!$AQF$36</f>
        <v>Forbolting: boltelengde fordeling (&gt; 4 m)</v>
      </c>
      <c r="M171" s="5111"/>
      <c r="N171" s="5111"/>
      <c r="O171" s="5095" t="s">
        <v>149</v>
      </c>
      <c r="P171" s="5111"/>
      <c r="Q171" s="5110" t="s">
        <v>954</v>
      </c>
      <c r="R171" s="3739"/>
      <c r="S171" s="3810"/>
      <c r="T171" s="4375"/>
      <c r="W171" s="4768"/>
      <c r="X171" s="6805">
        <f>_Calcs_Klasse!$AQH$42</f>
        <v>0</v>
      </c>
      <c r="Y171" s="6807"/>
      <c r="Z171" s="4832"/>
      <c r="AA171" s="4870"/>
      <c r="AB171" s="4871"/>
      <c r="AC171" s="6805" t="e">
        <f>_Calcs_Klasse!$AQJ$42</f>
        <v>#N/A</v>
      </c>
      <c r="AD171" s="6806"/>
      <c r="AE171" s="6806"/>
      <c r="AF171" s="6806"/>
      <c r="AG171" s="6807"/>
      <c r="AH171" s="4835"/>
      <c r="AI171" s="4870"/>
      <c r="AJ171" s="4870"/>
      <c r="AK171" s="4872"/>
      <c r="AL171" s="4873" t="str">
        <f>_Calcs_Klasse!$AQH$43</f>
        <v/>
      </c>
      <c r="AM171" s="4837"/>
      <c r="AN171" s="4870"/>
      <c r="AO171" s="4874"/>
      <c r="AP171" s="4804" t="e">
        <f>_Calcs_Klasse!$AQJ$43</f>
        <v>#N/A</v>
      </c>
      <c r="AQ171" s="4840"/>
      <c r="AR171" s="4875"/>
      <c r="AS171" s="4876"/>
      <c r="AT171" s="4873" t="str">
        <f>_Calcs_Klasse!$AQH$44</f>
        <v/>
      </c>
      <c r="AU171" s="4842"/>
      <c r="AV171" s="4870"/>
      <c r="AW171" s="4877"/>
      <c r="AX171" s="4804" t="e">
        <f>_Calcs_Klasse!$AQJ$44</f>
        <v>#N/A</v>
      </c>
      <c r="AY171" s="4845"/>
      <c r="AZ171" s="4870"/>
      <c r="BA171" s="4878"/>
      <c r="BB171" s="4873">
        <f>_Calcs_Klasse!$AQH$45</f>
        <v>1</v>
      </c>
      <c r="BC171" s="4847"/>
      <c r="BD171" s="4870"/>
      <c r="BE171" s="4879"/>
      <c r="BF171" s="4804" t="e">
        <f>_Calcs_Klasse!$AQJ$45</f>
        <v>#N/A</v>
      </c>
      <c r="BG171" s="4850"/>
      <c r="BH171" s="4880"/>
      <c r="BI171" s="4881"/>
      <c r="BJ171" s="4873" t="str">
        <f>_Calcs_Klasse!$AQH$46</f>
        <v/>
      </c>
      <c r="BK171" s="4852"/>
      <c r="BL171" s="4870"/>
      <c r="BM171" s="4882"/>
      <c r="BN171" s="4804" t="e">
        <f>_Calcs_Klasse!$AQJ$46</f>
        <v>#N/A</v>
      </c>
      <c r="BO171" s="4855"/>
      <c r="BP171" s="4880"/>
      <c r="BQ171" s="4883"/>
      <c r="BR171" s="4873" t="str">
        <f>_Calcs_Klasse!$AQH$47</f>
        <v/>
      </c>
      <c r="BS171" s="4857"/>
      <c r="BT171" s="4870"/>
      <c r="BU171" s="4884"/>
      <c r="BV171" s="4804" t="e">
        <f>_Calcs_Klasse!$AQJ$47</f>
        <v>#N/A</v>
      </c>
      <c r="BW171" s="4860"/>
      <c r="BX171" s="4880"/>
      <c r="BY171" s="4885"/>
      <c r="BZ171" s="4873" t="str">
        <f>_Calcs_Klasse!$AQH$48</f>
        <v/>
      </c>
      <c r="CA171" s="4862"/>
      <c r="CB171" s="4870"/>
      <c r="CC171" s="4886"/>
      <c r="CD171" s="4804" t="e">
        <f>_Calcs_Klasse!$AQJ$48</f>
        <v>#N/A</v>
      </c>
      <c r="CE171" s="4865"/>
      <c r="CF171" s="4880"/>
      <c r="CG171" s="4887"/>
      <c r="CH171" s="4873" t="str">
        <f>_Calcs_Klasse!$AQH$49</f>
        <v/>
      </c>
      <c r="CI171" s="4867"/>
      <c r="CJ171" s="4870"/>
      <c r="CK171" s="4888"/>
      <c r="CL171" s="4804" t="e">
        <f>_Calcs_Klasse!$AQJ$49</f>
        <v>#N/A</v>
      </c>
      <c r="CM171" s="4713"/>
    </row>
    <row r="172" spans="1:91" s="34" customFormat="1" ht="15" customHeight="1" thickBot="1" x14ac:dyDescent="0.25">
      <c r="A172" s="4207"/>
      <c r="B172" s="4207"/>
      <c r="C172" s="4207"/>
      <c r="D172" s="4207"/>
      <c r="E172" s="4207"/>
      <c r="F172" s="4212"/>
      <c r="I172" s="3580"/>
      <c r="J172" s="2291"/>
      <c r="K172" s="3742"/>
      <c r="L172" s="3795"/>
      <c r="M172" s="3795"/>
      <c r="N172" s="3795"/>
      <c r="O172" s="3795"/>
      <c r="P172" s="3795"/>
      <c r="Q172" s="3797"/>
      <c r="R172" s="3743"/>
      <c r="S172" s="3810"/>
      <c r="T172" s="4375"/>
      <c r="W172" s="5003"/>
      <c r="X172" s="4715"/>
      <c r="Y172" s="4715"/>
      <c r="Z172" s="4716"/>
      <c r="AA172" s="4870"/>
      <c r="AB172" s="5004"/>
      <c r="AC172" s="4770"/>
      <c r="AD172" s="4770"/>
      <c r="AE172" s="4770"/>
      <c r="AF172" s="4770"/>
      <c r="AG172" s="4770"/>
      <c r="AH172" s="4771"/>
      <c r="AI172" s="4870"/>
      <c r="AJ172" s="4870"/>
      <c r="AK172" s="5005"/>
      <c r="AL172" s="4721"/>
      <c r="AM172" s="4722"/>
      <c r="AN172" s="4870"/>
      <c r="AO172" s="5006"/>
      <c r="AP172" s="4773"/>
      <c r="AQ172" s="4774"/>
      <c r="AR172" s="4875"/>
      <c r="AS172" s="5007"/>
      <c r="AT172" s="4727"/>
      <c r="AU172" s="4728"/>
      <c r="AV172" s="4870"/>
      <c r="AW172" s="5008"/>
      <c r="AX172" s="4776"/>
      <c r="AY172" s="4777"/>
      <c r="AZ172" s="4870"/>
      <c r="BA172" s="5009"/>
      <c r="BB172" s="4733"/>
      <c r="BC172" s="4734"/>
      <c r="BD172" s="4870"/>
      <c r="BE172" s="5010"/>
      <c r="BF172" s="4779"/>
      <c r="BG172" s="4780"/>
      <c r="BH172" s="4880"/>
      <c r="BI172" s="5011"/>
      <c r="BJ172" s="4739"/>
      <c r="BK172" s="4740"/>
      <c r="BL172" s="4870"/>
      <c r="BM172" s="5012"/>
      <c r="BN172" s="4782"/>
      <c r="BO172" s="4783"/>
      <c r="BP172" s="4880"/>
      <c r="BQ172" s="5013"/>
      <c r="BR172" s="4745"/>
      <c r="BS172" s="4746"/>
      <c r="BT172" s="4870"/>
      <c r="BU172" s="5014"/>
      <c r="BV172" s="4785"/>
      <c r="BW172" s="4786"/>
      <c r="BX172" s="4880"/>
      <c r="BY172" s="5015"/>
      <c r="BZ172" s="4751"/>
      <c r="CA172" s="4752"/>
      <c r="CB172" s="4870"/>
      <c r="CC172" s="5016"/>
      <c r="CD172" s="4788"/>
      <c r="CE172" s="4789"/>
      <c r="CF172" s="4880"/>
      <c r="CG172" s="5017"/>
      <c r="CH172" s="4757"/>
      <c r="CI172" s="4758"/>
      <c r="CJ172" s="4870"/>
      <c r="CK172" s="5018"/>
      <c r="CL172" s="4791"/>
      <c r="CM172" s="4792"/>
    </row>
    <row r="173" spans="1:91" s="34" customFormat="1" ht="15" customHeight="1" thickBot="1" x14ac:dyDescent="0.25">
      <c r="A173" s="4207"/>
      <c r="B173" s="4207"/>
      <c r="C173" s="4207"/>
      <c r="D173" s="4207"/>
      <c r="E173" s="4207"/>
      <c r="F173" s="4212"/>
      <c r="I173" s="3580"/>
      <c r="L173" s="13"/>
      <c r="M173" s="13"/>
      <c r="N173" s="13"/>
      <c r="O173" s="13"/>
      <c r="P173" s="13"/>
      <c r="Q173" s="15"/>
      <c r="S173" s="16"/>
      <c r="T173" s="4375"/>
      <c r="U173" s="2349"/>
      <c r="V173" s="2349"/>
      <c r="W173" s="4875"/>
      <c r="X173" s="4875"/>
      <c r="Y173" s="4875"/>
      <c r="Z173" s="4875"/>
      <c r="AA173" s="4875"/>
      <c r="AB173" s="4875"/>
      <c r="AC173" s="5021"/>
      <c r="AD173" s="5021"/>
      <c r="AE173" s="5021"/>
      <c r="AF173" s="5021"/>
      <c r="AG173" s="5021"/>
      <c r="AH173" s="4875"/>
      <c r="AI173" s="4875"/>
      <c r="AJ173" s="4875"/>
      <c r="AK173" s="4875"/>
      <c r="AL173" s="4875"/>
      <c r="AM173" s="4875"/>
      <c r="AN173" s="4875"/>
      <c r="AO173" s="4875"/>
      <c r="AP173" s="5021"/>
      <c r="AQ173" s="4875"/>
      <c r="AR173" s="4875"/>
      <c r="AS173" s="4875"/>
      <c r="AT173" s="4875"/>
      <c r="AU173" s="4875"/>
      <c r="AV173" s="4875"/>
      <c r="AW173" s="4875"/>
      <c r="AX173" s="5021"/>
      <c r="AY173" s="4875"/>
      <c r="AZ173" s="4875"/>
      <c r="BA173" s="4875"/>
      <c r="BB173" s="4875"/>
      <c r="BC173" s="4875"/>
      <c r="BD173" s="4875"/>
      <c r="BE173" s="4875"/>
      <c r="BF173" s="5021"/>
      <c r="BG173" s="4875"/>
      <c r="BH173" s="4875"/>
      <c r="BI173" s="4875"/>
      <c r="BJ173" s="4875"/>
      <c r="BK173" s="4875"/>
      <c r="BL173" s="4875"/>
      <c r="BM173" s="4875"/>
      <c r="BN173" s="5021"/>
      <c r="BO173" s="4875"/>
      <c r="BP173" s="4875"/>
      <c r="BQ173" s="4875"/>
      <c r="BR173" s="4875"/>
      <c r="BS173" s="4875"/>
      <c r="BT173" s="4875"/>
      <c r="BU173" s="4875"/>
      <c r="BV173" s="5021"/>
      <c r="BW173" s="4875"/>
      <c r="BX173" s="4875"/>
      <c r="BY173" s="4875"/>
      <c r="BZ173" s="4875"/>
      <c r="CA173" s="4875"/>
      <c r="CB173" s="4875"/>
      <c r="CC173" s="4875"/>
      <c r="CD173" s="5021"/>
      <c r="CE173" s="4875"/>
      <c r="CF173" s="4875"/>
      <c r="CG173" s="4875"/>
      <c r="CH173" s="4875"/>
      <c r="CI173" s="4875"/>
      <c r="CJ173" s="4875"/>
      <c r="CK173" s="4875"/>
      <c r="CL173" s="5021"/>
      <c r="CM173" s="4875"/>
    </row>
    <row r="174" spans="1:91" s="34" customFormat="1" ht="20.100000000000001" customHeight="1" thickBot="1" x14ac:dyDescent="0.25">
      <c r="A174" s="4207"/>
      <c r="B174" s="4207"/>
      <c r="C174" s="4207"/>
      <c r="D174" s="4207"/>
      <c r="E174" s="4207"/>
      <c r="F174" s="4212"/>
      <c r="I174" s="3740"/>
      <c r="J174" s="2291"/>
      <c r="K174" s="3744"/>
      <c r="L174" s="6798" t="str">
        <f>_Calcs_Klasse!$AQO$35</f>
        <v>Radielle bolter (opphengbolter)</v>
      </c>
      <c r="M174" s="6798"/>
      <c r="N174" s="6798"/>
      <c r="O174" s="6798"/>
      <c r="P174" s="6798"/>
      <c r="Q174" s="6798"/>
      <c r="R174" s="3745"/>
      <c r="S174" s="3660"/>
      <c r="T174" s="4375"/>
      <c r="W174" s="4626"/>
      <c r="X174" s="4626"/>
      <c r="Y174" s="4626"/>
      <c r="Z174" s="4626"/>
      <c r="AA174" s="4870"/>
      <c r="AB174" s="4626"/>
      <c r="AC174" s="4993"/>
      <c r="AD174" s="4993"/>
      <c r="AE174" s="4993"/>
      <c r="AF174" s="4993"/>
      <c r="AG174" s="4993"/>
      <c r="AH174" s="4626"/>
      <c r="AI174" s="4870"/>
      <c r="AJ174" s="4870"/>
      <c r="AK174" s="4626"/>
      <c r="AL174" s="4626"/>
      <c r="AM174" s="4626"/>
      <c r="AN174" s="4870"/>
      <c r="AO174" s="4626"/>
      <c r="AP174" s="4993"/>
      <c r="AQ174" s="4626"/>
      <c r="AR174" s="4875"/>
      <c r="AS174" s="4626"/>
      <c r="AT174" s="4626"/>
      <c r="AU174" s="4626"/>
      <c r="AV174" s="4870"/>
      <c r="AW174" s="4626"/>
      <c r="AX174" s="4993"/>
      <c r="AY174" s="4626"/>
      <c r="AZ174" s="4870"/>
      <c r="BA174" s="4626"/>
      <c r="BB174" s="4626"/>
      <c r="BC174" s="4626"/>
      <c r="BD174" s="4870"/>
      <c r="BE174" s="4626"/>
      <c r="BF174" s="4993"/>
      <c r="BG174" s="4626"/>
      <c r="BH174" s="4880"/>
      <c r="BI174" s="4626"/>
      <c r="BJ174" s="4626"/>
      <c r="BK174" s="4626"/>
      <c r="BL174" s="4870"/>
      <c r="BM174" s="4626"/>
      <c r="BN174" s="4993"/>
      <c r="BO174" s="4626"/>
      <c r="BP174" s="4880"/>
      <c r="BQ174" s="4626"/>
      <c r="BR174" s="4626"/>
      <c r="BS174" s="4626"/>
      <c r="BT174" s="4870"/>
      <c r="BU174" s="4626"/>
      <c r="BV174" s="4993"/>
      <c r="BW174" s="4626"/>
      <c r="BX174" s="4880"/>
      <c r="BY174" s="4626"/>
      <c r="BZ174" s="4626"/>
      <c r="CA174" s="4626"/>
      <c r="CB174" s="4870"/>
      <c r="CC174" s="4626"/>
      <c r="CD174" s="4993"/>
      <c r="CE174" s="4626"/>
      <c r="CF174" s="4880"/>
      <c r="CG174" s="4626"/>
      <c r="CH174" s="4626"/>
      <c r="CI174" s="4626"/>
      <c r="CJ174" s="4870"/>
      <c r="CK174" s="4626"/>
      <c r="CL174" s="4993"/>
      <c r="CM174" s="4626"/>
    </row>
    <row r="175" spans="1:91" s="34" customFormat="1" ht="15" customHeight="1" thickBot="1" x14ac:dyDescent="0.25">
      <c r="A175" s="4207"/>
      <c r="B175" s="4207"/>
      <c r="C175" s="4207"/>
      <c r="D175" s="4207"/>
      <c r="E175" s="4207"/>
      <c r="F175" s="4212"/>
      <c r="I175" s="3740"/>
      <c r="J175" s="2291"/>
      <c r="K175" s="3746"/>
      <c r="L175" s="6799"/>
      <c r="M175" s="6799"/>
      <c r="N175" s="6799"/>
      <c r="O175" s="6799"/>
      <c r="P175" s="6799"/>
      <c r="Q175" s="6799"/>
      <c r="R175" s="3747"/>
      <c r="S175" s="3660"/>
      <c r="T175" s="4375"/>
      <c r="W175" s="5022"/>
      <c r="X175" s="5023"/>
      <c r="Y175" s="5023"/>
      <c r="Z175" s="5024"/>
      <c r="AA175" s="5019"/>
      <c r="AB175" s="5025"/>
      <c r="AC175" s="5026"/>
      <c r="AD175" s="5026"/>
      <c r="AE175" s="5026"/>
      <c r="AF175" s="5026"/>
      <c r="AG175" s="5026"/>
      <c r="AH175" s="5027"/>
      <c r="AI175" s="4870"/>
      <c r="AJ175" s="4870"/>
      <c r="AK175" s="5028"/>
      <c r="AL175" s="5029"/>
      <c r="AM175" s="5030"/>
      <c r="AN175" s="5019"/>
      <c r="AO175" s="5031"/>
      <c r="AP175" s="5032"/>
      <c r="AQ175" s="5033"/>
      <c r="AR175" s="4875"/>
      <c r="AS175" s="5034"/>
      <c r="AT175" s="5035"/>
      <c r="AU175" s="5036"/>
      <c r="AV175" s="5019"/>
      <c r="AW175" s="5037"/>
      <c r="AX175" s="5038"/>
      <c r="AY175" s="5039"/>
      <c r="AZ175" s="4870"/>
      <c r="BA175" s="5040"/>
      <c r="BB175" s="5041"/>
      <c r="BC175" s="5042"/>
      <c r="BD175" s="5019"/>
      <c r="BE175" s="5043"/>
      <c r="BF175" s="5044"/>
      <c r="BG175" s="5045"/>
      <c r="BH175" s="4880"/>
      <c r="BI175" s="5046"/>
      <c r="BJ175" s="5047"/>
      <c r="BK175" s="5048"/>
      <c r="BL175" s="5019"/>
      <c r="BM175" s="5049"/>
      <c r="BN175" s="5050"/>
      <c r="BO175" s="5051"/>
      <c r="BP175" s="4880"/>
      <c r="BQ175" s="5052"/>
      <c r="BR175" s="5053"/>
      <c r="BS175" s="5054"/>
      <c r="BT175" s="5019"/>
      <c r="BU175" s="5055"/>
      <c r="BV175" s="5056"/>
      <c r="BW175" s="5057"/>
      <c r="BX175" s="4880"/>
      <c r="BY175" s="5058"/>
      <c r="BZ175" s="5059"/>
      <c r="CA175" s="5060"/>
      <c r="CB175" s="5019"/>
      <c r="CC175" s="5061"/>
      <c r="CD175" s="5062"/>
      <c r="CE175" s="5063"/>
      <c r="CF175" s="4880"/>
      <c r="CG175" s="5064"/>
      <c r="CH175" s="5065"/>
      <c r="CI175" s="5066"/>
      <c r="CJ175" s="5019"/>
      <c r="CK175" s="5067"/>
      <c r="CL175" s="5068"/>
      <c r="CM175" s="5069"/>
    </row>
    <row r="176" spans="1:91" s="34" customFormat="1" ht="8.1" customHeight="1" thickBot="1" x14ac:dyDescent="0.25">
      <c r="A176" s="4207"/>
      <c r="B176" s="4207"/>
      <c r="C176" s="4207"/>
      <c r="D176" s="4207"/>
      <c r="E176" s="4207"/>
      <c r="F176" s="4212"/>
      <c r="I176" s="3740"/>
      <c r="J176" s="2291"/>
      <c r="L176" s="13"/>
      <c r="M176" s="13"/>
      <c r="N176" s="13"/>
      <c r="O176" s="13"/>
      <c r="P176" s="13"/>
      <c r="Q176" s="15"/>
      <c r="S176" s="16"/>
      <c r="T176" s="4375"/>
      <c r="W176" s="4626"/>
      <c r="X176" s="4625"/>
      <c r="Y176" s="4625"/>
      <c r="Z176" s="4626"/>
      <c r="AA176" s="4870"/>
      <c r="AB176" s="4626"/>
      <c r="AC176" s="4627"/>
      <c r="AD176" s="4627"/>
      <c r="AE176" s="4627"/>
      <c r="AF176" s="4627"/>
      <c r="AG176" s="4627"/>
      <c r="AH176" s="4626"/>
      <c r="AI176" s="4870"/>
      <c r="AJ176" s="4870"/>
      <c r="AK176" s="4626"/>
      <c r="AL176" s="4625"/>
      <c r="AM176" s="4626"/>
      <c r="AN176" s="4870"/>
      <c r="AO176" s="4626"/>
      <c r="AP176" s="4627"/>
      <c r="AQ176" s="4626"/>
      <c r="AR176" s="4875"/>
      <c r="AS176" s="4626"/>
      <c r="AT176" s="4625"/>
      <c r="AU176" s="4626"/>
      <c r="AV176" s="4870"/>
      <c r="AW176" s="4626"/>
      <c r="AX176" s="4627"/>
      <c r="AY176" s="4626"/>
      <c r="AZ176" s="4870"/>
      <c r="BA176" s="4626"/>
      <c r="BB176" s="4625"/>
      <c r="BC176" s="4626"/>
      <c r="BD176" s="4870"/>
      <c r="BE176" s="4626"/>
      <c r="BF176" s="4627"/>
      <c r="BG176" s="4626"/>
      <c r="BH176" s="4880"/>
      <c r="BI176" s="4626"/>
      <c r="BJ176" s="4625"/>
      <c r="BK176" s="4626"/>
      <c r="BL176" s="4870"/>
      <c r="BM176" s="4626"/>
      <c r="BN176" s="4627"/>
      <c r="BO176" s="4626"/>
      <c r="BP176" s="4880"/>
      <c r="BQ176" s="4626"/>
      <c r="BR176" s="4625"/>
      <c r="BS176" s="4626"/>
      <c r="BT176" s="4870"/>
      <c r="BU176" s="4626"/>
      <c r="BV176" s="4627"/>
      <c r="BW176" s="4626"/>
      <c r="BX176" s="4880"/>
      <c r="BY176" s="4626"/>
      <c r="BZ176" s="4625"/>
      <c r="CA176" s="4626"/>
      <c r="CB176" s="4870"/>
      <c r="CC176" s="4626"/>
      <c r="CD176" s="4627"/>
      <c r="CE176" s="4626"/>
      <c r="CF176" s="4880"/>
      <c r="CG176" s="4626"/>
      <c r="CH176" s="4625"/>
      <c r="CI176" s="4626"/>
      <c r="CJ176" s="4870"/>
      <c r="CK176" s="4626"/>
      <c r="CL176" s="4627"/>
      <c r="CM176" s="4626"/>
    </row>
    <row r="177" spans="1:91" s="34" customFormat="1" ht="15" customHeight="1" thickBot="1" x14ac:dyDescent="0.25">
      <c r="A177" s="4207"/>
      <c r="B177" s="4207"/>
      <c r="C177" s="4207"/>
      <c r="D177" s="4207"/>
      <c r="E177" s="4207"/>
      <c r="F177" s="4212"/>
      <c r="I177" s="3580"/>
      <c r="J177" s="2349"/>
      <c r="K177" s="3724"/>
      <c r="L177" s="3331"/>
      <c r="M177" s="3331"/>
      <c r="N177" s="3331"/>
      <c r="O177" s="3331"/>
      <c r="P177" s="3331"/>
      <c r="Q177" s="3332"/>
      <c r="R177" s="3725"/>
      <c r="S177" s="2798"/>
      <c r="T177" s="4375"/>
      <c r="W177" s="4946"/>
      <c r="X177" s="4629"/>
      <c r="Y177" s="4629"/>
      <c r="Z177" s="4630"/>
      <c r="AA177" s="4870"/>
      <c r="AB177" s="4947"/>
      <c r="AC177" s="4890"/>
      <c r="AD177" s="4890"/>
      <c r="AE177" s="4890"/>
      <c r="AF177" s="4890"/>
      <c r="AG177" s="4890"/>
      <c r="AH177" s="4891"/>
      <c r="AI177" s="4870"/>
      <c r="AJ177" s="4870"/>
      <c r="AK177" s="4948"/>
      <c r="AL177" s="4635"/>
      <c r="AM177" s="4636"/>
      <c r="AN177" s="4870"/>
      <c r="AO177" s="4949"/>
      <c r="AP177" s="4893"/>
      <c r="AQ177" s="4894"/>
      <c r="AR177" s="4875"/>
      <c r="AS177" s="4950"/>
      <c r="AT177" s="4641"/>
      <c r="AU177" s="4642"/>
      <c r="AV177" s="4870"/>
      <c r="AW177" s="4951"/>
      <c r="AX177" s="4896"/>
      <c r="AY177" s="4897"/>
      <c r="AZ177" s="4870"/>
      <c r="BA177" s="4952"/>
      <c r="BB177" s="4647"/>
      <c r="BC177" s="4648"/>
      <c r="BD177" s="4870"/>
      <c r="BE177" s="4953"/>
      <c r="BF177" s="4899"/>
      <c r="BG177" s="4900"/>
      <c r="BH177" s="4880"/>
      <c r="BI177" s="4954"/>
      <c r="BJ177" s="4653"/>
      <c r="BK177" s="4654"/>
      <c r="BL177" s="4870"/>
      <c r="BM177" s="4955"/>
      <c r="BN177" s="4902"/>
      <c r="BO177" s="4903"/>
      <c r="BP177" s="4880"/>
      <c r="BQ177" s="4956"/>
      <c r="BR177" s="4659"/>
      <c r="BS177" s="4660"/>
      <c r="BT177" s="4870"/>
      <c r="BU177" s="4957"/>
      <c r="BV177" s="4905"/>
      <c r="BW177" s="4906"/>
      <c r="BX177" s="4880"/>
      <c r="BY177" s="4958"/>
      <c r="BZ177" s="4665"/>
      <c r="CA177" s="4666"/>
      <c r="CB177" s="4870"/>
      <c r="CC177" s="4959"/>
      <c r="CD177" s="4908"/>
      <c r="CE177" s="4909"/>
      <c r="CF177" s="4880"/>
      <c r="CG177" s="4960"/>
      <c r="CH177" s="4671"/>
      <c r="CI177" s="4672"/>
      <c r="CJ177" s="4870"/>
      <c r="CK177" s="4961"/>
      <c r="CL177" s="4911"/>
      <c r="CM177" s="4912"/>
    </row>
    <row r="178" spans="1:91" s="34" customFormat="1" ht="24.95" customHeight="1" thickBot="1" x14ac:dyDescent="0.25">
      <c r="A178" s="4207"/>
      <c r="B178" s="4207"/>
      <c r="C178" s="4207"/>
      <c r="D178" s="4207"/>
      <c r="E178" s="4207"/>
      <c r="F178" s="4212" t="s">
        <v>1553</v>
      </c>
      <c r="I178" s="3580"/>
      <c r="J178" s="2349"/>
      <c r="K178" s="3708"/>
      <c r="L178" s="5096" t="str">
        <f>_Calcs_Klasse!$AQO$36</f>
        <v>Opphengbolting senteravstand</v>
      </c>
      <c r="M178" s="5098"/>
      <c r="N178" s="5098"/>
      <c r="O178" s="5095" t="s">
        <v>149</v>
      </c>
      <c r="P178" s="5098"/>
      <c r="Q178" s="5096" t="s">
        <v>78</v>
      </c>
      <c r="R178" s="3706"/>
      <c r="S178" s="2798"/>
      <c r="T178" s="4375"/>
      <c r="W178" s="4768"/>
      <c r="X178" s="6808"/>
      <c r="Y178" s="6809"/>
      <c r="Z178" s="4677"/>
      <c r="AA178" s="4678"/>
      <c r="AB178" s="4679"/>
      <c r="AC178" s="6810" t="e">
        <f>_Calcs_Klasse!$AQS$42</f>
        <v>#N/A</v>
      </c>
      <c r="AD178" s="6811"/>
      <c r="AE178" s="6811"/>
      <c r="AF178" s="6811"/>
      <c r="AG178" s="6812"/>
      <c r="AH178" s="4680"/>
      <c r="AI178" s="4681"/>
      <c r="AJ178" s="4681"/>
      <c r="AK178" s="4682"/>
      <c r="AL178" s="4683"/>
      <c r="AM178" s="4684"/>
      <c r="AN178" s="4678"/>
      <c r="AO178" s="4685"/>
      <c r="AP178" s="4686" t="e">
        <f>_Calcs_Klasse!$AQS$43</f>
        <v>#N/A</v>
      </c>
      <c r="AQ178" s="4687"/>
      <c r="AR178" s="4688"/>
      <c r="AS178" s="4689"/>
      <c r="AT178" s="4683"/>
      <c r="AU178" s="4690"/>
      <c r="AV178" s="4678"/>
      <c r="AW178" s="4691"/>
      <c r="AX178" s="4686" t="e">
        <f>_Calcs_Klasse!$AQS$44</f>
        <v>#N/A</v>
      </c>
      <c r="AY178" s="4692"/>
      <c r="AZ178" s="4681"/>
      <c r="BA178" s="4693"/>
      <c r="BB178" s="4683"/>
      <c r="BC178" s="4694"/>
      <c r="BD178" s="4678"/>
      <c r="BE178" s="4695"/>
      <c r="BF178" s="4686" t="e">
        <f>_Calcs_Klasse!$AQS$45</f>
        <v>#N/A</v>
      </c>
      <c r="BG178" s="4696"/>
      <c r="BH178" s="4697"/>
      <c r="BI178" s="4698"/>
      <c r="BJ178" s="4683"/>
      <c r="BK178" s="4699"/>
      <c r="BL178" s="4678"/>
      <c r="BM178" s="4700"/>
      <c r="BN178" s="4686" t="e">
        <f>_Calcs_Klasse!$AQS$46</f>
        <v>#N/A</v>
      </c>
      <c r="BO178" s="4701"/>
      <c r="BP178" s="4697"/>
      <c r="BQ178" s="4702"/>
      <c r="BR178" s="4683"/>
      <c r="BS178" s="4703"/>
      <c r="BT178" s="4678"/>
      <c r="BU178" s="4704"/>
      <c r="BV178" s="4686" t="e">
        <f>_Calcs_Klasse!$AQS$47</f>
        <v>#N/A</v>
      </c>
      <c r="BW178" s="4705"/>
      <c r="BX178" s="4697"/>
      <c r="BY178" s="4706"/>
      <c r="BZ178" s="4683"/>
      <c r="CA178" s="4707"/>
      <c r="CB178" s="4678"/>
      <c r="CC178" s="4708"/>
      <c r="CD178" s="4686" t="e">
        <f>_Calcs_Klasse!$AQS$48</f>
        <v>#N/A</v>
      </c>
      <c r="CE178" s="4709"/>
      <c r="CF178" s="4697"/>
      <c r="CG178" s="4710"/>
      <c r="CH178" s="4683"/>
      <c r="CI178" s="4711"/>
      <c r="CJ178" s="4678"/>
      <c r="CK178" s="4712"/>
      <c r="CL178" s="4686" t="e">
        <f>_Calcs_Klasse!$AQS$49</f>
        <v>#N/A</v>
      </c>
      <c r="CM178" s="4913"/>
    </row>
    <row r="179" spans="1:91" s="34" customFormat="1" ht="15" customHeight="1" thickBot="1" x14ac:dyDescent="0.25">
      <c r="A179" s="4207"/>
      <c r="B179" s="4207"/>
      <c r="C179" s="4207"/>
      <c r="D179" s="4207"/>
      <c r="E179" s="4207"/>
      <c r="F179" s="4212"/>
      <c r="I179" s="3580"/>
      <c r="J179" s="2349"/>
      <c r="K179" s="3741"/>
      <c r="L179" s="3323"/>
      <c r="M179" s="3323"/>
      <c r="N179" s="3323"/>
      <c r="O179" s="3323"/>
      <c r="P179" s="3731"/>
      <c r="Q179" s="3324"/>
      <c r="R179" s="3732"/>
      <c r="S179" s="3728"/>
      <c r="T179" s="4375"/>
      <c r="W179" s="4977"/>
      <c r="X179" s="4715"/>
      <c r="Y179" s="4715"/>
      <c r="Z179" s="4716"/>
      <c r="AA179" s="4870"/>
      <c r="AB179" s="4978"/>
      <c r="AC179" s="4718"/>
      <c r="AD179" s="4718"/>
      <c r="AE179" s="4718"/>
      <c r="AF179" s="4718"/>
      <c r="AG179" s="4718"/>
      <c r="AH179" s="4917"/>
      <c r="AI179" s="4870"/>
      <c r="AJ179" s="4870"/>
      <c r="AK179" s="4979"/>
      <c r="AL179" s="4919"/>
      <c r="AM179" s="4722"/>
      <c r="AN179" s="4870"/>
      <c r="AO179" s="4980"/>
      <c r="AP179" s="4724"/>
      <c r="AQ179" s="4921"/>
      <c r="AR179" s="4875"/>
      <c r="AS179" s="4981"/>
      <c r="AT179" s="4923"/>
      <c r="AU179" s="4728"/>
      <c r="AV179" s="4870"/>
      <c r="AW179" s="4982"/>
      <c r="AX179" s="4730"/>
      <c r="AY179" s="4925"/>
      <c r="AZ179" s="4870"/>
      <c r="BA179" s="4983"/>
      <c r="BB179" s="4927"/>
      <c r="BC179" s="4734"/>
      <c r="BD179" s="4870"/>
      <c r="BE179" s="4984"/>
      <c r="BF179" s="4736"/>
      <c r="BG179" s="4929"/>
      <c r="BH179" s="4880"/>
      <c r="BI179" s="4985"/>
      <c r="BJ179" s="4931"/>
      <c r="BK179" s="4740"/>
      <c r="BL179" s="4870"/>
      <c r="BM179" s="4986"/>
      <c r="BN179" s="4742"/>
      <c r="BO179" s="4933"/>
      <c r="BP179" s="4880"/>
      <c r="BQ179" s="4987"/>
      <c r="BR179" s="4935"/>
      <c r="BS179" s="4746"/>
      <c r="BT179" s="4870"/>
      <c r="BU179" s="4988"/>
      <c r="BV179" s="4748"/>
      <c r="BW179" s="4937"/>
      <c r="BX179" s="4880"/>
      <c r="BY179" s="4989"/>
      <c r="BZ179" s="4939"/>
      <c r="CA179" s="4752"/>
      <c r="CB179" s="4870"/>
      <c r="CC179" s="4990"/>
      <c r="CD179" s="4754"/>
      <c r="CE179" s="4941"/>
      <c r="CF179" s="4880"/>
      <c r="CG179" s="4991"/>
      <c r="CH179" s="4943"/>
      <c r="CI179" s="4758"/>
      <c r="CJ179" s="4870"/>
      <c r="CK179" s="4992"/>
      <c r="CL179" s="4760"/>
      <c r="CM179" s="4945"/>
    </row>
    <row r="180" spans="1:91" s="2349" customFormat="1" ht="8.1" customHeight="1" thickBot="1" x14ac:dyDescent="0.25">
      <c r="A180" s="4208"/>
      <c r="B180" s="4208"/>
      <c r="C180" s="4208"/>
      <c r="D180" s="4208"/>
      <c r="E180" s="4208"/>
      <c r="F180" s="4213"/>
      <c r="I180" s="3740"/>
      <c r="K180" s="3735"/>
      <c r="L180" s="3793"/>
      <c r="M180" s="3793"/>
      <c r="N180" s="3793"/>
      <c r="O180" s="3793"/>
      <c r="P180" s="3793"/>
      <c r="Q180" s="3805"/>
      <c r="R180" s="3735"/>
      <c r="S180" s="3810"/>
      <c r="T180" s="4375"/>
      <c r="W180" s="5019"/>
      <c r="X180" s="5019"/>
      <c r="Y180" s="5019"/>
      <c r="Z180" s="5019"/>
      <c r="AA180" s="5019"/>
      <c r="AB180" s="5019"/>
      <c r="AC180" s="5020"/>
      <c r="AD180" s="5020"/>
      <c r="AE180" s="5020"/>
      <c r="AF180" s="5020"/>
      <c r="AG180" s="5020"/>
      <c r="AH180" s="5019"/>
      <c r="AI180" s="5019"/>
      <c r="AJ180" s="5019"/>
      <c r="AK180" s="5019"/>
      <c r="AL180" s="5019"/>
      <c r="AM180" s="5019"/>
      <c r="AN180" s="5019"/>
      <c r="AO180" s="5019"/>
      <c r="AP180" s="5020"/>
      <c r="AQ180" s="5019"/>
      <c r="AR180" s="4875"/>
      <c r="AS180" s="5019"/>
      <c r="AT180" s="5019"/>
      <c r="AU180" s="5019"/>
      <c r="AV180" s="5019"/>
      <c r="AW180" s="5019"/>
      <c r="AX180" s="5020"/>
      <c r="AY180" s="5019"/>
      <c r="AZ180" s="5019"/>
      <c r="BA180" s="5019"/>
      <c r="BB180" s="5019"/>
      <c r="BC180" s="5019"/>
      <c r="BD180" s="5019"/>
      <c r="BE180" s="5019"/>
      <c r="BF180" s="5020"/>
      <c r="BG180" s="5019"/>
      <c r="BH180" s="4875"/>
      <c r="BI180" s="5019"/>
      <c r="BJ180" s="5019"/>
      <c r="BK180" s="5019"/>
      <c r="BL180" s="5019"/>
      <c r="BM180" s="5019"/>
      <c r="BN180" s="5020"/>
      <c r="BO180" s="5019"/>
      <c r="BP180" s="4875"/>
      <c r="BQ180" s="5019"/>
      <c r="BR180" s="5019"/>
      <c r="BS180" s="5019"/>
      <c r="BT180" s="5019"/>
      <c r="BU180" s="5019"/>
      <c r="BV180" s="5020"/>
      <c r="BW180" s="5019"/>
      <c r="BX180" s="4875"/>
      <c r="BY180" s="5019"/>
      <c r="BZ180" s="5019"/>
      <c r="CA180" s="5019"/>
      <c r="CB180" s="5019"/>
      <c r="CC180" s="5019"/>
      <c r="CD180" s="5020"/>
      <c r="CE180" s="5019"/>
      <c r="CF180" s="4875"/>
      <c r="CG180" s="5019"/>
      <c r="CH180" s="5019"/>
      <c r="CI180" s="5019"/>
      <c r="CJ180" s="5019"/>
      <c r="CK180" s="5019"/>
      <c r="CL180" s="5020"/>
      <c r="CM180" s="5019"/>
    </row>
    <row r="181" spans="1:91" s="34" customFormat="1" ht="15" customHeight="1" thickBot="1" x14ac:dyDescent="0.25">
      <c r="A181" s="4207"/>
      <c r="B181" s="4207"/>
      <c r="C181" s="4207"/>
      <c r="D181" s="4207"/>
      <c r="E181" s="4207"/>
      <c r="F181" s="4212"/>
      <c r="I181" s="3580"/>
      <c r="J181" s="2291"/>
      <c r="K181" s="3736"/>
      <c r="L181" s="3794"/>
      <c r="M181" s="3794"/>
      <c r="N181" s="3794"/>
      <c r="O181" s="3794"/>
      <c r="P181" s="3794"/>
      <c r="Q181" s="3806"/>
      <c r="R181" s="3737"/>
      <c r="S181" s="3810"/>
      <c r="T181" s="4375"/>
      <c r="W181" s="4946"/>
      <c r="X181" s="4629"/>
      <c r="Y181" s="4629"/>
      <c r="Z181" s="4630"/>
      <c r="AA181" s="4870"/>
      <c r="AB181" s="4995"/>
      <c r="AC181" s="4632"/>
      <c r="AD181" s="4632"/>
      <c r="AE181" s="4632"/>
      <c r="AF181" s="4632"/>
      <c r="AG181" s="4632"/>
      <c r="AH181" s="4633"/>
      <c r="AI181" s="4870"/>
      <c r="AJ181" s="4870"/>
      <c r="AK181" s="4948"/>
      <c r="AL181" s="4635"/>
      <c r="AM181" s="4636"/>
      <c r="AN181" s="4870"/>
      <c r="AO181" s="4996"/>
      <c r="AP181" s="4638"/>
      <c r="AQ181" s="4639"/>
      <c r="AR181" s="4875"/>
      <c r="AS181" s="4950"/>
      <c r="AT181" s="4641"/>
      <c r="AU181" s="4642"/>
      <c r="AV181" s="4870"/>
      <c r="AW181" s="4997"/>
      <c r="AX181" s="4644"/>
      <c r="AY181" s="4645"/>
      <c r="AZ181" s="4870"/>
      <c r="BA181" s="4952"/>
      <c r="BB181" s="4647"/>
      <c r="BC181" s="4648"/>
      <c r="BD181" s="4870"/>
      <c r="BE181" s="4998"/>
      <c r="BF181" s="4650"/>
      <c r="BG181" s="4651"/>
      <c r="BH181" s="4880"/>
      <c r="BI181" s="4954"/>
      <c r="BJ181" s="4653"/>
      <c r="BK181" s="4654"/>
      <c r="BL181" s="4870"/>
      <c r="BM181" s="4999"/>
      <c r="BN181" s="4656"/>
      <c r="BO181" s="4657"/>
      <c r="BP181" s="4880"/>
      <c r="BQ181" s="4956"/>
      <c r="BR181" s="4659"/>
      <c r="BS181" s="4660"/>
      <c r="BT181" s="4870"/>
      <c r="BU181" s="5000"/>
      <c r="BV181" s="4662"/>
      <c r="BW181" s="4663"/>
      <c r="BX181" s="4880"/>
      <c r="BY181" s="4958"/>
      <c r="BZ181" s="4665"/>
      <c r="CA181" s="4666"/>
      <c r="CB181" s="4870"/>
      <c r="CC181" s="5001"/>
      <c r="CD181" s="4668"/>
      <c r="CE181" s="4669"/>
      <c r="CF181" s="4880"/>
      <c r="CG181" s="4960"/>
      <c r="CH181" s="4671"/>
      <c r="CI181" s="4672"/>
      <c r="CJ181" s="4870"/>
      <c r="CK181" s="5002"/>
      <c r="CL181" s="4674"/>
      <c r="CM181" s="4675"/>
    </row>
    <row r="182" spans="1:91" s="34" customFormat="1" ht="24.95" customHeight="1" thickBot="1" x14ac:dyDescent="0.25">
      <c r="A182" s="4207"/>
      <c r="B182" s="4207"/>
      <c r="C182" s="4207"/>
      <c r="D182" s="4207"/>
      <c r="E182" s="4207"/>
      <c r="F182" s="4212" t="s">
        <v>1553</v>
      </c>
      <c r="I182" s="3580"/>
      <c r="J182" s="2291"/>
      <c r="K182" s="3738"/>
      <c r="L182" s="5112" t="str">
        <f>_Calcs_Klasse!$AQW$36</f>
        <v>Opphengbolting: boltelengde fordeling (≤ 4 m)</v>
      </c>
      <c r="M182" s="5111"/>
      <c r="N182" s="5111"/>
      <c r="O182" s="5095" t="s">
        <v>149</v>
      </c>
      <c r="P182" s="5111"/>
      <c r="Q182" s="5110" t="s">
        <v>954</v>
      </c>
      <c r="R182" s="3739"/>
      <c r="S182" s="3810"/>
      <c r="T182" s="4375"/>
      <c r="W182" s="4768"/>
      <c r="X182" s="6803"/>
      <c r="Y182" s="6804"/>
      <c r="Z182" s="4795"/>
      <c r="AA182" s="4796"/>
      <c r="AB182" s="4797"/>
      <c r="AC182" s="6805" t="e">
        <f>_Calcs_Klasse!$ARA$42</f>
        <v>#N/A</v>
      </c>
      <c r="AD182" s="6806"/>
      <c r="AE182" s="6806"/>
      <c r="AF182" s="6806"/>
      <c r="AG182" s="6807"/>
      <c r="AH182" s="4798"/>
      <c r="AI182" s="4799"/>
      <c r="AJ182" s="4799"/>
      <c r="AK182" s="4800"/>
      <c r="AL182" s="4801"/>
      <c r="AM182" s="4802"/>
      <c r="AN182" s="4796"/>
      <c r="AO182" s="4803"/>
      <c r="AP182" s="4804" t="e">
        <f>_Calcs_Klasse!$ARA$43</f>
        <v>#N/A</v>
      </c>
      <c r="AQ182" s="4805"/>
      <c r="AR182" s="4806"/>
      <c r="AS182" s="4807"/>
      <c r="AT182" s="4801"/>
      <c r="AU182" s="4808"/>
      <c r="AV182" s="4796"/>
      <c r="AW182" s="4809"/>
      <c r="AX182" s="4804" t="e">
        <f>_Calcs_Klasse!$ARA$44</f>
        <v>#N/A</v>
      </c>
      <c r="AY182" s="4810"/>
      <c r="AZ182" s="4799"/>
      <c r="BA182" s="4811"/>
      <c r="BB182" s="4801"/>
      <c r="BC182" s="4812"/>
      <c r="BD182" s="4796"/>
      <c r="BE182" s="4813"/>
      <c r="BF182" s="4804" t="e">
        <f>_Calcs_Klasse!$ARA$45</f>
        <v>#N/A</v>
      </c>
      <c r="BG182" s="4814"/>
      <c r="BH182" s="4815"/>
      <c r="BI182" s="4816"/>
      <c r="BJ182" s="4801"/>
      <c r="BK182" s="4817"/>
      <c r="BL182" s="4796"/>
      <c r="BM182" s="4818"/>
      <c r="BN182" s="4804" t="e">
        <f>_Calcs_Klasse!$ARA$46</f>
        <v>#N/A</v>
      </c>
      <c r="BO182" s="4819"/>
      <c r="BP182" s="4815"/>
      <c r="BQ182" s="4820"/>
      <c r="BR182" s="4801"/>
      <c r="BS182" s="4821"/>
      <c r="BT182" s="4796"/>
      <c r="BU182" s="4822"/>
      <c r="BV182" s="4804" t="e">
        <f>_Calcs_Klasse!$ARA$47</f>
        <v>#N/A</v>
      </c>
      <c r="BW182" s="4823"/>
      <c r="BX182" s="4815"/>
      <c r="BY182" s="4824"/>
      <c r="BZ182" s="4801"/>
      <c r="CA182" s="4825"/>
      <c r="CB182" s="4796"/>
      <c r="CC182" s="4826"/>
      <c r="CD182" s="4804" t="e">
        <f>_Calcs_Klasse!$ARA$48</f>
        <v>#N/A</v>
      </c>
      <c r="CE182" s="4827"/>
      <c r="CF182" s="4815"/>
      <c r="CG182" s="4828"/>
      <c r="CH182" s="4801"/>
      <c r="CI182" s="4829"/>
      <c r="CJ182" s="4796"/>
      <c r="CK182" s="4830"/>
      <c r="CL182" s="4804" t="e">
        <f>_Calcs_Klasse!$ARA$49</f>
        <v>#N/A</v>
      </c>
      <c r="CM182" s="4713"/>
    </row>
    <row r="183" spans="1:91" s="34" customFormat="1" ht="15" customHeight="1" thickBot="1" x14ac:dyDescent="0.25">
      <c r="A183" s="4207"/>
      <c r="B183" s="4207"/>
      <c r="C183" s="4207"/>
      <c r="D183" s="4207"/>
      <c r="E183" s="4207"/>
      <c r="F183" s="4212" t="s">
        <v>1553</v>
      </c>
      <c r="I183" s="3580"/>
      <c r="J183" s="2291"/>
      <c r="K183" s="3738"/>
      <c r="L183" s="5111"/>
      <c r="M183" s="5111"/>
      <c r="N183" s="5111"/>
      <c r="O183" s="5111"/>
      <c r="P183" s="5111"/>
      <c r="Q183" s="5110"/>
      <c r="R183" s="3739"/>
      <c r="S183" s="3810"/>
      <c r="T183" s="4375"/>
      <c r="W183" s="4768"/>
      <c r="X183" s="4831"/>
      <c r="Y183" s="4831"/>
      <c r="Z183" s="4832"/>
      <c r="AA183" s="4575"/>
      <c r="AB183" s="4833"/>
      <c r="AC183" s="4834"/>
      <c r="AD183" s="4834"/>
      <c r="AE183" s="4834"/>
      <c r="AF183" s="4834"/>
      <c r="AG183" s="4834"/>
      <c r="AH183" s="4835"/>
      <c r="AI183" s="4568"/>
      <c r="AJ183" s="4568"/>
      <c r="AK183" s="4836"/>
      <c r="AL183" s="4635"/>
      <c r="AM183" s="4837"/>
      <c r="AN183" s="4575"/>
      <c r="AO183" s="4838"/>
      <c r="AP183" s="4839"/>
      <c r="AQ183" s="4840"/>
      <c r="AR183" s="3435"/>
      <c r="AS183" s="4841"/>
      <c r="AT183" s="4641"/>
      <c r="AU183" s="4842"/>
      <c r="AV183" s="4575"/>
      <c r="AW183" s="4843"/>
      <c r="AX183" s="4844"/>
      <c r="AY183" s="4845"/>
      <c r="AZ183" s="4568"/>
      <c r="BA183" s="4846"/>
      <c r="BB183" s="4647"/>
      <c r="BC183" s="4847"/>
      <c r="BD183" s="4575"/>
      <c r="BE183" s="4848"/>
      <c r="BF183" s="4849"/>
      <c r="BG183" s="4850"/>
      <c r="BH183" s="4445"/>
      <c r="BI183" s="4851"/>
      <c r="BJ183" s="4653"/>
      <c r="BK183" s="4852"/>
      <c r="BL183" s="4575"/>
      <c r="BM183" s="4853"/>
      <c r="BN183" s="4854"/>
      <c r="BO183" s="4855"/>
      <c r="BP183" s="4445"/>
      <c r="BQ183" s="4856"/>
      <c r="BR183" s="4659"/>
      <c r="BS183" s="4857"/>
      <c r="BT183" s="4575"/>
      <c r="BU183" s="4858"/>
      <c r="BV183" s="4859"/>
      <c r="BW183" s="4860"/>
      <c r="BX183" s="4445"/>
      <c r="BY183" s="4861"/>
      <c r="BZ183" s="4665"/>
      <c r="CA183" s="4862"/>
      <c r="CB183" s="4575"/>
      <c r="CC183" s="4863"/>
      <c r="CD183" s="4864"/>
      <c r="CE183" s="4865"/>
      <c r="CF183" s="4445"/>
      <c r="CG183" s="4866"/>
      <c r="CH183" s="4671"/>
      <c r="CI183" s="4867"/>
      <c r="CJ183" s="4575"/>
      <c r="CK183" s="4868"/>
      <c r="CL183" s="4869"/>
      <c r="CM183" s="4713"/>
    </row>
    <row r="184" spans="1:91" s="34" customFormat="1" ht="24.95" customHeight="1" thickBot="1" x14ac:dyDescent="0.25">
      <c r="A184" s="4207"/>
      <c r="B184" s="4207"/>
      <c r="C184" s="4207"/>
      <c r="D184" s="4207"/>
      <c r="E184" s="4207"/>
      <c r="F184" s="4212" t="s">
        <v>1553</v>
      </c>
      <c r="I184" s="3580"/>
      <c r="J184" s="2291"/>
      <c r="K184" s="3738"/>
      <c r="L184" s="5112" t="str">
        <f>_Calcs_Klasse!$ARF$36</f>
        <v>Opphengbolting: boltelengde fordeling (&gt; 4 m)</v>
      </c>
      <c r="M184" s="5111"/>
      <c r="N184" s="5111"/>
      <c r="O184" s="5095" t="s">
        <v>149</v>
      </c>
      <c r="P184" s="5111"/>
      <c r="Q184" s="5110" t="s">
        <v>954</v>
      </c>
      <c r="R184" s="3739"/>
      <c r="S184" s="3810"/>
      <c r="T184" s="4375"/>
      <c r="W184" s="4768"/>
      <c r="X184" s="6805" t="str">
        <f>_Calcs_Klasse!$ARH$42</f>
        <v/>
      </c>
      <c r="Y184" s="6807"/>
      <c r="Z184" s="4832"/>
      <c r="AA184" s="4870"/>
      <c r="AB184" s="4871"/>
      <c r="AC184" s="6805" t="e">
        <f>_Calcs_Klasse!$ARJ$42</f>
        <v>#N/A</v>
      </c>
      <c r="AD184" s="6806"/>
      <c r="AE184" s="6806"/>
      <c r="AF184" s="6806"/>
      <c r="AG184" s="6807"/>
      <c r="AH184" s="4835"/>
      <c r="AI184" s="4870"/>
      <c r="AJ184" s="4870"/>
      <c r="AK184" s="4872"/>
      <c r="AL184" s="4873" t="str">
        <f>_Calcs_Klasse!$ARH$43</f>
        <v/>
      </c>
      <c r="AM184" s="4837"/>
      <c r="AN184" s="4870"/>
      <c r="AO184" s="4874"/>
      <c r="AP184" s="4804" t="e">
        <f>_Calcs_Klasse!$ARJ$43</f>
        <v>#N/A</v>
      </c>
      <c r="AQ184" s="4840"/>
      <c r="AR184" s="4875"/>
      <c r="AS184" s="4876"/>
      <c r="AT184" s="4873" t="str">
        <f>_Calcs_Klasse!$ARH$44</f>
        <v/>
      </c>
      <c r="AU184" s="4842"/>
      <c r="AV184" s="4870"/>
      <c r="AW184" s="4877"/>
      <c r="AX184" s="4804" t="e">
        <f>_Calcs_Klasse!$ARJ$44</f>
        <v>#N/A</v>
      </c>
      <c r="AY184" s="4845"/>
      <c r="AZ184" s="4870"/>
      <c r="BA184" s="4878"/>
      <c r="BB184" s="4873" t="str">
        <f>_Calcs_Klasse!$ARH$45</f>
        <v/>
      </c>
      <c r="BC184" s="4847"/>
      <c r="BD184" s="4870"/>
      <c r="BE184" s="4879"/>
      <c r="BF184" s="4804" t="e">
        <f>_Calcs_Klasse!$ARJ$45</f>
        <v>#N/A</v>
      </c>
      <c r="BG184" s="4850"/>
      <c r="BH184" s="4880"/>
      <c r="BI184" s="4881"/>
      <c r="BJ184" s="4873" t="str">
        <f>_Calcs_Klasse!$ARH$46</f>
        <v/>
      </c>
      <c r="BK184" s="4852"/>
      <c r="BL184" s="4870"/>
      <c r="BM184" s="4882"/>
      <c r="BN184" s="4804" t="e">
        <f>_Calcs_Klasse!$ARJ$46</f>
        <v>#N/A</v>
      </c>
      <c r="BO184" s="4855"/>
      <c r="BP184" s="4880"/>
      <c r="BQ184" s="4883"/>
      <c r="BR184" s="4873" t="str">
        <f>_Calcs_Klasse!$ARH$47</f>
        <v/>
      </c>
      <c r="BS184" s="4857"/>
      <c r="BT184" s="4870"/>
      <c r="BU184" s="4884"/>
      <c r="BV184" s="4804" t="e">
        <f>_Calcs_Klasse!$ARJ$47</f>
        <v>#N/A</v>
      </c>
      <c r="BW184" s="4860"/>
      <c r="BX184" s="4880"/>
      <c r="BY184" s="4885"/>
      <c r="BZ184" s="4873" t="str">
        <f>_Calcs_Klasse!$ARH$48</f>
        <v/>
      </c>
      <c r="CA184" s="4862"/>
      <c r="CB184" s="4870"/>
      <c r="CC184" s="4886"/>
      <c r="CD184" s="4804" t="e">
        <f>_Calcs_Klasse!$ARJ$48</f>
        <v>#N/A</v>
      </c>
      <c r="CE184" s="4865"/>
      <c r="CF184" s="4880"/>
      <c r="CG184" s="4887"/>
      <c r="CH184" s="4873" t="str">
        <f>_Calcs_Klasse!$ARH$49</f>
        <v/>
      </c>
      <c r="CI184" s="4867"/>
      <c r="CJ184" s="4870"/>
      <c r="CK184" s="4888"/>
      <c r="CL184" s="4804" t="e">
        <f>_Calcs_Klasse!$ARJ$49</f>
        <v>#N/A</v>
      </c>
      <c r="CM184" s="4713"/>
    </row>
    <row r="185" spans="1:91" s="8" customFormat="1" ht="15" customHeight="1" thickBot="1" x14ac:dyDescent="0.25">
      <c r="A185" s="4203"/>
      <c r="B185" s="4203"/>
      <c r="C185" s="4203"/>
      <c r="D185" s="4203"/>
      <c r="E185" s="4203"/>
      <c r="F185" s="4212"/>
      <c r="I185" s="2728"/>
      <c r="J185" s="10"/>
      <c r="K185" s="3633"/>
      <c r="L185" s="3796"/>
      <c r="M185" s="3796"/>
      <c r="N185" s="3796"/>
      <c r="O185" s="3795"/>
      <c r="P185" s="3796"/>
      <c r="Q185" s="3797"/>
      <c r="R185" s="3634"/>
      <c r="S185" s="3810"/>
      <c r="T185" s="4373"/>
      <c r="W185" s="4714"/>
      <c r="X185" s="4715"/>
      <c r="Y185" s="4715"/>
      <c r="Z185" s="4716"/>
      <c r="AA185" s="4575"/>
      <c r="AB185" s="4769"/>
      <c r="AC185" s="4770"/>
      <c r="AD185" s="4770"/>
      <c r="AE185" s="4770"/>
      <c r="AF185" s="4770"/>
      <c r="AG185" s="4770"/>
      <c r="AH185" s="4771"/>
      <c r="AI185" s="4568"/>
      <c r="AJ185" s="4568"/>
      <c r="AK185" s="4720"/>
      <c r="AL185" s="4721"/>
      <c r="AM185" s="4722"/>
      <c r="AN185" s="4575"/>
      <c r="AO185" s="4772"/>
      <c r="AP185" s="4773"/>
      <c r="AQ185" s="4774"/>
      <c r="AR185" s="3435"/>
      <c r="AS185" s="4726"/>
      <c r="AT185" s="4727"/>
      <c r="AU185" s="4728"/>
      <c r="AV185" s="4575"/>
      <c r="AW185" s="4775"/>
      <c r="AX185" s="4776"/>
      <c r="AY185" s="4777"/>
      <c r="AZ185" s="4568"/>
      <c r="BA185" s="4732"/>
      <c r="BB185" s="4733"/>
      <c r="BC185" s="4734"/>
      <c r="BD185" s="4575"/>
      <c r="BE185" s="4778"/>
      <c r="BF185" s="4779"/>
      <c r="BG185" s="4780"/>
      <c r="BH185" s="4445"/>
      <c r="BI185" s="4738"/>
      <c r="BJ185" s="4739"/>
      <c r="BK185" s="4740"/>
      <c r="BL185" s="4575"/>
      <c r="BM185" s="4781"/>
      <c r="BN185" s="4782"/>
      <c r="BO185" s="4783"/>
      <c r="BP185" s="4445"/>
      <c r="BQ185" s="4744"/>
      <c r="BR185" s="4745"/>
      <c r="BS185" s="4746"/>
      <c r="BT185" s="4575"/>
      <c r="BU185" s="4784"/>
      <c r="BV185" s="4785"/>
      <c r="BW185" s="4786"/>
      <c r="BX185" s="4445"/>
      <c r="BY185" s="4750"/>
      <c r="BZ185" s="4751"/>
      <c r="CA185" s="4752"/>
      <c r="CB185" s="4575"/>
      <c r="CC185" s="4787"/>
      <c r="CD185" s="4788"/>
      <c r="CE185" s="4789"/>
      <c r="CF185" s="4445"/>
      <c r="CG185" s="4756"/>
      <c r="CH185" s="4757"/>
      <c r="CI185" s="4758"/>
      <c r="CJ185" s="4575"/>
      <c r="CK185" s="4790"/>
      <c r="CL185" s="4791"/>
      <c r="CM185" s="4792"/>
    </row>
    <row r="186" spans="1:91" s="8" customFormat="1" ht="35.1" customHeight="1" x14ac:dyDescent="0.25">
      <c r="A186" s="4203"/>
      <c r="B186" s="4203"/>
      <c r="C186" s="4203"/>
      <c r="D186" s="4203"/>
      <c r="E186" s="4203"/>
      <c r="F186" s="4212"/>
      <c r="L186" s="21"/>
      <c r="M186" s="21"/>
      <c r="N186" s="21"/>
      <c r="O186" s="13"/>
      <c r="P186" s="21"/>
      <c r="Q186" s="15"/>
      <c r="S186" s="16"/>
      <c r="T186" s="4373"/>
      <c r="U186" s="181"/>
      <c r="V186" s="181"/>
      <c r="W186" s="3435"/>
      <c r="X186" s="3435"/>
      <c r="Y186" s="3435"/>
      <c r="Z186" s="3435"/>
      <c r="AA186" s="3435"/>
      <c r="AB186" s="3435"/>
      <c r="AC186" s="4762"/>
      <c r="AD186" s="4762"/>
      <c r="AE186" s="4762"/>
      <c r="AF186" s="4762"/>
      <c r="AG186" s="4762"/>
      <c r="AH186" s="3435"/>
      <c r="AI186" s="3435"/>
      <c r="AJ186" s="3435"/>
      <c r="AK186" s="3435"/>
      <c r="AL186" s="3435"/>
      <c r="AM186" s="3435"/>
      <c r="AN186" s="3435"/>
      <c r="AO186" s="3435"/>
      <c r="AP186" s="4762"/>
      <c r="AQ186" s="3435"/>
      <c r="AR186" s="3435"/>
      <c r="AS186" s="3435"/>
      <c r="AT186" s="3435"/>
      <c r="AU186" s="3435"/>
      <c r="AV186" s="3435"/>
      <c r="AW186" s="3435"/>
      <c r="AX186" s="4762"/>
      <c r="AY186" s="3435"/>
      <c r="AZ186" s="3435"/>
      <c r="BA186" s="3435"/>
      <c r="BB186" s="3435"/>
      <c r="BC186" s="3435"/>
      <c r="BD186" s="3435"/>
      <c r="BE186" s="3435"/>
      <c r="BF186" s="4762"/>
      <c r="BG186" s="3435"/>
      <c r="BH186" s="3435"/>
      <c r="BI186" s="3435"/>
      <c r="BJ186" s="3435"/>
      <c r="BK186" s="3435"/>
      <c r="BL186" s="3435"/>
      <c r="BM186" s="3435"/>
      <c r="BN186" s="4762"/>
      <c r="BO186" s="3435"/>
      <c r="BP186" s="3435"/>
      <c r="BQ186" s="3435"/>
      <c r="BR186" s="3435"/>
      <c r="BS186" s="3435"/>
      <c r="BT186" s="3435"/>
      <c r="BU186" s="3435"/>
      <c r="BV186" s="4762"/>
      <c r="BW186" s="3435"/>
      <c r="BX186" s="3435"/>
      <c r="BY186" s="3435"/>
      <c r="BZ186" s="3435"/>
      <c r="CA186" s="3435"/>
      <c r="CB186" s="3435"/>
      <c r="CC186" s="3435"/>
      <c r="CD186" s="4762"/>
      <c r="CE186" s="3435"/>
      <c r="CF186" s="3435"/>
      <c r="CG186" s="3435"/>
      <c r="CH186" s="3435"/>
      <c r="CI186" s="3435"/>
      <c r="CJ186" s="3435"/>
      <c r="CK186" s="3435"/>
      <c r="CL186" s="4762"/>
      <c r="CM186" s="3435"/>
    </row>
    <row r="187" spans="1:91" s="2720" customFormat="1" ht="15" customHeight="1" x14ac:dyDescent="0.25">
      <c r="A187" s="4206"/>
      <c r="B187" s="4206"/>
      <c r="C187" s="4206"/>
      <c r="D187" s="4206"/>
      <c r="E187" s="4206"/>
      <c r="F187" s="4210"/>
      <c r="I187" s="3310"/>
      <c r="J187" s="3310"/>
      <c r="K187" s="3310"/>
      <c r="L187" s="3790"/>
      <c r="M187" s="3790"/>
      <c r="N187" s="3790"/>
      <c r="O187" s="4219"/>
      <c r="P187" s="3790"/>
      <c r="Q187" s="4222"/>
      <c r="R187" s="3310"/>
      <c r="S187" s="435"/>
      <c r="T187" s="4373"/>
      <c r="W187" s="4763"/>
      <c r="X187" s="4763"/>
      <c r="Y187" s="4763"/>
      <c r="Z187" s="4763"/>
      <c r="AA187" s="4763"/>
      <c r="AB187" s="4763"/>
      <c r="AC187" s="4764"/>
      <c r="AD187" s="4764"/>
      <c r="AE187" s="4764"/>
      <c r="AF187" s="4764"/>
      <c r="AG187" s="4764"/>
      <c r="AH187" s="4763"/>
      <c r="AI187" s="4763"/>
      <c r="AJ187" s="4763"/>
      <c r="AK187" s="4763"/>
      <c r="AL187" s="4763"/>
      <c r="AM187" s="4763"/>
      <c r="AN187" s="4763"/>
      <c r="AO187" s="4763"/>
      <c r="AP187" s="4764"/>
      <c r="AQ187" s="4763"/>
      <c r="AR187" s="4763"/>
      <c r="AS187" s="4763"/>
      <c r="AT187" s="4763"/>
      <c r="AU187" s="4763"/>
      <c r="AV187" s="4763"/>
      <c r="AW187" s="4763"/>
      <c r="AX187" s="4764"/>
      <c r="AY187" s="4763"/>
      <c r="AZ187" s="4763"/>
      <c r="BA187" s="4763"/>
      <c r="BB187" s="4763"/>
      <c r="BC187" s="4763"/>
      <c r="BD187" s="4763"/>
      <c r="BE187" s="4763"/>
      <c r="BF187" s="4764"/>
      <c r="BG187" s="4763"/>
      <c r="BH187" s="4763"/>
      <c r="BI187" s="4763"/>
      <c r="BJ187" s="4763"/>
      <c r="BK187" s="4763"/>
      <c r="BL187" s="4763"/>
      <c r="BM187" s="4763"/>
      <c r="BN187" s="4764"/>
      <c r="BO187" s="4763"/>
      <c r="BP187" s="4763"/>
      <c r="BQ187" s="4763"/>
      <c r="BR187" s="4763"/>
      <c r="BS187" s="4763"/>
      <c r="BT187" s="4763"/>
      <c r="BU187" s="4763"/>
      <c r="BV187" s="4764"/>
      <c r="BW187" s="4763"/>
      <c r="BX187" s="4763"/>
      <c r="BY187" s="4763"/>
      <c r="BZ187" s="4763"/>
      <c r="CA187" s="4763"/>
      <c r="CB187" s="4763"/>
      <c r="CC187" s="4763"/>
      <c r="CD187" s="4764"/>
      <c r="CE187" s="4763"/>
      <c r="CF187" s="4763"/>
      <c r="CG187" s="4763"/>
      <c r="CH187" s="4763"/>
      <c r="CI187" s="4763"/>
      <c r="CJ187" s="4763"/>
      <c r="CK187" s="4763"/>
      <c r="CL187" s="4764"/>
      <c r="CM187" s="4763"/>
    </row>
    <row r="188" spans="1:91" s="181" customFormat="1" ht="35.1" customHeight="1" thickBot="1" x14ac:dyDescent="0.3">
      <c r="A188" s="4205"/>
      <c r="B188" s="4205"/>
      <c r="C188" s="4205"/>
      <c r="D188" s="4205"/>
      <c r="E188" s="4205"/>
      <c r="F188" s="4211"/>
      <c r="K188" s="2373"/>
      <c r="L188" s="2625"/>
      <c r="M188" s="2625"/>
      <c r="N188" s="2625"/>
      <c r="O188" s="2737"/>
      <c r="P188" s="207"/>
      <c r="Q188" s="402"/>
      <c r="R188" s="2809"/>
      <c r="S188" s="3675"/>
      <c r="T188" s="4373"/>
      <c r="W188" s="4489"/>
      <c r="X188" s="4489"/>
      <c r="Y188" s="4489"/>
      <c r="Z188" s="4489"/>
      <c r="AA188" s="4489"/>
      <c r="AB188" s="4489"/>
      <c r="AC188" s="4766"/>
      <c r="AD188" s="4766"/>
      <c r="AE188" s="4766"/>
      <c r="AF188" s="4766"/>
      <c r="AG188" s="4766"/>
      <c r="AH188" s="4489"/>
      <c r="AI188" s="4489"/>
      <c r="AJ188" s="4489"/>
      <c r="AK188" s="4489"/>
      <c r="AL188" s="4489"/>
      <c r="AM188" s="4489"/>
      <c r="AN188" s="4489"/>
      <c r="AO188" s="4489"/>
      <c r="AP188" s="4766"/>
      <c r="AQ188" s="4489"/>
      <c r="AR188" s="3435"/>
      <c r="AS188" s="4489"/>
      <c r="AT188" s="4489"/>
      <c r="AU188" s="4489"/>
      <c r="AV188" s="4489"/>
      <c r="AW188" s="4489"/>
      <c r="AX188" s="4766"/>
      <c r="AY188" s="4489"/>
      <c r="AZ188" s="4489"/>
      <c r="BA188" s="4489"/>
      <c r="BB188" s="4489"/>
      <c r="BC188" s="4489"/>
      <c r="BD188" s="4489"/>
      <c r="BE188" s="4489"/>
      <c r="BF188" s="4766"/>
      <c r="BG188" s="4489"/>
      <c r="BH188" s="3435"/>
      <c r="BI188" s="4489"/>
      <c r="BJ188" s="4489"/>
      <c r="BK188" s="4489"/>
      <c r="BL188" s="4489"/>
      <c r="BM188" s="4489"/>
      <c r="BN188" s="4766"/>
      <c r="BO188" s="4489"/>
      <c r="BP188" s="3435"/>
      <c r="BQ188" s="4489"/>
      <c r="BR188" s="4489"/>
      <c r="BS188" s="4489"/>
      <c r="BT188" s="4489"/>
      <c r="BU188" s="4489"/>
      <c r="BV188" s="4766"/>
      <c r="BW188" s="4489"/>
      <c r="BX188" s="3435"/>
      <c r="BY188" s="4489"/>
      <c r="BZ188" s="4489"/>
      <c r="CA188" s="4489"/>
      <c r="CB188" s="4489"/>
      <c r="CC188" s="4489"/>
      <c r="CD188" s="4766"/>
      <c r="CE188" s="4489"/>
      <c r="CF188" s="3435"/>
      <c r="CG188" s="4489"/>
      <c r="CH188" s="4489"/>
      <c r="CI188" s="4489"/>
      <c r="CJ188" s="4489"/>
      <c r="CK188" s="4489"/>
      <c r="CL188" s="4766"/>
      <c r="CM188" s="4489"/>
    </row>
    <row r="189" spans="1:91" s="34" customFormat="1" ht="20.100000000000001" customHeight="1" thickBot="1" x14ac:dyDescent="0.25">
      <c r="A189" s="4207"/>
      <c r="B189" s="4207"/>
      <c r="C189" s="4207"/>
      <c r="D189" s="4207"/>
      <c r="E189" s="4207"/>
      <c r="F189" s="4212"/>
      <c r="I189" s="3764"/>
      <c r="J189" s="2291"/>
      <c r="K189" s="3744"/>
      <c r="L189" s="6798" t="str">
        <f>_Calcs_Klasse!$AIT$35</f>
        <v>Bue-rast</v>
      </c>
      <c r="M189" s="6798"/>
      <c r="N189" s="6798"/>
      <c r="O189" s="6798"/>
      <c r="P189" s="6798"/>
      <c r="Q189" s="6798"/>
      <c r="R189" s="3745"/>
      <c r="S189" s="3660"/>
      <c r="T189" s="4375"/>
      <c r="W189" s="4626"/>
      <c r="X189" s="4626"/>
      <c r="Y189" s="4626"/>
      <c r="Z189" s="4626"/>
      <c r="AA189" s="4870"/>
      <c r="AB189" s="4626"/>
      <c r="AC189" s="4993"/>
      <c r="AD189" s="4993"/>
      <c r="AE189" s="4993"/>
      <c r="AF189" s="4993"/>
      <c r="AG189" s="4993"/>
      <c r="AH189" s="4626"/>
      <c r="AI189" s="4870"/>
      <c r="AJ189" s="4870"/>
      <c r="AK189" s="4626"/>
      <c r="AL189" s="4626"/>
      <c r="AM189" s="4626"/>
      <c r="AN189" s="4870"/>
      <c r="AO189" s="4626"/>
      <c r="AP189" s="4993"/>
      <c r="AQ189" s="4626"/>
      <c r="AR189" s="4875"/>
      <c r="AS189" s="4626"/>
      <c r="AT189" s="4626"/>
      <c r="AU189" s="4626"/>
      <c r="AV189" s="4870"/>
      <c r="AW189" s="4626"/>
      <c r="AX189" s="4993"/>
      <c r="AY189" s="4626"/>
      <c r="AZ189" s="4870"/>
      <c r="BA189" s="4626"/>
      <c r="BB189" s="4626"/>
      <c r="BC189" s="4626"/>
      <c r="BD189" s="4870"/>
      <c r="BE189" s="4626"/>
      <c r="BF189" s="4993"/>
      <c r="BG189" s="4626"/>
      <c r="BH189" s="4880"/>
      <c r="BI189" s="4626"/>
      <c r="BJ189" s="4626"/>
      <c r="BK189" s="4626"/>
      <c r="BL189" s="4870"/>
      <c r="BM189" s="4626"/>
      <c r="BN189" s="4993"/>
      <c r="BO189" s="4626"/>
      <c r="BP189" s="4880"/>
      <c r="BQ189" s="4626"/>
      <c r="BR189" s="4626"/>
      <c r="BS189" s="4626"/>
      <c r="BT189" s="4870"/>
      <c r="BU189" s="4626"/>
      <c r="BV189" s="4993"/>
      <c r="BW189" s="4626"/>
      <c r="BX189" s="4880"/>
      <c r="BY189" s="4626"/>
      <c r="BZ189" s="4626"/>
      <c r="CA189" s="4626"/>
      <c r="CB189" s="4870"/>
      <c r="CC189" s="4626"/>
      <c r="CD189" s="4993"/>
      <c r="CE189" s="4626"/>
      <c r="CF189" s="4880"/>
      <c r="CG189" s="4626"/>
      <c r="CH189" s="4626"/>
      <c r="CI189" s="4626"/>
      <c r="CJ189" s="4870"/>
      <c r="CK189" s="4626"/>
      <c r="CL189" s="4993"/>
      <c r="CM189" s="4626"/>
    </row>
    <row r="190" spans="1:91" s="34" customFormat="1" ht="15" customHeight="1" thickBot="1" x14ac:dyDescent="0.25">
      <c r="A190" s="4207"/>
      <c r="B190" s="4207"/>
      <c r="C190" s="4207"/>
      <c r="D190" s="4207"/>
      <c r="E190" s="4207"/>
      <c r="F190" s="4212"/>
      <c r="I190" s="6859" t="str">
        <f>_Calcs!$K$67</f>
        <v>Sikringsbuer og forankring</v>
      </c>
      <c r="J190" s="2291"/>
      <c r="K190" s="3746"/>
      <c r="L190" s="6799"/>
      <c r="M190" s="6799"/>
      <c r="N190" s="6799"/>
      <c r="O190" s="6799"/>
      <c r="P190" s="6799"/>
      <c r="Q190" s="6799"/>
      <c r="R190" s="3747"/>
      <c r="S190" s="3660"/>
      <c r="T190" s="4375"/>
      <c r="W190" s="4577"/>
      <c r="X190" s="4578"/>
      <c r="Y190" s="4578"/>
      <c r="Z190" s="4579"/>
      <c r="AA190" s="4489"/>
      <c r="AB190" s="4580"/>
      <c r="AC190" s="4581"/>
      <c r="AD190" s="4581"/>
      <c r="AE190" s="4581"/>
      <c r="AF190" s="4581"/>
      <c r="AG190" s="4581"/>
      <c r="AH190" s="4582"/>
      <c r="AI190" s="4568"/>
      <c r="AJ190" s="4568"/>
      <c r="AK190" s="4583"/>
      <c r="AL190" s="4584"/>
      <c r="AM190" s="4585"/>
      <c r="AN190" s="4489"/>
      <c r="AO190" s="4586"/>
      <c r="AP190" s="4587"/>
      <c r="AQ190" s="4588"/>
      <c r="AR190" s="3435"/>
      <c r="AS190" s="4589"/>
      <c r="AT190" s="4590"/>
      <c r="AU190" s="4591"/>
      <c r="AV190" s="4489"/>
      <c r="AW190" s="4592"/>
      <c r="AX190" s="4593"/>
      <c r="AY190" s="4594"/>
      <c r="AZ190" s="4568"/>
      <c r="BA190" s="4595"/>
      <c r="BB190" s="4596"/>
      <c r="BC190" s="4597"/>
      <c r="BD190" s="4489"/>
      <c r="BE190" s="4598"/>
      <c r="BF190" s="4599"/>
      <c r="BG190" s="4600"/>
      <c r="BH190" s="4445"/>
      <c r="BI190" s="4601"/>
      <c r="BJ190" s="4602"/>
      <c r="BK190" s="4603"/>
      <c r="BL190" s="4489"/>
      <c r="BM190" s="4604"/>
      <c r="BN190" s="4605"/>
      <c r="BO190" s="4606"/>
      <c r="BP190" s="4445"/>
      <c r="BQ190" s="4607"/>
      <c r="BR190" s="4608"/>
      <c r="BS190" s="4609"/>
      <c r="BT190" s="4489"/>
      <c r="BU190" s="4610"/>
      <c r="BV190" s="4611"/>
      <c r="BW190" s="4612"/>
      <c r="BX190" s="4445"/>
      <c r="BY190" s="4613"/>
      <c r="BZ190" s="4614"/>
      <c r="CA190" s="4615"/>
      <c r="CB190" s="4489"/>
      <c r="CC190" s="4616"/>
      <c r="CD190" s="4617"/>
      <c r="CE190" s="4618"/>
      <c r="CF190" s="4445"/>
      <c r="CG190" s="4619"/>
      <c r="CH190" s="4620"/>
      <c r="CI190" s="4621"/>
      <c r="CJ190" s="4489"/>
      <c r="CK190" s="4622"/>
      <c r="CL190" s="4623"/>
      <c r="CM190" s="4624"/>
    </row>
    <row r="191" spans="1:91" s="34" customFormat="1" ht="8.1" customHeight="1" thickBot="1" x14ac:dyDescent="0.25">
      <c r="A191" s="4207"/>
      <c r="B191" s="4207"/>
      <c r="C191" s="4207"/>
      <c r="D191" s="4207"/>
      <c r="E191" s="4207"/>
      <c r="F191" s="4212"/>
      <c r="I191" s="6859"/>
      <c r="J191" s="2291"/>
      <c r="L191" s="13"/>
      <c r="M191" s="13"/>
      <c r="N191" s="13"/>
      <c r="O191" s="13"/>
      <c r="P191" s="13"/>
      <c r="Q191" s="15"/>
      <c r="S191" s="16"/>
      <c r="T191" s="4375"/>
      <c r="W191" s="4574"/>
      <c r="X191" s="4625"/>
      <c r="Y191" s="4625"/>
      <c r="Z191" s="4626"/>
      <c r="AA191" s="4575"/>
      <c r="AB191" s="4574"/>
      <c r="AC191" s="4627"/>
      <c r="AD191" s="4627"/>
      <c r="AE191" s="4627"/>
      <c r="AF191" s="4627"/>
      <c r="AG191" s="4627"/>
      <c r="AH191" s="4626"/>
      <c r="AI191" s="4568"/>
      <c r="AJ191" s="4568"/>
      <c r="AK191" s="4574"/>
      <c r="AL191" s="4625"/>
      <c r="AM191" s="4626"/>
      <c r="AN191" s="4575"/>
      <c r="AO191" s="4574"/>
      <c r="AP191" s="4627"/>
      <c r="AQ191" s="4626"/>
      <c r="AR191" s="3435"/>
      <c r="AS191" s="4574"/>
      <c r="AT191" s="4625"/>
      <c r="AU191" s="4626"/>
      <c r="AV191" s="4575"/>
      <c r="AW191" s="4574"/>
      <c r="AX191" s="4627"/>
      <c r="AY191" s="4626"/>
      <c r="AZ191" s="4568"/>
      <c r="BA191" s="4574"/>
      <c r="BB191" s="4625"/>
      <c r="BC191" s="4626"/>
      <c r="BD191" s="4575"/>
      <c r="BE191" s="4574"/>
      <c r="BF191" s="4627"/>
      <c r="BG191" s="4626"/>
      <c r="BH191" s="4445"/>
      <c r="BI191" s="4574"/>
      <c r="BJ191" s="4625"/>
      <c r="BK191" s="4626"/>
      <c r="BL191" s="4575"/>
      <c r="BM191" s="4574"/>
      <c r="BN191" s="4627"/>
      <c r="BO191" s="4626"/>
      <c r="BP191" s="4445"/>
      <c r="BQ191" s="4574"/>
      <c r="BR191" s="4625"/>
      <c r="BS191" s="4626"/>
      <c r="BT191" s="4575"/>
      <c r="BU191" s="4574"/>
      <c r="BV191" s="4627"/>
      <c r="BW191" s="4626"/>
      <c r="BX191" s="4445"/>
      <c r="BY191" s="4574"/>
      <c r="BZ191" s="4625"/>
      <c r="CA191" s="4626"/>
      <c r="CB191" s="4575"/>
      <c r="CC191" s="4574"/>
      <c r="CD191" s="4627"/>
      <c r="CE191" s="4626"/>
      <c r="CF191" s="4445"/>
      <c r="CG191" s="4574"/>
      <c r="CH191" s="4625"/>
      <c r="CI191" s="4626"/>
      <c r="CJ191" s="4575"/>
      <c r="CK191" s="4574"/>
      <c r="CL191" s="4627"/>
      <c r="CM191" s="4626"/>
    </row>
    <row r="192" spans="1:91" s="34" customFormat="1" ht="15" customHeight="1" thickBot="1" x14ac:dyDescent="0.25">
      <c r="A192" s="4207"/>
      <c r="B192" s="4207"/>
      <c r="C192" s="4207"/>
      <c r="D192" s="4207"/>
      <c r="E192" s="4207"/>
      <c r="F192" s="4212"/>
      <c r="I192" s="6859"/>
      <c r="J192" s="2349"/>
      <c r="K192" s="3724"/>
      <c r="L192" s="3331"/>
      <c r="M192" s="3331"/>
      <c r="N192" s="3331"/>
      <c r="O192" s="3331"/>
      <c r="P192" s="3331"/>
      <c r="Q192" s="3332"/>
      <c r="R192" s="3725"/>
      <c r="S192" s="2798"/>
      <c r="T192" s="4375"/>
      <c r="W192" s="4946"/>
      <c r="X192" s="4629"/>
      <c r="Y192" s="4629"/>
      <c r="Z192" s="4630"/>
      <c r="AA192" s="4870"/>
      <c r="AB192" s="4947"/>
      <c r="AC192" s="4890"/>
      <c r="AD192" s="4890"/>
      <c r="AE192" s="4890"/>
      <c r="AF192" s="4890"/>
      <c r="AG192" s="4890"/>
      <c r="AH192" s="4891"/>
      <c r="AI192" s="4870"/>
      <c r="AJ192" s="4870"/>
      <c r="AK192" s="4948"/>
      <c r="AL192" s="4635"/>
      <c r="AM192" s="4636"/>
      <c r="AN192" s="4870"/>
      <c r="AO192" s="4949"/>
      <c r="AP192" s="4893"/>
      <c r="AQ192" s="4894"/>
      <c r="AR192" s="4875"/>
      <c r="AS192" s="4950"/>
      <c r="AT192" s="4641"/>
      <c r="AU192" s="4642"/>
      <c r="AV192" s="4870"/>
      <c r="AW192" s="4951"/>
      <c r="AX192" s="4896"/>
      <c r="AY192" s="4897"/>
      <c r="AZ192" s="4870"/>
      <c r="BA192" s="4952"/>
      <c r="BB192" s="4647"/>
      <c r="BC192" s="4648"/>
      <c r="BD192" s="4870"/>
      <c r="BE192" s="4953"/>
      <c r="BF192" s="4899"/>
      <c r="BG192" s="4900"/>
      <c r="BH192" s="4880"/>
      <c r="BI192" s="4954"/>
      <c r="BJ192" s="4653"/>
      <c r="BK192" s="4654"/>
      <c r="BL192" s="4870"/>
      <c r="BM192" s="4955"/>
      <c r="BN192" s="4902"/>
      <c r="BO192" s="4903"/>
      <c r="BP192" s="4880"/>
      <c r="BQ192" s="4956"/>
      <c r="BR192" s="4659"/>
      <c r="BS192" s="4660"/>
      <c r="BT192" s="4870"/>
      <c r="BU192" s="4957"/>
      <c r="BV192" s="4905"/>
      <c r="BW192" s="4906"/>
      <c r="BX192" s="4880"/>
      <c r="BY192" s="4958"/>
      <c r="BZ192" s="4665"/>
      <c r="CA192" s="4666"/>
      <c r="CB192" s="4870"/>
      <c r="CC192" s="4959"/>
      <c r="CD192" s="4908"/>
      <c r="CE192" s="4909"/>
      <c r="CF192" s="4880"/>
      <c r="CG192" s="4960"/>
      <c r="CH192" s="4671"/>
      <c r="CI192" s="4672"/>
      <c r="CJ192" s="4870"/>
      <c r="CK192" s="4961"/>
      <c r="CL192" s="4911"/>
      <c r="CM192" s="4912"/>
    </row>
    <row r="193" spans="1:91" s="3755" customFormat="1" ht="24.95" customHeight="1" x14ac:dyDescent="0.2">
      <c r="A193" s="4209"/>
      <c r="B193" s="4209"/>
      <c r="C193" s="4209"/>
      <c r="D193" s="4209"/>
      <c r="E193" s="4209"/>
      <c r="F193" s="4214" t="s">
        <v>1553</v>
      </c>
      <c r="I193" s="6859"/>
      <c r="J193" s="3757"/>
      <c r="K193" s="3763"/>
      <c r="L193" s="6959" t="str">
        <f>_Calcs_Klasse!$AIU$39</f>
        <v>Buedimensjon</v>
      </c>
      <c r="M193" s="6959"/>
      <c r="N193" s="5113"/>
      <c r="O193" s="6960" t="s">
        <v>149</v>
      </c>
      <c r="P193" s="5113"/>
      <c r="Q193" s="5114"/>
      <c r="R193" s="3761"/>
      <c r="S193" s="3762"/>
      <c r="T193" s="4376"/>
      <c r="W193" s="4768"/>
      <c r="X193" s="6819"/>
      <c r="Y193" s="6820"/>
      <c r="Z193" s="4832"/>
      <c r="AA193" s="4870"/>
      <c r="AB193" s="4962"/>
      <c r="AC193" s="6953" t="e">
        <f>_Calcs_Klasse!$AIY$42</f>
        <v>#N/A</v>
      </c>
      <c r="AD193" s="6954"/>
      <c r="AE193" s="6954"/>
      <c r="AF193" s="6954"/>
      <c r="AG193" s="6955"/>
      <c r="AH193" s="4963"/>
      <c r="AI193" s="4870"/>
      <c r="AJ193" s="4870"/>
      <c r="AK193" s="4872"/>
      <c r="AL193" s="6965"/>
      <c r="AM193" s="4837"/>
      <c r="AN193" s="4870"/>
      <c r="AO193" s="4964"/>
      <c r="AP193" s="6963" t="e">
        <f>_Calcs_Klasse!$AIY$43</f>
        <v>#N/A</v>
      </c>
      <c r="AQ193" s="4965"/>
      <c r="AR193" s="4875"/>
      <c r="AS193" s="4876"/>
      <c r="AT193" s="6965"/>
      <c r="AU193" s="4842"/>
      <c r="AV193" s="4870"/>
      <c r="AW193" s="4966"/>
      <c r="AX193" s="6963" t="e">
        <f>_Calcs_Klasse!$AIY$44</f>
        <v>#N/A</v>
      </c>
      <c r="AY193" s="4967"/>
      <c r="AZ193" s="4870"/>
      <c r="BA193" s="4878"/>
      <c r="BB193" s="6965"/>
      <c r="BC193" s="4847"/>
      <c r="BD193" s="4870"/>
      <c r="BE193" s="4968"/>
      <c r="BF193" s="6963" t="e">
        <f>_Calcs_Klasse!$AIY$45</f>
        <v>#N/A</v>
      </c>
      <c r="BG193" s="4969"/>
      <c r="BH193" s="4880"/>
      <c r="BI193" s="4881"/>
      <c r="BJ193" s="6965"/>
      <c r="BK193" s="4852"/>
      <c r="BL193" s="4870"/>
      <c r="BM193" s="4970"/>
      <c r="BN193" s="6963" t="e">
        <f>_Calcs_Klasse!$AIY$46</f>
        <v>#N/A</v>
      </c>
      <c r="BO193" s="4971"/>
      <c r="BP193" s="4880"/>
      <c r="BQ193" s="4883"/>
      <c r="BR193" s="6965"/>
      <c r="BS193" s="4857"/>
      <c r="BT193" s="4870"/>
      <c r="BU193" s="4972"/>
      <c r="BV193" s="6963" t="e">
        <f>_Calcs_Klasse!$AIY$47</f>
        <v>#N/A</v>
      </c>
      <c r="BW193" s="4973"/>
      <c r="BX193" s="4880"/>
      <c r="BY193" s="4885"/>
      <c r="BZ193" s="6965"/>
      <c r="CA193" s="4862"/>
      <c r="CB193" s="4870"/>
      <c r="CC193" s="4974"/>
      <c r="CD193" s="6963" t="e">
        <f>_Calcs_Klasse!$AIY$48</f>
        <v>#N/A</v>
      </c>
      <c r="CE193" s="4975"/>
      <c r="CF193" s="4880"/>
      <c r="CG193" s="4887"/>
      <c r="CH193" s="6965"/>
      <c r="CI193" s="4867"/>
      <c r="CJ193" s="4870"/>
      <c r="CK193" s="4976"/>
      <c r="CL193" s="6963" t="e">
        <f>_Calcs_Klasse!$AIY$49</f>
        <v>#N/A</v>
      </c>
      <c r="CM193" s="4913"/>
    </row>
    <row r="194" spans="1:91" s="3755" customFormat="1" ht="15" customHeight="1" thickBot="1" x14ac:dyDescent="0.25">
      <c r="A194" s="4209"/>
      <c r="B194" s="4209"/>
      <c r="C194" s="4209"/>
      <c r="D194" s="4209"/>
      <c r="E194" s="4209"/>
      <c r="F194" s="4214"/>
      <c r="I194" s="3756"/>
      <c r="J194" s="3757"/>
      <c r="K194" s="3758"/>
      <c r="L194" s="6959"/>
      <c r="M194" s="6959"/>
      <c r="N194" s="5113"/>
      <c r="O194" s="6960"/>
      <c r="P194" s="5115"/>
      <c r="Q194" s="5116"/>
      <c r="R194" s="3759"/>
      <c r="S194" s="3760"/>
      <c r="T194" s="4376"/>
      <c r="W194" s="4768"/>
      <c r="X194" s="6821"/>
      <c r="Y194" s="6822"/>
      <c r="Z194" s="4832"/>
      <c r="AA194" s="4880"/>
      <c r="AB194" s="4962"/>
      <c r="AC194" s="6956"/>
      <c r="AD194" s="6957"/>
      <c r="AE194" s="6957"/>
      <c r="AF194" s="6957"/>
      <c r="AG194" s="6958"/>
      <c r="AH194" s="4963"/>
      <c r="AI194" s="4880"/>
      <c r="AJ194" s="4880"/>
      <c r="AK194" s="4872"/>
      <c r="AL194" s="6966"/>
      <c r="AM194" s="4837"/>
      <c r="AN194" s="4880"/>
      <c r="AO194" s="4964"/>
      <c r="AP194" s="6964"/>
      <c r="AQ194" s="4965"/>
      <c r="AR194" s="4880"/>
      <c r="AS194" s="4876"/>
      <c r="AT194" s="6966"/>
      <c r="AU194" s="4842"/>
      <c r="AV194" s="4880"/>
      <c r="AW194" s="4966"/>
      <c r="AX194" s="6964"/>
      <c r="AY194" s="4967"/>
      <c r="AZ194" s="4880"/>
      <c r="BA194" s="4878"/>
      <c r="BB194" s="6966"/>
      <c r="BC194" s="4847"/>
      <c r="BD194" s="4880"/>
      <c r="BE194" s="4968"/>
      <c r="BF194" s="6964"/>
      <c r="BG194" s="4969"/>
      <c r="BH194" s="4880"/>
      <c r="BI194" s="4881"/>
      <c r="BJ194" s="6966"/>
      <c r="BK194" s="4852"/>
      <c r="BL194" s="4880"/>
      <c r="BM194" s="4970"/>
      <c r="BN194" s="6964"/>
      <c r="BO194" s="4971"/>
      <c r="BP194" s="4880"/>
      <c r="BQ194" s="4883"/>
      <c r="BR194" s="6966"/>
      <c r="BS194" s="4857"/>
      <c r="BT194" s="4880"/>
      <c r="BU194" s="4972"/>
      <c r="BV194" s="6964"/>
      <c r="BW194" s="4973"/>
      <c r="BX194" s="4880"/>
      <c r="BY194" s="4885"/>
      <c r="BZ194" s="6966"/>
      <c r="CA194" s="4862"/>
      <c r="CB194" s="4880"/>
      <c r="CC194" s="4974"/>
      <c r="CD194" s="6964"/>
      <c r="CE194" s="4975"/>
      <c r="CF194" s="4880"/>
      <c r="CG194" s="4887"/>
      <c r="CH194" s="6966"/>
      <c r="CI194" s="4867"/>
      <c r="CJ194" s="4880"/>
      <c r="CK194" s="4976"/>
      <c r="CL194" s="6964"/>
      <c r="CM194" s="4913"/>
    </row>
    <row r="195" spans="1:91" s="34" customFormat="1" ht="15" customHeight="1" thickBot="1" x14ac:dyDescent="0.25">
      <c r="A195" s="4207"/>
      <c r="B195" s="4207"/>
      <c r="C195" s="4207"/>
      <c r="D195" s="4207"/>
      <c r="E195" s="4207"/>
      <c r="F195" s="4212"/>
      <c r="I195" s="3740"/>
      <c r="J195" s="2291"/>
      <c r="K195" s="3729"/>
      <c r="L195" s="5117"/>
      <c r="M195" s="5117"/>
      <c r="N195" s="5099"/>
      <c r="O195" s="5118"/>
      <c r="P195" s="5119"/>
      <c r="Q195" s="5100"/>
      <c r="R195" s="3732"/>
      <c r="S195" s="3728"/>
      <c r="T195" s="4375"/>
      <c r="W195" s="4977"/>
      <c r="X195" s="4715"/>
      <c r="Y195" s="4715"/>
      <c r="Z195" s="4716"/>
      <c r="AA195" s="4870"/>
      <c r="AB195" s="4978"/>
      <c r="AC195" s="4718"/>
      <c r="AD195" s="4718"/>
      <c r="AE195" s="4718"/>
      <c r="AF195" s="4718"/>
      <c r="AG195" s="4718"/>
      <c r="AH195" s="4917"/>
      <c r="AI195" s="4870"/>
      <c r="AJ195" s="4870"/>
      <c r="AK195" s="4979"/>
      <c r="AL195" s="4919"/>
      <c r="AM195" s="4722"/>
      <c r="AN195" s="4870"/>
      <c r="AO195" s="4980"/>
      <c r="AP195" s="4724"/>
      <c r="AQ195" s="4921"/>
      <c r="AR195" s="4875"/>
      <c r="AS195" s="4981"/>
      <c r="AT195" s="4923"/>
      <c r="AU195" s="4728"/>
      <c r="AV195" s="4870"/>
      <c r="AW195" s="4982"/>
      <c r="AX195" s="4730"/>
      <c r="AY195" s="4925"/>
      <c r="AZ195" s="4870"/>
      <c r="BA195" s="4983"/>
      <c r="BB195" s="4927"/>
      <c r="BC195" s="4734"/>
      <c r="BD195" s="4870"/>
      <c r="BE195" s="4984"/>
      <c r="BF195" s="4736"/>
      <c r="BG195" s="4929"/>
      <c r="BH195" s="4880"/>
      <c r="BI195" s="4985"/>
      <c r="BJ195" s="4931"/>
      <c r="BK195" s="4740"/>
      <c r="BL195" s="4870"/>
      <c r="BM195" s="4986"/>
      <c r="BN195" s="4742"/>
      <c r="BO195" s="4933"/>
      <c r="BP195" s="4880"/>
      <c r="BQ195" s="4987"/>
      <c r="BR195" s="4935"/>
      <c r="BS195" s="4746"/>
      <c r="BT195" s="4870"/>
      <c r="BU195" s="4988"/>
      <c r="BV195" s="4748"/>
      <c r="BW195" s="4937"/>
      <c r="BX195" s="4880"/>
      <c r="BY195" s="4989"/>
      <c r="BZ195" s="4939"/>
      <c r="CA195" s="4752"/>
      <c r="CB195" s="4870"/>
      <c r="CC195" s="4990"/>
      <c r="CD195" s="4754"/>
      <c r="CE195" s="4941"/>
      <c r="CF195" s="4880"/>
      <c r="CG195" s="4991"/>
      <c r="CH195" s="4943"/>
      <c r="CI195" s="4758"/>
      <c r="CJ195" s="4870"/>
      <c r="CK195" s="4992"/>
      <c r="CL195" s="4760"/>
      <c r="CM195" s="4945"/>
    </row>
    <row r="196" spans="1:91" s="34" customFormat="1" ht="8.1" customHeight="1" thickBot="1" x14ac:dyDescent="0.25">
      <c r="A196" s="4207"/>
      <c r="B196" s="4207"/>
      <c r="C196" s="4207"/>
      <c r="D196" s="4207"/>
      <c r="E196" s="4207"/>
      <c r="F196" s="4212"/>
      <c r="I196" s="3740"/>
      <c r="J196" s="2291"/>
      <c r="K196" s="2349"/>
      <c r="L196" s="5120"/>
      <c r="M196" s="5120"/>
      <c r="N196" s="5120"/>
      <c r="O196" s="5120"/>
      <c r="P196" s="5120"/>
      <c r="Q196" s="5121"/>
      <c r="R196" s="2349"/>
      <c r="S196" s="3675"/>
      <c r="T196" s="4375"/>
      <c r="W196" s="4626"/>
      <c r="X196" s="4626"/>
      <c r="Y196" s="4626"/>
      <c r="Z196" s="4626"/>
      <c r="AA196" s="4870"/>
      <c r="AB196" s="4626"/>
      <c r="AC196" s="4993"/>
      <c r="AD196" s="4993"/>
      <c r="AE196" s="4993"/>
      <c r="AF196" s="4993"/>
      <c r="AG196" s="4993"/>
      <c r="AH196" s="4626"/>
      <c r="AI196" s="4870"/>
      <c r="AJ196" s="4870"/>
      <c r="AK196" s="4626"/>
      <c r="AL196" s="4626"/>
      <c r="AM196" s="4626"/>
      <c r="AN196" s="4870"/>
      <c r="AO196" s="4626"/>
      <c r="AP196" s="4993"/>
      <c r="AQ196" s="4626"/>
      <c r="AR196" s="4875"/>
      <c r="AS196" s="4626"/>
      <c r="AT196" s="4626"/>
      <c r="AU196" s="4626"/>
      <c r="AV196" s="4870"/>
      <c r="AW196" s="4626"/>
      <c r="AX196" s="4993"/>
      <c r="AY196" s="4626"/>
      <c r="AZ196" s="4870"/>
      <c r="BA196" s="4626"/>
      <c r="BB196" s="4626"/>
      <c r="BC196" s="4626"/>
      <c r="BD196" s="4870"/>
      <c r="BE196" s="4626"/>
      <c r="BF196" s="4993"/>
      <c r="BG196" s="4626"/>
      <c r="BH196" s="4880"/>
      <c r="BI196" s="4626"/>
      <c r="BJ196" s="4626"/>
      <c r="BK196" s="4626"/>
      <c r="BL196" s="4870"/>
      <c r="BM196" s="4626"/>
      <c r="BN196" s="4993"/>
      <c r="BO196" s="4626"/>
      <c r="BP196" s="4880"/>
      <c r="BQ196" s="4626"/>
      <c r="BR196" s="4626"/>
      <c r="BS196" s="4626"/>
      <c r="BT196" s="4870"/>
      <c r="BU196" s="4626"/>
      <c r="BV196" s="4993"/>
      <c r="BW196" s="4626"/>
      <c r="BX196" s="4880"/>
      <c r="BY196" s="4626"/>
      <c r="BZ196" s="4626"/>
      <c r="CA196" s="4626"/>
      <c r="CB196" s="4870"/>
      <c r="CC196" s="4626"/>
      <c r="CD196" s="4993"/>
      <c r="CE196" s="4626"/>
      <c r="CF196" s="4880"/>
      <c r="CG196" s="4626"/>
      <c r="CH196" s="4626"/>
      <c r="CI196" s="4626"/>
      <c r="CJ196" s="4870"/>
      <c r="CK196" s="4626"/>
      <c r="CL196" s="4993"/>
      <c r="CM196" s="4626"/>
    </row>
    <row r="197" spans="1:91" s="34" customFormat="1" ht="15" customHeight="1" thickBot="1" x14ac:dyDescent="0.25">
      <c r="A197" s="4207"/>
      <c r="B197" s="4207"/>
      <c r="C197" s="4207"/>
      <c r="D197" s="4207"/>
      <c r="E197" s="4207"/>
      <c r="F197" s="4212"/>
      <c r="I197" s="5161"/>
      <c r="J197" s="2291"/>
      <c r="K197" s="3724"/>
      <c r="L197" s="3331"/>
      <c r="M197" s="3331"/>
      <c r="N197" s="3331"/>
      <c r="O197" s="3331"/>
      <c r="P197" s="3331"/>
      <c r="Q197" s="3332"/>
      <c r="R197" s="3725"/>
      <c r="S197" s="2798"/>
      <c r="T197" s="4375"/>
      <c r="W197" s="4628"/>
      <c r="X197" s="4629"/>
      <c r="Y197" s="4629"/>
      <c r="Z197" s="4630"/>
      <c r="AA197" s="4575"/>
      <c r="AB197" s="4889"/>
      <c r="AC197" s="4890"/>
      <c r="AD197" s="4890"/>
      <c r="AE197" s="4890"/>
      <c r="AF197" s="4890"/>
      <c r="AG197" s="4890"/>
      <c r="AH197" s="4891"/>
      <c r="AI197" s="4568"/>
      <c r="AJ197" s="4568"/>
      <c r="AK197" s="4634"/>
      <c r="AL197" s="4635"/>
      <c r="AM197" s="4636"/>
      <c r="AN197" s="4575"/>
      <c r="AO197" s="4892"/>
      <c r="AP197" s="4893"/>
      <c r="AQ197" s="4894"/>
      <c r="AR197" s="3435"/>
      <c r="AS197" s="4640"/>
      <c r="AT197" s="4641"/>
      <c r="AU197" s="4642"/>
      <c r="AV197" s="4575"/>
      <c r="AW197" s="4895"/>
      <c r="AX197" s="4896"/>
      <c r="AY197" s="4897"/>
      <c r="AZ197" s="4568"/>
      <c r="BA197" s="4646"/>
      <c r="BB197" s="4647"/>
      <c r="BC197" s="4648"/>
      <c r="BD197" s="4575"/>
      <c r="BE197" s="4898"/>
      <c r="BF197" s="4899"/>
      <c r="BG197" s="4900"/>
      <c r="BH197" s="4445"/>
      <c r="BI197" s="4652"/>
      <c r="BJ197" s="4653"/>
      <c r="BK197" s="4654"/>
      <c r="BL197" s="4575"/>
      <c r="BM197" s="4901"/>
      <c r="BN197" s="4902"/>
      <c r="BO197" s="4903"/>
      <c r="BP197" s="4445"/>
      <c r="BQ197" s="4658"/>
      <c r="BR197" s="4659"/>
      <c r="BS197" s="4660"/>
      <c r="BT197" s="4575"/>
      <c r="BU197" s="4904"/>
      <c r="BV197" s="4905"/>
      <c r="BW197" s="4906"/>
      <c r="BX197" s="4445"/>
      <c r="BY197" s="4664"/>
      <c r="BZ197" s="4665"/>
      <c r="CA197" s="4666"/>
      <c r="CB197" s="4575"/>
      <c r="CC197" s="4907"/>
      <c r="CD197" s="4908"/>
      <c r="CE197" s="4909"/>
      <c r="CF197" s="4445"/>
      <c r="CG197" s="4670"/>
      <c r="CH197" s="4671"/>
      <c r="CI197" s="4672"/>
      <c r="CJ197" s="4575"/>
      <c r="CK197" s="4910"/>
      <c r="CL197" s="4911"/>
      <c r="CM197" s="4912"/>
    </row>
    <row r="198" spans="1:91" s="34" customFormat="1" ht="24.95" customHeight="1" thickBot="1" x14ac:dyDescent="0.25">
      <c r="A198" s="4207"/>
      <c r="B198" s="4207"/>
      <c r="C198" s="4207"/>
      <c r="D198" s="4207"/>
      <c r="E198" s="4207"/>
      <c r="F198" s="5164" t="s">
        <v>2227</v>
      </c>
      <c r="I198" s="3707"/>
      <c r="J198" s="2291"/>
      <c r="K198" s="5122"/>
      <c r="L198" s="5096" t="str">
        <f>_Calcs_Klasse!$AJC$36</f>
        <v>Andel av lengde av tunnelklassen</v>
      </c>
      <c r="M198" s="5098"/>
      <c r="N198" s="5098"/>
      <c r="O198" s="5160" t="s">
        <v>149</v>
      </c>
      <c r="P198" s="5098"/>
      <c r="Q198" s="5096" t="s">
        <v>954</v>
      </c>
      <c r="R198" s="3706"/>
      <c r="S198" s="2798"/>
      <c r="T198" s="4375"/>
      <c r="W198" s="4676"/>
      <c r="X198" s="6803"/>
      <c r="Y198" s="6804"/>
      <c r="Z198" s="4677"/>
      <c r="AA198" s="4678"/>
      <c r="AB198" s="4679"/>
      <c r="AC198" s="6805" t="e">
        <f>_Calcs_Klasse!$AJG$42</f>
        <v>#N/A</v>
      </c>
      <c r="AD198" s="6806"/>
      <c r="AE198" s="6806"/>
      <c r="AF198" s="6806"/>
      <c r="AG198" s="6807"/>
      <c r="AH198" s="4680"/>
      <c r="AI198" s="4681"/>
      <c r="AJ198" s="4681"/>
      <c r="AK198" s="4682"/>
      <c r="AL198" s="4801"/>
      <c r="AM198" s="4684"/>
      <c r="AN198" s="4678"/>
      <c r="AO198" s="4685"/>
      <c r="AP198" s="4804" t="e">
        <f>_Calcs_Klasse!$AJG$43</f>
        <v>#N/A</v>
      </c>
      <c r="AQ198" s="4687"/>
      <c r="AR198" s="4688"/>
      <c r="AS198" s="4689"/>
      <c r="AT198" s="4801"/>
      <c r="AU198" s="4690"/>
      <c r="AV198" s="4678"/>
      <c r="AW198" s="4691"/>
      <c r="AX198" s="4804" t="e">
        <f>_Calcs_Klasse!$AJG$44</f>
        <v>#N/A</v>
      </c>
      <c r="AY198" s="4692"/>
      <c r="AZ198" s="4681"/>
      <c r="BA198" s="4693"/>
      <c r="BB198" s="4801"/>
      <c r="BC198" s="4694"/>
      <c r="BD198" s="4678"/>
      <c r="BE198" s="4695"/>
      <c r="BF198" s="4804" t="e">
        <f>_Calcs_Klasse!$AJG$45</f>
        <v>#N/A</v>
      </c>
      <c r="BG198" s="4696"/>
      <c r="BH198" s="4697"/>
      <c r="BI198" s="4698"/>
      <c r="BJ198" s="4801"/>
      <c r="BK198" s="4699"/>
      <c r="BL198" s="4678"/>
      <c r="BM198" s="4700"/>
      <c r="BN198" s="4804" t="e">
        <f>_Calcs_Klasse!$AJG$46</f>
        <v>#N/A</v>
      </c>
      <c r="BO198" s="4701"/>
      <c r="BP198" s="4697"/>
      <c r="BQ198" s="4702"/>
      <c r="BR198" s="4801"/>
      <c r="BS198" s="4703"/>
      <c r="BT198" s="4678"/>
      <c r="BU198" s="4704"/>
      <c r="BV198" s="4804" t="e">
        <f>_Calcs_Klasse!$AJG$47</f>
        <v>#N/A</v>
      </c>
      <c r="BW198" s="4705"/>
      <c r="BX198" s="4697"/>
      <c r="BY198" s="4706"/>
      <c r="BZ198" s="4801"/>
      <c r="CA198" s="4707"/>
      <c r="CB198" s="4678"/>
      <c r="CC198" s="4708"/>
      <c r="CD198" s="4804" t="e">
        <f>_Calcs_Klasse!$AJG$48</f>
        <v>#N/A</v>
      </c>
      <c r="CE198" s="4709"/>
      <c r="CF198" s="4697"/>
      <c r="CG198" s="4710"/>
      <c r="CH198" s="4801"/>
      <c r="CI198" s="4711"/>
      <c r="CJ198" s="4678"/>
      <c r="CK198" s="4712"/>
      <c r="CL198" s="4804" t="e">
        <f>_Calcs_Klasse!$AJG$49</f>
        <v>#N/A</v>
      </c>
      <c r="CM198" s="4913"/>
    </row>
    <row r="199" spans="1:91" s="34" customFormat="1" ht="15" customHeight="1" thickBot="1" x14ac:dyDescent="0.25">
      <c r="A199" s="4207"/>
      <c r="B199" s="4207"/>
      <c r="C199" s="4207"/>
      <c r="D199" s="4207"/>
      <c r="E199" s="4207"/>
      <c r="F199" s="4212"/>
      <c r="I199" s="5161"/>
      <c r="J199" s="2291"/>
      <c r="K199" s="5123"/>
      <c r="L199" s="5099"/>
      <c r="M199" s="5099"/>
      <c r="N199" s="5099"/>
      <c r="O199" s="5099"/>
      <c r="P199" s="5119"/>
      <c r="Q199" s="5100"/>
      <c r="R199" s="3732"/>
      <c r="S199" s="3728"/>
      <c r="T199" s="4375"/>
      <c r="W199" s="4914"/>
      <c r="X199" s="4915"/>
      <c r="Y199" s="4715"/>
      <c r="Z199" s="4716"/>
      <c r="AA199" s="4575"/>
      <c r="AB199" s="4916"/>
      <c r="AC199" s="4718"/>
      <c r="AD199" s="4718"/>
      <c r="AE199" s="4718"/>
      <c r="AF199" s="4718"/>
      <c r="AG199" s="4718"/>
      <c r="AH199" s="4917"/>
      <c r="AI199" s="4568"/>
      <c r="AJ199" s="4568"/>
      <c r="AK199" s="4918"/>
      <c r="AL199" s="4919"/>
      <c r="AM199" s="4722"/>
      <c r="AN199" s="4575"/>
      <c r="AO199" s="4920"/>
      <c r="AP199" s="4724"/>
      <c r="AQ199" s="4921"/>
      <c r="AR199" s="3435"/>
      <c r="AS199" s="4922"/>
      <c r="AT199" s="4923"/>
      <c r="AU199" s="4728"/>
      <c r="AV199" s="4575"/>
      <c r="AW199" s="4924"/>
      <c r="AX199" s="4730"/>
      <c r="AY199" s="4925"/>
      <c r="AZ199" s="4568"/>
      <c r="BA199" s="4926"/>
      <c r="BB199" s="4927"/>
      <c r="BC199" s="4734"/>
      <c r="BD199" s="4575"/>
      <c r="BE199" s="4928"/>
      <c r="BF199" s="4736"/>
      <c r="BG199" s="4929"/>
      <c r="BH199" s="4445"/>
      <c r="BI199" s="4930"/>
      <c r="BJ199" s="4931"/>
      <c r="BK199" s="4740"/>
      <c r="BL199" s="4575"/>
      <c r="BM199" s="4932"/>
      <c r="BN199" s="4742"/>
      <c r="BO199" s="4933"/>
      <c r="BP199" s="4445"/>
      <c r="BQ199" s="4934"/>
      <c r="BR199" s="4935"/>
      <c r="BS199" s="4746"/>
      <c r="BT199" s="4575"/>
      <c r="BU199" s="4936"/>
      <c r="BV199" s="4748"/>
      <c r="BW199" s="4937"/>
      <c r="BX199" s="4445"/>
      <c r="BY199" s="4938"/>
      <c r="BZ199" s="4939"/>
      <c r="CA199" s="4752"/>
      <c r="CB199" s="4575"/>
      <c r="CC199" s="4940"/>
      <c r="CD199" s="4754"/>
      <c r="CE199" s="4941"/>
      <c r="CF199" s="4445"/>
      <c r="CG199" s="4942"/>
      <c r="CH199" s="4943"/>
      <c r="CI199" s="4758"/>
      <c r="CJ199" s="4575"/>
      <c r="CK199" s="4944"/>
      <c r="CL199" s="4760"/>
      <c r="CM199" s="4945"/>
    </row>
    <row r="200" spans="1:91" s="2349" customFormat="1" ht="8.1" customHeight="1" thickBot="1" x14ac:dyDescent="0.25">
      <c r="A200" s="4208"/>
      <c r="B200" s="4208"/>
      <c r="C200" s="4208"/>
      <c r="D200" s="4208"/>
      <c r="E200" s="4208"/>
      <c r="F200" s="4213"/>
      <c r="I200" s="3740"/>
      <c r="K200" s="3735"/>
      <c r="L200" s="3793"/>
      <c r="M200" s="3793"/>
      <c r="N200" s="3793"/>
      <c r="O200" s="3793"/>
      <c r="P200" s="3793"/>
      <c r="Q200" s="3805"/>
      <c r="R200" s="3735"/>
      <c r="S200" s="3810"/>
      <c r="T200" s="4375"/>
      <c r="W200" s="5019"/>
      <c r="X200" s="5019"/>
      <c r="Y200" s="5019"/>
      <c r="Z200" s="5019"/>
      <c r="AA200" s="5019"/>
      <c r="AB200" s="5019"/>
      <c r="AC200" s="5020"/>
      <c r="AD200" s="5020"/>
      <c r="AE200" s="5020"/>
      <c r="AF200" s="5020"/>
      <c r="AG200" s="5020"/>
      <c r="AH200" s="5019"/>
      <c r="AI200" s="5019"/>
      <c r="AJ200" s="5019"/>
      <c r="AK200" s="5019"/>
      <c r="AL200" s="5019"/>
      <c r="AM200" s="5019"/>
      <c r="AN200" s="5019"/>
      <c r="AO200" s="5019"/>
      <c r="AP200" s="5020"/>
      <c r="AQ200" s="5019"/>
      <c r="AR200" s="4875"/>
      <c r="AS200" s="5019"/>
      <c r="AT200" s="5019"/>
      <c r="AU200" s="5019"/>
      <c r="AV200" s="5019"/>
      <c r="AW200" s="5019"/>
      <c r="AX200" s="5020"/>
      <c r="AY200" s="5019"/>
      <c r="AZ200" s="5019"/>
      <c r="BA200" s="5019"/>
      <c r="BB200" s="5019"/>
      <c r="BC200" s="5019"/>
      <c r="BD200" s="5019"/>
      <c r="BE200" s="5019"/>
      <c r="BF200" s="5020"/>
      <c r="BG200" s="5019"/>
      <c r="BH200" s="4875"/>
      <c r="BI200" s="5019"/>
      <c r="BJ200" s="5019"/>
      <c r="BK200" s="5019"/>
      <c r="BL200" s="5019"/>
      <c r="BM200" s="5019"/>
      <c r="BN200" s="5020"/>
      <c r="BO200" s="5019"/>
      <c r="BP200" s="4875"/>
      <c r="BQ200" s="5019"/>
      <c r="BR200" s="5019"/>
      <c r="BS200" s="5019"/>
      <c r="BT200" s="5019"/>
      <c r="BU200" s="5019"/>
      <c r="BV200" s="5020"/>
      <c r="BW200" s="5019"/>
      <c r="BX200" s="4875"/>
      <c r="BY200" s="5019"/>
      <c r="BZ200" s="5019"/>
      <c r="CA200" s="5019"/>
      <c r="CB200" s="5019"/>
      <c r="CC200" s="5019"/>
      <c r="CD200" s="5020"/>
      <c r="CE200" s="5019"/>
      <c r="CF200" s="4875"/>
      <c r="CG200" s="5019"/>
      <c r="CH200" s="5019"/>
      <c r="CI200" s="5019"/>
      <c r="CJ200" s="5019"/>
      <c r="CK200" s="5019"/>
      <c r="CL200" s="5020"/>
      <c r="CM200" s="5019"/>
    </row>
    <row r="201" spans="1:91" s="34" customFormat="1" ht="15" customHeight="1" thickBot="1" x14ac:dyDescent="0.25">
      <c r="A201" s="4207"/>
      <c r="B201" s="4207"/>
      <c r="C201" s="4207"/>
      <c r="D201" s="4207"/>
      <c r="E201" s="4207"/>
      <c r="F201" s="4212"/>
      <c r="I201" s="3748"/>
      <c r="J201" s="2291"/>
      <c r="K201" s="3724"/>
      <c r="L201" s="5102"/>
      <c r="M201" s="5102"/>
      <c r="N201" s="5102"/>
      <c r="O201" s="5102"/>
      <c r="P201" s="5102"/>
      <c r="Q201" s="5103"/>
      <c r="R201" s="3725"/>
      <c r="S201" s="2798"/>
      <c r="T201" s="4375"/>
      <c r="W201" s="4628"/>
      <c r="X201" s="4629"/>
      <c r="Y201" s="4629"/>
      <c r="Z201" s="4630"/>
      <c r="AA201" s="4575"/>
      <c r="AB201" s="4889"/>
      <c r="AC201" s="4890"/>
      <c r="AD201" s="4890"/>
      <c r="AE201" s="4890"/>
      <c r="AF201" s="4890"/>
      <c r="AG201" s="4890"/>
      <c r="AH201" s="4891"/>
      <c r="AI201" s="4568"/>
      <c r="AJ201" s="4568"/>
      <c r="AK201" s="4634"/>
      <c r="AL201" s="4635"/>
      <c r="AM201" s="4636"/>
      <c r="AN201" s="4575"/>
      <c r="AO201" s="4892"/>
      <c r="AP201" s="4893"/>
      <c r="AQ201" s="4894"/>
      <c r="AR201" s="3435"/>
      <c r="AS201" s="4640"/>
      <c r="AT201" s="4641"/>
      <c r="AU201" s="4642"/>
      <c r="AV201" s="4575"/>
      <c r="AW201" s="4895"/>
      <c r="AX201" s="4896"/>
      <c r="AY201" s="4897"/>
      <c r="AZ201" s="4568"/>
      <c r="BA201" s="4646"/>
      <c r="BB201" s="4647"/>
      <c r="BC201" s="4648"/>
      <c r="BD201" s="4575"/>
      <c r="BE201" s="4898"/>
      <c r="BF201" s="4899"/>
      <c r="BG201" s="4900"/>
      <c r="BH201" s="4445"/>
      <c r="BI201" s="4652"/>
      <c r="BJ201" s="4653"/>
      <c r="BK201" s="4654"/>
      <c r="BL201" s="4575"/>
      <c r="BM201" s="4901"/>
      <c r="BN201" s="4902"/>
      <c r="BO201" s="4903"/>
      <c r="BP201" s="4445"/>
      <c r="BQ201" s="4658"/>
      <c r="BR201" s="4659"/>
      <c r="BS201" s="4660"/>
      <c r="BT201" s="4575"/>
      <c r="BU201" s="4904"/>
      <c r="BV201" s="4905"/>
      <c r="BW201" s="4906"/>
      <c r="BX201" s="4445"/>
      <c r="BY201" s="4664"/>
      <c r="BZ201" s="4665"/>
      <c r="CA201" s="4666"/>
      <c r="CB201" s="4575"/>
      <c r="CC201" s="4907"/>
      <c r="CD201" s="4908"/>
      <c r="CE201" s="4909"/>
      <c r="CF201" s="4445"/>
      <c r="CG201" s="4670"/>
      <c r="CH201" s="4671"/>
      <c r="CI201" s="4672"/>
      <c r="CJ201" s="4575"/>
      <c r="CK201" s="4910"/>
      <c r="CL201" s="4911"/>
      <c r="CM201" s="4912"/>
    </row>
    <row r="202" spans="1:91" s="34" customFormat="1" ht="24.95" customHeight="1" thickBot="1" x14ac:dyDescent="0.25">
      <c r="A202" s="4207"/>
      <c r="B202" s="4207"/>
      <c r="C202" s="4207"/>
      <c r="D202" s="4207"/>
      <c r="E202" s="4207"/>
      <c r="F202" s="4212" t="s">
        <v>1553</v>
      </c>
      <c r="I202" s="3707"/>
      <c r="J202" s="2291"/>
      <c r="K202" s="3733"/>
      <c r="L202" s="5096" t="str">
        <f>_Calcs_Klasse!$AJK$39</f>
        <v>Bue senteravstand</v>
      </c>
      <c r="M202" s="5109"/>
      <c r="N202" s="5109"/>
      <c r="O202" s="5095" t="s">
        <v>149</v>
      </c>
      <c r="P202" s="5109"/>
      <c r="Q202" s="5108" t="s">
        <v>78</v>
      </c>
      <c r="R202" s="3734"/>
      <c r="S202" s="3809"/>
      <c r="T202" s="4375"/>
      <c r="W202" s="4676"/>
      <c r="X202" s="6808"/>
      <c r="Y202" s="6809"/>
      <c r="Z202" s="4677"/>
      <c r="AA202" s="4678"/>
      <c r="AB202" s="4679"/>
      <c r="AC202" s="6810" t="e">
        <f>_Calcs_Klasse!$AJO$42</f>
        <v>#N/A</v>
      </c>
      <c r="AD202" s="6811"/>
      <c r="AE202" s="6811"/>
      <c r="AF202" s="6811"/>
      <c r="AG202" s="6812"/>
      <c r="AH202" s="4680"/>
      <c r="AI202" s="4681"/>
      <c r="AJ202" s="4681"/>
      <c r="AK202" s="4682"/>
      <c r="AL202" s="4683"/>
      <c r="AM202" s="4684"/>
      <c r="AN202" s="4678"/>
      <c r="AO202" s="4685"/>
      <c r="AP202" s="4686" t="e">
        <f>_Calcs_Klasse!$AJO$43</f>
        <v>#N/A</v>
      </c>
      <c r="AQ202" s="4687"/>
      <c r="AR202" s="4688"/>
      <c r="AS202" s="4689"/>
      <c r="AT202" s="4683"/>
      <c r="AU202" s="4690"/>
      <c r="AV202" s="4678"/>
      <c r="AW202" s="4691"/>
      <c r="AX202" s="4686" t="e">
        <f>_Calcs_Klasse!$AJO$44</f>
        <v>#N/A</v>
      </c>
      <c r="AY202" s="4692"/>
      <c r="AZ202" s="4681"/>
      <c r="BA202" s="4693"/>
      <c r="BB202" s="4683"/>
      <c r="BC202" s="4694"/>
      <c r="BD202" s="4678"/>
      <c r="BE202" s="4695"/>
      <c r="BF202" s="4686" t="e">
        <f>_Calcs_Klasse!$AJO$45</f>
        <v>#N/A</v>
      </c>
      <c r="BG202" s="4696"/>
      <c r="BH202" s="4697"/>
      <c r="BI202" s="4698"/>
      <c r="BJ202" s="4683"/>
      <c r="BK202" s="4699"/>
      <c r="BL202" s="4678"/>
      <c r="BM202" s="4700"/>
      <c r="BN202" s="4686" t="e">
        <f>_Calcs_Klasse!$AJO$46</f>
        <v>#N/A</v>
      </c>
      <c r="BO202" s="4701"/>
      <c r="BP202" s="4697"/>
      <c r="BQ202" s="4702"/>
      <c r="BR202" s="4683"/>
      <c r="BS202" s="4703"/>
      <c r="BT202" s="4678"/>
      <c r="BU202" s="4704"/>
      <c r="BV202" s="4686" t="e">
        <f>_Calcs_Klasse!$AJO$47</f>
        <v>#N/A</v>
      </c>
      <c r="BW202" s="4705"/>
      <c r="BX202" s="4697"/>
      <c r="BY202" s="4706"/>
      <c r="BZ202" s="4683"/>
      <c r="CA202" s="4707"/>
      <c r="CB202" s="4678"/>
      <c r="CC202" s="4708"/>
      <c r="CD202" s="4686" t="e">
        <f>_Calcs_Klasse!$AJO$48</f>
        <v>#N/A</v>
      </c>
      <c r="CE202" s="4709"/>
      <c r="CF202" s="4697"/>
      <c r="CG202" s="4710"/>
      <c r="CH202" s="4683"/>
      <c r="CI202" s="4711"/>
      <c r="CJ202" s="4678"/>
      <c r="CK202" s="4712"/>
      <c r="CL202" s="4686" t="e">
        <f>_Calcs_Klasse!$AJO$49</f>
        <v>#N/A</v>
      </c>
      <c r="CM202" s="4913"/>
    </row>
    <row r="203" spans="1:91" s="34" customFormat="1" ht="15" customHeight="1" thickBot="1" x14ac:dyDescent="0.25">
      <c r="A203" s="4207"/>
      <c r="B203" s="4207"/>
      <c r="C203" s="4207"/>
      <c r="D203" s="4207"/>
      <c r="E203" s="4207"/>
      <c r="F203" s="4212"/>
      <c r="I203" s="3748"/>
      <c r="J203" s="2291"/>
      <c r="K203" s="3729"/>
      <c r="L203" s="5117"/>
      <c r="M203" s="5117"/>
      <c r="N203" s="5099"/>
      <c r="O203" s="5118"/>
      <c r="P203" s="5119"/>
      <c r="Q203" s="5100"/>
      <c r="R203" s="3732"/>
      <c r="S203" s="3728"/>
      <c r="T203" s="4375"/>
      <c r="W203" s="4914"/>
      <c r="X203" s="4915"/>
      <c r="Y203" s="4715"/>
      <c r="Z203" s="4716"/>
      <c r="AA203" s="4575"/>
      <c r="AB203" s="4916"/>
      <c r="AC203" s="4718"/>
      <c r="AD203" s="4718"/>
      <c r="AE203" s="4718"/>
      <c r="AF203" s="4718"/>
      <c r="AG203" s="4718"/>
      <c r="AH203" s="4917"/>
      <c r="AI203" s="4568"/>
      <c r="AJ203" s="4568"/>
      <c r="AK203" s="4918"/>
      <c r="AL203" s="4919"/>
      <c r="AM203" s="4722"/>
      <c r="AN203" s="4575"/>
      <c r="AO203" s="4920"/>
      <c r="AP203" s="4724"/>
      <c r="AQ203" s="4921"/>
      <c r="AR203" s="3435"/>
      <c r="AS203" s="4922"/>
      <c r="AT203" s="4923"/>
      <c r="AU203" s="4728"/>
      <c r="AV203" s="4575"/>
      <c r="AW203" s="4924"/>
      <c r="AX203" s="4730"/>
      <c r="AY203" s="4925"/>
      <c r="AZ203" s="4568"/>
      <c r="BA203" s="4926"/>
      <c r="BB203" s="4927"/>
      <c r="BC203" s="4734"/>
      <c r="BD203" s="4575"/>
      <c r="BE203" s="4928"/>
      <c r="BF203" s="4736"/>
      <c r="BG203" s="4929"/>
      <c r="BH203" s="4445"/>
      <c r="BI203" s="4930"/>
      <c r="BJ203" s="4931"/>
      <c r="BK203" s="4740"/>
      <c r="BL203" s="4575"/>
      <c r="BM203" s="4932"/>
      <c r="BN203" s="4742"/>
      <c r="BO203" s="4933"/>
      <c r="BP203" s="4445"/>
      <c r="BQ203" s="4934"/>
      <c r="BR203" s="4935"/>
      <c r="BS203" s="4746"/>
      <c r="BT203" s="4575"/>
      <c r="BU203" s="4936"/>
      <c r="BV203" s="4748"/>
      <c r="BW203" s="4937"/>
      <c r="BX203" s="4445"/>
      <c r="BY203" s="4938"/>
      <c r="BZ203" s="4939"/>
      <c r="CA203" s="4752"/>
      <c r="CB203" s="4575"/>
      <c r="CC203" s="4940"/>
      <c r="CD203" s="4754"/>
      <c r="CE203" s="4941"/>
      <c r="CF203" s="4445"/>
      <c r="CG203" s="4942"/>
      <c r="CH203" s="4943"/>
      <c r="CI203" s="4758"/>
      <c r="CJ203" s="4575"/>
      <c r="CK203" s="4944"/>
      <c r="CL203" s="4760"/>
      <c r="CM203" s="4945"/>
    </row>
    <row r="204" spans="1:91" s="34" customFormat="1" ht="8.1" customHeight="1" thickBot="1" x14ac:dyDescent="0.25">
      <c r="A204" s="4207"/>
      <c r="B204" s="4207"/>
      <c r="C204" s="4207"/>
      <c r="D204" s="4207"/>
      <c r="E204" s="4207"/>
      <c r="F204" s="4212"/>
      <c r="I204" s="3740"/>
      <c r="J204" s="2291"/>
      <c r="K204" s="2349"/>
      <c r="L204" s="5120"/>
      <c r="M204" s="5120"/>
      <c r="N204" s="5120"/>
      <c r="O204" s="5120"/>
      <c r="P204" s="5120"/>
      <c r="Q204" s="5121"/>
      <c r="R204" s="2349"/>
      <c r="S204" s="3675"/>
      <c r="T204" s="4375"/>
      <c r="W204" s="4626"/>
      <c r="X204" s="4626"/>
      <c r="Y204" s="4626"/>
      <c r="Z204" s="4626"/>
      <c r="AA204" s="4870"/>
      <c r="AB204" s="4626"/>
      <c r="AC204" s="4993"/>
      <c r="AD204" s="4993"/>
      <c r="AE204" s="4993"/>
      <c r="AF204" s="4993"/>
      <c r="AG204" s="4993"/>
      <c r="AH204" s="4626"/>
      <c r="AI204" s="4870"/>
      <c r="AJ204" s="4870"/>
      <c r="AK204" s="4626"/>
      <c r="AL204" s="4626"/>
      <c r="AM204" s="4626"/>
      <c r="AN204" s="4870"/>
      <c r="AO204" s="4626"/>
      <c r="AP204" s="4993"/>
      <c r="AQ204" s="4626"/>
      <c r="AR204" s="4875"/>
      <c r="AS204" s="4626"/>
      <c r="AT204" s="4626"/>
      <c r="AU204" s="4626"/>
      <c r="AV204" s="4870"/>
      <c r="AW204" s="4626"/>
      <c r="AX204" s="4993"/>
      <c r="AY204" s="4626"/>
      <c r="AZ204" s="4870"/>
      <c r="BA204" s="4626"/>
      <c r="BB204" s="4626"/>
      <c r="BC204" s="4626"/>
      <c r="BD204" s="4870"/>
      <c r="BE204" s="4626"/>
      <c r="BF204" s="4993"/>
      <c r="BG204" s="4626"/>
      <c r="BH204" s="4880"/>
      <c r="BI204" s="4626"/>
      <c r="BJ204" s="4626"/>
      <c r="BK204" s="4626"/>
      <c r="BL204" s="4870"/>
      <c r="BM204" s="4626"/>
      <c r="BN204" s="4993"/>
      <c r="BO204" s="4626"/>
      <c r="BP204" s="4880"/>
      <c r="BQ204" s="4626"/>
      <c r="BR204" s="4626"/>
      <c r="BS204" s="4626"/>
      <c r="BT204" s="4870"/>
      <c r="BU204" s="4626"/>
      <c r="BV204" s="4993"/>
      <c r="BW204" s="4626"/>
      <c r="BX204" s="4880"/>
      <c r="BY204" s="4626"/>
      <c r="BZ204" s="4626"/>
      <c r="CA204" s="4626"/>
      <c r="CB204" s="4870"/>
      <c r="CC204" s="4626"/>
      <c r="CD204" s="4993"/>
      <c r="CE204" s="4626"/>
      <c r="CF204" s="4880"/>
      <c r="CG204" s="4626"/>
      <c r="CH204" s="4626"/>
      <c r="CI204" s="4626"/>
      <c r="CJ204" s="4870"/>
      <c r="CK204" s="4626"/>
      <c r="CL204" s="4993"/>
      <c r="CM204" s="4626"/>
    </row>
    <row r="205" spans="1:91" s="34" customFormat="1" ht="15" customHeight="1" thickBot="1" x14ac:dyDescent="0.25">
      <c r="A205" s="4207"/>
      <c r="B205" s="4207"/>
      <c r="C205" s="4207"/>
      <c r="D205" s="4207"/>
      <c r="E205" s="4207"/>
      <c r="F205" s="4212"/>
      <c r="I205" s="3748"/>
      <c r="J205" s="2291"/>
      <c r="K205" s="3724"/>
      <c r="L205" s="5102"/>
      <c r="M205" s="5102"/>
      <c r="N205" s="5102"/>
      <c r="O205" s="5102"/>
      <c r="P205" s="5102"/>
      <c r="Q205" s="5103"/>
      <c r="R205" s="3725"/>
      <c r="S205" s="2798"/>
      <c r="T205" s="4375"/>
      <c r="W205" s="4628"/>
      <c r="X205" s="4629"/>
      <c r="Y205" s="4629"/>
      <c r="Z205" s="4630"/>
      <c r="AA205" s="4575"/>
      <c r="AB205" s="4889"/>
      <c r="AC205" s="4890"/>
      <c r="AD205" s="4890"/>
      <c r="AE205" s="4890"/>
      <c r="AF205" s="4890"/>
      <c r="AG205" s="4890"/>
      <c r="AH205" s="4891"/>
      <c r="AI205" s="4568"/>
      <c r="AJ205" s="4568"/>
      <c r="AK205" s="4634"/>
      <c r="AL205" s="4635"/>
      <c r="AM205" s="4636"/>
      <c r="AN205" s="4575"/>
      <c r="AO205" s="4892"/>
      <c r="AP205" s="4893"/>
      <c r="AQ205" s="4894"/>
      <c r="AR205" s="3435"/>
      <c r="AS205" s="4640"/>
      <c r="AT205" s="4641"/>
      <c r="AU205" s="4642"/>
      <c r="AV205" s="4575"/>
      <c r="AW205" s="4895"/>
      <c r="AX205" s="4896"/>
      <c r="AY205" s="4897"/>
      <c r="AZ205" s="4568"/>
      <c r="BA205" s="4646"/>
      <c r="BB205" s="4647"/>
      <c r="BC205" s="4648"/>
      <c r="BD205" s="4575"/>
      <c r="BE205" s="4898"/>
      <c r="BF205" s="4899"/>
      <c r="BG205" s="4900"/>
      <c r="BH205" s="4445"/>
      <c r="BI205" s="4652"/>
      <c r="BJ205" s="4653"/>
      <c r="BK205" s="4654"/>
      <c r="BL205" s="4575"/>
      <c r="BM205" s="4901"/>
      <c r="BN205" s="4902"/>
      <c r="BO205" s="4903"/>
      <c r="BP205" s="4445"/>
      <c r="BQ205" s="4658"/>
      <c r="BR205" s="4659"/>
      <c r="BS205" s="4660"/>
      <c r="BT205" s="4575"/>
      <c r="BU205" s="4904"/>
      <c r="BV205" s="4905"/>
      <c r="BW205" s="4906"/>
      <c r="BX205" s="4445"/>
      <c r="BY205" s="4664"/>
      <c r="BZ205" s="4665"/>
      <c r="CA205" s="4666"/>
      <c r="CB205" s="4575"/>
      <c r="CC205" s="4907"/>
      <c r="CD205" s="4908"/>
      <c r="CE205" s="4909"/>
      <c r="CF205" s="4445"/>
      <c r="CG205" s="4670"/>
      <c r="CH205" s="4671"/>
      <c r="CI205" s="4672"/>
      <c r="CJ205" s="4575"/>
      <c r="CK205" s="4910"/>
      <c r="CL205" s="4911"/>
      <c r="CM205" s="4912"/>
    </row>
    <row r="206" spans="1:91" s="34" customFormat="1" ht="24.95" customHeight="1" thickBot="1" x14ac:dyDescent="0.25">
      <c r="A206" s="4207"/>
      <c r="B206" s="4207"/>
      <c r="C206" s="4207"/>
      <c r="D206" s="5153" t="s">
        <v>2193</v>
      </c>
      <c r="E206" s="10"/>
      <c r="F206" s="4212" t="s">
        <v>1553</v>
      </c>
      <c r="I206" s="3707"/>
      <c r="J206" s="10"/>
      <c r="K206" s="3733"/>
      <c r="L206" s="5096" t="str">
        <f>_Calcs_Klasse!$AJS$36</f>
        <v>Utvidelse av spreningsprofil bredde</v>
      </c>
      <c r="M206" s="5109"/>
      <c r="N206" s="5109"/>
      <c r="O206" s="5095" t="s">
        <v>149</v>
      </c>
      <c r="P206" s="5109"/>
      <c r="Q206" s="5108" t="s">
        <v>78</v>
      </c>
      <c r="R206" s="3734"/>
      <c r="S206" s="3809"/>
      <c r="T206" s="4375"/>
      <c r="W206" s="4676"/>
      <c r="X206" s="6808"/>
      <c r="Y206" s="6809"/>
      <c r="Z206" s="4677"/>
      <c r="AA206" s="4678"/>
      <c r="AB206" s="4679"/>
      <c r="AC206" s="6810" t="e">
        <f>_Calcs_Klasse!$AJW$42</f>
        <v>#N/A</v>
      </c>
      <c r="AD206" s="6811"/>
      <c r="AE206" s="6811"/>
      <c r="AF206" s="6811"/>
      <c r="AG206" s="6812"/>
      <c r="AH206" s="4680"/>
      <c r="AI206" s="4681"/>
      <c r="AJ206" s="4681"/>
      <c r="AK206" s="4682"/>
      <c r="AL206" s="4683"/>
      <c r="AM206" s="4684"/>
      <c r="AN206" s="4678"/>
      <c r="AO206" s="4685"/>
      <c r="AP206" s="4686" t="e">
        <f>_Calcs_Klasse!$AJW$43</f>
        <v>#N/A</v>
      </c>
      <c r="AQ206" s="4687"/>
      <c r="AR206" s="4688"/>
      <c r="AS206" s="4689"/>
      <c r="AT206" s="4683"/>
      <c r="AU206" s="4690"/>
      <c r="AV206" s="4678"/>
      <c r="AW206" s="4691"/>
      <c r="AX206" s="4686" t="e">
        <f>_Calcs_Klasse!$AJW$44</f>
        <v>#N/A</v>
      </c>
      <c r="AY206" s="4692"/>
      <c r="AZ206" s="4681"/>
      <c r="BA206" s="4693"/>
      <c r="BB206" s="4683"/>
      <c r="BC206" s="4694"/>
      <c r="BD206" s="4678"/>
      <c r="BE206" s="4695"/>
      <c r="BF206" s="4686" t="e">
        <f>_Calcs_Klasse!$AJW$45</f>
        <v>#N/A</v>
      </c>
      <c r="BG206" s="4696"/>
      <c r="BH206" s="4697"/>
      <c r="BI206" s="4698"/>
      <c r="BJ206" s="4683"/>
      <c r="BK206" s="4699"/>
      <c r="BL206" s="4678"/>
      <c r="BM206" s="4700"/>
      <c r="BN206" s="4686" t="e">
        <f>_Calcs_Klasse!$AJW$46</f>
        <v>#N/A</v>
      </c>
      <c r="BO206" s="4701"/>
      <c r="BP206" s="4697"/>
      <c r="BQ206" s="4702"/>
      <c r="BR206" s="4683"/>
      <c r="BS206" s="4703"/>
      <c r="BT206" s="4678"/>
      <c r="BU206" s="4704"/>
      <c r="BV206" s="4686" t="e">
        <f>_Calcs_Klasse!$AJW$47</f>
        <v>#N/A</v>
      </c>
      <c r="BW206" s="4705"/>
      <c r="BX206" s="4697"/>
      <c r="BY206" s="4706"/>
      <c r="BZ206" s="4683"/>
      <c r="CA206" s="4707"/>
      <c r="CB206" s="4678"/>
      <c r="CC206" s="4708"/>
      <c r="CD206" s="4686" t="e">
        <f>_Calcs_Klasse!$AJW$48</f>
        <v>#N/A</v>
      </c>
      <c r="CE206" s="4709"/>
      <c r="CF206" s="4697"/>
      <c r="CG206" s="4710"/>
      <c r="CH206" s="4683"/>
      <c r="CI206" s="4711"/>
      <c r="CJ206" s="4678"/>
      <c r="CK206" s="4712"/>
      <c r="CL206" s="4686" t="e">
        <f>_Calcs_Klasse!$AJW$49</f>
        <v>#N/A</v>
      </c>
      <c r="CM206" s="4913"/>
    </row>
    <row r="207" spans="1:91" s="34" customFormat="1" ht="15" customHeight="1" thickBot="1" x14ac:dyDescent="0.25">
      <c r="A207" s="4207"/>
      <c r="B207" s="4207"/>
      <c r="C207" s="4207"/>
      <c r="D207" s="4207"/>
      <c r="E207" s="4207"/>
      <c r="F207" s="4212"/>
      <c r="I207" s="3748"/>
      <c r="J207" s="2291"/>
      <c r="K207" s="3729"/>
      <c r="L207" s="5117"/>
      <c r="M207" s="5117"/>
      <c r="N207" s="5099"/>
      <c r="O207" s="5118"/>
      <c r="P207" s="5119"/>
      <c r="Q207" s="5100"/>
      <c r="R207" s="3732"/>
      <c r="S207" s="3728"/>
      <c r="T207" s="4375"/>
      <c r="W207" s="4914"/>
      <c r="X207" s="4915"/>
      <c r="Y207" s="4715"/>
      <c r="Z207" s="4716"/>
      <c r="AA207" s="4575"/>
      <c r="AB207" s="4916"/>
      <c r="AC207" s="4718"/>
      <c r="AD207" s="4718"/>
      <c r="AE207" s="4718"/>
      <c r="AF207" s="4718"/>
      <c r="AG207" s="4718"/>
      <c r="AH207" s="4917"/>
      <c r="AI207" s="4568"/>
      <c r="AJ207" s="4568"/>
      <c r="AK207" s="4918"/>
      <c r="AL207" s="4919"/>
      <c r="AM207" s="4722"/>
      <c r="AN207" s="4575"/>
      <c r="AO207" s="4920"/>
      <c r="AP207" s="4724"/>
      <c r="AQ207" s="4921"/>
      <c r="AR207" s="3435"/>
      <c r="AS207" s="4922"/>
      <c r="AT207" s="4923"/>
      <c r="AU207" s="4728"/>
      <c r="AV207" s="4575"/>
      <c r="AW207" s="4924"/>
      <c r="AX207" s="4730"/>
      <c r="AY207" s="4925"/>
      <c r="AZ207" s="4568"/>
      <c r="BA207" s="4926"/>
      <c r="BB207" s="4927"/>
      <c r="BC207" s="4734"/>
      <c r="BD207" s="4575"/>
      <c r="BE207" s="4928"/>
      <c r="BF207" s="4736"/>
      <c r="BG207" s="4929"/>
      <c r="BH207" s="4445"/>
      <c r="BI207" s="4930"/>
      <c r="BJ207" s="4931"/>
      <c r="BK207" s="4740"/>
      <c r="BL207" s="4575"/>
      <c r="BM207" s="4932"/>
      <c r="BN207" s="4742"/>
      <c r="BO207" s="4933"/>
      <c r="BP207" s="4445"/>
      <c r="BQ207" s="4934"/>
      <c r="BR207" s="4935"/>
      <c r="BS207" s="4746"/>
      <c r="BT207" s="4575"/>
      <c r="BU207" s="4936"/>
      <c r="BV207" s="4748"/>
      <c r="BW207" s="4937"/>
      <c r="BX207" s="4445"/>
      <c r="BY207" s="4938"/>
      <c r="BZ207" s="4939"/>
      <c r="CA207" s="4752"/>
      <c r="CB207" s="4575"/>
      <c r="CC207" s="4940"/>
      <c r="CD207" s="4754"/>
      <c r="CE207" s="4941"/>
      <c r="CF207" s="4445"/>
      <c r="CG207" s="4942"/>
      <c r="CH207" s="4943"/>
      <c r="CI207" s="4758"/>
      <c r="CJ207" s="4575"/>
      <c r="CK207" s="4944"/>
      <c r="CL207" s="4760"/>
      <c r="CM207" s="4945"/>
    </row>
    <row r="208" spans="1:91" s="2349" customFormat="1" ht="35.1" customHeight="1" thickBot="1" x14ac:dyDescent="0.25">
      <c r="A208" s="4208"/>
      <c r="B208" s="4208"/>
      <c r="C208" s="4208"/>
      <c r="D208" s="4208"/>
      <c r="E208" s="4208"/>
      <c r="F208" s="4213"/>
      <c r="I208" s="3748"/>
      <c r="L208" s="2737"/>
      <c r="M208" s="2737"/>
      <c r="N208" s="2737"/>
      <c r="O208" s="2737"/>
      <c r="P208" s="3675"/>
      <c r="Q208" s="402"/>
      <c r="R208" s="2810"/>
      <c r="S208" s="3675"/>
      <c r="T208" s="4375"/>
      <c r="W208" s="5019"/>
      <c r="X208" s="5019"/>
      <c r="Y208" s="5019"/>
      <c r="Z208" s="5019"/>
      <c r="AA208" s="5019"/>
      <c r="AB208" s="5019"/>
      <c r="AC208" s="5020"/>
      <c r="AD208" s="5020"/>
      <c r="AE208" s="5020"/>
      <c r="AF208" s="5020"/>
      <c r="AG208" s="5020"/>
      <c r="AH208" s="5019"/>
      <c r="AI208" s="5019"/>
      <c r="AJ208" s="5019"/>
      <c r="AK208" s="5019"/>
      <c r="AL208" s="5019"/>
      <c r="AM208" s="5019"/>
      <c r="AN208" s="5019"/>
      <c r="AO208" s="5019"/>
      <c r="AP208" s="5020"/>
      <c r="AQ208" s="5019"/>
      <c r="AR208" s="4875"/>
      <c r="AS208" s="5019"/>
      <c r="AT208" s="5019"/>
      <c r="AU208" s="5019"/>
      <c r="AV208" s="5019"/>
      <c r="AW208" s="5019"/>
      <c r="AX208" s="5020"/>
      <c r="AY208" s="5019"/>
      <c r="AZ208" s="5019"/>
      <c r="BA208" s="5019"/>
      <c r="BB208" s="5019"/>
      <c r="BC208" s="5019"/>
      <c r="BD208" s="5019"/>
      <c r="BE208" s="5019"/>
      <c r="BF208" s="5020"/>
      <c r="BG208" s="5019"/>
      <c r="BH208" s="4875"/>
      <c r="BI208" s="5019"/>
      <c r="BJ208" s="5019"/>
      <c r="BK208" s="5019"/>
      <c r="BL208" s="5019"/>
      <c r="BM208" s="5019"/>
      <c r="BN208" s="5020"/>
      <c r="BO208" s="5019"/>
      <c r="BP208" s="4875"/>
      <c r="BQ208" s="5019"/>
      <c r="BR208" s="5019"/>
      <c r="BS208" s="5019"/>
      <c r="BT208" s="5019"/>
      <c r="BU208" s="5019"/>
      <c r="BV208" s="5020"/>
      <c r="BW208" s="5019"/>
      <c r="BX208" s="4875"/>
      <c r="BY208" s="5019"/>
      <c r="BZ208" s="5019"/>
      <c r="CA208" s="5019"/>
      <c r="CB208" s="5019"/>
      <c r="CC208" s="5019"/>
      <c r="CD208" s="5020"/>
      <c r="CE208" s="5019"/>
      <c r="CF208" s="4875"/>
      <c r="CG208" s="5019"/>
      <c r="CH208" s="5019"/>
      <c r="CI208" s="5019"/>
      <c r="CJ208" s="5019"/>
      <c r="CK208" s="5019"/>
      <c r="CL208" s="5020"/>
      <c r="CM208" s="5019"/>
    </row>
    <row r="209" spans="1:91" s="34" customFormat="1" ht="20.100000000000001" customHeight="1" thickBot="1" x14ac:dyDescent="0.25">
      <c r="A209" s="4207"/>
      <c r="B209" s="4207"/>
      <c r="C209" s="4207"/>
      <c r="D209" s="4207"/>
      <c r="E209" s="4207"/>
      <c r="F209" s="4212"/>
      <c r="I209" s="3740"/>
      <c r="J209" s="2291"/>
      <c r="K209" s="3744"/>
      <c r="L209" s="6798" t="str">
        <f>_Calcs!$M$68</f>
        <v>Bue-radielle bolter</v>
      </c>
      <c r="M209" s="6798"/>
      <c r="N209" s="6798"/>
      <c r="O209" s="6798"/>
      <c r="P209" s="6798"/>
      <c r="Q209" s="6798"/>
      <c r="R209" s="3745"/>
      <c r="S209" s="3660"/>
      <c r="T209" s="4375"/>
      <c r="W209" s="4626"/>
      <c r="X209" s="4626"/>
      <c r="Y209" s="4626"/>
      <c r="Z209" s="4626"/>
      <c r="AA209" s="4870"/>
      <c r="AB209" s="4626"/>
      <c r="AC209" s="4993"/>
      <c r="AD209" s="4993"/>
      <c r="AE209" s="4993"/>
      <c r="AF209" s="4993"/>
      <c r="AG209" s="4993"/>
      <c r="AH209" s="4626"/>
      <c r="AI209" s="4870"/>
      <c r="AJ209" s="4870"/>
      <c r="AK209" s="4626"/>
      <c r="AL209" s="4626"/>
      <c r="AM209" s="4626"/>
      <c r="AN209" s="4870"/>
      <c r="AO209" s="4626"/>
      <c r="AP209" s="4993"/>
      <c r="AQ209" s="4626"/>
      <c r="AR209" s="4875"/>
      <c r="AS209" s="4626"/>
      <c r="AT209" s="4626"/>
      <c r="AU209" s="4626"/>
      <c r="AV209" s="4870"/>
      <c r="AW209" s="4626"/>
      <c r="AX209" s="4993"/>
      <c r="AY209" s="4626"/>
      <c r="AZ209" s="4870"/>
      <c r="BA209" s="4626"/>
      <c r="BB209" s="4626"/>
      <c r="BC209" s="4626"/>
      <c r="BD209" s="4870"/>
      <c r="BE209" s="4626"/>
      <c r="BF209" s="4993"/>
      <c r="BG209" s="4626"/>
      <c r="BH209" s="4880"/>
      <c r="BI209" s="4626"/>
      <c r="BJ209" s="4626"/>
      <c r="BK209" s="4626"/>
      <c r="BL209" s="4870"/>
      <c r="BM209" s="4626"/>
      <c r="BN209" s="4993"/>
      <c r="BO209" s="4626"/>
      <c r="BP209" s="4880"/>
      <c r="BQ209" s="4626"/>
      <c r="BR209" s="4626"/>
      <c r="BS209" s="4626"/>
      <c r="BT209" s="4870"/>
      <c r="BU209" s="4626"/>
      <c r="BV209" s="4993"/>
      <c r="BW209" s="4626"/>
      <c r="BX209" s="4880"/>
      <c r="BY209" s="4626"/>
      <c r="BZ209" s="4626"/>
      <c r="CA209" s="4626"/>
      <c r="CB209" s="4870"/>
      <c r="CC209" s="4626"/>
      <c r="CD209" s="4993"/>
      <c r="CE209" s="4626"/>
      <c r="CF209" s="4880"/>
      <c r="CG209" s="4626"/>
      <c r="CH209" s="4626"/>
      <c r="CI209" s="4626"/>
      <c r="CJ209" s="4870"/>
      <c r="CK209" s="4626"/>
      <c r="CL209" s="4993"/>
      <c r="CM209" s="4626"/>
    </row>
    <row r="210" spans="1:91" s="34" customFormat="1" ht="15" customHeight="1" thickBot="1" x14ac:dyDescent="0.25">
      <c r="A210" s="4207"/>
      <c r="B210" s="4207"/>
      <c r="C210" s="4207"/>
      <c r="D210" s="4207"/>
      <c r="E210" s="4207"/>
      <c r="F210" s="4212"/>
      <c r="I210" s="3740"/>
      <c r="J210" s="2291"/>
      <c r="K210" s="3746"/>
      <c r="L210" s="6799"/>
      <c r="M210" s="6799"/>
      <c r="N210" s="6799"/>
      <c r="O210" s="6799"/>
      <c r="P210" s="6799"/>
      <c r="Q210" s="6799"/>
      <c r="R210" s="3747"/>
      <c r="S210" s="3660"/>
      <c r="T210" s="4375"/>
      <c r="W210" s="5022"/>
      <c r="X210" s="5023"/>
      <c r="Y210" s="5023"/>
      <c r="Z210" s="5024"/>
      <c r="AA210" s="5019"/>
      <c r="AB210" s="5025"/>
      <c r="AC210" s="5026"/>
      <c r="AD210" s="5026"/>
      <c r="AE210" s="5026"/>
      <c r="AF210" s="5026"/>
      <c r="AG210" s="5026"/>
      <c r="AH210" s="5027"/>
      <c r="AI210" s="4870"/>
      <c r="AJ210" s="4870"/>
      <c r="AK210" s="5028"/>
      <c r="AL210" s="5029"/>
      <c r="AM210" s="5030"/>
      <c r="AN210" s="5019"/>
      <c r="AO210" s="5031"/>
      <c r="AP210" s="5032"/>
      <c r="AQ210" s="5033"/>
      <c r="AR210" s="4875"/>
      <c r="AS210" s="5034"/>
      <c r="AT210" s="5035"/>
      <c r="AU210" s="5036"/>
      <c r="AV210" s="5019"/>
      <c r="AW210" s="5037"/>
      <c r="AX210" s="5038"/>
      <c r="AY210" s="5039"/>
      <c r="AZ210" s="4870"/>
      <c r="BA210" s="5040"/>
      <c r="BB210" s="5041"/>
      <c r="BC210" s="5042"/>
      <c r="BD210" s="5019"/>
      <c r="BE210" s="5043"/>
      <c r="BF210" s="5044"/>
      <c r="BG210" s="5045"/>
      <c r="BH210" s="4880"/>
      <c r="BI210" s="5046"/>
      <c r="BJ210" s="5047"/>
      <c r="BK210" s="5048"/>
      <c r="BL210" s="5019"/>
      <c r="BM210" s="5049"/>
      <c r="BN210" s="5050"/>
      <c r="BO210" s="5051"/>
      <c r="BP210" s="4880"/>
      <c r="BQ210" s="5052"/>
      <c r="BR210" s="5053"/>
      <c r="BS210" s="5054"/>
      <c r="BT210" s="5019"/>
      <c r="BU210" s="5055"/>
      <c r="BV210" s="5056"/>
      <c r="BW210" s="5057"/>
      <c r="BX210" s="4880"/>
      <c r="BY210" s="5058"/>
      <c r="BZ210" s="5059"/>
      <c r="CA210" s="5060"/>
      <c r="CB210" s="5019"/>
      <c r="CC210" s="5061"/>
      <c r="CD210" s="5062"/>
      <c r="CE210" s="5063"/>
      <c r="CF210" s="4880"/>
      <c r="CG210" s="5064"/>
      <c r="CH210" s="5065"/>
      <c r="CI210" s="5066"/>
      <c r="CJ210" s="5019"/>
      <c r="CK210" s="5067"/>
      <c r="CL210" s="5068"/>
      <c r="CM210" s="5069"/>
    </row>
    <row r="211" spans="1:91" s="34" customFormat="1" ht="8.1" customHeight="1" thickBot="1" x14ac:dyDescent="0.25">
      <c r="A211" s="4207"/>
      <c r="B211" s="4207"/>
      <c r="C211" s="4207"/>
      <c r="D211" s="4207"/>
      <c r="E211" s="4207"/>
      <c r="F211" s="4212"/>
      <c r="I211" s="3740"/>
      <c r="J211" s="2291"/>
      <c r="L211" s="13"/>
      <c r="M211" s="13"/>
      <c r="N211" s="13"/>
      <c r="O211" s="13"/>
      <c r="P211" s="13"/>
      <c r="Q211" s="15"/>
      <c r="S211" s="16"/>
      <c r="T211" s="4375"/>
      <c r="W211" s="4626"/>
      <c r="X211" s="4625"/>
      <c r="Y211" s="4625"/>
      <c r="Z211" s="4626"/>
      <c r="AA211" s="4870"/>
      <c r="AB211" s="4626"/>
      <c r="AC211" s="4627"/>
      <c r="AD211" s="4627"/>
      <c r="AE211" s="4627"/>
      <c r="AF211" s="4627"/>
      <c r="AG211" s="4627"/>
      <c r="AH211" s="4626"/>
      <c r="AI211" s="4870"/>
      <c r="AJ211" s="4870"/>
      <c r="AK211" s="4626"/>
      <c r="AL211" s="4625"/>
      <c r="AM211" s="4626"/>
      <c r="AN211" s="4870"/>
      <c r="AO211" s="4626"/>
      <c r="AP211" s="4627"/>
      <c r="AQ211" s="4626"/>
      <c r="AR211" s="4875"/>
      <c r="AS211" s="4626"/>
      <c r="AT211" s="4625"/>
      <c r="AU211" s="4626"/>
      <c r="AV211" s="4870"/>
      <c r="AW211" s="4626"/>
      <c r="AX211" s="4627"/>
      <c r="AY211" s="4626"/>
      <c r="AZ211" s="4870"/>
      <c r="BA211" s="4626"/>
      <c r="BB211" s="4625"/>
      <c r="BC211" s="4626"/>
      <c r="BD211" s="4870"/>
      <c r="BE211" s="4626"/>
      <c r="BF211" s="4627"/>
      <c r="BG211" s="4626"/>
      <c r="BH211" s="4880"/>
      <c r="BI211" s="4626"/>
      <c r="BJ211" s="4625"/>
      <c r="BK211" s="4626"/>
      <c r="BL211" s="4870"/>
      <c r="BM211" s="4626"/>
      <c r="BN211" s="4627"/>
      <c r="BO211" s="4626"/>
      <c r="BP211" s="4880"/>
      <c r="BQ211" s="4626"/>
      <c r="BR211" s="4625"/>
      <c r="BS211" s="4626"/>
      <c r="BT211" s="4870"/>
      <c r="BU211" s="4626"/>
      <c r="BV211" s="4627"/>
      <c r="BW211" s="4626"/>
      <c r="BX211" s="4880"/>
      <c r="BY211" s="4626"/>
      <c r="BZ211" s="4625"/>
      <c r="CA211" s="4626"/>
      <c r="CB211" s="4870"/>
      <c r="CC211" s="4626"/>
      <c r="CD211" s="4627"/>
      <c r="CE211" s="4626"/>
      <c r="CF211" s="4880"/>
      <c r="CG211" s="4626"/>
      <c r="CH211" s="4625"/>
      <c r="CI211" s="4626"/>
      <c r="CJ211" s="4870"/>
      <c r="CK211" s="4626"/>
      <c r="CL211" s="4627"/>
      <c r="CM211" s="4626"/>
    </row>
    <row r="212" spans="1:91" s="34" customFormat="1" ht="15" customHeight="1" thickBot="1" x14ac:dyDescent="0.25">
      <c r="A212" s="4207"/>
      <c r="B212" s="4207"/>
      <c r="C212" s="4207"/>
      <c r="D212" s="4207"/>
      <c r="E212" s="4207"/>
      <c r="F212" s="4212"/>
      <c r="I212" s="3748"/>
      <c r="J212" s="2349"/>
      <c r="K212" s="3724"/>
      <c r="L212" s="3331"/>
      <c r="M212" s="3331"/>
      <c r="N212" s="3331"/>
      <c r="O212" s="3331"/>
      <c r="P212" s="3331"/>
      <c r="Q212" s="3332"/>
      <c r="R212" s="3725"/>
      <c r="S212" s="2798"/>
      <c r="T212" s="4375"/>
      <c r="W212" s="4628"/>
      <c r="X212" s="4629"/>
      <c r="Y212" s="4629"/>
      <c r="Z212" s="4630"/>
      <c r="AA212" s="4575"/>
      <c r="AB212" s="4889"/>
      <c r="AC212" s="4890"/>
      <c r="AD212" s="4890"/>
      <c r="AE212" s="4890"/>
      <c r="AF212" s="4890"/>
      <c r="AG212" s="4890"/>
      <c r="AH212" s="4891"/>
      <c r="AI212" s="4568"/>
      <c r="AJ212" s="4568"/>
      <c r="AK212" s="4634"/>
      <c r="AL212" s="4635"/>
      <c r="AM212" s="4636"/>
      <c r="AN212" s="4575"/>
      <c r="AO212" s="4892"/>
      <c r="AP212" s="4893"/>
      <c r="AQ212" s="4894"/>
      <c r="AR212" s="3435"/>
      <c r="AS212" s="4640"/>
      <c r="AT212" s="4641"/>
      <c r="AU212" s="4642"/>
      <c r="AV212" s="4575"/>
      <c r="AW212" s="4895"/>
      <c r="AX212" s="4896"/>
      <c r="AY212" s="4897"/>
      <c r="AZ212" s="4568"/>
      <c r="BA212" s="4646"/>
      <c r="BB212" s="4647"/>
      <c r="BC212" s="4648"/>
      <c r="BD212" s="4575"/>
      <c r="BE212" s="4898"/>
      <c r="BF212" s="4899"/>
      <c r="BG212" s="4900"/>
      <c r="BH212" s="4445"/>
      <c r="BI212" s="4652"/>
      <c r="BJ212" s="4653"/>
      <c r="BK212" s="4654"/>
      <c r="BL212" s="4575"/>
      <c r="BM212" s="4901"/>
      <c r="BN212" s="4902"/>
      <c r="BO212" s="4903"/>
      <c r="BP212" s="4445"/>
      <c r="BQ212" s="4658"/>
      <c r="BR212" s="4659"/>
      <c r="BS212" s="4660"/>
      <c r="BT212" s="4575"/>
      <c r="BU212" s="4904"/>
      <c r="BV212" s="4905"/>
      <c r="BW212" s="4906"/>
      <c r="BX212" s="4445"/>
      <c r="BY212" s="4664"/>
      <c r="BZ212" s="4665"/>
      <c r="CA212" s="4666"/>
      <c r="CB212" s="4575"/>
      <c r="CC212" s="4907"/>
      <c r="CD212" s="4908"/>
      <c r="CE212" s="4909"/>
      <c r="CF212" s="4445"/>
      <c r="CG212" s="4670"/>
      <c r="CH212" s="4671"/>
      <c r="CI212" s="4672"/>
      <c r="CJ212" s="4575"/>
      <c r="CK212" s="4910"/>
      <c r="CL212" s="4911"/>
      <c r="CM212" s="4912"/>
    </row>
    <row r="213" spans="1:91" s="34" customFormat="1" ht="24.95" customHeight="1" thickBot="1" x14ac:dyDescent="0.25">
      <c r="A213" s="4207"/>
      <c r="B213" s="4207"/>
      <c r="C213" s="4207"/>
      <c r="D213" s="4207"/>
      <c r="E213" s="4207"/>
      <c r="F213" s="4212" t="s">
        <v>1553</v>
      </c>
      <c r="I213" s="3748"/>
      <c r="J213" s="2349"/>
      <c r="K213" s="5122"/>
      <c r="L213" s="5096" t="str">
        <f>_Calcs_Klasse!$AKE$36</f>
        <v>Bue-radielle bolter senteravstand</v>
      </c>
      <c r="M213" s="5098"/>
      <c r="N213" s="5098"/>
      <c r="O213" s="5095" t="s">
        <v>149</v>
      </c>
      <c r="P213" s="5098"/>
      <c r="Q213" s="5096" t="s">
        <v>78</v>
      </c>
      <c r="R213" s="3706"/>
      <c r="S213" s="2798"/>
      <c r="T213" s="4375"/>
      <c r="W213" s="4676"/>
      <c r="X213" s="6808"/>
      <c r="Y213" s="6809"/>
      <c r="Z213" s="4677"/>
      <c r="AA213" s="4678"/>
      <c r="AB213" s="4679"/>
      <c r="AC213" s="6810" t="e">
        <f>_Calcs_Klasse!$AKI$42</f>
        <v>#N/A</v>
      </c>
      <c r="AD213" s="6811"/>
      <c r="AE213" s="6811"/>
      <c r="AF213" s="6811"/>
      <c r="AG213" s="6812"/>
      <c r="AH213" s="4680"/>
      <c r="AI213" s="4681"/>
      <c r="AJ213" s="4681"/>
      <c r="AK213" s="4682"/>
      <c r="AL213" s="4683"/>
      <c r="AM213" s="4684"/>
      <c r="AN213" s="4678"/>
      <c r="AO213" s="4685"/>
      <c r="AP213" s="4686" t="e">
        <f>_Calcs_Klasse!$AKI$43</f>
        <v>#N/A</v>
      </c>
      <c r="AQ213" s="4687"/>
      <c r="AR213" s="4688"/>
      <c r="AS213" s="4689"/>
      <c r="AT213" s="4683"/>
      <c r="AU213" s="4690"/>
      <c r="AV213" s="4678"/>
      <c r="AW213" s="4691"/>
      <c r="AX213" s="4686" t="e">
        <f>_Calcs_Klasse!$AKI$44</f>
        <v>#N/A</v>
      </c>
      <c r="AY213" s="4692"/>
      <c r="AZ213" s="4681"/>
      <c r="BA213" s="4693"/>
      <c r="BB213" s="4683"/>
      <c r="BC213" s="4694"/>
      <c r="BD213" s="4678"/>
      <c r="BE213" s="4695"/>
      <c r="BF213" s="4686" t="e">
        <f>_Calcs_Klasse!$AKI$45</f>
        <v>#N/A</v>
      </c>
      <c r="BG213" s="4696"/>
      <c r="BH213" s="4697"/>
      <c r="BI213" s="4698"/>
      <c r="BJ213" s="4683"/>
      <c r="BK213" s="4699"/>
      <c r="BL213" s="4678"/>
      <c r="BM213" s="4700"/>
      <c r="BN213" s="4686" t="e">
        <f>_Calcs_Klasse!$AKI$46</f>
        <v>#N/A</v>
      </c>
      <c r="BO213" s="4701"/>
      <c r="BP213" s="4697"/>
      <c r="BQ213" s="4702"/>
      <c r="BR213" s="4683"/>
      <c r="BS213" s="4703"/>
      <c r="BT213" s="4678"/>
      <c r="BU213" s="4704"/>
      <c r="BV213" s="4686" t="e">
        <f>_Calcs_Klasse!$AKI$47</f>
        <v>#N/A</v>
      </c>
      <c r="BW213" s="4705"/>
      <c r="BX213" s="4697"/>
      <c r="BY213" s="4706"/>
      <c r="BZ213" s="4683"/>
      <c r="CA213" s="4707"/>
      <c r="CB213" s="4678"/>
      <c r="CC213" s="4708"/>
      <c r="CD213" s="4686" t="e">
        <f>_Calcs_Klasse!$AKI$48</f>
        <v>#N/A</v>
      </c>
      <c r="CE213" s="4709"/>
      <c r="CF213" s="4697"/>
      <c r="CG213" s="4710"/>
      <c r="CH213" s="4683"/>
      <c r="CI213" s="4711"/>
      <c r="CJ213" s="4678"/>
      <c r="CK213" s="4712"/>
      <c r="CL213" s="4686" t="e">
        <f>_Calcs_Klasse!$AKI$49</f>
        <v>#N/A</v>
      </c>
      <c r="CM213" s="4913"/>
    </row>
    <row r="214" spans="1:91" s="34" customFormat="1" ht="15" customHeight="1" thickBot="1" x14ac:dyDescent="0.25">
      <c r="A214" s="4207"/>
      <c r="B214" s="4207"/>
      <c r="C214" s="4207"/>
      <c r="D214" s="4207"/>
      <c r="E214" s="4207"/>
      <c r="F214" s="4212"/>
      <c r="I214" s="3748"/>
      <c r="J214" s="2349"/>
      <c r="K214" s="5123"/>
      <c r="L214" s="5099"/>
      <c r="M214" s="5099"/>
      <c r="N214" s="5099"/>
      <c r="O214" s="5099"/>
      <c r="P214" s="5119"/>
      <c r="Q214" s="5100"/>
      <c r="R214" s="3732"/>
      <c r="S214" s="3728"/>
      <c r="T214" s="4375"/>
      <c r="W214" s="4914"/>
      <c r="X214" s="4915"/>
      <c r="Y214" s="4715"/>
      <c r="Z214" s="4716"/>
      <c r="AA214" s="4575"/>
      <c r="AB214" s="4916"/>
      <c r="AC214" s="4718"/>
      <c r="AD214" s="4718"/>
      <c r="AE214" s="4718"/>
      <c r="AF214" s="4718"/>
      <c r="AG214" s="4718"/>
      <c r="AH214" s="4917"/>
      <c r="AI214" s="4568"/>
      <c r="AJ214" s="4568"/>
      <c r="AK214" s="4918"/>
      <c r="AL214" s="4919"/>
      <c r="AM214" s="4722"/>
      <c r="AN214" s="4575"/>
      <c r="AO214" s="4920"/>
      <c r="AP214" s="4724"/>
      <c r="AQ214" s="4921"/>
      <c r="AR214" s="3435"/>
      <c r="AS214" s="4922"/>
      <c r="AT214" s="4923"/>
      <c r="AU214" s="4728"/>
      <c r="AV214" s="4575"/>
      <c r="AW214" s="4924"/>
      <c r="AX214" s="4730"/>
      <c r="AY214" s="4925"/>
      <c r="AZ214" s="4568"/>
      <c r="BA214" s="4926"/>
      <c r="BB214" s="4927"/>
      <c r="BC214" s="4734"/>
      <c r="BD214" s="4575"/>
      <c r="BE214" s="4928"/>
      <c r="BF214" s="4736"/>
      <c r="BG214" s="4929"/>
      <c r="BH214" s="4445"/>
      <c r="BI214" s="4930"/>
      <c r="BJ214" s="4931"/>
      <c r="BK214" s="4740"/>
      <c r="BL214" s="4575"/>
      <c r="BM214" s="4932"/>
      <c r="BN214" s="4742"/>
      <c r="BO214" s="4933"/>
      <c r="BP214" s="4445"/>
      <c r="BQ214" s="4934"/>
      <c r="BR214" s="4935"/>
      <c r="BS214" s="4746"/>
      <c r="BT214" s="4575"/>
      <c r="BU214" s="4936"/>
      <c r="BV214" s="4748"/>
      <c r="BW214" s="4937"/>
      <c r="BX214" s="4445"/>
      <c r="BY214" s="4938"/>
      <c r="BZ214" s="4939"/>
      <c r="CA214" s="4752"/>
      <c r="CB214" s="4575"/>
      <c r="CC214" s="4940"/>
      <c r="CD214" s="4754"/>
      <c r="CE214" s="4941"/>
      <c r="CF214" s="4445"/>
      <c r="CG214" s="4942"/>
      <c r="CH214" s="4943"/>
      <c r="CI214" s="4758"/>
      <c r="CJ214" s="4575"/>
      <c r="CK214" s="4944"/>
      <c r="CL214" s="4760"/>
      <c r="CM214" s="4945"/>
    </row>
    <row r="215" spans="1:91" s="2349" customFormat="1" ht="8.1" customHeight="1" thickBot="1" x14ac:dyDescent="0.25">
      <c r="A215" s="4208"/>
      <c r="B215" s="4208"/>
      <c r="C215" s="4208"/>
      <c r="D215" s="4208"/>
      <c r="E215" s="4208"/>
      <c r="F215" s="4213"/>
      <c r="I215" s="3740"/>
      <c r="K215" s="5124"/>
      <c r="L215" s="5125"/>
      <c r="M215" s="5125"/>
      <c r="N215" s="5125"/>
      <c r="O215" s="5125"/>
      <c r="P215" s="5125"/>
      <c r="Q215" s="5126"/>
      <c r="R215" s="3735"/>
      <c r="S215" s="3810"/>
      <c r="T215" s="4375"/>
      <c r="W215" s="5019"/>
      <c r="X215" s="5019"/>
      <c r="Y215" s="5019"/>
      <c r="Z215" s="5019"/>
      <c r="AA215" s="5019"/>
      <c r="AB215" s="5019"/>
      <c r="AC215" s="5020"/>
      <c r="AD215" s="5020"/>
      <c r="AE215" s="5020"/>
      <c r="AF215" s="5020"/>
      <c r="AG215" s="5020"/>
      <c r="AH215" s="5019"/>
      <c r="AI215" s="5019"/>
      <c r="AJ215" s="5019"/>
      <c r="AK215" s="5019"/>
      <c r="AL215" s="5019"/>
      <c r="AM215" s="5019"/>
      <c r="AN215" s="5019"/>
      <c r="AO215" s="5019"/>
      <c r="AP215" s="5020"/>
      <c r="AQ215" s="5019"/>
      <c r="AR215" s="4875"/>
      <c r="AS215" s="5019"/>
      <c r="AT215" s="5019"/>
      <c r="AU215" s="5019"/>
      <c r="AV215" s="5019"/>
      <c r="AW215" s="5019"/>
      <c r="AX215" s="5020"/>
      <c r="AY215" s="5019"/>
      <c r="AZ215" s="5019"/>
      <c r="BA215" s="5019"/>
      <c r="BB215" s="5019"/>
      <c r="BC215" s="5019"/>
      <c r="BD215" s="5019"/>
      <c r="BE215" s="5019"/>
      <c r="BF215" s="5020"/>
      <c r="BG215" s="5019"/>
      <c r="BH215" s="4875"/>
      <c r="BI215" s="5019"/>
      <c r="BJ215" s="5019"/>
      <c r="BK215" s="5019"/>
      <c r="BL215" s="5019"/>
      <c r="BM215" s="5019"/>
      <c r="BN215" s="5020"/>
      <c r="BO215" s="5019"/>
      <c r="BP215" s="4875"/>
      <c r="BQ215" s="5019"/>
      <c r="BR215" s="5019"/>
      <c r="BS215" s="5019"/>
      <c r="BT215" s="5019"/>
      <c r="BU215" s="5019"/>
      <c r="BV215" s="5020"/>
      <c r="BW215" s="5019"/>
      <c r="BX215" s="4875"/>
      <c r="BY215" s="5019"/>
      <c r="BZ215" s="5019"/>
      <c r="CA215" s="5019"/>
      <c r="CB215" s="5019"/>
      <c r="CC215" s="5019"/>
      <c r="CD215" s="5020"/>
      <c r="CE215" s="5019"/>
      <c r="CF215" s="4875"/>
      <c r="CG215" s="5019"/>
      <c r="CH215" s="5019"/>
      <c r="CI215" s="5019"/>
      <c r="CJ215" s="5019"/>
      <c r="CK215" s="5019"/>
      <c r="CL215" s="5020"/>
      <c r="CM215" s="5019"/>
    </row>
    <row r="216" spans="1:91" s="34" customFormat="1" ht="15" customHeight="1" thickBot="1" x14ac:dyDescent="0.25">
      <c r="A216" s="4207"/>
      <c r="B216" s="4207"/>
      <c r="C216" s="4207"/>
      <c r="D216" s="4207"/>
      <c r="E216" s="4207"/>
      <c r="F216" s="4212"/>
      <c r="I216" s="3748"/>
      <c r="J216" s="2291"/>
      <c r="K216" s="5127"/>
      <c r="L216" s="5128"/>
      <c r="M216" s="5128"/>
      <c r="N216" s="5128"/>
      <c r="O216" s="5128"/>
      <c r="P216" s="5128"/>
      <c r="Q216" s="5129"/>
      <c r="R216" s="3737"/>
      <c r="S216" s="3810"/>
      <c r="T216" s="4375"/>
      <c r="W216" s="4946"/>
      <c r="X216" s="4629"/>
      <c r="Y216" s="4629"/>
      <c r="Z216" s="4630"/>
      <c r="AA216" s="4870"/>
      <c r="AB216" s="4995"/>
      <c r="AC216" s="4632"/>
      <c r="AD216" s="4632"/>
      <c r="AE216" s="4632"/>
      <c r="AF216" s="4632"/>
      <c r="AG216" s="4632"/>
      <c r="AH216" s="4633"/>
      <c r="AI216" s="4870"/>
      <c r="AJ216" s="4870"/>
      <c r="AK216" s="4948"/>
      <c r="AL216" s="4635"/>
      <c r="AM216" s="4636"/>
      <c r="AN216" s="4870"/>
      <c r="AO216" s="4996"/>
      <c r="AP216" s="4638"/>
      <c r="AQ216" s="4639"/>
      <c r="AR216" s="4875"/>
      <c r="AS216" s="4950"/>
      <c r="AT216" s="4641"/>
      <c r="AU216" s="4642"/>
      <c r="AV216" s="4870"/>
      <c r="AW216" s="4997"/>
      <c r="AX216" s="4644"/>
      <c r="AY216" s="4645"/>
      <c r="AZ216" s="4870"/>
      <c r="BA216" s="4952"/>
      <c r="BB216" s="4647"/>
      <c r="BC216" s="4648"/>
      <c r="BD216" s="4870"/>
      <c r="BE216" s="4998"/>
      <c r="BF216" s="4650"/>
      <c r="BG216" s="4651"/>
      <c r="BH216" s="4880"/>
      <c r="BI216" s="4954"/>
      <c r="BJ216" s="4653"/>
      <c r="BK216" s="4654"/>
      <c r="BL216" s="4870"/>
      <c r="BM216" s="4999"/>
      <c r="BN216" s="4656"/>
      <c r="BO216" s="4657"/>
      <c r="BP216" s="4880"/>
      <c r="BQ216" s="4956"/>
      <c r="BR216" s="4659"/>
      <c r="BS216" s="4660"/>
      <c r="BT216" s="4870"/>
      <c r="BU216" s="5000"/>
      <c r="BV216" s="4662"/>
      <c r="BW216" s="4663"/>
      <c r="BX216" s="4880"/>
      <c r="BY216" s="4958"/>
      <c r="BZ216" s="4665"/>
      <c r="CA216" s="4666"/>
      <c r="CB216" s="4870"/>
      <c r="CC216" s="5001"/>
      <c r="CD216" s="4668"/>
      <c r="CE216" s="4669"/>
      <c r="CF216" s="4880"/>
      <c r="CG216" s="4960"/>
      <c r="CH216" s="4671"/>
      <c r="CI216" s="4672"/>
      <c r="CJ216" s="4870"/>
      <c r="CK216" s="5002"/>
      <c r="CL216" s="4674"/>
      <c r="CM216" s="4675"/>
    </row>
    <row r="217" spans="1:91" s="34" customFormat="1" ht="24.95" customHeight="1" thickBot="1" x14ac:dyDescent="0.25">
      <c r="A217" s="4207"/>
      <c r="B217" s="4207"/>
      <c r="C217" s="4207"/>
      <c r="D217" s="4207"/>
      <c r="E217" s="4207"/>
      <c r="F217" s="4212" t="s">
        <v>1553</v>
      </c>
      <c r="I217" s="3748"/>
      <c r="J217" s="2291"/>
      <c r="K217" s="5130"/>
      <c r="L217" s="5112" t="str">
        <f>_Calcs_Klasse!$AKM$36</f>
        <v>Boltelengde fordeling (≤ 4 m)</v>
      </c>
      <c r="M217" s="5111"/>
      <c r="N217" s="5111"/>
      <c r="O217" s="5095" t="s">
        <v>149</v>
      </c>
      <c r="P217" s="5111"/>
      <c r="Q217" s="5110" t="s">
        <v>954</v>
      </c>
      <c r="R217" s="3739"/>
      <c r="S217" s="3810"/>
      <c r="T217" s="4375"/>
      <c r="W217" s="4768"/>
      <c r="X217" s="6803"/>
      <c r="Y217" s="6804"/>
      <c r="Z217" s="4795"/>
      <c r="AA217" s="4796"/>
      <c r="AB217" s="4797"/>
      <c r="AC217" s="6805" t="e">
        <f>_Calcs_Klasse!$AKQ$42</f>
        <v>#N/A</v>
      </c>
      <c r="AD217" s="6806"/>
      <c r="AE217" s="6806"/>
      <c r="AF217" s="6806"/>
      <c r="AG217" s="6807"/>
      <c r="AH217" s="4798"/>
      <c r="AI217" s="4799"/>
      <c r="AJ217" s="4799"/>
      <c r="AK217" s="4800"/>
      <c r="AL217" s="4801"/>
      <c r="AM217" s="4802"/>
      <c r="AN217" s="4796"/>
      <c r="AO217" s="4803"/>
      <c r="AP217" s="4804" t="e">
        <f>_Calcs_Klasse!$AKQ$43</f>
        <v>#N/A</v>
      </c>
      <c r="AQ217" s="4805"/>
      <c r="AR217" s="4806"/>
      <c r="AS217" s="4807"/>
      <c r="AT217" s="4801"/>
      <c r="AU217" s="4808"/>
      <c r="AV217" s="4796"/>
      <c r="AW217" s="4809"/>
      <c r="AX217" s="4804" t="e">
        <f>_Calcs_Klasse!$AKQ$44</f>
        <v>#N/A</v>
      </c>
      <c r="AY217" s="4810"/>
      <c r="AZ217" s="4799"/>
      <c r="BA217" s="4811"/>
      <c r="BB217" s="4801"/>
      <c r="BC217" s="4812"/>
      <c r="BD217" s="4796"/>
      <c r="BE217" s="4813"/>
      <c r="BF217" s="4804" t="e">
        <f>_Calcs_Klasse!$AKQ$45</f>
        <v>#N/A</v>
      </c>
      <c r="BG217" s="4814"/>
      <c r="BH217" s="4815"/>
      <c r="BI217" s="4816"/>
      <c r="BJ217" s="4801"/>
      <c r="BK217" s="4817"/>
      <c r="BL217" s="4796"/>
      <c r="BM217" s="4818"/>
      <c r="BN217" s="4804" t="e">
        <f>_Calcs_Klasse!$AKQ$46</f>
        <v>#N/A</v>
      </c>
      <c r="BO217" s="4819"/>
      <c r="BP217" s="4815"/>
      <c r="BQ217" s="4820"/>
      <c r="BR217" s="4801"/>
      <c r="BS217" s="4821"/>
      <c r="BT217" s="4796"/>
      <c r="BU217" s="4822"/>
      <c r="BV217" s="4804" t="e">
        <f>_Calcs_Klasse!$AKQ$47</f>
        <v>#N/A</v>
      </c>
      <c r="BW217" s="4823"/>
      <c r="BX217" s="4815"/>
      <c r="BY217" s="4824"/>
      <c r="BZ217" s="4801"/>
      <c r="CA217" s="4825"/>
      <c r="CB217" s="4796"/>
      <c r="CC217" s="4826"/>
      <c r="CD217" s="4804" t="e">
        <f>_Calcs_Klasse!$AKQ$48</f>
        <v>#N/A</v>
      </c>
      <c r="CE217" s="4827"/>
      <c r="CF217" s="4815"/>
      <c r="CG217" s="4828"/>
      <c r="CH217" s="4801"/>
      <c r="CI217" s="4829"/>
      <c r="CJ217" s="4796"/>
      <c r="CK217" s="4830"/>
      <c r="CL217" s="4804" t="e">
        <f>_Calcs_Klasse!$AKQ$49</f>
        <v>#N/A</v>
      </c>
      <c r="CM217" s="4713"/>
    </row>
    <row r="218" spans="1:91" s="34" customFormat="1" ht="15" customHeight="1" thickBot="1" x14ac:dyDescent="0.25">
      <c r="A218" s="4207"/>
      <c r="B218" s="4207"/>
      <c r="C218" s="4207"/>
      <c r="D218" s="4207"/>
      <c r="E218" s="4207"/>
      <c r="F218" s="4212"/>
      <c r="I218" s="3748"/>
      <c r="J218" s="2291"/>
      <c r="K218" s="5130"/>
      <c r="L218" s="5111"/>
      <c r="M218" s="5111"/>
      <c r="N218" s="5111"/>
      <c r="O218" s="5111"/>
      <c r="P218" s="5111"/>
      <c r="Q218" s="5110"/>
      <c r="R218" s="3739"/>
      <c r="S218" s="3810"/>
      <c r="T218" s="4375"/>
      <c r="W218" s="4768"/>
      <c r="X218" s="4831"/>
      <c r="Y218" s="4831"/>
      <c r="Z218" s="4832"/>
      <c r="AA218" s="4575"/>
      <c r="AB218" s="4833"/>
      <c r="AC218" s="4834"/>
      <c r="AD218" s="4834"/>
      <c r="AE218" s="4834"/>
      <c r="AF218" s="4834"/>
      <c r="AG218" s="4834"/>
      <c r="AH218" s="4835"/>
      <c r="AI218" s="4568"/>
      <c r="AJ218" s="4568"/>
      <c r="AK218" s="4836"/>
      <c r="AL218" s="4635"/>
      <c r="AM218" s="4837"/>
      <c r="AN218" s="4575"/>
      <c r="AO218" s="4838"/>
      <c r="AP218" s="4839"/>
      <c r="AQ218" s="4840"/>
      <c r="AR218" s="3435"/>
      <c r="AS218" s="4841"/>
      <c r="AT218" s="4641"/>
      <c r="AU218" s="4842"/>
      <c r="AV218" s="4575"/>
      <c r="AW218" s="4843"/>
      <c r="AX218" s="4844"/>
      <c r="AY218" s="4845"/>
      <c r="AZ218" s="4568"/>
      <c r="BA218" s="4846"/>
      <c r="BB218" s="4647"/>
      <c r="BC218" s="4847"/>
      <c r="BD218" s="4575"/>
      <c r="BE218" s="4848"/>
      <c r="BF218" s="4849"/>
      <c r="BG218" s="4850"/>
      <c r="BH218" s="4445"/>
      <c r="BI218" s="4851"/>
      <c r="BJ218" s="4653"/>
      <c r="BK218" s="4852"/>
      <c r="BL218" s="4575"/>
      <c r="BM218" s="4853"/>
      <c r="BN218" s="4854"/>
      <c r="BO218" s="4855"/>
      <c r="BP218" s="4445"/>
      <c r="BQ218" s="4856"/>
      <c r="BR218" s="4659"/>
      <c r="BS218" s="4857"/>
      <c r="BT218" s="4575"/>
      <c r="BU218" s="4858"/>
      <c r="BV218" s="4859"/>
      <c r="BW218" s="4860"/>
      <c r="BX218" s="4445"/>
      <c r="BY218" s="4861"/>
      <c r="BZ218" s="4665"/>
      <c r="CA218" s="4862"/>
      <c r="CB218" s="4575"/>
      <c r="CC218" s="4863"/>
      <c r="CD218" s="4864"/>
      <c r="CE218" s="4865"/>
      <c r="CF218" s="4445"/>
      <c r="CG218" s="4866"/>
      <c r="CH218" s="4671"/>
      <c r="CI218" s="4867"/>
      <c r="CJ218" s="4575"/>
      <c r="CK218" s="4868"/>
      <c r="CL218" s="4869"/>
      <c r="CM218" s="4713"/>
    </row>
    <row r="219" spans="1:91" s="34" customFormat="1" ht="24.95" customHeight="1" thickBot="1" x14ac:dyDescent="0.25">
      <c r="A219" s="4207"/>
      <c r="B219" s="4207"/>
      <c r="C219" s="4207"/>
      <c r="D219" s="4207"/>
      <c r="E219" s="4207"/>
      <c r="F219" s="4212" t="s">
        <v>1553</v>
      </c>
      <c r="I219" s="3748"/>
      <c r="J219" s="2291"/>
      <c r="K219" s="5130"/>
      <c r="L219" s="5112" t="str">
        <f>_Calcs_Klasse!$AKV$36</f>
        <v>Boltelengde fordeling (&gt; 4 m)</v>
      </c>
      <c r="M219" s="5111"/>
      <c r="N219" s="5111"/>
      <c r="O219" s="5095" t="s">
        <v>149</v>
      </c>
      <c r="P219" s="5111"/>
      <c r="Q219" s="5110" t="s">
        <v>954</v>
      </c>
      <c r="R219" s="3739"/>
      <c r="S219" s="3810"/>
      <c r="T219" s="4375"/>
      <c r="W219" s="4768"/>
      <c r="X219" s="6805" t="str">
        <f>_Calcs_Klasse!$AKX$42</f>
        <v/>
      </c>
      <c r="Y219" s="6807"/>
      <c r="Z219" s="4832"/>
      <c r="AA219" s="4870"/>
      <c r="AB219" s="4871"/>
      <c r="AC219" s="6805" t="e">
        <f>_Calcs_Klasse!$AKZ$42</f>
        <v>#N/A</v>
      </c>
      <c r="AD219" s="6806"/>
      <c r="AE219" s="6806"/>
      <c r="AF219" s="6806"/>
      <c r="AG219" s="6807"/>
      <c r="AH219" s="4835"/>
      <c r="AI219" s="4870"/>
      <c r="AJ219" s="4870"/>
      <c r="AK219" s="4872"/>
      <c r="AL219" s="4873" t="str">
        <f>_Calcs_Klasse!$AKX$43</f>
        <v/>
      </c>
      <c r="AM219" s="4837"/>
      <c r="AN219" s="4870"/>
      <c r="AO219" s="4874"/>
      <c r="AP219" s="4804" t="e">
        <f>_Calcs_Klasse!$AKZ$43</f>
        <v>#N/A</v>
      </c>
      <c r="AQ219" s="4840"/>
      <c r="AR219" s="4875"/>
      <c r="AS219" s="4876"/>
      <c r="AT219" s="4873" t="str">
        <f>_Calcs_Klasse!$AKX$44</f>
        <v/>
      </c>
      <c r="AU219" s="4842"/>
      <c r="AV219" s="4870"/>
      <c r="AW219" s="4877"/>
      <c r="AX219" s="4804" t="e">
        <f>_Calcs_Klasse!$AKZ$44</f>
        <v>#N/A</v>
      </c>
      <c r="AY219" s="4845"/>
      <c r="AZ219" s="4870"/>
      <c r="BA219" s="4878"/>
      <c r="BB219" s="4873" t="str">
        <f>_Calcs_Klasse!$AKX$45</f>
        <v/>
      </c>
      <c r="BC219" s="4847"/>
      <c r="BD219" s="4870"/>
      <c r="BE219" s="4879"/>
      <c r="BF219" s="4804" t="e">
        <f>_Calcs_Klasse!$AKZ$45</f>
        <v>#N/A</v>
      </c>
      <c r="BG219" s="4850"/>
      <c r="BH219" s="4880"/>
      <c r="BI219" s="4881"/>
      <c r="BJ219" s="4873" t="str">
        <f>_Calcs_Klasse!$AKX$46</f>
        <v/>
      </c>
      <c r="BK219" s="4852"/>
      <c r="BL219" s="4870"/>
      <c r="BM219" s="4882"/>
      <c r="BN219" s="4804" t="e">
        <f>_Calcs_Klasse!$AKZ$46</f>
        <v>#N/A</v>
      </c>
      <c r="BO219" s="4855"/>
      <c r="BP219" s="4880"/>
      <c r="BQ219" s="4883"/>
      <c r="BR219" s="4873" t="str">
        <f>_Calcs_Klasse!$AKX$47</f>
        <v/>
      </c>
      <c r="BS219" s="4857"/>
      <c r="BT219" s="4870"/>
      <c r="BU219" s="4884"/>
      <c r="BV219" s="4804" t="e">
        <f>_Calcs_Klasse!$AKZ$47</f>
        <v>#N/A</v>
      </c>
      <c r="BW219" s="4860"/>
      <c r="BX219" s="4880"/>
      <c r="BY219" s="4885"/>
      <c r="BZ219" s="4873" t="str">
        <f>_Calcs_Klasse!$AKX$48</f>
        <v/>
      </c>
      <c r="CA219" s="4862"/>
      <c r="CB219" s="4870"/>
      <c r="CC219" s="4886"/>
      <c r="CD219" s="4804" t="e">
        <f>_Calcs_Klasse!$AKZ$48</f>
        <v>#N/A</v>
      </c>
      <c r="CE219" s="4865"/>
      <c r="CF219" s="4880"/>
      <c r="CG219" s="4887"/>
      <c r="CH219" s="4873" t="str">
        <f>_Calcs_Klasse!$AKX$49</f>
        <v/>
      </c>
      <c r="CI219" s="4867"/>
      <c r="CJ219" s="4870"/>
      <c r="CK219" s="4888"/>
      <c r="CL219" s="4804" t="e">
        <f>_Calcs_Klasse!$AKZ$49</f>
        <v>#N/A</v>
      </c>
      <c r="CM219" s="4713"/>
    </row>
    <row r="220" spans="1:91" s="34" customFormat="1" ht="15" customHeight="1" thickBot="1" x14ac:dyDescent="0.25">
      <c r="A220" s="4207"/>
      <c r="B220" s="4207"/>
      <c r="C220" s="4207"/>
      <c r="D220" s="4207"/>
      <c r="E220" s="4207"/>
      <c r="F220" s="4212"/>
      <c r="I220" s="3748"/>
      <c r="J220" s="2291"/>
      <c r="K220" s="5131"/>
      <c r="L220" s="5132"/>
      <c r="M220" s="5132"/>
      <c r="N220" s="5132"/>
      <c r="O220" s="5132"/>
      <c r="P220" s="5132"/>
      <c r="Q220" s="5133"/>
      <c r="R220" s="3743"/>
      <c r="S220" s="3810"/>
      <c r="T220" s="4375"/>
      <c r="W220" s="4714"/>
      <c r="X220" s="4715"/>
      <c r="Y220" s="4715"/>
      <c r="Z220" s="4716"/>
      <c r="AA220" s="4575"/>
      <c r="AB220" s="4769"/>
      <c r="AC220" s="4770"/>
      <c r="AD220" s="4770"/>
      <c r="AE220" s="4770"/>
      <c r="AF220" s="4770"/>
      <c r="AG220" s="4770"/>
      <c r="AH220" s="4771"/>
      <c r="AI220" s="4568"/>
      <c r="AJ220" s="4568"/>
      <c r="AK220" s="4720"/>
      <c r="AL220" s="4721"/>
      <c r="AM220" s="4722"/>
      <c r="AN220" s="4575"/>
      <c r="AO220" s="4772"/>
      <c r="AP220" s="4773"/>
      <c r="AQ220" s="4774"/>
      <c r="AR220" s="3435"/>
      <c r="AS220" s="4726"/>
      <c r="AT220" s="4727"/>
      <c r="AU220" s="4728"/>
      <c r="AV220" s="4575"/>
      <c r="AW220" s="4775"/>
      <c r="AX220" s="4776"/>
      <c r="AY220" s="4777"/>
      <c r="AZ220" s="4568"/>
      <c r="BA220" s="4732"/>
      <c r="BB220" s="4733"/>
      <c r="BC220" s="4734"/>
      <c r="BD220" s="4575"/>
      <c r="BE220" s="4778"/>
      <c r="BF220" s="4779"/>
      <c r="BG220" s="4780"/>
      <c r="BH220" s="4445"/>
      <c r="BI220" s="4738"/>
      <c r="BJ220" s="4739"/>
      <c r="BK220" s="4740"/>
      <c r="BL220" s="4575"/>
      <c r="BM220" s="4781"/>
      <c r="BN220" s="4782"/>
      <c r="BO220" s="4783"/>
      <c r="BP220" s="4445"/>
      <c r="BQ220" s="4744"/>
      <c r="BR220" s="4745"/>
      <c r="BS220" s="4746"/>
      <c r="BT220" s="4575"/>
      <c r="BU220" s="4784"/>
      <c r="BV220" s="4785"/>
      <c r="BW220" s="4786"/>
      <c r="BX220" s="4445"/>
      <c r="BY220" s="4750"/>
      <c r="BZ220" s="4751"/>
      <c r="CA220" s="4752"/>
      <c r="CB220" s="4575"/>
      <c r="CC220" s="4787"/>
      <c r="CD220" s="4788"/>
      <c r="CE220" s="4789"/>
      <c r="CF220" s="4445"/>
      <c r="CG220" s="4756"/>
      <c r="CH220" s="4757"/>
      <c r="CI220" s="4758"/>
      <c r="CJ220" s="4575"/>
      <c r="CK220" s="4790"/>
      <c r="CL220" s="4791"/>
      <c r="CM220" s="4792"/>
    </row>
    <row r="221" spans="1:91" s="34" customFormat="1" ht="35.1" customHeight="1" thickBot="1" x14ac:dyDescent="0.25">
      <c r="A221" s="4207"/>
      <c r="B221" s="4207"/>
      <c r="C221" s="4207"/>
      <c r="D221" s="4207"/>
      <c r="E221" s="4207"/>
      <c r="F221" s="4212"/>
      <c r="I221" s="3748"/>
      <c r="L221" s="13"/>
      <c r="M221" s="13"/>
      <c r="N221" s="13"/>
      <c r="O221" s="13"/>
      <c r="P221" s="13"/>
      <c r="Q221" s="15"/>
      <c r="S221" s="16"/>
      <c r="T221" s="4375"/>
      <c r="U221" s="2349"/>
      <c r="V221" s="2349"/>
      <c r="W221" s="4875"/>
      <c r="X221" s="4875"/>
      <c r="Y221" s="4875"/>
      <c r="Z221" s="4875"/>
      <c r="AA221" s="4875"/>
      <c r="AB221" s="4875"/>
      <c r="AC221" s="5021"/>
      <c r="AD221" s="5021"/>
      <c r="AE221" s="5021"/>
      <c r="AF221" s="5021"/>
      <c r="AG221" s="5021"/>
      <c r="AH221" s="4875"/>
      <c r="AI221" s="4875"/>
      <c r="AJ221" s="4875"/>
      <c r="AK221" s="4875"/>
      <c r="AL221" s="4875"/>
      <c r="AM221" s="4875"/>
      <c r="AN221" s="4875"/>
      <c r="AO221" s="4875"/>
      <c r="AP221" s="5021"/>
      <c r="AQ221" s="4875"/>
      <c r="AR221" s="4875"/>
      <c r="AS221" s="4875"/>
      <c r="AT221" s="4875"/>
      <c r="AU221" s="4875"/>
      <c r="AV221" s="4875"/>
      <c r="AW221" s="4875"/>
      <c r="AX221" s="5021"/>
      <c r="AY221" s="4875"/>
      <c r="AZ221" s="4875"/>
      <c r="BA221" s="4875"/>
      <c r="BB221" s="4875"/>
      <c r="BC221" s="4875"/>
      <c r="BD221" s="4875"/>
      <c r="BE221" s="4875"/>
      <c r="BF221" s="5021"/>
      <c r="BG221" s="4875"/>
      <c r="BH221" s="4875"/>
      <c r="BI221" s="4875"/>
      <c r="BJ221" s="4875"/>
      <c r="BK221" s="4875"/>
      <c r="BL221" s="4875"/>
      <c r="BM221" s="4875"/>
      <c r="BN221" s="5021"/>
      <c r="BO221" s="4875"/>
      <c r="BP221" s="4875"/>
      <c r="BQ221" s="4875"/>
      <c r="BR221" s="4875"/>
      <c r="BS221" s="4875"/>
      <c r="BT221" s="4875"/>
      <c r="BU221" s="4875"/>
      <c r="BV221" s="5021"/>
      <c r="BW221" s="4875"/>
      <c r="BX221" s="4875"/>
      <c r="BY221" s="4875"/>
      <c r="BZ221" s="4875"/>
      <c r="CA221" s="4875"/>
      <c r="CB221" s="4875"/>
      <c r="CC221" s="4875"/>
      <c r="CD221" s="5021"/>
      <c r="CE221" s="4875"/>
      <c r="CF221" s="4875"/>
      <c r="CG221" s="4875"/>
      <c r="CH221" s="4875"/>
      <c r="CI221" s="4875"/>
      <c r="CJ221" s="4875"/>
      <c r="CK221" s="4875"/>
      <c r="CL221" s="5021"/>
      <c r="CM221" s="4875"/>
    </row>
    <row r="222" spans="1:91" s="34" customFormat="1" ht="20.100000000000001" customHeight="1" thickBot="1" x14ac:dyDescent="0.25">
      <c r="A222" s="4207"/>
      <c r="B222" s="4207"/>
      <c r="C222" s="4207"/>
      <c r="D222" s="4207"/>
      <c r="E222" s="4207"/>
      <c r="F222" s="4212"/>
      <c r="I222" s="3748"/>
      <c r="J222" s="2291"/>
      <c r="K222" s="3744"/>
      <c r="L222" s="6798" t="str">
        <f>_Calcs_Klasse!$ALE$35</f>
        <v>Buer: tillegs-sprøytebtong</v>
      </c>
      <c r="M222" s="6798"/>
      <c r="N222" s="6798"/>
      <c r="O222" s="6798"/>
      <c r="P222" s="6798"/>
      <c r="Q222" s="6798"/>
      <c r="R222" s="3745"/>
      <c r="S222" s="3660"/>
      <c r="T222" s="4375"/>
      <c r="W222" s="4626"/>
      <c r="X222" s="4626"/>
      <c r="Y222" s="4626"/>
      <c r="Z222" s="4626"/>
      <c r="AA222" s="4870"/>
      <c r="AB222" s="4626"/>
      <c r="AC222" s="4993"/>
      <c r="AD222" s="4993"/>
      <c r="AE222" s="4993"/>
      <c r="AF222" s="4993"/>
      <c r="AG222" s="4993"/>
      <c r="AH222" s="4626"/>
      <c r="AI222" s="4870"/>
      <c r="AJ222" s="4870"/>
      <c r="AK222" s="4626"/>
      <c r="AL222" s="4626"/>
      <c r="AM222" s="4626"/>
      <c r="AN222" s="4870"/>
      <c r="AO222" s="4626"/>
      <c r="AP222" s="4993"/>
      <c r="AQ222" s="4626"/>
      <c r="AR222" s="4875"/>
      <c r="AS222" s="4626"/>
      <c r="AT222" s="4626"/>
      <c r="AU222" s="4626"/>
      <c r="AV222" s="4870"/>
      <c r="AW222" s="4626"/>
      <c r="AX222" s="4993"/>
      <c r="AY222" s="4626"/>
      <c r="AZ222" s="4870"/>
      <c r="BA222" s="4626"/>
      <c r="BB222" s="4626"/>
      <c r="BC222" s="4626"/>
      <c r="BD222" s="4870"/>
      <c r="BE222" s="4626"/>
      <c r="BF222" s="4993"/>
      <c r="BG222" s="4626"/>
      <c r="BH222" s="4880"/>
      <c r="BI222" s="4626"/>
      <c r="BJ222" s="4626"/>
      <c r="BK222" s="4626"/>
      <c r="BL222" s="4870"/>
      <c r="BM222" s="4626"/>
      <c r="BN222" s="4993"/>
      <c r="BO222" s="4626"/>
      <c r="BP222" s="4880"/>
      <c r="BQ222" s="4626"/>
      <c r="BR222" s="4626"/>
      <c r="BS222" s="4626"/>
      <c r="BT222" s="4870"/>
      <c r="BU222" s="4626"/>
      <c r="BV222" s="4993"/>
      <c r="BW222" s="4626"/>
      <c r="BX222" s="4880"/>
      <c r="BY222" s="4626"/>
      <c r="BZ222" s="4626"/>
      <c r="CA222" s="4626"/>
      <c r="CB222" s="4870"/>
      <c r="CC222" s="4626"/>
      <c r="CD222" s="4993"/>
      <c r="CE222" s="4626"/>
      <c r="CF222" s="4880"/>
      <c r="CG222" s="4626"/>
      <c r="CH222" s="4626"/>
      <c r="CI222" s="4626"/>
      <c r="CJ222" s="4870"/>
      <c r="CK222" s="4626"/>
      <c r="CL222" s="4993"/>
      <c r="CM222" s="4626"/>
    </row>
    <row r="223" spans="1:91" s="34" customFormat="1" ht="15" customHeight="1" thickBot="1" x14ac:dyDescent="0.25">
      <c r="A223" s="4207"/>
      <c r="B223" s="4207"/>
      <c r="C223" s="4207"/>
      <c r="D223" s="4207"/>
      <c r="E223" s="4207"/>
      <c r="F223" s="4212"/>
      <c r="I223" s="3748"/>
      <c r="J223" s="2291"/>
      <c r="K223" s="3746"/>
      <c r="L223" s="6799"/>
      <c r="M223" s="6799"/>
      <c r="N223" s="6799"/>
      <c r="O223" s="6799"/>
      <c r="P223" s="6799"/>
      <c r="Q223" s="6799"/>
      <c r="R223" s="3747"/>
      <c r="S223" s="3660"/>
      <c r="T223" s="4375"/>
      <c r="W223" s="5022"/>
      <c r="X223" s="5023"/>
      <c r="Y223" s="5023"/>
      <c r="Z223" s="5024"/>
      <c r="AA223" s="5019"/>
      <c r="AB223" s="5025"/>
      <c r="AC223" s="5026"/>
      <c r="AD223" s="5026"/>
      <c r="AE223" s="5026"/>
      <c r="AF223" s="5026"/>
      <c r="AG223" s="5026"/>
      <c r="AH223" s="5027"/>
      <c r="AI223" s="4870"/>
      <c r="AJ223" s="4870"/>
      <c r="AK223" s="5028"/>
      <c r="AL223" s="5029"/>
      <c r="AM223" s="5030"/>
      <c r="AN223" s="5019"/>
      <c r="AO223" s="5031"/>
      <c r="AP223" s="5032"/>
      <c r="AQ223" s="5033"/>
      <c r="AR223" s="4875"/>
      <c r="AS223" s="5034"/>
      <c r="AT223" s="5035"/>
      <c r="AU223" s="5036"/>
      <c r="AV223" s="5019"/>
      <c r="AW223" s="5037"/>
      <c r="AX223" s="5038"/>
      <c r="AY223" s="5039"/>
      <c r="AZ223" s="4870"/>
      <c r="BA223" s="5040"/>
      <c r="BB223" s="5041"/>
      <c r="BC223" s="5042"/>
      <c r="BD223" s="5019"/>
      <c r="BE223" s="5043"/>
      <c r="BF223" s="5044"/>
      <c r="BG223" s="5045"/>
      <c r="BH223" s="4880"/>
      <c r="BI223" s="5046"/>
      <c r="BJ223" s="5047"/>
      <c r="BK223" s="5048"/>
      <c r="BL223" s="5019"/>
      <c r="BM223" s="5049"/>
      <c r="BN223" s="5050"/>
      <c r="BO223" s="5051"/>
      <c r="BP223" s="4880"/>
      <c r="BQ223" s="5052"/>
      <c r="BR223" s="5053"/>
      <c r="BS223" s="5054"/>
      <c r="BT223" s="5019"/>
      <c r="BU223" s="5055"/>
      <c r="BV223" s="5056"/>
      <c r="BW223" s="5057"/>
      <c r="BX223" s="4880"/>
      <c r="BY223" s="5058"/>
      <c r="BZ223" s="5059"/>
      <c r="CA223" s="5060"/>
      <c r="CB223" s="5019"/>
      <c r="CC223" s="5061"/>
      <c r="CD223" s="5062"/>
      <c r="CE223" s="5063"/>
      <c r="CF223" s="4880"/>
      <c r="CG223" s="5064"/>
      <c r="CH223" s="5065"/>
      <c r="CI223" s="5066"/>
      <c r="CJ223" s="5019"/>
      <c r="CK223" s="5067"/>
      <c r="CL223" s="5068"/>
      <c r="CM223" s="5069"/>
    </row>
    <row r="224" spans="1:91" s="34" customFormat="1" ht="8.1" customHeight="1" thickBot="1" x14ac:dyDescent="0.25">
      <c r="A224" s="4207"/>
      <c r="B224" s="4207"/>
      <c r="C224" s="4207"/>
      <c r="D224" s="4207"/>
      <c r="E224" s="4207"/>
      <c r="F224" s="4212"/>
      <c r="I224" s="3748"/>
      <c r="J224" s="2291"/>
      <c r="L224" s="13"/>
      <c r="M224" s="13"/>
      <c r="N224" s="13"/>
      <c r="O224" s="13"/>
      <c r="P224" s="13"/>
      <c r="Q224" s="15"/>
      <c r="S224" s="16"/>
      <c r="T224" s="4375"/>
      <c r="W224" s="4626"/>
      <c r="X224" s="4625"/>
      <c r="Y224" s="4625"/>
      <c r="Z224" s="4626"/>
      <c r="AA224" s="4870"/>
      <c r="AB224" s="4626"/>
      <c r="AC224" s="4627"/>
      <c r="AD224" s="4627"/>
      <c r="AE224" s="4627"/>
      <c r="AF224" s="4627"/>
      <c r="AG224" s="4627"/>
      <c r="AH224" s="4626"/>
      <c r="AI224" s="4870"/>
      <c r="AJ224" s="4870"/>
      <c r="AK224" s="4626"/>
      <c r="AL224" s="4625"/>
      <c r="AM224" s="4626"/>
      <c r="AN224" s="4870"/>
      <c r="AO224" s="4626"/>
      <c r="AP224" s="4627"/>
      <c r="AQ224" s="4626"/>
      <c r="AR224" s="4875"/>
      <c r="AS224" s="4626"/>
      <c r="AT224" s="4625"/>
      <c r="AU224" s="4626"/>
      <c r="AV224" s="4870"/>
      <c r="AW224" s="4626"/>
      <c r="AX224" s="4627"/>
      <c r="AY224" s="4626"/>
      <c r="AZ224" s="4870"/>
      <c r="BA224" s="4626"/>
      <c r="BB224" s="4625"/>
      <c r="BC224" s="4626"/>
      <c r="BD224" s="4870"/>
      <c r="BE224" s="4626"/>
      <c r="BF224" s="4627"/>
      <c r="BG224" s="4626"/>
      <c r="BH224" s="4880"/>
      <c r="BI224" s="4626"/>
      <c r="BJ224" s="4625"/>
      <c r="BK224" s="4626"/>
      <c r="BL224" s="4870"/>
      <c r="BM224" s="4626"/>
      <c r="BN224" s="4627"/>
      <c r="BO224" s="4626"/>
      <c r="BP224" s="4880"/>
      <c r="BQ224" s="4626"/>
      <c r="BR224" s="4625"/>
      <c r="BS224" s="4626"/>
      <c r="BT224" s="4870"/>
      <c r="BU224" s="4626"/>
      <c r="BV224" s="4627"/>
      <c r="BW224" s="4626"/>
      <c r="BX224" s="4880"/>
      <c r="BY224" s="4626"/>
      <c r="BZ224" s="4625"/>
      <c r="CA224" s="4626"/>
      <c r="CB224" s="4870"/>
      <c r="CC224" s="4626"/>
      <c r="CD224" s="4627"/>
      <c r="CE224" s="4626"/>
      <c r="CF224" s="4880"/>
      <c r="CG224" s="4626"/>
      <c r="CH224" s="4625"/>
      <c r="CI224" s="4626"/>
      <c r="CJ224" s="4870"/>
      <c r="CK224" s="4626"/>
      <c r="CL224" s="4627"/>
      <c r="CM224" s="4626"/>
    </row>
    <row r="225" spans="1:91" s="34" customFormat="1" ht="15" customHeight="1" thickBot="1" x14ac:dyDescent="0.25">
      <c r="A225" s="4207"/>
      <c r="B225" s="4207"/>
      <c r="C225" s="4207"/>
      <c r="D225" s="4207"/>
      <c r="E225" s="4207"/>
      <c r="F225" s="4212"/>
      <c r="I225" s="3748"/>
      <c r="J225" s="2349"/>
      <c r="K225" s="3724"/>
      <c r="L225" s="3331"/>
      <c r="M225" s="3331"/>
      <c r="N225" s="3331"/>
      <c r="O225" s="3331"/>
      <c r="P225" s="3331"/>
      <c r="Q225" s="3332"/>
      <c r="R225" s="3725"/>
      <c r="S225" s="2798"/>
      <c r="T225" s="4375"/>
      <c r="W225" s="4628"/>
      <c r="X225" s="4629"/>
      <c r="Y225" s="4629"/>
      <c r="Z225" s="4630"/>
      <c r="AA225" s="4575"/>
      <c r="AB225" s="4889"/>
      <c r="AC225" s="4890"/>
      <c r="AD225" s="4890"/>
      <c r="AE225" s="4890"/>
      <c r="AF225" s="4890"/>
      <c r="AG225" s="4890"/>
      <c r="AH225" s="4891"/>
      <c r="AI225" s="4568"/>
      <c r="AJ225" s="4568"/>
      <c r="AK225" s="4634"/>
      <c r="AL225" s="4635"/>
      <c r="AM225" s="4636"/>
      <c r="AN225" s="4575"/>
      <c r="AO225" s="4892"/>
      <c r="AP225" s="4893"/>
      <c r="AQ225" s="4894"/>
      <c r="AR225" s="3435"/>
      <c r="AS225" s="4640"/>
      <c r="AT225" s="4641"/>
      <c r="AU225" s="4642"/>
      <c r="AV225" s="4575"/>
      <c r="AW225" s="4895"/>
      <c r="AX225" s="4896"/>
      <c r="AY225" s="4897"/>
      <c r="AZ225" s="4568"/>
      <c r="BA225" s="4646"/>
      <c r="BB225" s="4647"/>
      <c r="BC225" s="4648"/>
      <c r="BD225" s="4575"/>
      <c r="BE225" s="4898"/>
      <c r="BF225" s="4899"/>
      <c r="BG225" s="4900"/>
      <c r="BH225" s="4445"/>
      <c r="BI225" s="4652"/>
      <c r="BJ225" s="4653"/>
      <c r="BK225" s="4654"/>
      <c r="BL225" s="4575"/>
      <c r="BM225" s="4901"/>
      <c r="BN225" s="4902"/>
      <c r="BO225" s="4903"/>
      <c r="BP225" s="4445"/>
      <c r="BQ225" s="4658"/>
      <c r="BR225" s="4659"/>
      <c r="BS225" s="4660"/>
      <c r="BT225" s="4575"/>
      <c r="BU225" s="4904"/>
      <c r="BV225" s="4905"/>
      <c r="BW225" s="4906"/>
      <c r="BX225" s="4445"/>
      <c r="BY225" s="4664"/>
      <c r="BZ225" s="4665"/>
      <c r="CA225" s="4666"/>
      <c r="CB225" s="4575"/>
      <c r="CC225" s="4907"/>
      <c r="CD225" s="4908"/>
      <c r="CE225" s="4909"/>
      <c r="CF225" s="4445"/>
      <c r="CG225" s="4670"/>
      <c r="CH225" s="4671"/>
      <c r="CI225" s="4672"/>
      <c r="CJ225" s="4575"/>
      <c r="CK225" s="4910"/>
      <c r="CL225" s="4911"/>
      <c r="CM225" s="4912"/>
    </row>
    <row r="226" spans="1:91" s="34" customFormat="1" ht="24.95" customHeight="1" thickBot="1" x14ac:dyDescent="0.25">
      <c r="A226" s="4207"/>
      <c r="B226" s="4207"/>
      <c r="C226" s="4207"/>
      <c r="D226" s="4207"/>
      <c r="E226" s="4207"/>
      <c r="F226" s="4212" t="s">
        <v>1553</v>
      </c>
      <c r="I226" s="3748"/>
      <c r="J226" s="2349"/>
      <c r="K226" s="3708"/>
      <c r="L226" s="5096" t="str">
        <f>_Calcs!$O$69</f>
        <v>Tilleggs-sprøytebetong per meter bue</v>
      </c>
      <c r="M226" s="5098"/>
      <c r="N226" s="5098"/>
      <c r="O226" s="5095" t="s">
        <v>149</v>
      </c>
      <c r="P226" s="5098"/>
      <c r="Q226" s="5096" t="s">
        <v>2140</v>
      </c>
      <c r="R226" s="3706"/>
      <c r="S226" s="2798"/>
      <c r="T226" s="4375"/>
      <c r="W226" s="4676"/>
      <c r="X226" s="6808"/>
      <c r="Y226" s="6809"/>
      <c r="Z226" s="4677"/>
      <c r="AA226" s="4678"/>
      <c r="AB226" s="4679"/>
      <c r="AC226" s="6810" t="e">
        <f>_Calcs_Klasse!$ALI$42</f>
        <v>#N/A</v>
      </c>
      <c r="AD226" s="6811"/>
      <c r="AE226" s="6811"/>
      <c r="AF226" s="6811"/>
      <c r="AG226" s="6812"/>
      <c r="AH226" s="4680"/>
      <c r="AI226" s="4681"/>
      <c r="AJ226" s="4681"/>
      <c r="AK226" s="4682"/>
      <c r="AL226" s="4683"/>
      <c r="AM226" s="4684"/>
      <c r="AN226" s="4678"/>
      <c r="AO226" s="4685"/>
      <c r="AP226" s="4686" t="e">
        <f>_Calcs_Klasse!$ALI$43</f>
        <v>#N/A</v>
      </c>
      <c r="AQ226" s="4687"/>
      <c r="AR226" s="4688"/>
      <c r="AS226" s="4689"/>
      <c r="AT226" s="4683"/>
      <c r="AU226" s="4690"/>
      <c r="AV226" s="4678"/>
      <c r="AW226" s="4691"/>
      <c r="AX226" s="4686" t="e">
        <f>_Calcs_Klasse!$ALI$44</f>
        <v>#N/A</v>
      </c>
      <c r="AY226" s="4692"/>
      <c r="AZ226" s="4681"/>
      <c r="BA226" s="4693"/>
      <c r="BB226" s="4683"/>
      <c r="BC226" s="4694"/>
      <c r="BD226" s="4678"/>
      <c r="BE226" s="4695"/>
      <c r="BF226" s="4686" t="e">
        <f>_Calcs_Klasse!$ALI$45</f>
        <v>#N/A</v>
      </c>
      <c r="BG226" s="4696"/>
      <c r="BH226" s="4697"/>
      <c r="BI226" s="4698"/>
      <c r="BJ226" s="4683"/>
      <c r="BK226" s="4699"/>
      <c r="BL226" s="4678"/>
      <c r="BM226" s="4700"/>
      <c r="BN226" s="4686" t="e">
        <f>_Calcs_Klasse!$ALI$46</f>
        <v>#N/A</v>
      </c>
      <c r="BO226" s="4701"/>
      <c r="BP226" s="4697"/>
      <c r="BQ226" s="4702"/>
      <c r="BR226" s="4683"/>
      <c r="BS226" s="4703"/>
      <c r="BT226" s="4678"/>
      <c r="BU226" s="4704"/>
      <c r="BV226" s="4686" t="e">
        <f>_Calcs_Klasse!$ALI$47</f>
        <v>#N/A</v>
      </c>
      <c r="BW226" s="4705"/>
      <c r="BX226" s="4697"/>
      <c r="BY226" s="4706"/>
      <c r="BZ226" s="4683"/>
      <c r="CA226" s="4707"/>
      <c r="CB226" s="4678"/>
      <c r="CC226" s="4708"/>
      <c r="CD226" s="4686" t="e">
        <f>_Calcs_Klasse!$ALI$48</f>
        <v>#N/A</v>
      </c>
      <c r="CE226" s="4709"/>
      <c r="CF226" s="4697"/>
      <c r="CG226" s="4710"/>
      <c r="CH226" s="4683"/>
      <c r="CI226" s="4711"/>
      <c r="CJ226" s="4678"/>
      <c r="CK226" s="4712"/>
      <c r="CL226" s="4686" t="e">
        <f>_Calcs_Klasse!$ALI$49</f>
        <v>#N/A</v>
      </c>
      <c r="CM226" s="4913"/>
    </row>
    <row r="227" spans="1:91" s="34" customFormat="1" ht="15" customHeight="1" thickBot="1" x14ac:dyDescent="0.25">
      <c r="A227" s="4207"/>
      <c r="B227" s="4207"/>
      <c r="C227" s="4207"/>
      <c r="D227" s="4207"/>
      <c r="E227" s="4207"/>
      <c r="F227" s="4212"/>
      <c r="I227" s="3748"/>
      <c r="J227" s="2349"/>
      <c r="K227" s="3741"/>
      <c r="L227" s="5099"/>
      <c r="M227" s="5099"/>
      <c r="N227" s="5099"/>
      <c r="O227" s="5099"/>
      <c r="P227" s="5119"/>
      <c r="Q227" s="5100"/>
      <c r="R227" s="3732"/>
      <c r="S227" s="3728"/>
      <c r="T227" s="4375"/>
      <c r="W227" s="4914"/>
      <c r="X227" s="4915"/>
      <c r="Y227" s="4715"/>
      <c r="Z227" s="4716"/>
      <c r="AA227" s="4575"/>
      <c r="AB227" s="4916"/>
      <c r="AC227" s="4718"/>
      <c r="AD227" s="4718"/>
      <c r="AE227" s="4718"/>
      <c r="AF227" s="4718"/>
      <c r="AG227" s="4718"/>
      <c r="AH227" s="4917"/>
      <c r="AI227" s="4568"/>
      <c r="AJ227" s="4568"/>
      <c r="AK227" s="4918"/>
      <c r="AL227" s="4919"/>
      <c r="AM227" s="4722"/>
      <c r="AN227" s="4575"/>
      <c r="AO227" s="4920"/>
      <c r="AP227" s="4724"/>
      <c r="AQ227" s="4921"/>
      <c r="AR227" s="3435"/>
      <c r="AS227" s="4922"/>
      <c r="AT227" s="4923"/>
      <c r="AU227" s="4728"/>
      <c r="AV227" s="4575"/>
      <c r="AW227" s="4924"/>
      <c r="AX227" s="4730"/>
      <c r="AY227" s="4925"/>
      <c r="AZ227" s="4568"/>
      <c r="BA227" s="4926"/>
      <c r="BB227" s="4927"/>
      <c r="BC227" s="4734"/>
      <c r="BD227" s="4575"/>
      <c r="BE227" s="4928"/>
      <c r="BF227" s="4736"/>
      <c r="BG227" s="4929"/>
      <c r="BH227" s="4445"/>
      <c r="BI227" s="4930"/>
      <c r="BJ227" s="4931"/>
      <c r="BK227" s="4740"/>
      <c r="BL227" s="4575"/>
      <c r="BM227" s="4932"/>
      <c r="BN227" s="4742"/>
      <c r="BO227" s="4933"/>
      <c r="BP227" s="4445"/>
      <c r="BQ227" s="4934"/>
      <c r="BR227" s="4935"/>
      <c r="BS227" s="4746"/>
      <c r="BT227" s="4575"/>
      <c r="BU227" s="4936"/>
      <c r="BV227" s="4748"/>
      <c r="BW227" s="4937"/>
      <c r="BX227" s="4445"/>
      <c r="BY227" s="4938"/>
      <c r="BZ227" s="4939"/>
      <c r="CA227" s="4752"/>
      <c r="CB227" s="4575"/>
      <c r="CC227" s="4940"/>
      <c r="CD227" s="4754"/>
      <c r="CE227" s="4941"/>
      <c r="CF227" s="4445"/>
      <c r="CG227" s="4942"/>
      <c r="CH227" s="4943"/>
      <c r="CI227" s="4758"/>
      <c r="CJ227" s="4575"/>
      <c r="CK227" s="4944"/>
      <c r="CL227" s="4760"/>
      <c r="CM227" s="4945"/>
    </row>
    <row r="228" spans="1:91" s="34" customFormat="1" ht="35.1" customHeight="1" thickBot="1" x14ac:dyDescent="0.25">
      <c r="A228" s="4207"/>
      <c r="B228" s="4207"/>
      <c r="C228" s="4207"/>
      <c r="D228" s="4207"/>
      <c r="E228" s="4207"/>
      <c r="F228" s="4212"/>
      <c r="I228" s="3748"/>
      <c r="L228" s="13"/>
      <c r="M228" s="13"/>
      <c r="N228" s="13"/>
      <c r="O228" s="13"/>
      <c r="P228" s="13"/>
      <c r="Q228" s="15"/>
      <c r="S228" s="16"/>
      <c r="T228" s="4375"/>
      <c r="U228" s="2349"/>
      <c r="V228" s="2349"/>
      <c r="W228" s="4875"/>
      <c r="X228" s="4875"/>
      <c r="Y228" s="4875"/>
      <c r="Z228" s="4875"/>
      <c r="AA228" s="4875"/>
      <c r="AB228" s="4875"/>
      <c r="AC228" s="5021"/>
      <c r="AD228" s="5021"/>
      <c r="AE228" s="5021"/>
      <c r="AF228" s="5021"/>
      <c r="AG228" s="5021"/>
      <c r="AH228" s="4875"/>
      <c r="AI228" s="4875"/>
      <c r="AJ228" s="4875"/>
      <c r="AK228" s="4875"/>
      <c r="AL228" s="4875"/>
      <c r="AM228" s="4875"/>
      <c r="AN228" s="4875"/>
      <c r="AO228" s="4875"/>
      <c r="AP228" s="5021"/>
      <c r="AQ228" s="4875"/>
      <c r="AR228" s="4875"/>
      <c r="AS228" s="4875"/>
      <c r="AT228" s="4875"/>
      <c r="AU228" s="4875"/>
      <c r="AV228" s="4875"/>
      <c r="AW228" s="4875"/>
      <c r="AX228" s="5021"/>
      <c r="AY228" s="4875"/>
      <c r="AZ228" s="4875"/>
      <c r="BA228" s="4875"/>
      <c r="BB228" s="4875"/>
      <c r="BC228" s="4875"/>
      <c r="BD228" s="4875"/>
      <c r="BE228" s="4875"/>
      <c r="BF228" s="5021"/>
      <c r="BG228" s="4875"/>
      <c r="BH228" s="4875"/>
      <c r="BI228" s="4875"/>
      <c r="BJ228" s="4875"/>
      <c r="BK228" s="4875"/>
      <c r="BL228" s="4875"/>
      <c r="BM228" s="4875"/>
      <c r="BN228" s="5021"/>
      <c r="BO228" s="4875"/>
      <c r="BP228" s="4875"/>
      <c r="BQ228" s="4875"/>
      <c r="BR228" s="4875"/>
      <c r="BS228" s="4875"/>
      <c r="BT228" s="4875"/>
      <c r="BU228" s="4875"/>
      <c r="BV228" s="5021"/>
      <c r="BW228" s="4875"/>
      <c r="BX228" s="4875"/>
      <c r="BY228" s="4875"/>
      <c r="BZ228" s="4875"/>
      <c r="CA228" s="4875"/>
      <c r="CB228" s="4875"/>
      <c r="CC228" s="4875"/>
      <c r="CD228" s="5021"/>
      <c r="CE228" s="4875"/>
      <c r="CF228" s="4875"/>
      <c r="CG228" s="4875"/>
      <c r="CH228" s="4875"/>
      <c r="CI228" s="4875"/>
      <c r="CJ228" s="4875"/>
      <c r="CK228" s="4875"/>
      <c r="CL228" s="5021"/>
      <c r="CM228" s="4875"/>
    </row>
    <row r="229" spans="1:91" s="34" customFormat="1" ht="32.25" customHeight="1" thickBot="1" x14ac:dyDescent="0.25">
      <c r="A229" s="4207"/>
      <c r="B229" s="4207"/>
      <c r="C229" s="4207"/>
      <c r="D229" s="4207"/>
      <c r="E229" s="4207"/>
      <c r="F229" s="4212"/>
      <c r="I229" s="3748"/>
      <c r="J229" s="2291"/>
      <c r="K229" s="3744"/>
      <c r="L229" s="6961" t="str">
        <f>_Calcs_Klasse!$ALO$35</f>
        <v>Forankring ved sålen (bolteforsterkning i fot, anchoring bolts)</v>
      </c>
      <c r="M229" s="6961"/>
      <c r="N229" s="6961"/>
      <c r="O229" s="6961"/>
      <c r="P229" s="6961"/>
      <c r="Q229" s="6961"/>
      <c r="R229" s="3745"/>
      <c r="S229" s="3660"/>
      <c r="T229" s="4375"/>
      <c r="W229" s="4626"/>
      <c r="X229" s="4626"/>
      <c r="Y229" s="4626"/>
      <c r="Z229" s="4626"/>
      <c r="AA229" s="4870"/>
      <c r="AB229" s="4626"/>
      <c r="AC229" s="4993"/>
      <c r="AD229" s="4993"/>
      <c r="AE229" s="4993"/>
      <c r="AF229" s="4993"/>
      <c r="AG229" s="4993"/>
      <c r="AH229" s="4626"/>
      <c r="AI229" s="4870"/>
      <c r="AJ229" s="4870"/>
      <c r="AK229" s="4626"/>
      <c r="AL229" s="4626"/>
      <c r="AM229" s="4626"/>
      <c r="AN229" s="4870"/>
      <c r="AO229" s="4626"/>
      <c r="AP229" s="4993"/>
      <c r="AQ229" s="4626"/>
      <c r="AR229" s="4875"/>
      <c r="AS229" s="4626"/>
      <c r="AT229" s="4626"/>
      <c r="AU229" s="4626"/>
      <c r="AV229" s="4870"/>
      <c r="AW229" s="4626"/>
      <c r="AX229" s="4993"/>
      <c r="AY229" s="4626"/>
      <c r="AZ229" s="4870"/>
      <c r="BA229" s="4626"/>
      <c r="BB229" s="4626"/>
      <c r="BC229" s="4626"/>
      <c r="BD229" s="4870"/>
      <c r="BE229" s="4626"/>
      <c r="BF229" s="4993"/>
      <c r="BG229" s="4626"/>
      <c r="BH229" s="4880"/>
      <c r="BI229" s="4626"/>
      <c r="BJ229" s="4626"/>
      <c r="BK229" s="4626"/>
      <c r="BL229" s="4870"/>
      <c r="BM229" s="4626"/>
      <c r="BN229" s="4993"/>
      <c r="BO229" s="4626"/>
      <c r="BP229" s="4880"/>
      <c r="BQ229" s="4626"/>
      <c r="BR229" s="4626"/>
      <c r="BS229" s="4626"/>
      <c r="BT229" s="4870"/>
      <c r="BU229" s="4626"/>
      <c r="BV229" s="4993"/>
      <c r="BW229" s="4626"/>
      <c r="BX229" s="4880"/>
      <c r="BY229" s="4626"/>
      <c r="BZ229" s="4626"/>
      <c r="CA229" s="4626"/>
      <c r="CB229" s="4870"/>
      <c r="CC229" s="4626"/>
      <c r="CD229" s="4993"/>
      <c r="CE229" s="4626"/>
      <c r="CF229" s="4880"/>
      <c r="CG229" s="4626"/>
      <c r="CH229" s="4626"/>
      <c r="CI229" s="4626"/>
      <c r="CJ229" s="4870"/>
      <c r="CK229" s="4626"/>
      <c r="CL229" s="4993"/>
      <c r="CM229" s="4626"/>
    </row>
    <row r="230" spans="1:91" s="34" customFormat="1" ht="15" customHeight="1" thickBot="1" x14ac:dyDescent="0.25">
      <c r="A230" s="4207"/>
      <c r="B230" s="4207"/>
      <c r="C230" s="4207"/>
      <c r="D230" s="4207"/>
      <c r="E230" s="4207"/>
      <c r="F230" s="4212"/>
      <c r="I230" s="3748"/>
      <c r="J230" s="2291"/>
      <c r="K230" s="3746"/>
      <c r="L230" s="6962"/>
      <c r="M230" s="6962"/>
      <c r="N230" s="6962"/>
      <c r="O230" s="6962"/>
      <c r="P230" s="6962"/>
      <c r="Q230" s="6962"/>
      <c r="R230" s="3747"/>
      <c r="S230" s="3660"/>
      <c r="T230" s="4375"/>
      <c r="W230" s="5022"/>
      <c r="X230" s="5023"/>
      <c r="Y230" s="5023"/>
      <c r="Z230" s="5024"/>
      <c r="AA230" s="5019"/>
      <c r="AB230" s="5025"/>
      <c r="AC230" s="5026"/>
      <c r="AD230" s="5026"/>
      <c r="AE230" s="5026"/>
      <c r="AF230" s="5026"/>
      <c r="AG230" s="5026"/>
      <c r="AH230" s="5027"/>
      <c r="AI230" s="4870"/>
      <c r="AJ230" s="4870"/>
      <c r="AK230" s="5028"/>
      <c r="AL230" s="5029"/>
      <c r="AM230" s="5030"/>
      <c r="AN230" s="5019"/>
      <c r="AO230" s="5031"/>
      <c r="AP230" s="5032"/>
      <c r="AQ230" s="5033"/>
      <c r="AR230" s="4875"/>
      <c r="AS230" s="5034"/>
      <c r="AT230" s="5035"/>
      <c r="AU230" s="5036"/>
      <c r="AV230" s="5019"/>
      <c r="AW230" s="5037"/>
      <c r="AX230" s="5038"/>
      <c r="AY230" s="5039"/>
      <c r="AZ230" s="4870"/>
      <c r="BA230" s="5040"/>
      <c r="BB230" s="5041"/>
      <c r="BC230" s="5042"/>
      <c r="BD230" s="5019"/>
      <c r="BE230" s="5043"/>
      <c r="BF230" s="5044"/>
      <c r="BG230" s="5045"/>
      <c r="BH230" s="4880"/>
      <c r="BI230" s="5046"/>
      <c r="BJ230" s="5047"/>
      <c r="BK230" s="5048"/>
      <c r="BL230" s="5019"/>
      <c r="BM230" s="5049"/>
      <c r="BN230" s="5050"/>
      <c r="BO230" s="5051"/>
      <c r="BP230" s="4880"/>
      <c r="BQ230" s="5052"/>
      <c r="BR230" s="5053"/>
      <c r="BS230" s="5054"/>
      <c r="BT230" s="5019"/>
      <c r="BU230" s="5055"/>
      <c r="BV230" s="5056"/>
      <c r="BW230" s="5057"/>
      <c r="BX230" s="4880"/>
      <c r="BY230" s="5058"/>
      <c r="BZ230" s="5059"/>
      <c r="CA230" s="5060"/>
      <c r="CB230" s="5019"/>
      <c r="CC230" s="5061"/>
      <c r="CD230" s="5062"/>
      <c r="CE230" s="5063"/>
      <c r="CF230" s="4880"/>
      <c r="CG230" s="5064"/>
      <c r="CH230" s="5065"/>
      <c r="CI230" s="5066"/>
      <c r="CJ230" s="5019"/>
      <c r="CK230" s="5067"/>
      <c r="CL230" s="5068"/>
      <c r="CM230" s="5069"/>
    </row>
    <row r="231" spans="1:91" s="34" customFormat="1" ht="8.1" customHeight="1" thickBot="1" x14ac:dyDescent="0.25">
      <c r="A231" s="4207"/>
      <c r="B231" s="4207"/>
      <c r="C231" s="4207"/>
      <c r="D231" s="4207"/>
      <c r="E231" s="4207"/>
      <c r="F231" s="4212"/>
      <c r="I231" s="3748"/>
      <c r="J231" s="2291"/>
      <c r="L231" s="13"/>
      <c r="M231" s="13"/>
      <c r="N231" s="13"/>
      <c r="O231" s="13"/>
      <c r="P231" s="13"/>
      <c r="Q231" s="15"/>
      <c r="S231" s="16"/>
      <c r="T231" s="4375"/>
      <c r="W231" s="4626"/>
      <c r="X231" s="4625"/>
      <c r="Y231" s="4625"/>
      <c r="Z231" s="4626"/>
      <c r="AA231" s="4870"/>
      <c r="AB231" s="4626"/>
      <c r="AC231" s="4627"/>
      <c r="AD231" s="4627"/>
      <c r="AE231" s="4627"/>
      <c r="AF231" s="4627"/>
      <c r="AG231" s="4627"/>
      <c r="AH231" s="4626"/>
      <c r="AI231" s="4870"/>
      <c r="AJ231" s="4870"/>
      <c r="AK231" s="4626"/>
      <c r="AL231" s="4625"/>
      <c r="AM231" s="4626"/>
      <c r="AN231" s="4870"/>
      <c r="AO231" s="4626"/>
      <c r="AP231" s="4627"/>
      <c r="AQ231" s="4626"/>
      <c r="AR231" s="4875"/>
      <c r="AS231" s="4626"/>
      <c r="AT231" s="4625"/>
      <c r="AU231" s="4626"/>
      <c r="AV231" s="4870"/>
      <c r="AW231" s="4626"/>
      <c r="AX231" s="4627"/>
      <c r="AY231" s="4626"/>
      <c r="AZ231" s="4870"/>
      <c r="BA231" s="4626"/>
      <c r="BB231" s="4625"/>
      <c r="BC231" s="4626"/>
      <c r="BD231" s="4870"/>
      <c r="BE231" s="4626"/>
      <c r="BF231" s="4627"/>
      <c r="BG231" s="4626"/>
      <c r="BH231" s="4880"/>
      <c r="BI231" s="4626"/>
      <c r="BJ231" s="4625"/>
      <c r="BK231" s="4626"/>
      <c r="BL231" s="4870"/>
      <c r="BM231" s="4626"/>
      <c r="BN231" s="4627"/>
      <c r="BO231" s="4626"/>
      <c r="BP231" s="4880"/>
      <c r="BQ231" s="4626"/>
      <c r="BR231" s="4625"/>
      <c r="BS231" s="4626"/>
      <c r="BT231" s="4870"/>
      <c r="BU231" s="4626"/>
      <c r="BV231" s="4627"/>
      <c r="BW231" s="4626"/>
      <c r="BX231" s="4880"/>
      <c r="BY231" s="4626"/>
      <c r="BZ231" s="4625"/>
      <c r="CA231" s="4626"/>
      <c r="CB231" s="4870"/>
      <c r="CC231" s="4626"/>
      <c r="CD231" s="4627"/>
      <c r="CE231" s="4626"/>
      <c r="CF231" s="4880"/>
      <c r="CG231" s="4626"/>
      <c r="CH231" s="4625"/>
      <c r="CI231" s="4626"/>
      <c r="CJ231" s="4870"/>
      <c r="CK231" s="4626"/>
      <c r="CL231" s="4627"/>
      <c r="CM231" s="4626"/>
    </row>
    <row r="232" spans="1:91" s="34" customFormat="1" ht="15" customHeight="1" thickBot="1" x14ac:dyDescent="0.25">
      <c r="A232" s="4207"/>
      <c r="B232" s="4207"/>
      <c r="C232" s="4207"/>
      <c r="D232" s="4207"/>
      <c r="E232" s="4207"/>
      <c r="F232" s="4212"/>
      <c r="I232" s="3748"/>
      <c r="J232" s="2349"/>
      <c r="K232" s="3724"/>
      <c r="L232" s="3331"/>
      <c r="M232" s="3331"/>
      <c r="N232" s="3331"/>
      <c r="O232" s="3331"/>
      <c r="P232" s="3331"/>
      <c r="Q232" s="3332"/>
      <c r="R232" s="3725"/>
      <c r="S232" s="2798"/>
      <c r="T232" s="4375"/>
      <c r="W232" s="4628"/>
      <c r="X232" s="4629"/>
      <c r="Y232" s="4629"/>
      <c r="Z232" s="4630"/>
      <c r="AA232" s="4575"/>
      <c r="AB232" s="4889"/>
      <c r="AC232" s="4890"/>
      <c r="AD232" s="4890"/>
      <c r="AE232" s="4890"/>
      <c r="AF232" s="4890"/>
      <c r="AG232" s="4890"/>
      <c r="AH232" s="4891"/>
      <c r="AI232" s="4568"/>
      <c r="AJ232" s="4568"/>
      <c r="AK232" s="4634"/>
      <c r="AL232" s="4635"/>
      <c r="AM232" s="4636"/>
      <c r="AN232" s="4575"/>
      <c r="AO232" s="4892"/>
      <c r="AP232" s="4893"/>
      <c r="AQ232" s="4894"/>
      <c r="AR232" s="3435"/>
      <c r="AS232" s="4640"/>
      <c r="AT232" s="4641"/>
      <c r="AU232" s="4642"/>
      <c r="AV232" s="4575"/>
      <c r="AW232" s="4895"/>
      <c r="AX232" s="4896"/>
      <c r="AY232" s="4897"/>
      <c r="AZ232" s="4568"/>
      <c r="BA232" s="4646"/>
      <c r="BB232" s="4647"/>
      <c r="BC232" s="4648"/>
      <c r="BD232" s="4575"/>
      <c r="BE232" s="4898"/>
      <c r="BF232" s="4899"/>
      <c r="BG232" s="4900"/>
      <c r="BH232" s="4445"/>
      <c r="BI232" s="4652"/>
      <c r="BJ232" s="4653"/>
      <c r="BK232" s="4654"/>
      <c r="BL232" s="4575"/>
      <c r="BM232" s="4901"/>
      <c r="BN232" s="4902"/>
      <c r="BO232" s="4903"/>
      <c r="BP232" s="4445"/>
      <c r="BQ232" s="4658"/>
      <c r="BR232" s="4659"/>
      <c r="BS232" s="4660"/>
      <c r="BT232" s="4575"/>
      <c r="BU232" s="4904"/>
      <c r="BV232" s="4905"/>
      <c r="BW232" s="4906"/>
      <c r="BX232" s="4445"/>
      <c r="BY232" s="4664"/>
      <c r="BZ232" s="4665"/>
      <c r="CA232" s="4666"/>
      <c r="CB232" s="4575"/>
      <c r="CC232" s="4907"/>
      <c r="CD232" s="4908"/>
      <c r="CE232" s="4909"/>
      <c r="CF232" s="4445"/>
      <c r="CG232" s="4670"/>
      <c r="CH232" s="4671"/>
      <c r="CI232" s="4672"/>
      <c r="CJ232" s="4575"/>
      <c r="CK232" s="4910"/>
      <c r="CL232" s="4911"/>
      <c r="CM232" s="4912"/>
    </row>
    <row r="233" spans="1:91" s="34" customFormat="1" ht="24.95" customHeight="1" thickBot="1" x14ac:dyDescent="0.25">
      <c r="A233" s="4207"/>
      <c r="B233" s="4207"/>
      <c r="C233" s="4207"/>
      <c r="D233" s="4207"/>
      <c r="E233" s="4207"/>
      <c r="F233" s="4212" t="s">
        <v>1553</v>
      </c>
      <c r="I233" s="3748"/>
      <c r="J233" s="2349"/>
      <c r="K233" s="3708"/>
      <c r="L233" s="5096" t="str">
        <f>_Calcs_Klasse!$ALO$39</f>
        <v>Antall forankring bolter per bue-rast</v>
      </c>
      <c r="M233" s="5098"/>
      <c r="N233" s="5098"/>
      <c r="O233" s="5095" t="s">
        <v>149</v>
      </c>
      <c r="P233" s="5098"/>
      <c r="Q233" s="5096" t="s">
        <v>97</v>
      </c>
      <c r="R233" s="3706"/>
      <c r="S233" s="2798"/>
      <c r="T233" s="4375"/>
      <c r="W233" s="4676"/>
      <c r="X233" s="6808"/>
      <c r="Y233" s="6809"/>
      <c r="Z233" s="4677"/>
      <c r="AA233" s="4678"/>
      <c r="AB233" s="4679"/>
      <c r="AC233" s="6810" t="e">
        <f>_Calcs_Klasse!$ALS$42</f>
        <v>#N/A</v>
      </c>
      <c r="AD233" s="6811"/>
      <c r="AE233" s="6811"/>
      <c r="AF233" s="6811"/>
      <c r="AG233" s="6812"/>
      <c r="AH233" s="4680"/>
      <c r="AI233" s="4681"/>
      <c r="AJ233" s="4681"/>
      <c r="AK233" s="4682"/>
      <c r="AL233" s="4683"/>
      <c r="AM233" s="4684"/>
      <c r="AN233" s="4678"/>
      <c r="AO233" s="4685"/>
      <c r="AP233" s="4686" t="e">
        <f>_Calcs_Klasse!$ALS$43</f>
        <v>#N/A</v>
      </c>
      <c r="AQ233" s="4687"/>
      <c r="AR233" s="4688"/>
      <c r="AS233" s="4689"/>
      <c r="AT233" s="4683"/>
      <c r="AU233" s="4690"/>
      <c r="AV233" s="4678"/>
      <c r="AW233" s="4691"/>
      <c r="AX233" s="4686" t="e">
        <f>_Calcs_Klasse!$ALS$44</f>
        <v>#N/A</v>
      </c>
      <c r="AY233" s="4692"/>
      <c r="AZ233" s="4681"/>
      <c r="BA233" s="4693"/>
      <c r="BB233" s="4683"/>
      <c r="BC233" s="4694"/>
      <c r="BD233" s="4678"/>
      <c r="BE233" s="4695"/>
      <c r="BF233" s="4686" t="e">
        <f>_Calcs_Klasse!$ALS$45</f>
        <v>#N/A</v>
      </c>
      <c r="BG233" s="4696"/>
      <c r="BH233" s="4697"/>
      <c r="BI233" s="4698"/>
      <c r="BJ233" s="4683"/>
      <c r="BK233" s="4699"/>
      <c r="BL233" s="4678"/>
      <c r="BM233" s="4700"/>
      <c r="BN233" s="4686" t="e">
        <f>_Calcs_Klasse!$ALS$46</f>
        <v>#N/A</v>
      </c>
      <c r="BO233" s="4701"/>
      <c r="BP233" s="4697"/>
      <c r="BQ233" s="4702"/>
      <c r="BR233" s="4683"/>
      <c r="BS233" s="4703"/>
      <c r="BT233" s="4678"/>
      <c r="BU233" s="4704"/>
      <c r="BV233" s="4686" t="e">
        <f>_Calcs_Klasse!$ALS$47</f>
        <v>#N/A</v>
      </c>
      <c r="BW233" s="4705"/>
      <c r="BX233" s="4697"/>
      <c r="BY233" s="4706"/>
      <c r="BZ233" s="4683"/>
      <c r="CA233" s="4707"/>
      <c r="CB233" s="4678"/>
      <c r="CC233" s="4708"/>
      <c r="CD233" s="4686" t="e">
        <f>_Calcs_Klasse!$ALS$48</f>
        <v>#N/A</v>
      </c>
      <c r="CE233" s="4709"/>
      <c r="CF233" s="4697"/>
      <c r="CG233" s="4710"/>
      <c r="CH233" s="4683"/>
      <c r="CI233" s="4711"/>
      <c r="CJ233" s="4678"/>
      <c r="CK233" s="4712"/>
      <c r="CL233" s="4686" t="e">
        <f>_Calcs_Klasse!$ALS$49</f>
        <v>#N/A</v>
      </c>
      <c r="CM233" s="4913"/>
    </row>
    <row r="234" spans="1:91" s="34" customFormat="1" ht="15" customHeight="1" thickBot="1" x14ac:dyDescent="0.25">
      <c r="A234" s="4207"/>
      <c r="B234" s="4207"/>
      <c r="C234" s="4207"/>
      <c r="D234" s="4207"/>
      <c r="E234" s="4207"/>
      <c r="F234" s="4212"/>
      <c r="I234" s="3748"/>
      <c r="J234" s="2349"/>
      <c r="K234" s="3741"/>
      <c r="L234" s="5099"/>
      <c r="M234" s="5099"/>
      <c r="N234" s="5099"/>
      <c r="O234" s="5099"/>
      <c r="P234" s="5119"/>
      <c r="Q234" s="5100"/>
      <c r="R234" s="3732"/>
      <c r="S234" s="3728"/>
      <c r="T234" s="4375"/>
      <c r="W234" s="4914"/>
      <c r="X234" s="4915"/>
      <c r="Y234" s="4715"/>
      <c r="Z234" s="4716"/>
      <c r="AA234" s="4575"/>
      <c r="AB234" s="4916"/>
      <c r="AC234" s="4718"/>
      <c r="AD234" s="4718"/>
      <c r="AE234" s="4718"/>
      <c r="AF234" s="4718"/>
      <c r="AG234" s="4718"/>
      <c r="AH234" s="4917"/>
      <c r="AI234" s="4568"/>
      <c r="AJ234" s="4568"/>
      <c r="AK234" s="4918"/>
      <c r="AL234" s="4919"/>
      <c r="AM234" s="4722"/>
      <c r="AN234" s="4575"/>
      <c r="AO234" s="4920"/>
      <c r="AP234" s="4724"/>
      <c r="AQ234" s="4921"/>
      <c r="AR234" s="3435"/>
      <c r="AS234" s="4922"/>
      <c r="AT234" s="4923"/>
      <c r="AU234" s="4728"/>
      <c r="AV234" s="4575"/>
      <c r="AW234" s="4924"/>
      <c r="AX234" s="4730"/>
      <c r="AY234" s="4925"/>
      <c r="AZ234" s="4568"/>
      <c r="BA234" s="4926"/>
      <c r="BB234" s="4927"/>
      <c r="BC234" s="4734"/>
      <c r="BD234" s="4575"/>
      <c r="BE234" s="4928"/>
      <c r="BF234" s="4736"/>
      <c r="BG234" s="4929"/>
      <c r="BH234" s="4445"/>
      <c r="BI234" s="4930"/>
      <c r="BJ234" s="4931"/>
      <c r="BK234" s="4740"/>
      <c r="BL234" s="4575"/>
      <c r="BM234" s="4932"/>
      <c r="BN234" s="4742"/>
      <c r="BO234" s="4933"/>
      <c r="BP234" s="4445"/>
      <c r="BQ234" s="4934"/>
      <c r="BR234" s="4935"/>
      <c r="BS234" s="4746"/>
      <c r="BT234" s="4575"/>
      <c r="BU234" s="4936"/>
      <c r="BV234" s="4748"/>
      <c r="BW234" s="4937"/>
      <c r="BX234" s="4445"/>
      <c r="BY234" s="4938"/>
      <c r="BZ234" s="4939"/>
      <c r="CA234" s="4752"/>
      <c r="CB234" s="4575"/>
      <c r="CC234" s="4940"/>
      <c r="CD234" s="4754"/>
      <c r="CE234" s="4941"/>
      <c r="CF234" s="4445"/>
      <c r="CG234" s="4942"/>
      <c r="CH234" s="4943"/>
      <c r="CI234" s="4758"/>
      <c r="CJ234" s="4575"/>
      <c r="CK234" s="4944"/>
      <c r="CL234" s="4760"/>
      <c r="CM234" s="4945"/>
    </row>
    <row r="235" spans="1:91" s="2349" customFormat="1" ht="8.1" customHeight="1" thickBot="1" x14ac:dyDescent="0.25">
      <c r="A235" s="4208"/>
      <c r="B235" s="4208"/>
      <c r="C235" s="4208"/>
      <c r="D235" s="4208"/>
      <c r="E235" s="4208"/>
      <c r="F235" s="4213"/>
      <c r="I235" s="3748"/>
      <c r="K235" s="3735"/>
      <c r="L235" s="5125"/>
      <c r="M235" s="5125"/>
      <c r="N235" s="5125"/>
      <c r="O235" s="5125"/>
      <c r="P235" s="5125"/>
      <c r="Q235" s="5126"/>
      <c r="R235" s="3735"/>
      <c r="S235" s="3810"/>
      <c r="T235" s="4375"/>
      <c r="W235" s="5019"/>
      <c r="X235" s="5019"/>
      <c r="Y235" s="5019"/>
      <c r="Z235" s="5019"/>
      <c r="AA235" s="5019"/>
      <c r="AB235" s="5019"/>
      <c r="AC235" s="5020"/>
      <c r="AD235" s="5020"/>
      <c r="AE235" s="5020"/>
      <c r="AF235" s="5020"/>
      <c r="AG235" s="5020"/>
      <c r="AH235" s="5019"/>
      <c r="AI235" s="5019"/>
      <c r="AJ235" s="5019"/>
      <c r="AK235" s="5019"/>
      <c r="AL235" s="5019"/>
      <c r="AM235" s="5019"/>
      <c r="AN235" s="5019"/>
      <c r="AO235" s="5019"/>
      <c r="AP235" s="5020"/>
      <c r="AQ235" s="5019"/>
      <c r="AR235" s="4875"/>
      <c r="AS235" s="5019"/>
      <c r="AT235" s="5019"/>
      <c r="AU235" s="5019"/>
      <c r="AV235" s="5019"/>
      <c r="AW235" s="5019"/>
      <c r="AX235" s="5020"/>
      <c r="AY235" s="5019"/>
      <c r="AZ235" s="5019"/>
      <c r="BA235" s="5019"/>
      <c r="BB235" s="5019"/>
      <c r="BC235" s="5019"/>
      <c r="BD235" s="5019"/>
      <c r="BE235" s="5019"/>
      <c r="BF235" s="5020"/>
      <c r="BG235" s="5019"/>
      <c r="BH235" s="4875"/>
      <c r="BI235" s="5019"/>
      <c r="BJ235" s="5019"/>
      <c r="BK235" s="5019"/>
      <c r="BL235" s="5019"/>
      <c r="BM235" s="5019"/>
      <c r="BN235" s="5020"/>
      <c r="BO235" s="5019"/>
      <c r="BP235" s="4875"/>
      <c r="BQ235" s="5019"/>
      <c r="BR235" s="5019"/>
      <c r="BS235" s="5019"/>
      <c r="BT235" s="5019"/>
      <c r="BU235" s="5019"/>
      <c r="BV235" s="5020"/>
      <c r="BW235" s="5019"/>
      <c r="BX235" s="4875"/>
      <c r="BY235" s="5019"/>
      <c r="BZ235" s="5019"/>
      <c r="CA235" s="5019"/>
      <c r="CB235" s="5019"/>
      <c r="CC235" s="5019"/>
      <c r="CD235" s="5020"/>
      <c r="CE235" s="5019"/>
      <c r="CF235" s="4875"/>
      <c r="CG235" s="5019"/>
      <c r="CH235" s="5019"/>
      <c r="CI235" s="5019"/>
      <c r="CJ235" s="5019"/>
      <c r="CK235" s="5019"/>
      <c r="CL235" s="5020"/>
      <c r="CM235" s="5019"/>
    </row>
    <row r="236" spans="1:91" s="34" customFormat="1" ht="15" customHeight="1" thickBot="1" x14ac:dyDescent="0.25">
      <c r="A236" s="4207"/>
      <c r="B236" s="4207"/>
      <c r="C236" s="4207"/>
      <c r="D236" s="4207"/>
      <c r="E236" s="4207"/>
      <c r="F236" s="4212"/>
      <c r="I236" s="3748"/>
      <c r="J236" s="2291"/>
      <c r="K236" s="3736"/>
      <c r="L236" s="5128"/>
      <c r="M236" s="5128"/>
      <c r="N236" s="5128"/>
      <c r="O236" s="5128"/>
      <c r="P236" s="5128"/>
      <c r="Q236" s="5129"/>
      <c r="R236" s="3737"/>
      <c r="S236" s="3810"/>
      <c r="T236" s="4375"/>
      <c r="W236" s="4946"/>
      <c r="X236" s="4629"/>
      <c r="Y236" s="4629"/>
      <c r="Z236" s="4630"/>
      <c r="AA236" s="4870"/>
      <c r="AB236" s="4995"/>
      <c r="AC236" s="4632"/>
      <c r="AD236" s="4632"/>
      <c r="AE236" s="4632"/>
      <c r="AF236" s="4632"/>
      <c r="AG236" s="4632"/>
      <c r="AH236" s="4633"/>
      <c r="AI236" s="4870"/>
      <c r="AJ236" s="4870"/>
      <c r="AK236" s="4948"/>
      <c r="AL236" s="4635"/>
      <c r="AM236" s="4636"/>
      <c r="AN236" s="4870"/>
      <c r="AO236" s="4996"/>
      <c r="AP236" s="4638"/>
      <c r="AQ236" s="4639"/>
      <c r="AR236" s="4875"/>
      <c r="AS236" s="4950"/>
      <c r="AT236" s="4641"/>
      <c r="AU236" s="4642"/>
      <c r="AV236" s="4870"/>
      <c r="AW236" s="4997"/>
      <c r="AX236" s="4644"/>
      <c r="AY236" s="4645"/>
      <c r="AZ236" s="4870"/>
      <c r="BA236" s="4952"/>
      <c r="BB236" s="4647"/>
      <c r="BC236" s="4648"/>
      <c r="BD236" s="4870"/>
      <c r="BE236" s="4998"/>
      <c r="BF236" s="4650"/>
      <c r="BG236" s="4651"/>
      <c r="BH236" s="4880"/>
      <c r="BI236" s="4954"/>
      <c r="BJ236" s="4653"/>
      <c r="BK236" s="4654"/>
      <c r="BL236" s="4870"/>
      <c r="BM236" s="4999"/>
      <c r="BN236" s="4656"/>
      <c r="BO236" s="4657"/>
      <c r="BP236" s="4880"/>
      <c r="BQ236" s="4956"/>
      <c r="BR236" s="4659"/>
      <c r="BS236" s="4660"/>
      <c r="BT236" s="4870"/>
      <c r="BU236" s="5000"/>
      <c r="BV236" s="4662"/>
      <c r="BW236" s="4663"/>
      <c r="BX236" s="4880"/>
      <c r="BY236" s="4958"/>
      <c r="BZ236" s="4665"/>
      <c r="CA236" s="4666"/>
      <c r="CB236" s="4870"/>
      <c r="CC236" s="5001"/>
      <c r="CD236" s="4668"/>
      <c r="CE236" s="4669"/>
      <c r="CF236" s="4880"/>
      <c r="CG236" s="4960"/>
      <c r="CH236" s="4671"/>
      <c r="CI236" s="4672"/>
      <c r="CJ236" s="4870"/>
      <c r="CK236" s="5002"/>
      <c r="CL236" s="4674"/>
      <c r="CM236" s="4675"/>
    </row>
    <row r="237" spans="1:91" s="34" customFormat="1" ht="24.95" customHeight="1" thickBot="1" x14ac:dyDescent="0.25">
      <c r="A237" s="4207"/>
      <c r="B237" s="4207"/>
      <c r="C237" s="4207"/>
      <c r="D237" s="4207"/>
      <c r="E237" s="4207"/>
      <c r="F237" s="4212" t="s">
        <v>1553</v>
      </c>
      <c r="I237" s="3748"/>
      <c r="J237" s="2291"/>
      <c r="K237" s="3738"/>
      <c r="L237" s="5112" t="str">
        <f>_Calcs_Klasse!$ALX$36</f>
        <v>Boltelengde fordeling (≤ 4 m)</v>
      </c>
      <c r="M237" s="5111"/>
      <c r="N237" s="5111"/>
      <c r="O237" s="5095" t="s">
        <v>149</v>
      </c>
      <c r="P237" s="5111"/>
      <c r="Q237" s="5110" t="s">
        <v>954</v>
      </c>
      <c r="R237" s="3739"/>
      <c r="S237" s="3810"/>
      <c r="T237" s="4375"/>
      <c r="W237" s="4768"/>
      <c r="X237" s="6803"/>
      <c r="Y237" s="6804"/>
      <c r="Z237" s="4795"/>
      <c r="AA237" s="4796"/>
      <c r="AB237" s="4797"/>
      <c r="AC237" s="6805" t="e">
        <f>_Calcs_Klasse!$AMB$42</f>
        <v>#N/A</v>
      </c>
      <c r="AD237" s="6806"/>
      <c r="AE237" s="6806"/>
      <c r="AF237" s="6806"/>
      <c r="AG237" s="6807"/>
      <c r="AH237" s="4798"/>
      <c r="AI237" s="4799"/>
      <c r="AJ237" s="4799"/>
      <c r="AK237" s="4800"/>
      <c r="AL237" s="4801"/>
      <c r="AM237" s="4802"/>
      <c r="AN237" s="4796"/>
      <c r="AO237" s="4803"/>
      <c r="AP237" s="4804" t="e">
        <f>_Calcs_Klasse!$AMB$43</f>
        <v>#N/A</v>
      </c>
      <c r="AQ237" s="4805"/>
      <c r="AR237" s="4806"/>
      <c r="AS237" s="4807"/>
      <c r="AT237" s="4801"/>
      <c r="AU237" s="4808"/>
      <c r="AV237" s="4796"/>
      <c r="AW237" s="4809"/>
      <c r="AX237" s="4804" t="e">
        <f>_Calcs_Klasse!$AMB$44</f>
        <v>#N/A</v>
      </c>
      <c r="AY237" s="4810"/>
      <c r="AZ237" s="4799"/>
      <c r="BA237" s="4811"/>
      <c r="BB237" s="4801"/>
      <c r="BC237" s="4812"/>
      <c r="BD237" s="4796"/>
      <c r="BE237" s="4813"/>
      <c r="BF237" s="4804" t="e">
        <f>_Calcs_Klasse!$AMB$45</f>
        <v>#N/A</v>
      </c>
      <c r="BG237" s="4814"/>
      <c r="BH237" s="4815"/>
      <c r="BI237" s="4816"/>
      <c r="BJ237" s="4801"/>
      <c r="BK237" s="4817"/>
      <c r="BL237" s="4796"/>
      <c r="BM237" s="4818"/>
      <c r="BN237" s="4804" t="e">
        <f>_Calcs_Klasse!$AMB$46</f>
        <v>#N/A</v>
      </c>
      <c r="BO237" s="4819"/>
      <c r="BP237" s="4815"/>
      <c r="BQ237" s="4820"/>
      <c r="BR237" s="4801"/>
      <c r="BS237" s="4821"/>
      <c r="BT237" s="4796"/>
      <c r="BU237" s="4822"/>
      <c r="BV237" s="4804" t="e">
        <f>_Calcs_Klasse!$AMB$47</f>
        <v>#N/A</v>
      </c>
      <c r="BW237" s="4823"/>
      <c r="BX237" s="4815"/>
      <c r="BY237" s="4824"/>
      <c r="BZ237" s="4801"/>
      <c r="CA237" s="4825"/>
      <c r="CB237" s="4796"/>
      <c r="CC237" s="4826"/>
      <c r="CD237" s="4804" t="e">
        <f>_Calcs_Klasse!$AMB$48</f>
        <v>#N/A</v>
      </c>
      <c r="CE237" s="4827"/>
      <c r="CF237" s="4815"/>
      <c r="CG237" s="4828"/>
      <c r="CH237" s="4801"/>
      <c r="CI237" s="4829"/>
      <c r="CJ237" s="4796"/>
      <c r="CK237" s="4830"/>
      <c r="CL237" s="4804" t="e">
        <f>_Calcs_Klasse!$AMB$49</f>
        <v>#N/A</v>
      </c>
      <c r="CM237" s="4713"/>
    </row>
    <row r="238" spans="1:91" s="34" customFormat="1" ht="15" customHeight="1" thickBot="1" x14ac:dyDescent="0.25">
      <c r="A238" s="4207"/>
      <c r="B238" s="4207"/>
      <c r="C238" s="4207"/>
      <c r="D238" s="4207"/>
      <c r="E238" s="4207"/>
      <c r="F238" s="4212"/>
      <c r="I238" s="3748"/>
      <c r="J238" s="2291"/>
      <c r="K238" s="3738"/>
      <c r="L238" s="5111"/>
      <c r="M238" s="5111"/>
      <c r="N238" s="5111"/>
      <c r="O238" s="5111"/>
      <c r="P238" s="5111"/>
      <c r="Q238" s="5110"/>
      <c r="R238" s="3739"/>
      <c r="S238" s="3810"/>
      <c r="T238" s="4375"/>
      <c r="W238" s="4768"/>
      <c r="X238" s="4831"/>
      <c r="Y238" s="4831"/>
      <c r="Z238" s="4832"/>
      <c r="AA238" s="4575"/>
      <c r="AB238" s="4833"/>
      <c r="AC238" s="4834"/>
      <c r="AD238" s="4834"/>
      <c r="AE238" s="4834"/>
      <c r="AF238" s="4834"/>
      <c r="AG238" s="4834"/>
      <c r="AH238" s="4835"/>
      <c r="AI238" s="4568"/>
      <c r="AJ238" s="4568"/>
      <c r="AK238" s="4836"/>
      <c r="AL238" s="4635"/>
      <c r="AM238" s="4837"/>
      <c r="AN238" s="4575"/>
      <c r="AO238" s="4838"/>
      <c r="AP238" s="4839"/>
      <c r="AQ238" s="4840"/>
      <c r="AR238" s="3435"/>
      <c r="AS238" s="4841"/>
      <c r="AT238" s="4641"/>
      <c r="AU238" s="4842"/>
      <c r="AV238" s="4575"/>
      <c r="AW238" s="4843"/>
      <c r="AX238" s="4844"/>
      <c r="AY238" s="4845"/>
      <c r="AZ238" s="4568"/>
      <c r="BA238" s="4846"/>
      <c r="BB238" s="4647"/>
      <c r="BC238" s="4847"/>
      <c r="BD238" s="4575"/>
      <c r="BE238" s="4848"/>
      <c r="BF238" s="4849"/>
      <c r="BG238" s="4850"/>
      <c r="BH238" s="4445"/>
      <c r="BI238" s="4851"/>
      <c r="BJ238" s="4653"/>
      <c r="BK238" s="4852"/>
      <c r="BL238" s="4575"/>
      <c r="BM238" s="4853"/>
      <c r="BN238" s="4854"/>
      <c r="BO238" s="4855"/>
      <c r="BP238" s="4445"/>
      <c r="BQ238" s="4856"/>
      <c r="BR238" s="4659"/>
      <c r="BS238" s="4857"/>
      <c r="BT238" s="4575"/>
      <c r="BU238" s="4858"/>
      <c r="BV238" s="4859"/>
      <c r="BW238" s="4860"/>
      <c r="BX238" s="4445"/>
      <c r="BY238" s="4861"/>
      <c r="BZ238" s="4665"/>
      <c r="CA238" s="4862"/>
      <c r="CB238" s="4575"/>
      <c r="CC238" s="4863"/>
      <c r="CD238" s="4864"/>
      <c r="CE238" s="4865"/>
      <c r="CF238" s="4445"/>
      <c r="CG238" s="4866"/>
      <c r="CH238" s="4671"/>
      <c r="CI238" s="4867"/>
      <c r="CJ238" s="4575"/>
      <c r="CK238" s="4868"/>
      <c r="CL238" s="4869"/>
      <c r="CM238" s="4713"/>
    </row>
    <row r="239" spans="1:91" s="34" customFormat="1" ht="24.95" customHeight="1" thickBot="1" x14ac:dyDescent="0.25">
      <c r="A239" s="4207"/>
      <c r="B239" s="4207"/>
      <c r="C239" s="4207"/>
      <c r="D239" s="4207"/>
      <c r="E239" s="4207"/>
      <c r="F239" s="4212" t="s">
        <v>1553</v>
      </c>
      <c r="I239" s="3748"/>
      <c r="J239" s="2291"/>
      <c r="K239" s="3738"/>
      <c r="L239" s="5112" t="str">
        <f>_Calcs_Klasse!$AMG$36</f>
        <v>Boltelengde fordeling (&gt; 4 m)</v>
      </c>
      <c r="M239" s="5111"/>
      <c r="N239" s="5111"/>
      <c r="O239" s="5095" t="s">
        <v>149</v>
      </c>
      <c r="P239" s="5111"/>
      <c r="Q239" s="5110" t="s">
        <v>954</v>
      </c>
      <c r="R239" s="3739"/>
      <c r="S239" s="3810"/>
      <c r="T239" s="4375"/>
      <c r="W239" s="4768"/>
      <c r="X239" s="6805" t="str">
        <f>_Calcs_Klasse!$AMI$42</f>
        <v/>
      </c>
      <c r="Y239" s="6807"/>
      <c r="Z239" s="4832"/>
      <c r="AA239" s="4870"/>
      <c r="AB239" s="4871"/>
      <c r="AC239" s="6805" t="e">
        <f>_Calcs_Klasse!$AMK$42</f>
        <v>#N/A</v>
      </c>
      <c r="AD239" s="6806"/>
      <c r="AE239" s="6806"/>
      <c r="AF239" s="6806"/>
      <c r="AG239" s="6807"/>
      <c r="AH239" s="4835"/>
      <c r="AI239" s="4870"/>
      <c r="AJ239" s="4870"/>
      <c r="AK239" s="4872"/>
      <c r="AL239" s="4873" t="str">
        <f>_Calcs_Klasse!$AMI$43</f>
        <v/>
      </c>
      <c r="AM239" s="4837"/>
      <c r="AN239" s="4870"/>
      <c r="AO239" s="4874"/>
      <c r="AP239" s="4804" t="e">
        <f>_Calcs_Klasse!$AMK$43</f>
        <v>#N/A</v>
      </c>
      <c r="AQ239" s="4840"/>
      <c r="AR239" s="4875"/>
      <c r="AS239" s="4876"/>
      <c r="AT239" s="4873" t="str">
        <f>_Calcs_Klasse!$AMI$44</f>
        <v/>
      </c>
      <c r="AU239" s="4842"/>
      <c r="AV239" s="4870"/>
      <c r="AW239" s="4877"/>
      <c r="AX239" s="4804" t="e">
        <f>_Calcs_Klasse!$AMK$44</f>
        <v>#N/A</v>
      </c>
      <c r="AY239" s="4845"/>
      <c r="AZ239" s="4870"/>
      <c r="BA239" s="4878"/>
      <c r="BB239" s="4873" t="str">
        <f>_Calcs_Klasse!$AMI$45</f>
        <v/>
      </c>
      <c r="BC239" s="4847"/>
      <c r="BD239" s="4870"/>
      <c r="BE239" s="4879"/>
      <c r="BF239" s="4804" t="e">
        <f>_Calcs_Klasse!$AMK$45</f>
        <v>#N/A</v>
      </c>
      <c r="BG239" s="4850"/>
      <c r="BH239" s="4880"/>
      <c r="BI239" s="4881"/>
      <c r="BJ239" s="4873" t="str">
        <f>_Calcs_Klasse!$AMI$46</f>
        <v/>
      </c>
      <c r="BK239" s="4852"/>
      <c r="BL239" s="4870"/>
      <c r="BM239" s="4882"/>
      <c r="BN239" s="4804" t="e">
        <f>_Calcs_Klasse!$AMK$46</f>
        <v>#N/A</v>
      </c>
      <c r="BO239" s="4855"/>
      <c r="BP239" s="4880"/>
      <c r="BQ239" s="4883"/>
      <c r="BR239" s="4873" t="str">
        <f>_Calcs_Klasse!$AMI$47</f>
        <v/>
      </c>
      <c r="BS239" s="4857"/>
      <c r="BT239" s="4870"/>
      <c r="BU239" s="4884"/>
      <c r="BV239" s="4804" t="e">
        <f>_Calcs_Klasse!$AMK$47</f>
        <v>#N/A</v>
      </c>
      <c r="BW239" s="4860"/>
      <c r="BX239" s="4880"/>
      <c r="BY239" s="4885"/>
      <c r="BZ239" s="4873" t="str">
        <f>_Calcs_Klasse!$AMI$48</f>
        <v/>
      </c>
      <c r="CA239" s="4862"/>
      <c r="CB239" s="4870"/>
      <c r="CC239" s="4886"/>
      <c r="CD239" s="4804" t="e">
        <f>_Calcs_Klasse!$AMK$48</f>
        <v>#N/A</v>
      </c>
      <c r="CE239" s="4865"/>
      <c r="CF239" s="4880"/>
      <c r="CG239" s="4887"/>
      <c r="CH239" s="4873" t="str">
        <f>_Calcs_Klasse!$AMI$49</f>
        <v/>
      </c>
      <c r="CI239" s="4867"/>
      <c r="CJ239" s="4870"/>
      <c r="CK239" s="4888"/>
      <c r="CL239" s="4804" t="e">
        <f>_Calcs_Klasse!$AMK$49</f>
        <v>#N/A</v>
      </c>
      <c r="CM239" s="4713"/>
    </row>
    <row r="240" spans="1:91" s="8" customFormat="1" ht="15" customHeight="1" thickBot="1" x14ac:dyDescent="0.25">
      <c r="A240" s="4203"/>
      <c r="B240" s="4203"/>
      <c r="C240" s="4203"/>
      <c r="D240" s="4203"/>
      <c r="E240" s="4203"/>
      <c r="F240" s="4212"/>
      <c r="I240" s="2728"/>
      <c r="J240" s="10"/>
      <c r="K240" s="3633"/>
      <c r="L240" s="3796"/>
      <c r="M240" s="3796"/>
      <c r="N240" s="3796"/>
      <c r="O240" s="3795"/>
      <c r="P240" s="3796"/>
      <c r="Q240" s="3797"/>
      <c r="R240" s="3634"/>
      <c r="S240" s="3810"/>
      <c r="T240" s="4373"/>
      <c r="W240" s="4714"/>
      <c r="X240" s="4715"/>
      <c r="Y240" s="4715"/>
      <c r="Z240" s="4716"/>
      <c r="AA240" s="4575"/>
      <c r="AB240" s="4769"/>
      <c r="AC240" s="4770"/>
      <c r="AD240" s="4770"/>
      <c r="AE240" s="4770"/>
      <c r="AF240" s="4770"/>
      <c r="AG240" s="4770"/>
      <c r="AH240" s="4771"/>
      <c r="AI240" s="4568"/>
      <c r="AJ240" s="4568"/>
      <c r="AK240" s="4720"/>
      <c r="AL240" s="4721"/>
      <c r="AM240" s="4722"/>
      <c r="AN240" s="4575"/>
      <c r="AO240" s="4772"/>
      <c r="AP240" s="4773"/>
      <c r="AQ240" s="4774"/>
      <c r="AR240" s="3435"/>
      <c r="AS240" s="4726"/>
      <c r="AT240" s="4727"/>
      <c r="AU240" s="4728"/>
      <c r="AV240" s="4575"/>
      <c r="AW240" s="4775"/>
      <c r="AX240" s="4776"/>
      <c r="AY240" s="4777"/>
      <c r="AZ240" s="4568"/>
      <c r="BA240" s="4732"/>
      <c r="BB240" s="4733"/>
      <c r="BC240" s="4734"/>
      <c r="BD240" s="4575"/>
      <c r="BE240" s="4778"/>
      <c r="BF240" s="4779"/>
      <c r="BG240" s="4780"/>
      <c r="BH240" s="4445"/>
      <c r="BI240" s="4738"/>
      <c r="BJ240" s="4739"/>
      <c r="BK240" s="4740"/>
      <c r="BL240" s="4575"/>
      <c r="BM240" s="4781"/>
      <c r="BN240" s="4782"/>
      <c r="BO240" s="4783"/>
      <c r="BP240" s="4445"/>
      <c r="BQ240" s="4744"/>
      <c r="BR240" s="4745"/>
      <c r="BS240" s="4746"/>
      <c r="BT240" s="4575"/>
      <c r="BU240" s="4784"/>
      <c r="BV240" s="4785"/>
      <c r="BW240" s="4786"/>
      <c r="BX240" s="4445"/>
      <c r="BY240" s="4750"/>
      <c r="BZ240" s="4751"/>
      <c r="CA240" s="4752"/>
      <c r="CB240" s="4575"/>
      <c r="CC240" s="4787"/>
      <c r="CD240" s="4788"/>
      <c r="CE240" s="4789"/>
      <c r="CF240" s="4445"/>
      <c r="CG240" s="4756"/>
      <c r="CH240" s="4757"/>
      <c r="CI240" s="4758"/>
      <c r="CJ240" s="4575"/>
      <c r="CK240" s="4790"/>
      <c r="CL240" s="4791"/>
      <c r="CM240" s="4792"/>
    </row>
    <row r="241" spans="1:91" s="8" customFormat="1" ht="35.1" customHeight="1" x14ac:dyDescent="0.25">
      <c r="A241" s="4203"/>
      <c r="B241" s="4203"/>
      <c r="C241" s="4203"/>
      <c r="D241" s="4203"/>
      <c r="E241" s="4203"/>
      <c r="F241" s="4212"/>
      <c r="L241" s="21"/>
      <c r="M241" s="21"/>
      <c r="N241" s="21"/>
      <c r="O241" s="13"/>
      <c r="P241" s="21"/>
      <c r="Q241" s="15"/>
      <c r="S241" s="16"/>
      <c r="T241" s="4373"/>
      <c r="U241" s="181"/>
      <c r="V241" s="181"/>
      <c r="W241" s="3435"/>
      <c r="X241" s="3435"/>
      <c r="Y241" s="3435"/>
      <c r="Z241" s="3435"/>
      <c r="AA241" s="3435"/>
      <c r="AB241" s="3435"/>
      <c r="AC241" s="4762"/>
      <c r="AD241" s="4762"/>
      <c r="AE241" s="4762"/>
      <c r="AF241" s="4762"/>
      <c r="AG241" s="4762"/>
      <c r="AH241" s="3435"/>
      <c r="AI241" s="3435"/>
      <c r="AJ241" s="3435"/>
      <c r="AK241" s="3435"/>
      <c r="AL241" s="3435"/>
      <c r="AM241" s="3435"/>
      <c r="AN241" s="3435"/>
      <c r="AO241" s="3435"/>
      <c r="AP241" s="4762"/>
      <c r="AQ241" s="3435"/>
      <c r="AR241" s="3435"/>
      <c r="AS241" s="3435"/>
      <c r="AT241" s="3435"/>
      <c r="AU241" s="3435"/>
      <c r="AV241" s="3435"/>
      <c r="AW241" s="3435"/>
      <c r="AX241" s="4762"/>
      <c r="AY241" s="3435"/>
      <c r="AZ241" s="3435"/>
      <c r="BA241" s="3435"/>
      <c r="BB241" s="3435"/>
      <c r="BC241" s="3435"/>
      <c r="BD241" s="3435"/>
      <c r="BE241" s="3435"/>
      <c r="BF241" s="4762"/>
      <c r="BG241" s="3435"/>
      <c r="BH241" s="3435"/>
      <c r="BI241" s="3435"/>
      <c r="BJ241" s="3435"/>
      <c r="BK241" s="3435"/>
      <c r="BL241" s="3435"/>
      <c r="BM241" s="3435"/>
      <c r="BN241" s="4762"/>
      <c r="BO241" s="3435"/>
      <c r="BP241" s="3435"/>
      <c r="BQ241" s="3435"/>
      <c r="BR241" s="3435"/>
      <c r="BS241" s="3435"/>
      <c r="BT241" s="3435"/>
      <c r="BU241" s="3435"/>
      <c r="BV241" s="4762"/>
      <c r="BW241" s="3435"/>
      <c r="BX241" s="3435"/>
      <c r="BY241" s="3435"/>
      <c r="BZ241" s="3435"/>
      <c r="CA241" s="3435"/>
      <c r="CB241" s="3435"/>
      <c r="CC241" s="3435"/>
      <c r="CD241" s="4762"/>
      <c r="CE241" s="3435"/>
      <c r="CF241" s="3435"/>
      <c r="CG241" s="3435"/>
      <c r="CH241" s="3435"/>
      <c r="CI241" s="3435"/>
      <c r="CJ241" s="3435"/>
      <c r="CK241" s="3435"/>
      <c r="CL241" s="4762"/>
      <c r="CM241" s="3435"/>
    </row>
    <row r="242" spans="1:91" s="2720" customFormat="1" ht="15" customHeight="1" x14ac:dyDescent="0.25">
      <c r="A242" s="4206"/>
      <c r="B242" s="4206"/>
      <c r="C242" s="4206"/>
      <c r="D242" s="4206"/>
      <c r="E242" s="4206"/>
      <c r="F242" s="4210"/>
      <c r="I242" s="3310"/>
      <c r="J242" s="3310"/>
      <c r="K242" s="3310"/>
      <c r="L242" s="3790"/>
      <c r="M242" s="3790"/>
      <c r="N242" s="3790"/>
      <c r="O242" s="4219"/>
      <c r="P242" s="3790"/>
      <c r="Q242" s="4222"/>
      <c r="R242" s="3310"/>
      <c r="S242" s="435"/>
      <c r="T242" s="4373"/>
      <c r="W242" s="4763"/>
      <c r="X242" s="4763"/>
      <c r="Y242" s="4763"/>
      <c r="Z242" s="4763"/>
      <c r="AA242" s="4763"/>
      <c r="AB242" s="4763"/>
      <c r="AC242" s="4764"/>
      <c r="AD242" s="4764"/>
      <c r="AE242" s="4764"/>
      <c r="AF242" s="4764"/>
      <c r="AG242" s="4764"/>
      <c r="AH242" s="4763"/>
      <c r="AI242" s="4763"/>
      <c r="AJ242" s="4763"/>
      <c r="AK242" s="4763"/>
      <c r="AL242" s="4763"/>
      <c r="AM242" s="4763"/>
      <c r="AN242" s="4763"/>
      <c r="AO242" s="4763"/>
      <c r="AP242" s="4764"/>
      <c r="AQ242" s="4763"/>
      <c r="AR242" s="4763"/>
      <c r="AS242" s="4763"/>
      <c r="AT242" s="4763"/>
      <c r="AU242" s="4763"/>
      <c r="AV242" s="4763"/>
      <c r="AW242" s="4763"/>
      <c r="AX242" s="4764"/>
      <c r="AY242" s="4763"/>
      <c r="AZ242" s="4763"/>
      <c r="BA242" s="4763"/>
      <c r="BB242" s="4763"/>
      <c r="BC242" s="4763"/>
      <c r="BD242" s="4763"/>
      <c r="BE242" s="4763"/>
      <c r="BF242" s="4764"/>
      <c r="BG242" s="4763"/>
      <c r="BH242" s="4763"/>
      <c r="BI242" s="4763"/>
      <c r="BJ242" s="4763"/>
      <c r="BK242" s="4763"/>
      <c r="BL242" s="4763"/>
      <c r="BM242" s="4763"/>
      <c r="BN242" s="4764"/>
      <c r="BO242" s="4763"/>
      <c r="BP242" s="4763"/>
      <c r="BQ242" s="4763"/>
      <c r="BR242" s="4763"/>
      <c r="BS242" s="4763"/>
      <c r="BT242" s="4763"/>
      <c r="BU242" s="4763"/>
      <c r="BV242" s="4764"/>
      <c r="BW242" s="4763"/>
      <c r="BX242" s="4763"/>
      <c r="BY242" s="4763"/>
      <c r="BZ242" s="4763"/>
      <c r="CA242" s="4763"/>
      <c r="CB242" s="4763"/>
      <c r="CC242" s="4763"/>
      <c r="CD242" s="4764"/>
      <c r="CE242" s="4763"/>
      <c r="CF242" s="4763"/>
      <c r="CG242" s="4763"/>
      <c r="CH242" s="4763"/>
      <c r="CI242" s="4763"/>
      <c r="CJ242" s="4763"/>
      <c r="CK242" s="4763"/>
      <c r="CL242" s="4764"/>
      <c r="CM242" s="4763"/>
    </row>
    <row r="243" spans="1:91" s="181" customFormat="1" ht="35.1" customHeight="1" thickBot="1" x14ac:dyDescent="0.3">
      <c r="A243" s="4205"/>
      <c r="B243" s="4205"/>
      <c r="C243" s="4205"/>
      <c r="D243" s="4205"/>
      <c r="E243" s="4205"/>
      <c r="F243" s="4211"/>
      <c r="K243" s="2373"/>
      <c r="L243" s="2625"/>
      <c r="M243" s="2625"/>
      <c r="N243" s="2625"/>
      <c r="O243" s="2737"/>
      <c r="P243" s="207"/>
      <c r="Q243" s="402"/>
      <c r="R243" s="2809"/>
      <c r="S243" s="3675"/>
      <c r="T243" s="4373"/>
      <c r="W243" s="4489"/>
      <c r="X243" s="4489"/>
      <c r="Y243" s="4489"/>
      <c r="Z243" s="4489"/>
      <c r="AA243" s="4489"/>
      <c r="AB243" s="4489"/>
      <c r="AC243" s="4766"/>
      <c r="AD243" s="4766"/>
      <c r="AE243" s="4766"/>
      <c r="AF243" s="4766"/>
      <c r="AG243" s="4766"/>
      <c r="AH243" s="4489"/>
      <c r="AI243" s="4489"/>
      <c r="AJ243" s="4489"/>
      <c r="AK243" s="4489"/>
      <c r="AL243" s="4489"/>
      <c r="AM243" s="4489"/>
      <c r="AN243" s="4489"/>
      <c r="AO243" s="4489"/>
      <c r="AP243" s="4766"/>
      <c r="AQ243" s="4489"/>
      <c r="AR243" s="3435"/>
      <c r="AS243" s="4489"/>
      <c r="AT243" s="4489"/>
      <c r="AU243" s="4489"/>
      <c r="AV243" s="4489"/>
      <c r="AW243" s="4489"/>
      <c r="AX243" s="4766"/>
      <c r="AY243" s="4489"/>
      <c r="AZ243" s="4489"/>
      <c r="BA243" s="4489"/>
      <c r="BB243" s="4489"/>
      <c r="BC243" s="4489"/>
      <c r="BD243" s="4489"/>
      <c r="BE243" s="4489"/>
      <c r="BF243" s="4766"/>
      <c r="BG243" s="4489"/>
      <c r="BH243" s="3435"/>
      <c r="BI243" s="4489"/>
      <c r="BJ243" s="4489"/>
      <c r="BK243" s="4489"/>
      <c r="BL243" s="4489"/>
      <c r="BM243" s="4489"/>
      <c r="BN243" s="4766"/>
      <c r="BO243" s="4489"/>
      <c r="BP243" s="3435"/>
      <c r="BQ243" s="4489"/>
      <c r="BR243" s="4489"/>
      <c r="BS243" s="4489"/>
      <c r="BT243" s="4489"/>
      <c r="BU243" s="4489"/>
      <c r="BV243" s="4766"/>
      <c r="BW243" s="4489"/>
      <c r="BX243" s="3435"/>
      <c r="BY243" s="4489"/>
      <c r="BZ243" s="4489"/>
      <c r="CA243" s="4489"/>
      <c r="CB243" s="4489"/>
      <c r="CC243" s="4489"/>
      <c r="CD243" s="4766"/>
      <c r="CE243" s="4489"/>
      <c r="CF243" s="3435"/>
      <c r="CG243" s="4489"/>
      <c r="CH243" s="4489"/>
      <c r="CI243" s="4489"/>
      <c r="CJ243" s="4489"/>
      <c r="CK243" s="4489"/>
      <c r="CL243" s="4766"/>
      <c r="CM243" s="4489"/>
    </row>
    <row r="244" spans="1:91" s="8" customFormat="1" ht="20.100000000000001" customHeight="1" thickBot="1" x14ac:dyDescent="0.25">
      <c r="A244" s="4203"/>
      <c r="B244" s="4203"/>
      <c r="C244" s="4203"/>
      <c r="D244" s="4203"/>
      <c r="E244" s="4203"/>
      <c r="F244" s="4212"/>
      <c r="I244" s="2990"/>
      <c r="J244" s="10"/>
      <c r="K244" s="3335"/>
      <c r="L244" s="6798" t="str">
        <f>_Calcs!$M$59</f>
        <v>Bergbånd langs forbolting</v>
      </c>
      <c r="M244" s="6798"/>
      <c r="N244" s="6798"/>
      <c r="O244" s="6798"/>
      <c r="P244" s="6798"/>
      <c r="Q244" s="6798"/>
      <c r="R244" s="3653"/>
      <c r="S244" s="3660"/>
      <c r="T244" s="4373"/>
      <c r="W244" s="4574"/>
      <c r="X244" s="4574"/>
      <c r="Y244" s="4574"/>
      <c r="Z244" s="4574"/>
      <c r="AA244" s="4575"/>
      <c r="AB244" s="4574"/>
      <c r="AC244" s="4576"/>
      <c r="AD244" s="4576"/>
      <c r="AE244" s="4576"/>
      <c r="AF244" s="4576"/>
      <c r="AG244" s="4576"/>
      <c r="AH244" s="4574"/>
      <c r="AI244" s="4568"/>
      <c r="AJ244" s="4568"/>
      <c r="AK244" s="4574"/>
      <c r="AL244" s="4574"/>
      <c r="AM244" s="4574"/>
      <c r="AN244" s="4575"/>
      <c r="AO244" s="4574"/>
      <c r="AP244" s="4576"/>
      <c r="AQ244" s="4574"/>
      <c r="AR244" s="3435"/>
      <c r="AS244" s="4574"/>
      <c r="AT244" s="4574"/>
      <c r="AU244" s="4574"/>
      <c r="AV244" s="4575"/>
      <c r="AW244" s="4574"/>
      <c r="AX244" s="4576"/>
      <c r="AY244" s="4574"/>
      <c r="AZ244" s="4568"/>
      <c r="BA244" s="4574"/>
      <c r="BB244" s="4574"/>
      <c r="BC244" s="4574"/>
      <c r="BD244" s="4575"/>
      <c r="BE244" s="4574"/>
      <c r="BF244" s="4576"/>
      <c r="BG244" s="4574"/>
      <c r="BH244" s="4445"/>
      <c r="BI244" s="4574"/>
      <c r="BJ244" s="4574"/>
      <c r="BK244" s="4574"/>
      <c r="BL244" s="4575"/>
      <c r="BM244" s="4574"/>
      <c r="BN244" s="4576"/>
      <c r="BO244" s="4574"/>
      <c r="BP244" s="4445"/>
      <c r="BQ244" s="4574"/>
      <c r="BR244" s="4574"/>
      <c r="BS244" s="4574"/>
      <c r="BT244" s="4575"/>
      <c r="BU244" s="4574"/>
      <c r="BV244" s="4576"/>
      <c r="BW244" s="4574"/>
      <c r="BX244" s="4445"/>
      <c r="BY244" s="4574"/>
      <c r="BZ244" s="4574"/>
      <c r="CA244" s="4574"/>
      <c r="CB244" s="4575"/>
      <c r="CC244" s="4574"/>
      <c r="CD244" s="4576"/>
      <c r="CE244" s="4574"/>
      <c r="CF244" s="4445"/>
      <c r="CG244" s="4574"/>
      <c r="CH244" s="4574"/>
      <c r="CI244" s="4574"/>
      <c r="CJ244" s="4575"/>
      <c r="CK244" s="4574"/>
      <c r="CL244" s="4576"/>
      <c r="CM244" s="4574"/>
    </row>
    <row r="245" spans="1:91" s="8" customFormat="1" ht="15" customHeight="1" thickBot="1" x14ac:dyDescent="0.25">
      <c r="A245" s="4203"/>
      <c r="B245" s="4203"/>
      <c r="C245" s="4203"/>
      <c r="D245" s="4203"/>
      <c r="E245" s="4203"/>
      <c r="F245" s="4212"/>
      <c r="I245" s="6795" t="str">
        <f>_Calcs!$L$59</f>
        <v>Bergbånd</v>
      </c>
      <c r="J245" s="10"/>
      <c r="K245" s="3336"/>
      <c r="L245" s="6799"/>
      <c r="M245" s="6799"/>
      <c r="N245" s="6799"/>
      <c r="O245" s="6799"/>
      <c r="P245" s="6799"/>
      <c r="Q245" s="6799"/>
      <c r="R245" s="3654"/>
      <c r="S245" s="3660"/>
      <c r="T245" s="4373"/>
      <c r="W245" s="4577"/>
      <c r="X245" s="4578"/>
      <c r="Y245" s="4578"/>
      <c r="Z245" s="4579"/>
      <c r="AA245" s="4489"/>
      <c r="AB245" s="4580"/>
      <c r="AC245" s="4581"/>
      <c r="AD245" s="4581"/>
      <c r="AE245" s="4581"/>
      <c r="AF245" s="4581"/>
      <c r="AG245" s="4581"/>
      <c r="AH245" s="4582"/>
      <c r="AI245" s="4568"/>
      <c r="AJ245" s="4568"/>
      <c r="AK245" s="4583"/>
      <c r="AL245" s="4584"/>
      <c r="AM245" s="4585"/>
      <c r="AN245" s="4489"/>
      <c r="AO245" s="4586"/>
      <c r="AP245" s="4587"/>
      <c r="AQ245" s="4588"/>
      <c r="AR245" s="3435"/>
      <c r="AS245" s="4589"/>
      <c r="AT245" s="4590"/>
      <c r="AU245" s="4591"/>
      <c r="AV245" s="4489"/>
      <c r="AW245" s="4592"/>
      <c r="AX245" s="4593"/>
      <c r="AY245" s="4594"/>
      <c r="AZ245" s="4568"/>
      <c r="BA245" s="4595"/>
      <c r="BB245" s="4596"/>
      <c r="BC245" s="4597"/>
      <c r="BD245" s="4489"/>
      <c r="BE245" s="4598"/>
      <c r="BF245" s="4599"/>
      <c r="BG245" s="4600"/>
      <c r="BH245" s="4445"/>
      <c r="BI245" s="4601"/>
      <c r="BJ245" s="4602"/>
      <c r="BK245" s="4603"/>
      <c r="BL245" s="4489"/>
      <c r="BM245" s="4604"/>
      <c r="BN245" s="4605"/>
      <c r="BO245" s="4606"/>
      <c r="BP245" s="4445"/>
      <c r="BQ245" s="4607"/>
      <c r="BR245" s="4608"/>
      <c r="BS245" s="4609"/>
      <c r="BT245" s="4489"/>
      <c r="BU245" s="4610"/>
      <c r="BV245" s="4611"/>
      <c r="BW245" s="4612"/>
      <c r="BX245" s="4445"/>
      <c r="BY245" s="4613"/>
      <c r="BZ245" s="4614"/>
      <c r="CA245" s="4615"/>
      <c r="CB245" s="4489"/>
      <c r="CC245" s="4616"/>
      <c r="CD245" s="4617"/>
      <c r="CE245" s="4618"/>
      <c r="CF245" s="4445"/>
      <c r="CG245" s="4619"/>
      <c r="CH245" s="4620"/>
      <c r="CI245" s="4621"/>
      <c r="CJ245" s="4489"/>
      <c r="CK245" s="4622"/>
      <c r="CL245" s="4623"/>
      <c r="CM245" s="4624"/>
    </row>
    <row r="246" spans="1:91" s="8" customFormat="1" ht="7.5" customHeight="1" thickBot="1" x14ac:dyDescent="0.25">
      <c r="A246" s="4203"/>
      <c r="B246" s="4203"/>
      <c r="C246" s="4203"/>
      <c r="D246" s="4203"/>
      <c r="E246" s="4203"/>
      <c r="F246" s="4212"/>
      <c r="I246" s="6795"/>
      <c r="J246" s="10"/>
      <c r="K246" s="14"/>
      <c r="L246" s="129"/>
      <c r="M246" s="129"/>
      <c r="N246" s="129"/>
      <c r="O246" s="16"/>
      <c r="P246" s="17"/>
      <c r="Q246" s="17"/>
      <c r="R246" s="17"/>
      <c r="S246" s="16"/>
      <c r="T246" s="4373"/>
      <c r="W246" s="4574"/>
      <c r="X246" s="4625"/>
      <c r="Y246" s="4625"/>
      <c r="Z246" s="4626"/>
      <c r="AA246" s="4575"/>
      <c r="AB246" s="4574"/>
      <c r="AC246" s="4627"/>
      <c r="AD246" s="4627"/>
      <c r="AE246" s="4627"/>
      <c r="AF246" s="4627"/>
      <c r="AG246" s="4627"/>
      <c r="AH246" s="4626"/>
      <c r="AI246" s="4568"/>
      <c r="AJ246" s="4568"/>
      <c r="AK246" s="4574"/>
      <c r="AL246" s="4625"/>
      <c r="AM246" s="4626"/>
      <c r="AN246" s="4575"/>
      <c r="AO246" s="4574"/>
      <c r="AP246" s="4627"/>
      <c r="AQ246" s="4626"/>
      <c r="AR246" s="3435"/>
      <c r="AS246" s="4574"/>
      <c r="AT246" s="4625"/>
      <c r="AU246" s="4626"/>
      <c r="AV246" s="4575"/>
      <c r="AW246" s="4574"/>
      <c r="AX246" s="4627"/>
      <c r="AY246" s="4626"/>
      <c r="AZ246" s="4568"/>
      <c r="BA246" s="4574"/>
      <c r="BB246" s="4625"/>
      <c r="BC246" s="4626"/>
      <c r="BD246" s="4575"/>
      <c r="BE246" s="4574"/>
      <c r="BF246" s="4627"/>
      <c r="BG246" s="4626"/>
      <c r="BH246" s="4445"/>
      <c r="BI246" s="4574"/>
      <c r="BJ246" s="4625"/>
      <c r="BK246" s="4626"/>
      <c r="BL246" s="4575"/>
      <c r="BM246" s="4574"/>
      <c r="BN246" s="4627"/>
      <c r="BO246" s="4626"/>
      <c r="BP246" s="4445"/>
      <c r="BQ246" s="4574"/>
      <c r="BR246" s="4625"/>
      <c r="BS246" s="4626"/>
      <c r="BT246" s="4575"/>
      <c r="BU246" s="4574"/>
      <c r="BV246" s="4627"/>
      <c r="BW246" s="4626"/>
      <c r="BX246" s="4445"/>
      <c r="BY246" s="4574"/>
      <c r="BZ246" s="4625"/>
      <c r="CA246" s="4626"/>
      <c r="CB246" s="4575"/>
      <c r="CC246" s="4574"/>
      <c r="CD246" s="4627"/>
      <c r="CE246" s="4626"/>
      <c r="CF246" s="4445"/>
      <c r="CG246" s="4574"/>
      <c r="CH246" s="4625"/>
      <c r="CI246" s="4626"/>
      <c r="CJ246" s="4575"/>
      <c r="CK246" s="4574"/>
      <c r="CL246" s="4627"/>
      <c r="CM246" s="4626"/>
    </row>
    <row r="247" spans="1:91" s="8" customFormat="1" ht="15" customHeight="1" thickBot="1" x14ac:dyDescent="0.25">
      <c r="A247" s="4203"/>
      <c r="B247" s="4203"/>
      <c r="C247" s="4203"/>
      <c r="D247" s="4203"/>
      <c r="E247" s="4203"/>
      <c r="F247" s="4212"/>
      <c r="I247" s="6795"/>
      <c r="J247" s="10"/>
      <c r="K247" s="3329"/>
      <c r="L247" s="3330"/>
      <c r="M247" s="3330"/>
      <c r="N247" s="3330"/>
      <c r="O247" s="3331"/>
      <c r="P247" s="3332"/>
      <c r="Q247" s="3332"/>
      <c r="R247" s="3626"/>
      <c r="S247" s="2798"/>
      <c r="T247" s="4373"/>
      <c r="W247" s="4628"/>
      <c r="X247" s="4629"/>
      <c r="Y247" s="4629"/>
      <c r="Z247" s="4630"/>
      <c r="AA247" s="4575"/>
      <c r="AB247" s="4631"/>
      <c r="AC247" s="4632"/>
      <c r="AD247" s="4632"/>
      <c r="AE247" s="4632"/>
      <c r="AF247" s="4632"/>
      <c r="AG247" s="4632"/>
      <c r="AH247" s="4633"/>
      <c r="AI247" s="4568"/>
      <c r="AJ247" s="4568"/>
      <c r="AK247" s="4634"/>
      <c r="AL247" s="4635"/>
      <c r="AM247" s="4636"/>
      <c r="AN247" s="4575"/>
      <c r="AO247" s="4637"/>
      <c r="AP247" s="4638"/>
      <c r="AQ247" s="4639"/>
      <c r="AR247" s="3435"/>
      <c r="AS247" s="4640"/>
      <c r="AT247" s="4641"/>
      <c r="AU247" s="4642"/>
      <c r="AV247" s="4575"/>
      <c r="AW247" s="4643"/>
      <c r="AX247" s="4644"/>
      <c r="AY247" s="4645"/>
      <c r="AZ247" s="4568"/>
      <c r="BA247" s="4646"/>
      <c r="BB247" s="4647"/>
      <c r="BC247" s="4648"/>
      <c r="BD247" s="4575"/>
      <c r="BE247" s="4649"/>
      <c r="BF247" s="4650"/>
      <c r="BG247" s="4651"/>
      <c r="BH247" s="4445"/>
      <c r="BI247" s="4652"/>
      <c r="BJ247" s="4653"/>
      <c r="BK247" s="4654"/>
      <c r="BL247" s="4575"/>
      <c r="BM247" s="4655"/>
      <c r="BN247" s="4656"/>
      <c r="BO247" s="4657"/>
      <c r="BP247" s="4445"/>
      <c r="BQ247" s="4658"/>
      <c r="BR247" s="4659"/>
      <c r="BS247" s="4660"/>
      <c r="BT247" s="4575"/>
      <c r="BU247" s="4661"/>
      <c r="BV247" s="4662"/>
      <c r="BW247" s="4663"/>
      <c r="BX247" s="4445"/>
      <c r="BY247" s="4664"/>
      <c r="BZ247" s="4665"/>
      <c r="CA247" s="4666"/>
      <c r="CB247" s="4575"/>
      <c r="CC247" s="4667"/>
      <c r="CD247" s="4668"/>
      <c r="CE247" s="4669"/>
      <c r="CF247" s="4445"/>
      <c r="CG247" s="4670"/>
      <c r="CH247" s="4671"/>
      <c r="CI247" s="4672"/>
      <c r="CJ247" s="4575"/>
      <c r="CK247" s="4673"/>
      <c r="CL247" s="4674"/>
      <c r="CM247" s="4675"/>
    </row>
    <row r="248" spans="1:91" s="34" customFormat="1" ht="24.95" customHeight="1" thickBot="1" x14ac:dyDescent="0.25">
      <c r="A248" s="4207"/>
      <c r="B248" s="4207"/>
      <c r="C248" s="4207"/>
      <c r="D248" s="5153" t="s">
        <v>2193</v>
      </c>
      <c r="E248" s="4207"/>
      <c r="F248" s="4212" t="s">
        <v>1553</v>
      </c>
      <c r="I248" s="3765" t="s">
        <v>1989</v>
      </c>
      <c r="J248" s="2291"/>
      <c r="K248" s="3708"/>
      <c r="L248" s="4377" t="str">
        <f>_Calcs_Klasse!$AES$36</f>
        <v>Bergbånd overlappingsfaktor</v>
      </c>
      <c r="M248" s="4377"/>
      <c r="N248" s="5098"/>
      <c r="O248" s="5140" t="s">
        <v>149</v>
      </c>
      <c r="P248" s="5098"/>
      <c r="Q248" s="5096" t="s">
        <v>78</v>
      </c>
      <c r="R248" s="3706"/>
      <c r="S248" s="2798"/>
      <c r="T248" s="4375"/>
      <c r="W248" s="4768"/>
      <c r="X248" s="6808">
        <v>1.5</v>
      </c>
      <c r="Y248" s="6809"/>
      <c r="Z248" s="4677"/>
      <c r="AA248" s="4678"/>
      <c r="AB248" s="4679"/>
      <c r="AC248" s="6810" t="e">
        <f>_Calcs_Klasse!$AEX$42</f>
        <v>#N/A</v>
      </c>
      <c r="AD248" s="6811"/>
      <c r="AE248" s="6811"/>
      <c r="AF248" s="6811"/>
      <c r="AG248" s="6812"/>
      <c r="AH248" s="4680"/>
      <c r="AI248" s="4681"/>
      <c r="AJ248" s="4681"/>
      <c r="AK248" s="4682"/>
      <c r="AL248" s="4683">
        <v>2</v>
      </c>
      <c r="AM248" s="4684"/>
      <c r="AN248" s="4678"/>
      <c r="AO248" s="4685"/>
      <c r="AP248" s="4686" t="e">
        <f>_Calcs_Klasse!$AEX$43</f>
        <v>#N/A</v>
      </c>
      <c r="AQ248" s="4687"/>
      <c r="AR248" s="4688"/>
      <c r="AS248" s="4689"/>
      <c r="AT248" s="4683">
        <v>2</v>
      </c>
      <c r="AU248" s="4690"/>
      <c r="AV248" s="4678"/>
      <c r="AW248" s="4691"/>
      <c r="AX248" s="4686" t="e">
        <f>_Calcs_Klasse!$AEX$44</f>
        <v>#N/A</v>
      </c>
      <c r="AY248" s="4692"/>
      <c r="AZ248" s="4681"/>
      <c r="BA248" s="4693"/>
      <c r="BB248" s="4683">
        <v>2</v>
      </c>
      <c r="BC248" s="4694"/>
      <c r="BD248" s="4678"/>
      <c r="BE248" s="4695"/>
      <c r="BF248" s="4686" t="e">
        <f>_Calcs_Klasse!$AEX$45</f>
        <v>#N/A</v>
      </c>
      <c r="BG248" s="4696"/>
      <c r="BH248" s="4697"/>
      <c r="BI248" s="4698"/>
      <c r="BJ248" s="4683">
        <v>2</v>
      </c>
      <c r="BK248" s="4699"/>
      <c r="BL248" s="4678"/>
      <c r="BM248" s="4700"/>
      <c r="BN248" s="4686" t="e">
        <f>_Calcs_Klasse!$AEX$46</f>
        <v>#N/A</v>
      </c>
      <c r="BO248" s="4701"/>
      <c r="BP248" s="4697"/>
      <c r="BQ248" s="4702"/>
      <c r="BR248" s="4683">
        <v>2</v>
      </c>
      <c r="BS248" s="4703"/>
      <c r="BT248" s="4678"/>
      <c r="BU248" s="4704"/>
      <c r="BV248" s="4686" t="e">
        <f>_Calcs_Klasse!$AEX$47</f>
        <v>#N/A</v>
      </c>
      <c r="BW248" s="4705"/>
      <c r="BX248" s="4697"/>
      <c r="BY248" s="4706"/>
      <c r="BZ248" s="4683"/>
      <c r="CA248" s="4707"/>
      <c r="CB248" s="4678"/>
      <c r="CC248" s="4708"/>
      <c r="CD248" s="4686" t="e">
        <f>_Calcs_Klasse!$AEX$48</f>
        <v>#N/A</v>
      </c>
      <c r="CE248" s="4709"/>
      <c r="CF248" s="4697"/>
      <c r="CG248" s="4710"/>
      <c r="CH248" s="4683"/>
      <c r="CI248" s="4711"/>
      <c r="CJ248" s="4678"/>
      <c r="CK248" s="4712"/>
      <c r="CL248" s="4686" t="e">
        <f>_Calcs_Klasse!$AEX$49</f>
        <v>#N/A</v>
      </c>
      <c r="CM248" s="4713"/>
    </row>
    <row r="249" spans="1:91" s="8" customFormat="1" ht="15" customHeight="1" thickBot="1" x14ac:dyDescent="0.25">
      <c r="A249" s="4203"/>
      <c r="B249" s="4203"/>
      <c r="C249" s="4203"/>
      <c r="D249" s="4203"/>
      <c r="E249" s="4203"/>
      <c r="F249" s="4212"/>
      <c r="I249" s="3765"/>
      <c r="J249" s="10"/>
      <c r="K249" s="3321"/>
      <c r="L249" s="3322"/>
      <c r="M249" s="3322"/>
      <c r="N249" s="3322"/>
      <c r="O249" s="3323"/>
      <c r="P249" s="3324"/>
      <c r="Q249" s="3324"/>
      <c r="R249" s="3628"/>
      <c r="S249" s="3728"/>
      <c r="T249" s="4373"/>
      <c r="W249" s="4714"/>
      <c r="X249" s="4715"/>
      <c r="Y249" s="4715"/>
      <c r="Z249" s="4716"/>
      <c r="AA249" s="4575"/>
      <c r="AB249" s="4717"/>
      <c r="AC249" s="4718"/>
      <c r="AD249" s="4718"/>
      <c r="AE249" s="4718"/>
      <c r="AF249" s="4718"/>
      <c r="AG249" s="4718"/>
      <c r="AH249" s="4719"/>
      <c r="AI249" s="4568"/>
      <c r="AJ249" s="4568"/>
      <c r="AK249" s="4720"/>
      <c r="AL249" s="4721"/>
      <c r="AM249" s="4722"/>
      <c r="AN249" s="4575"/>
      <c r="AO249" s="4723"/>
      <c r="AP249" s="4724"/>
      <c r="AQ249" s="4725"/>
      <c r="AR249" s="3435"/>
      <c r="AS249" s="4726"/>
      <c r="AT249" s="4727"/>
      <c r="AU249" s="4728"/>
      <c r="AV249" s="4575"/>
      <c r="AW249" s="4729"/>
      <c r="AX249" s="4730"/>
      <c r="AY249" s="4731"/>
      <c r="AZ249" s="4568"/>
      <c r="BA249" s="4732"/>
      <c r="BB249" s="4733"/>
      <c r="BC249" s="4734"/>
      <c r="BD249" s="4575"/>
      <c r="BE249" s="4735"/>
      <c r="BF249" s="4736"/>
      <c r="BG249" s="4737"/>
      <c r="BH249" s="4445"/>
      <c r="BI249" s="4738"/>
      <c r="BJ249" s="4739"/>
      <c r="BK249" s="4740"/>
      <c r="BL249" s="4575"/>
      <c r="BM249" s="4741"/>
      <c r="BN249" s="4742"/>
      <c r="BO249" s="4743"/>
      <c r="BP249" s="4445"/>
      <c r="BQ249" s="4744"/>
      <c r="BR249" s="4745"/>
      <c r="BS249" s="4746"/>
      <c r="BT249" s="4575"/>
      <c r="BU249" s="4747"/>
      <c r="BV249" s="4748"/>
      <c r="BW249" s="4749"/>
      <c r="BX249" s="4445"/>
      <c r="BY249" s="4750"/>
      <c r="BZ249" s="4751"/>
      <c r="CA249" s="4752"/>
      <c r="CB249" s="4575"/>
      <c r="CC249" s="4753"/>
      <c r="CD249" s="4754"/>
      <c r="CE249" s="4755"/>
      <c r="CF249" s="4445"/>
      <c r="CG249" s="4756"/>
      <c r="CH249" s="4757"/>
      <c r="CI249" s="4758"/>
      <c r="CJ249" s="4575"/>
      <c r="CK249" s="4759"/>
      <c r="CL249" s="4760"/>
      <c r="CM249" s="4761"/>
    </row>
    <row r="250" spans="1:91" s="8" customFormat="1" ht="35.1" customHeight="1" thickBot="1" x14ac:dyDescent="0.3">
      <c r="A250" s="4203"/>
      <c r="B250" s="4203"/>
      <c r="C250" s="4203"/>
      <c r="D250" s="4203"/>
      <c r="E250" s="4203"/>
      <c r="F250" s="4203"/>
      <c r="I250" s="3765"/>
      <c r="L250" s="21"/>
      <c r="M250" s="21"/>
      <c r="N250" s="21"/>
      <c r="O250" s="13"/>
      <c r="P250" s="21"/>
      <c r="Q250" s="15"/>
      <c r="S250" s="16"/>
      <c r="T250" s="4373"/>
      <c r="U250" s="181"/>
      <c r="V250" s="181"/>
      <c r="W250" s="3435"/>
      <c r="X250" s="3435"/>
      <c r="Y250" s="3435"/>
      <c r="Z250" s="3435"/>
      <c r="AA250" s="3435"/>
      <c r="AB250" s="3435"/>
      <c r="AC250" s="4762"/>
      <c r="AD250" s="4762"/>
      <c r="AE250" s="4762"/>
      <c r="AF250" s="4762"/>
      <c r="AG250" s="4762"/>
      <c r="AH250" s="3435"/>
      <c r="AI250" s="3435"/>
      <c r="AJ250" s="3435"/>
      <c r="AK250" s="3435"/>
      <c r="AL250" s="3435"/>
      <c r="AM250" s="3435"/>
      <c r="AN250" s="3435"/>
      <c r="AO250" s="3435"/>
      <c r="AP250" s="4762"/>
      <c r="AQ250" s="3435"/>
      <c r="AR250" s="3435"/>
      <c r="AS250" s="3435"/>
      <c r="AT250" s="3435"/>
      <c r="AU250" s="3435"/>
      <c r="AV250" s="3435"/>
      <c r="AW250" s="3435"/>
      <c r="AX250" s="4762"/>
      <c r="AY250" s="3435"/>
      <c r="AZ250" s="3435"/>
      <c r="BA250" s="3435"/>
      <c r="BB250" s="3435"/>
      <c r="BC250" s="3435"/>
      <c r="BD250" s="3435"/>
      <c r="BE250" s="3435"/>
      <c r="BF250" s="4762"/>
      <c r="BG250" s="3435"/>
      <c r="BH250" s="3435"/>
      <c r="BI250" s="3435"/>
      <c r="BJ250" s="3435"/>
      <c r="BK250" s="3435"/>
      <c r="BL250" s="3435"/>
      <c r="BM250" s="3435"/>
      <c r="BN250" s="4762"/>
      <c r="BO250" s="3435"/>
      <c r="BP250" s="3435"/>
      <c r="BQ250" s="3435"/>
      <c r="BR250" s="3435"/>
      <c r="BS250" s="3435"/>
      <c r="BT250" s="3435"/>
      <c r="BU250" s="3435"/>
      <c r="BV250" s="4762"/>
      <c r="BW250" s="3435"/>
      <c r="BX250" s="3435"/>
      <c r="BY250" s="3435"/>
      <c r="BZ250" s="3435"/>
      <c r="CA250" s="3435"/>
      <c r="CB250" s="3435"/>
      <c r="CC250" s="3435"/>
      <c r="CD250" s="4762"/>
      <c r="CE250" s="3435"/>
      <c r="CF250" s="3435"/>
      <c r="CG250" s="3435"/>
      <c r="CH250" s="3435"/>
      <c r="CI250" s="3435"/>
      <c r="CJ250" s="3435"/>
      <c r="CK250" s="3435"/>
      <c r="CL250" s="4762"/>
      <c r="CM250" s="3435"/>
    </row>
    <row r="251" spans="1:91" s="8" customFormat="1" ht="20.100000000000001" customHeight="1" thickBot="1" x14ac:dyDescent="0.25">
      <c r="A251" s="4203"/>
      <c r="B251" s="4203"/>
      <c r="C251" s="4203"/>
      <c r="D251" s="4203"/>
      <c r="E251" s="4203"/>
      <c r="F251" s="4212"/>
      <c r="I251" s="3765"/>
      <c r="J251" s="10"/>
      <c r="K251" s="3335"/>
      <c r="L251" s="6798" t="str">
        <f>_Calcs_Klasse!$AFB$35</f>
        <v>Tilleggs-bergbånd</v>
      </c>
      <c r="M251" s="6798"/>
      <c r="N251" s="6798"/>
      <c r="O251" s="6798"/>
      <c r="P251" s="6798"/>
      <c r="Q251" s="6798"/>
      <c r="R251" s="3653"/>
      <c r="S251" s="3660"/>
      <c r="T251" s="4373"/>
      <c r="W251" s="4574"/>
      <c r="X251" s="4574"/>
      <c r="Y251" s="4574"/>
      <c r="Z251" s="4574"/>
      <c r="AA251" s="4575"/>
      <c r="AB251" s="4574"/>
      <c r="AC251" s="4576"/>
      <c r="AD251" s="4576"/>
      <c r="AE251" s="4576"/>
      <c r="AF251" s="4576"/>
      <c r="AG251" s="4576"/>
      <c r="AH251" s="4574"/>
      <c r="AI251" s="4568"/>
      <c r="AJ251" s="4568"/>
      <c r="AK251" s="4574"/>
      <c r="AL251" s="4574"/>
      <c r="AM251" s="4574"/>
      <c r="AN251" s="4575"/>
      <c r="AO251" s="4574"/>
      <c r="AP251" s="4576"/>
      <c r="AQ251" s="4574"/>
      <c r="AR251" s="3435"/>
      <c r="AS251" s="4574"/>
      <c r="AT251" s="4574"/>
      <c r="AU251" s="4574"/>
      <c r="AV251" s="4575"/>
      <c r="AW251" s="4574"/>
      <c r="AX251" s="4576"/>
      <c r="AY251" s="4574"/>
      <c r="AZ251" s="4568"/>
      <c r="BA251" s="4574"/>
      <c r="BB251" s="4574"/>
      <c r="BC251" s="4574"/>
      <c r="BD251" s="4575"/>
      <c r="BE251" s="4574"/>
      <c r="BF251" s="4576"/>
      <c r="BG251" s="4574"/>
      <c r="BH251" s="4445"/>
      <c r="BI251" s="4574"/>
      <c r="BJ251" s="4574"/>
      <c r="BK251" s="4574"/>
      <c r="BL251" s="4575"/>
      <c r="BM251" s="4574"/>
      <c r="BN251" s="4576"/>
      <c r="BO251" s="4574"/>
      <c r="BP251" s="4445"/>
      <c r="BQ251" s="4574"/>
      <c r="BR251" s="4574"/>
      <c r="BS251" s="4574"/>
      <c r="BT251" s="4575"/>
      <c r="BU251" s="4574"/>
      <c r="BV251" s="4576"/>
      <c r="BW251" s="4574"/>
      <c r="BX251" s="4445"/>
      <c r="BY251" s="4574"/>
      <c r="BZ251" s="4574"/>
      <c r="CA251" s="4574"/>
      <c r="CB251" s="4575"/>
      <c r="CC251" s="4574"/>
      <c r="CD251" s="4576"/>
      <c r="CE251" s="4574"/>
      <c r="CF251" s="4445"/>
      <c r="CG251" s="4574"/>
      <c r="CH251" s="4574"/>
      <c r="CI251" s="4574"/>
      <c r="CJ251" s="4575"/>
      <c r="CK251" s="4574"/>
      <c r="CL251" s="4576"/>
      <c r="CM251" s="4574"/>
    </row>
    <row r="252" spans="1:91" s="8" customFormat="1" ht="15" customHeight="1" thickBot="1" x14ac:dyDescent="0.25">
      <c r="A252" s="4203"/>
      <c r="B252" s="4203"/>
      <c r="C252" s="4203"/>
      <c r="D252" s="4203"/>
      <c r="E252" s="4203"/>
      <c r="F252" s="4212"/>
      <c r="I252" s="6795"/>
      <c r="J252" s="10"/>
      <c r="K252" s="3336"/>
      <c r="L252" s="6799"/>
      <c r="M252" s="6799"/>
      <c r="N252" s="6799"/>
      <c r="O252" s="6799"/>
      <c r="P252" s="6799"/>
      <c r="Q252" s="6799"/>
      <c r="R252" s="3654"/>
      <c r="S252" s="3660"/>
      <c r="T252" s="4373"/>
      <c r="W252" s="4577"/>
      <c r="X252" s="4578"/>
      <c r="Y252" s="4578"/>
      <c r="Z252" s="4579"/>
      <c r="AA252" s="4489"/>
      <c r="AB252" s="4580"/>
      <c r="AC252" s="4581"/>
      <c r="AD252" s="4581"/>
      <c r="AE252" s="4581"/>
      <c r="AF252" s="4581"/>
      <c r="AG252" s="4581"/>
      <c r="AH252" s="4582"/>
      <c r="AI252" s="4568"/>
      <c r="AJ252" s="4568"/>
      <c r="AK252" s="4583"/>
      <c r="AL252" s="4584"/>
      <c r="AM252" s="4585"/>
      <c r="AN252" s="4489"/>
      <c r="AO252" s="4586"/>
      <c r="AP252" s="4587"/>
      <c r="AQ252" s="4588"/>
      <c r="AR252" s="3435"/>
      <c r="AS252" s="4589"/>
      <c r="AT252" s="4590"/>
      <c r="AU252" s="4591"/>
      <c r="AV252" s="4489"/>
      <c r="AW252" s="4592"/>
      <c r="AX252" s="4593"/>
      <c r="AY252" s="4594"/>
      <c r="AZ252" s="4568"/>
      <c r="BA252" s="4595"/>
      <c r="BB252" s="4596"/>
      <c r="BC252" s="4597"/>
      <c r="BD252" s="4489"/>
      <c r="BE252" s="4598"/>
      <c r="BF252" s="4599"/>
      <c r="BG252" s="4600"/>
      <c r="BH252" s="4445"/>
      <c r="BI252" s="4601"/>
      <c r="BJ252" s="4602"/>
      <c r="BK252" s="4603"/>
      <c r="BL252" s="4489"/>
      <c r="BM252" s="4604"/>
      <c r="BN252" s="4605"/>
      <c r="BO252" s="4606"/>
      <c r="BP252" s="4445"/>
      <c r="BQ252" s="4607"/>
      <c r="BR252" s="4608"/>
      <c r="BS252" s="4609"/>
      <c r="BT252" s="4489"/>
      <c r="BU252" s="4610"/>
      <c r="BV252" s="4611"/>
      <c r="BW252" s="4612"/>
      <c r="BX252" s="4445"/>
      <c r="BY252" s="4613"/>
      <c r="BZ252" s="4614"/>
      <c r="CA252" s="4615"/>
      <c r="CB252" s="4489"/>
      <c r="CC252" s="4616"/>
      <c r="CD252" s="4617"/>
      <c r="CE252" s="4618"/>
      <c r="CF252" s="4445"/>
      <c r="CG252" s="4619"/>
      <c r="CH252" s="4620"/>
      <c r="CI252" s="4621"/>
      <c r="CJ252" s="4489"/>
      <c r="CK252" s="4622"/>
      <c r="CL252" s="4623"/>
      <c r="CM252" s="4624"/>
    </row>
    <row r="253" spans="1:91" s="8" customFormat="1" ht="7.5" customHeight="1" thickBot="1" x14ac:dyDescent="0.25">
      <c r="A253" s="4203"/>
      <c r="B253" s="4203"/>
      <c r="C253" s="4203"/>
      <c r="D253" s="4203"/>
      <c r="E253" s="4203"/>
      <c r="F253" s="4212"/>
      <c r="I253" s="6795"/>
      <c r="J253" s="10"/>
      <c r="K253" s="14"/>
      <c r="L253" s="129"/>
      <c r="M253" s="129"/>
      <c r="N253" s="129"/>
      <c r="O253" s="16"/>
      <c r="P253" s="17"/>
      <c r="Q253" s="17"/>
      <c r="R253" s="17"/>
      <c r="S253" s="16"/>
      <c r="T253" s="4373"/>
      <c r="W253" s="4574"/>
      <c r="X253" s="4625"/>
      <c r="Y253" s="4625"/>
      <c r="Z253" s="4626"/>
      <c r="AA253" s="4575"/>
      <c r="AB253" s="4574"/>
      <c r="AC253" s="4627"/>
      <c r="AD253" s="4627"/>
      <c r="AE253" s="4627"/>
      <c r="AF253" s="4627"/>
      <c r="AG253" s="4627"/>
      <c r="AH253" s="4626"/>
      <c r="AI253" s="4568"/>
      <c r="AJ253" s="4568"/>
      <c r="AK253" s="4574"/>
      <c r="AL253" s="4625"/>
      <c r="AM253" s="4626"/>
      <c r="AN253" s="4575"/>
      <c r="AO253" s="4574"/>
      <c r="AP253" s="4627"/>
      <c r="AQ253" s="4626"/>
      <c r="AR253" s="3435"/>
      <c r="AS253" s="4574"/>
      <c r="AT253" s="4625"/>
      <c r="AU253" s="4626"/>
      <c r="AV253" s="4575"/>
      <c r="AW253" s="4574"/>
      <c r="AX253" s="4627"/>
      <c r="AY253" s="4626"/>
      <c r="AZ253" s="4568"/>
      <c r="BA253" s="4574"/>
      <c r="BB253" s="4625"/>
      <c r="BC253" s="4626"/>
      <c r="BD253" s="4575"/>
      <c r="BE253" s="4574"/>
      <c r="BF253" s="4627"/>
      <c r="BG253" s="4626"/>
      <c r="BH253" s="4445"/>
      <c r="BI253" s="4574"/>
      <c r="BJ253" s="4625"/>
      <c r="BK253" s="4626"/>
      <c r="BL253" s="4575"/>
      <c r="BM253" s="4574"/>
      <c r="BN253" s="4627"/>
      <c r="BO253" s="4626"/>
      <c r="BP253" s="4445"/>
      <c r="BQ253" s="4574"/>
      <c r="BR253" s="4625"/>
      <c r="BS253" s="4626"/>
      <c r="BT253" s="4575"/>
      <c r="BU253" s="4574"/>
      <c r="BV253" s="4627"/>
      <c r="BW253" s="4626"/>
      <c r="BX253" s="4445"/>
      <c r="BY253" s="4574"/>
      <c r="BZ253" s="4625"/>
      <c r="CA253" s="4626"/>
      <c r="CB253" s="4575"/>
      <c r="CC253" s="4574"/>
      <c r="CD253" s="4627"/>
      <c r="CE253" s="4626"/>
      <c r="CF253" s="4445"/>
      <c r="CG253" s="4574"/>
      <c r="CH253" s="4625"/>
      <c r="CI253" s="4626"/>
      <c r="CJ253" s="4575"/>
      <c r="CK253" s="4574"/>
      <c r="CL253" s="4627"/>
      <c r="CM253" s="4626"/>
    </row>
    <row r="254" spans="1:91" s="8" customFormat="1" ht="15" customHeight="1" thickBot="1" x14ac:dyDescent="0.25">
      <c r="A254" s="4203"/>
      <c r="B254" s="4203"/>
      <c r="C254" s="4203"/>
      <c r="D254" s="4203"/>
      <c r="E254" s="4203"/>
      <c r="F254" s="4212"/>
      <c r="I254" s="6795"/>
      <c r="J254" s="10"/>
      <c r="K254" s="3329"/>
      <c r="L254" s="3330"/>
      <c r="M254" s="3330"/>
      <c r="N254" s="3330"/>
      <c r="O254" s="3331"/>
      <c r="P254" s="3332"/>
      <c r="Q254" s="3332"/>
      <c r="R254" s="3626"/>
      <c r="S254" s="2798"/>
      <c r="T254" s="4373"/>
      <c r="W254" s="4628"/>
      <c r="X254" s="4629"/>
      <c r="Y254" s="4629"/>
      <c r="Z254" s="4630"/>
      <c r="AA254" s="4575"/>
      <c r="AB254" s="4631"/>
      <c r="AC254" s="4632"/>
      <c r="AD254" s="4632"/>
      <c r="AE254" s="4632"/>
      <c r="AF254" s="4632"/>
      <c r="AG254" s="4632"/>
      <c r="AH254" s="4633"/>
      <c r="AI254" s="4568"/>
      <c r="AJ254" s="4568"/>
      <c r="AK254" s="4634"/>
      <c r="AL254" s="4635"/>
      <c r="AM254" s="4636"/>
      <c r="AN254" s="4575"/>
      <c r="AO254" s="4637"/>
      <c r="AP254" s="4638"/>
      <c r="AQ254" s="4639"/>
      <c r="AR254" s="3435"/>
      <c r="AS254" s="4640"/>
      <c r="AT254" s="4641"/>
      <c r="AU254" s="4642"/>
      <c r="AV254" s="4575"/>
      <c r="AW254" s="4643"/>
      <c r="AX254" s="4644"/>
      <c r="AY254" s="4645"/>
      <c r="AZ254" s="4568"/>
      <c r="BA254" s="4646"/>
      <c r="BB254" s="4647"/>
      <c r="BC254" s="4648"/>
      <c r="BD254" s="4575"/>
      <c r="BE254" s="4649"/>
      <c r="BF254" s="4650"/>
      <c r="BG254" s="4651"/>
      <c r="BH254" s="4445"/>
      <c r="BI254" s="4652"/>
      <c r="BJ254" s="4653"/>
      <c r="BK254" s="4654"/>
      <c r="BL254" s="4575"/>
      <c r="BM254" s="4655"/>
      <c r="BN254" s="4656"/>
      <c r="BO254" s="4657"/>
      <c r="BP254" s="4445"/>
      <c r="BQ254" s="4658"/>
      <c r="BR254" s="4659"/>
      <c r="BS254" s="4660"/>
      <c r="BT254" s="4575"/>
      <c r="BU254" s="4661"/>
      <c r="BV254" s="4662"/>
      <c r="BW254" s="4663"/>
      <c r="BX254" s="4445"/>
      <c r="BY254" s="4664"/>
      <c r="BZ254" s="4665"/>
      <c r="CA254" s="4666"/>
      <c r="CB254" s="4575"/>
      <c r="CC254" s="4667"/>
      <c r="CD254" s="4668"/>
      <c r="CE254" s="4669"/>
      <c r="CF254" s="4445"/>
      <c r="CG254" s="4670"/>
      <c r="CH254" s="4671"/>
      <c r="CI254" s="4672"/>
      <c r="CJ254" s="4575"/>
      <c r="CK254" s="4673"/>
      <c r="CL254" s="4674"/>
      <c r="CM254" s="4675"/>
    </row>
    <row r="255" spans="1:91" s="34" customFormat="1" ht="24.95" customHeight="1" thickBot="1" x14ac:dyDescent="0.25">
      <c r="A255" s="4207"/>
      <c r="B255" s="4207"/>
      <c r="C255" s="4207"/>
      <c r="D255" s="5153" t="s">
        <v>2193</v>
      </c>
      <c r="E255" s="4207"/>
      <c r="F255" s="4212" t="s">
        <v>1553</v>
      </c>
      <c r="I255" s="3765"/>
      <c r="J255" s="2291"/>
      <c r="K255" s="3708"/>
      <c r="L255" s="4377" t="str">
        <f>_Calcs_Klasse!$AFB$36</f>
        <v>Tilleggs-bergbånd per metre av tunnel</v>
      </c>
      <c r="M255" s="4377"/>
      <c r="N255" s="5098"/>
      <c r="O255" s="5140" t="s">
        <v>149</v>
      </c>
      <c r="P255" s="5098"/>
      <c r="Q255" s="5096" t="s">
        <v>2414</v>
      </c>
      <c r="R255" s="3706"/>
      <c r="S255" s="2798"/>
      <c r="T255" s="4375"/>
      <c r="W255" s="4768"/>
      <c r="X255" s="6808"/>
      <c r="Y255" s="6809"/>
      <c r="Z255" s="4677"/>
      <c r="AA255" s="4678"/>
      <c r="AB255" s="4679"/>
      <c r="AC255" s="6810" t="e">
        <f>_Calcs_Klasse!$AFF$42</f>
        <v>#N/A</v>
      </c>
      <c r="AD255" s="6811"/>
      <c r="AE255" s="6811"/>
      <c r="AF255" s="6811"/>
      <c r="AG255" s="6812"/>
      <c r="AH255" s="4680"/>
      <c r="AI255" s="4681"/>
      <c r="AJ255" s="4681"/>
      <c r="AK255" s="4682"/>
      <c r="AL255" s="4683"/>
      <c r="AM255" s="4684"/>
      <c r="AN255" s="4678"/>
      <c r="AO255" s="4685"/>
      <c r="AP255" s="4686" t="e">
        <f>_Calcs_Klasse!$AFF$43</f>
        <v>#N/A</v>
      </c>
      <c r="AQ255" s="4687"/>
      <c r="AR255" s="4688"/>
      <c r="AS255" s="4689"/>
      <c r="AT255" s="4683"/>
      <c r="AU255" s="4690"/>
      <c r="AV255" s="4678"/>
      <c r="AW255" s="4691"/>
      <c r="AX255" s="4686" t="e">
        <f>_Calcs_Klasse!$AFF$44</f>
        <v>#N/A</v>
      </c>
      <c r="AY255" s="4692"/>
      <c r="AZ255" s="4681"/>
      <c r="BA255" s="4693"/>
      <c r="BB255" s="4683"/>
      <c r="BC255" s="4694"/>
      <c r="BD255" s="4678"/>
      <c r="BE255" s="4695"/>
      <c r="BF255" s="4686" t="e">
        <f>_Calcs_Klasse!$AFF$45</f>
        <v>#N/A</v>
      </c>
      <c r="BG255" s="4696"/>
      <c r="BH255" s="4697"/>
      <c r="BI255" s="4698"/>
      <c r="BJ255" s="4683"/>
      <c r="BK255" s="4699"/>
      <c r="BL255" s="4678"/>
      <c r="BM255" s="4700"/>
      <c r="BN255" s="4686" t="e">
        <f>_Calcs_Klasse!$AFF$46</f>
        <v>#N/A</v>
      </c>
      <c r="BO255" s="4701"/>
      <c r="BP255" s="4697"/>
      <c r="BQ255" s="4702"/>
      <c r="BR255" s="4683"/>
      <c r="BS255" s="4703"/>
      <c r="BT255" s="4678"/>
      <c r="BU255" s="4704"/>
      <c r="BV255" s="4686" t="e">
        <f>_Calcs_Klasse!$AFF$47</f>
        <v>#N/A</v>
      </c>
      <c r="BW255" s="4705"/>
      <c r="BX255" s="4697"/>
      <c r="BY255" s="4706"/>
      <c r="BZ255" s="4683"/>
      <c r="CA255" s="4707"/>
      <c r="CB255" s="4678"/>
      <c r="CC255" s="4708"/>
      <c r="CD255" s="4686" t="e">
        <f>_Calcs_Klasse!$AFF$48</f>
        <v>#N/A</v>
      </c>
      <c r="CE255" s="4709"/>
      <c r="CF255" s="4697"/>
      <c r="CG255" s="4710"/>
      <c r="CH255" s="4683"/>
      <c r="CI255" s="4711"/>
      <c r="CJ255" s="4678"/>
      <c r="CK255" s="4712"/>
      <c r="CL255" s="4686" t="e">
        <f>_Calcs_Klasse!$AFF$49</f>
        <v>#N/A</v>
      </c>
      <c r="CM255" s="4713"/>
    </row>
    <row r="256" spans="1:91" s="8" customFormat="1" ht="15" customHeight="1" thickBot="1" x14ac:dyDescent="0.25">
      <c r="A256" s="4203"/>
      <c r="B256" s="4203"/>
      <c r="C256" s="4203"/>
      <c r="D256" s="4203"/>
      <c r="E256" s="4203"/>
      <c r="F256" s="4212"/>
      <c r="I256" s="2725"/>
      <c r="J256" s="10"/>
      <c r="K256" s="3321"/>
      <c r="L256" s="3322"/>
      <c r="M256" s="3322"/>
      <c r="N256" s="3322"/>
      <c r="O256" s="3323"/>
      <c r="P256" s="3324"/>
      <c r="Q256" s="3324"/>
      <c r="R256" s="3628"/>
      <c r="S256" s="3728"/>
      <c r="T256" s="4373"/>
      <c r="W256" s="4714"/>
      <c r="X256" s="4715"/>
      <c r="Y256" s="4715"/>
      <c r="Z256" s="4716"/>
      <c r="AA256" s="4575"/>
      <c r="AB256" s="4717"/>
      <c r="AC256" s="4718"/>
      <c r="AD256" s="4718"/>
      <c r="AE256" s="4718"/>
      <c r="AF256" s="4718"/>
      <c r="AG256" s="4718"/>
      <c r="AH256" s="4719"/>
      <c r="AI256" s="4568"/>
      <c r="AJ256" s="4568"/>
      <c r="AK256" s="4720"/>
      <c r="AL256" s="4721"/>
      <c r="AM256" s="4722"/>
      <c r="AN256" s="4575"/>
      <c r="AO256" s="4723"/>
      <c r="AP256" s="4724"/>
      <c r="AQ256" s="4725"/>
      <c r="AR256" s="3435"/>
      <c r="AS256" s="4726"/>
      <c r="AT256" s="4727"/>
      <c r="AU256" s="4728"/>
      <c r="AV256" s="4575"/>
      <c r="AW256" s="4729"/>
      <c r="AX256" s="4730"/>
      <c r="AY256" s="4731"/>
      <c r="AZ256" s="4568"/>
      <c r="BA256" s="4732"/>
      <c r="BB256" s="4733"/>
      <c r="BC256" s="4734"/>
      <c r="BD256" s="4575"/>
      <c r="BE256" s="4735"/>
      <c r="BF256" s="4736"/>
      <c r="BG256" s="4737"/>
      <c r="BH256" s="4445"/>
      <c r="BI256" s="4738"/>
      <c r="BJ256" s="4739"/>
      <c r="BK256" s="4740"/>
      <c r="BL256" s="4575"/>
      <c r="BM256" s="4741"/>
      <c r="BN256" s="4742"/>
      <c r="BO256" s="4743"/>
      <c r="BP256" s="4445"/>
      <c r="BQ256" s="4744"/>
      <c r="BR256" s="4745"/>
      <c r="BS256" s="4746"/>
      <c r="BT256" s="4575"/>
      <c r="BU256" s="4747"/>
      <c r="BV256" s="4748"/>
      <c r="BW256" s="4749"/>
      <c r="BX256" s="4445"/>
      <c r="BY256" s="4750"/>
      <c r="BZ256" s="4751"/>
      <c r="CA256" s="4752"/>
      <c r="CB256" s="4575"/>
      <c r="CC256" s="4753"/>
      <c r="CD256" s="4754"/>
      <c r="CE256" s="4755"/>
      <c r="CF256" s="4445"/>
      <c r="CG256" s="4756"/>
      <c r="CH256" s="4757"/>
      <c r="CI256" s="4758"/>
      <c r="CJ256" s="4575"/>
      <c r="CK256" s="4759"/>
      <c r="CL256" s="4760"/>
      <c r="CM256" s="4761"/>
    </row>
    <row r="257" spans="1:91" s="8" customFormat="1" ht="35.1" customHeight="1" thickBot="1" x14ac:dyDescent="0.3">
      <c r="A257" s="4203"/>
      <c r="B257" s="4203"/>
      <c r="C257" s="4203"/>
      <c r="D257" s="4203"/>
      <c r="E257" s="4203"/>
      <c r="F257" s="4203"/>
      <c r="I257" s="2725"/>
      <c r="L257" s="21"/>
      <c r="M257" s="21"/>
      <c r="N257" s="21"/>
      <c r="O257" s="13"/>
      <c r="P257" s="21"/>
      <c r="Q257" s="15"/>
      <c r="S257" s="16"/>
      <c r="T257" s="4373"/>
      <c r="U257" s="181"/>
      <c r="V257" s="181"/>
      <c r="W257" s="3435"/>
      <c r="X257" s="3435"/>
      <c r="Y257" s="3435"/>
      <c r="Z257" s="3435"/>
      <c r="AA257" s="3435"/>
      <c r="AB257" s="3435"/>
      <c r="AC257" s="4762"/>
      <c r="AD257" s="4762"/>
      <c r="AE257" s="4762"/>
      <c r="AF257" s="4762"/>
      <c r="AG257" s="4762"/>
      <c r="AH257" s="3435"/>
      <c r="AI257" s="3435"/>
      <c r="AJ257" s="3435"/>
      <c r="AK257" s="3435"/>
      <c r="AL257" s="3435"/>
      <c r="AM257" s="3435"/>
      <c r="AN257" s="3435"/>
      <c r="AO257" s="3435"/>
      <c r="AP257" s="4762"/>
      <c r="AQ257" s="3435"/>
      <c r="AR257" s="3435"/>
      <c r="AS257" s="3435"/>
      <c r="AT257" s="3435"/>
      <c r="AU257" s="3435"/>
      <c r="AV257" s="3435"/>
      <c r="AW257" s="3435"/>
      <c r="AX257" s="4762"/>
      <c r="AY257" s="3435"/>
      <c r="AZ257" s="3435"/>
      <c r="BA257" s="3435"/>
      <c r="BB257" s="3435"/>
      <c r="BC257" s="3435"/>
      <c r="BD257" s="3435"/>
      <c r="BE257" s="3435"/>
      <c r="BF257" s="4762"/>
      <c r="BG257" s="3435"/>
      <c r="BH257" s="3435"/>
      <c r="BI257" s="3435"/>
      <c r="BJ257" s="3435"/>
      <c r="BK257" s="3435"/>
      <c r="BL257" s="3435"/>
      <c r="BM257" s="3435"/>
      <c r="BN257" s="4762"/>
      <c r="BO257" s="3435"/>
      <c r="BP257" s="3435"/>
      <c r="BQ257" s="3435"/>
      <c r="BR257" s="3435"/>
      <c r="BS257" s="3435"/>
      <c r="BT257" s="3435"/>
      <c r="BU257" s="3435"/>
      <c r="BV257" s="4762"/>
      <c r="BW257" s="3435"/>
      <c r="BX257" s="3435"/>
      <c r="BY257" s="3435"/>
      <c r="BZ257" s="3435"/>
      <c r="CA257" s="3435"/>
      <c r="CB257" s="3435"/>
      <c r="CC257" s="3435"/>
      <c r="CD257" s="4762"/>
      <c r="CE257" s="3435"/>
      <c r="CF257" s="3435"/>
      <c r="CG257" s="3435"/>
      <c r="CH257" s="3435"/>
      <c r="CI257" s="3435"/>
      <c r="CJ257" s="3435"/>
      <c r="CK257" s="3435"/>
      <c r="CL257" s="4762"/>
      <c r="CM257" s="3435"/>
    </row>
    <row r="258" spans="1:91" s="8" customFormat="1" ht="20.100000000000001" customHeight="1" thickBot="1" x14ac:dyDescent="0.25">
      <c r="A258" s="4203"/>
      <c r="B258" s="4203"/>
      <c r="C258" s="4203"/>
      <c r="D258" s="4203"/>
      <c r="E258" s="4203"/>
      <c r="F258" s="4212"/>
      <c r="I258" s="3765"/>
      <c r="J258" s="10"/>
      <c r="K258" s="3335"/>
      <c r="L258" s="6798" t="str">
        <f>_Calcs!$M$61</f>
        <v>Festebolter for bergbånd og nett</v>
      </c>
      <c r="M258" s="6798"/>
      <c r="N258" s="6798"/>
      <c r="O258" s="6798"/>
      <c r="P258" s="6798"/>
      <c r="Q258" s="6798"/>
      <c r="R258" s="3653"/>
      <c r="S258" s="3660"/>
      <c r="T258" s="4373"/>
      <c r="W258" s="4574"/>
      <c r="X258" s="4574"/>
      <c r="Y258" s="4574"/>
      <c r="Z258" s="4574"/>
      <c r="AA258" s="4575"/>
      <c r="AB258" s="4574"/>
      <c r="AC258" s="4576"/>
      <c r="AD258" s="4576"/>
      <c r="AE258" s="4576"/>
      <c r="AF258" s="4576"/>
      <c r="AG258" s="4576"/>
      <c r="AH258" s="4574"/>
      <c r="AI258" s="4568"/>
      <c r="AJ258" s="4568"/>
      <c r="AK258" s="4574"/>
      <c r="AL258" s="4574"/>
      <c r="AM258" s="4574"/>
      <c r="AN258" s="4575"/>
      <c r="AO258" s="4574"/>
      <c r="AP258" s="4576"/>
      <c r="AQ258" s="4574"/>
      <c r="AR258" s="3435"/>
      <c r="AS258" s="4574"/>
      <c r="AT258" s="4574"/>
      <c r="AU258" s="4574"/>
      <c r="AV258" s="4575"/>
      <c r="AW258" s="4574"/>
      <c r="AX258" s="4576"/>
      <c r="AY258" s="4574"/>
      <c r="AZ258" s="4568"/>
      <c r="BA258" s="4574"/>
      <c r="BB258" s="4574"/>
      <c r="BC258" s="4574"/>
      <c r="BD258" s="4575"/>
      <c r="BE258" s="4574"/>
      <c r="BF258" s="4576"/>
      <c r="BG258" s="4574"/>
      <c r="BH258" s="4445"/>
      <c r="BI258" s="4574"/>
      <c r="BJ258" s="4574"/>
      <c r="BK258" s="4574"/>
      <c r="BL258" s="4575"/>
      <c r="BM258" s="4574"/>
      <c r="BN258" s="4576"/>
      <c r="BO258" s="4574"/>
      <c r="BP258" s="4445"/>
      <c r="BQ258" s="4574"/>
      <c r="BR258" s="4574"/>
      <c r="BS258" s="4574"/>
      <c r="BT258" s="4575"/>
      <c r="BU258" s="4574"/>
      <c r="BV258" s="4576"/>
      <c r="BW258" s="4574"/>
      <c r="BX258" s="4445"/>
      <c r="BY258" s="4574"/>
      <c r="BZ258" s="4574"/>
      <c r="CA258" s="4574"/>
      <c r="CB258" s="4575"/>
      <c r="CC258" s="4574"/>
      <c r="CD258" s="4576"/>
      <c r="CE258" s="4574"/>
      <c r="CF258" s="4445"/>
      <c r="CG258" s="4574"/>
      <c r="CH258" s="4574"/>
      <c r="CI258" s="4574"/>
      <c r="CJ258" s="4575"/>
      <c r="CK258" s="4574"/>
      <c r="CL258" s="4576"/>
      <c r="CM258" s="4574"/>
    </row>
    <row r="259" spans="1:91" s="8" customFormat="1" ht="15" customHeight="1" thickBot="1" x14ac:dyDescent="0.25">
      <c r="A259" s="4203"/>
      <c r="B259" s="4203"/>
      <c r="C259" s="4203"/>
      <c r="D259" s="4203"/>
      <c r="E259" s="4203"/>
      <c r="F259" s="4212"/>
      <c r="I259" s="2725"/>
      <c r="J259" s="10"/>
      <c r="K259" s="3336"/>
      <c r="L259" s="6799"/>
      <c r="M259" s="6799"/>
      <c r="N259" s="6799"/>
      <c r="O259" s="6799"/>
      <c r="P259" s="6799"/>
      <c r="Q259" s="6799"/>
      <c r="R259" s="3654"/>
      <c r="S259" s="3660"/>
      <c r="T259" s="4373"/>
      <c r="W259" s="4577"/>
      <c r="X259" s="4578"/>
      <c r="Y259" s="4578"/>
      <c r="Z259" s="4579"/>
      <c r="AA259" s="4489"/>
      <c r="AB259" s="4580"/>
      <c r="AC259" s="4581"/>
      <c r="AD259" s="4581"/>
      <c r="AE259" s="4581"/>
      <c r="AF259" s="4581"/>
      <c r="AG259" s="4581"/>
      <c r="AH259" s="4582"/>
      <c r="AI259" s="4568"/>
      <c r="AJ259" s="4568"/>
      <c r="AK259" s="4583"/>
      <c r="AL259" s="4584"/>
      <c r="AM259" s="4585"/>
      <c r="AN259" s="4489"/>
      <c r="AO259" s="4586"/>
      <c r="AP259" s="4587"/>
      <c r="AQ259" s="4588"/>
      <c r="AR259" s="3435"/>
      <c r="AS259" s="4589"/>
      <c r="AT259" s="4590"/>
      <c r="AU259" s="4591"/>
      <c r="AV259" s="4489"/>
      <c r="AW259" s="4592"/>
      <c r="AX259" s="4593"/>
      <c r="AY259" s="4594"/>
      <c r="AZ259" s="4568"/>
      <c r="BA259" s="4595"/>
      <c r="BB259" s="4596"/>
      <c r="BC259" s="4597"/>
      <c r="BD259" s="4489"/>
      <c r="BE259" s="4598"/>
      <c r="BF259" s="4599"/>
      <c r="BG259" s="4600"/>
      <c r="BH259" s="4445"/>
      <c r="BI259" s="4601"/>
      <c r="BJ259" s="4602"/>
      <c r="BK259" s="4603"/>
      <c r="BL259" s="4489"/>
      <c r="BM259" s="4604"/>
      <c r="BN259" s="4605"/>
      <c r="BO259" s="4606"/>
      <c r="BP259" s="4445"/>
      <c r="BQ259" s="4607"/>
      <c r="BR259" s="4608"/>
      <c r="BS259" s="4609"/>
      <c r="BT259" s="4489"/>
      <c r="BU259" s="4610"/>
      <c r="BV259" s="4611"/>
      <c r="BW259" s="4612"/>
      <c r="BX259" s="4445"/>
      <c r="BY259" s="4613"/>
      <c r="BZ259" s="4614"/>
      <c r="CA259" s="4615"/>
      <c r="CB259" s="4489"/>
      <c r="CC259" s="4616"/>
      <c r="CD259" s="4617"/>
      <c r="CE259" s="4618"/>
      <c r="CF259" s="4445"/>
      <c r="CG259" s="4619"/>
      <c r="CH259" s="4620"/>
      <c r="CI259" s="4621"/>
      <c r="CJ259" s="4489"/>
      <c r="CK259" s="4622"/>
      <c r="CL259" s="4623"/>
      <c r="CM259" s="4624"/>
    </row>
    <row r="260" spans="1:91" s="8" customFormat="1" ht="7.5" customHeight="1" thickBot="1" x14ac:dyDescent="0.25">
      <c r="A260" s="4203"/>
      <c r="B260" s="4203"/>
      <c r="C260" s="4203"/>
      <c r="D260" s="4203"/>
      <c r="E260" s="4203"/>
      <c r="F260" s="4212"/>
      <c r="I260" s="2725"/>
      <c r="J260" s="10"/>
      <c r="K260" s="14"/>
      <c r="L260" s="129"/>
      <c r="M260" s="129"/>
      <c r="N260" s="129"/>
      <c r="O260" s="16"/>
      <c r="P260" s="17"/>
      <c r="Q260" s="17"/>
      <c r="R260" s="17"/>
      <c r="S260" s="16"/>
      <c r="T260" s="4373"/>
      <c r="W260" s="4574"/>
      <c r="X260" s="4625"/>
      <c r="Y260" s="4625"/>
      <c r="Z260" s="4626"/>
      <c r="AA260" s="4575"/>
      <c r="AB260" s="4574"/>
      <c r="AC260" s="4627"/>
      <c r="AD260" s="4627"/>
      <c r="AE260" s="4627"/>
      <c r="AF260" s="4627"/>
      <c r="AG260" s="4627"/>
      <c r="AH260" s="4626"/>
      <c r="AI260" s="4568"/>
      <c r="AJ260" s="4568"/>
      <c r="AK260" s="4574"/>
      <c r="AL260" s="4625"/>
      <c r="AM260" s="4626"/>
      <c r="AN260" s="4575"/>
      <c r="AO260" s="4574"/>
      <c r="AP260" s="4627"/>
      <c r="AQ260" s="4626"/>
      <c r="AR260" s="3435"/>
      <c r="AS260" s="4574"/>
      <c r="AT260" s="4625"/>
      <c r="AU260" s="4626"/>
      <c r="AV260" s="4575"/>
      <c r="AW260" s="4574"/>
      <c r="AX260" s="4627"/>
      <c r="AY260" s="4626"/>
      <c r="AZ260" s="4568"/>
      <c r="BA260" s="4574"/>
      <c r="BB260" s="4625"/>
      <c r="BC260" s="4626"/>
      <c r="BD260" s="4575"/>
      <c r="BE260" s="4574"/>
      <c r="BF260" s="4627"/>
      <c r="BG260" s="4626"/>
      <c r="BH260" s="4445"/>
      <c r="BI260" s="4574"/>
      <c r="BJ260" s="4625"/>
      <c r="BK260" s="4626"/>
      <c r="BL260" s="4575"/>
      <c r="BM260" s="4574"/>
      <c r="BN260" s="4627"/>
      <c r="BO260" s="4626"/>
      <c r="BP260" s="4445"/>
      <c r="BQ260" s="4574"/>
      <c r="BR260" s="4625"/>
      <c r="BS260" s="4626"/>
      <c r="BT260" s="4575"/>
      <c r="BU260" s="4574"/>
      <c r="BV260" s="4627"/>
      <c r="BW260" s="4626"/>
      <c r="BX260" s="4445"/>
      <c r="BY260" s="4574"/>
      <c r="BZ260" s="4625"/>
      <c r="CA260" s="4626"/>
      <c r="CB260" s="4575"/>
      <c r="CC260" s="4574"/>
      <c r="CD260" s="4627"/>
      <c r="CE260" s="4626"/>
      <c r="CF260" s="4445"/>
      <c r="CG260" s="4574"/>
      <c r="CH260" s="4625"/>
      <c r="CI260" s="4626"/>
      <c r="CJ260" s="4575"/>
      <c r="CK260" s="4574"/>
      <c r="CL260" s="4627"/>
      <c r="CM260" s="4626"/>
    </row>
    <row r="261" spans="1:91" s="8" customFormat="1" ht="15" customHeight="1" thickBot="1" x14ac:dyDescent="0.25">
      <c r="A261" s="4203"/>
      <c r="B261" s="4203"/>
      <c r="C261" s="4203"/>
      <c r="D261" s="4203"/>
      <c r="E261" s="4203"/>
      <c r="F261" s="4212"/>
      <c r="I261" s="2725"/>
      <c r="J261" s="10"/>
      <c r="K261" s="3329"/>
      <c r="L261" s="3330"/>
      <c r="M261" s="3330"/>
      <c r="N261" s="3330"/>
      <c r="O261" s="3331"/>
      <c r="P261" s="3332"/>
      <c r="Q261" s="3332"/>
      <c r="R261" s="3626"/>
      <c r="S261" s="2798"/>
      <c r="T261" s="4373"/>
      <c r="W261" s="4628"/>
      <c r="X261" s="4629"/>
      <c r="Y261" s="4629"/>
      <c r="Z261" s="4630"/>
      <c r="AA261" s="4575"/>
      <c r="AB261" s="4631"/>
      <c r="AC261" s="4632"/>
      <c r="AD261" s="4632"/>
      <c r="AE261" s="4632"/>
      <c r="AF261" s="4632"/>
      <c r="AG261" s="4632"/>
      <c r="AH261" s="4633"/>
      <c r="AI261" s="4568"/>
      <c r="AJ261" s="4568"/>
      <c r="AK261" s="4634"/>
      <c r="AL261" s="4635"/>
      <c r="AM261" s="4636"/>
      <c r="AN261" s="4575"/>
      <c r="AO261" s="4637"/>
      <c r="AP261" s="4638"/>
      <c r="AQ261" s="4639"/>
      <c r="AR261" s="3435"/>
      <c r="AS261" s="4640"/>
      <c r="AT261" s="4641"/>
      <c r="AU261" s="4642"/>
      <c r="AV261" s="4575"/>
      <c r="AW261" s="4643"/>
      <c r="AX261" s="4644"/>
      <c r="AY261" s="4645"/>
      <c r="AZ261" s="4568"/>
      <c r="BA261" s="4646"/>
      <c r="BB261" s="4647"/>
      <c r="BC261" s="4648"/>
      <c r="BD261" s="4575"/>
      <c r="BE261" s="4649"/>
      <c r="BF261" s="4650"/>
      <c r="BG261" s="4651"/>
      <c r="BH261" s="4445"/>
      <c r="BI261" s="4652"/>
      <c r="BJ261" s="4653"/>
      <c r="BK261" s="4654"/>
      <c r="BL261" s="4575"/>
      <c r="BM261" s="4655"/>
      <c r="BN261" s="4656"/>
      <c r="BO261" s="4657"/>
      <c r="BP261" s="4445"/>
      <c r="BQ261" s="4658"/>
      <c r="BR261" s="4659"/>
      <c r="BS261" s="4660"/>
      <c r="BT261" s="4575"/>
      <c r="BU261" s="4661"/>
      <c r="BV261" s="4662"/>
      <c r="BW261" s="4663"/>
      <c r="BX261" s="4445"/>
      <c r="BY261" s="4664"/>
      <c r="BZ261" s="4665"/>
      <c r="CA261" s="4666"/>
      <c r="CB261" s="4575"/>
      <c r="CC261" s="4667"/>
      <c r="CD261" s="4668"/>
      <c r="CE261" s="4669"/>
      <c r="CF261" s="4445"/>
      <c r="CG261" s="4670"/>
      <c r="CH261" s="4671"/>
      <c r="CI261" s="4672"/>
      <c r="CJ261" s="4575"/>
      <c r="CK261" s="4673"/>
      <c r="CL261" s="4674"/>
      <c r="CM261" s="4675"/>
    </row>
    <row r="262" spans="1:91" s="34" customFormat="1" ht="24.95" customHeight="1" thickBot="1" x14ac:dyDescent="0.25">
      <c r="A262" s="4207"/>
      <c r="B262" s="4207"/>
      <c r="C262" s="4207"/>
      <c r="D262" s="5153" t="s">
        <v>2193</v>
      </c>
      <c r="E262" s="4207"/>
      <c r="F262" s="4212" t="s">
        <v>1553</v>
      </c>
      <c r="I262" s="2725"/>
      <c r="J262" s="2291"/>
      <c r="K262" s="3708"/>
      <c r="L262" s="4377" t="str">
        <f>_Calcs!$O$61</f>
        <v>Festebolter for bergbånd senteravstand</v>
      </c>
      <c r="M262" s="4377"/>
      <c r="N262" s="5098"/>
      <c r="O262" s="5140" t="s">
        <v>149</v>
      </c>
      <c r="P262" s="5098"/>
      <c r="Q262" s="5096" t="s">
        <v>78</v>
      </c>
      <c r="R262" s="3706"/>
      <c r="S262" s="2798"/>
      <c r="T262" s="4375"/>
      <c r="W262" s="4768"/>
      <c r="X262" s="6808"/>
      <c r="Y262" s="6809"/>
      <c r="Z262" s="4677"/>
      <c r="AA262" s="4678"/>
      <c r="AB262" s="4679"/>
      <c r="AC262" s="6810" t="e">
        <f>_Calcs_Klasse!$AFN$42</f>
        <v>#N/A</v>
      </c>
      <c r="AD262" s="6811"/>
      <c r="AE262" s="6811"/>
      <c r="AF262" s="6811"/>
      <c r="AG262" s="6812"/>
      <c r="AH262" s="4680"/>
      <c r="AI262" s="4681"/>
      <c r="AJ262" s="4681"/>
      <c r="AK262" s="4682"/>
      <c r="AL262" s="4683"/>
      <c r="AM262" s="4684"/>
      <c r="AN262" s="4678"/>
      <c r="AO262" s="4685"/>
      <c r="AP262" s="4686" t="e">
        <f>_Calcs_Klasse!$AFN$43</f>
        <v>#N/A</v>
      </c>
      <c r="AQ262" s="4687"/>
      <c r="AR262" s="4688"/>
      <c r="AS262" s="4689"/>
      <c r="AT262" s="4683"/>
      <c r="AU262" s="4690"/>
      <c r="AV262" s="4678"/>
      <c r="AW262" s="4691"/>
      <c r="AX262" s="4686" t="e">
        <f>_Calcs_Klasse!$AFN$44</f>
        <v>#N/A</v>
      </c>
      <c r="AY262" s="4692"/>
      <c r="AZ262" s="4681"/>
      <c r="BA262" s="4693"/>
      <c r="BB262" s="4683"/>
      <c r="BC262" s="4694"/>
      <c r="BD262" s="4678"/>
      <c r="BE262" s="4695"/>
      <c r="BF262" s="4686" t="e">
        <f>_Calcs_Klasse!$AFN$45</f>
        <v>#N/A</v>
      </c>
      <c r="BG262" s="4696"/>
      <c r="BH262" s="4697"/>
      <c r="BI262" s="4698"/>
      <c r="BJ262" s="4683"/>
      <c r="BK262" s="4699"/>
      <c r="BL262" s="4678"/>
      <c r="BM262" s="4700"/>
      <c r="BN262" s="4686" t="e">
        <f>_Calcs_Klasse!$AFN$46</f>
        <v>#N/A</v>
      </c>
      <c r="BO262" s="4701"/>
      <c r="BP262" s="4697"/>
      <c r="BQ262" s="4702"/>
      <c r="BR262" s="4683"/>
      <c r="BS262" s="4703"/>
      <c r="BT262" s="4678"/>
      <c r="BU262" s="4704"/>
      <c r="BV262" s="4686" t="e">
        <f>_Calcs_Klasse!$AFN$47</f>
        <v>#N/A</v>
      </c>
      <c r="BW262" s="4705"/>
      <c r="BX262" s="4697"/>
      <c r="BY262" s="4706"/>
      <c r="BZ262" s="4683"/>
      <c r="CA262" s="4707"/>
      <c r="CB262" s="4678"/>
      <c r="CC262" s="4708"/>
      <c r="CD262" s="4686" t="e">
        <f>_Calcs_Klasse!$AFN$48</f>
        <v>#N/A</v>
      </c>
      <c r="CE262" s="4709"/>
      <c r="CF262" s="4697"/>
      <c r="CG262" s="4710"/>
      <c r="CH262" s="4683"/>
      <c r="CI262" s="4711"/>
      <c r="CJ262" s="4678"/>
      <c r="CK262" s="4712"/>
      <c r="CL262" s="4686" t="e">
        <f>_Calcs_Klasse!$AFN$49</f>
        <v>#N/A</v>
      </c>
      <c r="CM262" s="4713"/>
    </row>
    <row r="263" spans="1:91" s="8" customFormat="1" ht="15" customHeight="1" thickBot="1" x14ac:dyDescent="0.25">
      <c r="A263" s="4203"/>
      <c r="B263" s="4203"/>
      <c r="C263" s="4203"/>
      <c r="D263" s="4203"/>
      <c r="E263" s="4203"/>
      <c r="F263" s="4212"/>
      <c r="I263" s="2725"/>
      <c r="J263" s="10"/>
      <c r="K263" s="3321"/>
      <c r="L263" s="3322"/>
      <c r="M263" s="3322"/>
      <c r="N263" s="3322"/>
      <c r="O263" s="3323"/>
      <c r="P263" s="3324"/>
      <c r="Q263" s="3324"/>
      <c r="R263" s="3628"/>
      <c r="S263" s="3728"/>
      <c r="T263" s="4373"/>
      <c r="W263" s="4714"/>
      <c r="X263" s="4715"/>
      <c r="Y263" s="4715"/>
      <c r="Z263" s="4716"/>
      <c r="AA263" s="4575"/>
      <c r="AB263" s="4717"/>
      <c r="AC263" s="4718"/>
      <c r="AD263" s="4718"/>
      <c r="AE263" s="4718"/>
      <c r="AF263" s="4718"/>
      <c r="AG263" s="4718"/>
      <c r="AH263" s="4719"/>
      <c r="AI263" s="4568"/>
      <c r="AJ263" s="4568"/>
      <c r="AK263" s="4720"/>
      <c r="AL263" s="4721"/>
      <c r="AM263" s="4722"/>
      <c r="AN263" s="4575"/>
      <c r="AO263" s="4723"/>
      <c r="AP263" s="4724"/>
      <c r="AQ263" s="4725"/>
      <c r="AR263" s="3435"/>
      <c r="AS263" s="4726"/>
      <c r="AT263" s="4727"/>
      <c r="AU263" s="4728"/>
      <c r="AV263" s="4575"/>
      <c r="AW263" s="4729"/>
      <c r="AX263" s="4730"/>
      <c r="AY263" s="4731"/>
      <c r="AZ263" s="4568"/>
      <c r="BA263" s="4732"/>
      <c r="BB263" s="4733"/>
      <c r="BC263" s="4734"/>
      <c r="BD263" s="4575"/>
      <c r="BE263" s="4735"/>
      <c r="BF263" s="4736"/>
      <c r="BG263" s="4737"/>
      <c r="BH263" s="4445"/>
      <c r="BI263" s="4738"/>
      <c r="BJ263" s="4739"/>
      <c r="BK263" s="4740"/>
      <c r="BL263" s="4575"/>
      <c r="BM263" s="4741"/>
      <c r="BN263" s="4742"/>
      <c r="BO263" s="4743"/>
      <c r="BP263" s="4445"/>
      <c r="BQ263" s="4744"/>
      <c r="BR263" s="4745"/>
      <c r="BS263" s="4746"/>
      <c r="BT263" s="4575"/>
      <c r="BU263" s="4747"/>
      <c r="BV263" s="4748"/>
      <c r="BW263" s="4749"/>
      <c r="BX263" s="4445"/>
      <c r="BY263" s="4750"/>
      <c r="BZ263" s="4751"/>
      <c r="CA263" s="4752"/>
      <c r="CB263" s="4575"/>
      <c r="CC263" s="4753"/>
      <c r="CD263" s="4754"/>
      <c r="CE263" s="4755"/>
      <c r="CF263" s="4445"/>
      <c r="CG263" s="4756"/>
      <c r="CH263" s="4757"/>
      <c r="CI263" s="4758"/>
      <c r="CJ263" s="4575"/>
      <c r="CK263" s="4759"/>
      <c r="CL263" s="4760"/>
      <c r="CM263" s="4761"/>
    </row>
    <row r="264" spans="1:91" s="8" customFormat="1" ht="8.1" customHeight="1" thickBot="1" x14ac:dyDescent="0.3">
      <c r="A264" s="4203"/>
      <c r="B264" s="4203"/>
      <c r="C264" s="4203"/>
      <c r="D264" s="4203"/>
      <c r="E264" s="4203"/>
      <c r="F264" s="4203"/>
      <c r="I264" s="2725"/>
      <c r="L264" s="21"/>
      <c r="M264" s="21"/>
      <c r="N264" s="21"/>
      <c r="O264" s="13"/>
      <c r="P264" s="21"/>
      <c r="Q264" s="15"/>
      <c r="S264" s="16"/>
      <c r="T264" s="4373"/>
      <c r="U264" s="181"/>
      <c r="V264" s="181"/>
      <c r="W264" s="3435"/>
      <c r="X264" s="3435"/>
      <c r="Y264" s="3435"/>
      <c r="Z264" s="3435"/>
      <c r="AA264" s="3435"/>
      <c r="AB264" s="3435"/>
      <c r="AC264" s="4762"/>
      <c r="AD264" s="4762"/>
      <c r="AE264" s="4762"/>
      <c r="AF264" s="4762"/>
      <c r="AG264" s="4762"/>
      <c r="AH264" s="3435"/>
      <c r="AI264" s="3435"/>
      <c r="AJ264" s="3435"/>
      <c r="AK264" s="3435"/>
      <c r="AL264" s="3435"/>
      <c r="AM264" s="3435"/>
      <c r="AN264" s="3435"/>
      <c r="AO264" s="3435"/>
      <c r="AP264" s="4762"/>
      <c r="AQ264" s="3435"/>
      <c r="AR264" s="3435"/>
      <c r="AS264" s="3435"/>
      <c r="AT264" s="3435"/>
      <c r="AU264" s="3435"/>
      <c r="AV264" s="3435"/>
      <c r="AW264" s="3435"/>
      <c r="AX264" s="4762"/>
      <c r="AY264" s="3435"/>
      <c r="AZ264" s="3435"/>
      <c r="BA264" s="3435"/>
      <c r="BB264" s="3435"/>
      <c r="BC264" s="3435"/>
      <c r="BD264" s="3435"/>
      <c r="BE264" s="3435"/>
      <c r="BF264" s="4762"/>
      <c r="BG264" s="3435"/>
      <c r="BH264" s="3435"/>
      <c r="BI264" s="3435"/>
      <c r="BJ264" s="3435"/>
      <c r="BK264" s="3435"/>
      <c r="BL264" s="3435"/>
      <c r="BM264" s="3435"/>
      <c r="BN264" s="4762"/>
      <c r="BO264" s="3435"/>
      <c r="BP264" s="3435"/>
      <c r="BQ264" s="3435"/>
      <c r="BR264" s="3435"/>
      <c r="BS264" s="3435"/>
      <c r="BT264" s="3435"/>
      <c r="BU264" s="3435"/>
      <c r="BV264" s="4762"/>
      <c r="BW264" s="3435"/>
      <c r="BX264" s="3435"/>
      <c r="BY264" s="3435"/>
      <c r="BZ264" s="3435"/>
      <c r="CA264" s="3435"/>
      <c r="CB264" s="3435"/>
      <c r="CC264" s="3435"/>
      <c r="CD264" s="4762"/>
      <c r="CE264" s="3435"/>
      <c r="CF264" s="3435"/>
      <c r="CG264" s="3435"/>
      <c r="CH264" s="3435"/>
      <c r="CI264" s="3435"/>
      <c r="CJ264" s="3435"/>
      <c r="CK264" s="3435"/>
      <c r="CL264" s="4762"/>
      <c r="CM264" s="3435"/>
    </row>
    <row r="265" spans="1:91" s="8" customFormat="1" ht="15" customHeight="1" thickBot="1" x14ac:dyDescent="0.25">
      <c r="A265" s="4203"/>
      <c r="B265" s="4203"/>
      <c r="C265" s="4203"/>
      <c r="D265" s="4203"/>
      <c r="E265" s="4203"/>
      <c r="F265" s="4212"/>
      <c r="I265" s="2725"/>
      <c r="J265" s="10"/>
      <c r="K265" s="3329"/>
      <c r="L265" s="4379"/>
      <c r="M265" s="4379"/>
      <c r="N265" s="4379"/>
      <c r="O265" s="5102"/>
      <c r="P265" s="5103"/>
      <c r="Q265" s="5103"/>
      <c r="R265" s="3626"/>
      <c r="S265" s="2798"/>
      <c r="T265" s="4373"/>
      <c r="W265" s="4628"/>
      <c r="X265" s="4629"/>
      <c r="Y265" s="4629"/>
      <c r="Z265" s="4630"/>
      <c r="AA265" s="4575"/>
      <c r="AB265" s="4631"/>
      <c r="AC265" s="4632"/>
      <c r="AD265" s="4632"/>
      <c r="AE265" s="4632"/>
      <c r="AF265" s="4632"/>
      <c r="AG265" s="4632"/>
      <c r="AH265" s="4633"/>
      <c r="AI265" s="4568"/>
      <c r="AJ265" s="4568"/>
      <c r="AK265" s="4634"/>
      <c r="AL265" s="4635"/>
      <c r="AM265" s="4636"/>
      <c r="AN265" s="4575"/>
      <c r="AO265" s="4637"/>
      <c r="AP265" s="4638"/>
      <c r="AQ265" s="4639"/>
      <c r="AR265" s="3435"/>
      <c r="AS265" s="4640"/>
      <c r="AT265" s="4641"/>
      <c r="AU265" s="4642"/>
      <c r="AV265" s="4575"/>
      <c r="AW265" s="4643"/>
      <c r="AX265" s="4644"/>
      <c r="AY265" s="4645"/>
      <c r="AZ265" s="4568"/>
      <c r="BA265" s="4646"/>
      <c r="BB265" s="4647"/>
      <c r="BC265" s="4648"/>
      <c r="BD265" s="4575"/>
      <c r="BE265" s="4649"/>
      <c r="BF265" s="4650"/>
      <c r="BG265" s="4651"/>
      <c r="BH265" s="4445"/>
      <c r="BI265" s="4652"/>
      <c r="BJ265" s="4653"/>
      <c r="BK265" s="4654"/>
      <c r="BL265" s="4575"/>
      <c r="BM265" s="4655"/>
      <c r="BN265" s="4656"/>
      <c r="BO265" s="4657"/>
      <c r="BP265" s="4445"/>
      <c r="BQ265" s="4658"/>
      <c r="BR265" s="4659"/>
      <c r="BS265" s="4660"/>
      <c r="BT265" s="4575"/>
      <c r="BU265" s="4661"/>
      <c r="BV265" s="4662"/>
      <c r="BW265" s="4663"/>
      <c r="BX265" s="4445"/>
      <c r="BY265" s="4664"/>
      <c r="BZ265" s="4665"/>
      <c r="CA265" s="4666"/>
      <c r="CB265" s="4575"/>
      <c r="CC265" s="4667"/>
      <c r="CD265" s="4668"/>
      <c r="CE265" s="4669"/>
      <c r="CF265" s="4445"/>
      <c r="CG265" s="4670"/>
      <c r="CH265" s="4671"/>
      <c r="CI265" s="4672"/>
      <c r="CJ265" s="4575"/>
      <c r="CK265" s="4673"/>
      <c r="CL265" s="4674"/>
      <c r="CM265" s="4675"/>
    </row>
    <row r="266" spans="1:91" s="8" customFormat="1" ht="24.95" customHeight="1" thickBot="1" x14ac:dyDescent="0.25">
      <c r="A266" s="4203"/>
      <c r="B266" s="4203"/>
      <c r="C266" s="4203"/>
      <c r="D266" s="5153" t="s">
        <v>2193</v>
      </c>
      <c r="E266" s="4203"/>
      <c r="F266" s="4212"/>
      <c r="I266" s="2725"/>
      <c r="J266" s="10"/>
      <c r="K266" s="3326"/>
      <c r="L266" s="4377" t="str">
        <f>_Calcs_Klasse!$AFR$36</f>
        <v>Boltelengde fordeling (≤ 4 m)</v>
      </c>
      <c r="M266" s="4377"/>
      <c r="N266" s="4377"/>
      <c r="O266" s="5140" t="s">
        <v>149</v>
      </c>
      <c r="P266" s="5096"/>
      <c r="Q266" s="5096" t="s">
        <v>954</v>
      </c>
      <c r="R266" s="3627"/>
      <c r="S266" s="2798"/>
      <c r="T266" s="4373"/>
      <c r="W266" s="4676"/>
      <c r="X266" s="6803"/>
      <c r="Y266" s="6804"/>
      <c r="Z266" s="4795"/>
      <c r="AA266" s="4796"/>
      <c r="AB266" s="4797"/>
      <c r="AC266" s="6805" t="e">
        <f>_Calcs_Klasse!$AFV$42</f>
        <v>#N/A</v>
      </c>
      <c r="AD266" s="6806"/>
      <c r="AE266" s="6806"/>
      <c r="AF266" s="6806"/>
      <c r="AG266" s="6807"/>
      <c r="AH266" s="4798"/>
      <c r="AI266" s="4799"/>
      <c r="AJ266" s="4799"/>
      <c r="AK266" s="4800"/>
      <c r="AL266" s="4801"/>
      <c r="AM266" s="4802"/>
      <c r="AN266" s="4796"/>
      <c r="AO266" s="4803"/>
      <c r="AP266" s="4804" t="e">
        <f>_Calcs_Klasse!$AFV$43</f>
        <v>#N/A</v>
      </c>
      <c r="AQ266" s="4805"/>
      <c r="AR266" s="4806"/>
      <c r="AS266" s="4807"/>
      <c r="AT266" s="4801"/>
      <c r="AU266" s="4808"/>
      <c r="AV266" s="4796"/>
      <c r="AW266" s="4809"/>
      <c r="AX266" s="4804" t="e">
        <f>_Calcs_Klasse!$AFV$44</f>
        <v>#N/A</v>
      </c>
      <c r="AY266" s="4810"/>
      <c r="AZ266" s="4799"/>
      <c r="BA266" s="4811"/>
      <c r="BB266" s="4801"/>
      <c r="BC266" s="4812"/>
      <c r="BD266" s="4796"/>
      <c r="BE266" s="4813"/>
      <c r="BF266" s="4804" t="e">
        <f>_Calcs_Klasse!$AFV$45</f>
        <v>#N/A</v>
      </c>
      <c r="BG266" s="4814"/>
      <c r="BH266" s="4815"/>
      <c r="BI266" s="4816"/>
      <c r="BJ266" s="4801"/>
      <c r="BK266" s="4817"/>
      <c r="BL266" s="4796"/>
      <c r="BM266" s="4818"/>
      <c r="BN266" s="4804" t="e">
        <f>_Calcs_Klasse!$AFV$46</f>
        <v>#N/A</v>
      </c>
      <c r="BO266" s="4819"/>
      <c r="BP266" s="4815"/>
      <c r="BQ266" s="4820"/>
      <c r="BR266" s="4801"/>
      <c r="BS266" s="4821"/>
      <c r="BT266" s="4796"/>
      <c r="BU266" s="4822"/>
      <c r="BV266" s="4804" t="e">
        <f>_Calcs_Klasse!$AFV$47</f>
        <v>#N/A</v>
      </c>
      <c r="BW266" s="4823"/>
      <c r="BX266" s="4815"/>
      <c r="BY266" s="4824"/>
      <c r="BZ266" s="4801"/>
      <c r="CA266" s="4825"/>
      <c r="CB266" s="4796"/>
      <c r="CC266" s="4826"/>
      <c r="CD266" s="4804" t="e">
        <f>_Calcs_Klasse!$AFV$48</f>
        <v>#N/A</v>
      </c>
      <c r="CE266" s="4827"/>
      <c r="CF266" s="4815"/>
      <c r="CG266" s="4828"/>
      <c r="CH266" s="4801"/>
      <c r="CI266" s="4829"/>
      <c r="CJ266" s="4796"/>
      <c r="CK266" s="4830"/>
      <c r="CL266" s="4804" t="e">
        <f>_Calcs_Klasse!$AFV$49</f>
        <v>#N/A</v>
      </c>
      <c r="CM266" s="4713"/>
    </row>
    <row r="267" spans="1:91" s="8" customFormat="1" ht="15" customHeight="1" thickBot="1" x14ac:dyDescent="0.25">
      <c r="A267" s="4203"/>
      <c r="B267" s="4203"/>
      <c r="C267" s="4203"/>
      <c r="D267" s="5153" t="s">
        <v>2193</v>
      </c>
      <c r="E267" s="4203"/>
      <c r="F267" s="4212"/>
      <c r="I267" s="2725"/>
      <c r="J267" s="10"/>
      <c r="K267" s="3655"/>
      <c r="L267" s="5104"/>
      <c r="M267" s="5104"/>
      <c r="N267" s="5104"/>
      <c r="O267" s="5105"/>
      <c r="P267" s="5104"/>
      <c r="Q267" s="5096"/>
      <c r="R267" s="3656"/>
      <c r="S267" s="16"/>
      <c r="T267" s="4373"/>
      <c r="W267" s="4676"/>
      <c r="X267" s="4831"/>
      <c r="Y267" s="4831"/>
      <c r="Z267" s="4832"/>
      <c r="AA267" s="4575"/>
      <c r="AB267" s="4833"/>
      <c r="AC267" s="4834"/>
      <c r="AD267" s="4834"/>
      <c r="AE267" s="4834"/>
      <c r="AF267" s="4834"/>
      <c r="AG267" s="4834"/>
      <c r="AH267" s="4835"/>
      <c r="AI267" s="4568"/>
      <c r="AJ267" s="4568"/>
      <c r="AK267" s="4836"/>
      <c r="AL267" s="4635"/>
      <c r="AM267" s="4837"/>
      <c r="AN267" s="4575"/>
      <c r="AO267" s="4838"/>
      <c r="AP267" s="4839"/>
      <c r="AQ267" s="4840"/>
      <c r="AR267" s="3435"/>
      <c r="AS267" s="4841"/>
      <c r="AT267" s="4641"/>
      <c r="AU267" s="4842"/>
      <c r="AV267" s="4575"/>
      <c r="AW267" s="4843"/>
      <c r="AX267" s="4844"/>
      <c r="AY267" s="4845"/>
      <c r="AZ267" s="4568"/>
      <c r="BA267" s="4846"/>
      <c r="BB267" s="4647"/>
      <c r="BC267" s="4847"/>
      <c r="BD267" s="4575"/>
      <c r="BE267" s="4848"/>
      <c r="BF267" s="4849"/>
      <c r="BG267" s="4850"/>
      <c r="BH267" s="4445"/>
      <c r="BI267" s="4851"/>
      <c r="BJ267" s="4653"/>
      <c r="BK267" s="4852"/>
      <c r="BL267" s="4575"/>
      <c r="BM267" s="4853"/>
      <c r="BN267" s="4854"/>
      <c r="BO267" s="4855"/>
      <c r="BP267" s="4445"/>
      <c r="BQ267" s="4856"/>
      <c r="BR267" s="4659"/>
      <c r="BS267" s="4857"/>
      <c r="BT267" s="4575"/>
      <c r="BU267" s="4858"/>
      <c r="BV267" s="4859"/>
      <c r="BW267" s="4860"/>
      <c r="BX267" s="4445"/>
      <c r="BY267" s="4861"/>
      <c r="BZ267" s="4665"/>
      <c r="CA267" s="4862"/>
      <c r="CB267" s="4575"/>
      <c r="CC267" s="4863"/>
      <c r="CD267" s="4864"/>
      <c r="CE267" s="4865"/>
      <c r="CF267" s="4445"/>
      <c r="CG267" s="4866"/>
      <c r="CH267" s="4671"/>
      <c r="CI267" s="4867"/>
      <c r="CJ267" s="4575"/>
      <c r="CK267" s="4868"/>
      <c r="CL267" s="4869"/>
      <c r="CM267" s="4713"/>
    </row>
    <row r="268" spans="1:91" s="34" customFormat="1" ht="24.95" customHeight="1" thickBot="1" x14ac:dyDescent="0.25">
      <c r="A268" s="4207"/>
      <c r="B268" s="4207"/>
      <c r="C268" s="4207"/>
      <c r="D268" s="4207"/>
      <c r="E268" s="4207"/>
      <c r="F268" s="4212"/>
      <c r="I268" s="5141"/>
      <c r="J268" s="2291"/>
      <c r="K268" s="3657"/>
      <c r="L268" s="6797" t="str">
        <f>_Calcs_Klasse!$AGB$36</f>
        <v>Boltelengde fordeling (&gt; 4 m)</v>
      </c>
      <c r="M268" s="6797"/>
      <c r="N268" s="5105"/>
      <c r="O268" s="5140" t="s">
        <v>149</v>
      </c>
      <c r="P268" s="5105"/>
      <c r="Q268" s="5096" t="s">
        <v>954</v>
      </c>
      <c r="R268" s="3658"/>
      <c r="S268" s="16"/>
      <c r="T268" s="4373"/>
      <c r="W268" s="4768"/>
      <c r="X268" s="6805" t="str">
        <f>_Calcs_Klasse!$AGD$42</f>
        <v/>
      </c>
      <c r="Y268" s="6807"/>
      <c r="Z268" s="4832"/>
      <c r="AA268" s="4870"/>
      <c r="AB268" s="4871"/>
      <c r="AC268" s="6805" t="e">
        <f>_Calcs_Klasse!$AGF$42</f>
        <v>#N/A</v>
      </c>
      <c r="AD268" s="6806"/>
      <c r="AE268" s="6806"/>
      <c r="AF268" s="6806"/>
      <c r="AG268" s="6807"/>
      <c r="AH268" s="4835"/>
      <c r="AI268" s="4870"/>
      <c r="AJ268" s="4870"/>
      <c r="AK268" s="4872"/>
      <c r="AL268" s="4873" t="str">
        <f>_Calcs_Klasse!$AGD$43</f>
        <v/>
      </c>
      <c r="AM268" s="4837"/>
      <c r="AN268" s="4870"/>
      <c r="AO268" s="4874"/>
      <c r="AP268" s="4804" t="e">
        <f>_Calcs_Klasse!$AGF$43</f>
        <v>#N/A</v>
      </c>
      <c r="AQ268" s="4840"/>
      <c r="AR268" s="4875"/>
      <c r="AS268" s="4876"/>
      <c r="AT268" s="4873" t="str">
        <f>_Calcs_Klasse!$AGD$44</f>
        <v/>
      </c>
      <c r="AU268" s="4842"/>
      <c r="AV268" s="4870"/>
      <c r="AW268" s="4877"/>
      <c r="AX268" s="4804" t="e">
        <f>_Calcs_Klasse!$AGF$44</f>
        <v>#N/A</v>
      </c>
      <c r="AY268" s="4845"/>
      <c r="AZ268" s="4870"/>
      <c r="BA268" s="4878"/>
      <c r="BB268" s="4873" t="str">
        <f>_Calcs_Klasse!$AGD$45</f>
        <v/>
      </c>
      <c r="BC268" s="4847"/>
      <c r="BD268" s="4870"/>
      <c r="BE268" s="4879"/>
      <c r="BF268" s="4804" t="e">
        <f>_Calcs_Klasse!$AGF$45</f>
        <v>#N/A</v>
      </c>
      <c r="BG268" s="4850"/>
      <c r="BH268" s="4880"/>
      <c r="BI268" s="4881"/>
      <c r="BJ268" s="4873" t="str">
        <f>_Calcs_Klasse!$AGD$46</f>
        <v/>
      </c>
      <c r="BK268" s="4852"/>
      <c r="BL268" s="4870"/>
      <c r="BM268" s="4882"/>
      <c r="BN268" s="4804" t="e">
        <f>_Calcs_Klasse!$AGF$46</f>
        <v>#N/A</v>
      </c>
      <c r="BO268" s="4855"/>
      <c r="BP268" s="4880"/>
      <c r="BQ268" s="4883"/>
      <c r="BR268" s="4873" t="str">
        <f>_Calcs_Klasse!$AGD$47</f>
        <v/>
      </c>
      <c r="BS268" s="4857"/>
      <c r="BT268" s="4870"/>
      <c r="BU268" s="4884"/>
      <c r="BV268" s="4804" t="e">
        <f>_Calcs_Klasse!$AGF$47</f>
        <v>#N/A</v>
      </c>
      <c r="BW268" s="4860"/>
      <c r="BX268" s="4880"/>
      <c r="BY268" s="4885"/>
      <c r="BZ268" s="4873" t="str">
        <f>_Calcs_Klasse!$AGD$48</f>
        <v/>
      </c>
      <c r="CA268" s="4862"/>
      <c r="CB268" s="4870"/>
      <c r="CC268" s="4886"/>
      <c r="CD268" s="4804" t="e">
        <f>_Calcs_Klasse!$AGF$48</f>
        <v>#N/A</v>
      </c>
      <c r="CE268" s="4865"/>
      <c r="CF268" s="4880"/>
      <c r="CG268" s="4887"/>
      <c r="CH268" s="4873" t="str">
        <f>_Calcs_Klasse!$AGD$49</f>
        <v/>
      </c>
      <c r="CI268" s="4867"/>
      <c r="CJ268" s="4870"/>
      <c r="CK268" s="4888"/>
      <c r="CL268" s="4804" t="e">
        <f>_Calcs_Klasse!$AGF$49</f>
        <v>#N/A</v>
      </c>
      <c r="CM268" s="4713"/>
    </row>
    <row r="269" spans="1:91" s="8" customFormat="1" ht="15" customHeight="1" thickBot="1" x14ac:dyDescent="0.25">
      <c r="A269" s="4203"/>
      <c r="B269" s="4203"/>
      <c r="C269" s="4203"/>
      <c r="D269" s="4203"/>
      <c r="E269" s="4203"/>
      <c r="F269" s="4212"/>
      <c r="I269" s="2728"/>
      <c r="J269" s="10"/>
      <c r="K269" s="3321"/>
      <c r="L269" s="3322"/>
      <c r="M269" s="3322"/>
      <c r="N269" s="3322"/>
      <c r="O269" s="3323"/>
      <c r="P269" s="3324"/>
      <c r="Q269" s="3324"/>
      <c r="R269" s="3628"/>
      <c r="S269" s="3728"/>
      <c r="T269" s="4373"/>
      <c r="W269" s="4714"/>
      <c r="X269" s="4715"/>
      <c r="Y269" s="4715"/>
      <c r="Z269" s="4716"/>
      <c r="AA269" s="4575"/>
      <c r="AB269" s="4769"/>
      <c r="AC269" s="4770"/>
      <c r="AD269" s="4770"/>
      <c r="AE269" s="4770"/>
      <c r="AF269" s="4770"/>
      <c r="AG269" s="4770"/>
      <c r="AH269" s="4771"/>
      <c r="AI269" s="4568"/>
      <c r="AJ269" s="4568"/>
      <c r="AK269" s="4720"/>
      <c r="AL269" s="4721"/>
      <c r="AM269" s="4722"/>
      <c r="AN269" s="4575"/>
      <c r="AO269" s="4772"/>
      <c r="AP269" s="4773"/>
      <c r="AQ269" s="4774"/>
      <c r="AR269" s="3435"/>
      <c r="AS269" s="4726"/>
      <c r="AT269" s="4727"/>
      <c r="AU269" s="4728"/>
      <c r="AV269" s="4575"/>
      <c r="AW269" s="4775"/>
      <c r="AX269" s="4776"/>
      <c r="AY269" s="4777"/>
      <c r="AZ269" s="4568"/>
      <c r="BA269" s="4732"/>
      <c r="BB269" s="4733"/>
      <c r="BC269" s="4734"/>
      <c r="BD269" s="4575"/>
      <c r="BE269" s="4778"/>
      <c r="BF269" s="4779"/>
      <c r="BG269" s="4780"/>
      <c r="BH269" s="4445"/>
      <c r="BI269" s="4738"/>
      <c r="BJ269" s="4739"/>
      <c r="BK269" s="4740"/>
      <c r="BL269" s="4575"/>
      <c r="BM269" s="4781"/>
      <c r="BN269" s="4782"/>
      <c r="BO269" s="4783"/>
      <c r="BP269" s="4445"/>
      <c r="BQ269" s="4744"/>
      <c r="BR269" s="4745"/>
      <c r="BS269" s="4746"/>
      <c r="BT269" s="4575"/>
      <c r="BU269" s="4784"/>
      <c r="BV269" s="4785"/>
      <c r="BW269" s="4786"/>
      <c r="BX269" s="4445"/>
      <c r="BY269" s="4750"/>
      <c r="BZ269" s="4751"/>
      <c r="CA269" s="4752"/>
      <c r="CB269" s="4575"/>
      <c r="CC269" s="4787"/>
      <c r="CD269" s="4788"/>
      <c r="CE269" s="4789"/>
      <c r="CF269" s="4445"/>
      <c r="CG269" s="4756"/>
      <c r="CH269" s="4757"/>
      <c r="CI269" s="4758"/>
      <c r="CJ269" s="4575"/>
      <c r="CK269" s="4790"/>
      <c r="CL269" s="4791"/>
      <c r="CM269" s="4792"/>
    </row>
    <row r="270" spans="1:91" s="8" customFormat="1" ht="35.1" customHeight="1" x14ac:dyDescent="0.25">
      <c r="A270" s="4203"/>
      <c r="B270" s="4203"/>
      <c r="C270" s="4203"/>
      <c r="D270" s="4203"/>
      <c r="E270" s="4203"/>
      <c r="F270" s="4203"/>
      <c r="L270" s="21"/>
      <c r="M270" s="21"/>
      <c r="N270" s="21"/>
      <c r="O270" s="13"/>
      <c r="P270" s="21"/>
      <c r="Q270" s="15"/>
      <c r="S270" s="16"/>
      <c r="T270" s="4373"/>
      <c r="U270" s="181"/>
      <c r="V270" s="181"/>
      <c r="W270" s="3435"/>
      <c r="X270" s="3435"/>
      <c r="Y270" s="3435"/>
      <c r="Z270" s="3435"/>
      <c r="AA270" s="3435"/>
      <c r="AB270" s="3435"/>
      <c r="AC270" s="4762"/>
      <c r="AD270" s="4762"/>
      <c r="AE270" s="4762"/>
      <c r="AF270" s="4762"/>
      <c r="AG270" s="4762"/>
      <c r="AH270" s="3435"/>
      <c r="AI270" s="3435"/>
      <c r="AJ270" s="3435"/>
      <c r="AK270" s="3435"/>
      <c r="AL270" s="3435"/>
      <c r="AM270" s="3435"/>
      <c r="AN270" s="3435"/>
      <c r="AO270" s="3435"/>
      <c r="AP270" s="4762"/>
      <c r="AQ270" s="3435"/>
      <c r="AR270" s="3435"/>
      <c r="AS270" s="3435"/>
      <c r="AT270" s="3435"/>
      <c r="AU270" s="3435"/>
      <c r="AV270" s="3435"/>
      <c r="AW270" s="3435"/>
      <c r="AX270" s="4762"/>
      <c r="AY270" s="3435"/>
      <c r="AZ270" s="3435"/>
      <c r="BA270" s="3435"/>
      <c r="BB270" s="3435"/>
      <c r="BC270" s="3435"/>
      <c r="BD270" s="3435"/>
      <c r="BE270" s="3435"/>
      <c r="BF270" s="4762"/>
      <c r="BG270" s="3435"/>
      <c r="BH270" s="3435"/>
      <c r="BI270" s="3435"/>
      <c r="BJ270" s="3435"/>
      <c r="BK270" s="3435"/>
      <c r="BL270" s="3435"/>
      <c r="BM270" s="3435"/>
      <c r="BN270" s="4762"/>
      <c r="BO270" s="3435"/>
      <c r="BP270" s="3435"/>
      <c r="BQ270" s="3435"/>
      <c r="BR270" s="3435"/>
      <c r="BS270" s="3435"/>
      <c r="BT270" s="3435"/>
      <c r="BU270" s="3435"/>
      <c r="BV270" s="4762"/>
      <c r="BW270" s="3435"/>
      <c r="BX270" s="3435"/>
      <c r="BY270" s="3435"/>
      <c r="BZ270" s="3435"/>
      <c r="CA270" s="3435"/>
      <c r="CB270" s="3435"/>
      <c r="CC270" s="3435"/>
      <c r="CD270" s="4762"/>
      <c r="CE270" s="3435"/>
      <c r="CF270" s="3435"/>
      <c r="CG270" s="3435"/>
      <c r="CH270" s="3435"/>
      <c r="CI270" s="3435"/>
      <c r="CJ270" s="3435"/>
      <c r="CK270" s="3435"/>
      <c r="CL270" s="4762"/>
      <c r="CM270" s="3435"/>
    </row>
    <row r="271" spans="1:91" s="2720" customFormat="1" ht="15" customHeight="1" x14ac:dyDescent="0.25">
      <c r="A271" s="4206"/>
      <c r="B271" s="4206"/>
      <c r="C271" s="4206"/>
      <c r="D271" s="4206"/>
      <c r="E271" s="4206"/>
      <c r="F271" s="4206"/>
      <c r="I271" s="3310"/>
      <c r="J271" s="3310"/>
      <c r="K271" s="3310"/>
      <c r="L271" s="3790"/>
      <c r="M271" s="3790"/>
      <c r="N271" s="3790"/>
      <c r="O271" s="4219"/>
      <c r="P271" s="3790"/>
      <c r="Q271" s="4222"/>
      <c r="R271" s="3310"/>
      <c r="S271" s="435"/>
      <c r="T271" s="4373"/>
      <c r="W271" s="4763"/>
      <c r="X271" s="4763"/>
      <c r="Y271" s="4763"/>
      <c r="Z271" s="4763"/>
      <c r="AA271" s="4763"/>
      <c r="AB271" s="4763"/>
      <c r="AC271" s="4764"/>
      <c r="AD271" s="4764"/>
      <c r="AE271" s="4764"/>
      <c r="AF271" s="4764"/>
      <c r="AG271" s="4764"/>
      <c r="AH271" s="4763"/>
      <c r="AI271" s="4763"/>
      <c r="AJ271" s="4763"/>
      <c r="AK271" s="4763"/>
      <c r="AL271" s="4763"/>
      <c r="AM271" s="4763"/>
      <c r="AN271" s="4763"/>
      <c r="AO271" s="4763"/>
      <c r="AP271" s="4764"/>
      <c r="AQ271" s="4763"/>
      <c r="AR271" s="4763"/>
      <c r="AS271" s="4763"/>
      <c r="AT271" s="4763"/>
      <c r="AU271" s="4763"/>
      <c r="AV271" s="4763"/>
      <c r="AW271" s="4763"/>
      <c r="AX271" s="4764"/>
      <c r="AY271" s="4763"/>
      <c r="AZ271" s="4763"/>
      <c r="BA271" s="4763"/>
      <c r="BB271" s="4763"/>
      <c r="BC271" s="4763"/>
      <c r="BD271" s="4763"/>
      <c r="BE271" s="4763"/>
      <c r="BF271" s="4764"/>
      <c r="BG271" s="4763"/>
      <c r="BH271" s="4763"/>
      <c r="BI271" s="4763"/>
      <c r="BJ271" s="4763"/>
      <c r="BK271" s="4763"/>
      <c r="BL271" s="4763"/>
      <c r="BM271" s="4763"/>
      <c r="BN271" s="4764"/>
      <c r="BO271" s="4763"/>
      <c r="BP271" s="4763"/>
      <c r="BQ271" s="4763"/>
      <c r="BR271" s="4763"/>
      <c r="BS271" s="4763"/>
      <c r="BT271" s="4763"/>
      <c r="BU271" s="4763"/>
      <c r="BV271" s="4764"/>
      <c r="BW271" s="4763"/>
      <c r="BX271" s="4763"/>
      <c r="BY271" s="4763"/>
      <c r="BZ271" s="4763"/>
      <c r="CA271" s="4763"/>
      <c r="CB271" s="4763"/>
      <c r="CC271" s="4763"/>
      <c r="CD271" s="4764"/>
      <c r="CE271" s="4763"/>
      <c r="CF271" s="4763"/>
      <c r="CG271" s="4763"/>
      <c r="CH271" s="4763"/>
      <c r="CI271" s="4763"/>
      <c r="CJ271" s="4763"/>
      <c r="CK271" s="4763"/>
      <c r="CL271" s="4764"/>
      <c r="CM271" s="4763"/>
    </row>
    <row r="272" spans="1:91" s="181" customFormat="1" ht="35.1" customHeight="1" thickBot="1" x14ac:dyDescent="0.3">
      <c r="A272" s="4205"/>
      <c r="B272" s="4205"/>
      <c r="C272" s="4205"/>
      <c r="D272" s="4205"/>
      <c r="E272" s="4205"/>
      <c r="F272" s="4205"/>
      <c r="K272" s="2373"/>
      <c r="L272" s="2625"/>
      <c r="M272" s="2625"/>
      <c r="N272" s="2625"/>
      <c r="O272" s="2737"/>
      <c r="P272" s="207"/>
      <c r="Q272" s="402"/>
      <c r="R272" s="2809"/>
      <c r="S272" s="3675"/>
      <c r="T272" s="4373"/>
      <c r="W272" s="4489"/>
      <c r="X272" s="4489"/>
      <c r="Y272" s="4489"/>
      <c r="Z272" s="4489"/>
      <c r="AA272" s="4489"/>
      <c r="AB272" s="4489"/>
      <c r="AC272" s="4766"/>
      <c r="AD272" s="4766"/>
      <c r="AE272" s="4766"/>
      <c r="AF272" s="4766"/>
      <c r="AG272" s="4766"/>
      <c r="AH272" s="4489"/>
      <c r="AI272" s="4489"/>
      <c r="AJ272" s="4489"/>
      <c r="AK272" s="4489"/>
      <c r="AL272" s="4489"/>
      <c r="AM272" s="4489"/>
      <c r="AN272" s="4489"/>
      <c r="AO272" s="4489"/>
      <c r="AP272" s="4766"/>
      <c r="AQ272" s="4489"/>
      <c r="AR272" s="3435"/>
      <c r="AS272" s="4489"/>
      <c r="AT272" s="4489"/>
      <c r="AU272" s="4489"/>
      <c r="AV272" s="4489"/>
      <c r="AW272" s="4489"/>
      <c r="AX272" s="4766"/>
      <c r="AY272" s="4489"/>
      <c r="AZ272" s="4489"/>
      <c r="BA272" s="4489"/>
      <c r="BB272" s="4489"/>
      <c r="BC272" s="4489"/>
      <c r="BD272" s="4489"/>
      <c r="BE272" s="4489"/>
      <c r="BF272" s="4766"/>
      <c r="BG272" s="4489"/>
      <c r="BH272" s="3435"/>
      <c r="BI272" s="4489"/>
      <c r="BJ272" s="4489"/>
      <c r="BK272" s="4489"/>
      <c r="BL272" s="4489"/>
      <c r="BM272" s="4489"/>
      <c r="BN272" s="4766"/>
      <c r="BO272" s="4489"/>
      <c r="BP272" s="3435"/>
      <c r="BQ272" s="4489"/>
      <c r="BR272" s="4489"/>
      <c r="BS272" s="4489"/>
      <c r="BT272" s="4489"/>
      <c r="BU272" s="4489"/>
      <c r="BV272" s="4766"/>
      <c r="BW272" s="4489"/>
      <c r="BX272" s="3435"/>
      <c r="BY272" s="4489"/>
      <c r="BZ272" s="4489"/>
      <c r="CA272" s="4489"/>
      <c r="CB272" s="4489"/>
      <c r="CC272" s="4489"/>
      <c r="CD272" s="4766"/>
      <c r="CE272" s="4489"/>
      <c r="CF272" s="3435"/>
      <c r="CG272" s="4489"/>
      <c r="CH272" s="4489"/>
      <c r="CI272" s="4489"/>
      <c r="CJ272" s="4489"/>
      <c r="CK272" s="4489"/>
      <c r="CL272" s="4766"/>
      <c r="CM272" s="4489"/>
    </row>
    <row r="273" spans="1:91" s="8" customFormat="1" ht="20.100000000000001" customHeight="1" thickBot="1" x14ac:dyDescent="0.25">
      <c r="A273" s="4203"/>
      <c r="B273" s="4203"/>
      <c r="C273" s="4203"/>
      <c r="D273" s="4203"/>
      <c r="E273" s="4203"/>
      <c r="F273" s="4203"/>
      <c r="I273" s="2990"/>
      <c r="J273" s="10"/>
      <c r="K273" s="3335"/>
      <c r="L273" s="6798" t="str">
        <f>_Calcs_Klasse!AGO35</f>
        <v>Nett</v>
      </c>
      <c r="M273" s="6798"/>
      <c r="N273" s="6798"/>
      <c r="O273" s="6798"/>
      <c r="P273" s="6798"/>
      <c r="Q273" s="6798"/>
      <c r="R273" s="3653"/>
      <c r="S273" s="3660"/>
      <c r="T273" s="4373"/>
      <c r="W273" s="4574"/>
      <c r="X273" s="4574"/>
      <c r="Y273" s="4574"/>
      <c r="Z273" s="4574"/>
      <c r="AA273" s="4575"/>
      <c r="AB273" s="4574"/>
      <c r="AC273" s="4576"/>
      <c r="AD273" s="4576"/>
      <c r="AE273" s="4576"/>
      <c r="AF273" s="4576"/>
      <c r="AG273" s="4576"/>
      <c r="AH273" s="4574"/>
      <c r="AI273" s="4568"/>
      <c r="AJ273" s="4568"/>
      <c r="AK273" s="4574"/>
      <c r="AL273" s="4574"/>
      <c r="AM273" s="4574"/>
      <c r="AN273" s="4575"/>
      <c r="AO273" s="4574"/>
      <c r="AP273" s="4576"/>
      <c r="AQ273" s="4574"/>
      <c r="AR273" s="3435"/>
      <c r="AS273" s="4574"/>
      <c r="AT273" s="4574"/>
      <c r="AU273" s="4574"/>
      <c r="AV273" s="4575"/>
      <c r="AW273" s="4574"/>
      <c r="AX273" s="4576"/>
      <c r="AY273" s="4574"/>
      <c r="AZ273" s="4568"/>
      <c r="BA273" s="4574"/>
      <c r="BB273" s="4574"/>
      <c r="BC273" s="4574"/>
      <c r="BD273" s="4575"/>
      <c r="BE273" s="4574"/>
      <c r="BF273" s="4576"/>
      <c r="BG273" s="4574"/>
      <c r="BH273" s="4445"/>
      <c r="BI273" s="4574"/>
      <c r="BJ273" s="4574"/>
      <c r="BK273" s="4574"/>
      <c r="BL273" s="4575"/>
      <c r="BM273" s="4574"/>
      <c r="BN273" s="4576"/>
      <c r="BO273" s="4574"/>
      <c r="BP273" s="4445"/>
      <c r="BQ273" s="4574"/>
      <c r="BR273" s="4574"/>
      <c r="BS273" s="4574"/>
      <c r="BT273" s="4575"/>
      <c r="BU273" s="4574"/>
      <c r="BV273" s="4576"/>
      <c r="BW273" s="4574"/>
      <c r="BX273" s="4445"/>
      <c r="BY273" s="4574"/>
      <c r="BZ273" s="4574"/>
      <c r="CA273" s="4574"/>
      <c r="CB273" s="4575"/>
      <c r="CC273" s="4574"/>
      <c r="CD273" s="4576"/>
      <c r="CE273" s="4574"/>
      <c r="CF273" s="4445"/>
      <c r="CG273" s="4574"/>
      <c r="CH273" s="4574"/>
      <c r="CI273" s="4574"/>
      <c r="CJ273" s="4575"/>
      <c r="CK273" s="4574"/>
      <c r="CL273" s="4576"/>
      <c r="CM273" s="4574"/>
    </row>
    <row r="274" spans="1:91" s="8" customFormat="1" ht="15" customHeight="1" thickBot="1" x14ac:dyDescent="0.25">
      <c r="A274" s="4203"/>
      <c r="B274" s="4203"/>
      <c r="C274" s="4203"/>
      <c r="D274" s="4203"/>
      <c r="E274" s="4203"/>
      <c r="F274" s="4203"/>
      <c r="I274" s="6795" t="s">
        <v>38</v>
      </c>
      <c r="J274" s="10"/>
      <c r="K274" s="3336"/>
      <c r="L274" s="6799"/>
      <c r="M274" s="6799"/>
      <c r="N274" s="6799"/>
      <c r="O274" s="6799"/>
      <c r="P274" s="6799"/>
      <c r="Q274" s="6799"/>
      <c r="R274" s="3654"/>
      <c r="S274" s="3660"/>
      <c r="T274" s="4373"/>
      <c r="W274" s="4577"/>
      <c r="X274" s="4578"/>
      <c r="Y274" s="4578"/>
      <c r="Z274" s="4579"/>
      <c r="AA274" s="4489"/>
      <c r="AB274" s="4580"/>
      <c r="AC274" s="4581"/>
      <c r="AD274" s="4581"/>
      <c r="AE274" s="4581"/>
      <c r="AF274" s="4581"/>
      <c r="AG274" s="4581"/>
      <c r="AH274" s="4582"/>
      <c r="AI274" s="4568"/>
      <c r="AJ274" s="4568"/>
      <c r="AK274" s="4583"/>
      <c r="AL274" s="4584"/>
      <c r="AM274" s="4585"/>
      <c r="AN274" s="4489"/>
      <c r="AO274" s="4586"/>
      <c r="AP274" s="4587"/>
      <c r="AQ274" s="4588"/>
      <c r="AR274" s="3435"/>
      <c r="AS274" s="4589"/>
      <c r="AT274" s="4590"/>
      <c r="AU274" s="4591"/>
      <c r="AV274" s="4489"/>
      <c r="AW274" s="4592"/>
      <c r="AX274" s="4593"/>
      <c r="AY274" s="4594"/>
      <c r="AZ274" s="4568"/>
      <c r="BA274" s="4595"/>
      <c r="BB274" s="4596"/>
      <c r="BC274" s="4597"/>
      <c r="BD274" s="4489"/>
      <c r="BE274" s="4598"/>
      <c r="BF274" s="4599"/>
      <c r="BG274" s="4600"/>
      <c r="BH274" s="4445"/>
      <c r="BI274" s="4601"/>
      <c r="BJ274" s="4602"/>
      <c r="BK274" s="4603"/>
      <c r="BL274" s="4489"/>
      <c r="BM274" s="4604"/>
      <c r="BN274" s="4605"/>
      <c r="BO274" s="4606"/>
      <c r="BP274" s="4445"/>
      <c r="BQ274" s="4607"/>
      <c r="BR274" s="4608"/>
      <c r="BS274" s="4609"/>
      <c r="BT274" s="4489"/>
      <c r="BU274" s="4610"/>
      <c r="BV274" s="4611"/>
      <c r="BW274" s="4612"/>
      <c r="BX274" s="4445"/>
      <c r="BY274" s="4613"/>
      <c r="BZ274" s="4614"/>
      <c r="CA274" s="4615"/>
      <c r="CB274" s="4489"/>
      <c r="CC274" s="4616"/>
      <c r="CD274" s="4617"/>
      <c r="CE274" s="4618"/>
      <c r="CF274" s="4445"/>
      <c r="CG274" s="4619"/>
      <c r="CH274" s="4620"/>
      <c r="CI274" s="4621"/>
      <c r="CJ274" s="4489"/>
      <c r="CK274" s="4622"/>
      <c r="CL274" s="4623"/>
      <c r="CM274" s="4624"/>
    </row>
    <row r="275" spans="1:91" s="8" customFormat="1" ht="8.1" customHeight="1" thickBot="1" x14ac:dyDescent="0.25">
      <c r="A275" s="4203"/>
      <c r="B275" s="4203"/>
      <c r="C275" s="4203"/>
      <c r="D275" s="4203"/>
      <c r="E275" s="4203"/>
      <c r="F275" s="4203"/>
      <c r="I275" s="6795"/>
      <c r="J275" s="10"/>
      <c r="K275" s="14"/>
      <c r="L275" s="129"/>
      <c r="M275" s="129"/>
      <c r="N275" s="129"/>
      <c r="O275" s="16"/>
      <c r="P275" s="17"/>
      <c r="Q275" s="17"/>
      <c r="R275" s="17"/>
      <c r="S275" s="16"/>
      <c r="T275" s="4373"/>
      <c r="W275" s="4574"/>
      <c r="X275" s="4625"/>
      <c r="Y275" s="4625"/>
      <c r="Z275" s="4626"/>
      <c r="AA275" s="4575"/>
      <c r="AB275" s="4574"/>
      <c r="AC275" s="4627"/>
      <c r="AD275" s="4627"/>
      <c r="AE275" s="4627"/>
      <c r="AF275" s="4627"/>
      <c r="AG275" s="4627"/>
      <c r="AH275" s="4626"/>
      <c r="AI275" s="4568"/>
      <c r="AJ275" s="4568"/>
      <c r="AK275" s="4574"/>
      <c r="AL275" s="4625"/>
      <c r="AM275" s="4626"/>
      <c r="AN275" s="4575"/>
      <c r="AO275" s="4574"/>
      <c r="AP275" s="4627"/>
      <c r="AQ275" s="4626"/>
      <c r="AR275" s="3435"/>
      <c r="AS275" s="4574"/>
      <c r="AT275" s="4625"/>
      <c r="AU275" s="4626"/>
      <c r="AV275" s="4575"/>
      <c r="AW275" s="4574"/>
      <c r="AX275" s="4627"/>
      <c r="AY275" s="4626"/>
      <c r="AZ275" s="4568"/>
      <c r="BA275" s="4574"/>
      <c r="BB275" s="4625"/>
      <c r="BC275" s="4626"/>
      <c r="BD275" s="4575"/>
      <c r="BE275" s="4574"/>
      <c r="BF275" s="4627"/>
      <c r="BG275" s="4626"/>
      <c r="BH275" s="4445"/>
      <c r="BI275" s="4574"/>
      <c r="BJ275" s="4625"/>
      <c r="BK275" s="4626"/>
      <c r="BL275" s="4575"/>
      <c r="BM275" s="4574"/>
      <c r="BN275" s="4627"/>
      <c r="BO275" s="4626"/>
      <c r="BP275" s="4445"/>
      <c r="BQ275" s="4574"/>
      <c r="BR275" s="4625"/>
      <c r="BS275" s="4626"/>
      <c r="BT275" s="4575"/>
      <c r="BU275" s="4574"/>
      <c r="BV275" s="4627"/>
      <c r="BW275" s="4626"/>
      <c r="BX275" s="4445"/>
      <c r="BY275" s="4574"/>
      <c r="BZ275" s="4625"/>
      <c r="CA275" s="4626"/>
      <c r="CB275" s="4575"/>
      <c r="CC275" s="4574"/>
      <c r="CD275" s="4627"/>
      <c r="CE275" s="4626"/>
      <c r="CF275" s="4445"/>
      <c r="CG275" s="4574"/>
      <c r="CH275" s="4625"/>
      <c r="CI275" s="4626"/>
      <c r="CJ275" s="4575"/>
      <c r="CK275" s="4574"/>
      <c r="CL275" s="4627"/>
      <c r="CM275" s="4626"/>
    </row>
    <row r="276" spans="1:91" s="8" customFormat="1" ht="15.75" thickBot="1" x14ac:dyDescent="0.25">
      <c r="A276" s="4203"/>
      <c r="B276" s="4203"/>
      <c r="C276" s="4203"/>
      <c r="D276" s="4203"/>
      <c r="E276" s="4203"/>
      <c r="F276" s="4203"/>
      <c r="I276" s="6795"/>
      <c r="J276" s="10"/>
      <c r="K276" s="3329"/>
      <c r="L276" s="3330"/>
      <c r="M276" s="3330"/>
      <c r="N276" s="3330"/>
      <c r="O276" s="3331"/>
      <c r="P276" s="3332"/>
      <c r="Q276" s="3332"/>
      <c r="R276" s="3626"/>
      <c r="S276" s="2798"/>
      <c r="T276" s="4373"/>
      <c r="W276" s="4628"/>
      <c r="X276" s="4629"/>
      <c r="Y276" s="4629"/>
      <c r="Z276" s="4630"/>
      <c r="AA276" s="4767"/>
      <c r="AB276" s="4631"/>
      <c r="AC276" s="4632"/>
      <c r="AD276" s="4632"/>
      <c r="AE276" s="4632"/>
      <c r="AF276" s="4632"/>
      <c r="AG276" s="4632"/>
      <c r="AH276" s="4633"/>
      <c r="AI276" s="4568"/>
      <c r="AJ276" s="4568"/>
      <c r="AK276" s="4634"/>
      <c r="AL276" s="4635"/>
      <c r="AM276" s="4636"/>
      <c r="AN276" s="4767"/>
      <c r="AO276" s="4637"/>
      <c r="AP276" s="4638"/>
      <c r="AQ276" s="4639"/>
      <c r="AR276" s="3435"/>
      <c r="AS276" s="4640"/>
      <c r="AT276" s="4641"/>
      <c r="AU276" s="4642"/>
      <c r="AV276" s="4767"/>
      <c r="AW276" s="4643"/>
      <c r="AX276" s="4644"/>
      <c r="AY276" s="4645"/>
      <c r="AZ276" s="4568"/>
      <c r="BA276" s="4646"/>
      <c r="BB276" s="4647"/>
      <c r="BC276" s="4648"/>
      <c r="BD276" s="4767"/>
      <c r="BE276" s="4649"/>
      <c r="BF276" s="4650"/>
      <c r="BG276" s="4651"/>
      <c r="BH276" s="4445"/>
      <c r="BI276" s="4652"/>
      <c r="BJ276" s="4653"/>
      <c r="BK276" s="4654"/>
      <c r="BL276" s="4767"/>
      <c r="BM276" s="4655"/>
      <c r="BN276" s="4656"/>
      <c r="BO276" s="4657"/>
      <c r="BP276" s="4445"/>
      <c r="BQ276" s="4658"/>
      <c r="BR276" s="4659"/>
      <c r="BS276" s="4660"/>
      <c r="BT276" s="4767"/>
      <c r="BU276" s="4661"/>
      <c r="BV276" s="4662"/>
      <c r="BW276" s="4663"/>
      <c r="BX276" s="4445"/>
      <c r="BY276" s="4664"/>
      <c r="BZ276" s="4665"/>
      <c r="CA276" s="4666"/>
      <c r="CB276" s="4767"/>
      <c r="CC276" s="4667"/>
      <c r="CD276" s="4668"/>
      <c r="CE276" s="4669"/>
      <c r="CF276" s="4445"/>
      <c r="CG276" s="4670"/>
      <c r="CH276" s="4671"/>
      <c r="CI276" s="4672"/>
      <c r="CJ276" s="4767"/>
      <c r="CK276" s="4673"/>
      <c r="CL276" s="4674"/>
      <c r="CM276" s="4675"/>
    </row>
    <row r="277" spans="1:91" s="8" customFormat="1" ht="24.95" customHeight="1" thickBot="1" x14ac:dyDescent="0.25">
      <c r="A277" s="4203"/>
      <c r="B277" s="4203"/>
      <c r="C277" s="4203"/>
      <c r="D277" s="5153" t="s">
        <v>2193</v>
      </c>
      <c r="E277" s="4203"/>
      <c r="F277" s="4203" t="s">
        <v>1553</v>
      </c>
      <c r="I277" s="3765" t="s">
        <v>1989</v>
      </c>
      <c r="J277" s="10"/>
      <c r="K277" s="3326"/>
      <c r="L277" s="4377" t="str">
        <f>_Calcs!$M$62</f>
        <v>Nett (kvadratmeter) per meter av tunnel</v>
      </c>
      <c r="M277" s="4377"/>
      <c r="N277" s="4377"/>
      <c r="O277" s="5095" t="s">
        <v>149</v>
      </c>
      <c r="P277" s="5096"/>
      <c r="Q277" s="5096" t="s">
        <v>2141</v>
      </c>
      <c r="R277" s="3627"/>
      <c r="S277" s="2798"/>
      <c r="T277" s="4373"/>
      <c r="W277" s="4768"/>
      <c r="X277" s="6808"/>
      <c r="Y277" s="6809"/>
      <c r="Z277" s="4677"/>
      <c r="AA277" s="4678"/>
      <c r="AB277" s="4679"/>
      <c r="AC277" s="6810" t="e">
        <f>_Calcs_Klasse!$AGS$42</f>
        <v>#N/A</v>
      </c>
      <c r="AD277" s="6811"/>
      <c r="AE277" s="6811"/>
      <c r="AF277" s="6811"/>
      <c r="AG277" s="6812"/>
      <c r="AH277" s="4680"/>
      <c r="AI277" s="4681"/>
      <c r="AJ277" s="4681"/>
      <c r="AK277" s="4682"/>
      <c r="AL277" s="4683"/>
      <c r="AM277" s="4684"/>
      <c r="AN277" s="4678"/>
      <c r="AO277" s="4685"/>
      <c r="AP277" s="4686" t="e">
        <f>_Calcs_Klasse!$AGS$43</f>
        <v>#N/A</v>
      </c>
      <c r="AQ277" s="4687"/>
      <c r="AR277" s="4688"/>
      <c r="AS277" s="4689"/>
      <c r="AT277" s="4683"/>
      <c r="AU277" s="4690"/>
      <c r="AV277" s="4678"/>
      <c r="AW277" s="4691"/>
      <c r="AX277" s="4686" t="e">
        <f>_Calcs_Klasse!$AGS$44</f>
        <v>#N/A</v>
      </c>
      <c r="AY277" s="4692"/>
      <c r="AZ277" s="4681"/>
      <c r="BA277" s="4693"/>
      <c r="BB277" s="4683"/>
      <c r="BC277" s="4694"/>
      <c r="BD277" s="4678"/>
      <c r="BE277" s="4695"/>
      <c r="BF277" s="4686" t="e">
        <f>_Calcs_Klasse!$AGS$45</f>
        <v>#N/A</v>
      </c>
      <c r="BG277" s="4696"/>
      <c r="BH277" s="4697"/>
      <c r="BI277" s="4698"/>
      <c r="BJ277" s="4683"/>
      <c r="BK277" s="4699"/>
      <c r="BL277" s="4678"/>
      <c r="BM277" s="4700"/>
      <c r="BN277" s="4686" t="e">
        <f>_Calcs_Klasse!$AGS$46</f>
        <v>#N/A</v>
      </c>
      <c r="BO277" s="4701"/>
      <c r="BP277" s="4697"/>
      <c r="BQ277" s="4702"/>
      <c r="BR277" s="4683"/>
      <c r="BS277" s="4703"/>
      <c r="BT277" s="4678"/>
      <c r="BU277" s="4704"/>
      <c r="BV277" s="4686" t="e">
        <f>_Calcs_Klasse!$AGS$47</f>
        <v>#N/A</v>
      </c>
      <c r="BW277" s="4705"/>
      <c r="BX277" s="4697"/>
      <c r="BY277" s="4706"/>
      <c r="BZ277" s="4683"/>
      <c r="CA277" s="4707"/>
      <c r="CB277" s="4678"/>
      <c r="CC277" s="4708"/>
      <c r="CD277" s="4686" t="e">
        <f>_Calcs_Klasse!$AGS$48</f>
        <v>#N/A</v>
      </c>
      <c r="CE277" s="4709"/>
      <c r="CF277" s="4697"/>
      <c r="CG277" s="4710"/>
      <c r="CH277" s="4683"/>
      <c r="CI277" s="4711"/>
      <c r="CJ277" s="4678"/>
      <c r="CK277" s="4712"/>
      <c r="CL277" s="4686" t="e">
        <f>_Calcs_Klasse!$AGS$49</f>
        <v>#N/A</v>
      </c>
      <c r="CM277" s="4713"/>
    </row>
    <row r="278" spans="1:91" s="8" customFormat="1" ht="15" customHeight="1" thickBot="1" x14ac:dyDescent="0.25">
      <c r="A278" s="4203"/>
      <c r="B278" s="4203"/>
      <c r="C278" s="4203"/>
      <c r="D278" s="4203"/>
      <c r="E278" s="4203"/>
      <c r="F278" s="4203"/>
      <c r="I278" s="5545"/>
      <c r="J278" s="10"/>
      <c r="K278" s="3321"/>
      <c r="L278" s="3322"/>
      <c r="M278" s="3322"/>
      <c r="N278" s="3322"/>
      <c r="O278" s="3323"/>
      <c r="P278" s="3324"/>
      <c r="Q278" s="3324"/>
      <c r="R278" s="3628"/>
      <c r="S278" s="2798"/>
      <c r="T278" s="4373"/>
      <c r="W278" s="4714"/>
      <c r="X278" s="4715"/>
      <c r="Y278" s="4715"/>
      <c r="Z278" s="4716"/>
      <c r="AA278" s="4575"/>
      <c r="AB278" s="4769"/>
      <c r="AC278" s="4770"/>
      <c r="AD278" s="4770"/>
      <c r="AE278" s="4770"/>
      <c r="AF278" s="4770"/>
      <c r="AG278" s="4770"/>
      <c r="AH278" s="4771"/>
      <c r="AI278" s="4568"/>
      <c r="AJ278" s="4568"/>
      <c r="AK278" s="4720"/>
      <c r="AL278" s="4721"/>
      <c r="AM278" s="4722"/>
      <c r="AN278" s="4575"/>
      <c r="AO278" s="4772"/>
      <c r="AP278" s="4773"/>
      <c r="AQ278" s="4774"/>
      <c r="AR278" s="3435"/>
      <c r="AS278" s="4726"/>
      <c r="AT278" s="4727"/>
      <c r="AU278" s="4728"/>
      <c r="AV278" s="4575"/>
      <c r="AW278" s="4775"/>
      <c r="AX278" s="4776"/>
      <c r="AY278" s="4777"/>
      <c r="AZ278" s="4568"/>
      <c r="BA278" s="4732"/>
      <c r="BB278" s="4733"/>
      <c r="BC278" s="4734"/>
      <c r="BD278" s="4575"/>
      <c r="BE278" s="4778"/>
      <c r="BF278" s="4779"/>
      <c r="BG278" s="4780"/>
      <c r="BH278" s="4445"/>
      <c r="BI278" s="4738"/>
      <c r="BJ278" s="4739"/>
      <c r="BK278" s="4740"/>
      <c r="BL278" s="4575"/>
      <c r="BM278" s="4781"/>
      <c r="BN278" s="4782"/>
      <c r="BO278" s="4783"/>
      <c r="BP278" s="4445"/>
      <c r="BQ278" s="4744"/>
      <c r="BR278" s="4745"/>
      <c r="BS278" s="4746"/>
      <c r="BT278" s="4575"/>
      <c r="BU278" s="4784"/>
      <c r="BV278" s="4785"/>
      <c r="BW278" s="4786"/>
      <c r="BX278" s="4445"/>
      <c r="BY278" s="4750"/>
      <c r="BZ278" s="4751"/>
      <c r="CA278" s="4752"/>
      <c r="CB278" s="4575"/>
      <c r="CC278" s="4787"/>
      <c r="CD278" s="4788"/>
      <c r="CE278" s="4789"/>
      <c r="CF278" s="4445"/>
      <c r="CG278" s="4756"/>
      <c r="CH278" s="4757"/>
      <c r="CI278" s="4758"/>
      <c r="CJ278" s="4575"/>
      <c r="CK278" s="4790"/>
      <c r="CL278" s="4791"/>
      <c r="CM278" s="4792"/>
    </row>
    <row r="279" spans="1:91" s="8" customFormat="1" ht="35.1" customHeight="1" thickBot="1" x14ac:dyDescent="0.3">
      <c r="A279" s="4203"/>
      <c r="B279" s="4203"/>
      <c r="C279" s="4203"/>
      <c r="D279" s="4203"/>
      <c r="E279" s="4203"/>
      <c r="F279" s="4203"/>
      <c r="I279" s="2793"/>
      <c r="L279" s="21"/>
      <c r="M279" s="21"/>
      <c r="N279" s="21"/>
      <c r="O279" s="13"/>
      <c r="P279" s="21"/>
      <c r="Q279" s="15"/>
      <c r="S279" s="16"/>
      <c r="T279" s="4373"/>
      <c r="U279" s="181"/>
      <c r="V279" s="181"/>
      <c r="W279" s="3435"/>
      <c r="X279" s="3435"/>
      <c r="Y279" s="3435"/>
      <c r="Z279" s="3435"/>
      <c r="AA279" s="3435"/>
      <c r="AB279" s="3435"/>
      <c r="AC279" s="4762"/>
      <c r="AD279" s="4762"/>
      <c r="AE279" s="4762"/>
      <c r="AF279" s="4762"/>
      <c r="AG279" s="4762"/>
      <c r="AH279" s="3435"/>
      <c r="AI279" s="3435"/>
      <c r="AJ279" s="3435"/>
      <c r="AK279" s="3435"/>
      <c r="AL279" s="3435"/>
      <c r="AM279" s="3435"/>
      <c r="AN279" s="3435"/>
      <c r="AO279" s="3435"/>
      <c r="AP279" s="4762"/>
      <c r="AQ279" s="3435"/>
      <c r="AR279" s="3435"/>
      <c r="AS279" s="3435"/>
      <c r="AT279" s="3435"/>
      <c r="AU279" s="3435"/>
      <c r="AV279" s="3435"/>
      <c r="AW279" s="3435"/>
      <c r="AX279" s="4762"/>
      <c r="AY279" s="3435"/>
      <c r="AZ279" s="3435"/>
      <c r="BA279" s="3435"/>
      <c r="BB279" s="3435"/>
      <c r="BC279" s="3435"/>
      <c r="BD279" s="3435"/>
      <c r="BE279" s="3435"/>
      <c r="BF279" s="4762"/>
      <c r="BG279" s="3435"/>
      <c r="BH279" s="3435"/>
      <c r="BI279" s="3435"/>
      <c r="BJ279" s="3435"/>
      <c r="BK279" s="3435"/>
      <c r="BL279" s="3435"/>
      <c r="BM279" s="3435"/>
      <c r="BN279" s="4762"/>
      <c r="BO279" s="3435"/>
      <c r="BP279" s="3435"/>
      <c r="BQ279" s="3435"/>
      <c r="BR279" s="3435"/>
      <c r="BS279" s="3435"/>
      <c r="BT279" s="3435"/>
      <c r="BU279" s="3435"/>
      <c r="BV279" s="4762"/>
      <c r="BW279" s="3435"/>
      <c r="BX279" s="3435"/>
      <c r="BY279" s="3435"/>
      <c r="BZ279" s="3435"/>
      <c r="CA279" s="3435"/>
      <c r="CB279" s="3435"/>
      <c r="CC279" s="3435"/>
      <c r="CD279" s="4762"/>
      <c r="CE279" s="3435"/>
      <c r="CF279" s="3435"/>
      <c r="CG279" s="3435"/>
      <c r="CH279" s="3435"/>
      <c r="CI279" s="3435"/>
      <c r="CJ279" s="3435"/>
      <c r="CK279" s="3435"/>
      <c r="CL279" s="4762"/>
      <c r="CM279" s="3435"/>
    </row>
    <row r="280" spans="1:91" s="8" customFormat="1" ht="20.100000000000001" customHeight="1" thickBot="1" x14ac:dyDescent="0.25">
      <c r="A280" s="4203"/>
      <c r="B280" s="4203"/>
      <c r="C280" s="4203"/>
      <c r="D280" s="4203"/>
      <c r="E280" s="4203"/>
      <c r="F280" s="4203"/>
      <c r="I280" s="2793"/>
      <c r="J280" s="10"/>
      <c r="K280" s="3335"/>
      <c r="L280" s="6798" t="str">
        <f>_Calcs_Klasse!$AGW$35</f>
        <v>Festebolter for nett</v>
      </c>
      <c r="M280" s="6798"/>
      <c r="N280" s="6798"/>
      <c r="O280" s="6798"/>
      <c r="P280" s="6798"/>
      <c r="Q280" s="6798"/>
      <c r="R280" s="3653"/>
      <c r="S280" s="3660"/>
      <c r="T280" s="4373"/>
      <c r="W280" s="4574"/>
      <c r="X280" s="4574"/>
      <c r="Y280" s="4574"/>
      <c r="Z280" s="4574"/>
      <c r="AA280" s="4575"/>
      <c r="AB280" s="4574"/>
      <c r="AC280" s="4576"/>
      <c r="AD280" s="4576"/>
      <c r="AE280" s="4576"/>
      <c r="AF280" s="4576"/>
      <c r="AG280" s="4576"/>
      <c r="AH280" s="4574"/>
      <c r="AI280" s="4568"/>
      <c r="AJ280" s="4568"/>
      <c r="AK280" s="4574"/>
      <c r="AL280" s="4574"/>
      <c r="AM280" s="4574"/>
      <c r="AN280" s="4575"/>
      <c r="AO280" s="4574"/>
      <c r="AP280" s="4576"/>
      <c r="AQ280" s="4574"/>
      <c r="AR280" s="3435"/>
      <c r="AS280" s="4574"/>
      <c r="AT280" s="4574"/>
      <c r="AU280" s="4574"/>
      <c r="AV280" s="4575"/>
      <c r="AW280" s="4574"/>
      <c r="AX280" s="4576"/>
      <c r="AY280" s="4574"/>
      <c r="AZ280" s="4568"/>
      <c r="BA280" s="4574"/>
      <c r="BB280" s="4574"/>
      <c r="BC280" s="4574"/>
      <c r="BD280" s="4575"/>
      <c r="BE280" s="4574"/>
      <c r="BF280" s="4576"/>
      <c r="BG280" s="4574"/>
      <c r="BH280" s="4445"/>
      <c r="BI280" s="4574"/>
      <c r="BJ280" s="4574"/>
      <c r="BK280" s="4574"/>
      <c r="BL280" s="4575"/>
      <c r="BM280" s="4574"/>
      <c r="BN280" s="4576"/>
      <c r="BO280" s="4574"/>
      <c r="BP280" s="4445"/>
      <c r="BQ280" s="4574"/>
      <c r="BR280" s="4574"/>
      <c r="BS280" s="4574"/>
      <c r="BT280" s="4575"/>
      <c r="BU280" s="4574"/>
      <c r="BV280" s="4576"/>
      <c r="BW280" s="4574"/>
      <c r="BX280" s="4445"/>
      <c r="BY280" s="4574"/>
      <c r="BZ280" s="4574"/>
      <c r="CA280" s="4574"/>
      <c r="CB280" s="4575"/>
      <c r="CC280" s="4574"/>
      <c r="CD280" s="4576"/>
      <c r="CE280" s="4574"/>
      <c r="CF280" s="4445"/>
      <c r="CG280" s="4574"/>
      <c r="CH280" s="4574"/>
      <c r="CI280" s="4574"/>
      <c r="CJ280" s="4575"/>
      <c r="CK280" s="4574"/>
      <c r="CL280" s="4576"/>
      <c r="CM280" s="4574"/>
    </row>
    <row r="281" spans="1:91" s="8" customFormat="1" ht="15" customHeight="1" thickBot="1" x14ac:dyDescent="0.25">
      <c r="A281" s="4203"/>
      <c r="B281" s="4203"/>
      <c r="C281" s="4203"/>
      <c r="D281" s="4203"/>
      <c r="E281" s="4203"/>
      <c r="F281" s="4203"/>
      <c r="I281" s="2793"/>
      <c r="J281" s="10"/>
      <c r="K281" s="3336"/>
      <c r="L281" s="6799"/>
      <c r="M281" s="6799"/>
      <c r="N281" s="6799"/>
      <c r="O281" s="6799"/>
      <c r="P281" s="6799"/>
      <c r="Q281" s="6799"/>
      <c r="R281" s="3654"/>
      <c r="S281" s="3660"/>
      <c r="T281" s="4373"/>
      <c r="W281" s="4577"/>
      <c r="X281" s="4578"/>
      <c r="Y281" s="4578"/>
      <c r="Z281" s="4579"/>
      <c r="AA281" s="4489"/>
      <c r="AB281" s="4580"/>
      <c r="AC281" s="4581"/>
      <c r="AD281" s="4581"/>
      <c r="AE281" s="4581"/>
      <c r="AF281" s="4581"/>
      <c r="AG281" s="4581"/>
      <c r="AH281" s="4582"/>
      <c r="AI281" s="4568"/>
      <c r="AJ281" s="4568"/>
      <c r="AK281" s="4583"/>
      <c r="AL281" s="4584"/>
      <c r="AM281" s="4585"/>
      <c r="AN281" s="4489"/>
      <c r="AO281" s="4586"/>
      <c r="AP281" s="4587"/>
      <c r="AQ281" s="4588"/>
      <c r="AR281" s="3435"/>
      <c r="AS281" s="4589"/>
      <c r="AT281" s="4590"/>
      <c r="AU281" s="4591"/>
      <c r="AV281" s="4489"/>
      <c r="AW281" s="4592"/>
      <c r="AX281" s="4593"/>
      <c r="AY281" s="4594"/>
      <c r="AZ281" s="4568"/>
      <c r="BA281" s="4595"/>
      <c r="BB281" s="4596"/>
      <c r="BC281" s="4597"/>
      <c r="BD281" s="4489"/>
      <c r="BE281" s="4598"/>
      <c r="BF281" s="4599"/>
      <c r="BG281" s="4600"/>
      <c r="BH281" s="4445"/>
      <c r="BI281" s="4601"/>
      <c r="BJ281" s="4602"/>
      <c r="BK281" s="4603"/>
      <c r="BL281" s="4489"/>
      <c r="BM281" s="4604"/>
      <c r="BN281" s="4605"/>
      <c r="BO281" s="4606"/>
      <c r="BP281" s="4445"/>
      <c r="BQ281" s="4607"/>
      <c r="BR281" s="4608"/>
      <c r="BS281" s="4609"/>
      <c r="BT281" s="4489"/>
      <c r="BU281" s="4610"/>
      <c r="BV281" s="4611"/>
      <c r="BW281" s="4612"/>
      <c r="BX281" s="4445"/>
      <c r="BY281" s="4613"/>
      <c r="BZ281" s="4614"/>
      <c r="CA281" s="4615"/>
      <c r="CB281" s="4489"/>
      <c r="CC281" s="4616"/>
      <c r="CD281" s="4617"/>
      <c r="CE281" s="4618"/>
      <c r="CF281" s="4445"/>
      <c r="CG281" s="4619"/>
      <c r="CH281" s="4620"/>
      <c r="CI281" s="4621"/>
      <c r="CJ281" s="4489"/>
      <c r="CK281" s="4622"/>
      <c r="CL281" s="4623"/>
      <c r="CM281" s="4624"/>
    </row>
    <row r="282" spans="1:91" s="8" customFormat="1" ht="8.1" customHeight="1" thickBot="1" x14ac:dyDescent="0.25">
      <c r="A282" s="4203"/>
      <c r="B282" s="4203"/>
      <c r="C282" s="4203"/>
      <c r="D282" s="4203"/>
      <c r="E282" s="4203"/>
      <c r="F282" s="4203"/>
      <c r="I282" s="2793"/>
      <c r="J282" s="10"/>
      <c r="K282" s="14"/>
      <c r="L282" s="129"/>
      <c r="M282" s="129"/>
      <c r="N282" s="129"/>
      <c r="O282" s="16"/>
      <c r="P282" s="17"/>
      <c r="Q282" s="17"/>
      <c r="R282" s="17"/>
      <c r="S282" s="16"/>
      <c r="T282" s="4373"/>
      <c r="W282" s="4574"/>
      <c r="X282" s="4625"/>
      <c r="Y282" s="4625"/>
      <c r="Z282" s="4626"/>
      <c r="AA282" s="4575"/>
      <c r="AB282" s="4574"/>
      <c r="AC282" s="4627"/>
      <c r="AD282" s="4627"/>
      <c r="AE282" s="4627"/>
      <c r="AF282" s="4627"/>
      <c r="AG282" s="4627"/>
      <c r="AH282" s="4626"/>
      <c r="AI282" s="4568"/>
      <c r="AJ282" s="4568"/>
      <c r="AK282" s="4574"/>
      <c r="AL282" s="4625"/>
      <c r="AM282" s="4626"/>
      <c r="AN282" s="4575"/>
      <c r="AO282" s="4574"/>
      <c r="AP282" s="4627"/>
      <c r="AQ282" s="4626"/>
      <c r="AR282" s="3435"/>
      <c r="AS282" s="4574"/>
      <c r="AT282" s="4625"/>
      <c r="AU282" s="4626"/>
      <c r="AV282" s="4575"/>
      <c r="AW282" s="4574"/>
      <c r="AX282" s="4627"/>
      <c r="AY282" s="4626"/>
      <c r="AZ282" s="4568"/>
      <c r="BA282" s="4574"/>
      <c r="BB282" s="4625"/>
      <c r="BC282" s="4626"/>
      <c r="BD282" s="4575"/>
      <c r="BE282" s="4574"/>
      <c r="BF282" s="4627"/>
      <c r="BG282" s="4626"/>
      <c r="BH282" s="4445"/>
      <c r="BI282" s="4574"/>
      <c r="BJ282" s="4625"/>
      <c r="BK282" s="4626"/>
      <c r="BL282" s="4575"/>
      <c r="BM282" s="4574"/>
      <c r="BN282" s="4627"/>
      <c r="BO282" s="4626"/>
      <c r="BP282" s="4445"/>
      <c r="BQ282" s="4574"/>
      <c r="BR282" s="4625"/>
      <c r="BS282" s="4626"/>
      <c r="BT282" s="4575"/>
      <c r="BU282" s="4574"/>
      <c r="BV282" s="4627"/>
      <c r="BW282" s="4626"/>
      <c r="BX282" s="4445"/>
      <c r="BY282" s="4574"/>
      <c r="BZ282" s="4625"/>
      <c r="CA282" s="4626"/>
      <c r="CB282" s="4575"/>
      <c r="CC282" s="4574"/>
      <c r="CD282" s="4627"/>
      <c r="CE282" s="4626"/>
      <c r="CF282" s="4445"/>
      <c r="CG282" s="4574"/>
      <c r="CH282" s="4625"/>
      <c r="CI282" s="4626"/>
      <c r="CJ282" s="4575"/>
      <c r="CK282" s="4574"/>
      <c r="CL282" s="4627"/>
      <c r="CM282" s="4626"/>
    </row>
    <row r="283" spans="1:91" s="8" customFormat="1" ht="15.75" thickBot="1" x14ac:dyDescent="0.25">
      <c r="A283" s="4203"/>
      <c r="B283" s="4203"/>
      <c r="C283" s="4203"/>
      <c r="D283" s="4203"/>
      <c r="E283" s="4203"/>
      <c r="F283" s="4203"/>
      <c r="I283" s="2793"/>
      <c r="J283" s="10"/>
      <c r="K283" s="3329"/>
      <c r="L283" s="3330"/>
      <c r="M283" s="3330"/>
      <c r="N283" s="3330"/>
      <c r="O283" s="3331"/>
      <c r="P283" s="3332"/>
      <c r="Q283" s="3332"/>
      <c r="R283" s="3626"/>
      <c r="S283" s="2798"/>
      <c r="T283" s="4373"/>
      <c r="W283" s="4628"/>
      <c r="X283" s="4629"/>
      <c r="Y283" s="4629"/>
      <c r="Z283" s="4630"/>
      <c r="AA283" s="4767"/>
      <c r="AB283" s="4631"/>
      <c r="AC283" s="4632"/>
      <c r="AD283" s="4632"/>
      <c r="AE283" s="4632"/>
      <c r="AF283" s="4632"/>
      <c r="AG283" s="4632"/>
      <c r="AH283" s="4633"/>
      <c r="AI283" s="4568"/>
      <c r="AJ283" s="4568"/>
      <c r="AK283" s="4634"/>
      <c r="AL283" s="4635"/>
      <c r="AM283" s="4636"/>
      <c r="AN283" s="4767"/>
      <c r="AO283" s="4637"/>
      <c r="AP283" s="4638"/>
      <c r="AQ283" s="4639"/>
      <c r="AR283" s="3435"/>
      <c r="AS283" s="4640"/>
      <c r="AT283" s="4641"/>
      <c r="AU283" s="4642"/>
      <c r="AV283" s="4767"/>
      <c r="AW283" s="4643"/>
      <c r="AX283" s="4644"/>
      <c r="AY283" s="4645"/>
      <c r="AZ283" s="4568"/>
      <c r="BA283" s="4646"/>
      <c r="BB283" s="4647"/>
      <c r="BC283" s="4648"/>
      <c r="BD283" s="4767"/>
      <c r="BE283" s="4649"/>
      <c r="BF283" s="4650"/>
      <c r="BG283" s="4651"/>
      <c r="BH283" s="4445"/>
      <c r="BI283" s="4652"/>
      <c r="BJ283" s="4653"/>
      <c r="BK283" s="4654"/>
      <c r="BL283" s="4767"/>
      <c r="BM283" s="4655"/>
      <c r="BN283" s="4656"/>
      <c r="BO283" s="4657"/>
      <c r="BP283" s="4445"/>
      <c r="BQ283" s="4658"/>
      <c r="BR283" s="4659"/>
      <c r="BS283" s="4660"/>
      <c r="BT283" s="4767"/>
      <c r="BU283" s="4661"/>
      <c r="BV283" s="4662"/>
      <c r="BW283" s="4663"/>
      <c r="BX283" s="4445"/>
      <c r="BY283" s="4664"/>
      <c r="BZ283" s="4665"/>
      <c r="CA283" s="4666"/>
      <c r="CB283" s="4767"/>
      <c r="CC283" s="4667"/>
      <c r="CD283" s="4668"/>
      <c r="CE283" s="4669"/>
      <c r="CF283" s="4445"/>
      <c r="CG283" s="4670"/>
      <c r="CH283" s="4671"/>
      <c r="CI283" s="4672"/>
      <c r="CJ283" s="4767"/>
      <c r="CK283" s="4673"/>
      <c r="CL283" s="4674"/>
      <c r="CM283" s="4675"/>
    </row>
    <row r="284" spans="1:91" s="8" customFormat="1" ht="24.95" customHeight="1" thickBot="1" x14ac:dyDescent="0.25">
      <c r="A284" s="4203"/>
      <c r="B284" s="4203"/>
      <c r="C284" s="4203"/>
      <c r="D284" s="5153" t="s">
        <v>2193</v>
      </c>
      <c r="E284" s="4203"/>
      <c r="F284" s="4203" t="s">
        <v>1553</v>
      </c>
      <c r="I284" s="2793"/>
      <c r="J284" s="10"/>
      <c r="K284" s="3326"/>
      <c r="L284" s="4377" t="str">
        <f>_Calcs!$M$64</f>
        <v>Festebolter for nett senteravstand</v>
      </c>
      <c r="M284" s="4377"/>
      <c r="N284" s="4377"/>
      <c r="O284" s="5516" t="s">
        <v>149</v>
      </c>
      <c r="P284" s="5096"/>
      <c r="Q284" s="5096" t="s">
        <v>78</v>
      </c>
      <c r="R284" s="3627"/>
      <c r="S284" s="2798"/>
      <c r="T284" s="4373"/>
      <c r="W284" s="4768"/>
      <c r="X284" s="6808"/>
      <c r="Y284" s="6809"/>
      <c r="Z284" s="4677"/>
      <c r="AA284" s="4678"/>
      <c r="AB284" s="4679"/>
      <c r="AC284" s="6810" t="e">
        <f>_Calcs_Klasse!$AHA$42</f>
        <v>#N/A</v>
      </c>
      <c r="AD284" s="6811"/>
      <c r="AE284" s="6811"/>
      <c r="AF284" s="6811"/>
      <c r="AG284" s="6812"/>
      <c r="AH284" s="4680"/>
      <c r="AI284" s="4681"/>
      <c r="AJ284" s="4681"/>
      <c r="AK284" s="4682"/>
      <c r="AL284" s="4683"/>
      <c r="AM284" s="4684"/>
      <c r="AN284" s="4678"/>
      <c r="AO284" s="4685"/>
      <c r="AP284" s="4686" t="e">
        <f>_Calcs_Klasse!$AHA$43</f>
        <v>#N/A</v>
      </c>
      <c r="AQ284" s="4687"/>
      <c r="AR284" s="4688"/>
      <c r="AS284" s="4689"/>
      <c r="AT284" s="4683"/>
      <c r="AU284" s="4690"/>
      <c r="AV284" s="4678"/>
      <c r="AW284" s="4691"/>
      <c r="AX284" s="4686" t="e">
        <f>_Calcs_Klasse!$AHA$44</f>
        <v>#N/A</v>
      </c>
      <c r="AY284" s="4692"/>
      <c r="AZ284" s="4681"/>
      <c r="BA284" s="4693"/>
      <c r="BB284" s="4683"/>
      <c r="BC284" s="4694"/>
      <c r="BD284" s="4678"/>
      <c r="BE284" s="4695"/>
      <c r="BF284" s="4686" t="e">
        <f>_Calcs_Klasse!$AHA$45</f>
        <v>#N/A</v>
      </c>
      <c r="BG284" s="4696"/>
      <c r="BH284" s="4697"/>
      <c r="BI284" s="4698"/>
      <c r="BJ284" s="4683"/>
      <c r="BK284" s="4699"/>
      <c r="BL284" s="4678"/>
      <c r="BM284" s="4700"/>
      <c r="BN284" s="4686" t="e">
        <f>_Calcs_Klasse!$AHA$46</f>
        <v>#N/A</v>
      </c>
      <c r="BO284" s="4701"/>
      <c r="BP284" s="4697"/>
      <c r="BQ284" s="4702"/>
      <c r="BR284" s="4683"/>
      <c r="BS284" s="4703"/>
      <c r="BT284" s="4678"/>
      <c r="BU284" s="4704"/>
      <c r="BV284" s="4686" t="e">
        <f>_Calcs_Klasse!$AHA$47</f>
        <v>#N/A</v>
      </c>
      <c r="BW284" s="4705"/>
      <c r="BX284" s="4697"/>
      <c r="BY284" s="4706"/>
      <c r="BZ284" s="4683"/>
      <c r="CA284" s="4707"/>
      <c r="CB284" s="4678"/>
      <c r="CC284" s="4708"/>
      <c r="CD284" s="4686" t="e">
        <f>_Calcs_Klasse!$AHA$48</f>
        <v>#N/A</v>
      </c>
      <c r="CE284" s="4709"/>
      <c r="CF284" s="4697"/>
      <c r="CG284" s="4710"/>
      <c r="CH284" s="4683"/>
      <c r="CI284" s="4711"/>
      <c r="CJ284" s="4678"/>
      <c r="CK284" s="4712"/>
      <c r="CL284" s="4686" t="e">
        <f>_Calcs_Klasse!$AHA$49</f>
        <v>#N/A</v>
      </c>
      <c r="CM284" s="4713"/>
    </row>
    <row r="285" spans="1:91" s="8" customFormat="1" ht="15" customHeight="1" thickBot="1" x14ac:dyDescent="0.25">
      <c r="A285" s="4203"/>
      <c r="B285" s="4203"/>
      <c r="C285" s="4203"/>
      <c r="D285" s="4203"/>
      <c r="E285" s="4203"/>
      <c r="F285" s="4203"/>
      <c r="I285" s="5545"/>
      <c r="J285" s="10"/>
      <c r="K285" s="3321"/>
      <c r="L285" s="3322"/>
      <c r="M285" s="3322"/>
      <c r="N285" s="3322"/>
      <c r="O285" s="3323"/>
      <c r="P285" s="3324"/>
      <c r="Q285" s="3324"/>
      <c r="R285" s="3628"/>
      <c r="S285" s="2798"/>
      <c r="T285" s="4373"/>
      <c r="W285" s="4714"/>
      <c r="X285" s="4715"/>
      <c r="Y285" s="4715"/>
      <c r="Z285" s="4716"/>
      <c r="AA285" s="4575"/>
      <c r="AB285" s="4769"/>
      <c r="AC285" s="4770"/>
      <c r="AD285" s="4770"/>
      <c r="AE285" s="4770"/>
      <c r="AF285" s="4770"/>
      <c r="AG285" s="4770"/>
      <c r="AH285" s="4771"/>
      <c r="AI285" s="4568"/>
      <c r="AJ285" s="4568"/>
      <c r="AK285" s="4720"/>
      <c r="AL285" s="4721"/>
      <c r="AM285" s="4722"/>
      <c r="AN285" s="4575"/>
      <c r="AO285" s="4772"/>
      <c r="AP285" s="4773"/>
      <c r="AQ285" s="4774"/>
      <c r="AR285" s="3435"/>
      <c r="AS285" s="4726"/>
      <c r="AT285" s="4727"/>
      <c r="AU285" s="4728"/>
      <c r="AV285" s="4575"/>
      <c r="AW285" s="4775"/>
      <c r="AX285" s="4776"/>
      <c r="AY285" s="4777"/>
      <c r="AZ285" s="4568"/>
      <c r="BA285" s="4732"/>
      <c r="BB285" s="4733"/>
      <c r="BC285" s="4734"/>
      <c r="BD285" s="4575"/>
      <c r="BE285" s="4778"/>
      <c r="BF285" s="4779"/>
      <c r="BG285" s="4780"/>
      <c r="BH285" s="4445"/>
      <c r="BI285" s="4738"/>
      <c r="BJ285" s="4739"/>
      <c r="BK285" s="4740"/>
      <c r="BL285" s="4575"/>
      <c r="BM285" s="4781"/>
      <c r="BN285" s="4782"/>
      <c r="BO285" s="4783"/>
      <c r="BP285" s="4445"/>
      <c r="BQ285" s="4744"/>
      <c r="BR285" s="4745"/>
      <c r="BS285" s="4746"/>
      <c r="BT285" s="4575"/>
      <c r="BU285" s="4784"/>
      <c r="BV285" s="4785"/>
      <c r="BW285" s="4786"/>
      <c r="BX285" s="4445"/>
      <c r="BY285" s="4750"/>
      <c r="BZ285" s="4751"/>
      <c r="CA285" s="4752"/>
      <c r="CB285" s="4575"/>
      <c r="CC285" s="4787"/>
      <c r="CD285" s="4788"/>
      <c r="CE285" s="4789"/>
      <c r="CF285" s="4445"/>
      <c r="CG285" s="4756"/>
      <c r="CH285" s="4757"/>
      <c r="CI285" s="4758"/>
      <c r="CJ285" s="4575"/>
      <c r="CK285" s="4790"/>
      <c r="CL285" s="4791"/>
      <c r="CM285" s="4792"/>
    </row>
    <row r="286" spans="1:91" s="8" customFormat="1" ht="35.1" customHeight="1" thickBot="1" x14ac:dyDescent="0.3">
      <c r="A286" s="4203"/>
      <c r="B286" s="4203"/>
      <c r="C286" s="4203"/>
      <c r="D286" s="4203"/>
      <c r="E286" s="4203"/>
      <c r="F286" s="4203"/>
      <c r="I286" s="2791"/>
      <c r="L286" s="21"/>
      <c r="M286" s="21"/>
      <c r="N286" s="21"/>
      <c r="O286" s="13"/>
      <c r="P286" s="21"/>
      <c r="Q286" s="15"/>
      <c r="S286" s="16"/>
      <c r="T286" s="4373"/>
      <c r="U286" s="181"/>
      <c r="V286" s="181"/>
      <c r="W286" s="3435"/>
      <c r="X286" s="3435"/>
      <c r="Y286" s="3435"/>
      <c r="Z286" s="3435"/>
      <c r="AA286" s="3435"/>
      <c r="AB286" s="3435"/>
      <c r="AC286" s="4762"/>
      <c r="AD286" s="4762"/>
      <c r="AE286" s="4762"/>
      <c r="AF286" s="4762"/>
      <c r="AG286" s="4762"/>
      <c r="AH286" s="3435"/>
      <c r="AI286" s="3435"/>
      <c r="AJ286" s="3435"/>
      <c r="AK286" s="3435"/>
      <c r="AL286" s="3435"/>
      <c r="AM286" s="3435"/>
      <c r="AN286" s="3435"/>
      <c r="AO286" s="3435"/>
      <c r="AP286" s="4762"/>
      <c r="AQ286" s="3435"/>
      <c r="AR286" s="3435"/>
      <c r="AS286" s="3435"/>
      <c r="AT286" s="3435"/>
      <c r="AU286" s="3435"/>
      <c r="AV286" s="3435"/>
      <c r="AW286" s="3435"/>
      <c r="AX286" s="4762"/>
      <c r="AY286" s="3435"/>
      <c r="AZ286" s="3435"/>
      <c r="BA286" s="3435"/>
      <c r="BB286" s="3435"/>
      <c r="BC286" s="3435"/>
      <c r="BD286" s="3435"/>
      <c r="BE286" s="3435"/>
      <c r="BF286" s="4762"/>
      <c r="BG286" s="3435"/>
      <c r="BH286" s="3435"/>
      <c r="BI286" s="3435"/>
      <c r="BJ286" s="3435"/>
      <c r="BK286" s="3435"/>
      <c r="BL286" s="3435"/>
      <c r="BM286" s="3435"/>
      <c r="BN286" s="4762"/>
      <c r="BO286" s="3435"/>
      <c r="BP286" s="3435"/>
      <c r="BQ286" s="3435"/>
      <c r="BR286" s="3435"/>
      <c r="BS286" s="3435"/>
      <c r="BT286" s="3435"/>
      <c r="BU286" s="3435"/>
      <c r="BV286" s="4762"/>
      <c r="BW286" s="3435"/>
      <c r="BX286" s="3435"/>
      <c r="BY286" s="3435"/>
      <c r="BZ286" s="3435"/>
      <c r="CA286" s="3435"/>
      <c r="CB286" s="3435"/>
      <c r="CC286" s="3435"/>
      <c r="CD286" s="4762"/>
      <c r="CE286" s="3435"/>
      <c r="CF286" s="3435"/>
      <c r="CG286" s="3435"/>
      <c r="CH286" s="3435"/>
      <c r="CI286" s="3435"/>
      <c r="CJ286" s="3435"/>
      <c r="CK286" s="3435"/>
      <c r="CL286" s="4762"/>
      <c r="CM286" s="3435"/>
    </row>
    <row r="287" spans="1:91" s="8" customFormat="1" ht="20.100000000000001" customHeight="1" thickBot="1" x14ac:dyDescent="0.25">
      <c r="A287" s="4203"/>
      <c r="B287" s="4203"/>
      <c r="C287" s="4203"/>
      <c r="D287" s="4203"/>
      <c r="E287" s="4203"/>
      <c r="F287" s="4203"/>
      <c r="I287" s="2793"/>
      <c r="J287" s="10"/>
      <c r="K287" s="3335"/>
      <c r="L287" s="6798" t="str">
        <f>_Calcs_Klasse!$AHF$35</f>
        <v>Sprøytebetong ved nett</v>
      </c>
      <c r="M287" s="6798"/>
      <c r="N287" s="6798"/>
      <c r="O287" s="6798"/>
      <c r="P287" s="6798"/>
      <c r="Q287" s="6798"/>
      <c r="R287" s="3653"/>
      <c r="S287" s="3660"/>
      <c r="T287" s="4373"/>
      <c r="W287" s="4574"/>
      <c r="X287" s="4574"/>
      <c r="Y287" s="4574"/>
      <c r="Z287" s="4574"/>
      <c r="AA287" s="4575"/>
      <c r="AB287" s="4574"/>
      <c r="AC287" s="4576"/>
      <c r="AD287" s="4576"/>
      <c r="AE287" s="4576"/>
      <c r="AF287" s="4576"/>
      <c r="AG287" s="4576"/>
      <c r="AH287" s="4574"/>
      <c r="AI287" s="4568"/>
      <c r="AJ287" s="4568"/>
      <c r="AK287" s="4574"/>
      <c r="AL287" s="4574"/>
      <c r="AM287" s="4574"/>
      <c r="AN287" s="4575"/>
      <c r="AO287" s="4574"/>
      <c r="AP287" s="4576"/>
      <c r="AQ287" s="4574"/>
      <c r="AR287" s="3435"/>
      <c r="AS287" s="4574"/>
      <c r="AT287" s="4574"/>
      <c r="AU287" s="4574"/>
      <c r="AV287" s="4575"/>
      <c r="AW287" s="4574"/>
      <c r="AX287" s="4576"/>
      <c r="AY287" s="4574"/>
      <c r="AZ287" s="4568"/>
      <c r="BA287" s="4574"/>
      <c r="BB287" s="4574"/>
      <c r="BC287" s="4574"/>
      <c r="BD287" s="4575"/>
      <c r="BE287" s="4574"/>
      <c r="BF287" s="4576"/>
      <c r="BG287" s="4574"/>
      <c r="BH287" s="4445"/>
      <c r="BI287" s="4574"/>
      <c r="BJ287" s="4574"/>
      <c r="BK287" s="4574"/>
      <c r="BL287" s="4575"/>
      <c r="BM287" s="4574"/>
      <c r="BN287" s="4576"/>
      <c r="BO287" s="4574"/>
      <c r="BP287" s="4445"/>
      <c r="BQ287" s="4574"/>
      <c r="BR287" s="4574"/>
      <c r="BS287" s="4574"/>
      <c r="BT287" s="4575"/>
      <c r="BU287" s="4574"/>
      <c r="BV287" s="4576"/>
      <c r="BW287" s="4574"/>
      <c r="BX287" s="4445"/>
      <c r="BY287" s="4574"/>
      <c r="BZ287" s="4574"/>
      <c r="CA287" s="4574"/>
      <c r="CB287" s="4575"/>
      <c r="CC287" s="4574"/>
      <c r="CD287" s="4576"/>
      <c r="CE287" s="4574"/>
      <c r="CF287" s="4445"/>
      <c r="CG287" s="4574"/>
      <c r="CH287" s="4574"/>
      <c r="CI287" s="4574"/>
      <c r="CJ287" s="4575"/>
      <c r="CK287" s="4574"/>
      <c r="CL287" s="4576"/>
      <c r="CM287" s="4574"/>
    </row>
    <row r="288" spans="1:91" s="8" customFormat="1" ht="15" customHeight="1" thickBot="1" x14ac:dyDescent="0.25">
      <c r="A288" s="4203"/>
      <c r="B288" s="4203"/>
      <c r="C288" s="4203"/>
      <c r="D288" s="4203"/>
      <c r="E288" s="4203"/>
      <c r="F288" s="4203"/>
      <c r="I288" s="2793"/>
      <c r="J288" s="10"/>
      <c r="K288" s="3336"/>
      <c r="L288" s="6799"/>
      <c r="M288" s="6799"/>
      <c r="N288" s="6799"/>
      <c r="O288" s="6799"/>
      <c r="P288" s="6799"/>
      <c r="Q288" s="6799"/>
      <c r="R288" s="3654"/>
      <c r="S288" s="3660"/>
      <c r="T288" s="4373"/>
      <c r="W288" s="4577"/>
      <c r="X288" s="4578"/>
      <c r="Y288" s="4578"/>
      <c r="Z288" s="4579"/>
      <c r="AA288" s="4489"/>
      <c r="AB288" s="4580"/>
      <c r="AC288" s="4581"/>
      <c r="AD288" s="4581"/>
      <c r="AE288" s="4581"/>
      <c r="AF288" s="4581"/>
      <c r="AG288" s="4581"/>
      <c r="AH288" s="4582"/>
      <c r="AI288" s="4568"/>
      <c r="AJ288" s="4568"/>
      <c r="AK288" s="4583"/>
      <c r="AL288" s="4584"/>
      <c r="AM288" s="4585"/>
      <c r="AN288" s="4489"/>
      <c r="AO288" s="4586"/>
      <c r="AP288" s="4587"/>
      <c r="AQ288" s="4588"/>
      <c r="AR288" s="3435"/>
      <c r="AS288" s="4589"/>
      <c r="AT288" s="4590"/>
      <c r="AU288" s="4591"/>
      <c r="AV288" s="4489"/>
      <c r="AW288" s="4592"/>
      <c r="AX288" s="4593"/>
      <c r="AY288" s="4594"/>
      <c r="AZ288" s="4568"/>
      <c r="BA288" s="4595"/>
      <c r="BB288" s="4596"/>
      <c r="BC288" s="4597"/>
      <c r="BD288" s="4489"/>
      <c r="BE288" s="4598"/>
      <c r="BF288" s="4599"/>
      <c r="BG288" s="4600"/>
      <c r="BH288" s="4445"/>
      <c r="BI288" s="4601"/>
      <c r="BJ288" s="4602"/>
      <c r="BK288" s="4603"/>
      <c r="BL288" s="4489"/>
      <c r="BM288" s="4604"/>
      <c r="BN288" s="4605"/>
      <c r="BO288" s="4606"/>
      <c r="BP288" s="4445"/>
      <c r="BQ288" s="4607"/>
      <c r="BR288" s="4608"/>
      <c r="BS288" s="4609"/>
      <c r="BT288" s="4489"/>
      <c r="BU288" s="4610"/>
      <c r="BV288" s="4611"/>
      <c r="BW288" s="4612"/>
      <c r="BX288" s="4445"/>
      <c r="BY288" s="4613"/>
      <c r="BZ288" s="4614"/>
      <c r="CA288" s="4615"/>
      <c r="CB288" s="4489"/>
      <c r="CC288" s="4616"/>
      <c r="CD288" s="4617"/>
      <c r="CE288" s="4618"/>
      <c r="CF288" s="4445"/>
      <c r="CG288" s="4619"/>
      <c r="CH288" s="4620"/>
      <c r="CI288" s="4621"/>
      <c r="CJ288" s="4489"/>
      <c r="CK288" s="4622"/>
      <c r="CL288" s="4623"/>
      <c r="CM288" s="4624"/>
    </row>
    <row r="289" spans="1:91" s="8" customFormat="1" ht="8.1" customHeight="1" thickBot="1" x14ac:dyDescent="0.25">
      <c r="A289" s="4203"/>
      <c r="B289" s="4203"/>
      <c r="C289" s="4203"/>
      <c r="D289" s="4203"/>
      <c r="E289" s="4203"/>
      <c r="F289" s="4203"/>
      <c r="I289" s="2793"/>
      <c r="J289" s="10"/>
      <c r="K289" s="14"/>
      <c r="L289" s="129"/>
      <c r="M289" s="129"/>
      <c r="N289" s="129"/>
      <c r="O289" s="16"/>
      <c r="P289" s="17"/>
      <c r="Q289" s="17"/>
      <c r="R289" s="17"/>
      <c r="S289" s="16"/>
      <c r="T289" s="4373"/>
      <c r="W289" s="4574"/>
      <c r="X289" s="4625"/>
      <c r="Y289" s="4625"/>
      <c r="Z289" s="4626"/>
      <c r="AA289" s="4575"/>
      <c r="AB289" s="4574"/>
      <c r="AC289" s="4627"/>
      <c r="AD289" s="4627"/>
      <c r="AE289" s="4627"/>
      <c r="AF289" s="4627"/>
      <c r="AG289" s="4627"/>
      <c r="AH289" s="4626"/>
      <c r="AI289" s="4568"/>
      <c r="AJ289" s="4568"/>
      <c r="AK289" s="4574"/>
      <c r="AL289" s="4625"/>
      <c r="AM289" s="4626"/>
      <c r="AN289" s="4575"/>
      <c r="AO289" s="4574"/>
      <c r="AP289" s="4627"/>
      <c r="AQ289" s="4626"/>
      <c r="AR289" s="3435"/>
      <c r="AS289" s="4574"/>
      <c r="AT289" s="4625"/>
      <c r="AU289" s="4626"/>
      <c r="AV289" s="4575"/>
      <c r="AW289" s="4574"/>
      <c r="AX289" s="4627"/>
      <c r="AY289" s="4626"/>
      <c r="AZ289" s="4568"/>
      <c r="BA289" s="4574"/>
      <c r="BB289" s="4625"/>
      <c r="BC289" s="4626"/>
      <c r="BD289" s="4575"/>
      <c r="BE289" s="4574"/>
      <c r="BF289" s="4627"/>
      <c r="BG289" s="4626"/>
      <c r="BH289" s="4445"/>
      <c r="BI289" s="4574"/>
      <c r="BJ289" s="4625"/>
      <c r="BK289" s="4626"/>
      <c r="BL289" s="4575"/>
      <c r="BM289" s="4574"/>
      <c r="BN289" s="4627"/>
      <c r="BO289" s="4626"/>
      <c r="BP289" s="4445"/>
      <c r="BQ289" s="4574"/>
      <c r="BR289" s="4625"/>
      <c r="BS289" s="4626"/>
      <c r="BT289" s="4575"/>
      <c r="BU289" s="4574"/>
      <c r="BV289" s="4627"/>
      <c r="BW289" s="4626"/>
      <c r="BX289" s="4445"/>
      <c r="BY289" s="4574"/>
      <c r="BZ289" s="4625"/>
      <c r="CA289" s="4626"/>
      <c r="CB289" s="4575"/>
      <c r="CC289" s="4574"/>
      <c r="CD289" s="4627"/>
      <c r="CE289" s="4626"/>
      <c r="CF289" s="4445"/>
      <c r="CG289" s="4574"/>
      <c r="CH289" s="4625"/>
      <c r="CI289" s="4626"/>
      <c r="CJ289" s="4575"/>
      <c r="CK289" s="4574"/>
      <c r="CL289" s="4627"/>
      <c r="CM289" s="4626"/>
    </row>
    <row r="290" spans="1:91" s="8" customFormat="1" ht="15.75" thickBot="1" x14ac:dyDescent="0.25">
      <c r="A290" s="4203"/>
      <c r="B290" s="4203"/>
      <c r="C290" s="4203"/>
      <c r="D290" s="4203"/>
      <c r="E290" s="4203"/>
      <c r="F290" s="4203"/>
      <c r="I290" s="2793"/>
      <c r="J290" s="10"/>
      <c r="K290" s="3329"/>
      <c r="L290" s="3330"/>
      <c r="M290" s="3330"/>
      <c r="N290" s="3330"/>
      <c r="O290" s="3331"/>
      <c r="P290" s="3332"/>
      <c r="Q290" s="3332"/>
      <c r="R290" s="3626"/>
      <c r="S290" s="2798"/>
      <c r="T290" s="4373"/>
      <c r="W290" s="4628"/>
      <c r="X290" s="4629"/>
      <c r="Y290" s="4629"/>
      <c r="Z290" s="4630"/>
      <c r="AA290" s="4767"/>
      <c r="AB290" s="4631"/>
      <c r="AC290" s="4632"/>
      <c r="AD290" s="4632"/>
      <c r="AE290" s="4632"/>
      <c r="AF290" s="4632"/>
      <c r="AG290" s="4632"/>
      <c r="AH290" s="4633"/>
      <c r="AI290" s="4568"/>
      <c r="AJ290" s="4568"/>
      <c r="AK290" s="4634"/>
      <c r="AL290" s="4635"/>
      <c r="AM290" s="4636"/>
      <c r="AN290" s="4767"/>
      <c r="AO290" s="4637"/>
      <c r="AP290" s="4638"/>
      <c r="AQ290" s="4639"/>
      <c r="AR290" s="3435"/>
      <c r="AS290" s="4640"/>
      <c r="AT290" s="4641"/>
      <c r="AU290" s="4642"/>
      <c r="AV290" s="4767"/>
      <c r="AW290" s="4643"/>
      <c r="AX290" s="4644"/>
      <c r="AY290" s="4645"/>
      <c r="AZ290" s="4568"/>
      <c r="BA290" s="4646"/>
      <c r="BB290" s="4647"/>
      <c r="BC290" s="4648"/>
      <c r="BD290" s="4767"/>
      <c r="BE290" s="4649"/>
      <c r="BF290" s="4650"/>
      <c r="BG290" s="4651"/>
      <c r="BH290" s="4445"/>
      <c r="BI290" s="4652"/>
      <c r="BJ290" s="4653"/>
      <c r="BK290" s="4654"/>
      <c r="BL290" s="4767"/>
      <c r="BM290" s="4655"/>
      <c r="BN290" s="4656"/>
      <c r="BO290" s="4657"/>
      <c r="BP290" s="4445"/>
      <c r="BQ290" s="4658"/>
      <c r="BR290" s="4659"/>
      <c r="BS290" s="4660"/>
      <c r="BT290" s="4767"/>
      <c r="BU290" s="4661"/>
      <c r="BV290" s="4662"/>
      <c r="BW290" s="4663"/>
      <c r="BX290" s="4445"/>
      <c r="BY290" s="4664"/>
      <c r="BZ290" s="4665"/>
      <c r="CA290" s="4666"/>
      <c r="CB290" s="4767"/>
      <c r="CC290" s="4667"/>
      <c r="CD290" s="4668"/>
      <c r="CE290" s="4669"/>
      <c r="CF290" s="4445"/>
      <c r="CG290" s="4670"/>
      <c r="CH290" s="4671"/>
      <c r="CI290" s="4672"/>
      <c r="CJ290" s="4767"/>
      <c r="CK290" s="4673"/>
      <c r="CL290" s="4674"/>
      <c r="CM290" s="4675"/>
    </row>
    <row r="291" spans="1:91" s="8" customFormat="1" ht="24.95" customHeight="1" thickBot="1" x14ac:dyDescent="0.25">
      <c r="A291" s="4203"/>
      <c r="B291" s="4203"/>
      <c r="C291" s="4203"/>
      <c r="D291" s="5153" t="s">
        <v>2193</v>
      </c>
      <c r="E291" s="4203"/>
      <c r="F291" s="4203" t="s">
        <v>1553</v>
      </c>
      <c r="I291" s="2793"/>
      <c r="J291" s="10"/>
      <c r="K291" s="3326"/>
      <c r="L291" s="4377" t="str">
        <f>_Calcs!$M$63</f>
        <v>Tilleggs-sprøytebetong (tykkelse) per nett areal</v>
      </c>
      <c r="M291" s="4377"/>
      <c r="N291" s="4377"/>
      <c r="O291" s="5516" t="s">
        <v>149</v>
      </c>
      <c r="P291" s="5096"/>
      <c r="Q291" s="5096" t="s">
        <v>2417</v>
      </c>
      <c r="R291" s="3627"/>
      <c r="S291" s="2798"/>
      <c r="T291" s="4373"/>
      <c r="W291" s="4768"/>
      <c r="X291" s="6808"/>
      <c r="Y291" s="6809"/>
      <c r="Z291" s="4677"/>
      <c r="AA291" s="4678"/>
      <c r="AB291" s="4679"/>
      <c r="AC291" s="6810" t="e">
        <f>_Calcs_Klasse!$AHJ$42</f>
        <v>#N/A</v>
      </c>
      <c r="AD291" s="6811"/>
      <c r="AE291" s="6811"/>
      <c r="AF291" s="6811"/>
      <c r="AG291" s="6812"/>
      <c r="AH291" s="4680"/>
      <c r="AI291" s="4681"/>
      <c r="AJ291" s="4681"/>
      <c r="AK291" s="4682"/>
      <c r="AL291" s="4683"/>
      <c r="AM291" s="4684"/>
      <c r="AN291" s="4678"/>
      <c r="AO291" s="4685"/>
      <c r="AP291" s="4686" t="e">
        <f>_Calcs_Klasse!$AHJ$43</f>
        <v>#N/A</v>
      </c>
      <c r="AQ291" s="4687"/>
      <c r="AR291" s="4688"/>
      <c r="AS291" s="4689"/>
      <c r="AT291" s="4683"/>
      <c r="AU291" s="4690"/>
      <c r="AV291" s="4678"/>
      <c r="AW291" s="4691"/>
      <c r="AX291" s="4686" t="e">
        <f>_Calcs_Klasse!$AHJ$44</f>
        <v>#N/A</v>
      </c>
      <c r="AY291" s="4692"/>
      <c r="AZ291" s="4681"/>
      <c r="BA291" s="4693"/>
      <c r="BB291" s="4683"/>
      <c r="BC291" s="4694"/>
      <c r="BD291" s="4678"/>
      <c r="BE291" s="4695"/>
      <c r="BF291" s="4686" t="e">
        <f>_Calcs_Klasse!$AHJ$45</f>
        <v>#N/A</v>
      </c>
      <c r="BG291" s="4696"/>
      <c r="BH291" s="4697"/>
      <c r="BI291" s="4698"/>
      <c r="BJ291" s="4683"/>
      <c r="BK291" s="4699"/>
      <c r="BL291" s="4678"/>
      <c r="BM291" s="4700"/>
      <c r="BN291" s="4686" t="e">
        <f>_Calcs_Klasse!$AHJ$46</f>
        <v>#N/A</v>
      </c>
      <c r="BO291" s="4701"/>
      <c r="BP291" s="4697"/>
      <c r="BQ291" s="4702"/>
      <c r="BR291" s="4683"/>
      <c r="BS291" s="4703"/>
      <c r="BT291" s="4678"/>
      <c r="BU291" s="4704"/>
      <c r="BV291" s="4686" t="e">
        <f>_Calcs_Klasse!$AHJ$47</f>
        <v>#N/A</v>
      </c>
      <c r="BW291" s="4705"/>
      <c r="BX291" s="4697"/>
      <c r="BY291" s="4706"/>
      <c r="BZ291" s="4683"/>
      <c r="CA291" s="4707"/>
      <c r="CB291" s="4678"/>
      <c r="CC291" s="4708"/>
      <c r="CD291" s="4686" t="e">
        <f>_Calcs_Klasse!$AHJ$48</f>
        <v>#N/A</v>
      </c>
      <c r="CE291" s="4709"/>
      <c r="CF291" s="4697"/>
      <c r="CG291" s="4710"/>
      <c r="CH291" s="4683"/>
      <c r="CI291" s="4711"/>
      <c r="CJ291" s="4678"/>
      <c r="CK291" s="4712"/>
      <c r="CL291" s="4686" t="e">
        <f>_Calcs_Klasse!$AHJ$49</f>
        <v>#N/A</v>
      </c>
      <c r="CM291" s="4713"/>
    </row>
    <row r="292" spans="1:91" s="8" customFormat="1" ht="15" customHeight="1" thickBot="1" x14ac:dyDescent="0.25">
      <c r="A292" s="4203"/>
      <c r="B292" s="4203"/>
      <c r="C292" s="4203"/>
      <c r="D292" s="4203"/>
      <c r="E292" s="4203"/>
      <c r="F292" s="4203"/>
      <c r="I292" s="5571"/>
      <c r="J292" s="10"/>
      <c r="K292" s="3321"/>
      <c r="L292" s="3322"/>
      <c r="M292" s="3322"/>
      <c r="N292" s="3322"/>
      <c r="O292" s="3323"/>
      <c r="P292" s="3324"/>
      <c r="Q292" s="3324"/>
      <c r="R292" s="3628"/>
      <c r="S292" s="2798"/>
      <c r="T292" s="4373"/>
      <c r="W292" s="4714"/>
      <c r="X292" s="4715"/>
      <c r="Y292" s="4715"/>
      <c r="Z292" s="4716"/>
      <c r="AA292" s="4575"/>
      <c r="AB292" s="4769"/>
      <c r="AC292" s="4770"/>
      <c r="AD292" s="4770"/>
      <c r="AE292" s="4770"/>
      <c r="AF292" s="4770"/>
      <c r="AG292" s="4770"/>
      <c r="AH292" s="4771"/>
      <c r="AI292" s="4568"/>
      <c r="AJ292" s="4568"/>
      <c r="AK292" s="4720"/>
      <c r="AL292" s="4721"/>
      <c r="AM292" s="4722"/>
      <c r="AN292" s="4575"/>
      <c r="AO292" s="4772"/>
      <c r="AP292" s="4773"/>
      <c r="AQ292" s="4774"/>
      <c r="AR292" s="3435"/>
      <c r="AS292" s="4726"/>
      <c r="AT292" s="4727"/>
      <c r="AU292" s="4728"/>
      <c r="AV292" s="4575"/>
      <c r="AW292" s="4775"/>
      <c r="AX292" s="4776"/>
      <c r="AY292" s="4777"/>
      <c r="AZ292" s="4568"/>
      <c r="BA292" s="4732"/>
      <c r="BB292" s="4733"/>
      <c r="BC292" s="4734"/>
      <c r="BD292" s="4575"/>
      <c r="BE292" s="4778"/>
      <c r="BF292" s="4779"/>
      <c r="BG292" s="4780"/>
      <c r="BH292" s="4445"/>
      <c r="BI292" s="4738"/>
      <c r="BJ292" s="4739"/>
      <c r="BK292" s="4740"/>
      <c r="BL292" s="4575"/>
      <c r="BM292" s="4781"/>
      <c r="BN292" s="4782"/>
      <c r="BO292" s="4783"/>
      <c r="BP292" s="4445"/>
      <c r="BQ292" s="4744"/>
      <c r="BR292" s="4745"/>
      <c r="BS292" s="4746"/>
      <c r="BT292" s="4575"/>
      <c r="BU292" s="4784"/>
      <c r="BV292" s="4785"/>
      <c r="BW292" s="4786"/>
      <c r="BX292" s="4445"/>
      <c r="BY292" s="4750"/>
      <c r="BZ292" s="4751"/>
      <c r="CA292" s="4752"/>
      <c r="CB292" s="4575"/>
      <c r="CC292" s="4787"/>
      <c r="CD292" s="4788"/>
      <c r="CE292" s="4789"/>
      <c r="CF292" s="4445"/>
      <c r="CG292" s="4756"/>
      <c r="CH292" s="4757"/>
      <c r="CI292" s="4758"/>
      <c r="CJ292" s="4575"/>
      <c r="CK292" s="4790"/>
      <c r="CL292" s="4791"/>
      <c r="CM292" s="4792"/>
    </row>
    <row r="293" spans="1:91" s="8" customFormat="1" ht="35.1" customHeight="1" x14ac:dyDescent="0.25">
      <c r="A293" s="4203"/>
      <c r="B293" s="4203"/>
      <c r="C293" s="4203"/>
      <c r="D293" s="4203"/>
      <c r="E293" s="4203"/>
      <c r="F293" s="4203"/>
      <c r="L293" s="21"/>
      <c r="M293" s="21"/>
      <c r="N293" s="21"/>
      <c r="O293" s="13"/>
      <c r="P293" s="21"/>
      <c r="Q293" s="15"/>
      <c r="S293" s="16"/>
      <c r="T293" s="4373"/>
      <c r="U293" s="181"/>
      <c r="V293" s="181"/>
      <c r="W293" s="3435"/>
      <c r="X293" s="3435"/>
      <c r="Y293" s="3435"/>
      <c r="Z293" s="3435"/>
      <c r="AA293" s="3435"/>
      <c r="AB293" s="3435"/>
      <c r="AC293" s="4762"/>
      <c r="AD293" s="4762"/>
      <c r="AE293" s="4762"/>
      <c r="AF293" s="4762"/>
      <c r="AG293" s="4762"/>
      <c r="AH293" s="3435"/>
      <c r="AI293" s="3435"/>
      <c r="AJ293" s="3435"/>
      <c r="AK293" s="3435"/>
      <c r="AL293" s="3435"/>
      <c r="AM293" s="3435"/>
      <c r="AN293" s="3435"/>
      <c r="AO293" s="3435"/>
      <c r="AP293" s="4762"/>
      <c r="AQ293" s="3435"/>
      <c r="AR293" s="3435"/>
      <c r="AS293" s="3435"/>
      <c r="AT293" s="3435"/>
      <c r="AU293" s="3435"/>
      <c r="AV293" s="3435"/>
      <c r="AW293" s="3435"/>
      <c r="AX293" s="4762"/>
      <c r="AY293" s="3435"/>
      <c r="AZ293" s="3435"/>
      <c r="BA293" s="3435"/>
      <c r="BB293" s="3435"/>
      <c r="BC293" s="3435"/>
      <c r="BD293" s="3435"/>
      <c r="BE293" s="3435"/>
      <c r="BF293" s="4762"/>
      <c r="BG293" s="3435"/>
      <c r="BH293" s="3435"/>
      <c r="BI293" s="3435"/>
      <c r="BJ293" s="3435"/>
      <c r="BK293" s="3435"/>
      <c r="BL293" s="3435"/>
      <c r="BM293" s="3435"/>
      <c r="BN293" s="4762"/>
      <c r="BO293" s="3435"/>
      <c r="BP293" s="3435"/>
      <c r="BQ293" s="3435"/>
      <c r="BR293" s="3435"/>
      <c r="BS293" s="3435"/>
      <c r="BT293" s="3435"/>
      <c r="BU293" s="3435"/>
      <c r="BV293" s="4762"/>
      <c r="BW293" s="3435"/>
      <c r="BX293" s="3435"/>
      <c r="BY293" s="3435"/>
      <c r="BZ293" s="3435"/>
      <c r="CA293" s="3435"/>
      <c r="CB293" s="3435"/>
      <c r="CC293" s="3435"/>
      <c r="CD293" s="4762"/>
      <c r="CE293" s="3435"/>
      <c r="CF293" s="3435"/>
      <c r="CG293" s="3435"/>
      <c r="CH293" s="3435"/>
      <c r="CI293" s="3435"/>
      <c r="CJ293" s="3435"/>
      <c r="CK293" s="3435"/>
      <c r="CL293" s="4762"/>
      <c r="CM293" s="3435"/>
    </row>
    <row r="294" spans="1:91" s="2720" customFormat="1" ht="15" customHeight="1" x14ac:dyDescent="0.25">
      <c r="A294" s="4206"/>
      <c r="B294" s="4206"/>
      <c r="C294" s="4206"/>
      <c r="D294" s="4206"/>
      <c r="E294" s="4206"/>
      <c r="F294" s="4206"/>
      <c r="I294" s="3310"/>
      <c r="J294" s="3310"/>
      <c r="K294" s="3310"/>
      <c r="L294" s="3790"/>
      <c r="M294" s="3790"/>
      <c r="N294" s="3790"/>
      <c r="O294" s="4219"/>
      <c r="P294" s="3790"/>
      <c r="Q294" s="4222"/>
      <c r="R294" s="3310"/>
      <c r="S294" s="435"/>
      <c r="T294" s="4373"/>
      <c r="W294" s="4763"/>
      <c r="X294" s="4763"/>
      <c r="Y294" s="4763"/>
      <c r="Z294" s="4763"/>
      <c r="AA294" s="4763"/>
      <c r="AB294" s="4763"/>
      <c r="AC294" s="4764"/>
      <c r="AD294" s="4764"/>
      <c r="AE294" s="4764"/>
      <c r="AF294" s="4764"/>
      <c r="AG294" s="4764"/>
      <c r="AH294" s="4763"/>
      <c r="AI294" s="4763"/>
      <c r="AJ294" s="4763"/>
      <c r="AK294" s="4763"/>
      <c r="AL294" s="4763"/>
      <c r="AM294" s="4763"/>
      <c r="AN294" s="4763"/>
      <c r="AO294" s="4763"/>
      <c r="AP294" s="4764"/>
      <c r="AQ294" s="4763"/>
      <c r="AR294" s="4763"/>
      <c r="AS294" s="4763"/>
      <c r="AT294" s="4763"/>
      <c r="AU294" s="4763"/>
      <c r="AV294" s="4763"/>
      <c r="AW294" s="4763"/>
      <c r="AX294" s="4764"/>
      <c r="AY294" s="4763"/>
      <c r="AZ294" s="4763"/>
      <c r="BA294" s="4763"/>
      <c r="BB294" s="4763"/>
      <c r="BC294" s="4763"/>
      <c r="BD294" s="4763"/>
      <c r="BE294" s="4763"/>
      <c r="BF294" s="4764"/>
      <c r="BG294" s="4763"/>
      <c r="BH294" s="4763"/>
      <c r="BI294" s="4763"/>
      <c r="BJ294" s="4763"/>
      <c r="BK294" s="4763"/>
      <c r="BL294" s="4763"/>
      <c r="BM294" s="4763"/>
      <c r="BN294" s="4764"/>
      <c r="BO294" s="4763"/>
      <c r="BP294" s="4763"/>
      <c r="BQ294" s="4763"/>
      <c r="BR294" s="4763"/>
      <c r="BS294" s="4763"/>
      <c r="BT294" s="4763"/>
      <c r="BU294" s="4763"/>
      <c r="BV294" s="4764"/>
      <c r="BW294" s="4763"/>
      <c r="BX294" s="4763"/>
      <c r="BY294" s="4763"/>
      <c r="BZ294" s="4763"/>
      <c r="CA294" s="4763"/>
      <c r="CB294" s="4763"/>
      <c r="CC294" s="4763"/>
      <c r="CD294" s="4764"/>
      <c r="CE294" s="4763"/>
      <c r="CF294" s="4763"/>
      <c r="CG294" s="4763"/>
      <c r="CH294" s="4763"/>
      <c r="CI294" s="4763"/>
      <c r="CJ294" s="4763"/>
      <c r="CK294" s="4763"/>
      <c r="CL294" s="4764"/>
      <c r="CM294" s="4763"/>
    </row>
    <row r="295" spans="1:91" s="181" customFormat="1" ht="35.1" customHeight="1" thickBot="1" x14ac:dyDescent="0.3">
      <c r="A295" s="4205"/>
      <c r="B295" s="4205"/>
      <c r="C295" s="4205"/>
      <c r="D295" s="4205"/>
      <c r="E295" s="4205"/>
      <c r="F295" s="4205"/>
      <c r="K295" s="2373"/>
      <c r="L295" s="2625"/>
      <c r="M295" s="2625"/>
      <c r="N295" s="2625"/>
      <c r="O295" s="2737"/>
      <c r="P295" s="207"/>
      <c r="Q295" s="402"/>
      <c r="R295" s="2809"/>
      <c r="S295" s="3860"/>
      <c r="T295" s="4373"/>
      <c r="W295" s="4489"/>
      <c r="X295" s="4489"/>
      <c r="Y295" s="4489"/>
      <c r="Z295" s="4489"/>
      <c r="AA295" s="4489"/>
      <c r="AB295" s="4489"/>
      <c r="AC295" s="4766"/>
      <c r="AD295" s="4766"/>
      <c r="AE295" s="4766"/>
      <c r="AF295" s="4766"/>
      <c r="AG295" s="4766"/>
      <c r="AH295" s="4489"/>
      <c r="AI295" s="4489"/>
      <c r="AJ295" s="4489"/>
      <c r="AK295" s="4489"/>
      <c r="AL295" s="4489"/>
      <c r="AM295" s="4489"/>
      <c r="AN295" s="4489"/>
      <c r="AO295" s="4489"/>
      <c r="AP295" s="4766"/>
      <c r="AQ295" s="4489"/>
      <c r="AR295" s="3435"/>
      <c r="AS295" s="4489"/>
      <c r="AT295" s="4489"/>
      <c r="AU295" s="4489"/>
      <c r="AV295" s="4489"/>
      <c r="AW295" s="4489"/>
      <c r="AX295" s="4766"/>
      <c r="AY295" s="4489"/>
      <c r="AZ295" s="4489"/>
      <c r="BA295" s="4489"/>
      <c r="BB295" s="4489"/>
      <c r="BC295" s="4489"/>
      <c r="BD295" s="4489"/>
      <c r="BE295" s="4489"/>
      <c r="BF295" s="4766"/>
      <c r="BG295" s="4489"/>
      <c r="BH295" s="3435"/>
      <c r="BI295" s="4489"/>
      <c r="BJ295" s="4489"/>
      <c r="BK295" s="4489"/>
      <c r="BL295" s="4489"/>
      <c r="BM295" s="4489"/>
      <c r="BN295" s="4766"/>
      <c r="BO295" s="4489"/>
      <c r="BP295" s="3435"/>
      <c r="BQ295" s="4489"/>
      <c r="BR295" s="4489"/>
      <c r="BS295" s="4489"/>
      <c r="BT295" s="4489"/>
      <c r="BU295" s="4489"/>
      <c r="BV295" s="4766"/>
      <c r="BW295" s="4489"/>
      <c r="BX295" s="3435"/>
      <c r="BY295" s="4489"/>
      <c r="BZ295" s="4489"/>
      <c r="CA295" s="4489"/>
      <c r="CB295" s="4489"/>
      <c r="CC295" s="4489"/>
      <c r="CD295" s="4766"/>
      <c r="CE295" s="4489"/>
      <c r="CF295" s="3435"/>
      <c r="CG295" s="4489"/>
      <c r="CH295" s="4489"/>
      <c r="CI295" s="4489"/>
      <c r="CJ295" s="4489"/>
      <c r="CK295" s="4489"/>
      <c r="CL295" s="4766"/>
      <c r="CM295" s="4489"/>
    </row>
    <row r="296" spans="1:91" s="8" customFormat="1" ht="20.100000000000001" customHeight="1" thickBot="1" x14ac:dyDescent="0.25">
      <c r="A296" s="4203"/>
      <c r="B296" s="4203"/>
      <c r="C296" s="4203"/>
      <c r="D296" s="5153" t="s">
        <v>2193</v>
      </c>
      <c r="E296" s="4203"/>
      <c r="F296" s="4203"/>
      <c r="I296" s="2990"/>
      <c r="J296" s="10"/>
      <c r="K296" s="3335"/>
      <c r="L296" s="6798"/>
      <c r="M296" s="6798"/>
      <c r="N296" s="6798"/>
      <c r="O296" s="6798"/>
      <c r="P296" s="6798"/>
      <c r="Q296" s="6798"/>
      <c r="R296" s="3653"/>
      <c r="S296" s="3660"/>
      <c r="T296" s="4373"/>
      <c r="W296" s="4574"/>
      <c r="X296" s="4574"/>
      <c r="Y296" s="4574"/>
      <c r="Z296" s="4574"/>
      <c r="AA296" s="4575"/>
      <c r="AB296" s="4574"/>
      <c r="AC296" s="4576"/>
      <c r="AD296" s="4576"/>
      <c r="AE296" s="4576"/>
      <c r="AF296" s="4576"/>
      <c r="AG296" s="4576"/>
      <c r="AH296" s="4574"/>
      <c r="AI296" s="4568"/>
      <c r="AJ296" s="4568"/>
      <c r="AK296" s="4574"/>
      <c r="AL296" s="4574"/>
      <c r="AM296" s="4574"/>
      <c r="AN296" s="4575"/>
      <c r="AO296" s="4574"/>
      <c r="AP296" s="4576"/>
      <c r="AQ296" s="4574"/>
      <c r="AR296" s="3435"/>
      <c r="AS296" s="4574"/>
      <c r="AT296" s="4574"/>
      <c r="AU296" s="4574"/>
      <c r="AV296" s="4575"/>
      <c r="AW296" s="4574"/>
      <c r="AX296" s="4576"/>
      <c r="AY296" s="4574"/>
      <c r="AZ296" s="4568"/>
      <c r="BA296" s="4574"/>
      <c r="BB296" s="4574"/>
      <c r="BC296" s="4574"/>
      <c r="BD296" s="4575"/>
      <c r="BE296" s="4574"/>
      <c r="BF296" s="4576"/>
      <c r="BG296" s="4574"/>
      <c r="BH296" s="4445"/>
      <c r="BI296" s="4574"/>
      <c r="BJ296" s="4574"/>
      <c r="BK296" s="4574"/>
      <c r="BL296" s="4575"/>
      <c r="BM296" s="4574"/>
      <c r="BN296" s="4576"/>
      <c r="BO296" s="4574"/>
      <c r="BP296" s="4445"/>
      <c r="BQ296" s="4574"/>
      <c r="BR296" s="4574"/>
      <c r="BS296" s="4574"/>
      <c r="BT296" s="4575"/>
      <c r="BU296" s="4574"/>
      <c r="BV296" s="4576"/>
      <c r="BW296" s="4574"/>
      <c r="BX296" s="4445"/>
      <c r="BY296" s="4574"/>
      <c r="BZ296" s="4574"/>
      <c r="CA296" s="4574"/>
      <c r="CB296" s="4575"/>
      <c r="CC296" s="4574"/>
      <c r="CD296" s="4576"/>
      <c r="CE296" s="4574"/>
      <c r="CF296" s="4445"/>
      <c r="CG296" s="4574"/>
      <c r="CH296" s="4574"/>
      <c r="CI296" s="4574"/>
      <c r="CJ296" s="4575"/>
      <c r="CK296" s="4574"/>
      <c r="CL296" s="4576"/>
      <c r="CM296" s="4574"/>
    </row>
    <row r="297" spans="1:91" s="8" customFormat="1" ht="15" customHeight="1" thickBot="1" x14ac:dyDescent="0.25">
      <c r="A297" s="4203"/>
      <c r="B297" s="4203"/>
      <c r="C297" s="4203"/>
      <c r="D297" s="4203"/>
      <c r="E297" s="4203"/>
      <c r="F297" s="4203"/>
      <c r="I297" s="6794" t="s">
        <v>1619</v>
      </c>
      <c r="J297" s="10"/>
      <c r="K297" s="3336"/>
      <c r="L297" s="6799"/>
      <c r="M297" s="6799"/>
      <c r="N297" s="6799"/>
      <c r="O297" s="6799"/>
      <c r="P297" s="6799"/>
      <c r="Q297" s="6799"/>
      <c r="R297" s="3654"/>
      <c r="S297" s="3660"/>
      <c r="T297" s="4373"/>
      <c r="W297" s="4577"/>
      <c r="X297" s="4578"/>
      <c r="Y297" s="4578"/>
      <c r="Z297" s="4579"/>
      <c r="AA297" s="4489"/>
      <c r="AB297" s="4580"/>
      <c r="AC297" s="4581"/>
      <c r="AD297" s="4581"/>
      <c r="AE297" s="4581"/>
      <c r="AF297" s="4581"/>
      <c r="AG297" s="4581"/>
      <c r="AH297" s="4582"/>
      <c r="AI297" s="4568"/>
      <c r="AJ297" s="4568"/>
      <c r="AK297" s="4583"/>
      <c r="AL297" s="4584"/>
      <c r="AM297" s="4585"/>
      <c r="AN297" s="4489"/>
      <c r="AO297" s="4586"/>
      <c r="AP297" s="4587"/>
      <c r="AQ297" s="4588"/>
      <c r="AR297" s="3435"/>
      <c r="AS297" s="4589"/>
      <c r="AT297" s="4590"/>
      <c r="AU297" s="4591"/>
      <c r="AV297" s="4489"/>
      <c r="AW297" s="4592"/>
      <c r="AX297" s="4593"/>
      <c r="AY297" s="4594"/>
      <c r="AZ297" s="4568"/>
      <c r="BA297" s="4595"/>
      <c r="BB297" s="4596"/>
      <c r="BC297" s="4597"/>
      <c r="BD297" s="4489"/>
      <c r="BE297" s="4598"/>
      <c r="BF297" s="4599"/>
      <c r="BG297" s="4600"/>
      <c r="BH297" s="4445"/>
      <c r="BI297" s="4601"/>
      <c r="BJ297" s="4602"/>
      <c r="BK297" s="4603"/>
      <c r="BL297" s="4489"/>
      <c r="BM297" s="4604"/>
      <c r="BN297" s="4605"/>
      <c r="BO297" s="4606"/>
      <c r="BP297" s="4445"/>
      <c r="BQ297" s="4607"/>
      <c r="BR297" s="4608"/>
      <c r="BS297" s="4609"/>
      <c r="BT297" s="4489"/>
      <c r="BU297" s="4610"/>
      <c r="BV297" s="4611"/>
      <c r="BW297" s="4612"/>
      <c r="BX297" s="4445"/>
      <c r="BY297" s="4613"/>
      <c r="BZ297" s="4614"/>
      <c r="CA297" s="4615"/>
      <c r="CB297" s="4489"/>
      <c r="CC297" s="4616"/>
      <c r="CD297" s="4617"/>
      <c r="CE297" s="4618"/>
      <c r="CF297" s="4445"/>
      <c r="CG297" s="4619"/>
      <c r="CH297" s="4620"/>
      <c r="CI297" s="4621"/>
      <c r="CJ297" s="4489"/>
      <c r="CK297" s="4622"/>
      <c r="CL297" s="4623"/>
      <c r="CM297" s="4624"/>
    </row>
    <row r="298" spans="1:91" s="8" customFormat="1" ht="8.1" customHeight="1" thickBot="1" x14ac:dyDescent="0.25">
      <c r="A298" s="4203"/>
      <c r="B298" s="4203"/>
      <c r="C298" s="4203"/>
      <c r="D298" s="4203"/>
      <c r="E298" s="4203"/>
      <c r="F298" s="4203"/>
      <c r="I298" s="6794"/>
      <c r="J298" s="10"/>
      <c r="K298" s="14"/>
      <c r="L298" s="129"/>
      <c r="M298" s="129"/>
      <c r="N298" s="129"/>
      <c r="O298" s="16"/>
      <c r="P298" s="17"/>
      <c r="Q298" s="17"/>
      <c r="R298" s="17"/>
      <c r="S298" s="16"/>
      <c r="T298" s="4373"/>
      <c r="W298" s="4574"/>
      <c r="X298" s="4625"/>
      <c r="Y298" s="4625"/>
      <c r="Z298" s="4626"/>
      <c r="AA298" s="4575"/>
      <c r="AB298" s="4574"/>
      <c r="AC298" s="4627"/>
      <c r="AD298" s="4627"/>
      <c r="AE298" s="4627"/>
      <c r="AF298" s="4627"/>
      <c r="AG298" s="4627"/>
      <c r="AH298" s="4626"/>
      <c r="AI298" s="4568"/>
      <c r="AJ298" s="4568"/>
      <c r="AK298" s="4574"/>
      <c r="AL298" s="4625"/>
      <c r="AM298" s="4626"/>
      <c r="AN298" s="4575"/>
      <c r="AO298" s="4574"/>
      <c r="AP298" s="4627"/>
      <c r="AQ298" s="4626"/>
      <c r="AR298" s="3435"/>
      <c r="AS298" s="4574"/>
      <c r="AT298" s="4625"/>
      <c r="AU298" s="4626"/>
      <c r="AV298" s="4575"/>
      <c r="AW298" s="4574"/>
      <c r="AX298" s="4627"/>
      <c r="AY298" s="4626"/>
      <c r="AZ298" s="4568"/>
      <c r="BA298" s="4574"/>
      <c r="BB298" s="4625"/>
      <c r="BC298" s="4626"/>
      <c r="BD298" s="4575"/>
      <c r="BE298" s="4574"/>
      <c r="BF298" s="4627"/>
      <c r="BG298" s="4626"/>
      <c r="BH298" s="4445"/>
      <c r="BI298" s="4574"/>
      <c r="BJ298" s="4625"/>
      <c r="BK298" s="4626"/>
      <c r="BL298" s="4575"/>
      <c r="BM298" s="4574"/>
      <c r="BN298" s="4627"/>
      <c r="BO298" s="4626"/>
      <c r="BP298" s="4445"/>
      <c r="BQ298" s="4574"/>
      <c r="BR298" s="4625"/>
      <c r="BS298" s="4626"/>
      <c r="BT298" s="4575"/>
      <c r="BU298" s="4574"/>
      <c r="BV298" s="4627"/>
      <c r="BW298" s="4626"/>
      <c r="BX298" s="4445"/>
      <c r="BY298" s="4574"/>
      <c r="BZ298" s="4625"/>
      <c r="CA298" s="4626"/>
      <c r="CB298" s="4575"/>
      <c r="CC298" s="4574"/>
      <c r="CD298" s="4627"/>
      <c r="CE298" s="4626"/>
      <c r="CF298" s="4445"/>
      <c r="CG298" s="4574"/>
      <c r="CH298" s="4625"/>
      <c r="CI298" s="4626"/>
      <c r="CJ298" s="4575"/>
      <c r="CK298" s="4574"/>
      <c r="CL298" s="4627"/>
      <c r="CM298" s="4626"/>
    </row>
    <row r="299" spans="1:91" s="8" customFormat="1" ht="15" customHeight="1" thickBot="1" x14ac:dyDescent="0.25">
      <c r="A299" s="4203"/>
      <c r="B299" s="4203"/>
      <c r="C299" s="4203"/>
      <c r="D299" s="4203"/>
      <c r="E299" s="4203"/>
      <c r="F299" s="4203"/>
      <c r="I299" s="6794"/>
      <c r="J299" s="10"/>
      <c r="K299" s="3329"/>
      <c r="L299" s="3330"/>
      <c r="M299" s="3330"/>
      <c r="N299" s="3330"/>
      <c r="O299" s="3331"/>
      <c r="P299" s="3332"/>
      <c r="Q299" s="3332"/>
      <c r="R299" s="3626"/>
      <c r="S299" s="2798"/>
      <c r="T299" s="4373"/>
      <c r="W299" s="4628"/>
      <c r="X299" s="4629"/>
      <c r="Y299" s="4629"/>
      <c r="Z299" s="4630"/>
      <c r="AA299" s="4575"/>
      <c r="AB299" s="4631"/>
      <c r="AC299" s="4632"/>
      <c r="AD299" s="4632"/>
      <c r="AE299" s="4632"/>
      <c r="AF299" s="4632"/>
      <c r="AG299" s="4632"/>
      <c r="AH299" s="4633"/>
      <c r="AI299" s="4568"/>
      <c r="AJ299" s="4568"/>
      <c r="AK299" s="4634"/>
      <c r="AL299" s="4635"/>
      <c r="AM299" s="4636"/>
      <c r="AN299" s="4575"/>
      <c r="AO299" s="4637"/>
      <c r="AP299" s="4638"/>
      <c r="AQ299" s="4639"/>
      <c r="AR299" s="3435"/>
      <c r="AS299" s="4640"/>
      <c r="AT299" s="4641"/>
      <c r="AU299" s="4642"/>
      <c r="AV299" s="4575"/>
      <c r="AW299" s="4643"/>
      <c r="AX299" s="4644"/>
      <c r="AY299" s="4645"/>
      <c r="AZ299" s="4568"/>
      <c r="BA299" s="4646"/>
      <c r="BB299" s="4647"/>
      <c r="BC299" s="4648"/>
      <c r="BD299" s="4575"/>
      <c r="BE299" s="4649"/>
      <c r="BF299" s="4650"/>
      <c r="BG299" s="4651"/>
      <c r="BH299" s="4445"/>
      <c r="BI299" s="4652"/>
      <c r="BJ299" s="4653"/>
      <c r="BK299" s="4654"/>
      <c r="BL299" s="4575"/>
      <c r="BM299" s="4655"/>
      <c r="BN299" s="4656"/>
      <c r="BO299" s="4657"/>
      <c r="BP299" s="4445"/>
      <c r="BQ299" s="4658"/>
      <c r="BR299" s="4659"/>
      <c r="BS299" s="4660"/>
      <c r="BT299" s="4575"/>
      <c r="BU299" s="4661"/>
      <c r="BV299" s="4662"/>
      <c r="BW299" s="4663"/>
      <c r="BX299" s="4445"/>
      <c r="BY299" s="4664"/>
      <c r="BZ299" s="4665"/>
      <c r="CA299" s="4666"/>
      <c r="CB299" s="4575"/>
      <c r="CC299" s="4667"/>
      <c r="CD299" s="4668"/>
      <c r="CE299" s="4669"/>
      <c r="CF299" s="4445"/>
      <c r="CG299" s="4670"/>
      <c r="CH299" s="4671"/>
      <c r="CI299" s="4672"/>
      <c r="CJ299" s="4575"/>
      <c r="CK299" s="4673"/>
      <c r="CL299" s="4674"/>
      <c r="CM299" s="4675"/>
    </row>
    <row r="300" spans="1:91" s="8" customFormat="1" ht="24.95" customHeight="1" thickBot="1" x14ac:dyDescent="0.25">
      <c r="A300" s="4203"/>
      <c r="B300" s="4203"/>
      <c r="C300" s="4203"/>
      <c r="D300" s="4203"/>
      <c r="E300" s="4203"/>
      <c r="F300" s="4203"/>
      <c r="I300" s="3765" t="s">
        <v>1989</v>
      </c>
      <c r="J300" s="10"/>
      <c r="K300" s="3326"/>
      <c r="L300" s="4377" t="s">
        <v>2253</v>
      </c>
      <c r="M300" s="4377"/>
      <c r="N300" s="4377"/>
      <c r="O300" s="5095" t="s">
        <v>149</v>
      </c>
      <c r="P300" s="5096"/>
      <c r="Q300" s="5096"/>
      <c r="R300" s="3627"/>
      <c r="S300" s="2798"/>
      <c r="T300" s="4373"/>
      <c r="W300" s="4676"/>
      <c r="X300" s="6808"/>
      <c r="Y300" s="6809"/>
      <c r="Z300" s="4832"/>
      <c r="AA300" s="4575"/>
      <c r="AB300" s="4833"/>
      <c r="AC300" s="7008" t="e">
        <f>_Calcs_Klasse!$AGS$42</f>
        <v>#N/A</v>
      </c>
      <c r="AD300" s="7009"/>
      <c r="AE300" s="7009"/>
      <c r="AF300" s="7009"/>
      <c r="AG300" s="7010"/>
      <c r="AH300" s="4835"/>
      <c r="AI300" s="4568"/>
      <c r="AJ300" s="4568"/>
      <c r="AK300" s="4836"/>
      <c r="AL300" s="4683"/>
      <c r="AM300" s="4837"/>
      <c r="AN300" s="4575"/>
      <c r="AO300" s="4838"/>
      <c r="AP300" s="5070" t="e">
        <f>_Calcs_Klasse!$AGS$43</f>
        <v>#N/A</v>
      </c>
      <c r="AQ300" s="4840"/>
      <c r="AR300" s="3435"/>
      <c r="AS300" s="4841"/>
      <c r="AT300" s="4683"/>
      <c r="AU300" s="4842"/>
      <c r="AV300" s="4575"/>
      <c r="AW300" s="4843"/>
      <c r="AX300" s="5070" t="e">
        <f>_Calcs_Klasse!$AGS$44</f>
        <v>#N/A</v>
      </c>
      <c r="AY300" s="4845"/>
      <c r="AZ300" s="4568"/>
      <c r="BA300" s="4846"/>
      <c r="BB300" s="4683"/>
      <c r="BC300" s="4847"/>
      <c r="BD300" s="4575"/>
      <c r="BE300" s="4848"/>
      <c r="BF300" s="5070" t="e">
        <f>_Calcs_Klasse!$AGS$45</f>
        <v>#N/A</v>
      </c>
      <c r="BG300" s="4850"/>
      <c r="BH300" s="4445"/>
      <c r="BI300" s="4851"/>
      <c r="BJ300" s="4683"/>
      <c r="BK300" s="4852"/>
      <c r="BL300" s="4575"/>
      <c r="BM300" s="4853"/>
      <c r="BN300" s="5070" t="e">
        <f>_Calcs_Klasse!$AGS$46</f>
        <v>#N/A</v>
      </c>
      <c r="BO300" s="4855"/>
      <c r="BP300" s="4445"/>
      <c r="BQ300" s="4856"/>
      <c r="BR300" s="4683"/>
      <c r="BS300" s="4857"/>
      <c r="BT300" s="4575"/>
      <c r="BU300" s="4858"/>
      <c r="BV300" s="5070" t="e">
        <f>_Calcs_Klasse!$AGS$47</f>
        <v>#N/A</v>
      </c>
      <c r="BW300" s="4860"/>
      <c r="BX300" s="4445"/>
      <c r="BY300" s="4861"/>
      <c r="BZ300" s="4683"/>
      <c r="CA300" s="4862"/>
      <c r="CB300" s="4575"/>
      <c r="CC300" s="4863"/>
      <c r="CD300" s="5070" t="e">
        <f>_Calcs_Klasse!$AGS$48</f>
        <v>#N/A</v>
      </c>
      <c r="CE300" s="4865"/>
      <c r="CF300" s="4445"/>
      <c r="CG300" s="4866"/>
      <c r="CH300" s="4683"/>
      <c r="CI300" s="4867"/>
      <c r="CJ300" s="4575"/>
      <c r="CK300" s="4868"/>
      <c r="CL300" s="5070" t="e">
        <f>_Calcs_Klasse!$AGS$49</f>
        <v>#N/A</v>
      </c>
      <c r="CM300" s="4713"/>
    </row>
    <row r="301" spans="1:91" s="8" customFormat="1" ht="15" customHeight="1" thickBot="1" x14ac:dyDescent="0.25">
      <c r="A301" s="4203"/>
      <c r="B301" s="4203"/>
      <c r="C301" s="4203"/>
      <c r="D301" s="4203"/>
      <c r="E301" s="4203"/>
      <c r="F301" s="4203"/>
      <c r="I301" s="3309"/>
      <c r="J301" s="10"/>
      <c r="K301" s="3321"/>
      <c r="L301" s="3322"/>
      <c r="M301" s="3322"/>
      <c r="N301" s="3322"/>
      <c r="O301" s="3323"/>
      <c r="P301" s="3324"/>
      <c r="Q301" s="3324"/>
      <c r="R301" s="3628"/>
      <c r="S301" s="2798"/>
      <c r="T301" s="4373"/>
      <c r="W301" s="4714"/>
      <c r="X301" s="4715"/>
      <c r="Y301" s="4715"/>
      <c r="Z301" s="4716"/>
      <c r="AA301" s="4575"/>
      <c r="AB301" s="4717"/>
      <c r="AC301" s="4718"/>
      <c r="AD301" s="4718"/>
      <c r="AE301" s="4718"/>
      <c r="AF301" s="4718"/>
      <c r="AG301" s="4718"/>
      <c r="AH301" s="4719"/>
      <c r="AI301" s="4568"/>
      <c r="AJ301" s="4568"/>
      <c r="AK301" s="4720"/>
      <c r="AL301" s="4721"/>
      <c r="AM301" s="4722"/>
      <c r="AN301" s="4575"/>
      <c r="AO301" s="4723"/>
      <c r="AP301" s="4724"/>
      <c r="AQ301" s="4725"/>
      <c r="AR301" s="3435"/>
      <c r="AS301" s="4726"/>
      <c r="AT301" s="4727"/>
      <c r="AU301" s="4728"/>
      <c r="AV301" s="4575"/>
      <c r="AW301" s="4729"/>
      <c r="AX301" s="4730"/>
      <c r="AY301" s="4731"/>
      <c r="AZ301" s="4568"/>
      <c r="BA301" s="4732"/>
      <c r="BB301" s="4733"/>
      <c r="BC301" s="4734"/>
      <c r="BD301" s="4575"/>
      <c r="BE301" s="4735"/>
      <c r="BF301" s="4736"/>
      <c r="BG301" s="4737"/>
      <c r="BH301" s="4445"/>
      <c r="BI301" s="4738"/>
      <c r="BJ301" s="4739"/>
      <c r="BK301" s="4740"/>
      <c r="BL301" s="4575"/>
      <c r="BM301" s="4741"/>
      <c r="BN301" s="4742"/>
      <c r="BO301" s="4743"/>
      <c r="BP301" s="4445"/>
      <c r="BQ301" s="4744"/>
      <c r="BR301" s="4745"/>
      <c r="BS301" s="4746"/>
      <c r="BT301" s="4575"/>
      <c r="BU301" s="4747"/>
      <c r="BV301" s="4748"/>
      <c r="BW301" s="4749"/>
      <c r="BX301" s="4445"/>
      <c r="BY301" s="4750"/>
      <c r="BZ301" s="4751"/>
      <c r="CA301" s="4752"/>
      <c r="CB301" s="4575"/>
      <c r="CC301" s="4753"/>
      <c r="CD301" s="4754"/>
      <c r="CE301" s="4755"/>
      <c r="CF301" s="4445"/>
      <c r="CG301" s="4756"/>
      <c r="CH301" s="4757"/>
      <c r="CI301" s="4758"/>
      <c r="CJ301" s="4575"/>
      <c r="CK301" s="4759"/>
      <c r="CL301" s="4760"/>
      <c r="CM301" s="4761"/>
    </row>
    <row r="302" spans="1:91" s="8" customFormat="1" ht="35.1" customHeight="1" x14ac:dyDescent="0.25">
      <c r="A302" s="4203"/>
      <c r="B302" s="4203"/>
      <c r="C302" s="4203"/>
      <c r="D302" s="4203"/>
      <c r="E302" s="4203"/>
      <c r="F302" s="4203"/>
      <c r="L302" s="974" t="s">
        <v>2254</v>
      </c>
      <c r="M302" s="974"/>
      <c r="N302" s="21"/>
      <c r="O302" s="13"/>
      <c r="P302" s="21"/>
      <c r="Q302" s="15"/>
      <c r="S302" s="16"/>
      <c r="T302" s="4373"/>
      <c r="U302" s="181"/>
      <c r="V302" s="181"/>
      <c r="W302" s="3435"/>
      <c r="X302" s="3435"/>
      <c r="Y302" s="3435"/>
      <c r="Z302" s="3435"/>
      <c r="AA302" s="3435"/>
      <c r="AB302" s="3435"/>
      <c r="AC302" s="4762"/>
      <c r="AD302" s="4762"/>
      <c r="AE302" s="4762"/>
      <c r="AF302" s="4762"/>
      <c r="AG302" s="4762"/>
      <c r="AH302" s="3435"/>
      <c r="AI302" s="3435"/>
      <c r="AJ302" s="3435"/>
      <c r="AK302" s="3435"/>
      <c r="AL302" s="3435"/>
      <c r="AM302" s="3435"/>
      <c r="AN302" s="3435"/>
      <c r="AO302" s="3435"/>
      <c r="AP302" s="4762"/>
      <c r="AQ302" s="3435"/>
      <c r="AR302" s="3435"/>
      <c r="AS302" s="3435"/>
      <c r="AT302" s="3435"/>
      <c r="AU302" s="3435"/>
      <c r="AV302" s="3435"/>
      <c r="AW302" s="3435"/>
      <c r="AX302" s="4762"/>
      <c r="AY302" s="3435"/>
      <c r="AZ302" s="3435"/>
      <c r="BA302" s="3435"/>
      <c r="BB302" s="3435"/>
      <c r="BC302" s="3435"/>
      <c r="BD302" s="3435"/>
      <c r="BE302" s="3435"/>
      <c r="BF302" s="4762"/>
      <c r="BG302" s="3435"/>
      <c r="BH302" s="3435"/>
      <c r="BI302" s="3435"/>
      <c r="BJ302" s="3435"/>
      <c r="BK302" s="3435"/>
      <c r="BL302" s="3435"/>
      <c r="BM302" s="3435"/>
      <c r="BN302" s="4762"/>
      <c r="BO302" s="3435"/>
      <c r="BP302" s="3435"/>
      <c r="BQ302" s="3435"/>
      <c r="BR302" s="3435"/>
      <c r="BS302" s="3435"/>
      <c r="BT302" s="3435"/>
      <c r="BU302" s="3435"/>
      <c r="BV302" s="4762"/>
      <c r="BW302" s="3435"/>
      <c r="BX302" s="3435"/>
      <c r="BY302" s="3435"/>
      <c r="BZ302" s="3435"/>
      <c r="CA302" s="3435"/>
      <c r="CB302" s="3435"/>
      <c r="CC302" s="3435"/>
      <c r="CD302" s="4762"/>
      <c r="CE302" s="3435"/>
      <c r="CF302" s="3435"/>
      <c r="CG302" s="3435"/>
      <c r="CH302" s="3435"/>
      <c r="CI302" s="3435"/>
      <c r="CJ302" s="3435"/>
      <c r="CK302" s="3435"/>
      <c r="CL302" s="4762"/>
      <c r="CM302" s="3435"/>
    </row>
    <row r="303" spans="1:91" s="8" customFormat="1" ht="35.1" customHeight="1" x14ac:dyDescent="0.25">
      <c r="A303" s="4203"/>
      <c r="B303" s="4203"/>
      <c r="C303" s="4203"/>
      <c r="D303" s="4203"/>
      <c r="E303" s="4203"/>
      <c r="F303" s="4203"/>
      <c r="L303" s="974" t="s">
        <v>1044</v>
      </c>
      <c r="M303" s="974"/>
      <c r="N303" s="21"/>
      <c r="O303" s="13"/>
      <c r="P303" s="21"/>
      <c r="Q303" s="15"/>
      <c r="S303" s="16"/>
      <c r="T303" s="4373"/>
      <c r="U303" s="181"/>
      <c r="V303" s="181"/>
      <c r="W303" s="3435"/>
      <c r="X303" s="3435"/>
      <c r="Y303" s="3435"/>
      <c r="Z303" s="3435"/>
      <c r="AA303" s="3435"/>
      <c r="AB303" s="3435"/>
      <c r="AC303" s="4762"/>
      <c r="AD303" s="4762"/>
      <c r="AE303" s="4762"/>
      <c r="AF303" s="4762"/>
      <c r="AG303" s="4762"/>
      <c r="AH303" s="3435"/>
      <c r="AI303" s="3435"/>
      <c r="AJ303" s="3435"/>
      <c r="AK303" s="3435"/>
      <c r="AL303" s="3435"/>
      <c r="AM303" s="3435"/>
      <c r="AN303" s="3435"/>
      <c r="AO303" s="3435"/>
      <c r="AP303" s="4762"/>
      <c r="AQ303" s="3435"/>
      <c r="AR303" s="3435"/>
      <c r="AS303" s="3435"/>
      <c r="AT303" s="3435"/>
      <c r="AU303" s="3435"/>
      <c r="AV303" s="3435"/>
      <c r="AW303" s="3435"/>
      <c r="AX303" s="4762"/>
      <c r="AY303" s="3435"/>
      <c r="AZ303" s="3435"/>
      <c r="BA303" s="3435"/>
      <c r="BB303" s="3435"/>
      <c r="BC303" s="3435"/>
      <c r="BD303" s="3435"/>
      <c r="BE303" s="3435"/>
      <c r="BF303" s="4762"/>
      <c r="BG303" s="3435"/>
      <c r="BH303" s="3435"/>
      <c r="BI303" s="3435"/>
      <c r="BJ303" s="3435"/>
      <c r="BK303" s="3435"/>
      <c r="BL303" s="3435"/>
      <c r="BM303" s="3435"/>
      <c r="BN303" s="4762"/>
      <c r="BO303" s="3435"/>
      <c r="BP303" s="3435"/>
      <c r="BQ303" s="3435"/>
      <c r="BR303" s="3435"/>
      <c r="BS303" s="3435"/>
      <c r="BT303" s="3435"/>
      <c r="BU303" s="3435"/>
      <c r="BV303" s="4762"/>
      <c r="BW303" s="3435"/>
      <c r="BX303" s="3435"/>
      <c r="BY303" s="3435"/>
      <c r="BZ303" s="3435"/>
      <c r="CA303" s="3435"/>
      <c r="CB303" s="3435"/>
      <c r="CC303" s="3435"/>
      <c r="CD303" s="4762"/>
      <c r="CE303" s="3435"/>
      <c r="CF303" s="3435"/>
      <c r="CG303" s="3435"/>
      <c r="CH303" s="3435"/>
      <c r="CI303" s="3435"/>
      <c r="CJ303" s="3435"/>
      <c r="CK303" s="3435"/>
      <c r="CL303" s="4762"/>
      <c r="CM303" s="3435"/>
    </row>
    <row r="304" spans="1:91" s="8" customFormat="1" ht="35.1" customHeight="1" x14ac:dyDescent="0.25">
      <c r="A304" s="4203"/>
      <c r="B304" s="4203"/>
      <c r="C304" s="4203"/>
      <c r="D304" s="4203"/>
      <c r="E304" s="4203"/>
      <c r="F304" s="4203"/>
      <c r="L304" s="974" t="s">
        <v>2642</v>
      </c>
      <c r="M304" s="974"/>
      <c r="N304" s="21"/>
      <c r="O304" s="13"/>
      <c r="P304" s="21"/>
      <c r="Q304" s="15"/>
      <c r="S304" s="16"/>
      <c r="T304" s="4373"/>
      <c r="U304" s="181"/>
      <c r="V304" s="181"/>
      <c r="W304" s="3435"/>
      <c r="X304" s="3435"/>
      <c r="Y304" s="3435"/>
      <c r="Z304" s="3435"/>
      <c r="AA304" s="3435"/>
      <c r="AB304" s="3435"/>
      <c r="AC304" s="4762"/>
      <c r="AD304" s="4762"/>
      <c r="AE304" s="4762"/>
      <c r="AF304" s="4762"/>
      <c r="AG304" s="4762"/>
      <c r="AH304" s="3435"/>
      <c r="AI304" s="3435"/>
      <c r="AJ304" s="3435"/>
      <c r="AK304" s="3435"/>
      <c r="AL304" s="3435"/>
      <c r="AM304" s="3435"/>
      <c r="AN304" s="3435"/>
      <c r="AO304" s="3435"/>
      <c r="AP304" s="4762"/>
      <c r="AQ304" s="3435"/>
      <c r="AR304" s="3435"/>
      <c r="AS304" s="3435"/>
      <c r="AT304" s="3435"/>
      <c r="AU304" s="3435"/>
      <c r="AV304" s="3435"/>
      <c r="AW304" s="3435"/>
      <c r="AX304" s="4762"/>
      <c r="AY304" s="3435"/>
      <c r="AZ304" s="3435"/>
      <c r="BA304" s="3435"/>
      <c r="BB304" s="3435"/>
      <c r="BC304" s="3435"/>
      <c r="BD304" s="3435"/>
      <c r="BE304" s="3435"/>
      <c r="BF304" s="4762"/>
      <c r="BG304" s="3435"/>
      <c r="BH304" s="3435"/>
      <c r="BI304" s="3435"/>
      <c r="BJ304" s="3435"/>
      <c r="BK304" s="3435"/>
      <c r="BL304" s="3435"/>
      <c r="BM304" s="3435"/>
      <c r="BN304" s="4762"/>
      <c r="BO304" s="3435"/>
      <c r="BP304" s="3435"/>
      <c r="BQ304" s="3435"/>
      <c r="BR304" s="3435"/>
      <c r="BS304" s="3435"/>
      <c r="BT304" s="3435"/>
      <c r="BU304" s="3435"/>
      <c r="BV304" s="4762"/>
      <c r="BW304" s="3435"/>
      <c r="BX304" s="3435"/>
      <c r="BY304" s="3435"/>
      <c r="BZ304" s="3435"/>
      <c r="CA304" s="3435"/>
      <c r="CB304" s="3435"/>
      <c r="CC304" s="3435"/>
      <c r="CD304" s="4762"/>
      <c r="CE304" s="3435"/>
      <c r="CF304" s="3435"/>
      <c r="CG304" s="3435"/>
      <c r="CH304" s="3435"/>
      <c r="CI304" s="3435"/>
      <c r="CJ304" s="3435"/>
      <c r="CK304" s="3435"/>
      <c r="CL304" s="4762"/>
      <c r="CM304" s="3435"/>
    </row>
    <row r="305" spans="1:91" s="8" customFormat="1" ht="35.1" customHeight="1" x14ac:dyDescent="0.25">
      <c r="A305" s="4203"/>
      <c r="B305" s="4203"/>
      <c r="C305" s="4203"/>
      <c r="D305" s="4203"/>
      <c r="E305" s="4203"/>
      <c r="F305" s="4203"/>
      <c r="L305" s="21"/>
      <c r="M305" s="21"/>
      <c r="N305" s="21"/>
      <c r="O305" s="13"/>
      <c r="P305" s="21"/>
      <c r="Q305" s="15"/>
      <c r="S305" s="16"/>
      <c r="T305" s="4373"/>
      <c r="U305" s="181"/>
      <c r="V305" s="181"/>
      <c r="W305" s="3435"/>
      <c r="X305" s="3435"/>
      <c r="Y305" s="3435"/>
      <c r="Z305" s="3435"/>
      <c r="AA305" s="3435"/>
      <c r="AB305" s="3435"/>
      <c r="AC305" s="4762"/>
      <c r="AD305" s="4762"/>
      <c r="AE305" s="4762"/>
      <c r="AF305" s="4762"/>
      <c r="AG305" s="4762"/>
      <c r="AH305" s="3435"/>
      <c r="AI305" s="3435"/>
      <c r="AJ305" s="3435"/>
      <c r="AK305" s="3435"/>
      <c r="AL305" s="3435"/>
      <c r="AM305" s="3435"/>
      <c r="AN305" s="3435"/>
      <c r="AO305" s="3435"/>
      <c r="AP305" s="4762"/>
      <c r="AQ305" s="3435"/>
      <c r="AR305" s="3435"/>
      <c r="AS305" s="3435"/>
      <c r="AT305" s="3435"/>
      <c r="AU305" s="3435"/>
      <c r="AV305" s="3435"/>
      <c r="AW305" s="3435"/>
      <c r="AX305" s="4762"/>
      <c r="AY305" s="3435"/>
      <c r="AZ305" s="3435"/>
      <c r="BA305" s="3435"/>
      <c r="BB305" s="3435"/>
      <c r="BC305" s="3435"/>
      <c r="BD305" s="3435"/>
      <c r="BE305" s="3435"/>
      <c r="BF305" s="4762"/>
      <c r="BG305" s="3435"/>
      <c r="BH305" s="3435"/>
      <c r="BI305" s="3435"/>
      <c r="BJ305" s="3435"/>
      <c r="BK305" s="3435"/>
      <c r="BL305" s="3435"/>
      <c r="BM305" s="3435"/>
      <c r="BN305" s="4762"/>
      <c r="BO305" s="3435"/>
      <c r="BP305" s="3435"/>
      <c r="BQ305" s="3435"/>
      <c r="BR305" s="3435"/>
      <c r="BS305" s="3435"/>
      <c r="BT305" s="3435"/>
      <c r="BU305" s="3435"/>
      <c r="BV305" s="4762"/>
      <c r="BW305" s="3435"/>
      <c r="BX305" s="3435"/>
      <c r="BY305" s="3435"/>
      <c r="BZ305" s="3435"/>
      <c r="CA305" s="3435"/>
      <c r="CB305" s="3435"/>
      <c r="CC305" s="3435"/>
      <c r="CD305" s="4762"/>
      <c r="CE305" s="3435"/>
      <c r="CF305" s="3435"/>
      <c r="CG305" s="3435"/>
      <c r="CH305" s="3435"/>
      <c r="CI305" s="3435"/>
      <c r="CJ305" s="3435"/>
      <c r="CK305" s="3435"/>
      <c r="CL305" s="4762"/>
      <c r="CM305" s="3435"/>
    </row>
    <row r="306" spans="1:91" s="2720" customFormat="1" ht="15" customHeight="1" x14ac:dyDescent="0.25">
      <c r="A306" s="4206"/>
      <c r="B306" s="4206"/>
      <c r="C306" s="4206"/>
      <c r="D306" s="4206"/>
      <c r="E306" s="4206"/>
      <c r="F306" s="4206"/>
      <c r="I306" s="3310"/>
      <c r="J306" s="3310"/>
      <c r="K306" s="3310"/>
      <c r="L306" s="3790"/>
      <c r="M306" s="3790"/>
      <c r="N306" s="3790"/>
      <c r="O306" s="4219"/>
      <c r="P306" s="3790"/>
      <c r="Q306" s="4222"/>
      <c r="R306" s="3310"/>
      <c r="S306" s="435"/>
      <c r="T306" s="4373"/>
      <c r="W306" s="4763"/>
      <c r="X306" s="4763"/>
      <c r="Y306" s="4763"/>
      <c r="Z306" s="4763"/>
      <c r="AA306" s="4763"/>
      <c r="AB306" s="4763"/>
      <c r="AC306" s="4764"/>
      <c r="AD306" s="4764"/>
      <c r="AE306" s="4764"/>
      <c r="AF306" s="4764"/>
      <c r="AG306" s="4764"/>
      <c r="AH306" s="4763"/>
      <c r="AI306" s="4763"/>
      <c r="AJ306" s="4763"/>
      <c r="AK306" s="4763"/>
      <c r="AL306" s="4763"/>
      <c r="AM306" s="4763"/>
      <c r="AN306" s="4763"/>
      <c r="AO306" s="4763"/>
      <c r="AP306" s="4764"/>
      <c r="AQ306" s="4763"/>
      <c r="AR306" s="4763"/>
      <c r="AS306" s="4763"/>
      <c r="AT306" s="4763"/>
      <c r="AU306" s="4763"/>
      <c r="AV306" s="4763"/>
      <c r="AW306" s="4763"/>
      <c r="AX306" s="4764"/>
      <c r="AY306" s="4763"/>
      <c r="AZ306" s="4763"/>
      <c r="BA306" s="4763"/>
      <c r="BB306" s="4763"/>
      <c r="BC306" s="4763"/>
      <c r="BD306" s="4763"/>
      <c r="BE306" s="4763"/>
      <c r="BF306" s="4764"/>
      <c r="BG306" s="4763"/>
      <c r="BH306" s="4763"/>
      <c r="BI306" s="4763"/>
      <c r="BJ306" s="4763"/>
      <c r="BK306" s="4763"/>
      <c r="BL306" s="4763"/>
      <c r="BM306" s="4763"/>
      <c r="BN306" s="4764"/>
      <c r="BO306" s="4763"/>
      <c r="BP306" s="4763"/>
      <c r="BQ306" s="4763"/>
      <c r="BR306" s="4763"/>
      <c r="BS306" s="4763"/>
      <c r="BT306" s="4763"/>
      <c r="BU306" s="4763"/>
      <c r="BV306" s="4764"/>
      <c r="BW306" s="4763"/>
      <c r="BX306" s="4763"/>
      <c r="BY306" s="4763"/>
      <c r="BZ306" s="4763"/>
      <c r="CA306" s="4763"/>
      <c r="CB306" s="4763"/>
      <c r="CC306" s="4763"/>
      <c r="CD306" s="4764"/>
      <c r="CE306" s="4763"/>
      <c r="CF306" s="4763"/>
      <c r="CG306" s="4763"/>
      <c r="CH306" s="4763"/>
      <c r="CI306" s="4763"/>
      <c r="CJ306" s="4763"/>
      <c r="CK306" s="4763"/>
      <c r="CL306" s="4764"/>
      <c r="CM306" s="4763"/>
    </row>
    <row r="307" spans="1:91" s="181" customFormat="1" ht="35.1" customHeight="1" thickBot="1" x14ac:dyDescent="0.3">
      <c r="A307" s="4205"/>
      <c r="B307" s="4205"/>
      <c r="C307" s="4205"/>
      <c r="D307" s="4205"/>
      <c r="E307" s="4205"/>
      <c r="F307" s="4205"/>
      <c r="K307" s="2373"/>
      <c r="L307" s="2625"/>
      <c r="M307" s="2625"/>
      <c r="N307" s="2625"/>
      <c r="O307" s="2737"/>
      <c r="P307" s="207"/>
      <c r="Q307" s="402"/>
      <c r="R307" s="2809"/>
      <c r="S307" s="3675"/>
      <c r="T307" s="4373"/>
      <c r="W307" s="4489"/>
      <c r="X307" s="4489"/>
      <c r="Y307" s="4489"/>
      <c r="Z307" s="4489"/>
      <c r="AA307" s="4489"/>
      <c r="AB307" s="4489"/>
      <c r="AC307" s="4766"/>
      <c r="AD307" s="4766"/>
      <c r="AE307" s="4766"/>
      <c r="AF307" s="4766"/>
      <c r="AG307" s="4766"/>
      <c r="AH307" s="4489"/>
      <c r="AI307" s="4489"/>
      <c r="AJ307" s="4489"/>
      <c r="AK307" s="4489"/>
      <c r="AL307" s="4489"/>
      <c r="AM307" s="4489"/>
      <c r="AN307" s="4489"/>
      <c r="AO307" s="4489"/>
      <c r="AP307" s="4766"/>
      <c r="AQ307" s="4489"/>
      <c r="AR307" s="3435"/>
      <c r="AS307" s="4489"/>
      <c r="AT307" s="4489"/>
      <c r="AU307" s="4489"/>
      <c r="AV307" s="4489"/>
      <c r="AW307" s="4489"/>
      <c r="AX307" s="4766"/>
      <c r="AY307" s="4489"/>
      <c r="AZ307" s="4489"/>
      <c r="BA307" s="4489"/>
      <c r="BB307" s="4489"/>
      <c r="BC307" s="4489"/>
      <c r="BD307" s="4489"/>
      <c r="BE307" s="4489"/>
      <c r="BF307" s="4766"/>
      <c r="BG307" s="4489"/>
      <c r="BH307" s="3435"/>
      <c r="BI307" s="4489"/>
      <c r="BJ307" s="4489"/>
      <c r="BK307" s="4489"/>
      <c r="BL307" s="4489"/>
      <c r="BM307" s="4489"/>
      <c r="BN307" s="4766"/>
      <c r="BO307" s="4489"/>
      <c r="BP307" s="3435"/>
      <c r="BQ307" s="4489"/>
      <c r="BR307" s="4489"/>
      <c r="BS307" s="4489"/>
      <c r="BT307" s="4489"/>
      <c r="BU307" s="4489"/>
      <c r="BV307" s="4766"/>
      <c r="BW307" s="4489"/>
      <c r="BX307" s="3435"/>
      <c r="BY307" s="4489"/>
      <c r="BZ307" s="4489"/>
      <c r="CA307" s="4489"/>
      <c r="CB307" s="4489"/>
      <c r="CC307" s="4489"/>
      <c r="CD307" s="4766"/>
      <c r="CE307" s="4489"/>
      <c r="CF307" s="3435"/>
      <c r="CG307" s="4489"/>
      <c r="CH307" s="4489"/>
      <c r="CI307" s="4489"/>
      <c r="CJ307" s="4489"/>
      <c r="CK307" s="4489"/>
      <c r="CL307" s="4766"/>
      <c r="CM307" s="4489"/>
    </row>
    <row r="308" spans="1:91" s="8" customFormat="1" ht="20.100000000000001" customHeight="1" thickBot="1" x14ac:dyDescent="0.25">
      <c r="A308" s="4203"/>
      <c r="B308" s="4203"/>
      <c r="C308" s="4203"/>
      <c r="D308" s="4203"/>
      <c r="E308" s="4203"/>
      <c r="F308" s="4203"/>
      <c r="I308" s="2805"/>
      <c r="J308" s="10"/>
      <c r="K308" s="3335"/>
      <c r="L308" s="6798" t="str">
        <f>_Calcs_Klasse!ART35</f>
        <v>Sikringsstøp</v>
      </c>
      <c r="M308" s="6798"/>
      <c r="N308" s="6798"/>
      <c r="O308" s="6798"/>
      <c r="P308" s="6798"/>
      <c r="Q308" s="6798"/>
      <c r="R308" s="3653"/>
      <c r="S308" s="3660"/>
      <c r="T308" s="4373"/>
      <c r="W308" s="4574"/>
      <c r="X308" s="4574"/>
      <c r="Y308" s="4574"/>
      <c r="Z308" s="4574"/>
      <c r="AA308" s="4575"/>
      <c r="AB308" s="4574"/>
      <c r="AC308" s="4576"/>
      <c r="AD308" s="4576"/>
      <c r="AE308" s="4576"/>
      <c r="AF308" s="4576"/>
      <c r="AG308" s="4576"/>
      <c r="AH308" s="4574"/>
      <c r="AI308" s="4568"/>
      <c r="AJ308" s="4568"/>
      <c r="AK308" s="4574"/>
      <c r="AL308" s="4574"/>
      <c r="AM308" s="4574"/>
      <c r="AN308" s="4575"/>
      <c r="AO308" s="4574"/>
      <c r="AP308" s="4576"/>
      <c r="AQ308" s="4574"/>
      <c r="AR308" s="3435"/>
      <c r="AS308" s="4574"/>
      <c r="AT308" s="4574"/>
      <c r="AU308" s="4574"/>
      <c r="AV308" s="4575"/>
      <c r="AW308" s="4574"/>
      <c r="AX308" s="4576"/>
      <c r="AY308" s="4574"/>
      <c r="AZ308" s="4568"/>
      <c r="BA308" s="4574"/>
      <c r="BB308" s="4574"/>
      <c r="BC308" s="4574"/>
      <c r="BD308" s="4575"/>
      <c r="BE308" s="4574"/>
      <c r="BF308" s="4576"/>
      <c r="BG308" s="4574"/>
      <c r="BH308" s="4445"/>
      <c r="BI308" s="4574"/>
      <c r="BJ308" s="4574"/>
      <c r="BK308" s="4574"/>
      <c r="BL308" s="4575"/>
      <c r="BM308" s="4574"/>
      <c r="BN308" s="4576"/>
      <c r="BO308" s="4574"/>
      <c r="BP308" s="4445"/>
      <c r="BQ308" s="4574"/>
      <c r="BR308" s="4574"/>
      <c r="BS308" s="4574"/>
      <c r="BT308" s="4575"/>
      <c r="BU308" s="4574"/>
      <c r="BV308" s="4576"/>
      <c r="BW308" s="4574"/>
      <c r="BX308" s="4445"/>
      <c r="BY308" s="4574"/>
      <c r="BZ308" s="4574"/>
      <c r="CA308" s="4574"/>
      <c r="CB308" s="4575"/>
      <c r="CC308" s="4574"/>
      <c r="CD308" s="4576"/>
      <c r="CE308" s="4574"/>
      <c r="CF308" s="4445"/>
      <c r="CG308" s="4574"/>
      <c r="CH308" s="4574"/>
      <c r="CI308" s="4574"/>
      <c r="CJ308" s="4575"/>
      <c r="CK308" s="4574"/>
      <c r="CL308" s="4576"/>
      <c r="CM308" s="4574"/>
    </row>
    <row r="309" spans="1:91" s="8" customFormat="1" ht="15" customHeight="1" thickBot="1" x14ac:dyDescent="0.25">
      <c r="A309" s="4203"/>
      <c r="B309" s="4203"/>
      <c r="C309" s="4203"/>
      <c r="D309" s="4203"/>
      <c r="E309" s="4203"/>
      <c r="F309" s="4203"/>
      <c r="I309" s="6795" t="s">
        <v>107</v>
      </c>
      <c r="J309" s="10"/>
      <c r="K309" s="3336"/>
      <c r="L309" s="6799"/>
      <c r="M309" s="6799"/>
      <c r="N309" s="6799"/>
      <c r="O309" s="6799"/>
      <c r="P309" s="6799"/>
      <c r="Q309" s="6799"/>
      <c r="R309" s="3654"/>
      <c r="S309" s="3660"/>
      <c r="T309" s="4373"/>
      <c r="W309" s="4577"/>
      <c r="X309" s="4578"/>
      <c r="Y309" s="4578"/>
      <c r="Z309" s="4579"/>
      <c r="AA309" s="4489"/>
      <c r="AB309" s="4580"/>
      <c r="AC309" s="4581"/>
      <c r="AD309" s="4581"/>
      <c r="AE309" s="4581"/>
      <c r="AF309" s="4581"/>
      <c r="AG309" s="4581"/>
      <c r="AH309" s="4582"/>
      <c r="AI309" s="4568"/>
      <c r="AJ309" s="4568"/>
      <c r="AK309" s="4583"/>
      <c r="AL309" s="4584"/>
      <c r="AM309" s="4585"/>
      <c r="AN309" s="4489"/>
      <c r="AO309" s="4586"/>
      <c r="AP309" s="4587"/>
      <c r="AQ309" s="4588"/>
      <c r="AR309" s="3435"/>
      <c r="AS309" s="4589"/>
      <c r="AT309" s="4590"/>
      <c r="AU309" s="4591"/>
      <c r="AV309" s="4489"/>
      <c r="AW309" s="4592"/>
      <c r="AX309" s="4593"/>
      <c r="AY309" s="4594"/>
      <c r="AZ309" s="4568"/>
      <c r="BA309" s="4595"/>
      <c r="BB309" s="4596"/>
      <c r="BC309" s="4597"/>
      <c r="BD309" s="4489"/>
      <c r="BE309" s="4598"/>
      <c r="BF309" s="4599"/>
      <c r="BG309" s="4600"/>
      <c r="BH309" s="4445"/>
      <c r="BI309" s="4601"/>
      <c r="BJ309" s="4602"/>
      <c r="BK309" s="4603"/>
      <c r="BL309" s="4489"/>
      <c r="BM309" s="4604"/>
      <c r="BN309" s="4605"/>
      <c r="BO309" s="4606"/>
      <c r="BP309" s="4445"/>
      <c r="BQ309" s="4607"/>
      <c r="BR309" s="4608"/>
      <c r="BS309" s="4609"/>
      <c r="BT309" s="4489"/>
      <c r="BU309" s="4610"/>
      <c r="BV309" s="4611"/>
      <c r="BW309" s="4612"/>
      <c r="BX309" s="4445"/>
      <c r="BY309" s="4613"/>
      <c r="BZ309" s="4614"/>
      <c r="CA309" s="4615"/>
      <c r="CB309" s="4489"/>
      <c r="CC309" s="4616"/>
      <c r="CD309" s="4617"/>
      <c r="CE309" s="4618"/>
      <c r="CF309" s="4445"/>
      <c r="CG309" s="4619"/>
      <c r="CH309" s="4620"/>
      <c r="CI309" s="4621"/>
      <c r="CJ309" s="4489"/>
      <c r="CK309" s="4622"/>
      <c r="CL309" s="4623"/>
      <c r="CM309" s="4624"/>
    </row>
    <row r="310" spans="1:91" s="8" customFormat="1" ht="8.1" customHeight="1" thickBot="1" x14ac:dyDescent="0.25">
      <c r="A310" s="4203"/>
      <c r="B310" s="4203"/>
      <c r="C310" s="4203"/>
      <c r="D310" s="4203"/>
      <c r="E310" s="4203"/>
      <c r="F310" s="4203"/>
      <c r="I310" s="6795"/>
      <c r="J310" s="10"/>
      <c r="K310" s="14"/>
      <c r="L310" s="129"/>
      <c r="M310" s="129"/>
      <c r="N310" s="129"/>
      <c r="O310" s="16"/>
      <c r="P310" s="17"/>
      <c r="Q310" s="17"/>
      <c r="R310" s="17"/>
      <c r="S310" s="16"/>
      <c r="T310" s="4373"/>
      <c r="W310" s="4574"/>
      <c r="X310" s="4625"/>
      <c r="Y310" s="4625"/>
      <c r="Z310" s="4626"/>
      <c r="AA310" s="4575"/>
      <c r="AB310" s="4574"/>
      <c r="AC310" s="4627"/>
      <c r="AD310" s="4627"/>
      <c r="AE310" s="4627"/>
      <c r="AF310" s="4627"/>
      <c r="AG310" s="4627"/>
      <c r="AH310" s="4626"/>
      <c r="AI310" s="4568"/>
      <c r="AJ310" s="4568"/>
      <c r="AK310" s="4574"/>
      <c r="AL310" s="4625"/>
      <c r="AM310" s="4626"/>
      <c r="AN310" s="4575"/>
      <c r="AO310" s="4574"/>
      <c r="AP310" s="4627"/>
      <c r="AQ310" s="4626"/>
      <c r="AR310" s="3435"/>
      <c r="AS310" s="4574"/>
      <c r="AT310" s="4625"/>
      <c r="AU310" s="4626"/>
      <c r="AV310" s="4575"/>
      <c r="AW310" s="4574"/>
      <c r="AX310" s="4627"/>
      <c r="AY310" s="4626"/>
      <c r="AZ310" s="4568"/>
      <c r="BA310" s="4574"/>
      <c r="BB310" s="4625"/>
      <c r="BC310" s="4626"/>
      <c r="BD310" s="4575"/>
      <c r="BE310" s="4574"/>
      <c r="BF310" s="4627"/>
      <c r="BG310" s="4626"/>
      <c r="BH310" s="4445"/>
      <c r="BI310" s="4574"/>
      <c r="BJ310" s="4625"/>
      <c r="BK310" s="4626"/>
      <c r="BL310" s="4575"/>
      <c r="BM310" s="4574"/>
      <c r="BN310" s="4627"/>
      <c r="BO310" s="4626"/>
      <c r="BP310" s="4445"/>
      <c r="BQ310" s="4574"/>
      <c r="BR310" s="4625"/>
      <c r="BS310" s="4626"/>
      <c r="BT310" s="4575"/>
      <c r="BU310" s="4574"/>
      <c r="BV310" s="4627"/>
      <c r="BW310" s="4626"/>
      <c r="BX310" s="4445"/>
      <c r="BY310" s="4574"/>
      <c r="BZ310" s="4625"/>
      <c r="CA310" s="4626"/>
      <c r="CB310" s="4575"/>
      <c r="CC310" s="4574"/>
      <c r="CD310" s="4627"/>
      <c r="CE310" s="4626"/>
      <c r="CF310" s="4445"/>
      <c r="CG310" s="4574"/>
      <c r="CH310" s="4625"/>
      <c r="CI310" s="4626"/>
      <c r="CJ310" s="4575"/>
      <c r="CK310" s="4574"/>
      <c r="CL310" s="4627"/>
      <c r="CM310" s="4626"/>
    </row>
    <row r="311" spans="1:91" s="8" customFormat="1" ht="15" customHeight="1" thickBot="1" x14ac:dyDescent="0.25">
      <c r="A311" s="4203"/>
      <c r="B311" s="4203"/>
      <c r="C311" s="4203"/>
      <c r="D311" s="5153" t="s">
        <v>2193</v>
      </c>
      <c r="E311" s="4203"/>
      <c r="F311" s="4203"/>
      <c r="I311" s="6795"/>
      <c r="J311" s="10"/>
      <c r="K311" s="3329"/>
      <c r="L311" s="3330"/>
      <c r="M311" s="3330"/>
      <c r="N311" s="3330"/>
      <c r="O311" s="3331"/>
      <c r="P311" s="3332"/>
      <c r="Q311" s="3332"/>
      <c r="R311" s="3626"/>
      <c r="S311" s="2798"/>
      <c r="T311" s="4373"/>
      <c r="W311" s="4628"/>
      <c r="X311" s="4629"/>
      <c r="Y311" s="4629"/>
      <c r="Z311" s="4630"/>
      <c r="AA311" s="4575"/>
      <c r="AB311" s="4631"/>
      <c r="AC311" s="4632"/>
      <c r="AD311" s="4632"/>
      <c r="AE311" s="4632"/>
      <c r="AF311" s="4632"/>
      <c r="AG311" s="4632"/>
      <c r="AH311" s="4633"/>
      <c r="AI311" s="4568"/>
      <c r="AJ311" s="4568"/>
      <c r="AK311" s="4634"/>
      <c r="AL311" s="4635"/>
      <c r="AM311" s="4636"/>
      <c r="AN311" s="4575"/>
      <c r="AO311" s="4637"/>
      <c r="AP311" s="4638"/>
      <c r="AQ311" s="4639"/>
      <c r="AR311" s="3435"/>
      <c r="AS311" s="4640"/>
      <c r="AT311" s="4641"/>
      <c r="AU311" s="4642"/>
      <c r="AV311" s="4575"/>
      <c r="AW311" s="4643"/>
      <c r="AX311" s="4644"/>
      <c r="AY311" s="4645"/>
      <c r="AZ311" s="4568"/>
      <c r="BA311" s="4646"/>
      <c r="BB311" s="4647"/>
      <c r="BC311" s="4648"/>
      <c r="BD311" s="4575"/>
      <c r="BE311" s="4649"/>
      <c r="BF311" s="4650"/>
      <c r="BG311" s="4651"/>
      <c r="BH311" s="4445"/>
      <c r="BI311" s="4652"/>
      <c r="BJ311" s="4653"/>
      <c r="BK311" s="4654"/>
      <c r="BL311" s="4575"/>
      <c r="BM311" s="4655"/>
      <c r="BN311" s="4656"/>
      <c r="BO311" s="4657"/>
      <c r="BP311" s="4445"/>
      <c r="BQ311" s="4658"/>
      <c r="BR311" s="4659"/>
      <c r="BS311" s="4660"/>
      <c r="BT311" s="4575"/>
      <c r="BU311" s="4661"/>
      <c r="BV311" s="4662"/>
      <c r="BW311" s="4663"/>
      <c r="BX311" s="4445"/>
      <c r="BY311" s="4664"/>
      <c r="BZ311" s="4665"/>
      <c r="CA311" s="4666"/>
      <c r="CB311" s="4575"/>
      <c r="CC311" s="4667"/>
      <c r="CD311" s="4668"/>
      <c r="CE311" s="4669"/>
      <c r="CF311" s="4445"/>
      <c r="CG311" s="4670"/>
      <c r="CH311" s="4671"/>
      <c r="CI311" s="4672"/>
      <c r="CJ311" s="4575"/>
      <c r="CK311" s="4673"/>
      <c r="CL311" s="4674"/>
      <c r="CM311" s="4675"/>
    </row>
    <row r="312" spans="1:91" s="8" customFormat="1" ht="24.95" customHeight="1" thickBot="1" x14ac:dyDescent="0.25">
      <c r="A312" s="4203"/>
      <c r="B312" s="4203"/>
      <c r="C312" s="4203"/>
      <c r="D312" s="4203"/>
      <c r="E312" s="4203"/>
      <c r="F312" s="4203"/>
      <c r="I312" s="6795"/>
      <c r="J312" s="10"/>
      <c r="K312" s="3326"/>
      <c r="L312" s="4377" t="str">
        <f>_Calcs_Klasse!$ART$36</f>
        <v>Sikringsstøp per tunnellengde</v>
      </c>
      <c r="M312" s="4377"/>
      <c r="N312" s="4377"/>
      <c r="O312" s="5095" t="s">
        <v>149</v>
      </c>
      <c r="P312" s="5096"/>
      <c r="Q312" s="5096"/>
      <c r="R312" s="3627"/>
      <c r="S312" s="2798"/>
      <c r="T312" s="4373"/>
      <c r="W312" s="4676"/>
      <c r="X312" s="6808"/>
      <c r="Y312" s="6809"/>
      <c r="Z312" s="4832"/>
      <c r="AA312" s="4575"/>
      <c r="AB312" s="4833"/>
      <c r="AC312" s="7008" t="e">
        <f>_Calcs_Klasse!$ARX$42</f>
        <v>#N/A</v>
      </c>
      <c r="AD312" s="7009"/>
      <c r="AE312" s="7009"/>
      <c r="AF312" s="7009"/>
      <c r="AG312" s="7010"/>
      <c r="AH312" s="4835"/>
      <c r="AI312" s="4568"/>
      <c r="AJ312" s="4568"/>
      <c r="AK312" s="4836"/>
      <c r="AL312" s="4683"/>
      <c r="AM312" s="4837"/>
      <c r="AN312" s="4575"/>
      <c r="AO312" s="4838"/>
      <c r="AP312" s="5070" t="e">
        <f>_Calcs_Klasse!$ARX$43</f>
        <v>#N/A</v>
      </c>
      <c r="AQ312" s="4840"/>
      <c r="AR312" s="3435"/>
      <c r="AS312" s="4841"/>
      <c r="AT312" s="4683"/>
      <c r="AU312" s="4842"/>
      <c r="AV312" s="4575"/>
      <c r="AW312" s="4843"/>
      <c r="AX312" s="5070" t="e">
        <f>_Calcs_Klasse!$ARX$44</f>
        <v>#N/A</v>
      </c>
      <c r="AY312" s="4845"/>
      <c r="AZ312" s="4568"/>
      <c r="BA312" s="4846"/>
      <c r="BB312" s="4683"/>
      <c r="BC312" s="4847"/>
      <c r="BD312" s="4575"/>
      <c r="BE312" s="4848"/>
      <c r="BF312" s="5070" t="e">
        <f>_Calcs_Klasse!$ARX$45</f>
        <v>#N/A</v>
      </c>
      <c r="BG312" s="4850"/>
      <c r="BH312" s="4445"/>
      <c r="BI312" s="4851"/>
      <c r="BJ312" s="4683"/>
      <c r="BK312" s="4852"/>
      <c r="BL312" s="4575"/>
      <c r="BM312" s="4853"/>
      <c r="BN312" s="5070" t="e">
        <f>_Calcs_Klasse!$ARX$46</f>
        <v>#N/A</v>
      </c>
      <c r="BO312" s="4855"/>
      <c r="BP312" s="4445"/>
      <c r="BQ312" s="4856"/>
      <c r="BR312" s="4683"/>
      <c r="BS312" s="4857"/>
      <c r="BT312" s="4575"/>
      <c r="BU312" s="4858"/>
      <c r="BV312" s="5070" t="e">
        <f>_Calcs_Klasse!$ARX$47</f>
        <v>#N/A</v>
      </c>
      <c r="BW312" s="4860"/>
      <c r="BX312" s="4445"/>
      <c r="BY312" s="4861"/>
      <c r="BZ312" s="4683"/>
      <c r="CA312" s="4862"/>
      <c r="CB312" s="4575"/>
      <c r="CC312" s="4863"/>
      <c r="CD312" s="5070" t="e">
        <f>_Calcs_Klasse!$ARX$48</f>
        <v>#N/A</v>
      </c>
      <c r="CE312" s="4865"/>
      <c r="CF312" s="4445"/>
      <c r="CG312" s="4866"/>
      <c r="CH312" s="4683"/>
      <c r="CI312" s="4867"/>
      <c r="CJ312" s="4575"/>
      <c r="CK312" s="4868"/>
      <c r="CL312" s="5070" t="e">
        <f>_Calcs_Klasse!$ARX$49</f>
        <v>#N/A</v>
      </c>
      <c r="CM312" s="4713"/>
    </row>
    <row r="313" spans="1:91" s="8" customFormat="1" ht="15" customHeight="1" thickBot="1" x14ac:dyDescent="0.25">
      <c r="A313" s="4203"/>
      <c r="B313" s="4203"/>
      <c r="C313" s="4203"/>
      <c r="D313" s="4203"/>
      <c r="E313" s="4203"/>
      <c r="F313" s="4203"/>
      <c r="I313" s="6795"/>
      <c r="J313" s="10"/>
      <c r="K313" s="3321"/>
      <c r="L313" s="4378"/>
      <c r="M313" s="4378"/>
      <c r="N313" s="3322"/>
      <c r="O313" s="3323"/>
      <c r="P313" s="3324"/>
      <c r="Q313" s="3324"/>
      <c r="R313" s="3628"/>
      <c r="S313" s="2798"/>
      <c r="T313" s="4373"/>
      <c r="W313" s="4714"/>
      <c r="X313" s="4715"/>
      <c r="Y313" s="4715"/>
      <c r="Z313" s="4716"/>
      <c r="AA313" s="4575"/>
      <c r="AB313" s="4717"/>
      <c r="AC313" s="4718"/>
      <c r="AD313" s="4718"/>
      <c r="AE313" s="4718"/>
      <c r="AF313" s="4718"/>
      <c r="AG313" s="4718"/>
      <c r="AH313" s="4719"/>
      <c r="AI313" s="4568"/>
      <c r="AJ313" s="4568"/>
      <c r="AK313" s="4720"/>
      <c r="AL313" s="4721"/>
      <c r="AM313" s="4722"/>
      <c r="AN313" s="4575"/>
      <c r="AO313" s="4723"/>
      <c r="AP313" s="4724"/>
      <c r="AQ313" s="4725"/>
      <c r="AR313" s="3435"/>
      <c r="AS313" s="4726"/>
      <c r="AT313" s="4727"/>
      <c r="AU313" s="4728"/>
      <c r="AV313" s="4575"/>
      <c r="AW313" s="4729"/>
      <c r="AX313" s="4730"/>
      <c r="AY313" s="4731"/>
      <c r="AZ313" s="4568"/>
      <c r="BA313" s="4732"/>
      <c r="BB313" s="4733"/>
      <c r="BC313" s="4734"/>
      <c r="BD313" s="4575"/>
      <c r="BE313" s="4735"/>
      <c r="BF313" s="4736"/>
      <c r="BG313" s="4737"/>
      <c r="BH313" s="4445"/>
      <c r="BI313" s="4738"/>
      <c r="BJ313" s="4739"/>
      <c r="BK313" s="4740"/>
      <c r="BL313" s="4575"/>
      <c r="BM313" s="4741"/>
      <c r="BN313" s="4742"/>
      <c r="BO313" s="4743"/>
      <c r="BP313" s="4445"/>
      <c r="BQ313" s="4744"/>
      <c r="BR313" s="4745"/>
      <c r="BS313" s="4746"/>
      <c r="BT313" s="4575"/>
      <c r="BU313" s="4747"/>
      <c r="BV313" s="4748"/>
      <c r="BW313" s="4749"/>
      <c r="BX313" s="4445"/>
      <c r="BY313" s="4750"/>
      <c r="BZ313" s="4751"/>
      <c r="CA313" s="4752"/>
      <c r="CB313" s="4575"/>
      <c r="CC313" s="4753"/>
      <c r="CD313" s="4754"/>
      <c r="CE313" s="4755"/>
      <c r="CF313" s="4445"/>
      <c r="CG313" s="4756"/>
      <c r="CH313" s="4757"/>
      <c r="CI313" s="4758"/>
      <c r="CJ313" s="4575"/>
      <c r="CK313" s="4759"/>
      <c r="CL313" s="4760"/>
      <c r="CM313" s="4761"/>
    </row>
    <row r="314" spans="1:91" s="8" customFormat="1" ht="8.1" customHeight="1" thickBot="1" x14ac:dyDescent="0.25">
      <c r="A314" s="4203"/>
      <c r="B314" s="4203"/>
      <c r="C314" s="4203"/>
      <c r="D314" s="4203"/>
      <c r="E314" s="4203"/>
      <c r="F314" s="4203"/>
      <c r="I314" s="6795"/>
      <c r="J314" s="10"/>
      <c r="K314" s="2373"/>
      <c r="L314" s="3436"/>
      <c r="M314" s="3436"/>
      <c r="N314" s="2625"/>
      <c r="O314" s="2737"/>
      <c r="P314" s="2625"/>
      <c r="Q314" s="2639"/>
      <c r="R314" s="2373"/>
      <c r="S314" s="3675"/>
      <c r="T314" s="4373"/>
      <c r="U314" s="7"/>
      <c r="V314" s="7"/>
      <c r="W314" s="2802"/>
      <c r="X314" s="2803"/>
      <c r="Y314" s="2803"/>
      <c r="Z314" s="2803"/>
      <c r="AA314" s="4575"/>
      <c r="AB314" s="2802"/>
      <c r="AC314" s="2803"/>
      <c r="AD314" s="2803"/>
      <c r="AE314" s="2803"/>
      <c r="AF314" s="2803"/>
      <c r="AG314" s="2803"/>
      <c r="AH314" s="2803"/>
      <c r="AI314" s="4575"/>
      <c r="AJ314" s="4575"/>
      <c r="AK314" s="2802"/>
      <c r="AL314" s="2803"/>
      <c r="AM314" s="2803"/>
      <c r="AN314" s="4575"/>
      <c r="AO314" s="2802"/>
      <c r="AP314" s="2803"/>
      <c r="AQ314" s="2803"/>
      <c r="AR314" s="3435"/>
      <c r="AS314" s="2802"/>
      <c r="AT314" s="2803"/>
      <c r="AU314" s="2803"/>
      <c r="AV314" s="4575"/>
      <c r="AW314" s="2802"/>
      <c r="AX314" s="2803"/>
      <c r="AY314" s="2803"/>
      <c r="AZ314" s="4568"/>
      <c r="BA314" s="2802"/>
      <c r="BB314" s="2803"/>
      <c r="BC314" s="2803"/>
      <c r="BD314" s="4575"/>
      <c r="BE314" s="2802"/>
      <c r="BF314" s="2803"/>
      <c r="BG314" s="2803"/>
      <c r="BH314" s="4445"/>
      <c r="BI314" s="2802"/>
      <c r="BJ314" s="2803"/>
      <c r="BK314" s="2803"/>
      <c r="BL314" s="4575"/>
      <c r="BM314" s="2802"/>
      <c r="BN314" s="2803"/>
      <c r="BO314" s="2803"/>
      <c r="BP314" s="4445"/>
      <c r="BQ314" s="2802"/>
      <c r="BR314" s="2803"/>
      <c r="BS314" s="2803"/>
      <c r="BT314" s="4575"/>
      <c r="BU314" s="2802"/>
      <c r="BV314" s="2803"/>
      <c r="BW314" s="2803"/>
      <c r="BX314" s="4445"/>
      <c r="BY314" s="2802"/>
      <c r="BZ314" s="2803"/>
      <c r="CA314" s="2803"/>
      <c r="CB314" s="4575"/>
      <c r="CC314" s="2802"/>
      <c r="CD314" s="2803"/>
      <c r="CE314" s="2803"/>
      <c r="CF314" s="4445"/>
      <c r="CG314" s="2802"/>
      <c r="CH314" s="2803"/>
      <c r="CI314" s="2803"/>
      <c r="CJ314" s="4575"/>
      <c r="CK314" s="2802"/>
      <c r="CL314" s="2803"/>
      <c r="CM314" s="2803"/>
    </row>
    <row r="315" spans="1:91" s="8" customFormat="1" ht="15" customHeight="1" thickBot="1" x14ac:dyDescent="0.25">
      <c r="A315" s="4203"/>
      <c r="B315" s="4203"/>
      <c r="C315" s="4203"/>
      <c r="D315" s="4203"/>
      <c r="E315" s="4203"/>
      <c r="F315" s="4203"/>
      <c r="I315" s="6795"/>
      <c r="J315" s="10"/>
      <c r="K315" s="3329"/>
      <c r="L315" s="4379"/>
      <c r="M315" s="4379"/>
      <c r="N315" s="3330"/>
      <c r="O315" s="3331"/>
      <c r="P315" s="3332"/>
      <c r="Q315" s="3332"/>
      <c r="R315" s="3626"/>
      <c r="S315" s="2798"/>
      <c r="T315" s="4373"/>
      <c r="W315" s="4628"/>
      <c r="X315" s="4629"/>
      <c r="Y315" s="4629"/>
      <c r="Z315" s="4630"/>
      <c r="AA315" s="4575"/>
      <c r="AB315" s="4631"/>
      <c r="AC315" s="4632"/>
      <c r="AD315" s="4632"/>
      <c r="AE315" s="4632"/>
      <c r="AF315" s="4632"/>
      <c r="AG315" s="4632"/>
      <c r="AH315" s="4633"/>
      <c r="AI315" s="4568"/>
      <c r="AJ315" s="4568"/>
      <c r="AK315" s="4634"/>
      <c r="AL315" s="4635"/>
      <c r="AM315" s="4636"/>
      <c r="AN315" s="4575"/>
      <c r="AO315" s="4637"/>
      <c r="AP315" s="4638"/>
      <c r="AQ315" s="4639"/>
      <c r="AR315" s="3435"/>
      <c r="AS315" s="4640"/>
      <c r="AT315" s="4641"/>
      <c r="AU315" s="4642"/>
      <c r="AV315" s="4575"/>
      <c r="AW315" s="4643"/>
      <c r="AX315" s="4644"/>
      <c r="AY315" s="4645"/>
      <c r="AZ315" s="4568"/>
      <c r="BA315" s="4646"/>
      <c r="BB315" s="4647"/>
      <c r="BC315" s="4648"/>
      <c r="BD315" s="4575"/>
      <c r="BE315" s="4649"/>
      <c r="BF315" s="4650"/>
      <c r="BG315" s="4651"/>
      <c r="BH315" s="4445"/>
      <c r="BI315" s="4652"/>
      <c r="BJ315" s="4653"/>
      <c r="BK315" s="4654"/>
      <c r="BL315" s="4575"/>
      <c r="BM315" s="4655"/>
      <c r="BN315" s="4656"/>
      <c r="BO315" s="4657"/>
      <c r="BP315" s="4445"/>
      <c r="BQ315" s="4658"/>
      <c r="BR315" s="4659"/>
      <c r="BS315" s="4660"/>
      <c r="BT315" s="4575"/>
      <c r="BU315" s="4661"/>
      <c r="BV315" s="4662"/>
      <c r="BW315" s="4663"/>
      <c r="BX315" s="4445"/>
      <c r="BY315" s="4664"/>
      <c r="BZ315" s="4665"/>
      <c r="CA315" s="4666"/>
      <c r="CB315" s="4575"/>
      <c r="CC315" s="4667"/>
      <c r="CD315" s="4668"/>
      <c r="CE315" s="4669"/>
      <c r="CF315" s="4445"/>
      <c r="CG315" s="4670"/>
      <c r="CH315" s="4671"/>
      <c r="CI315" s="4672"/>
      <c r="CJ315" s="4575"/>
      <c r="CK315" s="4673"/>
      <c r="CL315" s="4674"/>
      <c r="CM315" s="4675"/>
    </row>
    <row r="316" spans="1:91" s="8" customFormat="1" ht="24.95" customHeight="1" thickBot="1" x14ac:dyDescent="0.25">
      <c r="A316" s="4203"/>
      <c r="B316" s="4203"/>
      <c r="C316" s="4203"/>
      <c r="D316" s="4203"/>
      <c r="E316" s="4203"/>
      <c r="F316" s="4203"/>
      <c r="I316" s="3765" t="s">
        <v>1989</v>
      </c>
      <c r="J316" s="10"/>
      <c r="K316" s="3326"/>
      <c r="L316" s="7007" t="s">
        <v>1995</v>
      </c>
      <c r="M316" s="7007"/>
      <c r="N316" s="3328"/>
      <c r="O316" s="3327" t="s">
        <v>149</v>
      </c>
      <c r="P316" s="3579"/>
      <c r="Q316" s="3579"/>
      <c r="R316" s="3627"/>
      <c r="S316" s="2798"/>
      <c r="T316" s="4373"/>
      <c r="W316" s="4676"/>
      <c r="X316" s="6803"/>
      <c r="Y316" s="6804"/>
      <c r="Z316" s="4795"/>
      <c r="AA316" s="4796"/>
      <c r="AB316" s="4797"/>
      <c r="AC316" s="6805" t="e">
        <f>_Calcs_Klasse!$ASF$42</f>
        <v>#N/A</v>
      </c>
      <c r="AD316" s="6806"/>
      <c r="AE316" s="6806"/>
      <c r="AF316" s="6806"/>
      <c r="AG316" s="6807"/>
      <c r="AH316" s="4798"/>
      <c r="AI316" s="4799"/>
      <c r="AJ316" s="4799"/>
      <c r="AK316" s="4800"/>
      <c r="AL316" s="4801"/>
      <c r="AM316" s="4802"/>
      <c r="AN316" s="4796"/>
      <c r="AO316" s="4803"/>
      <c r="AP316" s="4804" t="e">
        <f>_Calcs_Klasse!$ASF$43</f>
        <v>#N/A</v>
      </c>
      <c r="AQ316" s="4805"/>
      <c r="AR316" s="4806"/>
      <c r="AS316" s="4807"/>
      <c r="AT316" s="4801"/>
      <c r="AU316" s="4808"/>
      <c r="AV316" s="4796"/>
      <c r="AW316" s="4809"/>
      <c r="AX316" s="4804" t="e">
        <f>_Calcs_Klasse!$ASF$44</f>
        <v>#N/A</v>
      </c>
      <c r="AY316" s="4810"/>
      <c r="AZ316" s="4799"/>
      <c r="BA316" s="4811"/>
      <c r="BB316" s="4801"/>
      <c r="BC316" s="4812"/>
      <c r="BD316" s="4796"/>
      <c r="BE316" s="4813"/>
      <c r="BF316" s="4804" t="e">
        <f>_Calcs_Klasse!$ASF$45</f>
        <v>#N/A</v>
      </c>
      <c r="BG316" s="4814"/>
      <c r="BH316" s="4815"/>
      <c r="BI316" s="4816"/>
      <c r="BJ316" s="4801"/>
      <c r="BK316" s="4817"/>
      <c r="BL316" s="4796"/>
      <c r="BM316" s="4818"/>
      <c r="BN316" s="4804" t="e">
        <f>_Calcs_Klasse!$ASF$46</f>
        <v>#N/A</v>
      </c>
      <c r="BO316" s="4819"/>
      <c r="BP316" s="4815"/>
      <c r="BQ316" s="4820"/>
      <c r="BR316" s="4801"/>
      <c r="BS316" s="4821"/>
      <c r="BT316" s="4796"/>
      <c r="BU316" s="4822"/>
      <c r="BV316" s="4804" t="e">
        <f>_Calcs_Klasse!$ASF$47</f>
        <v>#N/A</v>
      </c>
      <c r="BW316" s="4823"/>
      <c r="BX316" s="4815"/>
      <c r="BY316" s="4824"/>
      <c r="BZ316" s="4801"/>
      <c r="CA316" s="4825"/>
      <c r="CB316" s="4796"/>
      <c r="CC316" s="4826"/>
      <c r="CD316" s="4804" t="e">
        <f>_Calcs_Klasse!$ASF$48</f>
        <v>#N/A</v>
      </c>
      <c r="CE316" s="4827"/>
      <c r="CF316" s="4815"/>
      <c r="CG316" s="4828"/>
      <c r="CH316" s="4801"/>
      <c r="CI316" s="4829"/>
      <c r="CJ316" s="4796"/>
      <c r="CK316" s="4830"/>
      <c r="CL316" s="4804" t="e">
        <f>_Calcs_Klasse!$ASF$49</f>
        <v>#N/A</v>
      </c>
      <c r="CM316" s="4713"/>
    </row>
    <row r="317" spans="1:91" s="8" customFormat="1" ht="15" customHeight="1" x14ac:dyDescent="0.2">
      <c r="A317" s="4203"/>
      <c r="B317" s="4203"/>
      <c r="C317" s="4203"/>
      <c r="D317" s="4203"/>
      <c r="E317" s="4203"/>
      <c r="F317" s="4203"/>
      <c r="I317" s="2725"/>
      <c r="J317" s="10"/>
      <c r="K317" s="3326"/>
      <c r="L317" s="7007"/>
      <c r="M317" s="7007"/>
      <c r="N317" s="3328"/>
      <c r="O317" s="3325"/>
      <c r="P317" s="3334"/>
      <c r="Q317" s="3334"/>
      <c r="R317" s="3668"/>
      <c r="S317" s="3728"/>
      <c r="T317" s="4373"/>
      <c r="W317" s="4676"/>
      <c r="X317" s="4629"/>
      <c r="Y317" s="4831"/>
      <c r="Z317" s="4832"/>
      <c r="AA317" s="4575"/>
      <c r="AB317" s="4833"/>
      <c r="AC317" s="4834"/>
      <c r="AD317" s="4834"/>
      <c r="AE317" s="4834"/>
      <c r="AF317" s="4834"/>
      <c r="AG317" s="4834"/>
      <c r="AH317" s="4835"/>
      <c r="AI317" s="4568"/>
      <c r="AJ317" s="4568"/>
      <c r="AK317" s="4836"/>
      <c r="AL317" s="4635"/>
      <c r="AM317" s="4837"/>
      <c r="AN317" s="4575"/>
      <c r="AO317" s="4838"/>
      <c r="AP317" s="4839"/>
      <c r="AQ317" s="4840"/>
      <c r="AR317" s="3435"/>
      <c r="AS317" s="4841"/>
      <c r="AT317" s="4641"/>
      <c r="AU317" s="4842"/>
      <c r="AV317" s="4575"/>
      <c r="AW317" s="4843"/>
      <c r="AX317" s="4844"/>
      <c r="AY317" s="4845"/>
      <c r="AZ317" s="4568"/>
      <c r="BA317" s="4846"/>
      <c r="BB317" s="4647"/>
      <c r="BC317" s="4847"/>
      <c r="BD317" s="4575"/>
      <c r="BE317" s="4848"/>
      <c r="BF317" s="4849"/>
      <c r="BG317" s="4850"/>
      <c r="BH317" s="4445"/>
      <c r="BI317" s="4851"/>
      <c r="BJ317" s="4653"/>
      <c r="BK317" s="4852"/>
      <c r="BL317" s="4575"/>
      <c r="BM317" s="4853"/>
      <c r="BN317" s="4854"/>
      <c r="BO317" s="4855"/>
      <c r="BP317" s="4445"/>
      <c r="BQ317" s="4856"/>
      <c r="BR317" s="4659"/>
      <c r="BS317" s="4857"/>
      <c r="BT317" s="4575"/>
      <c r="BU317" s="4858"/>
      <c r="BV317" s="4859"/>
      <c r="BW317" s="4860"/>
      <c r="BX317" s="4445"/>
      <c r="BY317" s="4861"/>
      <c r="BZ317" s="4665"/>
      <c r="CA317" s="4862"/>
      <c r="CB317" s="4575"/>
      <c r="CC317" s="4863"/>
      <c r="CD317" s="4864"/>
      <c r="CE317" s="4865"/>
      <c r="CF317" s="4445"/>
      <c r="CG317" s="4866"/>
      <c r="CH317" s="4671"/>
      <c r="CI317" s="4867"/>
      <c r="CJ317" s="4575"/>
      <c r="CK317" s="4868"/>
      <c r="CL317" s="4869"/>
      <c r="CM317" s="4713"/>
    </row>
    <row r="318" spans="1:91" s="8" customFormat="1" ht="6.95" customHeight="1" thickBot="1" x14ac:dyDescent="0.25">
      <c r="A318" s="4203"/>
      <c r="B318" s="4203"/>
      <c r="C318" s="4203"/>
      <c r="D318" s="4203"/>
      <c r="E318" s="4203"/>
      <c r="F318" s="4203"/>
      <c r="I318" s="2725"/>
      <c r="J318" s="10"/>
      <c r="K318" s="3635"/>
      <c r="L318" s="4380"/>
      <c r="M318" s="4380"/>
      <c r="N318" s="3798"/>
      <c r="O318" s="3792"/>
      <c r="P318" s="3798"/>
      <c r="Q318" s="3791"/>
      <c r="R318" s="3636"/>
      <c r="S318" s="3808"/>
      <c r="T318" s="4373"/>
      <c r="W318" s="4676"/>
      <c r="X318" s="4831"/>
      <c r="Y318" s="4831"/>
      <c r="Z318" s="4832"/>
      <c r="AA318" s="4575"/>
      <c r="AB318" s="4833"/>
      <c r="AC318" s="4834"/>
      <c r="AD318" s="4834"/>
      <c r="AE318" s="4834"/>
      <c r="AF318" s="4834"/>
      <c r="AG318" s="4834"/>
      <c r="AH318" s="4835"/>
      <c r="AI318" s="4568"/>
      <c r="AJ318" s="4568"/>
      <c r="AK318" s="4836"/>
      <c r="AL318" s="5071"/>
      <c r="AM318" s="4837"/>
      <c r="AN318" s="4575"/>
      <c r="AO318" s="4838"/>
      <c r="AP318" s="4839"/>
      <c r="AQ318" s="4840"/>
      <c r="AR318" s="3435"/>
      <c r="AS318" s="4841"/>
      <c r="AT318" s="5072"/>
      <c r="AU318" s="4842"/>
      <c r="AV318" s="4575"/>
      <c r="AW318" s="4843"/>
      <c r="AX318" s="4844"/>
      <c r="AY318" s="4845"/>
      <c r="AZ318" s="4568"/>
      <c r="BA318" s="4846"/>
      <c r="BB318" s="5073"/>
      <c r="BC318" s="4847"/>
      <c r="BD318" s="4575"/>
      <c r="BE318" s="4848"/>
      <c r="BF318" s="4849"/>
      <c r="BG318" s="4850"/>
      <c r="BH318" s="4445"/>
      <c r="BI318" s="4851"/>
      <c r="BJ318" s="5074"/>
      <c r="BK318" s="4852"/>
      <c r="BL318" s="4575"/>
      <c r="BM318" s="4853"/>
      <c r="BN318" s="4854"/>
      <c r="BO318" s="4855"/>
      <c r="BP318" s="4445"/>
      <c r="BQ318" s="4856"/>
      <c r="BR318" s="5075"/>
      <c r="BS318" s="4857"/>
      <c r="BT318" s="4575"/>
      <c r="BU318" s="4858"/>
      <c r="BV318" s="4859"/>
      <c r="BW318" s="4860"/>
      <c r="BX318" s="4445"/>
      <c r="BY318" s="4861"/>
      <c r="BZ318" s="5076"/>
      <c r="CA318" s="4862"/>
      <c r="CB318" s="4575"/>
      <c r="CC318" s="4863"/>
      <c r="CD318" s="4864"/>
      <c r="CE318" s="4865"/>
      <c r="CF318" s="4445"/>
      <c r="CG318" s="4866"/>
      <c r="CH318" s="5077"/>
      <c r="CI318" s="4867"/>
      <c r="CJ318" s="4575"/>
      <c r="CK318" s="4868"/>
      <c r="CL318" s="4869"/>
      <c r="CM318" s="4713"/>
    </row>
    <row r="319" spans="1:91" s="8" customFormat="1" ht="24.95" customHeight="1" thickBot="1" x14ac:dyDescent="0.25">
      <c r="A319" s="4203"/>
      <c r="B319" s="4203"/>
      <c r="C319" s="4203"/>
      <c r="D319" s="4203"/>
      <c r="E319" s="4203"/>
      <c r="F319" s="4203"/>
      <c r="I319" s="2725"/>
      <c r="J319" s="10"/>
      <c r="K319" s="3635"/>
      <c r="L319" s="7011" t="s">
        <v>1994</v>
      </c>
      <c r="M319" s="7011"/>
      <c r="N319" s="3798"/>
      <c r="O319" s="3327" t="s">
        <v>149</v>
      </c>
      <c r="P319" s="3798"/>
      <c r="Q319" s="3791"/>
      <c r="R319" s="3636"/>
      <c r="S319" s="3808"/>
      <c r="T319" s="4373"/>
      <c r="W319" s="4676"/>
      <c r="X319" s="6805" t="str">
        <f>_Calcs_Klasse!$ASM$42</f>
        <v/>
      </c>
      <c r="Y319" s="6807"/>
      <c r="Z319" s="4832"/>
      <c r="AA319" s="4870"/>
      <c r="AB319" s="4871"/>
      <c r="AC319" s="6805" t="e">
        <f>_Calcs_Klasse!$ASO$42</f>
        <v>#N/A</v>
      </c>
      <c r="AD319" s="6806"/>
      <c r="AE319" s="6806"/>
      <c r="AF319" s="6806"/>
      <c r="AG319" s="6807"/>
      <c r="AH319" s="4835"/>
      <c r="AI319" s="4870"/>
      <c r="AJ319" s="4870"/>
      <c r="AK319" s="4872"/>
      <c r="AL319" s="4873" t="str">
        <f>_Calcs_Klasse!$ASM$43</f>
        <v/>
      </c>
      <c r="AM319" s="4837"/>
      <c r="AN319" s="4870"/>
      <c r="AO319" s="4874"/>
      <c r="AP319" s="4804" t="e">
        <f>_Calcs_Klasse!$ASO$43</f>
        <v>#N/A</v>
      </c>
      <c r="AQ319" s="4840"/>
      <c r="AR319" s="4875"/>
      <c r="AS319" s="4876"/>
      <c r="AT319" s="4873" t="str">
        <f>_Calcs_Klasse!$ASM$44</f>
        <v/>
      </c>
      <c r="AU319" s="4842"/>
      <c r="AV319" s="4870"/>
      <c r="AW319" s="4877"/>
      <c r="AX319" s="4804" t="e">
        <f>_Calcs_Klasse!$ASO$44</f>
        <v>#N/A</v>
      </c>
      <c r="AY319" s="4845"/>
      <c r="AZ319" s="4870"/>
      <c r="BA319" s="4878"/>
      <c r="BB319" s="4873" t="str">
        <f>_Calcs_Klasse!$ASM$45</f>
        <v/>
      </c>
      <c r="BC319" s="4847"/>
      <c r="BD319" s="4870"/>
      <c r="BE319" s="4879"/>
      <c r="BF319" s="4804" t="e">
        <f>_Calcs_Klasse!$ASO$45</f>
        <v>#N/A</v>
      </c>
      <c r="BG319" s="4850"/>
      <c r="BH319" s="4880"/>
      <c r="BI319" s="4881"/>
      <c r="BJ319" s="4873" t="str">
        <f>_Calcs_Klasse!$ASM$46</f>
        <v/>
      </c>
      <c r="BK319" s="4852"/>
      <c r="BL319" s="4870"/>
      <c r="BM319" s="4882"/>
      <c r="BN319" s="4804" t="e">
        <f>_Calcs_Klasse!$ASO$46</f>
        <v>#N/A</v>
      </c>
      <c r="BO319" s="4855"/>
      <c r="BP319" s="4880"/>
      <c r="BQ319" s="4883"/>
      <c r="BR319" s="4873" t="str">
        <f>_Calcs_Klasse!$ASM$47</f>
        <v/>
      </c>
      <c r="BS319" s="4857"/>
      <c r="BT319" s="4870"/>
      <c r="BU319" s="4884"/>
      <c r="BV319" s="4804" t="e">
        <f>_Calcs_Klasse!$ASO$47</f>
        <v>#N/A</v>
      </c>
      <c r="BW319" s="4860"/>
      <c r="BX319" s="4880"/>
      <c r="BY319" s="4885"/>
      <c r="BZ319" s="4873" t="str">
        <f>_Calcs_Klasse!$ASM$48</f>
        <v/>
      </c>
      <c r="CA319" s="4862"/>
      <c r="CB319" s="4870"/>
      <c r="CC319" s="4886"/>
      <c r="CD319" s="4804" t="e">
        <f>_Calcs_Klasse!$ASO$48</f>
        <v>#N/A</v>
      </c>
      <c r="CE319" s="4865"/>
      <c r="CF319" s="4880"/>
      <c r="CG319" s="4887"/>
      <c r="CH319" s="4873" t="str">
        <f>_Calcs_Klasse!$ASM$49</f>
        <v/>
      </c>
      <c r="CI319" s="4867"/>
      <c r="CJ319" s="4870"/>
      <c r="CK319" s="4888"/>
      <c r="CL319" s="4804" t="e">
        <f>_Calcs_Klasse!$ASO$49</f>
        <v>#N/A</v>
      </c>
      <c r="CM319" s="4713"/>
    </row>
    <row r="320" spans="1:91" s="8" customFormat="1" ht="9.9499999999999993" customHeight="1" x14ac:dyDescent="0.2">
      <c r="A320" s="4203"/>
      <c r="B320" s="4203"/>
      <c r="C320" s="4203"/>
      <c r="D320" s="4203"/>
      <c r="E320" s="4203"/>
      <c r="F320" s="4203"/>
      <c r="I320" s="2725"/>
      <c r="J320" s="10"/>
      <c r="K320" s="3635"/>
      <c r="L320" s="7011"/>
      <c r="M320" s="7011"/>
      <c r="N320" s="3798"/>
      <c r="O320" s="3792"/>
      <c r="P320" s="3798"/>
      <c r="Q320" s="3791"/>
      <c r="R320" s="3636"/>
      <c r="S320" s="3808"/>
      <c r="T320" s="4373"/>
      <c r="W320" s="4676"/>
      <c r="X320" s="5078"/>
      <c r="Y320" s="5078"/>
      <c r="Z320" s="4832"/>
      <c r="AA320" s="4575"/>
      <c r="AB320" s="4833"/>
      <c r="AC320" s="5079"/>
      <c r="AD320" s="5079"/>
      <c r="AE320" s="5079"/>
      <c r="AF320" s="5079"/>
      <c r="AG320" s="5079"/>
      <c r="AH320" s="4835"/>
      <c r="AI320" s="4568"/>
      <c r="AJ320" s="4568"/>
      <c r="AK320" s="4836"/>
      <c r="AL320" s="5080"/>
      <c r="AM320" s="4837"/>
      <c r="AN320" s="4575"/>
      <c r="AO320" s="4838"/>
      <c r="AP320" s="5081"/>
      <c r="AQ320" s="4840"/>
      <c r="AR320" s="3435"/>
      <c r="AS320" s="4841"/>
      <c r="AT320" s="5082"/>
      <c r="AU320" s="4842"/>
      <c r="AV320" s="4575"/>
      <c r="AW320" s="4843"/>
      <c r="AX320" s="5083"/>
      <c r="AY320" s="4845"/>
      <c r="AZ320" s="4568"/>
      <c r="BA320" s="4846"/>
      <c r="BB320" s="5084"/>
      <c r="BC320" s="4847"/>
      <c r="BD320" s="4575"/>
      <c r="BE320" s="4848"/>
      <c r="BF320" s="5085"/>
      <c r="BG320" s="4850"/>
      <c r="BH320" s="4445"/>
      <c r="BI320" s="4851"/>
      <c r="BJ320" s="5086"/>
      <c r="BK320" s="4852"/>
      <c r="BL320" s="4575"/>
      <c r="BM320" s="4853"/>
      <c r="BN320" s="5087"/>
      <c r="BO320" s="4855"/>
      <c r="BP320" s="4445"/>
      <c r="BQ320" s="4856"/>
      <c r="BR320" s="5088"/>
      <c r="BS320" s="4857"/>
      <c r="BT320" s="4575"/>
      <c r="BU320" s="4858"/>
      <c r="BV320" s="5089"/>
      <c r="BW320" s="4860"/>
      <c r="BX320" s="4445"/>
      <c r="BY320" s="4861"/>
      <c r="BZ320" s="5090"/>
      <c r="CA320" s="4862"/>
      <c r="CB320" s="4575"/>
      <c r="CC320" s="4863"/>
      <c r="CD320" s="5091"/>
      <c r="CE320" s="4865"/>
      <c r="CF320" s="4445"/>
      <c r="CG320" s="4866"/>
      <c r="CH320" s="5092"/>
      <c r="CI320" s="4867"/>
      <c r="CJ320" s="4575"/>
      <c r="CK320" s="4868"/>
      <c r="CL320" s="5093"/>
      <c r="CM320" s="4713"/>
    </row>
    <row r="321" spans="1:91" s="8" customFormat="1" ht="15" customHeight="1" thickBot="1" x14ac:dyDescent="0.25">
      <c r="A321" s="4203"/>
      <c r="B321" s="4203"/>
      <c r="C321" s="4203"/>
      <c r="D321" s="4203"/>
      <c r="E321" s="4203"/>
      <c r="F321" s="4203"/>
      <c r="I321" s="2728"/>
      <c r="J321" s="10"/>
      <c r="K321" s="3669"/>
      <c r="L321" s="3799"/>
      <c r="M321" s="3799"/>
      <c r="N321" s="3799"/>
      <c r="O321" s="4220"/>
      <c r="P321" s="3799"/>
      <c r="Q321" s="3800"/>
      <c r="R321" s="3670"/>
      <c r="S321" s="3808"/>
      <c r="T321" s="4373"/>
      <c r="W321" s="4714"/>
      <c r="X321" s="4715"/>
      <c r="Y321" s="4715"/>
      <c r="Z321" s="4716"/>
      <c r="AA321" s="4575"/>
      <c r="AB321" s="4769"/>
      <c r="AC321" s="4770"/>
      <c r="AD321" s="4770"/>
      <c r="AE321" s="4770"/>
      <c r="AF321" s="4770"/>
      <c r="AG321" s="4770"/>
      <c r="AH321" s="4771"/>
      <c r="AI321" s="4568"/>
      <c r="AJ321" s="4568"/>
      <c r="AK321" s="4720"/>
      <c r="AL321" s="4721"/>
      <c r="AM321" s="4722"/>
      <c r="AN321" s="4575"/>
      <c r="AO321" s="4772"/>
      <c r="AP321" s="4773"/>
      <c r="AQ321" s="4774"/>
      <c r="AR321" s="3435"/>
      <c r="AS321" s="4726"/>
      <c r="AT321" s="4727"/>
      <c r="AU321" s="4728"/>
      <c r="AV321" s="4575"/>
      <c r="AW321" s="4775"/>
      <c r="AX321" s="4776"/>
      <c r="AY321" s="4777"/>
      <c r="AZ321" s="4568"/>
      <c r="BA321" s="4732"/>
      <c r="BB321" s="4733"/>
      <c r="BC321" s="4734"/>
      <c r="BD321" s="4575"/>
      <c r="BE321" s="4778"/>
      <c r="BF321" s="4779"/>
      <c r="BG321" s="4780"/>
      <c r="BH321" s="4445"/>
      <c r="BI321" s="4738"/>
      <c r="BJ321" s="4739"/>
      <c r="BK321" s="4740"/>
      <c r="BL321" s="4575"/>
      <c r="BM321" s="4781"/>
      <c r="BN321" s="4782"/>
      <c r="BO321" s="4783"/>
      <c r="BP321" s="4445"/>
      <c r="BQ321" s="4744"/>
      <c r="BR321" s="4745"/>
      <c r="BS321" s="4746"/>
      <c r="BT321" s="4575"/>
      <c r="BU321" s="4784"/>
      <c r="BV321" s="4785"/>
      <c r="BW321" s="4786"/>
      <c r="BX321" s="4445"/>
      <c r="BY321" s="4750"/>
      <c r="BZ321" s="4751"/>
      <c r="CA321" s="4752"/>
      <c r="CB321" s="4575"/>
      <c r="CC321" s="4787"/>
      <c r="CD321" s="4788"/>
      <c r="CE321" s="4789"/>
      <c r="CF321" s="4445"/>
      <c r="CG321" s="4756"/>
      <c r="CH321" s="4757"/>
      <c r="CI321" s="4758"/>
      <c r="CJ321" s="4575"/>
      <c r="CK321" s="4790"/>
      <c r="CL321" s="4791"/>
      <c r="CM321" s="4792"/>
    </row>
    <row r="322" spans="1:91" s="21" customFormat="1" ht="35.1" customHeight="1" x14ac:dyDescent="0.2">
      <c r="A322" s="3881"/>
      <c r="B322" s="3881"/>
      <c r="C322" s="3881"/>
      <c r="D322" s="3881"/>
      <c r="E322" s="3881"/>
      <c r="F322" s="3881"/>
      <c r="I322" s="181"/>
      <c r="J322" s="104"/>
      <c r="K322" s="104"/>
      <c r="L322" s="104"/>
      <c r="M322" s="104"/>
      <c r="N322" s="104"/>
      <c r="O322" s="2068"/>
      <c r="P322" s="104"/>
      <c r="Q322" s="104"/>
      <c r="R322" s="104"/>
      <c r="S322" s="2068"/>
      <c r="T322" s="4373"/>
      <c r="W322" s="5094"/>
      <c r="X322" s="5094"/>
      <c r="Y322" s="5094"/>
      <c r="Z322" s="5094"/>
      <c r="AA322" s="4575"/>
      <c r="AB322" s="5094"/>
      <c r="AC322" s="2802"/>
      <c r="AD322" s="2802"/>
      <c r="AE322" s="2802"/>
      <c r="AF322" s="2802"/>
      <c r="AG322" s="2802"/>
      <c r="AH322" s="5094"/>
      <c r="AI322" s="4573"/>
      <c r="AJ322" s="4573"/>
      <c r="AK322" s="5094"/>
      <c r="AL322" s="5094"/>
      <c r="AM322" s="5094"/>
      <c r="AN322" s="4575"/>
      <c r="AO322" s="5094"/>
      <c r="AP322" s="2802"/>
      <c r="AQ322" s="5094"/>
      <c r="AR322" s="3435"/>
      <c r="AS322" s="5094"/>
      <c r="AT322" s="5094"/>
      <c r="AU322" s="5094"/>
      <c r="AV322" s="4575"/>
      <c r="AW322" s="5094"/>
      <c r="AX322" s="2802"/>
      <c r="AY322" s="5094"/>
      <c r="AZ322" s="4573"/>
      <c r="BA322" s="5094"/>
      <c r="BB322" s="5094"/>
      <c r="BC322" s="5094"/>
      <c r="BD322" s="4575"/>
      <c r="BE322" s="5094"/>
      <c r="BF322" s="2802"/>
      <c r="BG322" s="5094"/>
      <c r="BH322" s="974"/>
      <c r="BI322" s="5094"/>
      <c r="BJ322" s="5094"/>
      <c r="BK322" s="5094"/>
      <c r="BL322" s="4575"/>
      <c r="BM322" s="5094"/>
      <c r="BN322" s="2802"/>
      <c r="BO322" s="5094"/>
      <c r="BP322" s="974"/>
      <c r="BQ322" s="5094"/>
      <c r="BR322" s="5094"/>
      <c r="BS322" s="5094"/>
      <c r="BT322" s="4575"/>
      <c r="BU322" s="5094"/>
      <c r="BV322" s="2802"/>
      <c r="BW322" s="5094"/>
      <c r="BX322" s="974"/>
      <c r="BY322" s="5094"/>
      <c r="BZ322" s="5094"/>
      <c r="CA322" s="5094"/>
      <c r="CB322" s="4575"/>
      <c r="CC322" s="5094"/>
      <c r="CD322" s="2802"/>
      <c r="CE322" s="5094"/>
      <c r="CF322" s="974"/>
      <c r="CG322" s="5094"/>
      <c r="CH322" s="5094"/>
      <c r="CI322" s="5094"/>
      <c r="CJ322" s="4575"/>
      <c r="CK322" s="5094"/>
      <c r="CL322" s="2802"/>
      <c r="CM322" s="5094"/>
    </row>
    <row r="323" spans="1:91" s="2720" customFormat="1" ht="15" customHeight="1" x14ac:dyDescent="0.25">
      <c r="A323" s="4206"/>
      <c r="B323" s="4206"/>
      <c r="C323" s="4206"/>
      <c r="D323" s="4206"/>
      <c r="E323" s="4206"/>
      <c r="F323" s="4206"/>
      <c r="I323" s="3310"/>
      <c r="J323" s="3310"/>
      <c r="K323" s="3310"/>
      <c r="L323" s="3310"/>
      <c r="M323" s="3310"/>
      <c r="N323" s="3310"/>
      <c r="O323" s="4221"/>
      <c r="P323" s="3310"/>
      <c r="Q323" s="4223"/>
      <c r="R323" s="3310"/>
      <c r="S323" s="435"/>
      <c r="T323" s="4373"/>
      <c r="W323" s="4763"/>
      <c r="X323" s="4763"/>
      <c r="Y323" s="4763"/>
      <c r="Z323" s="4763"/>
      <c r="AA323" s="4763"/>
      <c r="AB323" s="4763"/>
      <c r="AC323" s="4764"/>
      <c r="AD323" s="4764"/>
      <c r="AE323" s="4764"/>
      <c r="AF323" s="4764"/>
      <c r="AG323" s="4764"/>
      <c r="AH323" s="4763"/>
      <c r="AI323" s="4763"/>
      <c r="AJ323" s="4763"/>
      <c r="AK323" s="4763"/>
      <c r="AL323" s="4763"/>
      <c r="AM323" s="4763"/>
      <c r="AN323" s="4763"/>
      <c r="AO323" s="4763"/>
      <c r="AP323" s="4764"/>
      <c r="AQ323" s="4763"/>
      <c r="AR323" s="4763"/>
      <c r="AS323" s="4763"/>
      <c r="AT323" s="4763"/>
      <c r="AU323" s="4763"/>
      <c r="AV323" s="4763"/>
      <c r="AW323" s="4763"/>
      <c r="AX323" s="4764"/>
      <c r="AY323" s="4763"/>
      <c r="AZ323" s="4763"/>
      <c r="BA323" s="4763"/>
      <c r="BB323" s="4763"/>
      <c r="BC323" s="4763"/>
      <c r="BD323" s="4763"/>
      <c r="BE323" s="4763"/>
      <c r="BF323" s="4764"/>
      <c r="BG323" s="4763"/>
      <c r="BH323" s="4763"/>
      <c r="BI323" s="4763"/>
      <c r="BJ323" s="4763"/>
      <c r="BK323" s="4763"/>
      <c r="BL323" s="4763"/>
      <c r="BM323" s="4763"/>
      <c r="BN323" s="4764"/>
      <c r="BO323" s="4763"/>
      <c r="BP323" s="4763"/>
      <c r="BQ323" s="4763"/>
      <c r="BR323" s="4763"/>
      <c r="BS323" s="4763"/>
      <c r="BT323" s="4763"/>
      <c r="BU323" s="4763"/>
      <c r="BV323" s="4764"/>
      <c r="BW323" s="4763"/>
      <c r="BX323" s="4763"/>
      <c r="BY323" s="4763"/>
      <c r="BZ323" s="4763"/>
      <c r="CA323" s="4763"/>
      <c r="CB323" s="4763"/>
      <c r="CC323" s="4763"/>
      <c r="CD323" s="4764"/>
      <c r="CE323" s="4763"/>
      <c r="CF323" s="4763"/>
      <c r="CG323" s="4763"/>
      <c r="CH323" s="4763"/>
      <c r="CI323" s="4763"/>
      <c r="CJ323" s="4763"/>
      <c r="CK323" s="4763"/>
      <c r="CL323" s="4764"/>
      <c r="CM323" s="4763"/>
    </row>
    <row r="324" spans="1:91" ht="35.1" customHeight="1" thickBot="1" x14ac:dyDescent="0.3"/>
    <row r="325" spans="1:91" s="8" customFormat="1" ht="15" customHeight="1" thickBot="1" x14ac:dyDescent="0.25">
      <c r="A325" s="4203"/>
      <c r="B325" s="4203"/>
      <c r="C325" s="4203"/>
      <c r="D325" s="4203"/>
      <c r="E325" s="4203"/>
      <c r="F325" s="4203"/>
      <c r="I325" s="5136"/>
      <c r="J325" s="10"/>
      <c r="K325" s="4266"/>
      <c r="L325" s="4267"/>
      <c r="M325" s="4267"/>
      <c r="N325" s="4267"/>
      <c r="O325" s="4268"/>
      <c r="P325" s="4269"/>
      <c r="Q325" s="4269"/>
      <c r="R325" s="4270"/>
      <c r="S325" s="2798"/>
      <c r="T325" s="4373"/>
      <c r="W325" s="3038"/>
      <c r="X325" s="3268"/>
      <c r="Y325" s="3268"/>
      <c r="Z325" s="3040"/>
      <c r="AA325" s="4300"/>
      <c r="AB325" s="3042"/>
      <c r="AC325" s="4301"/>
      <c r="AD325" s="4301"/>
      <c r="AE325" s="4301"/>
      <c r="AF325" s="4301"/>
      <c r="AG325" s="4301"/>
      <c r="AH325" s="3269"/>
      <c r="AI325" s="2587"/>
      <c r="AJ325" s="2587"/>
      <c r="AK325" s="3274"/>
      <c r="AL325" s="3273"/>
      <c r="AM325" s="4310"/>
      <c r="AN325" s="4311"/>
      <c r="AO325" s="4312"/>
      <c r="AP325" s="4313"/>
      <c r="AQ325" s="3275"/>
      <c r="AR325" s="181"/>
      <c r="AS325" s="3280"/>
      <c r="AT325" s="3279"/>
      <c r="AU325" s="4345"/>
      <c r="AV325" s="4346"/>
      <c r="AW325" s="4347"/>
      <c r="AX325" s="4348"/>
      <c r="AY325" s="3281"/>
      <c r="AZ325" s="4318"/>
      <c r="BA325" s="2821"/>
      <c r="BB325" s="2822"/>
      <c r="BC325" s="4349"/>
      <c r="BD325" s="4350"/>
      <c r="BE325" s="4351"/>
      <c r="BF325" s="4352"/>
      <c r="BG325" s="2823"/>
      <c r="BH325" s="68"/>
      <c r="BI325" s="2827"/>
      <c r="BJ325" s="2828"/>
      <c r="BK325" s="4353"/>
      <c r="BL325" s="4354"/>
      <c r="BM325" s="4355"/>
      <c r="BN325" s="4356"/>
      <c r="BO325" s="2829"/>
      <c r="BP325" s="68"/>
      <c r="BQ325" s="3286"/>
      <c r="BR325" s="3285"/>
      <c r="BS325" s="4357"/>
      <c r="BT325" s="4358"/>
      <c r="BU325" s="4359"/>
      <c r="BV325" s="4360"/>
      <c r="BW325" s="3287"/>
      <c r="BX325" s="68"/>
      <c r="BY325" s="3292"/>
      <c r="BZ325" s="3291"/>
      <c r="CA325" s="4361"/>
      <c r="CB325" s="4362"/>
      <c r="CC325" s="4363"/>
      <c r="CD325" s="4364"/>
      <c r="CE325" s="3293"/>
      <c r="CF325" s="68"/>
      <c r="CG325" s="3298"/>
      <c r="CH325" s="3297"/>
      <c r="CI325" s="4365"/>
      <c r="CJ325" s="4366"/>
      <c r="CK325" s="4367"/>
      <c r="CL325" s="4368"/>
      <c r="CM325" s="3299"/>
    </row>
    <row r="326" spans="1:91" s="4278" customFormat="1" ht="35.1" customHeight="1" thickBot="1" x14ac:dyDescent="0.35">
      <c r="A326" s="4277"/>
      <c r="B326" s="4277"/>
      <c r="C326" s="4277"/>
      <c r="D326" s="4277"/>
      <c r="E326" s="4277"/>
      <c r="F326" s="4277"/>
      <c r="I326" s="5136"/>
      <c r="J326" s="4279"/>
      <c r="K326" s="4280"/>
      <c r="L326" s="5134" t="str">
        <f>_Calcs!$K$92</f>
        <v>Sikringsklasse kapasitet</v>
      </c>
      <c r="M326" s="4308"/>
      <c r="N326" s="4308"/>
      <c r="O326" s="4309"/>
      <c r="P326" s="4307"/>
      <c r="Q326" s="5135" t="s">
        <v>2142</v>
      </c>
      <c r="R326" s="4281"/>
      <c r="S326" s="4282"/>
      <c r="T326" s="4374"/>
      <c r="W326" s="4283"/>
      <c r="X326" s="7015" t="e">
        <f>INDEX(klasse_kapasitet[total_kap],MATCH("A",klasse_kapasitet[Klasse],0))</f>
        <v>#N/A</v>
      </c>
      <c r="Y326" s="7016"/>
      <c r="Z326" s="7016"/>
      <c r="AA326" s="7016"/>
      <c r="AB326" s="7016"/>
      <c r="AC326" s="7016"/>
      <c r="AD326" s="7016"/>
      <c r="AE326" s="7016"/>
      <c r="AF326" s="7016"/>
      <c r="AG326" s="7017"/>
      <c r="AH326" s="4302"/>
      <c r="AI326" s="4284"/>
      <c r="AJ326" s="4284"/>
      <c r="AK326" s="4285"/>
      <c r="AL326" s="7012" t="e">
        <f>INDEX(klasse_kapasitet[total_kap],MATCH("b",klasse_kapasitet[Klasse],0))</f>
        <v>#N/A</v>
      </c>
      <c r="AM326" s="7013"/>
      <c r="AN326" s="7013"/>
      <c r="AO326" s="7013"/>
      <c r="AP326" s="7014"/>
      <c r="AQ326" s="4286"/>
      <c r="AR326" s="4287"/>
      <c r="AS326" s="4288"/>
      <c r="AT326" s="7012" t="e">
        <f>INDEX(klasse_kapasitet[total_kap],MATCH("c",klasse_kapasitet[Klasse],0))</f>
        <v>#N/A</v>
      </c>
      <c r="AU326" s="7013"/>
      <c r="AV326" s="7013"/>
      <c r="AW326" s="7013"/>
      <c r="AX326" s="7014"/>
      <c r="AY326" s="4289"/>
      <c r="AZ326" s="4319"/>
      <c r="BA326" s="4290"/>
      <c r="BB326" s="7012" t="e">
        <f>INDEX(klasse_kapasitet[total_kap],MATCH("d",klasse_kapasitet[Klasse],0))</f>
        <v>#N/A</v>
      </c>
      <c r="BC326" s="7013"/>
      <c r="BD326" s="7013"/>
      <c r="BE326" s="7013"/>
      <c r="BF326" s="7014"/>
      <c r="BG326" s="4291"/>
      <c r="BH326" s="4320"/>
      <c r="BI326" s="4292"/>
      <c r="BJ326" s="7012" t="e">
        <f>INDEX(klasse_kapasitet[total_kap],MATCH("e1",klasse_kapasitet[Klasse],0))</f>
        <v>#N/A</v>
      </c>
      <c r="BK326" s="7013"/>
      <c r="BL326" s="7013"/>
      <c r="BM326" s="7013"/>
      <c r="BN326" s="7014"/>
      <c r="BO326" s="4293"/>
      <c r="BP326" s="4320"/>
      <c r="BQ326" s="4294"/>
      <c r="BR326" s="7012" t="e">
        <f>INDEX(klasse_kapasitet[total_kap],MATCH("e2",klasse_kapasitet[Klasse],0))</f>
        <v>#N/A</v>
      </c>
      <c r="BS326" s="7013"/>
      <c r="BT326" s="7013"/>
      <c r="BU326" s="7013"/>
      <c r="BV326" s="7014"/>
      <c r="BW326" s="4295"/>
      <c r="BX326" s="4320"/>
      <c r="BY326" s="4296"/>
      <c r="BZ326" s="7012" t="e">
        <f>INDEX(klasse_kapasitet[total_kap],MATCH("f",klasse_kapasitet[Klasse],0))</f>
        <v>#N/A</v>
      </c>
      <c r="CA326" s="7013"/>
      <c r="CB326" s="7013"/>
      <c r="CC326" s="7013"/>
      <c r="CD326" s="7014"/>
      <c r="CE326" s="4297"/>
      <c r="CF326" s="4320"/>
      <c r="CG326" s="4298"/>
      <c r="CH326" s="7012" t="e">
        <f>INDEX(klasse_kapasitet[total_kap],MATCH("g",klasse_kapasitet[Klasse],0))</f>
        <v>#N/A</v>
      </c>
      <c r="CI326" s="7013"/>
      <c r="CJ326" s="7013"/>
      <c r="CK326" s="7013"/>
      <c r="CL326" s="7014"/>
      <c r="CM326" s="4299"/>
    </row>
    <row r="327" spans="1:91" s="8" customFormat="1" ht="15" customHeight="1" thickBot="1" x14ac:dyDescent="0.25">
      <c r="A327" s="4203"/>
      <c r="B327" s="4203"/>
      <c r="C327" s="4203"/>
      <c r="D327" s="4203"/>
      <c r="E327" s="4203"/>
      <c r="F327" s="4203"/>
      <c r="I327" s="5136"/>
      <c r="J327" s="10"/>
      <c r="K327" s="4271"/>
      <c r="L327" s="4272"/>
      <c r="M327" s="4272"/>
      <c r="N327" s="4272"/>
      <c r="O327" s="4273"/>
      <c r="P327" s="4274"/>
      <c r="Q327" s="4274"/>
      <c r="R327" s="4275"/>
      <c r="S327" s="2798"/>
      <c r="T327" s="4373"/>
      <c r="W327" s="3265"/>
      <c r="X327" s="3266"/>
      <c r="Y327" s="3266"/>
      <c r="Z327" s="4303"/>
      <c r="AA327" s="4304"/>
      <c r="AB327" s="4305"/>
      <c r="AC327" s="4306"/>
      <c r="AD327" s="4306"/>
      <c r="AE327" s="4306"/>
      <c r="AF327" s="4306"/>
      <c r="AG327" s="4306"/>
      <c r="AH327" s="3267"/>
      <c r="AI327" s="2587"/>
      <c r="AJ327" s="2587"/>
      <c r="AK327" s="3270"/>
      <c r="AL327" s="3271"/>
      <c r="AM327" s="4314"/>
      <c r="AN327" s="4315"/>
      <c r="AO327" s="4316"/>
      <c r="AP327" s="4317"/>
      <c r="AQ327" s="3272"/>
      <c r="AR327" s="181"/>
      <c r="AS327" s="3276"/>
      <c r="AT327" s="3277"/>
      <c r="AU327" s="4341"/>
      <c r="AV327" s="4342"/>
      <c r="AW327" s="4343"/>
      <c r="AX327" s="4344"/>
      <c r="AY327" s="3278"/>
      <c r="AZ327" s="4318"/>
      <c r="BA327" s="2818"/>
      <c r="BB327" s="2819"/>
      <c r="BC327" s="4337"/>
      <c r="BD327" s="4338"/>
      <c r="BE327" s="4339"/>
      <c r="BF327" s="4340"/>
      <c r="BG327" s="2820"/>
      <c r="BH327" s="68"/>
      <c r="BI327" s="2824"/>
      <c r="BJ327" s="2825"/>
      <c r="BK327" s="4333"/>
      <c r="BL327" s="4334"/>
      <c r="BM327" s="4335"/>
      <c r="BN327" s="4336"/>
      <c r="BO327" s="2826"/>
      <c r="BP327" s="68"/>
      <c r="BQ327" s="3282"/>
      <c r="BR327" s="3283"/>
      <c r="BS327" s="4329"/>
      <c r="BT327" s="4330"/>
      <c r="BU327" s="4331"/>
      <c r="BV327" s="4332"/>
      <c r="BW327" s="3284"/>
      <c r="BX327" s="68"/>
      <c r="BY327" s="3288"/>
      <c r="BZ327" s="3289"/>
      <c r="CA327" s="4325"/>
      <c r="CB327" s="4326"/>
      <c r="CC327" s="4327"/>
      <c r="CD327" s="4328"/>
      <c r="CE327" s="3290"/>
      <c r="CF327" s="68"/>
      <c r="CG327" s="3294"/>
      <c r="CH327" s="3295"/>
      <c r="CI327" s="4321"/>
      <c r="CJ327" s="4322"/>
      <c r="CK327" s="4323"/>
      <c r="CL327" s="4324"/>
      <c r="CM327" s="3296"/>
    </row>
    <row r="328" spans="1:91" ht="24.95" customHeight="1" thickBot="1" x14ac:dyDescent="0.3">
      <c r="T328" s="4374"/>
    </row>
    <row r="329" spans="1:91" s="8" customFormat="1" ht="9.9499999999999993" customHeight="1" x14ac:dyDescent="0.2">
      <c r="A329" s="4203"/>
      <c r="B329" s="4203"/>
      <c r="C329" s="4203"/>
      <c r="D329" s="4203"/>
      <c r="E329" s="4203"/>
      <c r="F329" s="4203"/>
      <c r="I329" s="3317"/>
      <c r="J329" s="2720"/>
      <c r="K329" s="3317"/>
      <c r="L329" s="3317"/>
      <c r="M329" s="3317"/>
      <c r="N329" s="3317"/>
      <c r="O329" s="4218"/>
      <c r="P329" s="3317"/>
      <c r="Q329" s="3665"/>
      <c r="R329" s="3317"/>
      <c r="S329" s="2582"/>
      <c r="T329" s="4374"/>
      <c r="W329" s="6987" t="str">
        <f>_Calcs_Klasse!$AI$89</f>
        <v>Klasse A</v>
      </c>
      <c r="X329" s="6988"/>
      <c r="Y329" s="6988"/>
      <c r="Z329" s="6988"/>
      <c r="AA329" s="6988"/>
      <c r="AB329" s="6988"/>
      <c r="AC329" s="6988"/>
      <c r="AD329" s="6988"/>
      <c r="AE329" s="6988"/>
      <c r="AF329" s="6988"/>
      <c r="AG329" s="6988"/>
      <c r="AH329" s="6989"/>
      <c r="AI329" s="2587"/>
      <c r="AJ329" s="2587"/>
      <c r="AK329" s="6941" t="str">
        <f>_Calcs_Klasse!$AJ$89</f>
        <v>Klasse B</v>
      </c>
      <c r="AL329" s="6942"/>
      <c r="AM329" s="6942"/>
      <c r="AN329" s="6942"/>
      <c r="AO329" s="6942"/>
      <c r="AP329" s="6942"/>
      <c r="AQ329" s="6943"/>
      <c r="AR329" s="181"/>
      <c r="AS329" s="6841" t="str">
        <f>_Calcs_Klasse!$AI$90</f>
        <v>Klasse C</v>
      </c>
      <c r="AT329" s="6842"/>
      <c r="AU329" s="6842"/>
      <c r="AV329" s="6842"/>
      <c r="AW329" s="6842"/>
      <c r="AX329" s="6842"/>
      <c r="AY329" s="6843"/>
      <c r="AZ329" s="2797"/>
      <c r="BA329" s="6850" t="str">
        <f>_Calcs_Klasse!$AI$91</f>
        <v>Klasse D</v>
      </c>
      <c r="BB329" s="6851"/>
      <c r="BC329" s="6851"/>
      <c r="BD329" s="6851"/>
      <c r="BE329" s="6851"/>
      <c r="BF329" s="6851"/>
      <c r="BG329" s="6852"/>
      <c r="BI329" s="6911" t="str">
        <f>_Calcs_Klasse!$AI$92</f>
        <v>Klasse E1</v>
      </c>
      <c r="BJ329" s="6912"/>
      <c r="BK329" s="6912"/>
      <c r="BL329" s="6912"/>
      <c r="BM329" s="6912"/>
      <c r="BN329" s="6912"/>
      <c r="BO329" s="6913"/>
      <c r="BQ329" s="6899" t="str">
        <f>_Calcs_Klasse!$AJ$92</f>
        <v>Klasse E2</v>
      </c>
      <c r="BR329" s="6900"/>
      <c r="BS329" s="6900"/>
      <c r="BT329" s="6900"/>
      <c r="BU329" s="6900"/>
      <c r="BV329" s="6900"/>
      <c r="BW329" s="6901"/>
      <c r="BY329" s="6929" t="str">
        <f>_Calcs_Klasse!$AI$93</f>
        <v>Klasse F</v>
      </c>
      <c r="BZ329" s="6930"/>
      <c r="CA329" s="6930"/>
      <c r="CB329" s="6930"/>
      <c r="CC329" s="6930"/>
      <c r="CD329" s="6930"/>
      <c r="CE329" s="6931"/>
      <c r="CG329" s="6878" t="str">
        <f>_Calcs_Klasse!$AI$94</f>
        <v>Klasse G</v>
      </c>
      <c r="CH329" s="6879"/>
      <c r="CI329" s="6879"/>
      <c r="CJ329" s="6879"/>
      <c r="CK329" s="6879"/>
      <c r="CL329" s="6879"/>
      <c r="CM329" s="6880"/>
    </row>
    <row r="330" spans="1:91" s="8" customFormat="1" ht="20.100000000000001" customHeight="1" x14ac:dyDescent="0.2">
      <c r="A330" s="4203"/>
      <c r="B330" s="4203"/>
      <c r="C330" s="4203"/>
      <c r="D330" s="4203"/>
      <c r="E330" s="4203"/>
      <c r="F330" s="4203"/>
      <c r="I330" s="3317"/>
      <c r="J330" s="2720"/>
      <c r="K330" s="3317"/>
      <c r="L330" s="3317"/>
      <c r="M330" s="3317"/>
      <c r="N330" s="3317"/>
      <c r="O330" s="4218"/>
      <c r="P330" s="3317"/>
      <c r="Q330" s="3665"/>
      <c r="R330" s="3317"/>
      <c r="S330" s="2582"/>
      <c r="T330" s="4374"/>
      <c r="W330" s="6990"/>
      <c r="X330" s="6991"/>
      <c r="Y330" s="6991"/>
      <c r="Z330" s="6991"/>
      <c r="AA330" s="6991"/>
      <c r="AB330" s="6991"/>
      <c r="AC330" s="6991"/>
      <c r="AD330" s="6991"/>
      <c r="AE330" s="6991"/>
      <c r="AF330" s="6991"/>
      <c r="AG330" s="6991"/>
      <c r="AH330" s="6992"/>
      <c r="AI330" s="2587"/>
      <c r="AJ330" s="2587"/>
      <c r="AK330" s="6944"/>
      <c r="AL330" s="6945"/>
      <c r="AM330" s="6945"/>
      <c r="AN330" s="6945"/>
      <c r="AO330" s="6945"/>
      <c r="AP330" s="6945"/>
      <c r="AQ330" s="6946"/>
      <c r="AR330" s="181"/>
      <c r="AS330" s="6844"/>
      <c r="AT330" s="6845"/>
      <c r="AU330" s="6845"/>
      <c r="AV330" s="6845"/>
      <c r="AW330" s="6845"/>
      <c r="AX330" s="6845"/>
      <c r="AY330" s="6846"/>
      <c r="AZ330" s="2797"/>
      <c r="BA330" s="6853"/>
      <c r="BB330" s="6854"/>
      <c r="BC330" s="6854"/>
      <c r="BD330" s="6854"/>
      <c r="BE330" s="6854"/>
      <c r="BF330" s="6854"/>
      <c r="BG330" s="6855"/>
      <c r="BI330" s="6914"/>
      <c r="BJ330" s="6915"/>
      <c r="BK330" s="6915"/>
      <c r="BL330" s="6915"/>
      <c r="BM330" s="6915"/>
      <c r="BN330" s="6915"/>
      <c r="BO330" s="6916"/>
      <c r="BQ330" s="6902"/>
      <c r="BR330" s="6903"/>
      <c r="BS330" s="6903"/>
      <c r="BT330" s="6903"/>
      <c r="BU330" s="6903"/>
      <c r="BV330" s="6903"/>
      <c r="BW330" s="6904"/>
      <c r="BY330" s="6932"/>
      <c r="BZ330" s="6933"/>
      <c r="CA330" s="6933"/>
      <c r="CB330" s="6933"/>
      <c r="CC330" s="6933"/>
      <c r="CD330" s="6933"/>
      <c r="CE330" s="6934"/>
      <c r="CG330" s="6881"/>
      <c r="CH330" s="6882"/>
      <c r="CI330" s="6882"/>
      <c r="CJ330" s="6882"/>
      <c r="CK330" s="6882"/>
      <c r="CL330" s="6882"/>
      <c r="CM330" s="6883"/>
    </row>
    <row r="331" spans="1:91" s="8" customFormat="1" ht="9.9499999999999993" customHeight="1" thickBot="1" x14ac:dyDescent="0.25">
      <c r="A331" s="4203"/>
      <c r="B331" s="4203"/>
      <c r="C331" s="4203"/>
      <c r="D331" s="4203"/>
      <c r="E331" s="4203"/>
      <c r="F331" s="4203"/>
      <c r="I331" s="3317"/>
      <c r="J331" s="2720"/>
      <c r="K331" s="3317"/>
      <c r="L331" s="3317"/>
      <c r="M331" s="3317"/>
      <c r="N331" s="3317"/>
      <c r="O331" s="4218"/>
      <c r="P331" s="3317"/>
      <c r="Q331" s="3665"/>
      <c r="R331" s="3317"/>
      <c r="S331" s="2582"/>
      <c r="T331" s="4374"/>
      <c r="W331" s="6993"/>
      <c r="X331" s="6994"/>
      <c r="Y331" s="6994"/>
      <c r="Z331" s="6994"/>
      <c r="AA331" s="6994"/>
      <c r="AB331" s="6994"/>
      <c r="AC331" s="6994"/>
      <c r="AD331" s="6994"/>
      <c r="AE331" s="6994"/>
      <c r="AF331" s="6994"/>
      <c r="AG331" s="6994"/>
      <c r="AH331" s="6995"/>
      <c r="AI331" s="2587"/>
      <c r="AJ331" s="2587"/>
      <c r="AK331" s="6947"/>
      <c r="AL331" s="6948"/>
      <c r="AM331" s="6948"/>
      <c r="AN331" s="6948"/>
      <c r="AO331" s="6948"/>
      <c r="AP331" s="6948"/>
      <c r="AQ331" s="6949"/>
      <c r="AR331" s="181"/>
      <c r="AS331" s="6847"/>
      <c r="AT331" s="6848"/>
      <c r="AU331" s="6848"/>
      <c r="AV331" s="6848"/>
      <c r="AW331" s="6848"/>
      <c r="AX331" s="6848"/>
      <c r="AY331" s="6849"/>
      <c r="AZ331" s="2797"/>
      <c r="BA331" s="6856"/>
      <c r="BB331" s="6857"/>
      <c r="BC331" s="6857"/>
      <c r="BD331" s="6857"/>
      <c r="BE331" s="6857"/>
      <c r="BF331" s="6857"/>
      <c r="BG331" s="6858"/>
      <c r="BI331" s="6917"/>
      <c r="BJ331" s="6918"/>
      <c r="BK331" s="6918"/>
      <c r="BL331" s="6918"/>
      <c r="BM331" s="6918"/>
      <c r="BN331" s="6918"/>
      <c r="BO331" s="6919"/>
      <c r="BQ331" s="6905"/>
      <c r="BR331" s="6906"/>
      <c r="BS331" s="6906"/>
      <c r="BT331" s="6906"/>
      <c r="BU331" s="6906"/>
      <c r="BV331" s="6906"/>
      <c r="BW331" s="6907"/>
      <c r="BY331" s="6935"/>
      <c r="BZ331" s="6936"/>
      <c r="CA331" s="6936"/>
      <c r="CB331" s="6936"/>
      <c r="CC331" s="6936"/>
      <c r="CD331" s="6936"/>
      <c r="CE331" s="6937"/>
      <c r="CG331" s="6884"/>
      <c r="CH331" s="6885"/>
      <c r="CI331" s="6885"/>
      <c r="CJ331" s="6885"/>
      <c r="CK331" s="6885"/>
      <c r="CL331" s="6885"/>
      <c r="CM331" s="6886"/>
    </row>
    <row r="332" spans="1:91" ht="12.6" customHeight="1" thickBot="1" x14ac:dyDescent="0.3">
      <c r="T332" s="4374"/>
    </row>
    <row r="333" spans="1:91" s="8" customFormat="1" ht="9.9499999999999993" customHeight="1" x14ac:dyDescent="0.2">
      <c r="A333" s="4203"/>
      <c r="B333" s="4203"/>
      <c r="C333" s="4203"/>
      <c r="D333" s="4203"/>
      <c r="E333" s="4203"/>
      <c r="F333" s="4203"/>
      <c r="I333" s="3314"/>
      <c r="J333" s="181"/>
      <c r="K333" s="2785"/>
      <c r="L333" s="2786"/>
      <c r="M333" s="2786"/>
      <c r="N333" s="2786"/>
      <c r="O333" s="4215"/>
      <c r="P333" s="2786"/>
      <c r="Q333" s="3662"/>
      <c r="R333" s="3311"/>
      <c r="S333" s="2582"/>
      <c r="T333" s="4374"/>
      <c r="W333" s="6971" t="str">
        <f>_Calcs_Klasse!$AH$89</f>
        <v>Sikringsklasse I</v>
      </c>
      <c r="X333" s="6972"/>
      <c r="Y333" s="6972"/>
      <c r="Z333" s="6972"/>
      <c r="AA333" s="6972"/>
      <c r="AB333" s="6972"/>
      <c r="AC333" s="6972"/>
      <c r="AD333" s="6972"/>
      <c r="AE333" s="6972"/>
      <c r="AF333" s="6972"/>
      <c r="AG333" s="6972"/>
      <c r="AH333" s="6972"/>
      <c r="AI333" s="6972"/>
      <c r="AJ333" s="6972"/>
      <c r="AK333" s="6972"/>
      <c r="AL333" s="6972"/>
      <c r="AM333" s="6972"/>
      <c r="AN333" s="6972"/>
      <c r="AO333" s="6972"/>
      <c r="AP333" s="6972"/>
      <c r="AQ333" s="6973"/>
      <c r="AR333" s="181"/>
      <c r="AS333" s="6823" t="str">
        <f>_Calcs_Klasse!$AH$90</f>
        <v>Sikringsklasse II</v>
      </c>
      <c r="AT333" s="6824"/>
      <c r="AU333" s="6824"/>
      <c r="AV333" s="6824"/>
      <c r="AW333" s="6824"/>
      <c r="AX333" s="6824"/>
      <c r="AY333" s="6825"/>
      <c r="AZ333" s="2797"/>
      <c r="BA333" s="6832" t="str">
        <f>_Calcs_Klasse!$AH$91</f>
        <v>Sikringsklasse III</v>
      </c>
      <c r="BB333" s="6833"/>
      <c r="BC333" s="6833"/>
      <c r="BD333" s="6833"/>
      <c r="BE333" s="6833"/>
      <c r="BF333" s="6833"/>
      <c r="BG333" s="6834"/>
      <c r="BI333" s="6890" t="str">
        <f>_Calcs_Klasse!$AH$92</f>
        <v>Sikringsklasse IV</v>
      </c>
      <c r="BJ333" s="6891"/>
      <c r="BK333" s="6891"/>
      <c r="BL333" s="6891"/>
      <c r="BM333" s="6891"/>
      <c r="BN333" s="6891"/>
      <c r="BO333" s="6891"/>
      <c r="BP333" s="6891"/>
      <c r="BQ333" s="6891"/>
      <c r="BR333" s="6891"/>
      <c r="BS333" s="6891"/>
      <c r="BT333" s="6891"/>
      <c r="BU333" s="6891"/>
      <c r="BV333" s="6891"/>
      <c r="BW333" s="6892"/>
      <c r="BY333" s="6920" t="str">
        <f>_Calcs_Klasse!$AH$93</f>
        <v>Sikringsklasse V</v>
      </c>
      <c r="BZ333" s="6921"/>
      <c r="CA333" s="6921"/>
      <c r="CB333" s="6921"/>
      <c r="CC333" s="6921"/>
      <c r="CD333" s="6921"/>
      <c r="CE333" s="6922"/>
      <c r="CG333" s="6869" t="str">
        <f>_Calcs_Klasse!$AH$94</f>
        <v>Sikringsklasse VI</v>
      </c>
      <c r="CH333" s="6870"/>
      <c r="CI333" s="6870"/>
      <c r="CJ333" s="6870"/>
      <c r="CK333" s="6870"/>
      <c r="CL333" s="6870"/>
      <c r="CM333" s="6871"/>
    </row>
    <row r="334" spans="1:91" s="8" customFormat="1" ht="20.100000000000001" customHeight="1" x14ac:dyDescent="0.2">
      <c r="A334" s="4203"/>
      <c r="B334" s="4203"/>
      <c r="C334" s="4203"/>
      <c r="D334" s="4203"/>
      <c r="E334" s="4203"/>
      <c r="F334" s="4203"/>
      <c r="I334" s="3315"/>
      <c r="J334" s="181"/>
      <c r="K334" s="2787"/>
      <c r="L334" s="2788"/>
      <c r="M334" s="2788"/>
      <c r="N334" s="2788"/>
      <c r="O334" s="4216"/>
      <c r="P334" s="2788"/>
      <c r="Q334" s="3663"/>
      <c r="R334" s="3312"/>
      <c r="S334" s="2582"/>
      <c r="T334" s="4374"/>
      <c r="W334" s="6974"/>
      <c r="X334" s="6975"/>
      <c r="Y334" s="6975"/>
      <c r="Z334" s="6975"/>
      <c r="AA334" s="6975"/>
      <c r="AB334" s="6975"/>
      <c r="AC334" s="6975"/>
      <c r="AD334" s="6975"/>
      <c r="AE334" s="6975"/>
      <c r="AF334" s="6975"/>
      <c r="AG334" s="6975"/>
      <c r="AH334" s="6975"/>
      <c r="AI334" s="6975"/>
      <c r="AJ334" s="6975"/>
      <c r="AK334" s="6975"/>
      <c r="AL334" s="6975"/>
      <c r="AM334" s="6975"/>
      <c r="AN334" s="6975"/>
      <c r="AO334" s="6975"/>
      <c r="AP334" s="6975"/>
      <c r="AQ334" s="6976"/>
      <c r="AR334" s="181"/>
      <c r="AS334" s="6826"/>
      <c r="AT334" s="6827"/>
      <c r="AU334" s="6827"/>
      <c r="AV334" s="6827"/>
      <c r="AW334" s="6827"/>
      <c r="AX334" s="6827"/>
      <c r="AY334" s="6828"/>
      <c r="AZ334" s="2797"/>
      <c r="BA334" s="6835"/>
      <c r="BB334" s="6836"/>
      <c r="BC334" s="6836"/>
      <c r="BD334" s="6836"/>
      <c r="BE334" s="6836"/>
      <c r="BF334" s="6836"/>
      <c r="BG334" s="6837"/>
      <c r="BI334" s="6893"/>
      <c r="BJ334" s="6894"/>
      <c r="BK334" s="6894"/>
      <c r="BL334" s="6894"/>
      <c r="BM334" s="6894"/>
      <c r="BN334" s="6894"/>
      <c r="BO334" s="6894"/>
      <c r="BP334" s="6894"/>
      <c r="BQ334" s="6894"/>
      <c r="BR334" s="6894"/>
      <c r="BS334" s="6894"/>
      <c r="BT334" s="6894"/>
      <c r="BU334" s="6894"/>
      <c r="BV334" s="6894"/>
      <c r="BW334" s="6895"/>
      <c r="BY334" s="6923"/>
      <c r="BZ334" s="6924"/>
      <c r="CA334" s="6924"/>
      <c r="CB334" s="6924"/>
      <c r="CC334" s="6924"/>
      <c r="CD334" s="6924"/>
      <c r="CE334" s="6925"/>
      <c r="CG334" s="6872"/>
      <c r="CH334" s="6873"/>
      <c r="CI334" s="6873"/>
      <c r="CJ334" s="6873"/>
      <c r="CK334" s="6873"/>
      <c r="CL334" s="6873"/>
      <c r="CM334" s="6874"/>
    </row>
    <row r="335" spans="1:91" s="8" customFormat="1" ht="9.9499999999999993" customHeight="1" thickBot="1" x14ac:dyDescent="0.25">
      <c r="A335" s="4203"/>
      <c r="B335" s="4203"/>
      <c r="C335" s="4203"/>
      <c r="D335" s="4203"/>
      <c r="E335" s="4203"/>
      <c r="F335" s="4203"/>
      <c r="I335" s="3316"/>
      <c r="J335" s="181"/>
      <c r="K335" s="2789"/>
      <c r="L335" s="2790"/>
      <c r="M335" s="2790"/>
      <c r="N335" s="2790"/>
      <c r="O335" s="4217"/>
      <c r="P335" s="2790"/>
      <c r="Q335" s="3664"/>
      <c r="R335" s="3313"/>
      <c r="S335" s="2582"/>
      <c r="T335" s="4374"/>
      <c r="W335" s="6977"/>
      <c r="X335" s="6978"/>
      <c r="Y335" s="6978"/>
      <c r="Z335" s="6978"/>
      <c r="AA335" s="6978"/>
      <c r="AB335" s="6978"/>
      <c r="AC335" s="6978"/>
      <c r="AD335" s="6978"/>
      <c r="AE335" s="6978"/>
      <c r="AF335" s="6978"/>
      <c r="AG335" s="6978"/>
      <c r="AH335" s="6978"/>
      <c r="AI335" s="6978"/>
      <c r="AJ335" s="6978"/>
      <c r="AK335" s="6978"/>
      <c r="AL335" s="6978"/>
      <c r="AM335" s="6978"/>
      <c r="AN335" s="6978"/>
      <c r="AO335" s="6978"/>
      <c r="AP335" s="6978"/>
      <c r="AQ335" s="6979"/>
      <c r="AR335" s="181"/>
      <c r="AS335" s="6829"/>
      <c r="AT335" s="6830"/>
      <c r="AU335" s="6830"/>
      <c r="AV335" s="6830"/>
      <c r="AW335" s="6830"/>
      <c r="AX335" s="6830"/>
      <c r="AY335" s="6831"/>
      <c r="AZ335" s="2797"/>
      <c r="BA335" s="6838"/>
      <c r="BB335" s="6839"/>
      <c r="BC335" s="6839"/>
      <c r="BD335" s="6839"/>
      <c r="BE335" s="6839"/>
      <c r="BF335" s="6839"/>
      <c r="BG335" s="6840"/>
      <c r="BI335" s="6896"/>
      <c r="BJ335" s="6897"/>
      <c r="BK335" s="6897"/>
      <c r="BL335" s="6897"/>
      <c r="BM335" s="6897"/>
      <c r="BN335" s="6897"/>
      <c r="BO335" s="6897"/>
      <c r="BP335" s="6897"/>
      <c r="BQ335" s="6897"/>
      <c r="BR335" s="6897"/>
      <c r="BS335" s="6897"/>
      <c r="BT335" s="6897"/>
      <c r="BU335" s="6897"/>
      <c r="BV335" s="6897"/>
      <c r="BW335" s="6898"/>
      <c r="BY335" s="6926"/>
      <c r="BZ335" s="6927"/>
      <c r="CA335" s="6927"/>
      <c r="CB335" s="6927"/>
      <c r="CC335" s="6927"/>
      <c r="CD335" s="6927"/>
      <c r="CE335" s="6928"/>
      <c r="CG335" s="6875"/>
      <c r="CH335" s="6876"/>
      <c r="CI335" s="6876"/>
      <c r="CJ335" s="6876"/>
      <c r="CK335" s="6876"/>
      <c r="CL335" s="6876"/>
      <c r="CM335" s="6877"/>
    </row>
    <row r="336" spans="1:91" s="8" customFormat="1" ht="35.1" customHeight="1" x14ac:dyDescent="0.25">
      <c r="A336" s="4203"/>
      <c r="B336" s="4203"/>
      <c r="C336" s="4203"/>
      <c r="D336" s="4203"/>
      <c r="E336" s="4203"/>
      <c r="F336" s="4203"/>
      <c r="I336" s="13"/>
      <c r="J336" s="20"/>
      <c r="K336" s="14"/>
      <c r="L336" s="21"/>
      <c r="M336" s="21"/>
      <c r="N336" s="21"/>
      <c r="O336" s="13"/>
      <c r="P336" s="16"/>
      <c r="Q336" s="17"/>
      <c r="R336" s="16"/>
      <c r="S336" s="16"/>
      <c r="T336" s="2584"/>
      <c r="U336" s="181"/>
      <c r="V336" s="181"/>
      <c r="W336" s="2797"/>
      <c r="X336" s="2797"/>
      <c r="Y336" s="2797"/>
      <c r="Z336" s="2797"/>
      <c r="AA336" s="2797"/>
      <c r="AB336" s="2797"/>
      <c r="AC336" s="3305"/>
      <c r="AD336" s="3305"/>
      <c r="AE336" s="3305"/>
      <c r="AF336" s="3305"/>
      <c r="AG336" s="3305"/>
      <c r="AH336" s="2797"/>
      <c r="AI336" s="2797"/>
      <c r="AJ336" s="2797"/>
      <c r="AK336" s="2797"/>
      <c r="AL336" s="2797"/>
      <c r="AM336" s="2797"/>
      <c r="AN336" s="2797"/>
      <c r="AO336" s="2797"/>
      <c r="AP336" s="3305"/>
      <c r="AQ336" s="2797"/>
      <c r="AR336" s="181"/>
      <c r="AS336" s="2797"/>
      <c r="AT336" s="2797"/>
      <c r="AU336" s="2797"/>
      <c r="AV336" s="2797"/>
      <c r="AW336" s="2797"/>
      <c r="AX336" s="3305"/>
      <c r="AY336" s="2797"/>
      <c r="AZ336" s="2797"/>
      <c r="BA336" s="2797"/>
      <c r="BB336" s="2797"/>
      <c r="BC336" s="2797"/>
      <c r="BD336" s="2797"/>
      <c r="BE336" s="2797"/>
      <c r="BF336" s="3305"/>
      <c r="BG336" s="2797"/>
      <c r="BI336" s="2797"/>
      <c r="BJ336" s="2797"/>
      <c r="BK336" s="2797"/>
      <c r="BL336" s="2797"/>
      <c r="BM336" s="2797"/>
      <c r="BN336" s="3305"/>
      <c r="BO336" s="2797"/>
      <c r="BQ336" s="2797"/>
      <c r="BR336" s="2797"/>
      <c r="BS336" s="2797"/>
      <c r="BT336" s="2797"/>
      <c r="BU336" s="2797"/>
      <c r="BV336" s="3305"/>
      <c r="BW336" s="2797"/>
      <c r="BY336" s="2797"/>
      <c r="BZ336" s="2797"/>
      <c r="CA336" s="2797"/>
      <c r="CB336" s="2797"/>
      <c r="CC336" s="2797"/>
      <c r="CD336" s="3305"/>
      <c r="CE336" s="2797"/>
      <c r="CG336" s="2797"/>
      <c r="CH336" s="2797"/>
      <c r="CI336" s="2797"/>
      <c r="CJ336" s="2797"/>
      <c r="CK336" s="2797"/>
      <c r="CL336" s="3305"/>
      <c r="CM336" s="2797"/>
    </row>
    <row r="337" spans="9:91" ht="5.0999999999999996" customHeight="1" x14ac:dyDescent="0.25">
      <c r="I337" s="4111"/>
      <c r="J337" s="4111"/>
      <c r="K337" s="4115"/>
      <c r="L337" s="4115"/>
      <c r="M337" s="4115"/>
      <c r="N337" s="4115"/>
      <c r="O337" s="4113"/>
      <c r="P337" s="4112"/>
      <c r="Q337" s="4112"/>
      <c r="R337" s="4112"/>
      <c r="T337" s="4372"/>
      <c r="W337" s="4369"/>
      <c r="X337" s="4370"/>
      <c r="Y337" s="4370"/>
      <c r="Z337" s="4370"/>
      <c r="AA337" s="4370"/>
      <c r="AB337" s="4370"/>
      <c r="AC337" s="4371"/>
      <c r="AD337" s="4371"/>
      <c r="AE337" s="4371"/>
      <c r="AF337" s="4371"/>
      <c r="AG337" s="4371"/>
      <c r="AH337" s="4370"/>
      <c r="AI337" s="4370"/>
      <c r="AJ337" s="4370"/>
      <c r="AK337" s="4369"/>
      <c r="AL337" s="4370"/>
      <c r="AM337" s="4370"/>
      <c r="AN337" s="4370"/>
      <c r="AO337" s="4370"/>
      <c r="AP337" s="4371"/>
      <c r="AQ337" s="4370"/>
      <c r="AS337" s="4369"/>
      <c r="AT337" s="4370"/>
      <c r="AU337" s="4370"/>
      <c r="AV337" s="4370"/>
      <c r="AW337" s="4370"/>
      <c r="AX337" s="4371"/>
      <c r="AY337" s="4370"/>
      <c r="BA337" s="4369"/>
      <c r="BB337" s="4370"/>
      <c r="BC337" s="4370"/>
      <c r="BD337" s="4370"/>
      <c r="BE337" s="4370"/>
      <c r="BF337" s="4371"/>
      <c r="BG337" s="4370"/>
      <c r="BI337" s="4369"/>
      <c r="BJ337" s="4370"/>
      <c r="BK337" s="4370"/>
      <c r="BL337" s="4370"/>
      <c r="BM337" s="4370"/>
      <c r="BN337" s="4371"/>
      <c r="BO337" s="4370"/>
      <c r="BP337" s="4111"/>
      <c r="BQ337" s="4369"/>
      <c r="BR337" s="4370"/>
      <c r="BS337" s="4370"/>
      <c r="BT337" s="4370"/>
      <c r="BU337" s="4370"/>
      <c r="BV337" s="4371"/>
      <c r="BW337" s="4370"/>
      <c r="BY337" s="4369"/>
      <c r="BZ337" s="4370"/>
      <c r="CA337" s="4370"/>
      <c r="CB337" s="4370"/>
      <c r="CC337" s="4370"/>
      <c r="CD337" s="4371"/>
      <c r="CE337" s="4370"/>
      <c r="CG337" s="4369"/>
      <c r="CH337" s="4370"/>
      <c r="CI337" s="4370"/>
      <c r="CJ337" s="4370"/>
      <c r="CK337" s="4370"/>
      <c r="CL337" s="4371"/>
      <c r="CM337" s="4370"/>
    </row>
    <row r="338" spans="9:91" ht="3.75" customHeight="1" x14ac:dyDescent="0.25"/>
    <row r="339" spans="9:91" ht="12" customHeight="1" x14ac:dyDescent="0.25">
      <c r="I339" s="4111"/>
      <c r="J339" s="4111"/>
      <c r="K339" s="4115"/>
      <c r="L339" s="4115"/>
      <c r="M339" s="4115"/>
      <c r="N339" s="4115"/>
      <c r="O339" s="4113"/>
      <c r="P339" s="4112"/>
      <c r="Q339" s="4112"/>
      <c r="R339" s="4112"/>
      <c r="T339" s="4372"/>
      <c r="W339" s="4369"/>
      <c r="X339" s="4370"/>
      <c r="Y339" s="4370"/>
      <c r="Z339" s="4370"/>
      <c r="AA339" s="4370"/>
      <c r="AB339" s="4370"/>
      <c r="AC339" s="4371"/>
      <c r="AD339" s="4371"/>
      <c r="AE339" s="4371"/>
      <c r="AF339" s="4371"/>
      <c r="AG339" s="4371"/>
      <c r="AH339" s="4370"/>
      <c r="AI339" s="4370"/>
      <c r="AJ339" s="4370"/>
      <c r="AK339" s="4369"/>
      <c r="AL339" s="4370"/>
      <c r="AM339" s="4370"/>
      <c r="AN339" s="4370"/>
      <c r="AO339" s="4370"/>
      <c r="AP339" s="4371"/>
      <c r="AQ339" s="4370"/>
      <c r="AS339" s="4369"/>
      <c r="AT339" s="4370"/>
      <c r="AU339" s="4370"/>
      <c r="AV339" s="4370"/>
      <c r="AW339" s="4370"/>
      <c r="AX339" s="4371"/>
      <c r="AY339" s="4370"/>
      <c r="BA339" s="4369"/>
      <c r="BB339" s="4370"/>
      <c r="BC339" s="4370"/>
      <c r="BD339" s="4370"/>
      <c r="BE339" s="4370"/>
      <c r="BF339" s="4371"/>
      <c r="BG339" s="4370"/>
      <c r="BI339" s="4369"/>
      <c r="BJ339" s="4370"/>
      <c r="BK339" s="4370"/>
      <c r="BL339" s="4370"/>
      <c r="BM339" s="4370"/>
      <c r="BN339" s="4371"/>
      <c r="BO339" s="4370"/>
      <c r="BP339" s="4111"/>
      <c r="BQ339" s="4369"/>
      <c r="BR339" s="4370"/>
      <c r="BS339" s="4370"/>
      <c r="BT339" s="4370"/>
      <c r="BU339" s="4370"/>
      <c r="BV339" s="4371"/>
      <c r="BW339" s="4370"/>
      <c r="BY339" s="4369"/>
      <c r="BZ339" s="4370"/>
      <c r="CA339" s="4370"/>
      <c r="CB339" s="4370"/>
      <c r="CC339" s="4370"/>
      <c r="CD339" s="4371"/>
      <c r="CE339" s="4370"/>
      <c r="CG339" s="4369"/>
      <c r="CH339" s="4370"/>
      <c r="CI339" s="4370"/>
      <c r="CJ339" s="4370"/>
      <c r="CK339" s="4370"/>
      <c r="CL339" s="4371"/>
      <c r="CM339" s="4370"/>
    </row>
    <row r="340" spans="9:91" ht="50.1" customHeight="1" x14ac:dyDescent="0.25"/>
    <row r="341" spans="9:91" ht="24.95" customHeight="1" x14ac:dyDescent="0.25"/>
    <row r="342" spans="9:91" ht="24.95" customHeight="1" x14ac:dyDescent="0.25"/>
    <row r="343" spans="9:91" ht="24.95" customHeight="1" x14ac:dyDescent="0.25"/>
    <row r="344" spans="9:91" ht="24.95" customHeight="1" x14ac:dyDescent="0.25"/>
    <row r="345" spans="9:91" ht="24.95" customHeight="1" x14ac:dyDescent="0.25"/>
    <row r="346" spans="9:91" ht="24.95" customHeight="1" x14ac:dyDescent="0.25"/>
    <row r="347" spans="9:91" ht="24.95" customHeight="1" x14ac:dyDescent="0.25"/>
    <row r="348" spans="9:91" ht="24.95" customHeight="1" x14ac:dyDescent="0.25"/>
    <row r="349" spans="9:91" ht="24.95" customHeight="1" x14ac:dyDescent="0.25"/>
    <row r="350" spans="9:91" ht="24.95" customHeight="1" x14ac:dyDescent="0.25"/>
    <row r="351" spans="9:91" ht="24.95" customHeight="1" x14ac:dyDescent="0.25"/>
    <row r="352" spans="9:91" ht="24.95" customHeight="1" x14ac:dyDescent="0.25"/>
    <row r="353" ht="24.95" customHeight="1" x14ac:dyDescent="0.25"/>
    <row r="354" ht="24.95" customHeight="1" x14ac:dyDescent="0.25"/>
    <row r="355" ht="24.95" customHeight="1" x14ac:dyDescent="0.25"/>
    <row r="356" ht="24.95" customHeight="1" x14ac:dyDescent="0.25"/>
    <row r="357" ht="24.95" customHeight="1" x14ac:dyDescent="0.25"/>
    <row r="358" ht="24.95" customHeight="1" x14ac:dyDescent="0.25"/>
    <row r="359" ht="24.95" customHeight="1" x14ac:dyDescent="0.25"/>
    <row r="360" ht="24.95" customHeight="1" x14ac:dyDescent="0.25"/>
    <row r="361" ht="24.95" customHeight="1" x14ac:dyDescent="0.25"/>
    <row r="362" ht="24.95" customHeight="1" x14ac:dyDescent="0.25"/>
  </sheetData>
  <mergeCells count="236">
    <mergeCell ref="BZ326:CD326"/>
    <mergeCell ref="CH326:CL326"/>
    <mergeCell ref="X63:AG63"/>
    <mergeCell ref="AL63:AP63"/>
    <mergeCell ref="AT63:AX63"/>
    <mergeCell ref="BB63:BF63"/>
    <mergeCell ref="BJ63:BN63"/>
    <mergeCell ref="BR63:BV63"/>
    <mergeCell ref="BZ63:CD63"/>
    <mergeCell ref="CH63:CL63"/>
    <mergeCell ref="X70:Y70"/>
    <mergeCell ref="X326:AG326"/>
    <mergeCell ref="AL326:AP326"/>
    <mergeCell ref="AT326:AX326"/>
    <mergeCell ref="BB326:BF326"/>
    <mergeCell ref="BJ326:BN326"/>
    <mergeCell ref="BR326:BV326"/>
    <mergeCell ref="CH152:CH153"/>
    <mergeCell ref="CL152:CL153"/>
    <mergeCell ref="BZ152:BZ153"/>
    <mergeCell ref="CD152:CD153"/>
    <mergeCell ref="AC213:AG213"/>
    <mergeCell ref="AC202:AG202"/>
    <mergeCell ref="X202:Y202"/>
    <mergeCell ref="W333:AQ335"/>
    <mergeCell ref="AS333:AY335"/>
    <mergeCell ref="BA333:BG335"/>
    <mergeCell ref="BI333:BW335"/>
    <mergeCell ref="BY333:CE335"/>
    <mergeCell ref="CG333:CM335"/>
    <mergeCell ref="W329:AH331"/>
    <mergeCell ref="AK329:AQ331"/>
    <mergeCell ref="AS329:AY331"/>
    <mergeCell ref="BA329:BG331"/>
    <mergeCell ref="BI329:BO331"/>
    <mergeCell ref="BQ329:BW331"/>
    <mergeCell ref="BY329:CE331"/>
    <mergeCell ref="CG329:CM331"/>
    <mergeCell ref="BN152:BN153"/>
    <mergeCell ref="BR152:BR153"/>
    <mergeCell ref="BV152:BV153"/>
    <mergeCell ref="AT152:AT153"/>
    <mergeCell ref="AX152:AX153"/>
    <mergeCell ref="BB152:BB153"/>
    <mergeCell ref="BF152:BF153"/>
    <mergeCell ref="BJ152:BJ153"/>
    <mergeCell ref="X157:Y157"/>
    <mergeCell ref="L316:M317"/>
    <mergeCell ref="AC319:AG319"/>
    <mergeCell ref="AC316:AG316"/>
    <mergeCell ref="AC239:AG239"/>
    <mergeCell ref="AC237:AG237"/>
    <mergeCell ref="X300:Y300"/>
    <mergeCell ref="AC300:AG300"/>
    <mergeCell ref="AC206:AG206"/>
    <mergeCell ref="L319:M320"/>
    <mergeCell ref="X319:Y319"/>
    <mergeCell ref="X213:Y213"/>
    <mergeCell ref="X316:Y316"/>
    <mergeCell ref="X312:Y312"/>
    <mergeCell ref="AC312:AG312"/>
    <mergeCell ref="L251:Q252"/>
    <mergeCell ref="L268:M268"/>
    <mergeCell ref="X268:Y268"/>
    <mergeCell ref="AC268:AG268"/>
    <mergeCell ref="L258:Q259"/>
    <mergeCell ref="I19:I22"/>
    <mergeCell ref="V24:AC24"/>
    <mergeCell ref="V26:AC26"/>
    <mergeCell ref="W56:AH58"/>
    <mergeCell ref="I32:I35"/>
    <mergeCell ref="Z34:AC34"/>
    <mergeCell ref="Z40:AC40"/>
    <mergeCell ref="Z46:AC46"/>
    <mergeCell ref="AC171:AG171"/>
    <mergeCell ref="AC169:AG169"/>
    <mergeCell ref="AC165:AG165"/>
    <mergeCell ref="AC152:AG153"/>
    <mergeCell ref="Z32:AC32"/>
    <mergeCell ref="Z38:AC38"/>
    <mergeCell ref="Z44:AC44"/>
    <mergeCell ref="I82:I85"/>
    <mergeCell ref="I126:I128"/>
    <mergeCell ref="I149:I152"/>
    <mergeCell ref="L18:AE19"/>
    <mergeCell ref="AC136:AG136"/>
    <mergeCell ref="AC92:AG92"/>
    <mergeCell ref="AC85:AG85"/>
    <mergeCell ref="AC70:AG70"/>
    <mergeCell ref="L152:M153"/>
    <mergeCell ref="L13:AE13"/>
    <mergeCell ref="AC248:AG248"/>
    <mergeCell ref="X248:Y248"/>
    <mergeCell ref="X101:Y101"/>
    <mergeCell ref="AC101:AG101"/>
    <mergeCell ref="X107:Y107"/>
    <mergeCell ref="AC107:AG107"/>
    <mergeCell ref="W68:Z68"/>
    <mergeCell ref="AB68:AH68"/>
    <mergeCell ref="AC105:AG105"/>
    <mergeCell ref="X105:Y105"/>
    <mergeCell ref="AC184:AG184"/>
    <mergeCell ref="AC182:AG182"/>
    <mergeCell ref="AC178:AG178"/>
    <mergeCell ref="X92:Y92"/>
    <mergeCell ref="X182:Y182"/>
    <mergeCell ref="X178:Y178"/>
    <mergeCell ref="AC233:AG233"/>
    <mergeCell ref="W51:AQ53"/>
    <mergeCell ref="X226:Y226"/>
    <mergeCell ref="V22:AC22"/>
    <mergeCell ref="AL152:AL153"/>
    <mergeCell ref="AP152:AP153"/>
    <mergeCell ref="AP193:AP194"/>
    <mergeCell ref="CL193:CL194"/>
    <mergeCell ref="CH193:CH194"/>
    <mergeCell ref="AL193:AL194"/>
    <mergeCell ref="CD193:CD194"/>
    <mergeCell ref="BZ193:BZ194"/>
    <mergeCell ref="BV193:BV194"/>
    <mergeCell ref="BR193:BR194"/>
    <mergeCell ref="BN193:BN194"/>
    <mergeCell ref="BJ193:BJ194"/>
    <mergeCell ref="BF193:BF194"/>
    <mergeCell ref="BB193:BB194"/>
    <mergeCell ref="AX193:AX194"/>
    <mergeCell ref="AT193:AT194"/>
    <mergeCell ref="AK56:AQ58"/>
    <mergeCell ref="AK68:AM68"/>
    <mergeCell ref="AO68:AQ68"/>
    <mergeCell ref="L273:Q274"/>
    <mergeCell ref="X233:Y233"/>
    <mergeCell ref="AC193:AG194"/>
    <mergeCell ref="X217:Y217"/>
    <mergeCell ref="X237:Y237"/>
    <mergeCell ref="I309:I315"/>
    <mergeCell ref="AC277:AG277"/>
    <mergeCell ref="X277:Y277"/>
    <mergeCell ref="L193:M194"/>
    <mergeCell ref="O193:O194"/>
    <mergeCell ref="L209:Q210"/>
    <mergeCell ref="L222:Q223"/>
    <mergeCell ref="L229:Q230"/>
    <mergeCell ref="L308:Q309"/>
    <mergeCell ref="X193:Y194"/>
    <mergeCell ref="L296:Q297"/>
    <mergeCell ref="X219:Y219"/>
    <mergeCell ref="X239:Y239"/>
    <mergeCell ref="AC226:AG226"/>
    <mergeCell ref="AC219:AG219"/>
    <mergeCell ref="AC217:AG217"/>
    <mergeCell ref="CG51:CM53"/>
    <mergeCell ref="CG56:CM58"/>
    <mergeCell ref="CG68:CI68"/>
    <mergeCell ref="CK68:CM68"/>
    <mergeCell ref="BI51:BW53"/>
    <mergeCell ref="BQ56:BW58"/>
    <mergeCell ref="BQ68:BS68"/>
    <mergeCell ref="BU68:BW68"/>
    <mergeCell ref="BI56:BO58"/>
    <mergeCell ref="BI68:BK68"/>
    <mergeCell ref="BM68:BO68"/>
    <mergeCell ref="BY51:CE53"/>
    <mergeCell ref="BY56:CE58"/>
    <mergeCell ref="BY68:CA68"/>
    <mergeCell ref="CC68:CE68"/>
    <mergeCell ref="AS51:AY53"/>
    <mergeCell ref="BA51:BG53"/>
    <mergeCell ref="AS56:AY58"/>
    <mergeCell ref="BA56:BG58"/>
    <mergeCell ref="AC157:AG157"/>
    <mergeCell ref="I190:I193"/>
    <mergeCell ref="X184:Y184"/>
    <mergeCell ref="AS68:AU68"/>
    <mergeCell ref="AW68:AY68"/>
    <mergeCell ref="L125:Q126"/>
    <mergeCell ref="L189:Q190"/>
    <mergeCell ref="I73:I76"/>
    <mergeCell ref="AC76:AG76"/>
    <mergeCell ref="AC114:AG114"/>
    <mergeCell ref="AC118:AG118"/>
    <mergeCell ref="AC120:AG120"/>
    <mergeCell ref="AC129:AG129"/>
    <mergeCell ref="AC143:AG143"/>
    <mergeCell ref="X129:Y129"/>
    <mergeCell ref="X143:Y143"/>
    <mergeCell ref="L148:Q149"/>
    <mergeCell ref="L97:Q98"/>
    <mergeCell ref="BA68:BC68"/>
    <mergeCell ref="BE68:BG68"/>
    <mergeCell ref="I98:I101"/>
    <mergeCell ref="V32:X32"/>
    <mergeCell ref="L81:Q82"/>
    <mergeCell ref="L88:Q89"/>
    <mergeCell ref="X85:Y85"/>
    <mergeCell ref="L72:Q73"/>
    <mergeCell ref="X76:Y76"/>
    <mergeCell ref="X206:Y206"/>
    <mergeCell ref="L110:Q111"/>
    <mergeCell ref="X136:Y136"/>
    <mergeCell ref="L139:Q140"/>
    <mergeCell ref="X114:Y114"/>
    <mergeCell ref="X118:Y118"/>
    <mergeCell ref="X120:Y120"/>
    <mergeCell ref="L132:Q133"/>
    <mergeCell ref="V40:X40"/>
    <mergeCell ref="V34:X34"/>
    <mergeCell ref="V38:X38"/>
    <mergeCell ref="L174:Q175"/>
    <mergeCell ref="X152:Y153"/>
    <mergeCell ref="X165:Y165"/>
    <mergeCell ref="X169:Y169"/>
    <mergeCell ref="X171:Y171"/>
    <mergeCell ref="X161:Y161"/>
    <mergeCell ref="I297:I299"/>
    <mergeCell ref="I274:I276"/>
    <mergeCell ref="I245:I247"/>
    <mergeCell ref="O152:O153"/>
    <mergeCell ref="L120:M120"/>
    <mergeCell ref="L244:Q245"/>
    <mergeCell ref="AC161:AG161"/>
    <mergeCell ref="X198:Y198"/>
    <mergeCell ref="AC198:AG198"/>
    <mergeCell ref="I252:I254"/>
    <mergeCell ref="X255:Y255"/>
    <mergeCell ref="AC255:AG255"/>
    <mergeCell ref="X262:Y262"/>
    <mergeCell ref="AC262:AG262"/>
    <mergeCell ref="X266:Y266"/>
    <mergeCell ref="AC266:AG266"/>
    <mergeCell ref="L287:Q288"/>
    <mergeCell ref="X291:Y291"/>
    <mergeCell ref="AC291:AG291"/>
    <mergeCell ref="L280:Q281"/>
    <mergeCell ref="X284:Y284"/>
    <mergeCell ref="AC284:AG284"/>
  </mergeCells>
  <conditionalFormatting sqref="X249:Y249">
    <cfRule type="expression" dxfId="3532" priority="1464">
      <formula>X249&lt;&gt;""</formula>
    </cfRule>
  </conditionalFormatting>
  <conditionalFormatting sqref="X320:Y320">
    <cfRule type="expression" dxfId="3531" priority="1460">
      <formula>X320&lt;&gt;""</formula>
    </cfRule>
  </conditionalFormatting>
  <conditionalFormatting sqref="AE31 AE35 AE37">
    <cfRule type="containsText" dxfId="3530" priority="1415" operator="containsText" text="✓">
      <formula>NOT(ISERROR(SEARCH("✓",AE31)))</formula>
    </cfRule>
  </conditionalFormatting>
  <conditionalFormatting sqref="X144:Y144">
    <cfRule type="expression" dxfId="3529" priority="1404">
      <formula>X144&lt;&gt;""</formula>
    </cfRule>
  </conditionalFormatting>
  <conditionalFormatting sqref="X86:Y86">
    <cfRule type="expression" dxfId="3528" priority="1325">
      <formula>X86&lt;&gt;""</formula>
    </cfRule>
  </conditionalFormatting>
  <conditionalFormatting sqref="AV9:BH9">
    <cfRule type="colorScale" priority="7200">
      <colorScale>
        <cfvo type="min"/>
        <cfvo type="percentile" val="50"/>
        <cfvo type="max"/>
        <color rgb="FFF8696B"/>
        <color rgb="FFFFEB84"/>
        <color rgb="FF63BE7B"/>
      </colorScale>
    </cfRule>
  </conditionalFormatting>
  <conditionalFormatting sqref="V34">
    <cfRule type="expression" dxfId="3527" priority="1181">
      <formula>$V$34&lt;&gt;""</formula>
    </cfRule>
  </conditionalFormatting>
  <conditionalFormatting sqref="X77:Y77 X76">
    <cfRule type="expression" dxfId="3526" priority="1120">
      <formula>X76&lt;&gt;""</formula>
    </cfRule>
  </conditionalFormatting>
  <conditionalFormatting sqref="AE47:AE49">
    <cfRule type="containsText" dxfId="3525" priority="1082" operator="containsText" text="✓">
      <formula>NOT(ISERROR(SEARCH("✓",AE47)))</formula>
    </cfRule>
  </conditionalFormatting>
  <conditionalFormatting sqref="AE22">
    <cfRule type="containsText" dxfId="3524" priority="1076" operator="containsText" text="✓">
      <formula>NOT(ISERROR(SEARCH("✓",AE22)))</formula>
    </cfRule>
  </conditionalFormatting>
  <conditionalFormatting sqref="AE27">
    <cfRule type="containsText" dxfId="3523" priority="1073" operator="containsText" text="✓">
      <formula>NOT(ISERROR(SEARCH("✓",AE27)))</formula>
    </cfRule>
  </conditionalFormatting>
  <conditionalFormatting sqref="AE24">
    <cfRule type="containsText" dxfId="3522" priority="1067" operator="containsText" text="✓">
      <formula>NOT(ISERROR(SEARCH("✓",AE24)))</formula>
    </cfRule>
  </conditionalFormatting>
  <conditionalFormatting sqref="AE26">
    <cfRule type="containsText" dxfId="3521" priority="1066" operator="containsText" text="✓">
      <formula>NOT(ISERROR(SEARCH("✓",AE26)))</formula>
    </cfRule>
  </conditionalFormatting>
  <conditionalFormatting sqref="AE21">
    <cfRule type="containsText" dxfId="3520" priority="1056" operator="containsText" text="✓">
      <formula>NOT(ISERROR(SEARCH("✓",AE21)))</formula>
    </cfRule>
  </conditionalFormatting>
  <conditionalFormatting sqref="AE46">
    <cfRule type="containsText" dxfId="3519" priority="1045" operator="containsText" text="✓">
      <formula>NOT(ISERROR(SEARCH("✓",AE46)))</formula>
    </cfRule>
  </conditionalFormatting>
  <conditionalFormatting sqref="AE34">
    <cfRule type="containsText" dxfId="3518" priority="1047" operator="containsText" text="✓">
      <formula>NOT(ISERROR(SEARCH("✓",AE34)))</formula>
    </cfRule>
  </conditionalFormatting>
  <conditionalFormatting sqref="AE40">
    <cfRule type="containsText" dxfId="3517" priority="1046" operator="containsText" text="✓">
      <formula>NOT(ISERROR(SEARCH("✓",AE40)))</formula>
    </cfRule>
  </conditionalFormatting>
  <conditionalFormatting sqref="X93:Y93">
    <cfRule type="expression" dxfId="3516" priority="1018">
      <formula>X93&lt;&gt;""</formula>
    </cfRule>
  </conditionalFormatting>
  <conditionalFormatting sqref="V38 Y38">
    <cfRule type="expression" dxfId="3515" priority="8020">
      <formula>$V$40&lt;&gt;""</formula>
    </cfRule>
  </conditionalFormatting>
  <conditionalFormatting sqref="V32">
    <cfRule type="expression" dxfId="3514" priority="8023">
      <formula>$V$34&lt;&gt;""</formula>
    </cfRule>
  </conditionalFormatting>
  <conditionalFormatting sqref="Z34:AC34">
    <cfRule type="expression" dxfId="3513" priority="8029">
      <formula>$V$34&lt;&gt;""</formula>
    </cfRule>
  </conditionalFormatting>
  <conditionalFormatting sqref="Z40:AC40">
    <cfRule type="expression" dxfId="3512" priority="8030">
      <formula>$V$40&lt;&gt;""</formula>
    </cfRule>
  </conditionalFormatting>
  <conditionalFormatting sqref="Z38:AC38">
    <cfRule type="expression" dxfId="3511" priority="953">
      <formula>$V$40&lt;&gt;""</formula>
    </cfRule>
  </conditionalFormatting>
  <conditionalFormatting sqref="Z32:AC32">
    <cfRule type="expression" dxfId="3510" priority="952">
      <formula>$V$34&lt;&gt;""</formula>
    </cfRule>
  </conditionalFormatting>
  <conditionalFormatting sqref="V40:X40">
    <cfRule type="expression" dxfId="3509" priority="951">
      <formula>$V$40&lt;&gt;""</formula>
    </cfRule>
  </conditionalFormatting>
  <conditionalFormatting sqref="AC76:AG76">
    <cfRule type="expression" dxfId="3508" priority="947">
      <formula>X76&lt;&gt;""</formula>
    </cfRule>
  </conditionalFormatting>
  <conditionalFormatting sqref="BR76">
    <cfRule type="expression" dxfId="3507" priority="893">
      <formula>BR76&lt;&gt;""</formula>
    </cfRule>
  </conditionalFormatting>
  <conditionalFormatting sqref="AL152">
    <cfRule type="expression" dxfId="3506" priority="919">
      <formula>AL152&lt;&gt;""</formula>
    </cfRule>
  </conditionalFormatting>
  <conditionalFormatting sqref="AT152">
    <cfRule type="expression" dxfId="3505" priority="918">
      <formula>AT152&lt;&gt;""</formula>
    </cfRule>
  </conditionalFormatting>
  <conditionalFormatting sqref="X152">
    <cfRule type="expression" dxfId="3504" priority="931">
      <formula>X152&lt;&gt;""</formula>
    </cfRule>
  </conditionalFormatting>
  <conditionalFormatting sqref="BJ152">
    <cfRule type="expression" dxfId="3503" priority="912">
      <formula>BJ152&lt;&gt;""</formula>
    </cfRule>
  </conditionalFormatting>
  <conditionalFormatting sqref="BB152">
    <cfRule type="expression" dxfId="3502" priority="917">
      <formula>BB152&lt;&gt;""</formula>
    </cfRule>
  </conditionalFormatting>
  <conditionalFormatting sqref="BR152">
    <cfRule type="expression" dxfId="3501" priority="911">
      <formula>BR152&lt;&gt;""</formula>
    </cfRule>
  </conditionalFormatting>
  <conditionalFormatting sqref="BZ152">
    <cfRule type="expression" dxfId="3500" priority="910">
      <formula>BZ152&lt;&gt;""</formula>
    </cfRule>
  </conditionalFormatting>
  <conditionalFormatting sqref="CH152">
    <cfRule type="expression" dxfId="3499" priority="909">
      <formula>CH152&lt;&gt;""</formula>
    </cfRule>
  </conditionalFormatting>
  <conditionalFormatting sqref="X85">
    <cfRule type="expression" dxfId="3498" priority="882">
      <formula>X85&lt;&gt;""</formula>
    </cfRule>
  </conditionalFormatting>
  <conditionalFormatting sqref="AL76">
    <cfRule type="expression" dxfId="3497" priority="897">
      <formula>AL76&lt;&gt;""</formula>
    </cfRule>
  </conditionalFormatting>
  <conditionalFormatting sqref="AT76">
    <cfRule type="expression" dxfId="3496" priority="896">
      <formula>AT76&lt;&gt;""</formula>
    </cfRule>
  </conditionalFormatting>
  <conditionalFormatting sqref="BB76">
    <cfRule type="expression" dxfId="3495" priority="895">
      <formula>BB76&lt;&gt;""</formula>
    </cfRule>
  </conditionalFormatting>
  <conditionalFormatting sqref="BJ76">
    <cfRule type="expression" dxfId="3494" priority="894">
      <formula>BJ76&lt;&gt;""</formula>
    </cfRule>
  </conditionalFormatting>
  <conditionalFormatting sqref="BZ76">
    <cfRule type="expression" dxfId="3493" priority="892">
      <formula>BZ76&lt;&gt;""</formula>
    </cfRule>
  </conditionalFormatting>
  <conditionalFormatting sqref="AP76">
    <cfRule type="expression" dxfId="3492" priority="891">
      <formula>AL76&lt;&gt;""</formula>
    </cfRule>
  </conditionalFormatting>
  <conditionalFormatting sqref="CL76">
    <cfRule type="expression" dxfId="3491" priority="890">
      <formula>CH76&lt;&gt;""</formula>
    </cfRule>
  </conditionalFormatting>
  <conditionalFormatting sqref="CH76">
    <cfRule type="expression" dxfId="3490" priority="889">
      <formula>CH76&lt;&gt;""</formula>
    </cfRule>
  </conditionalFormatting>
  <conditionalFormatting sqref="CD76">
    <cfRule type="expression" dxfId="3489" priority="888">
      <formula>BZ76&lt;&gt;""</formula>
    </cfRule>
  </conditionalFormatting>
  <conditionalFormatting sqref="BV76">
    <cfRule type="expression" dxfId="3488" priority="887">
      <formula>BR76&lt;&gt;""</formula>
    </cfRule>
  </conditionalFormatting>
  <conditionalFormatting sqref="BN76">
    <cfRule type="expression" dxfId="3487" priority="886">
      <formula>BJ76&lt;&gt;""</formula>
    </cfRule>
  </conditionalFormatting>
  <conditionalFormatting sqref="BF76">
    <cfRule type="expression" dxfId="3486" priority="885">
      <formula>BB76&lt;&gt;""</formula>
    </cfRule>
  </conditionalFormatting>
  <conditionalFormatting sqref="AX76">
    <cfRule type="expression" dxfId="3485" priority="884">
      <formula>AT76&lt;&gt;""</formula>
    </cfRule>
  </conditionalFormatting>
  <conditionalFormatting sqref="AC85:AG85">
    <cfRule type="expression" dxfId="3484" priority="881">
      <formula>X85&lt;&gt;""</formula>
    </cfRule>
  </conditionalFormatting>
  <conditionalFormatting sqref="AL85">
    <cfRule type="expression" dxfId="3483" priority="880">
      <formula>AL85&lt;&gt;""</formula>
    </cfRule>
  </conditionalFormatting>
  <conditionalFormatting sqref="AT85">
    <cfRule type="expression" dxfId="3482" priority="879">
      <formula>AT85&lt;&gt;""</formula>
    </cfRule>
  </conditionalFormatting>
  <conditionalFormatting sqref="BB85">
    <cfRule type="expression" dxfId="3481" priority="878">
      <formula>BB85&lt;&gt;""</formula>
    </cfRule>
  </conditionalFormatting>
  <conditionalFormatting sqref="BJ85">
    <cfRule type="expression" dxfId="3480" priority="877">
      <formula>BJ85&lt;&gt;""</formula>
    </cfRule>
  </conditionalFormatting>
  <conditionalFormatting sqref="BR85">
    <cfRule type="expression" dxfId="3479" priority="876">
      <formula>BR85&lt;&gt;""</formula>
    </cfRule>
  </conditionalFormatting>
  <conditionalFormatting sqref="BZ85">
    <cfRule type="expression" dxfId="3478" priority="875">
      <formula>BZ85&lt;&gt;""</formula>
    </cfRule>
  </conditionalFormatting>
  <conditionalFormatting sqref="AP85">
    <cfRule type="expression" dxfId="3477" priority="874">
      <formula>AL85&lt;&gt;""</formula>
    </cfRule>
  </conditionalFormatting>
  <conditionalFormatting sqref="CL85">
    <cfRule type="expression" dxfId="3476" priority="873">
      <formula>CH85&lt;&gt;""</formula>
    </cfRule>
  </conditionalFormatting>
  <conditionalFormatting sqref="CH85">
    <cfRule type="expression" dxfId="3475" priority="872">
      <formula>CH85&lt;&gt;""</formula>
    </cfRule>
  </conditionalFormatting>
  <conditionalFormatting sqref="CD85">
    <cfRule type="expression" dxfId="3474" priority="871">
      <formula>BZ85&lt;&gt;""</formula>
    </cfRule>
  </conditionalFormatting>
  <conditionalFormatting sqref="BV85">
    <cfRule type="expression" dxfId="3473" priority="870">
      <formula>BR85&lt;&gt;""</formula>
    </cfRule>
  </conditionalFormatting>
  <conditionalFormatting sqref="BN85">
    <cfRule type="expression" dxfId="3472" priority="869">
      <formula>BJ85&lt;&gt;""</formula>
    </cfRule>
  </conditionalFormatting>
  <conditionalFormatting sqref="BF85">
    <cfRule type="expression" dxfId="3471" priority="868">
      <formula>BB85&lt;&gt;""</formula>
    </cfRule>
  </conditionalFormatting>
  <conditionalFormatting sqref="AX85">
    <cfRule type="expression" dxfId="3470" priority="867">
      <formula>AT85&lt;&gt;""</formula>
    </cfRule>
  </conditionalFormatting>
  <conditionalFormatting sqref="X92">
    <cfRule type="expression" dxfId="3469" priority="866">
      <formula>X92&lt;&gt;""</formula>
    </cfRule>
  </conditionalFormatting>
  <conditionalFormatting sqref="AC92:AG92">
    <cfRule type="expression" dxfId="3468" priority="865">
      <formula>X92&lt;&gt;""</formula>
    </cfRule>
  </conditionalFormatting>
  <conditionalFormatting sqref="AL92">
    <cfRule type="expression" dxfId="3467" priority="864">
      <formula>AL92&lt;&gt;""</formula>
    </cfRule>
  </conditionalFormatting>
  <conditionalFormatting sqref="AT92">
    <cfRule type="expression" dxfId="3466" priority="863">
      <formula>AT92&lt;&gt;""</formula>
    </cfRule>
  </conditionalFormatting>
  <conditionalFormatting sqref="BB92">
    <cfRule type="expression" dxfId="3465" priority="862">
      <formula>BB92&lt;&gt;""</formula>
    </cfRule>
  </conditionalFormatting>
  <conditionalFormatting sqref="BJ92">
    <cfRule type="expression" dxfId="3464" priority="861">
      <formula>BJ92&lt;&gt;""</formula>
    </cfRule>
  </conditionalFormatting>
  <conditionalFormatting sqref="BR92">
    <cfRule type="expression" dxfId="3463" priority="860">
      <formula>BR92&lt;&gt;""</formula>
    </cfRule>
  </conditionalFormatting>
  <conditionalFormatting sqref="BZ92">
    <cfRule type="expression" dxfId="3462" priority="859">
      <formula>BZ92&lt;&gt;""</formula>
    </cfRule>
  </conditionalFormatting>
  <conditionalFormatting sqref="AP92">
    <cfRule type="expression" dxfId="3461" priority="858">
      <formula>AL92&lt;&gt;""</formula>
    </cfRule>
  </conditionalFormatting>
  <conditionalFormatting sqref="CH92">
    <cfRule type="expression" dxfId="3460" priority="857">
      <formula>CH92&lt;&gt;""</formula>
    </cfRule>
  </conditionalFormatting>
  <conditionalFormatting sqref="CD92">
    <cfRule type="expression" dxfId="3459" priority="856">
      <formula>BZ92&lt;&gt;""</formula>
    </cfRule>
  </conditionalFormatting>
  <conditionalFormatting sqref="BV92">
    <cfRule type="expression" dxfId="3458" priority="855">
      <formula>BR92&lt;&gt;""</formula>
    </cfRule>
  </conditionalFormatting>
  <conditionalFormatting sqref="BN92">
    <cfRule type="expression" dxfId="3457" priority="854">
      <formula>BJ92&lt;&gt;""</formula>
    </cfRule>
  </conditionalFormatting>
  <conditionalFormatting sqref="BF92">
    <cfRule type="expression" dxfId="3456" priority="853">
      <formula>BB92&lt;&gt;""</formula>
    </cfRule>
  </conditionalFormatting>
  <conditionalFormatting sqref="AX92">
    <cfRule type="expression" dxfId="3455" priority="852">
      <formula>AT92&lt;&gt;""</formula>
    </cfRule>
  </conditionalFormatting>
  <conditionalFormatting sqref="X101">
    <cfRule type="expression" dxfId="3454" priority="851">
      <formula>X101&lt;&gt;""</formula>
    </cfRule>
  </conditionalFormatting>
  <conditionalFormatting sqref="AC101:AG101">
    <cfRule type="expression" dxfId="3453" priority="850">
      <formula>X101&lt;&gt;""</formula>
    </cfRule>
  </conditionalFormatting>
  <conditionalFormatting sqref="AL101">
    <cfRule type="expression" dxfId="3452" priority="849">
      <formula>AL101&lt;&gt;""</formula>
    </cfRule>
  </conditionalFormatting>
  <conditionalFormatting sqref="AT101">
    <cfRule type="expression" dxfId="3451" priority="848">
      <formula>AT101&lt;&gt;""</formula>
    </cfRule>
  </conditionalFormatting>
  <conditionalFormatting sqref="BB101">
    <cfRule type="expression" dxfId="3450" priority="847">
      <formula>BB101&lt;&gt;""</formula>
    </cfRule>
  </conditionalFormatting>
  <conditionalFormatting sqref="BJ101">
    <cfRule type="expression" dxfId="3449" priority="846">
      <formula>BJ101&lt;&gt;""</formula>
    </cfRule>
  </conditionalFormatting>
  <conditionalFormatting sqref="BR101">
    <cfRule type="expression" dxfId="3448" priority="845">
      <formula>BR101&lt;&gt;""</formula>
    </cfRule>
  </conditionalFormatting>
  <conditionalFormatting sqref="BZ101">
    <cfRule type="expression" dxfId="3447" priority="844">
      <formula>BZ101&lt;&gt;""</formula>
    </cfRule>
  </conditionalFormatting>
  <conditionalFormatting sqref="AP101">
    <cfRule type="expression" dxfId="3446" priority="843">
      <formula>AL101&lt;&gt;""</formula>
    </cfRule>
  </conditionalFormatting>
  <conditionalFormatting sqref="CL101">
    <cfRule type="expression" dxfId="3445" priority="842">
      <formula>CH101&lt;&gt;""</formula>
    </cfRule>
  </conditionalFormatting>
  <conditionalFormatting sqref="CH101">
    <cfRule type="expression" dxfId="3444" priority="841">
      <formula>CH101&lt;&gt;""</formula>
    </cfRule>
  </conditionalFormatting>
  <conditionalFormatting sqref="CD101">
    <cfRule type="expression" dxfId="3443" priority="840">
      <formula>BZ101&lt;&gt;""</formula>
    </cfRule>
  </conditionalFormatting>
  <conditionalFormatting sqref="BV101">
    <cfRule type="expression" dxfId="3442" priority="839">
      <formula>BR101&lt;&gt;""</formula>
    </cfRule>
  </conditionalFormatting>
  <conditionalFormatting sqref="BN101">
    <cfRule type="expression" dxfId="3441" priority="838">
      <formula>BJ101&lt;&gt;""</formula>
    </cfRule>
  </conditionalFormatting>
  <conditionalFormatting sqref="BF101">
    <cfRule type="expression" dxfId="3440" priority="837">
      <formula>BB101&lt;&gt;""</formula>
    </cfRule>
  </conditionalFormatting>
  <conditionalFormatting sqref="AX101">
    <cfRule type="expression" dxfId="3439" priority="836">
      <formula>AT101&lt;&gt;""</formula>
    </cfRule>
  </conditionalFormatting>
  <conditionalFormatting sqref="X107:Y107">
    <cfRule type="expression" dxfId="3438" priority="818">
      <formula>X105=""</formula>
    </cfRule>
  </conditionalFormatting>
  <conditionalFormatting sqref="X105">
    <cfRule type="expression" dxfId="3437" priority="816">
      <formula>X105&lt;&gt;""</formula>
    </cfRule>
  </conditionalFormatting>
  <conditionalFormatting sqref="AC105:AG105">
    <cfRule type="expression" dxfId="3436" priority="815">
      <formula>X105&lt;&gt;""</formula>
    </cfRule>
  </conditionalFormatting>
  <conditionalFormatting sqref="AL105">
    <cfRule type="expression" dxfId="3435" priority="814">
      <formula>AL105&lt;&gt;""</formula>
    </cfRule>
  </conditionalFormatting>
  <conditionalFormatting sqref="AT105">
    <cfRule type="expression" dxfId="3434" priority="813">
      <formula>AT105&lt;&gt;""</formula>
    </cfRule>
  </conditionalFormatting>
  <conditionalFormatting sqref="BB105">
    <cfRule type="expression" dxfId="3433" priority="812">
      <formula>BB105&lt;&gt;""</formula>
    </cfRule>
  </conditionalFormatting>
  <conditionalFormatting sqref="BJ105">
    <cfRule type="expression" dxfId="3432" priority="811">
      <formula>BJ105&lt;&gt;""</formula>
    </cfRule>
  </conditionalFormatting>
  <conditionalFormatting sqref="BR105">
    <cfRule type="expression" dxfId="3431" priority="810">
      <formula>BR105&lt;&gt;""</formula>
    </cfRule>
  </conditionalFormatting>
  <conditionalFormatting sqref="BZ105">
    <cfRule type="expression" dxfId="3430" priority="809">
      <formula>BZ105&lt;&gt;""</formula>
    </cfRule>
  </conditionalFormatting>
  <conditionalFormatting sqref="AP105">
    <cfRule type="expression" dxfId="3429" priority="808">
      <formula>AL105&lt;&gt;""</formula>
    </cfRule>
  </conditionalFormatting>
  <conditionalFormatting sqref="CL105">
    <cfRule type="expression" dxfId="3428" priority="807">
      <formula>CH105&lt;&gt;""</formula>
    </cfRule>
  </conditionalFormatting>
  <conditionalFormatting sqref="CH105">
    <cfRule type="expression" dxfId="3427" priority="806">
      <formula>CH105&lt;&gt;""</formula>
    </cfRule>
  </conditionalFormatting>
  <conditionalFormatting sqref="CD105">
    <cfRule type="expression" dxfId="3426" priority="805">
      <formula>BZ105&lt;&gt;""</formula>
    </cfRule>
  </conditionalFormatting>
  <conditionalFormatting sqref="BV105">
    <cfRule type="expression" dxfId="3425" priority="804">
      <formula>BR105&lt;&gt;""</formula>
    </cfRule>
  </conditionalFormatting>
  <conditionalFormatting sqref="BN105">
    <cfRule type="expression" dxfId="3424" priority="803">
      <formula>BJ105&lt;&gt;""</formula>
    </cfRule>
  </conditionalFormatting>
  <conditionalFormatting sqref="BF105">
    <cfRule type="expression" dxfId="3423" priority="802">
      <formula>BB105&lt;&gt;""</formula>
    </cfRule>
  </conditionalFormatting>
  <conditionalFormatting sqref="AX105">
    <cfRule type="expression" dxfId="3422" priority="801">
      <formula>AT105&lt;&gt;""</formula>
    </cfRule>
  </conditionalFormatting>
  <conditionalFormatting sqref="AL107">
    <cfRule type="expression" dxfId="3421" priority="800">
      <formula>AL105=""</formula>
    </cfRule>
  </conditionalFormatting>
  <conditionalFormatting sqref="AT107">
    <cfRule type="expression" dxfId="3420" priority="799">
      <formula>AT105=""</formula>
    </cfRule>
  </conditionalFormatting>
  <conditionalFormatting sqref="BB107">
    <cfRule type="expression" dxfId="3419" priority="798">
      <formula>BB105=""</formula>
    </cfRule>
  </conditionalFormatting>
  <conditionalFormatting sqref="BJ107">
    <cfRule type="expression" dxfId="3418" priority="797">
      <formula>BJ105=""</formula>
    </cfRule>
  </conditionalFormatting>
  <conditionalFormatting sqref="BR107">
    <cfRule type="expression" dxfId="3417" priority="796">
      <formula>BR105=""</formula>
    </cfRule>
  </conditionalFormatting>
  <conditionalFormatting sqref="BZ107">
    <cfRule type="expression" dxfId="3416" priority="795">
      <formula>BZ105=""</formula>
    </cfRule>
  </conditionalFormatting>
  <conditionalFormatting sqref="CH107">
    <cfRule type="expression" dxfId="3415" priority="794">
      <formula>CH105=""</formula>
    </cfRule>
  </conditionalFormatting>
  <conditionalFormatting sqref="CL107">
    <cfRule type="expression" dxfId="3414" priority="793">
      <formula>CH107&lt;&gt;""</formula>
    </cfRule>
  </conditionalFormatting>
  <conditionalFormatting sqref="CD107">
    <cfRule type="expression" dxfId="3413" priority="792">
      <formula>BZ107&lt;&gt;""</formula>
    </cfRule>
  </conditionalFormatting>
  <conditionalFormatting sqref="BV107">
    <cfRule type="expression" dxfId="3412" priority="791">
      <formula>BR107&lt;&gt;""</formula>
    </cfRule>
  </conditionalFormatting>
  <conditionalFormatting sqref="BN107">
    <cfRule type="expression" dxfId="3411" priority="790">
      <formula>BJ107&lt;&gt;""</formula>
    </cfRule>
  </conditionalFormatting>
  <conditionalFormatting sqref="BF107">
    <cfRule type="expression" dxfId="3410" priority="789">
      <formula>BB107&lt;&gt;""</formula>
    </cfRule>
  </conditionalFormatting>
  <conditionalFormatting sqref="AX107">
    <cfRule type="expression" dxfId="3409" priority="788">
      <formula>AT107&lt;&gt;""</formula>
    </cfRule>
  </conditionalFormatting>
  <conditionalFormatting sqref="AP107">
    <cfRule type="expression" dxfId="3408" priority="787">
      <formula>AL107&lt;&gt;""</formula>
    </cfRule>
  </conditionalFormatting>
  <conditionalFormatting sqref="AC107:AG107">
    <cfRule type="expression" dxfId="3407" priority="786">
      <formula>X107&lt;&gt;""</formula>
    </cfRule>
  </conditionalFormatting>
  <conditionalFormatting sqref="X114">
    <cfRule type="expression" dxfId="3406" priority="785">
      <formula>X114&lt;&gt;""</formula>
    </cfRule>
  </conditionalFormatting>
  <conditionalFormatting sqref="AC114:AG114">
    <cfRule type="expression" dxfId="3405" priority="784">
      <formula>X114&lt;&gt;""</formula>
    </cfRule>
  </conditionalFormatting>
  <conditionalFormatting sqref="AL114">
    <cfRule type="expression" dxfId="3404" priority="783">
      <formula>AL114&lt;&gt;""</formula>
    </cfRule>
  </conditionalFormatting>
  <conditionalFormatting sqref="AT114">
    <cfRule type="expression" dxfId="3403" priority="782">
      <formula>AT114&lt;&gt;""</formula>
    </cfRule>
  </conditionalFormatting>
  <conditionalFormatting sqref="BB114">
    <cfRule type="expression" dxfId="3402" priority="781">
      <formula>BB114&lt;&gt;""</formula>
    </cfRule>
  </conditionalFormatting>
  <conditionalFormatting sqref="BJ114">
    <cfRule type="expression" dxfId="3401" priority="780">
      <formula>BJ114&lt;&gt;""</formula>
    </cfRule>
  </conditionalFormatting>
  <conditionalFormatting sqref="BR114">
    <cfRule type="expression" dxfId="3400" priority="779">
      <formula>BR114&lt;&gt;""</formula>
    </cfRule>
  </conditionalFormatting>
  <conditionalFormatting sqref="BZ114">
    <cfRule type="expression" dxfId="3399" priority="778">
      <formula>BZ114&lt;&gt;""</formula>
    </cfRule>
  </conditionalFormatting>
  <conditionalFormatting sqref="AP114">
    <cfRule type="expression" dxfId="3398" priority="777">
      <formula>AL114&lt;&gt;""</formula>
    </cfRule>
  </conditionalFormatting>
  <conditionalFormatting sqref="CL114">
    <cfRule type="expression" dxfId="3397" priority="776">
      <formula>CH114&lt;&gt;""</formula>
    </cfRule>
  </conditionalFormatting>
  <conditionalFormatting sqref="CH114">
    <cfRule type="expression" dxfId="3396" priority="775">
      <formula>CH114&lt;&gt;""</formula>
    </cfRule>
  </conditionalFormatting>
  <conditionalFormatting sqref="CD114">
    <cfRule type="expression" dxfId="3395" priority="774">
      <formula>BZ114&lt;&gt;""</formula>
    </cfRule>
  </conditionalFormatting>
  <conditionalFormatting sqref="BV114">
    <cfRule type="expression" dxfId="3394" priority="773">
      <formula>BR114&lt;&gt;""</formula>
    </cfRule>
  </conditionalFormatting>
  <conditionalFormatting sqref="BN114">
    <cfRule type="expression" dxfId="3393" priority="772">
      <formula>BJ114&lt;&gt;""</formula>
    </cfRule>
  </conditionalFormatting>
  <conditionalFormatting sqref="BF114">
    <cfRule type="expression" dxfId="3392" priority="771">
      <formula>BB114&lt;&gt;""</formula>
    </cfRule>
  </conditionalFormatting>
  <conditionalFormatting sqref="AX114">
    <cfRule type="expression" dxfId="3391" priority="770">
      <formula>AT114&lt;&gt;""</formula>
    </cfRule>
  </conditionalFormatting>
  <conditionalFormatting sqref="X120:Y120">
    <cfRule type="expression" dxfId="3390" priority="769">
      <formula>X118=""</formula>
    </cfRule>
  </conditionalFormatting>
  <conditionalFormatting sqref="X118">
    <cfRule type="expression" dxfId="3389" priority="768">
      <formula>X118&lt;&gt;""</formula>
    </cfRule>
  </conditionalFormatting>
  <conditionalFormatting sqref="AC118:AG118">
    <cfRule type="expression" dxfId="3388" priority="767">
      <formula>X118&lt;&gt;""</formula>
    </cfRule>
  </conditionalFormatting>
  <conditionalFormatting sqref="AL118">
    <cfRule type="expression" dxfId="3387" priority="766">
      <formula>AL118&lt;&gt;""</formula>
    </cfRule>
  </conditionalFormatting>
  <conditionalFormatting sqref="AT118">
    <cfRule type="expression" dxfId="3386" priority="765">
      <formula>AT118&lt;&gt;""</formula>
    </cfRule>
  </conditionalFormatting>
  <conditionalFormatting sqref="BB118">
    <cfRule type="expression" dxfId="3385" priority="764">
      <formula>BB118&lt;&gt;""</formula>
    </cfRule>
  </conditionalFormatting>
  <conditionalFormatting sqref="BJ118">
    <cfRule type="expression" dxfId="3384" priority="763">
      <formula>BJ118&lt;&gt;""</formula>
    </cfRule>
  </conditionalFormatting>
  <conditionalFormatting sqref="BR118">
    <cfRule type="expression" dxfId="3383" priority="762">
      <formula>BR118&lt;&gt;""</formula>
    </cfRule>
  </conditionalFormatting>
  <conditionalFormatting sqref="BZ118">
    <cfRule type="expression" dxfId="3382" priority="761">
      <formula>BZ118&lt;&gt;""</formula>
    </cfRule>
  </conditionalFormatting>
  <conditionalFormatting sqref="AP118">
    <cfRule type="expression" dxfId="3381" priority="760">
      <formula>AL118&lt;&gt;""</formula>
    </cfRule>
  </conditionalFormatting>
  <conditionalFormatting sqref="CL118">
    <cfRule type="expression" dxfId="3380" priority="759">
      <formula>CH118&lt;&gt;""</formula>
    </cfRule>
  </conditionalFormatting>
  <conditionalFormatting sqref="CH118">
    <cfRule type="expression" dxfId="3379" priority="758">
      <formula>CH118&lt;&gt;""</formula>
    </cfRule>
  </conditionalFormatting>
  <conditionalFormatting sqref="CD118">
    <cfRule type="expression" dxfId="3378" priority="757">
      <formula>BZ118&lt;&gt;""</formula>
    </cfRule>
  </conditionalFormatting>
  <conditionalFormatting sqref="BV118">
    <cfRule type="expression" dxfId="3377" priority="756">
      <formula>BR118&lt;&gt;""</formula>
    </cfRule>
  </conditionalFormatting>
  <conditionalFormatting sqref="BN118">
    <cfRule type="expression" dxfId="3376" priority="755">
      <formula>BJ118&lt;&gt;""</formula>
    </cfRule>
  </conditionalFormatting>
  <conditionalFormatting sqref="BF118">
    <cfRule type="expression" dxfId="3375" priority="754">
      <formula>BB118&lt;&gt;""</formula>
    </cfRule>
  </conditionalFormatting>
  <conditionalFormatting sqref="AX118">
    <cfRule type="expression" dxfId="3374" priority="753">
      <formula>AT118&lt;&gt;""</formula>
    </cfRule>
  </conditionalFormatting>
  <conditionalFormatting sqref="AL120">
    <cfRule type="expression" dxfId="3373" priority="752">
      <formula>AL118=""</formula>
    </cfRule>
  </conditionalFormatting>
  <conditionalFormatting sqref="AT120">
    <cfRule type="expression" dxfId="3372" priority="751">
      <formula>AT118=""</formula>
    </cfRule>
  </conditionalFormatting>
  <conditionalFormatting sqref="BB120">
    <cfRule type="expression" dxfId="3371" priority="750">
      <formula>BB118=""</formula>
    </cfRule>
  </conditionalFormatting>
  <conditionalFormatting sqref="BJ120">
    <cfRule type="expression" dxfId="3370" priority="749">
      <formula>BJ118=""</formula>
    </cfRule>
  </conditionalFormatting>
  <conditionalFormatting sqref="BR120">
    <cfRule type="expression" dxfId="3369" priority="748">
      <formula>BR118=""</formula>
    </cfRule>
  </conditionalFormatting>
  <conditionalFormatting sqref="BZ120">
    <cfRule type="expression" dxfId="3368" priority="747">
      <formula>BZ118=""</formula>
    </cfRule>
  </conditionalFormatting>
  <conditionalFormatting sqref="CH120">
    <cfRule type="expression" dxfId="3367" priority="746">
      <formula>CH118=""</formula>
    </cfRule>
  </conditionalFormatting>
  <conditionalFormatting sqref="CL120">
    <cfRule type="expression" dxfId="3366" priority="745">
      <formula>CH120&lt;&gt;""</formula>
    </cfRule>
  </conditionalFormatting>
  <conditionalFormatting sqref="CD120">
    <cfRule type="expression" dxfId="3365" priority="744">
      <formula>BZ120&lt;&gt;""</formula>
    </cfRule>
  </conditionalFormatting>
  <conditionalFormatting sqref="BV120">
    <cfRule type="expression" dxfId="3364" priority="743">
      <formula>BR120&lt;&gt;""</formula>
    </cfRule>
  </conditionalFormatting>
  <conditionalFormatting sqref="BN120">
    <cfRule type="expression" dxfId="3363" priority="742">
      <formula>BJ120&lt;&gt;""</formula>
    </cfRule>
  </conditionalFormatting>
  <conditionalFormatting sqref="BF120">
    <cfRule type="expression" dxfId="3362" priority="741">
      <formula>BB120&lt;&gt;""</formula>
    </cfRule>
  </conditionalFormatting>
  <conditionalFormatting sqref="AX120">
    <cfRule type="expression" dxfId="3361" priority="740">
      <formula>AT120&lt;&gt;""</formula>
    </cfRule>
  </conditionalFormatting>
  <conditionalFormatting sqref="AP120">
    <cfRule type="expression" dxfId="3360" priority="739">
      <formula>AL120&lt;&gt;""</formula>
    </cfRule>
  </conditionalFormatting>
  <conditionalFormatting sqref="AC120:AG120">
    <cfRule type="expression" dxfId="3359" priority="738">
      <formula>X120&lt;&gt;""</formula>
    </cfRule>
  </conditionalFormatting>
  <conditionalFormatting sqref="X129">
    <cfRule type="expression" dxfId="3358" priority="737">
      <formula>X129&lt;&gt;""</formula>
    </cfRule>
  </conditionalFormatting>
  <conditionalFormatting sqref="AC129:AG129">
    <cfRule type="expression" dxfId="3357" priority="736">
      <formula>X129&lt;&gt;""</formula>
    </cfRule>
  </conditionalFormatting>
  <conditionalFormatting sqref="AL129">
    <cfRule type="expression" dxfId="3356" priority="735">
      <formula>AL129&lt;&gt;""</formula>
    </cfRule>
  </conditionalFormatting>
  <conditionalFormatting sqref="AT129">
    <cfRule type="expression" dxfId="3355" priority="734">
      <formula>AT129&lt;&gt;""</formula>
    </cfRule>
  </conditionalFormatting>
  <conditionalFormatting sqref="BB129">
    <cfRule type="expression" dxfId="3354" priority="733">
      <formula>BB129&lt;&gt;""</formula>
    </cfRule>
  </conditionalFormatting>
  <conditionalFormatting sqref="BJ129">
    <cfRule type="expression" dxfId="3353" priority="732">
      <formula>BJ129&lt;&gt;""</formula>
    </cfRule>
  </conditionalFormatting>
  <conditionalFormatting sqref="BR129">
    <cfRule type="expression" dxfId="3352" priority="731">
      <formula>BR129&lt;&gt;""</formula>
    </cfRule>
  </conditionalFormatting>
  <conditionalFormatting sqref="BZ129">
    <cfRule type="expression" dxfId="3351" priority="730">
      <formula>BZ129&lt;&gt;""</formula>
    </cfRule>
  </conditionalFormatting>
  <conditionalFormatting sqref="AP129">
    <cfRule type="expression" dxfId="3350" priority="729">
      <formula>AL129&lt;&gt;""</formula>
    </cfRule>
  </conditionalFormatting>
  <conditionalFormatting sqref="CL129">
    <cfRule type="expression" dxfId="3349" priority="728">
      <formula>CH129&lt;&gt;""</formula>
    </cfRule>
  </conditionalFormatting>
  <conditionalFormatting sqref="CH129">
    <cfRule type="expression" dxfId="3348" priority="727">
      <formula>CH129&lt;&gt;""</formula>
    </cfRule>
  </conditionalFormatting>
  <conditionalFormatting sqref="CD129">
    <cfRule type="expression" dxfId="3347" priority="726">
      <formula>BZ129&lt;&gt;""</formula>
    </cfRule>
  </conditionalFormatting>
  <conditionalFormatting sqref="BV129">
    <cfRule type="expression" dxfId="3346" priority="725">
      <formula>BR129&lt;&gt;""</formula>
    </cfRule>
  </conditionalFormatting>
  <conditionalFormatting sqref="BN129">
    <cfRule type="expression" dxfId="3345" priority="724">
      <formula>BJ129&lt;&gt;""</formula>
    </cfRule>
  </conditionalFormatting>
  <conditionalFormatting sqref="BF129">
    <cfRule type="expression" dxfId="3344" priority="723">
      <formula>BB129&lt;&gt;""</formula>
    </cfRule>
  </conditionalFormatting>
  <conditionalFormatting sqref="AX129">
    <cfRule type="expression" dxfId="3343" priority="722">
      <formula>AT129&lt;&gt;""</formula>
    </cfRule>
  </conditionalFormatting>
  <conditionalFormatting sqref="X143">
    <cfRule type="expression" dxfId="3342" priority="721">
      <formula>X143&lt;&gt;""</formula>
    </cfRule>
  </conditionalFormatting>
  <conditionalFormatting sqref="AC143:AG143">
    <cfRule type="expression" dxfId="3341" priority="720">
      <formula>X143&lt;&gt;""</formula>
    </cfRule>
  </conditionalFormatting>
  <conditionalFormatting sqref="AL143">
    <cfRule type="expression" dxfId="3340" priority="719">
      <formula>AL143&lt;&gt;""</formula>
    </cfRule>
  </conditionalFormatting>
  <conditionalFormatting sqref="AT143">
    <cfRule type="expression" dxfId="3339" priority="718">
      <formula>AT143&lt;&gt;""</formula>
    </cfRule>
  </conditionalFormatting>
  <conditionalFormatting sqref="BB143">
    <cfRule type="expression" dxfId="3338" priority="717">
      <formula>BB143&lt;&gt;""</formula>
    </cfRule>
  </conditionalFormatting>
  <conditionalFormatting sqref="BJ143">
    <cfRule type="expression" dxfId="3337" priority="716">
      <formula>BJ143&lt;&gt;""</formula>
    </cfRule>
  </conditionalFormatting>
  <conditionalFormatting sqref="BR143">
    <cfRule type="expression" dxfId="3336" priority="715">
      <formula>BR143&lt;&gt;""</formula>
    </cfRule>
  </conditionalFormatting>
  <conditionalFormatting sqref="BZ143">
    <cfRule type="expression" dxfId="3335" priority="714">
      <formula>BZ143&lt;&gt;""</formula>
    </cfRule>
  </conditionalFormatting>
  <conditionalFormatting sqref="AP143">
    <cfRule type="expression" dxfId="3334" priority="713">
      <formula>AL143&lt;&gt;""</formula>
    </cfRule>
  </conditionalFormatting>
  <conditionalFormatting sqref="CL143">
    <cfRule type="expression" dxfId="3333" priority="712">
      <formula>CH143&lt;&gt;""</formula>
    </cfRule>
  </conditionalFormatting>
  <conditionalFormatting sqref="CH143">
    <cfRule type="expression" dxfId="3332" priority="711">
      <formula>CH143&lt;&gt;""</formula>
    </cfRule>
  </conditionalFormatting>
  <conditionalFormatting sqref="CD143">
    <cfRule type="expression" dxfId="3331" priority="710">
      <formula>BZ143&lt;&gt;""</formula>
    </cfRule>
  </conditionalFormatting>
  <conditionalFormatting sqref="BV143">
    <cfRule type="expression" dxfId="3330" priority="709">
      <formula>BR143&lt;&gt;""</formula>
    </cfRule>
  </conditionalFormatting>
  <conditionalFormatting sqref="BN143">
    <cfRule type="expression" dxfId="3329" priority="708">
      <formula>BJ143&lt;&gt;""</formula>
    </cfRule>
  </conditionalFormatting>
  <conditionalFormatting sqref="BF143">
    <cfRule type="expression" dxfId="3328" priority="707">
      <formula>BB143&lt;&gt;""</formula>
    </cfRule>
  </conditionalFormatting>
  <conditionalFormatting sqref="AX143">
    <cfRule type="expression" dxfId="3327" priority="706">
      <formula>AT143&lt;&gt;""</formula>
    </cfRule>
  </conditionalFormatting>
  <conditionalFormatting sqref="X136">
    <cfRule type="expression" dxfId="3326" priority="704">
      <formula>X136&lt;&gt;""</formula>
    </cfRule>
  </conditionalFormatting>
  <conditionalFormatting sqref="AC136:AG136">
    <cfRule type="expression" dxfId="3325" priority="703">
      <formula>X136&lt;&gt;""</formula>
    </cfRule>
  </conditionalFormatting>
  <conditionalFormatting sqref="AL136">
    <cfRule type="expression" dxfId="3324" priority="702">
      <formula>AL136&lt;&gt;""</formula>
    </cfRule>
  </conditionalFormatting>
  <conditionalFormatting sqref="AT136">
    <cfRule type="expression" dxfId="3323" priority="701">
      <formula>AT136&lt;&gt;""</formula>
    </cfRule>
  </conditionalFormatting>
  <conditionalFormatting sqref="BB136">
    <cfRule type="expression" dxfId="3322" priority="700">
      <formula>BB136&lt;&gt;""</formula>
    </cfRule>
  </conditionalFormatting>
  <conditionalFormatting sqref="BJ136">
    <cfRule type="expression" dxfId="3321" priority="699">
      <formula>BJ136&lt;&gt;""</formula>
    </cfRule>
  </conditionalFormatting>
  <conditionalFormatting sqref="BR136">
    <cfRule type="expression" dxfId="3320" priority="698">
      <formula>BR136&lt;&gt;""</formula>
    </cfRule>
  </conditionalFormatting>
  <conditionalFormatting sqref="BZ136">
    <cfRule type="expression" dxfId="3319" priority="697">
      <formula>BZ136&lt;&gt;""</formula>
    </cfRule>
  </conditionalFormatting>
  <conditionalFormatting sqref="AP136">
    <cfRule type="expression" dxfId="3318" priority="696">
      <formula>AL136&lt;&gt;""</formula>
    </cfRule>
  </conditionalFormatting>
  <conditionalFormatting sqref="CL136">
    <cfRule type="expression" dxfId="3317" priority="695">
      <formula>CH136&lt;&gt;""</formula>
    </cfRule>
  </conditionalFormatting>
  <conditionalFormatting sqref="CH136">
    <cfRule type="expression" dxfId="3316" priority="694">
      <formula>CH136&lt;&gt;""</formula>
    </cfRule>
  </conditionalFormatting>
  <conditionalFormatting sqref="CD136">
    <cfRule type="expression" dxfId="3315" priority="693">
      <formula>BZ136&lt;&gt;""</formula>
    </cfRule>
  </conditionalFormatting>
  <conditionalFormatting sqref="BV136">
    <cfRule type="expression" dxfId="3314" priority="692">
      <formula>BR136&lt;&gt;""</formula>
    </cfRule>
  </conditionalFormatting>
  <conditionalFormatting sqref="BN136">
    <cfRule type="expression" dxfId="3313" priority="691">
      <formula>BJ136&lt;&gt;""</formula>
    </cfRule>
  </conditionalFormatting>
  <conditionalFormatting sqref="BF136">
    <cfRule type="expression" dxfId="3312" priority="690">
      <formula>BB136&lt;&gt;""</formula>
    </cfRule>
  </conditionalFormatting>
  <conditionalFormatting sqref="AX136">
    <cfRule type="expression" dxfId="3311" priority="689">
      <formula>AT136&lt;&gt;""</formula>
    </cfRule>
  </conditionalFormatting>
  <conditionalFormatting sqref="AC152:AG153">
    <cfRule type="expression" dxfId="3310" priority="672">
      <formula>X152&lt;&gt;""</formula>
    </cfRule>
  </conditionalFormatting>
  <conditionalFormatting sqref="AP152:AP153">
    <cfRule type="expression" dxfId="3309" priority="671">
      <formula>AL152&lt;&gt;""</formula>
    </cfRule>
  </conditionalFormatting>
  <conditionalFormatting sqref="AX152:AX153">
    <cfRule type="expression" dxfId="3308" priority="670">
      <formula>AT152&lt;&gt;""</formula>
    </cfRule>
  </conditionalFormatting>
  <conditionalFormatting sqref="BF152:BF153">
    <cfRule type="expression" dxfId="3307" priority="669">
      <formula>BB152&lt;&gt;""</formula>
    </cfRule>
  </conditionalFormatting>
  <conditionalFormatting sqref="BN152:BN153">
    <cfRule type="expression" dxfId="3306" priority="668">
      <formula>BJ152&lt;&gt;""</formula>
    </cfRule>
  </conditionalFormatting>
  <conditionalFormatting sqref="BV152:BV153">
    <cfRule type="expression" dxfId="3305" priority="667">
      <formula>BR152&lt;&gt;""</formula>
    </cfRule>
  </conditionalFormatting>
  <conditionalFormatting sqref="CD152:CD153">
    <cfRule type="expression" dxfId="3304" priority="666">
      <formula>BZ152&lt;&gt;""</formula>
    </cfRule>
  </conditionalFormatting>
  <conditionalFormatting sqref="CL152:CL153">
    <cfRule type="expression" dxfId="3303" priority="665">
      <formula>CH152&lt;&gt;""</formula>
    </cfRule>
  </conditionalFormatting>
  <conditionalFormatting sqref="X165">
    <cfRule type="expression" dxfId="3302" priority="648">
      <formula>X165&lt;&gt;""</formula>
    </cfRule>
  </conditionalFormatting>
  <conditionalFormatting sqref="AC165:AG165">
    <cfRule type="expression" dxfId="3301" priority="647">
      <formula>X165&lt;&gt;""</formula>
    </cfRule>
  </conditionalFormatting>
  <conditionalFormatting sqref="AL165">
    <cfRule type="expression" dxfId="3300" priority="646">
      <formula>AL165&lt;&gt;""</formula>
    </cfRule>
  </conditionalFormatting>
  <conditionalFormatting sqref="AT165">
    <cfRule type="expression" dxfId="3299" priority="645">
      <formula>AT165&lt;&gt;""</formula>
    </cfRule>
  </conditionalFormatting>
  <conditionalFormatting sqref="BB165">
    <cfRule type="expression" dxfId="3298" priority="644">
      <formula>BB165&lt;&gt;""</formula>
    </cfRule>
  </conditionalFormatting>
  <conditionalFormatting sqref="BJ165">
    <cfRule type="expression" dxfId="3297" priority="643">
      <formula>BJ165&lt;&gt;""</formula>
    </cfRule>
  </conditionalFormatting>
  <conditionalFormatting sqref="BR165">
    <cfRule type="expression" dxfId="3296" priority="642">
      <formula>BR165&lt;&gt;""</formula>
    </cfRule>
  </conditionalFormatting>
  <conditionalFormatting sqref="BZ165">
    <cfRule type="expression" dxfId="3295" priority="641">
      <formula>BZ165&lt;&gt;""</formula>
    </cfRule>
  </conditionalFormatting>
  <conditionalFormatting sqref="AP165">
    <cfRule type="expression" dxfId="3294" priority="640">
      <formula>AL165&lt;&gt;""</formula>
    </cfRule>
  </conditionalFormatting>
  <conditionalFormatting sqref="CL165">
    <cfRule type="expression" dxfId="3293" priority="639">
      <formula>CH165&lt;&gt;""</formula>
    </cfRule>
  </conditionalFormatting>
  <conditionalFormatting sqref="CH165">
    <cfRule type="expression" dxfId="3292" priority="638">
      <formula>CH165&lt;&gt;""</formula>
    </cfRule>
  </conditionalFormatting>
  <conditionalFormatting sqref="CD165">
    <cfRule type="expression" dxfId="3291" priority="637">
      <formula>BZ165&lt;&gt;""</formula>
    </cfRule>
  </conditionalFormatting>
  <conditionalFormatting sqref="BV165">
    <cfRule type="expression" dxfId="3290" priority="636">
      <formula>BR165&lt;&gt;""</formula>
    </cfRule>
  </conditionalFormatting>
  <conditionalFormatting sqref="BN165">
    <cfRule type="expression" dxfId="3289" priority="635">
      <formula>BJ165&lt;&gt;""</formula>
    </cfRule>
  </conditionalFormatting>
  <conditionalFormatting sqref="BF165">
    <cfRule type="expression" dxfId="3288" priority="634">
      <formula>BB165&lt;&gt;""</formula>
    </cfRule>
  </conditionalFormatting>
  <conditionalFormatting sqref="AX165">
    <cfRule type="expression" dxfId="3287" priority="633">
      <formula>AT165&lt;&gt;""</formula>
    </cfRule>
  </conditionalFormatting>
  <conditionalFormatting sqref="X171:Y171">
    <cfRule type="expression" dxfId="3286" priority="632">
      <formula>X169=""</formula>
    </cfRule>
  </conditionalFormatting>
  <conditionalFormatting sqref="X169">
    <cfRule type="expression" dxfId="3285" priority="631">
      <formula>X169&lt;&gt;""</formula>
    </cfRule>
  </conditionalFormatting>
  <conditionalFormatting sqref="AC169:AG169">
    <cfRule type="expression" dxfId="3284" priority="630">
      <formula>X169&lt;&gt;""</formula>
    </cfRule>
  </conditionalFormatting>
  <conditionalFormatting sqref="AL169">
    <cfRule type="expression" dxfId="3283" priority="629">
      <formula>AL169&lt;&gt;""</formula>
    </cfRule>
  </conditionalFormatting>
  <conditionalFormatting sqref="AT169">
    <cfRule type="expression" dxfId="3282" priority="628">
      <formula>AT169&lt;&gt;""</formula>
    </cfRule>
  </conditionalFormatting>
  <conditionalFormatting sqref="BB169">
    <cfRule type="expression" dxfId="3281" priority="627">
      <formula>BB169&lt;&gt;""</formula>
    </cfRule>
  </conditionalFormatting>
  <conditionalFormatting sqref="BJ169">
    <cfRule type="expression" dxfId="3280" priority="626">
      <formula>BJ169&lt;&gt;""</formula>
    </cfRule>
  </conditionalFormatting>
  <conditionalFormatting sqref="BR169">
    <cfRule type="expression" dxfId="3279" priority="625">
      <formula>BR169&lt;&gt;""</formula>
    </cfRule>
  </conditionalFormatting>
  <conditionalFormatting sqref="BZ169">
    <cfRule type="expression" dxfId="3278" priority="624">
      <formula>BZ169&lt;&gt;""</formula>
    </cfRule>
  </conditionalFormatting>
  <conditionalFormatting sqref="AP169">
    <cfRule type="expression" dxfId="3277" priority="623">
      <formula>AL169&lt;&gt;""</formula>
    </cfRule>
  </conditionalFormatting>
  <conditionalFormatting sqref="CL169">
    <cfRule type="expression" dxfId="3276" priority="622">
      <formula>CH169&lt;&gt;""</formula>
    </cfRule>
  </conditionalFormatting>
  <conditionalFormatting sqref="CH169">
    <cfRule type="expression" dxfId="3275" priority="621">
      <formula>CH169&lt;&gt;""</formula>
    </cfRule>
  </conditionalFormatting>
  <conditionalFormatting sqref="CD169">
    <cfRule type="expression" dxfId="3274" priority="620">
      <formula>BZ169&lt;&gt;""</formula>
    </cfRule>
  </conditionalFormatting>
  <conditionalFormatting sqref="BV169">
    <cfRule type="expression" dxfId="3273" priority="619">
      <formula>BR169&lt;&gt;""</formula>
    </cfRule>
  </conditionalFormatting>
  <conditionalFormatting sqref="BN169">
    <cfRule type="expression" dxfId="3272" priority="618">
      <formula>BJ169&lt;&gt;""</formula>
    </cfRule>
  </conditionalFormatting>
  <conditionalFormatting sqref="BF169">
    <cfRule type="expression" dxfId="3271" priority="617">
      <formula>BB169&lt;&gt;""</formula>
    </cfRule>
  </conditionalFormatting>
  <conditionalFormatting sqref="AX169">
    <cfRule type="expression" dxfId="3270" priority="616">
      <formula>AT169&lt;&gt;""</formula>
    </cfRule>
  </conditionalFormatting>
  <conditionalFormatting sqref="AL171">
    <cfRule type="expression" dxfId="3269" priority="615">
      <formula>AL169=""</formula>
    </cfRule>
  </conditionalFormatting>
  <conditionalFormatting sqref="AT171">
    <cfRule type="expression" dxfId="3268" priority="614">
      <formula>AT169=""</formula>
    </cfRule>
  </conditionalFormatting>
  <conditionalFormatting sqref="BB171">
    <cfRule type="expression" dxfId="3267" priority="613">
      <formula>BB169=""</formula>
    </cfRule>
  </conditionalFormatting>
  <conditionalFormatting sqref="BJ171">
    <cfRule type="expression" dxfId="3266" priority="612">
      <formula>BJ169=""</formula>
    </cfRule>
  </conditionalFormatting>
  <conditionalFormatting sqref="BR171">
    <cfRule type="expression" dxfId="3265" priority="611">
      <formula>BR169=""</formula>
    </cfRule>
  </conditionalFormatting>
  <conditionalFormatting sqref="BZ171">
    <cfRule type="expression" dxfId="3264" priority="610">
      <formula>BZ169=""</formula>
    </cfRule>
  </conditionalFormatting>
  <conditionalFormatting sqref="CH171">
    <cfRule type="expression" dxfId="3263" priority="609">
      <formula>CH169=""</formula>
    </cfRule>
  </conditionalFormatting>
  <conditionalFormatting sqref="CL171">
    <cfRule type="expression" dxfId="3262" priority="608">
      <formula>CH171&lt;&gt;""</formula>
    </cfRule>
  </conditionalFormatting>
  <conditionalFormatting sqref="CD171">
    <cfRule type="expression" dxfId="3261" priority="607">
      <formula>BZ171&lt;&gt;""</formula>
    </cfRule>
  </conditionalFormatting>
  <conditionalFormatting sqref="BV171">
    <cfRule type="expression" dxfId="3260" priority="606">
      <formula>BR171&lt;&gt;""</formula>
    </cfRule>
  </conditionalFormatting>
  <conditionalFormatting sqref="BN171">
    <cfRule type="expression" dxfId="3259" priority="605">
      <formula>BJ171&lt;&gt;""</formula>
    </cfRule>
  </conditionalFormatting>
  <conditionalFormatting sqref="BF171">
    <cfRule type="expression" dxfId="3258" priority="604">
      <formula>BB171&lt;&gt;""</formula>
    </cfRule>
  </conditionalFormatting>
  <conditionalFormatting sqref="AX171">
    <cfRule type="expression" dxfId="3257" priority="603">
      <formula>AT171&lt;&gt;""</formula>
    </cfRule>
  </conditionalFormatting>
  <conditionalFormatting sqref="AP171">
    <cfRule type="expression" dxfId="3256" priority="602">
      <formula>AL171&lt;&gt;""</formula>
    </cfRule>
  </conditionalFormatting>
  <conditionalFormatting sqref="AC171:AG171">
    <cfRule type="expression" dxfId="3255" priority="601">
      <formula>X171&lt;&gt;""</formula>
    </cfRule>
  </conditionalFormatting>
  <conditionalFormatting sqref="X178">
    <cfRule type="expression" dxfId="3254" priority="600">
      <formula>X178&lt;&gt;""</formula>
    </cfRule>
  </conditionalFormatting>
  <conditionalFormatting sqref="AC178:AG178">
    <cfRule type="expression" dxfId="3253" priority="599">
      <formula>X178&lt;&gt;""</formula>
    </cfRule>
  </conditionalFormatting>
  <conditionalFormatting sqref="AL178">
    <cfRule type="expression" dxfId="3252" priority="598">
      <formula>AL178&lt;&gt;""</formula>
    </cfRule>
  </conditionalFormatting>
  <conditionalFormatting sqref="AT178">
    <cfRule type="expression" dxfId="3251" priority="597">
      <formula>AT178&lt;&gt;""</formula>
    </cfRule>
  </conditionalFormatting>
  <conditionalFormatting sqref="BB178">
    <cfRule type="expression" dxfId="3250" priority="596">
      <formula>BB178&lt;&gt;""</formula>
    </cfRule>
  </conditionalFormatting>
  <conditionalFormatting sqref="BJ178">
    <cfRule type="expression" dxfId="3249" priority="595">
      <formula>BJ178&lt;&gt;""</formula>
    </cfRule>
  </conditionalFormatting>
  <conditionalFormatting sqref="BR178">
    <cfRule type="expression" dxfId="3248" priority="594">
      <formula>BR178&lt;&gt;""</formula>
    </cfRule>
  </conditionalFormatting>
  <conditionalFormatting sqref="BZ178">
    <cfRule type="expression" dxfId="3247" priority="593">
      <formula>BZ178&lt;&gt;""</formula>
    </cfRule>
  </conditionalFormatting>
  <conditionalFormatting sqref="AP178">
    <cfRule type="expression" dxfId="3246" priority="592">
      <formula>AL178&lt;&gt;""</formula>
    </cfRule>
  </conditionalFormatting>
  <conditionalFormatting sqref="CL178">
    <cfRule type="expression" dxfId="3245" priority="591">
      <formula>CH178&lt;&gt;""</formula>
    </cfRule>
  </conditionalFormatting>
  <conditionalFormatting sqref="CH178">
    <cfRule type="expression" dxfId="3244" priority="590">
      <formula>CH178&lt;&gt;""</formula>
    </cfRule>
  </conditionalFormatting>
  <conditionalFormatting sqref="CD178">
    <cfRule type="expression" dxfId="3243" priority="589">
      <formula>BZ178&lt;&gt;""</formula>
    </cfRule>
  </conditionalFormatting>
  <conditionalFormatting sqref="BV178">
    <cfRule type="expression" dxfId="3242" priority="588">
      <formula>BR178&lt;&gt;""</formula>
    </cfRule>
  </conditionalFormatting>
  <conditionalFormatting sqref="BN178">
    <cfRule type="expression" dxfId="3241" priority="587">
      <formula>BJ178&lt;&gt;""</formula>
    </cfRule>
  </conditionalFormatting>
  <conditionalFormatting sqref="BF178">
    <cfRule type="expression" dxfId="3240" priority="586">
      <formula>BB178&lt;&gt;""</formula>
    </cfRule>
  </conditionalFormatting>
  <conditionalFormatting sqref="AX178">
    <cfRule type="expression" dxfId="3239" priority="585">
      <formula>AT178&lt;&gt;""</formula>
    </cfRule>
  </conditionalFormatting>
  <conditionalFormatting sqref="X184:Y184">
    <cfRule type="expression" dxfId="3238" priority="584">
      <formula>X182=""</formula>
    </cfRule>
  </conditionalFormatting>
  <conditionalFormatting sqref="X182">
    <cfRule type="expression" dxfId="3237" priority="583">
      <formula>X182&lt;&gt;""</formula>
    </cfRule>
  </conditionalFormatting>
  <conditionalFormatting sqref="AC182:AG182">
    <cfRule type="expression" dxfId="3236" priority="582">
      <formula>X182&lt;&gt;""</formula>
    </cfRule>
  </conditionalFormatting>
  <conditionalFormatting sqref="AL182">
    <cfRule type="expression" dxfId="3235" priority="581">
      <formula>AL182&lt;&gt;""</formula>
    </cfRule>
  </conditionalFormatting>
  <conditionalFormatting sqref="AT182">
    <cfRule type="expression" dxfId="3234" priority="580">
      <formula>AT182&lt;&gt;""</formula>
    </cfRule>
  </conditionalFormatting>
  <conditionalFormatting sqref="BB182">
    <cfRule type="expression" dxfId="3233" priority="579">
      <formula>BB182&lt;&gt;""</formula>
    </cfRule>
  </conditionalFormatting>
  <conditionalFormatting sqref="BJ182">
    <cfRule type="expression" dxfId="3232" priority="578">
      <formula>BJ182&lt;&gt;""</formula>
    </cfRule>
  </conditionalFormatting>
  <conditionalFormatting sqref="BR182">
    <cfRule type="expression" dxfId="3231" priority="577">
      <formula>BR182&lt;&gt;""</formula>
    </cfRule>
  </conditionalFormatting>
  <conditionalFormatting sqref="BZ182">
    <cfRule type="expression" dxfId="3230" priority="576">
      <formula>BZ182&lt;&gt;""</formula>
    </cfRule>
  </conditionalFormatting>
  <conditionalFormatting sqref="AP182">
    <cfRule type="expression" dxfId="3229" priority="575">
      <formula>AL182&lt;&gt;""</formula>
    </cfRule>
  </conditionalFormatting>
  <conditionalFormatting sqref="CL182">
    <cfRule type="expression" dxfId="3228" priority="574">
      <formula>CH182&lt;&gt;""</formula>
    </cfRule>
  </conditionalFormatting>
  <conditionalFormatting sqref="CH182">
    <cfRule type="expression" dxfId="3227" priority="573">
      <formula>CH182&lt;&gt;""</formula>
    </cfRule>
  </conditionalFormatting>
  <conditionalFormatting sqref="CD182">
    <cfRule type="expression" dxfId="3226" priority="572">
      <formula>BZ182&lt;&gt;""</formula>
    </cfRule>
  </conditionalFormatting>
  <conditionalFormatting sqref="BV182">
    <cfRule type="expression" dxfId="3225" priority="571">
      <formula>BR182&lt;&gt;""</formula>
    </cfRule>
  </conditionalFormatting>
  <conditionalFormatting sqref="BN182">
    <cfRule type="expression" dxfId="3224" priority="570">
      <formula>BJ182&lt;&gt;""</formula>
    </cfRule>
  </conditionalFormatting>
  <conditionalFormatting sqref="BF182">
    <cfRule type="expression" dxfId="3223" priority="569">
      <formula>BB182&lt;&gt;""</formula>
    </cfRule>
  </conditionalFormatting>
  <conditionalFormatting sqref="AX182">
    <cfRule type="expression" dxfId="3222" priority="568">
      <formula>AT182&lt;&gt;""</formula>
    </cfRule>
  </conditionalFormatting>
  <conditionalFormatting sqref="AL184">
    <cfRule type="expression" dxfId="3221" priority="567">
      <formula>AL182=""</formula>
    </cfRule>
  </conditionalFormatting>
  <conditionalFormatting sqref="AT184">
    <cfRule type="expression" dxfId="3220" priority="566">
      <formula>AT182=""</formula>
    </cfRule>
  </conditionalFormatting>
  <conditionalFormatting sqref="BB184">
    <cfRule type="expression" dxfId="3219" priority="565">
      <formula>BB182=""</formula>
    </cfRule>
  </conditionalFormatting>
  <conditionalFormatting sqref="BJ184">
    <cfRule type="expression" dxfId="3218" priority="564">
      <formula>BJ182=""</formula>
    </cfRule>
  </conditionalFormatting>
  <conditionalFormatting sqref="BR184">
    <cfRule type="expression" dxfId="3217" priority="563">
      <formula>BR182=""</formula>
    </cfRule>
  </conditionalFormatting>
  <conditionalFormatting sqref="BZ184">
    <cfRule type="expression" dxfId="3216" priority="562">
      <formula>BZ182=""</formula>
    </cfRule>
  </conditionalFormatting>
  <conditionalFormatting sqref="CH184">
    <cfRule type="expression" dxfId="3215" priority="561">
      <formula>CH182=""</formula>
    </cfRule>
  </conditionalFormatting>
  <conditionalFormatting sqref="CL184">
    <cfRule type="expression" dxfId="3214" priority="560">
      <formula>CH184&lt;&gt;""</formula>
    </cfRule>
  </conditionalFormatting>
  <conditionalFormatting sqref="CD184">
    <cfRule type="expression" dxfId="3213" priority="559">
      <formula>BZ184&lt;&gt;""</formula>
    </cfRule>
  </conditionalFormatting>
  <conditionalFormatting sqref="BV184">
    <cfRule type="expression" dxfId="3212" priority="558">
      <formula>BR184&lt;&gt;""</formula>
    </cfRule>
  </conditionalFormatting>
  <conditionalFormatting sqref="BN184">
    <cfRule type="expression" dxfId="3211" priority="557">
      <formula>BJ184&lt;&gt;""</formula>
    </cfRule>
  </conditionalFormatting>
  <conditionalFormatting sqref="BF184">
    <cfRule type="expression" dxfId="3210" priority="556">
      <formula>BB184&lt;&gt;""</formula>
    </cfRule>
  </conditionalFormatting>
  <conditionalFormatting sqref="AX184">
    <cfRule type="expression" dxfId="3209" priority="555">
      <formula>AT184&lt;&gt;""</formula>
    </cfRule>
  </conditionalFormatting>
  <conditionalFormatting sqref="AP184">
    <cfRule type="expression" dxfId="3208" priority="554">
      <formula>AL184&lt;&gt;""</formula>
    </cfRule>
  </conditionalFormatting>
  <conditionalFormatting sqref="AC184:AG184">
    <cfRule type="expression" dxfId="3207" priority="553">
      <formula>X184&lt;&gt;""</formula>
    </cfRule>
  </conditionalFormatting>
  <conditionalFormatting sqref="X301:Y301">
    <cfRule type="expression" dxfId="3206" priority="527">
      <formula>X301&lt;&gt;""</formula>
    </cfRule>
  </conditionalFormatting>
  <conditionalFormatting sqref="AC300:AG300">
    <cfRule type="expression" dxfId="3205" priority="526">
      <formula>X300&lt;&gt;""</formula>
    </cfRule>
  </conditionalFormatting>
  <conditionalFormatting sqref="X300">
    <cfRule type="expression" dxfId="3204" priority="525">
      <formula>X300&lt;&gt;""</formula>
    </cfRule>
  </conditionalFormatting>
  <conditionalFormatting sqref="X157">
    <cfRule type="expression" dxfId="3203" priority="508">
      <formula>X157&lt;&gt;""</formula>
    </cfRule>
  </conditionalFormatting>
  <conditionalFormatting sqref="AC157:AG157">
    <cfRule type="expression" dxfId="3202" priority="551">
      <formula>X157&lt;&gt;""</formula>
    </cfRule>
  </conditionalFormatting>
  <conditionalFormatting sqref="AL157">
    <cfRule type="expression" dxfId="3201" priority="506">
      <formula>AL157&lt;&gt;""</formula>
    </cfRule>
  </conditionalFormatting>
  <conditionalFormatting sqref="AT157">
    <cfRule type="expression" dxfId="3200" priority="505">
      <formula>AT157&lt;&gt;""</formula>
    </cfRule>
  </conditionalFormatting>
  <conditionalFormatting sqref="BB157">
    <cfRule type="expression" dxfId="3199" priority="504">
      <formula>BB157&lt;&gt;""</formula>
    </cfRule>
  </conditionalFormatting>
  <conditionalFormatting sqref="BJ157">
    <cfRule type="expression" dxfId="3198" priority="503">
      <formula>BJ157&lt;&gt;""</formula>
    </cfRule>
  </conditionalFormatting>
  <conditionalFormatting sqref="BR157">
    <cfRule type="expression" dxfId="3197" priority="502">
      <formula>BR157&lt;&gt;""</formula>
    </cfRule>
  </conditionalFormatting>
  <conditionalFormatting sqref="BZ157">
    <cfRule type="expression" dxfId="3196" priority="501">
      <formula>BZ157&lt;&gt;""</formula>
    </cfRule>
  </conditionalFormatting>
  <conditionalFormatting sqref="AP157">
    <cfRule type="expression" dxfId="3195" priority="500">
      <formula>AL157&lt;&gt;""</formula>
    </cfRule>
  </conditionalFormatting>
  <conditionalFormatting sqref="CL157">
    <cfRule type="expression" dxfId="3194" priority="499">
      <formula>CH157&lt;&gt;""</formula>
    </cfRule>
  </conditionalFormatting>
  <conditionalFormatting sqref="CH157">
    <cfRule type="expression" dxfId="3193" priority="498">
      <formula>CH157&lt;&gt;""</formula>
    </cfRule>
  </conditionalFormatting>
  <conditionalFormatting sqref="CD157">
    <cfRule type="expression" dxfId="3192" priority="497">
      <formula>BZ157&lt;&gt;""</formula>
    </cfRule>
  </conditionalFormatting>
  <conditionalFormatting sqref="BV157">
    <cfRule type="expression" dxfId="3191" priority="496">
      <formula>BR157&lt;&gt;""</formula>
    </cfRule>
  </conditionalFormatting>
  <conditionalFormatting sqref="BN157">
    <cfRule type="expression" dxfId="3190" priority="495">
      <formula>BJ157&lt;&gt;""</formula>
    </cfRule>
  </conditionalFormatting>
  <conditionalFormatting sqref="BF157">
    <cfRule type="expression" dxfId="3189" priority="494">
      <formula>BB157&lt;&gt;""</formula>
    </cfRule>
  </conditionalFormatting>
  <conditionalFormatting sqref="AX157">
    <cfRule type="expression" dxfId="3188" priority="493">
      <formula>AT157&lt;&gt;""</formula>
    </cfRule>
  </conditionalFormatting>
  <conditionalFormatting sqref="X193">
    <cfRule type="expression" dxfId="3187" priority="482">
      <formula>X193&lt;&gt;""</formula>
    </cfRule>
  </conditionalFormatting>
  <conditionalFormatting sqref="AL193">
    <cfRule type="expression" dxfId="3186" priority="481">
      <formula>AL193&lt;&gt;""</formula>
    </cfRule>
  </conditionalFormatting>
  <conditionalFormatting sqref="BJ193">
    <cfRule type="expression" dxfId="3185" priority="478">
      <formula>BJ193&lt;&gt;""</formula>
    </cfRule>
  </conditionalFormatting>
  <conditionalFormatting sqref="AT193">
    <cfRule type="expression" dxfId="3184" priority="480">
      <formula>AT193&lt;&gt;""</formula>
    </cfRule>
  </conditionalFormatting>
  <conditionalFormatting sqref="BB193">
    <cfRule type="expression" dxfId="3183" priority="479">
      <formula>BB193&lt;&gt;""</formula>
    </cfRule>
  </conditionalFormatting>
  <conditionalFormatting sqref="BR193">
    <cfRule type="expression" dxfId="3182" priority="477">
      <formula>BR193&lt;&gt;""</formula>
    </cfRule>
  </conditionalFormatting>
  <conditionalFormatting sqref="BZ193">
    <cfRule type="expression" dxfId="3181" priority="476">
      <formula>BZ193&lt;&gt;""</formula>
    </cfRule>
  </conditionalFormatting>
  <conditionalFormatting sqref="CH193">
    <cfRule type="expression" dxfId="3180" priority="475">
      <formula>CH193&lt;&gt;""</formula>
    </cfRule>
  </conditionalFormatting>
  <conditionalFormatting sqref="AC193:AG194">
    <cfRule type="expression" dxfId="3179" priority="474">
      <formula>X193&lt;&gt;""</formula>
    </cfRule>
  </conditionalFormatting>
  <conditionalFormatting sqref="AP193:AP194">
    <cfRule type="expression" dxfId="3178" priority="473">
      <formula>AL193&lt;&gt;""</formula>
    </cfRule>
  </conditionalFormatting>
  <conditionalFormatting sqref="AX193:AX194">
    <cfRule type="expression" dxfId="3177" priority="472">
      <formula>AT193&lt;&gt;""</formula>
    </cfRule>
  </conditionalFormatting>
  <conditionalFormatting sqref="BF193:BF194">
    <cfRule type="expression" dxfId="3176" priority="471">
      <formula>BB193&lt;&gt;""</formula>
    </cfRule>
  </conditionalFormatting>
  <conditionalFormatting sqref="BN193:BN194">
    <cfRule type="expression" dxfId="3175" priority="470">
      <formula>BJ193&lt;&gt;""</formula>
    </cfRule>
  </conditionalFormatting>
  <conditionalFormatting sqref="BV193:BV194">
    <cfRule type="expression" dxfId="3174" priority="469">
      <formula>BR193&lt;&gt;""</formula>
    </cfRule>
  </conditionalFormatting>
  <conditionalFormatting sqref="CD193:CD194">
    <cfRule type="expression" dxfId="3173" priority="468">
      <formula>BZ193&lt;&gt;""</formula>
    </cfRule>
  </conditionalFormatting>
  <conditionalFormatting sqref="CL193:CL194">
    <cfRule type="expression" dxfId="3172" priority="467">
      <formula>CH193&lt;&gt;""</formula>
    </cfRule>
  </conditionalFormatting>
  <conditionalFormatting sqref="X203:Y203">
    <cfRule type="expression" dxfId="3171" priority="466">
      <formula>X203&lt;&gt;""</formula>
    </cfRule>
  </conditionalFormatting>
  <conditionalFormatting sqref="X202">
    <cfRule type="expression" dxfId="3170" priority="465">
      <formula>X202&lt;&gt;""</formula>
    </cfRule>
  </conditionalFormatting>
  <conditionalFormatting sqref="AC202:AG202">
    <cfRule type="expression" dxfId="3169" priority="464">
      <formula>X202&lt;&gt;""</formula>
    </cfRule>
  </conditionalFormatting>
  <conditionalFormatting sqref="AL202">
    <cfRule type="expression" dxfId="3168" priority="463">
      <formula>AL202&lt;&gt;""</formula>
    </cfRule>
  </conditionalFormatting>
  <conditionalFormatting sqref="AT202">
    <cfRule type="expression" dxfId="3167" priority="462">
      <formula>AT202&lt;&gt;""</formula>
    </cfRule>
  </conditionalFormatting>
  <conditionalFormatting sqref="BB202">
    <cfRule type="expression" dxfId="3166" priority="461">
      <formula>BB202&lt;&gt;""</formula>
    </cfRule>
  </conditionalFormatting>
  <conditionalFormatting sqref="BJ202">
    <cfRule type="expression" dxfId="3165" priority="460">
      <formula>BJ202&lt;&gt;""</formula>
    </cfRule>
  </conditionalFormatting>
  <conditionalFormatting sqref="BR202">
    <cfRule type="expression" dxfId="3164" priority="459">
      <formula>BR202&lt;&gt;""</formula>
    </cfRule>
  </conditionalFormatting>
  <conditionalFormatting sqref="BZ202">
    <cfRule type="expression" dxfId="3163" priority="458">
      <formula>BZ202&lt;&gt;""</formula>
    </cfRule>
  </conditionalFormatting>
  <conditionalFormatting sqref="AP202">
    <cfRule type="expression" dxfId="3162" priority="457">
      <formula>AL202&lt;&gt;""</formula>
    </cfRule>
  </conditionalFormatting>
  <conditionalFormatting sqref="CL202">
    <cfRule type="expression" dxfId="3161" priority="456">
      <formula>CH202&lt;&gt;""</formula>
    </cfRule>
  </conditionalFormatting>
  <conditionalFormatting sqref="CH202">
    <cfRule type="expression" dxfId="3160" priority="455">
      <formula>CH202&lt;&gt;""</formula>
    </cfRule>
  </conditionalFormatting>
  <conditionalFormatting sqref="CD202">
    <cfRule type="expression" dxfId="3159" priority="454">
      <formula>BZ202&lt;&gt;""</formula>
    </cfRule>
  </conditionalFormatting>
  <conditionalFormatting sqref="BV202">
    <cfRule type="expression" dxfId="3158" priority="453">
      <formula>BR202&lt;&gt;""</formula>
    </cfRule>
  </conditionalFormatting>
  <conditionalFormatting sqref="BN202">
    <cfRule type="expression" dxfId="3157" priority="452">
      <formula>BJ202&lt;&gt;""</formula>
    </cfRule>
  </conditionalFormatting>
  <conditionalFormatting sqref="BF202">
    <cfRule type="expression" dxfId="3156" priority="451">
      <formula>BB202&lt;&gt;""</formula>
    </cfRule>
  </conditionalFormatting>
  <conditionalFormatting sqref="AX202">
    <cfRule type="expression" dxfId="3155" priority="450">
      <formula>AT202&lt;&gt;""</formula>
    </cfRule>
  </conditionalFormatting>
  <conditionalFormatting sqref="X207:Y207">
    <cfRule type="expression" dxfId="3154" priority="449">
      <formula>X207&lt;&gt;""</formula>
    </cfRule>
  </conditionalFormatting>
  <conditionalFormatting sqref="X206">
    <cfRule type="expression" dxfId="3153" priority="448">
      <formula>X206&lt;&gt;""</formula>
    </cfRule>
  </conditionalFormatting>
  <conditionalFormatting sqref="AC206:AG206">
    <cfRule type="expression" dxfId="3152" priority="447">
      <formula>X206&lt;&gt;""</formula>
    </cfRule>
  </conditionalFormatting>
  <conditionalFormatting sqref="AL206">
    <cfRule type="expression" dxfId="3151" priority="446">
      <formula>AL206&lt;&gt;""</formula>
    </cfRule>
  </conditionalFormatting>
  <conditionalFormatting sqref="AT206">
    <cfRule type="expression" dxfId="3150" priority="445">
      <formula>AT206&lt;&gt;""</formula>
    </cfRule>
  </conditionalFormatting>
  <conditionalFormatting sqref="BB206">
    <cfRule type="expression" dxfId="3149" priority="444">
      <formula>BB206&lt;&gt;""</formula>
    </cfRule>
  </conditionalFormatting>
  <conditionalFormatting sqref="BJ206">
    <cfRule type="expression" dxfId="3148" priority="443">
      <formula>BJ206&lt;&gt;""</formula>
    </cfRule>
  </conditionalFormatting>
  <conditionalFormatting sqref="BR206">
    <cfRule type="expression" dxfId="3147" priority="442">
      <formula>BR206&lt;&gt;""</formula>
    </cfRule>
  </conditionalFormatting>
  <conditionalFormatting sqref="BZ206">
    <cfRule type="expression" dxfId="3146" priority="441">
      <formula>BZ206&lt;&gt;""</formula>
    </cfRule>
  </conditionalFormatting>
  <conditionalFormatting sqref="AP206">
    <cfRule type="expression" dxfId="3145" priority="440">
      <formula>AL206&lt;&gt;""</formula>
    </cfRule>
  </conditionalFormatting>
  <conditionalFormatting sqref="CL206">
    <cfRule type="expression" dxfId="3144" priority="439">
      <formula>CH206&lt;&gt;""</formula>
    </cfRule>
  </conditionalFormatting>
  <conditionalFormatting sqref="CH206">
    <cfRule type="expression" dxfId="3143" priority="438">
      <formula>CH206&lt;&gt;""</formula>
    </cfRule>
  </conditionalFormatting>
  <conditionalFormatting sqref="CD206">
    <cfRule type="expression" dxfId="3142" priority="437">
      <formula>BZ206&lt;&gt;""</formula>
    </cfRule>
  </conditionalFormatting>
  <conditionalFormatting sqref="BV206">
    <cfRule type="expression" dxfId="3141" priority="436">
      <formula>BR206&lt;&gt;""</formula>
    </cfRule>
  </conditionalFormatting>
  <conditionalFormatting sqref="BN206">
    <cfRule type="expression" dxfId="3140" priority="435">
      <formula>BJ206&lt;&gt;""</formula>
    </cfRule>
  </conditionalFormatting>
  <conditionalFormatting sqref="BF206">
    <cfRule type="expression" dxfId="3139" priority="434">
      <formula>BB206&lt;&gt;""</formula>
    </cfRule>
  </conditionalFormatting>
  <conditionalFormatting sqref="AX206">
    <cfRule type="expression" dxfId="3138" priority="433">
      <formula>AT206&lt;&gt;""</formula>
    </cfRule>
  </conditionalFormatting>
  <conditionalFormatting sqref="X214:Y214">
    <cfRule type="expression" dxfId="3137" priority="432">
      <formula>X214&lt;&gt;""</formula>
    </cfRule>
  </conditionalFormatting>
  <conditionalFormatting sqref="X213">
    <cfRule type="expression" dxfId="3136" priority="431">
      <formula>X213&lt;&gt;""</formula>
    </cfRule>
  </conditionalFormatting>
  <conditionalFormatting sqref="AC213:AG213">
    <cfRule type="expression" dxfId="3135" priority="430">
      <formula>X213&lt;&gt;""</formula>
    </cfRule>
  </conditionalFormatting>
  <conditionalFormatting sqref="AL213">
    <cfRule type="expression" dxfId="3134" priority="429">
      <formula>AL213&lt;&gt;""</formula>
    </cfRule>
  </conditionalFormatting>
  <conditionalFormatting sqref="AT213">
    <cfRule type="expression" dxfId="3133" priority="428">
      <formula>AT213&lt;&gt;""</formula>
    </cfRule>
  </conditionalFormatting>
  <conditionalFormatting sqref="BB213">
    <cfRule type="expression" dxfId="3132" priority="427">
      <formula>BB213&lt;&gt;""</formula>
    </cfRule>
  </conditionalFormatting>
  <conditionalFormatting sqref="BJ213">
    <cfRule type="expression" dxfId="3131" priority="426">
      <formula>BJ213&lt;&gt;""</formula>
    </cfRule>
  </conditionalFormatting>
  <conditionalFormatting sqref="BR213">
    <cfRule type="expression" dxfId="3130" priority="425">
      <formula>BR213&lt;&gt;""</formula>
    </cfRule>
  </conditionalFormatting>
  <conditionalFormatting sqref="BZ213">
    <cfRule type="expression" dxfId="3129" priority="424">
      <formula>BZ213&lt;&gt;""</formula>
    </cfRule>
  </conditionalFormatting>
  <conditionalFormatting sqref="AP213">
    <cfRule type="expression" dxfId="3128" priority="423">
      <formula>AL213&lt;&gt;""</formula>
    </cfRule>
  </conditionalFormatting>
  <conditionalFormatting sqref="CL213">
    <cfRule type="expression" dxfId="3127" priority="422">
      <formula>CH213&lt;&gt;""</formula>
    </cfRule>
  </conditionalFormatting>
  <conditionalFormatting sqref="CH213">
    <cfRule type="expression" dxfId="3126" priority="421">
      <formula>CH213&lt;&gt;""</formula>
    </cfRule>
  </conditionalFormatting>
  <conditionalFormatting sqref="CD213">
    <cfRule type="expression" dxfId="3125" priority="420">
      <formula>BZ213&lt;&gt;""</formula>
    </cfRule>
  </conditionalFormatting>
  <conditionalFormatting sqref="BV213">
    <cfRule type="expression" dxfId="3124" priority="419">
      <formula>BR213&lt;&gt;""</formula>
    </cfRule>
  </conditionalFormatting>
  <conditionalFormatting sqref="BN213">
    <cfRule type="expression" dxfId="3123" priority="418">
      <formula>BJ213&lt;&gt;""</formula>
    </cfRule>
  </conditionalFormatting>
  <conditionalFormatting sqref="BF213">
    <cfRule type="expression" dxfId="3122" priority="417">
      <formula>BB213&lt;&gt;""</formula>
    </cfRule>
  </conditionalFormatting>
  <conditionalFormatting sqref="AX213">
    <cfRule type="expression" dxfId="3121" priority="416">
      <formula>AT213&lt;&gt;""</formula>
    </cfRule>
  </conditionalFormatting>
  <conditionalFormatting sqref="X219:Y219">
    <cfRule type="expression" dxfId="3120" priority="415">
      <formula>X217=""</formula>
    </cfRule>
  </conditionalFormatting>
  <conditionalFormatting sqref="X217">
    <cfRule type="expression" dxfId="3119" priority="414">
      <formula>X217&lt;&gt;""</formula>
    </cfRule>
  </conditionalFormatting>
  <conditionalFormatting sqref="AC217:AG217">
    <cfRule type="expression" dxfId="3118" priority="413">
      <formula>X217&lt;&gt;""</formula>
    </cfRule>
  </conditionalFormatting>
  <conditionalFormatting sqref="AL217">
    <cfRule type="expression" dxfId="3117" priority="412">
      <formula>AL217&lt;&gt;""</formula>
    </cfRule>
  </conditionalFormatting>
  <conditionalFormatting sqref="AT217">
    <cfRule type="expression" dxfId="3116" priority="411">
      <formula>AT217&lt;&gt;""</formula>
    </cfRule>
  </conditionalFormatting>
  <conditionalFormatting sqref="BB217">
    <cfRule type="expression" dxfId="3115" priority="410">
      <formula>BB217&lt;&gt;""</formula>
    </cfRule>
  </conditionalFormatting>
  <conditionalFormatting sqref="BJ217">
    <cfRule type="expression" dxfId="3114" priority="409">
      <formula>BJ217&lt;&gt;""</formula>
    </cfRule>
  </conditionalFormatting>
  <conditionalFormatting sqref="BR217">
    <cfRule type="expression" dxfId="3113" priority="408">
      <formula>BR217&lt;&gt;""</formula>
    </cfRule>
  </conditionalFormatting>
  <conditionalFormatting sqref="BZ217">
    <cfRule type="expression" dxfId="3112" priority="407">
      <formula>BZ217&lt;&gt;""</formula>
    </cfRule>
  </conditionalFormatting>
  <conditionalFormatting sqref="AP217">
    <cfRule type="expression" dxfId="3111" priority="406">
      <formula>AL217&lt;&gt;""</formula>
    </cfRule>
  </conditionalFormatting>
  <conditionalFormatting sqref="CL217">
    <cfRule type="expression" dxfId="3110" priority="405">
      <formula>CH217&lt;&gt;""</formula>
    </cfRule>
  </conditionalFormatting>
  <conditionalFormatting sqref="CH217">
    <cfRule type="expression" dxfId="3109" priority="404">
      <formula>CH217&lt;&gt;""</formula>
    </cfRule>
  </conditionalFormatting>
  <conditionalFormatting sqref="CD217">
    <cfRule type="expression" dxfId="3108" priority="403">
      <formula>BZ217&lt;&gt;""</formula>
    </cfRule>
  </conditionalFormatting>
  <conditionalFormatting sqref="BV217">
    <cfRule type="expression" dxfId="3107" priority="402">
      <formula>BR217&lt;&gt;""</formula>
    </cfRule>
  </conditionalFormatting>
  <conditionalFormatting sqref="BN217">
    <cfRule type="expression" dxfId="3106" priority="401">
      <formula>BJ217&lt;&gt;""</formula>
    </cfRule>
  </conditionalFormatting>
  <conditionalFormatting sqref="BF217">
    <cfRule type="expression" dxfId="3105" priority="400">
      <formula>BB217&lt;&gt;""</formula>
    </cfRule>
  </conditionalFormatting>
  <conditionalFormatting sqref="AX217">
    <cfRule type="expression" dxfId="3104" priority="399">
      <formula>AT217&lt;&gt;""</formula>
    </cfRule>
  </conditionalFormatting>
  <conditionalFormatting sqref="AL219">
    <cfRule type="expression" dxfId="3103" priority="398">
      <formula>AL217=""</formula>
    </cfRule>
  </conditionalFormatting>
  <conditionalFormatting sqref="AT219">
    <cfRule type="expression" dxfId="3102" priority="397">
      <formula>AT217=""</formula>
    </cfRule>
  </conditionalFormatting>
  <conditionalFormatting sqref="BB219">
    <cfRule type="expression" dxfId="3101" priority="396">
      <formula>BB217=""</formula>
    </cfRule>
  </conditionalFormatting>
  <conditionalFormatting sqref="BJ219">
    <cfRule type="expression" dxfId="3100" priority="395">
      <formula>BJ217=""</formula>
    </cfRule>
  </conditionalFormatting>
  <conditionalFormatting sqref="BR219">
    <cfRule type="expression" dxfId="3099" priority="394">
      <formula>BR217=""</formula>
    </cfRule>
  </conditionalFormatting>
  <conditionalFormatting sqref="BZ219">
    <cfRule type="expression" dxfId="3098" priority="393">
      <formula>BZ217=""</formula>
    </cfRule>
  </conditionalFormatting>
  <conditionalFormatting sqref="CH219">
    <cfRule type="expression" dxfId="3097" priority="392">
      <formula>CH217=""</formula>
    </cfRule>
  </conditionalFormatting>
  <conditionalFormatting sqref="CL219">
    <cfRule type="expression" dxfId="3096" priority="391">
      <formula>CH219&lt;&gt;""</formula>
    </cfRule>
  </conditionalFormatting>
  <conditionalFormatting sqref="CD219">
    <cfRule type="expression" dxfId="3095" priority="390">
      <formula>BZ219&lt;&gt;""</formula>
    </cfRule>
  </conditionalFormatting>
  <conditionalFormatting sqref="BV219">
    <cfRule type="expression" dxfId="3094" priority="389">
      <formula>BR219&lt;&gt;""</formula>
    </cfRule>
  </conditionalFormatting>
  <conditionalFormatting sqref="BN219">
    <cfRule type="expression" dxfId="3093" priority="388">
      <formula>BJ219&lt;&gt;""</formula>
    </cfRule>
  </conditionalFormatting>
  <conditionalFormatting sqref="BF219">
    <cfRule type="expression" dxfId="3092" priority="387">
      <formula>BB219&lt;&gt;""</formula>
    </cfRule>
  </conditionalFormatting>
  <conditionalFormatting sqref="AX219">
    <cfRule type="expression" dxfId="3091" priority="386">
      <formula>AT219&lt;&gt;""</formula>
    </cfRule>
  </conditionalFormatting>
  <conditionalFormatting sqref="AP219">
    <cfRule type="expression" dxfId="3090" priority="385">
      <formula>AL219&lt;&gt;""</formula>
    </cfRule>
  </conditionalFormatting>
  <conditionalFormatting sqref="AC219:AG219">
    <cfRule type="expression" dxfId="3089" priority="384">
      <formula>X219&lt;&gt;""</formula>
    </cfRule>
  </conditionalFormatting>
  <conditionalFormatting sqref="X227:Y227">
    <cfRule type="expression" dxfId="3088" priority="375">
      <formula>X227&lt;&gt;""</formula>
    </cfRule>
  </conditionalFormatting>
  <conditionalFormatting sqref="X226">
    <cfRule type="expression" dxfId="3087" priority="374">
      <formula>X226&lt;&gt;""</formula>
    </cfRule>
  </conditionalFormatting>
  <conditionalFormatting sqref="AC226:AG226">
    <cfRule type="expression" dxfId="3086" priority="373">
      <formula>X226&lt;&gt;""</formula>
    </cfRule>
  </conditionalFormatting>
  <conditionalFormatting sqref="AL226">
    <cfRule type="expression" dxfId="3085" priority="372">
      <formula>AL226&lt;&gt;""</formula>
    </cfRule>
  </conditionalFormatting>
  <conditionalFormatting sqref="AT226">
    <cfRule type="expression" dxfId="3084" priority="371">
      <formula>AT226&lt;&gt;""</formula>
    </cfRule>
  </conditionalFormatting>
  <conditionalFormatting sqref="BB226">
    <cfRule type="expression" dxfId="3083" priority="370">
      <formula>BB226&lt;&gt;""</formula>
    </cfRule>
  </conditionalFormatting>
  <conditionalFormatting sqref="BJ226">
    <cfRule type="expression" dxfId="3082" priority="369">
      <formula>BJ226&lt;&gt;""</formula>
    </cfRule>
  </conditionalFormatting>
  <conditionalFormatting sqref="BR226">
    <cfRule type="expression" dxfId="3081" priority="368">
      <formula>BR226&lt;&gt;""</formula>
    </cfRule>
  </conditionalFormatting>
  <conditionalFormatting sqref="BZ226">
    <cfRule type="expression" dxfId="3080" priority="367">
      <formula>BZ226&lt;&gt;""</formula>
    </cfRule>
  </conditionalFormatting>
  <conditionalFormatting sqref="AP226">
    <cfRule type="expression" dxfId="3079" priority="366">
      <formula>AL226&lt;&gt;""</formula>
    </cfRule>
  </conditionalFormatting>
  <conditionalFormatting sqref="CL226">
    <cfRule type="expression" dxfId="3078" priority="365">
      <formula>CH226&lt;&gt;""</formula>
    </cfRule>
  </conditionalFormatting>
  <conditionalFormatting sqref="CH226">
    <cfRule type="expression" dxfId="3077" priority="364">
      <formula>CH226&lt;&gt;""</formula>
    </cfRule>
  </conditionalFormatting>
  <conditionalFormatting sqref="CD226">
    <cfRule type="expression" dxfId="3076" priority="363">
      <formula>BZ226&lt;&gt;""</formula>
    </cfRule>
  </conditionalFormatting>
  <conditionalFormatting sqref="BV226">
    <cfRule type="expression" dxfId="3075" priority="362">
      <formula>BR226&lt;&gt;""</formula>
    </cfRule>
  </conditionalFormatting>
  <conditionalFormatting sqref="BN226">
    <cfRule type="expression" dxfId="3074" priority="361">
      <formula>BJ226&lt;&gt;""</formula>
    </cfRule>
  </conditionalFormatting>
  <conditionalFormatting sqref="BF226">
    <cfRule type="expression" dxfId="3073" priority="360">
      <formula>BB226&lt;&gt;""</formula>
    </cfRule>
  </conditionalFormatting>
  <conditionalFormatting sqref="AX226">
    <cfRule type="expression" dxfId="3072" priority="359">
      <formula>AT226&lt;&gt;""</formula>
    </cfRule>
  </conditionalFormatting>
  <conditionalFormatting sqref="X234:Y234">
    <cfRule type="expression" dxfId="3071" priority="358">
      <formula>X234&lt;&gt;""</formula>
    </cfRule>
  </conditionalFormatting>
  <conditionalFormatting sqref="X233">
    <cfRule type="expression" dxfId="3070" priority="357">
      <formula>X233&lt;&gt;""</formula>
    </cfRule>
  </conditionalFormatting>
  <conditionalFormatting sqref="AC233:AG233">
    <cfRule type="expression" dxfId="3069" priority="356">
      <formula>X233&lt;&gt;""</formula>
    </cfRule>
  </conditionalFormatting>
  <conditionalFormatting sqref="AL233">
    <cfRule type="expression" dxfId="3068" priority="355">
      <formula>AL233&lt;&gt;""</formula>
    </cfRule>
  </conditionalFormatting>
  <conditionalFormatting sqref="AT233">
    <cfRule type="expression" dxfId="3067" priority="354">
      <formula>AT233&lt;&gt;""</formula>
    </cfRule>
  </conditionalFormatting>
  <conditionalFormatting sqref="BB233">
    <cfRule type="expression" dxfId="3066" priority="353">
      <formula>BB233&lt;&gt;""</formula>
    </cfRule>
  </conditionalFormatting>
  <conditionalFormatting sqref="BJ233">
    <cfRule type="expression" dxfId="3065" priority="352">
      <formula>BJ233&lt;&gt;""</formula>
    </cfRule>
  </conditionalFormatting>
  <conditionalFormatting sqref="BR233">
    <cfRule type="expression" dxfId="3064" priority="351">
      <formula>BR233&lt;&gt;""</formula>
    </cfRule>
  </conditionalFormatting>
  <conditionalFormatting sqref="BZ233">
    <cfRule type="expression" dxfId="3063" priority="350">
      <formula>BZ233&lt;&gt;""</formula>
    </cfRule>
  </conditionalFormatting>
  <conditionalFormatting sqref="AP233">
    <cfRule type="expression" dxfId="3062" priority="349">
      <formula>AL233&lt;&gt;""</formula>
    </cfRule>
  </conditionalFormatting>
  <conditionalFormatting sqref="CL233">
    <cfRule type="expression" dxfId="3061" priority="348">
      <formula>CH233&lt;&gt;""</formula>
    </cfRule>
  </conditionalFormatting>
  <conditionalFormatting sqref="CH233">
    <cfRule type="expression" dxfId="3060" priority="347">
      <formula>CH233&lt;&gt;""</formula>
    </cfRule>
  </conditionalFormatting>
  <conditionalFormatting sqref="CD233">
    <cfRule type="expression" dxfId="3059" priority="346">
      <formula>BZ233&lt;&gt;""</formula>
    </cfRule>
  </conditionalFormatting>
  <conditionalFormatting sqref="BV233">
    <cfRule type="expression" dxfId="3058" priority="345">
      <formula>BR233&lt;&gt;""</formula>
    </cfRule>
  </conditionalFormatting>
  <conditionalFormatting sqref="BN233">
    <cfRule type="expression" dxfId="3057" priority="344">
      <formula>BJ233&lt;&gt;""</formula>
    </cfRule>
  </conditionalFormatting>
  <conditionalFormatting sqref="BF233">
    <cfRule type="expression" dxfId="3056" priority="343">
      <formula>BB233&lt;&gt;""</formula>
    </cfRule>
  </conditionalFormatting>
  <conditionalFormatting sqref="AX233">
    <cfRule type="expression" dxfId="3055" priority="342">
      <formula>AT233&lt;&gt;""</formula>
    </cfRule>
  </conditionalFormatting>
  <conditionalFormatting sqref="X239:Y239">
    <cfRule type="expression" dxfId="3054" priority="341">
      <formula>X237=""</formula>
    </cfRule>
  </conditionalFormatting>
  <conditionalFormatting sqref="X237">
    <cfRule type="expression" dxfId="3053" priority="340">
      <formula>X237&lt;&gt;""</formula>
    </cfRule>
  </conditionalFormatting>
  <conditionalFormatting sqref="AC237:AG237">
    <cfRule type="expression" dxfId="3052" priority="339">
      <formula>X237&lt;&gt;""</formula>
    </cfRule>
  </conditionalFormatting>
  <conditionalFormatting sqref="AL237">
    <cfRule type="expression" dxfId="3051" priority="338">
      <formula>AL237&lt;&gt;""</formula>
    </cfRule>
  </conditionalFormatting>
  <conditionalFormatting sqref="AT237">
    <cfRule type="expression" dxfId="3050" priority="337">
      <formula>AT237&lt;&gt;""</formula>
    </cfRule>
  </conditionalFormatting>
  <conditionalFormatting sqref="BB237">
    <cfRule type="expression" dxfId="3049" priority="336">
      <formula>BB237&lt;&gt;""</formula>
    </cfRule>
  </conditionalFormatting>
  <conditionalFormatting sqref="BJ237">
    <cfRule type="expression" dxfId="3048" priority="335">
      <formula>BJ237&lt;&gt;""</formula>
    </cfRule>
  </conditionalFormatting>
  <conditionalFormatting sqref="BR237">
    <cfRule type="expression" dxfId="3047" priority="334">
      <formula>BR237&lt;&gt;""</formula>
    </cfRule>
  </conditionalFormatting>
  <conditionalFormatting sqref="BZ237">
    <cfRule type="expression" dxfId="3046" priority="333">
      <formula>BZ237&lt;&gt;""</formula>
    </cfRule>
  </conditionalFormatting>
  <conditionalFormatting sqref="AP237">
    <cfRule type="expression" dxfId="3045" priority="332">
      <formula>AL237&lt;&gt;""</formula>
    </cfRule>
  </conditionalFormatting>
  <conditionalFormatting sqref="CL237">
    <cfRule type="expression" dxfId="3044" priority="331">
      <formula>CH237&lt;&gt;""</formula>
    </cfRule>
  </conditionalFormatting>
  <conditionalFormatting sqref="CH237">
    <cfRule type="expression" dxfId="3043" priority="330">
      <formula>CH237&lt;&gt;""</formula>
    </cfRule>
  </conditionalFormatting>
  <conditionalFormatting sqref="CD237">
    <cfRule type="expression" dxfId="3042" priority="329">
      <formula>BZ237&lt;&gt;""</formula>
    </cfRule>
  </conditionalFormatting>
  <conditionalFormatting sqref="BV237">
    <cfRule type="expression" dxfId="3041" priority="328">
      <formula>BR237&lt;&gt;""</formula>
    </cfRule>
  </conditionalFormatting>
  <conditionalFormatting sqref="BN237">
    <cfRule type="expression" dxfId="3040" priority="327">
      <formula>BJ237&lt;&gt;""</formula>
    </cfRule>
  </conditionalFormatting>
  <conditionalFormatting sqref="BF237">
    <cfRule type="expression" dxfId="3039" priority="326">
      <formula>BB237&lt;&gt;""</formula>
    </cfRule>
  </conditionalFormatting>
  <conditionalFormatting sqref="AX237">
    <cfRule type="expression" dxfId="3038" priority="325">
      <formula>AT237&lt;&gt;""</formula>
    </cfRule>
  </conditionalFormatting>
  <conditionalFormatting sqref="AL239">
    <cfRule type="expression" dxfId="3037" priority="324">
      <formula>AL237=""</formula>
    </cfRule>
  </conditionalFormatting>
  <conditionalFormatting sqref="AT239">
    <cfRule type="expression" dxfId="3036" priority="323">
      <formula>AT237=""</formula>
    </cfRule>
  </conditionalFormatting>
  <conditionalFormatting sqref="BB239">
    <cfRule type="expression" dxfId="3035" priority="322">
      <formula>BB237=""</formula>
    </cfRule>
  </conditionalFormatting>
  <conditionalFormatting sqref="BJ239">
    <cfRule type="expression" dxfId="3034" priority="321">
      <formula>BJ237=""</formula>
    </cfRule>
  </conditionalFormatting>
  <conditionalFormatting sqref="BR239">
    <cfRule type="expression" dxfId="3033" priority="320">
      <formula>BR237=""</formula>
    </cfRule>
  </conditionalFormatting>
  <conditionalFormatting sqref="BZ239">
    <cfRule type="expression" dxfId="3032" priority="319">
      <formula>BZ237=""</formula>
    </cfRule>
  </conditionalFormatting>
  <conditionalFormatting sqref="CH239">
    <cfRule type="expression" dxfId="3031" priority="318">
      <formula>CH237=""</formula>
    </cfRule>
  </conditionalFormatting>
  <conditionalFormatting sqref="CL239">
    <cfRule type="expression" dxfId="3030" priority="317">
      <formula>CH239&lt;&gt;""</formula>
    </cfRule>
  </conditionalFormatting>
  <conditionalFormatting sqref="CD239">
    <cfRule type="expression" dxfId="3029" priority="316">
      <formula>BZ239&lt;&gt;""</formula>
    </cfRule>
  </conditionalFormatting>
  <conditionalFormatting sqref="BV239">
    <cfRule type="expression" dxfId="3028" priority="315">
      <formula>BR239&lt;&gt;""</formula>
    </cfRule>
  </conditionalFormatting>
  <conditionalFormatting sqref="BN239">
    <cfRule type="expression" dxfId="3027" priority="314">
      <formula>BJ239&lt;&gt;""</formula>
    </cfRule>
  </conditionalFormatting>
  <conditionalFormatting sqref="BF239">
    <cfRule type="expression" dxfId="3026" priority="313">
      <formula>BB239&lt;&gt;""</formula>
    </cfRule>
  </conditionalFormatting>
  <conditionalFormatting sqref="AX239">
    <cfRule type="expression" dxfId="3025" priority="312">
      <formula>AT239&lt;&gt;""</formula>
    </cfRule>
  </conditionalFormatting>
  <conditionalFormatting sqref="AP239">
    <cfRule type="expression" dxfId="3024" priority="311">
      <formula>AL239&lt;&gt;""</formula>
    </cfRule>
  </conditionalFormatting>
  <conditionalFormatting sqref="AC239:AG239">
    <cfRule type="expression" dxfId="3023" priority="310">
      <formula>X239&lt;&gt;""</formula>
    </cfRule>
  </conditionalFormatting>
  <conditionalFormatting sqref="AX277">
    <cfRule type="expression" dxfId="3022" priority="292">
      <formula>AT277&lt;&gt;""</formula>
    </cfRule>
  </conditionalFormatting>
  <conditionalFormatting sqref="X277">
    <cfRule type="expression" dxfId="3021" priority="307">
      <formula>X277&lt;&gt;""</formula>
    </cfRule>
  </conditionalFormatting>
  <conditionalFormatting sqref="AC277:AG277">
    <cfRule type="expression" dxfId="3020" priority="306">
      <formula>X277&lt;&gt;""</formula>
    </cfRule>
  </conditionalFormatting>
  <conditionalFormatting sqref="AL277">
    <cfRule type="expression" dxfId="3019" priority="305">
      <formula>AL277&lt;&gt;""</formula>
    </cfRule>
  </conditionalFormatting>
  <conditionalFormatting sqref="AT277">
    <cfRule type="expression" dxfId="3018" priority="304">
      <formula>AT277&lt;&gt;""</formula>
    </cfRule>
  </conditionalFormatting>
  <conditionalFormatting sqref="BB277">
    <cfRule type="expression" dxfId="3017" priority="303">
      <formula>BB277&lt;&gt;""</formula>
    </cfRule>
  </conditionalFormatting>
  <conditionalFormatting sqref="BJ277">
    <cfRule type="expression" dxfId="3016" priority="302">
      <formula>BJ277&lt;&gt;""</formula>
    </cfRule>
  </conditionalFormatting>
  <conditionalFormatting sqref="BR277">
    <cfRule type="expression" dxfId="3015" priority="301">
      <formula>BR277&lt;&gt;""</formula>
    </cfRule>
  </conditionalFormatting>
  <conditionalFormatting sqref="BZ277">
    <cfRule type="expression" dxfId="3014" priority="300">
      <formula>BZ277&lt;&gt;""</formula>
    </cfRule>
  </conditionalFormatting>
  <conditionalFormatting sqref="AP277">
    <cfRule type="expression" dxfId="3013" priority="299">
      <formula>AL277&lt;&gt;""</formula>
    </cfRule>
  </conditionalFormatting>
  <conditionalFormatting sqref="CL277">
    <cfRule type="expression" dxfId="3012" priority="298">
      <formula>CH277&lt;&gt;""</formula>
    </cfRule>
  </conditionalFormatting>
  <conditionalFormatting sqref="CH277">
    <cfRule type="expression" dxfId="3011" priority="297">
      <formula>CH277&lt;&gt;""</formula>
    </cfRule>
  </conditionalFormatting>
  <conditionalFormatting sqref="CD277">
    <cfRule type="expression" dxfId="3010" priority="296">
      <formula>BZ277&lt;&gt;""</formula>
    </cfRule>
  </conditionalFormatting>
  <conditionalFormatting sqref="BV277">
    <cfRule type="expression" dxfId="3009" priority="295">
      <formula>BR277&lt;&gt;""</formula>
    </cfRule>
  </conditionalFormatting>
  <conditionalFormatting sqref="BN277">
    <cfRule type="expression" dxfId="3008" priority="294">
      <formula>BJ277&lt;&gt;""</formula>
    </cfRule>
  </conditionalFormatting>
  <conditionalFormatting sqref="BF277">
    <cfRule type="expression" dxfId="3007" priority="293">
      <formula>BB277&lt;&gt;""</formula>
    </cfRule>
  </conditionalFormatting>
  <conditionalFormatting sqref="X319:Y319">
    <cfRule type="expression" dxfId="3006" priority="285">
      <formula>X316=""</formula>
    </cfRule>
  </conditionalFormatting>
  <conditionalFormatting sqref="AL319">
    <cfRule type="expression" dxfId="3005" priority="284">
      <formula>AL316=""</formula>
    </cfRule>
  </conditionalFormatting>
  <conditionalFormatting sqref="AT319">
    <cfRule type="expression" dxfId="3004" priority="283">
      <formula>AT316=""</formula>
    </cfRule>
  </conditionalFormatting>
  <conditionalFormatting sqref="BB319">
    <cfRule type="expression" dxfId="3003" priority="282">
      <formula>BB316=""</formula>
    </cfRule>
  </conditionalFormatting>
  <conditionalFormatting sqref="BJ319">
    <cfRule type="expression" dxfId="3002" priority="281">
      <formula>$BJ$316=""</formula>
    </cfRule>
  </conditionalFormatting>
  <conditionalFormatting sqref="BR319">
    <cfRule type="expression" dxfId="3001" priority="280">
      <formula>BR316=""</formula>
    </cfRule>
  </conditionalFormatting>
  <conditionalFormatting sqref="BZ319">
    <cfRule type="expression" dxfId="3000" priority="279">
      <formula>BZ316=""</formula>
    </cfRule>
  </conditionalFormatting>
  <conditionalFormatting sqref="CH319">
    <cfRule type="expression" dxfId="2999" priority="278">
      <formula>CH316=""</formula>
    </cfRule>
  </conditionalFormatting>
  <conditionalFormatting sqref="CL319">
    <cfRule type="expression" dxfId="2998" priority="277">
      <formula>CH319&lt;&gt;""</formula>
    </cfRule>
  </conditionalFormatting>
  <conditionalFormatting sqref="CD319">
    <cfRule type="expression" dxfId="2997" priority="276">
      <formula>BZ319&lt;&gt;""</formula>
    </cfRule>
  </conditionalFormatting>
  <conditionalFormatting sqref="BV319">
    <cfRule type="expression" dxfId="2996" priority="275">
      <formula>BR319&lt;&gt;""</formula>
    </cfRule>
  </conditionalFormatting>
  <conditionalFormatting sqref="BN319">
    <cfRule type="expression" dxfId="2995" priority="274">
      <formula>BJ319&lt;&gt;""</formula>
    </cfRule>
  </conditionalFormatting>
  <conditionalFormatting sqref="BF319">
    <cfRule type="expression" dxfId="2994" priority="273">
      <formula>BB319&lt;&gt;""</formula>
    </cfRule>
  </conditionalFormatting>
  <conditionalFormatting sqref="AX319">
    <cfRule type="expression" dxfId="2993" priority="272">
      <formula>AT319&lt;&gt;""</formula>
    </cfRule>
  </conditionalFormatting>
  <conditionalFormatting sqref="AP319">
    <cfRule type="expression" dxfId="2992" priority="271">
      <formula>AL319&lt;&gt;""</formula>
    </cfRule>
  </conditionalFormatting>
  <conditionalFormatting sqref="AC319:AG319">
    <cfRule type="expression" dxfId="2991" priority="270">
      <formula>X319&lt;&gt;""</formula>
    </cfRule>
  </conditionalFormatting>
  <conditionalFormatting sqref="X316">
    <cfRule type="expression" dxfId="2990" priority="261">
      <formula>X316&lt;&gt;""</formula>
    </cfRule>
  </conditionalFormatting>
  <conditionalFormatting sqref="AC316:AG316">
    <cfRule type="expression" dxfId="2989" priority="260">
      <formula>X316&lt;&gt;""</formula>
    </cfRule>
  </conditionalFormatting>
  <conditionalFormatting sqref="AL316">
    <cfRule type="expression" dxfId="2988" priority="259">
      <formula>AL316&lt;&gt;""</formula>
    </cfRule>
  </conditionalFormatting>
  <conditionalFormatting sqref="AT316">
    <cfRule type="expression" dxfId="2987" priority="258">
      <formula>AT316&lt;&gt;""</formula>
    </cfRule>
  </conditionalFormatting>
  <conditionalFormatting sqref="BB316">
    <cfRule type="expression" dxfId="2986" priority="257">
      <formula>BB316&lt;&gt;""</formula>
    </cfRule>
  </conditionalFormatting>
  <conditionalFormatting sqref="BJ316">
    <cfRule type="expression" dxfId="2985" priority="256">
      <formula>BJ316&lt;&gt;""</formula>
    </cfRule>
  </conditionalFormatting>
  <conditionalFormatting sqref="BR316">
    <cfRule type="expression" dxfId="2984" priority="255">
      <formula>BR316&lt;&gt;""</formula>
    </cfRule>
  </conditionalFormatting>
  <conditionalFormatting sqref="BZ316">
    <cfRule type="expression" dxfId="2983" priority="254">
      <formula>BZ316&lt;&gt;""</formula>
    </cfRule>
  </conditionalFormatting>
  <conditionalFormatting sqref="AP316">
    <cfRule type="expression" dxfId="2982" priority="253">
      <formula>AL316&lt;&gt;""</formula>
    </cfRule>
  </conditionalFormatting>
  <conditionalFormatting sqref="CL316">
    <cfRule type="expression" dxfId="2981" priority="252">
      <formula>CH316&lt;&gt;""</formula>
    </cfRule>
  </conditionalFormatting>
  <conditionalFormatting sqref="CH316">
    <cfRule type="expression" dxfId="2980" priority="251">
      <formula>CH316&lt;&gt;""</formula>
    </cfRule>
  </conditionalFormatting>
  <conditionalFormatting sqref="CD316">
    <cfRule type="expression" dxfId="2979" priority="250">
      <formula>BZ316&lt;&gt;""</formula>
    </cfRule>
  </conditionalFormatting>
  <conditionalFormatting sqref="BV316">
    <cfRule type="expression" dxfId="2978" priority="249">
      <formula>BR316&lt;&gt;""</formula>
    </cfRule>
  </conditionalFormatting>
  <conditionalFormatting sqref="BN316">
    <cfRule type="expression" dxfId="2977" priority="248">
      <formula>BJ316&lt;&gt;""</formula>
    </cfRule>
  </conditionalFormatting>
  <conditionalFormatting sqref="BF316">
    <cfRule type="expression" dxfId="2976" priority="247">
      <formula>BB316&lt;&gt;""</formula>
    </cfRule>
  </conditionalFormatting>
  <conditionalFormatting sqref="AX316">
    <cfRule type="expression" dxfId="2975" priority="246">
      <formula>AT316&lt;&gt;""</formula>
    </cfRule>
  </conditionalFormatting>
  <conditionalFormatting sqref="X313:Y313">
    <cfRule type="expression" dxfId="2974" priority="237">
      <formula>X313&lt;&gt;""</formula>
    </cfRule>
  </conditionalFormatting>
  <conditionalFormatting sqref="AC312:AG312">
    <cfRule type="expression" dxfId="2973" priority="236">
      <formula>X312&lt;&gt;""</formula>
    </cfRule>
  </conditionalFormatting>
  <conditionalFormatting sqref="X312">
    <cfRule type="expression" dxfId="2972" priority="235">
      <formula>X312&lt;&gt;""</formula>
    </cfRule>
  </conditionalFormatting>
  <conditionalFormatting sqref="X327:Y327">
    <cfRule type="expression" dxfId="2971" priority="232">
      <formula>X327&lt;&gt;""</formula>
    </cfRule>
  </conditionalFormatting>
  <conditionalFormatting sqref="X326">
    <cfRule type="expression" dxfId="2970" priority="8153">
      <formula>#REF!&lt;&gt;""</formula>
    </cfRule>
  </conditionalFormatting>
  <conditionalFormatting sqref="X64:Y64">
    <cfRule type="expression" dxfId="2969" priority="228">
      <formula>X64&lt;&gt;""</formula>
    </cfRule>
  </conditionalFormatting>
  <conditionalFormatting sqref="X63">
    <cfRule type="expression" dxfId="2968" priority="229">
      <formula>#REF!&lt;&gt;""</formula>
    </cfRule>
  </conditionalFormatting>
  <conditionalFormatting sqref="X248">
    <cfRule type="expression" dxfId="2967" priority="211">
      <formula>X248&lt;&gt;""</formula>
    </cfRule>
  </conditionalFormatting>
  <conditionalFormatting sqref="AC248:AG248">
    <cfRule type="expression" dxfId="2966" priority="210">
      <formula>X248&lt;&gt;""</formula>
    </cfRule>
  </conditionalFormatting>
  <conditionalFormatting sqref="AL248">
    <cfRule type="expression" dxfId="2965" priority="209">
      <formula>AL248&lt;&gt;""</formula>
    </cfRule>
  </conditionalFormatting>
  <conditionalFormatting sqref="AT248">
    <cfRule type="expression" dxfId="2964" priority="208">
      <formula>AT248&lt;&gt;""</formula>
    </cfRule>
  </conditionalFormatting>
  <conditionalFormatting sqref="BB248">
    <cfRule type="expression" dxfId="2963" priority="207">
      <formula>BB248&lt;&gt;""</formula>
    </cfRule>
  </conditionalFormatting>
  <conditionalFormatting sqref="BJ248">
    <cfRule type="expression" dxfId="2962" priority="206">
      <formula>BJ248&lt;&gt;""</formula>
    </cfRule>
  </conditionalFormatting>
  <conditionalFormatting sqref="BR248">
    <cfRule type="expression" dxfId="2961" priority="205">
      <formula>BR248&lt;&gt;""</formula>
    </cfRule>
  </conditionalFormatting>
  <conditionalFormatting sqref="BZ248">
    <cfRule type="expression" dxfId="2960" priority="204">
      <formula>BZ248&lt;&gt;""</formula>
    </cfRule>
  </conditionalFormatting>
  <conditionalFormatting sqref="AP248">
    <cfRule type="expression" dxfId="2959" priority="203">
      <formula>AL248&lt;&gt;""</formula>
    </cfRule>
  </conditionalFormatting>
  <conditionalFormatting sqref="CL248">
    <cfRule type="expression" dxfId="2958" priority="202">
      <formula>CH248&lt;&gt;""</formula>
    </cfRule>
  </conditionalFormatting>
  <conditionalFormatting sqref="CH248">
    <cfRule type="expression" dxfId="2957" priority="201">
      <formula>CH248&lt;&gt;""</formula>
    </cfRule>
  </conditionalFormatting>
  <conditionalFormatting sqref="CD248">
    <cfRule type="expression" dxfId="2956" priority="200">
      <formula>BZ248&lt;&gt;""</formula>
    </cfRule>
  </conditionalFormatting>
  <conditionalFormatting sqref="BV248">
    <cfRule type="expression" dxfId="2955" priority="199">
      <formula>BR248&lt;&gt;""</formula>
    </cfRule>
  </conditionalFormatting>
  <conditionalFormatting sqref="BN248">
    <cfRule type="expression" dxfId="2954" priority="198">
      <formula>BJ248&lt;&gt;""</formula>
    </cfRule>
  </conditionalFormatting>
  <conditionalFormatting sqref="BF248">
    <cfRule type="expression" dxfId="2953" priority="197">
      <formula>BB248&lt;&gt;""</formula>
    </cfRule>
  </conditionalFormatting>
  <conditionalFormatting sqref="AX248">
    <cfRule type="expression" dxfId="2952" priority="196">
      <formula>AT248&lt;&gt;""</formula>
    </cfRule>
  </conditionalFormatting>
  <conditionalFormatting sqref="X256:Y256">
    <cfRule type="expression" dxfId="2951" priority="195">
      <formula>X256&lt;&gt;""</formula>
    </cfRule>
  </conditionalFormatting>
  <conditionalFormatting sqref="X255">
    <cfRule type="expression" dxfId="2950" priority="194">
      <formula>X255&lt;&gt;""</formula>
    </cfRule>
  </conditionalFormatting>
  <conditionalFormatting sqref="AC255:AG255">
    <cfRule type="expression" dxfId="2949" priority="193">
      <formula>X255&lt;&gt;""</formula>
    </cfRule>
  </conditionalFormatting>
  <conditionalFormatting sqref="AL255">
    <cfRule type="expression" dxfId="2948" priority="192">
      <formula>AL255&lt;&gt;""</formula>
    </cfRule>
  </conditionalFormatting>
  <conditionalFormatting sqref="AT255">
    <cfRule type="expression" dxfId="2947" priority="191">
      <formula>AT255&lt;&gt;""</formula>
    </cfRule>
  </conditionalFormatting>
  <conditionalFormatting sqref="BB255">
    <cfRule type="expression" dxfId="2946" priority="190">
      <formula>BB255&lt;&gt;""</formula>
    </cfRule>
  </conditionalFormatting>
  <conditionalFormatting sqref="BJ255">
    <cfRule type="expression" dxfId="2945" priority="189">
      <formula>BJ255&lt;&gt;""</formula>
    </cfRule>
  </conditionalFormatting>
  <conditionalFormatting sqref="BR255">
    <cfRule type="expression" dxfId="2944" priority="188">
      <formula>BR255&lt;&gt;""</formula>
    </cfRule>
  </conditionalFormatting>
  <conditionalFormatting sqref="BZ255">
    <cfRule type="expression" dxfId="2943" priority="187">
      <formula>BZ255&lt;&gt;""</formula>
    </cfRule>
  </conditionalFormatting>
  <conditionalFormatting sqref="AP255">
    <cfRule type="expression" dxfId="2942" priority="186">
      <formula>AL255&lt;&gt;""</formula>
    </cfRule>
  </conditionalFormatting>
  <conditionalFormatting sqref="CL255">
    <cfRule type="expression" dxfId="2941" priority="185">
      <formula>CH255&lt;&gt;""</formula>
    </cfRule>
  </conditionalFormatting>
  <conditionalFormatting sqref="CH255">
    <cfRule type="expression" dxfId="2940" priority="184">
      <formula>CH255&lt;&gt;""</formula>
    </cfRule>
  </conditionalFormatting>
  <conditionalFormatting sqref="CD255">
    <cfRule type="expression" dxfId="2939" priority="183">
      <formula>BZ255&lt;&gt;""</formula>
    </cfRule>
  </conditionalFormatting>
  <conditionalFormatting sqref="BV255">
    <cfRule type="expression" dxfId="2938" priority="182">
      <formula>BR255&lt;&gt;""</formula>
    </cfRule>
  </conditionalFormatting>
  <conditionalFormatting sqref="BN255">
    <cfRule type="expression" dxfId="2937" priority="181">
      <formula>BJ255&lt;&gt;""</formula>
    </cfRule>
  </conditionalFormatting>
  <conditionalFormatting sqref="BF255">
    <cfRule type="expression" dxfId="2936" priority="180">
      <formula>BB255&lt;&gt;""</formula>
    </cfRule>
  </conditionalFormatting>
  <conditionalFormatting sqref="AX255">
    <cfRule type="expression" dxfId="2935" priority="179">
      <formula>AT255&lt;&gt;""</formula>
    </cfRule>
  </conditionalFormatting>
  <conditionalFormatting sqref="X263:Y263">
    <cfRule type="expression" dxfId="2934" priority="178">
      <formula>X263&lt;&gt;""</formula>
    </cfRule>
  </conditionalFormatting>
  <conditionalFormatting sqref="X262">
    <cfRule type="expression" dxfId="2933" priority="177">
      <formula>X262&lt;&gt;""</formula>
    </cfRule>
  </conditionalFormatting>
  <conditionalFormatting sqref="AC262:AG262">
    <cfRule type="expression" dxfId="2932" priority="176">
      <formula>X262&lt;&gt;""</formula>
    </cfRule>
  </conditionalFormatting>
  <conditionalFormatting sqref="AL262">
    <cfRule type="expression" dxfId="2931" priority="175">
      <formula>AL262&lt;&gt;""</formula>
    </cfRule>
  </conditionalFormatting>
  <conditionalFormatting sqref="AT262">
    <cfRule type="expression" dxfId="2930" priority="174">
      <formula>AT262&lt;&gt;""</formula>
    </cfRule>
  </conditionalFormatting>
  <conditionalFormatting sqref="BB262">
    <cfRule type="expression" dxfId="2929" priority="173">
      <formula>BB262&lt;&gt;""</formula>
    </cfRule>
  </conditionalFormatting>
  <conditionalFormatting sqref="BJ262">
    <cfRule type="expression" dxfId="2928" priority="172">
      <formula>BJ262&lt;&gt;""</formula>
    </cfRule>
  </conditionalFormatting>
  <conditionalFormatting sqref="BR262">
    <cfRule type="expression" dxfId="2927" priority="171">
      <formula>BR262&lt;&gt;""</formula>
    </cfRule>
  </conditionalFormatting>
  <conditionalFormatting sqref="BZ262">
    <cfRule type="expression" dxfId="2926" priority="170">
      <formula>BZ262&lt;&gt;""</formula>
    </cfRule>
  </conditionalFormatting>
  <conditionalFormatting sqref="AP262">
    <cfRule type="expression" dxfId="2925" priority="169">
      <formula>AL262&lt;&gt;""</formula>
    </cfRule>
  </conditionalFormatting>
  <conditionalFormatting sqref="CL262">
    <cfRule type="expression" dxfId="2924" priority="168">
      <formula>CH262&lt;&gt;""</formula>
    </cfRule>
  </conditionalFormatting>
  <conditionalFormatting sqref="CH262">
    <cfRule type="expression" dxfId="2923" priority="167">
      <formula>CH262&lt;&gt;""</formula>
    </cfRule>
  </conditionalFormatting>
  <conditionalFormatting sqref="CD262">
    <cfRule type="expression" dxfId="2922" priority="166">
      <formula>BZ262&lt;&gt;""</formula>
    </cfRule>
  </conditionalFormatting>
  <conditionalFormatting sqref="BV262">
    <cfRule type="expression" dxfId="2921" priority="165">
      <formula>BR262&lt;&gt;""</formula>
    </cfRule>
  </conditionalFormatting>
  <conditionalFormatting sqref="BN262">
    <cfRule type="expression" dxfId="2920" priority="164">
      <formula>BJ262&lt;&gt;""</formula>
    </cfRule>
  </conditionalFormatting>
  <conditionalFormatting sqref="BF262">
    <cfRule type="expression" dxfId="2919" priority="163">
      <formula>BB262&lt;&gt;""</formula>
    </cfRule>
  </conditionalFormatting>
  <conditionalFormatting sqref="AX262">
    <cfRule type="expression" dxfId="2918" priority="162">
      <formula>AT262&lt;&gt;""</formula>
    </cfRule>
  </conditionalFormatting>
  <conditionalFormatting sqref="X268:Y268">
    <cfRule type="expression" dxfId="2917" priority="161">
      <formula>X266=""</formula>
    </cfRule>
  </conditionalFormatting>
  <conditionalFormatting sqref="X266">
    <cfRule type="expression" dxfId="2916" priority="160">
      <formula>X266&lt;&gt;""</formula>
    </cfRule>
  </conditionalFormatting>
  <conditionalFormatting sqref="AC266:AG266">
    <cfRule type="expression" dxfId="2915" priority="159">
      <formula>X266&lt;&gt;""</formula>
    </cfRule>
  </conditionalFormatting>
  <conditionalFormatting sqref="AL266">
    <cfRule type="expression" dxfId="2914" priority="158">
      <formula>AL266&lt;&gt;""</formula>
    </cfRule>
  </conditionalFormatting>
  <conditionalFormatting sqref="AT266">
    <cfRule type="expression" dxfId="2913" priority="157">
      <formula>AT266&lt;&gt;""</formula>
    </cfRule>
  </conditionalFormatting>
  <conditionalFormatting sqref="BB266">
    <cfRule type="expression" dxfId="2912" priority="156">
      <formula>BB266&lt;&gt;""</formula>
    </cfRule>
  </conditionalFormatting>
  <conditionalFormatting sqref="BJ266">
    <cfRule type="expression" dxfId="2911" priority="155">
      <formula>BJ266&lt;&gt;""</formula>
    </cfRule>
  </conditionalFormatting>
  <conditionalFormatting sqref="BR266">
    <cfRule type="expression" dxfId="2910" priority="154">
      <formula>BR266&lt;&gt;""</formula>
    </cfRule>
  </conditionalFormatting>
  <conditionalFormatting sqref="BZ266">
    <cfRule type="expression" dxfId="2909" priority="153">
      <formula>BZ266&lt;&gt;""</formula>
    </cfRule>
  </conditionalFormatting>
  <conditionalFormatting sqref="AP266">
    <cfRule type="expression" dxfId="2908" priority="152">
      <formula>AL266&lt;&gt;""</formula>
    </cfRule>
  </conditionalFormatting>
  <conditionalFormatting sqref="CL266">
    <cfRule type="expression" dxfId="2907" priority="151">
      <formula>CH266&lt;&gt;""</formula>
    </cfRule>
  </conditionalFormatting>
  <conditionalFormatting sqref="CH266">
    <cfRule type="expression" dxfId="2906" priority="150">
      <formula>CH266&lt;&gt;""</formula>
    </cfRule>
  </conditionalFormatting>
  <conditionalFormatting sqref="CD266">
    <cfRule type="expression" dxfId="2905" priority="149">
      <formula>BZ266&lt;&gt;""</formula>
    </cfRule>
  </conditionalFormatting>
  <conditionalFormatting sqref="BV266">
    <cfRule type="expression" dxfId="2904" priority="148">
      <formula>BR266&lt;&gt;""</formula>
    </cfRule>
  </conditionalFormatting>
  <conditionalFormatting sqref="BN266">
    <cfRule type="expression" dxfId="2903" priority="147">
      <formula>BJ266&lt;&gt;""</formula>
    </cfRule>
  </conditionalFormatting>
  <conditionalFormatting sqref="BF266">
    <cfRule type="expression" dxfId="2902" priority="146">
      <formula>BB266&lt;&gt;""</formula>
    </cfRule>
  </conditionalFormatting>
  <conditionalFormatting sqref="AX266">
    <cfRule type="expression" dxfId="2901" priority="145">
      <formula>AT266&lt;&gt;""</formula>
    </cfRule>
  </conditionalFormatting>
  <conditionalFormatting sqref="AL268">
    <cfRule type="expression" dxfId="2900" priority="144">
      <formula>AL266=""</formula>
    </cfRule>
  </conditionalFormatting>
  <conditionalFormatting sqref="AT268">
    <cfRule type="expression" dxfId="2899" priority="143">
      <formula>AT266=""</formula>
    </cfRule>
  </conditionalFormatting>
  <conditionalFormatting sqref="BB268">
    <cfRule type="expression" dxfId="2898" priority="142">
      <formula>BB266=""</formula>
    </cfRule>
  </conditionalFormatting>
  <conditionalFormatting sqref="BJ268">
    <cfRule type="expression" dxfId="2897" priority="141">
      <formula>BJ266=""</formula>
    </cfRule>
  </conditionalFormatting>
  <conditionalFormatting sqref="BR268">
    <cfRule type="expression" dxfId="2896" priority="140">
      <formula>BR266=""</formula>
    </cfRule>
  </conditionalFormatting>
  <conditionalFormatting sqref="BZ268">
    <cfRule type="expression" dxfId="2895" priority="139">
      <formula>BZ266=""</formula>
    </cfRule>
  </conditionalFormatting>
  <conditionalFormatting sqref="CH268">
    <cfRule type="expression" dxfId="2894" priority="138">
      <formula>CH266=""</formula>
    </cfRule>
  </conditionalFormatting>
  <conditionalFormatting sqref="CL268">
    <cfRule type="expression" dxfId="2893" priority="137">
      <formula>CH268&lt;&gt;""</formula>
    </cfRule>
  </conditionalFormatting>
  <conditionalFormatting sqref="CD268">
    <cfRule type="expression" dxfId="2892" priority="136">
      <formula>BZ268&lt;&gt;""</formula>
    </cfRule>
  </conditionalFormatting>
  <conditionalFormatting sqref="BV268">
    <cfRule type="expression" dxfId="2891" priority="135">
      <formula>BR268&lt;&gt;""</formula>
    </cfRule>
  </conditionalFormatting>
  <conditionalFormatting sqref="BN268">
    <cfRule type="expression" dxfId="2890" priority="134">
      <formula>BJ268&lt;&gt;""</formula>
    </cfRule>
  </conditionalFormatting>
  <conditionalFormatting sqref="BF268">
    <cfRule type="expression" dxfId="2889" priority="133">
      <formula>BB268&lt;&gt;""</formula>
    </cfRule>
  </conditionalFormatting>
  <conditionalFormatting sqref="AX268">
    <cfRule type="expression" dxfId="2888" priority="132">
      <formula>AT268&lt;&gt;""</formula>
    </cfRule>
  </conditionalFormatting>
  <conditionalFormatting sqref="AP268">
    <cfRule type="expression" dxfId="2887" priority="131">
      <formula>AL268&lt;&gt;""</formula>
    </cfRule>
  </conditionalFormatting>
  <conditionalFormatting sqref="AC268:AG268">
    <cfRule type="expression" dxfId="2886" priority="130">
      <formula>X268&lt;&gt;""</formula>
    </cfRule>
  </conditionalFormatting>
  <conditionalFormatting sqref="X161:Y161">
    <cfRule type="expression" dxfId="2885" priority="507">
      <formula>X159=""</formula>
    </cfRule>
  </conditionalFormatting>
  <conditionalFormatting sqref="AL161">
    <cfRule type="expression" dxfId="2884" priority="550">
      <formula>AL159=""</formula>
    </cfRule>
  </conditionalFormatting>
  <conditionalFormatting sqref="AT161">
    <cfRule type="expression" dxfId="2883" priority="549">
      <formula>AT159=""</formula>
    </cfRule>
  </conditionalFormatting>
  <conditionalFormatting sqref="BB161">
    <cfRule type="expression" dxfId="2882" priority="548">
      <formula>BB159=""</formula>
    </cfRule>
  </conditionalFormatting>
  <conditionalFormatting sqref="BJ161">
    <cfRule type="expression" dxfId="2881" priority="547">
      <formula>BJ159=""</formula>
    </cfRule>
  </conditionalFormatting>
  <conditionalFormatting sqref="BR161">
    <cfRule type="expression" dxfId="2880" priority="546">
      <formula>BR159=""</formula>
    </cfRule>
  </conditionalFormatting>
  <conditionalFormatting sqref="BZ161">
    <cfRule type="expression" dxfId="2879" priority="545">
      <formula>BZ159=""</formula>
    </cfRule>
  </conditionalFormatting>
  <conditionalFormatting sqref="CH161">
    <cfRule type="expression" dxfId="2878" priority="544">
      <formula>CH159=""</formula>
    </cfRule>
  </conditionalFormatting>
  <conditionalFormatting sqref="CL161">
    <cfRule type="expression" dxfId="2877" priority="97">
      <formula>CH161&lt;&gt;""</formula>
    </cfRule>
  </conditionalFormatting>
  <conditionalFormatting sqref="CD161">
    <cfRule type="expression" dxfId="2876" priority="96">
      <formula>BZ161&lt;&gt;""</formula>
    </cfRule>
  </conditionalFormatting>
  <conditionalFormatting sqref="BV161">
    <cfRule type="expression" dxfId="2875" priority="95">
      <formula>BR161&lt;&gt;""</formula>
    </cfRule>
  </conditionalFormatting>
  <conditionalFormatting sqref="BN161">
    <cfRule type="expression" dxfId="2874" priority="94">
      <formula>BJ161&lt;&gt;""</formula>
    </cfRule>
  </conditionalFormatting>
  <conditionalFormatting sqref="BF161">
    <cfRule type="expression" dxfId="2873" priority="93">
      <formula>BB161&lt;&gt;""</formula>
    </cfRule>
  </conditionalFormatting>
  <conditionalFormatting sqref="AX161">
    <cfRule type="expression" dxfId="2872" priority="92">
      <formula>AT161&lt;&gt;""</formula>
    </cfRule>
  </conditionalFormatting>
  <conditionalFormatting sqref="AP161">
    <cfRule type="expression" dxfId="2871" priority="91">
      <formula>AL161&lt;&gt;""</formula>
    </cfRule>
  </conditionalFormatting>
  <conditionalFormatting sqref="AC161:AG161">
    <cfRule type="expression" dxfId="2870" priority="90">
      <formula>X161&lt;&gt;""</formula>
    </cfRule>
  </conditionalFormatting>
  <conditionalFormatting sqref="CH198">
    <cfRule type="expression" dxfId="2869" priority="46">
      <formula>CH198&lt;&gt;""</formula>
    </cfRule>
  </conditionalFormatting>
  <conditionalFormatting sqref="X199:Y199">
    <cfRule type="expression" dxfId="2868" priority="57">
      <formula>X199&lt;&gt;""</formula>
    </cfRule>
  </conditionalFormatting>
  <conditionalFormatting sqref="X198">
    <cfRule type="expression" dxfId="2867" priority="56">
      <formula>X198&lt;&gt;""</formula>
    </cfRule>
  </conditionalFormatting>
  <conditionalFormatting sqref="AC198:AG198">
    <cfRule type="expression" dxfId="2866" priority="55">
      <formula>X198&lt;&gt;""</formula>
    </cfRule>
  </conditionalFormatting>
  <conditionalFormatting sqref="AL198">
    <cfRule type="expression" dxfId="2865" priority="54">
      <formula>AL198&lt;&gt;""</formula>
    </cfRule>
  </conditionalFormatting>
  <conditionalFormatting sqref="AT198">
    <cfRule type="expression" dxfId="2864" priority="53">
      <formula>AT198&lt;&gt;""</formula>
    </cfRule>
  </conditionalFormatting>
  <conditionalFormatting sqref="BB198">
    <cfRule type="expression" dxfId="2863" priority="52">
      <formula>BB198&lt;&gt;""</formula>
    </cfRule>
  </conditionalFormatting>
  <conditionalFormatting sqref="BJ198">
    <cfRule type="expression" dxfId="2862" priority="51">
      <formula>BJ198&lt;&gt;""</formula>
    </cfRule>
  </conditionalFormatting>
  <conditionalFormatting sqref="BR198">
    <cfRule type="expression" dxfId="2861" priority="50">
      <formula>BR198&lt;&gt;""</formula>
    </cfRule>
  </conditionalFormatting>
  <conditionalFormatting sqref="BZ198">
    <cfRule type="expression" dxfId="2860" priority="49">
      <formula>BZ198&lt;&gt;""</formula>
    </cfRule>
  </conditionalFormatting>
  <conditionalFormatting sqref="AP198">
    <cfRule type="expression" dxfId="2859" priority="48">
      <formula>AL198&lt;&gt;""</formula>
    </cfRule>
  </conditionalFormatting>
  <conditionalFormatting sqref="CL198">
    <cfRule type="expression" dxfId="2858" priority="47">
      <formula>CH198&lt;&gt;""</formula>
    </cfRule>
  </conditionalFormatting>
  <conditionalFormatting sqref="CD198">
    <cfRule type="expression" dxfId="2857" priority="45">
      <formula>BZ198&lt;&gt;""</formula>
    </cfRule>
  </conditionalFormatting>
  <conditionalFormatting sqref="BV198">
    <cfRule type="expression" dxfId="2856" priority="44">
      <formula>BR198&lt;&gt;""</formula>
    </cfRule>
  </conditionalFormatting>
  <conditionalFormatting sqref="BN198">
    <cfRule type="expression" dxfId="2855" priority="43">
      <formula>BJ198&lt;&gt;""</formula>
    </cfRule>
  </conditionalFormatting>
  <conditionalFormatting sqref="BF198">
    <cfRule type="expression" dxfId="2854" priority="42">
      <formula>BB198&lt;&gt;""</formula>
    </cfRule>
  </conditionalFormatting>
  <conditionalFormatting sqref="AX198">
    <cfRule type="expression" dxfId="2853" priority="41">
      <formula>AT198&lt;&gt;""</formula>
    </cfRule>
  </conditionalFormatting>
  <conditionalFormatting sqref="AX291">
    <cfRule type="expression" dxfId="2852" priority="17">
      <formula>AT291&lt;&gt;""</formula>
    </cfRule>
  </conditionalFormatting>
  <conditionalFormatting sqref="X291">
    <cfRule type="expression" dxfId="2851" priority="32">
      <formula>X291&lt;&gt;""</formula>
    </cfRule>
  </conditionalFormatting>
  <conditionalFormatting sqref="AC291:AG291">
    <cfRule type="expression" dxfId="2850" priority="31">
      <formula>X291&lt;&gt;""</formula>
    </cfRule>
  </conditionalFormatting>
  <conditionalFormatting sqref="AL291">
    <cfRule type="expression" dxfId="2849" priority="30">
      <formula>AL291&lt;&gt;""</formula>
    </cfRule>
  </conditionalFormatting>
  <conditionalFormatting sqref="AT291">
    <cfRule type="expression" dxfId="2848" priority="29">
      <formula>AT291&lt;&gt;""</formula>
    </cfRule>
  </conditionalFormatting>
  <conditionalFormatting sqref="BB291">
    <cfRule type="expression" dxfId="2847" priority="28">
      <formula>BB291&lt;&gt;""</formula>
    </cfRule>
  </conditionalFormatting>
  <conditionalFormatting sqref="BJ291">
    <cfRule type="expression" dxfId="2846" priority="27">
      <formula>BJ291&lt;&gt;""</formula>
    </cfRule>
  </conditionalFormatting>
  <conditionalFormatting sqref="BR291">
    <cfRule type="expression" dxfId="2845" priority="26">
      <formula>BR291&lt;&gt;""</formula>
    </cfRule>
  </conditionalFormatting>
  <conditionalFormatting sqref="BZ291">
    <cfRule type="expression" dxfId="2844" priority="25">
      <formula>BZ291&lt;&gt;""</formula>
    </cfRule>
  </conditionalFormatting>
  <conditionalFormatting sqref="AP291">
    <cfRule type="expression" dxfId="2843" priority="24">
      <formula>AL291&lt;&gt;""</formula>
    </cfRule>
  </conditionalFormatting>
  <conditionalFormatting sqref="CL291">
    <cfRule type="expression" dxfId="2842" priority="23">
      <formula>CH291&lt;&gt;""</formula>
    </cfRule>
  </conditionalFormatting>
  <conditionalFormatting sqref="CH291">
    <cfRule type="expression" dxfId="2841" priority="22">
      <formula>CH291&lt;&gt;""</formula>
    </cfRule>
  </conditionalFormatting>
  <conditionalFormatting sqref="CD291">
    <cfRule type="expression" dxfId="2840" priority="21">
      <formula>BZ291&lt;&gt;""</formula>
    </cfRule>
  </conditionalFormatting>
  <conditionalFormatting sqref="BV291">
    <cfRule type="expression" dxfId="2839" priority="20">
      <formula>BR291&lt;&gt;""</formula>
    </cfRule>
  </conditionalFormatting>
  <conditionalFormatting sqref="BN291">
    <cfRule type="expression" dxfId="2838" priority="19">
      <formula>BJ291&lt;&gt;""</formula>
    </cfRule>
  </conditionalFormatting>
  <conditionalFormatting sqref="BF291">
    <cfRule type="expression" dxfId="2837" priority="18">
      <formula>BB291&lt;&gt;""</formula>
    </cfRule>
  </conditionalFormatting>
  <conditionalFormatting sqref="AX284">
    <cfRule type="expression" dxfId="2836" priority="1">
      <formula>AT284&lt;&gt;""</formula>
    </cfRule>
  </conditionalFormatting>
  <conditionalFormatting sqref="X284">
    <cfRule type="expression" dxfId="2835" priority="16">
      <formula>X284&lt;&gt;""</formula>
    </cfRule>
  </conditionalFormatting>
  <conditionalFormatting sqref="AC284:AG284">
    <cfRule type="expression" dxfId="2834" priority="15">
      <formula>X284&lt;&gt;""</formula>
    </cfRule>
  </conditionalFormatting>
  <conditionalFormatting sqref="AL284">
    <cfRule type="expression" dxfId="2833" priority="14">
      <formula>AL284&lt;&gt;""</formula>
    </cfRule>
  </conditionalFormatting>
  <conditionalFormatting sqref="AT284">
    <cfRule type="expression" dxfId="2832" priority="13">
      <formula>AT284&lt;&gt;""</formula>
    </cfRule>
  </conditionalFormatting>
  <conditionalFormatting sqref="BB284">
    <cfRule type="expression" dxfId="2831" priority="12">
      <formula>BB284&lt;&gt;""</formula>
    </cfRule>
  </conditionalFormatting>
  <conditionalFormatting sqref="BJ284">
    <cfRule type="expression" dxfId="2830" priority="11">
      <formula>BJ284&lt;&gt;""</formula>
    </cfRule>
  </conditionalFormatting>
  <conditionalFormatting sqref="BR284">
    <cfRule type="expression" dxfId="2829" priority="10">
      <formula>BR284&lt;&gt;""</formula>
    </cfRule>
  </conditionalFormatting>
  <conditionalFormatting sqref="BZ284">
    <cfRule type="expression" dxfId="2828" priority="9">
      <formula>BZ284&lt;&gt;""</formula>
    </cfRule>
  </conditionalFormatting>
  <conditionalFormatting sqref="AP284">
    <cfRule type="expression" dxfId="2827" priority="8">
      <formula>AL284&lt;&gt;""</formula>
    </cfRule>
  </conditionalFormatting>
  <conditionalFormatting sqref="CL284">
    <cfRule type="expression" dxfId="2826" priority="7">
      <formula>CH284&lt;&gt;""</formula>
    </cfRule>
  </conditionalFormatting>
  <conditionalFormatting sqref="CH284">
    <cfRule type="expression" dxfId="2825" priority="6">
      <formula>CH284&lt;&gt;""</formula>
    </cfRule>
  </conditionalFormatting>
  <conditionalFormatting sqref="CD284">
    <cfRule type="expression" dxfId="2824" priority="5">
      <formula>BZ284&lt;&gt;""</formula>
    </cfRule>
  </conditionalFormatting>
  <conditionalFormatting sqref="BV284">
    <cfRule type="expression" dxfId="2823" priority="4">
      <formula>BR284&lt;&gt;""</formula>
    </cfRule>
  </conditionalFormatting>
  <conditionalFormatting sqref="BN284">
    <cfRule type="expression" dxfId="2822" priority="3">
      <formula>BJ284&lt;&gt;""</formula>
    </cfRule>
  </conditionalFormatting>
  <conditionalFormatting sqref="BF284">
    <cfRule type="expression" dxfId="2821" priority="2">
      <formula>BB284&lt;&gt;""</formula>
    </cfRule>
  </conditionalFormatting>
  <dataValidations count="18">
    <dataValidation allowBlank="1" showErrorMessage="1" promptTitle="Kapasitet" prompt="Disse verdiene er estimater fra NFF" sqref="AC70 CL70 AL70 AP70 AT70 AX70 BB70 BF70 BJ70 BN70 BR70 BV70 BZ70 CD70 CH70 X70" xr:uid="{089F96E5-C6C9-48D4-9980-9B0A219F0D75}"/>
    <dataValidation allowBlank="1" showErrorMessage="1" sqref="AB322 W322 W56 AS51 I13:L14 L81 K81:K82 L97 K97:K98 L273 K273:K274 L244 CG329 L125 K125:K126 L189 K189:K190 CG322 L308 K296:K297 AK56 AO322 AK322 W51 AW322 AS322 AS56 BA56 BE322 BA322 BI56 BM322 BI322 BQ56 BU322 BQ322 BY56 CC322 BY322 CG56 CK322 I55:S55 L72 K72:K73 O322:S322 K18:K19 L18 K88:K89 L88 L209 K209:K210 L229 K229:K230 L222 K222:K223 I1:S1 I5:R12 S12:AF12 M14:AF14 S5:S11 T5:AF10 L148 K139:K140 L174 K174:K175 L110 K110:K111 L132 K132:K133 L139 K148:K149 L296 K308:K309 W329 AS333 AK329 W333 AS329 BA329 BI329 BQ329 BY329 K244:K245 L251 K251:K252 L258 K258:K259 L287 K287:K288 L280 K280:K281" xr:uid="{A2A11A8A-BCCB-431E-84C6-4A24FE6AE975}"/>
    <dataValidation type="decimal" operator="greaterThan" allowBlank="1" showInputMessage="1" showErrorMessage="1" errorTitle="Oops!" error="Bare tall (større enn 0) er tillatt." sqref="AL320 X320:Y320 BJ320 AT320 BB320 BR320 BZ320 CH320" xr:uid="{9DCEC6C1-A755-4D4B-9D14-FDCFE5889CB5}">
      <formula1>0</formula1>
    </dataValidation>
    <dataValidation allowBlank="1" showErrorMessage="1" promptTitle="Normal salve" prompt="verdi hentet fra den sprengingsvolumfanen" sqref="O100 O128 O192 O201 O151 O164 O205 O113 O135 O156 O160" xr:uid="{BE05521D-C3A3-4125-BAFB-355F4AFF8DBD}"/>
    <dataValidation allowBlank="1" showInputMessage="1" showErrorMessage="1" promptTitle="Beregningsmetode" prompt="Her kan brukeren velge metode for å beregne manual driftsrensk-mengden." sqref="O21 O46:O49 O249 O27:O31 O34:O37 O42 O256 O263" xr:uid="{A09C3B4A-0548-47B9-9833-56DBA8C0D5BA}"/>
    <dataValidation allowBlank="1" showInputMessage="1" showErrorMessage="1" promptTitle="Beregningsmetode" prompt="Her kan brukeren velge metode for å beregne bolte-mengden." sqref="O195 O203 O207 O166 O154 O158 O162" xr:uid="{0B1D9619-1138-4758-AAD2-621DCD906C2C}"/>
    <dataValidation operator="greaterThan" allowBlank="1" showInputMessage="1" showErrorMessage="1" errorTitle="Oops!" error="Bare tall (større enn 0) er tillatt." sqref="AL107 AL219 BB107 AT107 BJ107 BR107 AL171 CH107 AL184 BB184 AT184 BJ184 BR184 CH184 X184 BZ184 BB219 AT219 BJ219 BR219 CH219 X219 BZ219 X107 AL120 BB171 BB120 AT120 BJ120 BR120 CH120 X120 AT171 BZ120 BJ171 BR171 CH171 X171 BZ171 BZ107 BZ239 AL239 BB239 AT239 BJ239 BR239 CH239 X239 BZ319 AL319 BB319 AT319 BJ319 BR319 CH319 X319 AL268 BB268 AT268 BJ268 BR268 CH268 X268 BZ268 AL161 BB161 AT161 BJ161 BR161 CH161 X161 BZ161" xr:uid="{3F9DE4B7-DEC7-4BA2-8171-A70FD437921F}"/>
    <dataValidation allowBlank="1" showErrorMessage="1" promptTitle="Beregningsmetode" prompt="Her kan brukeren velge metode for å beregne manual driftsrensk-mengden." sqref="O34 O24 O26 O40 O46 O22" xr:uid="{B42DFD01-5AA9-4E85-8091-A774F18BE782}"/>
    <dataValidation allowBlank="1" showInputMessage="1" showErrorMessage="1" errorTitle="Oops!" error="Bare tall (mellom 0 og 100) er tillatt." sqref="CM178" xr:uid="{DF8542C1-5C6A-47BA-BFB4-7FF755D003B6}"/>
    <dataValidation type="decimal" operator="greaterThanOrEqual" allowBlank="1" showInputMessage="1" showErrorMessage="1" errorTitle="Oops!" error="Bare tall (≥ 0) er tillatt." sqref="BZ136 AL136 BZ165 AL165 AT165 CH165 BJ165 BJ92:BJ93 BB249 BJ249 BR249 BZ249 CH249 AL262:AL263 BB206 BJ233 BR233 BZ233 CH233 X233:Y233 AL233 AT233 AL114 BZ114 BR114 BJ114 AT114 X129:Y129 BB114 X202:Y202 AL202 BR202 BB202 BJ202 CH202 AT202 BJ178 BR178 X178 BB178 AL300:AL301 AT300:AT301 BB300:BB301 BR85:BR86 BZ85:BZ86 CH85:CH86 AL85:AL86 AT85:AT86 BB85:BB86 BB76:BB77 BJ76:BJ77 BR76:BR77 BZ76:BZ77 AL76:AL77 BR165 AT76:AT77 BR92:BR93 BZ92:BZ93 CH92:CH93 AL92:AL93 X136:Y136 AT92:AT93 X101:Y101 AL249 BJ206 BR206 BZ206 X92:Y93 X85:Y86 X76:Y77 BB136 BB165 BZ178 AL178 AT178 CH178 CH76:CH77 BJ85:BJ86 BB92:BB93 BB233 CH114 BB129 X165 AT136 CH136 BJ136 BR136 CH206 BB101 BJ101 BR101 BZ101 AL101 AT101 CH101 X114:Y114 BJ300:BJ301 BR300:BR301 BZ300:BZ301 CH300:CH301 X300 X301:Y301 BZ202 BZ129 AL129 AT129 CH129 BJ129 BR129 X226:Y226 AL226 AT226 BB226 BJ226 BR226 BZ226 CH226 X213:Y213 AL213 AT213 BB213 BJ213 BR213 BZ213 CH213 X206:Y206 AL206 AT206 AL277 BZ277 BR277 BJ277 AT277 BB277 CH277 X277:Y277 AL312:AL313 AT312:AT313 BB312:BB313 BJ312:BJ313 BR312:BR313 BZ312:BZ313 CH312:CH313 X312 X313:Y313 X327:Y327 AL327 AT327 BB327 BJ327 BR327 BZ327 CH327 X64:Y64 AL64 AT64 BB64 BJ64 BR64 BZ64 CH64 AT249 X255:Y256 AT262:AT263 BB262:BB263 BJ262:BJ263 BR262:BR263 BZ262:BZ263 CH262:CH263 X262:Y263 X249:Y249 BZ255:BZ256 BR255:BR256 BJ255:BJ256 BB255:BB256 AT255:AT256 AL255:AL256 CH255:CH256 AL291 BZ291 BR291 BJ291 AT291 BB291 CH291 X291:Y291 AL284 BZ284 BR284 BJ284 AT284 BB284 CH284 X284:Y284" xr:uid="{DF8CD7B4-B627-41D5-B6E3-EFEEB8C4C8BB}">
      <formula1>0</formula1>
    </dataValidation>
    <dataValidation type="decimal" operator="greaterThanOrEqual" allowBlank="1" showInputMessage="1" showErrorMessage="1" errorTitle="Oops!" error="Bare tall (≥ 1) er tillatt._x000a_" sqref="BZ144 BR144 BJ144 BB144 AT144 AL144 X144:Y144 CH144 BZ203 BR203 BJ203 BB203 AT203 AL203 X203:Y203 CH203 BZ207 BR207 BJ207 BB207 AT207 AL207 X207:Y207 CH207 BZ214 BR214 BJ214 BB214 AT214 AL214 X214:Y214 CH214 BZ227 BR227 BJ227 BB227 AT227 AL227 X227:Y227 CH227 BZ234 BR234 BJ234 BB234 AT234 AL234 X234:Y234 CH234 BZ199 BR199 BJ199 BB199 AT199 AL199 X199:Y199 CH199" xr:uid="{86BBE2EA-23BE-477E-AE47-C8A3C5077B9E}">
      <formula1>1</formula1>
    </dataValidation>
    <dataValidation type="decimal" operator="greaterThan" allowBlank="1" showInputMessage="1" showErrorMessage="1" errorTitle="Oops!" error="Sjekk verdien. Lengde må være større en 0." sqref="V34 V40" xr:uid="{B7178027-E484-4839-932C-1E7124864631}">
      <formula1>0</formula1>
    </dataValidation>
    <dataValidation type="list" allowBlank="1" showInputMessage="1" showErrorMessage="1" errorTitle="Oops!" error="Velg en verdi fra listen." sqref="X152:Y153" xr:uid="{BACE4F9B-4E5B-426B-81CF-3066566841C3}">
      <formula1>INDIRECT("klasse_forbotling_område[bueområde]")</formula1>
    </dataValidation>
    <dataValidation type="list" allowBlank="1" showInputMessage="1" showErrorMessage="1" errorTitle="Oops!" error="Velg verdi fra listen." sqref="AL152:AL153 AT152:AT153 BB152:BB153 BJ152:BJ153 BR152:BR153 CH152:CH153 BZ152:BZ153" xr:uid="{8600301D-C9BF-4EB2-A383-959BBEC634EA}">
      <formula1>INDIRECT("klasse_forbotling_område[bueområde]")</formula1>
    </dataValidation>
    <dataValidation type="decimal" allowBlank="1" showInputMessage="1" showErrorMessage="1" errorTitle="Oops!" error="Bare tall (mellom 0 og 100 %) er tillatt." sqref="X105:Y105 AL105 AT105 BB105 BJ105 BR105 BZ105 CH105 CH118 BZ118 BR118 BJ118 BB118 AT118 AL118 X118:Y118 CH169 BZ169 BR169 BJ169 BB169 AT169 AL169 X169:Y169 CH182 BZ182 BR182 BJ182 BB182 AT182 AL182 X182:Y182 CH217 BZ217 BR217 BJ217 BB217 AT217 AL217 X217:Y217 BZ157 CH157 BR157 BJ157 BB157 AT157 AL157 X157:Y157 CH237 BZ237 BR237 BJ237 BB237 AT237 AL237 X237:Y237 CH316 BZ316 BR316 BJ316 BB316 AT316 AL316 X316:Y316 CH266 BZ266 BR266 BJ266 BB266 AT266 AL266 X266:Y266 X198:Y198 AL198 AT198 BB198 BJ198 BR198 BZ198 CH198" xr:uid="{0D9807D2-F441-4CB3-BB7A-47256D2D6D53}">
      <formula1>0</formula1>
      <formula2>1</formula2>
    </dataValidation>
    <dataValidation type="decimal" operator="greaterThanOrEqual" allowBlank="1" showInputMessage="1" showErrorMessage="1" errorTitle="Oops!" error="Bare tall (≥ 1) er tillatt." sqref="X143:Y143 AL143 AT143 BB143 BJ143 BR143 BZ143 CH143 X248:Y248 AL248 AT248 BB248 BJ248 BR248 BZ248 CH248" xr:uid="{CF6262DD-9F1E-4877-9DA8-A5DD8B4F1F8B}">
      <formula1>1</formula1>
    </dataValidation>
    <dataValidation type="list" allowBlank="1" showInputMessage="1" showErrorMessage="1" errorTitle="Oops!" error="Velg en verdi fra listen." sqref="X193:Y194 AL193:AL194 AT193:AT194 BB193:BB194 BJ193:BJ194 BR193:BR194 BZ193:BZ194 CH193:CH194" xr:uid="{03BB58C3-708E-44CC-934D-55D9774978D8}">
      <formula1>INDIRECT("klasse_buer_dim[Dimensjon]")</formula1>
    </dataValidation>
    <dataValidation allowBlank="1" showInputMessage="1" showErrorMessage="1" promptTitle="Forbolting" prompt="Velg den område av buen der forboltene skal settes opp." sqref="O152:O153" xr:uid="{166E30DE-6407-48CE-A365-4BD4F6DB969E}"/>
  </dataValidations>
  <printOptions horizontalCentered="1" verticalCentered="1"/>
  <pageMargins left="0.23622047244094491" right="0.23622047244094491" top="0.74803149606299213" bottom="0.74803149606299213" header="0.31496062992125984" footer="0.31496062992125984"/>
  <pageSetup paperSize="8" scale="17"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5" id="{C2E3340B-C298-47C7-8E65-7D63C4E217C0}">
            <xm:f>OR(_Calcs_Klasse!$APM$42="-",_Calcs_Klasse!$APM$42=_List!$DQ$6)</xm:f>
            <x14:dxf>
              <font>
                <color theme="6" tint="0.79998168889431442"/>
              </font>
              <fill>
                <patternFill>
                  <bgColor theme="6" tint="0.79998168889431442"/>
                </patternFill>
              </fill>
              <border>
                <left/>
                <right/>
                <top/>
                <bottom/>
              </border>
            </x14:dxf>
          </x14:cfRule>
          <xm:sqref>W156:Z158 W164:Z166 AB156:AH158 AB164:AH166 AB168:AH172 W168:Z172 W175:Z175 AB175:AH175 W177:Z179 AB177:AH179 W181:Z185 AB181:AH185 AB160:AH160 AB162:AH162 W161:Z162</xm:sqref>
        </x14:conditionalFormatting>
        <x14:conditionalFormatting xmlns:xm="http://schemas.microsoft.com/office/excel/2006/main">
          <x14:cfRule type="expression" priority="104" id="{94333618-9F50-4218-8B75-CDFE9074CA78}">
            <xm:f>OR(_Calcs_Klasse!$APM$43="-",_Calcs_Klasse!$APM$43=_List!$DQ$6)</xm:f>
            <x14:dxf>
              <font>
                <color theme="6" tint="0.79998168889431442"/>
              </font>
              <fill>
                <patternFill>
                  <bgColor theme="6" tint="0.79998168889431442"/>
                </patternFill>
              </fill>
              <border>
                <left/>
                <right/>
                <top/>
                <bottom/>
              </border>
            </x14:dxf>
          </x14:cfRule>
          <xm:sqref>AO168:AQ172 AO164:AQ166 AK168:AM172 AK164:AM166 AK175:AM175 AO175:AQ175 AO177:AQ179 AK177:AM179 AK181:AM185 AO181:AQ185 AK156:AM158 AO156:AQ158 AO160:AQ160 AO162:AQ162 AK161:AM162</xm:sqref>
        </x14:conditionalFormatting>
        <x14:conditionalFormatting xmlns:xm="http://schemas.microsoft.com/office/excel/2006/main">
          <x14:cfRule type="expression" priority="103" id="{9DCC6D80-49F9-431E-AB29-89822C1C41F8}">
            <xm:f>OR(_Calcs_Klasse!$APM$44="-",_Calcs_Klasse!$APM$44=_List!$DQ$6)</xm:f>
            <x14:dxf>
              <font>
                <color theme="6" tint="0.79998168889431442"/>
              </font>
              <fill>
                <patternFill>
                  <bgColor theme="6" tint="0.79998168889431442"/>
                </patternFill>
              </fill>
              <border>
                <left/>
                <right/>
                <top/>
                <bottom/>
                <vertical/>
                <horizontal/>
              </border>
            </x14:dxf>
          </x14:cfRule>
          <xm:sqref>AW164:AY166 AS164:AU166 AW168:AY172 AS168:AU172 AS175:AU175 AW175:AY175 AS177:AU179 AW177:AY179 AS181:AU185 AW181:AY185 AS156:AU158 AW156:AY158 AW160:AY160 AW162:AY162 AS161:AU162</xm:sqref>
        </x14:conditionalFormatting>
        <x14:conditionalFormatting xmlns:xm="http://schemas.microsoft.com/office/excel/2006/main">
          <x14:cfRule type="expression" priority="102" id="{DD6F1E2A-735A-43F0-839B-A658D6B693D3}">
            <xm:f>OR(_Calcs_Klasse!$APM$45="-",_Calcs_Klasse!$APM$45=_List!$DQ$6)</xm:f>
            <x14:dxf>
              <font>
                <color theme="6" tint="0.79998168889431442"/>
              </font>
              <fill>
                <patternFill>
                  <bgColor theme="6" tint="0.79998168889431442"/>
                </patternFill>
              </fill>
              <border>
                <left/>
                <right/>
                <top/>
                <bottom/>
                <vertical/>
                <horizontal/>
              </border>
            </x14:dxf>
          </x14:cfRule>
          <xm:sqref>BE164:BG166 BA164:BC166 BE168:BG172 BA168:BC172 BA156:BC158 BE156:BG158 BA175:BC175 BE175:BG175 BA177:BC179 BE177:BG179 BA181:BC185 BE181:BG185 BE160:BG160 BE162:BG162 BA161:BC162</xm:sqref>
        </x14:conditionalFormatting>
        <x14:conditionalFormatting xmlns:xm="http://schemas.microsoft.com/office/excel/2006/main">
          <x14:cfRule type="expression" priority="101" id="{E27EB675-3324-487C-BFD5-43516302872E}">
            <xm:f>OR(_Calcs_Klasse!$APM$46="-",_Calcs_Klasse!$APM$46=_List!$DQ$6)</xm:f>
            <x14:dxf>
              <font>
                <color theme="6" tint="0.79998168889431442"/>
              </font>
              <fill>
                <patternFill>
                  <bgColor theme="6" tint="0.79998168889431442"/>
                </patternFill>
              </fill>
              <border>
                <left/>
                <right/>
                <top/>
                <bottom/>
                <vertical/>
                <horizontal/>
              </border>
            </x14:dxf>
          </x14:cfRule>
          <xm:sqref>BM164:BO166 BI164:BK166 BM168:BO172 BI168:BK172 BI156:BK158 BM156:BO158 BI175:BK175 BM175:BO175 BI177:BK179 BM177:BO179 BM181:BO185 BI181:BK185 BM160:BO160 BM162:BO162 BI161:BK162</xm:sqref>
        </x14:conditionalFormatting>
        <x14:conditionalFormatting xmlns:xm="http://schemas.microsoft.com/office/excel/2006/main">
          <x14:cfRule type="expression" priority="100" id="{3DE7D27C-A55C-495F-A7BA-6047AA0F1EC4}">
            <xm:f>OR(_Calcs_Klasse!$APM$47="-",_Calcs_Klasse!$APM$47=_List!$DQ$6)</xm:f>
            <x14:dxf>
              <font>
                <color theme="6" tint="0.79998168889431442"/>
              </font>
              <fill>
                <patternFill>
                  <bgColor theme="6" tint="0.79998168889431442"/>
                </patternFill>
              </fill>
              <border>
                <left/>
                <right/>
                <top/>
                <bottom/>
                <vertical/>
                <horizontal/>
              </border>
            </x14:dxf>
          </x14:cfRule>
          <xm:sqref>BU164:BW166 BQ164:BS166 BU168:BW172 BQ168:BS172 BQ156:BS158 BU156:BW158 BQ175:BS175 BU175:BW175 BU177:BW179 BU181:BW185 BQ181:BS185 BQ177:BS179 BU160:BW160 BU162:BW162 BQ161:BS162</xm:sqref>
        </x14:conditionalFormatting>
        <x14:conditionalFormatting xmlns:xm="http://schemas.microsoft.com/office/excel/2006/main">
          <x14:cfRule type="expression" priority="99" id="{2E5D03A0-52C2-4506-B4DB-17E21F158626}">
            <xm:f>OR(_Calcs_Klasse!$APM$48="-",_Calcs_Klasse!$APM$48=_List!$DQ$6)</xm:f>
            <x14:dxf>
              <font>
                <color theme="6" tint="0.79998168889431442"/>
              </font>
              <fill>
                <patternFill>
                  <bgColor theme="6" tint="0.79998168889431442"/>
                </patternFill>
              </fill>
              <border>
                <left/>
                <right/>
                <top/>
                <bottom/>
                <vertical/>
                <horizontal/>
              </border>
            </x14:dxf>
          </x14:cfRule>
          <xm:sqref>CC164:CE166 BY164:CA166 CC168:CE172 BY168:CA172 BY156:CA158 CC156:CE158 BY175:CA175 CC175:CE175 CC177:CE179 BY177:CA179 BY181:CA185 CC181:CE185 CC160:CE160 CC162:CE162 BY161:CA162</xm:sqref>
        </x14:conditionalFormatting>
        <x14:conditionalFormatting xmlns:xm="http://schemas.microsoft.com/office/excel/2006/main">
          <x14:cfRule type="expression" priority="98" id="{98B88EEB-0D6F-4535-BE94-9AE7AEAA4447}">
            <xm:f>OR(_Calcs_Klasse!$APM$49="-",_Calcs_Klasse!$APM$49=_List!$DQ$6)</xm:f>
            <x14:dxf>
              <font>
                <color theme="6" tint="0.79998168889431442"/>
              </font>
              <fill>
                <patternFill>
                  <bgColor theme="6" tint="0.79998168889431442"/>
                </patternFill>
              </fill>
              <border>
                <left/>
                <right/>
                <top/>
                <bottom/>
                <vertical/>
                <horizontal/>
              </border>
            </x14:dxf>
          </x14:cfRule>
          <xm:sqref>CK164:CM166 CG164:CI166 CK168:CM172 CG168:CI172 CG156:CI158 CK156:CM158 CK175:CM175 CG175:CI175 CG177:CI179 CK177:CM179 CK181:CM185 CG181:CI185 CK160:CM160 CK162:CM162 CG161:CI162</xm:sqref>
        </x14:conditionalFormatting>
        <x14:conditionalFormatting xmlns:xm="http://schemas.microsoft.com/office/excel/2006/main">
          <x14:cfRule type="expression" priority="309" id="{BDC2310E-C8C1-4919-B556-79EDE86DA485}">
            <xm:f>OR(_Calcs_Klasse!$AJA$42="-",_Calcs_Klasse!$AJA$42=_List!$DO$6)</xm:f>
            <x14:dxf>
              <font>
                <b val="0"/>
                <i val="0"/>
                <color theme="6" tint="0.79998168889431442"/>
              </font>
              <fill>
                <patternFill>
                  <bgColor theme="6" tint="0.79998168889431442"/>
                </patternFill>
              </fill>
              <border>
                <left/>
                <right/>
                <top/>
                <bottom/>
                <vertical/>
                <horizontal/>
              </border>
            </x14:dxf>
          </x14:cfRule>
          <xm:sqref>W201:Z203 AB201:AH203 AB205:AH207 W205:Z207 W210:Z210 AB210:AH210 W212:Z214 AB212:AH214 W216:Z220 AB216:AH220 W223:Z223 AB223:AH223 W225:Z227 AB225:AH227 W230:Z230 AB230:AH230 W232:Z234 AB232:AH234 W236:Z240 AB236:AH240 AB197:AH199</xm:sqref>
        </x14:conditionalFormatting>
        <x14:conditionalFormatting xmlns:xm="http://schemas.microsoft.com/office/excel/2006/main">
          <x14:cfRule type="expression" priority="308" id="{7F08DB62-FC54-416B-9588-4BDC53C5D343}">
            <xm:f>OR(_Calcs_Klasse!$AJA$43="-",_Calcs_Klasse!$AJA$43=_List!$DO$6)</xm:f>
            <x14:dxf>
              <font>
                <color theme="6" tint="0.79998168889431442"/>
              </font>
              <fill>
                <patternFill>
                  <bgColor theme="6" tint="0.79998168889431442"/>
                </patternFill>
              </fill>
              <border>
                <left/>
                <right/>
                <top/>
                <bottom/>
                <vertical/>
                <horizontal/>
              </border>
            </x14:dxf>
          </x14:cfRule>
          <xm:sqref>AK197:AM199 AO197:AQ199 AK201:AM203 AO201:AQ203 AO205:AQ207 AK205:AM207 AK210:AM210 AO210:AQ210 AK212:AM214 AO212:AQ214 AK216:AM220 AO216:AQ220 AK223:AM223 AO223:AQ223 AK225:AM227 AO225:AQ227 AK230:AM230 AO230:AQ230 AK232:AM234 AO232:AQ234 AK236:AM240 AO236:AQ240</xm:sqref>
        </x14:conditionalFormatting>
        <x14:conditionalFormatting xmlns:xm="http://schemas.microsoft.com/office/excel/2006/main">
          <x14:cfRule type="expression" priority="291" id="{F9E770A2-5CC7-446C-94EA-21BB11836983}">
            <xm:f>OR(_Calcs_Klasse!$AJA$44="-",_Calcs_Klasse!$AJA$44=_List!$DO$6)</xm:f>
            <x14:dxf>
              <font>
                <color theme="6" tint="0.79998168889431442"/>
              </font>
              <fill>
                <patternFill>
                  <bgColor theme="6" tint="0.79998168889431442"/>
                </patternFill>
              </fill>
              <border>
                <left/>
                <right/>
                <top/>
                <bottom/>
                <vertical/>
                <horizontal/>
              </border>
            </x14:dxf>
          </x14:cfRule>
          <xm:sqref>AS197:AU199 AW197:AY199 AS201:AU203 AW201:AY203 AS205:AU207 AW205:AY207 AS210:AU210 AW210:AY210 AS212:AU214 AW212:AY214 AS216:AU220 AW216:AY220 AS223:AU223 AW223:AY223 AS225:AU227 AW225:AY227 AS230:AU230 AW230:AY230 AS232:AU234 AW232:AY234 AS236:AU240 AW236:AY240</xm:sqref>
        </x14:conditionalFormatting>
        <x14:conditionalFormatting xmlns:xm="http://schemas.microsoft.com/office/excel/2006/main">
          <x14:cfRule type="expression" priority="290" id="{2191E7C1-F1E5-4B28-A472-17A680AB39FA}">
            <xm:f>OR(_Calcs_Klasse!$AJA$45="-",_Calcs_Klasse!$AJA$45=_List!$DO$6)</xm:f>
            <x14:dxf>
              <font>
                <color theme="6" tint="0.79998168889431442"/>
              </font>
              <fill>
                <patternFill>
                  <bgColor theme="6" tint="0.79998168889431442"/>
                </patternFill>
              </fill>
              <border>
                <left/>
                <right/>
                <top/>
                <bottom/>
                <vertical/>
                <horizontal/>
              </border>
            </x14:dxf>
          </x14:cfRule>
          <xm:sqref>BE236:BG240 BE232:BG234 BE230:BG230 BE225:BG227 BE223:BG223 BE216:BG220 BE212:BG214 BE210:BG210 BE205:BG207 BE201:BG203 BA236:BC240 BA232:BC234 BA230:BC230 BA225:BC227 BA223:BC223 BA216:BC220 BA212:BC214 BA210:BC210 BA205:BC207 BA201:BC203 BA197:BC199</xm:sqref>
        </x14:conditionalFormatting>
        <x14:conditionalFormatting xmlns:xm="http://schemas.microsoft.com/office/excel/2006/main">
          <x14:cfRule type="expression" priority="289" id="{EC219550-9526-4953-A9A2-C7BC5A2955AB}">
            <xm:f>OR(_Calcs_Klasse!$AJA$46="-",_Calcs_Klasse!$AJA$46=_List!$DO$6)</xm:f>
            <x14:dxf>
              <font>
                <color theme="6" tint="0.79998168889431442"/>
              </font>
              <fill>
                <patternFill>
                  <bgColor theme="6" tint="0.79998168889431442"/>
                </patternFill>
              </fill>
              <border>
                <left/>
                <right/>
                <top/>
                <bottom/>
                <vertical/>
                <horizontal/>
              </border>
            </x14:dxf>
          </x14:cfRule>
          <xm:sqref>BM236:BO240 BM232:BO234 BM230:BO230 BM225:BO227 BM223:BO223 BM216:BO220 BM212:BO214 BM210:BO210 BM205:BO207 BM201:BO203 BI236:BK240 BI232:BK234 BI230:BK230 BI225:BK227 BI223:BK223 BI216:BK220 BI212:BK214 BI210:BK210 BI205:BK207 BI201:BK203 BI197:BK199</xm:sqref>
        </x14:conditionalFormatting>
        <x14:conditionalFormatting xmlns:xm="http://schemas.microsoft.com/office/excel/2006/main">
          <x14:cfRule type="expression" priority="288" id="{4C870206-E83D-4C75-ADB1-3A959C2F60DD}">
            <xm:f>OR(_Calcs_Klasse!$AJA$47="-",_Calcs_Klasse!$AJA$47=_List!$DO$6)</xm:f>
            <x14:dxf>
              <font>
                <color theme="6" tint="0.79998168889431442"/>
              </font>
              <fill>
                <patternFill>
                  <bgColor theme="6" tint="0.79998168889431442"/>
                </patternFill>
              </fill>
              <border>
                <left/>
                <right/>
                <top/>
                <bottom/>
                <vertical/>
                <horizontal/>
              </border>
            </x14:dxf>
          </x14:cfRule>
          <xm:sqref>BU236:BW240 BU232:BW234 BU230:BW230 BU225:BW227 BU223:BW223 BU216:BW220 BU212:BW214 BU210:BW210 BU205:BW207 BU201:BW203 BQ236:BS240 BQ232:BS234 BQ230:BS230 BQ225:BS227 BQ223:BS223 BQ216:BS220 BQ212:BS214 BQ210:BS210 BQ205:BS207 BQ201:BS203 BQ197:BS199</xm:sqref>
        </x14:conditionalFormatting>
        <x14:conditionalFormatting xmlns:xm="http://schemas.microsoft.com/office/excel/2006/main">
          <x14:cfRule type="expression" priority="287" id="{615E5FFA-907D-4E4E-B59C-850A34E1782A}">
            <xm:f>OR(_Calcs_Klasse!$AJA$48="-",_Calcs_Klasse!$AJA$48=_List!$DO$6)</xm:f>
            <x14:dxf>
              <font>
                <color theme="6" tint="0.79998168889431442"/>
              </font>
              <fill>
                <patternFill>
                  <bgColor theme="6" tint="0.79998168889431442"/>
                </patternFill>
              </fill>
              <border>
                <left/>
                <right/>
                <top/>
                <bottom/>
                <vertical/>
                <horizontal/>
              </border>
            </x14:dxf>
          </x14:cfRule>
          <xm:sqref>CC236:CE240 CC232:CE234 CC230:CE230 CC225:CE227 CC223:CE223 BY236:CA240 BY232:CA234 BY230:CA230 BY225:CA227 BY223:CA223 CC216:CE220 BY216:CA220 CC212:CE214 BY212:CA214 CC210:CE210 BY210:CA210 CC205:CE207 BY205:CA207 CC201:CE203 BY201:CA203 BY197:CA199</xm:sqref>
        </x14:conditionalFormatting>
        <x14:conditionalFormatting xmlns:xm="http://schemas.microsoft.com/office/excel/2006/main">
          <x14:cfRule type="expression" priority="286" id="{3B9ACA03-024E-4998-92F9-25EA939F9321}">
            <xm:f>OR(_Calcs_Klasse!$AJA$49="-",_Calcs_Klasse!$AJA$49=_List!$DO$6)</xm:f>
            <x14:dxf>
              <font>
                <color theme="6" tint="0.79998168889431442"/>
              </font>
              <fill>
                <patternFill>
                  <bgColor theme="6" tint="0.79998168889431442"/>
                </patternFill>
              </fill>
              <border>
                <left/>
                <right/>
                <top/>
                <bottom/>
                <vertical/>
                <horizontal/>
              </border>
            </x14:dxf>
          </x14:cfRule>
          <xm:sqref>CK236:CM240 CG236:CI240 CK230:CM234 CG230:CI234 CK225:CM227 CG225:CI227 CK223:CM223 CG223:CI223 CK216:CM220 CG216:CI220 CK212:CM214 CK210:CM210 CK205:CM207 CK201:CM203 CG212:CI214 CG210:CI210 CG205:CI207 CG201:CI203 CG197:CI199</xm:sqref>
        </x14:conditionalFormatting>
        <x14:conditionalFormatting xmlns:xm="http://schemas.microsoft.com/office/excel/2006/main">
          <x14:cfRule type="expression" priority="120" id="{760625EC-B69B-4C63-B8E5-1E2F08B6D262}">
            <xm:f>OR(_Calcs_Klasse!$APM$42="-",_Calcs_Klasse!$APM$42=_List!$DQ$6)</xm:f>
            <x14:dxf>
              <font>
                <color theme="6" tint="0.79998168889431442"/>
              </font>
              <fill>
                <patternFill>
                  <bgColor theme="6" tint="0.79998168889431442"/>
                </patternFill>
              </fill>
              <border>
                <left/>
                <right/>
                <top/>
                <bottom/>
              </border>
            </x14:dxf>
          </x14:cfRule>
          <xm:sqref>W160:Z160</xm:sqref>
        </x14:conditionalFormatting>
        <x14:conditionalFormatting xmlns:xm="http://schemas.microsoft.com/office/excel/2006/main">
          <x14:cfRule type="expression" priority="128" id="{17C1AA91-AF8C-4634-AF80-7B6C419B2617}">
            <xm:f>OR(_Calcs_Klasse!$APM$43="-",_Calcs_Klasse!$APM$43=_List!$DQ$6)</xm:f>
            <x14:dxf>
              <font>
                <color theme="6" tint="0.79998168889431442"/>
              </font>
              <fill>
                <patternFill>
                  <bgColor theme="6" tint="0.79998168889431442"/>
                </patternFill>
              </fill>
              <border>
                <left/>
                <right/>
                <top/>
                <bottom/>
              </border>
            </x14:dxf>
          </x14:cfRule>
          <xm:sqref>AK160:AM160</xm:sqref>
        </x14:conditionalFormatting>
        <x14:conditionalFormatting xmlns:xm="http://schemas.microsoft.com/office/excel/2006/main">
          <x14:cfRule type="expression" priority="127" id="{60AD7FA0-722E-49BD-B7FB-72979B92BD25}">
            <xm:f>OR(_Calcs_Klasse!$APM$44="-",_Calcs_Klasse!$APM$44=_List!$DQ$6)</xm:f>
            <x14:dxf>
              <font>
                <color theme="6" tint="0.79998168889431442"/>
              </font>
              <fill>
                <patternFill>
                  <bgColor theme="6" tint="0.79998168889431442"/>
                </patternFill>
              </fill>
              <border>
                <left/>
                <right/>
                <top/>
                <bottom/>
                <vertical/>
                <horizontal/>
              </border>
            </x14:dxf>
          </x14:cfRule>
          <xm:sqref>AS160:AU160</xm:sqref>
        </x14:conditionalFormatting>
        <x14:conditionalFormatting xmlns:xm="http://schemas.microsoft.com/office/excel/2006/main">
          <x14:cfRule type="expression" priority="126" id="{4738CFA5-7FCE-4D48-8836-3C05CB821381}">
            <xm:f>OR(_Calcs_Klasse!$APM$45="-",_Calcs_Klasse!$APM$45=_List!$DQ$6)</xm:f>
            <x14:dxf>
              <font>
                <color theme="6" tint="0.79998168889431442"/>
              </font>
              <fill>
                <patternFill>
                  <bgColor theme="6" tint="0.79998168889431442"/>
                </patternFill>
              </fill>
              <border>
                <left/>
                <right/>
                <top/>
                <bottom/>
                <vertical/>
                <horizontal/>
              </border>
            </x14:dxf>
          </x14:cfRule>
          <xm:sqref>BA160:BC160</xm:sqref>
        </x14:conditionalFormatting>
        <x14:conditionalFormatting xmlns:xm="http://schemas.microsoft.com/office/excel/2006/main">
          <x14:cfRule type="expression" priority="125" id="{B0755844-DAF9-4634-8556-42FF0570B14A}">
            <xm:f>OR(_Calcs_Klasse!$APM$46="-",_Calcs_Klasse!$APM$46=_List!$DQ$6)</xm:f>
            <x14:dxf>
              <font>
                <color theme="6" tint="0.79998168889431442"/>
              </font>
              <fill>
                <patternFill>
                  <bgColor theme="6" tint="0.79998168889431442"/>
                </patternFill>
              </fill>
              <border>
                <left/>
                <right/>
                <top/>
                <bottom/>
                <vertical/>
                <horizontal/>
              </border>
            </x14:dxf>
          </x14:cfRule>
          <xm:sqref>BI160:BK160</xm:sqref>
        </x14:conditionalFormatting>
        <x14:conditionalFormatting xmlns:xm="http://schemas.microsoft.com/office/excel/2006/main">
          <x14:cfRule type="expression" priority="124" id="{D5765A8D-D139-4C23-9C87-4661A24B42EA}">
            <xm:f>OR(_Calcs_Klasse!$APM$47="-",_Calcs_Klasse!$APM$47=_List!$DQ$6)</xm:f>
            <x14:dxf>
              <font>
                <color theme="6" tint="0.79998168889431442"/>
              </font>
              <fill>
                <patternFill>
                  <bgColor theme="6" tint="0.79998168889431442"/>
                </patternFill>
              </fill>
              <border>
                <left/>
                <right/>
                <top/>
                <bottom/>
                <vertical/>
                <horizontal/>
              </border>
            </x14:dxf>
          </x14:cfRule>
          <xm:sqref>BQ160:BS160</xm:sqref>
        </x14:conditionalFormatting>
        <x14:conditionalFormatting xmlns:xm="http://schemas.microsoft.com/office/excel/2006/main">
          <x14:cfRule type="expression" priority="123" id="{9561B25B-8AA9-478D-A651-16608228F68D}">
            <xm:f>OR(_Calcs_Klasse!$APM$48="-",_Calcs_Klasse!$APM$48=_List!$DQ$6)</xm:f>
            <x14:dxf>
              <font>
                <color theme="6" tint="0.79998168889431442"/>
              </font>
              <fill>
                <patternFill>
                  <bgColor theme="6" tint="0.79998168889431442"/>
                </patternFill>
              </fill>
              <border>
                <left/>
                <right/>
                <top/>
                <bottom/>
                <vertical/>
                <horizontal/>
              </border>
            </x14:dxf>
          </x14:cfRule>
          <xm:sqref>BY160:CA160</xm:sqref>
        </x14:conditionalFormatting>
        <x14:conditionalFormatting xmlns:xm="http://schemas.microsoft.com/office/excel/2006/main">
          <x14:cfRule type="expression" priority="122" id="{6A37F0CE-F10D-4810-B391-21776E111128}">
            <xm:f>OR(_Calcs_Klasse!$APM$49="-",_Calcs_Klasse!$APM$49=_List!$DQ$6)</xm:f>
            <x14:dxf>
              <font>
                <color theme="6" tint="0.79998168889431442"/>
              </font>
              <fill>
                <patternFill>
                  <bgColor theme="6" tint="0.79998168889431442"/>
                </patternFill>
              </fill>
              <border>
                <left/>
                <right/>
                <top/>
                <bottom/>
                <vertical/>
                <horizontal/>
              </border>
            </x14:dxf>
          </x14:cfRule>
          <xm:sqref>CG160:CI160</xm:sqref>
        </x14:conditionalFormatting>
        <x14:conditionalFormatting xmlns:xm="http://schemas.microsoft.com/office/excel/2006/main">
          <x14:cfRule type="expression" priority="82" id="{AFC19C80-6FEE-4DC6-83D4-E657DDA7F48B}">
            <xm:f>OR(_Calcs_Klasse!$APM$42="-",_Calcs_Klasse!$APM$42=_List!$DQ$6)</xm:f>
            <x14:dxf>
              <font>
                <color theme="6" tint="0.79998168889431442"/>
              </font>
              <fill>
                <patternFill>
                  <bgColor theme="6" tint="0.79998168889431442"/>
                </patternFill>
              </fill>
              <border>
                <left/>
                <right/>
                <top/>
                <bottom/>
              </border>
            </x14:dxf>
          </x14:cfRule>
          <xm:sqref>AB161:AH161</xm:sqref>
        </x14:conditionalFormatting>
        <x14:conditionalFormatting xmlns:xm="http://schemas.microsoft.com/office/excel/2006/main">
          <x14:cfRule type="expression" priority="89" id="{CAC0AB4F-D8BD-4636-B418-7B708702CFEE}">
            <xm:f>OR(_Calcs_Klasse!$APM$43="-",_Calcs_Klasse!$APM$43=_List!$DQ$6)</xm:f>
            <x14:dxf>
              <font>
                <color theme="6" tint="0.79998168889431442"/>
              </font>
              <fill>
                <patternFill>
                  <bgColor theme="6" tint="0.79998168889431442"/>
                </patternFill>
              </fill>
              <border>
                <left/>
                <right/>
                <top/>
                <bottom/>
              </border>
            </x14:dxf>
          </x14:cfRule>
          <xm:sqref>AO161:AQ161</xm:sqref>
        </x14:conditionalFormatting>
        <x14:conditionalFormatting xmlns:xm="http://schemas.microsoft.com/office/excel/2006/main">
          <x14:cfRule type="expression" priority="88" id="{FB738268-5911-4B36-B52F-2DDA7B0A9112}">
            <xm:f>OR(_Calcs_Klasse!$APM$44="-",_Calcs_Klasse!$APM$44=_List!$DQ$6)</xm:f>
            <x14:dxf>
              <font>
                <color theme="6" tint="0.79998168889431442"/>
              </font>
              <fill>
                <patternFill>
                  <bgColor theme="6" tint="0.79998168889431442"/>
                </patternFill>
              </fill>
              <border>
                <left/>
                <right/>
                <top/>
                <bottom/>
                <vertical/>
                <horizontal/>
              </border>
            </x14:dxf>
          </x14:cfRule>
          <xm:sqref>AW161:AY161</xm:sqref>
        </x14:conditionalFormatting>
        <x14:conditionalFormatting xmlns:xm="http://schemas.microsoft.com/office/excel/2006/main">
          <x14:cfRule type="expression" priority="87" id="{FF0E126C-A4F0-412D-A745-A6EB990341A3}">
            <xm:f>OR(_Calcs_Klasse!$APM$45="-",_Calcs_Klasse!$APM$45=_List!$DQ$6)</xm:f>
            <x14:dxf>
              <font>
                <color theme="6" tint="0.79998168889431442"/>
              </font>
              <fill>
                <patternFill>
                  <bgColor theme="6" tint="0.79998168889431442"/>
                </patternFill>
              </fill>
              <border>
                <left/>
                <right/>
                <top/>
                <bottom/>
                <vertical/>
                <horizontal/>
              </border>
            </x14:dxf>
          </x14:cfRule>
          <xm:sqref>BE161:BG161</xm:sqref>
        </x14:conditionalFormatting>
        <x14:conditionalFormatting xmlns:xm="http://schemas.microsoft.com/office/excel/2006/main">
          <x14:cfRule type="expression" priority="86" id="{C4F1093F-6339-4272-ACB2-C3716211AC7F}">
            <xm:f>OR(_Calcs_Klasse!$APM$46="-",_Calcs_Klasse!$APM$46=_List!$DQ$6)</xm:f>
            <x14:dxf>
              <font>
                <color theme="6" tint="0.79998168889431442"/>
              </font>
              <fill>
                <patternFill>
                  <bgColor theme="6" tint="0.79998168889431442"/>
                </patternFill>
              </fill>
              <border>
                <left/>
                <right/>
                <top/>
                <bottom/>
                <vertical/>
                <horizontal/>
              </border>
            </x14:dxf>
          </x14:cfRule>
          <xm:sqref>BM161:BO161</xm:sqref>
        </x14:conditionalFormatting>
        <x14:conditionalFormatting xmlns:xm="http://schemas.microsoft.com/office/excel/2006/main">
          <x14:cfRule type="expression" priority="85" id="{021A918D-00EF-476D-B95C-15F659AE79E9}">
            <xm:f>OR(_Calcs_Klasse!$APM$47="-",_Calcs_Klasse!$APM$47=_List!$DQ$6)</xm:f>
            <x14:dxf>
              <font>
                <color theme="6" tint="0.79998168889431442"/>
              </font>
              <fill>
                <patternFill>
                  <bgColor theme="6" tint="0.79998168889431442"/>
                </patternFill>
              </fill>
              <border>
                <left/>
                <right/>
                <top/>
                <bottom/>
                <vertical/>
                <horizontal/>
              </border>
            </x14:dxf>
          </x14:cfRule>
          <xm:sqref>BU161:BW161</xm:sqref>
        </x14:conditionalFormatting>
        <x14:conditionalFormatting xmlns:xm="http://schemas.microsoft.com/office/excel/2006/main">
          <x14:cfRule type="expression" priority="84" id="{D7823F93-768D-474C-8791-9881224563DF}">
            <xm:f>OR(_Calcs_Klasse!$APM$48="-",_Calcs_Klasse!$APM$48=_List!$DQ$6)</xm:f>
            <x14:dxf>
              <font>
                <color theme="6" tint="0.79998168889431442"/>
              </font>
              <fill>
                <patternFill>
                  <bgColor theme="6" tint="0.79998168889431442"/>
                </patternFill>
              </fill>
              <border>
                <left/>
                <right/>
                <top/>
                <bottom/>
                <vertical/>
                <horizontal/>
              </border>
            </x14:dxf>
          </x14:cfRule>
          <xm:sqref>CC161:CE161</xm:sqref>
        </x14:conditionalFormatting>
        <x14:conditionalFormatting xmlns:xm="http://schemas.microsoft.com/office/excel/2006/main">
          <x14:cfRule type="expression" priority="83" id="{4ACCF03D-5E3E-4D26-8772-37AEADDA794D}">
            <xm:f>OR(_Calcs_Klasse!$APM$49="-",_Calcs_Klasse!$APM$49=_List!$DQ$6)</xm:f>
            <x14:dxf>
              <font>
                <color theme="6" tint="0.79998168889431442"/>
              </font>
              <fill>
                <patternFill>
                  <bgColor theme="6" tint="0.79998168889431442"/>
                </patternFill>
              </fill>
              <border>
                <left/>
                <right/>
                <top/>
                <bottom/>
                <vertical/>
                <horizontal/>
              </border>
            </x14:dxf>
          </x14:cfRule>
          <xm:sqref>CK161:CM161</xm:sqref>
        </x14:conditionalFormatting>
        <x14:conditionalFormatting xmlns:xm="http://schemas.microsoft.com/office/excel/2006/main">
          <x14:cfRule type="expression" priority="40" id="{535C0F32-7256-4228-9CAF-953117168408}">
            <xm:f>OR(_Calcs_Klasse!$AJA$42="-",_Calcs_Klasse!$AJA$42=_List!$DO$6)</xm:f>
            <x14:dxf>
              <font>
                <b val="0"/>
                <i val="0"/>
                <color theme="6" tint="0.79998168889431442"/>
              </font>
              <fill>
                <patternFill>
                  <bgColor theme="6" tint="0.79998168889431442"/>
                </patternFill>
              </fill>
              <border>
                <left/>
                <right/>
                <top/>
                <bottom/>
                <vertical/>
                <horizontal/>
              </border>
            </x14:dxf>
          </x14:cfRule>
          <xm:sqref>W197:Z199</xm:sqref>
        </x14:conditionalFormatting>
        <x14:conditionalFormatting xmlns:xm="http://schemas.microsoft.com/office/excel/2006/main">
          <x14:cfRule type="expression" priority="37" id="{DE1D7E78-8521-4894-8BD3-B9A2473FFBB9}">
            <xm:f>OR(_Calcs_Klasse!$AJA$45="-",_Calcs_Klasse!$AJA$45=_List!$DO$6)</xm:f>
            <x14:dxf>
              <font>
                <color theme="6" tint="0.79998168889431442"/>
              </font>
              <fill>
                <patternFill>
                  <bgColor theme="6" tint="0.79998168889431442"/>
                </patternFill>
              </fill>
              <border>
                <left/>
                <right/>
                <top/>
                <bottom/>
                <vertical/>
                <horizontal/>
              </border>
            </x14:dxf>
          </x14:cfRule>
          <xm:sqref>BE197:BG199</xm:sqref>
        </x14:conditionalFormatting>
        <x14:conditionalFormatting xmlns:xm="http://schemas.microsoft.com/office/excel/2006/main">
          <x14:cfRule type="expression" priority="36" id="{5EE23FE9-D26E-4559-8654-A8D24B75F69E}">
            <xm:f>OR(_Calcs_Klasse!$AJA$46="-",_Calcs_Klasse!$AJA$46=_List!$DO$6)</xm:f>
            <x14:dxf>
              <font>
                <color theme="6" tint="0.79998168889431442"/>
              </font>
              <fill>
                <patternFill>
                  <bgColor theme="6" tint="0.79998168889431442"/>
                </patternFill>
              </fill>
              <border>
                <left/>
                <right/>
                <top/>
                <bottom/>
                <vertical/>
                <horizontal/>
              </border>
            </x14:dxf>
          </x14:cfRule>
          <xm:sqref>BM197:BO199</xm:sqref>
        </x14:conditionalFormatting>
        <x14:conditionalFormatting xmlns:xm="http://schemas.microsoft.com/office/excel/2006/main">
          <x14:cfRule type="expression" priority="35" id="{A0CA09D2-0180-4325-89B6-C1029D9DE589}">
            <xm:f>OR(_Calcs_Klasse!$AJA$47="-",_Calcs_Klasse!$AJA$47=_List!$DO$6)</xm:f>
            <x14:dxf>
              <font>
                <color theme="6" tint="0.79998168889431442"/>
              </font>
              <fill>
                <patternFill>
                  <bgColor theme="6" tint="0.79998168889431442"/>
                </patternFill>
              </fill>
              <border>
                <left/>
                <right/>
                <top/>
                <bottom/>
                <vertical/>
                <horizontal/>
              </border>
            </x14:dxf>
          </x14:cfRule>
          <xm:sqref>BU197:BW199</xm:sqref>
        </x14:conditionalFormatting>
        <x14:conditionalFormatting xmlns:xm="http://schemas.microsoft.com/office/excel/2006/main">
          <x14:cfRule type="expression" priority="34" id="{750C99AB-6446-4DAC-ACB8-A1A427810078}">
            <xm:f>OR(_Calcs_Klasse!$AJA$48="-",_Calcs_Klasse!$AJA$48=_List!$DO$6)</xm:f>
            <x14:dxf>
              <font>
                <color theme="6" tint="0.79998168889431442"/>
              </font>
              <fill>
                <patternFill>
                  <bgColor theme="6" tint="0.79998168889431442"/>
                </patternFill>
              </fill>
              <border>
                <left/>
                <right/>
                <top/>
                <bottom/>
                <vertical/>
                <horizontal/>
              </border>
            </x14:dxf>
          </x14:cfRule>
          <xm:sqref>CC197:CE199</xm:sqref>
        </x14:conditionalFormatting>
        <x14:conditionalFormatting xmlns:xm="http://schemas.microsoft.com/office/excel/2006/main">
          <x14:cfRule type="expression" priority="33" id="{4595BFAF-244E-4D7D-AA2A-9CBB45F898AC}">
            <xm:f>OR(_Calcs_Klasse!$AJA$49="-",_Calcs_Klasse!$AJA$49=_List!$DO$6)</xm:f>
            <x14:dxf>
              <font>
                <color theme="6" tint="0.79998168889431442"/>
              </font>
              <fill>
                <patternFill>
                  <bgColor theme="6" tint="0.79998168889431442"/>
                </patternFill>
              </fill>
              <border>
                <left/>
                <right/>
                <top/>
                <bottom/>
                <vertical/>
                <horizontal/>
              </border>
            </x14:dxf>
          </x14:cfRule>
          <xm:sqref>CK197:CM199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EF29-8E3D-4C1A-9DDA-B881D45543E0}">
  <sheetPr codeName="Sheet19">
    <tabColor rgb="FFF6F4A2"/>
    <pageSetUpPr autoPageBreaks="0" fitToPage="1"/>
  </sheetPr>
  <dimension ref="A1:AN209"/>
  <sheetViews>
    <sheetView workbookViewId="0"/>
  </sheetViews>
  <sheetFormatPr defaultColWidth="0" defaultRowHeight="15" customHeight="1" zeroHeight="1" x14ac:dyDescent="0.2"/>
  <cols>
    <col min="1" max="2" width="3.625" style="7" customWidth="1"/>
    <col min="3" max="3" width="30.125" style="7" customWidth="1"/>
    <col min="4" max="5" width="3.625" style="7" customWidth="1"/>
    <col min="6" max="6" width="15.625" style="7" customWidth="1"/>
    <col min="7" max="8" width="4.625" style="7" customWidth="1"/>
    <col min="9" max="9" width="3.625" style="7" customWidth="1"/>
    <col min="10" max="10" width="4.875" style="1999" customWidth="1"/>
    <col min="11" max="11" width="0.875" style="23" hidden="1" customWidth="1"/>
    <col min="12" max="12" width="4.625" style="7" hidden="1" customWidth="1"/>
    <col min="13" max="13" width="2.625" style="24" customWidth="1"/>
    <col min="14" max="14" width="5.625" style="24" customWidth="1"/>
    <col min="15" max="15" width="2.625" style="24" customWidth="1"/>
    <col min="16" max="16" width="10.375" style="7" bestFit="1" customWidth="1"/>
    <col min="17" max="17" width="3.625" style="7" customWidth="1"/>
    <col min="18" max="18" width="8.625" style="24" customWidth="1"/>
    <col min="19" max="19" width="1.625" style="7" customWidth="1"/>
    <col min="20" max="20" width="5.625" style="7" hidden="1" customWidth="1"/>
    <col min="21" max="21" width="5.625" style="7" customWidth="1"/>
    <col min="22" max="23" width="5.625" style="7" hidden="1" customWidth="1"/>
    <col min="24" max="24" width="2.625" style="7" customWidth="1"/>
    <col min="25" max="25" width="10.375" style="7" bestFit="1" customWidth="1"/>
    <col min="26" max="26" width="3.625" style="7" customWidth="1"/>
    <col min="27" max="27" width="8.625" style="7" customWidth="1"/>
    <col min="28" max="28" width="1.625" style="7" customWidth="1"/>
    <col min="29" max="30" width="3.625" style="7" customWidth="1"/>
    <col min="31" max="40" width="0" style="7" hidden="1" customWidth="1"/>
    <col min="41" max="16384" width="9" style="7" hidden="1"/>
  </cols>
  <sheetData>
    <row r="1" spans="3:38" s="68" customFormat="1" ht="50.1" customHeight="1" x14ac:dyDescent="0.2">
      <c r="C1" s="16"/>
      <c r="D1" s="13"/>
      <c r="E1" s="20"/>
      <c r="F1" s="136"/>
      <c r="G1" s="136"/>
      <c r="H1" s="136"/>
      <c r="I1" s="136"/>
      <c r="J1" s="16"/>
      <c r="K1" s="16"/>
      <c r="L1" s="16"/>
      <c r="M1" s="16"/>
      <c r="N1" s="137"/>
      <c r="O1" s="215"/>
      <c r="P1" s="16"/>
      <c r="Q1" s="16"/>
      <c r="R1" s="9"/>
      <c r="S1" s="40"/>
      <c r="T1" s="7"/>
      <c r="U1" s="7"/>
      <c r="V1" s="7"/>
      <c r="W1" s="7"/>
      <c r="X1" s="16"/>
    </row>
    <row r="2" spans="3:38" s="70" customFormat="1" ht="12" customHeight="1" x14ac:dyDescent="0.2">
      <c r="C2" s="920"/>
      <c r="D2" s="78"/>
      <c r="E2" s="1872"/>
      <c r="F2" s="1873"/>
      <c r="G2" s="1873"/>
      <c r="H2" s="1873"/>
      <c r="I2" s="920"/>
      <c r="J2" s="920"/>
      <c r="K2" s="1874"/>
      <c r="L2" s="1875"/>
      <c r="M2" s="1873"/>
      <c r="N2" s="1873"/>
      <c r="O2" s="1873"/>
      <c r="P2" s="1873"/>
      <c r="Q2" s="1873"/>
      <c r="R2" s="921"/>
      <c r="S2" s="1873"/>
      <c r="T2" s="7"/>
      <c r="U2" s="921"/>
      <c r="V2" s="921"/>
      <c r="W2" s="921"/>
      <c r="X2" s="921"/>
      <c r="Y2" s="921"/>
      <c r="Z2" s="921"/>
      <c r="AA2" s="921"/>
      <c r="AB2" s="921"/>
    </row>
    <row r="3" spans="3:38" s="70" customFormat="1" ht="5.0999999999999996" customHeight="1" x14ac:dyDescent="0.2">
      <c r="C3" s="16"/>
      <c r="D3" s="78"/>
      <c r="E3" s="20"/>
      <c r="F3" s="136"/>
      <c r="G3" s="136"/>
      <c r="H3" s="136"/>
      <c r="I3" s="16"/>
      <c r="J3" s="16"/>
      <c r="K3" s="572"/>
      <c r="L3" s="36"/>
      <c r="M3" s="136"/>
      <c r="N3" s="136"/>
      <c r="O3" s="136"/>
      <c r="P3" s="136"/>
      <c r="Q3" s="136"/>
      <c r="R3" s="17"/>
      <c r="S3" s="136"/>
      <c r="T3" s="7"/>
      <c r="U3" s="17"/>
      <c r="V3" s="17"/>
      <c r="W3" s="17"/>
      <c r="X3" s="17"/>
      <c r="Y3" s="17"/>
      <c r="Z3" s="17"/>
      <c r="AA3" s="17"/>
      <c r="AB3" s="17"/>
    </row>
    <row r="4" spans="3:38" s="70" customFormat="1" ht="5.0999999999999996" customHeight="1" x14ac:dyDescent="0.2">
      <c r="C4" s="920"/>
      <c r="D4" s="78"/>
      <c r="E4" s="1872"/>
      <c r="F4" s="1873"/>
      <c r="G4" s="1873"/>
      <c r="H4" s="1873"/>
      <c r="I4" s="920"/>
      <c r="J4" s="920"/>
      <c r="K4" s="1874"/>
      <c r="L4" s="1875"/>
      <c r="M4" s="1873"/>
      <c r="N4" s="1873"/>
      <c r="O4" s="1873"/>
      <c r="P4" s="1873"/>
      <c r="Q4" s="1873"/>
      <c r="R4" s="921"/>
      <c r="S4" s="1873"/>
      <c r="T4" s="7"/>
      <c r="U4" s="921"/>
      <c r="V4" s="921"/>
      <c r="W4" s="921"/>
      <c r="X4" s="921"/>
      <c r="Y4" s="921"/>
      <c r="Z4" s="921"/>
      <c r="AA4" s="921"/>
      <c r="AB4" s="921"/>
    </row>
    <row r="5" spans="3:38" s="8" customFormat="1" ht="30" customHeight="1" thickBot="1" x14ac:dyDescent="0.25">
      <c r="C5" s="13"/>
      <c r="D5" s="13"/>
      <c r="E5" s="14"/>
      <c r="F5" s="21"/>
      <c r="G5" s="21"/>
      <c r="H5" s="21"/>
      <c r="I5" s="21"/>
      <c r="J5" s="13"/>
      <c r="K5" s="16"/>
      <c r="L5" s="16"/>
      <c r="M5" s="16"/>
      <c r="N5" s="50"/>
      <c r="O5" s="115"/>
      <c r="P5" s="16"/>
      <c r="Q5" s="16"/>
      <c r="R5" s="9"/>
      <c r="S5" s="40"/>
      <c r="T5" s="7"/>
      <c r="U5" s="9"/>
      <c r="V5" s="9"/>
      <c r="W5" s="9"/>
      <c r="X5" s="9"/>
      <c r="Y5" s="9"/>
      <c r="Z5" s="9"/>
      <c r="AA5" s="9"/>
      <c r="AB5" s="9"/>
    </row>
    <row r="6" spans="3:38" s="21" customFormat="1" ht="15" customHeight="1" thickBot="1" x14ac:dyDescent="0.25">
      <c r="C6" s="1107"/>
      <c r="D6" s="13"/>
      <c r="E6" s="2461"/>
      <c r="F6" s="2460"/>
      <c r="G6" s="2460"/>
      <c r="H6" s="2460"/>
      <c r="I6" s="2460"/>
      <c r="J6" s="2462"/>
      <c r="K6" s="2460"/>
      <c r="L6" s="2460"/>
      <c r="M6" s="2460"/>
      <c r="N6" s="2460"/>
      <c r="O6" s="2460"/>
      <c r="P6" s="2460"/>
      <c r="Q6" s="2460"/>
      <c r="R6" s="2463"/>
      <c r="S6" s="2460"/>
      <c r="T6" s="2481"/>
      <c r="U6" s="2481"/>
      <c r="V6" s="2481"/>
      <c r="W6" s="2481"/>
      <c r="X6" s="2481"/>
      <c r="Y6" s="2481"/>
      <c r="Z6" s="2481"/>
      <c r="AA6" s="2481"/>
      <c r="AB6" s="2464"/>
    </row>
    <row r="7" spans="3:38" s="21" customFormat="1" ht="8.1" customHeight="1" thickBot="1" x14ac:dyDescent="0.25">
      <c r="C7" s="13"/>
      <c r="D7" s="13"/>
      <c r="E7" s="14"/>
      <c r="J7" s="13"/>
      <c r="K7" s="50"/>
      <c r="L7" s="15"/>
      <c r="M7" s="137"/>
      <c r="N7" s="137"/>
      <c r="O7" s="137"/>
      <c r="P7" s="137"/>
      <c r="Q7" s="137"/>
      <c r="R7" s="1185"/>
      <c r="S7" s="137"/>
      <c r="T7" s="7"/>
      <c r="U7" s="7"/>
      <c r="V7" s="7"/>
      <c r="W7" s="7"/>
      <c r="X7" s="7"/>
      <c r="Y7" s="7"/>
      <c r="Z7" s="7"/>
      <c r="AA7" s="7"/>
    </row>
    <row r="8" spans="3:38" s="8" customFormat="1" ht="9.9499999999999993" customHeight="1" x14ac:dyDescent="0.2">
      <c r="C8" s="1458"/>
      <c r="D8" s="13"/>
      <c r="E8" s="2447"/>
      <c r="F8" s="2448"/>
      <c r="G8" s="2448"/>
      <c r="H8" s="2448"/>
      <c r="I8" s="2448"/>
      <c r="J8" s="2449"/>
      <c r="K8" s="2449"/>
      <c r="L8" s="2449"/>
      <c r="M8" s="2449"/>
      <c r="N8" s="2449"/>
      <c r="O8" s="2449"/>
      <c r="P8" s="2449"/>
      <c r="Q8" s="2449"/>
      <c r="R8" s="2450"/>
      <c r="S8" s="2449"/>
      <c r="T8" s="2482"/>
      <c r="U8" s="2482"/>
      <c r="V8" s="2482"/>
      <c r="W8" s="2482"/>
      <c r="X8" s="2482"/>
      <c r="Y8" s="2482"/>
      <c r="Z8" s="2482"/>
      <c r="AA8" s="2482"/>
      <c r="AB8" s="2453"/>
    </row>
    <row r="9" spans="3:38" s="8" customFormat="1" ht="39.950000000000003" customHeight="1" x14ac:dyDescent="0.2">
      <c r="C9" s="1357"/>
      <c r="D9" s="13"/>
      <c r="E9" s="2451"/>
      <c r="F9" s="2446" t="s">
        <v>844</v>
      </c>
      <c r="G9" s="2446"/>
      <c r="H9" s="2446"/>
      <c r="I9" s="2446"/>
      <c r="J9" s="2446"/>
      <c r="K9" s="2446"/>
      <c r="L9" s="2446"/>
      <c r="M9" s="2446"/>
      <c r="N9" s="2446"/>
      <c r="O9" s="2446"/>
      <c r="P9" s="2446"/>
      <c r="Q9" s="2446"/>
      <c r="R9" s="2446"/>
      <c r="S9" s="2452"/>
      <c r="T9" s="2483"/>
      <c r="U9" s="2483"/>
      <c r="V9" s="2483"/>
      <c r="W9" s="2483"/>
      <c r="X9" s="2483"/>
      <c r="Y9" s="2483"/>
      <c r="Z9" s="2483"/>
      <c r="AA9" s="2483"/>
      <c r="AB9" s="2454"/>
    </row>
    <row r="10" spans="3:38" s="8" customFormat="1" ht="9.9499999999999993" customHeight="1" thickBot="1" x14ac:dyDescent="0.25">
      <c r="C10" s="1357"/>
      <c r="D10" s="13"/>
      <c r="E10" s="2455"/>
      <c r="F10" s="2456"/>
      <c r="G10" s="2456"/>
      <c r="H10" s="2456"/>
      <c r="I10" s="2456"/>
      <c r="J10" s="2457"/>
      <c r="K10" s="2456"/>
      <c r="L10" s="2456"/>
      <c r="M10" s="2456"/>
      <c r="N10" s="2456"/>
      <c r="O10" s="2456"/>
      <c r="P10" s="2456"/>
      <c r="Q10" s="2456"/>
      <c r="R10" s="2456"/>
      <c r="S10" s="2458"/>
      <c r="T10" s="2484"/>
      <c r="U10" s="2484"/>
      <c r="V10" s="2484"/>
      <c r="W10" s="2484"/>
      <c r="X10" s="2484"/>
      <c r="Y10" s="2484"/>
      <c r="Z10" s="2484"/>
      <c r="AA10" s="2484"/>
      <c r="AB10" s="2459"/>
    </row>
    <row r="11" spans="3:38" s="21" customFormat="1" ht="15" customHeight="1" thickBot="1" x14ac:dyDescent="0.25">
      <c r="C11" s="1357"/>
      <c r="D11" s="13"/>
      <c r="E11" s="13"/>
      <c r="F11" s="15"/>
      <c r="G11" s="13"/>
      <c r="H11" s="13"/>
      <c r="I11" s="13"/>
      <c r="J11" s="15"/>
      <c r="K11" s="13"/>
      <c r="L11" s="15"/>
      <c r="N11" s="7"/>
      <c r="O11" s="13"/>
      <c r="P11" s="13"/>
      <c r="Q11" s="13"/>
      <c r="R11" s="13"/>
      <c r="S11" s="13"/>
      <c r="T11" s="7"/>
      <c r="U11" s="7"/>
      <c r="V11" s="7"/>
      <c r="W11" s="7"/>
      <c r="X11" s="7"/>
      <c r="Y11" s="7"/>
      <c r="Z11" s="7"/>
      <c r="AA11" s="7"/>
      <c r="AB11" s="16"/>
      <c r="AC11" s="16"/>
      <c r="AD11" s="16"/>
      <c r="AE11" s="7"/>
      <c r="AF11" s="16"/>
      <c r="AG11" s="15"/>
      <c r="AH11" s="15"/>
      <c r="AI11" s="15"/>
      <c r="AJ11" s="15"/>
      <c r="AK11" s="15"/>
      <c r="AL11" s="16"/>
    </row>
    <row r="12" spans="3:38" s="21" customFormat="1" ht="5.0999999999999996" customHeight="1" x14ac:dyDescent="0.2">
      <c r="C12" s="1357"/>
      <c r="D12" s="25"/>
      <c r="E12" s="2466"/>
      <c r="F12" s="2467"/>
      <c r="G12" s="683"/>
      <c r="H12" s="2468"/>
      <c r="I12" s="2467"/>
      <c r="J12" s="2467"/>
      <c r="K12" s="2468"/>
      <c r="L12" s="2467"/>
      <c r="M12" s="683"/>
      <c r="N12" s="683"/>
      <c r="O12" s="683"/>
      <c r="P12" s="683"/>
      <c r="Q12" s="683"/>
      <c r="R12" s="683"/>
      <c r="S12" s="683"/>
      <c r="T12" s="2485"/>
      <c r="U12" s="2485"/>
      <c r="V12" s="2485"/>
      <c r="W12" s="2485"/>
      <c r="X12" s="2485"/>
      <c r="Y12" s="2485"/>
      <c r="Z12" s="2485"/>
      <c r="AA12" s="2485"/>
      <c r="AB12" s="2469"/>
      <c r="AC12" s="16"/>
      <c r="AD12" s="16"/>
      <c r="AE12" s="7"/>
      <c r="AF12" s="16"/>
      <c r="AG12" s="15"/>
      <c r="AH12" s="15"/>
      <c r="AI12" s="15"/>
      <c r="AJ12" s="15"/>
      <c r="AK12" s="15"/>
      <c r="AL12" s="16"/>
    </row>
    <row r="13" spans="3:38" s="21" customFormat="1" ht="50.1" customHeight="1" x14ac:dyDescent="0.2">
      <c r="C13" s="1357"/>
      <c r="D13" s="25"/>
      <c r="E13" s="2465"/>
      <c r="F13" s="7044" t="s">
        <v>858</v>
      </c>
      <c r="G13" s="7044"/>
      <c r="H13" s="7044"/>
      <c r="I13" s="7044"/>
      <c r="J13" s="7044"/>
      <c r="K13" s="7044"/>
      <c r="L13" s="7044"/>
      <c r="M13" s="7044"/>
      <c r="N13" s="7044"/>
      <c r="O13" s="7044"/>
      <c r="P13" s="7044"/>
      <c r="Q13" s="7044"/>
      <c r="R13" s="7044"/>
      <c r="S13" s="7044"/>
      <c r="T13" s="7044"/>
      <c r="U13" s="7044"/>
      <c r="V13" s="7044"/>
      <c r="W13" s="7044"/>
      <c r="X13" s="7044"/>
      <c r="Y13" s="7044"/>
      <c r="Z13" s="7044"/>
      <c r="AA13" s="7044"/>
      <c r="AB13" s="2470"/>
      <c r="AC13" s="16"/>
      <c r="AD13" s="16"/>
      <c r="AE13" s="7"/>
      <c r="AF13" s="16"/>
      <c r="AG13" s="15"/>
      <c r="AH13" s="15"/>
      <c r="AI13" s="15"/>
      <c r="AJ13" s="15"/>
      <c r="AK13" s="15"/>
      <c r="AL13" s="16"/>
    </row>
    <row r="14" spans="3:38" s="21" customFormat="1" ht="5.0999999999999996" customHeight="1" thickBot="1" x14ac:dyDescent="0.25">
      <c r="C14" s="1358"/>
      <c r="D14" s="25"/>
      <c r="E14" s="2471"/>
      <c r="F14" s="2472"/>
      <c r="G14" s="2473"/>
      <c r="H14" s="2474"/>
      <c r="I14" s="2474"/>
      <c r="J14" s="2473"/>
      <c r="K14" s="2475"/>
      <c r="L14" s="2476"/>
      <c r="M14" s="2477"/>
      <c r="N14" s="2477"/>
      <c r="O14" s="2477"/>
      <c r="P14" s="2477"/>
      <c r="Q14" s="2477"/>
      <c r="R14" s="2476"/>
      <c r="S14" s="2476"/>
      <c r="T14" s="685"/>
      <c r="U14" s="685"/>
      <c r="V14" s="685"/>
      <c r="W14" s="685"/>
      <c r="X14" s="685"/>
      <c r="Y14" s="685"/>
      <c r="Z14" s="685"/>
      <c r="AA14" s="685"/>
      <c r="AB14" s="2478"/>
      <c r="AC14" s="16"/>
      <c r="AD14" s="16"/>
      <c r="AE14" s="7"/>
      <c r="AF14" s="16"/>
      <c r="AG14" s="15"/>
      <c r="AH14" s="15"/>
      <c r="AI14" s="15"/>
      <c r="AJ14" s="15"/>
      <c r="AK14" s="15"/>
      <c r="AL14" s="16"/>
    </row>
    <row r="15" spans="3:38" s="8" customFormat="1" ht="50.1" customHeight="1" thickBot="1" x14ac:dyDescent="0.25">
      <c r="C15" s="13"/>
      <c r="D15" s="20"/>
      <c r="E15" s="14"/>
      <c r="F15" s="21"/>
      <c r="G15" s="21"/>
      <c r="H15" s="21"/>
      <c r="I15" s="21"/>
      <c r="J15" s="13"/>
      <c r="K15" s="16"/>
      <c r="L15" s="16"/>
      <c r="M15" s="16"/>
      <c r="N15" s="16"/>
      <c r="O15" s="16"/>
      <c r="P15" s="16"/>
      <c r="Q15" s="16"/>
      <c r="R15" s="17"/>
      <c r="S15" s="16"/>
      <c r="X15" s="7"/>
    </row>
    <row r="16" spans="3:38" s="8" customFormat="1" ht="15" customHeight="1" thickBot="1" x14ac:dyDescent="0.25">
      <c r="C16" s="2566"/>
      <c r="D16" s="2567"/>
      <c r="E16" s="2567"/>
      <c r="F16" s="2568"/>
      <c r="G16" s="2568"/>
      <c r="H16" s="2568"/>
      <c r="I16" s="2568"/>
      <c r="J16" s="2569"/>
      <c r="K16" s="2569"/>
      <c r="L16" s="2569"/>
      <c r="M16" s="2569"/>
      <c r="N16" s="2569"/>
      <c r="O16" s="2569"/>
      <c r="P16" s="2569"/>
      <c r="Q16" s="2569"/>
      <c r="R16" s="2570"/>
      <c r="S16" s="2569"/>
      <c r="T16" s="2571"/>
      <c r="U16" s="2571"/>
      <c r="V16" s="2571"/>
      <c r="W16" s="2571"/>
      <c r="X16" s="2572"/>
      <c r="Y16" s="2571"/>
      <c r="Z16" s="2571"/>
      <c r="AA16" s="2571"/>
      <c r="AB16" s="2573"/>
    </row>
    <row r="17" spans="3:28" s="8" customFormat="1" ht="8.1" customHeight="1" thickBot="1" x14ac:dyDescent="0.25">
      <c r="C17" s="13"/>
      <c r="D17" s="20"/>
      <c r="E17" s="14"/>
      <c r="F17" s="21"/>
      <c r="G17" s="21"/>
      <c r="H17" s="21"/>
      <c r="I17" s="21"/>
      <c r="J17" s="13"/>
      <c r="K17" s="16"/>
      <c r="L17" s="16"/>
      <c r="M17" s="16"/>
      <c r="N17" s="16"/>
      <c r="O17" s="16"/>
      <c r="P17" s="16"/>
      <c r="Q17" s="16"/>
      <c r="R17" s="17"/>
      <c r="S17" s="16"/>
      <c r="X17" s="7"/>
    </row>
    <row r="18" spans="3:28" s="8" customFormat="1" ht="9.9499999999999993" customHeight="1" x14ac:dyDescent="0.2">
      <c r="C18" s="7051" t="s">
        <v>144</v>
      </c>
      <c r="D18" s="7052"/>
      <c r="E18" s="7052"/>
      <c r="F18" s="7052"/>
      <c r="G18" s="7052"/>
      <c r="H18" s="7052"/>
      <c r="I18" s="7052"/>
      <c r="J18" s="7052"/>
      <c r="K18" s="7052"/>
      <c r="L18" s="7052"/>
      <c r="M18" s="7052"/>
      <c r="N18" s="7052"/>
      <c r="O18" s="7052"/>
      <c r="P18" s="7052"/>
      <c r="Q18" s="7052"/>
      <c r="R18" s="7052"/>
      <c r="S18" s="7052"/>
      <c r="T18" s="7052"/>
      <c r="U18" s="7052"/>
      <c r="V18" s="7052"/>
      <c r="W18" s="7052"/>
      <c r="X18" s="7052"/>
      <c r="Y18" s="7052"/>
      <c r="Z18" s="7052"/>
      <c r="AA18" s="7052"/>
      <c r="AB18" s="7053"/>
    </row>
    <row r="19" spans="3:28" s="8" customFormat="1" ht="20.100000000000001" customHeight="1" x14ac:dyDescent="0.2">
      <c r="C19" s="7054"/>
      <c r="D19" s="7055"/>
      <c r="E19" s="7055"/>
      <c r="F19" s="7055"/>
      <c r="G19" s="7055"/>
      <c r="H19" s="7055"/>
      <c r="I19" s="7055"/>
      <c r="J19" s="7055"/>
      <c r="K19" s="7055"/>
      <c r="L19" s="7055"/>
      <c r="M19" s="7055"/>
      <c r="N19" s="7055"/>
      <c r="O19" s="7055"/>
      <c r="P19" s="7055"/>
      <c r="Q19" s="7055"/>
      <c r="R19" s="7055"/>
      <c r="S19" s="7055"/>
      <c r="T19" s="7055"/>
      <c r="U19" s="7055"/>
      <c r="V19" s="7055"/>
      <c r="W19" s="7055"/>
      <c r="X19" s="7055"/>
      <c r="Y19" s="7055"/>
      <c r="Z19" s="7055"/>
      <c r="AA19" s="7055"/>
      <c r="AB19" s="7056"/>
    </row>
    <row r="20" spans="3:28" s="8" customFormat="1" ht="9.9499999999999993" customHeight="1" thickBot="1" x14ac:dyDescent="0.25">
      <c r="C20" s="7057"/>
      <c r="D20" s="7058"/>
      <c r="E20" s="7058"/>
      <c r="F20" s="7058"/>
      <c r="G20" s="7058"/>
      <c r="H20" s="7058"/>
      <c r="I20" s="7058"/>
      <c r="J20" s="7058"/>
      <c r="K20" s="7058"/>
      <c r="L20" s="7058"/>
      <c r="M20" s="7058"/>
      <c r="N20" s="7058"/>
      <c r="O20" s="7058"/>
      <c r="P20" s="7058"/>
      <c r="Q20" s="7058"/>
      <c r="R20" s="7058"/>
      <c r="S20" s="7058"/>
      <c r="T20" s="7058"/>
      <c r="U20" s="7058"/>
      <c r="V20" s="7058"/>
      <c r="W20" s="7058"/>
      <c r="X20" s="7058"/>
      <c r="Y20" s="7058"/>
      <c r="Z20" s="7058"/>
      <c r="AA20" s="7058"/>
      <c r="AB20" s="7059"/>
    </row>
    <row r="21" spans="3:28" s="8" customFormat="1" ht="24.95" customHeight="1" thickBot="1" x14ac:dyDescent="0.25">
      <c r="C21" s="13"/>
      <c r="D21" s="20"/>
      <c r="E21" s="14"/>
      <c r="F21" s="21"/>
      <c r="G21" s="21"/>
      <c r="H21" s="21"/>
      <c r="I21" s="21"/>
      <c r="J21" s="13"/>
      <c r="K21" s="16"/>
      <c r="L21" s="16"/>
      <c r="M21" s="16"/>
      <c r="N21" s="16"/>
      <c r="O21" s="16"/>
      <c r="P21" s="16"/>
      <c r="Q21" s="16"/>
      <c r="R21" s="17"/>
      <c r="S21" s="16"/>
      <c r="X21" s="7"/>
    </row>
    <row r="22" spans="3:28" ht="39.950000000000003" customHeight="1" thickBot="1" x14ac:dyDescent="0.4">
      <c r="C22" s="2596"/>
      <c r="E22" s="2597"/>
      <c r="F22" s="2598"/>
      <c r="G22" s="2598"/>
      <c r="H22" s="2598"/>
      <c r="I22" s="2598"/>
      <c r="J22" s="2598"/>
      <c r="K22" s="2598"/>
      <c r="L22" s="2598"/>
      <c r="M22" s="2599"/>
      <c r="N22" s="7"/>
      <c r="O22" s="7038" t="s">
        <v>845</v>
      </c>
      <c r="P22" s="7039"/>
      <c r="Q22" s="7039"/>
      <c r="R22" s="7039"/>
      <c r="S22" s="7040"/>
      <c r="X22" s="7045" t="s">
        <v>151</v>
      </c>
      <c r="Y22" s="7046"/>
      <c r="Z22" s="7046"/>
      <c r="AA22" s="7046"/>
      <c r="AB22" s="7047"/>
    </row>
    <row r="23" spans="3:28" s="8" customFormat="1" ht="8.1" customHeight="1" thickBot="1" x14ac:dyDescent="0.25">
      <c r="C23" s="149"/>
      <c r="D23" s="10"/>
      <c r="E23" s="150"/>
      <c r="F23" s="150"/>
      <c r="G23" s="150"/>
      <c r="H23" s="150"/>
      <c r="I23" s="150"/>
      <c r="J23" s="152"/>
      <c r="K23" s="152"/>
      <c r="L23" s="152"/>
      <c r="M23" s="152"/>
      <c r="N23" s="152"/>
      <c r="O23" s="152"/>
      <c r="P23" s="150"/>
      <c r="Q23" s="151"/>
      <c r="R23" s="9"/>
      <c r="T23" s="7"/>
      <c r="U23" s="7"/>
      <c r="V23" s="7"/>
      <c r="W23" s="7"/>
      <c r="X23" s="152"/>
      <c r="Y23" s="150"/>
      <c r="Z23" s="151"/>
      <c r="AA23" s="9"/>
    </row>
    <row r="24" spans="3:28" s="26" customFormat="1" ht="20.100000000000001" customHeight="1" thickBot="1" x14ac:dyDescent="0.25">
      <c r="C24" s="1060"/>
      <c r="D24" s="25"/>
      <c r="E24" s="1108"/>
      <c r="F24" s="1019"/>
      <c r="G24" s="1019"/>
      <c r="H24" s="1019"/>
      <c r="I24" s="1019"/>
      <c r="J24" s="2507" t="s">
        <v>131</v>
      </c>
      <c r="K24" s="2507"/>
      <c r="L24" s="2507" t="s">
        <v>154</v>
      </c>
      <c r="M24" s="1347"/>
      <c r="N24" s="572"/>
      <c r="O24" s="1346"/>
      <c r="P24" s="2507" t="s">
        <v>253</v>
      </c>
      <c r="Q24" s="2507"/>
      <c r="R24" s="1195" t="s">
        <v>100</v>
      </c>
      <c r="S24" s="2509"/>
      <c r="T24" s="8"/>
      <c r="U24" s="8"/>
      <c r="V24" s="8"/>
      <c r="W24" s="8"/>
      <c r="X24" s="2486"/>
      <c r="Y24" s="2487" t="s">
        <v>253</v>
      </c>
      <c r="Z24" s="2487"/>
      <c r="AA24" s="2488" t="s">
        <v>100</v>
      </c>
      <c r="AB24" s="2489"/>
    </row>
    <row r="25" spans="3:28" s="8" customFormat="1" ht="24.95" customHeight="1" thickBot="1" x14ac:dyDescent="0.25">
      <c r="C25" s="13"/>
      <c r="D25" s="10"/>
      <c r="E25" s="14"/>
      <c r="F25" s="15"/>
      <c r="G25" s="15"/>
      <c r="H25" s="15"/>
      <c r="I25" s="15"/>
      <c r="J25" s="16"/>
      <c r="K25" s="18"/>
      <c r="L25" s="50"/>
      <c r="M25" s="15"/>
      <c r="N25" s="15"/>
      <c r="O25" s="15"/>
      <c r="P25" s="15"/>
      <c r="Q25" s="15"/>
      <c r="R25" s="15"/>
      <c r="S25" s="15"/>
      <c r="T25" s="7"/>
      <c r="U25" s="7"/>
      <c r="V25" s="7"/>
      <c r="W25" s="7"/>
      <c r="X25" s="15"/>
      <c r="Y25" s="15"/>
      <c r="Z25" s="15"/>
      <c r="AA25" s="15"/>
      <c r="AB25" s="15"/>
    </row>
    <row r="26" spans="3:28" s="8" customFormat="1" ht="15" customHeight="1" thickBot="1" x14ac:dyDescent="0.25">
      <c r="C26" s="2551"/>
      <c r="D26" s="7"/>
      <c r="E26" s="2552"/>
      <c r="F26" s="2553"/>
      <c r="G26" s="2553"/>
      <c r="H26" s="2553"/>
      <c r="I26" s="2553"/>
      <c r="J26" s="2553"/>
      <c r="K26" s="2553"/>
      <c r="L26" s="2553"/>
      <c r="M26" s="2554"/>
      <c r="O26" s="2539"/>
      <c r="P26" s="2540"/>
      <c r="Q26" s="2540"/>
      <c r="R26" s="2540"/>
      <c r="S26" s="2541"/>
      <c r="T26" s="2532"/>
      <c r="U26" s="7"/>
      <c r="X26" s="2548"/>
      <c r="Y26" s="2549"/>
      <c r="Z26" s="2549"/>
      <c r="AA26" s="2549"/>
      <c r="AB26" s="2550"/>
    </row>
    <row r="27" spans="3:28" s="8" customFormat="1" ht="20.100000000000001" customHeight="1" thickBot="1" x14ac:dyDescent="0.25">
      <c r="C27" s="2555" t="s">
        <v>847</v>
      </c>
      <c r="D27" s="7"/>
      <c r="E27" s="2556"/>
      <c r="F27" s="2557" t="s">
        <v>144</v>
      </c>
      <c r="G27" s="2558"/>
      <c r="H27" s="2558"/>
      <c r="I27" s="2558"/>
      <c r="J27" s="2559" t="s">
        <v>149</v>
      </c>
      <c r="K27" s="2558"/>
      <c r="L27" s="2558"/>
      <c r="M27" s="2560"/>
      <c r="O27" s="2538"/>
      <c r="P27" s="2508"/>
      <c r="Q27" s="2536"/>
      <c r="R27" s="2536" t="s">
        <v>846</v>
      </c>
      <c r="S27" s="2537"/>
      <c r="T27" s="2531" t="str">
        <f>IF(P27="","!","✓")</f>
        <v>!</v>
      </c>
      <c r="U27" s="7"/>
      <c r="X27" s="2547"/>
      <c r="Y27" s="2561">
        <v>101</v>
      </c>
      <c r="Z27" s="2545"/>
      <c r="AA27" s="2545" t="s">
        <v>846</v>
      </c>
      <c r="AB27" s="2546"/>
    </row>
    <row r="28" spans="3:28" s="8" customFormat="1" ht="15" customHeight="1" thickBot="1" x14ac:dyDescent="0.25">
      <c r="C28" s="2562"/>
      <c r="D28" s="7"/>
      <c r="E28" s="2563"/>
      <c r="F28" s="2564"/>
      <c r="G28" s="2564"/>
      <c r="H28" s="2564"/>
      <c r="I28" s="2564"/>
      <c r="J28" s="2564"/>
      <c r="K28" s="2564"/>
      <c r="L28" s="2564"/>
      <c r="M28" s="2565"/>
      <c r="O28" s="2533"/>
      <c r="P28" s="2534"/>
      <c r="Q28" s="2534"/>
      <c r="R28" s="2534"/>
      <c r="S28" s="2535"/>
      <c r="T28" s="2530"/>
      <c r="U28" s="7"/>
      <c r="X28" s="2542"/>
      <c r="Y28" s="2543" t="s">
        <v>831</v>
      </c>
      <c r="Z28" s="2543"/>
      <c r="AA28" s="2543"/>
      <c r="AB28" s="2544"/>
    </row>
    <row r="29" spans="3:28" s="8" customFormat="1" ht="50.1" customHeight="1" thickBot="1" x14ac:dyDescent="0.25">
      <c r="C29" s="13"/>
      <c r="D29" s="20"/>
      <c r="E29" s="14"/>
      <c r="F29" s="21"/>
      <c r="G29" s="21"/>
      <c r="H29" s="21"/>
      <c r="I29" s="21"/>
      <c r="J29" s="13"/>
      <c r="K29" s="16"/>
      <c r="L29" s="16"/>
      <c r="M29" s="16"/>
      <c r="N29" s="16"/>
      <c r="O29" s="16"/>
      <c r="P29" s="16"/>
      <c r="Q29" s="16"/>
      <c r="R29" s="17"/>
      <c r="S29" s="16"/>
      <c r="X29" s="7"/>
    </row>
    <row r="30" spans="3:28" s="8" customFormat="1" ht="8.1" customHeight="1" thickBot="1" x14ac:dyDescent="0.25">
      <c r="C30" s="2566"/>
      <c r="D30" s="2567"/>
      <c r="E30" s="2567"/>
      <c r="F30" s="2568"/>
      <c r="G30" s="2568"/>
      <c r="H30" s="2568"/>
      <c r="I30" s="2568"/>
      <c r="J30" s="2569"/>
      <c r="K30" s="2569"/>
      <c r="L30" s="2569"/>
      <c r="M30" s="2569"/>
      <c r="N30" s="2569"/>
      <c r="O30" s="2569"/>
      <c r="P30" s="2569"/>
      <c r="Q30" s="2569"/>
      <c r="R30" s="2570"/>
      <c r="S30" s="2569"/>
      <c r="T30" s="2571"/>
      <c r="U30" s="2571"/>
      <c r="V30" s="2571"/>
      <c r="W30" s="2571"/>
      <c r="X30" s="2572"/>
      <c r="Y30" s="2571"/>
      <c r="Z30" s="2571"/>
      <c r="AA30" s="2571"/>
      <c r="AB30" s="2573"/>
    </row>
    <row r="31" spans="3:28" s="8" customFormat="1" ht="5.0999999999999996" customHeight="1" thickBot="1" x14ac:dyDescent="0.25">
      <c r="C31" s="2582"/>
      <c r="D31" s="2583"/>
      <c r="E31" s="2583"/>
      <c r="F31" s="2584"/>
      <c r="G31" s="2584"/>
      <c r="H31" s="2584"/>
      <c r="I31" s="2584"/>
      <c r="J31" s="2582"/>
      <c r="K31" s="2582"/>
      <c r="L31" s="2582"/>
      <c r="M31" s="2582"/>
      <c r="N31" s="2582"/>
      <c r="O31" s="2582"/>
      <c r="P31" s="2582"/>
      <c r="Q31" s="2582"/>
      <c r="R31" s="1749"/>
      <c r="S31" s="2582"/>
      <c r="T31" s="2585"/>
      <c r="U31" s="2585"/>
      <c r="V31" s="2585"/>
      <c r="W31" s="2585"/>
      <c r="X31" s="2586"/>
      <c r="Y31" s="2585"/>
      <c r="Z31" s="2585"/>
      <c r="AA31" s="2585"/>
      <c r="AB31" s="2585"/>
    </row>
    <row r="32" spans="3:28" s="2587" customFormat="1" ht="8.1" customHeight="1" thickBot="1" x14ac:dyDescent="0.25">
      <c r="C32" s="2588"/>
      <c r="D32" s="2589"/>
      <c r="E32" s="2589"/>
      <c r="F32" s="2590"/>
      <c r="G32" s="2590"/>
      <c r="H32" s="2590"/>
      <c r="I32" s="2590"/>
      <c r="J32" s="2591"/>
      <c r="K32" s="2591"/>
      <c r="L32" s="2591"/>
      <c r="M32" s="2591"/>
      <c r="N32" s="2591"/>
      <c r="O32" s="2591"/>
      <c r="P32" s="2591"/>
      <c r="Q32" s="2591"/>
      <c r="R32" s="2592"/>
      <c r="S32" s="2591"/>
      <c r="T32" s="2593"/>
      <c r="U32" s="2593"/>
      <c r="V32" s="2593"/>
      <c r="W32" s="2593"/>
      <c r="X32" s="2594"/>
      <c r="Y32" s="2593"/>
      <c r="Z32" s="2593"/>
      <c r="AA32" s="2593"/>
      <c r="AB32" s="2595"/>
    </row>
    <row r="33" spans="3:28" s="8" customFormat="1" ht="50.1" customHeight="1" thickBot="1" x14ac:dyDescent="0.25">
      <c r="C33" s="13"/>
      <c r="D33" s="20"/>
      <c r="E33" s="14"/>
      <c r="F33" s="21"/>
      <c r="G33" s="21"/>
      <c r="H33" s="21"/>
      <c r="I33" s="21"/>
      <c r="J33" s="13"/>
      <c r="K33" s="16"/>
      <c r="L33" s="16"/>
      <c r="M33" s="16"/>
      <c r="N33" s="16"/>
      <c r="O33" s="16"/>
      <c r="P33" s="16"/>
      <c r="Q33" s="16"/>
      <c r="R33" s="17"/>
      <c r="S33" s="16"/>
      <c r="X33" s="7"/>
    </row>
    <row r="34" spans="3:28" s="8" customFormat="1" ht="15" customHeight="1" thickBot="1" x14ac:dyDescent="0.25">
      <c r="C34" s="2574"/>
      <c r="D34" s="2575"/>
      <c r="E34" s="2575"/>
      <c r="F34" s="2576"/>
      <c r="G34" s="2576"/>
      <c r="H34" s="2576"/>
      <c r="I34" s="2576"/>
      <c r="J34" s="2577"/>
      <c r="K34" s="2577"/>
      <c r="L34" s="2577"/>
      <c r="M34" s="2577"/>
      <c r="N34" s="2577"/>
      <c r="O34" s="2577"/>
      <c r="P34" s="2577"/>
      <c r="Q34" s="2577"/>
      <c r="R34" s="2578"/>
      <c r="S34" s="2577"/>
      <c r="T34" s="2579"/>
      <c r="U34" s="2579"/>
      <c r="V34" s="2579"/>
      <c r="W34" s="2579"/>
      <c r="X34" s="2580"/>
      <c r="Y34" s="2579"/>
      <c r="Z34" s="2579"/>
      <c r="AA34" s="2579"/>
      <c r="AB34" s="2581"/>
    </row>
    <row r="35" spans="3:28" s="21" customFormat="1" ht="8.1" customHeight="1" thickBot="1" x14ac:dyDescent="0.25">
      <c r="C35" s="13"/>
      <c r="D35" s="13"/>
      <c r="E35" s="14"/>
      <c r="J35" s="13"/>
      <c r="K35" s="50"/>
      <c r="L35" s="15"/>
      <c r="M35" s="137"/>
      <c r="N35" s="137"/>
      <c r="O35" s="137"/>
      <c r="P35" s="137"/>
      <c r="Q35" s="137"/>
      <c r="R35" s="1185"/>
      <c r="S35" s="137"/>
      <c r="T35" s="7"/>
      <c r="U35" s="7"/>
      <c r="V35" s="7"/>
      <c r="W35" s="7"/>
      <c r="X35" s="7"/>
      <c r="Y35" s="7"/>
      <c r="Z35" s="7"/>
      <c r="AA35" s="7"/>
    </row>
    <row r="36" spans="3:28" s="8" customFormat="1" ht="9.9499999999999993" customHeight="1" x14ac:dyDescent="0.2">
      <c r="C36" s="7022" t="s">
        <v>849</v>
      </c>
      <c r="D36" s="7023"/>
      <c r="E36" s="7023"/>
      <c r="F36" s="7023"/>
      <c r="G36" s="7023"/>
      <c r="H36" s="7023"/>
      <c r="I36" s="7023"/>
      <c r="J36" s="7023"/>
      <c r="K36" s="7023"/>
      <c r="L36" s="7023"/>
      <c r="M36" s="7023"/>
      <c r="N36" s="7023"/>
      <c r="O36" s="7023"/>
      <c r="P36" s="7023"/>
      <c r="Q36" s="7023"/>
      <c r="R36" s="7023"/>
      <c r="S36" s="7023"/>
      <c r="T36" s="7023"/>
      <c r="U36" s="7023"/>
      <c r="V36" s="7023"/>
      <c r="W36" s="7023"/>
      <c r="X36" s="7023"/>
      <c r="Y36" s="7023"/>
      <c r="Z36" s="7023"/>
      <c r="AA36" s="7023"/>
      <c r="AB36" s="7024"/>
    </row>
    <row r="37" spans="3:28" s="8" customFormat="1" ht="20.100000000000001" customHeight="1" x14ac:dyDescent="0.2">
      <c r="C37" s="7025"/>
      <c r="D37" s="7026"/>
      <c r="E37" s="7026"/>
      <c r="F37" s="7026"/>
      <c r="G37" s="7026"/>
      <c r="H37" s="7026"/>
      <c r="I37" s="7026"/>
      <c r="J37" s="7026"/>
      <c r="K37" s="7026"/>
      <c r="L37" s="7026"/>
      <c r="M37" s="7026"/>
      <c r="N37" s="7026"/>
      <c r="O37" s="7026"/>
      <c r="P37" s="7026"/>
      <c r="Q37" s="7026"/>
      <c r="R37" s="7026"/>
      <c r="S37" s="7026"/>
      <c r="T37" s="7026"/>
      <c r="U37" s="7026"/>
      <c r="V37" s="7026"/>
      <c r="W37" s="7026"/>
      <c r="X37" s="7026"/>
      <c r="Y37" s="7026"/>
      <c r="Z37" s="7026"/>
      <c r="AA37" s="7026"/>
      <c r="AB37" s="7027"/>
    </row>
    <row r="38" spans="3:28" s="8" customFormat="1" ht="9.9499999999999993" customHeight="1" thickBot="1" x14ac:dyDescent="0.25">
      <c r="C38" s="7028"/>
      <c r="D38" s="7029"/>
      <c r="E38" s="7029"/>
      <c r="F38" s="7029"/>
      <c r="G38" s="7029"/>
      <c r="H38" s="7029"/>
      <c r="I38" s="7029"/>
      <c r="J38" s="7029"/>
      <c r="K38" s="7029"/>
      <c r="L38" s="7029"/>
      <c r="M38" s="7029"/>
      <c r="N38" s="7029"/>
      <c r="O38" s="7029"/>
      <c r="P38" s="7029"/>
      <c r="Q38" s="7029"/>
      <c r="R38" s="7029"/>
      <c r="S38" s="7029"/>
      <c r="T38" s="7029"/>
      <c r="U38" s="7029"/>
      <c r="V38" s="7029"/>
      <c r="W38" s="7029"/>
      <c r="X38" s="7029"/>
      <c r="Y38" s="7029"/>
      <c r="Z38" s="7029"/>
      <c r="AA38" s="7029"/>
      <c r="AB38" s="7030"/>
    </row>
    <row r="39" spans="3:28" s="8" customFormat="1" ht="24.95" customHeight="1" thickBot="1" x14ac:dyDescent="0.25">
      <c r="C39" s="13"/>
      <c r="D39" s="20"/>
      <c r="E39" s="14"/>
      <c r="F39" s="21"/>
      <c r="G39" s="21"/>
      <c r="H39" s="21"/>
      <c r="I39" s="21"/>
      <c r="J39" s="13"/>
      <c r="K39" s="16"/>
      <c r="L39" s="16"/>
      <c r="M39" s="16"/>
      <c r="N39" s="16"/>
      <c r="O39" s="16"/>
      <c r="P39" s="16"/>
      <c r="Q39" s="16"/>
      <c r="R39" s="17"/>
      <c r="S39" s="16"/>
      <c r="X39" s="7"/>
    </row>
    <row r="40" spans="3:28" ht="39.950000000000003" customHeight="1" thickBot="1" x14ac:dyDescent="0.25">
      <c r="C40" s="2519"/>
      <c r="D40" s="10"/>
      <c r="E40" s="2516"/>
      <c r="F40" s="2517"/>
      <c r="G40" s="2517"/>
      <c r="H40" s="2517"/>
      <c r="I40" s="2517"/>
      <c r="J40" s="2517"/>
      <c r="K40" s="2517"/>
      <c r="L40" s="2517"/>
      <c r="M40" s="2518"/>
      <c r="N40" s="7"/>
      <c r="O40" s="7038" t="str">
        <f>O22</f>
        <v>Egendefinert</v>
      </c>
      <c r="P40" s="7039"/>
      <c r="Q40" s="7039"/>
      <c r="R40" s="7039"/>
      <c r="S40" s="7040"/>
      <c r="X40" s="7060" t="s">
        <v>21</v>
      </c>
      <c r="Y40" s="7061"/>
      <c r="Z40" s="7061"/>
      <c r="AA40" s="7061"/>
      <c r="AB40" s="7062"/>
    </row>
    <row r="41" spans="3:28" s="8" customFormat="1" ht="8.1" customHeight="1" thickBot="1" x14ac:dyDescent="0.25">
      <c r="C41" s="149"/>
      <c r="D41" s="10"/>
      <c r="E41" s="150"/>
      <c r="F41" s="150"/>
      <c r="G41" s="150"/>
      <c r="H41" s="150"/>
      <c r="I41" s="150"/>
      <c r="J41" s="152"/>
      <c r="K41" s="152"/>
      <c r="L41" s="152"/>
      <c r="M41" s="152"/>
      <c r="N41" s="152"/>
      <c r="O41" s="152"/>
      <c r="P41" s="150"/>
      <c r="Q41" s="151"/>
      <c r="R41" s="9"/>
      <c r="T41" s="7"/>
      <c r="U41" s="7"/>
      <c r="V41" s="7"/>
      <c r="W41" s="7"/>
      <c r="X41" s="152"/>
      <c r="Y41" s="150"/>
      <c r="Z41" s="151"/>
      <c r="AA41" s="9"/>
    </row>
    <row r="42" spans="3:28" s="26" customFormat="1" ht="20.100000000000001" customHeight="1" thickBot="1" x14ac:dyDescent="0.25">
      <c r="C42" s="1060"/>
      <c r="D42" s="25"/>
      <c r="E42" s="1108"/>
      <c r="F42" s="1019"/>
      <c r="G42" s="1019"/>
      <c r="H42" s="1019"/>
      <c r="I42" s="1019"/>
      <c r="J42" s="2357" t="s">
        <v>131</v>
      </c>
      <c r="K42" s="2357"/>
      <c r="L42" s="2357" t="s">
        <v>154</v>
      </c>
      <c r="M42" s="1347"/>
      <c r="N42" s="572"/>
      <c r="O42" s="1346"/>
      <c r="P42" s="2357" t="s">
        <v>132</v>
      </c>
      <c r="Q42" s="2357"/>
      <c r="R42" s="1195" t="s">
        <v>100</v>
      </c>
      <c r="S42" s="2366"/>
      <c r="T42" s="8"/>
      <c r="U42" s="8"/>
      <c r="V42" s="8"/>
      <c r="W42" s="8"/>
      <c r="X42" s="2486"/>
      <c r="Y42" s="2487" t="s">
        <v>132</v>
      </c>
      <c r="Z42" s="2487"/>
      <c r="AA42" s="2488" t="s">
        <v>100</v>
      </c>
      <c r="AB42" s="2489"/>
    </row>
    <row r="43" spans="3:28" s="8" customFormat="1" ht="24.75" customHeight="1" thickBot="1" x14ac:dyDescent="0.25">
      <c r="C43" s="13"/>
      <c r="D43" s="10"/>
      <c r="E43" s="14"/>
      <c r="F43" s="15"/>
      <c r="G43" s="15"/>
      <c r="H43" s="15"/>
      <c r="I43" s="15"/>
      <c r="J43" s="16"/>
      <c r="K43" s="18"/>
      <c r="L43" s="50"/>
      <c r="M43" s="15"/>
      <c r="N43" s="15"/>
      <c r="O43" s="15"/>
      <c r="P43" s="15"/>
      <c r="Q43" s="15"/>
      <c r="R43" s="15"/>
      <c r="S43" s="15"/>
      <c r="T43" s="7"/>
      <c r="U43" s="7"/>
      <c r="V43" s="7"/>
      <c r="W43" s="7"/>
      <c r="X43" s="15"/>
      <c r="Y43" s="15"/>
      <c r="Z43" s="15"/>
      <c r="AA43" s="15"/>
      <c r="AB43" s="15"/>
    </row>
    <row r="44" spans="3:28" s="8" customFormat="1" ht="15" customHeight="1" x14ac:dyDescent="0.2">
      <c r="C44" s="1325"/>
      <c r="D44" s="10"/>
      <c r="E44" s="7031" t="str">
        <f>_Calcs!$I$89</f>
        <v>Hovedtunnel</v>
      </c>
      <c r="F44" s="7032"/>
      <c r="G44" s="7032"/>
      <c r="H44" s="7032"/>
      <c r="I44" s="7032"/>
      <c r="J44" s="7032"/>
      <c r="K44" s="7032"/>
      <c r="L44" s="7032"/>
      <c r="M44" s="7032"/>
      <c r="N44" s="7032"/>
      <c r="O44" s="7032"/>
      <c r="P44" s="7032"/>
      <c r="Q44" s="7032"/>
      <c r="R44" s="7032"/>
      <c r="S44" s="7032"/>
      <c r="T44" s="7032"/>
      <c r="U44" s="7032"/>
      <c r="V44" s="7032"/>
      <c r="W44" s="7032"/>
      <c r="X44" s="7032"/>
      <c r="Y44" s="7032"/>
      <c r="Z44" s="7032"/>
      <c r="AA44" s="7032"/>
      <c r="AB44" s="7033"/>
    </row>
    <row r="45" spans="3:28" s="8" customFormat="1" ht="24.95" customHeight="1" thickBot="1" x14ac:dyDescent="0.25">
      <c r="C45" s="6582" t="s">
        <v>82</v>
      </c>
      <c r="D45" s="10"/>
      <c r="E45" s="7034"/>
      <c r="F45" s="7035"/>
      <c r="G45" s="7035"/>
      <c r="H45" s="7035"/>
      <c r="I45" s="7035"/>
      <c r="J45" s="7035"/>
      <c r="K45" s="7035"/>
      <c r="L45" s="7035"/>
      <c r="M45" s="7035"/>
      <c r="N45" s="7035"/>
      <c r="O45" s="7035"/>
      <c r="P45" s="7035"/>
      <c r="Q45" s="7035"/>
      <c r="R45" s="7035"/>
      <c r="S45" s="7035"/>
      <c r="T45" s="7035"/>
      <c r="U45" s="7035"/>
      <c r="V45" s="7035"/>
      <c r="W45" s="7035"/>
      <c r="X45" s="7035"/>
      <c r="Y45" s="7035"/>
      <c r="Z45" s="7035"/>
      <c r="AA45" s="7035"/>
      <c r="AB45" s="7036"/>
    </row>
    <row r="46" spans="3:28" s="8" customFormat="1" ht="15" customHeight="1" thickBot="1" x14ac:dyDescent="0.25">
      <c r="C46" s="6582"/>
      <c r="D46" s="10"/>
      <c r="E46" s="14"/>
      <c r="F46" s="15"/>
      <c r="G46" s="15"/>
      <c r="H46" s="15"/>
      <c r="I46" s="15"/>
      <c r="J46" s="16"/>
      <c r="K46" s="18"/>
      <c r="L46" s="50"/>
      <c r="M46" s="15"/>
      <c r="N46" s="15"/>
      <c r="O46" s="15"/>
      <c r="P46" s="15"/>
      <c r="Q46" s="15"/>
      <c r="R46" s="15"/>
      <c r="S46" s="15"/>
      <c r="T46" s="7"/>
      <c r="U46" s="7"/>
      <c r="V46" s="7"/>
      <c r="W46" s="7"/>
      <c r="X46" s="15"/>
      <c r="Y46" s="15"/>
      <c r="Z46" s="15"/>
      <c r="AA46" s="15"/>
      <c r="AB46" s="15"/>
    </row>
    <row r="47" spans="3:28" s="8" customFormat="1" ht="15" customHeight="1" thickBot="1" x14ac:dyDescent="0.25">
      <c r="C47" s="6582"/>
      <c r="D47" s="10"/>
      <c r="E47" s="948"/>
      <c r="F47" s="6592" t="s">
        <v>248</v>
      </c>
      <c r="G47" s="6592"/>
      <c r="H47" s="6592"/>
      <c r="I47" s="6592"/>
      <c r="J47" s="6592"/>
      <c r="K47" s="6592"/>
      <c r="L47" s="6592"/>
      <c r="M47" s="1278"/>
      <c r="N47" s="15"/>
      <c r="O47" s="15"/>
      <c r="P47" s="15"/>
      <c r="Q47" s="15"/>
      <c r="R47" s="15"/>
      <c r="S47" s="15"/>
      <c r="T47" s="7"/>
      <c r="U47" s="7"/>
      <c r="V47" s="7"/>
      <c r="W47" s="7"/>
      <c r="X47" s="15"/>
      <c r="Y47" s="15"/>
      <c r="Z47" s="15"/>
      <c r="AA47" s="15"/>
      <c r="AB47" s="15"/>
    </row>
    <row r="48" spans="3:28" s="8" customFormat="1" ht="15" customHeight="1" thickBot="1" x14ac:dyDescent="0.25">
      <c r="C48" s="6582"/>
      <c r="D48" s="10"/>
      <c r="E48" s="950"/>
      <c r="F48" s="6593"/>
      <c r="G48" s="6593"/>
      <c r="H48" s="6593"/>
      <c r="I48" s="6593"/>
      <c r="J48" s="6593"/>
      <c r="K48" s="6593"/>
      <c r="L48" s="6593"/>
      <c r="M48" s="1279"/>
      <c r="N48" s="15"/>
      <c r="O48" s="1280"/>
      <c r="P48" s="721"/>
      <c r="Q48" s="721"/>
      <c r="R48" s="721"/>
      <c r="S48" s="1281"/>
      <c r="T48" s="181"/>
      <c r="U48" s="181"/>
      <c r="V48" s="181"/>
      <c r="W48" s="181"/>
      <c r="X48" s="2605"/>
      <c r="Y48" s="2606"/>
      <c r="Z48" s="2606"/>
      <c r="AA48" s="2606"/>
      <c r="AB48" s="2607"/>
    </row>
    <row r="49" spans="3:31" s="8" customFormat="1" ht="8.1" customHeight="1" thickBot="1" x14ac:dyDescent="0.25">
      <c r="C49" s="5750"/>
      <c r="D49" s="10"/>
      <c r="E49" s="14"/>
      <c r="F49" s="129"/>
      <c r="G49" s="129"/>
      <c r="H49" s="129"/>
      <c r="I49" s="129"/>
      <c r="J49" s="16"/>
      <c r="K49" s="15"/>
      <c r="L49" s="50"/>
      <c r="M49" s="15"/>
      <c r="N49" s="15"/>
      <c r="O49" s="15"/>
      <c r="P49" s="90"/>
      <c r="Q49" s="13"/>
      <c r="R49" s="15"/>
      <c r="S49" s="13"/>
      <c r="T49" s="7"/>
      <c r="U49" s="7"/>
      <c r="V49" s="7"/>
      <c r="W49" s="7"/>
      <c r="X49" s="15"/>
      <c r="Y49" s="90"/>
      <c r="Z49" s="13"/>
      <c r="AA49" s="15"/>
      <c r="AB49" s="13"/>
    </row>
    <row r="50" spans="3:31" s="8" customFormat="1" ht="15" customHeight="1" thickBot="1" x14ac:dyDescent="0.25">
      <c r="C50" s="5750"/>
      <c r="D50" s="10"/>
      <c r="E50" s="695"/>
      <c r="F50" s="696"/>
      <c r="G50" s="696"/>
      <c r="H50" s="696"/>
      <c r="I50" s="696"/>
      <c r="J50" s="698"/>
      <c r="K50" s="709"/>
      <c r="L50" s="1126"/>
      <c r="M50" s="1303"/>
      <c r="N50" s="15"/>
      <c r="O50" s="1288"/>
      <c r="P50" s="1289"/>
      <c r="Q50" s="1290"/>
      <c r="R50" s="1291"/>
      <c r="S50" s="1292"/>
      <c r="T50" s="7"/>
      <c r="U50" s="7"/>
      <c r="V50" s="7"/>
      <c r="W50" s="7"/>
      <c r="X50" s="2392"/>
      <c r="Y50" s="2393"/>
      <c r="Z50" s="2394"/>
      <c r="AA50" s="2395"/>
      <c r="AB50" s="2396"/>
    </row>
    <row r="51" spans="3:31" s="8" customFormat="1" ht="20.100000000000001" customHeight="1" thickBot="1" x14ac:dyDescent="0.25">
      <c r="C51" s="1326"/>
      <c r="D51" s="10"/>
      <c r="E51" s="700"/>
      <c r="F51" s="6760" t="str">
        <f>_Calcs!$M$29</f>
        <v>Normalsalve</v>
      </c>
      <c r="G51" s="6760"/>
      <c r="H51" s="6760"/>
      <c r="I51" s="6760"/>
      <c r="J51" s="142" t="s">
        <v>149</v>
      </c>
      <c r="K51" s="2365"/>
      <c r="L51" s="1304"/>
      <c r="M51" s="1305"/>
      <c r="N51" s="15"/>
      <c r="O51" s="1293"/>
      <c r="P51" s="2480"/>
      <c r="Q51" s="1294"/>
      <c r="R51" s="1295" t="s">
        <v>99</v>
      </c>
      <c r="S51" s="1296"/>
      <c r="T51" s="7"/>
      <c r="U51" s="7"/>
      <c r="V51" s="7"/>
      <c r="W51" s="7"/>
      <c r="X51" s="2388"/>
      <c r="Y51" s="5768" t="str">
        <f>_Kapasitet!$S$36</f>
        <v>!</v>
      </c>
      <c r="Z51" s="2391"/>
      <c r="AA51" s="2386" t="s">
        <v>99</v>
      </c>
      <c r="AB51" s="2387"/>
    </row>
    <row r="52" spans="3:31" s="8" customFormat="1" thickBot="1" x14ac:dyDescent="0.25">
      <c r="C52" s="1326"/>
      <c r="D52" s="10"/>
      <c r="E52" s="700"/>
      <c r="F52" s="679"/>
      <c r="G52" s="679"/>
      <c r="H52" s="679"/>
      <c r="I52" s="679"/>
      <c r="J52" s="66"/>
      <c r="K52" s="1306"/>
      <c r="L52" s="1128"/>
      <c r="M52" s="1307"/>
      <c r="N52" s="111"/>
      <c r="O52" s="1297"/>
      <c r="P52" s="1298"/>
      <c r="Q52" s="1294"/>
      <c r="R52" s="1295"/>
      <c r="S52" s="1296"/>
      <c r="T52" s="7"/>
      <c r="U52" s="7"/>
      <c r="V52" s="7"/>
      <c r="W52" s="7"/>
      <c r="X52" s="2390"/>
      <c r="Y52" s="2389"/>
      <c r="Z52" s="2385"/>
      <c r="AA52" s="2386"/>
      <c r="AB52" s="2387"/>
    </row>
    <row r="53" spans="3:31" s="8" customFormat="1" ht="20.100000000000001" customHeight="1" thickBot="1" x14ac:dyDescent="0.25">
      <c r="C53" s="7037"/>
      <c r="D53" s="10"/>
      <c r="E53" s="700"/>
      <c r="F53" s="6585" t="s">
        <v>1850</v>
      </c>
      <c r="G53" s="6585"/>
      <c r="H53" s="6585"/>
      <c r="I53" s="6585"/>
      <c r="J53" s="2283" t="s">
        <v>149</v>
      </c>
      <c r="K53" s="2365"/>
      <c r="L53" s="1304"/>
      <c r="M53" s="1305"/>
      <c r="N53" s="15"/>
      <c r="O53" s="1293"/>
      <c r="P53" s="2480"/>
      <c r="Q53" s="1294"/>
      <c r="R53" s="1295" t="s">
        <v>99</v>
      </c>
      <c r="S53" s="1296"/>
      <c r="T53" s="7"/>
      <c r="U53" s="7"/>
      <c r="V53" s="7"/>
      <c r="W53" s="7"/>
      <c r="X53" s="2388"/>
      <c r="Y53" s="5768" t="str">
        <f>_Kapasitet!$S$38</f>
        <v>!</v>
      </c>
      <c r="Z53" s="2385"/>
      <c r="AA53" s="2386" t="s">
        <v>99</v>
      </c>
      <c r="AB53" s="2387"/>
    </row>
    <row r="54" spans="3:31" s="8" customFormat="1" ht="9.9499999999999993" customHeight="1" x14ac:dyDescent="0.2">
      <c r="C54" s="7037"/>
      <c r="D54" s="10"/>
      <c r="E54" s="700"/>
      <c r="F54" s="6585"/>
      <c r="G54" s="6585"/>
      <c r="H54" s="6585"/>
      <c r="I54" s="6585"/>
      <c r="J54" s="66"/>
      <c r="K54" s="2365"/>
      <c r="L54" s="1128"/>
      <c r="M54" s="1305"/>
      <c r="N54" s="15"/>
      <c r="O54" s="1293"/>
      <c r="P54" s="1298"/>
      <c r="Q54" s="1294"/>
      <c r="R54" s="1295"/>
      <c r="S54" s="1296"/>
      <c r="T54" s="7"/>
      <c r="U54" s="7"/>
      <c r="V54" s="7"/>
      <c r="W54" s="7"/>
      <c r="X54" s="2388"/>
      <c r="Y54" s="2389"/>
      <c r="Z54" s="2385"/>
      <c r="AA54" s="2386"/>
      <c r="AB54" s="2387"/>
    </row>
    <row r="55" spans="3:31" s="8" customFormat="1" ht="15" customHeight="1" thickBot="1" x14ac:dyDescent="0.25">
      <c r="C55" s="7037"/>
      <c r="D55" s="10"/>
      <c r="E55" s="700"/>
      <c r="F55" s="679"/>
      <c r="G55" s="679"/>
      <c r="H55" s="679"/>
      <c r="I55" s="679"/>
      <c r="J55" s="66"/>
      <c r="K55" s="4142"/>
      <c r="L55" s="1128"/>
      <c r="M55" s="1305"/>
      <c r="N55" s="15"/>
      <c r="O55" s="1293"/>
      <c r="P55" s="1298"/>
      <c r="Q55" s="1294"/>
      <c r="R55" s="1295"/>
      <c r="S55" s="1296"/>
      <c r="T55" s="7"/>
      <c r="U55" s="7"/>
      <c r="V55" s="7"/>
      <c r="W55" s="7"/>
      <c r="X55" s="2388"/>
      <c r="Y55" s="2389"/>
      <c r="Z55" s="2385"/>
      <c r="AA55" s="2386"/>
      <c r="AB55" s="2387"/>
    </row>
    <row r="56" spans="3:31" s="8" customFormat="1" ht="20.100000000000001" customHeight="1" thickBot="1" x14ac:dyDescent="0.25">
      <c r="C56" s="7037"/>
      <c r="D56" s="10"/>
      <c r="E56" s="700"/>
      <c r="F56" s="6585" t="s">
        <v>1616</v>
      </c>
      <c r="G56" s="6585"/>
      <c r="H56" s="6585"/>
      <c r="I56" s="6585"/>
      <c r="J56" s="66"/>
      <c r="K56" s="2365"/>
      <c r="L56" s="1304"/>
      <c r="M56" s="1305"/>
      <c r="N56" s="15"/>
      <c r="O56" s="1293"/>
      <c r="P56" s="2480"/>
      <c r="Q56" s="1294"/>
      <c r="R56" s="1295" t="s">
        <v>99</v>
      </c>
      <c r="S56" s="1296"/>
      <c r="T56" s="7"/>
      <c r="U56" s="7"/>
      <c r="V56" s="7"/>
      <c r="W56" s="7"/>
      <c r="X56" s="2388"/>
      <c r="Y56" s="5768" t="str">
        <f>_Kapasitet!$S$40</f>
        <v>!</v>
      </c>
      <c r="Z56" s="2385"/>
      <c r="AA56" s="2386" t="s">
        <v>99</v>
      </c>
      <c r="AB56" s="2387"/>
    </row>
    <row r="57" spans="3:31" s="8" customFormat="1" ht="9.9499999999999993" customHeight="1" x14ac:dyDescent="0.2">
      <c r="C57" s="7037"/>
      <c r="D57" s="10"/>
      <c r="E57" s="700"/>
      <c r="F57" s="6585"/>
      <c r="G57" s="6585"/>
      <c r="H57" s="6585"/>
      <c r="I57" s="6585"/>
      <c r="J57" s="66"/>
      <c r="K57" s="2365"/>
      <c r="L57" s="1128"/>
      <c r="M57" s="1305"/>
      <c r="N57" s="15"/>
      <c r="O57" s="1293"/>
      <c r="P57" s="1298"/>
      <c r="Q57" s="1294"/>
      <c r="R57" s="1295"/>
      <c r="S57" s="1296"/>
      <c r="T57" s="7"/>
      <c r="U57" s="7"/>
      <c r="V57" s="7"/>
      <c r="W57" s="7"/>
      <c r="X57" s="2388"/>
      <c r="Y57" s="2389"/>
      <c r="Z57" s="2385"/>
      <c r="AA57" s="2386"/>
      <c r="AB57" s="2387"/>
    </row>
    <row r="58" spans="3:31" s="8" customFormat="1" ht="15" customHeight="1" thickBot="1" x14ac:dyDescent="0.25">
      <c r="C58" s="5748"/>
      <c r="D58" s="10"/>
      <c r="E58" s="700"/>
      <c r="F58" s="679"/>
      <c r="G58" s="679"/>
      <c r="H58" s="679"/>
      <c r="I58" s="679"/>
      <c r="J58" s="66"/>
      <c r="K58" s="4142"/>
      <c r="L58" s="1128"/>
      <c r="M58" s="1305"/>
      <c r="N58" s="15"/>
      <c r="O58" s="1293"/>
      <c r="P58" s="1298"/>
      <c r="Q58" s="1294"/>
      <c r="R58" s="1295"/>
      <c r="S58" s="1296"/>
      <c r="T58" s="7"/>
      <c r="U58" s="7"/>
      <c r="V58" s="7"/>
      <c r="W58" s="7"/>
      <c r="X58" s="2388"/>
      <c r="Y58" s="2389"/>
      <c r="Z58" s="2385"/>
      <c r="AA58" s="2386"/>
      <c r="AB58" s="2387"/>
    </row>
    <row r="59" spans="3:31" s="8" customFormat="1" ht="20.100000000000001" customHeight="1" thickBot="1" x14ac:dyDescent="0.25">
      <c r="C59" s="941"/>
      <c r="D59" s="10"/>
      <c r="E59" s="700"/>
      <c r="F59" s="6585" t="s">
        <v>1617</v>
      </c>
      <c r="G59" s="6585"/>
      <c r="H59" s="6585"/>
      <c r="I59" s="6585"/>
      <c r="J59" s="66"/>
      <c r="K59" s="2365"/>
      <c r="L59" s="1304"/>
      <c r="M59" s="1305"/>
      <c r="N59" s="15"/>
      <c r="O59" s="1293"/>
      <c r="P59" s="2480"/>
      <c r="Q59" s="1294"/>
      <c r="R59" s="1295" t="s">
        <v>99</v>
      </c>
      <c r="S59" s="1296"/>
      <c r="T59" s="7"/>
      <c r="U59" s="7"/>
      <c r="V59" s="7"/>
      <c r="W59" s="7"/>
      <c r="X59" s="2388"/>
      <c r="Y59" s="5768" t="str">
        <f>_Kapasitet!$S$42</f>
        <v>!</v>
      </c>
      <c r="Z59" s="2385"/>
      <c r="AA59" s="2386" t="s">
        <v>99</v>
      </c>
      <c r="AB59" s="2387"/>
    </row>
    <row r="60" spans="3:31" s="8" customFormat="1" thickBot="1" x14ac:dyDescent="0.25">
      <c r="C60" s="941"/>
      <c r="D60" s="10"/>
      <c r="E60" s="700"/>
      <c r="F60" s="6585"/>
      <c r="G60" s="6585"/>
      <c r="H60" s="6585"/>
      <c r="I60" s="6585"/>
      <c r="J60" s="66"/>
      <c r="K60" s="2365"/>
      <c r="L60" s="928"/>
      <c r="M60" s="1305"/>
      <c r="N60" s="15"/>
      <c r="O60" s="1299"/>
      <c r="P60" s="1300"/>
      <c r="Q60" s="1300"/>
      <c r="R60" s="1301"/>
      <c r="S60" s="1302"/>
      <c r="T60" s="7"/>
      <c r="U60" s="7"/>
      <c r="V60" s="7"/>
      <c r="W60" s="7"/>
      <c r="X60" s="2381"/>
      <c r="Y60" s="2382"/>
      <c r="Z60" s="2382"/>
      <c r="AA60" s="2383"/>
      <c r="AB60" s="2384"/>
    </row>
    <row r="61" spans="3:31" s="8" customFormat="1" ht="9.9499999999999993" customHeight="1" x14ac:dyDescent="0.2">
      <c r="C61" s="941"/>
      <c r="D61" s="10"/>
      <c r="E61" s="700"/>
      <c r="F61" s="2361"/>
      <c r="G61" s="2361"/>
      <c r="H61" s="2361"/>
      <c r="I61" s="2362"/>
      <c r="J61" s="66"/>
      <c r="K61" s="2365"/>
      <c r="L61" s="928"/>
      <c r="M61" s="1305"/>
      <c r="N61" s="15"/>
      <c r="O61" s="15"/>
      <c r="P61" s="14"/>
      <c r="Q61" s="14"/>
      <c r="R61" s="15"/>
      <c r="S61" s="14"/>
      <c r="T61" s="7"/>
      <c r="U61" s="7"/>
      <c r="V61" s="7"/>
      <c r="W61" s="7"/>
      <c r="X61" s="15"/>
      <c r="Y61" s="14"/>
      <c r="Z61" s="14"/>
      <c r="AA61" s="15"/>
      <c r="AB61" s="14"/>
    </row>
    <row r="62" spans="3:31" s="8" customFormat="1" ht="8.1" customHeight="1" thickBot="1" x14ac:dyDescent="0.25">
      <c r="C62" s="941"/>
      <c r="D62" s="10"/>
      <c r="E62" s="702"/>
      <c r="F62" s="1308"/>
      <c r="G62" s="1308"/>
      <c r="H62" s="1308"/>
      <c r="I62" s="1308"/>
      <c r="J62" s="705"/>
      <c r="K62" s="717"/>
      <c r="L62" s="930"/>
      <c r="M62" s="1309"/>
      <c r="N62" s="15"/>
      <c r="O62" s="1218"/>
      <c r="P62" s="1218"/>
      <c r="Q62" s="1218"/>
      <c r="R62" s="2005"/>
      <c r="S62" s="1218"/>
      <c r="T62" s="7"/>
      <c r="U62" s="7"/>
      <c r="V62" s="7"/>
      <c r="W62" s="7"/>
      <c r="X62" s="2400"/>
      <c r="Y62" s="2400"/>
      <c r="Z62" s="2400"/>
      <c r="AA62" s="2401"/>
      <c r="AB62" s="2400"/>
    </row>
    <row r="63" spans="3:31" s="8" customFormat="1" ht="8.1" customHeight="1" x14ac:dyDescent="0.2">
      <c r="C63" s="941"/>
      <c r="D63" s="10"/>
      <c r="E63" s="14"/>
      <c r="F63" s="1310"/>
      <c r="G63" s="1310"/>
      <c r="H63" s="1310"/>
      <c r="I63" s="1310"/>
      <c r="J63" s="13"/>
      <c r="K63" s="15"/>
      <c r="L63" s="14"/>
      <c r="M63" s="15"/>
      <c r="N63" s="15"/>
      <c r="O63" s="15"/>
      <c r="P63" s="14"/>
      <c r="Q63" s="14"/>
      <c r="R63" s="15"/>
      <c r="S63" s="14"/>
      <c r="T63" s="7"/>
      <c r="U63" s="7"/>
      <c r="V63" s="7"/>
      <c r="W63" s="7"/>
      <c r="X63" s="15"/>
      <c r="Y63" s="14"/>
      <c r="Z63" s="14"/>
      <c r="AA63" s="15"/>
      <c r="AB63" s="14"/>
    </row>
    <row r="64" spans="3:31" s="8" customFormat="1" ht="15" customHeight="1" thickBot="1" x14ac:dyDescent="0.25">
      <c r="C64" s="941"/>
      <c r="D64" s="10"/>
      <c r="E64" s="37"/>
      <c r="F64" s="37"/>
      <c r="G64" s="37"/>
      <c r="H64" s="37"/>
      <c r="I64" s="37"/>
      <c r="J64" s="2065"/>
      <c r="K64" s="170"/>
      <c r="L64" s="37"/>
      <c r="M64" s="170"/>
      <c r="N64" s="170"/>
      <c r="O64" s="170"/>
      <c r="P64" s="37"/>
      <c r="Q64" s="37"/>
      <c r="R64" s="170"/>
      <c r="S64" s="37"/>
      <c r="T64" s="7"/>
      <c r="U64" s="7"/>
      <c r="V64" s="7"/>
      <c r="W64" s="7"/>
      <c r="X64" s="170"/>
      <c r="Y64" s="37"/>
      <c r="Z64" s="37"/>
      <c r="AA64" s="170"/>
      <c r="AB64" s="37"/>
      <c r="AD64" s="7"/>
      <c r="AE64" s="7"/>
    </row>
    <row r="65" spans="3:31" s="8" customFormat="1" ht="30" customHeight="1" thickBot="1" x14ac:dyDescent="0.25">
      <c r="C65" s="941"/>
      <c r="D65" s="10"/>
      <c r="E65" s="948"/>
      <c r="F65" s="6768" t="str">
        <f>_Calcs!$M$34</f>
        <v>Berguttak grøfter, nisjer og bergrom</v>
      </c>
      <c r="G65" s="6768"/>
      <c r="H65" s="6768"/>
      <c r="I65" s="6768"/>
      <c r="J65" s="6768"/>
      <c r="K65" s="6768"/>
      <c r="L65" s="6768"/>
      <c r="M65" s="1278"/>
      <c r="N65" s="15"/>
      <c r="O65" s="15"/>
      <c r="P65" s="15"/>
      <c r="Q65" s="15"/>
      <c r="R65" s="15"/>
      <c r="S65" s="15"/>
      <c r="T65" s="7"/>
      <c r="U65" s="7"/>
      <c r="V65" s="7"/>
      <c r="W65" s="7"/>
      <c r="X65" s="15"/>
      <c r="Y65" s="15"/>
      <c r="Z65" s="15"/>
      <c r="AA65" s="15"/>
      <c r="AB65" s="15"/>
      <c r="AD65" s="7"/>
      <c r="AE65" s="7"/>
    </row>
    <row r="66" spans="3:31" s="8" customFormat="1" ht="15" customHeight="1" thickBot="1" x14ac:dyDescent="0.25">
      <c r="C66" s="941"/>
      <c r="D66" s="10"/>
      <c r="E66" s="950"/>
      <c r="F66" s="6769"/>
      <c r="G66" s="6769"/>
      <c r="H66" s="6769"/>
      <c r="I66" s="6769"/>
      <c r="J66" s="6769"/>
      <c r="K66" s="6769"/>
      <c r="L66" s="6769"/>
      <c r="M66" s="1279"/>
      <c r="N66" s="15"/>
      <c r="O66" s="1280"/>
      <c r="P66" s="721"/>
      <c r="Q66" s="721"/>
      <c r="R66" s="721"/>
      <c r="S66" s="1281"/>
      <c r="T66" s="721"/>
      <c r="U66" s="7"/>
      <c r="V66" s="181"/>
      <c r="W66" s="181"/>
      <c r="X66" s="2605"/>
      <c r="Y66" s="2606"/>
      <c r="Z66" s="2606"/>
      <c r="AA66" s="2606"/>
      <c r="AB66" s="2607"/>
      <c r="AD66" s="7"/>
      <c r="AE66" s="7"/>
    </row>
    <row r="67" spans="3:31" s="8" customFormat="1" ht="8.1" customHeight="1" thickBot="1" x14ac:dyDescent="0.25">
      <c r="C67" s="941"/>
      <c r="D67" s="10"/>
      <c r="E67" s="14"/>
      <c r="F67" s="129"/>
      <c r="G67" s="129"/>
      <c r="H67" s="129"/>
      <c r="I67" s="129"/>
      <c r="J67" s="16"/>
      <c r="K67" s="15"/>
      <c r="L67" s="50"/>
      <c r="M67" s="15"/>
      <c r="N67" s="15"/>
      <c r="O67" s="15"/>
      <c r="P67" s="90"/>
      <c r="Q67" s="13"/>
      <c r="R67" s="15"/>
      <c r="S67" s="13"/>
      <c r="T67" s="7"/>
      <c r="U67" s="7"/>
      <c r="V67" s="7"/>
      <c r="W67" s="7"/>
      <c r="X67" s="15"/>
      <c r="Y67" s="90"/>
      <c r="Z67" s="13"/>
      <c r="AA67" s="15"/>
      <c r="AB67" s="13"/>
      <c r="AD67" s="7"/>
      <c r="AE67" s="7"/>
    </row>
    <row r="68" spans="3:31" s="8" customFormat="1" thickBot="1" x14ac:dyDescent="0.25">
      <c r="C68" s="941"/>
      <c r="D68" s="10"/>
      <c r="E68" s="695"/>
      <c r="F68" s="1314"/>
      <c r="G68" s="1314"/>
      <c r="H68" s="1314"/>
      <c r="I68" s="1314"/>
      <c r="J68" s="698"/>
      <c r="K68" s="709"/>
      <c r="L68" s="927"/>
      <c r="M68" s="1303"/>
      <c r="N68" s="15"/>
      <c r="O68" s="1288"/>
      <c r="P68" s="1289"/>
      <c r="Q68" s="1290"/>
      <c r="R68" s="1291"/>
      <c r="S68" s="1292"/>
      <c r="T68" s="7"/>
      <c r="U68" s="7"/>
      <c r="V68" s="7"/>
      <c r="W68" s="7"/>
      <c r="X68" s="2392"/>
      <c r="Y68" s="2393"/>
      <c r="Z68" s="2394"/>
      <c r="AA68" s="2395"/>
      <c r="AB68" s="2396"/>
      <c r="AD68" s="7"/>
      <c r="AE68" s="7"/>
    </row>
    <row r="69" spans="3:31" s="8" customFormat="1" ht="20.100000000000001" customHeight="1" thickBot="1" x14ac:dyDescent="0.25">
      <c r="C69" s="941"/>
      <c r="D69" s="10"/>
      <c r="E69" s="700"/>
      <c r="F69" s="3891" t="str">
        <f>_Calcs!$M$35</f>
        <v>Grøfter, nisjer og andre bergrom</v>
      </c>
      <c r="G69" s="1315"/>
      <c r="H69" s="1315"/>
      <c r="I69" s="1315"/>
      <c r="J69" s="2283" t="s">
        <v>149</v>
      </c>
      <c r="K69" s="2365"/>
      <c r="L69" s="1128"/>
      <c r="M69" s="1305"/>
      <c r="N69" s="15"/>
      <c r="O69" s="1293"/>
      <c r="P69" s="2480"/>
      <c r="Q69" s="1294"/>
      <c r="R69" s="1295" t="s">
        <v>99</v>
      </c>
      <c r="S69" s="1296"/>
      <c r="T69" s="7"/>
      <c r="U69" s="7"/>
      <c r="V69" s="7"/>
      <c r="W69" s="7"/>
      <c r="X69" s="2388"/>
      <c r="Y69" s="5768" t="str">
        <f>_Kapasitet!$S$36</f>
        <v>!</v>
      </c>
      <c r="Z69" s="2385"/>
      <c r="AA69" s="2386" t="s">
        <v>99</v>
      </c>
      <c r="AB69" s="2387"/>
    </row>
    <row r="70" spans="3:31" s="8" customFormat="1" thickBot="1" x14ac:dyDescent="0.25">
      <c r="C70" s="941"/>
      <c r="D70" s="10"/>
      <c r="E70" s="702"/>
      <c r="F70" s="1316"/>
      <c r="G70" s="1316"/>
      <c r="H70" s="1316"/>
      <c r="I70" s="1316"/>
      <c r="J70" s="705"/>
      <c r="K70" s="717"/>
      <c r="L70" s="1317"/>
      <c r="M70" s="1309"/>
      <c r="N70" s="15"/>
      <c r="O70" s="1299"/>
      <c r="P70" s="1311"/>
      <c r="Q70" s="1312"/>
      <c r="R70" s="1301"/>
      <c r="S70" s="1313"/>
      <c r="T70" s="7"/>
      <c r="U70" s="7"/>
      <c r="V70" s="7"/>
      <c r="W70" s="7"/>
      <c r="X70" s="2381"/>
      <c r="Y70" s="2397"/>
      <c r="Z70" s="2398"/>
      <c r="AA70" s="2383"/>
      <c r="AB70" s="2399"/>
    </row>
    <row r="71" spans="3:31" s="8" customFormat="1" ht="24.95" customHeight="1" x14ac:dyDescent="0.2">
      <c r="C71" s="941"/>
      <c r="D71" s="10"/>
      <c r="E71" s="14"/>
      <c r="F71" s="15"/>
      <c r="G71" s="15"/>
      <c r="H71" s="15"/>
      <c r="I71" s="15"/>
      <c r="J71" s="16"/>
      <c r="K71" s="18"/>
      <c r="L71" s="50"/>
      <c r="M71" s="15"/>
      <c r="N71" s="15"/>
      <c r="O71" s="15"/>
      <c r="P71" s="15"/>
      <c r="Q71" s="15"/>
      <c r="R71" s="15"/>
      <c r="S71" s="15"/>
      <c r="T71" s="7"/>
      <c r="U71" s="7"/>
      <c r="V71" s="7"/>
      <c r="W71" s="7"/>
      <c r="X71" s="15"/>
      <c r="Y71" s="15"/>
      <c r="Z71" s="15"/>
      <c r="AA71" s="15"/>
      <c r="AB71" s="15"/>
    </row>
    <row r="72" spans="3:31" s="130" customFormat="1" ht="9.9499999999999993" customHeight="1" x14ac:dyDescent="0.2">
      <c r="C72" s="941"/>
      <c r="E72" s="5751"/>
      <c r="F72" s="5751"/>
      <c r="G72" s="5751"/>
      <c r="H72" s="5751"/>
      <c r="I72" s="5751"/>
      <c r="J72" s="5752"/>
      <c r="K72" s="5753"/>
      <c r="L72" s="5753"/>
      <c r="M72" s="5751"/>
      <c r="N72" s="5751"/>
      <c r="O72" s="5754"/>
      <c r="P72" s="5751"/>
      <c r="Q72" s="5751"/>
      <c r="R72" s="5755"/>
      <c r="S72" s="5751"/>
      <c r="T72" s="5756"/>
      <c r="U72" s="5756"/>
      <c r="V72" s="5756"/>
      <c r="W72" s="5756"/>
      <c r="X72" s="5756"/>
      <c r="Y72" s="5751"/>
      <c r="Z72" s="5751"/>
      <c r="AA72" s="5751"/>
      <c r="AB72" s="5751"/>
    </row>
    <row r="73" spans="3:31" s="8" customFormat="1" ht="24.95" customHeight="1" thickBot="1" x14ac:dyDescent="0.25">
      <c r="C73" s="941"/>
      <c r="D73" s="10"/>
      <c r="E73" s="14"/>
      <c r="F73" s="15"/>
      <c r="G73" s="15"/>
      <c r="H73" s="15"/>
      <c r="I73" s="15"/>
      <c r="J73" s="16"/>
      <c r="K73" s="18"/>
      <c r="L73" s="50"/>
      <c r="M73" s="15"/>
      <c r="N73" s="15"/>
      <c r="O73" s="15"/>
      <c r="P73" s="15"/>
      <c r="Q73" s="15"/>
      <c r="R73" s="15"/>
      <c r="S73" s="15"/>
      <c r="T73" s="7"/>
      <c r="U73" s="7"/>
      <c r="V73" s="7"/>
      <c r="W73" s="7"/>
      <c r="X73" s="15"/>
      <c r="Y73" s="15"/>
      <c r="Z73" s="15"/>
      <c r="AA73" s="15"/>
      <c r="AB73" s="15"/>
    </row>
    <row r="74" spans="3:31" s="8" customFormat="1" ht="15" customHeight="1" x14ac:dyDescent="0.2">
      <c r="C74" s="941"/>
      <c r="D74" s="10"/>
      <c r="E74" s="7031" t="str">
        <f>_Calcs!$K$90</f>
        <v>Tverrslag</v>
      </c>
      <c r="F74" s="7032"/>
      <c r="G74" s="7032"/>
      <c r="H74" s="7032"/>
      <c r="I74" s="7032"/>
      <c r="J74" s="7032"/>
      <c r="K74" s="7032"/>
      <c r="L74" s="7032"/>
      <c r="M74" s="7032"/>
      <c r="N74" s="7032"/>
      <c r="O74" s="7032"/>
      <c r="P74" s="7032"/>
      <c r="Q74" s="7032"/>
      <c r="R74" s="7032"/>
      <c r="S74" s="7032"/>
      <c r="T74" s="7032"/>
      <c r="U74" s="7032"/>
      <c r="V74" s="7032"/>
      <c r="W74" s="7032"/>
      <c r="X74" s="7032"/>
      <c r="Y74" s="7032"/>
      <c r="Z74" s="7032"/>
      <c r="AA74" s="7032"/>
      <c r="AB74" s="7033"/>
    </row>
    <row r="75" spans="3:31" s="8" customFormat="1" ht="24.95" customHeight="1" thickBot="1" x14ac:dyDescent="0.25">
      <c r="C75" s="941"/>
      <c r="D75" s="10"/>
      <c r="E75" s="7034"/>
      <c r="F75" s="7035"/>
      <c r="G75" s="7035"/>
      <c r="H75" s="7035"/>
      <c r="I75" s="7035"/>
      <c r="J75" s="7035"/>
      <c r="K75" s="7035"/>
      <c r="L75" s="7035"/>
      <c r="M75" s="7035"/>
      <c r="N75" s="7035"/>
      <c r="O75" s="7035"/>
      <c r="P75" s="7035"/>
      <c r="Q75" s="7035"/>
      <c r="R75" s="7035"/>
      <c r="S75" s="7035"/>
      <c r="T75" s="7035"/>
      <c r="U75" s="7035"/>
      <c r="V75" s="7035"/>
      <c r="W75" s="7035"/>
      <c r="X75" s="7035"/>
      <c r="Y75" s="7035"/>
      <c r="Z75" s="7035"/>
      <c r="AA75" s="7035"/>
      <c r="AB75" s="7036"/>
    </row>
    <row r="76" spans="3:31" s="8" customFormat="1" ht="15" customHeight="1" thickBot="1" x14ac:dyDescent="0.25">
      <c r="C76" s="941"/>
      <c r="D76" s="10"/>
      <c r="E76" s="14"/>
      <c r="F76" s="15"/>
      <c r="G76" s="15"/>
      <c r="H76" s="15"/>
      <c r="I76" s="15"/>
      <c r="J76" s="16"/>
      <c r="K76" s="18"/>
      <c r="L76" s="50"/>
      <c r="M76" s="15"/>
      <c r="N76" s="15"/>
      <c r="O76" s="15"/>
      <c r="P76" s="15"/>
      <c r="Q76" s="15"/>
      <c r="R76" s="15"/>
      <c r="S76" s="15"/>
      <c r="T76" s="7"/>
      <c r="U76" s="7"/>
      <c r="V76" s="7"/>
      <c r="W76" s="7"/>
      <c r="X76" s="15"/>
      <c r="Y76" s="15"/>
      <c r="Z76" s="15"/>
      <c r="AA76" s="15"/>
      <c r="AB76" s="15"/>
    </row>
    <row r="77" spans="3:31" s="8" customFormat="1" ht="15" customHeight="1" thickBot="1" x14ac:dyDescent="0.25">
      <c r="C77" s="941"/>
      <c r="D77" s="10"/>
      <c r="E77" s="948"/>
      <c r="F77" s="6592" t="s">
        <v>248</v>
      </c>
      <c r="G77" s="6592"/>
      <c r="H77" s="6592"/>
      <c r="I77" s="6592"/>
      <c r="J77" s="6592"/>
      <c r="K77" s="6592"/>
      <c r="L77" s="6592"/>
      <c r="M77" s="1278"/>
      <c r="N77" s="15"/>
      <c r="O77" s="15"/>
      <c r="P77" s="15"/>
      <c r="Q77" s="15"/>
      <c r="R77" s="15"/>
      <c r="S77" s="15"/>
      <c r="T77" s="7"/>
      <c r="U77" s="7"/>
      <c r="V77" s="7"/>
      <c r="W77" s="7"/>
      <c r="X77" s="15"/>
      <c r="Y77" s="15"/>
      <c r="Z77" s="15"/>
      <c r="AA77" s="15"/>
      <c r="AB77" s="15"/>
    </row>
    <row r="78" spans="3:31" s="8" customFormat="1" ht="15" customHeight="1" thickBot="1" x14ac:dyDescent="0.25">
      <c r="C78" s="941"/>
      <c r="D78" s="10"/>
      <c r="E78" s="950"/>
      <c r="F78" s="6593"/>
      <c r="G78" s="6593"/>
      <c r="H78" s="6593"/>
      <c r="I78" s="6593"/>
      <c r="J78" s="6593"/>
      <c r="K78" s="6593"/>
      <c r="L78" s="6593"/>
      <c r="M78" s="1279"/>
      <c r="N78" s="15"/>
      <c r="O78" s="1280"/>
      <c r="P78" s="721"/>
      <c r="Q78" s="721"/>
      <c r="R78" s="721"/>
      <c r="S78" s="1281"/>
      <c r="T78" s="181"/>
      <c r="U78" s="181"/>
      <c r="V78" s="181"/>
      <c r="W78" s="181"/>
      <c r="X78" s="2605"/>
      <c r="Y78" s="2606"/>
      <c r="Z78" s="2606"/>
      <c r="AA78" s="2606"/>
      <c r="AB78" s="2607"/>
    </row>
    <row r="79" spans="3:31" s="8" customFormat="1" ht="8.1" customHeight="1" thickBot="1" x14ac:dyDescent="0.25">
      <c r="C79" s="941"/>
      <c r="D79" s="10"/>
      <c r="E79" s="14"/>
      <c r="F79" s="129"/>
      <c r="G79" s="129"/>
      <c r="H79" s="129"/>
      <c r="I79" s="129"/>
      <c r="J79" s="16"/>
      <c r="K79" s="15"/>
      <c r="L79" s="50"/>
      <c r="M79" s="15"/>
      <c r="N79" s="15"/>
      <c r="O79" s="15"/>
      <c r="P79" s="90"/>
      <c r="Q79" s="13"/>
      <c r="R79" s="15"/>
      <c r="S79" s="13"/>
      <c r="T79" s="7"/>
      <c r="U79" s="7"/>
      <c r="V79" s="7"/>
      <c r="W79" s="7"/>
      <c r="X79" s="15"/>
      <c r="Y79" s="90"/>
      <c r="Z79" s="13"/>
      <c r="AA79" s="15"/>
      <c r="AB79" s="13"/>
    </row>
    <row r="80" spans="3:31" s="8" customFormat="1" ht="15" customHeight="1" thickBot="1" x14ac:dyDescent="0.25">
      <c r="C80" s="941"/>
      <c r="D80" s="10"/>
      <c r="E80" s="695"/>
      <c r="F80" s="696"/>
      <c r="G80" s="696"/>
      <c r="H80" s="696"/>
      <c r="I80" s="696"/>
      <c r="J80" s="698"/>
      <c r="K80" s="709"/>
      <c r="L80" s="1126"/>
      <c r="M80" s="1303"/>
      <c r="N80" s="15"/>
      <c r="O80" s="1288"/>
      <c r="P80" s="1289"/>
      <c r="Q80" s="1290"/>
      <c r="R80" s="1291"/>
      <c r="S80" s="1292"/>
      <c r="T80" s="7"/>
      <c r="U80" s="7"/>
      <c r="V80" s="7"/>
      <c r="W80" s="7"/>
      <c r="X80" s="2392"/>
      <c r="Y80" s="2393"/>
      <c r="Z80" s="2394"/>
      <c r="AA80" s="2395"/>
      <c r="AB80" s="2396"/>
    </row>
    <row r="81" spans="3:31" s="8" customFormat="1" ht="20.100000000000001" customHeight="1" thickBot="1" x14ac:dyDescent="0.25">
      <c r="C81" s="941"/>
      <c r="D81" s="10"/>
      <c r="E81" s="700"/>
      <c r="F81" s="6760" t="str">
        <f>_Calcs!$M$29</f>
        <v>Normalsalve</v>
      </c>
      <c r="G81" s="6760"/>
      <c r="H81" s="6760"/>
      <c r="I81" s="6760"/>
      <c r="J81" s="142" t="s">
        <v>149</v>
      </c>
      <c r="K81" s="5747"/>
      <c r="L81" s="1304"/>
      <c r="M81" s="1305"/>
      <c r="N81" s="15"/>
      <c r="O81" s="1293"/>
      <c r="P81" s="2480"/>
      <c r="Q81" s="1294"/>
      <c r="R81" s="1295" t="s">
        <v>99</v>
      </c>
      <c r="S81" s="1296"/>
      <c r="T81" s="7"/>
      <c r="U81" s="7"/>
      <c r="V81" s="7"/>
      <c r="W81" s="7"/>
      <c r="X81" s="2388"/>
      <c r="Y81" s="5768" t="str">
        <f>_Kapasitet!$S$47</f>
        <v>!</v>
      </c>
      <c r="Z81" s="2391"/>
      <c r="AA81" s="2386" t="s">
        <v>99</v>
      </c>
      <c r="AB81" s="2387"/>
    </row>
    <row r="82" spans="3:31" s="8" customFormat="1" thickBot="1" x14ac:dyDescent="0.25">
      <c r="C82" s="1326"/>
      <c r="D82" s="10"/>
      <c r="E82" s="700"/>
      <c r="F82" s="679"/>
      <c r="G82" s="679"/>
      <c r="H82" s="679"/>
      <c r="I82" s="679"/>
      <c r="J82" s="66"/>
      <c r="K82" s="1306"/>
      <c r="L82" s="1128"/>
      <c r="M82" s="1307"/>
      <c r="N82" s="111"/>
      <c r="O82" s="1297"/>
      <c r="P82" s="1298"/>
      <c r="Q82" s="1294"/>
      <c r="R82" s="1295"/>
      <c r="S82" s="1296"/>
      <c r="T82" s="7"/>
      <c r="U82" s="7"/>
      <c r="V82" s="7"/>
      <c r="W82" s="7"/>
      <c r="X82" s="2390"/>
      <c r="Y82" s="2389"/>
      <c r="Z82" s="2385"/>
      <c r="AA82" s="2386"/>
      <c r="AB82" s="2387"/>
    </row>
    <row r="83" spans="3:31" s="8" customFormat="1" ht="20.100000000000001" customHeight="1" thickBot="1" x14ac:dyDescent="0.25">
      <c r="C83" s="7037"/>
      <c r="D83" s="10"/>
      <c r="E83" s="700"/>
      <c r="F83" s="6585" t="s">
        <v>1850</v>
      </c>
      <c r="G83" s="6585"/>
      <c r="H83" s="6585"/>
      <c r="I83" s="6585"/>
      <c r="J83" s="2283" t="s">
        <v>149</v>
      </c>
      <c r="K83" s="5747"/>
      <c r="L83" s="1304"/>
      <c r="M83" s="1305"/>
      <c r="N83" s="15"/>
      <c r="O83" s="1293"/>
      <c r="P83" s="2480"/>
      <c r="Q83" s="1294"/>
      <c r="R83" s="1295" t="s">
        <v>99</v>
      </c>
      <c r="S83" s="1296"/>
      <c r="T83" s="7"/>
      <c r="U83" s="7"/>
      <c r="V83" s="7"/>
      <c r="W83" s="7"/>
      <c r="X83" s="2388"/>
      <c r="Y83" s="5768" t="str">
        <f>_Kapasitet!$S$53</f>
        <v>!</v>
      </c>
      <c r="Z83" s="2385"/>
      <c r="AA83" s="2386" t="s">
        <v>99</v>
      </c>
      <c r="AB83" s="2387"/>
    </row>
    <row r="84" spans="3:31" s="8" customFormat="1" ht="9.9499999999999993" customHeight="1" x14ac:dyDescent="0.2">
      <c r="C84" s="7037"/>
      <c r="D84" s="10"/>
      <c r="E84" s="700"/>
      <c r="F84" s="6585"/>
      <c r="G84" s="6585"/>
      <c r="H84" s="6585"/>
      <c r="I84" s="6585"/>
      <c r="J84" s="66"/>
      <c r="K84" s="5747"/>
      <c r="L84" s="1128"/>
      <c r="M84" s="1305"/>
      <c r="N84" s="15"/>
      <c r="O84" s="1293"/>
      <c r="P84" s="1298"/>
      <c r="Q84" s="1294"/>
      <c r="R84" s="1295"/>
      <c r="S84" s="1296"/>
      <c r="T84" s="7"/>
      <c r="U84" s="7"/>
      <c r="V84" s="7"/>
      <c r="W84" s="7"/>
      <c r="X84" s="2388"/>
      <c r="Y84" s="2389"/>
      <c r="Z84" s="2385"/>
      <c r="AA84" s="2386"/>
      <c r="AB84" s="2387"/>
    </row>
    <row r="85" spans="3:31" s="8" customFormat="1" ht="15" customHeight="1" thickBot="1" x14ac:dyDescent="0.25">
      <c r="C85" s="7037"/>
      <c r="D85" s="10"/>
      <c r="E85" s="700"/>
      <c r="F85" s="679"/>
      <c r="G85" s="679"/>
      <c r="H85" s="679"/>
      <c r="I85" s="679"/>
      <c r="J85" s="66"/>
      <c r="K85" s="5747"/>
      <c r="L85" s="1128"/>
      <c r="M85" s="1305"/>
      <c r="N85" s="15"/>
      <c r="O85" s="1293"/>
      <c r="P85" s="1298"/>
      <c r="Q85" s="1294"/>
      <c r="R85" s="1295"/>
      <c r="S85" s="1296"/>
      <c r="T85" s="7"/>
      <c r="U85" s="7"/>
      <c r="V85" s="7"/>
      <c r="W85" s="7"/>
      <c r="X85" s="2388"/>
      <c r="Y85" s="2389"/>
      <c r="Z85" s="2385"/>
      <c r="AA85" s="2386"/>
      <c r="AB85" s="2387"/>
    </row>
    <row r="86" spans="3:31" s="8" customFormat="1" ht="20.100000000000001" customHeight="1" thickBot="1" x14ac:dyDescent="0.25">
      <c r="C86" s="7037"/>
      <c r="D86" s="10"/>
      <c r="E86" s="700"/>
      <c r="F86" s="6585" t="s">
        <v>1616</v>
      </c>
      <c r="G86" s="6585"/>
      <c r="H86" s="6585"/>
      <c r="I86" s="6585"/>
      <c r="J86" s="66"/>
      <c r="K86" s="5747"/>
      <c r="L86" s="1304"/>
      <c r="M86" s="1305"/>
      <c r="N86" s="15"/>
      <c r="O86" s="1293"/>
      <c r="P86" s="2480"/>
      <c r="Q86" s="1294"/>
      <c r="R86" s="1295" t="s">
        <v>99</v>
      </c>
      <c r="S86" s="1296"/>
      <c r="T86" s="7"/>
      <c r="U86" s="7"/>
      <c r="V86" s="7"/>
      <c r="W86" s="7"/>
      <c r="X86" s="2388"/>
      <c r="Y86" s="5768" t="str">
        <f>_Kapasitet!$S$55</f>
        <v>!</v>
      </c>
      <c r="Z86" s="2385"/>
      <c r="AA86" s="2386" t="s">
        <v>99</v>
      </c>
      <c r="AB86" s="2387"/>
    </row>
    <row r="87" spans="3:31" s="8" customFormat="1" ht="9.9499999999999993" customHeight="1" x14ac:dyDescent="0.2">
      <c r="C87" s="7037"/>
      <c r="D87" s="10"/>
      <c r="E87" s="700"/>
      <c r="F87" s="6585"/>
      <c r="G87" s="6585"/>
      <c r="H87" s="6585"/>
      <c r="I87" s="6585"/>
      <c r="J87" s="66"/>
      <c r="K87" s="5747"/>
      <c r="L87" s="1128"/>
      <c r="M87" s="1305"/>
      <c r="N87" s="15"/>
      <c r="O87" s="1293"/>
      <c r="P87" s="1298"/>
      <c r="Q87" s="1294"/>
      <c r="R87" s="1295"/>
      <c r="S87" s="1296"/>
      <c r="T87" s="7"/>
      <c r="U87" s="7"/>
      <c r="V87" s="7"/>
      <c r="W87" s="7"/>
      <c r="X87" s="2388"/>
      <c r="Y87" s="2389"/>
      <c r="Z87" s="2385"/>
      <c r="AA87" s="2386"/>
      <c r="AB87" s="2387"/>
    </row>
    <row r="88" spans="3:31" s="8" customFormat="1" ht="15" customHeight="1" thickBot="1" x14ac:dyDescent="0.25">
      <c r="C88" s="5748"/>
      <c r="D88" s="10"/>
      <c r="E88" s="700"/>
      <c r="F88" s="679"/>
      <c r="G88" s="679"/>
      <c r="H88" s="679"/>
      <c r="I88" s="679"/>
      <c r="J88" s="66"/>
      <c r="K88" s="5747"/>
      <c r="L88" s="1128"/>
      <c r="M88" s="1305"/>
      <c r="N88" s="15"/>
      <c r="O88" s="1293"/>
      <c r="P88" s="1298"/>
      <c r="Q88" s="1294"/>
      <c r="R88" s="1295"/>
      <c r="S88" s="1296"/>
      <c r="T88" s="7"/>
      <c r="U88" s="7"/>
      <c r="V88" s="7"/>
      <c r="W88" s="7"/>
      <c r="X88" s="2388"/>
      <c r="Y88" s="2389"/>
      <c r="Z88" s="2385"/>
      <c r="AA88" s="2386"/>
      <c r="AB88" s="2387"/>
    </row>
    <row r="89" spans="3:31" s="8" customFormat="1" ht="20.100000000000001" customHeight="1" thickBot="1" x14ac:dyDescent="0.25">
      <c r="C89" s="941"/>
      <c r="D89" s="10"/>
      <c r="E89" s="700"/>
      <c r="F89" s="6585" t="s">
        <v>1617</v>
      </c>
      <c r="G89" s="6585"/>
      <c r="H89" s="6585"/>
      <c r="I89" s="6585"/>
      <c r="J89" s="66"/>
      <c r="K89" s="5747"/>
      <c r="L89" s="1304"/>
      <c r="M89" s="1305"/>
      <c r="N89" s="15"/>
      <c r="O89" s="1293"/>
      <c r="P89" s="2480"/>
      <c r="Q89" s="1294"/>
      <c r="R89" s="1295" t="s">
        <v>99</v>
      </c>
      <c r="S89" s="1296"/>
      <c r="T89" s="7"/>
      <c r="U89" s="7"/>
      <c r="V89" s="7"/>
      <c r="W89" s="7"/>
      <c r="X89" s="2388"/>
      <c r="Y89" s="5768" t="str">
        <f>_Kapasitet!$S$57</f>
        <v>!</v>
      </c>
      <c r="Z89" s="2385"/>
      <c r="AA89" s="2386" t="s">
        <v>99</v>
      </c>
      <c r="AB89" s="2387"/>
    </row>
    <row r="90" spans="3:31" s="8" customFormat="1" thickBot="1" x14ac:dyDescent="0.25">
      <c r="C90" s="941"/>
      <c r="D90" s="10"/>
      <c r="E90" s="700"/>
      <c r="F90" s="6585"/>
      <c r="G90" s="6585"/>
      <c r="H90" s="6585"/>
      <c r="I90" s="6585"/>
      <c r="J90" s="66"/>
      <c r="K90" s="5747"/>
      <c r="L90" s="928"/>
      <c r="M90" s="1305"/>
      <c r="N90" s="15"/>
      <c r="O90" s="1299"/>
      <c r="P90" s="1300"/>
      <c r="Q90" s="1300"/>
      <c r="R90" s="1301"/>
      <c r="S90" s="1302"/>
      <c r="T90" s="7"/>
      <c r="U90" s="7"/>
      <c r="V90" s="7"/>
      <c r="W90" s="7"/>
      <c r="X90" s="2381"/>
      <c r="Y90" s="2382"/>
      <c r="Z90" s="2382"/>
      <c r="AA90" s="2383"/>
      <c r="AB90" s="2384"/>
    </row>
    <row r="91" spans="3:31" s="8" customFormat="1" ht="9.9499999999999993" customHeight="1" x14ac:dyDescent="0.2">
      <c r="C91" s="941"/>
      <c r="D91" s="10"/>
      <c r="E91" s="700"/>
      <c r="F91" s="5746"/>
      <c r="G91" s="5746"/>
      <c r="H91" s="5746"/>
      <c r="I91" s="5744"/>
      <c r="J91" s="66"/>
      <c r="K91" s="5747"/>
      <c r="L91" s="928"/>
      <c r="M91" s="1305"/>
      <c r="N91" s="15"/>
      <c r="O91" s="15"/>
      <c r="P91" s="14"/>
      <c r="Q91" s="14"/>
      <c r="R91" s="15"/>
      <c r="S91" s="14"/>
      <c r="T91" s="7"/>
      <c r="U91" s="7"/>
      <c r="V91" s="7"/>
      <c r="W91" s="7"/>
      <c r="X91" s="15"/>
      <c r="Y91" s="14"/>
      <c r="Z91" s="14"/>
      <c r="AA91" s="15"/>
      <c r="AB91" s="14"/>
    </row>
    <row r="92" spans="3:31" s="8" customFormat="1" ht="8.1" customHeight="1" thickBot="1" x14ac:dyDescent="0.25">
      <c r="C92" s="941"/>
      <c r="D92" s="10"/>
      <c r="E92" s="702"/>
      <c r="F92" s="1308"/>
      <c r="G92" s="1308"/>
      <c r="H92" s="1308"/>
      <c r="I92" s="1308"/>
      <c r="J92" s="705"/>
      <c r="K92" s="717"/>
      <c r="L92" s="930"/>
      <c r="M92" s="1309"/>
      <c r="N92" s="15"/>
      <c r="O92" s="1218"/>
      <c r="P92" s="1218"/>
      <c r="Q92" s="1218"/>
      <c r="R92" s="2005"/>
      <c r="S92" s="1218"/>
      <c r="T92" s="7"/>
      <c r="U92" s="7"/>
      <c r="V92" s="7"/>
      <c r="W92" s="7"/>
      <c r="X92" s="2400"/>
      <c r="Y92" s="2400"/>
      <c r="Z92" s="2400"/>
      <c r="AA92" s="2401"/>
      <c r="AB92" s="2400"/>
    </row>
    <row r="93" spans="3:31" s="8" customFormat="1" ht="8.1" customHeight="1" x14ac:dyDescent="0.2">
      <c r="C93" s="941"/>
      <c r="D93" s="10"/>
      <c r="E93" s="14"/>
      <c r="F93" s="1310"/>
      <c r="G93" s="1310"/>
      <c r="H93" s="1310"/>
      <c r="I93" s="1310"/>
      <c r="J93" s="13"/>
      <c r="K93" s="15"/>
      <c r="L93" s="14"/>
      <c r="M93" s="15"/>
      <c r="N93" s="15"/>
      <c r="O93" s="15"/>
      <c r="P93" s="14"/>
      <c r="Q93" s="14"/>
      <c r="R93" s="15"/>
      <c r="S93" s="14"/>
      <c r="T93" s="7"/>
      <c r="U93" s="7"/>
      <c r="V93" s="7"/>
      <c r="W93" s="7"/>
      <c r="X93" s="15"/>
      <c r="Y93" s="14"/>
      <c r="Z93" s="14"/>
      <c r="AA93" s="15"/>
      <c r="AB93" s="14"/>
    </row>
    <row r="94" spans="3:31" s="8" customFormat="1" ht="15" customHeight="1" thickBot="1" x14ac:dyDescent="0.25">
      <c r="C94" s="941"/>
      <c r="D94" s="10"/>
      <c r="E94" s="37"/>
      <c r="F94" s="37"/>
      <c r="G94" s="37"/>
      <c r="H94" s="37"/>
      <c r="I94" s="37"/>
      <c r="J94" s="2065"/>
      <c r="K94" s="170"/>
      <c r="L94" s="37"/>
      <c r="M94" s="170"/>
      <c r="N94" s="170"/>
      <c r="O94" s="170"/>
      <c r="P94" s="37"/>
      <c r="Q94" s="37"/>
      <c r="R94" s="170"/>
      <c r="S94" s="37"/>
      <c r="T94" s="7"/>
      <c r="U94" s="7"/>
      <c r="V94" s="7"/>
      <c r="W94" s="7"/>
      <c r="X94" s="170"/>
      <c r="Y94" s="37"/>
      <c r="Z94" s="37"/>
      <c r="AA94" s="170"/>
      <c r="AB94" s="37"/>
      <c r="AD94" s="7"/>
      <c r="AE94" s="7"/>
    </row>
    <row r="95" spans="3:31" s="8" customFormat="1" ht="30" customHeight="1" thickBot="1" x14ac:dyDescent="0.25">
      <c r="C95" s="941"/>
      <c r="D95" s="10"/>
      <c r="E95" s="948"/>
      <c r="F95" s="6768" t="str">
        <f>_Calcs!$M$34</f>
        <v>Berguttak grøfter, nisjer og bergrom</v>
      </c>
      <c r="G95" s="6768"/>
      <c r="H95" s="6768"/>
      <c r="I95" s="6768"/>
      <c r="J95" s="6768"/>
      <c r="K95" s="6768"/>
      <c r="L95" s="6768"/>
      <c r="M95" s="1278"/>
      <c r="N95" s="15"/>
      <c r="O95" s="15"/>
      <c r="P95" s="15"/>
      <c r="Q95" s="15"/>
      <c r="R95" s="15"/>
      <c r="S95" s="15"/>
      <c r="T95" s="7"/>
      <c r="U95" s="7"/>
      <c r="V95" s="7"/>
      <c r="W95" s="7"/>
      <c r="X95" s="15"/>
      <c r="Y95" s="15"/>
      <c r="Z95" s="15"/>
      <c r="AA95" s="15"/>
      <c r="AB95" s="15"/>
      <c r="AD95" s="7"/>
      <c r="AE95" s="7"/>
    </row>
    <row r="96" spans="3:31" s="8" customFormat="1" ht="15" customHeight="1" thickBot="1" x14ac:dyDescent="0.25">
      <c r="C96" s="941"/>
      <c r="D96" s="10"/>
      <c r="E96" s="950"/>
      <c r="F96" s="6769"/>
      <c r="G96" s="6769"/>
      <c r="H96" s="6769"/>
      <c r="I96" s="6769"/>
      <c r="J96" s="6769"/>
      <c r="K96" s="6769"/>
      <c r="L96" s="6769"/>
      <c r="M96" s="1279"/>
      <c r="N96" s="15"/>
      <c r="O96" s="1280"/>
      <c r="P96" s="721"/>
      <c r="Q96" s="721"/>
      <c r="R96" s="721"/>
      <c r="S96" s="1281"/>
      <c r="T96" s="721"/>
      <c r="U96" s="7"/>
      <c r="V96" s="181"/>
      <c r="W96" s="181"/>
      <c r="X96" s="2605"/>
      <c r="Y96" s="2606"/>
      <c r="Z96" s="2606"/>
      <c r="AA96" s="2606"/>
      <c r="AB96" s="2607"/>
      <c r="AD96" s="7"/>
      <c r="AE96" s="7"/>
    </row>
    <row r="97" spans="3:31" s="8" customFormat="1" ht="8.1" customHeight="1" thickBot="1" x14ac:dyDescent="0.25">
      <c r="C97" s="941"/>
      <c r="D97" s="10"/>
      <c r="E97" s="14"/>
      <c r="F97" s="129"/>
      <c r="G97" s="129"/>
      <c r="H97" s="129"/>
      <c r="I97" s="129"/>
      <c r="J97" s="16"/>
      <c r="K97" s="15"/>
      <c r="L97" s="50"/>
      <c r="M97" s="15"/>
      <c r="N97" s="15"/>
      <c r="O97" s="15"/>
      <c r="P97" s="90"/>
      <c r="Q97" s="13"/>
      <c r="R97" s="15"/>
      <c r="S97" s="13"/>
      <c r="T97" s="7"/>
      <c r="U97" s="7"/>
      <c r="V97" s="7"/>
      <c r="W97" s="7"/>
      <c r="X97" s="15"/>
      <c r="Y97" s="90"/>
      <c r="Z97" s="13"/>
      <c r="AA97" s="15"/>
      <c r="AB97" s="13"/>
      <c r="AD97" s="7"/>
      <c r="AE97" s="7"/>
    </row>
    <row r="98" spans="3:31" s="8" customFormat="1" thickBot="1" x14ac:dyDescent="0.25">
      <c r="C98" s="941"/>
      <c r="D98" s="10"/>
      <c r="E98" s="695"/>
      <c r="F98" s="1314"/>
      <c r="G98" s="1314"/>
      <c r="H98" s="1314"/>
      <c r="I98" s="1314"/>
      <c r="J98" s="698"/>
      <c r="K98" s="709"/>
      <c r="L98" s="927"/>
      <c r="M98" s="1303"/>
      <c r="N98" s="15"/>
      <c r="O98" s="1288"/>
      <c r="P98" s="1289"/>
      <c r="Q98" s="1290"/>
      <c r="R98" s="1291"/>
      <c r="S98" s="1292"/>
      <c r="T98" s="7"/>
      <c r="U98" s="7"/>
      <c r="V98" s="7"/>
      <c r="W98" s="7"/>
      <c r="X98" s="2392"/>
      <c r="Y98" s="2393"/>
      <c r="Z98" s="2394"/>
      <c r="AA98" s="2395"/>
      <c r="AB98" s="2396"/>
      <c r="AD98" s="7"/>
      <c r="AE98" s="7"/>
    </row>
    <row r="99" spans="3:31" s="8" customFormat="1" ht="20.100000000000001" customHeight="1" thickBot="1" x14ac:dyDescent="0.25">
      <c r="C99" s="941"/>
      <c r="D99" s="10"/>
      <c r="E99" s="700"/>
      <c r="F99" s="3891" t="str">
        <f>_Calcs!$M$35</f>
        <v>Grøfter, nisjer og andre bergrom</v>
      </c>
      <c r="G99" s="1315"/>
      <c r="H99" s="1315"/>
      <c r="I99" s="1315"/>
      <c r="J99" s="2283" t="s">
        <v>149</v>
      </c>
      <c r="K99" s="5747"/>
      <c r="L99" s="1128"/>
      <c r="M99" s="1305"/>
      <c r="N99" s="15"/>
      <c r="O99" s="1293"/>
      <c r="P99" s="2480"/>
      <c r="Q99" s="1294"/>
      <c r="R99" s="1295" t="s">
        <v>99</v>
      </c>
      <c r="S99" s="1296"/>
      <c r="T99" s="7"/>
      <c r="U99" s="7"/>
      <c r="V99" s="7"/>
      <c r="W99" s="7"/>
      <c r="X99" s="2388"/>
      <c r="Y99" s="5768" t="str">
        <f>_Kapasitet!$S$51</f>
        <v>!</v>
      </c>
      <c r="Z99" s="2385"/>
      <c r="AA99" s="2386" t="s">
        <v>99</v>
      </c>
      <c r="AB99" s="2387"/>
    </row>
    <row r="100" spans="3:31" s="8" customFormat="1" thickBot="1" x14ac:dyDescent="0.25">
      <c r="C100" s="943"/>
      <c r="D100" s="10"/>
      <c r="E100" s="702"/>
      <c r="F100" s="1316"/>
      <c r="G100" s="1316"/>
      <c r="H100" s="1316"/>
      <c r="I100" s="1316"/>
      <c r="J100" s="705"/>
      <c r="K100" s="717"/>
      <c r="L100" s="1317"/>
      <c r="M100" s="1309"/>
      <c r="N100" s="15"/>
      <c r="O100" s="1299"/>
      <c r="P100" s="1311"/>
      <c r="Q100" s="1312"/>
      <c r="R100" s="1301"/>
      <c r="S100" s="1313"/>
      <c r="T100" s="7"/>
      <c r="U100" s="7"/>
      <c r="V100" s="7"/>
      <c r="W100" s="7"/>
      <c r="X100" s="2381"/>
      <c r="Y100" s="2397"/>
      <c r="Z100" s="2398"/>
      <c r="AA100" s="2383"/>
      <c r="AB100" s="2399"/>
    </row>
    <row r="101" spans="3:31" s="130" customFormat="1" ht="50.1" customHeight="1" thickBot="1" x14ac:dyDescent="0.25">
      <c r="J101" s="1994"/>
      <c r="K101" s="226"/>
      <c r="L101" s="226"/>
      <c r="O101" s="216"/>
      <c r="R101" s="131"/>
      <c r="T101" s="7"/>
      <c r="U101" s="7"/>
      <c r="V101" s="7"/>
      <c r="W101" s="7"/>
      <c r="X101" s="7"/>
    </row>
    <row r="102" spans="3:31" ht="39.950000000000003" customHeight="1" thickBot="1" x14ac:dyDescent="0.4">
      <c r="C102" s="2520"/>
      <c r="E102" s="2521"/>
      <c r="F102" s="2522"/>
      <c r="G102" s="2522"/>
      <c r="H102" s="2522"/>
      <c r="I102" s="2522"/>
      <c r="J102" s="2522"/>
      <c r="K102" s="2522"/>
      <c r="L102" s="2522"/>
      <c r="M102" s="2523"/>
      <c r="N102" s="7"/>
      <c r="O102" s="7038" t="str">
        <f>O40</f>
        <v>Egendefinert</v>
      </c>
      <c r="P102" s="7039"/>
      <c r="Q102" s="7039"/>
      <c r="R102" s="7039"/>
      <c r="S102" s="7040"/>
      <c r="X102" s="7048" t="s">
        <v>21</v>
      </c>
      <c r="Y102" s="7049"/>
      <c r="Z102" s="7049"/>
      <c r="AA102" s="7049"/>
      <c r="AB102" s="7050"/>
    </row>
    <row r="103" spans="3:31" s="8" customFormat="1" ht="8.1" customHeight="1" thickBot="1" x14ac:dyDescent="0.25">
      <c r="C103" s="149"/>
      <c r="D103" s="10"/>
      <c r="E103" s="150"/>
      <c r="F103" s="150"/>
      <c r="G103" s="150"/>
      <c r="H103" s="150"/>
      <c r="I103" s="150"/>
      <c r="J103" s="152"/>
      <c r="K103" s="152"/>
      <c r="L103" s="152"/>
      <c r="M103" s="152"/>
      <c r="N103" s="152"/>
      <c r="O103" s="152"/>
      <c r="P103" s="150"/>
      <c r="Q103" s="151"/>
      <c r="R103" s="9"/>
      <c r="T103" s="7"/>
      <c r="U103" s="7"/>
      <c r="V103" s="7"/>
      <c r="W103" s="7"/>
      <c r="X103" s="152"/>
      <c r="Y103" s="150"/>
      <c r="Z103" s="151"/>
      <c r="AA103" s="9"/>
    </row>
    <row r="104" spans="3:31" s="26" customFormat="1" ht="20.100000000000001" customHeight="1" thickBot="1" x14ac:dyDescent="0.25">
      <c r="C104" s="1060"/>
      <c r="D104" s="25"/>
      <c r="E104" s="1108"/>
      <c r="F104" s="1019"/>
      <c r="G104" s="1019"/>
      <c r="H104" s="1019"/>
      <c r="I104" s="1019"/>
      <c r="J104" s="2507" t="s">
        <v>131</v>
      </c>
      <c r="K104" s="2507"/>
      <c r="L104" s="2507" t="s">
        <v>154</v>
      </c>
      <c r="M104" s="1347"/>
      <c r="N104" s="572"/>
      <c r="O104" s="1346"/>
      <c r="P104" s="2507" t="s">
        <v>132</v>
      </c>
      <c r="Q104" s="2507"/>
      <c r="R104" s="1195" t="s">
        <v>100</v>
      </c>
      <c r="S104" s="2509"/>
      <c r="T104" s="8"/>
      <c r="U104" s="8"/>
      <c r="V104" s="8"/>
      <c r="W104" s="8"/>
      <c r="X104" s="2486"/>
      <c r="Y104" s="2487" t="s">
        <v>132</v>
      </c>
      <c r="Z104" s="2487"/>
      <c r="AA104" s="2488" t="s">
        <v>100</v>
      </c>
      <c r="AB104" s="2489"/>
    </row>
    <row r="105" spans="3:31" s="8" customFormat="1" ht="24.95" customHeight="1" thickBot="1" x14ac:dyDescent="0.25">
      <c r="C105" s="13"/>
      <c r="D105" s="10"/>
      <c r="E105" s="14"/>
      <c r="F105" s="15"/>
      <c r="G105" s="15"/>
      <c r="H105" s="15"/>
      <c r="I105" s="15"/>
      <c r="J105" s="13"/>
      <c r="K105" s="18"/>
      <c r="L105" s="50"/>
      <c r="M105" s="15"/>
      <c r="N105" s="7"/>
      <c r="O105" s="7"/>
      <c r="P105" s="7"/>
      <c r="Q105" s="149"/>
      <c r="R105" s="150"/>
      <c r="S105" s="149"/>
      <c r="T105" s="7"/>
      <c r="U105" s="7"/>
      <c r="V105" s="7"/>
      <c r="W105" s="7"/>
    </row>
    <row r="106" spans="3:31" s="8" customFormat="1" ht="15" customHeight="1" thickBot="1" x14ac:dyDescent="0.25">
      <c r="C106" s="1197"/>
      <c r="D106" s="10"/>
      <c r="E106" s="1186"/>
      <c r="F106" s="6570" t="str">
        <f>_Calcs!$K$43</f>
        <v>Forundersøkelser</v>
      </c>
      <c r="G106" s="6570"/>
      <c r="H106" s="6570"/>
      <c r="I106" s="6570"/>
      <c r="J106" s="6570"/>
      <c r="K106" s="6570"/>
      <c r="L106" s="6570"/>
      <c r="M106" s="1441"/>
      <c r="N106" s="7"/>
      <c r="O106" s="7"/>
      <c r="P106" s="7"/>
      <c r="Q106" s="17"/>
      <c r="R106" s="17"/>
      <c r="S106" s="17"/>
      <c r="T106" s="7"/>
      <c r="U106" s="7"/>
      <c r="V106" s="7"/>
      <c r="W106" s="7"/>
    </row>
    <row r="107" spans="3:31" s="8" customFormat="1" ht="15" customHeight="1" thickBot="1" x14ac:dyDescent="0.25">
      <c r="C107" s="6408" t="s">
        <v>83</v>
      </c>
      <c r="D107" s="10"/>
      <c r="E107" s="1188"/>
      <c r="F107" s="6571"/>
      <c r="G107" s="6571"/>
      <c r="H107" s="6571"/>
      <c r="I107" s="6571"/>
      <c r="J107" s="6571"/>
      <c r="K107" s="6571"/>
      <c r="L107" s="6571"/>
      <c r="M107" s="1442"/>
      <c r="N107" s="7"/>
      <c r="O107" s="583"/>
      <c r="P107" s="584"/>
      <c r="Q107" s="584"/>
      <c r="R107" s="584"/>
      <c r="S107" s="2609"/>
      <c r="T107" s="584"/>
      <c r="U107" s="7"/>
      <c r="V107" s="181"/>
      <c r="W107" s="181"/>
      <c r="X107" s="2610"/>
      <c r="Y107" s="2611"/>
      <c r="Z107" s="2611"/>
      <c r="AA107" s="2611"/>
      <c r="AB107" s="2612"/>
    </row>
    <row r="108" spans="3:31" s="8" customFormat="1" ht="8.1" customHeight="1" thickBot="1" x14ac:dyDescent="0.25">
      <c r="C108" s="6408"/>
      <c r="D108" s="10"/>
      <c r="E108" s="14"/>
      <c r="F108" s="129"/>
      <c r="G108" s="129"/>
      <c r="H108" s="129"/>
      <c r="I108" s="129"/>
      <c r="J108" s="13"/>
      <c r="K108" s="15"/>
      <c r="L108" s="50"/>
      <c r="M108" s="15"/>
      <c r="N108" s="7"/>
      <c r="O108" s="7"/>
      <c r="P108" s="7"/>
      <c r="Q108" s="17"/>
      <c r="R108" s="17"/>
      <c r="S108" s="17"/>
      <c r="T108" s="7"/>
      <c r="U108" s="7"/>
      <c r="V108" s="7"/>
      <c r="W108" s="7"/>
    </row>
    <row r="109" spans="3:31" s="8" customFormat="1" thickBot="1" x14ac:dyDescent="0.25">
      <c r="C109" s="6408"/>
      <c r="D109" s="10"/>
      <c r="E109" s="574"/>
      <c r="F109" s="575"/>
      <c r="G109" s="575"/>
      <c r="H109" s="575"/>
      <c r="I109" s="575"/>
      <c r="J109" s="728"/>
      <c r="K109" s="728"/>
      <c r="L109" s="728"/>
      <c r="M109" s="1443"/>
      <c r="N109" s="15"/>
      <c r="O109" s="1393"/>
      <c r="P109" s="1394"/>
      <c r="Q109" s="1395"/>
      <c r="R109" s="1396"/>
      <c r="S109" s="1400"/>
      <c r="T109" s="7"/>
      <c r="U109" s="7"/>
      <c r="V109" s="7"/>
      <c r="W109" s="7"/>
      <c r="X109" s="2412"/>
      <c r="Y109" s="2413"/>
      <c r="Z109" s="2414"/>
      <c r="AA109" s="2415"/>
      <c r="AB109" s="2416"/>
    </row>
    <row r="110" spans="3:31" s="8" customFormat="1" ht="20.100000000000001" customHeight="1" thickBot="1" x14ac:dyDescent="0.25">
      <c r="C110" s="6408"/>
      <c r="D110" s="10"/>
      <c r="E110" s="577"/>
      <c r="F110" s="160" t="str">
        <f>_Calcs!$M$43</f>
        <v>Sondérboring</v>
      </c>
      <c r="G110" s="160"/>
      <c r="H110" s="160"/>
      <c r="I110" s="160"/>
      <c r="J110" s="156" t="s">
        <v>149</v>
      </c>
      <c r="K110" s="1444"/>
      <c r="L110" s="156"/>
      <c r="M110" s="1445"/>
      <c r="N110" s="15"/>
      <c r="O110" s="1391"/>
      <c r="P110" s="2479"/>
      <c r="Q110" s="1389"/>
      <c r="R110" s="1390" t="s">
        <v>10</v>
      </c>
      <c r="S110" s="1399"/>
      <c r="T110" s="7"/>
      <c r="U110" s="7"/>
      <c r="V110" s="7"/>
      <c r="W110" s="7"/>
      <c r="X110" s="2410"/>
      <c r="Y110" s="6193">
        <f>_Kapasitet!$S$15</f>
        <v>60</v>
      </c>
      <c r="Z110" s="2407"/>
      <c r="AA110" s="2408" t="s">
        <v>10</v>
      </c>
      <c r="AB110" s="2409"/>
    </row>
    <row r="111" spans="3:31" s="8" customFormat="1" thickBot="1" x14ac:dyDescent="0.25">
      <c r="C111" s="6408"/>
      <c r="D111" s="10"/>
      <c r="E111" s="577"/>
      <c r="F111" s="160"/>
      <c r="G111" s="160"/>
      <c r="H111" s="160"/>
      <c r="I111" s="160"/>
      <c r="J111" s="156"/>
      <c r="K111" s="1444"/>
      <c r="L111" s="156"/>
      <c r="M111" s="1446"/>
      <c r="N111" s="111"/>
      <c r="O111" s="1391"/>
      <c r="P111" s="1392"/>
      <c r="Q111" s="1389"/>
      <c r="R111" s="1390"/>
      <c r="S111" s="1399"/>
      <c r="T111" s="7"/>
      <c r="U111" s="7"/>
      <c r="V111" s="7"/>
      <c r="W111" s="7"/>
      <c r="X111" s="2410"/>
      <c r="Y111" s="2411"/>
      <c r="Z111" s="2407"/>
      <c r="AA111" s="2408"/>
      <c r="AB111" s="2409"/>
    </row>
    <row r="112" spans="3:31" s="8" customFormat="1" ht="20.100000000000001" customHeight="1" thickBot="1" x14ac:dyDescent="0.25">
      <c r="C112" s="1198"/>
      <c r="D112" s="10"/>
      <c r="E112" s="577"/>
      <c r="F112" s="160" t="str">
        <f>_Calcs!$M$44</f>
        <v>Kjerneboring</v>
      </c>
      <c r="G112" s="160"/>
      <c r="H112" s="160"/>
      <c r="I112" s="160"/>
      <c r="J112" s="156" t="s">
        <v>149</v>
      </c>
      <c r="K112" s="1444"/>
      <c r="L112" s="156"/>
      <c r="M112" s="1446"/>
      <c r="N112" s="15"/>
      <c r="O112" s="1391"/>
      <c r="P112" s="2479"/>
      <c r="Q112" s="1389"/>
      <c r="R112" s="1390" t="s">
        <v>31</v>
      </c>
      <c r="S112" s="1399"/>
      <c r="T112" s="7"/>
      <c r="U112" s="7"/>
      <c r="V112" s="7"/>
      <c r="W112" s="7"/>
      <c r="X112" s="2410"/>
      <c r="Y112" s="6193">
        <f>_Kapasitet!$S$16</f>
        <v>1</v>
      </c>
      <c r="Z112" s="2407"/>
      <c r="AA112" s="2408" t="s">
        <v>31</v>
      </c>
      <c r="AB112" s="2409"/>
    </row>
    <row r="113" spans="3:28" s="8" customFormat="1" ht="15" customHeight="1" thickBot="1" x14ac:dyDescent="0.25">
      <c r="C113" s="1198"/>
      <c r="D113" s="10"/>
      <c r="E113" s="731"/>
      <c r="F113" s="579"/>
      <c r="G113" s="579"/>
      <c r="H113" s="579"/>
      <c r="I113" s="579"/>
      <c r="J113" s="1180"/>
      <c r="K113" s="1447"/>
      <c r="L113" s="1180"/>
      <c r="M113" s="1448"/>
      <c r="N113" s="15"/>
      <c r="O113" s="1385"/>
      <c r="P113" s="1386"/>
      <c r="Q113" s="1387"/>
      <c r="R113" s="1388"/>
      <c r="S113" s="1398"/>
      <c r="T113" s="7"/>
      <c r="U113" s="7"/>
      <c r="V113" s="7"/>
      <c r="W113" s="7"/>
      <c r="X113" s="2402"/>
      <c r="Y113" s="2403"/>
      <c r="Z113" s="2404"/>
      <c r="AA113" s="2405"/>
      <c r="AB113" s="2406"/>
    </row>
    <row r="114" spans="3:28" s="8" customFormat="1" ht="8.1" customHeight="1" thickBot="1" x14ac:dyDescent="0.25">
      <c r="C114" s="2358"/>
      <c r="D114" s="10"/>
      <c r="E114" s="20"/>
      <c r="F114" s="136"/>
      <c r="G114" s="136"/>
      <c r="H114" s="136"/>
      <c r="I114" s="136"/>
      <c r="J114" s="1181"/>
      <c r="L114" s="1181"/>
      <c r="M114" s="137"/>
      <c r="N114" s="15"/>
      <c r="O114" s="13"/>
      <c r="P114" s="1382"/>
      <c r="Q114" s="13"/>
      <c r="R114" s="15"/>
      <c r="S114" s="13"/>
      <c r="T114" s="7"/>
      <c r="U114" s="7"/>
      <c r="V114" s="7"/>
      <c r="W114" s="7"/>
      <c r="X114" s="13"/>
      <c r="Y114" s="1382"/>
      <c r="Z114" s="13"/>
      <c r="AA114" s="15"/>
      <c r="AB114" s="13"/>
    </row>
    <row r="115" spans="3:28" s="8" customFormat="1" ht="15" customHeight="1" thickBot="1" x14ac:dyDescent="0.25">
      <c r="C115" s="2358"/>
      <c r="D115" s="10"/>
      <c r="E115" s="574"/>
      <c r="F115" s="575"/>
      <c r="G115" s="575"/>
      <c r="H115" s="575"/>
      <c r="I115" s="575"/>
      <c r="J115" s="1183"/>
      <c r="K115" s="1449"/>
      <c r="L115" s="1183"/>
      <c r="M115" s="1443"/>
      <c r="N115" s="15"/>
      <c r="O115" s="1393"/>
      <c r="P115" s="1394"/>
      <c r="Q115" s="1395"/>
      <c r="R115" s="1396"/>
      <c r="S115" s="1400"/>
      <c r="T115" s="7"/>
      <c r="U115" s="7"/>
      <c r="V115" s="7"/>
      <c r="W115" s="7"/>
      <c r="X115" s="2412"/>
      <c r="Y115" s="2413"/>
      <c r="Z115" s="2414"/>
      <c r="AA115" s="2415"/>
      <c r="AB115" s="2416"/>
    </row>
    <row r="116" spans="3:28" s="8" customFormat="1" ht="20.100000000000001" customHeight="1" thickBot="1" x14ac:dyDescent="0.25">
      <c r="C116" s="2358"/>
      <c r="D116" s="10"/>
      <c r="E116" s="577"/>
      <c r="F116" s="160" t="str">
        <f>_Calcs!$M$45</f>
        <v>Seismikk</v>
      </c>
      <c r="G116" s="160"/>
      <c r="H116" s="160"/>
      <c r="I116" s="160"/>
      <c r="J116" s="156" t="s">
        <v>149</v>
      </c>
      <c r="K116" s="1444"/>
      <c r="L116" s="156"/>
      <c r="M116" s="1446"/>
      <c r="N116" s="15"/>
      <c r="O116" s="1391"/>
      <c r="P116" s="2479"/>
      <c r="Q116" s="1389"/>
      <c r="R116" s="1390" t="s">
        <v>31</v>
      </c>
      <c r="S116" s="1399"/>
      <c r="T116" s="7"/>
      <c r="U116" s="7"/>
      <c r="V116" s="7"/>
      <c r="W116" s="7"/>
      <c r="X116" s="2410"/>
      <c r="Y116" s="6193">
        <f>_Kapasitet!$S$17</f>
        <v>1</v>
      </c>
      <c r="Z116" s="2407"/>
      <c r="AA116" s="2408" t="s">
        <v>31</v>
      </c>
      <c r="AB116" s="2409"/>
    </row>
    <row r="117" spans="3:28" s="8" customFormat="1" ht="15" customHeight="1" thickBot="1" x14ac:dyDescent="0.25">
      <c r="C117" s="2358"/>
      <c r="D117" s="10"/>
      <c r="E117" s="731"/>
      <c r="F117" s="579"/>
      <c r="G117" s="579"/>
      <c r="H117" s="579"/>
      <c r="I117" s="579"/>
      <c r="J117" s="1176"/>
      <c r="K117" s="1447"/>
      <c r="L117" s="1176"/>
      <c r="M117" s="1448"/>
      <c r="N117" s="15"/>
      <c r="O117" s="1385"/>
      <c r="P117" s="1397"/>
      <c r="Q117" s="1387"/>
      <c r="R117" s="1388"/>
      <c r="S117" s="1398"/>
      <c r="T117" s="7"/>
      <c r="U117" s="7"/>
      <c r="V117" s="7"/>
      <c r="W117" s="7"/>
      <c r="X117" s="2402"/>
      <c r="Y117" s="2417"/>
      <c r="Z117" s="2404"/>
      <c r="AA117" s="2405"/>
      <c r="AB117" s="2406"/>
    </row>
    <row r="118" spans="3:28" s="8" customFormat="1" ht="24.95" customHeight="1" thickBot="1" x14ac:dyDescent="0.25">
      <c r="C118" s="2358"/>
      <c r="D118" s="7"/>
      <c r="E118" s="7"/>
      <c r="F118" s="7"/>
      <c r="G118" s="7"/>
      <c r="H118" s="7"/>
      <c r="I118" s="7"/>
      <c r="J118" s="7"/>
      <c r="K118" s="7"/>
      <c r="L118" s="7"/>
      <c r="M118" s="7"/>
      <c r="N118" s="7"/>
      <c r="O118" s="7"/>
      <c r="P118" s="7"/>
      <c r="Q118" s="10"/>
      <c r="R118" s="170"/>
      <c r="S118" s="10"/>
      <c r="T118" s="7"/>
      <c r="U118" s="7"/>
      <c r="V118" s="7"/>
      <c r="W118" s="7"/>
      <c r="X118" s="7"/>
      <c r="Y118" s="7"/>
      <c r="Z118" s="10"/>
      <c r="AA118" s="170"/>
      <c r="AB118" s="10"/>
    </row>
    <row r="119" spans="3:28" s="8" customFormat="1" ht="15" customHeight="1" thickBot="1" x14ac:dyDescent="0.25">
      <c r="C119" s="2358"/>
      <c r="D119" s="7"/>
      <c r="E119" s="1451"/>
      <c r="F119" s="7019" t="s">
        <v>5</v>
      </c>
      <c r="G119" s="7019"/>
      <c r="H119" s="7019"/>
      <c r="I119" s="7019"/>
      <c r="J119" s="7019"/>
      <c r="K119" s="7019"/>
      <c r="L119" s="7019"/>
      <c r="M119" s="1453"/>
      <c r="N119" s="7"/>
      <c r="O119" s="7"/>
      <c r="P119" s="7"/>
      <c r="Q119" s="10"/>
      <c r="R119" s="10"/>
      <c r="S119" s="10"/>
      <c r="T119" s="7"/>
      <c r="U119" s="7"/>
      <c r="V119" s="7"/>
      <c r="W119" s="7"/>
      <c r="X119" s="7"/>
      <c r="Y119" s="7"/>
      <c r="Z119" s="10"/>
      <c r="AA119" s="10"/>
      <c r="AB119" s="10"/>
    </row>
    <row r="120" spans="3:28" s="8" customFormat="1" ht="15" customHeight="1" thickBot="1" x14ac:dyDescent="0.25">
      <c r="C120" s="2358"/>
      <c r="D120" s="7"/>
      <c r="E120" s="1452"/>
      <c r="F120" s="7020"/>
      <c r="G120" s="7020"/>
      <c r="H120" s="7020"/>
      <c r="I120" s="7020"/>
      <c r="J120" s="7020"/>
      <c r="K120" s="7020"/>
      <c r="L120" s="7020"/>
      <c r="M120" s="1454"/>
      <c r="N120" s="7"/>
      <c r="O120" s="583"/>
      <c r="P120" s="584"/>
      <c r="Q120" s="584"/>
      <c r="R120" s="584"/>
      <c r="S120" s="2609"/>
      <c r="T120" s="181"/>
      <c r="U120" s="181"/>
      <c r="V120" s="181"/>
      <c r="W120" s="181"/>
      <c r="X120" s="2610"/>
      <c r="Y120" s="2611"/>
      <c r="Z120" s="2611"/>
      <c r="AA120" s="2611"/>
      <c r="AB120" s="2612"/>
    </row>
    <row r="121" spans="3:28" s="8" customFormat="1" ht="8.1" customHeight="1" thickBot="1" x14ac:dyDescent="0.25">
      <c r="C121" s="2358"/>
      <c r="D121" s="10"/>
      <c r="E121" s="37"/>
      <c r="F121" s="37"/>
      <c r="G121" s="37"/>
      <c r="H121" s="37"/>
      <c r="I121" s="37"/>
      <c r="J121" s="37"/>
      <c r="K121" s="170"/>
      <c r="L121" s="37"/>
      <c r="M121" s="170"/>
      <c r="N121" s="7"/>
      <c r="O121" s="7"/>
      <c r="P121" s="7"/>
      <c r="Q121" s="16"/>
      <c r="R121" s="17"/>
      <c r="S121" s="16"/>
      <c r="T121" s="7"/>
      <c r="U121" s="7"/>
      <c r="V121" s="7"/>
      <c r="W121" s="7"/>
      <c r="X121" s="7"/>
      <c r="Y121" s="7"/>
      <c r="Z121" s="16"/>
      <c r="AA121" s="17"/>
      <c r="AB121" s="16"/>
    </row>
    <row r="122" spans="3:28" s="8" customFormat="1" ht="15" customHeight="1" x14ac:dyDescent="0.2">
      <c r="C122" s="2358"/>
      <c r="D122" s="10"/>
      <c r="E122" s="1190"/>
      <c r="F122" s="1018"/>
      <c r="G122" s="1018"/>
      <c r="H122" s="1018"/>
      <c r="I122" s="576"/>
      <c r="J122" s="1191"/>
      <c r="K122" s="1191"/>
      <c r="L122" s="1173"/>
      <c r="M122" s="1450"/>
      <c r="N122" s="15"/>
      <c r="O122" s="2309"/>
      <c r="P122" s="2309"/>
      <c r="Q122" s="2309"/>
      <c r="R122" s="2309"/>
      <c r="S122" s="2309"/>
      <c r="T122" s="7"/>
      <c r="U122" s="7"/>
      <c r="V122" s="7"/>
      <c r="W122" s="7"/>
      <c r="X122" s="2309"/>
      <c r="Y122" s="2309"/>
      <c r="Z122" s="2309"/>
      <c r="AA122" s="2309"/>
      <c r="AB122" s="2309"/>
    </row>
    <row r="123" spans="3:28" s="8" customFormat="1" ht="15" customHeight="1" x14ac:dyDescent="0.2">
      <c r="C123" s="2358"/>
      <c r="D123" s="10"/>
      <c r="E123" s="577"/>
      <c r="F123" s="6741" t="s">
        <v>75</v>
      </c>
      <c r="G123" s="6741"/>
      <c r="H123" s="6741"/>
      <c r="I123" s="6741"/>
      <c r="J123" s="156"/>
      <c r="K123" s="156"/>
      <c r="L123" s="165"/>
      <c r="M123" s="1446"/>
      <c r="N123" s="15"/>
      <c r="O123" s="2309"/>
      <c r="P123" s="2309"/>
      <c r="Q123" s="2309"/>
      <c r="R123" s="2309"/>
      <c r="S123" s="2309"/>
      <c r="T123" s="7"/>
      <c r="U123" s="7"/>
      <c r="V123" s="7"/>
      <c r="W123" s="7"/>
      <c r="X123" s="2309"/>
      <c r="Y123" s="2309"/>
      <c r="Z123" s="2309"/>
      <c r="AA123" s="2309"/>
      <c r="AB123" s="2309"/>
    </row>
    <row r="124" spans="3:28" s="8" customFormat="1" ht="8.1" customHeight="1" thickBot="1" x14ac:dyDescent="0.25">
      <c r="C124" s="2358"/>
      <c r="D124" s="10"/>
      <c r="E124" s="577"/>
      <c r="F124" s="6741"/>
      <c r="G124" s="6741"/>
      <c r="H124" s="6741"/>
      <c r="I124" s="6741"/>
      <c r="J124" s="156"/>
      <c r="K124" s="156"/>
      <c r="L124" s="165"/>
      <c r="M124" s="1446"/>
      <c r="N124" s="15"/>
      <c r="O124" s="13"/>
      <c r="P124" s="90"/>
      <c r="Q124" s="13"/>
      <c r="R124" s="15"/>
      <c r="S124" s="13"/>
      <c r="T124" s="7"/>
      <c r="U124" s="7"/>
      <c r="V124" s="7"/>
      <c r="W124" s="7"/>
      <c r="X124" s="13"/>
      <c r="Y124" s="90"/>
      <c r="Z124" s="13"/>
      <c r="AA124" s="15"/>
      <c r="AB124" s="13"/>
    </row>
    <row r="125" spans="3:28" s="8" customFormat="1" ht="15" customHeight="1" thickBot="1" x14ac:dyDescent="0.25">
      <c r="C125" s="2358"/>
      <c r="D125" s="10"/>
      <c r="E125" s="577"/>
      <c r="F125" s="160"/>
      <c r="G125" s="160"/>
      <c r="H125" s="160"/>
      <c r="I125" s="164"/>
      <c r="J125" s="156"/>
      <c r="K125" s="156"/>
      <c r="L125" s="165"/>
      <c r="M125" s="1446"/>
      <c r="N125" s="15"/>
      <c r="O125" s="1393"/>
      <c r="P125" s="1394"/>
      <c r="Q125" s="1395"/>
      <c r="R125" s="1396"/>
      <c r="S125" s="1400"/>
      <c r="T125" s="7"/>
      <c r="U125" s="7"/>
      <c r="V125" s="7"/>
      <c r="W125" s="7"/>
      <c r="X125" s="2412"/>
      <c r="Y125" s="2413"/>
      <c r="Z125" s="2414"/>
      <c r="AA125" s="2415"/>
      <c r="AB125" s="2416"/>
    </row>
    <row r="126" spans="3:28" s="8" customFormat="1" ht="20.100000000000001" customHeight="1" thickBot="1" x14ac:dyDescent="0.25">
      <c r="C126" s="2358"/>
      <c r="D126" s="10"/>
      <c r="E126" s="577"/>
      <c r="F126" s="160" t="s">
        <v>77</v>
      </c>
      <c r="G126" s="160"/>
      <c r="H126" s="160"/>
      <c r="I126" s="60"/>
      <c r="J126" s="156" t="s">
        <v>149</v>
      </c>
      <c r="K126" s="156"/>
      <c r="L126" s="165"/>
      <c r="M126" s="1445"/>
      <c r="N126" s="15"/>
      <c r="O126" s="1391"/>
      <c r="P126" s="2479"/>
      <c r="Q126" s="1389"/>
      <c r="R126" s="1390" t="s">
        <v>14</v>
      </c>
      <c r="S126" s="1399"/>
      <c r="T126" s="7"/>
      <c r="U126" s="7"/>
      <c r="V126" s="7"/>
      <c r="W126" s="7"/>
      <c r="X126" s="2410"/>
      <c r="Y126" s="6193">
        <f>_Kapasitet!$S$19</f>
        <v>1</v>
      </c>
      <c r="Z126" s="2407"/>
      <c r="AA126" s="2408" t="s">
        <v>14</v>
      </c>
      <c r="AB126" s="2409"/>
    </row>
    <row r="127" spans="3:28" s="8" customFormat="1" ht="15" customHeight="1" thickBot="1" x14ac:dyDescent="0.25">
      <c r="C127" s="2358"/>
      <c r="D127" s="10"/>
      <c r="E127" s="577"/>
      <c r="F127" s="160"/>
      <c r="G127" s="160"/>
      <c r="H127" s="160"/>
      <c r="I127" s="60"/>
      <c r="J127" s="1193"/>
      <c r="K127" s="1193"/>
      <c r="L127" s="165"/>
      <c r="M127" s="1446"/>
      <c r="N127" s="15"/>
      <c r="O127" s="1391"/>
      <c r="P127" s="1401"/>
      <c r="Q127" s="1389"/>
      <c r="R127" s="1390"/>
      <c r="S127" s="1399"/>
      <c r="T127" s="7"/>
      <c r="U127" s="7"/>
      <c r="V127" s="7"/>
      <c r="W127" s="7"/>
      <c r="X127" s="2410"/>
      <c r="Y127" s="2418"/>
      <c r="Z127" s="2407"/>
      <c r="AA127" s="2408"/>
      <c r="AB127" s="2409"/>
    </row>
    <row r="128" spans="3:28" s="8" customFormat="1" ht="20.100000000000001" customHeight="1" thickBot="1" x14ac:dyDescent="0.25">
      <c r="C128" s="2358"/>
      <c r="D128" s="7"/>
      <c r="E128" s="577"/>
      <c r="F128" s="160" t="s">
        <v>4</v>
      </c>
      <c r="G128" s="160"/>
      <c r="H128" s="160"/>
      <c r="I128" s="60"/>
      <c r="J128" s="156" t="s">
        <v>149</v>
      </c>
      <c r="K128" s="156"/>
      <c r="L128" s="165"/>
      <c r="M128" s="1445"/>
      <c r="N128" s="7"/>
      <c r="O128" s="1391"/>
      <c r="P128" s="2479"/>
      <c r="Q128" s="1389"/>
      <c r="R128" s="1390" t="s">
        <v>10</v>
      </c>
      <c r="S128" s="1399"/>
      <c r="T128" s="7"/>
      <c r="U128" s="7"/>
      <c r="V128" s="7"/>
      <c r="W128" s="7"/>
      <c r="X128" s="2410"/>
      <c r="Y128" s="6193">
        <f>_Kapasitet!$S$20</f>
        <v>60</v>
      </c>
      <c r="Z128" s="2407"/>
      <c r="AA128" s="2408" t="s">
        <v>10</v>
      </c>
      <c r="AB128" s="2409"/>
    </row>
    <row r="129" spans="3:28" s="8" customFormat="1" ht="15" customHeight="1" thickBot="1" x14ac:dyDescent="0.25">
      <c r="C129" s="2358"/>
      <c r="D129" s="10"/>
      <c r="E129" s="577"/>
      <c r="F129" s="160"/>
      <c r="G129" s="160"/>
      <c r="H129" s="160"/>
      <c r="I129" s="60"/>
      <c r="J129" s="1193"/>
      <c r="K129" s="1193"/>
      <c r="L129" s="165"/>
      <c r="M129" s="1446"/>
      <c r="N129" s="7"/>
      <c r="O129" s="1391"/>
      <c r="P129" s="1401"/>
      <c r="Q129" s="1389"/>
      <c r="R129" s="1390"/>
      <c r="S129" s="1399"/>
      <c r="T129" s="7"/>
      <c r="U129" s="7"/>
      <c r="V129" s="7"/>
      <c r="W129" s="7"/>
      <c r="X129" s="2410"/>
      <c r="Y129" s="2418"/>
      <c r="Z129" s="2407"/>
      <c r="AA129" s="2408"/>
      <c r="AB129" s="2409"/>
    </row>
    <row r="130" spans="3:28" s="8" customFormat="1" ht="20.100000000000001" customHeight="1" thickBot="1" x14ac:dyDescent="0.25">
      <c r="C130" s="2358"/>
      <c r="D130" s="10"/>
      <c r="E130" s="577"/>
      <c r="F130" s="160" t="s">
        <v>5</v>
      </c>
      <c r="G130" s="160"/>
      <c r="H130" s="160"/>
      <c r="I130" s="60"/>
      <c r="J130" s="156" t="s">
        <v>149</v>
      </c>
      <c r="K130" s="156"/>
      <c r="L130" s="165"/>
      <c r="M130" s="1445"/>
      <c r="N130" s="7"/>
      <c r="O130" s="1391"/>
      <c r="P130" s="2479"/>
      <c r="Q130" s="1389"/>
      <c r="R130" s="1390" t="s">
        <v>17</v>
      </c>
      <c r="S130" s="1399"/>
      <c r="T130" s="7"/>
      <c r="U130" s="7"/>
      <c r="V130" s="7"/>
      <c r="W130" s="7"/>
      <c r="X130" s="2410"/>
      <c r="Y130" s="6193">
        <f>_Kapasitet!$S$21</f>
        <v>1500</v>
      </c>
      <c r="Z130" s="2407"/>
      <c r="AA130" s="2408" t="s">
        <v>1209</v>
      </c>
      <c r="AB130" s="2409"/>
    </row>
    <row r="131" spans="3:28" s="8" customFormat="1" ht="15" customHeight="1" thickBot="1" x14ac:dyDescent="0.25">
      <c r="C131" s="2358"/>
      <c r="D131" s="10"/>
      <c r="E131" s="577"/>
      <c r="F131" s="160"/>
      <c r="G131" s="160"/>
      <c r="H131" s="160"/>
      <c r="I131" s="60"/>
      <c r="J131" s="1193"/>
      <c r="K131" s="1193"/>
      <c r="L131" s="165"/>
      <c r="M131" s="1446"/>
      <c r="N131" s="7"/>
      <c r="O131" s="1391"/>
      <c r="P131" s="1401"/>
      <c r="Q131" s="1389"/>
      <c r="R131" s="1390"/>
      <c r="S131" s="1399"/>
      <c r="T131" s="7"/>
      <c r="U131" s="7"/>
      <c r="V131" s="7"/>
      <c r="W131" s="7"/>
      <c r="X131" s="2410"/>
      <c r="Y131" s="2418"/>
      <c r="Z131" s="2407"/>
      <c r="AA131" s="2408"/>
      <c r="AB131" s="2409"/>
    </row>
    <row r="132" spans="3:28" s="8" customFormat="1" ht="20.100000000000001" customHeight="1" thickBot="1" x14ac:dyDescent="0.25">
      <c r="C132" s="2358"/>
      <c r="D132" s="14"/>
      <c r="E132" s="577"/>
      <c r="F132" s="160" t="s">
        <v>6</v>
      </c>
      <c r="G132" s="160"/>
      <c r="H132" s="160"/>
      <c r="I132" s="60"/>
      <c r="J132" s="156" t="s">
        <v>149</v>
      </c>
      <c r="K132" s="156"/>
      <c r="L132" s="165"/>
      <c r="M132" s="1445"/>
      <c r="N132" s="7"/>
      <c r="O132" s="1391"/>
      <c r="P132" s="2479"/>
      <c r="Q132" s="1389"/>
      <c r="R132" s="1390" t="s">
        <v>10</v>
      </c>
      <c r="S132" s="1399"/>
      <c r="T132" s="7"/>
      <c r="U132" s="7"/>
      <c r="V132" s="7"/>
      <c r="W132" s="7"/>
      <c r="X132" s="2410"/>
      <c r="Y132" s="6193">
        <f>_Kapasitet!$S$22</f>
        <v>60</v>
      </c>
      <c r="Z132" s="2407"/>
      <c r="AA132" s="2408" t="s">
        <v>10</v>
      </c>
      <c r="AB132" s="2409"/>
    </row>
    <row r="133" spans="3:28" s="8" customFormat="1" ht="15" customHeight="1" thickBot="1" x14ac:dyDescent="0.25">
      <c r="C133" s="2358"/>
      <c r="D133" s="13"/>
      <c r="E133" s="731"/>
      <c r="F133" s="579"/>
      <c r="G133" s="579"/>
      <c r="H133" s="579"/>
      <c r="I133" s="733"/>
      <c r="J133" s="1180"/>
      <c r="K133" s="1180"/>
      <c r="L133" s="1177"/>
      <c r="M133" s="1448"/>
      <c r="N133" s="15"/>
      <c r="O133" s="1385"/>
      <c r="P133" s="1397"/>
      <c r="Q133" s="1387"/>
      <c r="R133" s="1388"/>
      <c r="S133" s="1398"/>
      <c r="T133" s="7"/>
      <c r="U133" s="7"/>
      <c r="V133" s="7"/>
      <c r="W133" s="7"/>
      <c r="X133" s="2402"/>
      <c r="Y133" s="2417"/>
      <c r="Z133" s="2404"/>
      <c r="AA133" s="2405"/>
      <c r="AB133" s="2406"/>
    </row>
    <row r="134" spans="3:28" s="8" customFormat="1" ht="8.1" customHeight="1" thickBot="1" x14ac:dyDescent="0.25">
      <c r="C134" s="2358"/>
      <c r="D134" s="13"/>
      <c r="E134" s="20"/>
      <c r="F134" s="136"/>
      <c r="G134" s="136"/>
      <c r="H134" s="136"/>
      <c r="I134" s="35"/>
      <c r="J134" s="1181"/>
      <c r="K134" s="1181"/>
      <c r="L134" s="137"/>
      <c r="M134" s="137"/>
      <c r="N134" s="15"/>
      <c r="O134" s="13"/>
      <c r="P134" s="147"/>
      <c r="Q134" s="13"/>
      <c r="R134" s="15"/>
      <c r="S134" s="13"/>
      <c r="T134" s="7"/>
      <c r="U134" s="7"/>
      <c r="V134" s="7"/>
      <c r="W134" s="7"/>
      <c r="X134" s="13"/>
      <c r="Y134" s="147"/>
      <c r="Z134" s="13"/>
      <c r="AA134" s="15"/>
      <c r="AB134" s="13"/>
    </row>
    <row r="135" spans="3:28" s="8" customFormat="1" ht="15" customHeight="1" x14ac:dyDescent="0.2">
      <c r="C135" s="2358"/>
      <c r="D135" s="14"/>
      <c r="E135" s="574"/>
      <c r="F135" s="575"/>
      <c r="G135" s="575"/>
      <c r="H135" s="575"/>
      <c r="I135" s="1182"/>
      <c r="J135" s="1183"/>
      <c r="K135" s="1183"/>
      <c r="L135" s="1173"/>
      <c r="M135" s="1443"/>
      <c r="N135" s="14"/>
      <c r="O135" s="2309"/>
      <c r="P135" s="2309"/>
      <c r="Q135" s="2309"/>
      <c r="R135" s="2309"/>
      <c r="S135" s="2309"/>
      <c r="T135" s="7"/>
      <c r="U135" s="7"/>
      <c r="V135" s="7"/>
      <c r="W135" s="7"/>
      <c r="X135" s="2309"/>
      <c r="Y135" s="2309"/>
      <c r="Z135" s="2309"/>
      <c r="AA135" s="2309"/>
      <c r="AB135" s="2309"/>
    </row>
    <row r="136" spans="3:28" s="8" customFormat="1" ht="15" customHeight="1" x14ac:dyDescent="0.2">
      <c r="C136" s="2358"/>
      <c r="D136" s="13"/>
      <c r="E136" s="577"/>
      <c r="F136" s="6741" t="s">
        <v>76</v>
      </c>
      <c r="G136" s="6741"/>
      <c r="H136" s="6741"/>
      <c r="I136" s="6741"/>
      <c r="J136" s="156"/>
      <c r="K136" s="156"/>
      <c r="L136" s="165"/>
      <c r="M136" s="1446"/>
      <c r="N136" s="1438"/>
      <c r="O136" s="2309"/>
      <c r="P136" s="2309"/>
      <c r="Q136" s="2309"/>
      <c r="R136" s="2309"/>
      <c r="S136" s="2309"/>
      <c r="T136" s="7"/>
      <c r="U136" s="7"/>
      <c r="V136" s="7"/>
      <c r="W136" s="7"/>
      <c r="X136" s="2309"/>
      <c r="Y136" s="2309"/>
      <c r="Z136" s="2309"/>
      <c r="AA136" s="2309"/>
      <c r="AB136" s="2309"/>
    </row>
    <row r="137" spans="3:28" s="8" customFormat="1" ht="8.1" customHeight="1" thickBot="1" x14ac:dyDescent="0.25">
      <c r="C137" s="2358"/>
      <c r="D137" s="13"/>
      <c r="E137" s="577"/>
      <c r="F137" s="6741"/>
      <c r="G137" s="6741"/>
      <c r="H137" s="6741"/>
      <c r="I137" s="6741"/>
      <c r="J137" s="156"/>
      <c r="K137" s="156"/>
      <c r="L137" s="165"/>
      <c r="M137" s="1446"/>
      <c r="N137" s="1438"/>
      <c r="O137" s="13"/>
      <c r="P137" s="147"/>
      <c r="Q137" s="13"/>
      <c r="R137" s="15"/>
      <c r="S137" s="13"/>
      <c r="T137" s="7"/>
      <c r="U137" s="7"/>
      <c r="V137" s="7"/>
      <c r="W137" s="7"/>
      <c r="X137" s="13"/>
      <c r="Y137" s="147"/>
      <c r="Z137" s="13"/>
      <c r="AA137" s="15"/>
      <c r="AB137" s="13"/>
    </row>
    <row r="138" spans="3:28" s="8" customFormat="1" ht="15" customHeight="1" thickBot="1" x14ac:dyDescent="0.25">
      <c r="C138" s="2358"/>
      <c r="D138" s="13"/>
      <c r="E138" s="577"/>
      <c r="F138" s="1194"/>
      <c r="G138" s="1194"/>
      <c r="H138" s="1194"/>
      <c r="I138" s="56"/>
      <c r="J138" s="55"/>
      <c r="K138" s="55"/>
      <c r="L138" s="165"/>
      <c r="M138" s="1446"/>
      <c r="N138" s="14"/>
      <c r="O138" s="1393"/>
      <c r="P138" s="1394"/>
      <c r="Q138" s="1395"/>
      <c r="R138" s="1396"/>
      <c r="S138" s="1400"/>
      <c r="T138" s="7"/>
      <c r="U138" s="7"/>
      <c r="V138" s="7"/>
      <c r="W138" s="7"/>
      <c r="X138" s="2412"/>
      <c r="Y138" s="2413"/>
      <c r="Z138" s="2414"/>
      <c r="AA138" s="2415"/>
      <c r="AB138" s="2416"/>
    </row>
    <row r="139" spans="3:28" s="8" customFormat="1" ht="20.100000000000001" customHeight="1" thickBot="1" x14ac:dyDescent="0.25">
      <c r="C139" s="2358"/>
      <c r="D139" s="13"/>
      <c r="E139" s="577"/>
      <c r="F139" s="160" t="s">
        <v>77</v>
      </c>
      <c r="G139" s="160"/>
      <c r="H139" s="160"/>
      <c r="I139" s="60"/>
      <c r="J139" s="156" t="s">
        <v>149</v>
      </c>
      <c r="K139" s="156"/>
      <c r="L139" s="165"/>
      <c r="M139" s="1445"/>
      <c r="N139" s="1439"/>
      <c r="O139" s="1391"/>
      <c r="P139" s="2479"/>
      <c r="Q139" s="1389"/>
      <c r="R139" s="1390" t="s">
        <v>14</v>
      </c>
      <c r="S139" s="1399"/>
      <c r="T139" s="7"/>
      <c r="U139" s="7"/>
      <c r="V139" s="7"/>
      <c r="W139" s="7"/>
      <c r="X139" s="2410"/>
      <c r="Y139" s="6193">
        <f>_Kapasitet!$S$24</f>
        <v>1</v>
      </c>
      <c r="Z139" s="2407"/>
      <c r="AA139" s="2408" t="s">
        <v>14</v>
      </c>
      <c r="AB139" s="2409"/>
    </row>
    <row r="140" spans="3:28" s="8" customFormat="1" ht="15" customHeight="1" thickBot="1" x14ac:dyDescent="0.25">
      <c r="C140" s="2358"/>
      <c r="D140" s="13"/>
      <c r="E140" s="577"/>
      <c r="F140" s="160"/>
      <c r="G140" s="160"/>
      <c r="H140" s="160"/>
      <c r="I140" s="60"/>
      <c r="J140" s="1193"/>
      <c r="K140" s="1193"/>
      <c r="L140" s="165"/>
      <c r="M140" s="1446"/>
      <c r="N140" s="15"/>
      <c r="O140" s="1391"/>
      <c r="P140" s="1401"/>
      <c r="Q140" s="1389"/>
      <c r="R140" s="1390"/>
      <c r="S140" s="1399"/>
      <c r="T140" s="7"/>
      <c r="U140" s="7"/>
      <c r="V140" s="7"/>
      <c r="W140" s="7"/>
      <c r="X140" s="2410"/>
      <c r="Y140" s="2418"/>
      <c r="Z140" s="2407"/>
      <c r="AA140" s="2408"/>
      <c r="AB140" s="2409"/>
    </row>
    <row r="141" spans="3:28" s="8" customFormat="1" ht="20.100000000000001" customHeight="1" thickBot="1" x14ac:dyDescent="0.25">
      <c r="C141" s="2358"/>
      <c r="D141" s="13"/>
      <c r="E141" s="577"/>
      <c r="F141" s="160" t="s">
        <v>4</v>
      </c>
      <c r="G141" s="160"/>
      <c r="H141" s="160"/>
      <c r="I141" s="60"/>
      <c r="J141" s="156" t="s">
        <v>149</v>
      </c>
      <c r="K141" s="156"/>
      <c r="L141" s="165"/>
      <c r="M141" s="1445"/>
      <c r="N141" s="535"/>
      <c r="O141" s="1391"/>
      <c r="P141" s="2479"/>
      <c r="Q141" s="1389"/>
      <c r="R141" s="1390" t="s">
        <v>10</v>
      </c>
      <c r="S141" s="1399"/>
      <c r="T141" s="7"/>
      <c r="U141" s="7"/>
      <c r="V141" s="7"/>
      <c r="W141" s="7"/>
      <c r="X141" s="2410"/>
      <c r="Y141" s="6193">
        <f>_Kapasitet!$S$25</f>
        <v>90</v>
      </c>
      <c r="Z141" s="2407"/>
      <c r="AA141" s="2408" t="s">
        <v>10</v>
      </c>
      <c r="AB141" s="2409"/>
    </row>
    <row r="142" spans="3:28" s="8" customFormat="1" ht="15" customHeight="1" thickBot="1" x14ac:dyDescent="0.25">
      <c r="C142" s="2358"/>
      <c r="D142" s="7"/>
      <c r="E142" s="577"/>
      <c r="F142" s="160"/>
      <c r="G142" s="160"/>
      <c r="H142" s="160"/>
      <c r="I142" s="60"/>
      <c r="J142" s="1193"/>
      <c r="K142" s="1193"/>
      <c r="L142" s="165"/>
      <c r="M142" s="1446"/>
      <c r="N142" s="24"/>
      <c r="O142" s="1391"/>
      <c r="P142" s="1401"/>
      <c r="Q142" s="1389"/>
      <c r="R142" s="1390"/>
      <c r="S142" s="1399"/>
      <c r="T142" s="7"/>
      <c r="U142" s="7"/>
      <c r="V142" s="7"/>
      <c r="W142" s="7"/>
      <c r="X142" s="2410"/>
      <c r="Y142" s="2418"/>
      <c r="Z142" s="2407"/>
      <c r="AA142" s="2408"/>
      <c r="AB142" s="2409"/>
    </row>
    <row r="143" spans="3:28" s="8" customFormat="1" ht="20.100000000000001" customHeight="1" thickBot="1" x14ac:dyDescent="0.25">
      <c r="C143" s="2358"/>
      <c r="D143" s="7"/>
      <c r="E143" s="577"/>
      <c r="F143" s="160" t="s">
        <v>5</v>
      </c>
      <c r="G143" s="160"/>
      <c r="H143" s="160"/>
      <c r="I143" s="60"/>
      <c r="J143" s="156" t="s">
        <v>149</v>
      </c>
      <c r="K143" s="156"/>
      <c r="L143" s="165"/>
      <c r="M143" s="1445"/>
      <c r="N143" s="24"/>
      <c r="O143" s="1391"/>
      <c r="P143" s="2479"/>
      <c r="Q143" s="1389"/>
      <c r="R143" s="1390" t="s">
        <v>17</v>
      </c>
      <c r="S143" s="1399"/>
      <c r="T143" s="7"/>
      <c r="U143" s="7"/>
      <c r="V143" s="7"/>
      <c r="W143" s="7"/>
      <c r="X143" s="2410"/>
      <c r="Y143" s="6193">
        <f>_Kapasitet!$S$26</f>
        <v>1500</v>
      </c>
      <c r="Z143" s="2407"/>
      <c r="AA143" s="2408" t="s">
        <v>1209</v>
      </c>
      <c r="AB143" s="2409"/>
    </row>
    <row r="144" spans="3:28" s="8" customFormat="1" ht="15" customHeight="1" thickBot="1" x14ac:dyDescent="0.25">
      <c r="C144" s="2358"/>
      <c r="D144" s="7"/>
      <c r="E144" s="577"/>
      <c r="F144" s="160"/>
      <c r="G144" s="160"/>
      <c r="H144" s="160"/>
      <c r="I144" s="60"/>
      <c r="J144" s="1193"/>
      <c r="K144" s="1193"/>
      <c r="L144" s="165"/>
      <c r="M144" s="1446"/>
      <c r="N144" s="7"/>
      <c r="O144" s="1391"/>
      <c r="P144" s="1401"/>
      <c r="Q144" s="1389"/>
      <c r="R144" s="1390"/>
      <c r="S144" s="1399"/>
      <c r="T144" s="7"/>
      <c r="U144" s="7"/>
      <c r="V144" s="7"/>
      <c r="W144" s="7"/>
      <c r="X144" s="2410"/>
      <c r="Y144" s="2418"/>
      <c r="Z144" s="2407"/>
      <c r="AA144" s="2408"/>
      <c r="AB144" s="2409"/>
    </row>
    <row r="145" spans="3:28" s="8" customFormat="1" ht="20.100000000000001" customHeight="1" thickBot="1" x14ac:dyDescent="0.25">
      <c r="C145" s="2358"/>
      <c r="D145" s="7"/>
      <c r="E145" s="577"/>
      <c r="F145" s="160" t="s">
        <v>6</v>
      </c>
      <c r="G145" s="160"/>
      <c r="H145" s="160"/>
      <c r="I145" s="60"/>
      <c r="J145" s="156" t="s">
        <v>149</v>
      </c>
      <c r="K145" s="156"/>
      <c r="L145" s="165"/>
      <c r="M145" s="1445"/>
      <c r="N145" s="7"/>
      <c r="O145" s="1391"/>
      <c r="P145" s="2479"/>
      <c r="Q145" s="1389"/>
      <c r="R145" s="1390" t="s">
        <v>10</v>
      </c>
      <c r="S145" s="1399"/>
      <c r="T145" s="7"/>
      <c r="U145" s="7"/>
      <c r="V145" s="7"/>
      <c r="W145" s="7"/>
      <c r="X145" s="2410"/>
      <c r="Y145" s="6193">
        <f>_Kapasitet!$S$27</f>
        <v>60</v>
      </c>
      <c r="Z145" s="2407"/>
      <c r="AA145" s="2408" t="s">
        <v>10</v>
      </c>
      <c r="AB145" s="2409"/>
    </row>
    <row r="146" spans="3:28" s="8" customFormat="1" ht="15" customHeight="1" thickBot="1" x14ac:dyDescent="0.25">
      <c r="C146" s="2359"/>
      <c r="D146" s="7"/>
      <c r="E146" s="731"/>
      <c r="F146" s="579"/>
      <c r="G146" s="579"/>
      <c r="H146" s="579"/>
      <c r="I146" s="743"/>
      <c r="J146" s="743"/>
      <c r="K146" s="743"/>
      <c r="L146" s="1177"/>
      <c r="M146" s="1448"/>
      <c r="N146" s="7"/>
      <c r="O146" s="1385"/>
      <c r="P146" s="1397"/>
      <c r="Q146" s="1387"/>
      <c r="R146" s="1388"/>
      <c r="S146" s="1398"/>
      <c r="T146" s="7"/>
      <c r="U146" s="7"/>
      <c r="V146" s="7"/>
      <c r="W146" s="7"/>
      <c r="X146" s="2402"/>
      <c r="Y146" s="2417"/>
      <c r="Z146" s="2404"/>
      <c r="AA146" s="2405"/>
      <c r="AB146" s="2406"/>
    </row>
    <row r="147" spans="3:28" ht="50.1" customHeight="1" thickBot="1" x14ac:dyDescent="0.25">
      <c r="K147" s="7"/>
      <c r="M147" s="7"/>
      <c r="N147" s="7"/>
      <c r="O147" s="7"/>
    </row>
    <row r="148" spans="3:28" ht="39.75" customHeight="1" thickBot="1" x14ac:dyDescent="0.4">
      <c r="C148" s="2524"/>
      <c r="E148" s="2525"/>
      <c r="F148" s="2526"/>
      <c r="G148" s="2526"/>
      <c r="H148" s="2526"/>
      <c r="I148" s="2526"/>
      <c r="J148" s="2526"/>
      <c r="K148" s="2526"/>
      <c r="L148" s="2526"/>
      <c r="M148" s="2527"/>
      <c r="N148" s="7"/>
      <c r="O148" s="7038" t="str">
        <f>O102</f>
        <v>Egendefinert</v>
      </c>
      <c r="P148" s="7039"/>
      <c r="Q148" s="7039"/>
      <c r="R148" s="7039"/>
      <c r="S148" s="7040"/>
      <c r="X148" s="7041" t="s">
        <v>21</v>
      </c>
      <c r="Y148" s="7042"/>
      <c r="Z148" s="7042"/>
      <c r="AA148" s="7042"/>
      <c r="AB148" s="7043"/>
    </row>
    <row r="149" spans="3:28" s="8" customFormat="1" ht="8.1" customHeight="1" thickBot="1" x14ac:dyDescent="0.25">
      <c r="C149" s="149"/>
      <c r="D149" s="10"/>
      <c r="E149" s="150"/>
      <c r="F149" s="150"/>
      <c r="G149" s="150"/>
      <c r="H149" s="150"/>
      <c r="I149" s="150"/>
      <c r="J149" s="152"/>
      <c r="K149" s="152"/>
      <c r="L149" s="152"/>
      <c r="M149" s="152"/>
      <c r="N149" s="152"/>
      <c r="O149" s="152"/>
      <c r="P149" s="150"/>
      <c r="Q149" s="151"/>
      <c r="R149" s="9"/>
      <c r="T149" s="7"/>
      <c r="U149" s="7"/>
      <c r="V149" s="7"/>
      <c r="W149" s="7"/>
      <c r="X149" s="152"/>
      <c r="Y149" s="150"/>
      <c r="Z149" s="151"/>
      <c r="AA149" s="9"/>
    </row>
    <row r="150" spans="3:28" s="26" customFormat="1" ht="20.100000000000001" customHeight="1" thickBot="1" x14ac:dyDescent="0.25">
      <c r="C150" s="1060"/>
      <c r="D150" s="25"/>
      <c r="E150" s="1108"/>
      <c r="F150" s="1019"/>
      <c r="G150" s="1019"/>
      <c r="H150" s="1019"/>
      <c r="I150" s="1019"/>
      <c r="J150" s="2507" t="s">
        <v>131</v>
      </c>
      <c r="K150" s="2507"/>
      <c r="L150" s="2507" t="s">
        <v>154</v>
      </c>
      <c r="M150" s="1347"/>
      <c r="N150" s="572"/>
      <c r="O150" s="1346"/>
      <c r="P150" s="2507" t="s">
        <v>132</v>
      </c>
      <c r="Q150" s="2507"/>
      <c r="R150" s="1195" t="s">
        <v>100</v>
      </c>
      <c r="S150" s="2509"/>
      <c r="T150" s="8"/>
      <c r="U150" s="8"/>
      <c r="V150" s="8"/>
      <c r="W150" s="8"/>
      <c r="X150" s="2486"/>
      <c r="Y150" s="2487" t="s">
        <v>132</v>
      </c>
      <c r="Z150" s="2487"/>
      <c r="AA150" s="2488" t="s">
        <v>100</v>
      </c>
      <c r="AB150" s="2489"/>
    </row>
    <row r="151" spans="3:28" ht="24.95" customHeight="1" thickBot="1" x14ac:dyDescent="0.25">
      <c r="K151" s="7"/>
      <c r="M151" s="7"/>
      <c r="N151" s="7"/>
      <c r="O151" s="7"/>
    </row>
    <row r="152" spans="3:28" s="78" customFormat="1" ht="15" customHeight="1" thickBot="1" x14ac:dyDescent="0.25">
      <c r="C152" s="1253"/>
      <c r="D152" s="104"/>
      <c r="E152" s="1219"/>
      <c r="F152" s="6597" t="str">
        <f>_Calcs!$K$54</f>
        <v>Rensk og kartlegging</v>
      </c>
      <c r="G152" s="6597"/>
      <c r="H152" s="6597"/>
      <c r="I152" s="6597"/>
      <c r="J152" s="6597"/>
      <c r="K152" s="6597"/>
      <c r="L152" s="6597"/>
      <c r="M152" s="1495"/>
      <c r="N152" s="1463"/>
      <c r="O152" s="130"/>
      <c r="P152" s="130"/>
      <c r="R152" s="215"/>
      <c r="T152" s="7"/>
      <c r="U152" s="7"/>
      <c r="V152" s="7"/>
      <c r="W152" s="7"/>
      <c r="X152" s="8"/>
    </row>
    <row r="153" spans="3:28" s="78" customFormat="1" ht="15" customHeight="1" thickBot="1" x14ac:dyDescent="0.25">
      <c r="C153" s="6601" t="s">
        <v>98</v>
      </c>
      <c r="D153" s="104"/>
      <c r="E153" s="1221"/>
      <c r="F153" s="6598"/>
      <c r="G153" s="6598"/>
      <c r="H153" s="6598"/>
      <c r="I153" s="6598"/>
      <c r="J153" s="6598"/>
      <c r="K153" s="6598"/>
      <c r="L153" s="6598"/>
      <c r="M153" s="1496"/>
      <c r="N153" s="1463"/>
      <c r="O153" s="692"/>
      <c r="P153" s="693"/>
      <c r="Q153" s="1233"/>
      <c r="R153" s="693"/>
      <c r="S153" s="2600"/>
      <c r="T153" s="181"/>
      <c r="U153" s="181"/>
      <c r="V153" s="181"/>
      <c r="W153" s="181"/>
      <c r="X153" s="2601"/>
      <c r="Y153" s="2602"/>
      <c r="Z153" s="2603"/>
      <c r="AA153" s="2602"/>
      <c r="AB153" s="2604"/>
    </row>
    <row r="154" spans="3:28" s="78" customFormat="1" ht="8.1" customHeight="1" thickBot="1" x14ac:dyDescent="0.25">
      <c r="C154" s="6601"/>
      <c r="D154" s="104"/>
      <c r="E154" s="17"/>
      <c r="F154" s="129"/>
      <c r="G154" s="129"/>
      <c r="H154" s="129"/>
      <c r="I154" s="129"/>
      <c r="J154" s="16"/>
      <c r="K154" s="16"/>
      <c r="L154" s="19"/>
      <c r="M154" s="19"/>
      <c r="N154" s="17"/>
      <c r="O154" s="130"/>
      <c r="P154" s="130"/>
      <c r="R154" s="215"/>
      <c r="T154" s="7"/>
      <c r="U154" s="7"/>
      <c r="V154" s="7"/>
      <c r="W154" s="7"/>
      <c r="X154" s="8"/>
    </row>
    <row r="155" spans="3:28" s="78" customFormat="1" thickBot="1" x14ac:dyDescent="0.25">
      <c r="C155" s="6601"/>
      <c r="D155" s="104"/>
      <c r="E155" s="1223"/>
      <c r="F155" s="661"/>
      <c r="G155" s="661"/>
      <c r="H155" s="661"/>
      <c r="I155" s="661"/>
      <c r="J155" s="643"/>
      <c r="K155" s="643"/>
      <c r="L155" s="1224"/>
      <c r="M155" s="1493"/>
      <c r="N155" s="17"/>
      <c r="O155" s="1475"/>
      <c r="P155" s="1476"/>
      <c r="Q155" s="1477"/>
      <c r="R155" s="1478"/>
      <c r="S155" s="1479"/>
      <c r="T155" s="7"/>
      <c r="U155" s="7"/>
      <c r="V155" s="7"/>
      <c r="W155" s="7"/>
      <c r="X155" s="2426"/>
      <c r="Y155" s="2427"/>
      <c r="Z155" s="2428"/>
      <c r="AA155" s="2429"/>
      <c r="AB155" s="2430"/>
    </row>
    <row r="156" spans="3:28" s="78" customFormat="1" ht="20.100000000000001" customHeight="1" thickBot="1" x14ac:dyDescent="0.25">
      <c r="C156" s="6601"/>
      <c r="D156" s="104"/>
      <c r="E156" s="1226"/>
      <c r="F156" s="76" t="str">
        <f>_Calcs!$M$54</f>
        <v>Manuell driftsrensk</v>
      </c>
      <c r="G156" s="76"/>
      <c r="H156" s="76"/>
      <c r="I156" s="76"/>
      <c r="J156" s="664" t="s">
        <v>149</v>
      </c>
      <c r="K156" s="75"/>
      <c r="L156" s="1227"/>
      <c r="M156" s="1241"/>
      <c r="N156" s="17"/>
      <c r="O156" s="1474"/>
      <c r="P156" s="2479"/>
      <c r="Q156" s="1471"/>
      <c r="R156" s="1472" t="s">
        <v>31</v>
      </c>
      <c r="S156" s="1473"/>
      <c r="T156" s="7"/>
      <c r="U156" s="7"/>
      <c r="V156" s="7"/>
      <c r="W156" s="7"/>
      <c r="X156" s="2425"/>
      <c r="Y156" s="6194">
        <f>_Kapasitet!$S$61</f>
        <v>1</v>
      </c>
      <c r="Z156" s="2422"/>
      <c r="AA156" s="2423" t="s">
        <v>31</v>
      </c>
      <c r="AB156" s="2424"/>
    </row>
    <row r="157" spans="3:28" s="78" customFormat="1" ht="15" customHeight="1" thickBot="1" x14ac:dyDescent="0.25">
      <c r="C157" s="1254"/>
      <c r="D157" s="20"/>
      <c r="E157" s="1231"/>
      <c r="F157" s="76"/>
      <c r="G157" s="76"/>
      <c r="H157" s="76"/>
      <c r="I157" s="76"/>
      <c r="J157" s="75"/>
      <c r="K157" s="76"/>
      <c r="L157" s="76"/>
      <c r="M157" s="1228"/>
      <c r="N157" s="17"/>
      <c r="O157" s="4126"/>
      <c r="P157" s="1469"/>
      <c r="Q157" s="1472"/>
      <c r="R157" s="1472"/>
      <c r="S157" s="4127"/>
      <c r="T157" s="7"/>
      <c r="U157" s="7"/>
      <c r="V157" s="7"/>
      <c r="W157" s="7"/>
      <c r="X157" s="4128"/>
      <c r="Y157" s="2420"/>
      <c r="Z157" s="2423"/>
      <c r="AA157" s="2423"/>
      <c r="AB157" s="4129"/>
    </row>
    <row r="158" spans="3:28" s="78" customFormat="1" ht="20.100000000000001" customHeight="1" thickBot="1" x14ac:dyDescent="0.25">
      <c r="C158" s="1254"/>
      <c r="D158" s="104"/>
      <c r="E158" s="1226"/>
      <c r="F158" s="76" t="str">
        <f>_Calcs!$M$55</f>
        <v>Registrering og kartlegging</v>
      </c>
      <c r="G158" s="76"/>
      <c r="H158" s="76"/>
      <c r="I158" s="76"/>
      <c r="J158" s="4122" t="s">
        <v>149</v>
      </c>
      <c r="K158" s="75"/>
      <c r="L158" s="1227"/>
      <c r="M158" s="1241"/>
      <c r="N158" s="17"/>
      <c r="O158" s="1474"/>
      <c r="P158" s="2479"/>
      <c r="Q158" s="1471"/>
      <c r="R158" s="1472" t="s">
        <v>31</v>
      </c>
      <c r="S158" s="1473"/>
      <c r="T158" s="130"/>
      <c r="U158" s="130"/>
      <c r="V158" s="130"/>
      <c r="W158" s="130"/>
      <c r="X158" s="2425"/>
      <c r="Y158" s="6194">
        <f>_Kapasitet!$S$66</f>
        <v>1</v>
      </c>
      <c r="Z158" s="2422"/>
      <c r="AA158" s="2423" t="s">
        <v>31</v>
      </c>
      <c r="AB158" s="2424"/>
    </row>
    <row r="159" spans="3:28" s="78" customFormat="1" ht="15" customHeight="1" thickBot="1" x14ac:dyDescent="0.25">
      <c r="C159" s="1254"/>
      <c r="D159" s="20"/>
      <c r="E159" s="1229"/>
      <c r="F159" s="659"/>
      <c r="G159" s="659"/>
      <c r="H159" s="659"/>
      <c r="I159" s="659"/>
      <c r="J159" s="655"/>
      <c r="K159" s="659"/>
      <c r="L159" s="659"/>
      <c r="M159" s="1230"/>
      <c r="N159" s="17"/>
      <c r="O159" s="1468"/>
      <c r="P159" s="1469"/>
      <c r="Q159" s="1469"/>
      <c r="R159" s="1469"/>
      <c r="S159" s="1470"/>
      <c r="T159" s="130"/>
      <c r="U159" s="130"/>
      <c r="V159" s="130"/>
      <c r="W159" s="130"/>
      <c r="X159" s="2419"/>
      <c r="Y159" s="2420"/>
      <c r="Z159" s="2420"/>
      <c r="AA159" s="2420"/>
      <c r="AB159" s="2421"/>
    </row>
    <row r="160" spans="3:28" s="78" customFormat="1" ht="24.95" customHeight="1" thickBot="1" x14ac:dyDescent="0.25">
      <c r="C160" s="1254"/>
      <c r="D160" s="20"/>
      <c r="E160" s="15"/>
      <c r="F160" s="21"/>
      <c r="G160" s="21"/>
      <c r="H160" s="21"/>
      <c r="I160" s="21"/>
      <c r="J160" s="16"/>
      <c r="K160" s="16"/>
      <c r="L160" s="19"/>
      <c r="M160" s="19"/>
      <c r="N160" s="17"/>
      <c r="O160" s="19"/>
      <c r="P160" s="90"/>
      <c r="Q160" s="13"/>
      <c r="R160" s="15"/>
      <c r="S160" s="13"/>
      <c r="T160" s="7"/>
      <c r="U160" s="7"/>
      <c r="V160" s="7"/>
      <c r="W160" s="7"/>
      <c r="X160" s="19"/>
      <c r="Y160" s="90"/>
      <c r="Z160" s="13"/>
      <c r="AA160" s="15"/>
      <c r="AB160" s="13"/>
    </row>
    <row r="161" spans="3:28" s="78" customFormat="1" ht="15" customHeight="1" thickBot="1" x14ac:dyDescent="0.25">
      <c r="C161" s="1254"/>
      <c r="D161" s="20"/>
      <c r="E161" s="1219"/>
      <c r="F161" s="6597" t="str">
        <f>_Calcs!$K$56</f>
        <v>Sikringsbolter</v>
      </c>
      <c r="G161" s="6597"/>
      <c r="H161" s="6597"/>
      <c r="I161" s="6597"/>
      <c r="J161" s="6597"/>
      <c r="K161" s="6597"/>
      <c r="L161" s="6597"/>
      <c r="M161" s="1495"/>
      <c r="N161" s="1463"/>
      <c r="O161" s="19"/>
      <c r="P161" s="90"/>
      <c r="Q161" s="13"/>
      <c r="R161" s="15"/>
      <c r="S161" s="13"/>
      <c r="T161" s="7"/>
      <c r="U161" s="7"/>
      <c r="V161" s="7"/>
      <c r="W161" s="7"/>
      <c r="X161" s="19"/>
      <c r="Y161" s="90"/>
      <c r="Z161" s="13"/>
      <c r="AA161" s="15"/>
      <c r="AB161" s="13"/>
    </row>
    <row r="162" spans="3:28" s="78" customFormat="1" ht="15" customHeight="1" thickBot="1" x14ac:dyDescent="0.25">
      <c r="C162" s="2363"/>
      <c r="D162" s="20"/>
      <c r="E162" s="1221"/>
      <c r="F162" s="6598"/>
      <c r="G162" s="6598"/>
      <c r="H162" s="6598"/>
      <c r="I162" s="6598"/>
      <c r="J162" s="6598"/>
      <c r="K162" s="6598"/>
      <c r="L162" s="6598"/>
      <c r="M162" s="1496"/>
      <c r="N162" s="1463"/>
      <c r="O162" s="692"/>
      <c r="P162" s="693"/>
      <c r="Q162" s="1233"/>
      <c r="R162" s="693"/>
      <c r="S162" s="2600"/>
      <c r="T162" s="7"/>
      <c r="U162" s="7"/>
      <c r="V162" s="7"/>
      <c r="W162" s="7"/>
      <c r="X162" s="2601"/>
      <c r="Y162" s="2602"/>
      <c r="Z162" s="2603"/>
      <c r="AA162" s="2602"/>
      <c r="AB162" s="2604"/>
    </row>
    <row r="163" spans="3:28" s="78" customFormat="1" ht="8.1" customHeight="1" thickBot="1" x14ac:dyDescent="0.25">
      <c r="C163" s="2363"/>
      <c r="D163" s="20"/>
      <c r="E163" s="15"/>
      <c r="F163" s="1212"/>
      <c r="G163" s="1212"/>
      <c r="H163" s="1212"/>
      <c r="I163" s="1212"/>
      <c r="J163" s="16"/>
      <c r="K163" s="16"/>
      <c r="L163" s="19"/>
      <c r="M163" s="19"/>
      <c r="N163" s="17"/>
      <c r="R163" s="215"/>
      <c r="T163" s="7"/>
      <c r="U163" s="7"/>
      <c r="V163" s="7"/>
      <c r="W163" s="7"/>
      <c r="AA163" s="215"/>
    </row>
    <row r="164" spans="3:28" s="78" customFormat="1" ht="15" customHeight="1" thickBot="1" x14ac:dyDescent="0.25">
      <c r="C164" s="1250"/>
      <c r="D164" s="20"/>
      <c r="E164" s="1223"/>
      <c r="F164" s="661"/>
      <c r="G164" s="661"/>
      <c r="H164" s="661"/>
      <c r="I164" s="661"/>
      <c r="J164" s="643"/>
      <c r="K164" s="643"/>
      <c r="L164" s="1224"/>
      <c r="M164" s="1493"/>
      <c r="N164" s="17"/>
      <c r="O164" s="1475"/>
      <c r="P164" s="1476"/>
      <c r="Q164" s="1477"/>
      <c r="R164" s="1478"/>
      <c r="S164" s="1479"/>
      <c r="T164" s="7"/>
      <c r="U164" s="7"/>
      <c r="V164" s="7"/>
      <c r="W164" s="7"/>
      <c r="X164" s="2426"/>
      <c r="Y164" s="2427"/>
      <c r="Z164" s="2428"/>
      <c r="AA164" s="2429"/>
      <c r="AB164" s="2430"/>
    </row>
    <row r="165" spans="3:28" s="78" customFormat="1" ht="20.100000000000001" customHeight="1" thickBot="1" x14ac:dyDescent="0.25">
      <c r="C165" s="1251"/>
      <c r="D165" s="20"/>
      <c r="E165" s="1231"/>
      <c r="F165" s="650" t="s">
        <v>102</v>
      </c>
      <c r="G165" s="650"/>
      <c r="H165" s="650"/>
      <c r="I165" s="650"/>
      <c r="J165" s="664" t="s">
        <v>149</v>
      </c>
      <c r="K165" s="664"/>
      <c r="L165" s="1227"/>
      <c r="M165" s="1241"/>
      <c r="N165" s="17"/>
      <c r="O165" s="1474"/>
      <c r="P165" s="2479"/>
      <c r="Q165" s="1471"/>
      <c r="R165" s="1472" t="s">
        <v>14</v>
      </c>
      <c r="S165" s="1473"/>
      <c r="T165" s="7"/>
      <c r="U165" s="7"/>
      <c r="V165" s="7"/>
      <c r="W165" s="7"/>
      <c r="X165" s="2425"/>
      <c r="Y165" s="6194">
        <f>_Kapasitet!$S$69</f>
        <v>15</v>
      </c>
      <c r="Z165" s="2422"/>
      <c r="AA165" s="2423" t="s">
        <v>14</v>
      </c>
      <c r="AB165" s="2424"/>
    </row>
    <row r="166" spans="3:28" s="78" customFormat="1" thickBot="1" x14ac:dyDescent="0.25">
      <c r="C166" s="1251"/>
      <c r="D166" s="20"/>
      <c r="E166" s="1231"/>
      <c r="F166" s="650"/>
      <c r="G166" s="650"/>
      <c r="H166" s="650"/>
      <c r="I166" s="650"/>
      <c r="J166" s="75"/>
      <c r="K166" s="75"/>
      <c r="L166" s="1232"/>
      <c r="M166" s="1497"/>
      <c r="N166" s="17"/>
      <c r="O166" s="1480"/>
      <c r="P166" s="1481"/>
      <c r="Q166" s="1471"/>
      <c r="R166" s="1472"/>
      <c r="S166" s="1473"/>
      <c r="T166" s="7"/>
      <c r="U166" s="7"/>
      <c r="V166" s="7"/>
      <c r="W166" s="7"/>
      <c r="X166" s="2431"/>
      <c r="Y166" s="2432"/>
      <c r="Z166" s="2422"/>
      <c r="AA166" s="2423"/>
      <c r="AB166" s="2424"/>
    </row>
    <row r="167" spans="3:28" s="78" customFormat="1" ht="20.100000000000001" customHeight="1" thickBot="1" x14ac:dyDescent="0.25">
      <c r="C167" s="1251"/>
      <c r="D167" s="20"/>
      <c r="E167" s="1231"/>
      <c r="F167" s="650" t="s">
        <v>833</v>
      </c>
      <c r="G167" s="650"/>
      <c r="H167" s="650"/>
      <c r="I167" s="650"/>
      <c r="J167" s="664" t="s">
        <v>149</v>
      </c>
      <c r="K167" s="664"/>
      <c r="L167" s="1227"/>
      <c r="M167" s="1241"/>
      <c r="N167" s="17"/>
      <c r="O167" s="1474"/>
      <c r="P167" s="2479"/>
      <c r="Q167" s="1471"/>
      <c r="R167" s="1472" t="s">
        <v>14</v>
      </c>
      <c r="S167" s="1473"/>
      <c r="T167" s="7"/>
      <c r="U167" s="7"/>
      <c r="V167" s="7"/>
      <c r="W167" s="7"/>
      <c r="X167" s="2425"/>
      <c r="Y167" s="6194">
        <f>_Kapasitet!$S$71</f>
        <v>7.5</v>
      </c>
      <c r="Z167" s="2422"/>
      <c r="AA167" s="2423" t="s">
        <v>14</v>
      </c>
      <c r="AB167" s="2424"/>
    </row>
    <row r="168" spans="3:28" s="78" customFormat="1" thickBot="1" x14ac:dyDescent="0.25">
      <c r="C168" s="1251"/>
      <c r="D168" s="20"/>
      <c r="E168" s="1229"/>
      <c r="F168" s="659"/>
      <c r="G168" s="659"/>
      <c r="H168" s="659"/>
      <c r="I168" s="659"/>
      <c r="J168" s="655"/>
      <c r="K168" s="659"/>
      <c r="L168" s="659"/>
      <c r="M168" s="1230"/>
      <c r="N168" s="17"/>
      <c r="O168" s="1468"/>
      <c r="P168" s="1469"/>
      <c r="Q168" s="1469"/>
      <c r="R168" s="1469"/>
      <c r="S168" s="1470"/>
      <c r="T168" s="7"/>
      <c r="U168" s="7"/>
      <c r="V168" s="7"/>
      <c r="W168" s="7"/>
      <c r="X168" s="2419"/>
      <c r="Y168" s="2420"/>
      <c r="Z168" s="2420"/>
      <c r="AA168" s="2420"/>
      <c r="AB168" s="2421"/>
    </row>
    <row r="169" spans="3:28" s="78" customFormat="1" ht="24.95" customHeight="1" thickBot="1" x14ac:dyDescent="0.25">
      <c r="C169" s="1251"/>
      <c r="D169" s="20"/>
      <c r="E169" s="15"/>
      <c r="F169" s="21"/>
      <c r="G169" s="21"/>
      <c r="H169" s="21"/>
      <c r="I169" s="21"/>
      <c r="J169" s="16"/>
      <c r="K169" s="16"/>
      <c r="L169" s="19"/>
      <c r="M169" s="19"/>
      <c r="N169" s="17"/>
      <c r="O169" s="19"/>
      <c r="P169" s="90"/>
      <c r="Q169" s="13"/>
      <c r="R169" s="15"/>
      <c r="S169" s="13"/>
      <c r="T169" s="7"/>
      <c r="U169" s="7"/>
      <c r="V169" s="7"/>
      <c r="W169" s="7"/>
      <c r="X169" s="19"/>
      <c r="Y169" s="90"/>
      <c r="Z169" s="13"/>
      <c r="AA169" s="15"/>
      <c r="AB169" s="13"/>
    </row>
    <row r="170" spans="3:28" s="78" customFormat="1" ht="15" customHeight="1" thickBot="1" x14ac:dyDescent="0.25">
      <c r="C170" s="1251"/>
      <c r="D170" s="20"/>
      <c r="E170" s="1219"/>
      <c r="F170" s="6597" t="str">
        <f>_Calcs!$K$59</f>
        <v>Bergbånd og nett</v>
      </c>
      <c r="G170" s="6597"/>
      <c r="H170" s="6597"/>
      <c r="I170" s="6597"/>
      <c r="J170" s="6597"/>
      <c r="K170" s="6597"/>
      <c r="L170" s="6597"/>
      <c r="M170" s="1495"/>
      <c r="N170" s="1463"/>
      <c r="O170" s="19"/>
      <c r="P170" s="90"/>
      <c r="Q170" s="13"/>
      <c r="R170" s="15"/>
      <c r="S170" s="13"/>
      <c r="T170" s="7"/>
      <c r="U170" s="7"/>
      <c r="V170" s="7"/>
      <c r="W170" s="7"/>
      <c r="X170" s="19"/>
      <c r="Y170" s="90"/>
      <c r="Z170" s="13"/>
      <c r="AA170" s="15"/>
      <c r="AB170" s="13"/>
    </row>
    <row r="171" spans="3:28" s="78" customFormat="1" ht="15" customHeight="1" thickBot="1" x14ac:dyDescent="0.25">
      <c r="C171" s="1251"/>
      <c r="D171" s="20"/>
      <c r="E171" s="1221"/>
      <c r="F171" s="6598"/>
      <c r="G171" s="6598"/>
      <c r="H171" s="6598"/>
      <c r="I171" s="6598"/>
      <c r="J171" s="6598"/>
      <c r="K171" s="6598"/>
      <c r="L171" s="6598"/>
      <c r="M171" s="1496"/>
      <c r="N171" s="1463"/>
      <c r="O171" s="692"/>
      <c r="P171" s="693"/>
      <c r="Q171" s="1233"/>
      <c r="R171" s="693"/>
      <c r="S171" s="2600"/>
      <c r="T171" s="7"/>
      <c r="U171" s="7"/>
      <c r="V171" s="7"/>
      <c r="W171" s="7"/>
      <c r="X171" s="2601"/>
      <c r="Y171" s="2602"/>
      <c r="Z171" s="2603"/>
      <c r="AA171" s="2602"/>
      <c r="AB171" s="2604"/>
    </row>
    <row r="172" spans="3:28" s="78" customFormat="1" ht="8.1" customHeight="1" thickBot="1" x14ac:dyDescent="0.25">
      <c r="C172" s="1251"/>
      <c r="D172" s="20"/>
      <c r="E172" s="15"/>
      <c r="F172" s="1212"/>
      <c r="G172" s="1212"/>
      <c r="H172" s="1212"/>
      <c r="I172" s="1212"/>
      <c r="J172" s="16"/>
      <c r="K172" s="16"/>
      <c r="L172" s="19"/>
      <c r="M172" s="19"/>
      <c r="N172" s="17"/>
      <c r="R172" s="215"/>
      <c r="T172" s="7"/>
      <c r="U172" s="7"/>
      <c r="V172" s="7"/>
      <c r="W172" s="7"/>
      <c r="AA172" s="215"/>
    </row>
    <row r="173" spans="3:28" s="78" customFormat="1" thickBot="1" x14ac:dyDescent="0.25">
      <c r="C173" s="1251"/>
      <c r="D173" s="20"/>
      <c r="E173" s="660"/>
      <c r="F173" s="661"/>
      <c r="G173" s="661"/>
      <c r="H173" s="661"/>
      <c r="I173" s="661"/>
      <c r="J173" s="643"/>
      <c r="K173" s="643"/>
      <c r="L173" s="1224"/>
      <c r="M173" s="1493"/>
      <c r="N173" s="17"/>
      <c r="O173" s="1475"/>
      <c r="P173" s="1476"/>
      <c r="Q173" s="1477"/>
      <c r="R173" s="1478"/>
      <c r="S173" s="1479"/>
      <c r="T173" s="7"/>
      <c r="U173" s="7"/>
      <c r="V173" s="7"/>
      <c r="W173" s="7"/>
      <c r="X173" s="2426"/>
      <c r="Y173" s="2427"/>
      <c r="Z173" s="2428"/>
      <c r="AA173" s="2429"/>
      <c r="AB173" s="2430"/>
    </row>
    <row r="174" spans="3:28" s="78" customFormat="1" ht="20.100000000000001" customHeight="1" thickBot="1" x14ac:dyDescent="0.25">
      <c r="C174" s="1251"/>
      <c r="D174" s="20"/>
      <c r="E174" s="663"/>
      <c r="F174" s="650" t="s">
        <v>36</v>
      </c>
      <c r="G174" s="650"/>
      <c r="H174" s="650"/>
      <c r="I174" s="650"/>
      <c r="J174" s="664" t="s">
        <v>149</v>
      </c>
      <c r="K174" s="75"/>
      <c r="L174" s="1227"/>
      <c r="M174" s="1241"/>
      <c r="N174" s="17"/>
      <c r="O174" s="1474"/>
      <c r="P174" s="2479"/>
      <c r="Q174" s="1471"/>
      <c r="R174" s="1472" t="s">
        <v>37</v>
      </c>
      <c r="S174" s="1473"/>
      <c r="T174" s="7"/>
      <c r="U174" s="7"/>
      <c r="V174" s="7"/>
      <c r="W174" s="7"/>
      <c r="X174" s="2425"/>
      <c r="Y174" s="6194">
        <f>_Kapasitet!$S$74</f>
        <v>25</v>
      </c>
      <c r="Z174" s="2422"/>
      <c r="AA174" s="2423" t="s">
        <v>37</v>
      </c>
      <c r="AB174" s="2424"/>
    </row>
    <row r="175" spans="3:28" s="78" customFormat="1" thickBot="1" x14ac:dyDescent="0.25">
      <c r="C175" s="1251"/>
      <c r="D175" s="20"/>
      <c r="E175" s="663"/>
      <c r="F175" s="650"/>
      <c r="G175" s="650"/>
      <c r="H175" s="650"/>
      <c r="I175" s="650"/>
      <c r="J175" s="75"/>
      <c r="K175" s="75"/>
      <c r="L175" s="1232"/>
      <c r="M175" s="1497"/>
      <c r="N175" s="17"/>
      <c r="O175" s="1480"/>
      <c r="P175" s="1481"/>
      <c r="Q175" s="1471"/>
      <c r="R175" s="1472"/>
      <c r="S175" s="1473"/>
      <c r="T175" s="7"/>
      <c r="U175" s="7"/>
      <c r="V175" s="7"/>
      <c r="W175" s="7"/>
      <c r="X175" s="2431"/>
      <c r="Y175" s="2432"/>
      <c r="Z175" s="2422"/>
      <c r="AA175" s="2423"/>
      <c r="AB175" s="2424"/>
    </row>
    <row r="176" spans="3:28" s="78" customFormat="1" ht="20.100000000000001" customHeight="1" thickBot="1" x14ac:dyDescent="0.25">
      <c r="C176" s="1251"/>
      <c r="D176" s="20"/>
      <c r="E176" s="663"/>
      <c r="F176" s="76" t="s">
        <v>38</v>
      </c>
      <c r="G176" s="76"/>
      <c r="H176" s="76"/>
      <c r="I176" s="76"/>
      <c r="J176" s="664" t="s">
        <v>149</v>
      </c>
      <c r="K176" s="75"/>
      <c r="L176" s="1227"/>
      <c r="M176" s="1241"/>
      <c r="N176" s="17"/>
      <c r="O176" s="1474"/>
      <c r="P176" s="2479"/>
      <c r="Q176" s="1471"/>
      <c r="R176" s="1472" t="s">
        <v>104</v>
      </c>
      <c r="S176" s="1473"/>
      <c r="T176" s="7"/>
      <c r="U176" s="7"/>
      <c r="V176" s="7"/>
      <c r="W176" s="7"/>
      <c r="X176" s="2425"/>
      <c r="Y176" s="6194">
        <f>_Kapasitet!$S$75</f>
        <v>10</v>
      </c>
      <c r="Z176" s="2422"/>
      <c r="AA176" s="2423" t="s">
        <v>104</v>
      </c>
      <c r="AB176" s="2424"/>
    </row>
    <row r="177" spans="3:28" s="78" customFormat="1" thickBot="1" x14ac:dyDescent="0.25">
      <c r="C177" s="1251"/>
      <c r="D177" s="20"/>
      <c r="E177" s="663"/>
      <c r="F177" s="76"/>
      <c r="G177" s="76"/>
      <c r="H177" s="76"/>
      <c r="I177" s="76"/>
      <c r="J177" s="75"/>
      <c r="K177" s="75"/>
      <c r="L177" s="1232"/>
      <c r="M177" s="1497"/>
      <c r="N177" s="17"/>
      <c r="O177" s="1480"/>
      <c r="P177" s="1481"/>
      <c r="Q177" s="1471"/>
      <c r="R177" s="1472"/>
      <c r="S177" s="1473"/>
      <c r="T177" s="130"/>
      <c r="U177" s="130"/>
      <c r="V177" s="130"/>
      <c r="W177" s="130"/>
      <c r="X177" s="2431"/>
      <c r="Y177" s="2432"/>
      <c r="Z177" s="2422"/>
      <c r="AA177" s="2423"/>
      <c r="AB177" s="2424"/>
    </row>
    <row r="178" spans="3:28" s="78" customFormat="1" ht="20.100000000000001" customHeight="1" thickBot="1" x14ac:dyDescent="0.25">
      <c r="C178" s="1251"/>
      <c r="D178" s="20"/>
      <c r="E178" s="663"/>
      <c r="F178" s="6596" t="str">
        <f>_Calcs!$M$61</f>
        <v>Festebolter for bergbånd og nett</v>
      </c>
      <c r="G178" s="6596"/>
      <c r="H178" s="6596"/>
      <c r="I178" s="6596"/>
      <c r="J178" s="4122" t="s">
        <v>149</v>
      </c>
      <c r="K178" s="75"/>
      <c r="L178" s="1227"/>
      <c r="M178" s="1241"/>
      <c r="N178" s="17"/>
      <c r="O178" s="1474"/>
      <c r="P178" s="2479"/>
      <c r="Q178" s="1471"/>
      <c r="R178" s="1472" t="s">
        <v>104</v>
      </c>
      <c r="S178" s="1473"/>
      <c r="T178" s="7"/>
      <c r="U178" s="7"/>
      <c r="V178" s="7"/>
      <c r="W178" s="7"/>
      <c r="X178" s="2425"/>
      <c r="Y178" s="6194">
        <f>_Kapasitet!$S$76</f>
        <v>15</v>
      </c>
      <c r="Z178" s="2422"/>
      <c r="AA178" s="2423" t="s">
        <v>104</v>
      </c>
      <c r="AB178" s="2424"/>
    </row>
    <row r="179" spans="3:28" s="78" customFormat="1" thickBot="1" x14ac:dyDescent="0.25">
      <c r="C179" s="1251"/>
      <c r="D179" s="20"/>
      <c r="E179" s="663"/>
      <c r="F179" s="6596"/>
      <c r="G179" s="6596"/>
      <c r="H179" s="6596"/>
      <c r="I179" s="6596"/>
      <c r="J179" s="75"/>
      <c r="K179" s="75"/>
      <c r="L179" s="1232"/>
      <c r="M179" s="1497"/>
      <c r="N179" s="17"/>
      <c r="O179" s="1482"/>
      <c r="P179" s="1483"/>
      <c r="Q179" s="1484"/>
      <c r="R179" s="1469"/>
      <c r="S179" s="1485"/>
      <c r="T179" s="130"/>
      <c r="U179" s="130"/>
      <c r="V179" s="130"/>
      <c r="W179" s="130"/>
      <c r="X179" s="2433"/>
      <c r="Y179" s="2434"/>
      <c r="Z179" s="2435"/>
      <c r="AA179" s="2420"/>
      <c r="AB179" s="2436"/>
    </row>
    <row r="180" spans="3:28" s="78" customFormat="1" ht="9.9499999999999993" customHeight="1" x14ac:dyDescent="0.2">
      <c r="C180" s="1251"/>
      <c r="D180" s="20"/>
      <c r="E180" s="663"/>
      <c r="F180" s="76"/>
      <c r="G180" s="76"/>
      <c r="H180" s="76"/>
      <c r="I180" s="76"/>
      <c r="J180" s="75"/>
      <c r="K180" s="75"/>
      <c r="L180" s="1232"/>
      <c r="M180" s="1497"/>
      <c r="N180" s="17"/>
      <c r="O180" s="4130"/>
      <c r="P180" s="4131"/>
      <c r="Q180" s="2798"/>
      <c r="R180" s="3586"/>
      <c r="S180" s="2798"/>
      <c r="T180" s="130"/>
      <c r="U180" s="130"/>
      <c r="V180" s="130"/>
      <c r="W180" s="130"/>
      <c r="X180" s="4130"/>
      <c r="Y180" s="4131"/>
      <c r="Z180" s="2798"/>
      <c r="AA180" s="3586"/>
      <c r="AB180" s="4132"/>
    </row>
    <row r="181" spans="3:28" s="78" customFormat="1" ht="8.1" customHeight="1" thickBot="1" x14ac:dyDescent="0.25">
      <c r="C181" s="1251"/>
      <c r="D181" s="20"/>
      <c r="E181" s="665"/>
      <c r="F181" s="659"/>
      <c r="G181" s="659"/>
      <c r="H181" s="659"/>
      <c r="I181" s="659"/>
      <c r="J181" s="655"/>
      <c r="K181" s="655"/>
      <c r="L181" s="1245"/>
      <c r="M181" s="1494"/>
      <c r="N181" s="17"/>
    </row>
    <row r="182" spans="3:28" s="21" customFormat="1" ht="24.95" customHeight="1" thickBot="1" x14ac:dyDescent="0.25">
      <c r="C182" s="1251"/>
      <c r="D182" s="104"/>
      <c r="E182" s="104"/>
      <c r="F182" s="104"/>
      <c r="G182" s="104"/>
      <c r="H182" s="104"/>
      <c r="I182" s="104"/>
      <c r="J182" s="2068"/>
      <c r="K182" s="104"/>
      <c r="L182" s="104"/>
      <c r="M182" s="104"/>
      <c r="N182" s="104"/>
      <c r="O182" s="104"/>
      <c r="P182" s="104"/>
      <c r="Q182" s="104"/>
      <c r="R182" s="104"/>
      <c r="S182" s="104"/>
      <c r="T182" s="7"/>
      <c r="U182" s="7"/>
      <c r="V182" s="7"/>
      <c r="W182" s="7"/>
      <c r="X182" s="104"/>
      <c r="Y182" s="104"/>
      <c r="Z182" s="104"/>
      <c r="AA182" s="104"/>
      <c r="AB182" s="104"/>
    </row>
    <row r="183" spans="3:28" s="78" customFormat="1" ht="15" customHeight="1" thickBot="1" x14ac:dyDescent="0.25">
      <c r="C183" s="1251"/>
      <c r="D183" s="20"/>
      <c r="E183" s="1219"/>
      <c r="F183" s="6597" t="s">
        <v>105</v>
      </c>
      <c r="G183" s="6597"/>
      <c r="H183" s="6597"/>
      <c r="I183" s="6597"/>
      <c r="J183" s="6597"/>
      <c r="K183" s="6597"/>
      <c r="L183" s="6597"/>
      <c r="M183" s="1495"/>
      <c r="N183" s="1463"/>
      <c r="R183" s="215"/>
      <c r="T183" s="7"/>
      <c r="U183" s="7"/>
      <c r="V183" s="7"/>
      <c r="W183" s="7"/>
      <c r="AA183" s="215"/>
    </row>
    <row r="184" spans="3:28" s="78" customFormat="1" ht="15" customHeight="1" thickBot="1" x14ac:dyDescent="0.25">
      <c r="C184" s="1251"/>
      <c r="D184" s="20"/>
      <c r="E184" s="1221"/>
      <c r="F184" s="6598"/>
      <c r="G184" s="6598"/>
      <c r="H184" s="6598"/>
      <c r="I184" s="6598"/>
      <c r="J184" s="6598"/>
      <c r="K184" s="6598"/>
      <c r="L184" s="6598"/>
      <c r="M184" s="1496"/>
      <c r="N184" s="1463"/>
      <c r="O184" s="692"/>
      <c r="P184" s="693"/>
      <c r="Q184" s="1233"/>
      <c r="R184" s="693"/>
      <c r="S184" s="2600"/>
      <c r="T184" s="748"/>
      <c r="U184" s="7"/>
      <c r="V184" s="7"/>
      <c r="W184" s="7"/>
      <c r="X184" s="2601"/>
      <c r="Y184" s="2602"/>
      <c r="Z184" s="2603"/>
      <c r="AA184" s="2602"/>
      <c r="AB184" s="2604"/>
    </row>
    <row r="185" spans="3:28" s="78" customFormat="1" ht="8.1" customHeight="1" thickBot="1" x14ac:dyDescent="0.25">
      <c r="C185" s="1251"/>
      <c r="D185" s="20"/>
      <c r="E185" s="15"/>
      <c r="F185" s="1212"/>
      <c r="G185" s="1212"/>
      <c r="H185" s="1212"/>
      <c r="I185" s="1212"/>
      <c r="J185" s="16"/>
      <c r="K185" s="16"/>
      <c r="L185" s="19"/>
      <c r="M185" s="19"/>
      <c r="N185" s="17"/>
      <c r="O185" s="19"/>
      <c r="P185" s="90"/>
      <c r="Q185" s="13"/>
      <c r="R185" s="15"/>
      <c r="S185" s="13"/>
      <c r="T185" s="7"/>
      <c r="U185" s="7"/>
      <c r="V185" s="7"/>
      <c r="W185" s="7"/>
      <c r="X185" s="19"/>
      <c r="Y185" s="90"/>
      <c r="Z185" s="13"/>
      <c r="AA185" s="15"/>
      <c r="AB185" s="13"/>
    </row>
    <row r="186" spans="3:28" s="78" customFormat="1" thickBot="1" x14ac:dyDescent="0.25">
      <c r="C186" s="1251"/>
      <c r="D186" s="20"/>
      <c r="E186" s="660"/>
      <c r="F186" s="658"/>
      <c r="G186" s="658"/>
      <c r="H186" s="658"/>
      <c r="I186" s="658"/>
      <c r="J186" s="643"/>
      <c r="K186" s="643"/>
      <c r="L186" s="1224"/>
      <c r="M186" s="1493"/>
      <c r="N186" s="17"/>
      <c r="O186" s="1475"/>
      <c r="P186" s="1476"/>
      <c r="Q186" s="1477"/>
      <c r="R186" s="1478"/>
      <c r="S186" s="1479"/>
      <c r="T186" s="7"/>
      <c r="U186" s="7"/>
      <c r="V186" s="7"/>
      <c r="W186" s="7"/>
      <c r="X186" s="2426"/>
      <c r="Y186" s="2427"/>
      <c r="Z186" s="2428"/>
      <c r="AA186" s="2429"/>
      <c r="AB186" s="2430"/>
    </row>
    <row r="187" spans="3:28" s="78" customFormat="1" ht="20.100000000000001" customHeight="1" thickBot="1" x14ac:dyDescent="0.25">
      <c r="C187" s="1251"/>
      <c r="D187" s="20"/>
      <c r="E187" s="663"/>
      <c r="F187" s="76" t="s">
        <v>40</v>
      </c>
      <c r="G187" s="76"/>
      <c r="H187" s="76"/>
      <c r="I187" s="76"/>
      <c r="J187" s="664" t="s">
        <v>149</v>
      </c>
      <c r="K187" s="75"/>
      <c r="L187" s="1227"/>
      <c r="M187" s="1241"/>
      <c r="N187" s="17"/>
      <c r="O187" s="1474"/>
      <c r="P187" s="2479"/>
      <c r="Q187" s="1471"/>
      <c r="R187" s="1472" t="s">
        <v>99</v>
      </c>
      <c r="S187" s="1473"/>
      <c r="T187" s="7"/>
      <c r="U187" s="7"/>
      <c r="V187" s="7"/>
      <c r="W187" s="7"/>
      <c r="X187" s="2425"/>
      <c r="Y187" s="6194">
        <f>_Kapasitet!$S$78</f>
        <v>8</v>
      </c>
      <c r="Z187" s="2422"/>
      <c r="AA187" s="2423" t="s">
        <v>99</v>
      </c>
      <c r="AB187" s="2424"/>
    </row>
    <row r="188" spans="3:28" s="78" customFormat="1" thickBot="1" x14ac:dyDescent="0.25">
      <c r="C188" s="1251"/>
      <c r="D188" s="20"/>
      <c r="E188" s="665"/>
      <c r="F188" s="1246"/>
      <c r="G188" s="1246"/>
      <c r="H188" s="1246"/>
      <c r="I188" s="1246"/>
      <c r="J188" s="655"/>
      <c r="K188" s="1246"/>
      <c r="L188" s="1246"/>
      <c r="M188" s="1260"/>
      <c r="N188" s="17"/>
      <c r="O188" s="1486"/>
      <c r="P188" s="1487"/>
      <c r="Q188" s="1487"/>
      <c r="R188" s="1469"/>
      <c r="S188" s="1488"/>
      <c r="T188" s="7"/>
      <c r="U188" s="7"/>
      <c r="V188" s="7"/>
      <c r="W188" s="7"/>
      <c r="X188" s="2437"/>
      <c r="Y188" s="2438"/>
      <c r="Z188" s="2438"/>
      <c r="AA188" s="2420"/>
      <c r="AB188" s="2439"/>
    </row>
    <row r="189" spans="3:28" s="21" customFormat="1" ht="24.95" customHeight="1" thickBot="1" x14ac:dyDescent="0.25">
      <c r="C189" s="1251"/>
      <c r="D189" s="104"/>
      <c r="E189" s="104"/>
      <c r="F189" s="104"/>
      <c r="G189" s="104"/>
      <c r="H189" s="104"/>
      <c r="I189" s="104"/>
      <c r="J189" s="2068"/>
      <c r="K189" s="104"/>
      <c r="L189" s="104"/>
      <c r="M189" s="104"/>
      <c r="N189" s="104"/>
      <c r="O189" s="104"/>
      <c r="P189" s="104"/>
      <c r="Q189" s="104"/>
      <c r="R189" s="104"/>
      <c r="S189" s="104"/>
      <c r="T189" s="7"/>
      <c r="U189" s="7"/>
      <c r="V189" s="7"/>
      <c r="W189" s="7"/>
      <c r="X189" s="104"/>
      <c r="Y189" s="104"/>
      <c r="Z189" s="104"/>
      <c r="AA189" s="104"/>
      <c r="AB189" s="104"/>
    </row>
    <row r="190" spans="3:28" s="78" customFormat="1" ht="15" customHeight="1" thickBot="1" x14ac:dyDescent="0.25">
      <c r="C190" s="1251"/>
      <c r="D190" s="20"/>
      <c r="E190" s="1219"/>
      <c r="F190" s="6597" t="s">
        <v>106</v>
      </c>
      <c r="G190" s="6597"/>
      <c r="H190" s="6597"/>
      <c r="I190" s="6597"/>
      <c r="J190" s="6597"/>
      <c r="K190" s="6597"/>
      <c r="L190" s="6597"/>
      <c r="M190" s="1495"/>
      <c r="N190" s="1463"/>
      <c r="R190" s="215"/>
      <c r="T190" s="7"/>
      <c r="U190" s="7"/>
      <c r="V190" s="7"/>
      <c r="W190" s="7"/>
      <c r="AA190" s="215"/>
    </row>
    <row r="191" spans="3:28" s="78" customFormat="1" ht="15" customHeight="1" thickBot="1" x14ac:dyDescent="0.25">
      <c r="C191" s="1251"/>
      <c r="D191" s="20"/>
      <c r="E191" s="1221"/>
      <c r="F191" s="6598"/>
      <c r="G191" s="6598"/>
      <c r="H191" s="6598"/>
      <c r="I191" s="6598"/>
      <c r="J191" s="6598"/>
      <c r="K191" s="6598"/>
      <c r="L191" s="6598"/>
      <c r="M191" s="1496"/>
      <c r="N191" s="1463"/>
      <c r="O191" s="692"/>
      <c r="P191" s="693"/>
      <c r="Q191" s="1233"/>
      <c r="R191" s="693"/>
      <c r="S191" s="2600"/>
      <c r="T191" s="7"/>
      <c r="U191" s="7"/>
      <c r="V191" s="7"/>
      <c r="W191" s="7"/>
      <c r="X191" s="2601"/>
      <c r="Y191" s="2602"/>
      <c r="Z191" s="2603"/>
      <c r="AA191" s="2602"/>
      <c r="AB191" s="2604"/>
    </row>
    <row r="192" spans="3:28" s="78" customFormat="1" ht="8.1" customHeight="1" thickBot="1" x14ac:dyDescent="0.25">
      <c r="C192" s="1251"/>
      <c r="D192" s="20"/>
      <c r="E192" s="15"/>
      <c r="F192" s="1212"/>
      <c r="G192" s="1212"/>
      <c r="H192" s="1212"/>
      <c r="I192" s="1212"/>
      <c r="J192" s="16"/>
      <c r="K192" s="16"/>
      <c r="L192" s="19"/>
      <c r="M192" s="19"/>
      <c r="N192" s="17"/>
      <c r="O192" s="19"/>
      <c r="P192" s="90"/>
      <c r="Q192" s="13"/>
      <c r="R192" s="15"/>
      <c r="S192" s="13"/>
      <c r="T192" s="7"/>
      <c r="U192" s="7"/>
      <c r="V192" s="7"/>
      <c r="W192" s="7"/>
      <c r="X192" s="19"/>
      <c r="Y192" s="90"/>
      <c r="Z192" s="13"/>
      <c r="AA192" s="15"/>
      <c r="AB192" s="13"/>
    </row>
    <row r="193" spans="3:28" s="78" customFormat="1" thickBot="1" x14ac:dyDescent="0.25">
      <c r="C193" s="1251"/>
      <c r="D193" s="20"/>
      <c r="E193" s="660"/>
      <c r="F193" s="658"/>
      <c r="G193" s="658"/>
      <c r="H193" s="658"/>
      <c r="I193" s="658"/>
      <c r="J193" s="643"/>
      <c r="K193" s="643"/>
      <c r="L193" s="1224"/>
      <c r="M193" s="1493"/>
      <c r="N193" s="17"/>
      <c r="O193" s="1475"/>
      <c r="P193" s="1476"/>
      <c r="Q193" s="1477"/>
      <c r="R193" s="1478"/>
      <c r="S193" s="1479"/>
      <c r="T193" s="7"/>
      <c r="U193" s="7"/>
      <c r="V193" s="7"/>
      <c r="W193" s="7"/>
      <c r="X193" s="2426"/>
      <c r="Y193" s="2427"/>
      <c r="Z193" s="2428"/>
      <c r="AA193" s="2429"/>
      <c r="AB193" s="2430"/>
    </row>
    <row r="194" spans="3:28" s="78" customFormat="1" ht="20.100000000000001" customHeight="1" thickBot="1" x14ac:dyDescent="0.25">
      <c r="C194" s="1251"/>
      <c r="D194" s="20"/>
      <c r="E194" s="663"/>
      <c r="F194" s="76" t="s">
        <v>261</v>
      </c>
      <c r="G194" s="76"/>
      <c r="H194" s="76"/>
      <c r="I194" s="76"/>
      <c r="J194" s="664" t="s">
        <v>149</v>
      </c>
      <c r="K194" s="664"/>
      <c r="L194" s="1227"/>
      <c r="M194" s="1241"/>
      <c r="N194" s="17"/>
      <c r="O194" s="1474"/>
      <c r="P194" s="2479"/>
      <c r="Q194" s="1471"/>
      <c r="R194" s="1472" t="s">
        <v>263</v>
      </c>
      <c r="S194" s="1473"/>
      <c r="T194" s="7"/>
      <c r="U194" s="7"/>
      <c r="V194" s="7"/>
      <c r="W194" s="7"/>
      <c r="X194" s="2425"/>
      <c r="Y194" s="6194">
        <f>_Kapasitet!$S$80</f>
        <v>4</v>
      </c>
      <c r="Z194" s="2422"/>
      <c r="AA194" s="2423" t="s">
        <v>263</v>
      </c>
      <c r="AB194" s="2424"/>
    </row>
    <row r="195" spans="3:28" s="78" customFormat="1" thickBot="1" x14ac:dyDescent="0.25">
      <c r="C195" s="1251"/>
      <c r="D195" s="20"/>
      <c r="E195" s="665"/>
      <c r="F195" s="1246"/>
      <c r="G195" s="1246"/>
      <c r="H195" s="1246"/>
      <c r="I195" s="1246"/>
      <c r="J195" s="655"/>
      <c r="K195" s="1246"/>
      <c r="L195" s="1246"/>
      <c r="M195" s="1260"/>
      <c r="N195" s="17"/>
      <c r="O195" s="1486"/>
      <c r="P195" s="1487"/>
      <c r="Q195" s="1487"/>
      <c r="R195" s="1469"/>
      <c r="S195" s="1488"/>
      <c r="T195" s="7"/>
      <c r="U195" s="7"/>
      <c r="V195" s="7"/>
      <c r="W195" s="7"/>
      <c r="X195" s="2437"/>
      <c r="Y195" s="2438"/>
      <c r="Z195" s="2438"/>
      <c r="AA195" s="2420"/>
      <c r="AB195" s="2439"/>
    </row>
    <row r="196" spans="3:28" s="78" customFormat="1" ht="24.95" customHeight="1" thickBot="1" x14ac:dyDescent="0.25">
      <c r="C196" s="1251"/>
      <c r="D196" s="20"/>
      <c r="E196" s="14"/>
      <c r="F196" s="15"/>
      <c r="G196" s="15"/>
      <c r="H196" s="15"/>
      <c r="I196" s="15"/>
      <c r="J196" s="16"/>
      <c r="K196" s="16"/>
      <c r="L196" s="19"/>
      <c r="M196" s="19"/>
      <c r="N196" s="17"/>
      <c r="O196" s="19"/>
      <c r="P196" s="90"/>
      <c r="Q196" s="13"/>
      <c r="R196" s="15"/>
      <c r="S196" s="13"/>
      <c r="T196" s="7"/>
      <c r="U196" s="7"/>
      <c r="V196" s="7"/>
      <c r="W196" s="7"/>
      <c r="X196" s="19"/>
      <c r="Y196" s="90"/>
      <c r="Z196" s="13"/>
      <c r="AA196" s="15"/>
      <c r="AB196" s="13"/>
    </row>
    <row r="197" spans="3:28" s="78" customFormat="1" ht="15" customHeight="1" thickBot="1" x14ac:dyDescent="0.25">
      <c r="C197" s="1251"/>
      <c r="D197" s="20"/>
      <c r="E197" s="1219"/>
      <c r="F197" s="6597" t="s">
        <v>107</v>
      </c>
      <c r="G197" s="6597"/>
      <c r="H197" s="6597"/>
      <c r="I197" s="6597"/>
      <c r="J197" s="6597"/>
      <c r="K197" s="6597"/>
      <c r="L197" s="6597"/>
      <c r="M197" s="1495"/>
      <c r="N197" s="1463"/>
      <c r="R197" s="215"/>
      <c r="T197" s="7"/>
      <c r="U197" s="7"/>
      <c r="V197" s="7"/>
      <c r="W197" s="7"/>
      <c r="AA197" s="215"/>
    </row>
    <row r="198" spans="3:28" s="78" customFormat="1" ht="15" customHeight="1" thickBot="1" x14ac:dyDescent="0.35">
      <c r="C198" s="1251"/>
      <c r="D198" s="20"/>
      <c r="E198" s="1221"/>
      <c r="F198" s="6598"/>
      <c r="G198" s="6598"/>
      <c r="H198" s="6598"/>
      <c r="I198" s="6598"/>
      <c r="J198" s="6598"/>
      <c r="K198" s="6598"/>
      <c r="L198" s="6598"/>
      <c r="M198" s="1496"/>
      <c r="N198" s="1463"/>
      <c r="O198" s="692"/>
      <c r="P198" s="693"/>
      <c r="Q198" s="1233"/>
      <c r="R198" s="693"/>
      <c r="S198" s="2600"/>
      <c r="T198" s="1349"/>
      <c r="U198" s="1349"/>
      <c r="V198" s="1349"/>
      <c r="W198" s="1349"/>
      <c r="X198" s="2601"/>
      <c r="Y198" s="2602"/>
      <c r="Z198" s="2603"/>
      <c r="AA198" s="2602"/>
      <c r="AB198" s="2604"/>
    </row>
    <row r="199" spans="3:28" s="78" customFormat="1" ht="8.1" customHeight="1" thickBot="1" x14ac:dyDescent="0.35">
      <c r="C199" s="1251"/>
      <c r="D199" s="20"/>
      <c r="E199" s="15"/>
      <c r="F199" s="1212"/>
      <c r="G199" s="1212"/>
      <c r="H199" s="1212"/>
      <c r="I199" s="1212"/>
      <c r="J199" s="16"/>
      <c r="K199" s="16"/>
      <c r="L199" s="19"/>
      <c r="M199" s="19"/>
      <c r="N199" s="17"/>
      <c r="O199" s="19"/>
      <c r="P199" s="90"/>
      <c r="Q199" s="13"/>
      <c r="R199" s="15"/>
      <c r="S199" s="13"/>
      <c r="T199" s="2312"/>
      <c r="U199" s="2312"/>
      <c r="V199" s="2312"/>
      <c r="W199" s="2312"/>
      <c r="X199" s="19"/>
      <c r="Y199" s="90"/>
      <c r="Z199" s="13"/>
      <c r="AA199" s="15"/>
      <c r="AB199" s="13"/>
    </row>
    <row r="200" spans="3:28" s="78" customFormat="1" ht="15" customHeight="1" thickBot="1" x14ac:dyDescent="0.35">
      <c r="C200" s="1251"/>
      <c r="D200" s="20"/>
      <c r="E200" s="660"/>
      <c r="F200" s="658"/>
      <c r="G200" s="658"/>
      <c r="H200" s="658"/>
      <c r="I200" s="658"/>
      <c r="J200" s="643"/>
      <c r="K200" s="643"/>
      <c r="L200" s="1224"/>
      <c r="M200" s="1493"/>
      <c r="N200" s="17"/>
      <c r="O200" s="1475"/>
      <c r="P200" s="1476"/>
      <c r="Q200" s="1477"/>
      <c r="R200" s="1478"/>
      <c r="S200" s="1479"/>
      <c r="T200" s="1350"/>
      <c r="U200" s="1350"/>
      <c r="V200" s="1350"/>
      <c r="W200" s="1350"/>
      <c r="X200" s="2426"/>
      <c r="Y200" s="2427"/>
      <c r="Z200" s="2428"/>
      <c r="AA200" s="2429"/>
      <c r="AB200" s="2430"/>
    </row>
    <row r="201" spans="3:28" s="78" customFormat="1" ht="20.100000000000001" customHeight="1" thickBot="1" x14ac:dyDescent="0.35">
      <c r="C201" s="1251"/>
      <c r="D201" s="20"/>
      <c r="E201" s="663"/>
      <c r="F201" s="6596" t="s">
        <v>108</v>
      </c>
      <c r="G201" s="6596"/>
      <c r="H201" s="6596"/>
      <c r="I201" s="6596"/>
      <c r="J201" s="664" t="s">
        <v>149</v>
      </c>
      <c r="K201" s="75"/>
      <c r="L201" s="1227"/>
      <c r="M201" s="1241"/>
      <c r="N201" s="17"/>
      <c r="O201" s="1474"/>
      <c r="P201" s="2613"/>
      <c r="Q201" s="1471"/>
      <c r="R201" s="1472" t="s">
        <v>37</v>
      </c>
      <c r="S201" s="1473"/>
      <c r="T201" s="2312"/>
      <c r="U201" s="2312"/>
      <c r="V201" s="2312"/>
      <c r="W201" s="2312"/>
      <c r="X201" s="2425"/>
      <c r="Y201" s="177">
        <f>_Kapasitet!$S$82</f>
        <v>0.03</v>
      </c>
      <c r="Z201" s="2422"/>
      <c r="AA201" s="2423" t="s">
        <v>37</v>
      </c>
      <c r="AB201" s="2424"/>
    </row>
    <row r="202" spans="3:28" s="78" customFormat="1" ht="15" customHeight="1" thickBot="1" x14ac:dyDescent="0.35">
      <c r="C202" s="1251"/>
      <c r="D202" s="20"/>
      <c r="E202" s="663"/>
      <c r="F202" s="1247"/>
      <c r="G202" s="1247"/>
      <c r="H202" s="1247"/>
      <c r="I202" s="1247"/>
      <c r="J202" s="1227"/>
      <c r="K202" s="1227"/>
      <c r="L202" s="1227"/>
      <c r="M202" s="1241"/>
      <c r="N202" s="1465"/>
      <c r="O202" s="1474"/>
      <c r="P202" s="1491"/>
      <c r="Q202" s="1491"/>
      <c r="R202" s="1492"/>
      <c r="S202" s="1490"/>
      <c r="T202" s="1349"/>
      <c r="U202" s="1349"/>
      <c r="V202" s="1349"/>
      <c r="W202" s="1349"/>
      <c r="X202" s="2425"/>
      <c r="Y202" s="2442"/>
      <c r="Z202" s="2442"/>
      <c r="AA202" s="2443"/>
      <c r="AB202" s="2441"/>
    </row>
    <row r="203" spans="3:28" s="78" customFormat="1" ht="20.100000000000001" customHeight="1" thickBot="1" x14ac:dyDescent="0.25">
      <c r="C203" s="1251"/>
      <c r="D203" s="20"/>
      <c r="E203" s="663"/>
      <c r="F203" s="7021" t="s">
        <v>109</v>
      </c>
      <c r="G203" s="7021"/>
      <c r="H203" s="7021"/>
      <c r="I203" s="7021"/>
      <c r="J203" s="664" t="s">
        <v>149</v>
      </c>
      <c r="K203" s="1227"/>
      <c r="L203" s="1227"/>
      <c r="M203" s="1241"/>
      <c r="N203" s="1466"/>
      <c r="O203" s="1474"/>
      <c r="P203" s="2479"/>
      <c r="Q203" s="1471"/>
      <c r="R203" s="1472" t="s">
        <v>37</v>
      </c>
      <c r="S203" s="1490"/>
      <c r="T203" s="7"/>
      <c r="U203" s="7"/>
      <c r="V203" s="7"/>
      <c r="W203" s="7"/>
      <c r="X203" s="2425"/>
      <c r="Y203" s="6194">
        <f>_Kapasitet!$S$83</f>
        <v>0.1</v>
      </c>
      <c r="Z203" s="2422"/>
      <c r="AA203" s="2423" t="s">
        <v>37</v>
      </c>
      <c r="AB203" s="2441"/>
    </row>
    <row r="204" spans="3:28" s="78" customFormat="1" thickBot="1" x14ac:dyDescent="0.25">
      <c r="C204" s="1251"/>
      <c r="D204" s="20"/>
      <c r="E204" s="663"/>
      <c r="F204" s="7021"/>
      <c r="G204" s="7021"/>
      <c r="H204" s="7021"/>
      <c r="I204" s="7021"/>
      <c r="J204" s="75"/>
      <c r="K204" s="75"/>
      <c r="L204" s="1227"/>
      <c r="M204" s="1241"/>
      <c r="N204" s="1466"/>
      <c r="O204" s="1489"/>
      <c r="P204" s="1483"/>
      <c r="Q204" s="1484"/>
      <c r="R204" s="1469"/>
      <c r="S204" s="1485"/>
      <c r="T204" s="7"/>
      <c r="U204" s="7"/>
      <c r="V204" s="7"/>
      <c r="W204" s="7"/>
      <c r="X204" s="2440"/>
      <c r="Y204" s="2434"/>
      <c r="Z204" s="2435"/>
      <c r="AA204" s="2420"/>
      <c r="AB204" s="2436"/>
    </row>
    <row r="205" spans="3:28" s="78" customFormat="1" ht="8.1" customHeight="1" x14ac:dyDescent="0.2">
      <c r="C205" s="1251"/>
      <c r="D205" s="20"/>
      <c r="E205" s="663"/>
      <c r="F205" s="2364"/>
      <c r="G205" s="2364"/>
      <c r="H205" s="2364"/>
      <c r="I205" s="2364"/>
      <c r="J205" s="75"/>
      <c r="K205" s="75"/>
      <c r="L205" s="1227"/>
      <c r="M205" s="1241"/>
      <c r="N205" s="17"/>
      <c r="O205" s="19"/>
      <c r="R205" s="215"/>
      <c r="S205" s="13"/>
      <c r="T205" s="7"/>
      <c r="U205" s="7"/>
      <c r="V205" s="7"/>
      <c r="W205" s="7"/>
      <c r="X205" s="19"/>
      <c r="AA205" s="215"/>
      <c r="AB205" s="13"/>
    </row>
    <row r="206" spans="3:28" s="78" customFormat="1" ht="9.9499999999999993" customHeight="1" thickBot="1" x14ac:dyDescent="0.25">
      <c r="C206" s="1252"/>
      <c r="D206" s="20"/>
      <c r="E206" s="665"/>
      <c r="F206" s="659"/>
      <c r="G206" s="659"/>
      <c r="H206" s="659"/>
      <c r="I206" s="659"/>
      <c r="J206" s="655"/>
      <c r="K206" s="655"/>
      <c r="L206" s="1245"/>
      <c r="M206" s="1494"/>
      <c r="N206" s="17"/>
      <c r="O206" s="1263"/>
      <c r="P206" s="1263"/>
      <c r="Q206" s="1263"/>
      <c r="R206" s="1263"/>
      <c r="S206" s="1263"/>
      <c r="T206" s="7"/>
      <c r="U206" s="7"/>
      <c r="V206" s="7"/>
      <c r="W206" s="7"/>
      <c r="X206" s="2444"/>
      <c r="Y206" s="2444"/>
      <c r="Z206" s="2444"/>
      <c r="AA206" s="2444"/>
      <c r="AB206" s="2444"/>
    </row>
    <row r="207" spans="3:28" ht="50.1" customHeight="1" thickBot="1" x14ac:dyDescent="0.25"/>
    <row r="208" spans="3:28" s="8" customFormat="1" ht="15" customHeight="1" thickBot="1" x14ac:dyDescent="0.25">
      <c r="C208" s="2574"/>
      <c r="D208" s="2575"/>
      <c r="E208" s="2575"/>
      <c r="F208" s="2576"/>
      <c r="G208" s="2576"/>
      <c r="H208" s="2576"/>
      <c r="I208" s="2576"/>
      <c r="J208" s="2577"/>
      <c r="K208" s="2577"/>
      <c r="L208" s="2577"/>
      <c r="M208" s="2577"/>
      <c r="N208" s="2577"/>
      <c r="O208" s="2577"/>
      <c r="P208" s="2577"/>
      <c r="Q208" s="2577"/>
      <c r="R208" s="2578"/>
      <c r="S208" s="2577"/>
      <c r="T208" s="2579"/>
      <c r="U208" s="2579"/>
      <c r="V208" s="2579"/>
      <c r="W208" s="2579"/>
      <c r="X208" s="2580"/>
      <c r="Y208" s="2579"/>
      <c r="Z208" s="2579"/>
      <c r="AA208" s="2579"/>
      <c r="AB208" s="2581"/>
    </row>
    <row r="209" ht="50.1" customHeight="1" x14ac:dyDescent="0.2"/>
  </sheetData>
  <mergeCells count="43">
    <mergeCell ref="O148:S148"/>
    <mergeCell ref="F152:L153"/>
    <mergeCell ref="X148:AB148"/>
    <mergeCell ref="F13:AA13"/>
    <mergeCell ref="X22:AB22"/>
    <mergeCell ref="X102:AB102"/>
    <mergeCell ref="O40:S40"/>
    <mergeCell ref="F47:L48"/>
    <mergeCell ref="F51:I51"/>
    <mergeCell ref="F65:L66"/>
    <mergeCell ref="F59:I60"/>
    <mergeCell ref="O102:S102"/>
    <mergeCell ref="C18:AB20"/>
    <mergeCell ref="X40:AB40"/>
    <mergeCell ref="C53:C57"/>
    <mergeCell ref="O22:S22"/>
    <mergeCell ref="C36:AB38"/>
    <mergeCell ref="C107:C111"/>
    <mergeCell ref="F106:L107"/>
    <mergeCell ref="F53:I54"/>
    <mergeCell ref="F56:I57"/>
    <mergeCell ref="C45:C48"/>
    <mergeCell ref="E74:AB75"/>
    <mergeCell ref="F77:L78"/>
    <mergeCell ref="E44:AB45"/>
    <mergeCell ref="F95:L96"/>
    <mergeCell ref="F81:I81"/>
    <mergeCell ref="C83:C87"/>
    <mergeCell ref="F83:I84"/>
    <mergeCell ref="F86:I87"/>
    <mergeCell ref="F89:I90"/>
    <mergeCell ref="F203:I204"/>
    <mergeCell ref="F190:L191"/>
    <mergeCell ref="F197:L198"/>
    <mergeCell ref="C153:C156"/>
    <mergeCell ref="F123:I124"/>
    <mergeCell ref="F136:I137"/>
    <mergeCell ref="F119:L120"/>
    <mergeCell ref="F161:L162"/>
    <mergeCell ref="F170:L171"/>
    <mergeCell ref="F183:L184"/>
    <mergeCell ref="F201:I201"/>
    <mergeCell ref="F178:I179"/>
  </mergeCells>
  <conditionalFormatting sqref="Y51">
    <cfRule type="expression" dxfId="2782" priority="144">
      <formula>$P51&lt;&gt;""</formula>
    </cfRule>
  </conditionalFormatting>
  <conditionalFormatting sqref="Y110">
    <cfRule type="expression" dxfId="2781" priority="129">
      <formula>$P110&lt;&gt;""</formula>
    </cfRule>
  </conditionalFormatting>
  <conditionalFormatting sqref="Y53">
    <cfRule type="expression" dxfId="2780" priority="118">
      <formula>$P53&lt;&gt;""</formula>
    </cfRule>
  </conditionalFormatting>
  <conditionalFormatting sqref="Y56">
    <cfRule type="expression" dxfId="2779" priority="117">
      <formula>$P56&lt;&gt;""</formula>
    </cfRule>
  </conditionalFormatting>
  <conditionalFormatting sqref="Y59">
    <cfRule type="expression" dxfId="2778" priority="116">
      <formula>$P59&lt;&gt;""</formula>
    </cfRule>
  </conditionalFormatting>
  <conditionalFormatting sqref="Y69">
    <cfRule type="expression" dxfId="2777" priority="115">
      <formula>$P69&lt;&gt;""</formula>
    </cfRule>
  </conditionalFormatting>
  <conditionalFormatting sqref="Y112">
    <cfRule type="expression" dxfId="2776" priority="113">
      <formula>$P112&lt;&gt;""</formula>
    </cfRule>
  </conditionalFormatting>
  <conditionalFormatting sqref="Y116">
    <cfRule type="expression" dxfId="2775" priority="112">
      <formula>$P116&lt;&gt;""</formula>
    </cfRule>
  </conditionalFormatting>
  <conditionalFormatting sqref="Y126">
    <cfRule type="expression" dxfId="2774" priority="111">
      <formula>$P126&lt;&gt;""</formula>
    </cfRule>
  </conditionalFormatting>
  <conditionalFormatting sqref="Y128">
    <cfRule type="expression" dxfId="2773" priority="110">
      <formula>$P128&lt;&gt;""</formula>
    </cfRule>
  </conditionalFormatting>
  <conditionalFormatting sqref="Y130">
    <cfRule type="expression" dxfId="2772" priority="109">
      <formula>$P130&lt;&gt;""</formula>
    </cfRule>
  </conditionalFormatting>
  <conditionalFormatting sqref="Y132">
    <cfRule type="expression" dxfId="2771" priority="108">
      <formula>$P132&lt;&gt;""</formula>
    </cfRule>
  </conditionalFormatting>
  <conditionalFormatting sqref="Y139">
    <cfRule type="expression" dxfId="2770" priority="107">
      <formula>$P139&lt;&gt;""</formula>
    </cfRule>
  </conditionalFormatting>
  <conditionalFormatting sqref="Y141">
    <cfRule type="expression" dxfId="2769" priority="106">
      <formula>$P141&lt;&gt;""</formula>
    </cfRule>
  </conditionalFormatting>
  <conditionalFormatting sqref="Y143">
    <cfRule type="expression" dxfId="2768" priority="105">
      <formula>$P143&lt;&gt;""</formula>
    </cfRule>
  </conditionalFormatting>
  <conditionalFormatting sqref="Y145">
    <cfRule type="expression" dxfId="2767" priority="104">
      <formula>$P145&lt;&gt;""</formula>
    </cfRule>
  </conditionalFormatting>
  <conditionalFormatting sqref="Y156">
    <cfRule type="expression" dxfId="2766" priority="103">
      <formula>$P156&lt;&gt;""</formula>
    </cfRule>
  </conditionalFormatting>
  <conditionalFormatting sqref="Y165">
    <cfRule type="expression" dxfId="2765" priority="102">
      <formula>$P165&lt;&gt;""</formula>
    </cfRule>
  </conditionalFormatting>
  <conditionalFormatting sqref="Y167">
    <cfRule type="expression" dxfId="2764" priority="101">
      <formula>$P167&lt;&gt;""</formula>
    </cfRule>
  </conditionalFormatting>
  <conditionalFormatting sqref="Y174">
    <cfRule type="expression" dxfId="2763" priority="100">
      <formula>$P174&lt;&gt;""</formula>
    </cfRule>
  </conditionalFormatting>
  <conditionalFormatting sqref="Y176">
    <cfRule type="expression" dxfId="2762" priority="99">
      <formula>$P176&lt;&gt;""</formula>
    </cfRule>
  </conditionalFormatting>
  <conditionalFormatting sqref="Y187">
    <cfRule type="expression" dxfId="2761" priority="98">
      <formula>$P187&lt;&gt;""</formula>
    </cfRule>
  </conditionalFormatting>
  <conditionalFormatting sqref="Y194">
    <cfRule type="expression" dxfId="2760" priority="97">
      <formula>$P194&lt;&gt;""</formula>
    </cfRule>
  </conditionalFormatting>
  <conditionalFormatting sqref="Y201">
    <cfRule type="expression" dxfId="2759" priority="96">
      <formula>$P201&lt;&gt;""</formula>
    </cfRule>
  </conditionalFormatting>
  <conditionalFormatting sqref="Y203">
    <cfRule type="expression" dxfId="2758" priority="95">
      <formula>$P203&lt;&gt;""</formula>
    </cfRule>
  </conditionalFormatting>
  <conditionalFormatting sqref="T27">
    <cfRule type="expression" dxfId="2757" priority="93">
      <formula>T27="✓"</formula>
    </cfRule>
  </conditionalFormatting>
  <conditionalFormatting sqref="Y27">
    <cfRule type="expression" dxfId="2756" priority="82">
      <formula>$P$27&lt;&gt;""</formula>
    </cfRule>
  </conditionalFormatting>
  <conditionalFormatting sqref="P51">
    <cfRule type="expression" dxfId="2755" priority="74">
      <formula>P51&lt;&gt;""</formula>
    </cfRule>
  </conditionalFormatting>
  <conditionalFormatting sqref="P110">
    <cfRule type="expression" dxfId="2754" priority="69">
      <formula>P110&lt;&gt;""</formula>
    </cfRule>
  </conditionalFormatting>
  <conditionalFormatting sqref="P156">
    <cfRule type="expression" dxfId="2753" priority="58">
      <formula>P156&lt;&gt;""</formula>
    </cfRule>
  </conditionalFormatting>
  <conditionalFormatting sqref="P126">
    <cfRule type="expression" dxfId="2752" priority="49">
      <formula>P126&lt;&gt;""</formula>
    </cfRule>
  </conditionalFormatting>
  <conditionalFormatting sqref="P53">
    <cfRule type="expression" dxfId="2751" priority="55">
      <formula>P53&lt;&gt;""</formula>
    </cfRule>
  </conditionalFormatting>
  <conditionalFormatting sqref="P56">
    <cfRule type="expression" dxfId="2750" priority="54">
      <formula>P56&lt;&gt;""</formula>
    </cfRule>
  </conditionalFormatting>
  <conditionalFormatting sqref="P59">
    <cfRule type="expression" dxfId="2749" priority="53">
      <formula>P59&lt;&gt;""</formula>
    </cfRule>
  </conditionalFormatting>
  <conditionalFormatting sqref="P69">
    <cfRule type="expression" dxfId="2748" priority="52">
      <formula>P69&lt;&gt;""</formula>
    </cfRule>
  </conditionalFormatting>
  <conditionalFormatting sqref="P112">
    <cfRule type="expression" dxfId="2747" priority="51">
      <formula>P112&lt;&gt;""</formula>
    </cfRule>
  </conditionalFormatting>
  <conditionalFormatting sqref="P116">
    <cfRule type="expression" dxfId="2746" priority="50">
      <formula>P116&lt;&gt;""</formula>
    </cfRule>
  </conditionalFormatting>
  <conditionalFormatting sqref="P128">
    <cfRule type="expression" dxfId="2745" priority="48">
      <formula>P128&lt;&gt;""</formula>
    </cfRule>
  </conditionalFormatting>
  <conditionalFormatting sqref="P130">
    <cfRule type="expression" dxfId="2744" priority="47">
      <formula>P130&lt;&gt;""</formula>
    </cfRule>
  </conditionalFormatting>
  <conditionalFormatting sqref="P132">
    <cfRule type="expression" dxfId="2743" priority="46">
      <formula>P132&lt;&gt;""</formula>
    </cfRule>
  </conditionalFormatting>
  <conditionalFormatting sqref="P139">
    <cfRule type="expression" dxfId="2742" priority="45">
      <formula>P139&lt;&gt;""</formula>
    </cfRule>
  </conditionalFormatting>
  <conditionalFormatting sqref="P141">
    <cfRule type="expression" dxfId="2741" priority="44">
      <formula>P141&lt;&gt;""</formula>
    </cfRule>
  </conditionalFormatting>
  <conditionalFormatting sqref="P143">
    <cfRule type="expression" dxfId="2740" priority="43">
      <formula>P143&lt;&gt;""</formula>
    </cfRule>
  </conditionalFormatting>
  <conditionalFormatting sqref="P145">
    <cfRule type="expression" dxfId="2739" priority="42">
      <formula>P145&lt;&gt;""</formula>
    </cfRule>
  </conditionalFormatting>
  <conditionalFormatting sqref="P165">
    <cfRule type="expression" dxfId="2738" priority="41">
      <formula>P165&lt;&gt;""</formula>
    </cfRule>
  </conditionalFormatting>
  <conditionalFormatting sqref="P167">
    <cfRule type="expression" dxfId="2737" priority="40">
      <formula>P167&lt;&gt;""</formula>
    </cfRule>
  </conditionalFormatting>
  <conditionalFormatting sqref="P174">
    <cfRule type="expression" dxfId="2736" priority="39">
      <formula>P174&lt;&gt;""</formula>
    </cfRule>
  </conditionalFormatting>
  <conditionalFormatting sqref="P176">
    <cfRule type="expression" dxfId="2735" priority="38">
      <formula>P176&lt;&gt;""</formula>
    </cfRule>
  </conditionalFormatting>
  <conditionalFormatting sqref="P187">
    <cfRule type="expression" dxfId="2734" priority="37">
      <formula>P187&lt;&gt;""</formula>
    </cfRule>
  </conditionalFormatting>
  <conditionalFormatting sqref="P194">
    <cfRule type="expression" dxfId="2733" priority="36">
      <formula>P194&lt;&gt;""</formula>
    </cfRule>
  </conditionalFormatting>
  <conditionalFormatting sqref="P201">
    <cfRule type="expression" dxfId="2732" priority="35">
      <formula>P201&lt;&gt;""</formula>
    </cfRule>
  </conditionalFormatting>
  <conditionalFormatting sqref="P203">
    <cfRule type="expression" dxfId="2731" priority="34">
      <formula>P203&lt;&gt;""</formula>
    </cfRule>
  </conditionalFormatting>
  <conditionalFormatting sqref="P27">
    <cfRule type="expression" dxfId="2730" priority="32">
      <formula>$P$27&lt;&gt;""</formula>
    </cfRule>
  </conditionalFormatting>
  <conditionalFormatting sqref="Y158">
    <cfRule type="expression" dxfId="2729" priority="31">
      <formula>$P158&lt;&gt;""</formula>
    </cfRule>
  </conditionalFormatting>
  <conditionalFormatting sqref="P158">
    <cfRule type="expression" dxfId="2728" priority="30">
      <formula>P158&lt;&gt;""</formula>
    </cfRule>
  </conditionalFormatting>
  <conditionalFormatting sqref="Y178">
    <cfRule type="expression" dxfId="2727" priority="29">
      <formula>$P178&lt;&gt;""</formula>
    </cfRule>
  </conditionalFormatting>
  <conditionalFormatting sqref="P178">
    <cfRule type="expression" dxfId="2726" priority="28">
      <formula>P178&lt;&gt;""</formula>
    </cfRule>
  </conditionalFormatting>
  <conditionalFormatting sqref="Y81">
    <cfRule type="expression" dxfId="2725" priority="15">
      <formula>$P81&lt;&gt;""</formula>
    </cfRule>
  </conditionalFormatting>
  <conditionalFormatting sqref="Y83">
    <cfRule type="expression" dxfId="2724" priority="14">
      <formula>$P83&lt;&gt;""</formula>
    </cfRule>
  </conditionalFormatting>
  <conditionalFormatting sqref="Y86">
    <cfRule type="expression" dxfId="2723" priority="13">
      <formula>$P86&lt;&gt;""</formula>
    </cfRule>
  </conditionalFormatting>
  <conditionalFormatting sqref="Y89">
    <cfRule type="expression" dxfId="2722" priority="12">
      <formula>$P89&lt;&gt;""</formula>
    </cfRule>
  </conditionalFormatting>
  <conditionalFormatting sqref="Y99">
    <cfRule type="expression" dxfId="2721" priority="11">
      <formula>$P99&lt;&gt;""</formula>
    </cfRule>
  </conditionalFormatting>
  <conditionalFormatting sqref="P81">
    <cfRule type="expression" dxfId="2720" priority="10">
      <formula>P81&lt;&gt;""</formula>
    </cfRule>
  </conditionalFormatting>
  <conditionalFormatting sqref="P83">
    <cfRule type="expression" dxfId="2719" priority="9">
      <formula>P83&lt;&gt;""</formula>
    </cfRule>
  </conditionalFormatting>
  <conditionalFormatting sqref="P86">
    <cfRule type="expression" dxfId="2718" priority="8">
      <formula>P86&lt;&gt;""</formula>
    </cfRule>
  </conditionalFormatting>
  <conditionalFormatting sqref="P89">
    <cfRule type="expression" dxfId="2717" priority="7">
      <formula>P89&lt;&gt;""</formula>
    </cfRule>
  </conditionalFormatting>
  <conditionalFormatting sqref="P99">
    <cfRule type="expression" dxfId="2716" priority="6">
      <formula>P99&lt;&gt;""</formula>
    </cfRule>
  </conditionalFormatting>
  <dataValidations disablePrompts="1" count="25">
    <dataValidation allowBlank="1" showErrorMessage="1" promptTitle="Kapasitet" prompt="Disse verdiene er estimater fra NFF" sqref="Z42 P42:Q42 Z104 P104:Q104 Z150 P150:Q150 P24:Q24 Y24:Z24" xr:uid="{46EB03A3-D19E-43E7-8F10-5892890340A1}"/>
    <dataValidation allowBlank="1" showErrorMessage="1" sqref="F47 E47:E48 M47:M48 F65 E65:E66 M65:M66 O62:S62 M6:S10 L5:S5 L1:S1 X62:AB62 L117 O124:S134 L113:L115 C106:C107 L111 D128:D132 E119:E120 E122:E146 N128:N132 N135:N138 M109:M117 M106:M107 F106 O109:P117 E109:I117 J109:L109 J117 J113:J115 J111 C112:C146 E106:E107 F119 G125:I135 F125:F136 F123 F122:I122 F138:I146 L122:M146 O137:S146 X152 X189 G14:Q14 X182 J182:M182 J189:M189 T198:W198 O189 O182 X137:AB146 X1 L8:L10 C11:S12 AB11:AB14 C13:F14 X124:AB134 X109:Y117 D72:J72 U5:AB5 O26:O28 S14 J26:L28 X26:X28 X154 Q108:S119 Q121:S121 Z109:AB119 Z121:AB121 X105:X108 Q105:S106 M35:S35 C36 C18 O107 O120 X120 C35:J35 C1:J1 C5:J10 C101:J101 F77 E77:E78 M77:M78 F95 E95:E96 M95:M96 O92:S92 X92:AB92 L101:X101 L72:X72" xr:uid="{E111FEEC-0F0F-42F1-B8FE-A9A9D11D89DF}"/>
    <dataValidation allowBlank="1" showErrorMessage="1" promptTitle="Foreslått kapasitet" prompt="Disse verdiene er estimater fra NFF" sqref="L42 L104 L150 L24" xr:uid="{C4689C2F-000C-464C-A1F4-E29CF42DD964}"/>
    <dataValidation allowBlank="1" showInputMessage="1" showErrorMessage="1" promptTitle="Kapasitet" prompt="Disse verdiene er estimater fra NFF" sqref="Y42 Y104 Y150" xr:uid="{DFCE1202-D5F4-4C8D-A459-ABE21E7BC114}"/>
    <dataValidation allowBlank="1" showInputMessage="1" showErrorMessage="1" promptTitle="Normal salve" prompt="verdi hentet fra den sprengingsvolumfanen" sqref="J51 J81" xr:uid="{678B328B-2D22-4173-9C61-2EF0F6C59D62}"/>
    <dataValidation allowBlank="1" showInputMessage="1" showErrorMessage="1" prompt="Det er salve som er kortere enn 80% av normal salvelengde" sqref="J53 J83" xr:uid="{FFD4C941-3446-4E2F-BB03-53F8A3FC5624}"/>
    <dataValidation allowBlank="1" showInputMessage="1" showErrorMessage="1" promptTitle="Nisjer med mer" prompt="verdi hentet fra den sprengingsvolumfanen" sqref="J69 J99" xr:uid="{B2DCF9C8-C506-449C-87F0-1635CFE6AF57}"/>
    <dataValidation allowBlank="1" showInputMessage="1" showErrorMessage="1" promptTitle="Rigg" prompt="inkl. herdetid, stk = opp- og nedrigg pr skjerm" sqref="J139:K140 J126:K127" xr:uid="{9897B585-EADD-41F0-A4A2-403F16335CF7}"/>
    <dataValidation allowBlank="1" showInputMessage="1" showErrorMessage="1" promptTitle="Boring (Sporadisk)" prompt="Alle hull bores og pakkes før injeksjon starter" sqref="J141:K142 J128:K129" xr:uid="{8D8EA40E-C2D2-40E1-A7C7-A28986C517EB}"/>
    <dataValidation allowBlank="1" showInputMessage="1" showErrorMessage="1" promptTitle="Injeksjon (Sporadisk)" prompt="Pumping, type sement, antall linjer, her antas 4" sqref="J143:K144 J130:K131" xr:uid="{1EAF41DE-1FF2-40AE-B5C9-3B30310679DC}"/>
    <dataValidation allowBlank="1" showInputMessage="1" showErrorMessage="1" promptTitle="Kontrollhull" prompt="inkl. lekkasjemåling" sqref="J145:K145 J132:K137" xr:uid="{629DF321-F30A-42F4-9A31-E1400D2AF0D4}"/>
    <dataValidation allowBlank="1" showInputMessage="1" showErrorMessage="1" promptTitle="Injeksjon (Systematisk)" prompt="Pumping, type sement, antall linjer, her antas 4" sqref="J143:K143" xr:uid="{B8901487-4BC4-4D6A-A749-81297F390045}"/>
    <dataValidation allowBlank="1" showInputMessage="1" showErrorMessage="1" promptTitle="Boring (Systematisk)" prompt="Alle hull bores og pakkes før injeksjon starter" sqref="J141:K141" xr:uid="{EE88BBBA-9182-43DA-B097-7076185C537B}"/>
    <dataValidation allowBlank="1" showInputMessage="1" showErrorMessage="1" promptTitle="Sonderboring" prompt="Sonderboring inkl. lekkasjemåling, avh. av antall hull, her antas 4" sqref="L110:L111 J110:J111" xr:uid="{389A72B6-94A2-4675-8D51-7EC344A1695F}"/>
    <dataValidation allowBlank="1" showInputMessage="1" showErrorMessage="1" promptTitle="Kjerneboring" prompt="Time for time, inngår i ventetid" sqref="L112:L115 J112:J115" xr:uid="{826B0DC0-3B8F-4DD5-9301-7449B0E2A2CF}"/>
    <dataValidation allowBlank="1" showInputMessage="1" showErrorMessage="1" promptTitle="Seismikk" prompt="Time for time, inngår i ventetid" sqref="L116:L117 J116:J117" xr:uid="{0A236247-CA2F-4793-B556-A25C80EA577C}"/>
    <dataValidation allowBlank="1" showInputMessage="1" showErrorMessage="1" promptTitle="Sonderboring" prompt="bormeter - Sonderboring inkl. lekkasjemåling, avh. av antall hull, her antas 4" sqref="L110 L112 J110 J112" xr:uid="{C2ABC5B9-CB0F-40C4-8CE8-DCA0BD47E2DF}"/>
    <dataValidation allowBlank="1" showInputMessage="1" showErrorMessage="1" promptTitle="Seismikk" prompt="Ventetid - Time for time, inngår i ventetid" sqref="L116 J116" xr:uid="{325518EB-4226-498A-B52C-0FFE0D1AD66B}"/>
    <dataValidation allowBlank="1" showInputMessage="1" showErrorMessage="1" promptTitle="Bolter" prompt="Ikke bak stuff forutsatt «all» sikring på stuff" sqref="J167:M167 J165:M165 O165 O167 J156 X165 X167 J158" xr:uid="{6AFE46FC-8170-48B3-B85E-C22BE799A632}"/>
    <dataValidation allowBlank="1" showInputMessage="1" showErrorMessage="1" promptTitle="Buer" prompt="Omfatter radielle bolter, braketter, armering" sqref="J194:M195 O194:O195 X194:X195" xr:uid="{7A0A140E-8486-4226-8508-E53E008085DA}"/>
    <dataValidation allowBlank="1" showErrorMessage="1" promptTitle="Bolter" prompt="Ikke bak stuff forutsatt «all» sikring på stuff" sqref="J168:M168 O168 X168" xr:uid="{060CB4B7-AAE0-43D5-B96A-7376DE8F24EF}"/>
    <dataValidation type="decimal" operator="greaterThan" allowBlank="1" showInputMessage="1" showErrorMessage="1" errorTitle="Oops!" error="Bare tall (større enn 0) er tillatt." sqref="P51 P81" xr:uid="{E120047E-AEAA-4B7B-B126-8935CF28CA3F}">
      <formula1>0</formula1>
    </dataValidation>
    <dataValidation allowBlank="1" showInputMessage="1" showErrorMessage="1" promptTitle="Arbeidsuke lengde" prompt="Nødvendig for å konvertere timer til uke." sqref="J27" xr:uid="{2762BD94-D6D1-4826-A8FA-16F34CFE0BA9}"/>
    <dataValidation allowBlank="1" showErrorMessage="1" promptTitle="Sonderboring" prompt="bormeter - Sonderboring inkl. lekkasjemåling, avh. av antall hull, her antas 4" sqref="T27 I27:J27 F28:I28 G27 F26:I26" xr:uid="{276E6981-06D9-4ED0-9E22-A0353888BD19}"/>
    <dataValidation type="decimal" allowBlank="1" showInputMessage="1" showErrorMessage="1" sqref="P27" xr:uid="{BF47DF3A-205B-49DE-97AF-CB07B1B1A7AB}">
      <formula1>1</formula1>
      <formula2>168</formula2>
    </dataValidation>
  </dataValidations>
  <printOptions horizontalCentered="1" verticalCentered="1"/>
  <pageMargins left="0.25" right="0.25" top="0.75" bottom="0.75" header="0.3" footer="0.3"/>
  <pageSetup paperSize="8" scale="3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88B36-48B6-4274-B2C6-C2CFEC71AB65}">
  <sheetPr codeName="Sheet15">
    <tabColor rgb="FFDEDCB8"/>
    <pageSetUpPr fitToPage="1"/>
  </sheetPr>
  <dimension ref="A1:FR193"/>
  <sheetViews>
    <sheetView workbookViewId="0"/>
  </sheetViews>
  <sheetFormatPr defaultColWidth="0" defaultRowHeight="0" customHeight="1" zeroHeight="1" x14ac:dyDescent="0.2"/>
  <cols>
    <col min="1" max="2" width="3.625" style="70" customWidth="1"/>
    <col min="3" max="3" width="30.125" style="70" customWidth="1"/>
    <col min="4" max="5" width="3.625" style="70" customWidth="1"/>
    <col min="6" max="6" width="17.625" style="70" customWidth="1"/>
    <col min="7" max="7" width="7.75" style="70" customWidth="1"/>
    <col min="8" max="8" width="9.375" style="70" customWidth="1"/>
    <col min="9" max="9" width="3.375" style="70" customWidth="1"/>
    <col min="10" max="10" width="4.875" style="70" customWidth="1"/>
    <col min="11" max="11" width="0.875" style="70" customWidth="1"/>
    <col min="12" max="12" width="2.75" style="70" customWidth="1"/>
    <col min="13" max="13" width="1.625" style="70" customWidth="1"/>
    <col min="14" max="14" width="0.875" style="70" customWidth="1"/>
    <col min="15" max="15" width="5.625" style="115" customWidth="1"/>
    <col min="16" max="16" width="2.625" style="115" customWidth="1"/>
    <col min="17" max="18" width="3.625" style="70" customWidth="1"/>
    <col min="19" max="19" width="11.625" style="114" customWidth="1"/>
    <col min="20" max="20" width="1.625" style="114" customWidth="1"/>
    <col min="21" max="21" width="3.125" style="114" customWidth="1"/>
    <col min="22" max="22" width="3.625" style="70" customWidth="1"/>
    <col min="23" max="23" width="3.625" style="115" customWidth="1"/>
    <col min="24" max="25" width="1.625" style="70" customWidth="1"/>
    <col min="26" max="26" width="16.625" style="114" customWidth="1"/>
    <col min="27" max="27" width="1.625" style="70" customWidth="1"/>
    <col min="28" max="28" width="2.625" style="70" customWidth="1"/>
    <col min="29" max="30" width="0.875" style="70" customWidth="1"/>
    <col min="31" max="31" width="3.625" style="115" customWidth="1"/>
    <col min="32" max="33" width="1.625" style="70" customWidth="1"/>
    <col min="34" max="34" width="16.625" style="114" customWidth="1"/>
    <col min="35" max="35" width="1.625" style="70" customWidth="1"/>
    <col min="36" max="36" width="2.625" style="70" customWidth="1"/>
    <col min="37" max="38" width="0.875" style="70" customWidth="1"/>
    <col min="39" max="39" width="3.625" style="115" customWidth="1"/>
    <col min="40" max="41" width="1.625" style="70" customWidth="1"/>
    <col min="42" max="42" width="16.625" style="114" customWidth="1"/>
    <col min="43" max="43" width="1.625" style="70" customWidth="1"/>
    <col min="44" max="44" width="2.625" style="70" customWidth="1"/>
    <col min="45" max="46" width="0.875" style="70" customWidth="1"/>
    <col min="47" max="47" width="3.625" style="115" customWidth="1"/>
    <col min="48" max="49" width="1.625" style="70" customWidth="1"/>
    <col min="50" max="50" width="16.625" style="114" customWidth="1"/>
    <col min="51" max="51" width="1.625" style="70" customWidth="1"/>
    <col min="52" max="52" width="2.625" style="70" customWidth="1"/>
    <col min="53" max="54" width="0.875" style="70" customWidth="1"/>
    <col min="55" max="55" width="3.625" style="115" customWidth="1"/>
    <col min="56" max="57" width="1.625" style="70" customWidth="1"/>
    <col min="58" max="58" width="16.625" style="114" customWidth="1"/>
    <col min="59" max="59" width="1.625" style="70" customWidth="1"/>
    <col min="60" max="60" width="2.625" style="70" customWidth="1"/>
    <col min="61" max="62" width="0.875" style="70" customWidth="1"/>
    <col min="63" max="63" width="3.625" style="115" customWidth="1"/>
    <col min="64" max="65" width="1.625" style="70" customWidth="1"/>
    <col min="66" max="66" width="16.625" style="114" customWidth="1"/>
    <col min="67" max="67" width="1.625" style="70" customWidth="1"/>
    <col min="68" max="68" width="2.625" style="70" customWidth="1"/>
    <col min="69" max="70" width="0.875" style="70" customWidth="1"/>
    <col min="71" max="71" width="3.625" style="115" customWidth="1"/>
    <col min="72" max="73" width="1.625" style="70" customWidth="1"/>
    <col min="74" max="74" width="16.625" style="114" customWidth="1"/>
    <col min="75" max="75" width="1.625" style="70" customWidth="1"/>
    <col min="76" max="76" width="2.625" style="70" customWidth="1"/>
    <col min="77" max="78" width="0.875" style="70" customWidth="1"/>
    <col min="79" max="79" width="3.625" style="115" customWidth="1"/>
    <col min="80" max="81" width="1.625" style="70" customWidth="1"/>
    <col min="82" max="82" width="16.625" style="114" customWidth="1"/>
    <col min="83" max="83" width="1.625" style="70" customWidth="1"/>
    <col min="84" max="84" width="2.625" style="70" customWidth="1"/>
    <col min="85" max="86" width="0.875" style="70" customWidth="1"/>
    <col min="87" max="87" width="3.625" style="115" customWidth="1"/>
    <col min="88" max="89" width="1.625" style="70" customWidth="1"/>
    <col min="90" max="90" width="16.625" style="114" customWidth="1"/>
    <col min="91" max="91" width="1.625" style="70" customWidth="1"/>
    <col min="92" max="92" width="2.625" style="70" customWidth="1"/>
    <col min="93" max="94" width="0.875" style="70" customWidth="1"/>
    <col min="95" max="95" width="3.625" style="115" customWidth="1"/>
    <col min="96" max="96" width="1.625" style="70" customWidth="1"/>
    <col min="97" max="98" width="3.625" style="70" customWidth="1"/>
    <col min="99" max="174" width="0" style="70" hidden="1" customWidth="1"/>
    <col min="175" max="16384" width="9" style="70" hidden="1"/>
  </cols>
  <sheetData>
    <row r="1" spans="1:174" s="68" customFormat="1" ht="50.1" customHeight="1" x14ac:dyDescent="0.2">
      <c r="A1" s="20"/>
      <c r="B1" s="20"/>
      <c r="C1" s="16"/>
      <c r="D1" s="13"/>
      <c r="E1" s="20"/>
      <c r="F1" s="136"/>
      <c r="G1" s="136"/>
      <c r="H1" s="136"/>
      <c r="I1" s="136"/>
      <c r="J1" s="16"/>
      <c r="K1" s="16"/>
      <c r="L1" s="16"/>
      <c r="M1" s="16"/>
      <c r="N1" s="137"/>
      <c r="O1" s="215"/>
      <c r="P1" s="16"/>
      <c r="Q1" s="16"/>
      <c r="R1" s="8"/>
      <c r="S1" s="40"/>
      <c r="T1" s="40"/>
      <c r="U1" s="40"/>
      <c r="V1" s="8"/>
      <c r="W1" s="8"/>
      <c r="X1" s="16"/>
      <c r="Y1" s="16"/>
      <c r="Z1" s="36"/>
      <c r="AA1" s="16"/>
      <c r="AB1" s="138"/>
      <c r="AC1" s="138"/>
      <c r="AD1" s="137"/>
      <c r="AE1" s="8"/>
      <c r="AF1" s="16"/>
      <c r="AG1" s="16"/>
      <c r="AH1" s="36"/>
      <c r="AI1" s="16"/>
      <c r="AJ1" s="138"/>
      <c r="AK1" s="138"/>
      <c r="AL1" s="137"/>
      <c r="AM1" s="8"/>
      <c r="AN1" s="16"/>
      <c r="AO1" s="16"/>
      <c r="AP1" s="36"/>
      <c r="AQ1" s="16"/>
      <c r="AR1" s="138"/>
      <c r="AS1" s="138"/>
      <c r="AT1" s="137"/>
      <c r="AU1" s="8"/>
      <c r="AV1" s="16"/>
      <c r="AW1" s="16"/>
      <c r="AX1" s="36"/>
      <c r="AY1" s="16"/>
      <c r="AZ1" s="138"/>
      <c r="BA1" s="138"/>
      <c r="BB1" s="137"/>
      <c r="BC1" s="8"/>
      <c r="BD1" s="16"/>
      <c r="BE1" s="16"/>
      <c r="BF1" s="36"/>
      <c r="BG1" s="16"/>
      <c r="BH1" s="138"/>
      <c r="BI1" s="138"/>
      <c r="BJ1" s="137"/>
      <c r="BK1" s="8"/>
      <c r="BL1" s="16"/>
      <c r="BM1" s="16"/>
      <c r="BN1" s="36"/>
      <c r="BO1" s="16"/>
      <c r="BP1" s="138"/>
      <c r="BQ1" s="138"/>
      <c r="BR1" s="137"/>
      <c r="BS1" s="8"/>
      <c r="BT1" s="16"/>
      <c r="BU1" s="16"/>
      <c r="BV1" s="36"/>
      <c r="BW1" s="16"/>
      <c r="BX1" s="138"/>
      <c r="BY1" s="138"/>
      <c r="BZ1" s="137"/>
      <c r="CA1" s="8"/>
      <c r="CB1" s="16"/>
      <c r="CC1" s="16"/>
      <c r="CD1" s="36"/>
      <c r="CE1" s="16"/>
      <c r="CF1" s="138"/>
      <c r="CG1" s="138"/>
      <c r="CH1" s="137"/>
      <c r="CI1" s="8"/>
      <c r="CJ1" s="16"/>
      <c r="CK1" s="16"/>
      <c r="CL1" s="36"/>
      <c r="CM1" s="16"/>
      <c r="CN1" s="138"/>
      <c r="CO1" s="138"/>
      <c r="CP1" s="137"/>
      <c r="CQ1" s="8"/>
      <c r="CR1" s="13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13"/>
      <c r="EC1" s="137"/>
      <c r="ED1" s="139" t="s">
        <v>155</v>
      </c>
      <c r="EE1" s="140"/>
      <c r="EF1" s="141"/>
      <c r="EG1" s="141"/>
      <c r="EH1" s="141"/>
    </row>
    <row r="2" spans="1:174" ht="12" customHeight="1" x14ac:dyDescent="0.2">
      <c r="C2" s="920"/>
      <c r="D2" s="78"/>
      <c r="E2" s="1872"/>
      <c r="F2" s="1873"/>
      <c r="G2" s="1873"/>
      <c r="H2" s="920"/>
      <c r="I2" s="920"/>
      <c r="J2" s="1874"/>
      <c r="K2" s="1875"/>
      <c r="L2" s="1873"/>
      <c r="M2" s="1873"/>
      <c r="N2" s="1873"/>
      <c r="O2" s="921"/>
      <c r="P2" s="1873"/>
      <c r="Q2" s="1873"/>
      <c r="R2" s="1873"/>
      <c r="S2" s="1873"/>
      <c r="T2" s="1873"/>
      <c r="U2" s="1873"/>
      <c r="V2" s="1873"/>
      <c r="W2" s="70"/>
      <c r="Z2" s="70"/>
      <c r="AE2" s="70"/>
      <c r="AH2" s="70"/>
      <c r="AM2" s="70"/>
      <c r="AP2" s="70"/>
      <c r="AU2" s="70"/>
      <c r="AX2" s="70"/>
      <c r="BC2" s="70"/>
      <c r="BF2" s="70"/>
      <c r="BK2" s="70"/>
      <c r="BN2" s="70"/>
      <c r="BS2" s="70"/>
      <c r="BV2" s="70"/>
      <c r="CA2" s="70"/>
      <c r="CD2" s="70"/>
      <c r="CI2" s="70"/>
      <c r="CL2" s="70"/>
      <c r="CQ2" s="70"/>
    </row>
    <row r="3" spans="1:174" ht="5.0999999999999996" customHeight="1" x14ac:dyDescent="0.2">
      <c r="C3" s="16"/>
      <c r="D3" s="78"/>
      <c r="E3" s="20"/>
      <c r="F3" s="136"/>
      <c r="G3" s="136"/>
      <c r="H3" s="16"/>
      <c r="I3" s="16"/>
      <c r="J3" s="572"/>
      <c r="K3" s="36"/>
      <c r="L3" s="136"/>
      <c r="M3" s="136"/>
      <c r="N3" s="136"/>
      <c r="O3" s="17"/>
      <c r="P3" s="136"/>
      <c r="Q3" s="136"/>
      <c r="R3" s="136"/>
      <c r="S3" s="136"/>
      <c r="T3" s="136"/>
      <c r="U3" s="136"/>
      <c r="V3" s="136"/>
      <c r="W3" s="70"/>
      <c r="Z3" s="70"/>
      <c r="AE3" s="70"/>
      <c r="AH3" s="70"/>
      <c r="AM3" s="70"/>
      <c r="AP3" s="70"/>
      <c r="AU3" s="70"/>
      <c r="AX3" s="70"/>
      <c r="BC3" s="70"/>
      <c r="BF3" s="70"/>
      <c r="BK3" s="70"/>
      <c r="BN3" s="70"/>
      <c r="BS3" s="70"/>
      <c r="BV3" s="70"/>
      <c r="CA3" s="70"/>
      <c r="CD3" s="70"/>
      <c r="CI3" s="70"/>
      <c r="CL3" s="70"/>
      <c r="CQ3" s="70"/>
    </row>
    <row r="4" spans="1:174" ht="5.0999999999999996" customHeight="1" x14ac:dyDescent="0.2">
      <c r="C4" s="920"/>
      <c r="D4" s="78"/>
      <c r="E4" s="1872"/>
      <c r="F4" s="1873"/>
      <c r="G4" s="1873"/>
      <c r="H4" s="920"/>
      <c r="I4" s="920"/>
      <c r="J4" s="1874"/>
      <c r="K4" s="1875"/>
      <c r="L4" s="1873"/>
      <c r="M4" s="1873"/>
      <c r="N4" s="1873"/>
      <c r="O4" s="921"/>
      <c r="P4" s="1873"/>
      <c r="Q4" s="1873"/>
      <c r="R4" s="1873"/>
      <c r="S4" s="1873"/>
      <c r="T4" s="1873"/>
      <c r="U4" s="1873"/>
      <c r="V4" s="1873"/>
      <c r="W4" s="70"/>
      <c r="Z4" s="70"/>
      <c r="AE4" s="70"/>
      <c r="AH4" s="70"/>
      <c r="AM4" s="70"/>
      <c r="AP4" s="70"/>
      <c r="AU4" s="70"/>
      <c r="AX4" s="70"/>
      <c r="BC4" s="70"/>
      <c r="BF4" s="70"/>
      <c r="BK4" s="70"/>
      <c r="BN4" s="70"/>
      <c r="BS4" s="70"/>
      <c r="BV4" s="70"/>
      <c r="CA4" s="70"/>
      <c r="CD4" s="70"/>
      <c r="CI4" s="70"/>
      <c r="CL4" s="70"/>
      <c r="CQ4" s="70"/>
    </row>
    <row r="5" spans="1:174" s="8" customFormat="1" ht="30" customHeight="1" thickBot="1" x14ac:dyDescent="0.25">
      <c r="A5" s="20"/>
      <c r="B5" s="20"/>
      <c r="C5" s="13"/>
      <c r="D5" s="13"/>
      <c r="E5" s="14"/>
      <c r="F5" s="21"/>
      <c r="G5" s="21"/>
      <c r="H5" s="21"/>
      <c r="I5" s="21"/>
      <c r="J5" s="16"/>
      <c r="K5" s="16"/>
      <c r="L5" s="16"/>
      <c r="M5" s="16"/>
      <c r="N5" s="50"/>
      <c r="O5" s="115"/>
      <c r="P5" s="16"/>
      <c r="Q5" s="16"/>
      <c r="S5" s="40"/>
      <c r="T5" s="40"/>
      <c r="U5" s="40"/>
      <c r="X5" s="16"/>
      <c r="Y5" s="16"/>
      <c r="Z5" s="2490"/>
      <c r="AA5" s="2491"/>
      <c r="AB5" s="2492"/>
      <c r="AC5" s="2492"/>
      <c r="AD5" s="2493"/>
      <c r="AE5" s="2494"/>
      <c r="AF5" s="2491"/>
      <c r="AG5" s="2491"/>
      <c r="AH5" s="2490"/>
      <c r="AI5" s="2491"/>
      <c r="AJ5" s="2492"/>
      <c r="AK5" s="2492"/>
      <c r="AL5" s="2493"/>
      <c r="AM5" s="2494"/>
      <c r="AN5" s="2491"/>
      <c r="AO5" s="2491"/>
      <c r="AP5" s="2490"/>
      <c r="AQ5" s="2491"/>
      <c r="AR5" s="2492"/>
      <c r="AS5" s="2492"/>
      <c r="AT5" s="2493"/>
      <c r="AU5" s="2494"/>
      <c r="AV5" s="2491"/>
      <c r="AW5" s="2491"/>
      <c r="AX5" s="2490"/>
      <c r="AY5" s="2491"/>
      <c r="AZ5" s="2492"/>
      <c r="BA5" s="2492"/>
      <c r="BB5" s="2493"/>
      <c r="BC5" s="2494"/>
      <c r="BD5" s="16"/>
      <c r="BE5" s="16"/>
      <c r="BF5" s="22"/>
      <c r="BG5" s="16"/>
      <c r="BH5" s="19"/>
      <c r="BI5" s="19"/>
      <c r="BJ5" s="50"/>
      <c r="BL5" s="16"/>
      <c r="BM5" s="16"/>
      <c r="BN5" s="22"/>
      <c r="BO5" s="16"/>
      <c r="BP5" s="19"/>
      <c r="BQ5" s="19"/>
      <c r="BR5" s="50"/>
      <c r="BT5" s="16"/>
      <c r="BU5" s="16"/>
      <c r="BV5" s="22"/>
      <c r="BW5" s="16"/>
      <c r="BX5" s="19"/>
      <c r="BY5" s="19"/>
      <c r="BZ5" s="50"/>
      <c r="CB5" s="16"/>
      <c r="CC5" s="16"/>
      <c r="CD5" s="22"/>
      <c r="CE5" s="16"/>
      <c r="CF5" s="19"/>
      <c r="CG5" s="19"/>
      <c r="CH5" s="50"/>
      <c r="CJ5" s="16"/>
      <c r="CK5" s="16"/>
      <c r="CL5" s="22"/>
      <c r="CM5" s="16"/>
      <c r="CN5" s="19"/>
      <c r="CO5" s="19"/>
      <c r="CP5" s="50"/>
      <c r="CR5" s="138"/>
      <c r="EB5" s="13"/>
      <c r="EC5" s="50"/>
      <c r="ED5" s="90"/>
      <c r="EE5" s="13"/>
    </row>
    <row r="6" spans="1:174" s="21" customFormat="1" ht="15" customHeight="1" thickBot="1" x14ac:dyDescent="0.25">
      <c r="A6" s="20"/>
      <c r="B6" s="20"/>
      <c r="C6" s="1107"/>
      <c r="D6" s="13"/>
      <c r="E6" s="681"/>
      <c r="F6" s="626"/>
      <c r="G6" s="626"/>
      <c r="H6" s="626"/>
      <c r="I6" s="626"/>
      <c r="J6" s="626"/>
      <c r="K6" s="626"/>
      <c r="L6" s="626"/>
      <c r="M6" s="626"/>
      <c r="N6" s="626"/>
      <c r="O6" s="626"/>
      <c r="P6" s="626"/>
      <c r="Q6" s="626"/>
      <c r="R6" s="626"/>
      <c r="S6" s="626"/>
      <c r="T6" s="626"/>
      <c r="U6" s="626"/>
      <c r="V6" s="682"/>
      <c r="W6" s="70"/>
      <c r="X6" s="70"/>
      <c r="Y6" s="70"/>
      <c r="Z6" s="2495"/>
      <c r="AA6" s="2495"/>
      <c r="AB6" s="2495"/>
      <c r="AC6" s="2495"/>
      <c r="AD6" s="2495"/>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5"/>
      <c r="BC6" s="2495"/>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8"/>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row>
    <row r="7" spans="1:174" s="21" customFormat="1" ht="8.1" customHeight="1" thickBot="1" x14ac:dyDescent="0.25">
      <c r="A7" s="20"/>
      <c r="B7" s="20"/>
      <c r="C7" s="13"/>
      <c r="D7" s="13"/>
      <c r="E7" s="14"/>
      <c r="H7" s="13"/>
      <c r="I7" s="13"/>
      <c r="J7" s="50"/>
      <c r="K7" s="15"/>
      <c r="L7" s="50"/>
      <c r="M7" s="50"/>
      <c r="N7" s="70"/>
      <c r="O7" s="115"/>
      <c r="P7" s="78"/>
      <c r="Q7" s="78"/>
      <c r="R7" s="78"/>
      <c r="S7" s="78"/>
      <c r="T7" s="78"/>
      <c r="U7" s="78"/>
      <c r="V7" s="78"/>
      <c r="W7" s="70"/>
      <c r="X7" s="70"/>
      <c r="Y7" s="70"/>
      <c r="Z7" s="2495"/>
      <c r="AA7" s="2495"/>
      <c r="AB7" s="2495"/>
      <c r="AC7" s="2495"/>
      <c r="AD7" s="2495"/>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5"/>
      <c r="BC7" s="2495"/>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8"/>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row>
    <row r="8" spans="1:174" s="8" customFormat="1" ht="9.9499999999999993" customHeight="1" x14ac:dyDescent="0.2">
      <c r="A8" s="20"/>
      <c r="B8" s="20"/>
      <c r="C8" s="1354"/>
      <c r="D8" s="13"/>
      <c r="E8" s="553"/>
      <c r="F8" s="554"/>
      <c r="G8" s="554"/>
      <c r="H8" s="554"/>
      <c r="I8" s="554"/>
      <c r="J8" s="555"/>
      <c r="K8" s="555"/>
      <c r="L8" s="555"/>
      <c r="M8" s="555"/>
      <c r="N8" s="559"/>
      <c r="O8" s="957"/>
      <c r="P8" s="555"/>
      <c r="Q8" s="555"/>
      <c r="R8" s="555"/>
      <c r="S8" s="555"/>
      <c r="T8" s="555"/>
      <c r="U8" s="555"/>
      <c r="V8" s="958"/>
      <c r="X8" s="7"/>
      <c r="Y8" s="7"/>
      <c r="Z8" s="7"/>
      <c r="AA8" s="7"/>
      <c r="AB8" s="7"/>
      <c r="AC8" s="7"/>
      <c r="AD8" s="7"/>
      <c r="AE8" s="7"/>
      <c r="AF8" s="7"/>
      <c r="AG8" s="7"/>
      <c r="AH8" s="2490"/>
      <c r="AI8" s="2491"/>
      <c r="AJ8" s="2492"/>
      <c r="AK8" s="2492"/>
      <c r="AL8" s="2493"/>
      <c r="AM8" s="2494"/>
      <c r="AN8" s="2491"/>
      <c r="AO8" s="2491"/>
      <c r="AP8" s="2490"/>
      <c r="AQ8" s="2491"/>
      <c r="AR8" s="2492"/>
      <c r="AS8" s="2492"/>
      <c r="AT8" s="2493"/>
      <c r="AU8" s="2494"/>
      <c r="AV8" s="2491"/>
      <c r="AW8" s="2491"/>
      <c r="AX8" s="2490"/>
      <c r="AY8" s="2491"/>
      <c r="AZ8" s="2492"/>
      <c r="BA8" s="2492"/>
      <c r="BB8" s="2493"/>
      <c r="BC8" s="2494"/>
      <c r="BD8" s="16"/>
      <c r="BE8" s="16"/>
      <c r="BF8" s="22"/>
      <c r="BG8" s="16"/>
      <c r="BH8" s="19"/>
      <c r="BI8" s="19"/>
      <c r="BJ8" s="50"/>
      <c r="BL8" s="16"/>
      <c r="BM8" s="16"/>
      <c r="BN8" s="22"/>
      <c r="BO8" s="16"/>
      <c r="BP8" s="19"/>
      <c r="BQ8" s="19"/>
      <c r="BR8" s="50"/>
      <c r="BT8" s="16"/>
      <c r="BU8" s="16"/>
      <c r="BV8" s="22"/>
      <c r="BW8" s="16"/>
      <c r="BX8" s="19"/>
      <c r="BY8" s="19"/>
      <c r="BZ8" s="50"/>
      <c r="CB8" s="16"/>
      <c r="CC8" s="16"/>
      <c r="CD8" s="22"/>
      <c r="CE8" s="16"/>
      <c r="CF8" s="19"/>
      <c r="CG8" s="19"/>
      <c r="CH8" s="50"/>
      <c r="CJ8" s="16"/>
      <c r="CK8" s="16"/>
      <c r="CL8" s="22"/>
      <c r="CM8" s="16"/>
      <c r="CN8" s="19"/>
      <c r="CO8" s="19"/>
      <c r="CP8" s="50"/>
      <c r="CR8" s="138"/>
      <c r="EB8" s="13"/>
      <c r="EC8" s="50"/>
      <c r="ED8" s="90"/>
      <c r="EE8" s="13"/>
    </row>
    <row r="9" spans="1:174" s="8" customFormat="1" ht="39.950000000000003" customHeight="1" x14ac:dyDescent="0.2">
      <c r="A9" s="20"/>
      <c r="B9" s="20"/>
      <c r="C9" s="1357"/>
      <c r="D9" s="13"/>
      <c r="E9" s="561"/>
      <c r="F9" s="6342" t="str">
        <f>_Calcs!$I$53</f>
        <v>Stabilitetssikring</v>
      </c>
      <c r="G9" s="6342"/>
      <c r="H9" s="6342"/>
      <c r="I9" s="6342"/>
      <c r="J9" s="6342"/>
      <c r="K9" s="6342"/>
      <c r="L9" s="6342"/>
      <c r="M9" s="6342"/>
      <c r="N9" s="6342"/>
      <c r="O9" s="6342"/>
      <c r="P9" s="107"/>
      <c r="Q9" s="107"/>
      <c r="R9" s="107"/>
      <c r="S9" s="107"/>
      <c r="T9" s="107"/>
      <c r="U9" s="107"/>
      <c r="V9" s="959"/>
      <c r="X9" s="7"/>
      <c r="Y9" s="7"/>
      <c r="Z9" s="7"/>
      <c r="AA9" s="7"/>
      <c r="AB9" s="7"/>
      <c r="AC9" s="7"/>
      <c r="AD9" s="7"/>
      <c r="AE9" s="7"/>
      <c r="AF9" s="7"/>
      <c r="AG9" s="7"/>
      <c r="AH9" s="7"/>
      <c r="AI9" s="2491"/>
      <c r="AJ9" s="2491"/>
      <c r="AK9" s="2491"/>
      <c r="AL9" s="2491"/>
      <c r="AM9" s="2490"/>
      <c r="AN9" s="2491"/>
      <c r="AO9" s="2491"/>
      <c r="AP9" s="2492"/>
      <c r="AQ9" s="2492"/>
      <c r="AR9" s="2492"/>
      <c r="AS9" s="2493"/>
      <c r="AT9" s="2493"/>
      <c r="AU9" s="2494"/>
      <c r="AV9" s="2491"/>
      <c r="AW9" s="2491"/>
      <c r="AX9" s="2491"/>
      <c r="AY9" s="2491"/>
      <c r="AZ9" s="2490"/>
      <c r="BA9" s="2490"/>
      <c r="BB9" s="2490"/>
      <c r="BC9" s="2491"/>
      <c r="BD9" s="19"/>
      <c r="BE9" s="19"/>
      <c r="BF9" s="19"/>
      <c r="BG9" s="50"/>
      <c r="BH9" s="50"/>
      <c r="BK9" s="16"/>
      <c r="BL9" s="16"/>
      <c r="BM9" s="16"/>
      <c r="BN9" s="16"/>
      <c r="BO9" s="22"/>
      <c r="BP9" s="16"/>
      <c r="BQ9" s="19"/>
      <c r="BR9" s="19"/>
      <c r="BS9" s="19"/>
      <c r="BT9" s="19"/>
      <c r="BU9" s="19"/>
      <c r="BV9" s="50"/>
      <c r="BW9" s="50"/>
      <c r="BY9" s="16"/>
      <c r="BZ9" s="16"/>
      <c r="CA9" s="16"/>
      <c r="CB9" s="22"/>
      <c r="CC9" s="22"/>
      <c r="CD9" s="22"/>
      <c r="CE9" s="16"/>
      <c r="CF9" s="19"/>
      <c r="CG9" s="19"/>
      <c r="CH9" s="19"/>
      <c r="CI9" s="19"/>
      <c r="CJ9" s="50"/>
      <c r="CK9" s="50"/>
      <c r="CM9" s="16"/>
      <c r="CN9" s="16"/>
      <c r="CO9" s="16"/>
      <c r="CP9" s="16"/>
      <c r="CQ9" s="22"/>
      <c r="CR9" s="16"/>
      <c r="CS9" s="22"/>
      <c r="CT9" s="16"/>
      <c r="CU9" s="19"/>
      <c r="CV9" s="19"/>
      <c r="CW9" s="50"/>
      <c r="CX9" s="50"/>
      <c r="CZ9" s="16"/>
      <c r="DA9" s="16"/>
      <c r="DB9" s="16"/>
      <c r="DC9" s="22"/>
      <c r="DD9" s="16"/>
      <c r="DE9" s="19"/>
      <c r="DF9" s="19"/>
      <c r="DG9" s="19"/>
      <c r="DH9" s="50"/>
      <c r="DJ9" s="16"/>
      <c r="DK9" s="16"/>
      <c r="DL9" s="22"/>
      <c r="DM9" s="16"/>
      <c r="DN9" s="19"/>
      <c r="DO9" s="19"/>
      <c r="DP9" s="50"/>
      <c r="DR9" s="16"/>
      <c r="DS9" s="16"/>
      <c r="DT9" s="22"/>
      <c r="DU9" s="16"/>
      <c r="DV9" s="19"/>
      <c r="DW9" s="19"/>
      <c r="DX9" s="50"/>
      <c r="DZ9" s="138"/>
      <c r="EE9" s="220"/>
      <c r="FI9" s="7"/>
      <c r="FJ9" s="7"/>
      <c r="FK9" s="7"/>
      <c r="FL9" s="7"/>
      <c r="FM9" s="7"/>
      <c r="FN9" s="7"/>
      <c r="FO9" s="7"/>
      <c r="FP9" s="7"/>
      <c r="FQ9" s="7"/>
      <c r="FR9" s="7"/>
    </row>
    <row r="10" spans="1:174" s="8" customFormat="1" ht="9.9499999999999993" customHeight="1" thickBot="1" x14ac:dyDescent="0.25">
      <c r="A10" s="20"/>
      <c r="B10" s="20"/>
      <c r="C10" s="1357"/>
      <c r="D10" s="13"/>
      <c r="E10" s="561"/>
      <c r="F10" s="1844"/>
      <c r="G10" s="1844"/>
      <c r="H10" s="1844"/>
      <c r="I10" s="1844"/>
      <c r="J10" s="1844"/>
      <c r="K10" s="1844"/>
      <c r="L10" s="1844"/>
      <c r="M10" s="1844"/>
      <c r="N10" s="1844"/>
      <c r="O10" s="1844"/>
      <c r="P10" s="107"/>
      <c r="Q10" s="107"/>
      <c r="R10" s="107"/>
      <c r="S10" s="107"/>
      <c r="T10" s="107"/>
      <c r="U10" s="107"/>
      <c r="V10" s="959"/>
      <c r="X10" s="7"/>
      <c r="Y10" s="7"/>
      <c r="Z10" s="7"/>
      <c r="AA10" s="7"/>
      <c r="AB10" s="7"/>
      <c r="AC10" s="7"/>
      <c r="AD10" s="7"/>
      <c r="AE10" s="7"/>
      <c r="AF10" s="7"/>
      <c r="AG10" s="7"/>
      <c r="AH10" s="2494"/>
      <c r="AI10" s="2491"/>
      <c r="AJ10" s="2491"/>
      <c r="AK10" s="2491"/>
      <c r="AL10" s="2491"/>
      <c r="AM10" s="2490"/>
      <c r="AN10" s="2491"/>
      <c r="AO10" s="2491"/>
      <c r="AP10" s="2492"/>
      <c r="AQ10" s="2492"/>
      <c r="AR10" s="2492"/>
      <c r="AS10" s="2493"/>
      <c r="AT10" s="2493"/>
      <c r="AU10" s="2494"/>
      <c r="AV10" s="2491"/>
      <c r="AW10" s="2491"/>
      <c r="AX10" s="2491"/>
      <c r="AY10" s="2491"/>
      <c r="AZ10" s="2490"/>
      <c r="BA10" s="2490"/>
      <c r="BB10" s="2490"/>
      <c r="BC10" s="2491"/>
      <c r="BD10" s="19"/>
      <c r="BE10" s="19"/>
      <c r="BF10" s="19"/>
      <c r="BG10" s="50"/>
      <c r="BH10" s="50"/>
      <c r="BK10" s="16"/>
      <c r="BL10" s="16"/>
      <c r="BM10" s="16"/>
      <c r="BN10" s="16"/>
      <c r="BO10" s="22"/>
      <c r="BP10" s="16"/>
      <c r="BQ10" s="19"/>
      <c r="BR10" s="19"/>
      <c r="BS10" s="19"/>
      <c r="BT10" s="19"/>
      <c r="BU10" s="19"/>
      <c r="BV10" s="50"/>
      <c r="BW10" s="50"/>
      <c r="BY10" s="16"/>
      <c r="BZ10" s="16"/>
      <c r="CA10" s="16"/>
      <c r="CB10" s="22"/>
      <c r="CC10" s="22"/>
      <c r="CD10" s="22"/>
      <c r="CE10" s="16"/>
      <c r="CF10" s="19"/>
      <c r="CG10" s="19"/>
      <c r="CH10" s="19"/>
      <c r="CI10" s="19"/>
      <c r="CJ10" s="50"/>
      <c r="CK10" s="50"/>
      <c r="CM10" s="16"/>
      <c r="CN10" s="16"/>
      <c r="CO10" s="16"/>
      <c r="CP10" s="16"/>
      <c r="CQ10" s="22"/>
      <c r="CR10" s="16"/>
      <c r="CS10" s="22"/>
      <c r="CT10" s="16"/>
      <c r="CU10" s="19"/>
      <c r="CV10" s="19"/>
      <c r="CW10" s="50"/>
      <c r="CX10" s="50"/>
      <c r="CZ10" s="16"/>
      <c r="DA10" s="16"/>
      <c r="DB10" s="16"/>
      <c r="DC10" s="22"/>
      <c r="DD10" s="16"/>
      <c r="DE10" s="19"/>
      <c r="DF10" s="19"/>
      <c r="DG10" s="19"/>
      <c r="DH10" s="50"/>
      <c r="DJ10" s="16"/>
      <c r="DK10" s="16"/>
      <c r="DL10" s="22"/>
      <c r="DM10" s="16"/>
      <c r="DN10" s="19"/>
      <c r="DO10" s="19"/>
      <c r="DP10" s="50"/>
      <c r="DR10" s="16"/>
      <c r="DS10" s="16"/>
      <c r="DT10" s="22"/>
      <c r="DU10" s="16"/>
      <c r="DV10" s="19"/>
      <c r="DW10" s="19"/>
      <c r="DX10" s="50"/>
      <c r="DZ10" s="138"/>
      <c r="EE10" s="220"/>
      <c r="FI10" s="7"/>
      <c r="FJ10" s="7"/>
      <c r="FK10" s="7"/>
      <c r="FL10" s="7"/>
      <c r="FM10" s="7"/>
      <c r="FN10" s="7"/>
      <c r="FO10" s="7"/>
      <c r="FP10" s="7"/>
      <c r="FQ10" s="7"/>
      <c r="FR10" s="7"/>
    </row>
    <row r="11" spans="1:174" s="21" customFormat="1" ht="9.9499999999999993" customHeight="1" x14ac:dyDescent="0.2">
      <c r="A11" s="20"/>
      <c r="B11" s="20"/>
      <c r="C11" s="1355"/>
      <c r="D11" s="13"/>
      <c r="E11" s="561"/>
      <c r="F11" s="7158" t="str">
        <f>IF(_Calcs!$D$11=1,_List!$CU$8&amp;" arkfane",IF(_Calcs!$D$11=2,_Calcs!$J$53,""))</f>
        <v>Denne arkfanen er ikke i bruk!</v>
      </c>
      <c r="G11" s="7159"/>
      <c r="H11" s="7159"/>
      <c r="I11" s="7159"/>
      <c r="J11" s="7159"/>
      <c r="K11" s="7159"/>
      <c r="L11" s="7159"/>
      <c r="M11" s="7159"/>
      <c r="N11" s="7159"/>
      <c r="O11" s="7160"/>
      <c r="P11" s="1459"/>
      <c r="Q11" s="7177" t="str">
        <f>IF(_Calcs!$D$11=2,"!","")</f>
        <v>!</v>
      </c>
      <c r="R11" s="1459"/>
      <c r="S11" s="1459"/>
      <c r="T11" s="1459"/>
      <c r="U11" s="1459"/>
      <c r="V11" s="2280"/>
      <c r="X11" s="7"/>
      <c r="Y11" s="7"/>
      <c r="Z11" s="7"/>
      <c r="AA11" s="7"/>
      <c r="AB11" s="7"/>
      <c r="AC11" s="7"/>
      <c r="AD11" s="7"/>
      <c r="AE11" s="7"/>
      <c r="AF11" s="7"/>
      <c r="AG11" s="7"/>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row>
    <row r="12" spans="1:174" s="21" customFormat="1" ht="20.100000000000001" customHeight="1" x14ac:dyDescent="0.2">
      <c r="A12" s="20"/>
      <c r="B12" s="20"/>
      <c r="C12" s="1355"/>
      <c r="D12" s="13"/>
      <c r="E12" s="561"/>
      <c r="F12" s="7161"/>
      <c r="G12" s="7162"/>
      <c r="H12" s="7162"/>
      <c r="I12" s="7162"/>
      <c r="J12" s="7162"/>
      <c r="K12" s="7162"/>
      <c r="L12" s="7162"/>
      <c r="M12" s="7162"/>
      <c r="N12" s="7162"/>
      <c r="O12" s="7163"/>
      <c r="P12" s="1459"/>
      <c r="Q12" s="7178"/>
      <c r="R12" s="1459"/>
      <c r="S12" s="1459"/>
      <c r="T12" s="1459"/>
      <c r="U12" s="1459"/>
      <c r="V12" s="2280"/>
      <c r="X12" s="7"/>
      <c r="Y12" s="7"/>
      <c r="Z12" s="7"/>
      <c r="AA12" s="7"/>
      <c r="AB12" s="7"/>
      <c r="AC12" s="7"/>
      <c r="AD12" s="7"/>
      <c r="AE12" s="7"/>
      <c r="AF12" s="7"/>
      <c r="AG12" s="7"/>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row>
    <row r="13" spans="1:174" s="21" customFormat="1" ht="9.9499999999999993" customHeight="1" thickBot="1" x14ac:dyDescent="0.25">
      <c r="A13" s="20"/>
      <c r="B13" s="20"/>
      <c r="C13" s="1355"/>
      <c r="D13" s="13"/>
      <c r="E13" s="561"/>
      <c r="F13" s="7164"/>
      <c r="G13" s="7165"/>
      <c r="H13" s="7165"/>
      <c r="I13" s="7165"/>
      <c r="J13" s="7165"/>
      <c r="K13" s="7165"/>
      <c r="L13" s="7165"/>
      <c r="M13" s="7165"/>
      <c r="N13" s="7165"/>
      <c r="O13" s="7166"/>
      <c r="P13" s="1459"/>
      <c r="Q13" s="7179"/>
      <c r="R13" s="1459"/>
      <c r="S13" s="1459"/>
      <c r="T13" s="1459"/>
      <c r="U13" s="1459"/>
      <c r="V13" s="2280"/>
      <c r="X13" s="7"/>
      <c r="Y13" s="7"/>
      <c r="Z13" s="7"/>
      <c r="AA13" s="7"/>
      <c r="AB13" s="7"/>
      <c r="AC13" s="7"/>
      <c r="AD13" s="7"/>
      <c r="AE13" s="7"/>
      <c r="AF13" s="7"/>
      <c r="AG13" s="7"/>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row>
    <row r="14" spans="1:174" s="8" customFormat="1" ht="15" customHeight="1" thickBot="1" x14ac:dyDescent="0.25">
      <c r="A14" s="20"/>
      <c r="B14" s="20"/>
      <c r="C14" s="1357"/>
      <c r="D14" s="13"/>
      <c r="E14" s="561"/>
      <c r="F14" s="1459"/>
      <c r="G14" s="1459"/>
      <c r="H14" s="1459"/>
      <c r="I14" s="1459"/>
      <c r="J14" s="107"/>
      <c r="K14" s="107"/>
      <c r="L14" s="107"/>
      <c r="M14" s="107"/>
      <c r="N14" s="5498"/>
      <c r="O14" s="5499"/>
      <c r="P14" s="107"/>
      <c r="Q14" s="107"/>
      <c r="R14" s="107"/>
      <c r="S14" s="107"/>
      <c r="T14" s="107"/>
      <c r="U14" s="107"/>
      <c r="V14" s="959"/>
      <c r="X14" s="7"/>
      <c r="Y14" s="7"/>
      <c r="Z14" s="7"/>
      <c r="AA14" s="7"/>
      <c r="AB14" s="7"/>
      <c r="AC14" s="7"/>
      <c r="AD14" s="7"/>
      <c r="AE14" s="7"/>
      <c r="AF14" s="7"/>
      <c r="AG14" s="7"/>
      <c r="AI14" s="16"/>
      <c r="AJ14" s="16"/>
      <c r="AK14" s="16"/>
      <c r="AL14" s="16"/>
      <c r="AM14" s="22"/>
      <c r="AN14" s="16"/>
      <c r="AO14" s="16"/>
      <c r="AP14" s="19"/>
      <c r="AQ14" s="19"/>
      <c r="AR14" s="19"/>
      <c r="AS14" s="50"/>
      <c r="AT14" s="50"/>
      <c r="AV14" s="16"/>
      <c r="AW14" s="16"/>
      <c r="AX14" s="16"/>
      <c r="AY14" s="16"/>
      <c r="AZ14" s="22"/>
      <c r="BA14" s="22"/>
      <c r="BB14" s="22"/>
      <c r="BC14" s="16"/>
      <c r="BD14" s="19"/>
      <c r="BE14" s="19"/>
      <c r="BF14" s="19"/>
      <c r="BG14" s="50"/>
      <c r="BH14" s="50"/>
      <c r="BK14" s="16"/>
      <c r="BL14" s="16"/>
      <c r="BM14" s="16"/>
      <c r="BN14" s="16"/>
      <c r="BO14" s="22"/>
      <c r="BP14" s="16"/>
      <c r="BQ14" s="19"/>
      <c r="BR14" s="19"/>
      <c r="BS14" s="19"/>
      <c r="BT14" s="19"/>
      <c r="BU14" s="19"/>
      <c r="BV14" s="50"/>
      <c r="BW14" s="50"/>
      <c r="BY14" s="16"/>
      <c r="BZ14" s="16"/>
      <c r="CA14" s="16"/>
      <c r="CB14" s="22"/>
      <c r="CC14" s="22"/>
      <c r="CD14" s="22"/>
      <c r="CE14" s="16"/>
      <c r="CF14" s="19"/>
      <c r="CG14" s="19"/>
      <c r="CH14" s="19"/>
      <c r="CI14" s="19"/>
      <c r="CJ14" s="50"/>
      <c r="CK14" s="50"/>
      <c r="CM14" s="16"/>
      <c r="CN14" s="16"/>
      <c r="CO14" s="16"/>
      <c r="CP14" s="16"/>
      <c r="CQ14" s="22"/>
      <c r="CR14" s="16"/>
      <c r="CS14" s="22"/>
      <c r="CT14" s="16"/>
      <c r="CU14" s="19"/>
      <c r="CV14" s="19"/>
      <c r="CW14" s="50"/>
      <c r="CX14" s="50"/>
      <c r="CZ14" s="16"/>
      <c r="DA14" s="16"/>
      <c r="DB14" s="16"/>
      <c r="DC14" s="22"/>
      <c r="DD14" s="16"/>
      <c r="DE14" s="19"/>
      <c r="DF14" s="19"/>
      <c r="DG14" s="19"/>
      <c r="DH14" s="50"/>
      <c r="DJ14" s="16"/>
      <c r="DK14" s="16"/>
      <c r="DL14" s="22"/>
      <c r="DM14" s="16"/>
      <c r="DN14" s="19"/>
      <c r="DO14" s="19"/>
      <c r="DP14" s="50"/>
      <c r="DR14" s="16"/>
      <c r="DS14" s="16"/>
      <c r="DT14" s="22"/>
      <c r="DU14" s="16"/>
      <c r="DV14" s="19"/>
      <c r="DW14" s="19"/>
      <c r="DX14" s="50"/>
      <c r="DZ14" s="138"/>
      <c r="EE14" s="220"/>
      <c r="FI14" s="7"/>
      <c r="FJ14" s="7"/>
      <c r="FK14" s="7"/>
      <c r="FL14" s="7"/>
      <c r="FM14" s="7"/>
      <c r="FN14" s="7"/>
      <c r="FO14" s="7"/>
      <c r="FP14" s="7"/>
      <c r="FQ14" s="7"/>
      <c r="FR14" s="7"/>
    </row>
    <row r="15" spans="1:174" s="8" customFormat="1" ht="15" customHeight="1" x14ac:dyDescent="0.2">
      <c r="A15" s="20"/>
      <c r="B15" s="20"/>
      <c r="C15" s="1357"/>
      <c r="D15" s="13"/>
      <c r="E15" s="561"/>
      <c r="F15" s="7167" t="str">
        <f>IF(_Calcs!$D$11=1,"Inndata",IF(_Calcs!$D$11=2,"Klikk her til:","!"))</f>
        <v>Klikk her til:</v>
      </c>
      <c r="G15" s="7168"/>
      <c r="H15" s="7171" t="str">
        <f>IF(_Calcs!$D$11=2,_List!$CU$7&amp;" arkfane","")</f>
        <v>Mengdebasert arkfane</v>
      </c>
      <c r="I15" s="7172"/>
      <c r="J15" s="7172"/>
      <c r="K15" s="7172"/>
      <c r="L15" s="7172"/>
      <c r="M15" s="7172"/>
      <c r="N15" s="7172"/>
      <c r="O15" s="7172"/>
      <c r="P15" s="7172"/>
      <c r="Q15" s="7172"/>
      <c r="R15" s="7172"/>
      <c r="S15" s="7173"/>
      <c r="T15" s="107"/>
      <c r="U15" s="107"/>
      <c r="V15" s="959"/>
      <c r="X15" s="7"/>
      <c r="Y15" s="7"/>
      <c r="Z15" s="7"/>
      <c r="AA15" s="7"/>
      <c r="AB15" s="7"/>
      <c r="AC15" s="7"/>
      <c r="AD15" s="7"/>
      <c r="AE15" s="7"/>
      <c r="AF15" s="7"/>
      <c r="AG15" s="7"/>
      <c r="AI15" s="16"/>
      <c r="AJ15" s="16"/>
      <c r="AK15" s="16"/>
      <c r="AL15" s="16"/>
      <c r="AM15" s="22"/>
      <c r="AN15" s="16"/>
      <c r="AO15" s="16"/>
      <c r="AP15" s="19"/>
      <c r="AQ15" s="19"/>
      <c r="AR15" s="19"/>
      <c r="AS15" s="50"/>
      <c r="AT15" s="50"/>
      <c r="AV15" s="16"/>
      <c r="AW15" s="16"/>
      <c r="AX15" s="16"/>
      <c r="AY15" s="16"/>
      <c r="AZ15" s="22"/>
      <c r="BA15" s="22"/>
      <c r="BB15" s="22"/>
      <c r="BC15" s="16"/>
      <c r="BD15" s="19"/>
      <c r="BE15" s="19"/>
      <c r="BF15" s="19"/>
      <c r="BG15" s="50"/>
      <c r="BH15" s="50"/>
      <c r="BK15" s="16"/>
      <c r="BL15" s="16"/>
      <c r="BM15" s="16"/>
      <c r="BN15" s="16"/>
      <c r="BO15" s="22"/>
      <c r="BP15" s="16"/>
      <c r="BQ15" s="19"/>
      <c r="BR15" s="19"/>
      <c r="BS15" s="19"/>
      <c r="BT15" s="19"/>
      <c r="BU15" s="19"/>
      <c r="BV15" s="50"/>
      <c r="BW15" s="50"/>
      <c r="BY15" s="16"/>
      <c r="BZ15" s="16"/>
      <c r="CA15" s="16"/>
      <c r="CB15" s="22"/>
      <c r="CC15" s="22"/>
      <c r="CD15" s="22"/>
      <c r="CE15" s="16"/>
      <c r="CF15" s="19"/>
      <c r="CG15" s="19"/>
      <c r="CH15" s="19"/>
      <c r="CI15" s="19"/>
      <c r="CJ15" s="50"/>
      <c r="CK15" s="50"/>
      <c r="CM15" s="16"/>
      <c r="CN15" s="16"/>
      <c r="CO15" s="16"/>
      <c r="CP15" s="16"/>
      <c r="CQ15" s="22"/>
      <c r="CR15" s="16"/>
      <c r="CS15" s="22"/>
      <c r="CT15" s="16"/>
      <c r="CU15" s="19"/>
      <c r="CV15" s="19"/>
      <c r="CW15" s="50"/>
      <c r="CX15" s="50"/>
      <c r="CZ15" s="16"/>
      <c r="DA15" s="16"/>
      <c r="DB15" s="16"/>
      <c r="DC15" s="22"/>
      <c r="DD15" s="16"/>
      <c r="DE15" s="19"/>
      <c r="DF15" s="19"/>
      <c r="DG15" s="19"/>
      <c r="DH15" s="50"/>
      <c r="DJ15" s="16"/>
      <c r="DK15" s="16"/>
      <c r="DL15" s="22"/>
      <c r="DM15" s="16"/>
      <c r="DN15" s="19"/>
      <c r="DO15" s="19"/>
      <c r="DP15" s="50"/>
      <c r="DR15" s="16"/>
      <c r="DS15" s="16"/>
      <c r="DT15" s="22"/>
      <c r="DU15" s="16"/>
      <c r="DV15" s="19"/>
      <c r="DW15" s="19"/>
      <c r="DX15" s="50"/>
      <c r="DZ15" s="138"/>
      <c r="EE15" s="220"/>
      <c r="FI15" s="7"/>
      <c r="FJ15" s="7"/>
      <c r="FK15" s="7"/>
      <c r="FL15" s="7"/>
      <c r="FM15" s="7"/>
      <c r="FN15" s="7"/>
      <c r="FO15" s="7"/>
      <c r="FP15" s="7"/>
      <c r="FQ15" s="7"/>
      <c r="FR15" s="7"/>
    </row>
    <row r="16" spans="1:174" s="8" customFormat="1" ht="24.95" customHeight="1" thickBot="1" x14ac:dyDescent="0.25">
      <c r="A16" s="20"/>
      <c r="B16" s="20"/>
      <c r="C16" s="1357"/>
      <c r="D16" s="13"/>
      <c r="E16" s="561"/>
      <c r="F16" s="7169"/>
      <c r="G16" s="7170"/>
      <c r="H16" s="7174"/>
      <c r="I16" s="7175"/>
      <c r="J16" s="7175"/>
      <c r="K16" s="7175"/>
      <c r="L16" s="7175"/>
      <c r="M16" s="7175"/>
      <c r="N16" s="7175"/>
      <c r="O16" s="7175"/>
      <c r="P16" s="7175"/>
      <c r="Q16" s="7175"/>
      <c r="R16" s="7175"/>
      <c r="S16" s="7176"/>
      <c r="T16" s="107"/>
      <c r="U16" s="107"/>
      <c r="V16" s="959"/>
      <c r="X16" s="7"/>
      <c r="Y16" s="7"/>
      <c r="Z16" s="7"/>
      <c r="AA16" s="7"/>
      <c r="AB16" s="7"/>
      <c r="AC16" s="7"/>
      <c r="AD16" s="7"/>
      <c r="AE16" s="7"/>
      <c r="AF16" s="7"/>
      <c r="AG16" s="7"/>
      <c r="AI16" s="16"/>
      <c r="AJ16" s="16"/>
      <c r="AK16" s="16"/>
      <c r="AL16" s="16"/>
      <c r="AM16" s="22"/>
      <c r="AN16" s="16"/>
      <c r="AO16" s="16"/>
      <c r="AP16" s="19"/>
      <c r="AQ16" s="19"/>
      <c r="AR16" s="19"/>
      <c r="AS16" s="50"/>
      <c r="AT16" s="50"/>
      <c r="AV16" s="16"/>
      <c r="AW16" s="16"/>
      <c r="AX16" s="16"/>
      <c r="AY16" s="16"/>
      <c r="AZ16" s="22"/>
      <c r="BA16" s="22"/>
      <c r="BB16" s="22"/>
      <c r="BC16" s="16"/>
      <c r="BD16" s="19"/>
      <c r="BE16" s="19"/>
      <c r="BF16" s="19"/>
      <c r="BG16" s="50"/>
      <c r="BH16" s="50"/>
      <c r="BK16" s="16"/>
      <c r="BL16" s="16"/>
      <c r="BM16" s="16"/>
      <c r="BN16" s="16"/>
      <c r="BO16" s="22"/>
      <c r="BP16" s="16"/>
      <c r="BQ16" s="19"/>
      <c r="BR16" s="19"/>
      <c r="BS16" s="19"/>
      <c r="BT16" s="19"/>
      <c r="BU16" s="19"/>
      <c r="BV16" s="50"/>
      <c r="BW16" s="50"/>
      <c r="BY16" s="16"/>
      <c r="BZ16" s="16"/>
      <c r="CA16" s="16"/>
      <c r="CB16" s="22"/>
      <c r="CC16" s="22"/>
      <c r="CD16" s="22"/>
      <c r="CE16" s="16"/>
      <c r="CF16" s="19"/>
      <c r="CG16" s="19"/>
      <c r="CH16" s="19"/>
      <c r="CI16" s="19"/>
      <c r="CJ16" s="50"/>
      <c r="CK16" s="50"/>
      <c r="CM16" s="16"/>
      <c r="CN16" s="16"/>
      <c r="CO16" s="16"/>
      <c r="CP16" s="16"/>
      <c r="CQ16" s="22"/>
      <c r="CR16" s="16"/>
      <c r="CS16" s="22"/>
      <c r="CT16" s="16"/>
      <c r="CU16" s="19"/>
      <c r="CV16" s="19"/>
      <c r="CW16" s="50"/>
      <c r="CX16" s="50"/>
      <c r="CZ16" s="16"/>
      <c r="DA16" s="16"/>
      <c r="DB16" s="16"/>
      <c r="DC16" s="22"/>
      <c r="DD16" s="16"/>
      <c r="DE16" s="19"/>
      <c r="DF16" s="19"/>
      <c r="DG16" s="19"/>
      <c r="DH16" s="50"/>
      <c r="DJ16" s="16"/>
      <c r="DK16" s="16"/>
      <c r="DL16" s="22"/>
      <c r="DM16" s="16"/>
      <c r="DN16" s="19"/>
      <c r="DO16" s="19"/>
      <c r="DP16" s="50"/>
      <c r="DR16" s="16"/>
      <c r="DS16" s="16"/>
      <c r="DT16" s="22"/>
      <c r="DU16" s="16"/>
      <c r="DV16" s="19"/>
      <c r="DW16" s="19"/>
      <c r="DX16" s="50"/>
      <c r="DZ16" s="138"/>
      <c r="EE16" s="220"/>
      <c r="FI16" s="7"/>
      <c r="FJ16" s="7"/>
      <c r="FK16" s="7"/>
      <c r="FL16" s="7"/>
      <c r="FM16" s="7"/>
      <c r="FN16" s="7"/>
      <c r="FO16" s="7"/>
      <c r="FP16" s="7"/>
      <c r="FQ16" s="7"/>
      <c r="FR16" s="7"/>
    </row>
    <row r="17" spans="1:174" s="8" customFormat="1" ht="15" customHeight="1" thickBot="1" x14ac:dyDescent="0.25">
      <c r="A17" s="20"/>
      <c r="B17" s="20"/>
      <c r="C17" s="1357"/>
      <c r="D17" s="13"/>
      <c r="E17" s="563"/>
      <c r="F17" s="564"/>
      <c r="G17" s="564"/>
      <c r="H17" s="564"/>
      <c r="I17" s="564"/>
      <c r="J17" s="565"/>
      <c r="K17" s="565"/>
      <c r="L17" s="565"/>
      <c r="M17" s="565"/>
      <c r="N17" s="569"/>
      <c r="O17" s="960"/>
      <c r="P17" s="565"/>
      <c r="Q17" s="565"/>
      <c r="R17" s="565"/>
      <c r="S17" s="565"/>
      <c r="T17" s="565"/>
      <c r="U17" s="565"/>
      <c r="V17" s="961"/>
      <c r="X17" s="7"/>
      <c r="Y17" s="7"/>
      <c r="Z17" s="7"/>
      <c r="AA17" s="7"/>
      <c r="AB17" s="7"/>
      <c r="AC17" s="7"/>
      <c r="AD17" s="7"/>
      <c r="AE17" s="7"/>
      <c r="AF17" s="7"/>
      <c r="AG17" s="7"/>
      <c r="AI17" s="16"/>
      <c r="AJ17" s="16"/>
      <c r="AK17" s="16"/>
      <c r="AL17" s="16"/>
      <c r="AM17" s="22"/>
      <c r="AN17" s="16"/>
      <c r="AO17" s="16"/>
      <c r="AP17" s="19"/>
      <c r="AQ17" s="19"/>
      <c r="AR17" s="19"/>
      <c r="AS17" s="50"/>
      <c r="AT17" s="50"/>
      <c r="AV17" s="16"/>
      <c r="AW17" s="16"/>
      <c r="AX17" s="16"/>
      <c r="AY17" s="16"/>
      <c r="AZ17" s="22"/>
      <c r="BA17" s="22"/>
      <c r="BB17" s="22"/>
      <c r="BC17" s="16"/>
      <c r="BD17" s="19"/>
      <c r="BE17" s="19"/>
      <c r="BF17" s="19"/>
      <c r="BG17" s="50"/>
      <c r="BH17" s="50"/>
      <c r="BK17" s="16"/>
      <c r="BL17" s="16"/>
      <c r="BM17" s="16"/>
      <c r="BN17" s="16"/>
      <c r="BO17" s="22"/>
      <c r="BP17" s="16"/>
      <c r="BQ17" s="19"/>
      <c r="BR17" s="19"/>
      <c r="BS17" s="19"/>
      <c r="BT17" s="19"/>
      <c r="BU17" s="19"/>
      <c r="BV17" s="50"/>
      <c r="BW17" s="50"/>
      <c r="BY17" s="16"/>
      <c r="BZ17" s="16"/>
      <c r="CA17" s="16"/>
      <c r="CB17" s="22"/>
      <c r="CC17" s="22"/>
      <c r="CD17" s="22"/>
      <c r="CE17" s="16"/>
      <c r="CF17" s="19"/>
      <c r="CG17" s="19"/>
      <c r="CH17" s="19"/>
      <c r="CI17" s="19"/>
      <c r="CJ17" s="50"/>
      <c r="CK17" s="50"/>
      <c r="CM17" s="16"/>
      <c r="CN17" s="16"/>
      <c r="CO17" s="16"/>
      <c r="CP17" s="16"/>
      <c r="CQ17" s="22"/>
      <c r="CR17" s="16"/>
      <c r="CS17" s="22"/>
      <c r="CT17" s="16"/>
      <c r="CU17" s="19"/>
      <c r="CV17" s="19"/>
      <c r="CW17" s="50"/>
      <c r="CX17" s="50"/>
      <c r="CZ17" s="16"/>
      <c r="DA17" s="16"/>
      <c r="DB17" s="16"/>
      <c r="DC17" s="22"/>
      <c r="DD17" s="16"/>
      <c r="DE17" s="19"/>
      <c r="DF17" s="19"/>
      <c r="DG17" s="19"/>
      <c r="DH17" s="50"/>
      <c r="DJ17" s="16"/>
      <c r="DK17" s="16"/>
      <c r="DL17" s="22"/>
      <c r="DM17" s="16"/>
      <c r="DN17" s="19"/>
      <c r="DO17" s="19"/>
      <c r="DP17" s="50"/>
      <c r="DR17" s="16"/>
      <c r="DS17" s="16"/>
      <c r="DT17" s="22"/>
      <c r="DU17" s="16"/>
      <c r="DV17" s="19"/>
      <c r="DW17" s="19"/>
      <c r="DX17" s="50"/>
      <c r="DZ17" s="138"/>
      <c r="EE17" s="220"/>
      <c r="FI17" s="7"/>
      <c r="FJ17" s="7"/>
      <c r="FK17" s="7"/>
      <c r="FL17" s="7"/>
      <c r="FM17" s="7"/>
      <c r="FN17" s="7"/>
      <c r="FO17" s="7"/>
      <c r="FP17" s="7"/>
      <c r="FQ17" s="7"/>
      <c r="FR17" s="7"/>
    </row>
    <row r="18" spans="1:174" s="21" customFormat="1" ht="15" customHeight="1" thickBot="1" x14ac:dyDescent="0.25">
      <c r="C18" s="1357"/>
      <c r="D18" s="13"/>
      <c r="E18" s="13"/>
      <c r="F18" s="15"/>
      <c r="G18" s="13"/>
      <c r="H18" s="13"/>
      <c r="I18" s="13"/>
      <c r="J18" s="15"/>
      <c r="K18" s="13"/>
      <c r="L18" s="15"/>
      <c r="N18" s="7"/>
      <c r="O18" s="13"/>
      <c r="P18" s="16"/>
      <c r="Q18" s="16"/>
      <c r="R18" s="16"/>
      <c r="S18" s="16"/>
      <c r="T18" s="16"/>
      <c r="U18" s="16"/>
      <c r="V18" s="130"/>
      <c r="W18" s="7"/>
      <c r="X18" s="7"/>
      <c r="Y18" s="7"/>
      <c r="Z18" s="7"/>
      <c r="AA18" s="7"/>
      <c r="AB18" s="7"/>
      <c r="AC18" s="7"/>
      <c r="AD18" s="7"/>
      <c r="AE18" s="7"/>
      <c r="AF18" s="7"/>
      <c r="AG18" s="7"/>
      <c r="AH18" s="16"/>
      <c r="AI18" s="15"/>
      <c r="AJ18" s="15"/>
      <c r="AK18" s="15"/>
      <c r="AL18" s="15"/>
      <c r="AM18" s="15"/>
      <c r="AN18" s="16"/>
    </row>
    <row r="19" spans="1:174" s="21" customFormat="1" ht="5.0999999999999996" customHeight="1" x14ac:dyDescent="0.2">
      <c r="C19" s="1357"/>
      <c r="D19" s="25"/>
      <c r="E19" s="2466"/>
      <c r="F19" s="2467"/>
      <c r="G19" s="683"/>
      <c r="H19" s="2468"/>
      <c r="I19" s="2467"/>
      <c r="J19" s="2467"/>
      <c r="K19" s="2468"/>
      <c r="L19" s="2467"/>
      <c r="M19" s="683"/>
      <c r="N19" s="683"/>
      <c r="O19" s="683"/>
      <c r="P19" s="683"/>
      <c r="Q19" s="683"/>
      <c r="R19" s="683"/>
      <c r="S19" s="683"/>
      <c r="T19" s="683"/>
      <c r="U19" s="683"/>
      <c r="V19" s="2695"/>
      <c r="W19" s="7"/>
      <c r="X19" s="7"/>
      <c r="Y19" s="7"/>
      <c r="Z19" s="7"/>
      <c r="AA19" s="7"/>
      <c r="AB19" s="7"/>
      <c r="AC19" s="7"/>
      <c r="AD19" s="7"/>
      <c r="AE19" s="7"/>
      <c r="AF19" s="7"/>
      <c r="AG19" s="7"/>
      <c r="AH19" s="16"/>
      <c r="AI19" s="15"/>
      <c r="AJ19" s="15"/>
      <c r="AK19" s="15"/>
      <c r="AL19" s="15"/>
      <c r="AM19" s="15"/>
      <c r="AN19" s="16"/>
    </row>
    <row r="20" spans="1:174" s="21" customFormat="1" ht="30" customHeight="1" x14ac:dyDescent="0.2">
      <c r="C20" s="1357"/>
      <c r="D20" s="25"/>
      <c r="E20" s="2465"/>
      <c r="F20" s="7044" t="s">
        <v>926</v>
      </c>
      <c r="G20" s="7044"/>
      <c r="H20" s="7044"/>
      <c r="I20" s="7044"/>
      <c r="J20" s="7044"/>
      <c r="K20" s="7044"/>
      <c r="L20" s="7044"/>
      <c r="M20" s="7044"/>
      <c r="N20" s="7044"/>
      <c r="O20" s="7044"/>
      <c r="P20" s="7044"/>
      <c r="Q20" s="7044"/>
      <c r="R20" s="7044"/>
      <c r="S20" s="7044"/>
      <c r="T20" s="7044"/>
      <c r="U20" s="7044"/>
      <c r="V20" s="2696"/>
      <c r="W20" s="7"/>
      <c r="X20" s="7"/>
      <c r="Y20" s="7"/>
      <c r="Z20" s="7"/>
      <c r="AA20" s="7"/>
      <c r="AB20" s="7"/>
      <c r="AC20" s="7"/>
      <c r="AD20" s="7"/>
      <c r="AE20" s="7"/>
      <c r="AF20" s="7"/>
      <c r="AG20" s="7"/>
      <c r="AH20" s="16"/>
      <c r="AI20" s="15"/>
      <c r="AJ20" s="15"/>
      <c r="AK20" s="15"/>
      <c r="AL20" s="15"/>
      <c r="AM20" s="15"/>
      <c r="AN20" s="16"/>
    </row>
    <row r="21" spans="1:174" s="21" customFormat="1" ht="5.0999999999999996" customHeight="1" thickBot="1" x14ac:dyDescent="0.25">
      <c r="C21" s="1358"/>
      <c r="D21" s="25"/>
      <c r="E21" s="2471"/>
      <c r="F21" s="2472"/>
      <c r="G21" s="2473"/>
      <c r="H21" s="2474"/>
      <c r="I21" s="2474"/>
      <c r="J21" s="2473"/>
      <c r="K21" s="2475"/>
      <c r="L21" s="2476"/>
      <c r="M21" s="2477"/>
      <c r="N21" s="2477"/>
      <c r="O21" s="2477"/>
      <c r="P21" s="2477"/>
      <c r="Q21" s="2477"/>
      <c r="R21" s="2476"/>
      <c r="S21" s="2476"/>
      <c r="T21" s="2476"/>
      <c r="U21" s="2476"/>
      <c r="V21" s="686"/>
      <c r="W21" s="7"/>
      <c r="X21" s="7"/>
      <c r="Y21" s="7"/>
      <c r="Z21" s="7"/>
      <c r="AA21" s="7"/>
      <c r="AB21" s="7"/>
      <c r="AC21" s="7"/>
      <c r="AD21" s="7"/>
      <c r="AE21" s="7"/>
      <c r="AF21" s="7"/>
      <c r="AG21" s="7"/>
      <c r="AH21" s="16"/>
      <c r="AI21" s="15"/>
      <c r="AJ21" s="15"/>
      <c r="AK21" s="15"/>
      <c r="AL21" s="15"/>
      <c r="AM21" s="15"/>
      <c r="AN21" s="16"/>
    </row>
    <row r="22" spans="1:174" s="7" customFormat="1" ht="15" customHeight="1" thickBot="1" x14ac:dyDescent="0.25"/>
    <row r="23" spans="1:174" s="8" customFormat="1" ht="39.950000000000003" customHeight="1" thickBot="1" x14ac:dyDescent="0.25">
      <c r="A23" s="14"/>
      <c r="B23" s="14"/>
      <c r="C23" s="3264"/>
      <c r="D23" s="70"/>
      <c r="E23" s="3258"/>
      <c r="F23" s="3259"/>
      <c r="G23" s="3259"/>
      <c r="H23" s="3259"/>
      <c r="I23" s="3260"/>
      <c r="J23" s="3260"/>
      <c r="K23" s="3260"/>
      <c r="L23" s="3260"/>
      <c r="M23" s="3261"/>
      <c r="N23" s="3260"/>
      <c r="O23" s="3260"/>
      <c r="P23" s="3260"/>
      <c r="Q23" s="5541"/>
      <c r="R23" s="3260"/>
      <c r="S23" s="3262"/>
      <c r="T23" s="3262"/>
      <c r="U23" s="3262"/>
      <c r="V23" s="3263"/>
      <c r="W23" s="7"/>
      <c r="X23" s="7"/>
      <c r="Y23" s="7"/>
      <c r="Z23" s="7"/>
      <c r="AA23" s="7"/>
      <c r="AB23" s="7"/>
      <c r="AC23" s="7"/>
      <c r="AD23" s="7"/>
      <c r="AE23" s="7"/>
      <c r="AF23" s="7"/>
      <c r="AG23" s="7"/>
      <c r="AH23" s="7"/>
      <c r="AI23" s="7"/>
      <c r="AJ23" s="19"/>
      <c r="AK23" s="19"/>
      <c r="AL23" s="16"/>
      <c r="AM23" s="16"/>
      <c r="AN23" s="16"/>
      <c r="AO23" s="22"/>
      <c r="AP23" s="22"/>
      <c r="AQ23" s="16"/>
      <c r="AR23" s="50"/>
      <c r="AS23" s="50"/>
      <c r="AV23" s="16"/>
      <c r="AW23" s="16"/>
      <c r="AX23" s="16"/>
      <c r="AY23" s="16"/>
      <c r="AZ23" s="19"/>
      <c r="BA23" s="19"/>
      <c r="BB23" s="50"/>
      <c r="BC23" s="50"/>
      <c r="BE23" s="16"/>
      <c r="BF23" s="16"/>
      <c r="BG23" s="16"/>
      <c r="BH23" s="19"/>
      <c r="BI23" s="19"/>
      <c r="BJ23" s="19"/>
      <c r="BK23" s="19"/>
      <c r="BL23" s="50"/>
      <c r="BM23" s="50"/>
      <c r="BN23" s="50"/>
      <c r="BP23" s="16"/>
      <c r="BQ23" s="16"/>
      <c r="BR23" s="19"/>
      <c r="BS23" s="19"/>
      <c r="BT23" s="19"/>
      <c r="BU23" s="19"/>
      <c r="BV23" s="19"/>
      <c r="BW23" s="50"/>
      <c r="BX23" s="22"/>
      <c r="BY23" s="22"/>
      <c r="BZ23" s="22"/>
      <c r="CA23" s="22"/>
      <c r="CB23" s="16"/>
      <c r="CC23" s="19"/>
      <c r="CD23" s="19"/>
      <c r="CE23" s="19"/>
      <c r="CF23" s="16"/>
      <c r="CG23" s="16"/>
      <c r="CH23" s="16"/>
      <c r="CI23" s="16"/>
      <c r="CJ23" s="22"/>
      <c r="CK23" s="22"/>
      <c r="CL23" s="22"/>
      <c r="CM23" s="16"/>
      <c r="CP23" s="16"/>
      <c r="CQ23" s="16"/>
      <c r="CR23" s="16"/>
      <c r="CS23" s="16"/>
      <c r="CT23" s="16"/>
      <c r="CU23" s="22"/>
      <c r="CV23" s="50"/>
      <c r="CW23" s="50"/>
      <c r="CZ23" s="16"/>
      <c r="DB23" s="22"/>
      <c r="DC23" s="16"/>
      <c r="DD23" s="50"/>
      <c r="DG23" s="16"/>
      <c r="DH23" s="16"/>
      <c r="DI23" s="22"/>
      <c r="DJ23" s="16"/>
      <c r="DK23" s="19"/>
      <c r="DL23" s="19"/>
      <c r="DM23" s="50"/>
      <c r="DO23" s="138"/>
      <c r="DT23" s="220"/>
      <c r="EX23" s="7"/>
      <c r="EY23" s="7"/>
      <c r="EZ23" s="7"/>
      <c r="FA23" s="7"/>
      <c r="FB23" s="7"/>
      <c r="FC23" s="7"/>
      <c r="FD23" s="7"/>
      <c r="FE23" s="7"/>
      <c r="FF23" s="7"/>
      <c r="FG23" s="7"/>
    </row>
    <row r="24" spans="1:174" s="8" customFormat="1" ht="24.95" customHeight="1" thickBot="1" x14ac:dyDescent="0.25">
      <c r="A24" s="14"/>
      <c r="B24" s="14"/>
      <c r="C24" s="136"/>
      <c r="D24" s="13"/>
      <c r="E24" s="1324"/>
      <c r="F24" s="1324"/>
      <c r="G24" s="1324"/>
      <c r="H24" s="1324"/>
      <c r="I24" s="1324"/>
      <c r="J24" s="2063"/>
      <c r="K24" s="1324"/>
      <c r="L24" s="1324"/>
      <c r="M24" s="1324"/>
      <c r="N24" s="2694"/>
      <c r="O24" s="1324"/>
      <c r="P24" s="16"/>
      <c r="Q24" s="16"/>
      <c r="R24" s="215"/>
      <c r="S24" s="215"/>
      <c r="T24" s="215"/>
      <c r="U24" s="215"/>
      <c r="V24" s="16"/>
      <c r="W24" s="7"/>
      <c r="X24" s="7"/>
      <c r="Y24" s="7"/>
      <c r="Z24" s="7"/>
      <c r="AB24" s="19"/>
      <c r="AC24" s="19"/>
      <c r="AD24" s="19"/>
      <c r="AE24" s="7"/>
      <c r="AF24" s="7"/>
      <c r="AJ24" s="19"/>
      <c r="AK24" s="19"/>
      <c r="AL24" s="16"/>
      <c r="AM24" s="16"/>
      <c r="AN24" s="16"/>
      <c r="AO24" s="22"/>
      <c r="AP24" s="22"/>
      <c r="AQ24" s="16"/>
      <c r="AR24" s="50"/>
      <c r="AS24" s="50"/>
      <c r="AV24" s="16"/>
      <c r="AW24" s="16"/>
      <c r="AX24" s="16"/>
      <c r="AY24" s="16"/>
      <c r="AZ24" s="19"/>
      <c r="BA24" s="19"/>
      <c r="BB24" s="50"/>
      <c r="BC24" s="50"/>
      <c r="BE24" s="16"/>
      <c r="BF24" s="16"/>
      <c r="BG24" s="16"/>
      <c r="BH24" s="19"/>
      <c r="BI24" s="19"/>
      <c r="BJ24" s="19"/>
      <c r="BK24" s="19"/>
      <c r="BL24" s="50"/>
      <c r="BM24" s="50"/>
      <c r="BN24" s="50"/>
      <c r="BP24" s="16"/>
      <c r="BQ24" s="16"/>
      <c r="BR24" s="19"/>
      <c r="BS24" s="19"/>
      <c r="BT24" s="19"/>
      <c r="BU24" s="19"/>
      <c r="BV24" s="19"/>
      <c r="BW24" s="50"/>
      <c r="BX24" s="22"/>
      <c r="BY24" s="22"/>
      <c r="BZ24" s="22"/>
      <c r="CA24" s="22"/>
      <c r="CB24" s="16"/>
      <c r="CC24" s="19"/>
      <c r="CD24" s="19"/>
      <c r="CE24" s="19"/>
      <c r="CF24" s="16"/>
      <c r="CG24" s="16"/>
      <c r="CH24" s="16"/>
      <c r="CI24" s="16"/>
      <c r="CJ24" s="22"/>
      <c r="CK24" s="22"/>
      <c r="CL24" s="22"/>
      <c r="CM24" s="16"/>
      <c r="CP24" s="16"/>
      <c r="CQ24" s="16"/>
      <c r="CR24" s="16"/>
      <c r="CS24" s="16"/>
      <c r="CT24" s="16"/>
      <c r="CU24" s="22"/>
      <c r="CV24" s="50"/>
      <c r="CW24" s="50"/>
      <c r="CZ24" s="16"/>
      <c r="DB24" s="22"/>
      <c r="DC24" s="16"/>
      <c r="DD24" s="50"/>
      <c r="DG24" s="16"/>
      <c r="DH24" s="16"/>
      <c r="DI24" s="22"/>
      <c r="DJ24" s="16"/>
      <c r="DK24" s="19"/>
      <c r="DL24" s="19"/>
      <c r="DM24" s="50"/>
      <c r="DO24" s="138"/>
      <c r="DT24" s="220"/>
      <c r="EX24" s="7"/>
      <c r="EY24" s="7"/>
      <c r="EZ24" s="7"/>
      <c r="FA24" s="7"/>
      <c r="FB24" s="7"/>
      <c r="FC24" s="7"/>
      <c r="FD24" s="7"/>
      <c r="FE24" s="7"/>
      <c r="FF24" s="7"/>
      <c r="FG24" s="7"/>
    </row>
    <row r="25" spans="1:174" s="8" customFormat="1" ht="20.100000000000001" customHeight="1" thickBot="1" x14ac:dyDescent="0.25">
      <c r="A25" s="14"/>
      <c r="B25" s="14"/>
      <c r="C25" s="1060"/>
      <c r="D25" s="13"/>
      <c r="E25" s="1108"/>
      <c r="F25" s="1019"/>
      <c r="G25" s="1019"/>
      <c r="H25" s="1019"/>
      <c r="I25" s="1019"/>
      <c r="J25" s="5476"/>
      <c r="K25" s="5476"/>
      <c r="L25" s="1195"/>
      <c r="M25" s="5476"/>
      <c r="N25" s="5476"/>
      <c r="O25" s="1195"/>
      <c r="P25" s="1195"/>
      <c r="Q25" s="1195"/>
      <c r="R25" s="1195"/>
      <c r="S25" s="1195"/>
      <c r="T25" s="1195"/>
      <c r="U25" s="1195"/>
      <c r="V25" s="1347"/>
      <c r="W25" s="7"/>
      <c r="X25" s="7"/>
      <c r="Y25" s="7"/>
      <c r="Z25" s="7"/>
      <c r="AB25" s="19"/>
      <c r="AC25" s="19"/>
      <c r="AD25" s="19"/>
      <c r="AE25" s="7"/>
      <c r="AF25" s="7"/>
      <c r="AJ25" s="19"/>
      <c r="AK25" s="19"/>
      <c r="AL25" s="16"/>
      <c r="AM25" s="16"/>
      <c r="AN25" s="16"/>
      <c r="AO25" s="22"/>
      <c r="AP25" s="22"/>
      <c r="AQ25" s="16"/>
      <c r="AR25" s="50"/>
      <c r="AS25" s="50"/>
      <c r="AV25" s="16"/>
      <c r="AW25" s="16"/>
      <c r="AX25" s="16"/>
      <c r="AY25" s="16"/>
      <c r="AZ25" s="19"/>
      <c r="BA25" s="19"/>
      <c r="BB25" s="50"/>
      <c r="BC25" s="50"/>
      <c r="BE25" s="16"/>
      <c r="BF25" s="16"/>
      <c r="BG25" s="16"/>
      <c r="BH25" s="19"/>
      <c r="BI25" s="19"/>
      <c r="BJ25" s="19"/>
      <c r="BK25" s="19"/>
      <c r="BL25" s="50"/>
      <c r="BM25" s="50"/>
      <c r="BN25" s="50"/>
      <c r="BP25" s="16"/>
      <c r="BQ25" s="16"/>
      <c r="BR25" s="19"/>
      <c r="BS25" s="19"/>
      <c r="BT25" s="19"/>
      <c r="BU25" s="19"/>
      <c r="BV25" s="19"/>
      <c r="BW25" s="50"/>
      <c r="BX25" s="22"/>
      <c r="BY25" s="22"/>
      <c r="BZ25" s="22"/>
      <c r="CA25" s="22"/>
      <c r="CB25" s="16"/>
      <c r="CC25" s="19"/>
      <c r="CD25" s="19"/>
      <c r="CE25" s="19"/>
      <c r="CF25" s="16"/>
      <c r="CG25" s="16"/>
      <c r="CH25" s="16"/>
      <c r="CI25" s="16"/>
      <c r="CJ25" s="22"/>
      <c r="CK25" s="22"/>
      <c r="CL25" s="22"/>
      <c r="CM25" s="16"/>
      <c r="CP25" s="16"/>
      <c r="CQ25" s="16"/>
      <c r="CR25" s="16"/>
      <c r="CS25" s="16"/>
      <c r="CT25" s="16"/>
      <c r="CU25" s="22"/>
      <c r="CV25" s="50"/>
      <c r="CW25" s="50"/>
      <c r="CZ25" s="16"/>
      <c r="DB25" s="22"/>
      <c r="DC25" s="16"/>
      <c r="DD25" s="50"/>
      <c r="DG25" s="16"/>
      <c r="DH25" s="16"/>
      <c r="DI25" s="22"/>
      <c r="DJ25" s="16"/>
      <c r="DK25" s="19"/>
      <c r="DL25" s="19"/>
      <c r="DM25" s="50"/>
      <c r="DO25" s="138"/>
      <c r="DT25" s="220"/>
      <c r="EX25" s="7"/>
      <c r="EY25" s="7"/>
      <c r="EZ25" s="7"/>
      <c r="FA25" s="7"/>
      <c r="FB25" s="7"/>
      <c r="FC25" s="7"/>
      <c r="FD25" s="7"/>
      <c r="FE25" s="7"/>
      <c r="FF25" s="7"/>
      <c r="FG25" s="7"/>
    </row>
    <row r="26" spans="1:174" s="8" customFormat="1" ht="24.95" customHeight="1" thickBot="1" x14ac:dyDescent="0.25">
      <c r="A26" s="14"/>
      <c r="B26" s="14"/>
      <c r="C26" s="136"/>
      <c r="D26" s="13"/>
      <c r="E26" s="1324"/>
      <c r="F26" s="1324"/>
      <c r="G26" s="1324"/>
      <c r="H26" s="1324"/>
      <c r="I26" s="1324"/>
      <c r="J26" s="2063"/>
      <c r="K26" s="1324"/>
      <c r="L26" s="1324"/>
      <c r="M26" s="1324"/>
      <c r="N26" s="2694"/>
      <c r="O26" s="1324"/>
      <c r="P26" s="16"/>
      <c r="Q26" s="7"/>
      <c r="R26" s="215"/>
      <c r="S26" s="215"/>
      <c r="T26" s="215"/>
      <c r="U26" s="215"/>
      <c r="V26" s="16"/>
      <c r="W26" s="7"/>
      <c r="X26" s="7"/>
      <c r="Y26" s="7"/>
      <c r="Z26" s="7"/>
      <c r="AB26" s="19"/>
      <c r="AC26" s="19"/>
      <c r="AD26" s="19"/>
      <c r="AE26" s="7"/>
      <c r="AF26" s="7"/>
      <c r="AJ26" s="19"/>
      <c r="AK26" s="19"/>
      <c r="AL26" s="16"/>
      <c r="AM26" s="16"/>
      <c r="AN26" s="16"/>
      <c r="AO26" s="22"/>
      <c r="AP26" s="22"/>
      <c r="AQ26" s="16"/>
      <c r="AR26" s="50"/>
      <c r="AS26" s="50"/>
      <c r="AV26" s="16"/>
      <c r="AW26" s="16"/>
      <c r="AX26" s="16"/>
      <c r="AY26" s="16"/>
      <c r="AZ26" s="19"/>
      <c r="BA26" s="19"/>
      <c r="BB26" s="50"/>
      <c r="BC26" s="50"/>
      <c r="BE26" s="16"/>
      <c r="BF26" s="16"/>
      <c r="BG26" s="16"/>
      <c r="BH26" s="19"/>
      <c r="BI26" s="19"/>
      <c r="BJ26" s="19"/>
      <c r="BK26" s="19"/>
      <c r="BL26" s="50"/>
      <c r="BM26" s="50"/>
      <c r="BN26" s="50"/>
      <c r="BP26" s="16"/>
      <c r="BQ26" s="16"/>
      <c r="BR26" s="19"/>
      <c r="BS26" s="19"/>
      <c r="BT26" s="19"/>
      <c r="BU26" s="19"/>
      <c r="BV26" s="19"/>
      <c r="BW26" s="50"/>
      <c r="BX26" s="22"/>
      <c r="BY26" s="22"/>
      <c r="BZ26" s="22"/>
      <c r="CA26" s="22"/>
      <c r="CB26" s="16"/>
      <c r="CC26" s="19"/>
      <c r="CD26" s="19"/>
      <c r="CE26" s="19"/>
      <c r="CF26" s="16"/>
      <c r="CG26" s="16"/>
      <c r="CH26" s="16"/>
      <c r="CI26" s="16"/>
      <c r="CJ26" s="22"/>
      <c r="CK26" s="22"/>
      <c r="CL26" s="22"/>
      <c r="CM26" s="16"/>
      <c r="CP26" s="16"/>
      <c r="CQ26" s="16"/>
      <c r="CR26" s="16"/>
      <c r="CS26" s="16"/>
      <c r="CT26" s="16"/>
      <c r="CU26" s="22"/>
      <c r="CV26" s="50"/>
      <c r="CW26" s="50"/>
      <c r="CZ26" s="16"/>
      <c r="DB26" s="22"/>
      <c r="DC26" s="16"/>
      <c r="DD26" s="50"/>
      <c r="DG26" s="16"/>
      <c r="DH26" s="16"/>
      <c r="DI26" s="22"/>
      <c r="DJ26" s="16"/>
      <c r="DK26" s="19"/>
      <c r="DL26" s="19"/>
      <c r="DM26" s="50"/>
      <c r="DO26" s="138"/>
      <c r="DT26" s="220"/>
      <c r="EX26" s="7"/>
      <c r="EY26" s="7"/>
      <c r="EZ26" s="7"/>
      <c r="FA26" s="7"/>
      <c r="FB26" s="7"/>
      <c r="FC26" s="7"/>
      <c r="FD26" s="7"/>
      <c r="FE26" s="7"/>
      <c r="FF26" s="7"/>
      <c r="FG26" s="7"/>
    </row>
    <row r="27" spans="1:174" s="8" customFormat="1" ht="15" customHeight="1" thickBot="1" x14ac:dyDescent="0.25">
      <c r="C27" s="3240"/>
      <c r="D27" s="7"/>
      <c r="E27" s="3223"/>
      <c r="F27" s="3224"/>
      <c r="G27" s="3225"/>
      <c r="H27" s="3226"/>
      <c r="I27" s="3226"/>
      <c r="J27" s="3226"/>
      <c r="K27" s="3226"/>
      <c r="L27" s="3226"/>
      <c r="M27" s="3252"/>
      <c r="N27" s="3252"/>
      <c r="O27" s="3252"/>
      <c r="P27" s="3253"/>
      <c r="Q27" s="3253"/>
      <c r="R27" s="3253"/>
      <c r="S27" s="3226"/>
      <c r="T27" s="3226"/>
      <c r="U27" s="3226"/>
      <c r="V27" s="3227"/>
      <c r="X27" s="68"/>
      <c r="Y27" s="68"/>
      <c r="Z27" s="68"/>
      <c r="AA27" s="68"/>
      <c r="AB27" s="68"/>
      <c r="AC27" s="68"/>
      <c r="AD27" s="68"/>
      <c r="AE27" s="130"/>
      <c r="AF27" s="68"/>
      <c r="AG27" s="68"/>
      <c r="AH27" s="68"/>
      <c r="AI27" s="68"/>
      <c r="AJ27" s="68"/>
      <c r="AK27" s="68"/>
      <c r="AL27" s="68"/>
      <c r="AM27" s="68"/>
      <c r="AN27" s="68"/>
    </row>
    <row r="28" spans="1:174" s="8" customFormat="1" ht="30" customHeight="1" thickBot="1" x14ac:dyDescent="0.25">
      <c r="C28" s="7153" t="s">
        <v>2409</v>
      </c>
      <c r="D28" s="7"/>
      <c r="E28" s="3228"/>
      <c r="F28" s="3229" t="str">
        <f>_Calcs!$K$53&amp;" er satt til:"</f>
        <v>Sikrings-mengde er satt til:</v>
      </c>
      <c r="G28" s="3230"/>
      <c r="H28" s="3231"/>
      <c r="I28" s="3231"/>
      <c r="J28" s="2697" t="s">
        <v>149</v>
      </c>
      <c r="K28" s="3231"/>
      <c r="L28" s="3231"/>
      <c r="M28" s="7187" t="str">
        <f>_Calcs_Klasse!$AH$28</f>
        <v>Mengdebasert</v>
      </c>
      <c r="N28" s="7188"/>
      <c r="O28" s="7188"/>
      <c r="P28" s="7188"/>
      <c r="Q28" s="7188"/>
      <c r="R28" s="7188"/>
      <c r="S28" s="7189"/>
      <c r="T28" s="3251"/>
      <c r="U28" s="30" t="str">
        <f>IF(Tunneldrift!AD121="","!","✓")</f>
        <v>✓</v>
      </c>
      <c r="V28" s="3254"/>
      <c r="AH28" s="3395"/>
      <c r="AI28" s="3395"/>
      <c r="AJ28" s="3395"/>
      <c r="AK28" s="3395"/>
      <c r="AL28" s="3395"/>
      <c r="AM28" s="68"/>
      <c r="AN28" s="68"/>
    </row>
    <row r="29" spans="1:174" s="8" customFormat="1" ht="15" customHeight="1" thickBot="1" x14ac:dyDescent="0.25">
      <c r="C29" s="7153"/>
      <c r="D29" s="7"/>
      <c r="E29" s="3235"/>
      <c r="F29" s="3236"/>
      <c r="G29" s="3237"/>
      <c r="H29" s="3238"/>
      <c r="I29" s="3238"/>
      <c r="J29" s="3238"/>
      <c r="K29" s="3238"/>
      <c r="L29" s="3238"/>
      <c r="M29" s="3238"/>
      <c r="N29" s="3255"/>
      <c r="O29" s="3255"/>
      <c r="P29" s="3256"/>
      <c r="Q29" s="3256"/>
      <c r="R29" s="3238"/>
      <c r="S29" s="3238"/>
      <c r="T29" s="3238"/>
      <c r="U29" s="3256"/>
      <c r="V29" s="3239"/>
      <c r="X29" s="68"/>
      <c r="Y29" s="68"/>
      <c r="Z29" s="68"/>
      <c r="AA29" s="68"/>
      <c r="AB29" s="68"/>
      <c r="AC29" s="68"/>
      <c r="AD29" s="68"/>
      <c r="AE29" s="130"/>
      <c r="AF29" s="68"/>
      <c r="AG29" s="68"/>
      <c r="AH29" s="68"/>
      <c r="AI29" s="68"/>
      <c r="AJ29" s="68"/>
      <c r="AK29" s="68"/>
      <c r="AL29" s="68"/>
      <c r="AM29" s="68"/>
      <c r="AN29" s="68"/>
    </row>
    <row r="30" spans="1:174" s="8" customFormat="1" ht="8.1" customHeight="1" thickBot="1" x14ac:dyDescent="0.25">
      <c r="C30" s="7153"/>
      <c r="D30" s="7"/>
      <c r="E30" s="3228"/>
      <c r="F30" s="3233"/>
      <c r="G30" s="3234"/>
      <c r="H30" s="3231"/>
      <c r="I30" s="3231"/>
      <c r="J30" s="3231"/>
      <c r="K30" s="3231"/>
      <c r="L30" s="3231"/>
      <c r="M30" s="3231"/>
      <c r="N30" s="3249"/>
      <c r="O30" s="3249"/>
      <c r="P30" s="3250"/>
      <c r="Q30" s="3250"/>
      <c r="R30" s="3231"/>
      <c r="S30" s="3231"/>
      <c r="T30" s="3231"/>
      <c r="U30" s="3250"/>
      <c r="V30" s="3232"/>
      <c r="X30" s="68"/>
      <c r="Y30" s="68"/>
      <c r="Z30" s="7"/>
      <c r="AA30" s="7"/>
      <c r="AB30" s="7"/>
      <c r="AC30" s="7"/>
      <c r="AD30" s="7"/>
      <c r="AE30" s="7"/>
      <c r="AF30" s="7"/>
      <c r="AG30" s="7"/>
      <c r="AH30" s="3394"/>
      <c r="AI30" s="3394"/>
      <c r="AJ30" s="3394"/>
      <c r="AK30" s="3394"/>
      <c r="AL30" s="3394"/>
      <c r="AM30" s="68"/>
      <c r="AN30" s="68"/>
    </row>
    <row r="31" spans="1:174" s="8" customFormat="1" ht="30" customHeight="1" thickBot="1" x14ac:dyDescent="0.25">
      <c r="C31" s="7153"/>
      <c r="D31" s="7"/>
      <c r="E31" s="3228"/>
      <c r="F31" s="3229" t="s">
        <v>2403</v>
      </c>
      <c r="G31" s="3230"/>
      <c r="H31" s="3231"/>
      <c r="I31" s="3231"/>
      <c r="J31" s="2697" t="s">
        <v>149</v>
      </c>
      <c r="K31" s="3231"/>
      <c r="L31" s="3231"/>
      <c r="M31" s="7184" t="s">
        <v>2732</v>
      </c>
      <c r="N31" s="7185"/>
      <c r="O31" s="7185"/>
      <c r="P31" s="7185"/>
      <c r="Q31" s="7185"/>
      <c r="R31" s="7185"/>
      <c r="S31" s="7186"/>
      <c r="T31" s="3251"/>
      <c r="U31" s="3257" t="str">
        <f>IF(M31="","!","✓")</f>
        <v>✓</v>
      </c>
      <c r="V31" s="3254"/>
      <c r="X31" s="68"/>
      <c r="Y31" s="68"/>
      <c r="Z31" s="7"/>
      <c r="AA31" s="7"/>
      <c r="AB31" s="7"/>
      <c r="AC31" s="7"/>
      <c r="AD31" s="7"/>
      <c r="AE31" s="7"/>
      <c r="AF31" s="7"/>
      <c r="AG31" s="7"/>
      <c r="AH31" s="3394"/>
      <c r="AI31" s="3394"/>
      <c r="AJ31" s="3394"/>
      <c r="AK31" s="3394"/>
      <c r="AL31" s="3394"/>
      <c r="AM31" s="68"/>
      <c r="AN31" s="68"/>
    </row>
    <row r="32" spans="1:174" s="8" customFormat="1" ht="15" customHeight="1" thickBot="1" x14ac:dyDescent="0.25">
      <c r="C32" s="3241"/>
      <c r="D32" s="7"/>
      <c r="E32" s="3235"/>
      <c r="F32" s="3236"/>
      <c r="G32" s="3237"/>
      <c r="H32" s="3238"/>
      <c r="I32" s="3238"/>
      <c r="J32" s="3238"/>
      <c r="K32" s="3238"/>
      <c r="L32" s="3238"/>
      <c r="M32" s="3255"/>
      <c r="N32" s="3255"/>
      <c r="O32" s="3255"/>
      <c r="P32" s="3256"/>
      <c r="Q32" s="3256"/>
      <c r="R32" s="3256"/>
      <c r="S32" s="3238"/>
      <c r="T32" s="3238"/>
      <c r="U32" s="3238"/>
      <c r="V32" s="3239"/>
      <c r="X32" s="68"/>
      <c r="Y32" s="68"/>
      <c r="Z32" s="7"/>
      <c r="AA32" s="7"/>
      <c r="AB32" s="7"/>
      <c r="AC32" s="7"/>
      <c r="AD32" s="7"/>
      <c r="AE32" s="7"/>
      <c r="AF32" s="7"/>
      <c r="AG32" s="7"/>
      <c r="AH32" s="68"/>
      <c r="AI32" s="68"/>
      <c r="AJ32" s="68"/>
      <c r="AK32" s="68"/>
      <c r="AL32" s="68"/>
      <c r="AM32" s="68"/>
      <c r="AN32" s="68"/>
    </row>
    <row r="33" spans="1:96" s="8" customFormat="1" ht="24.95" customHeight="1" thickBot="1" x14ac:dyDescent="0.25">
      <c r="A33" s="20"/>
      <c r="B33" s="20"/>
      <c r="C33" s="13"/>
      <c r="D33" s="20"/>
      <c r="E33" s="14"/>
      <c r="F33" s="21"/>
      <c r="G33" s="21"/>
      <c r="H33" s="21"/>
      <c r="I33" s="21"/>
      <c r="J33" s="16"/>
      <c r="K33" s="16"/>
      <c r="L33" s="16"/>
      <c r="M33" s="16"/>
      <c r="N33" s="16"/>
      <c r="O33" s="17"/>
      <c r="P33" s="15"/>
      <c r="Q33" s="16"/>
      <c r="V33" s="40"/>
      <c r="Z33" s="16"/>
      <c r="AA33" s="22"/>
      <c r="AB33" s="22"/>
      <c r="AC33" s="19"/>
      <c r="AD33" s="19"/>
      <c r="AE33" s="22"/>
      <c r="AF33" s="22"/>
      <c r="AG33" s="22"/>
      <c r="AH33" s="16"/>
      <c r="AI33" s="22"/>
      <c r="AJ33" s="22"/>
      <c r="AK33" s="19"/>
      <c r="AL33" s="19"/>
      <c r="AM33" s="22"/>
      <c r="AN33" s="22"/>
      <c r="AO33" s="22"/>
      <c r="AP33" s="16"/>
      <c r="AQ33" s="22"/>
      <c r="AR33" s="22"/>
      <c r="AS33" s="19"/>
      <c r="AT33" s="19"/>
      <c r="AU33" s="22"/>
      <c r="AV33" s="22"/>
      <c r="AW33" s="22"/>
      <c r="AX33" s="16"/>
      <c r="AY33" s="22"/>
      <c r="AZ33" s="22"/>
      <c r="BA33" s="19"/>
      <c r="BB33" s="19"/>
      <c r="BC33" s="22"/>
      <c r="BD33" s="22"/>
      <c r="BE33" s="22"/>
      <c r="BF33" s="16"/>
      <c r="BG33" s="22"/>
      <c r="BH33" s="22"/>
      <c r="BI33" s="19"/>
      <c r="BJ33" s="19"/>
      <c r="BK33" s="22"/>
      <c r="BL33" s="22"/>
      <c r="BM33" s="22"/>
      <c r="BN33" s="16"/>
      <c r="BO33" s="22"/>
      <c r="BP33" s="22"/>
      <c r="BQ33" s="19"/>
      <c r="BR33" s="19"/>
      <c r="BS33" s="22"/>
      <c r="BT33" s="22"/>
      <c r="BU33" s="22"/>
      <c r="BV33" s="16"/>
      <c r="BW33" s="22"/>
      <c r="BX33" s="22"/>
      <c r="BY33" s="19"/>
      <c r="BZ33" s="19"/>
      <c r="CA33" s="22"/>
      <c r="CB33" s="22"/>
      <c r="CC33" s="22"/>
      <c r="CD33" s="16"/>
      <c r="CE33" s="22"/>
      <c r="CF33" s="22"/>
      <c r="CG33" s="19"/>
      <c r="CH33" s="19"/>
      <c r="CI33" s="22"/>
      <c r="CJ33" s="22"/>
      <c r="CK33" s="22"/>
      <c r="CL33" s="16"/>
      <c r="CM33" s="22"/>
      <c r="CN33" s="22"/>
      <c r="CO33" s="19"/>
      <c r="CP33" s="19"/>
      <c r="CQ33" s="22"/>
      <c r="CR33" s="19"/>
    </row>
    <row r="34" spans="1:96" s="21" customFormat="1" ht="39.950000000000003" customHeight="1" thickBot="1" x14ac:dyDescent="0.25">
      <c r="A34" s="104"/>
      <c r="B34" s="104"/>
      <c r="C34" s="2736"/>
      <c r="D34" s="104"/>
      <c r="E34" s="2733"/>
      <c r="F34" s="2734"/>
      <c r="G34" s="2734"/>
      <c r="H34" s="2734"/>
      <c r="I34" s="2734"/>
      <c r="J34" s="2734"/>
      <c r="K34" s="2734"/>
      <c r="L34" s="2734"/>
      <c r="M34" s="2734"/>
      <c r="N34" s="2734"/>
      <c r="O34" s="2734"/>
      <c r="P34" s="2735"/>
      <c r="R34" s="6567" t="str">
        <f>IF(_Calcs_Klasse!$AI$27=1,"Sum","")</f>
        <v/>
      </c>
      <c r="S34" s="6568"/>
      <c r="T34" s="6568"/>
      <c r="U34" s="6568"/>
      <c r="V34" s="6569"/>
      <c r="X34" s="2730"/>
      <c r="Y34" s="7144" t="str">
        <f>_Calcs_Klasse!$AV$136</f>
        <v>Stuff 1-1</v>
      </c>
      <c r="Z34" s="7144"/>
      <c r="AA34" s="7144"/>
      <c r="AB34" s="7144"/>
      <c r="AC34" s="2731"/>
      <c r="AD34" s="2732"/>
      <c r="AF34" s="2730"/>
      <c r="AG34" s="7144" t="str">
        <f>_Calcs_Klasse!$AW$136</f>
        <v/>
      </c>
      <c r="AH34" s="7144"/>
      <c r="AI34" s="7144"/>
      <c r="AJ34" s="7144"/>
      <c r="AK34" s="2731"/>
      <c r="AL34" s="2732"/>
      <c r="AN34" s="2730"/>
      <c r="AO34" s="7144" t="str">
        <f>_Calcs_Klasse!$AX$136</f>
        <v/>
      </c>
      <c r="AP34" s="7144"/>
      <c r="AQ34" s="7144"/>
      <c r="AR34" s="7144"/>
      <c r="AS34" s="2731"/>
      <c r="AT34" s="2732"/>
      <c r="AV34" s="2730"/>
      <c r="AW34" s="7144" t="str">
        <f>_Calcs_Klasse!$AY$136</f>
        <v/>
      </c>
      <c r="AX34" s="7144"/>
      <c r="AY34" s="7144"/>
      <c r="AZ34" s="7144"/>
      <c r="BA34" s="2731"/>
      <c r="BB34" s="2732"/>
      <c r="BD34" s="2730"/>
      <c r="BE34" s="7144" t="str">
        <f>_Calcs_Klasse!$AZ$136</f>
        <v/>
      </c>
      <c r="BF34" s="7144"/>
      <c r="BG34" s="7144"/>
      <c r="BH34" s="7144"/>
      <c r="BI34" s="2731"/>
      <c r="BJ34" s="2732"/>
      <c r="BL34" s="2730"/>
      <c r="BM34" s="7144" t="str">
        <f>_Calcs_Klasse!$BA$136</f>
        <v/>
      </c>
      <c r="BN34" s="7144"/>
      <c r="BO34" s="7144"/>
      <c r="BP34" s="7144"/>
      <c r="BQ34" s="2731"/>
      <c r="BR34" s="2732"/>
      <c r="BT34" s="2730"/>
      <c r="BU34" s="7144" t="str">
        <f>_Calcs_Klasse!$BB$136</f>
        <v/>
      </c>
      <c r="BV34" s="7144"/>
      <c r="BW34" s="7144"/>
      <c r="BX34" s="7144"/>
      <c r="BY34" s="2731"/>
      <c r="BZ34" s="2732"/>
      <c r="CB34" s="2730"/>
      <c r="CC34" s="7144" t="str">
        <f>_Calcs_Klasse!$BC$136</f>
        <v/>
      </c>
      <c r="CD34" s="7144"/>
      <c r="CE34" s="7144"/>
      <c r="CF34" s="7144"/>
      <c r="CG34" s="2731"/>
      <c r="CH34" s="2732"/>
      <c r="CJ34" s="2730"/>
      <c r="CK34" s="7144" t="str">
        <f>_Calcs_Klasse!$BD$136</f>
        <v/>
      </c>
      <c r="CL34" s="7144"/>
      <c r="CM34" s="7144"/>
      <c r="CN34" s="7144"/>
      <c r="CO34" s="2731"/>
      <c r="CP34" s="2732"/>
      <c r="CR34" s="2729"/>
    </row>
    <row r="35" spans="1:96" s="21" customFormat="1" ht="24.95" customHeight="1" thickBot="1" x14ac:dyDescent="0.25">
      <c r="A35" s="20"/>
      <c r="B35" s="20"/>
      <c r="C35" s="13"/>
      <c r="D35" s="20"/>
      <c r="E35" s="14"/>
      <c r="J35" s="16"/>
      <c r="K35" s="16"/>
      <c r="L35" s="50"/>
      <c r="M35" s="50"/>
      <c r="N35" s="50"/>
      <c r="O35" s="15"/>
      <c r="P35" s="15"/>
      <c r="R35" s="8"/>
      <c r="S35" s="40"/>
      <c r="T35" s="40"/>
      <c r="U35" s="40"/>
      <c r="V35" s="8"/>
      <c r="W35" s="16"/>
      <c r="X35" s="16"/>
      <c r="Y35" s="16"/>
      <c r="Z35" s="22"/>
      <c r="AA35" s="16"/>
      <c r="AB35" s="19"/>
      <c r="AE35" s="16"/>
      <c r="AF35" s="16"/>
      <c r="AG35" s="16"/>
      <c r="AH35" s="22"/>
      <c r="AI35" s="16"/>
      <c r="AJ35" s="19"/>
      <c r="AM35" s="16"/>
      <c r="AN35" s="16"/>
      <c r="AO35" s="16"/>
      <c r="AP35" s="22"/>
      <c r="AQ35" s="16"/>
      <c r="AR35" s="19"/>
      <c r="AU35" s="16"/>
      <c r="AV35" s="16"/>
      <c r="AW35" s="16"/>
      <c r="AX35" s="22"/>
      <c r="AY35" s="16"/>
      <c r="AZ35" s="19"/>
      <c r="BC35" s="16"/>
      <c r="BD35" s="16"/>
      <c r="BE35" s="16"/>
      <c r="BF35" s="22"/>
      <c r="BG35" s="16"/>
      <c r="BH35" s="19"/>
      <c r="BK35" s="16"/>
      <c r="BL35" s="16"/>
      <c r="BM35" s="16"/>
      <c r="BN35" s="22"/>
      <c r="BO35" s="16"/>
      <c r="BP35" s="19"/>
      <c r="BS35" s="16"/>
      <c r="BT35" s="16"/>
      <c r="BU35" s="16"/>
      <c r="BV35" s="22"/>
      <c r="BW35" s="16"/>
      <c r="BX35" s="19"/>
      <c r="CA35" s="16"/>
      <c r="CB35" s="16"/>
      <c r="CC35" s="16"/>
      <c r="CD35" s="22"/>
      <c r="CE35" s="16"/>
      <c r="CF35" s="19"/>
      <c r="CI35" s="16"/>
      <c r="CJ35" s="16"/>
      <c r="CK35" s="16"/>
      <c r="CL35" s="22"/>
      <c r="CM35" s="16"/>
      <c r="CN35" s="19"/>
      <c r="CQ35" s="16"/>
    </row>
    <row r="36" spans="1:96" s="21" customFormat="1" ht="20.100000000000001" customHeight="1" thickBot="1" x14ac:dyDescent="0.25">
      <c r="A36" s="25"/>
      <c r="B36" s="25"/>
      <c r="C36" s="1060"/>
      <c r="D36" s="25"/>
      <c r="E36" s="1108"/>
      <c r="F36" s="1019"/>
      <c r="G36" s="1019"/>
      <c r="H36" s="1019"/>
      <c r="I36" s="1019"/>
      <c r="J36" s="5476" t="s">
        <v>131</v>
      </c>
      <c r="K36" s="5476"/>
      <c r="L36" s="1195" t="s">
        <v>154</v>
      </c>
      <c r="M36" s="5476"/>
      <c r="N36" s="5476"/>
      <c r="O36" s="1195" t="s">
        <v>100</v>
      </c>
      <c r="P36" s="1347"/>
      <c r="R36" s="1108"/>
      <c r="S36" s="7157" t="s">
        <v>134</v>
      </c>
      <c r="T36" s="7157"/>
      <c r="U36" s="7157"/>
      <c r="V36" s="1201"/>
      <c r="W36" s="16"/>
      <c r="X36" s="1108"/>
      <c r="Y36" s="1019"/>
      <c r="Z36" s="5476" t="s">
        <v>73</v>
      </c>
      <c r="AA36" s="1163"/>
      <c r="AB36" s="1164"/>
      <c r="AC36" s="1163"/>
      <c r="AD36" s="1110"/>
      <c r="AE36" s="16"/>
      <c r="AF36" s="1108"/>
      <c r="AG36" s="1019"/>
      <c r="AH36" s="5476" t="s">
        <v>73</v>
      </c>
      <c r="AI36" s="1163"/>
      <c r="AJ36" s="1164"/>
      <c r="AK36" s="1163"/>
      <c r="AL36" s="1110"/>
      <c r="AM36" s="16"/>
      <c r="AN36" s="1108"/>
      <c r="AO36" s="1019"/>
      <c r="AP36" s="5476" t="s">
        <v>73</v>
      </c>
      <c r="AQ36" s="1163"/>
      <c r="AR36" s="1164"/>
      <c r="AS36" s="1163"/>
      <c r="AT36" s="1110"/>
      <c r="AU36" s="16"/>
      <c r="AV36" s="1108"/>
      <c r="AW36" s="1019"/>
      <c r="AX36" s="5476" t="s">
        <v>73</v>
      </c>
      <c r="AY36" s="1163"/>
      <c r="AZ36" s="1164"/>
      <c r="BA36" s="1163"/>
      <c r="BB36" s="1110"/>
      <c r="BC36" s="16"/>
      <c r="BD36" s="1108"/>
      <c r="BE36" s="1019"/>
      <c r="BF36" s="5476" t="s">
        <v>73</v>
      </c>
      <c r="BG36" s="1163"/>
      <c r="BH36" s="1164"/>
      <c r="BI36" s="1163"/>
      <c r="BJ36" s="1110"/>
      <c r="BK36" s="16"/>
      <c r="BL36" s="1108"/>
      <c r="BM36" s="1019"/>
      <c r="BN36" s="5476" t="s">
        <v>73</v>
      </c>
      <c r="BO36" s="1163"/>
      <c r="BP36" s="1164"/>
      <c r="BQ36" s="1163"/>
      <c r="BR36" s="1110"/>
      <c r="BS36" s="16"/>
      <c r="BT36" s="1108"/>
      <c r="BU36" s="1019"/>
      <c r="BV36" s="5476" t="s">
        <v>73</v>
      </c>
      <c r="BW36" s="1163"/>
      <c r="BX36" s="1164"/>
      <c r="BY36" s="1163"/>
      <c r="BZ36" s="1110"/>
      <c r="CA36" s="16"/>
      <c r="CB36" s="1108"/>
      <c r="CC36" s="1019"/>
      <c r="CD36" s="5476" t="s">
        <v>73</v>
      </c>
      <c r="CE36" s="1163"/>
      <c r="CF36" s="1164"/>
      <c r="CG36" s="1163"/>
      <c r="CH36" s="1110"/>
      <c r="CI36" s="16"/>
      <c r="CJ36" s="1108"/>
      <c r="CK36" s="1019"/>
      <c r="CL36" s="5476" t="s">
        <v>73</v>
      </c>
      <c r="CM36" s="1163"/>
      <c r="CN36" s="1164"/>
      <c r="CO36" s="1163"/>
      <c r="CP36" s="1110"/>
      <c r="CQ36" s="16"/>
      <c r="CR36" s="33"/>
    </row>
    <row r="37" spans="1:96" s="21" customFormat="1" ht="24.95" customHeight="1" thickBot="1" x14ac:dyDescent="0.25">
      <c r="A37" s="104"/>
      <c r="B37" s="104"/>
      <c r="C37" s="13"/>
      <c r="D37" s="104"/>
      <c r="E37" s="14"/>
      <c r="F37" s="15"/>
      <c r="G37" s="15"/>
      <c r="H37" s="15"/>
      <c r="I37" s="15"/>
      <c r="J37" s="16"/>
      <c r="K37" s="16"/>
      <c r="L37" s="50"/>
      <c r="M37" s="50"/>
      <c r="N37" s="50"/>
      <c r="O37" s="15"/>
      <c r="P37" s="15"/>
      <c r="Q37" s="70"/>
      <c r="R37" s="8"/>
      <c r="S37" s="40"/>
      <c r="T37" s="40"/>
      <c r="U37" s="40"/>
      <c r="V37" s="8"/>
      <c r="W37" s="16"/>
      <c r="X37" s="17"/>
      <c r="Y37" s="17"/>
      <c r="Z37" s="18"/>
      <c r="AA37" s="16"/>
      <c r="AB37" s="19"/>
      <c r="AE37" s="16"/>
      <c r="AF37" s="17"/>
      <c r="AG37" s="17"/>
      <c r="AH37" s="18"/>
      <c r="AI37" s="16"/>
      <c r="AJ37" s="19"/>
      <c r="AM37" s="16"/>
      <c r="AN37" s="17"/>
      <c r="AO37" s="17"/>
      <c r="AP37" s="18"/>
      <c r="AQ37" s="16"/>
      <c r="AR37" s="19"/>
      <c r="AU37" s="16"/>
      <c r="AV37" s="17"/>
      <c r="AW37" s="17"/>
      <c r="AX37" s="18"/>
      <c r="AY37" s="16"/>
      <c r="AZ37" s="19"/>
      <c r="BC37" s="16"/>
      <c r="BD37" s="17"/>
      <c r="BE37" s="17"/>
      <c r="BF37" s="18"/>
      <c r="BG37" s="16"/>
      <c r="BH37" s="19"/>
      <c r="BK37" s="16"/>
      <c r="BL37" s="17"/>
      <c r="BM37" s="17"/>
      <c r="BN37" s="18"/>
      <c r="BO37" s="16"/>
      <c r="BP37" s="19"/>
      <c r="BS37" s="16"/>
      <c r="BT37" s="17"/>
      <c r="BU37" s="17"/>
      <c r="BV37" s="18"/>
      <c r="BW37" s="16"/>
      <c r="BX37" s="19"/>
      <c r="CA37" s="16"/>
      <c r="CB37" s="17"/>
      <c r="CC37" s="17"/>
      <c r="CD37" s="18"/>
      <c r="CE37" s="16"/>
      <c r="CF37" s="19"/>
      <c r="CI37" s="16"/>
      <c r="CJ37" s="17"/>
      <c r="CK37" s="17"/>
      <c r="CL37" s="18"/>
      <c r="CM37" s="16"/>
      <c r="CN37" s="19"/>
      <c r="CQ37" s="16"/>
    </row>
    <row r="38" spans="1:96" s="21" customFormat="1" ht="15" customHeight="1" thickBot="1" x14ac:dyDescent="0.25">
      <c r="A38" s="104"/>
      <c r="B38" s="104"/>
      <c r="C38" s="2723"/>
      <c r="D38" s="104"/>
      <c r="E38" s="2650"/>
      <c r="F38" s="7147" t="s">
        <v>260</v>
      </c>
      <c r="G38" s="7147"/>
      <c r="H38" s="7147"/>
      <c r="I38" s="7147"/>
      <c r="J38" s="7147"/>
      <c r="K38" s="7147"/>
      <c r="L38" s="7147"/>
      <c r="M38" s="7147"/>
      <c r="N38" s="7147"/>
      <c r="O38" s="7147"/>
      <c r="P38" s="2651"/>
      <c r="Q38" s="78"/>
      <c r="R38" s="23"/>
      <c r="S38" s="23"/>
      <c r="T38" s="23"/>
      <c r="U38" s="23"/>
      <c r="V38" s="23"/>
      <c r="W38" s="16"/>
      <c r="X38" s="16"/>
      <c r="Y38" s="16"/>
      <c r="Z38" s="22"/>
      <c r="AA38" s="16"/>
      <c r="AB38" s="19"/>
      <c r="AE38" s="16"/>
      <c r="AF38" s="17"/>
      <c r="AG38" s="17"/>
      <c r="AH38" s="18"/>
      <c r="AI38" s="16"/>
      <c r="AJ38" s="19"/>
      <c r="AM38" s="16"/>
      <c r="AN38" s="17"/>
      <c r="AO38" s="17"/>
      <c r="AP38" s="18"/>
      <c r="AQ38" s="16"/>
      <c r="AR38" s="19"/>
      <c r="AU38" s="16"/>
      <c r="AV38" s="17"/>
      <c r="AW38" s="17"/>
      <c r="AX38" s="18"/>
      <c r="AY38" s="16"/>
      <c r="AZ38" s="19"/>
      <c r="BC38" s="16"/>
      <c r="BD38" s="17"/>
      <c r="BE38" s="17"/>
      <c r="BF38" s="18"/>
      <c r="BG38" s="16"/>
      <c r="BH38" s="19"/>
      <c r="BK38" s="16"/>
      <c r="BL38" s="17"/>
      <c r="BM38" s="17"/>
      <c r="BN38" s="18"/>
      <c r="BO38" s="16"/>
      <c r="BP38" s="19"/>
      <c r="BS38" s="16"/>
      <c r="BT38" s="17"/>
      <c r="BU38" s="17"/>
      <c r="BV38" s="18"/>
      <c r="BW38" s="16"/>
      <c r="BX38" s="19"/>
      <c r="CA38" s="16"/>
      <c r="CB38" s="17"/>
      <c r="CC38" s="17"/>
      <c r="CD38" s="18"/>
      <c r="CE38" s="16"/>
      <c r="CF38" s="19"/>
      <c r="CI38" s="16"/>
      <c r="CJ38" s="17"/>
      <c r="CK38" s="17"/>
      <c r="CL38" s="18"/>
      <c r="CM38" s="16"/>
      <c r="CN38" s="19"/>
      <c r="CQ38" s="16"/>
    </row>
    <row r="39" spans="1:96" s="21" customFormat="1" ht="15" customHeight="1" thickBot="1" x14ac:dyDescent="0.25">
      <c r="A39" s="104"/>
      <c r="B39" s="104"/>
      <c r="C39" s="6795" t="s">
        <v>897</v>
      </c>
      <c r="D39" s="104"/>
      <c r="E39" s="2652"/>
      <c r="F39" s="7148"/>
      <c r="G39" s="7148"/>
      <c r="H39" s="7148"/>
      <c r="I39" s="7148"/>
      <c r="J39" s="7148"/>
      <c r="K39" s="7148"/>
      <c r="L39" s="7148"/>
      <c r="M39" s="7148"/>
      <c r="N39" s="7148"/>
      <c r="O39" s="7148"/>
      <c r="P39" s="2653"/>
      <c r="Q39" s="78"/>
      <c r="R39" s="1215"/>
      <c r="S39" s="1216"/>
      <c r="T39" s="1216"/>
      <c r="U39" s="1216"/>
      <c r="V39" s="1217"/>
      <c r="W39" s="16"/>
      <c r="X39" s="2644"/>
      <c r="Y39" s="2645"/>
      <c r="Z39" s="2646"/>
      <c r="AA39" s="2645"/>
      <c r="AB39" s="2647"/>
      <c r="AC39" s="2648"/>
      <c r="AD39" s="2649"/>
      <c r="AE39" s="16"/>
      <c r="AF39" s="2704"/>
      <c r="AG39" s="2705"/>
      <c r="AH39" s="2706"/>
      <c r="AI39" s="2645"/>
      <c r="AJ39" s="2647"/>
      <c r="AK39" s="2648"/>
      <c r="AL39" s="2649"/>
      <c r="AM39" s="16"/>
      <c r="AN39" s="2704"/>
      <c r="AO39" s="2705"/>
      <c r="AP39" s="2706"/>
      <c r="AQ39" s="2645"/>
      <c r="AR39" s="2647"/>
      <c r="AS39" s="2648"/>
      <c r="AT39" s="2649"/>
      <c r="AU39" s="16"/>
      <c r="AV39" s="2704"/>
      <c r="AW39" s="2705"/>
      <c r="AX39" s="2706"/>
      <c r="AY39" s="2645"/>
      <c r="AZ39" s="2647"/>
      <c r="BA39" s="2648"/>
      <c r="BB39" s="2649"/>
      <c r="BC39" s="16"/>
      <c r="BD39" s="2704"/>
      <c r="BE39" s="2705"/>
      <c r="BF39" s="2706"/>
      <c r="BG39" s="2645"/>
      <c r="BH39" s="2647"/>
      <c r="BI39" s="2648"/>
      <c r="BJ39" s="2649"/>
      <c r="BK39" s="16"/>
      <c r="BL39" s="2704"/>
      <c r="BM39" s="2705"/>
      <c r="BN39" s="2706"/>
      <c r="BO39" s="2645"/>
      <c r="BP39" s="2647"/>
      <c r="BQ39" s="2648"/>
      <c r="BR39" s="2649"/>
      <c r="BS39" s="16"/>
      <c r="BT39" s="2704"/>
      <c r="BU39" s="2705"/>
      <c r="BV39" s="2706"/>
      <c r="BW39" s="2645"/>
      <c r="BX39" s="2647"/>
      <c r="BY39" s="2648"/>
      <c r="BZ39" s="2649"/>
      <c r="CA39" s="16"/>
      <c r="CB39" s="2704"/>
      <c r="CC39" s="2705"/>
      <c r="CD39" s="2706"/>
      <c r="CE39" s="2645"/>
      <c r="CF39" s="2647"/>
      <c r="CG39" s="2648"/>
      <c r="CH39" s="2649"/>
      <c r="CI39" s="16"/>
      <c r="CJ39" s="2704"/>
      <c r="CK39" s="2705"/>
      <c r="CL39" s="2706"/>
      <c r="CM39" s="2645"/>
      <c r="CN39" s="2647"/>
      <c r="CO39" s="2648"/>
      <c r="CP39" s="2649"/>
      <c r="CQ39" s="16"/>
      <c r="CR39" s="2698"/>
    </row>
    <row r="40" spans="1:96" s="21" customFormat="1" ht="8.1" customHeight="1" thickBot="1" x14ac:dyDescent="0.25">
      <c r="A40" s="104"/>
      <c r="B40" s="104"/>
      <c r="C40" s="6795"/>
      <c r="D40" s="104"/>
      <c r="E40" s="14"/>
      <c r="F40" s="15"/>
      <c r="G40" s="15"/>
      <c r="H40" s="15"/>
      <c r="I40" s="15"/>
      <c r="J40" s="16"/>
      <c r="K40" s="16"/>
      <c r="L40" s="50"/>
      <c r="M40" s="50"/>
      <c r="N40" s="50"/>
      <c r="O40" s="15"/>
      <c r="P40" s="15"/>
      <c r="Q40" s="70"/>
      <c r="R40" s="8"/>
      <c r="S40" s="40"/>
      <c r="T40" s="40"/>
      <c r="U40" s="40"/>
      <c r="V40" s="8"/>
      <c r="W40" s="16"/>
      <c r="X40" s="17"/>
      <c r="Y40" s="17"/>
      <c r="Z40" s="18"/>
      <c r="AA40" s="16"/>
      <c r="AB40" s="19"/>
      <c r="AE40" s="16"/>
      <c r="AF40" s="17"/>
      <c r="AG40" s="17"/>
      <c r="AH40" s="18"/>
      <c r="AI40" s="16"/>
      <c r="AJ40" s="19"/>
      <c r="AM40" s="16"/>
      <c r="AN40" s="17"/>
      <c r="AO40" s="17"/>
      <c r="AP40" s="18"/>
      <c r="AQ40" s="16"/>
      <c r="AR40" s="19"/>
      <c r="AU40" s="16"/>
      <c r="AV40" s="17"/>
      <c r="AW40" s="17"/>
      <c r="AX40" s="18"/>
      <c r="AY40" s="16"/>
      <c r="AZ40" s="19"/>
      <c r="BC40" s="16"/>
      <c r="BD40" s="17"/>
      <c r="BE40" s="17"/>
      <c r="BF40" s="18"/>
      <c r="BG40" s="16"/>
      <c r="BH40" s="19"/>
      <c r="BK40" s="16"/>
      <c r="BL40" s="17"/>
      <c r="BM40" s="17"/>
      <c r="BN40" s="18"/>
      <c r="BO40" s="16"/>
      <c r="BP40" s="19"/>
      <c r="BS40" s="16"/>
      <c r="BT40" s="17"/>
      <c r="BU40" s="17"/>
      <c r="BV40" s="18"/>
      <c r="BW40" s="16"/>
      <c r="BX40" s="19"/>
      <c r="CA40" s="16"/>
      <c r="CB40" s="17"/>
      <c r="CC40" s="17"/>
      <c r="CD40" s="18"/>
      <c r="CE40" s="16"/>
      <c r="CF40" s="19"/>
      <c r="CI40" s="16"/>
      <c r="CJ40" s="17"/>
      <c r="CK40" s="17"/>
      <c r="CL40" s="18"/>
      <c r="CM40" s="16"/>
      <c r="CN40" s="19"/>
      <c r="CQ40" s="16"/>
    </row>
    <row r="41" spans="1:96" s="21" customFormat="1" ht="15" customHeight="1" thickBot="1" x14ac:dyDescent="0.25">
      <c r="A41" s="104"/>
      <c r="B41" s="104"/>
      <c r="C41" s="6795"/>
      <c r="D41" s="104"/>
      <c r="E41" s="2654"/>
      <c r="F41" s="2655"/>
      <c r="G41" s="2655"/>
      <c r="H41" s="2655"/>
      <c r="I41" s="2655"/>
      <c r="J41" s="2656"/>
      <c r="K41" s="2656"/>
      <c r="L41" s="2657"/>
      <c r="M41" s="2657"/>
      <c r="N41" s="2657"/>
      <c r="O41" s="2655"/>
      <c r="P41" s="2658"/>
      <c r="Q41" s="70"/>
      <c r="R41" s="1153"/>
      <c r="S41" s="1154"/>
      <c r="T41" s="1154"/>
      <c r="U41" s="1154"/>
      <c r="V41" s="1155"/>
      <c r="W41" s="16"/>
      <c r="X41" s="2669"/>
      <c r="Y41" s="2655"/>
      <c r="Z41" s="2670"/>
      <c r="AA41" s="2656"/>
      <c r="AB41" s="2671"/>
      <c r="AC41" s="2672"/>
      <c r="AD41" s="2673"/>
      <c r="AE41" s="16"/>
      <c r="AF41" s="2669"/>
      <c r="AG41" s="2655"/>
      <c r="AH41" s="2670"/>
      <c r="AI41" s="2656"/>
      <c r="AJ41" s="2671"/>
      <c r="AK41" s="2672"/>
      <c r="AL41" s="2673"/>
      <c r="AM41" s="16"/>
      <c r="AN41" s="2669"/>
      <c r="AO41" s="2655"/>
      <c r="AP41" s="2670"/>
      <c r="AQ41" s="2656"/>
      <c r="AR41" s="2671"/>
      <c r="AS41" s="2672"/>
      <c r="AT41" s="2673"/>
      <c r="AU41" s="16"/>
      <c r="AV41" s="2669"/>
      <c r="AW41" s="2655"/>
      <c r="AX41" s="2670"/>
      <c r="AY41" s="2656"/>
      <c r="AZ41" s="2671"/>
      <c r="BA41" s="2672"/>
      <c r="BB41" s="2673"/>
      <c r="BC41" s="16"/>
      <c r="BD41" s="2669"/>
      <c r="BE41" s="2655"/>
      <c r="BF41" s="2670"/>
      <c r="BG41" s="2656"/>
      <c r="BH41" s="2671"/>
      <c r="BI41" s="2672"/>
      <c r="BJ41" s="2673"/>
      <c r="BK41" s="16"/>
      <c r="BL41" s="2669"/>
      <c r="BM41" s="2655"/>
      <c r="BN41" s="2670"/>
      <c r="BO41" s="2656"/>
      <c r="BP41" s="2671"/>
      <c r="BQ41" s="2672"/>
      <c r="BR41" s="2673"/>
      <c r="BS41" s="16"/>
      <c r="BT41" s="2669"/>
      <c r="BU41" s="2655"/>
      <c r="BV41" s="2670"/>
      <c r="BW41" s="2656"/>
      <c r="BX41" s="2671"/>
      <c r="BY41" s="2672"/>
      <c r="BZ41" s="2673"/>
      <c r="CA41" s="16"/>
      <c r="CB41" s="2669"/>
      <c r="CC41" s="2655"/>
      <c r="CD41" s="2670"/>
      <c r="CE41" s="2656"/>
      <c r="CF41" s="2671"/>
      <c r="CG41" s="2672"/>
      <c r="CH41" s="2673"/>
      <c r="CI41" s="16"/>
      <c r="CJ41" s="2669"/>
      <c r="CK41" s="2655"/>
      <c r="CL41" s="2670"/>
      <c r="CM41" s="2656"/>
      <c r="CN41" s="2671"/>
      <c r="CO41" s="2672"/>
      <c r="CP41" s="2673"/>
      <c r="CQ41" s="16"/>
      <c r="CR41" s="2702"/>
    </row>
    <row r="42" spans="1:96" s="21" customFormat="1" ht="20.100000000000001" customHeight="1" thickBot="1" x14ac:dyDescent="0.25">
      <c r="A42" s="104"/>
      <c r="B42" s="104"/>
      <c r="C42" s="6795"/>
      <c r="D42" s="104"/>
      <c r="E42" s="2659"/>
      <c r="F42" s="2660" t="s">
        <v>501</v>
      </c>
      <c r="G42" s="2660"/>
      <c r="H42" s="2660"/>
      <c r="I42" s="2660"/>
      <c r="J42" s="2697" t="s">
        <v>149</v>
      </c>
      <c r="K42" s="2661"/>
      <c r="L42" s="2662"/>
      <c r="M42" s="2662"/>
      <c r="N42" s="2662"/>
      <c r="O42" s="2660" t="s">
        <v>78</v>
      </c>
      <c r="P42" s="2663"/>
      <c r="Q42" s="70"/>
      <c r="R42" s="1156"/>
      <c r="S42" s="7190">
        <f>IF(_Calcs_Klasse!$AI$31=1,_Calcs_Klasse!BG97,IF(_Calcs_Klasse!$AI$31=2,_Calcs_Klasse!BG98,""))</f>
        <v>0</v>
      </c>
      <c r="T42" s="7191"/>
      <c r="U42" s="7192"/>
      <c r="V42" s="1157"/>
      <c r="W42" s="16"/>
      <c r="X42" s="2674"/>
      <c r="Y42" s="2661"/>
      <c r="Z42" s="5542">
        <f>INDEX(position_klasse[actual_lengde],MATCH(1,position_klasse[Position],0))</f>
        <v>0</v>
      </c>
      <c r="AA42" s="2661"/>
      <c r="AB42" s="5543" t="str">
        <f>IF(_Calcs_Klasse!$AI$27=2,"✓",IF(_Calcs!$NO$326=1,"✓","!"))</f>
        <v>✓</v>
      </c>
      <c r="AC42" s="2661"/>
      <c r="AD42" s="2675"/>
      <c r="AE42" s="16"/>
      <c r="AF42" s="2674"/>
      <c r="AG42" s="2661"/>
      <c r="AH42" s="5542" t="e">
        <f>INDEX(position_klasse[actual_lengde],MATCH(2,position_klasse[Position],0))</f>
        <v>#N/A</v>
      </c>
      <c r="AI42" s="2661"/>
      <c r="AJ42" s="5543" t="str">
        <f>IF(_Calcs_Klasse!$AI$27=2,"✓",IF(_Calcs!$NP$326=1,"✓","!"))</f>
        <v>✓</v>
      </c>
      <c r="AK42" s="2661"/>
      <c r="AL42" s="2675"/>
      <c r="AM42" s="16"/>
      <c r="AN42" s="2674"/>
      <c r="AO42" s="2661"/>
      <c r="AP42" s="5542" t="e">
        <f>INDEX(position_klasse[actual_lengde],MATCH(3,position_klasse[Position],0))</f>
        <v>#N/A</v>
      </c>
      <c r="AQ42" s="2661"/>
      <c r="AR42" s="5543" t="str">
        <f>IF(_Calcs_Klasse!$AI$27=2,"✓",IF(_Calcs!$NQ$326=1,"✓","!"))</f>
        <v>✓</v>
      </c>
      <c r="AS42" s="2661"/>
      <c r="AT42" s="2675"/>
      <c r="AU42" s="16"/>
      <c r="AV42" s="2674"/>
      <c r="AW42" s="2661"/>
      <c r="AX42" s="5542" t="e">
        <f>INDEX(position_klasse[actual_lengde],MATCH(4,position_klasse[Position],0))</f>
        <v>#N/A</v>
      </c>
      <c r="AY42" s="2661"/>
      <c r="AZ42" s="5543" t="str">
        <f>IF(_Calcs_Klasse!$AI$27=2,"✓",IF(_Calcs!$NR$326=1,"✓","!"))</f>
        <v>✓</v>
      </c>
      <c r="BA42" s="2661"/>
      <c r="BB42" s="2675"/>
      <c r="BC42" s="16"/>
      <c r="BD42" s="2674"/>
      <c r="BE42" s="2661"/>
      <c r="BF42" s="5542" t="e">
        <f>INDEX(position_klasse[actual_lengde],MATCH(5,position_klasse[Position],0))</f>
        <v>#N/A</v>
      </c>
      <c r="BG42" s="2661"/>
      <c r="BH42" s="5543" t="str">
        <f>IF(_Calcs_Klasse!$AI$27=2,"✓",IF(_Calcs!$NS$326=1,"✓","!"))</f>
        <v>✓</v>
      </c>
      <c r="BI42" s="2661"/>
      <c r="BJ42" s="2675"/>
      <c r="BK42" s="16"/>
      <c r="BL42" s="2674"/>
      <c r="BM42" s="2661"/>
      <c r="BN42" s="5542" t="e">
        <f>INDEX(position_klasse[actual_lengde],MATCH(6,position_klasse[Position],0))</f>
        <v>#N/A</v>
      </c>
      <c r="BO42" s="2661"/>
      <c r="BP42" s="5543" t="str">
        <f>IF(_Calcs_Klasse!$AI$27=2,"✓",IF(_Calcs!$NT$326=1,"✓","!"))</f>
        <v>✓</v>
      </c>
      <c r="BQ42" s="2661"/>
      <c r="BR42" s="2675"/>
      <c r="BS42" s="16"/>
      <c r="BT42" s="2674"/>
      <c r="BU42" s="2661"/>
      <c r="BV42" s="5542" t="e">
        <f>INDEX(position_klasse[actual_lengde],MATCH(7,position_klasse[Position],0))</f>
        <v>#N/A</v>
      </c>
      <c r="BW42" s="2661"/>
      <c r="BX42" s="5543" t="str">
        <f>IF(_Calcs_Klasse!$AI$27=2,"✓",IF(_Calcs!$NU$326=1,"✓","!"))</f>
        <v>✓</v>
      </c>
      <c r="BY42" s="2661"/>
      <c r="BZ42" s="2675"/>
      <c r="CA42" s="16"/>
      <c r="CB42" s="2674"/>
      <c r="CC42" s="2661"/>
      <c r="CD42" s="5542" t="e">
        <f>INDEX(position_klasse[actual_lengde],MATCH(8,position_klasse[Position],0))</f>
        <v>#N/A</v>
      </c>
      <c r="CE42" s="2661"/>
      <c r="CF42" s="5543" t="str">
        <f>IF(_Calcs_Klasse!$AI$27=2,"✓",IF(_Calcs!$NV$326=1,"✓","!"))</f>
        <v>✓</v>
      </c>
      <c r="CG42" s="2661"/>
      <c r="CH42" s="2675"/>
      <c r="CI42" s="16"/>
      <c r="CJ42" s="2674"/>
      <c r="CK42" s="2661"/>
      <c r="CL42" s="5542" t="e">
        <f>INDEX(position_klasse[actual_lengde],MATCH(9,position_klasse[Position],0))</f>
        <v>#N/A</v>
      </c>
      <c r="CM42" s="2661"/>
      <c r="CN42" s="5543" t="str">
        <f>IF(_Calcs_Klasse!$AI$27=2,"✓",IF(_Calcs!$NW$326=1,"✓","!"))</f>
        <v>✓</v>
      </c>
      <c r="CO42" s="2702"/>
      <c r="CP42" s="2703"/>
      <c r="CQ42" s="16"/>
      <c r="CR42" s="2702"/>
    </row>
    <row r="43" spans="1:96" s="21" customFormat="1" ht="15" customHeight="1" thickBot="1" x14ac:dyDescent="0.25">
      <c r="A43" s="104"/>
      <c r="B43" s="104"/>
      <c r="C43" s="2724"/>
      <c r="D43" s="104"/>
      <c r="E43" s="2664"/>
      <c r="F43" s="2665"/>
      <c r="G43" s="2665"/>
      <c r="H43" s="2665"/>
      <c r="I43" s="2665"/>
      <c r="J43" s="2666"/>
      <c r="K43" s="2666"/>
      <c r="L43" s="2667"/>
      <c r="M43" s="2667"/>
      <c r="N43" s="2667"/>
      <c r="O43" s="2665"/>
      <c r="P43" s="2668"/>
      <c r="Q43" s="70"/>
      <c r="R43" s="1158"/>
      <c r="S43" s="1159"/>
      <c r="T43" s="1159"/>
      <c r="U43" s="1159"/>
      <c r="V43" s="1160"/>
      <c r="W43" s="16"/>
      <c r="X43" s="2738"/>
      <c r="Y43" s="2666"/>
      <c r="Z43" s="2739"/>
      <c r="AA43" s="2666"/>
      <c r="AB43" s="2676"/>
      <c r="AC43" s="2666"/>
      <c r="AD43" s="2740"/>
      <c r="AE43" s="16"/>
      <c r="AF43" s="2738"/>
      <c r="AG43" s="2666"/>
      <c r="AH43" s="2739"/>
      <c r="AI43" s="2666"/>
      <c r="AJ43" s="2676"/>
      <c r="AK43" s="2666"/>
      <c r="AL43" s="2740"/>
      <c r="AM43" s="16"/>
      <c r="AN43" s="2738"/>
      <c r="AO43" s="2666"/>
      <c r="AP43" s="2739"/>
      <c r="AQ43" s="2666"/>
      <c r="AR43" s="2676"/>
      <c r="AS43" s="2666"/>
      <c r="AT43" s="2740"/>
      <c r="AU43" s="16"/>
      <c r="AV43" s="2738"/>
      <c r="AW43" s="2666"/>
      <c r="AX43" s="2739"/>
      <c r="AY43" s="2666"/>
      <c r="AZ43" s="2676"/>
      <c r="BA43" s="2666"/>
      <c r="BB43" s="2740"/>
      <c r="BC43" s="16"/>
      <c r="BD43" s="2738"/>
      <c r="BE43" s="2666"/>
      <c r="BF43" s="2739"/>
      <c r="BG43" s="2666"/>
      <c r="BH43" s="2676"/>
      <c r="BI43" s="2666"/>
      <c r="BJ43" s="2740"/>
      <c r="BK43" s="16"/>
      <c r="BL43" s="2738"/>
      <c r="BM43" s="2666"/>
      <c r="BN43" s="2739"/>
      <c r="BO43" s="2666"/>
      <c r="BP43" s="2676"/>
      <c r="BQ43" s="2666"/>
      <c r="BR43" s="2740"/>
      <c r="BS43" s="16"/>
      <c r="BT43" s="2738"/>
      <c r="BU43" s="2666"/>
      <c r="BV43" s="2739"/>
      <c r="BW43" s="2666"/>
      <c r="BX43" s="2676"/>
      <c r="BY43" s="2666"/>
      <c r="BZ43" s="2740"/>
      <c r="CA43" s="16"/>
      <c r="CB43" s="2738"/>
      <c r="CC43" s="2666"/>
      <c r="CD43" s="2739"/>
      <c r="CE43" s="2666"/>
      <c r="CF43" s="2676"/>
      <c r="CG43" s="2666"/>
      <c r="CH43" s="2740"/>
      <c r="CI43" s="16"/>
      <c r="CJ43" s="2738"/>
      <c r="CK43" s="2666"/>
      <c r="CL43" s="2739"/>
      <c r="CM43" s="2666"/>
      <c r="CN43" s="2676"/>
      <c r="CO43" s="2677"/>
      <c r="CP43" s="2678"/>
      <c r="CQ43" s="16"/>
      <c r="CR43" s="2702"/>
    </row>
    <row r="44" spans="1:96" s="21" customFormat="1" ht="8.1" customHeight="1" thickBot="1" x14ac:dyDescent="0.25">
      <c r="A44" s="104"/>
      <c r="B44" s="104"/>
      <c r="C44" s="2724"/>
      <c r="D44" s="104"/>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row>
    <row r="45" spans="1:96" s="21" customFormat="1" ht="15" customHeight="1" thickBot="1" x14ac:dyDescent="0.25">
      <c r="A45" s="104"/>
      <c r="B45" s="104"/>
      <c r="C45" s="2724"/>
      <c r="D45" s="104"/>
      <c r="E45" s="2760"/>
      <c r="F45" s="2761"/>
      <c r="G45" s="2761"/>
      <c r="H45" s="2761"/>
      <c r="I45" s="2761"/>
      <c r="J45" s="2753"/>
      <c r="K45" s="2753"/>
      <c r="L45" s="2762"/>
      <c r="M45" s="2762"/>
      <c r="N45" s="2762"/>
      <c r="O45" s="2761"/>
      <c r="P45" s="2763"/>
      <c r="Q45" s="70"/>
      <c r="R45" s="1153"/>
      <c r="S45" s="1154"/>
      <c r="T45" s="1154"/>
      <c r="U45" s="1154"/>
      <c r="V45" s="1155"/>
      <c r="W45" s="16"/>
      <c r="X45" s="2752"/>
      <c r="Y45" s="2753"/>
      <c r="Z45" s="2754"/>
      <c r="AA45" s="2753"/>
      <c r="AB45" s="2755"/>
      <c r="AC45" s="2753"/>
      <c r="AD45" s="2759"/>
      <c r="AE45" s="16"/>
      <c r="AF45" s="2752"/>
      <c r="AG45" s="2753"/>
      <c r="AH45" s="2754"/>
      <c r="AI45" s="2753"/>
      <c r="AJ45" s="2755"/>
      <c r="AK45" s="2753"/>
      <c r="AL45" s="2759"/>
      <c r="AM45" s="16"/>
      <c r="AN45" s="2752"/>
      <c r="AO45" s="2753"/>
      <c r="AP45" s="2754"/>
      <c r="AQ45" s="2753"/>
      <c r="AR45" s="2755"/>
      <c r="AS45" s="2753"/>
      <c r="AT45" s="2759"/>
      <c r="AU45" s="16"/>
      <c r="AV45" s="2752"/>
      <c r="AW45" s="2753"/>
      <c r="AX45" s="2754"/>
      <c r="AY45" s="2753"/>
      <c r="AZ45" s="2755"/>
      <c r="BA45" s="2753"/>
      <c r="BB45" s="2759"/>
      <c r="BC45" s="16"/>
      <c r="BD45" s="2752"/>
      <c r="BE45" s="2753"/>
      <c r="BF45" s="2754"/>
      <c r="BG45" s="2753"/>
      <c r="BH45" s="2755"/>
      <c r="BI45" s="2753"/>
      <c r="BJ45" s="2759"/>
      <c r="BK45" s="16"/>
      <c r="BL45" s="2752"/>
      <c r="BM45" s="2753"/>
      <c r="BN45" s="2754"/>
      <c r="BO45" s="2753"/>
      <c r="BP45" s="2755"/>
      <c r="BQ45" s="2753"/>
      <c r="BR45" s="2759"/>
      <c r="BS45" s="16"/>
      <c r="BT45" s="2752"/>
      <c r="BU45" s="2753"/>
      <c r="BV45" s="2754"/>
      <c r="BW45" s="2753"/>
      <c r="BX45" s="2755"/>
      <c r="BY45" s="2753"/>
      <c r="BZ45" s="2759"/>
      <c r="CA45" s="16"/>
      <c r="CB45" s="2752"/>
      <c r="CC45" s="2753"/>
      <c r="CD45" s="2754"/>
      <c r="CE45" s="2753"/>
      <c r="CF45" s="2755"/>
      <c r="CG45" s="2753"/>
      <c r="CH45" s="2759"/>
      <c r="CI45" s="16"/>
      <c r="CJ45" s="2752"/>
      <c r="CK45" s="2753"/>
      <c r="CL45" s="2754"/>
      <c r="CM45" s="2753"/>
      <c r="CN45" s="2755"/>
      <c r="CO45" s="2756"/>
      <c r="CP45" s="2757"/>
      <c r="CQ45" s="16"/>
      <c r="CR45" s="2749"/>
    </row>
    <row r="46" spans="1:96" s="21" customFormat="1" ht="20.100000000000001" customHeight="1" thickBot="1" x14ac:dyDescent="0.25">
      <c r="A46" s="104"/>
      <c r="B46" s="104"/>
      <c r="C46" s="2724"/>
      <c r="D46" s="104"/>
      <c r="E46" s="2764"/>
      <c r="F46" s="2765" t="s">
        <v>925</v>
      </c>
      <c r="G46" s="2765"/>
      <c r="H46" s="2765"/>
      <c r="I46" s="2765"/>
      <c r="J46" s="2766" t="s">
        <v>149</v>
      </c>
      <c r="K46" s="2748"/>
      <c r="L46" s="2767"/>
      <c r="M46" s="2767"/>
      <c r="N46" s="2767"/>
      <c r="O46" s="2765" t="s">
        <v>78</v>
      </c>
      <c r="P46" s="2768"/>
      <c r="Q46" s="70"/>
      <c r="R46" s="1156"/>
      <c r="S46" s="7190">
        <f>IF(_Calcs_Klasse!$AI$31=1,_Calcs_Klasse!$BI$97,IF(_Calcs_Klasse!$AI$31=2,_Calcs_Klasse!$BI98,""))</f>
        <v>-2400</v>
      </c>
      <c r="T46" s="7191"/>
      <c r="U46" s="7192"/>
      <c r="V46" s="1157"/>
      <c r="W46" s="16"/>
      <c r="X46" s="2751"/>
      <c r="Y46" s="2748"/>
      <c r="Z46" s="5542">
        <f>INDEX(position_klasse[remain_length],MATCH(1,position_klasse[Position],0))</f>
        <v>-2400</v>
      </c>
      <c r="AA46" s="2748"/>
      <c r="AB46" s="5543" t="str">
        <f>IF(_Calcs_Klasse!$AI$27=2,"✓",IF(_Calcs!$NO$363=0,"!","✓"))</f>
        <v>✓</v>
      </c>
      <c r="AC46" s="2748"/>
      <c r="AD46" s="2758"/>
      <c r="AE46" s="16"/>
      <c r="AF46" s="2751"/>
      <c r="AG46" s="2748"/>
      <c r="AH46" s="5542" t="e">
        <f>INDEX(position_klasse[remain_length],MATCH(2,position_klasse[Position],0))</f>
        <v>#N/A</v>
      </c>
      <c r="AI46" s="2748"/>
      <c r="AJ46" s="5543" t="str">
        <f>IF(_Calcs_Klasse!$AI$27=2,"✓",IF(_Calcs!$NP$363=0,"!","✓"))</f>
        <v>✓</v>
      </c>
      <c r="AK46" s="2748"/>
      <c r="AL46" s="2758"/>
      <c r="AM46" s="16"/>
      <c r="AN46" s="2751"/>
      <c r="AO46" s="2748"/>
      <c r="AP46" s="5542" t="e">
        <f>INDEX(position_klasse[remain_length],MATCH(3,position_klasse[Position],0))</f>
        <v>#N/A</v>
      </c>
      <c r="AQ46" s="2748"/>
      <c r="AR46" s="5543" t="str">
        <f>IF(_Calcs_Klasse!$AI$27=2,"✓",IF(_Calcs!$NQ$363=0,"!","✓"))</f>
        <v>✓</v>
      </c>
      <c r="AS46" s="2748"/>
      <c r="AT46" s="2758"/>
      <c r="AU46" s="16"/>
      <c r="AV46" s="2751"/>
      <c r="AW46" s="2748"/>
      <c r="AX46" s="5542" t="e">
        <f>INDEX(position_klasse[remain_length],MATCH(4,position_klasse[Position],0))</f>
        <v>#N/A</v>
      </c>
      <c r="AY46" s="2748"/>
      <c r="AZ46" s="5543" t="str">
        <f>IF(_Calcs_Klasse!$AI$27=2,"✓",IF(_Calcs!$NR$363=0,"!","✓"))</f>
        <v>✓</v>
      </c>
      <c r="BA46" s="2748"/>
      <c r="BB46" s="2758"/>
      <c r="BC46" s="16"/>
      <c r="BD46" s="2751"/>
      <c r="BE46" s="2748"/>
      <c r="BF46" s="5542" t="e">
        <f>INDEX(position_klasse[remain_length],MATCH(5,position_klasse[Position],0))</f>
        <v>#N/A</v>
      </c>
      <c r="BG46" s="2748"/>
      <c r="BH46" s="5543" t="str">
        <f>IF(_Calcs_Klasse!$AI$27=2,"✓",IF(_Calcs!$NS$363=0,"!","✓"))</f>
        <v>✓</v>
      </c>
      <c r="BI46" s="2748"/>
      <c r="BJ46" s="2758"/>
      <c r="BK46" s="16"/>
      <c r="BL46" s="2751"/>
      <c r="BM46" s="2748"/>
      <c r="BN46" s="5542" t="e">
        <f>INDEX(position_klasse[remain_length],MATCH(6,position_klasse[Position],0))</f>
        <v>#N/A</v>
      </c>
      <c r="BO46" s="2748"/>
      <c r="BP46" s="5543" t="str">
        <f>IF(_Calcs_Klasse!$AI$27=2,"✓",IF(_Calcs!$NT$363=0,"!","✓"))</f>
        <v>✓</v>
      </c>
      <c r="BQ46" s="2748"/>
      <c r="BR46" s="2758"/>
      <c r="BS46" s="16"/>
      <c r="BT46" s="2751"/>
      <c r="BU46" s="2748"/>
      <c r="BV46" s="5542" t="e">
        <f>INDEX(position_klasse[remain_length],MATCH(7,position_klasse[Position],0))</f>
        <v>#N/A</v>
      </c>
      <c r="BW46" s="2748"/>
      <c r="BX46" s="5543" t="str">
        <f>IF(_Calcs_Klasse!$AI$27=2,"✓",IF(_Calcs!$NU$363=0,"!","✓"))</f>
        <v>✓</v>
      </c>
      <c r="BY46" s="2748"/>
      <c r="BZ46" s="2758"/>
      <c r="CA46" s="16"/>
      <c r="CB46" s="2751"/>
      <c r="CC46" s="2748"/>
      <c r="CD46" s="5542" t="e">
        <f>INDEX(position_klasse[remain_length],MATCH(8,position_klasse[Position],0))</f>
        <v>#N/A</v>
      </c>
      <c r="CE46" s="2748"/>
      <c r="CF46" s="5543" t="str">
        <f>IF(_Calcs_Klasse!$AI$27=2,"✓",IF(_Calcs!$NV$363=0,"!","✓"))</f>
        <v>✓</v>
      </c>
      <c r="CG46" s="2748"/>
      <c r="CH46" s="2758"/>
      <c r="CI46" s="16"/>
      <c r="CJ46" s="2751"/>
      <c r="CK46" s="2748"/>
      <c r="CL46" s="5542" t="e">
        <f>INDEX(position_klasse[remain_length],MATCH(9,position_klasse[Position],0))</f>
        <v>#N/A</v>
      </c>
      <c r="CM46" s="2748"/>
      <c r="CN46" s="5543" t="str">
        <f>IF(_Calcs_Klasse!$AI$27=2,"✓",IF(_Calcs!$NW$363=0,"!","✓"))</f>
        <v>✓</v>
      </c>
      <c r="CO46" s="2749"/>
      <c r="CP46" s="2750"/>
      <c r="CQ46" s="16"/>
      <c r="CR46" s="2749"/>
    </row>
    <row r="47" spans="1:96" s="21" customFormat="1" ht="15" customHeight="1" thickBot="1" x14ac:dyDescent="0.25">
      <c r="A47" s="104"/>
      <c r="B47" s="104"/>
      <c r="C47" s="2725"/>
      <c r="D47" s="104"/>
      <c r="E47" s="2769"/>
      <c r="F47" s="2742"/>
      <c r="G47" s="2742"/>
      <c r="H47" s="2742"/>
      <c r="I47" s="2742"/>
      <c r="J47" s="2744"/>
      <c r="K47" s="2744"/>
      <c r="L47" s="2770"/>
      <c r="M47" s="2770"/>
      <c r="N47" s="2770"/>
      <c r="O47" s="2742"/>
      <c r="P47" s="2771"/>
      <c r="Q47" s="70"/>
      <c r="R47" s="1158"/>
      <c r="S47" s="1159"/>
      <c r="T47" s="1159"/>
      <c r="U47" s="1159"/>
      <c r="V47" s="1160"/>
      <c r="W47" s="16"/>
      <c r="X47" s="2741"/>
      <c r="Y47" s="2742"/>
      <c r="Z47" s="2743"/>
      <c r="AA47" s="2744"/>
      <c r="AB47" s="2745"/>
      <c r="AC47" s="2746"/>
      <c r="AD47" s="2747"/>
      <c r="AE47" s="16"/>
      <c r="AF47" s="2741"/>
      <c r="AG47" s="2742"/>
      <c r="AH47" s="2743"/>
      <c r="AI47" s="2744"/>
      <c r="AJ47" s="2745"/>
      <c r="AK47" s="2746"/>
      <c r="AL47" s="2747"/>
      <c r="AM47" s="16"/>
      <c r="AN47" s="2741"/>
      <c r="AO47" s="2742"/>
      <c r="AP47" s="2743"/>
      <c r="AQ47" s="2744"/>
      <c r="AR47" s="2745"/>
      <c r="AS47" s="2746"/>
      <c r="AT47" s="2747"/>
      <c r="AU47" s="16"/>
      <c r="AV47" s="2741"/>
      <c r="AW47" s="2742"/>
      <c r="AX47" s="2743"/>
      <c r="AY47" s="2744"/>
      <c r="AZ47" s="2745"/>
      <c r="BA47" s="2746"/>
      <c r="BB47" s="2747"/>
      <c r="BC47" s="16"/>
      <c r="BD47" s="2741"/>
      <c r="BE47" s="2742"/>
      <c r="BF47" s="2743"/>
      <c r="BG47" s="2744"/>
      <c r="BH47" s="2745"/>
      <c r="BI47" s="2746"/>
      <c r="BJ47" s="2747"/>
      <c r="BK47" s="16"/>
      <c r="BL47" s="2741"/>
      <c r="BM47" s="2742"/>
      <c r="BN47" s="2743"/>
      <c r="BO47" s="2744"/>
      <c r="BP47" s="2745"/>
      <c r="BQ47" s="2746"/>
      <c r="BR47" s="2747"/>
      <c r="BS47" s="16"/>
      <c r="BT47" s="2741"/>
      <c r="BU47" s="2742"/>
      <c r="BV47" s="2743"/>
      <c r="BW47" s="2744"/>
      <c r="BX47" s="2745"/>
      <c r="BY47" s="2746"/>
      <c r="BZ47" s="2747"/>
      <c r="CA47" s="16"/>
      <c r="CB47" s="2741"/>
      <c r="CC47" s="2742"/>
      <c r="CD47" s="2743"/>
      <c r="CE47" s="2744"/>
      <c r="CF47" s="2745"/>
      <c r="CG47" s="2746"/>
      <c r="CH47" s="2747"/>
      <c r="CI47" s="16"/>
      <c r="CJ47" s="2741"/>
      <c r="CK47" s="2742"/>
      <c r="CL47" s="2743"/>
      <c r="CM47" s="2744"/>
      <c r="CN47" s="2745"/>
      <c r="CO47" s="2746"/>
      <c r="CP47" s="2747"/>
      <c r="CQ47" s="16"/>
      <c r="CR47" s="2749"/>
    </row>
    <row r="48" spans="1:96" s="21" customFormat="1" ht="24.95" customHeight="1" x14ac:dyDescent="0.2">
      <c r="A48" s="104"/>
      <c r="B48" s="104"/>
      <c r="C48" s="2725"/>
      <c r="D48" s="104"/>
      <c r="E48" s="14"/>
      <c r="F48" s="15"/>
      <c r="G48" s="15"/>
      <c r="H48" s="15"/>
      <c r="I48" s="15"/>
      <c r="J48" s="16"/>
      <c r="K48" s="16"/>
      <c r="L48" s="50"/>
      <c r="M48" s="50"/>
      <c r="N48" s="50"/>
      <c r="O48" s="15"/>
      <c r="P48" s="15"/>
      <c r="Q48" s="70"/>
      <c r="R48" s="8"/>
      <c r="S48" s="40"/>
      <c r="T48" s="40"/>
      <c r="U48" s="40"/>
      <c r="V48" s="8"/>
      <c r="W48" s="16"/>
      <c r="X48" s="17"/>
      <c r="Y48" s="17"/>
      <c r="Z48" s="18"/>
      <c r="AA48" s="16"/>
      <c r="AB48" s="19"/>
      <c r="AE48" s="16"/>
      <c r="AF48" s="17"/>
      <c r="AG48" s="17"/>
      <c r="AH48" s="18"/>
      <c r="AI48" s="16"/>
      <c r="AJ48" s="19"/>
      <c r="AM48" s="16"/>
      <c r="AN48" s="17"/>
      <c r="AO48" s="17"/>
      <c r="AP48" s="18"/>
      <c r="AQ48" s="16"/>
      <c r="AR48" s="19"/>
      <c r="AU48" s="16"/>
      <c r="AV48" s="17"/>
      <c r="AW48" s="17"/>
      <c r="AX48" s="18"/>
      <c r="AY48" s="16"/>
      <c r="AZ48" s="19"/>
      <c r="BC48" s="16"/>
      <c r="BD48" s="17"/>
      <c r="BE48" s="17"/>
      <c r="BF48" s="18"/>
      <c r="BG48" s="16"/>
      <c r="BH48" s="19"/>
      <c r="BK48" s="16"/>
      <c r="BL48" s="17"/>
      <c r="BM48" s="17"/>
      <c r="BN48" s="18"/>
      <c r="BO48" s="16"/>
      <c r="BP48" s="19"/>
      <c r="BS48" s="16"/>
      <c r="BT48" s="17"/>
      <c r="BU48" s="17"/>
      <c r="BV48" s="18"/>
      <c r="BW48" s="16"/>
      <c r="BX48" s="19"/>
      <c r="CA48" s="16"/>
      <c r="CB48" s="17"/>
      <c r="CC48" s="17"/>
      <c r="CD48" s="18"/>
      <c r="CE48" s="16"/>
      <c r="CF48" s="19"/>
      <c r="CI48" s="16"/>
      <c r="CJ48" s="17"/>
      <c r="CK48" s="17"/>
      <c r="CL48" s="18"/>
      <c r="CM48" s="16"/>
      <c r="CN48" s="19"/>
      <c r="CQ48" s="16"/>
    </row>
    <row r="49" spans="1:96" s="21" customFormat="1" ht="15" customHeight="1" x14ac:dyDescent="0.2">
      <c r="A49" s="104"/>
      <c r="B49" s="104"/>
      <c r="C49" s="2725"/>
      <c r="D49" s="104"/>
      <c r="E49" s="2709"/>
      <c r="F49" s="2710"/>
      <c r="G49" s="2710"/>
      <c r="H49" s="2710"/>
      <c r="I49" s="2710"/>
      <c r="J49" s="2661"/>
      <c r="K49" s="2661"/>
      <c r="L49" s="2711"/>
      <c r="M49" s="2711"/>
      <c r="N49" s="2711"/>
      <c r="O49" s="2710"/>
      <c r="P49" s="2710"/>
      <c r="Q49" s="70"/>
      <c r="R49" s="2707"/>
      <c r="S49" s="2708"/>
      <c r="T49" s="2708"/>
      <c r="U49" s="2708"/>
      <c r="V49" s="2707"/>
      <c r="W49" s="16"/>
      <c r="X49" s="2660"/>
      <c r="Y49" s="2660"/>
      <c r="Z49" s="2699"/>
      <c r="AA49" s="2661"/>
      <c r="AB49" s="2700"/>
      <c r="AC49" s="2701"/>
      <c r="AD49" s="2701"/>
      <c r="AE49" s="16"/>
      <c r="AF49" s="2660"/>
      <c r="AG49" s="2660"/>
      <c r="AH49" s="2699"/>
      <c r="AI49" s="2661"/>
      <c r="AJ49" s="2700"/>
      <c r="AK49" s="2701"/>
      <c r="AL49" s="2701"/>
      <c r="AM49" s="16"/>
      <c r="AN49" s="2660"/>
      <c r="AO49" s="2660"/>
      <c r="AP49" s="2699"/>
      <c r="AQ49" s="2661"/>
      <c r="AR49" s="2700"/>
      <c r="AS49" s="2701"/>
      <c r="AT49" s="2701"/>
      <c r="AU49" s="16"/>
      <c r="AV49" s="2660"/>
      <c r="AW49" s="2660"/>
      <c r="AX49" s="2699"/>
      <c r="AY49" s="2661"/>
      <c r="AZ49" s="2700"/>
      <c r="BA49" s="2701"/>
      <c r="BB49" s="2701"/>
      <c r="BC49" s="16"/>
      <c r="BD49" s="2660"/>
      <c r="BE49" s="2660"/>
      <c r="BF49" s="2699"/>
      <c r="BG49" s="2661"/>
      <c r="BH49" s="2700"/>
      <c r="BI49" s="2701"/>
      <c r="BJ49" s="2701"/>
      <c r="BK49" s="16"/>
      <c r="BL49" s="2660"/>
      <c r="BM49" s="2660"/>
      <c r="BN49" s="2699"/>
      <c r="BO49" s="2661"/>
      <c r="BP49" s="2700"/>
      <c r="BQ49" s="2701"/>
      <c r="BR49" s="2701"/>
      <c r="BS49" s="16"/>
      <c r="BT49" s="2660"/>
      <c r="BU49" s="2660"/>
      <c r="BV49" s="2699"/>
      <c r="BW49" s="2661"/>
      <c r="BX49" s="2700"/>
      <c r="BY49" s="2701"/>
      <c r="BZ49" s="2701"/>
      <c r="CA49" s="16"/>
      <c r="CB49" s="2660"/>
      <c r="CC49" s="2660"/>
      <c r="CD49" s="2699"/>
      <c r="CE49" s="2661"/>
      <c r="CF49" s="2700"/>
      <c r="CG49" s="2701"/>
      <c r="CH49" s="2701"/>
      <c r="CI49" s="16"/>
      <c r="CJ49" s="2660"/>
      <c r="CK49" s="2660"/>
      <c r="CL49" s="2699"/>
      <c r="CM49" s="2661"/>
      <c r="CN49" s="2700"/>
      <c r="CO49" s="2701"/>
      <c r="CP49" s="2701"/>
      <c r="CQ49" s="16"/>
      <c r="CR49" s="2701"/>
    </row>
    <row r="50" spans="1:96" s="21" customFormat="1" ht="24.95" customHeight="1" thickBot="1" x14ac:dyDescent="0.25">
      <c r="A50" s="104"/>
      <c r="B50" s="104"/>
      <c r="C50" s="2726"/>
      <c r="D50" s="104"/>
      <c r="E50" s="14"/>
      <c r="F50" s="15"/>
      <c r="G50" s="15"/>
      <c r="H50" s="15"/>
      <c r="I50" s="15"/>
      <c r="J50" s="16"/>
      <c r="K50" s="16"/>
      <c r="L50" s="50"/>
      <c r="M50" s="50"/>
      <c r="N50" s="50"/>
      <c r="O50" s="15"/>
      <c r="P50" s="15"/>
      <c r="Q50" s="70"/>
      <c r="R50" s="8"/>
      <c r="S50" s="40"/>
      <c r="T50" s="40"/>
      <c r="U50" s="40"/>
      <c r="V50" s="8"/>
      <c r="W50" s="16"/>
      <c r="X50" s="17"/>
      <c r="Y50" s="17"/>
      <c r="Z50" s="18"/>
      <c r="AA50" s="16"/>
      <c r="AB50" s="19"/>
      <c r="AE50" s="16"/>
      <c r="AF50" s="17"/>
      <c r="AG50" s="17"/>
      <c r="AH50" s="18"/>
      <c r="AI50" s="16"/>
      <c r="AJ50" s="19"/>
      <c r="AM50" s="16"/>
      <c r="AN50" s="17"/>
      <c r="AO50" s="17"/>
      <c r="AP50" s="18"/>
      <c r="AQ50" s="16"/>
      <c r="AR50" s="19"/>
      <c r="AU50" s="16"/>
      <c r="AV50" s="17"/>
      <c r="AW50" s="17"/>
      <c r="AX50" s="18"/>
      <c r="AY50" s="16"/>
      <c r="AZ50" s="19"/>
      <c r="BC50" s="16"/>
      <c r="BD50" s="17"/>
      <c r="BE50" s="17"/>
      <c r="BF50" s="18"/>
      <c r="BG50" s="16"/>
      <c r="BH50" s="19"/>
      <c r="BK50" s="16"/>
      <c r="BL50" s="17"/>
      <c r="BM50" s="17"/>
      <c r="BN50" s="18"/>
      <c r="BO50" s="16"/>
      <c r="BP50" s="19"/>
      <c r="BS50" s="16"/>
      <c r="BT50" s="17"/>
      <c r="BU50" s="17"/>
      <c r="BV50" s="18"/>
      <c r="BW50" s="16"/>
      <c r="BX50" s="19"/>
      <c r="CA50" s="16"/>
      <c r="CB50" s="17"/>
      <c r="CC50" s="17"/>
      <c r="CD50" s="18"/>
      <c r="CE50" s="16"/>
      <c r="CF50" s="19"/>
      <c r="CI50" s="16"/>
      <c r="CJ50" s="17"/>
      <c r="CK50" s="17"/>
      <c r="CL50" s="18"/>
      <c r="CM50" s="16"/>
      <c r="CN50" s="19"/>
      <c r="CQ50" s="16"/>
    </row>
    <row r="51" spans="1:96" s="78" customFormat="1" ht="15" customHeight="1" thickBot="1" x14ac:dyDescent="0.25">
      <c r="A51" s="104"/>
      <c r="B51" s="104"/>
      <c r="C51" s="2727"/>
      <c r="D51" s="104"/>
      <c r="E51" s="3016"/>
      <c r="F51" s="7145" t="str">
        <f>_Calcs_Klasse!AH89</f>
        <v>Sikringsklasse I</v>
      </c>
      <c r="G51" s="7145"/>
      <c r="H51" s="7145"/>
      <c r="I51" s="7145"/>
      <c r="J51" s="7145"/>
      <c r="K51" s="7145"/>
      <c r="L51" s="7145"/>
      <c r="M51" s="7145"/>
      <c r="N51" s="7145"/>
      <c r="O51" s="7145"/>
      <c r="P51" s="3017"/>
      <c r="R51" s="23"/>
      <c r="S51" s="23"/>
      <c r="T51" s="23"/>
      <c r="U51" s="23"/>
      <c r="V51" s="23"/>
      <c r="W51" s="16"/>
      <c r="X51" s="16"/>
      <c r="Y51" s="16"/>
      <c r="Z51" s="22"/>
      <c r="AA51" s="16"/>
      <c r="AB51" s="19"/>
      <c r="AC51" s="21"/>
      <c r="AD51" s="21"/>
      <c r="AE51" s="16"/>
      <c r="AF51" s="16"/>
      <c r="AG51" s="16"/>
      <c r="AH51" s="22"/>
      <c r="AI51" s="16"/>
      <c r="AJ51" s="19"/>
      <c r="AK51" s="21"/>
      <c r="AL51" s="21"/>
      <c r="AM51" s="16"/>
      <c r="AN51" s="16"/>
      <c r="AO51" s="16"/>
      <c r="AP51" s="22"/>
      <c r="AQ51" s="16"/>
      <c r="AR51" s="19"/>
      <c r="AS51" s="21"/>
      <c r="AT51" s="21"/>
      <c r="AU51" s="16"/>
      <c r="AV51" s="16"/>
      <c r="AW51" s="16"/>
      <c r="AX51" s="22"/>
      <c r="AY51" s="16"/>
      <c r="AZ51" s="19"/>
      <c r="BA51" s="21"/>
      <c r="BB51" s="21"/>
      <c r="BC51" s="16"/>
      <c r="BD51" s="16"/>
      <c r="BE51" s="16"/>
      <c r="BF51" s="22"/>
      <c r="BG51" s="16"/>
      <c r="BH51" s="19"/>
      <c r="BI51" s="21"/>
      <c r="BJ51" s="21"/>
      <c r="BK51" s="16"/>
      <c r="BL51" s="16"/>
      <c r="BM51" s="16"/>
      <c r="BN51" s="22"/>
      <c r="BO51" s="16"/>
      <c r="BP51" s="19"/>
      <c r="BQ51" s="21"/>
      <c r="BR51" s="21"/>
      <c r="BS51" s="16"/>
      <c r="BT51" s="16"/>
      <c r="BU51" s="16"/>
      <c r="BV51" s="22"/>
      <c r="BW51" s="16"/>
      <c r="BX51" s="19"/>
      <c r="BY51" s="21"/>
      <c r="BZ51" s="21"/>
      <c r="CA51" s="16"/>
      <c r="CB51" s="16"/>
      <c r="CC51" s="16"/>
      <c r="CD51" s="22"/>
      <c r="CE51" s="16"/>
      <c r="CF51" s="19"/>
      <c r="CG51" s="21"/>
      <c r="CH51" s="21"/>
      <c r="CI51" s="16"/>
      <c r="CJ51" s="16"/>
      <c r="CK51" s="16"/>
      <c r="CL51" s="22"/>
      <c r="CM51" s="16"/>
      <c r="CN51" s="19"/>
      <c r="CO51" s="21"/>
      <c r="CP51" s="21"/>
      <c r="CQ51" s="16"/>
      <c r="CR51" s="21"/>
    </row>
    <row r="52" spans="1:96" s="78" customFormat="1" ht="15" customHeight="1" thickBot="1" x14ac:dyDescent="0.25">
      <c r="A52" s="104"/>
      <c r="B52" s="104"/>
      <c r="C52" s="2727"/>
      <c r="D52" s="104"/>
      <c r="E52" s="3018"/>
      <c r="F52" s="7146"/>
      <c r="G52" s="7146"/>
      <c r="H52" s="7146"/>
      <c r="I52" s="7146"/>
      <c r="J52" s="7146"/>
      <c r="K52" s="7146"/>
      <c r="L52" s="7146"/>
      <c r="M52" s="7146"/>
      <c r="N52" s="7146"/>
      <c r="O52" s="7146"/>
      <c r="P52" s="3019"/>
      <c r="R52" s="1215"/>
      <c r="S52" s="1216"/>
      <c r="T52" s="1216"/>
      <c r="U52" s="1216"/>
      <c r="V52" s="1217"/>
      <c r="W52" s="16"/>
      <c r="X52" s="3032"/>
      <c r="Y52" s="3033"/>
      <c r="Z52" s="3034"/>
      <c r="AA52" s="3033"/>
      <c r="AB52" s="3035"/>
      <c r="AC52" s="3036"/>
      <c r="AD52" s="3037"/>
      <c r="AE52" s="16"/>
      <c r="AF52" s="3032"/>
      <c r="AG52" s="3033"/>
      <c r="AH52" s="3034"/>
      <c r="AI52" s="3033"/>
      <c r="AJ52" s="3035"/>
      <c r="AK52" s="3036"/>
      <c r="AL52" s="3037"/>
      <c r="AM52" s="16"/>
      <c r="AN52" s="3032"/>
      <c r="AO52" s="3033"/>
      <c r="AP52" s="3034"/>
      <c r="AQ52" s="3033"/>
      <c r="AR52" s="3035"/>
      <c r="AS52" s="3036"/>
      <c r="AT52" s="3037"/>
      <c r="AU52" s="16"/>
      <c r="AV52" s="3032"/>
      <c r="AW52" s="3033"/>
      <c r="AX52" s="3034"/>
      <c r="AY52" s="3033"/>
      <c r="AZ52" s="3035"/>
      <c r="BA52" s="3036"/>
      <c r="BB52" s="3037"/>
      <c r="BC52" s="16"/>
      <c r="BD52" s="3032"/>
      <c r="BE52" s="3033"/>
      <c r="BF52" s="3034"/>
      <c r="BG52" s="3033"/>
      <c r="BH52" s="3035"/>
      <c r="BI52" s="3036"/>
      <c r="BJ52" s="3037"/>
      <c r="BK52" s="16"/>
      <c r="BL52" s="3032"/>
      <c r="BM52" s="3033"/>
      <c r="BN52" s="3034"/>
      <c r="BO52" s="3033"/>
      <c r="BP52" s="3035"/>
      <c r="BQ52" s="3036"/>
      <c r="BR52" s="3037"/>
      <c r="BS52" s="16"/>
      <c r="BT52" s="3032"/>
      <c r="BU52" s="3033"/>
      <c r="BV52" s="3034"/>
      <c r="BW52" s="3033"/>
      <c r="BX52" s="3035"/>
      <c r="BY52" s="3036"/>
      <c r="BZ52" s="3037"/>
      <c r="CA52" s="16"/>
      <c r="CB52" s="3032"/>
      <c r="CC52" s="3033"/>
      <c r="CD52" s="3034"/>
      <c r="CE52" s="3033"/>
      <c r="CF52" s="3035"/>
      <c r="CG52" s="3036"/>
      <c r="CH52" s="3037"/>
      <c r="CI52" s="16"/>
      <c r="CJ52" s="3032"/>
      <c r="CK52" s="3033"/>
      <c r="CL52" s="3034"/>
      <c r="CM52" s="3033"/>
      <c r="CN52" s="3035"/>
      <c r="CO52" s="3036"/>
      <c r="CP52" s="3037"/>
      <c r="CQ52" s="16"/>
      <c r="CR52" s="3031"/>
    </row>
    <row r="53" spans="1:96" s="78" customFormat="1" ht="8.1" customHeight="1" thickBot="1" x14ac:dyDescent="0.25">
      <c r="A53" s="104"/>
      <c r="B53" s="104"/>
      <c r="C53" s="2727"/>
      <c r="D53" s="104"/>
      <c r="E53" s="17"/>
      <c r="F53" s="129"/>
      <c r="G53" s="129"/>
      <c r="H53" s="129"/>
      <c r="I53" s="129"/>
      <c r="J53" s="16"/>
      <c r="K53" s="16"/>
      <c r="L53" s="19"/>
      <c r="M53" s="19"/>
      <c r="N53" s="19"/>
      <c r="O53" s="15"/>
      <c r="P53" s="15"/>
      <c r="R53" s="23"/>
      <c r="S53" s="23"/>
      <c r="T53" s="23"/>
      <c r="U53" s="23"/>
      <c r="V53" s="23"/>
      <c r="W53" s="16"/>
      <c r="X53" s="16"/>
      <c r="Y53" s="16"/>
      <c r="Z53" s="22"/>
      <c r="AA53" s="16"/>
      <c r="AB53" s="19"/>
      <c r="AC53" s="21"/>
      <c r="AD53" s="21"/>
      <c r="AE53" s="16"/>
      <c r="AF53" s="16"/>
      <c r="AG53" s="16"/>
      <c r="AH53" s="22"/>
      <c r="AI53" s="16"/>
      <c r="AJ53" s="19"/>
      <c r="AK53" s="21"/>
      <c r="AL53" s="21"/>
      <c r="AM53" s="16"/>
      <c r="AN53" s="16"/>
      <c r="AO53" s="16"/>
      <c r="AP53" s="22"/>
      <c r="AQ53" s="16"/>
      <c r="AR53" s="19"/>
      <c r="AS53" s="21"/>
      <c r="AT53" s="21"/>
      <c r="AU53" s="16"/>
      <c r="AV53" s="16"/>
      <c r="AW53" s="16"/>
      <c r="AX53" s="22"/>
      <c r="AY53" s="16"/>
      <c r="AZ53" s="19"/>
      <c r="BA53" s="21"/>
      <c r="BB53" s="21"/>
      <c r="BC53" s="16"/>
      <c r="BD53" s="16"/>
      <c r="BE53" s="16"/>
      <c r="BF53" s="22"/>
      <c r="BG53" s="16"/>
      <c r="BH53" s="19"/>
      <c r="BI53" s="21"/>
      <c r="BJ53" s="21"/>
      <c r="BK53" s="16"/>
      <c r="BL53" s="16"/>
      <c r="BM53" s="16"/>
      <c r="BN53" s="22"/>
      <c r="BO53" s="16"/>
      <c r="BP53" s="19"/>
      <c r="BQ53" s="21"/>
      <c r="BR53" s="21"/>
      <c r="BS53" s="16"/>
      <c r="BT53" s="16"/>
      <c r="BU53" s="16"/>
      <c r="BV53" s="22"/>
      <c r="BW53" s="16"/>
      <c r="BX53" s="19"/>
      <c r="BY53" s="21"/>
      <c r="BZ53" s="21"/>
      <c r="CA53" s="16"/>
      <c r="CB53" s="16"/>
      <c r="CC53" s="16"/>
      <c r="CD53" s="22"/>
      <c r="CE53" s="16"/>
      <c r="CF53" s="19"/>
      <c r="CG53" s="21"/>
      <c r="CH53" s="21"/>
      <c r="CI53" s="16"/>
      <c r="CJ53" s="16"/>
      <c r="CK53" s="16"/>
      <c r="CL53" s="22"/>
      <c r="CM53" s="16"/>
      <c r="CN53" s="19"/>
      <c r="CO53" s="21"/>
      <c r="CP53" s="21"/>
      <c r="CQ53" s="16"/>
      <c r="CR53" s="21"/>
    </row>
    <row r="54" spans="1:96" s="78" customFormat="1" ht="15" customHeight="1" thickBot="1" x14ac:dyDescent="0.25">
      <c r="A54" s="104"/>
      <c r="B54" s="104"/>
      <c r="C54" s="2727"/>
      <c r="D54" s="104"/>
      <c r="E54" s="3038"/>
      <c r="F54" s="3039"/>
      <c r="G54" s="3039"/>
      <c r="H54" s="3039"/>
      <c r="I54" s="3039"/>
      <c r="J54" s="3040"/>
      <c r="K54" s="3040"/>
      <c r="L54" s="3041"/>
      <c r="M54" s="3041"/>
      <c r="N54" s="3041"/>
      <c r="O54" s="3042"/>
      <c r="P54" s="3043"/>
      <c r="R54" s="1153"/>
      <c r="S54" s="1154"/>
      <c r="T54" s="1154"/>
      <c r="U54" s="1154"/>
      <c r="V54" s="1155"/>
      <c r="W54" s="16"/>
      <c r="X54" s="3067"/>
      <c r="Y54" s="3068"/>
      <c r="Z54" s="3065"/>
      <c r="AA54" s="3068"/>
      <c r="AB54" s="3069"/>
      <c r="AC54" s="3070"/>
      <c r="AD54" s="3071"/>
      <c r="AE54" s="16"/>
      <c r="AF54" s="3067"/>
      <c r="AG54" s="3068"/>
      <c r="AH54" s="3065"/>
      <c r="AI54" s="3068"/>
      <c r="AJ54" s="3069"/>
      <c r="AK54" s="3070"/>
      <c r="AL54" s="3071"/>
      <c r="AM54" s="16"/>
      <c r="AN54" s="3067"/>
      <c r="AO54" s="3068"/>
      <c r="AP54" s="3065"/>
      <c r="AQ54" s="3068"/>
      <c r="AR54" s="3069"/>
      <c r="AS54" s="3070"/>
      <c r="AT54" s="3071"/>
      <c r="AU54" s="16"/>
      <c r="AV54" s="3067"/>
      <c r="AW54" s="3068"/>
      <c r="AX54" s="3065"/>
      <c r="AY54" s="3068"/>
      <c r="AZ54" s="3069"/>
      <c r="BA54" s="3070"/>
      <c r="BB54" s="3071"/>
      <c r="BC54" s="16"/>
      <c r="BD54" s="3067"/>
      <c r="BE54" s="3068"/>
      <c r="BF54" s="3065"/>
      <c r="BG54" s="3068"/>
      <c r="BH54" s="3069"/>
      <c r="BI54" s="3070"/>
      <c r="BJ54" s="3071"/>
      <c r="BK54" s="16"/>
      <c r="BL54" s="3067"/>
      <c r="BM54" s="3068"/>
      <c r="BN54" s="3065"/>
      <c r="BO54" s="3068"/>
      <c r="BP54" s="3069"/>
      <c r="BQ54" s="3070"/>
      <c r="BR54" s="3071"/>
      <c r="BS54" s="16"/>
      <c r="BT54" s="3067"/>
      <c r="BU54" s="3068"/>
      <c r="BV54" s="3065"/>
      <c r="BW54" s="3068"/>
      <c r="BX54" s="3069"/>
      <c r="BY54" s="3070"/>
      <c r="BZ54" s="3071"/>
      <c r="CA54" s="16"/>
      <c r="CB54" s="3067"/>
      <c r="CC54" s="3068"/>
      <c r="CD54" s="3065"/>
      <c r="CE54" s="3068"/>
      <c r="CF54" s="3069"/>
      <c r="CG54" s="3070"/>
      <c r="CH54" s="3071"/>
      <c r="CI54" s="16"/>
      <c r="CJ54" s="3067"/>
      <c r="CK54" s="3068"/>
      <c r="CL54" s="3065"/>
      <c r="CM54" s="3068"/>
      <c r="CN54" s="3069"/>
      <c r="CO54" s="3070"/>
      <c r="CP54" s="3071"/>
      <c r="CQ54" s="16"/>
      <c r="CR54" s="3055"/>
    </row>
    <row r="55" spans="1:96" s="78" customFormat="1" ht="20.100000000000001" customHeight="1" thickBot="1" x14ac:dyDescent="0.25">
      <c r="A55" s="104"/>
      <c r="B55" s="104"/>
      <c r="C55" s="2727"/>
      <c r="D55" s="104"/>
      <c r="E55" s="3044"/>
      <c r="F55" s="3045" t="str">
        <f>_Calcs_Klasse!AI89</f>
        <v>Klasse A</v>
      </c>
      <c r="G55" s="3045"/>
      <c r="H55" s="3045"/>
      <c r="I55" s="3045"/>
      <c r="J55" s="3046"/>
      <c r="K55" s="3046"/>
      <c r="L55" s="3047"/>
      <c r="M55" s="3047"/>
      <c r="N55" s="3047"/>
      <c r="O55" s="3045" t="s">
        <v>78</v>
      </c>
      <c r="P55" s="3048"/>
      <c r="Q55" s="21"/>
      <c r="R55" s="1156"/>
      <c r="S55" s="7154">
        <f>_Calcs_Klasse!$AW$165</f>
        <v>1000</v>
      </c>
      <c r="T55" s="7155"/>
      <c r="U55" s="7156"/>
      <c r="V55" s="1157"/>
      <c r="W55" s="16"/>
      <c r="X55" s="3064"/>
      <c r="Y55" s="3061"/>
      <c r="Z55" s="2480">
        <v>1000</v>
      </c>
      <c r="AA55" s="3061"/>
      <c r="AB55" s="5543" t="str">
        <f>IF(_Calcs_Klasse!$AI$27=2,"✓",IF(Z55="","!","✓"))</f>
        <v>✓</v>
      </c>
      <c r="AC55" s="3062"/>
      <c r="AD55" s="3063"/>
      <c r="AE55" s="16"/>
      <c r="AF55" s="3064"/>
      <c r="AG55" s="3061"/>
      <c r="AH55" s="2480">
        <v>0</v>
      </c>
      <c r="AI55" s="3061"/>
      <c r="AJ55" s="5543" t="str">
        <f>IF(_Calcs_Klasse!$AI$27=2,"✓",IF(AH55="","!","✓"))</f>
        <v>✓</v>
      </c>
      <c r="AK55" s="3062"/>
      <c r="AL55" s="3063"/>
      <c r="AM55" s="16"/>
      <c r="AN55" s="3064"/>
      <c r="AO55" s="3061"/>
      <c r="AP55" s="2480">
        <v>0</v>
      </c>
      <c r="AQ55" s="3061"/>
      <c r="AR55" s="5543" t="str">
        <f>IF(_Calcs_Klasse!$AI$27=2,"✓",IF(AP55="","!","✓"))</f>
        <v>✓</v>
      </c>
      <c r="AS55" s="3062"/>
      <c r="AT55" s="3063"/>
      <c r="AU55" s="16"/>
      <c r="AV55" s="3064"/>
      <c r="AW55" s="3061"/>
      <c r="AX55" s="2480">
        <v>0</v>
      </c>
      <c r="AY55" s="3061"/>
      <c r="AZ55" s="5543" t="str">
        <f>IF(_Calcs_Klasse!$AI$27=2,"✓",IF(AX55="","!","✓"))</f>
        <v>✓</v>
      </c>
      <c r="BA55" s="3062"/>
      <c r="BB55" s="3063"/>
      <c r="BC55" s="16"/>
      <c r="BD55" s="3064"/>
      <c r="BE55" s="3061"/>
      <c r="BF55" s="2480">
        <v>0</v>
      </c>
      <c r="BG55" s="3061"/>
      <c r="BH55" s="5543" t="str">
        <f>IF(_Calcs_Klasse!$AI$27=2,"✓",IF(BF55="","!","✓"))</f>
        <v>✓</v>
      </c>
      <c r="BI55" s="3062"/>
      <c r="BJ55" s="3063"/>
      <c r="BK55" s="16"/>
      <c r="BL55" s="3064"/>
      <c r="BM55" s="3061"/>
      <c r="BN55" s="2480">
        <v>0</v>
      </c>
      <c r="BO55" s="3061"/>
      <c r="BP55" s="5543" t="str">
        <f>IF(_Calcs_Klasse!$AI$27=2,"✓",IF(BN55="","!","✓"))</f>
        <v>✓</v>
      </c>
      <c r="BQ55" s="3062"/>
      <c r="BR55" s="3063"/>
      <c r="BS55" s="16"/>
      <c r="BT55" s="3064"/>
      <c r="BU55" s="3061"/>
      <c r="BV55" s="2480">
        <v>0</v>
      </c>
      <c r="BW55" s="3061"/>
      <c r="BX55" s="5543" t="str">
        <f>IF(_Calcs_Klasse!$AI$27=2,"✓",IF(BV55="","!","✓"))</f>
        <v>✓</v>
      </c>
      <c r="BY55" s="3062"/>
      <c r="BZ55" s="3063"/>
      <c r="CA55" s="16"/>
      <c r="CB55" s="3064"/>
      <c r="CC55" s="3061"/>
      <c r="CD55" s="2480">
        <v>0</v>
      </c>
      <c r="CE55" s="3061"/>
      <c r="CF55" s="5543" t="str">
        <f>IF(_Calcs_Klasse!$AI$27=2,"✓",IF(CD55="","!","✓"))</f>
        <v>✓</v>
      </c>
      <c r="CG55" s="3062"/>
      <c r="CH55" s="3063"/>
      <c r="CI55" s="16"/>
      <c r="CJ55" s="3064"/>
      <c r="CK55" s="3061"/>
      <c r="CL55" s="2480">
        <v>10</v>
      </c>
      <c r="CM55" s="3061"/>
      <c r="CN55" s="5543" t="str">
        <f>IF(_Calcs_Klasse!$AI$27=2,"✓",IF(CL55="","!","✓"))</f>
        <v>✓</v>
      </c>
      <c r="CO55" s="3062"/>
      <c r="CP55" s="3063"/>
      <c r="CQ55" s="16"/>
      <c r="CR55" s="3055"/>
    </row>
    <row r="56" spans="1:96" s="78" customFormat="1" ht="15" customHeight="1" thickBot="1" x14ac:dyDescent="0.25">
      <c r="A56" s="104"/>
      <c r="B56" s="104"/>
      <c r="C56" s="2727"/>
      <c r="D56" s="104"/>
      <c r="E56" s="3049"/>
      <c r="F56" s="3050"/>
      <c r="G56" s="3050"/>
      <c r="H56" s="3050"/>
      <c r="I56" s="3050"/>
      <c r="J56" s="3046"/>
      <c r="K56" s="3046"/>
      <c r="L56" s="3051"/>
      <c r="M56" s="3051"/>
      <c r="N56" s="3051"/>
      <c r="O56" s="3045"/>
      <c r="P56" s="3048"/>
      <c r="R56" s="1156"/>
      <c r="S56" s="3243"/>
      <c r="T56" s="3243"/>
      <c r="U56" s="3243"/>
      <c r="V56" s="1157"/>
      <c r="W56" s="16"/>
      <c r="X56" s="3064"/>
      <c r="Y56" s="3061"/>
      <c r="Z56" s="3065"/>
      <c r="AA56" s="3061"/>
      <c r="AB56" s="3066"/>
      <c r="AC56" s="3062"/>
      <c r="AD56" s="3063"/>
      <c r="AE56" s="16"/>
      <c r="AF56" s="3064"/>
      <c r="AG56" s="3061"/>
      <c r="AH56" s="3065"/>
      <c r="AI56" s="3061"/>
      <c r="AJ56" s="3066"/>
      <c r="AK56" s="3062"/>
      <c r="AL56" s="3063"/>
      <c r="AM56" s="16"/>
      <c r="AN56" s="3064"/>
      <c r="AO56" s="3061"/>
      <c r="AP56" s="3065"/>
      <c r="AQ56" s="3061"/>
      <c r="AR56" s="3066"/>
      <c r="AS56" s="3062"/>
      <c r="AT56" s="3063"/>
      <c r="AU56" s="16"/>
      <c r="AV56" s="3064"/>
      <c r="AW56" s="3061"/>
      <c r="AX56" s="3065"/>
      <c r="AY56" s="3061"/>
      <c r="AZ56" s="3066"/>
      <c r="BA56" s="3062"/>
      <c r="BB56" s="3063"/>
      <c r="BC56" s="16"/>
      <c r="BD56" s="3064"/>
      <c r="BE56" s="3061"/>
      <c r="BF56" s="3065"/>
      <c r="BG56" s="3061"/>
      <c r="BH56" s="3066"/>
      <c r="BI56" s="3062"/>
      <c r="BJ56" s="3063"/>
      <c r="BK56" s="16"/>
      <c r="BL56" s="3064"/>
      <c r="BM56" s="3061"/>
      <c r="BN56" s="3065"/>
      <c r="BO56" s="3061"/>
      <c r="BP56" s="3066"/>
      <c r="BQ56" s="3062"/>
      <c r="BR56" s="3063"/>
      <c r="BS56" s="16"/>
      <c r="BT56" s="3064"/>
      <c r="BU56" s="3061"/>
      <c r="BV56" s="3065"/>
      <c r="BW56" s="3061"/>
      <c r="BX56" s="3066"/>
      <c r="BY56" s="3062"/>
      <c r="BZ56" s="3063"/>
      <c r="CA56" s="16"/>
      <c r="CB56" s="3064"/>
      <c r="CC56" s="3061"/>
      <c r="CD56" s="3065"/>
      <c r="CE56" s="3061"/>
      <c r="CF56" s="3066"/>
      <c r="CG56" s="3062"/>
      <c r="CH56" s="3063"/>
      <c r="CI56" s="16"/>
      <c r="CJ56" s="3064"/>
      <c r="CK56" s="3061"/>
      <c r="CL56" s="3065"/>
      <c r="CM56" s="3061"/>
      <c r="CN56" s="3066"/>
      <c r="CO56" s="3062"/>
      <c r="CP56" s="3063"/>
      <c r="CQ56" s="16"/>
      <c r="CR56" s="3055"/>
    </row>
    <row r="57" spans="1:96" s="78" customFormat="1" ht="20.100000000000001" customHeight="1" thickBot="1" x14ac:dyDescent="0.25">
      <c r="A57" s="104"/>
      <c r="B57" s="104"/>
      <c r="C57" s="2727"/>
      <c r="D57" s="104"/>
      <c r="E57" s="3044"/>
      <c r="F57" s="3045" t="str">
        <f>_Calcs_Klasse!AJ89</f>
        <v>Klasse B</v>
      </c>
      <c r="G57" s="3045"/>
      <c r="H57" s="3045"/>
      <c r="I57" s="3045"/>
      <c r="J57" s="3046"/>
      <c r="K57" s="3046"/>
      <c r="L57" s="3047"/>
      <c r="M57" s="3047"/>
      <c r="N57" s="3047"/>
      <c r="O57" s="3045" t="s">
        <v>78</v>
      </c>
      <c r="P57" s="3048"/>
      <c r="Q57" s="21"/>
      <c r="R57" s="1156"/>
      <c r="S57" s="7154">
        <f>_Calcs_Klasse!$AW$166</f>
        <v>500</v>
      </c>
      <c r="T57" s="7155"/>
      <c r="U57" s="7156"/>
      <c r="V57" s="1157"/>
      <c r="W57" s="16"/>
      <c r="X57" s="3064"/>
      <c r="Y57" s="3061"/>
      <c r="Z57" s="2480">
        <v>500</v>
      </c>
      <c r="AA57" s="3061"/>
      <c r="AB57" s="5543" t="str">
        <f>IF(_Calcs_Klasse!$AI$27=2,"✓",IF(Z57="","!","✓"))</f>
        <v>✓</v>
      </c>
      <c r="AC57" s="3062"/>
      <c r="AD57" s="3063"/>
      <c r="AE57" s="16"/>
      <c r="AF57" s="3064"/>
      <c r="AG57" s="3061"/>
      <c r="AH57" s="2480">
        <v>1000</v>
      </c>
      <c r="AI57" s="3061"/>
      <c r="AJ57" s="5543" t="str">
        <f>IF(_Calcs_Klasse!$AI$27=2,"✓",IF(AH57="","!","✓"))</f>
        <v>✓</v>
      </c>
      <c r="AK57" s="3062"/>
      <c r="AL57" s="3063"/>
      <c r="AM57" s="16"/>
      <c r="AN57" s="3064"/>
      <c r="AO57" s="3061"/>
      <c r="AP57" s="2480">
        <v>0</v>
      </c>
      <c r="AQ57" s="3061"/>
      <c r="AR57" s="5543" t="str">
        <f>IF(_Calcs_Klasse!$AI$27=2,"✓",IF(AP57="","!","✓"))</f>
        <v>✓</v>
      </c>
      <c r="AS57" s="3062"/>
      <c r="AT57" s="3063"/>
      <c r="AU57" s="16"/>
      <c r="AV57" s="3064"/>
      <c r="AW57" s="3061"/>
      <c r="AX57" s="2480">
        <v>0</v>
      </c>
      <c r="AY57" s="3061"/>
      <c r="AZ57" s="5543" t="str">
        <f>IF(_Calcs_Klasse!$AI$27=2,"✓",IF(AX57="","!","✓"))</f>
        <v>✓</v>
      </c>
      <c r="BA57" s="3062"/>
      <c r="BB57" s="3063"/>
      <c r="BC57" s="16"/>
      <c r="BD57" s="3064"/>
      <c r="BE57" s="3061"/>
      <c r="BF57" s="2480">
        <v>0</v>
      </c>
      <c r="BG57" s="3061"/>
      <c r="BH57" s="5543" t="str">
        <f>IF(_Calcs_Klasse!$AI$27=2,"✓",IF(BF57="","!","✓"))</f>
        <v>✓</v>
      </c>
      <c r="BI57" s="3062"/>
      <c r="BJ57" s="3063"/>
      <c r="BK57" s="16"/>
      <c r="BL57" s="3064"/>
      <c r="BM57" s="3061"/>
      <c r="BN57" s="2480">
        <v>0</v>
      </c>
      <c r="BO57" s="3061"/>
      <c r="BP57" s="5543" t="str">
        <f>IF(_Calcs_Klasse!$AI$27=2,"✓",IF(BN57="","!","✓"))</f>
        <v>✓</v>
      </c>
      <c r="BQ57" s="3062"/>
      <c r="BR57" s="3063"/>
      <c r="BS57" s="16"/>
      <c r="BT57" s="3064"/>
      <c r="BU57" s="3061"/>
      <c r="BV57" s="2480">
        <v>0</v>
      </c>
      <c r="BW57" s="3061"/>
      <c r="BX57" s="5543" t="str">
        <f>IF(_Calcs_Klasse!$AI$27=2,"✓",IF(BV57="","!","✓"))</f>
        <v>✓</v>
      </c>
      <c r="BY57" s="3062"/>
      <c r="BZ57" s="3063"/>
      <c r="CA57" s="16"/>
      <c r="CB57" s="3064"/>
      <c r="CC57" s="3061"/>
      <c r="CD57" s="2480">
        <v>0</v>
      </c>
      <c r="CE57" s="3061"/>
      <c r="CF57" s="5543" t="str">
        <f>IF(_Calcs_Klasse!$AI$27=2,"✓",IF(CD57="","!","✓"))</f>
        <v>✓</v>
      </c>
      <c r="CG57" s="3062"/>
      <c r="CH57" s="3063"/>
      <c r="CI57" s="16"/>
      <c r="CJ57" s="3064"/>
      <c r="CK57" s="3061"/>
      <c r="CL57" s="2480">
        <v>20</v>
      </c>
      <c r="CM57" s="3061"/>
      <c r="CN57" s="5543" t="str">
        <f>IF(_Calcs_Klasse!$AI$27=2,"✓",IF(CL57="","!","✓"))</f>
        <v>✓</v>
      </c>
      <c r="CO57" s="3062"/>
      <c r="CP57" s="3063"/>
      <c r="CQ57" s="16"/>
      <c r="CR57" s="3055"/>
    </row>
    <row r="58" spans="1:96" s="78" customFormat="1" ht="15" customHeight="1" thickBot="1" x14ac:dyDescent="0.25">
      <c r="A58" s="104"/>
      <c r="B58" s="104"/>
      <c r="C58" s="2725"/>
      <c r="D58" s="20"/>
      <c r="E58" s="3052"/>
      <c r="F58" s="3053"/>
      <c r="G58" s="3053"/>
      <c r="H58" s="3053"/>
      <c r="I58" s="3053"/>
      <c r="J58" s="3053"/>
      <c r="K58" s="3053"/>
      <c r="L58" s="3053"/>
      <c r="M58" s="3053"/>
      <c r="N58" s="3053"/>
      <c r="O58" s="3053"/>
      <c r="P58" s="3054"/>
      <c r="R58" s="1158"/>
      <c r="S58" s="1159"/>
      <c r="T58" s="1159"/>
      <c r="U58" s="1159"/>
      <c r="V58" s="1160"/>
      <c r="W58" s="16"/>
      <c r="X58" s="3056"/>
      <c r="Y58" s="3057"/>
      <c r="Z58" s="3058"/>
      <c r="AA58" s="3057"/>
      <c r="AB58" s="3057"/>
      <c r="AC58" s="3059"/>
      <c r="AD58" s="3060"/>
      <c r="AE58" s="16"/>
      <c r="AF58" s="3056"/>
      <c r="AG58" s="3057"/>
      <c r="AH58" s="3058"/>
      <c r="AI58" s="3057"/>
      <c r="AJ58" s="3057"/>
      <c r="AK58" s="3059"/>
      <c r="AL58" s="3060"/>
      <c r="AM58" s="16"/>
      <c r="AN58" s="3056"/>
      <c r="AO58" s="3057"/>
      <c r="AP58" s="3058"/>
      <c r="AQ58" s="3057"/>
      <c r="AR58" s="3057"/>
      <c r="AS58" s="3059"/>
      <c r="AT58" s="3060"/>
      <c r="AU58" s="16"/>
      <c r="AV58" s="3056"/>
      <c r="AW58" s="3057"/>
      <c r="AX58" s="3058"/>
      <c r="AY58" s="3057"/>
      <c r="AZ58" s="3057"/>
      <c r="BA58" s="3059"/>
      <c r="BB58" s="3060"/>
      <c r="BC58" s="16"/>
      <c r="BD58" s="3056"/>
      <c r="BE58" s="3057"/>
      <c r="BF58" s="3058"/>
      <c r="BG58" s="3057"/>
      <c r="BH58" s="3057"/>
      <c r="BI58" s="3059"/>
      <c r="BJ58" s="3060"/>
      <c r="BK58" s="16"/>
      <c r="BL58" s="3056"/>
      <c r="BM58" s="3057"/>
      <c r="BN58" s="3058"/>
      <c r="BO58" s="3057"/>
      <c r="BP58" s="3057"/>
      <c r="BQ58" s="3059"/>
      <c r="BR58" s="3060"/>
      <c r="BS58" s="16"/>
      <c r="BT58" s="3056"/>
      <c r="BU58" s="3057"/>
      <c r="BV58" s="3058"/>
      <c r="BW58" s="3057"/>
      <c r="BX58" s="3057"/>
      <c r="BY58" s="3059"/>
      <c r="BZ58" s="3060"/>
      <c r="CA58" s="16"/>
      <c r="CB58" s="3056"/>
      <c r="CC58" s="3057"/>
      <c r="CD58" s="3058"/>
      <c r="CE58" s="3057"/>
      <c r="CF58" s="3057"/>
      <c r="CG58" s="3059"/>
      <c r="CH58" s="3060"/>
      <c r="CI58" s="16"/>
      <c r="CJ58" s="3056"/>
      <c r="CK58" s="3057"/>
      <c r="CL58" s="3058"/>
      <c r="CM58" s="3057"/>
      <c r="CN58" s="3057"/>
      <c r="CO58" s="3059"/>
      <c r="CP58" s="3060"/>
      <c r="CQ58" s="16"/>
      <c r="CR58" s="3055"/>
    </row>
    <row r="59" spans="1:96" s="78" customFormat="1" ht="24.95" customHeight="1" thickBot="1" x14ac:dyDescent="0.25">
      <c r="A59" s="104"/>
      <c r="B59" s="104"/>
      <c r="C59" s="2725"/>
      <c r="D59" s="20"/>
      <c r="E59" s="15"/>
      <c r="F59" s="21"/>
      <c r="G59" s="21"/>
      <c r="H59" s="21"/>
      <c r="I59" s="21"/>
      <c r="J59" s="16"/>
      <c r="K59" s="16"/>
      <c r="L59" s="19"/>
      <c r="M59" s="19"/>
      <c r="N59" s="19"/>
      <c r="O59" s="15"/>
      <c r="P59" s="15"/>
      <c r="R59" s="7"/>
      <c r="S59" s="7"/>
      <c r="T59" s="7"/>
      <c r="U59" s="7"/>
      <c r="V59" s="7"/>
      <c r="W59" s="16"/>
      <c r="X59" s="16"/>
      <c r="Y59" s="16"/>
      <c r="Z59" s="22"/>
      <c r="AA59" s="16"/>
      <c r="AB59" s="19"/>
      <c r="AC59" s="21"/>
      <c r="AD59" s="21"/>
      <c r="AE59" s="16"/>
      <c r="AF59" s="16"/>
      <c r="AG59" s="16"/>
      <c r="AH59" s="22"/>
      <c r="AI59" s="16"/>
      <c r="AJ59" s="19"/>
      <c r="AK59" s="21"/>
      <c r="AL59" s="21"/>
      <c r="AM59" s="16"/>
      <c r="AN59" s="16"/>
      <c r="AO59" s="16"/>
      <c r="AP59" s="22"/>
      <c r="AQ59" s="16"/>
      <c r="AR59" s="19"/>
      <c r="AS59" s="21"/>
      <c r="AT59" s="21"/>
      <c r="AU59" s="16"/>
      <c r="AV59" s="16"/>
      <c r="AW59" s="16"/>
      <c r="AX59" s="22"/>
      <c r="AY59" s="16"/>
      <c r="AZ59" s="19"/>
      <c r="BA59" s="21"/>
      <c r="BB59" s="21"/>
      <c r="BC59" s="16"/>
      <c r="BD59" s="16"/>
      <c r="BE59" s="16"/>
      <c r="BF59" s="22"/>
      <c r="BG59" s="16"/>
      <c r="BH59" s="19"/>
      <c r="BI59" s="21"/>
      <c r="BJ59" s="21"/>
      <c r="BK59" s="16"/>
      <c r="BL59" s="16"/>
      <c r="BM59" s="16"/>
      <c r="BN59" s="22"/>
      <c r="BO59" s="16"/>
      <c r="BP59" s="19"/>
      <c r="BQ59" s="21"/>
      <c r="BR59" s="21"/>
      <c r="BS59" s="16"/>
      <c r="BT59" s="16"/>
      <c r="BU59" s="16"/>
      <c r="BV59" s="22"/>
      <c r="BW59" s="16"/>
      <c r="BX59" s="19"/>
      <c r="BY59" s="21"/>
      <c r="BZ59" s="21"/>
      <c r="CA59" s="16"/>
      <c r="CB59" s="16"/>
      <c r="CC59" s="16"/>
      <c r="CD59" s="22"/>
      <c r="CE59" s="16"/>
      <c r="CF59" s="19"/>
      <c r="CG59" s="21"/>
      <c r="CH59" s="21"/>
      <c r="CI59" s="16"/>
      <c r="CJ59" s="16"/>
      <c r="CK59" s="16"/>
      <c r="CL59" s="22"/>
      <c r="CM59" s="16"/>
      <c r="CN59" s="19"/>
      <c r="CO59" s="21"/>
      <c r="CP59" s="21"/>
      <c r="CQ59" s="16"/>
      <c r="CR59" s="21"/>
    </row>
    <row r="60" spans="1:96" s="78" customFormat="1" ht="15" customHeight="1" thickBot="1" x14ac:dyDescent="0.25">
      <c r="A60" s="104"/>
      <c r="B60" s="104"/>
      <c r="C60" s="2725"/>
      <c r="D60" s="104"/>
      <c r="E60" s="2906"/>
      <c r="F60" s="7067" t="str">
        <f>_Calcs_Klasse!AH90</f>
        <v>Sikringsklasse II</v>
      </c>
      <c r="G60" s="7067"/>
      <c r="H60" s="7067"/>
      <c r="I60" s="7067"/>
      <c r="J60" s="7067"/>
      <c r="K60" s="7067"/>
      <c r="L60" s="7067"/>
      <c r="M60" s="7067"/>
      <c r="N60" s="7067"/>
      <c r="O60" s="7067"/>
      <c r="P60" s="2907"/>
      <c r="R60" s="23"/>
      <c r="S60" s="23"/>
      <c r="T60" s="23"/>
      <c r="U60" s="23"/>
      <c r="V60" s="23"/>
      <c r="W60" s="16"/>
      <c r="X60" s="16"/>
      <c r="Y60" s="16"/>
      <c r="Z60" s="22"/>
      <c r="AA60" s="16"/>
      <c r="AB60" s="19"/>
      <c r="AC60" s="21"/>
      <c r="AD60" s="21"/>
      <c r="AE60" s="16"/>
      <c r="AF60" s="16"/>
      <c r="AG60" s="16"/>
      <c r="AH60" s="22"/>
      <c r="AI60" s="16"/>
      <c r="AJ60" s="19"/>
      <c r="AK60" s="21"/>
      <c r="AL60" s="21"/>
      <c r="AM60" s="16"/>
      <c r="AN60" s="16"/>
      <c r="AO60" s="16"/>
      <c r="AP60" s="22"/>
      <c r="AQ60" s="16"/>
      <c r="AR60" s="19"/>
      <c r="AS60" s="21"/>
      <c r="AT60" s="21"/>
      <c r="AU60" s="16"/>
      <c r="AV60" s="16"/>
      <c r="AW60" s="16"/>
      <c r="AX60" s="22"/>
      <c r="AY60" s="16"/>
      <c r="AZ60" s="19"/>
      <c r="BA60" s="21"/>
      <c r="BB60" s="21"/>
      <c r="BC60" s="16"/>
      <c r="BD60" s="16"/>
      <c r="BE60" s="16"/>
      <c r="BF60" s="22"/>
      <c r="BG60" s="16"/>
      <c r="BH60" s="19"/>
      <c r="BI60" s="21"/>
      <c r="BJ60" s="21"/>
      <c r="BK60" s="16"/>
      <c r="BL60" s="16"/>
      <c r="BM60" s="16"/>
      <c r="BN60" s="22"/>
      <c r="BO60" s="16"/>
      <c r="BP60" s="19"/>
      <c r="BQ60" s="21"/>
      <c r="BR60" s="21"/>
      <c r="BS60" s="16"/>
      <c r="BT60" s="16"/>
      <c r="BU60" s="16"/>
      <c r="BV60" s="22"/>
      <c r="BW60" s="16"/>
      <c r="BX60" s="19"/>
      <c r="BY60" s="21"/>
      <c r="BZ60" s="21"/>
      <c r="CA60" s="16"/>
      <c r="CB60" s="16"/>
      <c r="CC60" s="16"/>
      <c r="CD60" s="22"/>
      <c r="CE60" s="16"/>
      <c r="CF60" s="19"/>
      <c r="CG60" s="21"/>
      <c r="CH60" s="21"/>
      <c r="CI60" s="16"/>
      <c r="CJ60" s="16"/>
      <c r="CK60" s="16"/>
      <c r="CL60" s="22"/>
      <c r="CM60" s="16"/>
      <c r="CN60" s="19"/>
      <c r="CO60" s="21"/>
      <c r="CP60" s="21"/>
      <c r="CQ60" s="16"/>
      <c r="CR60" s="21"/>
    </row>
    <row r="61" spans="1:96" s="78" customFormat="1" ht="15" customHeight="1" thickBot="1" x14ac:dyDescent="0.25">
      <c r="A61" s="104"/>
      <c r="B61" s="104"/>
      <c r="C61" s="2725"/>
      <c r="D61" s="104"/>
      <c r="E61" s="2908"/>
      <c r="F61" s="7068"/>
      <c r="G61" s="7068"/>
      <c r="H61" s="7068"/>
      <c r="I61" s="7068"/>
      <c r="J61" s="7068"/>
      <c r="K61" s="7068"/>
      <c r="L61" s="7068"/>
      <c r="M61" s="7068"/>
      <c r="N61" s="7068"/>
      <c r="O61" s="7068"/>
      <c r="P61" s="2909"/>
      <c r="R61" s="1215"/>
      <c r="S61" s="1216"/>
      <c r="T61" s="1216"/>
      <c r="U61" s="1216"/>
      <c r="V61" s="1217"/>
      <c r="W61" s="16"/>
      <c r="X61" s="3025"/>
      <c r="Y61" s="3026"/>
      <c r="Z61" s="3027"/>
      <c r="AA61" s="3026"/>
      <c r="AB61" s="3028"/>
      <c r="AC61" s="3029"/>
      <c r="AD61" s="3030"/>
      <c r="AE61" s="16"/>
      <c r="AF61" s="3025"/>
      <c r="AG61" s="3026"/>
      <c r="AH61" s="3027"/>
      <c r="AI61" s="3026"/>
      <c r="AJ61" s="3028"/>
      <c r="AK61" s="3029"/>
      <c r="AL61" s="3030"/>
      <c r="AM61" s="16"/>
      <c r="AN61" s="3025"/>
      <c r="AO61" s="3026"/>
      <c r="AP61" s="3027"/>
      <c r="AQ61" s="3026"/>
      <c r="AR61" s="3028"/>
      <c r="AS61" s="3029"/>
      <c r="AT61" s="3030"/>
      <c r="AU61" s="16"/>
      <c r="AV61" s="3025"/>
      <c r="AW61" s="3026"/>
      <c r="AX61" s="3027"/>
      <c r="AY61" s="3026"/>
      <c r="AZ61" s="3028"/>
      <c r="BA61" s="3029"/>
      <c r="BB61" s="3030"/>
      <c r="BC61" s="16"/>
      <c r="BD61" s="3025"/>
      <c r="BE61" s="3026"/>
      <c r="BF61" s="3027"/>
      <c r="BG61" s="3026"/>
      <c r="BH61" s="3028"/>
      <c r="BI61" s="3029"/>
      <c r="BJ61" s="3030"/>
      <c r="BK61" s="16"/>
      <c r="BL61" s="3025"/>
      <c r="BM61" s="3026"/>
      <c r="BN61" s="3027"/>
      <c r="BO61" s="3026"/>
      <c r="BP61" s="3028"/>
      <c r="BQ61" s="3029"/>
      <c r="BR61" s="3030"/>
      <c r="BS61" s="16"/>
      <c r="BT61" s="3025"/>
      <c r="BU61" s="3026"/>
      <c r="BV61" s="3027"/>
      <c r="BW61" s="3026"/>
      <c r="BX61" s="3028"/>
      <c r="BY61" s="3029"/>
      <c r="BZ61" s="3030"/>
      <c r="CA61" s="16"/>
      <c r="CB61" s="3025"/>
      <c r="CC61" s="3026"/>
      <c r="CD61" s="3027"/>
      <c r="CE61" s="3026"/>
      <c r="CF61" s="3028"/>
      <c r="CG61" s="3029"/>
      <c r="CH61" s="3030"/>
      <c r="CI61" s="16"/>
      <c r="CJ61" s="3025"/>
      <c r="CK61" s="3026"/>
      <c r="CL61" s="3027"/>
      <c r="CM61" s="3026"/>
      <c r="CN61" s="3028"/>
      <c r="CO61" s="3029"/>
      <c r="CP61" s="3030"/>
      <c r="CQ61" s="16"/>
      <c r="CR61" s="3024"/>
    </row>
    <row r="62" spans="1:96" s="78" customFormat="1" ht="8.1" customHeight="1" thickBot="1" x14ac:dyDescent="0.25">
      <c r="A62" s="104"/>
      <c r="B62" s="104"/>
      <c r="C62" s="2725"/>
      <c r="D62" s="104"/>
      <c r="E62" s="17"/>
      <c r="F62" s="129"/>
      <c r="G62" s="129"/>
      <c r="H62" s="129"/>
      <c r="I62" s="129"/>
      <c r="J62" s="16"/>
      <c r="K62" s="16"/>
      <c r="L62" s="19"/>
      <c r="M62" s="19"/>
      <c r="N62" s="19"/>
      <c r="O62" s="15"/>
      <c r="P62" s="15"/>
      <c r="R62" s="23"/>
      <c r="S62" s="23"/>
      <c r="T62" s="23"/>
      <c r="U62" s="23"/>
      <c r="V62" s="23"/>
      <c r="W62" s="16"/>
      <c r="X62" s="16"/>
      <c r="Y62" s="16"/>
      <c r="Z62" s="22"/>
      <c r="AA62" s="16"/>
      <c r="AB62" s="19"/>
      <c r="AC62" s="21"/>
      <c r="AD62" s="21"/>
      <c r="AE62" s="16"/>
      <c r="AF62" s="16"/>
      <c r="AG62" s="16"/>
      <c r="AH62" s="22"/>
      <c r="AI62" s="16"/>
      <c r="AJ62" s="19"/>
      <c r="AK62" s="21"/>
      <c r="AL62" s="21"/>
      <c r="AM62" s="16"/>
      <c r="AN62" s="16"/>
      <c r="AO62" s="16"/>
      <c r="AP62" s="22"/>
      <c r="AQ62" s="16"/>
      <c r="AR62" s="19"/>
      <c r="AS62" s="21"/>
      <c r="AT62" s="21"/>
      <c r="AU62" s="16"/>
      <c r="AV62" s="16"/>
      <c r="AW62" s="16"/>
      <c r="AX62" s="22"/>
      <c r="AY62" s="16"/>
      <c r="AZ62" s="19"/>
      <c r="BA62" s="21"/>
      <c r="BB62" s="21"/>
      <c r="BC62" s="16"/>
      <c r="BD62" s="16"/>
      <c r="BE62" s="16"/>
      <c r="BF62" s="22"/>
      <c r="BG62" s="16"/>
      <c r="BH62" s="19"/>
      <c r="BI62" s="21"/>
      <c r="BJ62" s="21"/>
      <c r="BK62" s="16"/>
      <c r="BL62" s="16"/>
      <c r="BM62" s="16"/>
      <c r="BN62" s="22"/>
      <c r="BO62" s="16"/>
      <c r="BP62" s="19"/>
      <c r="BQ62" s="21"/>
      <c r="BR62" s="21"/>
      <c r="BS62" s="16"/>
      <c r="BT62" s="16"/>
      <c r="BU62" s="16"/>
      <c r="BV62" s="22"/>
      <c r="BW62" s="16"/>
      <c r="BX62" s="19"/>
      <c r="BY62" s="21"/>
      <c r="BZ62" s="21"/>
      <c r="CA62" s="16"/>
      <c r="CB62" s="16"/>
      <c r="CC62" s="16"/>
      <c r="CD62" s="22"/>
      <c r="CE62" s="16"/>
      <c r="CF62" s="19"/>
      <c r="CG62" s="21"/>
      <c r="CH62" s="21"/>
      <c r="CI62" s="16"/>
      <c r="CJ62" s="16"/>
      <c r="CK62" s="16"/>
      <c r="CL62" s="22"/>
      <c r="CM62" s="16"/>
      <c r="CN62" s="19"/>
      <c r="CO62" s="21"/>
      <c r="CP62" s="21"/>
      <c r="CQ62" s="16"/>
      <c r="CR62" s="21"/>
    </row>
    <row r="63" spans="1:96" s="78" customFormat="1" ht="15" customHeight="1" thickBot="1" x14ac:dyDescent="0.25">
      <c r="A63" s="104"/>
      <c r="B63" s="104"/>
      <c r="C63" s="2725"/>
      <c r="D63" s="104"/>
      <c r="E63" s="3072"/>
      <c r="F63" s="3073"/>
      <c r="G63" s="3073"/>
      <c r="H63" s="3073"/>
      <c r="I63" s="3073"/>
      <c r="J63" s="3074"/>
      <c r="K63" s="3074"/>
      <c r="L63" s="3075"/>
      <c r="M63" s="3075"/>
      <c r="N63" s="3075"/>
      <c r="O63" s="3076"/>
      <c r="P63" s="3077"/>
      <c r="R63" s="1153"/>
      <c r="S63" s="1154"/>
      <c r="T63" s="1154"/>
      <c r="U63" s="1154"/>
      <c r="V63" s="1155"/>
      <c r="W63" s="16"/>
      <c r="X63" s="3092"/>
      <c r="Y63" s="3074"/>
      <c r="Z63" s="3093"/>
      <c r="AA63" s="3074"/>
      <c r="AB63" s="3075"/>
      <c r="AC63" s="3094"/>
      <c r="AD63" s="3095"/>
      <c r="AE63" s="16"/>
      <c r="AF63" s="3092"/>
      <c r="AG63" s="3074"/>
      <c r="AH63" s="3093"/>
      <c r="AI63" s="3074"/>
      <c r="AJ63" s="3075"/>
      <c r="AK63" s="3094"/>
      <c r="AL63" s="3095"/>
      <c r="AM63" s="16"/>
      <c r="AN63" s="3092"/>
      <c r="AO63" s="3074"/>
      <c r="AP63" s="3093"/>
      <c r="AQ63" s="3074"/>
      <c r="AR63" s="3075"/>
      <c r="AS63" s="3094"/>
      <c r="AT63" s="3095"/>
      <c r="AU63" s="16"/>
      <c r="AV63" s="3092"/>
      <c r="AW63" s="3074"/>
      <c r="AX63" s="3093"/>
      <c r="AY63" s="3074"/>
      <c r="AZ63" s="3075"/>
      <c r="BA63" s="3094"/>
      <c r="BB63" s="3095"/>
      <c r="BC63" s="16"/>
      <c r="BD63" s="3092"/>
      <c r="BE63" s="3074"/>
      <c r="BF63" s="3093"/>
      <c r="BG63" s="3074"/>
      <c r="BH63" s="3075"/>
      <c r="BI63" s="3094"/>
      <c r="BJ63" s="3095"/>
      <c r="BK63" s="16"/>
      <c r="BL63" s="3092"/>
      <c r="BM63" s="3074"/>
      <c r="BN63" s="3093"/>
      <c r="BO63" s="3074"/>
      <c r="BP63" s="3075"/>
      <c r="BQ63" s="3094"/>
      <c r="BR63" s="3095"/>
      <c r="BS63" s="16"/>
      <c r="BT63" s="3092"/>
      <c r="BU63" s="3074"/>
      <c r="BV63" s="3093"/>
      <c r="BW63" s="3074"/>
      <c r="BX63" s="3075"/>
      <c r="BY63" s="3094"/>
      <c r="BZ63" s="3095"/>
      <c r="CA63" s="16"/>
      <c r="CB63" s="3092"/>
      <c r="CC63" s="3074"/>
      <c r="CD63" s="3093"/>
      <c r="CE63" s="3074"/>
      <c r="CF63" s="3075"/>
      <c r="CG63" s="3094"/>
      <c r="CH63" s="3095"/>
      <c r="CI63" s="16"/>
      <c r="CJ63" s="3092"/>
      <c r="CK63" s="3074"/>
      <c r="CL63" s="3093"/>
      <c r="CM63" s="3074"/>
      <c r="CN63" s="3075"/>
      <c r="CO63" s="3094"/>
      <c r="CP63" s="3095"/>
      <c r="CQ63" s="16"/>
      <c r="CR63" s="3086"/>
    </row>
    <row r="64" spans="1:96" s="78" customFormat="1" ht="20.100000000000001" customHeight="1" thickBot="1" x14ac:dyDescent="0.25">
      <c r="A64" s="104"/>
      <c r="B64" s="104"/>
      <c r="C64" s="2725"/>
      <c r="D64" s="104"/>
      <c r="E64" s="3078"/>
      <c r="F64" s="3079" t="str">
        <f>_Calcs_Klasse!AI90</f>
        <v>Klasse C</v>
      </c>
      <c r="G64" s="3079"/>
      <c r="H64" s="3079"/>
      <c r="I64" s="3079"/>
      <c r="J64" s="3080"/>
      <c r="K64" s="3080"/>
      <c r="L64" s="3081"/>
      <c r="M64" s="3081"/>
      <c r="N64" s="3081"/>
      <c r="O64" s="3079" t="s">
        <v>78</v>
      </c>
      <c r="P64" s="3082"/>
      <c r="Q64" s="21"/>
      <c r="R64" s="1156"/>
      <c r="S64" s="7154">
        <f>_Calcs_Klasse!$AW$167</f>
        <v>0</v>
      </c>
      <c r="T64" s="7155"/>
      <c r="U64" s="7156"/>
      <c r="V64" s="1157"/>
      <c r="W64" s="16"/>
      <c r="X64" s="3091"/>
      <c r="Y64" s="3080"/>
      <c r="Z64" s="2480">
        <v>0</v>
      </c>
      <c r="AA64" s="3080"/>
      <c r="AB64" s="5543" t="str">
        <f>IF(_Calcs_Klasse!$AI$27=2,"✓",IF(Z64="","!","✓"))</f>
        <v>✓</v>
      </c>
      <c r="AC64" s="3081"/>
      <c r="AD64" s="3090"/>
      <c r="AE64" s="16"/>
      <c r="AF64" s="3091"/>
      <c r="AG64" s="3080"/>
      <c r="AH64" s="2480">
        <v>0</v>
      </c>
      <c r="AI64" s="3080"/>
      <c r="AJ64" s="5543" t="str">
        <f>IF(_Calcs_Klasse!$AI$27=2,"✓",IF(AH64="","!","✓"))</f>
        <v>✓</v>
      </c>
      <c r="AK64" s="3081"/>
      <c r="AL64" s="3090"/>
      <c r="AM64" s="16"/>
      <c r="AN64" s="3091"/>
      <c r="AO64" s="3080"/>
      <c r="AP64" s="2480">
        <v>1000</v>
      </c>
      <c r="AQ64" s="3080"/>
      <c r="AR64" s="5543" t="str">
        <f>IF(_Calcs_Klasse!$AI$27=2,"✓",IF(AP64="","!","✓"))</f>
        <v>✓</v>
      </c>
      <c r="AS64" s="3081"/>
      <c r="AT64" s="3090"/>
      <c r="AU64" s="16"/>
      <c r="AV64" s="3091"/>
      <c r="AW64" s="3080"/>
      <c r="AX64" s="2480">
        <v>0</v>
      </c>
      <c r="AY64" s="3080"/>
      <c r="AZ64" s="5543" t="str">
        <f>IF(_Calcs_Klasse!$AI$27=2,"✓",IF(AX64="","!","✓"))</f>
        <v>✓</v>
      </c>
      <c r="BA64" s="3081"/>
      <c r="BB64" s="3090"/>
      <c r="BC64" s="16"/>
      <c r="BD64" s="3091"/>
      <c r="BE64" s="3080"/>
      <c r="BF64" s="2480">
        <v>0</v>
      </c>
      <c r="BG64" s="3080"/>
      <c r="BH64" s="5543" t="str">
        <f>IF(_Calcs_Klasse!$AI$27=2,"✓",IF(BF64="","!","✓"))</f>
        <v>✓</v>
      </c>
      <c r="BI64" s="3081"/>
      <c r="BJ64" s="3090"/>
      <c r="BK64" s="16"/>
      <c r="BL64" s="3091"/>
      <c r="BM64" s="3080"/>
      <c r="BN64" s="2480">
        <v>0</v>
      </c>
      <c r="BO64" s="3080"/>
      <c r="BP64" s="5543" t="str">
        <f>IF(_Calcs_Klasse!$AI$27=2,"✓",IF(BN64="","!","✓"))</f>
        <v>✓</v>
      </c>
      <c r="BQ64" s="3081"/>
      <c r="BR64" s="3090"/>
      <c r="BS64" s="16"/>
      <c r="BT64" s="3091"/>
      <c r="BU64" s="3080"/>
      <c r="BV64" s="2480">
        <v>0</v>
      </c>
      <c r="BW64" s="3080"/>
      <c r="BX64" s="5543" t="str">
        <f>IF(_Calcs_Klasse!$AI$27=2,"✓",IF(BV64="","!","✓"))</f>
        <v>✓</v>
      </c>
      <c r="BY64" s="3081"/>
      <c r="BZ64" s="3090"/>
      <c r="CA64" s="16"/>
      <c r="CB64" s="3091"/>
      <c r="CC64" s="3080"/>
      <c r="CD64" s="2480">
        <v>0</v>
      </c>
      <c r="CE64" s="3080"/>
      <c r="CF64" s="5543" t="str">
        <f>IF(_Calcs_Klasse!$AI$27=2,"✓",IF(CD64="","!","✓"))</f>
        <v>✓</v>
      </c>
      <c r="CG64" s="3081"/>
      <c r="CH64" s="3090"/>
      <c r="CI64" s="16"/>
      <c r="CJ64" s="3091"/>
      <c r="CK64" s="3080"/>
      <c r="CL64" s="2480">
        <v>30</v>
      </c>
      <c r="CM64" s="3080"/>
      <c r="CN64" s="5543" t="str">
        <f>IF(_Calcs_Klasse!$AI$27=2,"✓",IF(CL64="","!","✓"))</f>
        <v>✓</v>
      </c>
      <c r="CO64" s="3081"/>
      <c r="CP64" s="3090"/>
      <c r="CQ64" s="16"/>
      <c r="CR64" s="3086"/>
    </row>
    <row r="65" spans="1:96" s="78" customFormat="1" ht="15" customHeight="1" thickBot="1" x14ac:dyDescent="0.25">
      <c r="A65" s="104"/>
      <c r="B65" s="104"/>
      <c r="C65" s="2725"/>
      <c r="D65" s="20"/>
      <c r="E65" s="3083"/>
      <c r="F65" s="3084"/>
      <c r="G65" s="3084"/>
      <c r="H65" s="3084"/>
      <c r="I65" s="3084"/>
      <c r="J65" s="3084"/>
      <c r="K65" s="3084"/>
      <c r="L65" s="3084"/>
      <c r="M65" s="3084"/>
      <c r="N65" s="3084"/>
      <c r="O65" s="3084"/>
      <c r="P65" s="3085"/>
      <c r="R65" s="1158"/>
      <c r="S65" s="1159"/>
      <c r="T65" s="1159"/>
      <c r="U65" s="1159"/>
      <c r="V65" s="1160"/>
      <c r="W65" s="16"/>
      <c r="X65" s="3083"/>
      <c r="Y65" s="3084"/>
      <c r="Z65" s="3087"/>
      <c r="AA65" s="3084"/>
      <c r="AB65" s="3084"/>
      <c r="AC65" s="3088"/>
      <c r="AD65" s="3089"/>
      <c r="AE65" s="16"/>
      <c r="AF65" s="3083"/>
      <c r="AG65" s="3084"/>
      <c r="AH65" s="3087"/>
      <c r="AI65" s="3084"/>
      <c r="AJ65" s="3084"/>
      <c r="AK65" s="3088"/>
      <c r="AL65" s="3089"/>
      <c r="AM65" s="16"/>
      <c r="AN65" s="3083"/>
      <c r="AO65" s="3084"/>
      <c r="AP65" s="3087"/>
      <c r="AQ65" s="3084"/>
      <c r="AR65" s="3084"/>
      <c r="AS65" s="3088"/>
      <c r="AT65" s="3089"/>
      <c r="AU65" s="16"/>
      <c r="AV65" s="3083"/>
      <c r="AW65" s="3084"/>
      <c r="AX65" s="3087"/>
      <c r="AY65" s="3084"/>
      <c r="AZ65" s="3084"/>
      <c r="BA65" s="3088"/>
      <c r="BB65" s="3089"/>
      <c r="BC65" s="16"/>
      <c r="BD65" s="3083"/>
      <c r="BE65" s="3084"/>
      <c r="BF65" s="3087"/>
      <c r="BG65" s="3084"/>
      <c r="BH65" s="3084"/>
      <c r="BI65" s="3088"/>
      <c r="BJ65" s="3089"/>
      <c r="BK65" s="16"/>
      <c r="BL65" s="3083"/>
      <c r="BM65" s="3084"/>
      <c r="BN65" s="3087"/>
      <c r="BO65" s="3084"/>
      <c r="BP65" s="3084"/>
      <c r="BQ65" s="3088"/>
      <c r="BR65" s="3089"/>
      <c r="BS65" s="16"/>
      <c r="BT65" s="3083"/>
      <c r="BU65" s="3084"/>
      <c r="BV65" s="3087"/>
      <c r="BW65" s="3084"/>
      <c r="BX65" s="3084"/>
      <c r="BY65" s="3088"/>
      <c r="BZ65" s="3089"/>
      <c r="CA65" s="16"/>
      <c r="CB65" s="3083"/>
      <c r="CC65" s="3084"/>
      <c r="CD65" s="3087"/>
      <c r="CE65" s="3084"/>
      <c r="CF65" s="3084"/>
      <c r="CG65" s="3088"/>
      <c r="CH65" s="3089"/>
      <c r="CI65" s="16"/>
      <c r="CJ65" s="3083"/>
      <c r="CK65" s="3084"/>
      <c r="CL65" s="3087"/>
      <c r="CM65" s="3084"/>
      <c r="CN65" s="3084"/>
      <c r="CO65" s="3088"/>
      <c r="CP65" s="3089"/>
      <c r="CQ65" s="16"/>
      <c r="CR65" s="3086"/>
    </row>
    <row r="66" spans="1:96" s="78" customFormat="1" ht="24.95" customHeight="1" thickBot="1" x14ac:dyDescent="0.25">
      <c r="A66" s="104"/>
      <c r="B66" s="104"/>
      <c r="C66" s="2725"/>
      <c r="D66" s="20"/>
      <c r="E66" s="15"/>
      <c r="F66" s="21"/>
      <c r="G66" s="21"/>
      <c r="H66" s="21"/>
      <c r="I66" s="21"/>
      <c r="J66" s="16"/>
      <c r="K66" s="16"/>
      <c r="L66" s="19"/>
      <c r="M66" s="19"/>
      <c r="N66" s="19"/>
      <c r="O66" s="15"/>
      <c r="P66" s="15"/>
      <c r="R66" s="7"/>
      <c r="S66" s="7"/>
      <c r="T66" s="7"/>
      <c r="U66" s="7"/>
      <c r="V66" s="7"/>
      <c r="W66" s="16"/>
      <c r="X66" s="16"/>
      <c r="Y66" s="16"/>
      <c r="Z66" s="22"/>
      <c r="AA66" s="16"/>
      <c r="AB66" s="19"/>
      <c r="AC66" s="21"/>
      <c r="AD66" s="21"/>
      <c r="AE66" s="16"/>
      <c r="AF66" s="16"/>
      <c r="AG66" s="16"/>
      <c r="AH66" s="22"/>
      <c r="AI66" s="16"/>
      <c r="AJ66" s="19"/>
      <c r="AK66" s="21"/>
      <c r="AL66" s="21"/>
      <c r="AM66" s="16"/>
      <c r="AN66" s="16"/>
      <c r="AO66" s="16"/>
      <c r="AP66" s="22"/>
      <c r="AQ66" s="16"/>
      <c r="AR66" s="19"/>
      <c r="AS66" s="21"/>
      <c r="AT66" s="21"/>
      <c r="AU66" s="16"/>
      <c r="AV66" s="16"/>
      <c r="AW66" s="16"/>
      <c r="AX66" s="22"/>
      <c r="AY66" s="16"/>
      <c r="AZ66" s="19"/>
      <c r="BA66" s="21"/>
      <c r="BB66" s="21"/>
      <c r="BC66" s="16"/>
      <c r="BD66" s="16"/>
      <c r="BE66" s="16"/>
      <c r="BF66" s="22"/>
      <c r="BG66" s="16"/>
      <c r="BH66" s="19"/>
      <c r="BI66" s="21"/>
      <c r="BJ66" s="21"/>
      <c r="BK66" s="16"/>
      <c r="BL66" s="16"/>
      <c r="BM66" s="16"/>
      <c r="BN66" s="22"/>
      <c r="BO66" s="16"/>
      <c r="BP66" s="19"/>
      <c r="BQ66" s="21"/>
      <c r="BR66" s="21"/>
      <c r="BS66" s="16"/>
      <c r="BT66" s="16"/>
      <c r="BU66" s="16"/>
      <c r="BV66" s="22"/>
      <c r="BW66" s="16"/>
      <c r="BX66" s="19"/>
      <c r="BY66" s="21"/>
      <c r="BZ66" s="21"/>
      <c r="CA66" s="16"/>
      <c r="CB66" s="16"/>
      <c r="CC66" s="16"/>
      <c r="CD66" s="22"/>
      <c r="CE66" s="16"/>
      <c r="CF66" s="19"/>
      <c r="CG66" s="21"/>
      <c r="CH66" s="21"/>
      <c r="CI66" s="16"/>
      <c r="CJ66" s="16"/>
      <c r="CK66" s="16"/>
      <c r="CL66" s="22"/>
      <c r="CM66" s="16"/>
      <c r="CN66" s="19"/>
      <c r="CO66" s="21"/>
      <c r="CP66" s="21"/>
      <c r="CQ66" s="16"/>
      <c r="CR66" s="21"/>
    </row>
    <row r="67" spans="1:96" s="78" customFormat="1" ht="15" customHeight="1" thickBot="1" x14ac:dyDescent="0.25">
      <c r="A67" s="104"/>
      <c r="B67" s="104"/>
      <c r="C67" s="2725"/>
      <c r="D67" s="104"/>
      <c r="E67" s="3012"/>
      <c r="F67" s="7151" t="str">
        <f>_Calcs_Klasse!AH91</f>
        <v>Sikringsklasse III</v>
      </c>
      <c r="G67" s="7151"/>
      <c r="H67" s="7151"/>
      <c r="I67" s="7151"/>
      <c r="J67" s="7151"/>
      <c r="K67" s="7151"/>
      <c r="L67" s="7151"/>
      <c r="M67" s="7151"/>
      <c r="N67" s="7151"/>
      <c r="O67" s="7151"/>
      <c r="P67" s="3013"/>
      <c r="R67" s="23"/>
      <c r="S67" s="23"/>
      <c r="T67" s="23"/>
      <c r="U67" s="23"/>
      <c r="V67" s="23"/>
      <c r="W67" s="16"/>
      <c r="X67" s="16"/>
      <c r="Y67" s="16"/>
      <c r="Z67" s="22"/>
      <c r="AA67" s="16"/>
      <c r="AB67" s="19"/>
      <c r="AC67" s="21"/>
      <c r="AD67" s="21"/>
      <c r="AE67" s="16"/>
      <c r="AF67" s="16"/>
      <c r="AG67" s="16"/>
      <c r="AH67" s="22"/>
      <c r="AI67" s="16"/>
      <c r="AJ67" s="19"/>
      <c r="AK67" s="21"/>
      <c r="AL67" s="21"/>
      <c r="AM67" s="16"/>
      <c r="AN67" s="16"/>
      <c r="AO67" s="16"/>
      <c r="AP67" s="22"/>
      <c r="AQ67" s="16"/>
      <c r="AR67" s="19"/>
      <c r="AS67" s="21"/>
      <c r="AT67" s="21"/>
      <c r="AU67" s="16"/>
      <c r="AV67" s="16"/>
      <c r="AW67" s="16"/>
      <c r="AX67" s="22"/>
      <c r="AY67" s="16"/>
      <c r="AZ67" s="19"/>
      <c r="BA67" s="21"/>
      <c r="BB67" s="21"/>
      <c r="BC67" s="16"/>
      <c r="BD67" s="16"/>
      <c r="BE67" s="16"/>
      <c r="BF67" s="22"/>
      <c r="BG67" s="16"/>
      <c r="BH67" s="19"/>
      <c r="BI67" s="21"/>
      <c r="BJ67" s="21"/>
      <c r="BK67" s="16"/>
      <c r="BL67" s="16"/>
      <c r="BM67" s="16"/>
      <c r="BN67" s="22"/>
      <c r="BO67" s="16"/>
      <c r="BP67" s="19"/>
      <c r="BQ67" s="21"/>
      <c r="BR67" s="21"/>
      <c r="BS67" s="16"/>
      <c r="BT67" s="16"/>
      <c r="BU67" s="16"/>
      <c r="BV67" s="22"/>
      <c r="BW67" s="16"/>
      <c r="BX67" s="19"/>
      <c r="BY67" s="21"/>
      <c r="BZ67" s="21"/>
      <c r="CA67" s="16"/>
      <c r="CB67" s="16"/>
      <c r="CC67" s="16"/>
      <c r="CD67" s="22"/>
      <c r="CE67" s="16"/>
      <c r="CF67" s="19"/>
      <c r="CG67" s="21"/>
      <c r="CH67" s="21"/>
      <c r="CI67" s="16"/>
      <c r="CJ67" s="16"/>
      <c r="CK67" s="16"/>
      <c r="CL67" s="22"/>
      <c r="CM67" s="16"/>
      <c r="CN67" s="19"/>
      <c r="CO67" s="21"/>
      <c r="CP67" s="21"/>
      <c r="CQ67" s="16"/>
      <c r="CR67" s="21"/>
    </row>
    <row r="68" spans="1:96" s="78" customFormat="1" ht="15" customHeight="1" thickBot="1" x14ac:dyDescent="0.25">
      <c r="A68" s="104"/>
      <c r="B68" s="104"/>
      <c r="C68" s="2725"/>
      <c r="D68" s="104"/>
      <c r="E68" s="3014"/>
      <c r="F68" s="7152"/>
      <c r="G68" s="7152"/>
      <c r="H68" s="7152"/>
      <c r="I68" s="7152"/>
      <c r="J68" s="7152"/>
      <c r="K68" s="7152"/>
      <c r="L68" s="7152"/>
      <c r="M68" s="7152"/>
      <c r="N68" s="7152"/>
      <c r="O68" s="7152"/>
      <c r="P68" s="3015"/>
      <c r="R68" s="1215"/>
      <c r="S68" s="1216"/>
      <c r="T68" s="1216"/>
      <c r="U68" s="1216"/>
      <c r="V68" s="1217"/>
      <c r="W68" s="16"/>
      <c r="X68" s="3121"/>
      <c r="Y68" s="3122"/>
      <c r="Z68" s="3123"/>
      <c r="AA68" s="3122"/>
      <c r="AB68" s="3124"/>
      <c r="AC68" s="3125"/>
      <c r="AD68" s="3126"/>
      <c r="AE68" s="16"/>
      <c r="AF68" s="3121"/>
      <c r="AG68" s="3122"/>
      <c r="AH68" s="3123"/>
      <c r="AI68" s="3122"/>
      <c r="AJ68" s="3124"/>
      <c r="AK68" s="3125"/>
      <c r="AL68" s="3126"/>
      <c r="AM68" s="16"/>
      <c r="AN68" s="3121"/>
      <c r="AO68" s="3122"/>
      <c r="AP68" s="3123"/>
      <c r="AQ68" s="3122"/>
      <c r="AR68" s="3124"/>
      <c r="AS68" s="3125"/>
      <c r="AT68" s="3126"/>
      <c r="AU68" s="16"/>
      <c r="AV68" s="3121"/>
      <c r="AW68" s="3122"/>
      <c r="AX68" s="3123"/>
      <c r="AY68" s="3122"/>
      <c r="AZ68" s="3124"/>
      <c r="BA68" s="3125"/>
      <c r="BB68" s="3126"/>
      <c r="BC68" s="16"/>
      <c r="BD68" s="3121"/>
      <c r="BE68" s="3122"/>
      <c r="BF68" s="3123"/>
      <c r="BG68" s="3122"/>
      <c r="BH68" s="3124"/>
      <c r="BI68" s="3125"/>
      <c r="BJ68" s="3126"/>
      <c r="BK68" s="16"/>
      <c r="BL68" s="3121"/>
      <c r="BM68" s="3122"/>
      <c r="BN68" s="3123"/>
      <c r="BO68" s="3122"/>
      <c r="BP68" s="3124"/>
      <c r="BQ68" s="3125"/>
      <c r="BR68" s="3126"/>
      <c r="BS68" s="16"/>
      <c r="BT68" s="3121"/>
      <c r="BU68" s="3122"/>
      <c r="BV68" s="3123"/>
      <c r="BW68" s="3122"/>
      <c r="BX68" s="3124"/>
      <c r="BY68" s="3125"/>
      <c r="BZ68" s="3126"/>
      <c r="CA68" s="16"/>
      <c r="CB68" s="3121"/>
      <c r="CC68" s="3122"/>
      <c r="CD68" s="3123"/>
      <c r="CE68" s="3122"/>
      <c r="CF68" s="3124"/>
      <c r="CG68" s="3125"/>
      <c r="CH68" s="3126"/>
      <c r="CI68" s="16"/>
      <c r="CJ68" s="3121"/>
      <c r="CK68" s="3122"/>
      <c r="CL68" s="3123"/>
      <c r="CM68" s="3122"/>
      <c r="CN68" s="3124"/>
      <c r="CO68" s="3125"/>
      <c r="CP68" s="3126"/>
      <c r="CQ68" s="16"/>
      <c r="CR68" s="3120"/>
    </row>
    <row r="69" spans="1:96" s="78" customFormat="1" ht="8.1" customHeight="1" thickBot="1" x14ac:dyDescent="0.25">
      <c r="A69" s="104"/>
      <c r="B69" s="104"/>
      <c r="C69" s="2725"/>
      <c r="D69" s="104"/>
      <c r="E69" s="17"/>
      <c r="F69" s="129"/>
      <c r="G69" s="129"/>
      <c r="H69" s="129"/>
      <c r="I69" s="129"/>
      <c r="J69" s="16"/>
      <c r="K69" s="16"/>
      <c r="L69" s="19"/>
      <c r="M69" s="19"/>
      <c r="N69" s="19"/>
      <c r="O69" s="15"/>
      <c r="P69" s="15"/>
      <c r="R69" s="23"/>
      <c r="S69" s="23"/>
      <c r="T69" s="23"/>
      <c r="U69" s="23"/>
      <c r="V69" s="23"/>
      <c r="W69" s="16"/>
      <c r="X69" s="16"/>
      <c r="Y69" s="16"/>
      <c r="Z69" s="22"/>
      <c r="AA69" s="16"/>
      <c r="AB69" s="19"/>
      <c r="AC69" s="21"/>
      <c r="AD69" s="21"/>
      <c r="AE69" s="16"/>
      <c r="AF69" s="16"/>
      <c r="AG69" s="16"/>
      <c r="AH69" s="22"/>
      <c r="AI69" s="16"/>
      <c r="AJ69" s="19"/>
      <c r="AK69" s="21"/>
      <c r="AL69" s="21"/>
      <c r="AM69" s="16"/>
      <c r="AN69" s="16"/>
      <c r="AO69" s="16"/>
      <c r="AP69" s="22"/>
      <c r="AQ69" s="16"/>
      <c r="AR69" s="19"/>
      <c r="AS69" s="21"/>
      <c r="AT69" s="21"/>
      <c r="AU69" s="16"/>
      <c r="AV69" s="16"/>
      <c r="AW69" s="16"/>
      <c r="AX69" s="22"/>
      <c r="AY69" s="16"/>
      <c r="AZ69" s="19"/>
      <c r="BA69" s="21"/>
      <c r="BB69" s="21"/>
      <c r="BC69" s="16"/>
      <c r="BD69" s="16"/>
      <c r="BE69" s="16"/>
      <c r="BF69" s="22"/>
      <c r="BG69" s="16"/>
      <c r="BH69" s="19"/>
      <c r="BI69" s="21"/>
      <c r="BJ69" s="21"/>
      <c r="BK69" s="16"/>
      <c r="BL69" s="16"/>
      <c r="BM69" s="16"/>
      <c r="BN69" s="22"/>
      <c r="BO69" s="16"/>
      <c r="BP69" s="19"/>
      <c r="BQ69" s="21"/>
      <c r="BR69" s="21"/>
      <c r="BS69" s="16"/>
      <c r="BT69" s="16"/>
      <c r="BU69" s="16"/>
      <c r="BV69" s="22"/>
      <c r="BW69" s="16"/>
      <c r="BX69" s="19"/>
      <c r="BY69" s="21"/>
      <c r="BZ69" s="21"/>
      <c r="CA69" s="16"/>
      <c r="CB69" s="16"/>
      <c r="CC69" s="16"/>
      <c r="CD69" s="22"/>
      <c r="CE69" s="16"/>
      <c r="CF69" s="19"/>
      <c r="CG69" s="21"/>
      <c r="CH69" s="21"/>
      <c r="CI69" s="16"/>
      <c r="CJ69" s="16"/>
      <c r="CK69" s="16"/>
      <c r="CL69" s="22"/>
      <c r="CM69" s="16"/>
      <c r="CN69" s="19"/>
      <c r="CO69" s="21"/>
      <c r="CP69" s="21"/>
      <c r="CQ69" s="16"/>
      <c r="CR69" s="21"/>
    </row>
    <row r="70" spans="1:96" s="78" customFormat="1" ht="15" customHeight="1" thickBot="1" x14ac:dyDescent="0.25">
      <c r="A70" s="104"/>
      <c r="B70" s="104"/>
      <c r="C70" s="2725"/>
      <c r="D70" s="104"/>
      <c r="E70" s="3096"/>
      <c r="F70" s="3097"/>
      <c r="G70" s="3097"/>
      <c r="H70" s="3097"/>
      <c r="I70" s="3097"/>
      <c r="J70" s="3098"/>
      <c r="K70" s="3098"/>
      <c r="L70" s="3099"/>
      <c r="M70" s="3099"/>
      <c r="N70" s="3099"/>
      <c r="O70" s="3100"/>
      <c r="P70" s="3101"/>
      <c r="R70" s="1153"/>
      <c r="S70" s="1154"/>
      <c r="T70" s="1154"/>
      <c r="U70" s="1154"/>
      <c r="V70" s="1155"/>
      <c r="W70" s="16"/>
      <c r="X70" s="3116"/>
      <c r="Y70" s="3098"/>
      <c r="Z70" s="3117"/>
      <c r="AA70" s="3098"/>
      <c r="AB70" s="3099"/>
      <c r="AC70" s="3118"/>
      <c r="AD70" s="3119"/>
      <c r="AE70" s="16"/>
      <c r="AF70" s="3116"/>
      <c r="AG70" s="3098"/>
      <c r="AH70" s="3117"/>
      <c r="AI70" s="3098"/>
      <c r="AJ70" s="3099"/>
      <c r="AK70" s="3118"/>
      <c r="AL70" s="3119"/>
      <c r="AM70" s="16"/>
      <c r="AN70" s="3116"/>
      <c r="AO70" s="3098"/>
      <c r="AP70" s="3117"/>
      <c r="AQ70" s="3098"/>
      <c r="AR70" s="3099"/>
      <c r="AS70" s="3118"/>
      <c r="AT70" s="3119"/>
      <c r="AU70" s="16"/>
      <c r="AV70" s="3116"/>
      <c r="AW70" s="3098"/>
      <c r="AX70" s="3117"/>
      <c r="AY70" s="3098"/>
      <c r="AZ70" s="3099"/>
      <c r="BA70" s="3118"/>
      <c r="BB70" s="3119"/>
      <c r="BC70" s="16"/>
      <c r="BD70" s="3116"/>
      <c r="BE70" s="3098"/>
      <c r="BF70" s="3117"/>
      <c r="BG70" s="3098"/>
      <c r="BH70" s="3099"/>
      <c r="BI70" s="3118"/>
      <c r="BJ70" s="3119"/>
      <c r="BK70" s="16"/>
      <c r="BL70" s="3116"/>
      <c r="BM70" s="3098"/>
      <c r="BN70" s="3117"/>
      <c r="BO70" s="3098"/>
      <c r="BP70" s="3099"/>
      <c r="BQ70" s="3118"/>
      <c r="BR70" s="3119"/>
      <c r="BS70" s="16"/>
      <c r="BT70" s="3116"/>
      <c r="BU70" s="3098"/>
      <c r="BV70" s="3117"/>
      <c r="BW70" s="3098"/>
      <c r="BX70" s="3099"/>
      <c r="BY70" s="3118"/>
      <c r="BZ70" s="3119"/>
      <c r="CA70" s="16"/>
      <c r="CB70" s="3116"/>
      <c r="CC70" s="3098"/>
      <c r="CD70" s="3117"/>
      <c r="CE70" s="3098"/>
      <c r="CF70" s="3099"/>
      <c r="CG70" s="3118"/>
      <c r="CH70" s="3119"/>
      <c r="CI70" s="16"/>
      <c r="CJ70" s="3116"/>
      <c r="CK70" s="3098"/>
      <c r="CL70" s="3117"/>
      <c r="CM70" s="3098"/>
      <c r="CN70" s="3099"/>
      <c r="CO70" s="3118"/>
      <c r="CP70" s="3119"/>
      <c r="CQ70" s="16"/>
      <c r="CR70" s="3110"/>
    </row>
    <row r="71" spans="1:96" s="78" customFormat="1" ht="20.100000000000001" customHeight="1" thickBot="1" x14ac:dyDescent="0.25">
      <c r="A71" s="104"/>
      <c r="B71" s="104"/>
      <c r="C71" s="2725"/>
      <c r="D71" s="104"/>
      <c r="E71" s="3102"/>
      <c r="F71" s="3103" t="str">
        <f>_Calcs_Klasse!AI91</f>
        <v>Klasse D</v>
      </c>
      <c r="G71" s="3103"/>
      <c r="H71" s="3103"/>
      <c r="I71" s="3103"/>
      <c r="J71" s="3104"/>
      <c r="K71" s="3104"/>
      <c r="L71" s="3105"/>
      <c r="M71" s="3105"/>
      <c r="N71" s="3105"/>
      <c r="O71" s="3103" t="s">
        <v>78</v>
      </c>
      <c r="P71" s="3106"/>
      <c r="Q71" s="21"/>
      <c r="R71" s="1156"/>
      <c r="S71" s="7154">
        <f>_Calcs_Klasse!$AW$168</f>
        <v>0</v>
      </c>
      <c r="T71" s="7155"/>
      <c r="U71" s="7156"/>
      <c r="V71" s="1157"/>
      <c r="W71" s="16"/>
      <c r="X71" s="3115"/>
      <c r="Y71" s="3104"/>
      <c r="Z71" s="2480">
        <v>0</v>
      </c>
      <c r="AA71" s="3104"/>
      <c r="AB71" s="5543" t="str">
        <f>IF(_Calcs_Klasse!$AI$27=2,"✓",IF(Z71="","!","✓"))</f>
        <v>✓</v>
      </c>
      <c r="AC71" s="3105"/>
      <c r="AD71" s="3114"/>
      <c r="AE71" s="16"/>
      <c r="AF71" s="3115"/>
      <c r="AG71" s="3104"/>
      <c r="AH71" s="2480">
        <v>0</v>
      </c>
      <c r="AI71" s="3104"/>
      <c r="AJ71" s="5543" t="str">
        <f>IF(_Calcs_Klasse!$AI$27=2,"✓",IF(AH71="","!","✓"))</f>
        <v>✓</v>
      </c>
      <c r="AK71" s="3105"/>
      <c r="AL71" s="3114"/>
      <c r="AM71" s="16"/>
      <c r="AN71" s="3115"/>
      <c r="AO71" s="3104"/>
      <c r="AP71" s="2480">
        <v>0</v>
      </c>
      <c r="AQ71" s="3104"/>
      <c r="AR71" s="5543" t="str">
        <f>IF(_Calcs_Klasse!$AI$27=2,"✓",IF(AP71="","!","✓"))</f>
        <v>✓</v>
      </c>
      <c r="AS71" s="3105"/>
      <c r="AT71" s="3114"/>
      <c r="AU71" s="16"/>
      <c r="AV71" s="3115"/>
      <c r="AW71" s="3104"/>
      <c r="AX71" s="2480">
        <v>1000</v>
      </c>
      <c r="AY71" s="3104"/>
      <c r="AZ71" s="5543" t="str">
        <f>IF(_Calcs_Klasse!$AI$27=2,"✓",IF(AX71="","!","✓"))</f>
        <v>✓</v>
      </c>
      <c r="BA71" s="3105"/>
      <c r="BB71" s="3114"/>
      <c r="BC71" s="16"/>
      <c r="BD71" s="3115"/>
      <c r="BE71" s="3104"/>
      <c r="BF71" s="2480">
        <v>0</v>
      </c>
      <c r="BG71" s="3104"/>
      <c r="BH71" s="5543" t="str">
        <f>IF(_Calcs_Klasse!$AI$27=2,"✓",IF(BF71="","!","✓"))</f>
        <v>✓</v>
      </c>
      <c r="BI71" s="3105"/>
      <c r="BJ71" s="3114"/>
      <c r="BK71" s="16"/>
      <c r="BL71" s="3115"/>
      <c r="BM71" s="3104"/>
      <c r="BN71" s="2480">
        <v>0</v>
      </c>
      <c r="BO71" s="3104"/>
      <c r="BP71" s="5543" t="str">
        <f>IF(_Calcs_Klasse!$AI$27=2,"✓",IF(BN71="","!","✓"))</f>
        <v>✓</v>
      </c>
      <c r="BQ71" s="3105"/>
      <c r="BR71" s="3114"/>
      <c r="BS71" s="16"/>
      <c r="BT71" s="3115"/>
      <c r="BU71" s="3104"/>
      <c r="BV71" s="2480">
        <v>0</v>
      </c>
      <c r="BW71" s="3104"/>
      <c r="BX71" s="5543" t="str">
        <f>IF(_Calcs_Klasse!$AI$27=2,"✓",IF(BV71="","!","✓"))</f>
        <v>✓</v>
      </c>
      <c r="BY71" s="3105"/>
      <c r="BZ71" s="3114"/>
      <c r="CA71" s="16"/>
      <c r="CB71" s="3115"/>
      <c r="CC71" s="3104"/>
      <c r="CD71" s="2480">
        <v>0</v>
      </c>
      <c r="CE71" s="3104"/>
      <c r="CF71" s="5543" t="str">
        <f>IF(_Calcs_Klasse!$AI$27=2,"✓",IF(CD71="","!","✓"))</f>
        <v>✓</v>
      </c>
      <c r="CG71" s="3105"/>
      <c r="CH71" s="3114"/>
      <c r="CI71" s="16"/>
      <c r="CJ71" s="3115"/>
      <c r="CK71" s="3104"/>
      <c r="CL71" s="2480">
        <v>40</v>
      </c>
      <c r="CM71" s="3104"/>
      <c r="CN71" s="5543" t="str">
        <f>IF(_Calcs_Klasse!$AI$27=2,"✓",IF(CL71="","!","✓"))</f>
        <v>✓</v>
      </c>
      <c r="CO71" s="3105"/>
      <c r="CP71" s="3114"/>
      <c r="CQ71" s="16"/>
      <c r="CR71" s="3110"/>
    </row>
    <row r="72" spans="1:96" s="78" customFormat="1" ht="15" customHeight="1" thickBot="1" x14ac:dyDescent="0.25">
      <c r="A72" s="104"/>
      <c r="B72" s="104"/>
      <c r="C72" s="2725"/>
      <c r="D72" s="20"/>
      <c r="E72" s="3107"/>
      <c r="F72" s="3108"/>
      <c r="G72" s="3108"/>
      <c r="H72" s="3108"/>
      <c r="I72" s="3108"/>
      <c r="J72" s="3108"/>
      <c r="K72" s="3108"/>
      <c r="L72" s="3108"/>
      <c r="M72" s="3108"/>
      <c r="N72" s="3108"/>
      <c r="O72" s="3108"/>
      <c r="P72" s="3109"/>
      <c r="R72" s="1158"/>
      <c r="S72" s="1159"/>
      <c r="T72" s="1159"/>
      <c r="U72" s="1159"/>
      <c r="V72" s="1160"/>
      <c r="W72" s="16"/>
      <c r="X72" s="3107"/>
      <c r="Y72" s="3108"/>
      <c r="Z72" s="3111"/>
      <c r="AA72" s="3108"/>
      <c r="AB72" s="3108"/>
      <c r="AC72" s="3112"/>
      <c r="AD72" s="3113"/>
      <c r="AE72" s="16"/>
      <c r="AF72" s="3107"/>
      <c r="AG72" s="3108"/>
      <c r="AH72" s="3111"/>
      <c r="AI72" s="3108"/>
      <c r="AJ72" s="3108"/>
      <c r="AK72" s="3112"/>
      <c r="AL72" s="3113"/>
      <c r="AM72" s="16"/>
      <c r="AN72" s="3107"/>
      <c r="AO72" s="3108"/>
      <c r="AP72" s="3111"/>
      <c r="AQ72" s="3108"/>
      <c r="AR72" s="3108"/>
      <c r="AS72" s="3112"/>
      <c r="AT72" s="3113"/>
      <c r="AU72" s="16"/>
      <c r="AV72" s="3107"/>
      <c r="AW72" s="3108"/>
      <c r="AX72" s="3111"/>
      <c r="AY72" s="3108"/>
      <c r="AZ72" s="3108"/>
      <c r="BA72" s="3112"/>
      <c r="BB72" s="3113"/>
      <c r="BC72" s="16"/>
      <c r="BD72" s="3107"/>
      <c r="BE72" s="3108"/>
      <c r="BF72" s="3111"/>
      <c r="BG72" s="3108"/>
      <c r="BH72" s="3108"/>
      <c r="BI72" s="3112"/>
      <c r="BJ72" s="3113"/>
      <c r="BK72" s="16"/>
      <c r="BL72" s="3107"/>
      <c r="BM72" s="3108"/>
      <c r="BN72" s="3111"/>
      <c r="BO72" s="3108"/>
      <c r="BP72" s="3108"/>
      <c r="BQ72" s="3112"/>
      <c r="BR72" s="3113"/>
      <c r="BS72" s="16"/>
      <c r="BT72" s="3107"/>
      <c r="BU72" s="3108"/>
      <c r="BV72" s="3111"/>
      <c r="BW72" s="3108"/>
      <c r="BX72" s="3108"/>
      <c r="BY72" s="3112"/>
      <c r="BZ72" s="3113"/>
      <c r="CA72" s="16"/>
      <c r="CB72" s="3107"/>
      <c r="CC72" s="3108"/>
      <c r="CD72" s="3111"/>
      <c r="CE72" s="3108"/>
      <c r="CF72" s="3108"/>
      <c r="CG72" s="3112"/>
      <c r="CH72" s="3113"/>
      <c r="CI72" s="16"/>
      <c r="CJ72" s="3107"/>
      <c r="CK72" s="3108"/>
      <c r="CL72" s="3111"/>
      <c r="CM72" s="3108"/>
      <c r="CN72" s="3108"/>
      <c r="CO72" s="3112"/>
      <c r="CP72" s="3113"/>
      <c r="CQ72" s="16"/>
      <c r="CR72" s="3110"/>
    </row>
    <row r="73" spans="1:96" s="21" customFormat="1" ht="24.95" customHeight="1" thickBot="1" x14ac:dyDescent="0.25">
      <c r="A73" s="104"/>
      <c r="B73" s="104"/>
      <c r="C73" s="2725"/>
      <c r="D73" s="104"/>
      <c r="E73" s="14"/>
      <c r="F73" s="15"/>
      <c r="G73" s="15"/>
      <c r="H73" s="15"/>
      <c r="I73" s="15"/>
      <c r="J73" s="16"/>
      <c r="K73" s="16"/>
      <c r="L73" s="50"/>
      <c r="M73" s="50"/>
      <c r="N73" s="50"/>
      <c r="O73" s="15"/>
      <c r="P73" s="15"/>
      <c r="Q73" s="70"/>
      <c r="R73" s="8"/>
      <c r="S73" s="40"/>
      <c r="T73" s="40"/>
      <c r="U73" s="40"/>
      <c r="V73" s="8"/>
      <c r="W73" s="16"/>
      <c r="X73" s="17"/>
      <c r="Y73" s="17"/>
      <c r="Z73" s="18"/>
      <c r="AA73" s="16"/>
      <c r="AB73" s="19"/>
      <c r="AE73" s="16"/>
      <c r="AF73" s="17"/>
      <c r="AG73" s="17"/>
      <c r="AH73" s="18"/>
      <c r="AI73" s="16"/>
      <c r="AJ73" s="19"/>
      <c r="AM73" s="16"/>
      <c r="AN73" s="17"/>
      <c r="AO73" s="17"/>
      <c r="AP73" s="18"/>
      <c r="AQ73" s="16"/>
      <c r="AR73" s="19"/>
      <c r="AU73" s="16"/>
      <c r="AV73" s="17"/>
      <c r="AW73" s="17"/>
      <c r="AX73" s="18"/>
      <c r="AY73" s="16"/>
      <c r="AZ73" s="19"/>
      <c r="BC73" s="16"/>
      <c r="BD73" s="17"/>
      <c r="BE73" s="17"/>
      <c r="BF73" s="18"/>
      <c r="BG73" s="16"/>
      <c r="BH73" s="19"/>
      <c r="BK73" s="16"/>
      <c r="BL73" s="17"/>
      <c r="BM73" s="17"/>
      <c r="BN73" s="18"/>
      <c r="BO73" s="16"/>
      <c r="BP73" s="19"/>
      <c r="BS73" s="16"/>
      <c r="BT73" s="17"/>
      <c r="BU73" s="17"/>
      <c r="BV73" s="18"/>
      <c r="BW73" s="16"/>
      <c r="BX73" s="19"/>
      <c r="CA73" s="16"/>
      <c r="CB73" s="17"/>
      <c r="CC73" s="17"/>
      <c r="CD73" s="18"/>
      <c r="CE73" s="16"/>
      <c r="CF73" s="19"/>
      <c r="CI73" s="16"/>
      <c r="CJ73" s="17"/>
      <c r="CK73" s="17"/>
      <c r="CL73" s="18"/>
      <c r="CM73" s="16"/>
      <c r="CN73" s="19"/>
      <c r="CQ73" s="16"/>
    </row>
    <row r="74" spans="1:96" s="78" customFormat="1" ht="15" customHeight="1" thickBot="1" x14ac:dyDescent="0.25">
      <c r="A74" s="104"/>
      <c r="B74" s="104"/>
      <c r="C74" s="2725"/>
      <c r="D74" s="104"/>
      <c r="E74" s="3020"/>
      <c r="F74" s="7149" t="str">
        <f>_Calcs_Klasse!AH92</f>
        <v>Sikringsklasse IV</v>
      </c>
      <c r="G74" s="7149"/>
      <c r="H74" s="7149"/>
      <c r="I74" s="7149"/>
      <c r="J74" s="7149"/>
      <c r="K74" s="7149"/>
      <c r="L74" s="7149"/>
      <c r="M74" s="7149"/>
      <c r="N74" s="7149"/>
      <c r="O74" s="7149"/>
      <c r="P74" s="3021"/>
      <c r="R74" s="23"/>
      <c r="S74" s="23"/>
      <c r="T74" s="23"/>
      <c r="U74" s="23"/>
      <c r="V74" s="23"/>
      <c r="W74" s="16"/>
      <c r="X74" s="16"/>
      <c r="Y74" s="16"/>
      <c r="Z74" s="22"/>
      <c r="AA74" s="16"/>
      <c r="AB74" s="19"/>
      <c r="AC74" s="21"/>
      <c r="AD74" s="21"/>
      <c r="AE74" s="16"/>
      <c r="AF74" s="16"/>
      <c r="AG74" s="16"/>
      <c r="AH74" s="22"/>
      <c r="AI74" s="16"/>
      <c r="AJ74" s="19"/>
      <c r="AK74" s="21"/>
      <c r="AL74" s="21"/>
      <c r="AM74" s="16"/>
      <c r="AN74" s="16"/>
      <c r="AO74" s="16"/>
      <c r="AP74" s="22"/>
      <c r="AQ74" s="16"/>
      <c r="AR74" s="19"/>
      <c r="AS74" s="21"/>
      <c r="AT74" s="21"/>
      <c r="AU74" s="16"/>
      <c r="AV74" s="16"/>
      <c r="AW74" s="16"/>
      <c r="AX74" s="22"/>
      <c r="AY74" s="16"/>
      <c r="AZ74" s="19"/>
      <c r="BA74" s="21"/>
      <c r="BB74" s="21"/>
      <c r="BC74" s="16"/>
      <c r="BD74" s="16"/>
      <c r="BE74" s="16"/>
      <c r="BF74" s="22"/>
      <c r="BG74" s="16"/>
      <c r="BH74" s="19"/>
      <c r="BI74" s="21"/>
      <c r="BJ74" s="21"/>
      <c r="BK74" s="16"/>
      <c r="BL74" s="16"/>
      <c r="BM74" s="16"/>
      <c r="BN74" s="22"/>
      <c r="BO74" s="16"/>
      <c r="BP74" s="19"/>
      <c r="BQ74" s="21"/>
      <c r="BR74" s="21"/>
      <c r="BS74" s="16"/>
      <c r="BT74" s="16"/>
      <c r="BU74" s="16"/>
      <c r="BV74" s="22"/>
      <c r="BW74" s="16"/>
      <c r="BX74" s="19"/>
      <c r="BY74" s="21"/>
      <c r="BZ74" s="21"/>
      <c r="CA74" s="16"/>
      <c r="CB74" s="16"/>
      <c r="CC74" s="16"/>
      <c r="CD74" s="22"/>
      <c r="CE74" s="16"/>
      <c r="CF74" s="19"/>
      <c r="CG74" s="21"/>
      <c r="CH74" s="21"/>
      <c r="CI74" s="16"/>
      <c r="CJ74" s="16"/>
      <c r="CK74" s="16"/>
      <c r="CL74" s="22"/>
      <c r="CM74" s="16"/>
      <c r="CN74" s="19"/>
      <c r="CO74" s="21"/>
      <c r="CP74" s="21"/>
      <c r="CQ74" s="16"/>
      <c r="CR74" s="21"/>
    </row>
    <row r="75" spans="1:96" s="78" customFormat="1" ht="15" customHeight="1" thickBot="1" x14ac:dyDescent="0.25">
      <c r="A75" s="104"/>
      <c r="B75" s="104"/>
      <c r="C75" s="2725"/>
      <c r="D75" s="104"/>
      <c r="E75" s="3022"/>
      <c r="F75" s="7150"/>
      <c r="G75" s="7150"/>
      <c r="H75" s="7150"/>
      <c r="I75" s="7150"/>
      <c r="J75" s="7150"/>
      <c r="K75" s="7150"/>
      <c r="L75" s="7150"/>
      <c r="M75" s="7150"/>
      <c r="N75" s="7150"/>
      <c r="O75" s="7150"/>
      <c r="P75" s="3023"/>
      <c r="R75" s="1215"/>
      <c r="S75" s="1216"/>
      <c r="T75" s="1216"/>
      <c r="U75" s="1216"/>
      <c r="V75" s="1217"/>
      <c r="W75" s="16"/>
      <c r="X75" s="3127"/>
      <c r="Y75" s="3128"/>
      <c r="Z75" s="3129"/>
      <c r="AA75" s="3128"/>
      <c r="AB75" s="3130"/>
      <c r="AC75" s="3131"/>
      <c r="AD75" s="3132"/>
      <c r="AE75" s="16"/>
      <c r="AF75" s="3127"/>
      <c r="AG75" s="3128"/>
      <c r="AH75" s="3129"/>
      <c r="AI75" s="3128"/>
      <c r="AJ75" s="3130"/>
      <c r="AK75" s="3131"/>
      <c r="AL75" s="3132"/>
      <c r="AM75" s="16"/>
      <c r="AN75" s="3127"/>
      <c r="AO75" s="3128"/>
      <c r="AP75" s="3129"/>
      <c r="AQ75" s="3128"/>
      <c r="AR75" s="3130"/>
      <c r="AS75" s="3131"/>
      <c r="AT75" s="3132"/>
      <c r="AU75" s="16"/>
      <c r="AV75" s="3127"/>
      <c r="AW75" s="3128"/>
      <c r="AX75" s="3129"/>
      <c r="AY75" s="3128"/>
      <c r="AZ75" s="3130"/>
      <c r="BA75" s="3131"/>
      <c r="BB75" s="3132"/>
      <c r="BC75" s="16"/>
      <c r="BD75" s="3127"/>
      <c r="BE75" s="3128"/>
      <c r="BF75" s="3129"/>
      <c r="BG75" s="3128"/>
      <c r="BH75" s="3130"/>
      <c r="BI75" s="3131"/>
      <c r="BJ75" s="3132"/>
      <c r="BK75" s="16"/>
      <c r="BL75" s="3127"/>
      <c r="BM75" s="3128"/>
      <c r="BN75" s="3129"/>
      <c r="BO75" s="3128"/>
      <c r="BP75" s="3130"/>
      <c r="BQ75" s="3131"/>
      <c r="BR75" s="3132"/>
      <c r="BS75" s="16"/>
      <c r="BT75" s="3127"/>
      <c r="BU75" s="3128"/>
      <c r="BV75" s="3129"/>
      <c r="BW75" s="3128"/>
      <c r="BX75" s="3130"/>
      <c r="BY75" s="3131"/>
      <c r="BZ75" s="3132"/>
      <c r="CA75" s="16"/>
      <c r="CB75" s="3127"/>
      <c r="CC75" s="3128"/>
      <c r="CD75" s="3129"/>
      <c r="CE75" s="3128"/>
      <c r="CF75" s="3130"/>
      <c r="CG75" s="3131"/>
      <c r="CH75" s="3132"/>
      <c r="CI75" s="16"/>
      <c r="CJ75" s="3127"/>
      <c r="CK75" s="3128"/>
      <c r="CL75" s="3129"/>
      <c r="CM75" s="3128"/>
      <c r="CN75" s="3130"/>
      <c r="CO75" s="3131"/>
      <c r="CP75" s="3132"/>
      <c r="CQ75" s="16"/>
      <c r="CR75" s="3133"/>
    </row>
    <row r="76" spans="1:96" s="78" customFormat="1" ht="8.1" customHeight="1" thickBot="1" x14ac:dyDescent="0.25">
      <c r="A76" s="104"/>
      <c r="B76" s="104"/>
      <c r="C76" s="2725"/>
      <c r="D76" s="104"/>
      <c r="E76" s="17"/>
      <c r="F76" s="129"/>
      <c r="G76" s="129"/>
      <c r="H76" s="129"/>
      <c r="I76" s="129"/>
      <c r="J76" s="16"/>
      <c r="K76" s="16"/>
      <c r="L76" s="19"/>
      <c r="M76" s="19"/>
      <c r="N76" s="19"/>
      <c r="O76" s="15"/>
      <c r="P76" s="15"/>
      <c r="R76" s="23"/>
      <c r="S76" s="23"/>
      <c r="T76" s="23"/>
      <c r="U76" s="23"/>
      <c r="V76" s="23"/>
      <c r="W76" s="16"/>
      <c r="X76" s="16"/>
      <c r="Y76" s="16"/>
      <c r="Z76" s="22"/>
      <c r="AA76" s="16"/>
      <c r="AB76" s="19"/>
      <c r="AC76" s="21"/>
      <c r="AD76" s="21"/>
      <c r="AE76" s="16"/>
      <c r="AF76" s="16"/>
      <c r="AG76" s="16"/>
      <c r="AH76" s="22"/>
      <c r="AI76" s="16"/>
      <c r="AJ76" s="19"/>
      <c r="AK76" s="21"/>
      <c r="AL76" s="21"/>
      <c r="AM76" s="16"/>
      <c r="AN76" s="16"/>
      <c r="AO76" s="16"/>
      <c r="AP76" s="22"/>
      <c r="AQ76" s="16"/>
      <c r="AR76" s="19"/>
      <c r="AS76" s="21"/>
      <c r="AT76" s="21"/>
      <c r="AU76" s="16"/>
      <c r="AV76" s="16"/>
      <c r="AW76" s="16"/>
      <c r="AX76" s="22"/>
      <c r="AY76" s="16"/>
      <c r="AZ76" s="19"/>
      <c r="BA76" s="21"/>
      <c r="BB76" s="21"/>
      <c r="BC76" s="16"/>
      <c r="BD76" s="16"/>
      <c r="BE76" s="16"/>
      <c r="BF76" s="22"/>
      <c r="BG76" s="16"/>
      <c r="BH76" s="19"/>
      <c r="BI76" s="21"/>
      <c r="BJ76" s="21"/>
      <c r="BK76" s="16"/>
      <c r="BL76" s="16"/>
      <c r="BM76" s="16"/>
      <c r="BN76" s="22"/>
      <c r="BO76" s="16"/>
      <c r="BP76" s="19"/>
      <c r="BQ76" s="21"/>
      <c r="BR76" s="21"/>
      <c r="BS76" s="16"/>
      <c r="BT76" s="16"/>
      <c r="BU76" s="16"/>
      <c r="BV76" s="22"/>
      <c r="BW76" s="16"/>
      <c r="BX76" s="19"/>
      <c r="BY76" s="21"/>
      <c r="BZ76" s="21"/>
      <c r="CA76" s="16"/>
      <c r="CB76" s="16"/>
      <c r="CC76" s="16"/>
      <c r="CD76" s="22"/>
      <c r="CE76" s="16"/>
      <c r="CF76" s="19"/>
      <c r="CG76" s="21"/>
      <c r="CH76" s="21"/>
      <c r="CI76" s="16"/>
      <c r="CJ76" s="16"/>
      <c r="CK76" s="16"/>
      <c r="CL76" s="22"/>
      <c r="CM76" s="16"/>
      <c r="CN76" s="19"/>
      <c r="CO76" s="21"/>
      <c r="CP76" s="21"/>
      <c r="CQ76" s="16"/>
      <c r="CR76" s="21"/>
    </row>
    <row r="77" spans="1:96" s="78" customFormat="1" ht="15" customHeight="1" thickBot="1" x14ac:dyDescent="0.25">
      <c r="A77" s="104"/>
      <c r="B77" s="104"/>
      <c r="C77" s="2725"/>
      <c r="D77" s="104"/>
      <c r="E77" s="3134"/>
      <c r="F77" s="3135"/>
      <c r="G77" s="3135"/>
      <c r="H77" s="3135"/>
      <c r="I77" s="3135"/>
      <c r="J77" s="3136"/>
      <c r="K77" s="3136"/>
      <c r="L77" s="3137"/>
      <c r="M77" s="3137"/>
      <c r="N77" s="3137"/>
      <c r="O77" s="3138"/>
      <c r="P77" s="3139"/>
      <c r="R77" s="1153"/>
      <c r="S77" s="1154"/>
      <c r="T77" s="1154"/>
      <c r="U77" s="1154"/>
      <c r="V77" s="1155"/>
      <c r="W77" s="16"/>
      <c r="X77" s="3158"/>
      <c r="Y77" s="3136"/>
      <c r="Z77" s="3157"/>
      <c r="AA77" s="3136"/>
      <c r="AB77" s="3137"/>
      <c r="AC77" s="3159"/>
      <c r="AD77" s="3160"/>
      <c r="AE77" s="16"/>
      <c r="AF77" s="3158"/>
      <c r="AG77" s="3136"/>
      <c r="AH77" s="3157"/>
      <c r="AI77" s="3136"/>
      <c r="AJ77" s="3137"/>
      <c r="AK77" s="3159"/>
      <c r="AL77" s="3160"/>
      <c r="AM77" s="16"/>
      <c r="AN77" s="3158"/>
      <c r="AO77" s="3136"/>
      <c r="AP77" s="3157"/>
      <c r="AQ77" s="3136"/>
      <c r="AR77" s="3137"/>
      <c r="AS77" s="3159"/>
      <c r="AT77" s="3160"/>
      <c r="AU77" s="16"/>
      <c r="AV77" s="3158"/>
      <c r="AW77" s="3136"/>
      <c r="AX77" s="3157"/>
      <c r="AY77" s="3136"/>
      <c r="AZ77" s="3137"/>
      <c r="BA77" s="3159"/>
      <c r="BB77" s="3160"/>
      <c r="BC77" s="16"/>
      <c r="BD77" s="3158"/>
      <c r="BE77" s="3136"/>
      <c r="BF77" s="3157"/>
      <c r="BG77" s="3136"/>
      <c r="BH77" s="3137"/>
      <c r="BI77" s="3159"/>
      <c r="BJ77" s="3160"/>
      <c r="BK77" s="16"/>
      <c r="BL77" s="3158"/>
      <c r="BM77" s="3136"/>
      <c r="BN77" s="3157"/>
      <c r="BO77" s="3136"/>
      <c r="BP77" s="3137"/>
      <c r="BQ77" s="3159"/>
      <c r="BR77" s="3160"/>
      <c r="BS77" s="16"/>
      <c r="BT77" s="3158"/>
      <c r="BU77" s="3136"/>
      <c r="BV77" s="3157"/>
      <c r="BW77" s="3136"/>
      <c r="BX77" s="3137"/>
      <c r="BY77" s="3159"/>
      <c r="BZ77" s="3160"/>
      <c r="CA77" s="16"/>
      <c r="CB77" s="3158"/>
      <c r="CC77" s="3136"/>
      <c r="CD77" s="3157"/>
      <c r="CE77" s="3136"/>
      <c r="CF77" s="3137"/>
      <c r="CG77" s="3159"/>
      <c r="CH77" s="3160"/>
      <c r="CI77" s="16"/>
      <c r="CJ77" s="3158"/>
      <c r="CK77" s="3136"/>
      <c r="CL77" s="3157"/>
      <c r="CM77" s="3136"/>
      <c r="CN77" s="3137"/>
      <c r="CO77" s="3159"/>
      <c r="CP77" s="3160"/>
      <c r="CQ77" s="16"/>
      <c r="CR77" s="3154"/>
    </row>
    <row r="78" spans="1:96" s="78" customFormat="1" ht="20.100000000000001" customHeight="1" thickBot="1" x14ac:dyDescent="0.25">
      <c r="A78" s="104"/>
      <c r="B78" s="104"/>
      <c r="C78" s="2725"/>
      <c r="D78" s="104"/>
      <c r="E78" s="3140"/>
      <c r="F78" s="3141" t="str">
        <f>_Calcs_Klasse!AI92</f>
        <v>Klasse E1</v>
      </c>
      <c r="G78" s="3141"/>
      <c r="H78" s="3141"/>
      <c r="I78" s="3141"/>
      <c r="J78" s="3142"/>
      <c r="K78" s="3142"/>
      <c r="L78" s="3143"/>
      <c r="M78" s="3143"/>
      <c r="N78" s="3143"/>
      <c r="O78" s="3141" t="s">
        <v>78</v>
      </c>
      <c r="P78" s="3144"/>
      <c r="Q78" s="21"/>
      <c r="R78" s="1156"/>
      <c r="S78" s="7154">
        <f>_Calcs_Klasse!$AW$169</f>
        <v>0</v>
      </c>
      <c r="T78" s="7155"/>
      <c r="U78" s="7156"/>
      <c r="V78" s="1157"/>
      <c r="W78" s="16"/>
      <c r="X78" s="3156"/>
      <c r="Y78" s="3142"/>
      <c r="Z78" s="2480">
        <v>0</v>
      </c>
      <c r="AA78" s="3142"/>
      <c r="AB78" s="5543" t="str">
        <f>IF(_Calcs_Klasse!$AI$27=2,"✓",IF(Z78="","!","✓"))</f>
        <v>✓</v>
      </c>
      <c r="AC78" s="3143"/>
      <c r="AD78" s="3155"/>
      <c r="AE78" s="16"/>
      <c r="AF78" s="3156"/>
      <c r="AG78" s="3142"/>
      <c r="AH78" s="2480">
        <v>0</v>
      </c>
      <c r="AI78" s="3142"/>
      <c r="AJ78" s="5543" t="str">
        <f>IF(_Calcs_Klasse!$AI$27=2,"✓",IF(AH78="","!","✓"))</f>
        <v>✓</v>
      </c>
      <c r="AK78" s="3143"/>
      <c r="AL78" s="3155"/>
      <c r="AM78" s="16"/>
      <c r="AN78" s="3156"/>
      <c r="AO78" s="3142"/>
      <c r="AP78" s="2480">
        <v>0</v>
      </c>
      <c r="AQ78" s="3142"/>
      <c r="AR78" s="5543" t="str">
        <f>IF(_Calcs_Klasse!$AI$27=2,"✓",IF(AP78="","!","✓"))</f>
        <v>✓</v>
      </c>
      <c r="AS78" s="3143"/>
      <c r="AT78" s="3155"/>
      <c r="AU78" s="16"/>
      <c r="AV78" s="3156"/>
      <c r="AW78" s="3142"/>
      <c r="AX78" s="2480">
        <v>0</v>
      </c>
      <c r="AY78" s="3142"/>
      <c r="AZ78" s="5543" t="str">
        <f>IF(_Calcs_Klasse!$AI$27=2,"✓",IF(AX78="","!","✓"))</f>
        <v>✓</v>
      </c>
      <c r="BA78" s="3143"/>
      <c r="BB78" s="3155"/>
      <c r="BC78" s="16"/>
      <c r="BD78" s="3156"/>
      <c r="BE78" s="3142"/>
      <c r="BF78" s="2480">
        <v>1000</v>
      </c>
      <c r="BG78" s="3142"/>
      <c r="BH78" s="5543" t="str">
        <f>IF(_Calcs_Klasse!$AI$27=2,"✓",IF(BF78="","!","✓"))</f>
        <v>✓</v>
      </c>
      <c r="BI78" s="3143"/>
      <c r="BJ78" s="3155"/>
      <c r="BK78" s="16"/>
      <c r="BL78" s="3156"/>
      <c r="BM78" s="3142"/>
      <c r="BN78" s="2480">
        <v>0</v>
      </c>
      <c r="BO78" s="3142"/>
      <c r="BP78" s="5543" t="str">
        <f>IF(_Calcs_Klasse!$AI$27=2,"✓",IF(BN78="","!","✓"))</f>
        <v>✓</v>
      </c>
      <c r="BQ78" s="3143"/>
      <c r="BR78" s="3155"/>
      <c r="BS78" s="16"/>
      <c r="BT78" s="3156"/>
      <c r="BU78" s="3142"/>
      <c r="BV78" s="2480">
        <v>0</v>
      </c>
      <c r="BW78" s="3142"/>
      <c r="BX78" s="5543" t="str">
        <f>IF(_Calcs_Klasse!$AI$27=2,"✓",IF(BV78="","!","✓"))</f>
        <v>✓</v>
      </c>
      <c r="BY78" s="3143"/>
      <c r="BZ78" s="3155"/>
      <c r="CA78" s="16"/>
      <c r="CB78" s="3156"/>
      <c r="CC78" s="3142"/>
      <c r="CD78" s="2480">
        <v>0</v>
      </c>
      <c r="CE78" s="3142"/>
      <c r="CF78" s="5543" t="str">
        <f>IF(_Calcs_Klasse!$AI$27=2,"✓",IF(CD78="","!","✓"))</f>
        <v>✓</v>
      </c>
      <c r="CG78" s="3143"/>
      <c r="CH78" s="3155"/>
      <c r="CI78" s="16"/>
      <c r="CJ78" s="3156"/>
      <c r="CK78" s="3142"/>
      <c r="CL78" s="2480">
        <v>50</v>
      </c>
      <c r="CM78" s="3142"/>
      <c r="CN78" s="5543" t="str">
        <f>IF(_Calcs_Klasse!$AI$27=2,"✓",IF(CL78="","!","✓"))</f>
        <v>✓</v>
      </c>
      <c r="CO78" s="3143"/>
      <c r="CP78" s="3155"/>
      <c r="CQ78" s="16"/>
      <c r="CR78" s="3154"/>
    </row>
    <row r="79" spans="1:96" s="78" customFormat="1" ht="15" customHeight="1" thickBot="1" x14ac:dyDescent="0.25">
      <c r="A79" s="104"/>
      <c r="B79" s="104"/>
      <c r="C79" s="2725"/>
      <c r="D79" s="104"/>
      <c r="E79" s="3145"/>
      <c r="F79" s="3146"/>
      <c r="G79" s="3146"/>
      <c r="H79" s="3146"/>
      <c r="I79" s="3146"/>
      <c r="J79" s="3142"/>
      <c r="K79" s="3142"/>
      <c r="L79" s="3147"/>
      <c r="M79" s="3147"/>
      <c r="N79" s="3147"/>
      <c r="O79" s="3141"/>
      <c r="P79" s="3144"/>
      <c r="R79" s="1156"/>
      <c r="S79" s="3243"/>
      <c r="T79" s="3243"/>
      <c r="U79" s="3243"/>
      <c r="V79" s="1157"/>
      <c r="W79" s="16"/>
      <c r="X79" s="3156"/>
      <c r="Y79" s="3142"/>
      <c r="Z79" s="3157"/>
      <c r="AA79" s="3142"/>
      <c r="AB79" s="3147"/>
      <c r="AC79" s="3143"/>
      <c r="AD79" s="3155"/>
      <c r="AE79" s="16"/>
      <c r="AF79" s="3156"/>
      <c r="AG79" s="3142"/>
      <c r="AH79" s="3157"/>
      <c r="AI79" s="3142"/>
      <c r="AJ79" s="3147"/>
      <c r="AK79" s="3143"/>
      <c r="AL79" s="3155"/>
      <c r="AM79" s="16"/>
      <c r="AN79" s="3156"/>
      <c r="AO79" s="3142"/>
      <c r="AP79" s="3157"/>
      <c r="AQ79" s="3142"/>
      <c r="AR79" s="3147"/>
      <c r="AS79" s="3143"/>
      <c r="AT79" s="3155"/>
      <c r="AU79" s="16"/>
      <c r="AV79" s="3156"/>
      <c r="AW79" s="3142"/>
      <c r="AX79" s="3157"/>
      <c r="AY79" s="3142"/>
      <c r="AZ79" s="3147"/>
      <c r="BA79" s="3143"/>
      <c r="BB79" s="3155"/>
      <c r="BC79" s="16"/>
      <c r="BD79" s="3156"/>
      <c r="BE79" s="3142"/>
      <c r="BF79" s="3157"/>
      <c r="BG79" s="3142"/>
      <c r="BH79" s="3147"/>
      <c r="BI79" s="3143"/>
      <c r="BJ79" s="3155"/>
      <c r="BK79" s="16"/>
      <c r="BL79" s="3156"/>
      <c r="BM79" s="3142"/>
      <c r="BN79" s="3157"/>
      <c r="BO79" s="3142"/>
      <c r="BP79" s="3147"/>
      <c r="BQ79" s="3143"/>
      <c r="BR79" s="3155"/>
      <c r="BS79" s="16"/>
      <c r="BT79" s="3156"/>
      <c r="BU79" s="3142"/>
      <c r="BV79" s="3157"/>
      <c r="BW79" s="3142"/>
      <c r="BX79" s="3147"/>
      <c r="BY79" s="3143"/>
      <c r="BZ79" s="3155"/>
      <c r="CA79" s="16"/>
      <c r="CB79" s="3156"/>
      <c r="CC79" s="3142"/>
      <c r="CD79" s="3157"/>
      <c r="CE79" s="3142"/>
      <c r="CF79" s="3147"/>
      <c r="CG79" s="3143"/>
      <c r="CH79" s="3155"/>
      <c r="CI79" s="16"/>
      <c r="CJ79" s="3156"/>
      <c r="CK79" s="3142"/>
      <c r="CL79" s="3157"/>
      <c r="CM79" s="3142"/>
      <c r="CN79" s="3147"/>
      <c r="CO79" s="3143"/>
      <c r="CP79" s="3155"/>
      <c r="CQ79" s="16"/>
      <c r="CR79" s="3154"/>
    </row>
    <row r="80" spans="1:96" s="78" customFormat="1" ht="20.100000000000001" customHeight="1" thickBot="1" x14ac:dyDescent="0.25">
      <c r="A80" s="104"/>
      <c r="B80" s="104"/>
      <c r="C80" s="2725"/>
      <c r="D80" s="104"/>
      <c r="E80" s="3140"/>
      <c r="F80" s="3141" t="str">
        <f>_Calcs_Klasse!AJ92</f>
        <v>Klasse E2</v>
      </c>
      <c r="G80" s="3141"/>
      <c r="H80" s="3141"/>
      <c r="I80" s="3141"/>
      <c r="J80" s="3142"/>
      <c r="K80" s="3142"/>
      <c r="L80" s="3143"/>
      <c r="M80" s="3143"/>
      <c r="N80" s="3143"/>
      <c r="O80" s="3141" t="s">
        <v>78</v>
      </c>
      <c r="P80" s="3144"/>
      <c r="Q80" s="21"/>
      <c r="R80" s="1156"/>
      <c r="S80" s="7154">
        <f>_Calcs_Klasse!$AW$170</f>
        <v>0</v>
      </c>
      <c r="T80" s="7155"/>
      <c r="U80" s="7156"/>
      <c r="V80" s="1157"/>
      <c r="W80" s="16"/>
      <c r="X80" s="3156"/>
      <c r="Y80" s="3142"/>
      <c r="Z80" s="2480">
        <v>0</v>
      </c>
      <c r="AA80" s="3142"/>
      <c r="AB80" s="5543" t="str">
        <f>IF(_Calcs_Klasse!$AI$27=2,"✓",IF(Z80="","!","✓"))</f>
        <v>✓</v>
      </c>
      <c r="AC80" s="3143"/>
      <c r="AD80" s="3155"/>
      <c r="AE80" s="16"/>
      <c r="AF80" s="3156"/>
      <c r="AG80" s="3142"/>
      <c r="AH80" s="2480">
        <v>0</v>
      </c>
      <c r="AI80" s="3142"/>
      <c r="AJ80" s="5543" t="str">
        <f>IF(_Calcs_Klasse!$AI$27=2,"✓",IF(AH80="","!","✓"))</f>
        <v>✓</v>
      </c>
      <c r="AK80" s="3143"/>
      <c r="AL80" s="3155"/>
      <c r="AM80" s="16"/>
      <c r="AN80" s="3156"/>
      <c r="AO80" s="3142"/>
      <c r="AP80" s="2480">
        <v>0</v>
      </c>
      <c r="AQ80" s="3142"/>
      <c r="AR80" s="5543" t="str">
        <f>IF(_Calcs_Klasse!$AI$27=2,"✓",IF(AP80="","!","✓"))</f>
        <v>✓</v>
      </c>
      <c r="AS80" s="3143"/>
      <c r="AT80" s="3155"/>
      <c r="AU80" s="16"/>
      <c r="AV80" s="3156"/>
      <c r="AW80" s="3142"/>
      <c r="AX80" s="2480">
        <v>0</v>
      </c>
      <c r="AY80" s="3142"/>
      <c r="AZ80" s="5543" t="str">
        <f>IF(_Calcs_Klasse!$AI$27=2,"✓",IF(AX80="","!","✓"))</f>
        <v>✓</v>
      </c>
      <c r="BA80" s="3143"/>
      <c r="BB80" s="3155"/>
      <c r="BC80" s="16"/>
      <c r="BD80" s="3156"/>
      <c r="BE80" s="3142"/>
      <c r="BF80" s="2480">
        <v>0</v>
      </c>
      <c r="BG80" s="3142"/>
      <c r="BH80" s="5543" t="str">
        <f>IF(_Calcs_Klasse!$AI$27=2,"✓",IF(BF80="","!","✓"))</f>
        <v>✓</v>
      </c>
      <c r="BI80" s="3143"/>
      <c r="BJ80" s="3155"/>
      <c r="BK80" s="16"/>
      <c r="BL80" s="3156"/>
      <c r="BM80" s="3142"/>
      <c r="BN80" s="2480">
        <v>1000</v>
      </c>
      <c r="BO80" s="3142"/>
      <c r="BP80" s="5543" t="str">
        <f>IF(_Calcs_Klasse!$AI$27=2,"✓",IF(BN80="","!","✓"))</f>
        <v>✓</v>
      </c>
      <c r="BQ80" s="3143"/>
      <c r="BR80" s="3155"/>
      <c r="BS80" s="16"/>
      <c r="BT80" s="3156"/>
      <c r="BU80" s="3142"/>
      <c r="BV80" s="2480">
        <v>0</v>
      </c>
      <c r="BW80" s="3142"/>
      <c r="BX80" s="5543" t="str">
        <f>IF(_Calcs_Klasse!$AI$27=2,"✓",IF(BV80="","!","✓"))</f>
        <v>✓</v>
      </c>
      <c r="BY80" s="3143"/>
      <c r="BZ80" s="3155"/>
      <c r="CA80" s="16"/>
      <c r="CB80" s="3156"/>
      <c r="CC80" s="3142"/>
      <c r="CD80" s="2480">
        <v>0</v>
      </c>
      <c r="CE80" s="3142"/>
      <c r="CF80" s="5543" t="str">
        <f>IF(_Calcs_Klasse!$AI$27=2,"✓",IF(CD80="","!","✓"))</f>
        <v>✓</v>
      </c>
      <c r="CG80" s="3143"/>
      <c r="CH80" s="3155"/>
      <c r="CI80" s="16"/>
      <c r="CJ80" s="3156"/>
      <c r="CK80" s="3142"/>
      <c r="CL80" s="2480">
        <v>250</v>
      </c>
      <c r="CM80" s="3142"/>
      <c r="CN80" s="5543" t="str">
        <f>IF(_Calcs_Klasse!$AI$27=2,"✓",IF(CL80="","!","✓"))</f>
        <v>✓</v>
      </c>
      <c r="CO80" s="3143"/>
      <c r="CP80" s="3155"/>
      <c r="CQ80" s="16"/>
      <c r="CR80" s="3154"/>
    </row>
    <row r="81" spans="1:96" s="78" customFormat="1" ht="15" customHeight="1" thickBot="1" x14ac:dyDescent="0.25">
      <c r="A81" s="104"/>
      <c r="B81" s="104"/>
      <c r="C81" s="2725"/>
      <c r="D81" s="20"/>
      <c r="E81" s="3148"/>
      <c r="F81" s="3149"/>
      <c r="G81" s="3149"/>
      <c r="H81" s="3149"/>
      <c r="I81" s="3149"/>
      <c r="J81" s="3149"/>
      <c r="K81" s="3149"/>
      <c r="L81" s="3149"/>
      <c r="M81" s="3149"/>
      <c r="N81" s="3149"/>
      <c r="O81" s="3149"/>
      <c r="P81" s="3150"/>
      <c r="R81" s="1158"/>
      <c r="S81" s="1159"/>
      <c r="T81" s="1159"/>
      <c r="U81" s="1159"/>
      <c r="V81" s="1160"/>
      <c r="W81" s="16"/>
      <c r="X81" s="3148"/>
      <c r="Y81" s="3149"/>
      <c r="Z81" s="3151"/>
      <c r="AA81" s="3149"/>
      <c r="AB81" s="3149"/>
      <c r="AC81" s="3152"/>
      <c r="AD81" s="3153"/>
      <c r="AE81" s="16"/>
      <c r="AF81" s="3148"/>
      <c r="AG81" s="3149"/>
      <c r="AH81" s="3151"/>
      <c r="AI81" s="3149"/>
      <c r="AJ81" s="3149"/>
      <c r="AK81" s="3152"/>
      <c r="AL81" s="3153"/>
      <c r="AM81" s="16"/>
      <c r="AN81" s="3148"/>
      <c r="AO81" s="3149"/>
      <c r="AP81" s="3151"/>
      <c r="AQ81" s="3149"/>
      <c r="AR81" s="3149"/>
      <c r="AS81" s="3152"/>
      <c r="AT81" s="3153"/>
      <c r="AU81" s="16"/>
      <c r="AV81" s="3148"/>
      <c r="AW81" s="3149"/>
      <c r="AX81" s="3151"/>
      <c r="AY81" s="3149"/>
      <c r="AZ81" s="3149"/>
      <c r="BA81" s="3152"/>
      <c r="BB81" s="3153"/>
      <c r="BC81" s="16"/>
      <c r="BD81" s="3148"/>
      <c r="BE81" s="3149"/>
      <c r="BF81" s="3151"/>
      <c r="BG81" s="3149"/>
      <c r="BH81" s="3149"/>
      <c r="BI81" s="3152"/>
      <c r="BJ81" s="3153"/>
      <c r="BK81" s="16"/>
      <c r="BL81" s="3148"/>
      <c r="BM81" s="3149"/>
      <c r="BN81" s="3151"/>
      <c r="BO81" s="3149"/>
      <c r="BP81" s="3149"/>
      <c r="BQ81" s="3152"/>
      <c r="BR81" s="3153"/>
      <c r="BS81" s="16"/>
      <c r="BT81" s="3148"/>
      <c r="BU81" s="3149"/>
      <c r="BV81" s="3151"/>
      <c r="BW81" s="3149"/>
      <c r="BX81" s="3149"/>
      <c r="BY81" s="3152"/>
      <c r="BZ81" s="3153"/>
      <c r="CA81" s="16"/>
      <c r="CB81" s="3148"/>
      <c r="CC81" s="3149"/>
      <c r="CD81" s="3151"/>
      <c r="CE81" s="3149"/>
      <c r="CF81" s="3149"/>
      <c r="CG81" s="3152"/>
      <c r="CH81" s="3153"/>
      <c r="CI81" s="16"/>
      <c r="CJ81" s="3148"/>
      <c r="CK81" s="3149"/>
      <c r="CL81" s="3151"/>
      <c r="CM81" s="3149"/>
      <c r="CN81" s="3149"/>
      <c r="CO81" s="3152"/>
      <c r="CP81" s="3153"/>
      <c r="CQ81" s="16"/>
      <c r="CR81" s="3154"/>
    </row>
    <row r="82" spans="1:96" s="78" customFormat="1" ht="24.95" customHeight="1" thickBot="1" x14ac:dyDescent="0.25">
      <c r="A82" s="104"/>
      <c r="B82" s="104"/>
      <c r="C82" s="2725"/>
      <c r="D82" s="20"/>
      <c r="E82" s="15"/>
      <c r="F82" s="21"/>
      <c r="G82" s="21"/>
      <c r="H82" s="21"/>
      <c r="I82" s="21"/>
      <c r="J82" s="16"/>
      <c r="K82" s="16"/>
      <c r="L82" s="19"/>
      <c r="M82" s="19"/>
      <c r="N82" s="19"/>
      <c r="O82" s="15"/>
      <c r="P82" s="15"/>
      <c r="R82" s="7"/>
      <c r="S82" s="7"/>
      <c r="T82" s="7"/>
      <c r="U82" s="7"/>
      <c r="V82" s="7"/>
      <c r="W82" s="16"/>
      <c r="X82" s="16"/>
      <c r="Y82" s="16"/>
      <c r="Z82" s="22"/>
      <c r="AA82" s="16"/>
      <c r="AB82" s="19"/>
      <c r="AC82" s="21"/>
      <c r="AD82" s="21"/>
      <c r="AE82" s="16"/>
      <c r="AF82" s="16"/>
      <c r="AG82" s="16"/>
      <c r="AH82" s="22"/>
      <c r="AI82" s="16"/>
      <c r="AJ82" s="19"/>
      <c r="AK82" s="21"/>
      <c r="AL82" s="21"/>
      <c r="AM82" s="16"/>
      <c r="AN82" s="16"/>
      <c r="AO82" s="16"/>
      <c r="AP82" s="22"/>
      <c r="AQ82" s="16"/>
      <c r="AR82" s="19"/>
      <c r="AS82" s="21"/>
      <c r="AT82" s="21"/>
      <c r="AU82" s="16"/>
      <c r="AV82" s="16"/>
      <c r="AW82" s="16"/>
      <c r="AX82" s="22"/>
      <c r="AY82" s="16"/>
      <c r="AZ82" s="19"/>
      <c r="BA82" s="21"/>
      <c r="BB82" s="21"/>
      <c r="BC82" s="16"/>
      <c r="BD82" s="16"/>
      <c r="BE82" s="16"/>
      <c r="BF82" s="22"/>
      <c r="BG82" s="16"/>
      <c r="BH82" s="19"/>
      <c r="BI82" s="21"/>
      <c r="BJ82" s="21"/>
      <c r="BK82" s="16"/>
      <c r="BL82" s="16"/>
      <c r="BM82" s="16"/>
      <c r="BN82" s="22"/>
      <c r="BO82" s="16"/>
      <c r="BP82" s="19"/>
      <c r="BQ82" s="21"/>
      <c r="BR82" s="21"/>
      <c r="BS82" s="16"/>
      <c r="BT82" s="16"/>
      <c r="BU82" s="16"/>
      <c r="BV82" s="22"/>
      <c r="BW82" s="16"/>
      <c r="BX82" s="19"/>
      <c r="BY82" s="21"/>
      <c r="BZ82" s="21"/>
      <c r="CA82" s="16"/>
      <c r="CB82" s="16"/>
      <c r="CC82" s="16"/>
      <c r="CD82" s="22"/>
      <c r="CE82" s="16"/>
      <c r="CF82" s="19"/>
      <c r="CG82" s="21"/>
      <c r="CH82" s="21"/>
      <c r="CI82" s="16"/>
      <c r="CJ82" s="16"/>
      <c r="CK82" s="16"/>
      <c r="CL82" s="22"/>
      <c r="CM82" s="16"/>
      <c r="CN82" s="19"/>
      <c r="CO82" s="21"/>
      <c r="CP82" s="21"/>
      <c r="CQ82" s="16"/>
      <c r="CR82" s="21"/>
    </row>
    <row r="83" spans="1:96" s="78" customFormat="1" ht="15" customHeight="1" thickBot="1" x14ac:dyDescent="0.25">
      <c r="A83" s="104"/>
      <c r="B83" s="104"/>
      <c r="C83" s="2725"/>
      <c r="D83" s="104"/>
      <c r="E83" s="2844"/>
      <c r="F83" s="7065" t="str">
        <f>_Calcs_Klasse!AH93</f>
        <v>Sikringsklasse V</v>
      </c>
      <c r="G83" s="7065"/>
      <c r="H83" s="7065"/>
      <c r="I83" s="7065"/>
      <c r="J83" s="7065"/>
      <c r="K83" s="7065"/>
      <c r="L83" s="7065"/>
      <c r="M83" s="7065"/>
      <c r="N83" s="7065"/>
      <c r="O83" s="7065"/>
      <c r="P83" s="2845"/>
      <c r="R83" s="23"/>
      <c r="S83" s="23"/>
      <c r="T83" s="23"/>
      <c r="U83" s="23"/>
      <c r="V83" s="23"/>
      <c r="W83" s="16"/>
      <c r="X83" s="16"/>
      <c r="Y83" s="16"/>
      <c r="Z83" s="22"/>
      <c r="AA83" s="16"/>
      <c r="AB83" s="19"/>
      <c r="AC83" s="21"/>
      <c r="AD83" s="21"/>
      <c r="AE83" s="16"/>
      <c r="AF83" s="16"/>
      <c r="AG83" s="16"/>
      <c r="AH83" s="22"/>
      <c r="AI83" s="16"/>
      <c r="AJ83" s="19"/>
      <c r="AK83" s="21"/>
      <c r="AL83" s="21"/>
      <c r="AM83" s="16"/>
      <c r="AN83" s="16"/>
      <c r="AO83" s="16"/>
      <c r="AP83" s="22"/>
      <c r="AQ83" s="16"/>
      <c r="AR83" s="19"/>
      <c r="AS83" s="21"/>
      <c r="AT83" s="21"/>
      <c r="AU83" s="16"/>
      <c r="AV83" s="16"/>
      <c r="AW83" s="16"/>
      <c r="AX83" s="22"/>
      <c r="AY83" s="16"/>
      <c r="AZ83" s="19"/>
      <c r="BA83" s="21"/>
      <c r="BB83" s="21"/>
      <c r="BC83" s="16"/>
      <c r="BD83" s="16"/>
      <c r="BE83" s="16"/>
      <c r="BF83" s="22"/>
      <c r="BG83" s="16"/>
      <c r="BH83" s="19"/>
      <c r="BI83" s="21"/>
      <c r="BJ83" s="21"/>
      <c r="BK83" s="16"/>
      <c r="BL83" s="16"/>
      <c r="BM83" s="16"/>
      <c r="BN83" s="22"/>
      <c r="BO83" s="16"/>
      <c r="BP83" s="19"/>
      <c r="BQ83" s="21"/>
      <c r="BR83" s="21"/>
      <c r="BS83" s="16"/>
      <c r="BT83" s="16"/>
      <c r="BU83" s="16"/>
      <c r="BV83" s="22"/>
      <c r="BW83" s="16"/>
      <c r="BX83" s="19"/>
      <c r="BY83" s="21"/>
      <c r="BZ83" s="21"/>
      <c r="CA83" s="16"/>
      <c r="CB83" s="16"/>
      <c r="CC83" s="16"/>
      <c r="CD83" s="22"/>
      <c r="CE83" s="16"/>
      <c r="CF83" s="19"/>
      <c r="CG83" s="21"/>
      <c r="CH83" s="21"/>
      <c r="CI83" s="16"/>
      <c r="CJ83" s="16"/>
      <c r="CK83" s="16"/>
      <c r="CL83" s="22"/>
      <c r="CM83" s="16"/>
      <c r="CN83" s="19"/>
      <c r="CO83" s="21"/>
      <c r="CP83" s="21"/>
      <c r="CQ83" s="16"/>
      <c r="CR83" s="21"/>
    </row>
    <row r="84" spans="1:96" s="78" customFormat="1" ht="15" customHeight="1" thickBot="1" x14ac:dyDescent="0.25">
      <c r="A84" s="104"/>
      <c r="B84" s="104"/>
      <c r="C84" s="2725"/>
      <c r="D84" s="104"/>
      <c r="E84" s="2846"/>
      <c r="F84" s="7066"/>
      <c r="G84" s="7066"/>
      <c r="H84" s="7066"/>
      <c r="I84" s="7066"/>
      <c r="J84" s="7066"/>
      <c r="K84" s="7066"/>
      <c r="L84" s="7066"/>
      <c r="M84" s="7066"/>
      <c r="N84" s="7066"/>
      <c r="O84" s="7066"/>
      <c r="P84" s="2847"/>
      <c r="R84" s="1215"/>
      <c r="S84" s="1216"/>
      <c r="T84" s="1216"/>
      <c r="U84" s="1216"/>
      <c r="V84" s="1217"/>
      <c r="W84" s="16"/>
      <c r="X84" s="3161"/>
      <c r="Y84" s="3162"/>
      <c r="Z84" s="3163"/>
      <c r="AA84" s="3162"/>
      <c r="AB84" s="3164"/>
      <c r="AC84" s="3165"/>
      <c r="AD84" s="3166"/>
      <c r="AE84" s="16"/>
      <c r="AF84" s="3161"/>
      <c r="AG84" s="3162"/>
      <c r="AH84" s="3163"/>
      <c r="AI84" s="3162"/>
      <c r="AJ84" s="3164"/>
      <c r="AK84" s="3165"/>
      <c r="AL84" s="3166"/>
      <c r="AM84" s="16"/>
      <c r="AN84" s="3161"/>
      <c r="AO84" s="3162"/>
      <c r="AP84" s="3163"/>
      <c r="AQ84" s="3162"/>
      <c r="AR84" s="3164"/>
      <c r="AS84" s="3165"/>
      <c r="AT84" s="3166"/>
      <c r="AU84" s="16"/>
      <c r="AV84" s="3161"/>
      <c r="AW84" s="3162"/>
      <c r="AX84" s="3163"/>
      <c r="AY84" s="3162"/>
      <c r="AZ84" s="3164"/>
      <c r="BA84" s="3165"/>
      <c r="BB84" s="3166"/>
      <c r="BC84" s="16"/>
      <c r="BD84" s="3161"/>
      <c r="BE84" s="3162"/>
      <c r="BF84" s="3163"/>
      <c r="BG84" s="3162"/>
      <c r="BH84" s="3164"/>
      <c r="BI84" s="3165"/>
      <c r="BJ84" s="3166"/>
      <c r="BK84" s="16"/>
      <c r="BL84" s="3161"/>
      <c r="BM84" s="3162"/>
      <c r="BN84" s="3163"/>
      <c r="BO84" s="3162"/>
      <c r="BP84" s="3164"/>
      <c r="BQ84" s="3165"/>
      <c r="BR84" s="3166"/>
      <c r="BS84" s="16"/>
      <c r="BT84" s="3161"/>
      <c r="BU84" s="3162"/>
      <c r="BV84" s="3163"/>
      <c r="BW84" s="3162"/>
      <c r="BX84" s="3164"/>
      <c r="BY84" s="3165"/>
      <c r="BZ84" s="3166"/>
      <c r="CA84" s="16"/>
      <c r="CB84" s="3161"/>
      <c r="CC84" s="3162"/>
      <c r="CD84" s="3163"/>
      <c r="CE84" s="3162"/>
      <c r="CF84" s="3164"/>
      <c r="CG84" s="3165"/>
      <c r="CH84" s="3166"/>
      <c r="CI84" s="16"/>
      <c r="CJ84" s="3161"/>
      <c r="CK84" s="3162"/>
      <c r="CL84" s="3163"/>
      <c r="CM84" s="3162"/>
      <c r="CN84" s="3164"/>
      <c r="CO84" s="3165"/>
      <c r="CP84" s="3166"/>
      <c r="CQ84" s="16"/>
      <c r="CR84" s="3167"/>
    </row>
    <row r="85" spans="1:96" s="78" customFormat="1" ht="8.1" customHeight="1" thickBot="1" x14ac:dyDescent="0.25">
      <c r="A85" s="104"/>
      <c r="B85" s="104"/>
      <c r="C85" s="2725"/>
      <c r="D85" s="104"/>
      <c r="E85" s="17"/>
      <c r="F85" s="129"/>
      <c r="G85" s="129"/>
      <c r="H85" s="129"/>
      <c r="I85" s="129"/>
      <c r="J85" s="16"/>
      <c r="K85" s="16"/>
      <c r="L85" s="19"/>
      <c r="M85" s="19"/>
      <c r="N85" s="19"/>
      <c r="O85" s="15"/>
      <c r="P85" s="15"/>
      <c r="R85" s="23"/>
      <c r="S85" s="23"/>
      <c r="T85" s="23"/>
      <c r="U85" s="23"/>
      <c r="V85" s="23"/>
      <c r="W85" s="16"/>
      <c r="X85" s="16"/>
      <c r="Y85" s="16"/>
      <c r="Z85" s="22"/>
      <c r="AA85" s="16"/>
      <c r="AB85" s="19"/>
      <c r="AC85" s="21"/>
      <c r="AD85" s="21"/>
      <c r="AE85" s="16"/>
      <c r="AF85" s="16"/>
      <c r="AG85" s="16"/>
      <c r="AH85" s="22"/>
      <c r="AI85" s="16"/>
      <c r="AJ85" s="19"/>
      <c r="AK85" s="21"/>
      <c r="AL85" s="21"/>
      <c r="AM85" s="16"/>
      <c r="AN85" s="16"/>
      <c r="AO85" s="16"/>
      <c r="AP85" s="22"/>
      <c r="AQ85" s="16"/>
      <c r="AR85" s="19"/>
      <c r="AS85" s="21"/>
      <c r="AT85" s="21"/>
      <c r="AU85" s="16"/>
      <c r="AV85" s="16"/>
      <c r="AW85" s="16"/>
      <c r="AX85" s="22"/>
      <c r="AY85" s="16"/>
      <c r="AZ85" s="19"/>
      <c r="BA85" s="21"/>
      <c r="BB85" s="21"/>
      <c r="BC85" s="16"/>
      <c r="BD85" s="16"/>
      <c r="BE85" s="16"/>
      <c r="BF85" s="22"/>
      <c r="BG85" s="16"/>
      <c r="BH85" s="19"/>
      <c r="BI85" s="21"/>
      <c r="BJ85" s="21"/>
      <c r="BK85" s="16"/>
      <c r="BL85" s="16"/>
      <c r="BM85" s="16"/>
      <c r="BN85" s="22"/>
      <c r="BO85" s="16"/>
      <c r="BP85" s="19"/>
      <c r="BQ85" s="21"/>
      <c r="BR85" s="21"/>
      <c r="BS85" s="16"/>
      <c r="BT85" s="16"/>
      <c r="BU85" s="16"/>
      <c r="BV85" s="22"/>
      <c r="BW85" s="16"/>
      <c r="BX85" s="19"/>
      <c r="BY85" s="21"/>
      <c r="BZ85" s="21"/>
      <c r="CA85" s="16"/>
      <c r="CB85" s="16"/>
      <c r="CC85" s="16"/>
      <c r="CD85" s="22"/>
      <c r="CE85" s="16"/>
      <c r="CF85" s="19"/>
      <c r="CG85" s="21"/>
      <c r="CH85" s="21"/>
      <c r="CI85" s="16"/>
      <c r="CJ85" s="16"/>
      <c r="CK85" s="16"/>
      <c r="CL85" s="22"/>
      <c r="CM85" s="16"/>
      <c r="CN85" s="19"/>
      <c r="CO85" s="21"/>
      <c r="CP85" s="21"/>
      <c r="CQ85" s="16"/>
      <c r="CR85" s="21"/>
    </row>
    <row r="86" spans="1:96" s="78" customFormat="1" ht="15" customHeight="1" thickBot="1" x14ac:dyDescent="0.25">
      <c r="A86" s="104"/>
      <c r="B86" s="104"/>
      <c r="C86" s="2725"/>
      <c r="D86" s="104"/>
      <c r="E86" s="3168"/>
      <c r="F86" s="3169"/>
      <c r="G86" s="3169"/>
      <c r="H86" s="3169"/>
      <c r="I86" s="3169"/>
      <c r="J86" s="3170"/>
      <c r="K86" s="3170"/>
      <c r="L86" s="3171"/>
      <c r="M86" s="3171"/>
      <c r="N86" s="3171"/>
      <c r="O86" s="3172"/>
      <c r="P86" s="3173"/>
      <c r="R86" s="1153"/>
      <c r="S86" s="1154"/>
      <c r="T86" s="1154"/>
      <c r="U86" s="1154"/>
      <c r="V86" s="1155"/>
      <c r="W86" s="16"/>
      <c r="X86" s="3188"/>
      <c r="Y86" s="3170"/>
      <c r="Z86" s="3189"/>
      <c r="AA86" s="3170"/>
      <c r="AB86" s="3171"/>
      <c r="AC86" s="3190"/>
      <c r="AD86" s="3191"/>
      <c r="AE86" s="16"/>
      <c r="AF86" s="3188"/>
      <c r="AG86" s="3170"/>
      <c r="AH86" s="3189"/>
      <c r="AI86" s="3170"/>
      <c r="AJ86" s="3171"/>
      <c r="AK86" s="3190"/>
      <c r="AL86" s="3191"/>
      <c r="AM86" s="16"/>
      <c r="AN86" s="3188"/>
      <c r="AO86" s="3170"/>
      <c r="AP86" s="3189"/>
      <c r="AQ86" s="3170"/>
      <c r="AR86" s="3171"/>
      <c r="AS86" s="3190"/>
      <c r="AT86" s="3191"/>
      <c r="AU86" s="16"/>
      <c r="AV86" s="3188"/>
      <c r="AW86" s="3170"/>
      <c r="AX86" s="3189"/>
      <c r="AY86" s="3170"/>
      <c r="AZ86" s="3171"/>
      <c r="BA86" s="3190"/>
      <c r="BB86" s="3191"/>
      <c r="BC86" s="16"/>
      <c r="BD86" s="3188"/>
      <c r="BE86" s="3170"/>
      <c r="BF86" s="3189"/>
      <c r="BG86" s="3170"/>
      <c r="BH86" s="3171"/>
      <c r="BI86" s="3190"/>
      <c r="BJ86" s="3191"/>
      <c r="BK86" s="16"/>
      <c r="BL86" s="3188"/>
      <c r="BM86" s="3170"/>
      <c r="BN86" s="3189"/>
      <c r="BO86" s="3170"/>
      <c r="BP86" s="3171"/>
      <c r="BQ86" s="3190"/>
      <c r="BR86" s="3191"/>
      <c r="BS86" s="16"/>
      <c r="BT86" s="3188"/>
      <c r="BU86" s="3170"/>
      <c r="BV86" s="3189"/>
      <c r="BW86" s="3170"/>
      <c r="BX86" s="3171"/>
      <c r="BY86" s="3190"/>
      <c r="BZ86" s="3191"/>
      <c r="CA86" s="16"/>
      <c r="CB86" s="3188"/>
      <c r="CC86" s="3170"/>
      <c r="CD86" s="3189"/>
      <c r="CE86" s="3170"/>
      <c r="CF86" s="3171"/>
      <c r="CG86" s="3190"/>
      <c r="CH86" s="3191"/>
      <c r="CI86" s="16"/>
      <c r="CJ86" s="3188"/>
      <c r="CK86" s="3170"/>
      <c r="CL86" s="3189"/>
      <c r="CM86" s="3170"/>
      <c r="CN86" s="3171"/>
      <c r="CO86" s="3190"/>
      <c r="CP86" s="3191"/>
      <c r="CQ86" s="16"/>
      <c r="CR86" s="3185"/>
    </row>
    <row r="87" spans="1:96" s="78" customFormat="1" ht="20.100000000000001" customHeight="1" thickBot="1" x14ac:dyDescent="0.25">
      <c r="A87" s="104"/>
      <c r="B87" s="104"/>
      <c r="C87" s="2725"/>
      <c r="D87" s="104"/>
      <c r="E87" s="3174"/>
      <c r="F87" s="3175" t="str">
        <f>_Calcs_Klasse!AI93</f>
        <v>Klasse F</v>
      </c>
      <c r="G87" s="3175"/>
      <c r="H87" s="3175"/>
      <c r="I87" s="3175"/>
      <c r="J87" s="3176"/>
      <c r="K87" s="3176"/>
      <c r="L87" s="3177"/>
      <c r="M87" s="3177"/>
      <c r="N87" s="3177"/>
      <c r="O87" s="3175" t="s">
        <v>78</v>
      </c>
      <c r="P87" s="3178"/>
      <c r="Q87" s="21"/>
      <c r="R87" s="1156"/>
      <c r="S87" s="7154">
        <f>_Calcs_Klasse!$AW$171</f>
        <v>0</v>
      </c>
      <c r="T87" s="7155"/>
      <c r="U87" s="7156"/>
      <c r="V87" s="1157"/>
      <c r="W87" s="16"/>
      <c r="X87" s="3187"/>
      <c r="Y87" s="3176"/>
      <c r="Z87" s="2480">
        <v>0</v>
      </c>
      <c r="AA87" s="3176"/>
      <c r="AB87" s="5543" t="str">
        <f>IF(_Calcs_Klasse!$AI$27=2,"✓",IF(Z87="","!","✓"))</f>
        <v>✓</v>
      </c>
      <c r="AC87" s="3177"/>
      <c r="AD87" s="3186"/>
      <c r="AE87" s="16"/>
      <c r="AF87" s="3187"/>
      <c r="AG87" s="3176"/>
      <c r="AH87" s="2480">
        <v>900</v>
      </c>
      <c r="AI87" s="3176"/>
      <c r="AJ87" s="5543" t="str">
        <f>IF(_Calcs_Klasse!$AI$27=2,"✓",IF(AH87="","!","✓"))</f>
        <v>✓</v>
      </c>
      <c r="AK87" s="3177"/>
      <c r="AL87" s="3186"/>
      <c r="AM87" s="16"/>
      <c r="AN87" s="3187"/>
      <c r="AO87" s="3176"/>
      <c r="AP87" s="2480">
        <v>0</v>
      </c>
      <c r="AQ87" s="3176"/>
      <c r="AR87" s="5543" t="str">
        <f>IF(_Calcs_Klasse!$AI$27=2,"✓",IF(AP87="","!","✓"))</f>
        <v>✓</v>
      </c>
      <c r="AS87" s="3177"/>
      <c r="AT87" s="3186"/>
      <c r="AU87" s="16"/>
      <c r="AV87" s="3187"/>
      <c r="AW87" s="3176"/>
      <c r="AX87" s="2480">
        <v>0</v>
      </c>
      <c r="AY87" s="3176"/>
      <c r="AZ87" s="5543" t="str">
        <f>IF(_Calcs_Klasse!$AI$27=2,"✓",IF(AX87="","!","✓"))</f>
        <v>✓</v>
      </c>
      <c r="BA87" s="3177"/>
      <c r="BB87" s="3186"/>
      <c r="BC87" s="16"/>
      <c r="BD87" s="3187"/>
      <c r="BE87" s="3176"/>
      <c r="BF87" s="2480">
        <v>0</v>
      </c>
      <c r="BG87" s="3176"/>
      <c r="BH87" s="5543" t="str">
        <f>IF(_Calcs_Klasse!$AI$27=2,"✓",IF(BF87="","!","✓"))</f>
        <v>✓</v>
      </c>
      <c r="BI87" s="3177"/>
      <c r="BJ87" s="3186"/>
      <c r="BK87" s="16"/>
      <c r="BL87" s="3187"/>
      <c r="BM87" s="3176"/>
      <c r="BN87" s="2480">
        <v>0</v>
      </c>
      <c r="BO87" s="3176"/>
      <c r="BP87" s="5543" t="str">
        <f>IF(_Calcs_Klasse!$AI$27=2,"✓",IF(BN87="","!","✓"))</f>
        <v>✓</v>
      </c>
      <c r="BQ87" s="3177"/>
      <c r="BR87" s="3186"/>
      <c r="BS87" s="16"/>
      <c r="BT87" s="3187"/>
      <c r="BU87" s="3176"/>
      <c r="BV87" s="2480">
        <v>1000</v>
      </c>
      <c r="BW87" s="3176"/>
      <c r="BX87" s="5543" t="str">
        <f>IF(_Calcs_Klasse!$AI$27=2,"✓",IF(BV87="","!","✓"))</f>
        <v>✓</v>
      </c>
      <c r="BY87" s="3177"/>
      <c r="BZ87" s="3186"/>
      <c r="CA87" s="16"/>
      <c r="CB87" s="3187"/>
      <c r="CC87" s="3176"/>
      <c r="CD87" s="2480">
        <v>0</v>
      </c>
      <c r="CE87" s="3176"/>
      <c r="CF87" s="5543" t="str">
        <f>IF(_Calcs_Klasse!$AI$27=2,"✓",IF(CD87="","!","✓"))</f>
        <v>✓</v>
      </c>
      <c r="CG87" s="3177"/>
      <c r="CH87" s="3186"/>
      <c r="CI87" s="16"/>
      <c r="CJ87" s="3187"/>
      <c r="CK87" s="3176"/>
      <c r="CL87" s="2480">
        <v>500</v>
      </c>
      <c r="CM87" s="3176"/>
      <c r="CN87" s="5543" t="str">
        <f>IF(_Calcs_Klasse!$AI$27=2,"✓",IF(CL87="","!","✓"))</f>
        <v>✓</v>
      </c>
      <c r="CO87" s="3177"/>
      <c r="CP87" s="3186"/>
      <c r="CQ87" s="16"/>
      <c r="CR87" s="3185"/>
    </row>
    <row r="88" spans="1:96" s="78" customFormat="1" ht="15" customHeight="1" thickBot="1" x14ac:dyDescent="0.25">
      <c r="A88" s="104"/>
      <c r="B88" s="104"/>
      <c r="C88" s="2725"/>
      <c r="D88" s="20"/>
      <c r="E88" s="3179"/>
      <c r="F88" s="3180"/>
      <c r="G88" s="3180"/>
      <c r="H88" s="3180"/>
      <c r="I88" s="3180"/>
      <c r="J88" s="3180"/>
      <c r="K88" s="3180"/>
      <c r="L88" s="3180"/>
      <c r="M88" s="3180"/>
      <c r="N88" s="3180"/>
      <c r="O88" s="3180"/>
      <c r="P88" s="3181"/>
      <c r="R88" s="1158"/>
      <c r="S88" s="1159"/>
      <c r="T88" s="1159"/>
      <c r="U88" s="1159"/>
      <c r="V88" s="1160"/>
      <c r="W88" s="16"/>
      <c r="X88" s="3179"/>
      <c r="Y88" s="3180"/>
      <c r="Z88" s="3182"/>
      <c r="AA88" s="3180"/>
      <c r="AB88" s="3180"/>
      <c r="AC88" s="3183"/>
      <c r="AD88" s="3184"/>
      <c r="AE88" s="16"/>
      <c r="AF88" s="3179"/>
      <c r="AG88" s="3180"/>
      <c r="AH88" s="3182"/>
      <c r="AI88" s="3180"/>
      <c r="AJ88" s="3180"/>
      <c r="AK88" s="3183"/>
      <c r="AL88" s="3184"/>
      <c r="AM88" s="16"/>
      <c r="AN88" s="3179"/>
      <c r="AO88" s="3180"/>
      <c r="AP88" s="3182"/>
      <c r="AQ88" s="3180"/>
      <c r="AR88" s="3180"/>
      <c r="AS88" s="3183"/>
      <c r="AT88" s="3184"/>
      <c r="AU88" s="16"/>
      <c r="AV88" s="3179"/>
      <c r="AW88" s="3180"/>
      <c r="AX88" s="3182"/>
      <c r="AY88" s="3180"/>
      <c r="AZ88" s="3180"/>
      <c r="BA88" s="3183"/>
      <c r="BB88" s="3184"/>
      <c r="BC88" s="16"/>
      <c r="BD88" s="3179"/>
      <c r="BE88" s="3180"/>
      <c r="BF88" s="3182"/>
      <c r="BG88" s="3180"/>
      <c r="BH88" s="3180"/>
      <c r="BI88" s="3183"/>
      <c r="BJ88" s="3184"/>
      <c r="BK88" s="16"/>
      <c r="BL88" s="3179"/>
      <c r="BM88" s="3180"/>
      <c r="BN88" s="3182"/>
      <c r="BO88" s="3180"/>
      <c r="BP88" s="3180"/>
      <c r="BQ88" s="3183"/>
      <c r="BR88" s="3184"/>
      <c r="BS88" s="16"/>
      <c r="BT88" s="3179"/>
      <c r="BU88" s="3180"/>
      <c r="BV88" s="3182"/>
      <c r="BW88" s="3180"/>
      <c r="BX88" s="3180"/>
      <c r="BY88" s="3183"/>
      <c r="BZ88" s="3184"/>
      <c r="CA88" s="16"/>
      <c r="CB88" s="3179"/>
      <c r="CC88" s="3180"/>
      <c r="CD88" s="3182"/>
      <c r="CE88" s="3180"/>
      <c r="CF88" s="3180"/>
      <c r="CG88" s="3183"/>
      <c r="CH88" s="3184"/>
      <c r="CI88" s="16"/>
      <c r="CJ88" s="3179"/>
      <c r="CK88" s="3180"/>
      <c r="CL88" s="3182"/>
      <c r="CM88" s="3180"/>
      <c r="CN88" s="3180"/>
      <c r="CO88" s="3183"/>
      <c r="CP88" s="3184"/>
      <c r="CQ88" s="16"/>
      <c r="CR88" s="3185"/>
    </row>
    <row r="89" spans="1:96" s="78" customFormat="1" ht="24.95" customHeight="1" thickBot="1" x14ac:dyDescent="0.25">
      <c r="A89" s="104"/>
      <c r="B89" s="104"/>
      <c r="C89" s="2725"/>
      <c r="D89" s="20"/>
      <c r="E89" s="15"/>
      <c r="F89" s="21"/>
      <c r="G89" s="21"/>
      <c r="H89" s="21"/>
      <c r="I89" s="21"/>
      <c r="J89" s="16"/>
      <c r="K89" s="16"/>
      <c r="L89" s="19"/>
      <c r="M89" s="19"/>
      <c r="N89" s="19"/>
      <c r="O89" s="15"/>
      <c r="P89" s="15"/>
      <c r="R89" s="7"/>
      <c r="S89" s="7"/>
      <c r="T89" s="7"/>
      <c r="U89" s="7"/>
      <c r="V89" s="7"/>
      <c r="W89" s="16"/>
      <c r="X89" s="16"/>
      <c r="Y89" s="16"/>
      <c r="Z89" s="22"/>
      <c r="AA89" s="16"/>
      <c r="AB89" s="19"/>
      <c r="AC89" s="21"/>
      <c r="AD89" s="21"/>
      <c r="AE89" s="16"/>
      <c r="AF89" s="16"/>
      <c r="AG89" s="16"/>
      <c r="AH89" s="22"/>
      <c r="AI89" s="16"/>
      <c r="AJ89" s="19"/>
      <c r="AK89" s="21"/>
      <c r="AL89" s="21"/>
      <c r="AM89" s="16"/>
      <c r="AN89" s="16"/>
      <c r="AO89" s="16"/>
      <c r="AP89" s="22"/>
      <c r="AQ89" s="16"/>
      <c r="AR89" s="19"/>
      <c r="AS89" s="21"/>
      <c r="AT89" s="21"/>
      <c r="AU89" s="16"/>
      <c r="AV89" s="16"/>
      <c r="AW89" s="16"/>
      <c r="AX89" s="22"/>
      <c r="AY89" s="16"/>
      <c r="AZ89" s="19"/>
      <c r="BA89" s="21"/>
      <c r="BB89" s="21"/>
      <c r="BC89" s="16"/>
      <c r="BD89" s="16"/>
      <c r="BE89" s="16"/>
      <c r="BF89" s="22"/>
      <c r="BG89" s="16"/>
      <c r="BH89" s="19"/>
      <c r="BI89" s="21"/>
      <c r="BJ89" s="21"/>
      <c r="BK89" s="16"/>
      <c r="BL89" s="16"/>
      <c r="BM89" s="16"/>
      <c r="BN89" s="22"/>
      <c r="BO89" s="16"/>
      <c r="BP89" s="19"/>
      <c r="BQ89" s="21"/>
      <c r="BR89" s="21"/>
      <c r="BS89" s="16"/>
      <c r="BT89" s="16"/>
      <c r="BU89" s="16"/>
      <c r="BV89" s="22"/>
      <c r="BW89" s="16"/>
      <c r="BX89" s="19"/>
      <c r="BY89" s="21"/>
      <c r="BZ89" s="21"/>
      <c r="CA89" s="16"/>
      <c r="CB89" s="16"/>
      <c r="CC89" s="16"/>
      <c r="CD89" s="22"/>
      <c r="CE89" s="16"/>
      <c r="CF89" s="19"/>
      <c r="CG89" s="21"/>
      <c r="CH89" s="21"/>
      <c r="CI89" s="16"/>
      <c r="CJ89" s="16"/>
      <c r="CK89" s="16"/>
      <c r="CL89" s="22"/>
      <c r="CM89" s="16"/>
      <c r="CN89" s="19"/>
      <c r="CO89" s="21"/>
      <c r="CP89" s="21"/>
      <c r="CQ89" s="16"/>
      <c r="CR89" s="21"/>
    </row>
    <row r="90" spans="1:96" s="78" customFormat="1" ht="15" customHeight="1" thickBot="1" x14ac:dyDescent="0.25">
      <c r="A90" s="104"/>
      <c r="B90" s="104"/>
      <c r="C90" s="2725"/>
      <c r="D90" s="104"/>
      <c r="E90" s="2858"/>
      <c r="F90" s="7063" t="str">
        <f>_Calcs_Klasse!AH94</f>
        <v>Sikringsklasse VI</v>
      </c>
      <c r="G90" s="7063"/>
      <c r="H90" s="7063"/>
      <c r="I90" s="7063"/>
      <c r="J90" s="7063"/>
      <c r="K90" s="7063"/>
      <c r="L90" s="7063"/>
      <c r="M90" s="7063"/>
      <c r="N90" s="7063"/>
      <c r="O90" s="7063"/>
      <c r="P90" s="2859"/>
      <c r="R90" s="23"/>
      <c r="S90" s="23"/>
      <c r="T90" s="23"/>
      <c r="U90" s="23"/>
      <c r="V90" s="23"/>
      <c r="W90" s="16"/>
      <c r="X90" s="16"/>
      <c r="Y90" s="16"/>
      <c r="Z90" s="22"/>
      <c r="AA90" s="16"/>
      <c r="AB90" s="19"/>
      <c r="AC90" s="21"/>
      <c r="AD90" s="21"/>
      <c r="AE90" s="16"/>
      <c r="AF90" s="16"/>
      <c r="AG90" s="16"/>
      <c r="AH90" s="22"/>
      <c r="AI90" s="16"/>
      <c r="AJ90" s="19"/>
      <c r="AK90" s="21"/>
      <c r="AL90" s="21"/>
      <c r="AM90" s="16"/>
      <c r="AN90" s="16"/>
      <c r="AO90" s="16"/>
      <c r="AP90" s="22"/>
      <c r="AQ90" s="16"/>
      <c r="AR90" s="19"/>
      <c r="AS90" s="21"/>
      <c r="AT90" s="21"/>
      <c r="AU90" s="16"/>
      <c r="AV90" s="16"/>
      <c r="AW90" s="16"/>
      <c r="AX90" s="22"/>
      <c r="AY90" s="16"/>
      <c r="AZ90" s="19"/>
      <c r="BA90" s="21"/>
      <c r="BB90" s="21"/>
      <c r="BC90" s="16"/>
      <c r="BD90" s="16"/>
      <c r="BE90" s="16"/>
      <c r="BF90" s="22"/>
      <c r="BG90" s="16"/>
      <c r="BH90" s="19"/>
      <c r="BI90" s="21"/>
      <c r="BJ90" s="21"/>
      <c r="BK90" s="16"/>
      <c r="BL90" s="16"/>
      <c r="BM90" s="16"/>
      <c r="BN90" s="22"/>
      <c r="BO90" s="16"/>
      <c r="BP90" s="19"/>
      <c r="BQ90" s="21"/>
      <c r="BR90" s="21"/>
      <c r="BS90" s="16"/>
      <c r="BT90" s="16"/>
      <c r="BU90" s="16"/>
      <c r="BV90" s="22"/>
      <c r="BW90" s="16"/>
      <c r="BX90" s="19"/>
      <c r="BY90" s="21"/>
      <c r="BZ90" s="21"/>
      <c r="CA90" s="16"/>
      <c r="CB90" s="16"/>
      <c r="CC90" s="16"/>
      <c r="CD90" s="22"/>
      <c r="CE90" s="16"/>
      <c r="CF90" s="19"/>
      <c r="CG90" s="21"/>
      <c r="CH90" s="21"/>
      <c r="CI90" s="16"/>
      <c r="CJ90" s="16"/>
      <c r="CK90" s="16"/>
      <c r="CL90" s="22"/>
      <c r="CM90" s="16"/>
      <c r="CN90" s="19"/>
      <c r="CO90" s="21"/>
      <c r="CP90" s="21"/>
      <c r="CQ90" s="16"/>
      <c r="CR90" s="21"/>
    </row>
    <row r="91" spans="1:96" s="78" customFormat="1" ht="15" customHeight="1" thickBot="1" x14ac:dyDescent="0.25">
      <c r="A91" s="104"/>
      <c r="B91" s="104"/>
      <c r="C91" s="2725"/>
      <c r="D91" s="104"/>
      <c r="E91" s="2860"/>
      <c r="F91" s="7064"/>
      <c r="G91" s="7064"/>
      <c r="H91" s="7064"/>
      <c r="I91" s="7064"/>
      <c r="J91" s="7064"/>
      <c r="K91" s="7064"/>
      <c r="L91" s="7064"/>
      <c r="M91" s="7064"/>
      <c r="N91" s="7064"/>
      <c r="O91" s="7064"/>
      <c r="P91" s="2861"/>
      <c r="R91" s="1215"/>
      <c r="S91" s="1216"/>
      <c r="T91" s="1216"/>
      <c r="U91" s="1216"/>
      <c r="V91" s="1217"/>
      <c r="W91" s="16"/>
      <c r="X91" s="3216"/>
      <c r="Y91" s="3217"/>
      <c r="Z91" s="3218"/>
      <c r="AA91" s="3217"/>
      <c r="AB91" s="3219"/>
      <c r="AC91" s="3220"/>
      <c r="AD91" s="3221"/>
      <c r="AE91" s="16"/>
      <c r="AF91" s="3216"/>
      <c r="AG91" s="3217"/>
      <c r="AH91" s="3218"/>
      <c r="AI91" s="3217"/>
      <c r="AJ91" s="3219"/>
      <c r="AK91" s="3220"/>
      <c r="AL91" s="3221"/>
      <c r="AM91" s="16"/>
      <c r="AN91" s="3216"/>
      <c r="AO91" s="3217"/>
      <c r="AP91" s="3218"/>
      <c r="AQ91" s="3217"/>
      <c r="AR91" s="3219"/>
      <c r="AS91" s="3220"/>
      <c r="AT91" s="3221"/>
      <c r="AU91" s="16"/>
      <c r="AV91" s="3216"/>
      <c r="AW91" s="3217"/>
      <c r="AX91" s="3218"/>
      <c r="AY91" s="3217"/>
      <c r="AZ91" s="3219"/>
      <c r="BA91" s="3220"/>
      <c r="BB91" s="3221"/>
      <c r="BC91" s="16"/>
      <c r="BD91" s="3216"/>
      <c r="BE91" s="3217"/>
      <c r="BF91" s="3218"/>
      <c r="BG91" s="3217"/>
      <c r="BH91" s="3219"/>
      <c r="BI91" s="3220"/>
      <c r="BJ91" s="3221"/>
      <c r="BK91" s="16"/>
      <c r="BL91" s="3216"/>
      <c r="BM91" s="3217"/>
      <c r="BN91" s="3218"/>
      <c r="BO91" s="3217"/>
      <c r="BP91" s="3219"/>
      <c r="BQ91" s="3220"/>
      <c r="BR91" s="3221"/>
      <c r="BS91" s="16"/>
      <c r="BT91" s="3216"/>
      <c r="BU91" s="3217"/>
      <c r="BV91" s="3218"/>
      <c r="BW91" s="3217"/>
      <c r="BX91" s="3219"/>
      <c r="BY91" s="3220"/>
      <c r="BZ91" s="3221"/>
      <c r="CA91" s="16"/>
      <c r="CB91" s="3216"/>
      <c r="CC91" s="3217"/>
      <c r="CD91" s="3218"/>
      <c r="CE91" s="3217"/>
      <c r="CF91" s="3219"/>
      <c r="CG91" s="3220"/>
      <c r="CH91" s="3221"/>
      <c r="CI91" s="16"/>
      <c r="CJ91" s="3216"/>
      <c r="CK91" s="3217"/>
      <c r="CL91" s="3218"/>
      <c r="CM91" s="3217"/>
      <c r="CN91" s="3219"/>
      <c r="CO91" s="3220"/>
      <c r="CP91" s="3221"/>
      <c r="CQ91" s="16"/>
      <c r="CR91" s="3222"/>
    </row>
    <row r="92" spans="1:96" s="78" customFormat="1" ht="8.1" customHeight="1" thickBot="1" x14ac:dyDescent="0.25">
      <c r="A92" s="104"/>
      <c r="B92" s="104"/>
      <c r="C92" s="2725"/>
      <c r="D92" s="104"/>
      <c r="E92" s="17"/>
      <c r="F92" s="129"/>
      <c r="G92" s="129"/>
      <c r="H92" s="129"/>
      <c r="I92" s="129"/>
      <c r="J92" s="16"/>
      <c r="K92" s="16"/>
      <c r="L92" s="19"/>
      <c r="M92" s="19"/>
      <c r="N92" s="19"/>
      <c r="O92" s="15"/>
      <c r="P92" s="15"/>
      <c r="R92" s="23"/>
      <c r="S92" s="23"/>
      <c r="T92" s="23"/>
      <c r="U92" s="23"/>
      <c r="V92" s="23"/>
      <c r="W92" s="16"/>
      <c r="X92" s="16"/>
      <c r="Y92" s="16"/>
      <c r="Z92" s="22"/>
      <c r="AA92" s="16"/>
      <c r="AB92" s="19"/>
      <c r="AC92" s="21"/>
      <c r="AD92" s="21"/>
      <c r="AE92" s="16"/>
      <c r="AF92" s="16"/>
      <c r="AG92" s="16"/>
      <c r="AH92" s="22"/>
      <c r="AI92" s="16"/>
      <c r="AJ92" s="19"/>
      <c r="AK92" s="21"/>
      <c r="AL92" s="21"/>
      <c r="AM92" s="16"/>
      <c r="AN92" s="16"/>
      <c r="AO92" s="16"/>
      <c r="AP92" s="22"/>
      <c r="AQ92" s="16"/>
      <c r="AR92" s="19"/>
      <c r="AS92" s="21"/>
      <c r="AT92" s="21"/>
      <c r="AU92" s="16"/>
      <c r="AV92" s="16"/>
      <c r="AW92" s="16"/>
      <c r="AX92" s="22"/>
      <c r="AY92" s="16"/>
      <c r="AZ92" s="19"/>
      <c r="BA92" s="21"/>
      <c r="BB92" s="21"/>
      <c r="BC92" s="16"/>
      <c r="BD92" s="16"/>
      <c r="BE92" s="16"/>
      <c r="BF92" s="22"/>
      <c r="BG92" s="16"/>
      <c r="BH92" s="19"/>
      <c r="BI92" s="21"/>
      <c r="BJ92" s="21"/>
      <c r="BK92" s="16"/>
      <c r="BL92" s="16"/>
      <c r="BM92" s="16"/>
      <c r="BN92" s="22"/>
      <c r="BO92" s="16"/>
      <c r="BP92" s="19"/>
      <c r="BQ92" s="21"/>
      <c r="BR92" s="21"/>
      <c r="BS92" s="16"/>
      <c r="BT92" s="16"/>
      <c r="BU92" s="16"/>
      <c r="BV92" s="22"/>
      <c r="BW92" s="16"/>
      <c r="BX92" s="19"/>
      <c r="BY92" s="21"/>
      <c r="BZ92" s="21"/>
      <c r="CA92" s="16"/>
      <c r="CB92" s="16"/>
      <c r="CC92" s="16"/>
      <c r="CD92" s="22"/>
      <c r="CE92" s="16"/>
      <c r="CF92" s="19"/>
      <c r="CG92" s="21"/>
      <c r="CH92" s="21"/>
      <c r="CI92" s="16"/>
      <c r="CJ92" s="16"/>
      <c r="CK92" s="16"/>
      <c r="CL92" s="22"/>
      <c r="CM92" s="16"/>
      <c r="CN92" s="19"/>
      <c r="CO92" s="21"/>
      <c r="CP92" s="21"/>
      <c r="CQ92" s="16"/>
      <c r="CR92" s="21"/>
    </row>
    <row r="93" spans="1:96" s="78" customFormat="1" ht="15" customHeight="1" thickBot="1" x14ac:dyDescent="0.25">
      <c r="A93" s="104"/>
      <c r="B93" s="104"/>
      <c r="C93" s="2725"/>
      <c r="D93" s="104"/>
      <c r="E93" s="3192"/>
      <c r="F93" s="3193"/>
      <c r="G93" s="3193"/>
      <c r="H93" s="3193"/>
      <c r="I93" s="3193"/>
      <c r="J93" s="3194"/>
      <c r="K93" s="3194"/>
      <c r="L93" s="3195"/>
      <c r="M93" s="3195"/>
      <c r="N93" s="3195"/>
      <c r="O93" s="3196"/>
      <c r="P93" s="3197"/>
      <c r="R93" s="1153"/>
      <c r="S93" s="1154"/>
      <c r="T93" s="1154"/>
      <c r="U93" s="1154"/>
      <c r="V93" s="1155"/>
      <c r="W93" s="16"/>
      <c r="X93" s="3212"/>
      <c r="Y93" s="3194"/>
      <c r="Z93" s="3213"/>
      <c r="AA93" s="3194"/>
      <c r="AB93" s="3195"/>
      <c r="AC93" s="3214"/>
      <c r="AD93" s="3215"/>
      <c r="AE93" s="16"/>
      <c r="AF93" s="3212"/>
      <c r="AG93" s="3194"/>
      <c r="AH93" s="3213"/>
      <c r="AI93" s="3194"/>
      <c r="AJ93" s="3195"/>
      <c r="AK93" s="3214"/>
      <c r="AL93" s="3215"/>
      <c r="AM93" s="16"/>
      <c r="AN93" s="3212"/>
      <c r="AO93" s="3194"/>
      <c r="AP93" s="3213"/>
      <c r="AQ93" s="3194"/>
      <c r="AR93" s="3195"/>
      <c r="AS93" s="3214"/>
      <c r="AT93" s="3215"/>
      <c r="AU93" s="16"/>
      <c r="AV93" s="3212"/>
      <c r="AW93" s="3194"/>
      <c r="AX93" s="3213"/>
      <c r="AY93" s="3194"/>
      <c r="AZ93" s="3195"/>
      <c r="BA93" s="3214"/>
      <c r="BB93" s="3215"/>
      <c r="BC93" s="16"/>
      <c r="BD93" s="3212"/>
      <c r="BE93" s="3194"/>
      <c r="BF93" s="3213"/>
      <c r="BG93" s="3194"/>
      <c r="BH93" s="3195"/>
      <c r="BI93" s="3214"/>
      <c r="BJ93" s="3215"/>
      <c r="BK93" s="16"/>
      <c r="BL93" s="3212"/>
      <c r="BM93" s="3194"/>
      <c r="BN93" s="3213"/>
      <c r="BO93" s="3194"/>
      <c r="BP93" s="3195"/>
      <c r="BQ93" s="3214"/>
      <c r="BR93" s="3215"/>
      <c r="BS93" s="16"/>
      <c r="BT93" s="3212"/>
      <c r="BU93" s="3194"/>
      <c r="BV93" s="3213"/>
      <c r="BW93" s="3194"/>
      <c r="BX93" s="3195"/>
      <c r="BY93" s="3214"/>
      <c r="BZ93" s="3215"/>
      <c r="CA93" s="16"/>
      <c r="CB93" s="3212"/>
      <c r="CC93" s="3194"/>
      <c r="CD93" s="3213"/>
      <c r="CE93" s="3194"/>
      <c r="CF93" s="3195"/>
      <c r="CG93" s="3214"/>
      <c r="CH93" s="3215"/>
      <c r="CI93" s="16"/>
      <c r="CJ93" s="3212"/>
      <c r="CK93" s="3194"/>
      <c r="CL93" s="3213"/>
      <c r="CM93" s="3194"/>
      <c r="CN93" s="3195"/>
      <c r="CO93" s="3214"/>
      <c r="CP93" s="3215"/>
      <c r="CQ93" s="16"/>
      <c r="CR93" s="3209"/>
    </row>
    <row r="94" spans="1:96" s="78" customFormat="1" ht="20.100000000000001" customHeight="1" thickBot="1" x14ac:dyDescent="0.25">
      <c r="A94" s="104"/>
      <c r="B94" s="104"/>
      <c r="C94" s="2725"/>
      <c r="D94" s="104"/>
      <c r="E94" s="3198"/>
      <c r="F94" s="3199" t="str">
        <f>_Calcs_Klasse!AI94</f>
        <v>Klasse G</v>
      </c>
      <c r="G94" s="3199"/>
      <c r="H94" s="3199"/>
      <c r="I94" s="3199"/>
      <c r="J94" s="3200"/>
      <c r="K94" s="3200"/>
      <c r="L94" s="3201"/>
      <c r="M94" s="3201"/>
      <c r="N94" s="3201"/>
      <c r="O94" s="3199" t="s">
        <v>78</v>
      </c>
      <c r="P94" s="3202"/>
      <c r="Q94" s="21"/>
      <c r="R94" s="1156"/>
      <c r="S94" s="7154">
        <f>_Calcs_Klasse!$AW$172</f>
        <v>900</v>
      </c>
      <c r="T94" s="7155"/>
      <c r="U94" s="7156"/>
      <c r="V94" s="1157"/>
      <c r="W94" s="16"/>
      <c r="X94" s="3211"/>
      <c r="Y94" s="3200"/>
      <c r="Z94" s="2480">
        <v>900</v>
      </c>
      <c r="AA94" s="3200"/>
      <c r="AB94" s="5543" t="str">
        <f>IF(_Calcs_Klasse!$AI$27=2,"✓",IF(Z94="","!","✓"))</f>
        <v>✓</v>
      </c>
      <c r="AC94" s="3201"/>
      <c r="AD94" s="3210"/>
      <c r="AE94" s="16"/>
      <c r="AF94" s="3211"/>
      <c r="AG94" s="3200"/>
      <c r="AH94" s="2480">
        <v>0</v>
      </c>
      <c r="AI94" s="3200"/>
      <c r="AJ94" s="5543" t="str">
        <f>IF(_Calcs_Klasse!$AI$27=2,"✓",IF(AH94="","!","✓"))</f>
        <v>✓</v>
      </c>
      <c r="AK94" s="3201"/>
      <c r="AL94" s="3210"/>
      <c r="AM94" s="16"/>
      <c r="AN94" s="3211"/>
      <c r="AO94" s="3200"/>
      <c r="AP94" s="2480">
        <v>100</v>
      </c>
      <c r="AQ94" s="3200"/>
      <c r="AR94" s="5543" t="str">
        <f>IF(_Calcs_Klasse!$AI$27=2,"✓",IF(AP94="","!","✓"))</f>
        <v>✓</v>
      </c>
      <c r="AS94" s="3201"/>
      <c r="AT94" s="3210"/>
      <c r="AU94" s="16"/>
      <c r="AV94" s="3211"/>
      <c r="AW94" s="3200"/>
      <c r="AX94" s="2480">
        <v>100</v>
      </c>
      <c r="AY94" s="3200"/>
      <c r="AZ94" s="5543" t="str">
        <f>IF(_Calcs_Klasse!$AI$27=2,"✓",IF(AX94="","!","✓"))</f>
        <v>✓</v>
      </c>
      <c r="BA94" s="3201"/>
      <c r="BB94" s="3210"/>
      <c r="BC94" s="16"/>
      <c r="BD94" s="3211"/>
      <c r="BE94" s="3200"/>
      <c r="BF94" s="2480">
        <v>250</v>
      </c>
      <c r="BG94" s="3200"/>
      <c r="BH94" s="5543" t="str">
        <f>IF(_Calcs_Klasse!$AI$27=2,"✓",IF(BF94="","!","✓"))</f>
        <v>✓</v>
      </c>
      <c r="BI94" s="3201"/>
      <c r="BJ94" s="3210"/>
      <c r="BK94" s="16"/>
      <c r="BL94" s="3211"/>
      <c r="BM94" s="3200"/>
      <c r="BN94" s="2480">
        <v>200</v>
      </c>
      <c r="BO94" s="3200"/>
      <c r="BP94" s="5543" t="str">
        <f>IF(_Calcs_Klasse!$AI$27=2,"✓",IF(BN94="","!","✓"))</f>
        <v>✓</v>
      </c>
      <c r="BQ94" s="3201"/>
      <c r="BR94" s="3210"/>
      <c r="BS94" s="16"/>
      <c r="BT94" s="3211"/>
      <c r="BU94" s="3200"/>
      <c r="BV94" s="2480">
        <v>350</v>
      </c>
      <c r="BW94" s="3200"/>
      <c r="BX94" s="5543" t="str">
        <f>IF(_Calcs_Klasse!$AI$27=2,"✓",IF(BV94="","!","✓"))</f>
        <v>✓</v>
      </c>
      <c r="BY94" s="3201"/>
      <c r="BZ94" s="3210"/>
      <c r="CA94" s="16"/>
      <c r="CB94" s="3211"/>
      <c r="CC94" s="3200"/>
      <c r="CD94" s="2480">
        <v>1300</v>
      </c>
      <c r="CE94" s="3200"/>
      <c r="CF94" s="5543" t="str">
        <f>IF(_Calcs_Klasse!$AI$27=2,"✓",IF(CD94="","!","✓"))</f>
        <v>✓</v>
      </c>
      <c r="CG94" s="3201"/>
      <c r="CH94" s="3210"/>
      <c r="CI94" s="16"/>
      <c r="CJ94" s="3211"/>
      <c r="CK94" s="3200"/>
      <c r="CL94" s="2480">
        <v>1000</v>
      </c>
      <c r="CM94" s="3200"/>
      <c r="CN94" s="5543" t="str">
        <f>IF(_Calcs_Klasse!$AI$27=2,"✓",IF(CL94="","!","✓"))</f>
        <v>✓</v>
      </c>
      <c r="CO94" s="3201"/>
      <c r="CP94" s="3210"/>
      <c r="CQ94" s="16"/>
      <c r="CR94" s="3209"/>
    </row>
    <row r="95" spans="1:96" s="78" customFormat="1" ht="15" customHeight="1" thickBot="1" x14ac:dyDescent="0.25">
      <c r="A95" s="104"/>
      <c r="B95" s="104"/>
      <c r="C95" s="2728"/>
      <c r="D95" s="20"/>
      <c r="E95" s="3203"/>
      <c r="F95" s="3204"/>
      <c r="G95" s="3204"/>
      <c r="H95" s="3204"/>
      <c r="I95" s="3204"/>
      <c r="J95" s="3204"/>
      <c r="K95" s="3204"/>
      <c r="L95" s="3204"/>
      <c r="M95" s="3204"/>
      <c r="N95" s="3204"/>
      <c r="O95" s="3204"/>
      <c r="P95" s="3205"/>
      <c r="R95" s="1158"/>
      <c r="S95" s="1159"/>
      <c r="T95" s="1159"/>
      <c r="U95" s="1159"/>
      <c r="V95" s="1160"/>
      <c r="W95" s="16"/>
      <c r="X95" s="3203"/>
      <c r="Y95" s="3204"/>
      <c r="Z95" s="3206"/>
      <c r="AA95" s="3204"/>
      <c r="AB95" s="3204"/>
      <c r="AC95" s="3207"/>
      <c r="AD95" s="3208"/>
      <c r="AE95" s="16"/>
      <c r="AF95" s="3203"/>
      <c r="AG95" s="3204"/>
      <c r="AH95" s="3206"/>
      <c r="AI95" s="3204"/>
      <c r="AJ95" s="3204"/>
      <c r="AK95" s="3207"/>
      <c r="AL95" s="3208"/>
      <c r="AM95" s="16"/>
      <c r="AN95" s="3203"/>
      <c r="AO95" s="3204"/>
      <c r="AP95" s="3206"/>
      <c r="AQ95" s="3204"/>
      <c r="AR95" s="3204"/>
      <c r="AS95" s="3207"/>
      <c r="AT95" s="3208"/>
      <c r="AU95" s="16"/>
      <c r="AV95" s="3203"/>
      <c r="AW95" s="3204"/>
      <c r="AX95" s="3206"/>
      <c r="AY95" s="3204"/>
      <c r="AZ95" s="3204"/>
      <c r="BA95" s="3207"/>
      <c r="BB95" s="3208"/>
      <c r="BC95" s="16"/>
      <c r="BD95" s="3203"/>
      <c r="BE95" s="3204"/>
      <c r="BF95" s="3206"/>
      <c r="BG95" s="3204"/>
      <c r="BH95" s="3204"/>
      <c r="BI95" s="3207"/>
      <c r="BJ95" s="3208"/>
      <c r="BK95" s="16"/>
      <c r="BL95" s="3203"/>
      <c r="BM95" s="3204"/>
      <c r="BN95" s="3206"/>
      <c r="BO95" s="3204"/>
      <c r="BP95" s="3204"/>
      <c r="BQ95" s="3207"/>
      <c r="BR95" s="3208"/>
      <c r="BS95" s="16"/>
      <c r="BT95" s="3203"/>
      <c r="BU95" s="3204"/>
      <c r="BV95" s="3206"/>
      <c r="BW95" s="3204"/>
      <c r="BX95" s="3204"/>
      <c r="BY95" s="3207"/>
      <c r="BZ95" s="3208"/>
      <c r="CA95" s="16"/>
      <c r="CB95" s="3203"/>
      <c r="CC95" s="3204"/>
      <c r="CD95" s="3206"/>
      <c r="CE95" s="3204"/>
      <c r="CF95" s="3204"/>
      <c r="CG95" s="3207"/>
      <c r="CH95" s="3208"/>
      <c r="CI95" s="16"/>
      <c r="CJ95" s="3203"/>
      <c r="CK95" s="3204"/>
      <c r="CL95" s="3206"/>
      <c r="CM95" s="3204"/>
      <c r="CN95" s="3204"/>
      <c r="CO95" s="3207"/>
      <c r="CP95" s="3208"/>
      <c r="CQ95" s="16"/>
      <c r="CR95" s="3209"/>
    </row>
    <row r="96" spans="1:96" s="78" customFormat="1" ht="24.95" customHeight="1" x14ac:dyDescent="0.2">
      <c r="A96" s="104"/>
      <c r="B96" s="7"/>
      <c r="C96" s="7"/>
      <c r="D96" s="20"/>
      <c r="E96" s="15"/>
      <c r="F96" s="21"/>
      <c r="G96" s="21"/>
      <c r="H96" s="21"/>
      <c r="I96" s="21"/>
      <c r="J96" s="16"/>
      <c r="K96" s="16"/>
      <c r="L96" s="19"/>
      <c r="M96" s="19"/>
      <c r="N96" s="19"/>
      <c r="O96" s="15"/>
      <c r="P96" s="15"/>
      <c r="R96" s="7"/>
      <c r="S96" s="7"/>
      <c r="T96" s="7"/>
      <c r="U96" s="7"/>
      <c r="V96" s="7"/>
      <c r="W96" s="16"/>
      <c r="X96" s="16"/>
      <c r="Y96" s="16"/>
      <c r="Z96" s="22"/>
      <c r="AA96" s="16"/>
      <c r="AB96" s="19"/>
      <c r="AC96" s="21"/>
      <c r="AD96" s="21"/>
      <c r="AE96" s="16"/>
      <c r="AF96" s="16"/>
      <c r="AG96" s="16"/>
      <c r="AH96" s="22"/>
      <c r="AI96" s="16"/>
      <c r="AJ96" s="19"/>
      <c r="AK96" s="21"/>
      <c r="AL96" s="21"/>
      <c r="AM96" s="16"/>
      <c r="AN96" s="16"/>
      <c r="AO96" s="16"/>
      <c r="AP96" s="22"/>
      <c r="AQ96" s="16"/>
      <c r="AR96" s="19"/>
      <c r="AS96" s="21"/>
      <c r="AT96" s="21"/>
      <c r="AU96" s="16"/>
      <c r="AV96" s="16"/>
      <c r="AW96" s="16"/>
      <c r="AX96" s="22"/>
      <c r="AY96" s="16"/>
      <c r="AZ96" s="19"/>
      <c r="BA96" s="21"/>
      <c r="BB96" s="21"/>
      <c r="BC96" s="16"/>
      <c r="BD96" s="16"/>
      <c r="BE96" s="16"/>
      <c r="BF96" s="22"/>
      <c r="BG96" s="16"/>
      <c r="BH96" s="19"/>
      <c r="BI96" s="21"/>
      <c r="BJ96" s="21"/>
      <c r="BK96" s="16"/>
      <c r="BL96" s="16"/>
      <c r="BM96" s="16"/>
      <c r="BN96" s="22"/>
      <c r="BO96" s="16"/>
      <c r="BP96" s="19"/>
      <c r="BQ96" s="21"/>
      <c r="BR96" s="21"/>
      <c r="BS96" s="16"/>
      <c r="BT96" s="16"/>
      <c r="BU96" s="16"/>
      <c r="BV96" s="22"/>
      <c r="BW96" s="16"/>
      <c r="BX96" s="19"/>
      <c r="BY96" s="21"/>
      <c r="BZ96" s="21"/>
      <c r="CA96" s="16"/>
      <c r="CB96" s="16"/>
      <c r="CC96" s="16"/>
      <c r="CD96" s="22"/>
      <c r="CE96" s="16"/>
      <c r="CF96" s="19"/>
      <c r="CG96" s="21"/>
      <c r="CH96" s="21"/>
      <c r="CI96" s="16"/>
      <c r="CJ96" s="16"/>
      <c r="CK96" s="16"/>
      <c r="CL96" s="22"/>
      <c r="CM96" s="16"/>
      <c r="CN96" s="19"/>
      <c r="CO96" s="21"/>
      <c r="CP96" s="21"/>
      <c r="CQ96" s="16"/>
      <c r="CR96" s="21"/>
    </row>
    <row r="97" spans="1:138" s="78" customFormat="1" ht="24.95" hidden="1" customHeight="1" x14ac:dyDescent="0.2">
      <c r="A97" s="104"/>
      <c r="B97" s="104"/>
      <c r="C97" s="1251"/>
      <c r="D97" s="20"/>
      <c r="E97" s="14"/>
      <c r="F97" s="15"/>
      <c r="G97" s="15"/>
      <c r="H97" s="15"/>
      <c r="I97" s="15"/>
      <c r="J97" s="16"/>
      <c r="K97" s="16"/>
      <c r="L97" s="19"/>
      <c r="M97" s="19"/>
      <c r="N97" s="19"/>
      <c r="O97" s="15"/>
      <c r="P97" s="15"/>
      <c r="R97" s="70"/>
      <c r="S97" s="114"/>
      <c r="T97" s="114"/>
      <c r="U97" s="114"/>
      <c r="V97" s="70"/>
      <c r="W97" s="16"/>
      <c r="X97" s="17"/>
      <c r="Y97" s="17"/>
      <c r="Z97" s="18"/>
      <c r="AA97" s="16"/>
      <c r="AB97" s="19"/>
      <c r="AC97" s="21"/>
      <c r="AD97" s="21"/>
      <c r="AE97" s="16"/>
      <c r="AF97" s="17"/>
      <c r="AG97" s="17"/>
      <c r="AH97" s="18"/>
      <c r="AI97" s="16"/>
      <c r="AJ97" s="19"/>
      <c r="AK97" s="21"/>
      <c r="AL97" s="21"/>
      <c r="AM97" s="16"/>
      <c r="AN97" s="17"/>
      <c r="AO97" s="17"/>
      <c r="AP97" s="18"/>
      <c r="AQ97" s="16"/>
      <c r="AR97" s="19"/>
      <c r="AS97" s="21"/>
      <c r="AT97" s="21"/>
      <c r="AU97" s="16"/>
      <c r="AV97" s="17"/>
      <c r="AW97" s="17"/>
      <c r="AX97" s="18"/>
      <c r="AY97" s="16"/>
      <c r="AZ97" s="19"/>
      <c r="BA97" s="21"/>
      <c r="BB97" s="21"/>
      <c r="BC97" s="16"/>
      <c r="BD97" s="17"/>
      <c r="BE97" s="17"/>
      <c r="BF97" s="18"/>
      <c r="BG97" s="16"/>
      <c r="BH97" s="19"/>
      <c r="BI97" s="21"/>
      <c r="BJ97" s="21"/>
      <c r="BK97" s="16"/>
      <c r="BL97" s="17"/>
      <c r="BM97" s="17"/>
      <c r="BN97" s="18"/>
      <c r="BO97" s="16"/>
      <c r="BP97" s="19"/>
      <c r="BQ97" s="21"/>
      <c r="BR97" s="21"/>
      <c r="BS97" s="16"/>
      <c r="BT97" s="17"/>
      <c r="BU97" s="17"/>
      <c r="BV97" s="18"/>
      <c r="BW97" s="16"/>
      <c r="BX97" s="19"/>
      <c r="BY97" s="21"/>
      <c r="BZ97" s="21"/>
      <c r="CA97" s="16"/>
      <c r="CB97" s="17"/>
      <c r="CC97" s="17"/>
      <c r="CD97" s="18"/>
      <c r="CE97" s="16"/>
      <c r="CF97" s="19"/>
      <c r="CG97" s="21"/>
      <c r="CH97" s="21"/>
      <c r="CI97" s="16"/>
      <c r="CJ97" s="17"/>
      <c r="CK97" s="17"/>
      <c r="CL97" s="18"/>
      <c r="CM97" s="16"/>
      <c r="CN97" s="19"/>
      <c r="CO97" s="21"/>
      <c r="CP97" s="21"/>
      <c r="CQ97" s="16"/>
      <c r="CR97" s="21"/>
    </row>
    <row r="98" spans="1:138" s="78" customFormat="1" ht="15" hidden="1" customHeight="1" x14ac:dyDescent="0.2">
      <c r="A98" s="104"/>
      <c r="B98" s="104"/>
      <c r="C98" s="1251"/>
      <c r="D98" s="20"/>
      <c r="E98" s="1219"/>
      <c r="F98" s="6597" t="s">
        <v>107</v>
      </c>
      <c r="G98" s="6597"/>
      <c r="H98" s="6597"/>
      <c r="I98" s="6597"/>
      <c r="J98" s="6597"/>
      <c r="K98" s="6597"/>
      <c r="L98" s="6597"/>
      <c r="M98" s="6597"/>
      <c r="N98" s="6597"/>
      <c r="O98" s="6597"/>
      <c r="P98" s="1220"/>
      <c r="R98" s="7"/>
      <c r="S98" s="7"/>
      <c r="T98" s="7"/>
      <c r="U98" s="7"/>
      <c r="V98" s="7"/>
      <c r="W98" s="16"/>
      <c r="X98" s="16"/>
      <c r="Y98" s="16"/>
      <c r="Z98" s="22"/>
      <c r="AA98" s="16"/>
      <c r="AB98" s="19"/>
      <c r="AC98" s="21"/>
      <c r="AD98" s="21"/>
      <c r="AE98" s="16"/>
      <c r="AF98" s="16"/>
      <c r="AG98" s="16"/>
      <c r="AH98" s="22"/>
      <c r="AI98" s="16"/>
      <c r="AJ98" s="19"/>
      <c r="AK98" s="21"/>
      <c r="AL98" s="21"/>
      <c r="AM98" s="16"/>
      <c r="AN98" s="16"/>
      <c r="AO98" s="16"/>
      <c r="AP98" s="22"/>
      <c r="AQ98" s="16"/>
      <c r="AR98" s="19"/>
      <c r="AS98" s="21"/>
      <c r="AT98" s="21"/>
      <c r="AU98" s="16"/>
      <c r="AV98" s="16"/>
      <c r="AW98" s="16"/>
      <c r="AX98" s="22"/>
      <c r="AY98" s="16"/>
      <c r="AZ98" s="19"/>
      <c r="BA98" s="21"/>
      <c r="BB98" s="21"/>
      <c r="BC98" s="16"/>
      <c r="BD98" s="16"/>
      <c r="BE98" s="16"/>
      <c r="BF98" s="22"/>
      <c r="BG98" s="16"/>
      <c r="BH98" s="19"/>
      <c r="BI98" s="21"/>
      <c r="BJ98" s="21"/>
      <c r="BK98" s="16"/>
      <c r="BL98" s="16"/>
      <c r="BM98" s="16"/>
      <c r="BN98" s="22"/>
      <c r="BO98" s="16"/>
      <c r="BP98" s="19"/>
      <c r="BQ98" s="21"/>
      <c r="BR98" s="21"/>
      <c r="BS98" s="16"/>
      <c r="BT98" s="16"/>
      <c r="BU98" s="16"/>
      <c r="BV98" s="22"/>
      <c r="BW98" s="16"/>
      <c r="BX98" s="19"/>
      <c r="BY98" s="21"/>
      <c r="BZ98" s="21"/>
      <c r="CA98" s="16"/>
      <c r="CB98" s="16"/>
      <c r="CC98" s="16"/>
      <c r="CD98" s="22"/>
      <c r="CE98" s="16"/>
      <c r="CF98" s="19"/>
      <c r="CG98" s="21"/>
      <c r="CH98" s="21"/>
      <c r="CI98" s="16"/>
      <c r="CJ98" s="16"/>
      <c r="CK98" s="16"/>
      <c r="CL98" s="22"/>
      <c r="CM98" s="16"/>
      <c r="CN98" s="19"/>
      <c r="CO98" s="21"/>
      <c r="CP98" s="21"/>
      <c r="CQ98" s="16"/>
      <c r="CR98" s="21"/>
    </row>
    <row r="99" spans="1:138" s="78" customFormat="1" ht="15" hidden="1" customHeight="1" x14ac:dyDescent="0.2">
      <c r="A99" s="104"/>
      <c r="B99" s="104"/>
      <c r="C99" s="1251"/>
      <c r="D99" s="20"/>
      <c r="E99" s="1221"/>
      <c r="F99" s="6598"/>
      <c r="G99" s="6598"/>
      <c r="H99" s="6598"/>
      <c r="I99" s="6598"/>
      <c r="J99" s="6598"/>
      <c r="K99" s="6598"/>
      <c r="L99" s="6598"/>
      <c r="M99" s="6598"/>
      <c r="N99" s="6598"/>
      <c r="O99" s="6598"/>
      <c r="P99" s="1222"/>
      <c r="R99" s="1215"/>
      <c r="S99" s="1216"/>
      <c r="T99" s="1216"/>
      <c r="U99" s="1216"/>
      <c r="V99" s="1217"/>
      <c r="W99" s="16"/>
      <c r="X99" s="692"/>
      <c r="Y99" s="693"/>
      <c r="Z99" s="1233"/>
      <c r="AA99" s="693"/>
      <c r="AB99" s="1234"/>
      <c r="AC99" s="748"/>
      <c r="AD99" s="1235"/>
      <c r="AE99" s="16"/>
      <c r="AF99" s="692"/>
      <c r="AG99" s="693"/>
      <c r="AH99" s="1233"/>
      <c r="AI99" s="693"/>
      <c r="AJ99" s="1234"/>
      <c r="AK99" s="748"/>
      <c r="AL99" s="1235"/>
      <c r="AM99" s="16"/>
      <c r="AN99" s="692"/>
      <c r="AO99" s="693"/>
      <c r="AP99" s="1233"/>
      <c r="AQ99" s="693"/>
      <c r="AR99" s="1234"/>
      <c r="AS99" s="748"/>
      <c r="AT99" s="1235"/>
      <c r="AU99" s="16"/>
      <c r="AV99" s="692"/>
      <c r="AW99" s="693"/>
      <c r="AX99" s="1233"/>
      <c r="AY99" s="693"/>
      <c r="AZ99" s="1234"/>
      <c r="BA99" s="748"/>
      <c r="BB99" s="1235"/>
      <c r="BC99" s="16"/>
      <c r="BD99" s="692"/>
      <c r="BE99" s="693"/>
      <c r="BF99" s="1233"/>
      <c r="BG99" s="693"/>
      <c r="BH99" s="1234"/>
      <c r="BI99" s="748"/>
      <c r="BJ99" s="1235"/>
      <c r="BK99" s="16"/>
      <c r="BL99" s="692"/>
      <c r="BM99" s="693"/>
      <c r="BN99" s="1233"/>
      <c r="BO99" s="693"/>
      <c r="BP99" s="1234"/>
      <c r="BQ99" s="748"/>
      <c r="BR99" s="1235"/>
      <c r="BS99" s="16"/>
      <c r="BT99" s="692"/>
      <c r="BU99" s="693"/>
      <c r="BV99" s="1233"/>
      <c r="BW99" s="693"/>
      <c r="BX99" s="1234"/>
      <c r="BY99" s="748"/>
      <c r="BZ99" s="1235"/>
      <c r="CA99" s="16"/>
      <c r="CB99" s="692"/>
      <c r="CC99" s="693"/>
      <c r="CD99" s="1233"/>
      <c r="CE99" s="693"/>
      <c r="CF99" s="1234"/>
      <c r="CG99" s="748"/>
      <c r="CH99" s="1235"/>
      <c r="CI99" s="16"/>
      <c r="CJ99" s="692"/>
      <c r="CK99" s="693"/>
      <c r="CL99" s="1233"/>
      <c r="CM99" s="693"/>
      <c r="CN99" s="1234"/>
      <c r="CO99" s="748"/>
      <c r="CP99" s="1235"/>
      <c r="CQ99" s="16"/>
      <c r="CR99" s="172"/>
    </row>
    <row r="100" spans="1:138" s="78" customFormat="1" ht="8.1" hidden="1" customHeight="1" x14ac:dyDescent="0.2">
      <c r="A100" s="104"/>
      <c r="B100" s="104"/>
      <c r="C100" s="1251"/>
      <c r="D100" s="20"/>
      <c r="E100" s="15"/>
      <c r="F100" s="1212"/>
      <c r="G100" s="1212"/>
      <c r="H100" s="1212"/>
      <c r="I100" s="1212"/>
      <c r="J100" s="16"/>
      <c r="K100" s="16"/>
      <c r="L100" s="19"/>
      <c r="M100" s="19"/>
      <c r="N100" s="19"/>
      <c r="O100" s="15"/>
      <c r="P100" s="15"/>
      <c r="R100" s="70"/>
      <c r="S100" s="114"/>
      <c r="T100" s="114"/>
      <c r="U100" s="114"/>
      <c r="V100" s="70"/>
      <c r="W100" s="16"/>
      <c r="X100" s="16"/>
      <c r="Y100" s="16"/>
      <c r="Z100" s="22"/>
      <c r="AA100" s="16"/>
      <c r="AB100" s="19"/>
      <c r="AC100" s="21"/>
      <c r="AD100" s="21"/>
      <c r="AE100" s="16"/>
      <c r="AF100" s="16"/>
      <c r="AG100" s="16"/>
      <c r="AH100" s="22"/>
      <c r="AI100" s="16"/>
      <c r="AJ100" s="19"/>
      <c r="AK100" s="21"/>
      <c r="AL100" s="21"/>
      <c r="AM100" s="16"/>
      <c r="AN100" s="16"/>
      <c r="AO100" s="16"/>
      <c r="AP100" s="22"/>
      <c r="AQ100" s="16"/>
      <c r="AR100" s="19"/>
      <c r="AS100" s="21"/>
      <c r="AT100" s="21"/>
      <c r="AU100" s="16"/>
      <c r="AV100" s="16"/>
      <c r="AW100" s="16"/>
      <c r="AX100" s="22"/>
      <c r="AY100" s="16"/>
      <c r="AZ100" s="19"/>
      <c r="BA100" s="21"/>
      <c r="BB100" s="21"/>
      <c r="BC100" s="16"/>
      <c r="BD100" s="16"/>
      <c r="BE100" s="16"/>
      <c r="BF100" s="22"/>
      <c r="BG100" s="16"/>
      <c r="BH100" s="19"/>
      <c r="BI100" s="21"/>
      <c r="BJ100" s="21"/>
      <c r="BK100" s="16"/>
      <c r="BL100" s="16"/>
      <c r="BM100" s="16"/>
      <c r="BN100" s="22"/>
      <c r="BO100" s="16"/>
      <c r="BP100" s="19"/>
      <c r="BQ100" s="21"/>
      <c r="BR100" s="21"/>
      <c r="BS100" s="16"/>
      <c r="BT100" s="16"/>
      <c r="BU100" s="16"/>
      <c r="BV100" s="22"/>
      <c r="BW100" s="16"/>
      <c r="BX100" s="19"/>
      <c r="BY100" s="21"/>
      <c r="BZ100" s="21"/>
      <c r="CA100" s="16"/>
      <c r="CB100" s="16"/>
      <c r="CC100" s="16"/>
      <c r="CD100" s="22"/>
      <c r="CE100" s="16"/>
      <c r="CF100" s="19"/>
      <c r="CG100" s="21"/>
      <c r="CH100" s="21"/>
      <c r="CI100" s="16"/>
      <c r="CJ100" s="16"/>
      <c r="CK100" s="16"/>
      <c r="CL100" s="22"/>
      <c r="CM100" s="16"/>
      <c r="CN100" s="19"/>
      <c r="CO100" s="21"/>
      <c r="CP100" s="21"/>
      <c r="CQ100" s="16"/>
      <c r="CR100" s="21"/>
    </row>
    <row r="101" spans="1:138" s="78" customFormat="1" ht="15" hidden="1" customHeight="1" x14ac:dyDescent="0.2">
      <c r="A101" s="104"/>
      <c r="B101" s="104"/>
      <c r="C101" s="1251"/>
      <c r="D101" s="20"/>
      <c r="E101" s="660"/>
      <c r="F101" s="658"/>
      <c r="G101" s="658"/>
      <c r="H101" s="658"/>
      <c r="I101" s="658"/>
      <c r="J101" s="643"/>
      <c r="K101" s="643"/>
      <c r="L101" s="1224"/>
      <c r="M101" s="1224"/>
      <c r="N101" s="1224"/>
      <c r="O101" s="658"/>
      <c r="P101" s="1225"/>
      <c r="R101" s="1153"/>
      <c r="S101" s="1154"/>
      <c r="T101" s="1154"/>
      <c r="U101" s="1154"/>
      <c r="V101" s="1155"/>
      <c r="W101" s="16"/>
      <c r="X101" s="1223"/>
      <c r="Y101" s="658"/>
      <c r="Z101" s="1257"/>
      <c r="AA101" s="643"/>
      <c r="AB101" s="1224"/>
      <c r="AC101" s="1238"/>
      <c r="AD101" s="1239"/>
      <c r="AE101" s="16"/>
      <c r="AF101" s="1223"/>
      <c r="AG101" s="658"/>
      <c r="AH101" s="1257"/>
      <c r="AI101" s="643"/>
      <c r="AJ101" s="1224"/>
      <c r="AK101" s="1238"/>
      <c r="AL101" s="1239"/>
      <c r="AM101" s="16"/>
      <c r="AN101" s="1223"/>
      <c r="AO101" s="658"/>
      <c r="AP101" s="1257"/>
      <c r="AQ101" s="643"/>
      <c r="AR101" s="1224"/>
      <c r="AS101" s="1238"/>
      <c r="AT101" s="1239"/>
      <c r="AU101" s="16"/>
      <c r="AV101" s="1223"/>
      <c r="AW101" s="658"/>
      <c r="AX101" s="1257"/>
      <c r="AY101" s="643"/>
      <c r="AZ101" s="1224"/>
      <c r="BA101" s="1238"/>
      <c r="BB101" s="1239"/>
      <c r="BC101" s="16"/>
      <c r="BD101" s="1223"/>
      <c r="BE101" s="658"/>
      <c r="BF101" s="1257"/>
      <c r="BG101" s="643"/>
      <c r="BH101" s="1224"/>
      <c r="BI101" s="1238"/>
      <c r="BJ101" s="1239"/>
      <c r="BK101" s="16"/>
      <c r="BL101" s="1223"/>
      <c r="BM101" s="658"/>
      <c r="BN101" s="1257"/>
      <c r="BO101" s="643"/>
      <c r="BP101" s="1224"/>
      <c r="BQ101" s="1238"/>
      <c r="BR101" s="1239"/>
      <c r="BS101" s="16"/>
      <c r="BT101" s="1223"/>
      <c r="BU101" s="658"/>
      <c r="BV101" s="1257"/>
      <c r="BW101" s="643"/>
      <c r="BX101" s="1224"/>
      <c r="BY101" s="1238"/>
      <c r="BZ101" s="1239"/>
      <c r="CA101" s="16"/>
      <c r="CB101" s="1223"/>
      <c r="CC101" s="658"/>
      <c r="CD101" s="1257"/>
      <c r="CE101" s="643"/>
      <c r="CF101" s="1224"/>
      <c r="CG101" s="1238"/>
      <c r="CH101" s="1239"/>
      <c r="CI101" s="16"/>
      <c r="CJ101" s="1223"/>
      <c r="CK101" s="658"/>
      <c r="CL101" s="1257"/>
      <c r="CM101" s="643"/>
      <c r="CN101" s="1224"/>
      <c r="CO101" s="1238"/>
      <c r="CP101" s="1239"/>
      <c r="CQ101" s="16"/>
      <c r="CR101" s="173"/>
    </row>
    <row r="102" spans="1:138" s="78" customFormat="1" ht="20.100000000000001" hidden="1" customHeight="1" x14ac:dyDescent="0.2">
      <c r="A102" s="104"/>
      <c r="B102" s="104"/>
      <c r="C102" s="1251"/>
      <c r="D102" s="20"/>
      <c r="E102" s="663"/>
      <c r="F102" s="6596" t="s">
        <v>108</v>
      </c>
      <c r="G102" s="6596"/>
      <c r="H102" s="6596"/>
      <c r="I102" s="6596"/>
      <c r="J102" s="75"/>
      <c r="K102" s="75"/>
      <c r="L102" s="1227"/>
      <c r="M102" s="1227"/>
      <c r="N102" s="1227"/>
      <c r="O102" s="76" t="s">
        <v>78</v>
      </c>
      <c r="P102" s="1228"/>
      <c r="R102" s="1156"/>
      <c r="S102" s="2301"/>
      <c r="T102" s="3242"/>
      <c r="U102" s="3242"/>
      <c r="V102" s="1157"/>
      <c r="W102" s="16"/>
      <c r="X102" s="1231"/>
      <c r="Y102" s="76"/>
      <c r="Z102" s="3340"/>
      <c r="AA102" s="75"/>
      <c r="AB102" s="1256" t="str">
        <f>IF(Z102="","!","✓")</f>
        <v>!</v>
      </c>
      <c r="AC102" s="1227"/>
      <c r="AD102" s="1241"/>
      <c r="AE102" s="16"/>
      <c r="AF102" s="1231"/>
      <c r="AG102" s="76"/>
      <c r="AH102" s="3340"/>
      <c r="AI102" s="75"/>
      <c r="AJ102" s="1256" t="str">
        <f>IF(AH102="","!","✓")</f>
        <v>!</v>
      </c>
      <c r="AK102" s="1227"/>
      <c r="AL102" s="1241"/>
      <c r="AM102" s="16"/>
      <c r="AN102" s="1231"/>
      <c r="AO102" s="76"/>
      <c r="AP102" s="3340"/>
      <c r="AQ102" s="75"/>
      <c r="AR102" s="1256" t="str">
        <f>IF(AP102="","!","✓")</f>
        <v>!</v>
      </c>
      <c r="AS102" s="1227"/>
      <c r="AT102" s="1241"/>
      <c r="AU102" s="16"/>
      <c r="AV102" s="1231"/>
      <c r="AW102" s="76"/>
      <c r="AX102" s="3340"/>
      <c r="AY102" s="75"/>
      <c r="AZ102" s="1256" t="str">
        <f>IF(AX102="","!","✓")</f>
        <v>!</v>
      </c>
      <c r="BA102" s="1227"/>
      <c r="BB102" s="1241"/>
      <c r="BC102" s="16"/>
      <c r="BD102" s="1231"/>
      <c r="BE102" s="76"/>
      <c r="BF102" s="3340"/>
      <c r="BG102" s="75"/>
      <c r="BH102" s="1256" t="str">
        <f>IF(BF102="","!","✓")</f>
        <v>!</v>
      </c>
      <c r="BI102" s="1227"/>
      <c r="BJ102" s="1241"/>
      <c r="BK102" s="16"/>
      <c r="BL102" s="1231"/>
      <c r="BM102" s="76"/>
      <c r="BN102" s="3340"/>
      <c r="BO102" s="75"/>
      <c r="BP102" s="1256" t="str">
        <f>IF(BN102="","!","✓")</f>
        <v>!</v>
      </c>
      <c r="BQ102" s="1227"/>
      <c r="BR102" s="1241"/>
      <c r="BS102" s="16"/>
      <c r="BT102" s="1231"/>
      <c r="BU102" s="76"/>
      <c r="BV102" s="3340"/>
      <c r="BW102" s="75"/>
      <c r="BX102" s="1256" t="str">
        <f>IF(BV102="","!","✓")</f>
        <v>!</v>
      </c>
      <c r="BY102" s="1227"/>
      <c r="BZ102" s="1241"/>
      <c r="CA102" s="16"/>
      <c r="CB102" s="1231"/>
      <c r="CC102" s="76"/>
      <c r="CD102" s="3340"/>
      <c r="CE102" s="75"/>
      <c r="CF102" s="1256" t="str">
        <f>IF(CD102="","!","✓")</f>
        <v>!</v>
      </c>
      <c r="CG102" s="1227"/>
      <c r="CH102" s="1241"/>
      <c r="CI102" s="16"/>
      <c r="CJ102" s="1231"/>
      <c r="CK102" s="76"/>
      <c r="CL102" s="3340"/>
      <c r="CM102" s="75"/>
      <c r="CN102" s="1256" t="str">
        <f>IF(CL102="","!","✓")</f>
        <v>!</v>
      </c>
      <c r="CO102" s="1227"/>
      <c r="CP102" s="1241"/>
      <c r="CQ102" s="16"/>
      <c r="CR102" s="173"/>
    </row>
    <row r="103" spans="1:138" s="78" customFormat="1" ht="15" hidden="1" customHeight="1" x14ac:dyDescent="0.2">
      <c r="A103" s="104"/>
      <c r="B103" s="104"/>
      <c r="C103" s="1251"/>
      <c r="D103" s="20"/>
      <c r="E103" s="663"/>
      <c r="F103" s="1247"/>
      <c r="G103" s="1247"/>
      <c r="H103" s="1247"/>
      <c r="I103" s="1247"/>
      <c r="J103" s="1227"/>
      <c r="K103" s="1227"/>
      <c r="L103" s="1227"/>
      <c r="M103" s="1227"/>
      <c r="N103" s="1227"/>
      <c r="O103" s="1248"/>
      <c r="P103" s="1249"/>
      <c r="R103" s="1156"/>
      <c r="S103" s="1159"/>
      <c r="T103" s="3243"/>
      <c r="U103" s="3243"/>
      <c r="V103" s="1157"/>
      <c r="W103" s="16"/>
      <c r="X103" s="1231"/>
      <c r="Y103" s="76"/>
      <c r="Z103" s="1227"/>
      <c r="AA103" s="1227"/>
      <c r="AB103" s="1227"/>
      <c r="AC103" s="1227"/>
      <c r="AD103" s="1241"/>
      <c r="AE103" s="16"/>
      <c r="AF103" s="1231"/>
      <c r="AG103" s="76"/>
      <c r="AH103" s="1227"/>
      <c r="AI103" s="1227"/>
      <c r="AJ103" s="1227"/>
      <c r="AK103" s="1227"/>
      <c r="AL103" s="1241"/>
      <c r="AM103" s="16"/>
      <c r="AN103" s="1231"/>
      <c r="AO103" s="76"/>
      <c r="AP103" s="1227"/>
      <c r="AQ103" s="1227"/>
      <c r="AR103" s="1227"/>
      <c r="AS103" s="1227"/>
      <c r="AT103" s="1241"/>
      <c r="AU103" s="16"/>
      <c r="AV103" s="1231"/>
      <c r="AW103" s="76"/>
      <c r="AX103" s="1227"/>
      <c r="AY103" s="1227"/>
      <c r="AZ103" s="1227"/>
      <c r="BA103" s="1227"/>
      <c r="BB103" s="1241"/>
      <c r="BC103" s="16"/>
      <c r="BD103" s="1231"/>
      <c r="BE103" s="76"/>
      <c r="BF103" s="1227"/>
      <c r="BG103" s="1227"/>
      <c r="BH103" s="1227"/>
      <c r="BI103" s="1227"/>
      <c r="BJ103" s="1241"/>
      <c r="BK103" s="16"/>
      <c r="BL103" s="1231"/>
      <c r="BM103" s="76"/>
      <c r="BN103" s="1227"/>
      <c r="BO103" s="1227"/>
      <c r="BP103" s="1227"/>
      <c r="BQ103" s="1227"/>
      <c r="BR103" s="1241"/>
      <c r="BS103" s="16"/>
      <c r="BT103" s="1231"/>
      <c r="BU103" s="76"/>
      <c r="BV103" s="1227"/>
      <c r="BW103" s="1227"/>
      <c r="BX103" s="1227"/>
      <c r="BY103" s="1227"/>
      <c r="BZ103" s="1241"/>
      <c r="CA103" s="16"/>
      <c r="CB103" s="1231"/>
      <c r="CC103" s="76"/>
      <c r="CD103" s="1227"/>
      <c r="CE103" s="1227"/>
      <c r="CF103" s="1227"/>
      <c r="CG103" s="1227"/>
      <c r="CH103" s="1241"/>
      <c r="CI103" s="16"/>
      <c r="CJ103" s="1231"/>
      <c r="CK103" s="76"/>
      <c r="CL103" s="1227"/>
      <c r="CM103" s="1227"/>
      <c r="CN103" s="1227"/>
      <c r="CO103" s="1227"/>
      <c r="CP103" s="1241"/>
      <c r="CQ103" s="16"/>
      <c r="CR103" s="173"/>
    </row>
    <row r="104" spans="1:138" s="78" customFormat="1" ht="20.100000000000001" hidden="1" customHeight="1" x14ac:dyDescent="0.2">
      <c r="A104" s="104"/>
      <c r="B104" s="104"/>
      <c r="C104" s="1251"/>
      <c r="D104" s="20"/>
      <c r="E104" s="663"/>
      <c r="F104" s="7021" t="s">
        <v>109</v>
      </c>
      <c r="G104" s="7021"/>
      <c r="H104" s="7021"/>
      <c r="I104" s="7021"/>
      <c r="J104" s="1227"/>
      <c r="K104" s="1227"/>
      <c r="L104" s="1227"/>
      <c r="M104" s="1227"/>
      <c r="N104" s="1227"/>
      <c r="O104" s="2006" t="s">
        <v>78</v>
      </c>
      <c r="P104" s="1249"/>
      <c r="Q104" s="21"/>
      <c r="R104" s="1156"/>
      <c r="S104" s="2301"/>
      <c r="T104" s="3242"/>
      <c r="U104" s="3242"/>
      <c r="V104" s="1157"/>
      <c r="W104" s="16"/>
      <c r="X104" s="1231"/>
      <c r="Y104" s="76"/>
      <c r="Z104" s="3340"/>
      <c r="AA104" s="75"/>
      <c r="AB104" s="1256" t="str">
        <f>IF(Z104="","!","✓")</f>
        <v>!</v>
      </c>
      <c r="AC104" s="1227"/>
      <c r="AD104" s="1241"/>
      <c r="AE104" s="16"/>
      <c r="AF104" s="1231"/>
      <c r="AG104" s="76"/>
      <c r="AH104" s="3340"/>
      <c r="AI104" s="75"/>
      <c r="AJ104" s="1256" t="str">
        <f>IF(AH104="","!","✓")</f>
        <v>!</v>
      </c>
      <c r="AK104" s="1227"/>
      <c r="AL104" s="1241"/>
      <c r="AM104" s="16"/>
      <c r="AN104" s="1231"/>
      <c r="AO104" s="76"/>
      <c r="AP104" s="3340"/>
      <c r="AQ104" s="75"/>
      <c r="AR104" s="1256" t="str">
        <f>IF(AP104="","!","✓")</f>
        <v>!</v>
      </c>
      <c r="AS104" s="1227"/>
      <c r="AT104" s="1241"/>
      <c r="AU104" s="16"/>
      <c r="AV104" s="1231"/>
      <c r="AW104" s="76"/>
      <c r="AX104" s="3340"/>
      <c r="AY104" s="75"/>
      <c r="AZ104" s="1256" t="str">
        <f>IF(AX104="","!","✓")</f>
        <v>!</v>
      </c>
      <c r="BA104" s="1227"/>
      <c r="BB104" s="1241"/>
      <c r="BC104" s="16"/>
      <c r="BD104" s="1231"/>
      <c r="BE104" s="76"/>
      <c r="BF104" s="3340"/>
      <c r="BG104" s="75"/>
      <c r="BH104" s="1256" t="str">
        <f>IF(BF104="","!","✓")</f>
        <v>!</v>
      </c>
      <c r="BI104" s="1227"/>
      <c r="BJ104" s="1241"/>
      <c r="BK104" s="16"/>
      <c r="BL104" s="1231"/>
      <c r="BM104" s="76"/>
      <c r="BN104" s="3340"/>
      <c r="BO104" s="75"/>
      <c r="BP104" s="1256" t="str">
        <f>IF(BN104="","!","✓")</f>
        <v>!</v>
      </c>
      <c r="BQ104" s="1227"/>
      <c r="BR104" s="1241"/>
      <c r="BS104" s="16"/>
      <c r="BT104" s="1231"/>
      <c r="BU104" s="76"/>
      <c r="BV104" s="3340"/>
      <c r="BW104" s="75"/>
      <c r="BX104" s="1256" t="str">
        <f>IF(BV104="","!","✓")</f>
        <v>!</v>
      </c>
      <c r="BY104" s="1227"/>
      <c r="BZ104" s="1241"/>
      <c r="CA104" s="16"/>
      <c r="CB104" s="1231"/>
      <c r="CC104" s="76"/>
      <c r="CD104" s="3340"/>
      <c r="CE104" s="75"/>
      <c r="CF104" s="1256" t="str">
        <f>IF(CD104="","!","✓")</f>
        <v>!</v>
      </c>
      <c r="CG104" s="1227"/>
      <c r="CH104" s="1241"/>
      <c r="CI104" s="16"/>
      <c r="CJ104" s="1231"/>
      <c r="CK104" s="76"/>
      <c r="CL104" s="3340"/>
      <c r="CM104" s="75"/>
      <c r="CN104" s="1256" t="str">
        <f>IF(CL104="","!","✓")</f>
        <v>!</v>
      </c>
      <c r="CO104" s="1227"/>
      <c r="CP104" s="1241"/>
      <c r="CQ104" s="16"/>
      <c r="CR104" s="173"/>
    </row>
    <row r="105" spans="1:138" s="78" customFormat="1" ht="15" hidden="1" customHeight="1" x14ac:dyDescent="0.2">
      <c r="A105" s="104"/>
      <c r="B105" s="104"/>
      <c r="C105" s="1251"/>
      <c r="D105" s="20"/>
      <c r="E105" s="663"/>
      <c r="F105" s="7021"/>
      <c r="G105" s="7021"/>
      <c r="H105" s="7021"/>
      <c r="I105" s="7021"/>
      <c r="J105" s="75"/>
      <c r="K105" s="75"/>
      <c r="L105" s="1227"/>
      <c r="M105" s="1227"/>
      <c r="N105" s="1227"/>
      <c r="O105" s="2006"/>
      <c r="P105" s="1228"/>
      <c r="R105" s="1158"/>
      <c r="S105" s="1236"/>
      <c r="T105" s="1236"/>
      <c r="U105" s="1236"/>
      <c r="V105" s="1160"/>
      <c r="W105" s="16"/>
      <c r="X105" s="1229"/>
      <c r="Y105" s="659"/>
      <c r="Z105" s="656"/>
      <c r="AA105" s="656"/>
      <c r="AB105" s="656"/>
      <c r="AC105" s="656"/>
      <c r="AD105" s="657"/>
      <c r="AF105" s="1229"/>
      <c r="AG105" s="659"/>
      <c r="AH105" s="656"/>
      <c r="AI105" s="656"/>
      <c r="AJ105" s="656"/>
      <c r="AK105" s="656"/>
      <c r="AL105" s="657"/>
      <c r="AN105" s="1229"/>
      <c r="AO105" s="659"/>
      <c r="AP105" s="656"/>
      <c r="AQ105" s="656"/>
      <c r="AR105" s="656"/>
      <c r="AS105" s="656"/>
      <c r="AT105" s="657"/>
      <c r="AV105" s="1229"/>
      <c r="AW105" s="659"/>
      <c r="AX105" s="656"/>
      <c r="AY105" s="656"/>
      <c r="AZ105" s="656"/>
      <c r="BA105" s="656"/>
      <c r="BB105" s="657"/>
      <c r="BD105" s="1229"/>
      <c r="BE105" s="659"/>
      <c r="BF105" s="656"/>
      <c r="BG105" s="656"/>
      <c r="BH105" s="656"/>
      <c r="BI105" s="656"/>
      <c r="BJ105" s="657"/>
      <c r="BL105" s="1229"/>
      <c r="BM105" s="659"/>
      <c r="BN105" s="656"/>
      <c r="BO105" s="656"/>
      <c r="BP105" s="656"/>
      <c r="BQ105" s="656"/>
      <c r="BR105" s="657"/>
      <c r="BT105" s="1229"/>
      <c r="BU105" s="659"/>
      <c r="BV105" s="656"/>
      <c r="BW105" s="656"/>
      <c r="BX105" s="656"/>
      <c r="BY105" s="656"/>
      <c r="BZ105" s="657"/>
      <c r="CB105" s="1229"/>
      <c r="CC105" s="659"/>
      <c r="CD105" s="656"/>
      <c r="CE105" s="656"/>
      <c r="CF105" s="656"/>
      <c r="CG105" s="656"/>
      <c r="CH105" s="657"/>
      <c r="CJ105" s="1229"/>
      <c r="CK105" s="659"/>
      <c r="CL105" s="656"/>
      <c r="CM105" s="656"/>
      <c r="CN105" s="656"/>
      <c r="CO105" s="656"/>
      <c r="CP105" s="657"/>
      <c r="CQ105" s="16"/>
      <c r="CR105" s="173"/>
    </row>
    <row r="106" spans="1:138" s="78" customFormat="1" ht="8.1" hidden="1" customHeight="1" x14ac:dyDescent="0.2">
      <c r="A106" s="104"/>
      <c r="B106" s="104"/>
      <c r="C106" s="1251"/>
      <c r="D106" s="20"/>
      <c r="E106" s="663"/>
      <c r="F106" s="5477"/>
      <c r="G106" s="5477"/>
      <c r="H106" s="5477"/>
      <c r="I106" s="5477"/>
      <c r="J106" s="75"/>
      <c r="K106" s="75"/>
      <c r="L106" s="1227"/>
      <c r="M106" s="1227"/>
      <c r="N106" s="1227"/>
      <c r="O106" s="76"/>
      <c r="P106" s="1228"/>
      <c r="R106" s="51"/>
      <c r="S106" s="2298"/>
      <c r="T106" s="2298"/>
      <c r="U106" s="2298"/>
      <c r="V106" s="51"/>
      <c r="W106" s="16"/>
      <c r="X106" s="17"/>
      <c r="Y106" s="17"/>
      <c r="Z106" s="2299"/>
      <c r="AA106" s="16"/>
      <c r="AB106" s="954"/>
      <c r="AC106" s="1261"/>
      <c r="AD106" s="1261"/>
      <c r="AE106" s="16"/>
      <c r="AF106" s="17"/>
      <c r="AG106" s="17"/>
      <c r="AH106" s="2299"/>
      <c r="AI106" s="16"/>
      <c r="AJ106" s="954"/>
      <c r="AK106" s="1261"/>
      <c r="AL106" s="1261"/>
      <c r="AM106" s="16"/>
      <c r="AN106" s="17"/>
      <c r="AO106" s="17"/>
      <c r="AP106" s="2299"/>
      <c r="AQ106" s="16"/>
      <c r="AR106" s="954"/>
      <c r="AS106" s="1261"/>
      <c r="AT106" s="1261"/>
      <c r="AU106" s="16"/>
      <c r="AV106" s="17"/>
      <c r="AW106" s="17"/>
      <c r="AX106" s="2299"/>
      <c r="AY106" s="16"/>
      <c r="AZ106" s="954"/>
      <c r="BA106" s="1261"/>
      <c r="BB106" s="1261"/>
      <c r="BC106" s="16"/>
      <c r="BD106" s="17"/>
      <c r="BE106" s="17"/>
      <c r="BF106" s="2299"/>
      <c r="BG106" s="16"/>
      <c r="BH106" s="954"/>
      <c r="BI106" s="1261"/>
      <c r="BJ106" s="1261"/>
      <c r="BK106" s="16"/>
      <c r="BL106" s="17"/>
      <c r="BM106" s="17"/>
      <c r="BN106" s="2299"/>
      <c r="BO106" s="16"/>
      <c r="BP106" s="954"/>
      <c r="BQ106" s="1261"/>
      <c r="BR106" s="1261"/>
      <c r="BS106" s="16"/>
      <c r="BT106" s="17"/>
      <c r="BU106" s="17"/>
      <c r="BV106" s="2299"/>
      <c r="BW106" s="16"/>
      <c r="BX106" s="954"/>
      <c r="BY106" s="1261"/>
      <c r="BZ106" s="1261"/>
      <c r="CA106" s="16"/>
      <c r="CB106" s="17"/>
      <c r="CC106" s="17"/>
      <c r="CD106" s="2299"/>
      <c r="CE106" s="16"/>
      <c r="CF106" s="954"/>
      <c r="CG106" s="1261"/>
      <c r="CH106" s="1261"/>
      <c r="CI106" s="16"/>
      <c r="CJ106" s="17"/>
      <c r="CK106" s="17"/>
      <c r="CL106" s="2299"/>
      <c r="CM106" s="16"/>
      <c r="CN106" s="954"/>
      <c r="CO106" s="1261"/>
      <c r="CP106" s="1261"/>
      <c r="CQ106" s="16"/>
      <c r="CR106" s="1261"/>
    </row>
    <row r="107" spans="1:138" s="78" customFormat="1" ht="9.9499999999999993" hidden="1" customHeight="1" x14ac:dyDescent="0.2">
      <c r="A107" s="104"/>
      <c r="B107" s="104"/>
      <c r="C107" s="1252"/>
      <c r="D107" s="20"/>
      <c r="E107" s="665"/>
      <c r="F107" s="659"/>
      <c r="G107" s="659"/>
      <c r="H107" s="659"/>
      <c r="I107" s="659"/>
      <c r="J107" s="655"/>
      <c r="K107" s="655"/>
      <c r="L107" s="1245"/>
      <c r="M107" s="1245"/>
      <c r="N107" s="1245"/>
      <c r="O107" s="659"/>
      <c r="P107" s="1230"/>
      <c r="R107" s="1213"/>
      <c r="S107" s="1214"/>
      <c r="T107" s="1214"/>
      <c r="U107" s="1214"/>
      <c r="V107" s="1213"/>
      <c r="W107" s="16"/>
      <c r="X107" s="1262"/>
      <c r="Y107" s="1262"/>
      <c r="Z107" s="1263"/>
      <c r="AA107" s="1264"/>
      <c r="AB107" s="1265"/>
      <c r="AC107" s="1266"/>
      <c r="AD107" s="1266"/>
      <c r="AE107" s="16"/>
      <c r="AF107" s="1262"/>
      <c r="AG107" s="1262"/>
      <c r="AH107" s="1263"/>
      <c r="AI107" s="1264"/>
      <c r="AJ107" s="1265"/>
      <c r="AK107" s="1266"/>
      <c r="AL107" s="1266"/>
      <c r="AM107" s="16"/>
      <c r="AN107" s="1262"/>
      <c r="AO107" s="1262"/>
      <c r="AP107" s="1263"/>
      <c r="AQ107" s="1264"/>
      <c r="AR107" s="1265"/>
      <c r="AS107" s="1266"/>
      <c r="AT107" s="1266"/>
      <c r="AU107" s="16"/>
      <c r="AV107" s="1262"/>
      <c r="AW107" s="1262"/>
      <c r="AX107" s="1263"/>
      <c r="AY107" s="1264"/>
      <c r="AZ107" s="1265"/>
      <c r="BA107" s="1266"/>
      <c r="BB107" s="1266"/>
      <c r="BC107" s="16"/>
      <c r="BD107" s="1262"/>
      <c r="BE107" s="1262"/>
      <c r="BF107" s="1263"/>
      <c r="BG107" s="1264"/>
      <c r="BH107" s="1265"/>
      <c r="BI107" s="1266"/>
      <c r="BJ107" s="1266"/>
      <c r="BK107" s="16"/>
      <c r="BL107" s="1262"/>
      <c r="BM107" s="1262"/>
      <c r="BN107" s="1263"/>
      <c r="BO107" s="1264"/>
      <c r="BP107" s="1265"/>
      <c r="BQ107" s="1266"/>
      <c r="BR107" s="1266"/>
      <c r="BS107" s="16"/>
      <c r="BT107" s="1262"/>
      <c r="BU107" s="1262"/>
      <c r="BV107" s="1263"/>
      <c r="BW107" s="1264"/>
      <c r="BX107" s="1265"/>
      <c r="BY107" s="1266"/>
      <c r="BZ107" s="1266"/>
      <c r="CA107" s="16"/>
      <c r="CB107" s="1262"/>
      <c r="CC107" s="1262"/>
      <c r="CD107" s="1263"/>
      <c r="CE107" s="1264"/>
      <c r="CF107" s="1265"/>
      <c r="CG107" s="1266"/>
      <c r="CH107" s="1266"/>
      <c r="CI107" s="16"/>
      <c r="CJ107" s="1262"/>
      <c r="CK107" s="1262"/>
      <c r="CL107" s="1263"/>
      <c r="CM107" s="1264"/>
      <c r="CN107" s="1265"/>
      <c r="CO107" s="1266"/>
      <c r="CP107" s="1266"/>
      <c r="CQ107" s="16"/>
      <c r="CR107" s="1265"/>
    </row>
    <row r="108" spans="1:138" s="130" customFormat="1" ht="30" customHeight="1" x14ac:dyDescent="0.2">
      <c r="J108" s="226"/>
      <c r="K108" s="226"/>
      <c r="O108" s="131"/>
      <c r="R108" s="7"/>
      <c r="S108" s="7"/>
      <c r="T108" s="7"/>
      <c r="U108" s="7"/>
      <c r="V108" s="7"/>
      <c r="W108" s="7"/>
      <c r="AA108" s="131"/>
      <c r="AD108" s="8"/>
      <c r="AE108" s="7"/>
      <c r="AI108" s="131"/>
      <c r="AL108" s="8"/>
      <c r="AM108" s="7"/>
      <c r="AQ108" s="131"/>
      <c r="AT108" s="8"/>
      <c r="AU108" s="7"/>
      <c r="AY108" s="131"/>
      <c r="BB108" s="8"/>
      <c r="BC108" s="7"/>
      <c r="BG108" s="131"/>
      <c r="BJ108" s="8"/>
      <c r="BK108" s="7"/>
      <c r="BO108" s="131"/>
      <c r="BR108" s="8"/>
      <c r="BS108" s="7"/>
      <c r="BW108" s="131"/>
      <c r="BZ108" s="8"/>
      <c r="CA108" s="7"/>
      <c r="CE108" s="131"/>
      <c r="CH108" s="8"/>
      <c r="CI108" s="7"/>
      <c r="CM108" s="131"/>
      <c r="CP108" s="8"/>
      <c r="CQ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row>
    <row r="109" spans="1:138" s="8" customFormat="1" ht="5.0999999999999996" customHeight="1" x14ac:dyDescent="0.2">
      <c r="A109" s="10"/>
      <c r="B109" s="10"/>
      <c r="C109" s="2275"/>
      <c r="D109" s="10"/>
      <c r="E109" s="2276"/>
      <c r="F109" s="2277"/>
      <c r="G109" s="2277"/>
      <c r="H109" s="2277"/>
      <c r="I109" s="2275"/>
      <c r="J109" s="2275"/>
      <c r="K109" s="2275"/>
      <c r="L109" s="2277"/>
      <c r="M109" s="2277"/>
      <c r="N109" s="2277"/>
      <c r="O109" s="2300"/>
      <c r="P109" s="2277"/>
      <c r="Q109" s="17"/>
      <c r="R109" s="2275"/>
      <c r="S109" s="2275"/>
      <c r="T109" s="2275"/>
      <c r="U109" s="2275"/>
      <c r="V109" s="2275"/>
      <c r="X109" s="2277"/>
      <c r="Y109" s="2277"/>
      <c r="Z109" s="2275"/>
      <c r="AA109" s="2275"/>
      <c r="AB109" s="2275"/>
      <c r="AC109" s="2275"/>
      <c r="AD109" s="2278"/>
      <c r="AF109" s="2277"/>
      <c r="AG109" s="2277"/>
      <c r="AH109" s="2275"/>
      <c r="AI109" s="2275"/>
      <c r="AJ109" s="2275"/>
      <c r="AK109" s="2275"/>
      <c r="AL109" s="2278"/>
      <c r="AN109" s="2277"/>
      <c r="AO109" s="2277"/>
      <c r="AP109" s="2275"/>
      <c r="AQ109" s="2275"/>
      <c r="AR109" s="2275"/>
      <c r="AS109" s="2275"/>
      <c r="AT109" s="2278"/>
      <c r="AV109" s="2277"/>
      <c r="AW109" s="2277"/>
      <c r="AX109" s="2275"/>
      <c r="AY109" s="2275"/>
      <c r="AZ109" s="2275"/>
      <c r="BA109" s="2275"/>
      <c r="BB109" s="2278"/>
      <c r="BC109" s="7"/>
      <c r="BD109" s="2277"/>
      <c r="BE109" s="2277"/>
      <c r="BF109" s="2275"/>
      <c r="BG109" s="2275"/>
      <c r="BH109" s="2275"/>
      <c r="BI109" s="2275"/>
      <c r="BJ109" s="2278"/>
      <c r="BL109" s="2277"/>
      <c r="BM109" s="2277"/>
      <c r="BN109" s="2275"/>
      <c r="BO109" s="2275"/>
      <c r="BP109" s="2275"/>
      <c r="BQ109" s="2275"/>
      <c r="BR109" s="2278"/>
      <c r="BT109" s="2277"/>
      <c r="BU109" s="2277"/>
      <c r="BV109" s="2275"/>
      <c r="BW109" s="2275"/>
      <c r="BX109" s="2275"/>
      <c r="BY109" s="2275"/>
      <c r="BZ109" s="2278"/>
      <c r="CB109" s="2277"/>
      <c r="CC109" s="2277"/>
      <c r="CD109" s="2275"/>
      <c r="CE109" s="2275"/>
      <c r="CF109" s="2275"/>
      <c r="CG109" s="2275"/>
      <c r="CH109" s="2278"/>
      <c r="CI109" s="7"/>
      <c r="CJ109" s="2277"/>
      <c r="CK109" s="2277"/>
      <c r="CL109" s="2275"/>
      <c r="CM109" s="2275"/>
      <c r="CN109" s="2275"/>
      <c r="CO109" s="2275"/>
      <c r="CP109" s="2278"/>
      <c r="CQ109" s="7"/>
      <c r="CR109" s="2275"/>
      <c r="CS109" s="7"/>
    </row>
    <row r="110" spans="1:138" s="8" customFormat="1" ht="3.75" customHeight="1" x14ac:dyDescent="0.2">
      <c r="A110" s="10"/>
      <c r="B110" s="10"/>
      <c r="C110" s="13"/>
      <c r="D110" s="10"/>
      <c r="E110" s="14"/>
      <c r="F110" s="15"/>
      <c r="G110" s="15"/>
      <c r="H110" s="15"/>
      <c r="I110" s="16"/>
      <c r="J110" s="16"/>
      <c r="K110" s="16"/>
      <c r="L110" s="17"/>
      <c r="M110" s="17"/>
      <c r="N110" s="15"/>
      <c r="O110" s="2007"/>
      <c r="P110" s="17"/>
      <c r="Q110" s="17"/>
      <c r="R110" s="16"/>
      <c r="S110" s="16"/>
      <c r="T110" s="16"/>
      <c r="U110" s="16"/>
      <c r="V110" s="16"/>
      <c r="X110" s="18"/>
      <c r="Y110" s="18"/>
      <c r="Z110" s="13"/>
      <c r="AA110" s="16"/>
      <c r="AB110" s="16"/>
      <c r="AC110" s="16"/>
      <c r="AD110" s="19"/>
      <c r="AF110" s="18"/>
      <c r="AG110" s="18"/>
      <c r="AH110" s="13"/>
      <c r="AI110" s="16"/>
      <c r="AJ110" s="16"/>
      <c r="AK110" s="16"/>
      <c r="AL110" s="19"/>
      <c r="AN110" s="18"/>
      <c r="AO110" s="18"/>
      <c r="AP110" s="13"/>
      <c r="AQ110" s="16"/>
      <c r="AR110" s="16"/>
      <c r="AS110" s="16"/>
      <c r="AT110" s="19"/>
      <c r="AV110" s="18"/>
      <c r="AW110" s="18"/>
      <c r="AX110" s="13"/>
      <c r="AY110" s="16"/>
      <c r="AZ110" s="16"/>
      <c r="BA110" s="16"/>
      <c r="BB110" s="19"/>
      <c r="BC110" s="7"/>
      <c r="BD110" s="18"/>
      <c r="BE110" s="18"/>
      <c r="BF110" s="13"/>
      <c r="BG110" s="16"/>
      <c r="BH110" s="16"/>
      <c r="BI110" s="16"/>
      <c r="BJ110" s="19"/>
      <c r="BL110" s="18"/>
      <c r="BM110" s="18"/>
      <c r="BN110" s="13"/>
      <c r="BO110" s="16"/>
      <c r="BP110" s="16"/>
      <c r="BQ110" s="16"/>
      <c r="BR110" s="19"/>
      <c r="BT110" s="18"/>
      <c r="BU110" s="18"/>
      <c r="BV110" s="13"/>
      <c r="BW110" s="16"/>
      <c r="BX110" s="16"/>
      <c r="BY110" s="16"/>
      <c r="BZ110" s="19"/>
      <c r="CB110" s="18"/>
      <c r="CC110" s="18"/>
      <c r="CD110" s="13"/>
      <c r="CE110" s="16"/>
      <c r="CF110" s="16"/>
      <c r="CG110" s="16"/>
      <c r="CH110" s="19"/>
      <c r="CI110" s="7"/>
      <c r="CJ110" s="18"/>
      <c r="CK110" s="18"/>
      <c r="CL110" s="13"/>
      <c r="CM110" s="16"/>
      <c r="CN110" s="16"/>
      <c r="CO110" s="16"/>
      <c r="CP110" s="19"/>
      <c r="CQ110" s="7"/>
      <c r="CR110" s="16"/>
      <c r="CS110" s="7"/>
      <c r="DS110" s="7"/>
    </row>
    <row r="111" spans="1:138" s="8" customFormat="1" ht="12" customHeight="1" x14ac:dyDescent="0.2">
      <c r="A111" s="10"/>
      <c r="B111" s="10"/>
      <c r="C111" s="2275"/>
      <c r="D111" s="10"/>
      <c r="E111" s="2276"/>
      <c r="F111" s="2277"/>
      <c r="G111" s="2277"/>
      <c r="H111" s="2277"/>
      <c r="I111" s="2275"/>
      <c r="J111" s="2275"/>
      <c r="K111" s="2275"/>
      <c r="L111" s="2277"/>
      <c r="M111" s="2277"/>
      <c r="N111" s="2277"/>
      <c r="O111" s="2300"/>
      <c r="P111" s="2277"/>
      <c r="Q111" s="17"/>
      <c r="R111" s="2275"/>
      <c r="S111" s="2275"/>
      <c r="T111" s="2275"/>
      <c r="U111" s="2275"/>
      <c r="V111" s="2275"/>
      <c r="X111" s="2277"/>
      <c r="Y111" s="2277"/>
      <c r="Z111" s="2275"/>
      <c r="AA111" s="2275"/>
      <c r="AB111" s="2275"/>
      <c r="AC111" s="2275"/>
      <c r="AD111" s="2278"/>
      <c r="AF111" s="2277"/>
      <c r="AG111" s="2277"/>
      <c r="AH111" s="2275"/>
      <c r="AI111" s="2275"/>
      <c r="AJ111" s="2275"/>
      <c r="AK111" s="2275"/>
      <c r="AL111" s="2278"/>
      <c r="AN111" s="2277"/>
      <c r="AO111" s="2277"/>
      <c r="AP111" s="2275"/>
      <c r="AQ111" s="2275"/>
      <c r="AR111" s="2275"/>
      <c r="AS111" s="2275"/>
      <c r="AT111" s="2278"/>
      <c r="AV111" s="2277"/>
      <c r="AW111" s="2277"/>
      <c r="AX111" s="2275"/>
      <c r="AY111" s="2275"/>
      <c r="AZ111" s="2275"/>
      <c r="BA111" s="2275"/>
      <c r="BB111" s="2278"/>
      <c r="BC111" s="7"/>
      <c r="BD111" s="2277"/>
      <c r="BE111" s="2277"/>
      <c r="BF111" s="2275"/>
      <c r="BG111" s="2275"/>
      <c r="BH111" s="2275"/>
      <c r="BI111" s="2275"/>
      <c r="BJ111" s="2278"/>
      <c r="BL111" s="2277"/>
      <c r="BM111" s="2277"/>
      <c r="BN111" s="2275"/>
      <c r="BO111" s="2275"/>
      <c r="BP111" s="2275"/>
      <c r="BQ111" s="2275"/>
      <c r="BR111" s="2278"/>
      <c r="BT111" s="2277"/>
      <c r="BU111" s="2277"/>
      <c r="BV111" s="2275"/>
      <c r="BW111" s="2275"/>
      <c r="BX111" s="2275"/>
      <c r="BY111" s="2275"/>
      <c r="BZ111" s="2278"/>
      <c r="CB111" s="2277"/>
      <c r="CC111" s="2277"/>
      <c r="CD111" s="2275"/>
      <c r="CE111" s="2275"/>
      <c r="CF111" s="2275"/>
      <c r="CG111" s="2275"/>
      <c r="CH111" s="2278"/>
      <c r="CI111" s="7"/>
      <c r="CJ111" s="2277"/>
      <c r="CK111" s="2277"/>
      <c r="CL111" s="2275"/>
      <c r="CM111" s="2275"/>
      <c r="CN111" s="2275"/>
      <c r="CO111" s="2275"/>
      <c r="CP111" s="2278"/>
      <c r="CQ111" s="7"/>
      <c r="CR111" s="2275"/>
      <c r="CS111" s="7"/>
      <c r="DS111" s="7"/>
    </row>
    <row r="112" spans="1:138" s="8" customFormat="1" ht="50.1" customHeight="1" x14ac:dyDescent="0.2">
      <c r="A112" s="20"/>
      <c r="B112" s="20"/>
      <c r="C112" s="13"/>
      <c r="D112" s="20"/>
      <c r="E112" s="14"/>
      <c r="F112" s="21"/>
      <c r="G112" s="21"/>
      <c r="H112" s="21"/>
      <c r="I112" s="16"/>
      <c r="J112" s="16"/>
      <c r="K112" s="16"/>
      <c r="L112" s="16"/>
      <c r="M112" s="16"/>
      <c r="N112" s="15"/>
      <c r="O112" s="215"/>
      <c r="P112" s="16"/>
      <c r="Q112" s="16"/>
      <c r="R112" s="7"/>
      <c r="S112" s="24"/>
      <c r="T112" s="24"/>
      <c r="U112" s="24"/>
      <c r="V112" s="7"/>
      <c r="X112" s="22"/>
      <c r="Y112" s="22"/>
      <c r="Z112" s="13"/>
      <c r="AA112" s="16"/>
      <c r="AB112" s="7"/>
      <c r="AC112" s="7"/>
      <c r="AD112" s="7"/>
      <c r="AF112" s="22"/>
      <c r="AG112" s="22"/>
      <c r="AH112" s="13"/>
      <c r="AI112" s="16"/>
      <c r="AJ112" s="7"/>
      <c r="AK112" s="7"/>
      <c r="AL112" s="7"/>
      <c r="AN112" s="22"/>
      <c r="AO112" s="22"/>
      <c r="AP112" s="13"/>
      <c r="AQ112" s="16"/>
      <c r="AR112" s="7"/>
      <c r="AS112" s="7"/>
      <c r="AT112" s="7"/>
      <c r="AV112" s="22"/>
      <c r="AW112" s="22"/>
      <c r="AX112" s="13"/>
      <c r="AY112" s="16"/>
      <c r="AZ112" s="7"/>
      <c r="BA112" s="7"/>
      <c r="BB112" s="7"/>
      <c r="BC112" s="7"/>
      <c r="BD112" s="22"/>
      <c r="BE112" s="22"/>
      <c r="BF112" s="13"/>
      <c r="BG112" s="16"/>
      <c r="BH112" s="7"/>
      <c r="BI112" s="7"/>
      <c r="BJ112" s="7"/>
      <c r="BL112" s="22"/>
      <c r="BM112" s="22"/>
      <c r="BN112" s="13"/>
      <c r="BO112" s="16"/>
      <c r="BP112" s="7"/>
      <c r="BQ112" s="7"/>
      <c r="BR112" s="7"/>
      <c r="BT112" s="22"/>
      <c r="BU112" s="22"/>
      <c r="BV112" s="13"/>
      <c r="BW112" s="16"/>
      <c r="BX112" s="7"/>
      <c r="BY112" s="7"/>
      <c r="BZ112" s="7"/>
      <c r="CB112" s="22"/>
      <c r="CC112" s="22"/>
      <c r="CD112" s="13"/>
      <c r="CE112" s="16"/>
      <c r="CF112" s="7"/>
      <c r="CG112" s="7"/>
      <c r="CH112" s="7"/>
      <c r="CI112" s="7"/>
      <c r="CJ112" s="22"/>
      <c r="CK112" s="22"/>
      <c r="CL112" s="13"/>
      <c r="CM112" s="16"/>
      <c r="CN112" s="7"/>
      <c r="CO112" s="7"/>
      <c r="CP112" s="7"/>
      <c r="CQ112" s="7"/>
      <c r="CR112" s="130"/>
      <c r="CS112" s="7"/>
    </row>
    <row r="113" spans="6:78" ht="14.25" hidden="1" x14ac:dyDescent="0.2"/>
    <row r="114" spans="6:78" ht="14.25" hidden="1" x14ac:dyDescent="0.2"/>
    <row r="115" spans="6:78" ht="14.25" hidden="1" x14ac:dyDescent="0.2"/>
    <row r="116" spans="6:78" ht="14.25" hidden="1" x14ac:dyDescent="0.2"/>
    <row r="117" spans="6:78" ht="14.25" hidden="1" customHeight="1" x14ac:dyDescent="0.2">
      <c r="F117" s="7126" t="str">
        <f>_Calcs_Klasse!$AH$89</f>
        <v>Sikringsklasse I</v>
      </c>
      <c r="G117" s="7127"/>
      <c r="H117" s="7127"/>
      <c r="I117" s="7127"/>
      <c r="J117" s="7127"/>
      <c r="K117" s="7127"/>
      <c r="L117" s="7127"/>
      <c r="M117" s="7127"/>
      <c r="N117" s="7127"/>
      <c r="O117" s="7127"/>
      <c r="P117" s="7127"/>
      <c r="Q117" s="7127"/>
      <c r="R117" s="7127"/>
      <c r="S117" s="7127"/>
      <c r="T117" s="7127"/>
      <c r="U117" s="7127"/>
      <c r="V117" s="7127"/>
      <c r="W117" s="7127"/>
      <c r="X117" s="7128"/>
      <c r="Y117" s="2799"/>
      <c r="Z117" s="7"/>
      <c r="AA117" s="2799"/>
      <c r="AB117" s="6832" t="str">
        <f>_Calcs_Klasse!$AH$90</f>
        <v>Sikringsklasse II</v>
      </c>
      <c r="AC117" s="6833"/>
      <c r="AD117" s="6833"/>
      <c r="AE117" s="6833"/>
      <c r="AF117" s="6833"/>
      <c r="AG117" s="6833"/>
      <c r="AH117" s="6834"/>
      <c r="AI117" s="2799"/>
      <c r="AJ117" s="2799"/>
      <c r="AK117" s="7135" t="str">
        <f>_Calcs_Klasse!$AH$91</f>
        <v>Sikringsklasse III</v>
      </c>
      <c r="AL117" s="7136"/>
      <c r="AM117" s="7136"/>
      <c r="AN117" s="7136"/>
      <c r="AO117" s="7136"/>
      <c r="AP117" s="7136"/>
      <c r="AQ117" s="7137"/>
      <c r="AR117" s="8"/>
      <c r="AS117" s="2799"/>
      <c r="AT117" s="6899" t="str">
        <f>_Calcs_Klasse!$AH$92</f>
        <v>Sikringsklasse IV</v>
      </c>
      <c r="AU117" s="6900"/>
      <c r="AV117" s="6900"/>
      <c r="AW117" s="6900"/>
      <c r="AX117" s="6900"/>
      <c r="AY117" s="6900"/>
      <c r="AZ117" s="6900"/>
      <c r="BA117" s="6900"/>
      <c r="BB117" s="6900"/>
      <c r="BC117" s="6900"/>
      <c r="BD117" s="6900"/>
      <c r="BE117" s="6900"/>
      <c r="BF117" s="6900"/>
      <c r="BG117" s="6900"/>
      <c r="BH117" s="6901"/>
      <c r="BI117" s="2799"/>
      <c r="BJ117" s="8"/>
      <c r="BK117" s="6920" t="str">
        <f>_Calcs_Klasse!$AH$93</f>
        <v>Sikringsklasse V</v>
      </c>
      <c r="BL117" s="6921"/>
      <c r="BM117" s="6921"/>
      <c r="BN117" s="6921"/>
      <c r="BO117" s="6921"/>
      <c r="BP117" s="6921"/>
      <c r="BQ117" s="6922"/>
      <c r="BR117" s="8"/>
      <c r="BS117" s="8"/>
      <c r="BT117" s="6869" t="str">
        <f>_Calcs_Klasse!$AH$94</f>
        <v>Sikringsklasse VI</v>
      </c>
      <c r="BU117" s="6870"/>
      <c r="BV117" s="6870"/>
      <c r="BW117" s="6870"/>
      <c r="BX117" s="6870"/>
      <c r="BY117" s="6870"/>
      <c r="BZ117" s="6871"/>
    </row>
    <row r="118" spans="6:78" ht="14.25" hidden="1" customHeight="1" x14ac:dyDescent="0.2">
      <c r="F118" s="7129"/>
      <c r="G118" s="7130"/>
      <c r="H118" s="7130"/>
      <c r="I118" s="7130"/>
      <c r="J118" s="7130"/>
      <c r="K118" s="7130"/>
      <c r="L118" s="7130"/>
      <c r="M118" s="7130"/>
      <c r="N118" s="7130"/>
      <c r="O118" s="7130"/>
      <c r="P118" s="7130"/>
      <c r="Q118" s="7130"/>
      <c r="R118" s="7130"/>
      <c r="S118" s="7130"/>
      <c r="T118" s="7130"/>
      <c r="U118" s="7130"/>
      <c r="V118" s="7130"/>
      <c r="W118" s="7130"/>
      <c r="X118" s="7131"/>
      <c r="Y118" s="2799"/>
      <c r="Z118" s="7"/>
      <c r="AA118" s="2799"/>
      <c r="AB118" s="6835"/>
      <c r="AC118" s="6836"/>
      <c r="AD118" s="6836"/>
      <c r="AE118" s="6836"/>
      <c r="AF118" s="6836"/>
      <c r="AG118" s="6836"/>
      <c r="AH118" s="6837"/>
      <c r="AI118" s="2799"/>
      <c r="AJ118" s="2799"/>
      <c r="AK118" s="7138"/>
      <c r="AL118" s="7139"/>
      <c r="AM118" s="7139"/>
      <c r="AN118" s="7139"/>
      <c r="AO118" s="7139"/>
      <c r="AP118" s="7139"/>
      <c r="AQ118" s="7140"/>
      <c r="AR118" s="8"/>
      <c r="AS118" s="2799"/>
      <c r="AT118" s="6902"/>
      <c r="AU118" s="6903"/>
      <c r="AV118" s="6903"/>
      <c r="AW118" s="6903"/>
      <c r="AX118" s="6903"/>
      <c r="AY118" s="6903"/>
      <c r="AZ118" s="6903"/>
      <c r="BA118" s="6903"/>
      <c r="BB118" s="6903"/>
      <c r="BC118" s="6903"/>
      <c r="BD118" s="6903"/>
      <c r="BE118" s="6903"/>
      <c r="BF118" s="6903"/>
      <c r="BG118" s="6903"/>
      <c r="BH118" s="6904"/>
      <c r="BI118" s="2799"/>
      <c r="BJ118" s="8"/>
      <c r="BK118" s="6923"/>
      <c r="BL118" s="6924"/>
      <c r="BM118" s="6924"/>
      <c r="BN118" s="6924"/>
      <c r="BO118" s="6924"/>
      <c r="BP118" s="6924"/>
      <c r="BQ118" s="6925"/>
      <c r="BR118" s="8"/>
      <c r="BS118" s="8"/>
      <c r="BT118" s="6872"/>
      <c r="BU118" s="6873"/>
      <c r="BV118" s="6873"/>
      <c r="BW118" s="6873"/>
      <c r="BX118" s="6873"/>
      <c r="BY118" s="6873"/>
      <c r="BZ118" s="6874"/>
    </row>
    <row r="119" spans="6:78" ht="14.25" hidden="1" customHeight="1" thickBot="1" x14ac:dyDescent="0.25">
      <c r="F119" s="7132"/>
      <c r="G119" s="7133"/>
      <c r="H119" s="7133"/>
      <c r="I119" s="7133"/>
      <c r="J119" s="7133"/>
      <c r="K119" s="7133"/>
      <c r="L119" s="7133"/>
      <c r="M119" s="7133"/>
      <c r="N119" s="7133"/>
      <c r="O119" s="7133"/>
      <c r="P119" s="7133"/>
      <c r="Q119" s="7133"/>
      <c r="R119" s="7133"/>
      <c r="S119" s="7133"/>
      <c r="T119" s="7133"/>
      <c r="U119" s="7133"/>
      <c r="V119" s="7133"/>
      <c r="W119" s="7133"/>
      <c r="X119" s="7134"/>
      <c r="Y119" s="2799"/>
      <c r="Z119" s="7"/>
      <c r="AA119" s="2799"/>
      <c r="AB119" s="6838"/>
      <c r="AC119" s="6839"/>
      <c r="AD119" s="6839"/>
      <c r="AE119" s="6839"/>
      <c r="AF119" s="6839"/>
      <c r="AG119" s="6839"/>
      <c r="AH119" s="6840"/>
      <c r="AI119" s="2799"/>
      <c r="AJ119" s="2799"/>
      <c r="AK119" s="7141"/>
      <c r="AL119" s="7142"/>
      <c r="AM119" s="7142"/>
      <c r="AN119" s="7142"/>
      <c r="AO119" s="7142"/>
      <c r="AP119" s="7142"/>
      <c r="AQ119" s="7143"/>
      <c r="AR119" s="8"/>
      <c r="AS119" s="2799"/>
      <c r="AT119" s="6905"/>
      <c r="AU119" s="6906"/>
      <c r="AV119" s="6906"/>
      <c r="AW119" s="6906"/>
      <c r="AX119" s="6906"/>
      <c r="AY119" s="6906"/>
      <c r="AZ119" s="6906"/>
      <c r="BA119" s="6906"/>
      <c r="BB119" s="6906"/>
      <c r="BC119" s="6906"/>
      <c r="BD119" s="6906"/>
      <c r="BE119" s="6906"/>
      <c r="BF119" s="6906"/>
      <c r="BG119" s="6906"/>
      <c r="BH119" s="6907"/>
      <c r="BI119" s="2799"/>
      <c r="BJ119" s="8"/>
      <c r="BK119" s="6926"/>
      <c r="BL119" s="6927"/>
      <c r="BM119" s="6927"/>
      <c r="BN119" s="6927"/>
      <c r="BO119" s="6927"/>
      <c r="BP119" s="6927"/>
      <c r="BQ119" s="6928"/>
      <c r="BR119" s="8"/>
      <c r="BS119" s="8"/>
      <c r="BT119" s="6875"/>
      <c r="BU119" s="6876"/>
      <c r="BV119" s="6876"/>
      <c r="BW119" s="6876"/>
      <c r="BX119" s="6876"/>
      <c r="BY119" s="6876"/>
      <c r="BZ119" s="6877"/>
    </row>
    <row r="120" spans="6:78" ht="14.25" hidden="1" customHeight="1" x14ac:dyDescent="0.2">
      <c r="F120" s="2799"/>
      <c r="G120" s="2799"/>
      <c r="H120" s="2799"/>
      <c r="I120" s="2799"/>
      <c r="J120" s="2799"/>
      <c r="K120" s="2799"/>
      <c r="L120" s="2799"/>
      <c r="M120" s="2799"/>
      <c r="N120" s="2799"/>
      <c r="O120" s="2799"/>
      <c r="P120" s="2799"/>
      <c r="Q120" s="2799"/>
      <c r="R120" s="2799"/>
      <c r="S120" s="2799"/>
      <c r="T120" s="2799"/>
      <c r="U120" s="2799"/>
      <c r="V120" s="2799"/>
      <c r="W120" s="2799"/>
      <c r="X120" s="2799"/>
      <c r="Y120" s="2799"/>
      <c r="Z120" s="7"/>
      <c r="AA120" s="2799"/>
      <c r="AB120" s="2799"/>
      <c r="AC120" s="2799"/>
      <c r="AD120" s="2799"/>
      <c r="AE120" s="2799"/>
      <c r="AF120" s="2799"/>
      <c r="AG120" s="2799"/>
      <c r="AH120" s="2799"/>
      <c r="AI120" s="2799"/>
      <c r="AJ120" s="2799"/>
      <c r="AK120" s="2799"/>
      <c r="AL120" s="2799"/>
      <c r="AM120" s="2799"/>
      <c r="AN120" s="2799"/>
      <c r="AO120" s="2799"/>
      <c r="AP120" s="2799"/>
      <c r="AQ120" s="2799"/>
      <c r="AR120" s="8"/>
      <c r="AS120" s="2799"/>
      <c r="AT120" s="2799"/>
      <c r="AU120" s="2799"/>
      <c r="AV120" s="2799"/>
      <c r="AW120" s="2799"/>
      <c r="AX120" s="2799"/>
      <c r="AY120" s="2799"/>
      <c r="AZ120" s="2799"/>
      <c r="BA120" s="8"/>
      <c r="BB120" s="2799"/>
      <c r="BC120" s="2799"/>
      <c r="BD120" s="2799"/>
      <c r="BE120" s="2799"/>
      <c r="BF120" s="2799"/>
      <c r="BG120" s="2799"/>
      <c r="BH120" s="2799"/>
      <c r="BI120" s="2799"/>
      <c r="BJ120" s="8"/>
      <c r="BK120" s="2799"/>
      <c r="BL120" s="2799"/>
      <c r="BM120" s="2799"/>
      <c r="BN120" s="2799"/>
      <c r="BO120" s="2799"/>
      <c r="BP120" s="2799"/>
      <c r="BQ120" s="2799"/>
      <c r="BR120" s="8"/>
      <c r="BS120" s="8"/>
      <c r="BT120" s="2799"/>
      <c r="BU120" s="2799"/>
      <c r="BV120" s="2799"/>
      <c r="BW120" s="2799"/>
      <c r="BX120" s="2799"/>
      <c r="BY120" s="2799"/>
      <c r="BZ120" s="2799"/>
    </row>
    <row r="121" spans="6:78" ht="14.25" hidden="1" customHeight="1" thickBot="1" x14ac:dyDescent="0.25">
      <c r="F121" s="2799"/>
      <c r="G121" s="2799"/>
      <c r="H121" s="2799"/>
      <c r="I121" s="2799"/>
      <c r="J121" s="2799"/>
      <c r="K121" s="2799"/>
      <c r="L121" s="2799"/>
      <c r="M121" s="2799"/>
      <c r="N121" s="2799"/>
      <c r="O121" s="2799"/>
      <c r="P121" s="2799"/>
      <c r="Q121" s="2799"/>
      <c r="R121" s="2799"/>
      <c r="S121" s="2799"/>
      <c r="T121" s="2799"/>
      <c r="U121" s="2799"/>
      <c r="V121" s="2799"/>
      <c r="W121" s="2799"/>
      <c r="X121" s="2799"/>
      <c r="Y121" s="2799"/>
      <c r="Z121" s="7"/>
      <c r="AA121" s="2799"/>
      <c r="AB121" s="2799"/>
      <c r="AC121" s="2799"/>
      <c r="AD121" s="2799"/>
      <c r="AE121" s="2799"/>
      <c r="AF121" s="2799"/>
      <c r="AG121" s="2799"/>
      <c r="AH121" s="2799"/>
      <c r="AI121" s="2799"/>
      <c r="AJ121" s="2799"/>
      <c r="AK121" s="2799"/>
      <c r="AL121" s="2799"/>
      <c r="AM121" s="2799"/>
      <c r="AN121" s="2799"/>
      <c r="AO121" s="2799"/>
      <c r="AP121" s="2799"/>
      <c r="AQ121" s="2799"/>
      <c r="AR121" s="21"/>
      <c r="AS121" s="2799"/>
      <c r="AT121" s="2799"/>
      <c r="AU121" s="2799"/>
      <c r="AV121" s="2799"/>
      <c r="AW121" s="2799"/>
      <c r="AX121" s="2799"/>
      <c r="AY121" s="2799"/>
      <c r="AZ121" s="2799"/>
      <c r="BA121" s="21"/>
      <c r="BB121" s="2799"/>
      <c r="BC121" s="2799"/>
      <c r="BD121" s="2799"/>
      <c r="BE121" s="2799"/>
      <c r="BF121" s="2799"/>
      <c r="BG121" s="2799"/>
      <c r="BH121" s="2799"/>
      <c r="BI121" s="2799"/>
      <c r="BJ121" s="21"/>
      <c r="BK121" s="2799"/>
      <c r="BL121" s="2799"/>
      <c r="BM121" s="2799"/>
      <c r="BN121" s="2799"/>
      <c r="BO121" s="2799"/>
      <c r="BP121" s="2799"/>
      <c r="BQ121" s="2799"/>
      <c r="BR121" s="21"/>
      <c r="BS121" s="21"/>
      <c r="BT121" s="2799"/>
      <c r="BU121" s="2799"/>
      <c r="BV121" s="2799"/>
      <c r="BW121" s="2799"/>
      <c r="BX121" s="2799"/>
      <c r="BY121" s="2799"/>
      <c r="BZ121" s="2799"/>
    </row>
    <row r="122" spans="6:78" ht="14.25" hidden="1" customHeight="1" x14ac:dyDescent="0.2">
      <c r="F122" s="7081" t="e">
        <f>_Calcs_Klasse!#REF!</f>
        <v>#REF!</v>
      </c>
      <c r="G122" s="7082"/>
      <c r="H122" s="7082"/>
      <c r="I122" s="7082"/>
      <c r="J122" s="7082"/>
      <c r="K122" s="7082"/>
      <c r="L122" s="7083"/>
      <c r="M122" s="2799"/>
      <c r="N122" s="2799"/>
      <c r="O122" s="2587"/>
      <c r="P122" s="7081" t="e">
        <f>_Calcs_Klasse!#REF!</f>
        <v>#REF!</v>
      </c>
      <c r="Q122" s="7082"/>
      <c r="R122" s="7082"/>
      <c r="S122" s="7082"/>
      <c r="T122" s="7082"/>
      <c r="U122" s="7082"/>
      <c r="V122" s="7082"/>
      <c r="W122" s="7082"/>
      <c r="X122" s="7083"/>
      <c r="Y122" s="2799"/>
      <c r="Z122" s="7"/>
      <c r="AA122" s="2799"/>
      <c r="AB122" s="6850" t="e">
        <f>_Calcs_Klasse!#REF!</f>
        <v>#REF!</v>
      </c>
      <c r="AC122" s="6851"/>
      <c r="AD122" s="6851"/>
      <c r="AE122" s="6851"/>
      <c r="AF122" s="6851"/>
      <c r="AG122" s="6851"/>
      <c r="AH122" s="6852"/>
      <c r="AI122" s="2799"/>
      <c r="AJ122" s="2587"/>
      <c r="AK122" s="7090" t="e">
        <f>_Calcs_Klasse!#REF!</f>
        <v>#REF!</v>
      </c>
      <c r="AL122" s="7091"/>
      <c r="AM122" s="7091"/>
      <c r="AN122" s="7091"/>
      <c r="AO122" s="7091"/>
      <c r="AP122" s="7091"/>
      <c r="AQ122" s="7092"/>
      <c r="AR122" s="8"/>
      <c r="AS122" s="2587"/>
      <c r="AT122" s="7099" t="str">
        <f>_Calcs_Klasse!$AI$92</f>
        <v>Klasse E1</v>
      </c>
      <c r="AU122" s="7100"/>
      <c r="AV122" s="7100"/>
      <c r="AW122" s="7100"/>
      <c r="AX122" s="7100"/>
      <c r="AY122" s="7100"/>
      <c r="AZ122" s="7101"/>
      <c r="BA122" s="8"/>
      <c r="BB122" s="7099" t="str">
        <f>_Calcs_Klasse!$AJ$92</f>
        <v>Klasse E2</v>
      </c>
      <c r="BC122" s="7100"/>
      <c r="BD122" s="7100"/>
      <c r="BE122" s="7100"/>
      <c r="BF122" s="7100"/>
      <c r="BG122" s="7100"/>
      <c r="BH122" s="7101"/>
      <c r="BI122" s="2799"/>
      <c r="BJ122" s="8"/>
      <c r="BK122" s="7108" t="e">
        <f>_Calcs_Klasse!#REF!</f>
        <v>#REF!</v>
      </c>
      <c r="BL122" s="7109"/>
      <c r="BM122" s="7109"/>
      <c r="BN122" s="7109"/>
      <c r="BO122" s="7109"/>
      <c r="BP122" s="7109"/>
      <c r="BQ122" s="7110"/>
      <c r="BR122" s="8"/>
      <c r="BS122" s="8"/>
      <c r="BT122" s="7117" t="e">
        <f>_Calcs_Klasse!#REF!</f>
        <v>#REF!</v>
      </c>
      <c r="BU122" s="7118"/>
      <c r="BV122" s="7118"/>
      <c r="BW122" s="7118"/>
      <c r="BX122" s="7118"/>
      <c r="BY122" s="7118"/>
      <c r="BZ122" s="7119"/>
    </row>
    <row r="123" spans="6:78" ht="14.25" hidden="1" customHeight="1" x14ac:dyDescent="0.2">
      <c r="F123" s="7084"/>
      <c r="G123" s="7085"/>
      <c r="H123" s="7085"/>
      <c r="I123" s="7085"/>
      <c r="J123" s="7085"/>
      <c r="K123" s="7085"/>
      <c r="L123" s="7086"/>
      <c r="M123" s="2799"/>
      <c r="N123" s="2799"/>
      <c r="O123" s="2587"/>
      <c r="P123" s="7084"/>
      <c r="Q123" s="7085"/>
      <c r="R123" s="7085"/>
      <c r="S123" s="7085"/>
      <c r="T123" s="7085"/>
      <c r="U123" s="7085"/>
      <c r="V123" s="7085"/>
      <c r="W123" s="7085"/>
      <c r="X123" s="7086"/>
      <c r="Y123" s="2799"/>
      <c r="Z123" s="7"/>
      <c r="AA123" s="2799"/>
      <c r="AB123" s="6853"/>
      <c r="AC123" s="6854"/>
      <c r="AD123" s="6854"/>
      <c r="AE123" s="6854"/>
      <c r="AF123" s="6854"/>
      <c r="AG123" s="6854"/>
      <c r="AH123" s="6855"/>
      <c r="AI123" s="2799"/>
      <c r="AJ123" s="2587"/>
      <c r="AK123" s="7093"/>
      <c r="AL123" s="7094"/>
      <c r="AM123" s="7094"/>
      <c r="AN123" s="7094"/>
      <c r="AO123" s="7094"/>
      <c r="AP123" s="7094"/>
      <c r="AQ123" s="7095"/>
      <c r="AR123" s="8"/>
      <c r="AS123" s="2587"/>
      <c r="AT123" s="7102"/>
      <c r="AU123" s="7103"/>
      <c r="AV123" s="7103"/>
      <c r="AW123" s="7103"/>
      <c r="AX123" s="7103"/>
      <c r="AY123" s="7103"/>
      <c r="AZ123" s="7104"/>
      <c r="BA123" s="8"/>
      <c r="BB123" s="7102"/>
      <c r="BC123" s="7103"/>
      <c r="BD123" s="7103"/>
      <c r="BE123" s="7103"/>
      <c r="BF123" s="7103"/>
      <c r="BG123" s="7103"/>
      <c r="BH123" s="7104"/>
      <c r="BI123" s="2799"/>
      <c r="BJ123" s="8"/>
      <c r="BK123" s="7111"/>
      <c r="BL123" s="7112"/>
      <c r="BM123" s="7112"/>
      <c r="BN123" s="7112"/>
      <c r="BO123" s="7112"/>
      <c r="BP123" s="7112"/>
      <c r="BQ123" s="7113"/>
      <c r="BR123" s="8"/>
      <c r="BS123" s="8"/>
      <c r="BT123" s="7120"/>
      <c r="BU123" s="7121"/>
      <c r="BV123" s="7121"/>
      <c r="BW123" s="7121"/>
      <c r="BX123" s="7121"/>
      <c r="BY123" s="7121"/>
      <c r="BZ123" s="7122"/>
    </row>
    <row r="124" spans="6:78" ht="14.25" hidden="1" customHeight="1" thickBot="1" x14ac:dyDescent="0.25">
      <c r="F124" s="7087"/>
      <c r="G124" s="7088"/>
      <c r="H124" s="7088"/>
      <c r="I124" s="7088"/>
      <c r="J124" s="7088"/>
      <c r="K124" s="7088"/>
      <c r="L124" s="7089"/>
      <c r="M124" s="2799"/>
      <c r="N124" s="2799"/>
      <c r="O124" s="2587"/>
      <c r="P124" s="7087"/>
      <c r="Q124" s="7088"/>
      <c r="R124" s="7088"/>
      <c r="S124" s="7088"/>
      <c r="T124" s="7088"/>
      <c r="U124" s="7088"/>
      <c r="V124" s="7088"/>
      <c r="W124" s="7088"/>
      <c r="X124" s="7089"/>
      <c r="Y124" s="2799"/>
      <c r="Z124" s="7"/>
      <c r="AA124" s="2799"/>
      <c r="AB124" s="6856"/>
      <c r="AC124" s="6857"/>
      <c r="AD124" s="6857"/>
      <c r="AE124" s="6857"/>
      <c r="AF124" s="6857"/>
      <c r="AG124" s="6857"/>
      <c r="AH124" s="6858"/>
      <c r="AI124" s="2799"/>
      <c r="AJ124" s="2587"/>
      <c r="AK124" s="7096"/>
      <c r="AL124" s="7097"/>
      <c r="AM124" s="7097"/>
      <c r="AN124" s="7097"/>
      <c r="AO124" s="7097"/>
      <c r="AP124" s="7097"/>
      <c r="AQ124" s="7098"/>
      <c r="AR124" s="8"/>
      <c r="AS124" s="2587"/>
      <c r="AT124" s="7105"/>
      <c r="AU124" s="7106"/>
      <c r="AV124" s="7106"/>
      <c r="AW124" s="7106"/>
      <c r="AX124" s="7106"/>
      <c r="AY124" s="7106"/>
      <c r="AZ124" s="7107"/>
      <c r="BA124" s="8"/>
      <c r="BB124" s="7105"/>
      <c r="BC124" s="7106"/>
      <c r="BD124" s="7106"/>
      <c r="BE124" s="7106"/>
      <c r="BF124" s="7106"/>
      <c r="BG124" s="7106"/>
      <c r="BH124" s="7107"/>
      <c r="BI124" s="2799"/>
      <c r="BJ124" s="8"/>
      <c r="BK124" s="7114"/>
      <c r="BL124" s="7115"/>
      <c r="BM124" s="7115"/>
      <c r="BN124" s="7115"/>
      <c r="BO124" s="7115"/>
      <c r="BP124" s="7115"/>
      <c r="BQ124" s="7116"/>
      <c r="BR124" s="8"/>
      <c r="BS124" s="8"/>
      <c r="BT124" s="7123"/>
      <c r="BU124" s="7124"/>
      <c r="BV124" s="7124"/>
      <c r="BW124" s="7124"/>
      <c r="BX124" s="7124"/>
      <c r="BY124" s="7124"/>
      <c r="BZ124" s="7125"/>
    </row>
    <row r="125" spans="6:78" ht="14.25" hidden="1" customHeight="1" x14ac:dyDescent="0.2"/>
    <row r="126" spans="6:78" ht="14.25" hidden="1" customHeight="1" x14ac:dyDescent="0.2"/>
    <row r="127" spans="6:78" ht="14.25" hidden="1" customHeight="1" x14ac:dyDescent="0.2"/>
    <row r="128" spans="6:78" ht="14.25" hidden="1" customHeight="1" x14ac:dyDescent="0.2"/>
    <row r="129" spans="7:32" ht="14.25" hidden="1" customHeight="1" thickBot="1" x14ac:dyDescent="0.25"/>
    <row r="130" spans="7:32" ht="14.25" hidden="1" customHeight="1" x14ac:dyDescent="0.2">
      <c r="S130" s="7182">
        <f>_Calcs_Klasse!AX144</f>
        <v>0</v>
      </c>
      <c r="T130" s="7182"/>
      <c r="U130" s="7182"/>
      <c r="V130" s="7182"/>
      <c r="W130" s="7182"/>
      <c r="X130" s="7182"/>
      <c r="Y130" s="7182"/>
      <c r="Z130" s="7182"/>
      <c r="AA130" s="7182"/>
      <c r="AB130" s="7182"/>
      <c r="AC130" s="7182"/>
      <c r="AD130" s="7182"/>
    </row>
    <row r="131" spans="7:32" ht="14.25" hidden="1" customHeight="1" thickBot="1" x14ac:dyDescent="0.25">
      <c r="S131" s="7183"/>
      <c r="T131" s="7183"/>
      <c r="U131" s="7183"/>
      <c r="V131" s="7183"/>
      <c r="W131" s="7183"/>
      <c r="X131" s="7183"/>
      <c r="Y131" s="7183"/>
      <c r="Z131" s="7183"/>
      <c r="AA131" s="7183"/>
      <c r="AB131" s="7183"/>
      <c r="AC131" s="7183"/>
      <c r="AD131" s="7183"/>
    </row>
    <row r="132" spans="7:32" ht="14.25" hidden="1" customHeight="1" thickBot="1" x14ac:dyDescent="0.25">
      <c r="S132" s="129"/>
      <c r="T132" s="129"/>
      <c r="U132" s="129"/>
      <c r="V132" s="129"/>
      <c r="W132" s="129"/>
      <c r="X132" s="129"/>
      <c r="Y132" s="16"/>
      <c r="Z132" s="16"/>
      <c r="AA132" s="19"/>
      <c r="AB132" s="19"/>
      <c r="AC132" s="19"/>
      <c r="AD132" s="15"/>
    </row>
    <row r="133" spans="7:32" ht="14.25" hidden="1" customHeight="1" x14ac:dyDescent="0.2">
      <c r="S133" s="2965"/>
      <c r="T133" s="2965"/>
      <c r="U133" s="2965"/>
      <c r="V133" s="2965"/>
      <c r="W133" s="2965"/>
      <c r="X133" s="2965"/>
      <c r="Y133" s="2966"/>
      <c r="Z133" s="2966"/>
      <c r="AA133" s="2967"/>
      <c r="AB133" s="2967"/>
      <c r="AC133" s="2967"/>
      <c r="AD133" s="2968"/>
    </row>
    <row r="134" spans="7:32" ht="14.25" hidden="1" customHeight="1" thickBot="1" x14ac:dyDescent="0.25"/>
    <row r="135" spans="7:32" ht="14.25" hidden="1" customHeight="1" x14ac:dyDescent="0.2">
      <c r="G135" s="7071" t="e">
        <f>_Calcs_Klasse!#REF!</f>
        <v>#REF!</v>
      </c>
      <c r="H135" s="7071"/>
      <c r="I135" s="7071"/>
      <c r="J135" s="7071"/>
      <c r="K135" s="7071"/>
      <c r="L135" s="7071"/>
      <c r="M135" s="7071"/>
      <c r="N135" s="7071"/>
      <c r="O135" s="7071"/>
      <c r="P135" s="7071"/>
      <c r="S135" s="2906"/>
      <c r="T135" s="2913"/>
      <c r="U135" s="2913"/>
      <c r="V135" s="7067" t="e">
        <f>_Calcs_Klasse!#REF!</f>
        <v>#REF!</v>
      </c>
      <c r="W135" s="7067"/>
      <c r="X135" s="7067"/>
      <c r="Y135" s="7067"/>
      <c r="Z135" s="7067"/>
      <c r="AA135" s="7067"/>
      <c r="AB135" s="7067"/>
      <c r="AC135" s="7067"/>
      <c r="AD135" s="7067"/>
      <c r="AE135" s="7067"/>
      <c r="AF135" s="2907"/>
    </row>
    <row r="136" spans="7:32" ht="14.25" hidden="1" customHeight="1" thickBot="1" x14ac:dyDescent="0.25">
      <c r="G136" s="7072"/>
      <c r="H136" s="7072"/>
      <c r="I136" s="7072"/>
      <c r="J136" s="7072"/>
      <c r="K136" s="7072"/>
      <c r="L136" s="7072"/>
      <c r="M136" s="7072"/>
      <c r="N136" s="7072"/>
      <c r="O136" s="7072"/>
      <c r="P136" s="7072"/>
      <c r="S136" s="2908"/>
      <c r="T136" s="2922"/>
      <c r="U136" s="2922"/>
      <c r="V136" s="7068"/>
      <c r="W136" s="7068"/>
      <c r="X136" s="7068"/>
      <c r="Y136" s="7068"/>
      <c r="Z136" s="7068"/>
      <c r="AA136" s="7068"/>
      <c r="AB136" s="7068"/>
      <c r="AC136" s="7068"/>
      <c r="AD136" s="7068"/>
      <c r="AE136" s="7068"/>
      <c r="AF136" s="2909"/>
    </row>
    <row r="137" spans="7:32" ht="14.25" hidden="1" customHeight="1" thickBot="1" x14ac:dyDescent="0.25">
      <c r="G137" s="129"/>
      <c r="H137" s="129"/>
      <c r="I137" s="129"/>
      <c r="J137" s="129"/>
      <c r="K137" s="16"/>
      <c r="L137" s="16"/>
      <c r="M137" s="19"/>
      <c r="N137" s="19"/>
      <c r="O137" s="19"/>
      <c r="P137" s="15"/>
      <c r="S137" s="17"/>
      <c r="T137" s="17"/>
      <c r="U137" s="17"/>
      <c r="V137" s="129"/>
      <c r="W137" s="129"/>
      <c r="X137" s="129"/>
      <c r="Y137" s="129"/>
      <c r="Z137" s="16"/>
      <c r="AA137" s="16"/>
      <c r="AB137" s="19"/>
      <c r="AC137" s="19"/>
      <c r="AD137" s="19"/>
      <c r="AE137" s="15"/>
      <c r="AF137" s="15"/>
    </row>
    <row r="138" spans="7:32" ht="14.25" hidden="1" customHeight="1" x14ac:dyDescent="0.2">
      <c r="G138" s="2830"/>
      <c r="H138" s="2830"/>
      <c r="I138" s="2830"/>
      <c r="J138" s="2830"/>
      <c r="K138" s="2831"/>
      <c r="L138" s="2831"/>
      <c r="M138" s="2832"/>
      <c r="N138" s="2832"/>
      <c r="O138" s="2832"/>
      <c r="P138" s="2833"/>
      <c r="S138" s="2906"/>
      <c r="T138" s="2913"/>
      <c r="U138" s="2913"/>
      <c r="V138" s="2910"/>
      <c r="W138" s="2910"/>
      <c r="X138" s="2910"/>
      <c r="Y138" s="2910"/>
      <c r="Z138" s="2911"/>
      <c r="AA138" s="2911"/>
      <c r="AB138" s="2912"/>
      <c r="AC138" s="2912"/>
      <c r="AD138" s="2912"/>
      <c r="AE138" s="2913"/>
      <c r="AF138" s="2907"/>
    </row>
    <row r="139" spans="7:32" ht="14.25" hidden="1" customHeight="1" x14ac:dyDescent="0.2">
      <c r="G139" s="2834" t="e">
        <f>_Calcs_Klasse!#REF!</f>
        <v>#REF!</v>
      </c>
      <c r="H139" s="2834"/>
      <c r="I139" s="2834"/>
      <c r="J139" s="2834"/>
      <c r="K139" s="2835"/>
      <c r="L139" s="2835"/>
      <c r="M139" s="2836"/>
      <c r="N139" s="2836"/>
      <c r="O139" s="2836"/>
      <c r="P139" s="2834" t="s">
        <v>78</v>
      </c>
      <c r="S139" s="2914"/>
      <c r="T139" s="3244"/>
      <c r="U139" s="3244"/>
      <c r="V139" s="2915" t="e">
        <f>_Calcs_Klasse!#REF!</f>
        <v>#REF!</v>
      </c>
      <c r="W139" s="2915"/>
      <c r="X139" s="2915"/>
      <c r="Y139" s="2915"/>
      <c r="Z139" s="2916"/>
      <c r="AA139" s="2916"/>
      <c r="AB139" s="2917"/>
      <c r="AC139" s="2917"/>
      <c r="AD139" s="2917"/>
      <c r="AE139" s="2915" t="s">
        <v>78</v>
      </c>
      <c r="AF139" s="2918"/>
    </row>
    <row r="140" spans="7:32" ht="14.25" hidden="1" customHeight="1" x14ac:dyDescent="0.2">
      <c r="G140" s="2837"/>
      <c r="H140" s="2837"/>
      <c r="I140" s="2837"/>
      <c r="J140" s="2837"/>
      <c r="K140" s="2835"/>
      <c r="L140" s="2835"/>
      <c r="M140" s="2838"/>
      <c r="N140" s="2838"/>
      <c r="O140" s="2838"/>
      <c r="P140" s="2834"/>
      <c r="S140" s="2919"/>
      <c r="T140" s="2915"/>
      <c r="U140" s="2915"/>
      <c r="V140" s="2920"/>
      <c r="W140" s="2920"/>
      <c r="X140" s="2920"/>
      <c r="Y140" s="2920"/>
      <c r="Z140" s="2916"/>
      <c r="AA140" s="2916"/>
      <c r="AB140" s="2921"/>
      <c r="AC140" s="2921"/>
      <c r="AD140" s="2921"/>
      <c r="AE140" s="2915"/>
      <c r="AF140" s="2918"/>
    </row>
    <row r="141" spans="7:32" ht="14.25" hidden="1" customHeight="1" x14ac:dyDescent="0.2">
      <c r="G141" s="2834" t="e">
        <f>_Calcs_Klasse!#REF!</f>
        <v>#REF!</v>
      </c>
      <c r="H141" s="2834"/>
      <c r="I141" s="2834"/>
      <c r="J141" s="2834"/>
      <c r="K141" s="2835"/>
      <c r="L141" s="2835"/>
      <c r="M141" s="2836"/>
      <c r="N141" s="2836"/>
      <c r="O141" s="2836"/>
      <c r="P141" s="2834" t="s">
        <v>78</v>
      </c>
      <c r="S141" s="2914"/>
      <c r="T141" s="3244"/>
      <c r="U141" s="3244"/>
      <c r="V141" s="2915" t="e">
        <f>_Calcs_Klasse!#REF!</f>
        <v>#REF!</v>
      </c>
      <c r="W141" s="2915"/>
      <c r="X141" s="2915"/>
      <c r="Y141" s="2915"/>
      <c r="Z141" s="2916"/>
      <c r="AA141" s="2916"/>
      <c r="AB141" s="2917"/>
      <c r="AC141" s="2917"/>
      <c r="AD141" s="2917"/>
      <c r="AE141" s="2915" t="s">
        <v>78</v>
      </c>
      <c r="AF141" s="2918"/>
    </row>
    <row r="142" spans="7:32" ht="14.25" hidden="1" customHeight="1" thickBot="1" x14ac:dyDescent="0.25">
      <c r="G142" s="2839"/>
      <c r="H142" s="2839"/>
      <c r="I142" s="2839"/>
      <c r="J142" s="2839"/>
      <c r="K142" s="2839"/>
      <c r="L142" s="2839"/>
      <c r="M142" s="2839"/>
      <c r="N142" s="2839"/>
      <c r="O142" s="2839"/>
      <c r="P142" s="2839"/>
      <c r="S142" s="2908"/>
      <c r="T142" s="2922"/>
      <c r="U142" s="2922"/>
      <c r="V142" s="2922"/>
      <c r="W142" s="2922"/>
      <c r="X142" s="2922"/>
      <c r="Y142" s="2922"/>
      <c r="Z142" s="2922"/>
      <c r="AA142" s="2922"/>
      <c r="AB142" s="2922"/>
      <c r="AC142" s="2922"/>
      <c r="AD142" s="2922"/>
      <c r="AE142" s="2922"/>
      <c r="AF142" s="2909"/>
    </row>
    <row r="143" spans="7:32" ht="14.25" hidden="1" customHeight="1" thickBot="1" x14ac:dyDescent="0.25">
      <c r="G143" s="21"/>
      <c r="H143" s="21"/>
      <c r="I143" s="21"/>
      <c r="J143" s="21"/>
      <c r="K143" s="16"/>
      <c r="L143" s="16"/>
      <c r="M143" s="19"/>
      <c r="N143" s="19"/>
      <c r="O143" s="19"/>
      <c r="P143" s="15"/>
      <c r="S143" s="15"/>
      <c r="T143" s="15"/>
      <c r="U143" s="15"/>
      <c r="V143" s="21"/>
      <c r="W143" s="21"/>
      <c r="X143" s="21"/>
      <c r="Y143" s="21"/>
      <c r="Z143" s="16"/>
      <c r="AA143" s="16"/>
      <c r="AB143" s="19"/>
      <c r="AC143" s="19"/>
      <c r="AD143" s="19"/>
      <c r="AE143" s="15"/>
      <c r="AF143" s="15"/>
    </row>
    <row r="144" spans="7:32" ht="14.25" hidden="1" customHeight="1" x14ac:dyDescent="0.2">
      <c r="G144" s="7073" t="e">
        <f>_Calcs_Klasse!#REF!</f>
        <v>#REF!</v>
      </c>
      <c r="H144" s="7073"/>
      <c r="I144" s="7073"/>
      <c r="J144" s="7073"/>
      <c r="K144" s="7073"/>
      <c r="L144" s="7073"/>
      <c r="M144" s="7073"/>
      <c r="N144" s="7073"/>
      <c r="O144" s="7073"/>
      <c r="P144" s="7073"/>
      <c r="S144" s="7073"/>
      <c r="T144" s="7073"/>
      <c r="U144" s="7073"/>
      <c r="V144" s="7073" t="e">
        <f>_Calcs_Klasse!#REF!</f>
        <v>#REF!</v>
      </c>
      <c r="W144" s="7073"/>
      <c r="X144" s="7073"/>
      <c r="Y144" s="7073"/>
      <c r="Z144" s="7073"/>
      <c r="AA144" s="7073"/>
      <c r="AB144" s="7073"/>
      <c r="AC144" s="7073"/>
      <c r="AD144" s="7073"/>
      <c r="AE144" s="7073"/>
      <c r="AF144" s="7073"/>
    </row>
    <row r="145" spans="7:47" ht="14.25" hidden="1" customHeight="1" thickBot="1" x14ac:dyDescent="0.25">
      <c r="G145" s="7074"/>
      <c r="H145" s="7074"/>
      <c r="I145" s="7074"/>
      <c r="J145" s="7074"/>
      <c r="K145" s="7074"/>
      <c r="L145" s="7074"/>
      <c r="M145" s="7074"/>
      <c r="N145" s="7074"/>
      <c r="O145" s="7074"/>
      <c r="P145" s="7074"/>
      <c r="S145" s="7074"/>
      <c r="T145" s="7074"/>
      <c r="U145" s="7074"/>
      <c r="V145" s="7074"/>
      <c r="W145" s="7074"/>
      <c r="X145" s="7074"/>
      <c r="Y145" s="7074"/>
      <c r="Z145" s="7074"/>
      <c r="AA145" s="7074"/>
      <c r="AB145" s="7074"/>
      <c r="AC145" s="7074"/>
      <c r="AD145" s="7074"/>
      <c r="AE145" s="7074"/>
      <c r="AF145" s="7074"/>
    </row>
    <row r="146" spans="7:47" ht="14.25" hidden="1" customHeight="1" thickBot="1" x14ac:dyDescent="0.25">
      <c r="G146" s="129"/>
      <c r="H146" s="129"/>
      <c r="I146" s="129"/>
      <c r="J146" s="129"/>
      <c r="K146" s="16"/>
      <c r="L146" s="16"/>
      <c r="M146" s="19"/>
      <c r="N146" s="19"/>
      <c r="O146" s="19"/>
      <c r="P146" s="15"/>
      <c r="S146" s="17"/>
      <c r="T146" s="17"/>
      <c r="U146" s="17"/>
      <c r="V146" s="129"/>
      <c r="W146" s="129"/>
      <c r="X146" s="129"/>
      <c r="Y146" s="129"/>
      <c r="Z146" s="16"/>
      <c r="AA146" s="16"/>
      <c r="AB146" s="19"/>
      <c r="AC146" s="19"/>
      <c r="AD146" s="19"/>
      <c r="AE146" s="15"/>
      <c r="AF146" s="15"/>
    </row>
    <row r="147" spans="7:47" ht="14.25" hidden="1" customHeight="1" x14ac:dyDescent="0.2">
      <c r="G147" s="2872"/>
      <c r="H147" s="2872"/>
      <c r="I147" s="2872"/>
      <c r="J147" s="2872"/>
      <c r="K147" s="2873"/>
      <c r="L147" s="2873"/>
      <c r="M147" s="2874"/>
      <c r="N147" s="2874"/>
      <c r="O147" s="2874"/>
      <c r="P147" s="2875"/>
      <c r="S147" s="2951"/>
      <c r="T147" s="2958"/>
      <c r="U147" s="2958"/>
      <c r="V147" s="2955"/>
      <c r="W147" s="2955"/>
      <c r="X147" s="2955"/>
      <c r="Y147" s="2955"/>
      <c r="Z147" s="2956"/>
      <c r="AA147" s="2956"/>
      <c r="AB147" s="2957"/>
      <c r="AC147" s="2957"/>
      <c r="AD147" s="2957"/>
      <c r="AE147" s="2958"/>
      <c r="AF147" s="2952"/>
    </row>
    <row r="148" spans="7:47" ht="14.25" hidden="1" customHeight="1" x14ac:dyDescent="0.2">
      <c r="G148" s="2876" t="e">
        <f>_Calcs_Klasse!#REF!</f>
        <v>#REF!</v>
      </c>
      <c r="H148" s="2876"/>
      <c r="I148" s="2876"/>
      <c r="J148" s="2876"/>
      <c r="K148" s="2877"/>
      <c r="L148" s="2877"/>
      <c r="M148" s="2878"/>
      <c r="N148" s="2878"/>
      <c r="O148" s="2878"/>
      <c r="P148" s="2876" t="s">
        <v>78</v>
      </c>
      <c r="S148" s="2959"/>
      <c r="T148" s="3245"/>
      <c r="U148" s="3245"/>
      <c r="V148" s="2960" t="e">
        <f>_Calcs_Klasse!#REF!</f>
        <v>#REF!</v>
      </c>
      <c r="W148" s="2960"/>
      <c r="X148" s="2960"/>
      <c r="Y148" s="2960"/>
      <c r="Z148" s="2961"/>
      <c r="AA148" s="2961"/>
      <c r="AB148" s="2962"/>
      <c r="AC148" s="2962"/>
      <c r="AD148" s="2962"/>
      <c r="AE148" s="2960" t="s">
        <v>78</v>
      </c>
      <c r="AF148" s="2963"/>
    </row>
    <row r="149" spans="7:47" ht="14.25" hidden="1" customHeight="1" thickBot="1" x14ac:dyDescent="0.25">
      <c r="G149" s="2879"/>
      <c r="H149" s="2879"/>
      <c r="I149" s="2879"/>
      <c r="J149" s="2879"/>
      <c r="K149" s="2879"/>
      <c r="L149" s="2879"/>
      <c r="M149" s="2879"/>
      <c r="N149" s="2879"/>
      <c r="O149" s="2879"/>
      <c r="P149" s="2879"/>
      <c r="S149" s="2953"/>
      <c r="T149" s="2964"/>
      <c r="U149" s="2964"/>
      <c r="V149" s="2964"/>
      <c r="W149" s="2964"/>
      <c r="X149" s="2964"/>
      <c r="Y149" s="2964"/>
      <c r="Z149" s="2964"/>
      <c r="AA149" s="2964"/>
      <c r="AB149" s="2964"/>
      <c r="AC149" s="2964"/>
      <c r="AD149" s="2964"/>
      <c r="AE149" s="2964"/>
      <c r="AF149" s="2954"/>
    </row>
    <row r="150" spans="7:47" ht="14.25" hidden="1" customHeight="1" thickBot="1" x14ac:dyDescent="0.25">
      <c r="G150" s="21"/>
      <c r="H150" s="21"/>
      <c r="I150" s="21"/>
      <c r="J150" s="21"/>
      <c r="K150" s="16"/>
      <c r="L150" s="16"/>
      <c r="M150" s="19"/>
      <c r="N150" s="19"/>
      <c r="O150" s="19"/>
      <c r="P150" s="15"/>
      <c r="S150" s="15"/>
      <c r="T150" s="15"/>
      <c r="U150" s="15"/>
      <c r="V150" s="21"/>
      <c r="W150" s="21"/>
      <c r="X150" s="21"/>
      <c r="Y150" s="21"/>
      <c r="Z150" s="16"/>
      <c r="AA150" s="16"/>
      <c r="AB150" s="19"/>
      <c r="AC150" s="19"/>
      <c r="AD150" s="19"/>
      <c r="AE150" s="15"/>
      <c r="AF150" s="15"/>
    </row>
    <row r="151" spans="7:47" ht="14.25" hidden="1" customHeight="1" x14ac:dyDescent="0.2">
      <c r="G151" s="7075" t="e">
        <f>_Calcs_Klasse!#REF!</f>
        <v>#REF!</v>
      </c>
      <c r="H151" s="7075"/>
      <c r="I151" s="7075"/>
      <c r="J151" s="7075"/>
      <c r="K151" s="7075"/>
      <c r="L151" s="7075"/>
      <c r="M151" s="7075"/>
      <c r="N151" s="7075"/>
      <c r="O151" s="7075"/>
      <c r="P151" s="7075"/>
      <c r="S151" s="7075"/>
      <c r="T151" s="7075"/>
      <c r="U151" s="7075"/>
      <c r="V151" s="7075" t="e">
        <f>_Calcs_Klasse!#REF!</f>
        <v>#REF!</v>
      </c>
      <c r="W151" s="7075"/>
      <c r="X151" s="7075"/>
      <c r="Y151" s="7075"/>
      <c r="Z151" s="7075"/>
      <c r="AA151" s="7075"/>
      <c r="AB151" s="7075"/>
      <c r="AC151" s="7075"/>
      <c r="AD151" s="7075"/>
      <c r="AE151" s="7075"/>
      <c r="AF151" s="7075"/>
      <c r="AJ151" s="2840"/>
      <c r="AK151" s="7180" t="e">
        <f>_Calcs_Klasse!#REF!</f>
        <v>#REF!</v>
      </c>
      <c r="AL151" s="7180"/>
      <c r="AM151" s="7180"/>
      <c r="AN151" s="7180"/>
      <c r="AO151" s="7180"/>
      <c r="AP151" s="7180"/>
      <c r="AQ151" s="7180"/>
      <c r="AR151" s="7180"/>
      <c r="AS151" s="7180"/>
      <c r="AT151" s="7180"/>
      <c r="AU151" s="2841"/>
    </row>
    <row r="152" spans="7:47" ht="14.25" hidden="1" customHeight="1" thickBot="1" x14ac:dyDescent="0.25">
      <c r="G152" s="7076"/>
      <c r="H152" s="7076"/>
      <c r="I152" s="7076"/>
      <c r="J152" s="7076"/>
      <c r="K152" s="7076"/>
      <c r="L152" s="7076"/>
      <c r="M152" s="7076"/>
      <c r="N152" s="7076"/>
      <c r="O152" s="7076"/>
      <c r="P152" s="7076"/>
      <c r="S152" s="7076"/>
      <c r="T152" s="7076"/>
      <c r="U152" s="7076"/>
      <c r="V152" s="7076"/>
      <c r="W152" s="7076"/>
      <c r="X152" s="7076"/>
      <c r="Y152" s="7076"/>
      <c r="Z152" s="7076"/>
      <c r="AA152" s="7076"/>
      <c r="AB152" s="7076"/>
      <c r="AC152" s="7076"/>
      <c r="AD152" s="7076"/>
      <c r="AE152" s="7076"/>
      <c r="AF152" s="7076"/>
      <c r="AJ152" s="2842"/>
      <c r="AK152" s="7181"/>
      <c r="AL152" s="7181"/>
      <c r="AM152" s="7181"/>
      <c r="AN152" s="7181"/>
      <c r="AO152" s="7181"/>
      <c r="AP152" s="7181"/>
      <c r="AQ152" s="7181"/>
      <c r="AR152" s="7181"/>
      <c r="AS152" s="7181"/>
      <c r="AT152" s="7181"/>
      <c r="AU152" s="2843"/>
    </row>
    <row r="153" spans="7:47" ht="14.25" hidden="1" customHeight="1" thickBot="1" x14ac:dyDescent="0.25">
      <c r="G153" s="129"/>
      <c r="H153" s="129"/>
      <c r="I153" s="129"/>
      <c r="J153" s="129"/>
      <c r="K153" s="16"/>
      <c r="L153" s="16"/>
      <c r="M153" s="19"/>
      <c r="N153" s="19"/>
      <c r="O153" s="19"/>
      <c r="P153" s="15"/>
      <c r="S153" s="17"/>
      <c r="T153" s="17"/>
      <c r="U153" s="17"/>
      <c r="V153" s="129"/>
      <c r="W153" s="129"/>
      <c r="X153" s="129"/>
      <c r="Y153" s="129"/>
      <c r="Z153" s="16"/>
      <c r="AA153" s="16"/>
      <c r="AB153" s="19"/>
      <c r="AC153" s="19"/>
      <c r="AD153" s="19"/>
      <c r="AE153" s="15"/>
      <c r="AF153" s="15"/>
      <c r="AJ153" s="17"/>
      <c r="AK153" s="129"/>
      <c r="AL153" s="129"/>
      <c r="AM153" s="129"/>
      <c r="AN153" s="129"/>
      <c r="AO153" s="16"/>
      <c r="AP153" s="16"/>
      <c r="AQ153" s="19"/>
      <c r="AR153" s="19"/>
      <c r="AS153" s="19"/>
      <c r="AT153" s="15"/>
      <c r="AU153" s="15"/>
    </row>
    <row r="154" spans="7:47" ht="14.25" hidden="1" customHeight="1" x14ac:dyDescent="0.2">
      <c r="G154" s="2880"/>
      <c r="H154" s="2880"/>
      <c r="I154" s="2880"/>
      <c r="J154" s="2880"/>
      <c r="K154" s="2881"/>
      <c r="L154" s="2881"/>
      <c r="M154" s="2882"/>
      <c r="N154" s="2882"/>
      <c r="O154" s="2882"/>
      <c r="P154" s="2883"/>
      <c r="S154" s="2880"/>
      <c r="T154" s="2880"/>
      <c r="U154" s="2880"/>
      <c r="V154" s="2880"/>
      <c r="W154" s="2880"/>
      <c r="X154" s="2880"/>
      <c r="Y154" s="2881"/>
      <c r="Z154" s="2881"/>
      <c r="AA154" s="2882"/>
      <c r="AB154" s="2882"/>
      <c r="AC154" s="2882"/>
      <c r="AD154" s="2883"/>
      <c r="AE154" s="2880"/>
      <c r="AF154" s="2880"/>
      <c r="AJ154" s="2840"/>
      <c r="AK154" s="2923"/>
      <c r="AL154" s="2923"/>
      <c r="AM154" s="2923"/>
      <c r="AN154" s="2923"/>
      <c r="AO154" s="2924"/>
      <c r="AP154" s="2924"/>
      <c r="AQ154" s="2925"/>
      <c r="AR154" s="2925"/>
      <c r="AS154" s="2925"/>
      <c r="AT154" s="2926"/>
      <c r="AU154" s="2841"/>
    </row>
    <row r="155" spans="7:47" ht="14.25" hidden="1" x14ac:dyDescent="0.2">
      <c r="G155" s="2884" t="e">
        <f>_Calcs_Klasse!#REF!</f>
        <v>#REF!</v>
      </c>
      <c r="H155" s="2884"/>
      <c r="I155" s="2884"/>
      <c r="J155" s="2884"/>
      <c r="K155" s="2885"/>
      <c r="L155" s="2885"/>
      <c r="M155" s="2886"/>
      <c r="N155" s="2886"/>
      <c r="O155" s="2886"/>
      <c r="P155" s="2884" t="s">
        <v>78</v>
      </c>
      <c r="S155" s="2884"/>
      <c r="T155" s="2884"/>
      <c r="U155" s="2884"/>
      <c r="V155" s="2884" t="e">
        <f>_Calcs_Klasse!#REF!</f>
        <v>#REF!</v>
      </c>
      <c r="W155" s="2884"/>
      <c r="X155" s="2884"/>
      <c r="Y155" s="2885"/>
      <c r="Z155" s="2885"/>
      <c r="AA155" s="2886"/>
      <c r="AB155" s="2886"/>
      <c r="AC155" s="2886"/>
      <c r="AD155" s="2884"/>
      <c r="AE155" s="2884" t="s">
        <v>78</v>
      </c>
      <c r="AF155" s="2884"/>
      <c r="AJ155" s="2927"/>
      <c r="AK155" s="2928" t="e">
        <f>_Calcs_Klasse!#REF!</f>
        <v>#REF!</v>
      </c>
      <c r="AL155" s="2928"/>
      <c r="AM155" s="2928"/>
      <c r="AN155" s="2928"/>
      <c r="AO155" s="2929"/>
      <c r="AP155" s="2929"/>
      <c r="AQ155" s="2930"/>
      <c r="AR155" s="2930"/>
      <c r="AS155" s="2930"/>
      <c r="AT155" s="2928" t="s">
        <v>78</v>
      </c>
      <c r="AU155" s="2931"/>
    </row>
    <row r="156" spans="7:47" ht="14.25" hidden="1" customHeight="1" thickBot="1" x14ac:dyDescent="0.25">
      <c r="G156" s="2887"/>
      <c r="H156" s="2887"/>
      <c r="I156" s="2887"/>
      <c r="J156" s="2887"/>
      <c r="K156" s="2887"/>
      <c r="L156" s="2887"/>
      <c r="M156" s="2887"/>
      <c r="N156" s="2887"/>
      <c r="O156" s="2887"/>
      <c r="P156" s="2887"/>
      <c r="S156" s="2887"/>
      <c r="T156" s="2887"/>
      <c r="U156" s="2887"/>
      <c r="V156" s="2887"/>
      <c r="W156" s="2887"/>
      <c r="X156" s="2887"/>
      <c r="Y156" s="2887"/>
      <c r="Z156" s="2887"/>
      <c r="AA156" s="2887"/>
      <c r="AB156" s="2887"/>
      <c r="AC156" s="2887"/>
      <c r="AD156" s="2887"/>
      <c r="AE156" s="2887"/>
      <c r="AF156" s="2887"/>
      <c r="AJ156" s="2842"/>
      <c r="AK156" s="2932"/>
      <c r="AL156" s="2932"/>
      <c r="AM156" s="2932"/>
      <c r="AN156" s="2932"/>
      <c r="AO156" s="2932"/>
      <c r="AP156" s="2932"/>
      <c r="AQ156" s="2932"/>
      <c r="AR156" s="2932"/>
      <c r="AS156" s="2932"/>
      <c r="AT156" s="2932"/>
      <c r="AU156" s="2843"/>
    </row>
    <row r="157" spans="7:47" ht="14.25" hidden="1" customHeight="1" thickBot="1" x14ac:dyDescent="0.25">
      <c r="G157" s="15"/>
      <c r="H157" s="15"/>
      <c r="I157" s="15"/>
      <c r="J157" s="15"/>
      <c r="K157" s="16"/>
      <c r="L157" s="16"/>
      <c r="M157" s="50"/>
      <c r="N157" s="50"/>
      <c r="O157" s="50"/>
      <c r="P157" s="15"/>
      <c r="S157" s="14"/>
      <c r="T157" s="14"/>
      <c r="U157" s="14"/>
      <c r="V157" s="15"/>
      <c r="W157" s="15"/>
      <c r="X157" s="15"/>
      <c r="Y157" s="15"/>
      <c r="Z157" s="16"/>
      <c r="AA157" s="16"/>
      <c r="AB157" s="50"/>
      <c r="AC157" s="50"/>
      <c r="AD157" s="50"/>
      <c r="AE157" s="15"/>
      <c r="AF157" s="15"/>
    </row>
    <row r="158" spans="7:47" ht="14.25" hidden="1" customHeight="1" x14ac:dyDescent="0.2">
      <c r="G158" s="7077" t="e">
        <f>_Calcs_Klasse!#REF!</f>
        <v>#REF!</v>
      </c>
      <c r="H158" s="7077"/>
      <c r="I158" s="7077"/>
      <c r="J158" s="7077"/>
      <c r="K158" s="7077"/>
      <c r="L158" s="7077"/>
      <c r="M158" s="7077"/>
      <c r="N158" s="7077"/>
      <c r="O158" s="7077"/>
      <c r="P158" s="7077"/>
      <c r="S158" s="2933"/>
      <c r="T158" s="2940"/>
      <c r="U158" s="2940"/>
      <c r="V158" s="7069" t="e">
        <f>_Calcs_Klasse!#REF!</f>
        <v>#REF!</v>
      </c>
      <c r="W158" s="7069"/>
      <c r="X158" s="7069"/>
      <c r="Y158" s="7069"/>
      <c r="Z158" s="7069"/>
      <c r="AA158" s="7069"/>
      <c r="AB158" s="7069"/>
      <c r="AC158" s="7069"/>
      <c r="AD158" s="7069"/>
      <c r="AE158" s="7069"/>
      <c r="AF158" s="2934"/>
    </row>
    <row r="159" spans="7:47" ht="14.25" hidden="1" customHeight="1" thickBot="1" x14ac:dyDescent="0.25">
      <c r="G159" s="7078"/>
      <c r="H159" s="7078"/>
      <c r="I159" s="7078"/>
      <c r="J159" s="7078"/>
      <c r="K159" s="7078"/>
      <c r="L159" s="7078"/>
      <c r="M159" s="7078"/>
      <c r="N159" s="7078"/>
      <c r="O159" s="7078"/>
      <c r="P159" s="7078"/>
      <c r="S159" s="2935"/>
      <c r="T159" s="2949"/>
      <c r="U159" s="2949"/>
      <c r="V159" s="7070"/>
      <c r="W159" s="7070"/>
      <c r="X159" s="7070"/>
      <c r="Y159" s="7070"/>
      <c r="Z159" s="7070"/>
      <c r="AA159" s="7070"/>
      <c r="AB159" s="7070"/>
      <c r="AC159" s="7070"/>
      <c r="AD159" s="7070"/>
      <c r="AE159" s="7070"/>
      <c r="AF159" s="2936"/>
    </row>
    <row r="160" spans="7:47" ht="14.25" hidden="1" customHeight="1" thickBot="1" x14ac:dyDescent="0.25">
      <c r="G160" s="129"/>
      <c r="H160" s="129"/>
      <c r="I160" s="129"/>
      <c r="J160" s="129"/>
      <c r="K160" s="16"/>
      <c r="L160" s="16"/>
      <c r="M160" s="19"/>
      <c r="N160" s="19"/>
      <c r="O160" s="19"/>
      <c r="P160" s="15"/>
      <c r="S160" s="17"/>
      <c r="T160" s="17"/>
      <c r="U160" s="17"/>
      <c r="V160" s="129"/>
      <c r="W160" s="129"/>
      <c r="X160" s="129"/>
      <c r="Y160" s="129"/>
      <c r="Z160" s="16"/>
      <c r="AA160" s="16"/>
      <c r="AB160" s="19"/>
      <c r="AC160" s="19"/>
      <c r="AD160" s="19"/>
      <c r="AE160" s="15"/>
      <c r="AF160" s="15"/>
    </row>
    <row r="161" spans="7:32" ht="14.25" hidden="1" customHeight="1" x14ac:dyDescent="0.2">
      <c r="G161" s="2888"/>
      <c r="H161" s="2888"/>
      <c r="I161" s="2888"/>
      <c r="J161" s="2888"/>
      <c r="K161" s="2889"/>
      <c r="L161" s="2889"/>
      <c r="M161" s="2890"/>
      <c r="N161" s="2890"/>
      <c r="O161" s="2890"/>
      <c r="P161" s="2891"/>
      <c r="S161" s="2933"/>
      <c r="T161" s="2940"/>
      <c r="U161" s="2940"/>
      <c r="V161" s="2937"/>
      <c r="W161" s="2937"/>
      <c r="X161" s="2937"/>
      <c r="Y161" s="2937"/>
      <c r="Z161" s="2938"/>
      <c r="AA161" s="2938"/>
      <c r="AB161" s="2939"/>
      <c r="AC161" s="2939"/>
      <c r="AD161" s="2939"/>
      <c r="AE161" s="2940"/>
      <c r="AF161" s="2934"/>
    </row>
    <row r="162" spans="7:32" ht="14.25" hidden="1" customHeight="1" x14ac:dyDescent="0.2">
      <c r="G162" s="2892" t="e">
        <f>_Calcs_Klasse!#REF!</f>
        <v>#REF!</v>
      </c>
      <c r="H162" s="2892"/>
      <c r="I162" s="2892"/>
      <c r="J162" s="2892"/>
      <c r="K162" s="2893"/>
      <c r="L162" s="2893"/>
      <c r="M162" s="2894"/>
      <c r="N162" s="2894"/>
      <c r="O162" s="2894"/>
      <c r="P162" s="2892" t="s">
        <v>78</v>
      </c>
      <c r="S162" s="2941"/>
      <c r="T162" s="3246"/>
      <c r="U162" s="3246"/>
      <c r="V162" s="2942" t="e">
        <f>_Calcs_Klasse!#REF!</f>
        <v>#REF!</v>
      </c>
      <c r="W162" s="2942"/>
      <c r="X162" s="2942"/>
      <c r="Y162" s="2942"/>
      <c r="Z162" s="2943"/>
      <c r="AA162" s="2943"/>
      <c r="AB162" s="2944"/>
      <c r="AC162" s="2944"/>
      <c r="AD162" s="2944"/>
      <c r="AE162" s="2942" t="s">
        <v>78</v>
      </c>
      <c r="AF162" s="2945"/>
    </row>
    <row r="163" spans="7:32" ht="14.25" hidden="1" customHeight="1" x14ac:dyDescent="0.2">
      <c r="G163" s="2895"/>
      <c r="H163" s="2895"/>
      <c r="I163" s="2895"/>
      <c r="J163" s="2895"/>
      <c r="K163" s="2893"/>
      <c r="L163" s="2893"/>
      <c r="M163" s="2896"/>
      <c r="N163" s="2896"/>
      <c r="O163" s="2896"/>
      <c r="P163" s="2892"/>
      <c r="S163" s="2946"/>
      <c r="T163" s="2942"/>
      <c r="U163" s="2942"/>
      <c r="V163" s="2947"/>
      <c r="W163" s="2947"/>
      <c r="X163" s="2947"/>
      <c r="Y163" s="2947"/>
      <c r="Z163" s="2943"/>
      <c r="AA163" s="2943"/>
      <c r="AB163" s="2948"/>
      <c r="AC163" s="2948"/>
      <c r="AD163" s="2948"/>
      <c r="AE163" s="2942"/>
      <c r="AF163" s="2945"/>
    </row>
    <row r="164" spans="7:32" ht="14.25" hidden="1" customHeight="1" x14ac:dyDescent="0.2">
      <c r="G164" s="2892" t="e">
        <f>_Calcs_Klasse!#REF!</f>
        <v>#REF!</v>
      </c>
      <c r="H164" s="2892"/>
      <c r="I164" s="2892"/>
      <c r="J164" s="2892"/>
      <c r="K164" s="2893"/>
      <c r="L164" s="2893"/>
      <c r="M164" s="2894"/>
      <c r="N164" s="2894"/>
      <c r="O164" s="2894"/>
      <c r="P164" s="2892" t="s">
        <v>78</v>
      </c>
      <c r="S164" s="2941"/>
      <c r="T164" s="3246"/>
      <c r="U164" s="3246"/>
      <c r="V164" s="2942" t="e">
        <f>_Calcs_Klasse!#REF!</f>
        <v>#REF!</v>
      </c>
      <c r="W164" s="2942"/>
      <c r="X164" s="2942"/>
      <c r="Y164" s="2942"/>
      <c r="Z164" s="2943"/>
      <c r="AA164" s="2943"/>
      <c r="AB164" s="2944"/>
      <c r="AC164" s="2944"/>
      <c r="AD164" s="2944"/>
      <c r="AE164" s="2942" t="s">
        <v>78</v>
      </c>
      <c r="AF164" s="2945"/>
    </row>
    <row r="165" spans="7:32" ht="14.25" hidden="1" customHeight="1" thickBot="1" x14ac:dyDescent="0.25">
      <c r="G165" s="2897"/>
      <c r="H165" s="2897"/>
      <c r="I165" s="2897"/>
      <c r="J165" s="2897"/>
      <c r="K165" s="2897"/>
      <c r="L165" s="2897"/>
      <c r="M165" s="2897"/>
      <c r="N165" s="2897"/>
      <c r="O165" s="2897"/>
      <c r="P165" s="2897"/>
      <c r="S165" s="2935"/>
      <c r="T165" s="2949"/>
      <c r="U165" s="2949"/>
      <c r="V165" s="2949"/>
      <c r="W165" s="2949"/>
      <c r="X165" s="2949"/>
      <c r="Y165" s="2949"/>
      <c r="Z165" s="2949"/>
      <c r="AA165" s="2949"/>
      <c r="AB165" s="2949"/>
      <c r="AC165" s="2949"/>
      <c r="AD165" s="2949"/>
      <c r="AE165" s="2949"/>
      <c r="AF165" s="2950"/>
    </row>
    <row r="166" spans="7:32" ht="14.25" hidden="1" customHeight="1" thickBot="1" x14ac:dyDescent="0.25">
      <c r="G166" s="21"/>
      <c r="H166" s="21"/>
      <c r="I166" s="21"/>
      <c r="J166" s="21"/>
      <c r="K166" s="16"/>
      <c r="L166" s="16"/>
      <c r="M166" s="19"/>
      <c r="N166" s="19"/>
      <c r="O166" s="19"/>
      <c r="P166" s="15"/>
      <c r="S166" s="15"/>
      <c r="T166" s="15"/>
      <c r="U166" s="15"/>
      <c r="V166" s="21"/>
      <c r="W166" s="21"/>
      <c r="X166" s="21"/>
      <c r="Y166" s="21"/>
      <c r="Z166" s="16"/>
      <c r="AA166" s="16"/>
      <c r="AB166" s="19"/>
      <c r="AC166" s="19"/>
      <c r="AD166" s="19"/>
      <c r="AE166" s="15"/>
      <c r="AF166" s="15"/>
    </row>
    <row r="167" spans="7:32" ht="14.25" hidden="1" customHeight="1" x14ac:dyDescent="0.2">
      <c r="G167" s="7079" t="e">
        <f>_Calcs_Klasse!#REF!</f>
        <v>#REF!</v>
      </c>
      <c r="H167" s="7079"/>
      <c r="I167" s="7079"/>
      <c r="J167" s="7079"/>
      <c r="K167" s="7079"/>
      <c r="L167" s="7079"/>
      <c r="M167" s="7079"/>
      <c r="N167" s="7079"/>
      <c r="O167" s="7079"/>
      <c r="P167" s="7079"/>
      <c r="S167" s="2844"/>
      <c r="T167" s="2851"/>
      <c r="U167" s="2851"/>
      <c r="V167" s="7065" t="e">
        <f>_Calcs_Klasse!#REF!</f>
        <v>#REF!</v>
      </c>
      <c r="W167" s="7065"/>
      <c r="X167" s="7065"/>
      <c r="Y167" s="7065"/>
      <c r="Z167" s="7065"/>
      <c r="AA167" s="7065"/>
      <c r="AB167" s="7065"/>
      <c r="AC167" s="7065"/>
      <c r="AD167" s="7065"/>
      <c r="AE167" s="7065"/>
      <c r="AF167" s="2845"/>
    </row>
    <row r="168" spans="7:32" ht="14.25" hidden="1" customHeight="1" thickBot="1" x14ac:dyDescent="0.25">
      <c r="G168" s="7080"/>
      <c r="H168" s="7080"/>
      <c r="I168" s="7080"/>
      <c r="J168" s="7080"/>
      <c r="K168" s="7080"/>
      <c r="L168" s="7080"/>
      <c r="M168" s="7080"/>
      <c r="N168" s="7080"/>
      <c r="O168" s="7080"/>
      <c r="P168" s="7080"/>
      <c r="S168" s="2846"/>
      <c r="T168" s="2857"/>
      <c r="U168" s="2857"/>
      <c r="V168" s="7066"/>
      <c r="W168" s="7066"/>
      <c r="X168" s="7066"/>
      <c r="Y168" s="7066"/>
      <c r="Z168" s="7066"/>
      <c r="AA168" s="7066"/>
      <c r="AB168" s="7066"/>
      <c r="AC168" s="7066"/>
      <c r="AD168" s="7066"/>
      <c r="AE168" s="7066"/>
      <c r="AF168" s="2847"/>
    </row>
    <row r="169" spans="7:32" ht="14.25" hidden="1" customHeight="1" thickBot="1" x14ac:dyDescent="0.25">
      <c r="G169" s="129"/>
      <c r="H169" s="129"/>
      <c r="I169" s="129"/>
      <c r="J169" s="129"/>
      <c r="K169" s="16"/>
      <c r="L169" s="16"/>
      <c r="M169" s="19"/>
      <c r="N169" s="19"/>
      <c r="O169" s="19"/>
      <c r="P169" s="15"/>
      <c r="S169" s="17"/>
      <c r="T169" s="17"/>
      <c r="U169" s="17"/>
      <c r="V169" s="129"/>
      <c r="W169" s="129"/>
      <c r="X169" s="129"/>
      <c r="Y169" s="129"/>
      <c r="Z169" s="16"/>
      <c r="AA169" s="16"/>
      <c r="AB169" s="19"/>
      <c r="AC169" s="19"/>
      <c r="AD169" s="19"/>
      <c r="AE169" s="15"/>
      <c r="AF169" s="15"/>
    </row>
    <row r="170" spans="7:32" ht="14.25" hidden="1" customHeight="1" x14ac:dyDescent="0.2">
      <c r="G170" s="2898"/>
      <c r="H170" s="2898"/>
      <c r="I170" s="2898"/>
      <c r="J170" s="2898"/>
      <c r="K170" s="2899"/>
      <c r="L170" s="2899"/>
      <c r="M170" s="2900"/>
      <c r="N170" s="2900"/>
      <c r="O170" s="2900"/>
      <c r="P170" s="2901"/>
      <c r="S170" s="2844"/>
      <c r="T170" s="2851"/>
      <c r="U170" s="2851"/>
      <c r="V170" s="2848"/>
      <c r="W170" s="2848"/>
      <c r="X170" s="2848"/>
      <c r="Y170" s="2848"/>
      <c r="Z170" s="2849"/>
      <c r="AA170" s="2849"/>
      <c r="AB170" s="2850"/>
      <c r="AC170" s="2850"/>
      <c r="AD170" s="2850"/>
      <c r="AE170" s="2851"/>
      <c r="AF170" s="2845"/>
    </row>
    <row r="171" spans="7:32" ht="14.25" hidden="1" customHeight="1" x14ac:dyDescent="0.2">
      <c r="G171" s="2902" t="e">
        <f>_Calcs_Klasse!#REF!</f>
        <v>#REF!</v>
      </c>
      <c r="H171" s="2902"/>
      <c r="I171" s="2902"/>
      <c r="J171" s="2902"/>
      <c r="K171" s="2903"/>
      <c r="L171" s="2903"/>
      <c r="M171" s="2904"/>
      <c r="N171" s="2904"/>
      <c r="O171" s="2904"/>
      <c r="P171" s="2902" t="s">
        <v>78</v>
      </c>
      <c r="S171" s="2852"/>
      <c r="T171" s="3247"/>
      <c r="U171" s="3247"/>
      <c r="V171" s="2853" t="e">
        <f>_Calcs_Klasse!#REF!</f>
        <v>#REF!</v>
      </c>
      <c r="W171" s="2853"/>
      <c r="X171" s="2853"/>
      <c r="Y171" s="2853"/>
      <c r="Z171" s="2854"/>
      <c r="AA171" s="2854"/>
      <c r="AB171" s="2855"/>
      <c r="AC171" s="2855"/>
      <c r="AD171" s="2855"/>
      <c r="AE171" s="2853" t="s">
        <v>78</v>
      </c>
      <c r="AF171" s="2856"/>
    </row>
    <row r="172" spans="7:32" ht="14.25" hidden="1" customHeight="1" thickBot="1" x14ac:dyDescent="0.25">
      <c r="G172" s="2905"/>
      <c r="H172" s="2905"/>
      <c r="I172" s="2905"/>
      <c r="J172" s="2905"/>
      <c r="K172" s="2905"/>
      <c r="L172" s="2905"/>
      <c r="M172" s="2905"/>
      <c r="N172" s="2905"/>
      <c r="O172" s="2905"/>
      <c r="P172" s="2905"/>
      <c r="S172" s="2846"/>
      <c r="T172" s="2857"/>
      <c r="U172" s="2857"/>
      <c r="V172" s="2857"/>
      <c r="W172" s="2857"/>
      <c r="X172" s="2857"/>
      <c r="Y172" s="2857"/>
      <c r="Z172" s="2857"/>
      <c r="AA172" s="2857"/>
      <c r="AB172" s="2857"/>
      <c r="AC172" s="2857"/>
      <c r="AD172" s="2857"/>
      <c r="AE172" s="2857"/>
      <c r="AF172" s="2847"/>
    </row>
    <row r="173" spans="7:32" ht="14.25" hidden="1" customHeight="1" thickBot="1" x14ac:dyDescent="0.25">
      <c r="G173" s="21"/>
      <c r="H173" s="21"/>
      <c r="I173" s="21"/>
      <c r="J173" s="21"/>
      <c r="K173" s="16"/>
      <c r="L173" s="16"/>
      <c r="M173" s="19"/>
      <c r="N173" s="19"/>
      <c r="O173" s="19"/>
      <c r="P173" s="15"/>
      <c r="S173" s="15"/>
      <c r="T173" s="15"/>
      <c r="U173" s="15"/>
      <c r="V173" s="21"/>
      <c r="W173" s="21"/>
      <c r="X173" s="21"/>
      <c r="Y173" s="21"/>
      <c r="Z173" s="16"/>
      <c r="AA173" s="16"/>
      <c r="AB173" s="19"/>
      <c r="AC173" s="19"/>
      <c r="AD173" s="19"/>
      <c r="AE173" s="15"/>
      <c r="AF173" s="15"/>
    </row>
    <row r="174" spans="7:32" ht="14.25" hidden="1" customHeight="1" x14ac:dyDescent="0.2">
      <c r="G174" s="7065" t="e">
        <f>_Calcs_Klasse!#REF!</f>
        <v>#REF!</v>
      </c>
      <c r="H174" s="7065"/>
      <c r="I174" s="7065"/>
      <c r="J174" s="7065"/>
      <c r="K174" s="7065"/>
      <c r="L174" s="7065"/>
      <c r="M174" s="7065"/>
      <c r="N174" s="7065"/>
      <c r="O174" s="7065"/>
      <c r="P174" s="7065"/>
      <c r="S174" s="2858"/>
      <c r="T174" s="2865"/>
      <c r="U174" s="2865"/>
      <c r="V174" s="7063" t="e">
        <f>_Calcs_Klasse!#REF!</f>
        <v>#REF!</v>
      </c>
      <c r="W174" s="7063"/>
      <c r="X174" s="7063"/>
      <c r="Y174" s="7063"/>
      <c r="Z174" s="7063"/>
      <c r="AA174" s="7063"/>
      <c r="AB174" s="7063"/>
      <c r="AC174" s="7063"/>
      <c r="AD174" s="7063"/>
      <c r="AE174" s="7063"/>
      <c r="AF174" s="2859"/>
    </row>
    <row r="175" spans="7:32" ht="14.25" hidden="1" customHeight="1" thickBot="1" x14ac:dyDescent="0.25">
      <c r="G175" s="7066"/>
      <c r="H175" s="7066"/>
      <c r="I175" s="7066"/>
      <c r="J175" s="7066"/>
      <c r="K175" s="7066"/>
      <c r="L175" s="7066"/>
      <c r="M175" s="7066"/>
      <c r="N175" s="7066"/>
      <c r="O175" s="7066"/>
      <c r="P175" s="7066"/>
      <c r="S175" s="2860"/>
      <c r="T175" s="2871"/>
      <c r="U175" s="2871"/>
      <c r="V175" s="7064"/>
      <c r="W175" s="7064"/>
      <c r="X175" s="7064"/>
      <c r="Y175" s="7064"/>
      <c r="Z175" s="7064"/>
      <c r="AA175" s="7064"/>
      <c r="AB175" s="7064"/>
      <c r="AC175" s="7064"/>
      <c r="AD175" s="7064"/>
      <c r="AE175" s="7064"/>
      <c r="AF175" s="2861"/>
    </row>
    <row r="176" spans="7:32" ht="14.25" hidden="1" customHeight="1" thickBot="1" x14ac:dyDescent="0.25">
      <c r="G176" s="129"/>
      <c r="H176" s="129"/>
      <c r="I176" s="129"/>
      <c r="J176" s="129"/>
      <c r="K176" s="16"/>
      <c r="L176" s="16"/>
      <c r="M176" s="19"/>
      <c r="N176" s="19"/>
      <c r="O176" s="19"/>
      <c r="P176" s="15"/>
      <c r="S176" s="17"/>
      <c r="T176" s="17"/>
      <c r="U176" s="17"/>
      <c r="V176" s="129"/>
      <c r="W176" s="129"/>
      <c r="X176" s="129"/>
      <c r="Y176" s="129"/>
      <c r="Z176" s="16"/>
      <c r="AA176" s="16"/>
      <c r="AB176" s="19"/>
      <c r="AC176" s="19"/>
      <c r="AD176" s="19"/>
      <c r="AE176" s="15"/>
      <c r="AF176" s="15"/>
    </row>
    <row r="177" spans="7:32" ht="14.25" hidden="1" customHeight="1" x14ac:dyDescent="0.2">
      <c r="G177" s="2848"/>
      <c r="H177" s="2848"/>
      <c r="I177" s="2848"/>
      <c r="J177" s="2848"/>
      <c r="K177" s="2849"/>
      <c r="L177" s="2849"/>
      <c r="M177" s="2850"/>
      <c r="N177" s="2850"/>
      <c r="O177" s="2850"/>
      <c r="P177" s="2851"/>
      <c r="S177" s="2858"/>
      <c r="T177" s="2865"/>
      <c r="U177" s="2865"/>
      <c r="V177" s="2862"/>
      <c r="W177" s="2862"/>
      <c r="X177" s="2862"/>
      <c r="Y177" s="2862"/>
      <c r="Z177" s="2863"/>
      <c r="AA177" s="2863"/>
      <c r="AB177" s="2864"/>
      <c r="AC177" s="2864"/>
      <c r="AD177" s="2864"/>
      <c r="AE177" s="2865"/>
      <c r="AF177" s="2859"/>
    </row>
    <row r="178" spans="7:32" ht="14.25" hidden="1" customHeight="1" x14ac:dyDescent="0.2">
      <c r="G178" s="2853" t="e">
        <f>_Calcs_Klasse!#REF!</f>
        <v>#REF!</v>
      </c>
      <c r="H178" s="2853"/>
      <c r="I178" s="2853"/>
      <c r="J178" s="2853"/>
      <c r="K178" s="2854"/>
      <c r="L178" s="2854"/>
      <c r="M178" s="2855"/>
      <c r="N178" s="2855"/>
      <c r="O178" s="2855"/>
      <c r="P178" s="2853" t="s">
        <v>78</v>
      </c>
      <c r="S178" s="2866"/>
      <c r="T178" s="3248"/>
      <c r="U178" s="3248"/>
      <c r="V178" s="2867" t="e">
        <f>_Calcs_Klasse!#REF!</f>
        <v>#REF!</v>
      </c>
      <c r="W178" s="2867"/>
      <c r="X178" s="2867"/>
      <c r="Y178" s="2867"/>
      <c r="Z178" s="2868"/>
      <c r="AA178" s="2868"/>
      <c r="AB178" s="2869"/>
      <c r="AC178" s="2869"/>
      <c r="AD178" s="2869"/>
      <c r="AE178" s="2867" t="s">
        <v>78</v>
      </c>
      <c r="AF178" s="2870"/>
    </row>
    <row r="179" spans="7:32" ht="14.25" hidden="1" customHeight="1" thickBot="1" x14ac:dyDescent="0.25">
      <c r="G179" s="2857"/>
      <c r="H179" s="2857"/>
      <c r="I179" s="2857"/>
      <c r="J179" s="2857"/>
      <c r="K179" s="2857"/>
      <c r="L179" s="2857"/>
      <c r="M179" s="2857"/>
      <c r="N179" s="2857"/>
      <c r="O179" s="2857"/>
      <c r="P179" s="2857"/>
      <c r="S179" s="2860"/>
      <c r="T179" s="2871"/>
      <c r="U179" s="2871"/>
      <c r="V179" s="2871"/>
      <c r="W179" s="2871"/>
      <c r="X179" s="2871"/>
      <c r="Y179" s="2871"/>
      <c r="Z179" s="2871"/>
      <c r="AA179" s="2871"/>
      <c r="AB179" s="2871"/>
      <c r="AC179" s="2871"/>
      <c r="AD179" s="2871"/>
      <c r="AE179" s="2871"/>
      <c r="AF179" s="2861"/>
    </row>
    <row r="180" spans="7:32" ht="14.25" hidden="1" customHeight="1" x14ac:dyDescent="0.2"/>
    <row r="181" spans="7:32" ht="14.25" hidden="1" customHeight="1" x14ac:dyDescent="0.2"/>
    <row r="182" spans="7:32" ht="14.25" hidden="1" customHeight="1" x14ac:dyDescent="0.2"/>
    <row r="183" spans="7:32" ht="14.25" hidden="1" customHeight="1" x14ac:dyDescent="0.2"/>
    <row r="184" spans="7:32" ht="14.25" hidden="1" customHeight="1" x14ac:dyDescent="0.2"/>
    <row r="185" spans="7:32" ht="14.25" hidden="1" customHeight="1" x14ac:dyDescent="0.2"/>
    <row r="186" spans="7:32" ht="14.25" hidden="1" customHeight="1" x14ac:dyDescent="0.2"/>
    <row r="187" spans="7:32" ht="14.25" hidden="1" customHeight="1" x14ac:dyDescent="0.2"/>
    <row r="188" spans="7:32" ht="14.25" hidden="1" customHeight="1" x14ac:dyDescent="0.2"/>
    <row r="189" spans="7:32" ht="14.25" hidden="1" customHeight="1" x14ac:dyDescent="0.2"/>
    <row r="190" spans="7:32" ht="14.25" hidden="1" customHeight="1" x14ac:dyDescent="0.2"/>
    <row r="191" spans="7:32" ht="14.25" hidden="1" customHeight="1" x14ac:dyDescent="0.2"/>
    <row r="192" spans="7:32" ht="14.25" hidden="1" customHeight="1" x14ac:dyDescent="0.2"/>
    <row r="193" ht="14.25" hidden="1" customHeight="1" x14ac:dyDescent="0.2"/>
  </sheetData>
  <mergeCells count="71">
    <mergeCell ref="S130:AD131"/>
    <mergeCell ref="M31:S31"/>
    <mergeCell ref="M28:S28"/>
    <mergeCell ref="S64:U64"/>
    <mergeCell ref="S57:U57"/>
    <mergeCell ref="S55:U55"/>
    <mergeCell ref="S46:U46"/>
    <mergeCell ref="S42:U42"/>
    <mergeCell ref="S94:U94"/>
    <mergeCell ref="S87:U87"/>
    <mergeCell ref="AK151:AT152"/>
    <mergeCell ref="S151:AD152"/>
    <mergeCell ref="AE151:AF152"/>
    <mergeCell ref="S144:AD145"/>
    <mergeCell ref="AE144:AF145"/>
    <mergeCell ref="C39:C42"/>
    <mergeCell ref="F74:O75"/>
    <mergeCell ref="F83:O84"/>
    <mergeCell ref="F9:O9"/>
    <mergeCell ref="F60:O61"/>
    <mergeCell ref="F67:O68"/>
    <mergeCell ref="C28:C31"/>
    <mergeCell ref="F20:U20"/>
    <mergeCell ref="S80:U80"/>
    <mergeCell ref="S78:U78"/>
    <mergeCell ref="S71:U71"/>
    <mergeCell ref="S36:U36"/>
    <mergeCell ref="F11:O13"/>
    <mergeCell ref="F15:G16"/>
    <mergeCell ref="H15:S16"/>
    <mergeCell ref="Q11:Q13"/>
    <mergeCell ref="CK34:CN34"/>
    <mergeCell ref="F51:O52"/>
    <mergeCell ref="AO34:AR34"/>
    <mergeCell ref="AW34:AZ34"/>
    <mergeCell ref="BE34:BH34"/>
    <mergeCell ref="BM34:BP34"/>
    <mergeCell ref="BU34:BX34"/>
    <mergeCell ref="CC34:CF34"/>
    <mergeCell ref="R34:V34"/>
    <mergeCell ref="Y34:AB34"/>
    <mergeCell ref="AG34:AJ34"/>
    <mergeCell ref="F38:O39"/>
    <mergeCell ref="BT117:BZ119"/>
    <mergeCell ref="F122:L124"/>
    <mergeCell ref="P122:X124"/>
    <mergeCell ref="AB122:AH124"/>
    <mergeCell ref="AK122:AQ124"/>
    <mergeCell ref="AT122:AZ124"/>
    <mergeCell ref="BB122:BH124"/>
    <mergeCell ref="BK122:BQ124"/>
    <mergeCell ref="BT122:BZ124"/>
    <mergeCell ref="F117:X119"/>
    <mergeCell ref="AB117:AH119"/>
    <mergeCell ref="AK117:AQ119"/>
    <mergeCell ref="AT117:BH119"/>
    <mergeCell ref="BK117:BQ119"/>
    <mergeCell ref="V135:AE136"/>
    <mergeCell ref="V158:AE159"/>
    <mergeCell ref="V167:AE168"/>
    <mergeCell ref="V174:AE175"/>
    <mergeCell ref="G135:P136"/>
    <mergeCell ref="G144:P145"/>
    <mergeCell ref="G151:P152"/>
    <mergeCell ref="G158:P159"/>
    <mergeCell ref="G167:P168"/>
    <mergeCell ref="F104:I105"/>
    <mergeCell ref="F90:O91"/>
    <mergeCell ref="F98:O99"/>
    <mergeCell ref="F102:I102"/>
    <mergeCell ref="G174:P175"/>
  </mergeCells>
  <conditionalFormatting sqref="AB106 AB104">
    <cfRule type="containsText" dxfId="2715" priority="744" operator="containsText" text="✓">
      <formula>NOT(ISERROR(SEARCH("✓",AB104)))</formula>
    </cfRule>
  </conditionalFormatting>
  <conditionalFormatting sqref="AB102">
    <cfRule type="containsText" dxfId="2714" priority="742" operator="containsText" text="✓">
      <formula>NOT(ISERROR(SEARCH("✓",AB102)))</formula>
    </cfRule>
  </conditionalFormatting>
  <conditionalFormatting sqref="AJ106 AJ104">
    <cfRule type="containsText" dxfId="2713" priority="759" operator="containsText" text="✓">
      <formula>NOT(ISERROR(SEARCH("✓",AJ104)))</formula>
    </cfRule>
  </conditionalFormatting>
  <conditionalFormatting sqref="AJ102">
    <cfRule type="containsText" dxfId="2712" priority="740" operator="containsText" text="✓">
      <formula>NOT(ISERROR(SEARCH("✓",AJ102)))</formula>
    </cfRule>
  </conditionalFormatting>
  <conditionalFormatting sqref="AZ102">
    <cfRule type="containsText" dxfId="2711" priority="755" operator="containsText" text="✓">
      <formula>NOT(ISERROR(SEARCH("✓",AZ102)))</formula>
    </cfRule>
  </conditionalFormatting>
  <conditionalFormatting sqref="AR106 AR104">
    <cfRule type="containsText" dxfId="2710" priority="757" operator="containsText" text="✓">
      <formula>NOT(ISERROR(SEARCH("✓",AR104)))</formula>
    </cfRule>
  </conditionalFormatting>
  <conditionalFormatting sqref="AR102">
    <cfRule type="containsText" dxfId="2709" priority="737" operator="containsText" text="✓">
      <formula>NOT(ISERROR(SEARCH("✓",AR102)))</formula>
    </cfRule>
  </conditionalFormatting>
  <conditionalFormatting sqref="AZ106 AZ104">
    <cfRule type="containsText" dxfId="2708" priority="11196" operator="containsText" text="✓">
      <formula>NOT(ISERROR(SEARCH("✓",AZ104)))</formula>
    </cfRule>
  </conditionalFormatting>
  <conditionalFormatting sqref="BH106 BH104">
    <cfRule type="containsText" dxfId="2707" priority="11194" operator="containsText" text="✓">
      <formula>NOT(ISERROR(SEARCH("✓",BH104)))</formula>
    </cfRule>
  </conditionalFormatting>
  <conditionalFormatting sqref="BH102">
    <cfRule type="containsText" dxfId="2706" priority="753" operator="containsText" text="✓">
      <formula>NOT(ISERROR(SEARCH("✓",BH102)))</formula>
    </cfRule>
  </conditionalFormatting>
  <conditionalFormatting sqref="BP106 BP104">
    <cfRule type="containsText" dxfId="2705" priority="11192" operator="containsText" text="✓">
      <formula>NOT(ISERROR(SEARCH("✓",BP104)))</formula>
    </cfRule>
  </conditionalFormatting>
  <conditionalFormatting sqref="BP102">
    <cfRule type="containsText" dxfId="2704" priority="751" operator="containsText" text="✓">
      <formula>NOT(ISERROR(SEARCH("✓",BP102)))</formula>
    </cfRule>
  </conditionalFormatting>
  <conditionalFormatting sqref="CF102">
    <cfRule type="containsText" dxfId="2703" priority="747" operator="containsText" text="✓">
      <formula>NOT(ISERROR(SEARCH("✓",CF102)))</formula>
    </cfRule>
  </conditionalFormatting>
  <conditionalFormatting sqref="BX106 BX104">
    <cfRule type="containsText" dxfId="2702" priority="11190" operator="containsText" text="✓">
      <formula>NOT(ISERROR(SEARCH("✓",BX104)))</formula>
    </cfRule>
  </conditionalFormatting>
  <conditionalFormatting sqref="BX102">
    <cfRule type="containsText" dxfId="2701" priority="749" operator="containsText" text="✓">
      <formula>NOT(ISERROR(SEARCH("✓",BX102)))</formula>
    </cfRule>
  </conditionalFormatting>
  <conditionalFormatting sqref="CF106 CF104">
    <cfRule type="containsText" dxfId="2700" priority="11188" operator="containsText" text="✓">
      <formula>NOT(ISERROR(SEARCH("✓",CF104)))</formula>
    </cfRule>
  </conditionalFormatting>
  <conditionalFormatting sqref="CN102">
    <cfRule type="containsText" dxfId="2699" priority="745" operator="containsText" text="✓">
      <formula>NOT(ISERROR(SEARCH("✓",CN102)))</formula>
    </cfRule>
  </conditionalFormatting>
  <conditionalFormatting sqref="CN106 CN104">
    <cfRule type="containsText" dxfId="2698" priority="11186" operator="containsText" text="✓">
      <formula>NOT(ISERROR(SEARCH("✓",CN104)))</formula>
    </cfRule>
  </conditionalFormatting>
  <conditionalFormatting sqref="AB55">
    <cfRule type="containsText" dxfId="2697" priority="491" operator="containsText" text="✓">
      <formula>NOT(ISERROR(SEARCH("✓",AB55)))</formula>
    </cfRule>
  </conditionalFormatting>
  <conditionalFormatting sqref="AB42">
    <cfRule type="containsText" dxfId="2696" priority="261" operator="containsText" text="✓">
      <formula>NOT(ISERROR(SEARCH("✓",AB42)))</formula>
    </cfRule>
  </conditionalFormatting>
  <conditionalFormatting sqref="AB64">
    <cfRule type="containsText" dxfId="2695" priority="226" operator="containsText" text="✓">
      <formula>NOT(ISERROR(SEARCH("✓",AB64)))</formula>
    </cfRule>
  </conditionalFormatting>
  <conditionalFormatting sqref="AB71">
    <cfRule type="containsText" dxfId="2694" priority="225" operator="containsText" text="✓">
      <formula>NOT(ISERROR(SEARCH("✓",AB71)))</formula>
    </cfRule>
  </conditionalFormatting>
  <conditionalFormatting sqref="AB78">
    <cfRule type="containsText" dxfId="2693" priority="224" operator="containsText" text="✓">
      <formula>NOT(ISERROR(SEARCH("✓",AB78)))</formula>
    </cfRule>
  </conditionalFormatting>
  <conditionalFormatting sqref="AB87">
    <cfRule type="containsText" dxfId="2692" priority="222" operator="containsText" text="✓">
      <formula>NOT(ISERROR(SEARCH("✓",AB87)))</formula>
    </cfRule>
  </conditionalFormatting>
  <conditionalFormatting sqref="AB94">
    <cfRule type="containsText" dxfId="2691" priority="221" operator="containsText" text="✓">
      <formula>NOT(ISERROR(SEARCH("✓",AB94)))</formula>
    </cfRule>
  </conditionalFormatting>
  <conditionalFormatting sqref="AB46">
    <cfRule type="containsText" dxfId="2690" priority="220" operator="containsText" text="✓">
      <formula>NOT(ISERROR(SEARCH("✓",AB46)))</formula>
    </cfRule>
  </conditionalFormatting>
  <conditionalFormatting sqref="AJ42">
    <cfRule type="containsText" dxfId="2689" priority="211" operator="containsText" text="✓">
      <formula>NOT(ISERROR(SEARCH("✓",AJ42)))</formula>
    </cfRule>
  </conditionalFormatting>
  <conditionalFormatting sqref="AR42">
    <cfRule type="containsText" dxfId="2688" priority="210" operator="containsText" text="✓">
      <formula>NOT(ISERROR(SEARCH("✓",AR42)))</formula>
    </cfRule>
  </conditionalFormatting>
  <conditionalFormatting sqref="AZ42">
    <cfRule type="containsText" dxfId="2687" priority="734" operator="containsText" text="✓">
      <formula>NOT(ISERROR(SEARCH("✓",AZ42)))</formula>
    </cfRule>
  </conditionalFormatting>
  <conditionalFormatting sqref="BH42">
    <cfRule type="containsText" dxfId="2686" priority="731" operator="containsText" text="✓">
      <formula>NOT(ISERROR(SEARCH("✓",BH42)))</formula>
    </cfRule>
  </conditionalFormatting>
  <conditionalFormatting sqref="BP42">
    <cfRule type="containsText" dxfId="2685" priority="728" operator="containsText" text="✓">
      <formula>NOT(ISERROR(SEARCH("✓",BP42)))</formula>
    </cfRule>
  </conditionalFormatting>
  <conditionalFormatting sqref="BX42">
    <cfRule type="containsText" dxfId="2684" priority="725" operator="containsText" text="✓">
      <formula>NOT(ISERROR(SEARCH("✓",BX42)))</formula>
    </cfRule>
  </conditionalFormatting>
  <conditionalFormatting sqref="CF42">
    <cfRule type="containsText" dxfId="2683" priority="722" operator="containsText" text="✓">
      <formula>NOT(ISERROR(SEARCH("✓",CF42)))</formula>
    </cfRule>
  </conditionalFormatting>
  <conditionalFormatting sqref="CN42">
    <cfRule type="containsText" dxfId="2682" priority="719" operator="containsText" text="✓">
      <formula>NOT(ISERROR(SEARCH("✓",CN42)))</formula>
    </cfRule>
  </conditionalFormatting>
  <conditionalFormatting sqref="AJ46">
    <cfRule type="containsText" dxfId="2681" priority="158" operator="containsText" text="✓">
      <formula>NOT(ISERROR(SEARCH("✓",AJ46)))</formula>
    </cfRule>
  </conditionalFormatting>
  <conditionalFormatting sqref="AR46">
    <cfRule type="containsText" dxfId="2680" priority="157" operator="containsText" text="✓">
      <formula>NOT(ISERROR(SEARCH("✓",AR46)))</formula>
    </cfRule>
  </conditionalFormatting>
  <conditionalFormatting sqref="AZ46">
    <cfRule type="containsText" dxfId="2679" priority="209" operator="containsText" text="✓">
      <formula>NOT(ISERROR(SEARCH("✓",AZ46)))</formula>
    </cfRule>
  </conditionalFormatting>
  <conditionalFormatting sqref="BH46">
    <cfRule type="containsText" dxfId="2678" priority="208" operator="containsText" text="✓">
      <formula>NOT(ISERROR(SEARCH("✓",BH46)))</formula>
    </cfRule>
  </conditionalFormatting>
  <conditionalFormatting sqref="BP46">
    <cfRule type="containsText" dxfId="2677" priority="207" operator="containsText" text="✓">
      <formula>NOT(ISERROR(SEARCH("✓",BP46)))</formula>
    </cfRule>
  </conditionalFormatting>
  <conditionalFormatting sqref="BX46">
    <cfRule type="containsText" dxfId="2676" priority="206" operator="containsText" text="✓">
      <formula>NOT(ISERROR(SEARCH("✓",BX46)))</formula>
    </cfRule>
  </conditionalFormatting>
  <conditionalFormatting sqref="CF46">
    <cfRule type="containsText" dxfId="2675" priority="205" operator="containsText" text="✓">
      <formula>NOT(ISERROR(SEARCH("✓",CF46)))</formula>
    </cfRule>
  </conditionalFormatting>
  <conditionalFormatting sqref="CN46">
    <cfRule type="containsText" dxfId="2674" priority="257" operator="containsText" text="✓">
      <formula>NOT(ISERROR(SEARCH("✓",CN46)))</formula>
    </cfRule>
  </conditionalFormatting>
  <conditionalFormatting sqref="Z46">
    <cfRule type="expression" dxfId="2673" priority="149">
      <formula>AB46="!"</formula>
    </cfRule>
  </conditionalFormatting>
  <conditionalFormatting sqref="AH46">
    <cfRule type="expression" dxfId="2672" priority="145">
      <formula>AJ46="!"</formula>
    </cfRule>
  </conditionalFormatting>
  <conditionalFormatting sqref="AP46">
    <cfRule type="expression" dxfId="2671" priority="144">
      <formula>AR46="!"</formula>
    </cfRule>
  </conditionalFormatting>
  <conditionalFormatting sqref="AX46">
    <cfRule type="expression" dxfId="2670" priority="143">
      <formula>AZ46="!"</formula>
    </cfRule>
  </conditionalFormatting>
  <conditionalFormatting sqref="BF46">
    <cfRule type="expression" dxfId="2669" priority="142">
      <formula>BH46="!"</formula>
    </cfRule>
  </conditionalFormatting>
  <conditionalFormatting sqref="BN46">
    <cfRule type="expression" dxfId="2668" priority="141">
      <formula>BP46="!"</formula>
    </cfRule>
  </conditionalFormatting>
  <conditionalFormatting sqref="BV46">
    <cfRule type="expression" dxfId="2667" priority="140">
      <formula>BX46="!"</formula>
    </cfRule>
  </conditionalFormatting>
  <conditionalFormatting sqref="CD46">
    <cfRule type="expression" dxfId="2666" priority="139">
      <formula>CF46="!"</formula>
    </cfRule>
  </conditionalFormatting>
  <conditionalFormatting sqref="CL46">
    <cfRule type="expression" dxfId="2665" priority="151">
      <formula>CN46="!"</formula>
    </cfRule>
  </conditionalFormatting>
  <conditionalFormatting sqref="U28">
    <cfRule type="containsText" dxfId="2664" priority="135" operator="containsText" text="✓">
      <formula>NOT(ISERROR(SEARCH("✓",U28)))</formula>
    </cfRule>
  </conditionalFormatting>
  <conditionalFormatting sqref="AB57">
    <cfRule type="containsText" dxfId="2663" priority="116" operator="containsText" text="✓">
      <formula>NOT(ISERROR(SEARCH("✓",AB57)))</formula>
    </cfRule>
  </conditionalFormatting>
  <conditionalFormatting sqref="AJ55">
    <cfRule type="containsText" dxfId="2662" priority="115" operator="containsText" text="✓">
      <formula>NOT(ISERROR(SEARCH("✓",AJ55)))</formula>
    </cfRule>
  </conditionalFormatting>
  <conditionalFormatting sqref="AJ57">
    <cfRule type="containsText" dxfId="2661" priority="114" operator="containsText" text="✓">
      <formula>NOT(ISERROR(SEARCH("✓",AJ57)))</formula>
    </cfRule>
  </conditionalFormatting>
  <conditionalFormatting sqref="AR55">
    <cfRule type="containsText" dxfId="2660" priority="11198" operator="containsText" text="✓">
      <formula>NOT(ISERROR(SEARCH("✓",AR55)))</formula>
    </cfRule>
  </conditionalFormatting>
  <conditionalFormatting sqref="AR57">
    <cfRule type="containsText" dxfId="2659" priority="113" operator="containsText" text="✓">
      <formula>NOT(ISERROR(SEARCH("✓",AR57)))</formula>
    </cfRule>
  </conditionalFormatting>
  <conditionalFormatting sqref="AZ55">
    <cfRule type="containsText" dxfId="2658" priority="156" operator="containsText" text="✓">
      <formula>NOT(ISERROR(SEARCH("✓",AZ55)))</formula>
    </cfRule>
  </conditionalFormatting>
  <conditionalFormatting sqref="AZ57">
    <cfRule type="containsText" dxfId="2657" priority="111" operator="containsText" text="✓">
      <formula>NOT(ISERROR(SEARCH("✓",AZ57)))</formula>
    </cfRule>
  </conditionalFormatting>
  <conditionalFormatting sqref="BH55">
    <cfRule type="containsText" dxfId="2656" priority="155" operator="containsText" text="✓">
      <formula>NOT(ISERROR(SEARCH("✓",BH55)))</formula>
    </cfRule>
  </conditionalFormatting>
  <conditionalFormatting sqref="BH57">
    <cfRule type="containsText" dxfId="2655" priority="109" operator="containsText" text="✓">
      <formula>NOT(ISERROR(SEARCH("✓",BH57)))</formula>
    </cfRule>
  </conditionalFormatting>
  <conditionalFormatting sqref="BP55">
    <cfRule type="containsText" dxfId="2654" priority="154" operator="containsText" text="✓">
      <formula>NOT(ISERROR(SEARCH("✓",BP55)))</formula>
    </cfRule>
  </conditionalFormatting>
  <conditionalFormatting sqref="BP57">
    <cfRule type="containsText" dxfId="2653" priority="107" operator="containsText" text="✓">
      <formula>NOT(ISERROR(SEARCH("✓",BP57)))</formula>
    </cfRule>
  </conditionalFormatting>
  <conditionalFormatting sqref="BX55">
    <cfRule type="containsText" dxfId="2652" priority="153" operator="containsText" text="✓">
      <formula>NOT(ISERROR(SEARCH("✓",BX55)))</formula>
    </cfRule>
  </conditionalFormatting>
  <conditionalFormatting sqref="BX57">
    <cfRule type="containsText" dxfId="2651" priority="105" operator="containsText" text="✓">
      <formula>NOT(ISERROR(SEARCH("✓",BX57)))</formula>
    </cfRule>
  </conditionalFormatting>
  <conditionalFormatting sqref="CF55">
    <cfRule type="containsText" dxfId="2650" priority="152" operator="containsText" text="✓">
      <formula>NOT(ISERROR(SEARCH("✓",CF55)))</formula>
    </cfRule>
  </conditionalFormatting>
  <conditionalFormatting sqref="CF57">
    <cfRule type="containsText" dxfId="2649" priority="103" operator="containsText" text="✓">
      <formula>NOT(ISERROR(SEARCH("✓",CF57)))</formula>
    </cfRule>
  </conditionalFormatting>
  <conditionalFormatting sqref="CN55">
    <cfRule type="containsText" dxfId="2648" priority="204" operator="containsText" text="✓">
      <formula>NOT(ISERROR(SEARCH("✓",CN55)))</formula>
    </cfRule>
  </conditionalFormatting>
  <conditionalFormatting sqref="CN57">
    <cfRule type="containsText" dxfId="2647" priority="102" operator="containsText" text="✓">
      <formula>NOT(ISERROR(SEARCH("✓",CN57)))</formula>
    </cfRule>
  </conditionalFormatting>
  <conditionalFormatting sqref="AJ64">
    <cfRule type="containsText" dxfId="2646" priority="99" operator="containsText" text="✓">
      <formula>NOT(ISERROR(SEARCH("✓",AJ64)))</formula>
    </cfRule>
  </conditionalFormatting>
  <conditionalFormatting sqref="AR64">
    <cfRule type="containsText" dxfId="2645" priority="112" operator="containsText" text="✓">
      <formula>NOT(ISERROR(SEARCH("✓",AR64)))</formula>
    </cfRule>
  </conditionalFormatting>
  <conditionalFormatting sqref="AZ64">
    <cfRule type="containsText" dxfId="2644" priority="110" operator="containsText" text="✓">
      <formula>NOT(ISERROR(SEARCH("✓",AZ64)))</formula>
    </cfRule>
  </conditionalFormatting>
  <conditionalFormatting sqref="BH64">
    <cfRule type="containsText" dxfId="2643" priority="108" operator="containsText" text="✓">
      <formula>NOT(ISERROR(SEARCH("✓",BH64)))</formula>
    </cfRule>
  </conditionalFormatting>
  <conditionalFormatting sqref="BP64">
    <cfRule type="containsText" dxfId="2642" priority="106" operator="containsText" text="✓">
      <formula>NOT(ISERROR(SEARCH("✓",BP64)))</formula>
    </cfRule>
  </conditionalFormatting>
  <conditionalFormatting sqref="BX64">
    <cfRule type="containsText" dxfId="2641" priority="104" operator="containsText" text="✓">
      <formula>NOT(ISERROR(SEARCH("✓",BX64)))</formula>
    </cfRule>
  </conditionalFormatting>
  <conditionalFormatting sqref="CF64">
    <cfRule type="containsText" dxfId="2640" priority="94" operator="containsText" text="✓">
      <formula>NOT(ISERROR(SEARCH("✓",CF64)))</formula>
    </cfRule>
  </conditionalFormatting>
  <conditionalFormatting sqref="CN64">
    <cfRule type="containsText" dxfId="2639" priority="101" operator="containsText" text="✓">
      <formula>NOT(ISERROR(SEARCH("✓",CN64)))</formula>
    </cfRule>
  </conditionalFormatting>
  <conditionalFormatting sqref="AJ71">
    <cfRule type="containsText" dxfId="2638" priority="11200" operator="containsText" text="✓">
      <formula>NOT(ISERROR(SEARCH("✓",AJ71)))</formula>
    </cfRule>
  </conditionalFormatting>
  <conditionalFormatting sqref="AR71">
    <cfRule type="containsText" dxfId="2637" priority="98" operator="containsText" text="✓">
      <formula>NOT(ISERROR(SEARCH("✓",AR71)))</formula>
    </cfRule>
  </conditionalFormatting>
  <conditionalFormatting sqref="AZ71">
    <cfRule type="containsText" dxfId="2636" priority="97" operator="containsText" text="✓">
      <formula>NOT(ISERROR(SEARCH("✓",AZ71)))</formula>
    </cfRule>
  </conditionalFormatting>
  <conditionalFormatting sqref="BH71">
    <cfRule type="containsText" dxfId="2635" priority="96" operator="containsText" text="✓">
      <formula>NOT(ISERROR(SEARCH("✓",BH71)))</formula>
    </cfRule>
  </conditionalFormatting>
  <conditionalFormatting sqref="BP71">
    <cfRule type="containsText" dxfId="2634" priority="95" operator="containsText" text="✓">
      <formula>NOT(ISERROR(SEARCH("✓",BP71)))</formula>
    </cfRule>
  </conditionalFormatting>
  <conditionalFormatting sqref="BX71">
    <cfRule type="containsText" dxfId="2633" priority="87" operator="containsText" text="✓">
      <formula>NOT(ISERROR(SEARCH("✓",BX71)))</formula>
    </cfRule>
  </conditionalFormatting>
  <conditionalFormatting sqref="CF71">
    <cfRule type="containsText" dxfId="2632" priority="86" operator="containsText" text="✓">
      <formula>NOT(ISERROR(SEARCH("✓",CF71)))</formula>
    </cfRule>
  </conditionalFormatting>
  <conditionalFormatting sqref="CN71">
    <cfRule type="containsText" dxfId="2631" priority="93" operator="containsText" text="✓">
      <formula>NOT(ISERROR(SEARCH("✓",CN71)))</formula>
    </cfRule>
  </conditionalFormatting>
  <conditionalFormatting sqref="AB80">
    <cfRule type="containsText" dxfId="2630" priority="83" operator="containsText" text="✓">
      <formula>NOT(ISERROR(SEARCH("✓",AB80)))</formula>
    </cfRule>
  </conditionalFormatting>
  <conditionalFormatting sqref="AJ78">
    <cfRule type="containsText" dxfId="2629" priority="92" operator="containsText" text="✓">
      <formula>NOT(ISERROR(SEARCH("✓",AJ78)))</formula>
    </cfRule>
  </conditionalFormatting>
  <conditionalFormatting sqref="AJ80">
    <cfRule type="containsText" dxfId="2628" priority="91" operator="containsText" text="✓">
      <formula>NOT(ISERROR(SEARCH("✓",AJ80)))</formula>
    </cfRule>
  </conditionalFormatting>
  <conditionalFormatting sqref="AR78">
    <cfRule type="containsText" dxfId="2627" priority="90" operator="containsText" text="✓">
      <formula>NOT(ISERROR(SEARCH("✓",AR78)))</formula>
    </cfRule>
  </conditionalFormatting>
  <conditionalFormatting sqref="AR80">
    <cfRule type="containsText" dxfId="2626" priority="81" operator="containsText" text="✓">
      <formula>NOT(ISERROR(SEARCH("✓",AR80)))</formula>
    </cfRule>
  </conditionalFormatting>
  <conditionalFormatting sqref="AZ78">
    <cfRule type="containsText" dxfId="2625" priority="89" operator="containsText" text="✓">
      <formula>NOT(ISERROR(SEARCH("✓",AZ78)))</formula>
    </cfRule>
  </conditionalFormatting>
  <conditionalFormatting sqref="AZ80">
    <cfRule type="containsText" dxfId="2624" priority="79" operator="containsText" text="✓">
      <formula>NOT(ISERROR(SEARCH("✓",AZ80)))</formula>
    </cfRule>
  </conditionalFormatting>
  <conditionalFormatting sqref="BH78">
    <cfRule type="containsText" dxfId="2623" priority="88" operator="containsText" text="✓">
      <formula>NOT(ISERROR(SEARCH("✓",BH78)))</formula>
    </cfRule>
  </conditionalFormatting>
  <conditionalFormatting sqref="BH80">
    <cfRule type="containsText" dxfId="2622" priority="77" operator="containsText" text="✓">
      <formula>NOT(ISERROR(SEARCH("✓",BH80)))</formula>
    </cfRule>
  </conditionalFormatting>
  <conditionalFormatting sqref="BP78">
    <cfRule type="containsText" dxfId="2621" priority="76" operator="containsText" text="✓">
      <formula>NOT(ISERROR(SEARCH("✓",BP78)))</formula>
    </cfRule>
  </conditionalFormatting>
  <conditionalFormatting sqref="BP80">
    <cfRule type="containsText" dxfId="2620" priority="75" operator="containsText" text="✓">
      <formula>NOT(ISERROR(SEARCH("✓",BP80)))</formula>
    </cfRule>
  </conditionalFormatting>
  <conditionalFormatting sqref="BX78">
    <cfRule type="containsText" dxfId="2619" priority="74" operator="containsText" text="✓">
      <formula>NOT(ISERROR(SEARCH("✓",BX78)))</formula>
    </cfRule>
  </conditionalFormatting>
  <conditionalFormatting sqref="BX80">
    <cfRule type="containsText" dxfId="2618" priority="73" operator="containsText" text="✓">
      <formula>NOT(ISERROR(SEARCH("✓",BX80)))</formula>
    </cfRule>
  </conditionalFormatting>
  <conditionalFormatting sqref="CF78">
    <cfRule type="containsText" dxfId="2617" priority="72" operator="containsText" text="✓">
      <formula>NOT(ISERROR(SEARCH("✓",CF78)))</formula>
    </cfRule>
  </conditionalFormatting>
  <conditionalFormatting sqref="CF80">
    <cfRule type="containsText" dxfId="2616" priority="71" operator="containsText" text="✓">
      <formula>NOT(ISERROR(SEARCH("✓",CF80)))</formula>
    </cfRule>
  </conditionalFormatting>
  <conditionalFormatting sqref="CN78">
    <cfRule type="containsText" dxfId="2615" priority="85" operator="containsText" text="✓">
      <formula>NOT(ISERROR(SEARCH("✓",CN78)))</formula>
    </cfRule>
  </conditionalFormatting>
  <conditionalFormatting sqref="CN80">
    <cfRule type="containsText" dxfId="2614" priority="84" operator="containsText" text="✓">
      <formula>NOT(ISERROR(SEARCH("✓",CN80)))</formula>
    </cfRule>
  </conditionalFormatting>
  <conditionalFormatting sqref="AJ87">
    <cfRule type="containsText" dxfId="2613" priority="82" operator="containsText" text="✓">
      <formula>NOT(ISERROR(SEARCH("✓",AJ87)))</formula>
    </cfRule>
  </conditionalFormatting>
  <conditionalFormatting sqref="AR87">
    <cfRule type="containsText" dxfId="2612" priority="80" operator="containsText" text="✓">
      <formula>NOT(ISERROR(SEARCH("✓",AR87)))</formula>
    </cfRule>
  </conditionalFormatting>
  <conditionalFormatting sqref="AZ87">
    <cfRule type="containsText" dxfId="2611" priority="78" operator="containsText" text="✓">
      <formula>NOT(ISERROR(SEARCH("✓",AZ87)))</formula>
    </cfRule>
  </conditionalFormatting>
  <conditionalFormatting sqref="BH87">
    <cfRule type="containsText" dxfId="2610" priority="65" operator="containsText" text="✓">
      <formula>NOT(ISERROR(SEARCH("✓",BH87)))</formula>
    </cfRule>
  </conditionalFormatting>
  <conditionalFormatting sqref="BP87">
    <cfRule type="containsText" dxfId="2609" priority="64" operator="containsText" text="✓">
      <formula>NOT(ISERROR(SEARCH("✓",BP87)))</formula>
    </cfRule>
  </conditionalFormatting>
  <conditionalFormatting sqref="BX87">
    <cfRule type="containsText" dxfId="2608" priority="63" operator="containsText" text="✓">
      <formula>NOT(ISERROR(SEARCH("✓",BX87)))</formula>
    </cfRule>
  </conditionalFormatting>
  <conditionalFormatting sqref="CF87">
    <cfRule type="containsText" dxfId="2607" priority="70" operator="containsText" text="✓">
      <formula>NOT(ISERROR(SEARCH("✓",CF87)))</formula>
    </cfRule>
  </conditionalFormatting>
  <conditionalFormatting sqref="CN87">
    <cfRule type="containsText" dxfId="2606" priority="69" operator="containsText" text="✓">
      <formula>NOT(ISERROR(SEARCH("✓",CN87)))</formula>
    </cfRule>
  </conditionalFormatting>
  <conditionalFormatting sqref="AJ94">
    <cfRule type="containsText" dxfId="2605" priority="67" operator="containsText" text="✓">
      <formula>NOT(ISERROR(SEARCH("✓",AJ94)))</formula>
    </cfRule>
  </conditionalFormatting>
  <conditionalFormatting sqref="AR94">
    <cfRule type="containsText" dxfId="2604" priority="66" operator="containsText" text="✓">
      <formula>NOT(ISERROR(SEARCH("✓",AR94)))</formula>
    </cfRule>
  </conditionalFormatting>
  <conditionalFormatting sqref="AZ94">
    <cfRule type="containsText" dxfId="2603" priority="59" operator="containsText" text="✓">
      <formula>NOT(ISERROR(SEARCH("✓",AZ94)))</formula>
    </cfRule>
  </conditionalFormatting>
  <conditionalFormatting sqref="BH94">
    <cfRule type="containsText" dxfId="2602" priority="58" operator="containsText" text="✓">
      <formula>NOT(ISERROR(SEARCH("✓",BH94)))</formula>
    </cfRule>
  </conditionalFormatting>
  <conditionalFormatting sqref="BP94">
    <cfRule type="containsText" dxfId="2601" priority="57" operator="containsText" text="✓">
      <formula>NOT(ISERROR(SEARCH("✓",BP94)))</formula>
    </cfRule>
  </conditionalFormatting>
  <conditionalFormatting sqref="BX94">
    <cfRule type="containsText" dxfId="2600" priority="62" operator="containsText" text="✓">
      <formula>NOT(ISERROR(SEARCH("✓",BX94)))</formula>
    </cfRule>
  </conditionalFormatting>
  <conditionalFormatting sqref="CF94">
    <cfRule type="containsText" dxfId="2599" priority="61" operator="containsText" text="✓">
      <formula>NOT(ISERROR(SEARCH("✓",CF94)))</formula>
    </cfRule>
  </conditionalFormatting>
  <conditionalFormatting sqref="CN94">
    <cfRule type="containsText" dxfId="2598" priority="68" operator="containsText" text="✓">
      <formula>NOT(ISERROR(SEARCH("✓",CN94)))</formula>
    </cfRule>
  </conditionalFormatting>
  <conditionalFormatting sqref="U31">
    <cfRule type="containsText" dxfId="2597" priority="50" operator="containsText" text="✓">
      <formula>NOT(ISERROR(SEARCH("✓",U31)))</formula>
    </cfRule>
  </conditionalFormatting>
  <dataValidations count="7">
    <dataValidation allowBlank="1" sqref="F93:P106 F54:P59 F63:P66 F70:P72 F77:P82 F86:P89 G177:P179 G138:P143 G147:P150 G154:P156 G161:P166 G170:P173 V177:AF179 V138:AF143 V147:AF150 V154:AF156 V161:AF166 V170:AF173 AK154:AU156 S133:AD133" xr:uid="{538571C9-3944-46F2-85F4-F6432C3B5F33}"/>
    <dataValidation allowBlank="1" showErrorMessage="1" promptTitle="Foreslått kapasitet" prompt="Disse verdiene er estimater fra NFF" sqref="L36 N36 L25 N25" xr:uid="{36C310B1-D14D-4839-9B71-9473AAE4683D}"/>
    <dataValidation allowBlank="1" showErrorMessage="1" sqref="R99:V99 R101:V103 R104:R106 V104:V106 S104:U104 S106:U106 R107:V107 X36:AD36 AF36:AL36 AN36:AT36 AV36:BB36 BD36:BJ36 BL36:BR36 BT36:BZ36 CB36:CH36 CJ36:CP36 K1:DO1 K5:DO5 A1:I1 AH10 A5:I10 AH14:EW17 A108:I112 K108:DO112 T43:U43 T88:U88 T95:U95 M26 U28 BT122 M27:N27 S21:U21 G21:Q21 C18:U19 G27:G32 C20:F21 T47:U54 T65:U65 F122 AB117 P122 F117 AB122 AK122 AT122 BB122 BK122 M32:N32 O26:P26 U31 N29:N30 A26:K26 R26:U26 R60:S65 V60:V65 T60:U63 R45:S58 V45:V58 T58:U58 T56:U56 T45:U45 R34:S43 V34:V43 T72:U77 R90:S95 V90:V95 T90:U93 R83:S88 V83:V88 T83:U86 R67:S81 V67:V81 T81:U81 T79:U79 T67:U70 T34:U35 T37:U41 AI9:EW10 K8:W10 AI8:DO10 AH8 G14 A14:E17 F14:F15 K17:S17 I14 T14:W17 K14:S14 H14:H15 F17:I17 AG22:EL26 A22:B25 D22:D25 V22:V26 O22:U24 C22:C24 E22:K24 M22:M24 AA22:AD26" xr:uid="{037FED70-B524-411E-80FB-F0EAE3D3F88C}"/>
    <dataValidation type="decimal" operator="greaterThanOrEqual" allowBlank="1" showInputMessage="1" showErrorMessage="1" errorTitle="Oops!" error="Du må bare skrive inn tall." sqref="Z65 Z102 AH88 AH102 AP65 AP102 CL88 AX102 CL95 BF102 CD95 BN102 BV95 BV102 BN95 CD102 AX95 CL102 CL104 CL106 CD104 CD106 BV104 BV106 BN104 BN106 BF104 BF106 AX104 AX106 AP104 AP106 AH104 AH106 Z104 Z106 Z72 AH58 AP72 BF65 BN65 BV65 CD65 CL65 CL58 Z58 AP88 AP58 AX58 BF58 BN58 BV58 CD58 BF95 Z95 AH65 AX88 AX65 AX72 BF72 BN72 BV72 CD72 Z88 AH81 AX81 BF88 BV88 CD88 AH95 AP95 CL72 Z81 AH72 AP81 BN88 BF81 BN81 BV81 CD81 CL81" xr:uid="{C4393DB7-2656-45C5-8F04-E7C6F297D5FA}">
      <formula1>0</formula1>
    </dataValidation>
    <dataValidation allowBlank="1" showErrorMessage="1" promptTitle="Sonderboring" prompt="bormeter - Sonderboring inkl. lekkasjemåling, avh. av antall hull, her antas 4" sqref="F27 F32 F29:F30 R23 I23:P23 V23" xr:uid="{769D8C5B-C0DF-4A84-BD30-2DE0C1035A53}"/>
    <dataValidation type="list" allowBlank="1" showInputMessage="1" showErrorMessage="1" sqref="M31 U31:V31" xr:uid="{C2597E50-86D4-4ED3-9DB8-E78B2AAD8124}">
      <formula1>INDIRECT("distrib")</formula1>
    </dataValidation>
    <dataValidation type="decimal" operator="greaterThanOrEqual" allowBlank="1" showInputMessage="1" showErrorMessage="1" errorTitle="Oops!" error="Bare tall (≥ 0) er tillatt." sqref="Z55 Z57 Z64 Z71 Z78 Z80 Z87 Z94 AH94 AP94 AX94 BF94 BN94 BV94 CD94 CL94 CL87 CD87 BV87 BN87 BF87 AX87 AP87 AH87 AH80 AH78 AH71 AH64 AH57 AH55 AP55 AP57 AP64 AP71 AP78 AP80 AX80 AX78 BF78 BF80 BN78 BN80 BV78 BV80 CD78 CD80 CL78 CL80 CL71 CD71 BV71 BN71 BF71 AX71 AX64 BF64 BN64 BV64 CD64 CL64 CL57 CL55 CD55 CD57 BV55 BV57 BN55 BN57 BF55 BF57 AX55 AX57" xr:uid="{6E0C28C6-61F4-40A4-BFE8-F307A774C343}">
      <formula1>0</formula1>
    </dataValidation>
  </dataValidations>
  <hyperlinks>
    <hyperlink ref="F15:G16" location="INN_Stabil!A1" display="INN_Stabil!A1" xr:uid="{A6F65FF5-AB93-4488-9DE4-75BB2CA42596}"/>
    <hyperlink ref="H15:S16" location="INN_Stabil!A1" display="INN_Stabil!A1" xr:uid="{EF73FCC4-2ED1-4DAC-A906-43CBBDE5267D}"/>
  </hyperlinks>
  <printOptions horizontalCentered="1" verticalCentered="1"/>
  <pageMargins left="0.23622047244094491" right="0.23622047244094491" top="0.74803149606299213" bottom="0.74803149606299213" header="0.31496062992125984" footer="0.31496062992125984"/>
  <pageSetup paperSize="8" scale="42" orientation="landscape" r:id="rId1"/>
  <extLst>
    <ext xmlns:x14="http://schemas.microsoft.com/office/spreadsheetml/2009/9/main" uri="{78C0D931-6437-407d-A8EE-F0AAD7539E65}">
      <x14:conditionalFormattings>
        <x14:conditionalFormatting xmlns:xm="http://schemas.microsoft.com/office/excel/2006/main">
          <x14:cfRule type="expression" priority="31" id="{00000000-000E-0000-0300-000018000000}">
            <xm:f>AND(_Calcs_Klasse!$AI$27&lt;&gt;2,$S$46&lt;&gt;0)</xm:f>
            <x14:dxf>
              <font>
                <b/>
                <i/>
              </font>
              <border>
                <left style="thin">
                  <color rgb="FFFF0066"/>
                </left>
                <right style="thin">
                  <color rgb="FFFF0066"/>
                </right>
                <top style="thin">
                  <color rgb="FFFF0066"/>
                </top>
                <bottom style="thin">
                  <color rgb="FFFF0066"/>
                </bottom>
              </border>
            </x14:dxf>
          </x14:cfRule>
          <xm:sqref>S46:U46</xm:sqref>
        </x14:conditionalFormatting>
        <x14:conditionalFormatting xmlns:xm="http://schemas.microsoft.com/office/excel/2006/main">
          <x14:cfRule type="expression" priority="260" stopIfTrue="1" id="{233D8907-04FB-447A-89D9-CC11E8FDCA06}">
            <xm:f>_Calcs!$NO$48&lt;9</xm:f>
            <x14:dxf>
              <font>
                <color theme="0"/>
              </font>
              <fill>
                <patternFill>
                  <bgColor theme="0"/>
                </patternFill>
              </fill>
              <border>
                <left/>
                <right/>
                <top/>
                <bottom/>
                <vertical/>
                <horizontal/>
              </border>
            </x14:dxf>
          </x14:cfRule>
          <xm:sqref>CT22:DA26</xm:sqref>
        </x14:conditionalFormatting>
        <x14:conditionalFormatting xmlns:xm="http://schemas.microsoft.com/office/excel/2006/main">
          <x14:cfRule type="expression" priority="259" id="{949EC20E-48D3-4AF3-A9DF-D769088C76CC}">
            <xm:f>_Calcs!$NO$48&lt;9</xm:f>
            <x14:dxf>
              <border>
                <left/>
                <right/>
                <top/>
                <bottom/>
                <vertical/>
                <horizontal/>
              </border>
            </x14:dxf>
          </x14:cfRule>
          <xm:sqref>CS22:CS26</xm:sqref>
        </x14:conditionalFormatting>
        <x14:conditionalFormatting xmlns:xm="http://schemas.microsoft.com/office/excel/2006/main">
          <x14:cfRule type="expression" priority="426" id="{1895FDAE-7FF3-437E-B469-856A961131D2}">
            <xm:f>_Calcs!$NO$48&lt;8</xm:f>
            <x14:dxf>
              <border>
                <left/>
                <right/>
                <top/>
                <bottom/>
                <vertical/>
                <horizontal/>
              </border>
            </x14:dxf>
          </x14:cfRule>
          <xm:sqref>CK22:CK26</xm:sqref>
        </x14:conditionalFormatting>
        <x14:conditionalFormatting xmlns:xm="http://schemas.microsoft.com/office/excel/2006/main">
          <x14:cfRule type="expression" priority="255" id="{7BB230FB-789E-49F2-9341-E11086421EE6}">
            <xm:f>_Calcs!$NO$48&lt;7</xm:f>
            <x14:dxf>
              <border>
                <left/>
                <right/>
                <top/>
                <bottom/>
                <vertical/>
                <horizontal/>
              </border>
            </x14:dxf>
          </x14:cfRule>
          <xm:sqref>CC22:CC26</xm:sqref>
        </x14:conditionalFormatting>
        <x14:conditionalFormatting xmlns:xm="http://schemas.microsoft.com/office/excel/2006/main">
          <x14:cfRule type="expression" priority="253" id="{A8DAB920-66BD-4AEC-9BF2-6E458D200947}">
            <xm:f>_Calcs!$NO$48&lt;6</xm:f>
            <x14:dxf>
              <border>
                <left/>
                <right/>
                <top/>
                <bottom/>
                <vertical/>
                <horizontal/>
              </border>
            </x14:dxf>
          </x14:cfRule>
          <xm:sqref>BU22:BU26</xm:sqref>
        </x14:conditionalFormatting>
        <x14:conditionalFormatting xmlns:xm="http://schemas.microsoft.com/office/excel/2006/main">
          <x14:cfRule type="expression" priority="251" id="{8B53267F-6176-4325-A352-B1B6BC71770E}">
            <xm:f>_Calcs!$NO$48&lt;5</xm:f>
            <x14:dxf>
              <border>
                <left/>
                <right/>
                <top/>
                <bottom/>
                <vertical/>
                <horizontal/>
              </border>
            </x14:dxf>
          </x14:cfRule>
          <xm:sqref>BM22:BM26</xm:sqref>
        </x14:conditionalFormatting>
        <x14:conditionalFormatting xmlns:xm="http://schemas.microsoft.com/office/excel/2006/main">
          <x14:cfRule type="expression" priority="249" id="{CBAF1A96-8184-4349-83EE-2C36C2DA6ECE}">
            <xm:f>_Calcs!$NO$48&lt;4</xm:f>
            <x14:dxf>
              <border>
                <left/>
                <right/>
                <top/>
                <bottom/>
                <vertical/>
                <horizontal/>
              </border>
            </x14:dxf>
          </x14:cfRule>
          <xm:sqref>BE22:BE26</xm:sqref>
        </x14:conditionalFormatting>
        <x14:conditionalFormatting xmlns:xm="http://schemas.microsoft.com/office/excel/2006/main">
          <x14:cfRule type="expression" priority="247" id="{C7BA0237-1604-48C0-B4B2-EB5A896468B5}">
            <xm:f>_Calcs!$NO$48&lt;3</xm:f>
            <x14:dxf>
              <border>
                <left/>
                <right/>
                <top/>
                <bottom/>
                <vertical/>
                <horizontal/>
              </border>
            </x14:dxf>
          </x14:cfRule>
          <xm:sqref>AW22:AW26</xm:sqref>
        </x14:conditionalFormatting>
        <x14:conditionalFormatting xmlns:xm="http://schemas.microsoft.com/office/excel/2006/main">
          <x14:cfRule type="expression" priority="245" id="{20BC5679-4D63-4E86-9089-C60F17D968CD}">
            <xm:f>_Calcs!$NO$48&lt;2</xm:f>
            <x14:dxf>
              <border>
                <left/>
                <right/>
                <top/>
                <bottom/>
                <vertical/>
                <horizontal/>
              </border>
            </x14:dxf>
          </x14:cfRule>
          <xm:sqref>AO22:AO26</xm:sqref>
        </x14:conditionalFormatting>
        <x14:conditionalFormatting xmlns:xm="http://schemas.microsoft.com/office/excel/2006/main">
          <x14:cfRule type="expression" priority="48" id="{9A7892EB-6133-4CF3-B1FD-97039DC4AC09}">
            <xm:f>_Calcs_Klasse!$AI$27=1</xm:f>
            <x14:dxf>
              <border>
                <top/>
                <vertical/>
                <horizontal/>
              </border>
            </x14:dxf>
          </x14:cfRule>
          <x14:cfRule type="expression" priority="49" id="{ACB762C2-BE92-453F-8352-3E2E328D436A}">
            <xm:f>_Calcs_Klasse!$AI$27=2</xm:f>
            <x14:dxf>
              <fill>
                <patternFill>
                  <bgColor theme="0"/>
                </patternFill>
              </fill>
              <border>
                <left/>
                <right/>
              </border>
            </x14:dxf>
          </x14:cfRule>
          <xm:sqref>E30:V30</xm:sqref>
        </x14:conditionalFormatting>
        <x14:conditionalFormatting xmlns:xm="http://schemas.microsoft.com/office/excel/2006/main">
          <x14:cfRule type="expression" priority="47" id="{F0F2C02F-85C1-4211-A758-64676324C735}">
            <xm:f>_Calcs_Klasse!$AI$27=2</xm:f>
            <x14:dxf>
              <font>
                <color rgb="FFEEF2F2"/>
              </font>
              <fill>
                <patternFill>
                  <bgColor rgb="FFEEF2F2"/>
                </patternFill>
              </fill>
              <border>
                <left/>
                <right/>
                <top/>
                <bottom/>
                <vertical/>
                <horizontal/>
              </border>
            </x14:dxf>
          </x14:cfRule>
          <xm:sqref>E31:V32</xm:sqref>
        </x14:conditionalFormatting>
        <x14:conditionalFormatting xmlns:xm="http://schemas.microsoft.com/office/excel/2006/main">
          <x14:cfRule type="expression" priority="55" id="{E8AD018F-D05C-44F6-BA9D-7E35BF344963}">
            <xm:f>_Calcs_Klasse!$AI$27=2</xm:f>
            <x14:dxf>
              <font>
                <color theme="0" tint="-0.14996795556505021"/>
              </font>
              <fill>
                <patternFill>
                  <bgColor theme="0" tint="-0.14996795556505021"/>
                </patternFill>
              </fill>
            </x14:dxf>
          </x14:cfRule>
          <xm:sqref>Z94 Z87 Z80 Z78 Z71 Z64 Z57 Z55 AH55 AH57 AH64 AH71 AH78 AH80 AH87 AH94 AP94 AX94 BF94 BN94 BV94 CD94 CL94 CL87 CD87 BV87 BN87 BF87 AX87 AP87 AP80 AP78 AX78 AX80 BF78 BF80 BN78 BN80 BV78 BV80 CD78 CD80 CL78 CL80 CL71 CD71 BV71 BN71 BF71 AX71 AP71 AP64 AX64 BF64 BN64 BV64 CD64 CL64 CL57 CL55 CD55 CD57 BV57 BV55 BN55 BN57 BF55 BF57 AX55 AX57 AP55 AP57 S55:U55 S57:U57 S64:U64 S71:U71 S78:U78 S80:U80 S87:U87 S94:U94 S46:U46 S42:U42 Z42 Z46 AH42 AH46 AP46 AP42 AX42 AX46 BF42 BF46 BN46 BN42 BV42 BV46 CD42 CD46 CL42 CL46</xm:sqref>
        </x14:conditionalFormatting>
        <x14:conditionalFormatting xmlns:xm="http://schemas.microsoft.com/office/excel/2006/main">
          <x14:cfRule type="expression" priority="56" id="{09ED0F07-4FB4-44B0-9D82-925B2BFEB9C0}">
            <xm:f>_Calcs_Klasse!$AI$27=2</xm:f>
            <x14:dxf>
              <fill>
                <patternFill>
                  <bgColor theme="0" tint="-4.9989318521683403E-2"/>
                </patternFill>
              </fill>
            </x14:dxf>
          </x14:cfRule>
          <xm:sqref>CR93:CR95 CJ95:CP95 CM94:CP94 CJ94:CK94 CJ93:CP93 CB95:CH95 CE94:CH94 CB94:CC94 CB93:CH93 BT95:BZ95 BW94:BZ94 BT94:BU94 BT93:BZ93 BL95:BR95 BO94:BR94 BL94:BM94 BL93:BR93 BD95:BJ95 BG94:BJ94 BD94:BE94 BD93:BJ93 AV95:BB95 AY94:BB94 AV94:AW94 AV93:BB93 AN95:AT95 AQ94:AT94 AN94:AO94 AN93:AT93 AF95:AL95 AI94:AL94 AF94:AG94 AF93:AL93 X95:AD95 AA94:AD94 X94:Y94 X93:AD93 CR86:CR88 CJ88:CP88 CM87:CP87 CJ87:CK87 CJ86:CP86 CB88:CH88 CE87:CH87 CB87:CC87 CB86:CH86 BT88:BZ88 BW87:BZ87 BT87:BU87 BT86:BZ86 BL88:BR88 BO87:BR87 BL87:BM87 BL86:BR86 BD88:BJ88 BG87:BJ87 BD87:BE87 BD86:BJ86 AV88:BB88 AY87:BB87 AV87:AW87 AV86:BB86 AN88:AT88 AQ87:AT87 AN87:AO87 AN86:AT86 AF88:AL88 AI87:AL87 AF87:AG87 AF86:AL86 X88:AD88 AA87:AD87 X87:Y87 X86:AD86 CR77:CR81 CJ81:CP81 CM80:CP80 CJ80:CK80 CJ79:CP79 CM78:CP78 CJ78:CK78 CJ77:CP77 CB81:CH81 CE80:CH80 CB80:CC80 CB79:CH79 CE78:CH78 CB78:CC78 CB77:CH77 BT81:BZ81 BW80:BZ80 BT80:BU80 BT79:BZ79 BW78:BZ78 BT78:BU78 BT77:BZ77 BL81:BR81 BO80:BR80 BL80:BM80 BL79:BR79 BO78:BR78 BL78:BM78 BL77:BR77 BD81:BJ81 BG80:BJ80 BD80:BE80 BD79:BJ79 BG78:BJ78 BD78:BE78 BD77:BJ77 AV81:BB81 AY80:BB80 AV80:AW80 AV79:BB79 AY78:BB78 AV78:AW78 AV77:BB77 AN81:AT81 AQ80:AT80 AN80:AO80 AN79:AT79 AQ78:AT78 AN78:AO78 AN77:AT77 AF81:AL81 AI80:AL80 AF80:AG80 AF79:AL79 AI78:AL78 AF78:AG78 AF77:AL77 X81:AD81 AA80:AD80 X80:Y80 X79:AD79 AA78:AD78 X78:Y78 X77:AD77 CR70:CR72 CJ72:CP72 CM71:CP71 CJ71:CK71 CJ70:CP70 CB72:CH72 CE71:CH71 CB71:CC71 CB70:CH70 BT72:BZ72 BW71:BZ71 BT71:BU71 BT70:BZ70 BL72:BR72 BO71:BR71 BL71:BM71 BL70:BR70 BD72:BJ72 BG71:BJ71 BD71:BE71 BD70:BJ70 AV72:BB72 AY71:BB71 AV71:AW71 AV70:BB70 AN72:AT72 AQ71:AT71 AN71:AO71 AN70:AT70 AF72:AL72 AI71:AL71 AF71:AG71 AF70:AL70 X72:AD72 AA71:AD71 X71:Y71 X70:AD70 CR63:CR65 CJ65:CP65 CM64:CP64 CJ64:CK64 CJ63:CP63 CB65:CH65 CE64:CH64 CB64:CC64 CB63:CH63 BT65:BZ65 BW64:BZ64 BT64:BU64 BT63:BZ63 BL65:BR65 BO64:BR64 BL64:BM64 BL63:BR63 BD65:BJ65 BG64:BJ64 BD64:BE64 BD63:BJ63 AV65:BB65 AY64:BB64 AV64:AW64 AV63:BB63 AN65:AT65 AQ64:AT64 AN64:AO64 AN63:AT63 AF65:AL65 AI64:AL64 AF64:AG64 AF63:AL63 X65:AD65 AA64:AD64 X64:Y64 X63:AD63 CR54:CR58 CJ58:CP58 CM57:CP57 CJ57:CK57 CJ56:CP56 CM55:CP55 CJ55:CK55 CJ54:CP54 CB58:CH58 CE57:CH57 CB57:CC57 CB56:CH56 CE55:CH55 CB55:CC55 CB54:CH54 BT58:BZ58 BW57:BZ57 BT57:BU57 BT56:BZ56 BW55:BZ55 BT55:BU55 BT54:BZ54 BL58:BR58 BO57:BR57 BL57:BM57 BL56:BR56 BO55:BR55 BL55:BM55 BL54:BR54 BD58:BJ58 BG57:BJ57 BD57:BE57 BD56:BJ56 BG55:BJ55 BD55:BE55 BD54:BJ54 AV58:BB58 AY57:BB57 AV57:AW57 AV56:BB56 AY55:BB55 AV55:AW55 AV54:BB54 AN58:AT58 AQ57:AT57 AN57:AO57 AN56:AT56 AQ55:AT55 AN55:AO55 AN54:AT54 AF58:AL58 AI57:AL57 AF57:AG57 AF56:AL56 AI55:AL55 AF55:AG55 AF54:AL54 X58:AD58 AA57:AD57 X57:Y57 X56:AD56 AA55:AD55 X55:Y55 X54:AD54 CR45:CR47 CJ47:CP47 CM46:CP46 CJ46:CK46 CJ45:CP45 CB47:CH47 CE46:CH46 CB46:CC46 CB45:CH45 BT47:BZ47 BW46:BZ46 BT46:BU46 BT45:BZ45 BL47:BR47 BO46:BR46 BL46:BM46 BL45:BR45 BD47:BJ47 BG46:BJ46 BD46:BE46 BD45:BJ45 AV47:BB47 AY46:BB46 AV46:AW46 AV45:BB45 AN47:AT47 AQ46:AT46 AN46:AO46 AN45:AT45 AF47:AL47 AI46:AL46 AF46:AG46 AF45:AL45 X47:AD47 AA46:AD46 X46:Y46 X45:AD45 CR41:CR43 CJ43:CP43 CM42:CP42 CJ42:CK42 CJ41:CP41 CB43:CH43 CE42:CH42 CB42:CC42 CB41:CH41 BT43:BZ43 BW42:BZ42 BT42:BU42 BT41:BZ41 BL43:BR43 BO42:BR42 BL42:BM42 BL41:BR41 BD43:BJ43 BG42:BJ42 BD42:BE42 BD41:BJ41 AV43:BB43 AY42:BB42 AV42:AW42 AV41:BB41 AN43:AT43 AQ42:AT42 AN42:AO42 AN41:AT41 AF43:AL43 AI42:AL42 AF42:AG42 AF41:AL41 X43:AD43 AA42:AD42 X42:Y42 X41:AD41 E86:P88 E77:P81 E70:P72 E63:P65 E54:P58 CR49 CJ49:CP49 CB49:CH49 BT49:BZ49 BL49:BR49 BD49:BJ49 AV49:BB49 AN49:AT49 AF49:AL49 X49:AD49 R49:V49 E49:P49 E45:P47 E41:P43 CJ34:CP34 CB34:CH34 BT34:BZ34 BL34:BR34 BD34:BJ34 AV34:BB34 AN34:AT34 AF34:AL34 X34:AD34 E34:P34 C34</xm:sqref>
        </x14:conditionalFormatting>
        <x14:conditionalFormatting xmlns:xm="http://schemas.microsoft.com/office/excel/2006/main">
          <x14:cfRule type="expression" priority="100" id="{0336969C-3936-4041-8A83-D904952CC5AE}">
            <xm:f>_Calcs_Klasse!$AI$27=2</xm:f>
            <x14:dxf>
              <fill>
                <patternFill>
                  <bgColor theme="0" tint="-0.14996795556505021"/>
                </patternFill>
              </fill>
            </x14:dxf>
          </x14:cfRule>
          <xm:sqref>CR91 CJ91:CP91 CB91:CH91 BT91:BZ91 BL91:BR91 BD91:BJ91 AV91:BB91 AN91:AT91 AF91:AL91 X91:AD91 CR84 CJ84:CP84 CB84:CH84 BT84:BZ84 BL84:BR84 BD84:BJ84 AV84:BB84 AN84:AT84 AF84:AL84 CR75 CJ75:CP75 CB75:CH75 BT75:BZ75 BL75:BR75 BD75:BJ75 AV75:BB75 AN75:AT75 AF75:AL75 CR68 CJ68:CP68 CB68:CH68 BT68:BZ68 BL68:BR68 BD68:BJ68 AV68:BB68 AN68:AT68 AF68:AL68 X68:AD68 CR61 CJ61:CP61 CB61:CH61 BT61:BZ61 BL61:BR61 BD61:BJ61 AV61:BB61 AN61:AT61 AF61:AL61 X61:AD61 CR52 CJ52:CP52 CB52:CH52 BT52:BZ52 BL52:BR52 BD52:BJ52 AV52:BB52 AN52:AT52 AF52:AL52 X52:AD52 CR39 CJ39:CP39 CB39:CH39 BT39:BZ39 BL39:BR39 BD39:BJ39 AV39:BB39 AN39:AT39 AF39:AL39 X39:AD39 X84:AD84 X75:AD75 E38:P39 E51:P52 E60:P61 E67:P68 E74:P75 E83:P84 E90:P91</xm:sqref>
        </x14:conditionalFormatting>
        <x14:conditionalFormatting xmlns:xm="http://schemas.microsoft.com/office/excel/2006/main">
          <x14:cfRule type="expression" priority="138" id="{E3B0F205-BF43-4186-AC5B-DBDBC97C716D}">
            <xm:f>_Calcs_Klasse!$AI$27=2</xm:f>
            <x14:dxf>
              <font>
                <color theme="6" tint="0.79998168889431442"/>
              </font>
            </x14:dxf>
          </x14:cfRule>
          <xm:sqref>CR36 CJ36:CP36 CB36:CH36 BT36:BZ36 E36:BR36</xm:sqref>
        </x14:conditionalFormatting>
        <x14:conditionalFormatting xmlns:xm="http://schemas.microsoft.com/office/excel/2006/main">
          <x14:cfRule type="expression" priority="26" id="{FD2356D4-5AD9-41B2-ABD1-FD8ABC2D8173}">
            <xm:f>_Calcs_Klasse!$AI$27=2</xm:f>
            <x14:dxf>
              <fill>
                <patternFill>
                  <bgColor theme="0" tint="-4.9989318521683403E-2"/>
                </patternFill>
              </fill>
            </x14:dxf>
          </x14:cfRule>
          <xm:sqref>E93:P95</xm:sqref>
        </x14:conditionalFormatting>
        <x14:conditionalFormatting xmlns:xm="http://schemas.microsoft.com/office/excel/2006/main">
          <x14:cfRule type="expression" priority="60" id="{B74D787C-BC90-4F77-B250-75355BD07A35}">
            <xm:f>_Calcs_Klasse!$AI$27=2</xm:f>
            <x14:dxf>
              <fill>
                <patternFill>
                  <bgColor theme="0" tint="-4.9989318521683403E-2"/>
                </patternFill>
              </fill>
            </x14:dxf>
          </x14:cfRule>
          <xm:sqref>CR34</xm:sqref>
        </x14:conditionalFormatting>
        <x14:conditionalFormatting xmlns:xm="http://schemas.microsoft.com/office/excel/2006/main">
          <x14:cfRule type="expression" priority="25" id="{F64C78CD-6680-4837-84F2-6F304190367C}">
            <xm:f>_Calcs_Klasse!$AI$27=2</xm:f>
            <x14:dxf>
              <fill>
                <patternFill>
                  <bgColor theme="0" tint="-0.14996795556505021"/>
                </patternFill>
              </fill>
            </x14:dxf>
          </x14:cfRule>
          <xm:sqref>C38:C95</xm:sqref>
        </x14:conditionalFormatting>
        <x14:conditionalFormatting xmlns:xm="http://schemas.microsoft.com/office/excel/2006/main">
          <x14:cfRule type="expression" priority="11185" id="{E9195FBD-8127-4877-9898-795105C9CFB2}">
            <xm:f>_Calcs_Klasse!$AV$152&lt;2</xm:f>
            <x14:dxf>
              <border>
                <left/>
                <right/>
                <top/>
                <bottom/>
                <vertical/>
                <horizontal/>
              </border>
            </x14:dxf>
          </x14:cfRule>
          <xm:sqref>AF1:AF1048576</xm:sqref>
        </x14:conditionalFormatting>
        <x14:conditionalFormatting xmlns:xm="http://schemas.microsoft.com/office/excel/2006/main">
          <x14:cfRule type="expression" priority="1" id="{0D863EF5-24BC-4512-91E8-5673E631C6C9}">
            <xm:f>_Calcs_Klasse!$AV$152&lt;9</xm:f>
            <x14:dxf>
              <font>
                <color theme="0"/>
              </font>
              <fill>
                <patternFill>
                  <bgColor theme="0"/>
                </patternFill>
              </fill>
              <border>
                <left/>
                <right/>
                <top/>
                <bottom/>
                <vertical/>
                <horizontal/>
              </border>
            </x14:dxf>
          </x14:cfRule>
          <xm:sqref>CK1:CR1048576</xm:sqref>
        </x14:conditionalFormatting>
        <x14:conditionalFormatting xmlns:xm="http://schemas.microsoft.com/office/excel/2006/main">
          <x14:cfRule type="expression" priority="11187" id="{A615B0D4-641B-445E-8D59-DD7CE777EA5B}">
            <xm:f>_Calcs_Klasse!$AV$152&lt;9</xm:f>
            <x14:dxf>
              <border>
                <left/>
                <right/>
                <top/>
                <bottom/>
                <vertical/>
                <horizontal/>
              </border>
            </x14:dxf>
          </x14:cfRule>
          <xm:sqref>CJ1:CJ1048576</xm:sqref>
        </x14:conditionalFormatting>
        <x14:conditionalFormatting xmlns:xm="http://schemas.microsoft.com/office/excel/2006/main">
          <x14:cfRule type="expression" priority="53" id="{6782FAE2-D0B1-4266-A494-39EE97D9CD21}">
            <xm:f>_Calcs_Klasse!$AV$152&lt;8</xm:f>
            <x14:dxf>
              <font>
                <color theme="0"/>
              </font>
              <fill>
                <patternFill>
                  <bgColor theme="0"/>
                </patternFill>
              </fill>
              <border>
                <left/>
                <right/>
                <top/>
                <bottom/>
                <vertical/>
                <horizontal/>
              </border>
            </x14:dxf>
          </x14:cfRule>
          <xm:sqref>CC1:CJ1048576</xm:sqref>
        </x14:conditionalFormatting>
        <x14:conditionalFormatting xmlns:xm="http://schemas.microsoft.com/office/excel/2006/main">
          <x14:cfRule type="expression" priority="11189" id="{34F8A350-2404-4112-95A6-220C2089CA5E}">
            <xm:f>_Calcs_Klasse!$AV$152&lt;8</xm:f>
            <x14:dxf>
              <border>
                <left/>
                <right/>
                <top/>
                <bottom/>
                <vertical/>
                <horizontal/>
              </border>
            </x14:dxf>
          </x14:cfRule>
          <xm:sqref>CB1:CB1048576</xm:sqref>
        </x14:conditionalFormatting>
        <x14:conditionalFormatting xmlns:xm="http://schemas.microsoft.com/office/excel/2006/main">
          <x14:cfRule type="expression" priority="54" id="{E40FAE19-14F8-4A08-82B2-2392025D1989}">
            <xm:f>_Calcs_Klasse!$AV$152&lt;7</xm:f>
            <x14:dxf>
              <font>
                <color theme="0"/>
              </font>
              <fill>
                <patternFill>
                  <bgColor theme="0"/>
                </patternFill>
              </fill>
              <border>
                <left/>
                <right/>
                <top/>
                <bottom/>
                <vertical/>
                <horizontal/>
              </border>
            </x14:dxf>
          </x14:cfRule>
          <xm:sqref>BU1:CB1048576</xm:sqref>
        </x14:conditionalFormatting>
        <x14:conditionalFormatting xmlns:xm="http://schemas.microsoft.com/office/excel/2006/main">
          <x14:cfRule type="expression" priority="11191" id="{CE4BFE0E-D7F7-42D8-8294-1411006F2094}">
            <xm:f>_Calcs_Klasse!$AV$152&lt;7</xm:f>
            <x14:dxf>
              <border>
                <left/>
                <right/>
                <top/>
                <bottom/>
                <vertical/>
                <horizontal/>
              </border>
            </x14:dxf>
          </x14:cfRule>
          <xm:sqref>BT1:BT1048576</xm:sqref>
        </x14:conditionalFormatting>
        <x14:conditionalFormatting xmlns:xm="http://schemas.microsoft.com/office/excel/2006/main">
          <x14:cfRule type="expression" priority="52" id="{854E74CF-D5C5-4725-A1DF-E72A87733088}">
            <xm:f>_Calcs_Klasse!$AV$152&lt;6</xm:f>
            <x14:dxf>
              <font>
                <color theme="0"/>
              </font>
              <fill>
                <patternFill>
                  <bgColor theme="0"/>
                </patternFill>
              </fill>
              <border>
                <left/>
                <right/>
                <top/>
                <bottom/>
                <vertical/>
                <horizontal/>
              </border>
            </x14:dxf>
          </x14:cfRule>
          <xm:sqref>BM1:BT1048576</xm:sqref>
        </x14:conditionalFormatting>
        <x14:conditionalFormatting xmlns:xm="http://schemas.microsoft.com/office/excel/2006/main">
          <x14:cfRule type="expression" priority="11193" id="{242B48F9-38FE-420B-8F13-7D51B0E46682}">
            <xm:f>_Calcs_Klasse!$AV$152&lt;6</xm:f>
            <x14:dxf>
              <border>
                <left/>
                <right/>
                <top/>
                <bottom/>
                <vertical/>
                <horizontal/>
              </border>
            </x14:dxf>
          </x14:cfRule>
          <xm:sqref>BL1:BL1048576</xm:sqref>
        </x14:conditionalFormatting>
        <x14:conditionalFormatting xmlns:xm="http://schemas.microsoft.com/office/excel/2006/main">
          <x14:cfRule type="expression" priority="32" id="{FD916172-D43F-4487-8A9C-336A2F3BE923}">
            <xm:f>_Calcs_Klasse!$AV$152&lt;5</xm:f>
            <x14:dxf>
              <font>
                <color theme="0"/>
              </font>
              <fill>
                <patternFill>
                  <bgColor theme="0"/>
                </patternFill>
              </fill>
              <border>
                <left/>
                <right/>
                <top/>
                <bottom/>
                <vertical/>
                <horizontal/>
              </border>
            </x14:dxf>
          </x14:cfRule>
          <xm:sqref>BE1:BL1048576</xm:sqref>
        </x14:conditionalFormatting>
        <x14:conditionalFormatting xmlns:xm="http://schemas.microsoft.com/office/excel/2006/main">
          <x14:cfRule type="expression" priority="11195" id="{F16CE844-0690-4E5C-980B-4CD12B6D8164}">
            <xm:f>_Calcs_Klasse!$AV$152&lt;5</xm:f>
            <x14:dxf>
              <border>
                <left/>
                <right/>
                <top/>
                <bottom/>
                <vertical/>
                <horizontal/>
              </border>
            </x14:dxf>
          </x14:cfRule>
          <xm:sqref>BD1:BD1048576</xm:sqref>
        </x14:conditionalFormatting>
        <x14:conditionalFormatting xmlns:xm="http://schemas.microsoft.com/office/excel/2006/main">
          <x14:cfRule type="expression" priority="29" id="{A13DECEA-A50A-494A-9A53-8A2A23BE34F7}">
            <xm:f>_Calcs_Klasse!$AV$152&lt;4</xm:f>
            <x14:dxf>
              <font>
                <color theme="0"/>
              </font>
              <fill>
                <patternFill>
                  <bgColor theme="0"/>
                </patternFill>
              </fill>
              <border>
                <left/>
                <right/>
                <top/>
                <bottom/>
                <vertical/>
                <horizontal/>
              </border>
            </x14:dxf>
          </x14:cfRule>
          <xm:sqref>AW1:BD1048576</xm:sqref>
        </x14:conditionalFormatting>
        <x14:conditionalFormatting xmlns:xm="http://schemas.microsoft.com/office/excel/2006/main">
          <x14:cfRule type="expression" priority="11197" id="{81873A08-0535-4C9D-AA5B-2BBCF164A832}">
            <xm:f>_Calcs_Klasse!$AV$152&lt;4</xm:f>
            <x14:dxf>
              <border>
                <left/>
                <right/>
                <top/>
                <bottom/>
                <vertical/>
                <horizontal/>
              </border>
            </x14:dxf>
          </x14:cfRule>
          <xm:sqref>AV1:AV1048576</xm:sqref>
        </x14:conditionalFormatting>
        <x14:conditionalFormatting xmlns:xm="http://schemas.microsoft.com/office/excel/2006/main">
          <x14:cfRule type="expression" priority="28" id="{023D315A-A286-47F5-A9F8-27A91494C60B}">
            <xm:f>_Calcs_Klasse!$AV$152&lt;3</xm:f>
            <x14:dxf>
              <font>
                <color theme="0"/>
              </font>
              <fill>
                <patternFill>
                  <bgColor theme="0"/>
                </patternFill>
              </fill>
              <border>
                <left/>
                <right/>
                <top/>
                <bottom/>
                <vertical/>
                <horizontal/>
              </border>
            </x14:dxf>
          </x14:cfRule>
          <xm:sqref>AO1:AV1048576</xm:sqref>
        </x14:conditionalFormatting>
        <x14:conditionalFormatting xmlns:xm="http://schemas.microsoft.com/office/excel/2006/main">
          <x14:cfRule type="expression" priority="11199" id="{462AA0A5-341B-4CF3-92EA-D86FB06EF8FA}">
            <xm:f>_Calcs_Klasse!$AV$152&lt;3</xm:f>
            <x14:dxf>
              <border>
                <left/>
                <right/>
                <top/>
                <bottom/>
                <vertical/>
                <horizontal/>
              </border>
            </x14:dxf>
          </x14:cfRule>
          <xm:sqref>AN1:AN1048576</xm:sqref>
        </x14:conditionalFormatting>
        <x14:conditionalFormatting xmlns:xm="http://schemas.microsoft.com/office/excel/2006/main">
          <x14:cfRule type="expression" priority="27" id="{01939E9C-8C33-4EDA-B7EB-742F9B1E9048}">
            <xm:f>_Calcs_Klasse!$AV$152&lt;2</xm:f>
            <x14:dxf>
              <font>
                <color theme="0"/>
              </font>
              <fill>
                <patternFill>
                  <bgColor theme="0"/>
                </patternFill>
              </fill>
              <border>
                <left/>
                <right/>
                <top/>
                <bottom/>
                <vertical/>
                <horizontal/>
              </border>
            </x14:dxf>
          </x14:cfRule>
          <xm:sqref>AG1:AN1048576</xm:sqref>
        </x14:conditionalFormatting>
        <x14:conditionalFormatting xmlns:xm="http://schemas.microsoft.com/office/excel/2006/main">
          <x14:cfRule type="expression" priority="14981" id="{6D5B9418-6392-4054-B923-A0638F322444}">
            <xm:f>_Calcs!$D$11=1</xm:f>
            <x14:dxf>
              <fill>
                <patternFill>
                  <bgColor rgb="FFDEDCB8"/>
                </patternFill>
              </fill>
            </x14:dxf>
          </x14:cfRule>
          <xm:sqref>F11:O13</xm:sqref>
        </x14:conditionalFormatting>
        <x14:conditionalFormatting xmlns:xm="http://schemas.microsoft.com/office/excel/2006/main">
          <x14:cfRule type="expression" priority="14982" id="{287CF213-E9CE-4D09-975E-738988D513DF}">
            <xm:f>_Calcs!$D$11=1</xm:f>
            <x14:dxf>
              <border>
                <right/>
                <top/>
                <bottom/>
                <vertical/>
                <horizontal/>
              </border>
            </x14:dxf>
          </x14:cfRule>
          <x14:cfRule type="expression" priority="14983" id="{4F60075B-EE71-4364-80E2-DC2AECA0743E}">
            <xm:f>_Calcs!$D$11=2</xm:f>
            <x14:dxf>
              <border>
                <left/>
                <vertical/>
                <horizontal/>
              </border>
            </x14:dxf>
          </x14:cfRule>
          <xm:sqref>H15:S16</xm:sqref>
        </x14:conditionalFormatting>
        <x14:conditionalFormatting xmlns:xm="http://schemas.microsoft.com/office/excel/2006/main">
          <x14:cfRule type="expression" priority="14984" id="{F13A8B66-6905-4BBB-A2A9-32A4C06377BA}">
            <xm:f>_Calcs!$D$11=2</xm:f>
            <x14:dxf>
              <fill>
                <patternFill>
                  <bgColor rgb="FFA5D0CF"/>
                </patternFill>
              </fill>
            </x14:dxf>
          </x14:cfRule>
          <xm:sqref>F15:S16</xm:sqref>
        </x14:conditionalFormatting>
        <x14:conditionalFormatting xmlns:xm="http://schemas.microsoft.com/office/excel/2006/main">
          <x14:cfRule type="expression" priority="14985" id="{FD8D59AC-8741-4E17-ADF2-8EBB9554687C}">
            <xm:f>_Calcs!$D$11=2</xm:f>
            <x14:dxf>
              <font>
                <b/>
                <i val="0"/>
                <u val="double"/>
              </font>
            </x14:dxf>
          </x14:cfRule>
          <xm:sqref>F15:G16</xm:sqref>
        </x14:conditionalFormatting>
        <x14:conditionalFormatting xmlns:xm="http://schemas.microsoft.com/office/excel/2006/main">
          <x14:cfRule type="expression" priority="14986" id="{0A5B7942-A1D8-461A-A49E-36D21811F355}">
            <xm:f>_Calcs!$D$11=1</xm:f>
            <x14:dxf>
              <fill>
                <patternFill>
                  <bgColor theme="0" tint="-0.14996795556505021"/>
                </patternFill>
              </fill>
              <border>
                <left/>
                <right/>
                <top/>
                <bottom/>
                <vertical/>
                <horizontal/>
              </border>
            </x14:dxf>
          </x14:cfRule>
          <xm:sqref>Q11:Q13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8558-5F9C-4D52-85D1-A4409F0BE9C7}">
  <sheetPr codeName="Sheet18">
    <tabColor rgb="FFCDDABC"/>
    <pageSetUpPr fitToPage="1"/>
  </sheetPr>
  <dimension ref="A1:FP146"/>
  <sheetViews>
    <sheetView workbookViewId="0"/>
  </sheetViews>
  <sheetFormatPr defaultColWidth="0" defaultRowHeight="14.25" customHeight="1" zeroHeight="1" x14ac:dyDescent="0.2"/>
  <cols>
    <col min="1" max="2" width="3.625" style="70" customWidth="1"/>
    <col min="3" max="3" width="30.125" style="70" customWidth="1"/>
    <col min="4" max="5" width="3.625" style="70" customWidth="1"/>
    <col min="6" max="6" width="17.625" style="70" customWidth="1"/>
    <col min="7" max="7" width="10.625" style="70" customWidth="1"/>
    <col min="8" max="8" width="6.5" style="70" customWidth="1"/>
    <col min="9" max="9" width="3.375" style="70" customWidth="1"/>
    <col min="10" max="10" width="4.875" style="70" customWidth="1"/>
    <col min="11" max="11" width="0.875" style="70" customWidth="1"/>
    <col min="12" max="12" width="2.75" style="70" customWidth="1"/>
    <col min="13" max="13" width="1.625" style="70" customWidth="1"/>
    <col min="14" max="14" width="0.875" style="70" customWidth="1"/>
    <col min="15" max="15" width="6.625" style="115" customWidth="1"/>
    <col min="16" max="16" width="2.625" style="115" customWidth="1"/>
    <col min="17" max="17" width="3.625" style="70" customWidth="1"/>
    <col min="18" max="18" width="3.125" style="70" customWidth="1"/>
    <col min="19" max="19" width="16.625" style="114" customWidth="1"/>
    <col min="20" max="20" width="3.125" style="70" customWidth="1"/>
    <col min="21" max="21" width="3.625" style="115" customWidth="1"/>
    <col min="22" max="23" width="1.625" style="70" customWidth="1"/>
    <col min="24" max="24" width="16.625" style="114" customWidth="1"/>
    <col min="25" max="25" width="1.625" style="70" customWidth="1"/>
    <col min="26" max="26" width="2.625" style="70" customWidth="1"/>
    <col min="27" max="28" width="0.875" style="70" customWidth="1"/>
    <col min="29" max="29" width="3.625" style="115" customWidth="1"/>
    <col min="30" max="31" width="1.625" style="70" customWidth="1"/>
    <col min="32" max="32" width="16.625" style="114" customWidth="1"/>
    <col min="33" max="33" width="1.625" style="70" customWidth="1"/>
    <col min="34" max="34" width="2.625" style="70" customWidth="1"/>
    <col min="35" max="36" width="0.875" style="70" customWidth="1"/>
    <col min="37" max="37" width="3.625" style="115" customWidth="1"/>
    <col min="38" max="39" width="1.625" style="70" customWidth="1"/>
    <col min="40" max="40" width="16.625" style="114" customWidth="1"/>
    <col min="41" max="41" width="1.625" style="70" customWidth="1"/>
    <col min="42" max="42" width="2.625" style="70" customWidth="1"/>
    <col min="43" max="44" width="0.875" style="70" customWidth="1"/>
    <col min="45" max="45" width="3.625" style="115" customWidth="1"/>
    <col min="46" max="47" width="1.625" style="70" customWidth="1"/>
    <col min="48" max="48" width="16.625" style="114" customWidth="1"/>
    <col min="49" max="49" width="1.625" style="70" customWidth="1"/>
    <col min="50" max="50" width="2.625" style="70" customWidth="1"/>
    <col min="51" max="52" width="0.875" style="70" customWidth="1"/>
    <col min="53" max="53" width="3.625" style="115" customWidth="1"/>
    <col min="54" max="55" width="1.625" style="70" customWidth="1"/>
    <col min="56" max="56" width="16.625" style="114" customWidth="1"/>
    <col min="57" max="57" width="1.625" style="70" customWidth="1"/>
    <col min="58" max="58" width="2.625" style="70" customWidth="1"/>
    <col min="59" max="60" width="0.875" style="70" customWidth="1"/>
    <col min="61" max="61" width="3.625" style="115" customWidth="1"/>
    <col min="62" max="63" width="1.625" style="70" customWidth="1"/>
    <col min="64" max="64" width="16.625" style="114" customWidth="1"/>
    <col min="65" max="65" width="1.625" style="70" customWidth="1"/>
    <col min="66" max="66" width="2.625" style="70" customWidth="1"/>
    <col min="67" max="68" width="0.875" style="70" customWidth="1"/>
    <col min="69" max="69" width="3.625" style="115" customWidth="1"/>
    <col min="70" max="71" width="1.625" style="70" customWidth="1"/>
    <col min="72" max="72" width="16.625" style="114" customWidth="1"/>
    <col min="73" max="73" width="1.625" style="70" customWidth="1"/>
    <col min="74" max="74" width="2.625" style="70" customWidth="1"/>
    <col min="75" max="76" width="0.875" style="70" customWidth="1"/>
    <col min="77" max="77" width="3.625" style="115" customWidth="1"/>
    <col min="78" max="79" width="1.625" style="70" customWidth="1"/>
    <col min="80" max="80" width="16.625" style="114" customWidth="1"/>
    <col min="81" max="81" width="1.625" style="70" customWidth="1"/>
    <col min="82" max="82" width="2.625" style="70" customWidth="1"/>
    <col min="83" max="84" width="0.875" style="70" customWidth="1"/>
    <col min="85" max="85" width="3.625" style="115" customWidth="1"/>
    <col min="86" max="87" width="1.625" style="70" customWidth="1"/>
    <col min="88" max="88" width="16.625" style="114" customWidth="1"/>
    <col min="89" max="89" width="1.625" style="70" customWidth="1"/>
    <col min="90" max="90" width="2.625" style="70" customWidth="1"/>
    <col min="91" max="92" width="0.875" style="70" customWidth="1"/>
    <col min="93" max="93" width="3.625" style="115" customWidth="1"/>
    <col min="94" max="94" width="1.625" style="70" customWidth="1"/>
    <col min="95" max="96" width="3.625" style="70" customWidth="1"/>
    <col min="97" max="16384" width="9" style="70" hidden="1"/>
  </cols>
  <sheetData>
    <row r="1" spans="1:172" s="68" customFormat="1" ht="50.1" customHeight="1" x14ac:dyDescent="0.2">
      <c r="A1" s="20"/>
      <c r="B1" s="20"/>
      <c r="C1" s="16"/>
      <c r="D1" s="13"/>
      <c r="E1" s="20"/>
      <c r="F1" s="136"/>
      <c r="G1" s="136"/>
      <c r="H1" s="136"/>
      <c r="I1" s="136"/>
      <c r="J1" s="16"/>
      <c r="K1" s="16"/>
      <c r="L1" s="16"/>
      <c r="M1" s="16"/>
      <c r="N1" s="137"/>
      <c r="O1" s="215"/>
      <c r="P1" s="16"/>
      <c r="Q1" s="16"/>
      <c r="R1" s="8"/>
      <c r="S1" s="40"/>
      <c r="T1" s="8"/>
      <c r="U1" s="8"/>
      <c r="V1" s="16"/>
      <c r="W1" s="16"/>
      <c r="X1" s="36"/>
      <c r="Y1" s="16"/>
      <c r="Z1" s="138"/>
      <c r="AA1" s="138"/>
      <c r="AB1" s="137"/>
      <c r="AC1" s="8"/>
      <c r="AD1" s="16"/>
      <c r="AE1" s="16"/>
      <c r="AF1" s="36"/>
      <c r="AG1" s="16"/>
      <c r="AH1" s="138"/>
      <c r="AI1" s="138"/>
      <c r="AJ1" s="137"/>
      <c r="AK1" s="8"/>
      <c r="AL1" s="16"/>
      <c r="AM1" s="16"/>
      <c r="AN1" s="36"/>
      <c r="AO1" s="16"/>
      <c r="AP1" s="138"/>
      <c r="AQ1" s="138"/>
      <c r="AR1" s="137"/>
      <c r="AS1" s="8"/>
      <c r="AT1" s="16"/>
      <c r="AU1" s="16"/>
      <c r="AV1" s="36"/>
      <c r="AW1" s="16"/>
      <c r="AX1" s="138"/>
      <c r="AY1" s="138"/>
      <c r="AZ1" s="137"/>
      <c r="BA1" s="8"/>
      <c r="BB1" s="16"/>
      <c r="BC1" s="16"/>
      <c r="BD1" s="36"/>
      <c r="BE1" s="16"/>
      <c r="BF1" s="138"/>
      <c r="BG1" s="138"/>
      <c r="BH1" s="137"/>
      <c r="BI1" s="8"/>
      <c r="BJ1" s="16"/>
      <c r="BK1" s="16"/>
      <c r="BL1" s="36"/>
      <c r="BM1" s="16"/>
      <c r="BN1" s="138"/>
      <c r="BO1" s="138"/>
      <c r="BP1" s="137"/>
      <c r="BQ1" s="8"/>
      <c r="BR1" s="16"/>
      <c r="BS1" s="16"/>
      <c r="BT1" s="36"/>
      <c r="BU1" s="16"/>
      <c r="BV1" s="138"/>
      <c r="BW1" s="138"/>
      <c r="BX1" s="137"/>
      <c r="BY1" s="8"/>
      <c r="BZ1" s="16"/>
      <c r="CA1" s="16"/>
      <c r="CB1" s="36"/>
      <c r="CC1" s="16"/>
      <c r="CD1" s="138"/>
      <c r="CE1" s="138"/>
      <c r="CF1" s="137"/>
      <c r="CG1" s="8"/>
      <c r="CH1" s="16"/>
      <c r="CI1" s="16"/>
      <c r="CJ1" s="36"/>
      <c r="CK1" s="16"/>
      <c r="CL1" s="138"/>
      <c r="CM1" s="138"/>
      <c r="CN1" s="137"/>
      <c r="CO1" s="8"/>
      <c r="CP1" s="13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13"/>
      <c r="EA1" s="137"/>
      <c r="EB1" s="139" t="s">
        <v>155</v>
      </c>
      <c r="EC1" s="140"/>
      <c r="ED1" s="141"/>
      <c r="EE1" s="141"/>
      <c r="EF1" s="141"/>
    </row>
    <row r="2" spans="1:172" ht="12" customHeight="1" x14ac:dyDescent="0.2">
      <c r="C2" s="920"/>
      <c r="D2" s="78"/>
      <c r="E2" s="1872"/>
      <c r="F2" s="1873"/>
      <c r="G2" s="1873"/>
      <c r="H2" s="920"/>
      <c r="I2" s="920"/>
      <c r="J2" s="1874"/>
      <c r="K2" s="1875"/>
      <c r="L2" s="1873"/>
      <c r="M2" s="1873"/>
      <c r="N2" s="1873"/>
      <c r="O2" s="921"/>
      <c r="P2" s="1873"/>
      <c r="Q2" s="1873"/>
      <c r="R2" s="1873"/>
      <c r="S2" s="1873"/>
      <c r="T2" s="1873"/>
      <c r="U2" s="70"/>
      <c r="X2" s="70"/>
      <c r="AC2" s="70"/>
      <c r="AF2" s="70"/>
      <c r="AK2" s="70"/>
      <c r="AN2" s="70"/>
      <c r="AS2" s="70"/>
      <c r="AV2" s="70"/>
      <c r="BA2" s="70"/>
      <c r="BD2" s="70"/>
      <c r="BI2" s="70"/>
      <c r="BL2" s="70"/>
      <c r="BQ2" s="70"/>
      <c r="BT2" s="70"/>
      <c r="BY2" s="70"/>
      <c r="CB2" s="70"/>
      <c r="CG2" s="70"/>
      <c r="CJ2" s="70"/>
      <c r="CO2" s="70"/>
    </row>
    <row r="3" spans="1:172" ht="5.0999999999999996" customHeight="1" x14ac:dyDescent="0.2">
      <c r="C3" s="16"/>
      <c r="D3" s="78"/>
      <c r="E3" s="20"/>
      <c r="F3" s="136"/>
      <c r="G3" s="136"/>
      <c r="H3" s="16"/>
      <c r="I3" s="16"/>
      <c r="J3" s="572"/>
      <c r="K3" s="36"/>
      <c r="L3" s="136"/>
      <c r="M3" s="136"/>
      <c r="N3" s="136"/>
      <c r="O3" s="17"/>
      <c r="P3" s="136"/>
      <c r="Q3" s="136"/>
      <c r="R3" s="136"/>
      <c r="S3" s="136"/>
      <c r="T3" s="136"/>
      <c r="U3" s="70"/>
      <c r="X3" s="70"/>
      <c r="AC3" s="70"/>
      <c r="AF3" s="70"/>
      <c r="AK3" s="70"/>
      <c r="AN3" s="70"/>
      <c r="AS3" s="70"/>
      <c r="AV3" s="70"/>
      <c r="BA3" s="70"/>
      <c r="BD3" s="70"/>
      <c r="BI3" s="70"/>
      <c r="BL3" s="70"/>
      <c r="BQ3" s="70"/>
      <c r="BT3" s="70"/>
      <c r="BY3" s="70"/>
      <c r="CB3" s="70"/>
      <c r="CG3" s="70"/>
      <c r="CJ3" s="70"/>
      <c r="CO3" s="70"/>
    </row>
    <row r="4" spans="1:172" ht="5.0999999999999996" customHeight="1" x14ac:dyDescent="0.2">
      <c r="C4" s="920"/>
      <c r="D4" s="78"/>
      <c r="E4" s="1872"/>
      <c r="F4" s="1873"/>
      <c r="G4" s="1873"/>
      <c r="H4" s="920"/>
      <c r="I4" s="920"/>
      <c r="J4" s="1874"/>
      <c r="K4" s="1875"/>
      <c r="L4" s="1873"/>
      <c r="M4" s="1873"/>
      <c r="N4" s="1873"/>
      <c r="O4" s="921"/>
      <c r="P4" s="1873"/>
      <c r="Q4" s="1873"/>
      <c r="R4" s="1873"/>
      <c r="S4" s="1873"/>
      <c r="T4" s="1873"/>
      <c r="U4" s="70"/>
      <c r="X4" s="70"/>
      <c r="AC4" s="70"/>
      <c r="AF4" s="70"/>
      <c r="AK4" s="70"/>
      <c r="AN4" s="70"/>
      <c r="AS4" s="70"/>
      <c r="AV4" s="70"/>
      <c r="BA4" s="70"/>
      <c r="BD4" s="70"/>
      <c r="BI4" s="70"/>
      <c r="BL4" s="70"/>
      <c r="BQ4" s="70"/>
      <c r="BT4" s="70"/>
      <c r="BY4" s="70"/>
      <c r="CB4" s="70"/>
      <c r="CG4" s="70"/>
      <c r="CJ4" s="70"/>
      <c r="CO4" s="70"/>
    </row>
    <row r="5" spans="1:172" s="8" customFormat="1" ht="30" customHeight="1" thickBot="1" x14ac:dyDescent="0.25">
      <c r="A5" s="20"/>
      <c r="B5" s="20"/>
      <c r="C5" s="13"/>
      <c r="D5" s="13"/>
      <c r="E5" s="14"/>
      <c r="F5" s="21"/>
      <c r="G5" s="21"/>
      <c r="H5" s="21"/>
      <c r="I5" s="21"/>
      <c r="J5" s="16"/>
      <c r="K5" s="16"/>
      <c r="L5" s="16"/>
      <c r="M5" s="16"/>
      <c r="N5" s="50"/>
      <c r="O5" s="115"/>
      <c r="P5" s="16"/>
      <c r="Q5" s="16"/>
      <c r="S5" s="40"/>
      <c r="V5" s="16"/>
      <c r="W5" s="16"/>
      <c r="X5" s="2490"/>
      <c r="Y5" s="2491"/>
      <c r="Z5" s="2492"/>
      <c r="AA5" s="2492"/>
      <c r="AB5" s="2493"/>
      <c r="AC5" s="2494"/>
      <c r="AD5" s="2491"/>
      <c r="AE5" s="2491"/>
      <c r="AF5" s="2490"/>
      <c r="AG5" s="2491"/>
      <c r="AH5" s="2492"/>
      <c r="AI5" s="2492"/>
      <c r="AJ5" s="2493"/>
      <c r="AK5" s="2494"/>
      <c r="AL5" s="2491"/>
      <c r="AM5" s="2491"/>
      <c r="AN5" s="2490"/>
      <c r="AO5" s="2491"/>
      <c r="AP5" s="2492"/>
      <c r="AQ5" s="2492"/>
      <c r="AR5" s="2493"/>
      <c r="AS5" s="2494"/>
      <c r="AT5" s="2491"/>
      <c r="AU5" s="2491"/>
      <c r="AV5" s="2490"/>
      <c r="AW5" s="2491"/>
      <c r="AX5" s="2492"/>
      <c r="AY5" s="2492"/>
      <c r="AZ5" s="2493"/>
      <c r="BA5" s="2494"/>
      <c r="BB5" s="16"/>
      <c r="BC5" s="16"/>
      <c r="BD5" s="22"/>
      <c r="BE5" s="16"/>
      <c r="BF5" s="19"/>
      <c r="BG5" s="19"/>
      <c r="BH5" s="50"/>
      <c r="BJ5" s="16"/>
      <c r="BK5" s="16"/>
      <c r="BL5" s="22"/>
      <c r="BM5" s="16"/>
      <c r="BN5" s="19"/>
      <c r="BO5" s="19"/>
      <c r="BP5" s="50"/>
      <c r="BR5" s="16"/>
      <c r="BS5" s="16"/>
      <c r="BT5" s="22"/>
      <c r="BU5" s="16"/>
      <c r="BV5" s="19"/>
      <c r="BW5" s="19"/>
      <c r="BX5" s="50"/>
      <c r="BZ5" s="16"/>
      <c r="CA5" s="16"/>
      <c r="CB5" s="22"/>
      <c r="CC5" s="16"/>
      <c r="CD5" s="19"/>
      <c r="CE5" s="19"/>
      <c r="CF5" s="50"/>
      <c r="CH5" s="16"/>
      <c r="CI5" s="16"/>
      <c r="CJ5" s="22"/>
      <c r="CK5" s="16"/>
      <c r="CL5" s="19"/>
      <c r="CM5" s="19"/>
      <c r="CN5" s="50"/>
      <c r="CP5" s="138"/>
      <c r="DZ5" s="13"/>
      <c r="EA5" s="50"/>
      <c r="EB5" s="90"/>
      <c r="EC5" s="13"/>
    </row>
    <row r="6" spans="1:172" s="21" customFormat="1" ht="15" customHeight="1" thickBot="1" x14ac:dyDescent="0.25">
      <c r="A6" s="20"/>
      <c r="B6" s="20"/>
      <c r="C6" s="1107"/>
      <c r="D6" s="13"/>
      <c r="E6" s="681"/>
      <c r="F6" s="626"/>
      <c r="G6" s="626"/>
      <c r="H6" s="626"/>
      <c r="I6" s="626"/>
      <c r="J6" s="626"/>
      <c r="K6" s="626"/>
      <c r="L6" s="626"/>
      <c r="M6" s="626"/>
      <c r="N6" s="626"/>
      <c r="O6" s="626"/>
      <c r="P6" s="626"/>
      <c r="Q6" s="626"/>
      <c r="R6" s="626"/>
      <c r="S6" s="626"/>
      <c r="T6" s="682"/>
      <c r="U6" s="70"/>
      <c r="V6" s="7"/>
      <c r="W6" s="7"/>
      <c r="X6" s="7"/>
      <c r="Y6" s="7"/>
      <c r="Z6" s="7"/>
      <c r="AA6" s="7"/>
      <c r="AB6" s="7"/>
      <c r="AC6" s="7"/>
      <c r="AD6" s="7"/>
      <c r="AE6" s="7"/>
      <c r="AF6" s="7"/>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8"/>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row>
    <row r="7" spans="1:172" s="21" customFormat="1" ht="8.1" customHeight="1" thickBot="1" x14ac:dyDescent="0.25">
      <c r="A7" s="20"/>
      <c r="B7" s="20"/>
      <c r="C7" s="13"/>
      <c r="D7" s="13"/>
      <c r="E7" s="14"/>
      <c r="H7" s="13"/>
      <c r="I7" s="13"/>
      <c r="J7" s="50"/>
      <c r="K7" s="15"/>
      <c r="L7" s="50"/>
      <c r="M7" s="50"/>
      <c r="N7" s="70"/>
      <c r="O7" s="115"/>
      <c r="P7" s="70"/>
      <c r="Q7" s="70"/>
      <c r="R7" s="70"/>
      <c r="S7" s="70"/>
      <c r="T7" s="70"/>
      <c r="U7" s="70"/>
      <c r="V7" s="7"/>
      <c r="W7" s="7"/>
      <c r="X7" s="7"/>
      <c r="Y7" s="7"/>
      <c r="Z7" s="7"/>
      <c r="AA7" s="7"/>
      <c r="AB7" s="7"/>
      <c r="AC7" s="7"/>
      <c r="AD7" s="7"/>
      <c r="AE7" s="7"/>
      <c r="AF7" s="7"/>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8"/>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row>
    <row r="8" spans="1:172" s="8" customFormat="1" ht="9.9499999999999993" customHeight="1" x14ac:dyDescent="0.2">
      <c r="A8" s="20"/>
      <c r="B8" s="20"/>
      <c r="C8" s="1354"/>
      <c r="D8" s="13"/>
      <c r="E8" s="553"/>
      <c r="F8" s="554"/>
      <c r="G8" s="554"/>
      <c r="H8" s="554"/>
      <c r="I8" s="554"/>
      <c r="J8" s="555"/>
      <c r="K8" s="555"/>
      <c r="L8" s="555"/>
      <c r="M8" s="555"/>
      <c r="N8" s="559"/>
      <c r="O8" s="957"/>
      <c r="P8" s="555"/>
      <c r="Q8" s="555"/>
      <c r="R8" s="555"/>
      <c r="S8" s="555"/>
      <c r="T8" s="958"/>
      <c r="V8" s="7"/>
      <c r="W8" s="7"/>
      <c r="X8" s="7"/>
      <c r="Y8" s="7"/>
      <c r="Z8" s="7"/>
      <c r="AA8" s="7"/>
      <c r="AB8" s="7"/>
      <c r="AC8" s="7"/>
      <c r="AD8" s="7"/>
      <c r="AE8" s="7"/>
      <c r="AF8" s="7"/>
      <c r="AG8" s="2491"/>
      <c r="AH8" s="2492"/>
      <c r="AI8" s="2492"/>
      <c r="AJ8" s="2493"/>
      <c r="AK8" s="2494"/>
      <c r="AL8" s="2491"/>
      <c r="AM8" s="2491"/>
      <c r="AN8" s="2490"/>
      <c r="AO8" s="2491"/>
      <c r="AP8" s="2492"/>
      <c r="AQ8" s="2492"/>
      <c r="AR8" s="2493"/>
      <c r="AS8" s="2494"/>
      <c r="AT8" s="2491"/>
      <c r="AU8" s="2491"/>
      <c r="AV8" s="2490"/>
      <c r="AW8" s="2491"/>
      <c r="AX8" s="2492"/>
      <c r="AY8" s="2492"/>
      <c r="AZ8" s="2493"/>
      <c r="BA8" s="2494"/>
      <c r="BB8" s="16"/>
      <c r="BC8" s="16"/>
      <c r="BD8" s="22"/>
      <c r="BE8" s="16"/>
      <c r="BF8" s="19"/>
      <c r="BG8" s="19"/>
      <c r="BH8" s="50"/>
      <c r="BJ8" s="16"/>
      <c r="BK8" s="16"/>
      <c r="BL8" s="22"/>
      <c r="BM8" s="16"/>
      <c r="BN8" s="19"/>
      <c r="BO8" s="19"/>
      <c r="BP8" s="50"/>
      <c r="BR8" s="16"/>
      <c r="BS8" s="16"/>
      <c r="BT8" s="22"/>
      <c r="BU8" s="16"/>
      <c r="BV8" s="19"/>
      <c r="BW8" s="19"/>
      <c r="BX8" s="50"/>
      <c r="BZ8" s="16"/>
      <c r="CA8" s="16"/>
      <c r="CB8" s="22"/>
      <c r="CC8" s="16"/>
      <c r="CD8" s="19"/>
      <c r="CE8" s="19"/>
      <c r="CF8" s="50"/>
      <c r="CH8" s="16"/>
      <c r="CI8" s="16"/>
      <c r="CJ8" s="22"/>
      <c r="CK8" s="16"/>
      <c r="CL8" s="19"/>
      <c r="CM8" s="19"/>
      <c r="CN8" s="50"/>
      <c r="CP8" s="138"/>
      <c r="DZ8" s="13"/>
      <c r="EA8" s="50"/>
      <c r="EB8" s="90"/>
      <c r="EC8" s="13"/>
    </row>
    <row r="9" spans="1:172" s="8" customFormat="1" ht="39.950000000000003" customHeight="1" x14ac:dyDescent="0.2">
      <c r="A9" s="20"/>
      <c r="B9" s="20"/>
      <c r="C9" s="1357"/>
      <c r="D9" s="13"/>
      <c r="E9" s="561"/>
      <c r="F9" s="2608" t="s">
        <v>648</v>
      </c>
      <c r="G9" s="2608"/>
      <c r="H9" s="2608"/>
      <c r="I9" s="2608"/>
      <c r="J9" s="3382"/>
      <c r="K9" s="2608"/>
      <c r="L9" s="2608"/>
      <c r="M9" s="2608"/>
      <c r="N9" s="2608"/>
      <c r="O9" s="2608"/>
      <c r="P9" s="107"/>
      <c r="Q9" s="107"/>
      <c r="R9" s="107"/>
      <c r="S9" s="107"/>
      <c r="T9" s="959"/>
      <c r="V9" s="7"/>
      <c r="W9" s="7"/>
      <c r="X9" s="7"/>
      <c r="Y9" s="7"/>
      <c r="Z9" s="7"/>
      <c r="AA9" s="7"/>
      <c r="AB9" s="7"/>
      <c r="AC9" s="7"/>
      <c r="AD9" s="7"/>
      <c r="AE9" s="7"/>
      <c r="AF9" s="7"/>
      <c r="AG9" s="2491"/>
      <c r="AH9" s="2491"/>
      <c r="AI9" s="2491"/>
      <c r="AJ9" s="2491"/>
      <c r="AK9" s="2490"/>
      <c r="AL9" s="2491"/>
      <c r="AM9" s="2491"/>
      <c r="AN9" s="2492"/>
      <c r="AO9" s="2492"/>
      <c r="AP9" s="2492"/>
      <c r="AQ9" s="2493"/>
      <c r="AR9" s="2493"/>
      <c r="AS9" s="2494"/>
      <c r="AT9" s="2491"/>
      <c r="AU9" s="2491"/>
      <c r="AV9" s="2491"/>
      <c r="AW9" s="2491"/>
      <c r="AX9" s="2490"/>
      <c r="AY9" s="2490"/>
      <c r="AZ9" s="2490"/>
      <c r="BA9" s="2491"/>
      <c r="BB9" s="19"/>
      <c r="BC9" s="19"/>
      <c r="BD9" s="19"/>
      <c r="BE9" s="50"/>
      <c r="BF9" s="50"/>
      <c r="BI9" s="16"/>
      <c r="BJ9" s="16"/>
      <c r="BK9" s="16"/>
      <c r="BL9" s="16"/>
      <c r="BM9" s="22"/>
      <c r="BN9" s="16"/>
      <c r="BO9" s="19"/>
      <c r="BP9" s="19"/>
      <c r="BQ9" s="19"/>
      <c r="BR9" s="19"/>
      <c r="BS9" s="19"/>
      <c r="BT9" s="50"/>
      <c r="BU9" s="50"/>
      <c r="BW9" s="16"/>
      <c r="BX9" s="16"/>
      <c r="BY9" s="16"/>
      <c r="BZ9" s="22"/>
      <c r="CA9" s="22"/>
      <c r="CB9" s="22"/>
      <c r="CC9" s="16"/>
      <c r="CD9" s="19"/>
      <c r="CE9" s="19"/>
      <c r="CF9" s="19"/>
      <c r="CG9" s="19"/>
      <c r="CH9" s="50"/>
      <c r="CI9" s="50"/>
      <c r="CK9" s="16"/>
      <c r="CL9" s="16"/>
      <c r="CM9" s="16"/>
      <c r="CN9" s="16"/>
      <c r="CO9" s="22"/>
      <c r="CP9" s="16"/>
      <c r="CQ9" s="22"/>
      <c r="CR9" s="16"/>
      <c r="CS9" s="19"/>
      <c r="CT9" s="19"/>
      <c r="CU9" s="50"/>
      <c r="CV9" s="50"/>
      <c r="CX9" s="16"/>
      <c r="CY9" s="16"/>
      <c r="CZ9" s="16"/>
      <c r="DA9" s="22"/>
      <c r="DB9" s="16"/>
      <c r="DC9" s="19"/>
      <c r="DD9" s="19"/>
      <c r="DE9" s="19"/>
      <c r="DF9" s="50"/>
      <c r="DH9" s="16"/>
      <c r="DI9" s="16"/>
      <c r="DJ9" s="22"/>
      <c r="DK9" s="16"/>
      <c r="DL9" s="19"/>
      <c r="DM9" s="19"/>
      <c r="DN9" s="50"/>
      <c r="DP9" s="16"/>
      <c r="DQ9" s="16"/>
      <c r="DR9" s="22"/>
      <c r="DS9" s="16"/>
      <c r="DT9" s="19"/>
      <c r="DU9" s="19"/>
      <c r="DV9" s="50"/>
      <c r="DX9" s="138"/>
      <c r="EC9" s="220"/>
      <c r="FG9" s="7"/>
      <c r="FH9" s="7"/>
      <c r="FI9" s="7"/>
      <c r="FJ9" s="7"/>
      <c r="FK9" s="7"/>
      <c r="FL9" s="7"/>
      <c r="FM9" s="7"/>
      <c r="FN9" s="7"/>
      <c r="FO9" s="7"/>
      <c r="FP9" s="7"/>
    </row>
    <row r="10" spans="1:172" s="8" customFormat="1" ht="9.9499999999999993" customHeight="1" thickBot="1" x14ac:dyDescent="0.25">
      <c r="A10" s="20"/>
      <c r="B10" s="20"/>
      <c r="C10" s="1357"/>
      <c r="D10" s="13"/>
      <c r="E10" s="561"/>
      <c r="F10" s="2608"/>
      <c r="G10" s="2608"/>
      <c r="H10" s="2608"/>
      <c r="I10" s="2608"/>
      <c r="J10" s="3382"/>
      <c r="K10" s="2608"/>
      <c r="L10" s="2608"/>
      <c r="M10" s="2608"/>
      <c r="N10" s="2608"/>
      <c r="O10" s="2608"/>
      <c r="P10" s="107"/>
      <c r="Q10" s="107"/>
      <c r="R10" s="107"/>
      <c r="S10" s="107"/>
      <c r="T10" s="959"/>
      <c r="V10" s="7"/>
      <c r="W10" s="7"/>
      <c r="X10" s="7"/>
      <c r="Y10" s="7"/>
      <c r="Z10" s="7"/>
      <c r="AA10" s="7"/>
      <c r="AB10" s="7"/>
      <c r="AC10" s="7"/>
      <c r="AD10" s="7"/>
      <c r="AE10" s="7"/>
      <c r="AF10" s="7"/>
      <c r="AG10" s="2491"/>
      <c r="AH10" s="2491"/>
      <c r="AI10" s="2491"/>
      <c r="AJ10" s="2491"/>
      <c r="AK10" s="2490"/>
      <c r="AL10" s="2491"/>
      <c r="AM10" s="2491"/>
      <c r="AN10" s="2492"/>
      <c r="AO10" s="2492"/>
      <c r="AP10" s="2492"/>
      <c r="AQ10" s="2493"/>
      <c r="AR10" s="2493"/>
      <c r="AS10" s="2494"/>
      <c r="AT10" s="2491"/>
      <c r="AU10" s="2491"/>
      <c r="AV10" s="2491"/>
      <c r="AW10" s="2491"/>
      <c r="AX10" s="2490"/>
      <c r="AY10" s="2490"/>
      <c r="AZ10" s="2490"/>
      <c r="BA10" s="2491"/>
      <c r="BB10" s="19"/>
      <c r="BC10" s="19"/>
      <c r="BD10" s="19"/>
      <c r="BE10" s="50"/>
      <c r="BF10" s="50"/>
      <c r="BI10" s="16"/>
      <c r="BJ10" s="16"/>
      <c r="BK10" s="16"/>
      <c r="BL10" s="16"/>
      <c r="BM10" s="22"/>
      <c r="BN10" s="16"/>
      <c r="BO10" s="19"/>
      <c r="BP10" s="19"/>
      <c r="BQ10" s="19"/>
      <c r="BR10" s="19"/>
      <c r="BS10" s="19"/>
      <c r="BT10" s="50"/>
      <c r="BU10" s="50"/>
      <c r="BW10" s="16"/>
      <c r="BX10" s="16"/>
      <c r="BY10" s="16"/>
      <c r="BZ10" s="22"/>
      <c r="CA10" s="22"/>
      <c r="CB10" s="22"/>
      <c r="CC10" s="16"/>
      <c r="CD10" s="19"/>
      <c r="CE10" s="19"/>
      <c r="CF10" s="19"/>
      <c r="CG10" s="19"/>
      <c r="CH10" s="50"/>
      <c r="CI10" s="50"/>
      <c r="CK10" s="16"/>
      <c r="CL10" s="16"/>
      <c r="CM10" s="16"/>
      <c r="CN10" s="16"/>
      <c r="CO10" s="22"/>
      <c r="CP10" s="16"/>
      <c r="CQ10" s="22"/>
      <c r="CR10" s="16"/>
      <c r="CS10" s="19"/>
      <c r="CT10" s="19"/>
      <c r="CU10" s="50"/>
      <c r="CV10" s="50"/>
      <c r="CX10" s="16"/>
      <c r="CY10" s="16"/>
      <c r="CZ10" s="16"/>
      <c r="DA10" s="22"/>
      <c r="DB10" s="16"/>
      <c r="DC10" s="19"/>
      <c r="DD10" s="19"/>
      <c r="DE10" s="19"/>
      <c r="DF10" s="50"/>
      <c r="DH10" s="16"/>
      <c r="DI10" s="16"/>
      <c r="DJ10" s="22"/>
      <c r="DK10" s="16"/>
      <c r="DL10" s="19"/>
      <c r="DM10" s="19"/>
      <c r="DN10" s="50"/>
      <c r="DP10" s="16"/>
      <c r="DQ10" s="16"/>
      <c r="DR10" s="22"/>
      <c r="DS10" s="16"/>
      <c r="DT10" s="19"/>
      <c r="DU10" s="19"/>
      <c r="DV10" s="50"/>
      <c r="DX10" s="138"/>
      <c r="EC10" s="220"/>
      <c r="FG10" s="7"/>
      <c r="FH10" s="7"/>
      <c r="FI10" s="7"/>
      <c r="FJ10" s="7"/>
      <c r="FK10" s="7"/>
      <c r="FL10" s="7"/>
      <c r="FM10" s="7"/>
      <c r="FN10" s="7"/>
      <c r="FO10" s="7"/>
      <c r="FP10" s="7"/>
    </row>
    <row r="11" spans="1:172" s="8" customFormat="1" ht="9.9499999999999993" customHeight="1" x14ac:dyDescent="0.2">
      <c r="A11" s="20"/>
      <c r="B11" s="20"/>
      <c r="C11" s="1357"/>
      <c r="D11" s="13"/>
      <c r="E11" s="561"/>
      <c r="F11" s="7200" t="str">
        <f>IF(_Calcs!$D$11=1,_List!$CU$8&amp;" arkfane",IF(_Calcs!$D$11=2,_Calcs!$J$53,""))</f>
        <v>Denne arkfanen er ikke i bruk!</v>
      </c>
      <c r="G11" s="7201"/>
      <c r="H11" s="7201"/>
      <c r="I11" s="7201"/>
      <c r="J11" s="7201"/>
      <c r="K11" s="7201"/>
      <c r="L11" s="7201"/>
      <c r="M11" s="7201"/>
      <c r="N11" s="7201"/>
      <c r="O11" s="7202"/>
      <c r="P11" s="107"/>
      <c r="Q11" s="7177" t="str">
        <f>IF(_Calcs!$D$11=2,"!","")</f>
        <v>!</v>
      </c>
      <c r="R11" s="107"/>
      <c r="S11" s="107"/>
      <c r="T11" s="959"/>
      <c r="V11" s="7"/>
      <c r="W11" s="7"/>
      <c r="X11" s="7"/>
      <c r="Y11" s="7"/>
      <c r="Z11" s="7"/>
      <c r="AA11" s="7"/>
      <c r="AB11" s="7"/>
      <c r="AC11" s="7"/>
      <c r="AD11" s="7"/>
      <c r="AE11" s="7"/>
      <c r="AF11" s="7"/>
      <c r="AG11" s="2491"/>
      <c r="AH11" s="2491"/>
      <c r="AI11" s="2491"/>
      <c r="AJ11" s="2491"/>
      <c r="AK11" s="2490"/>
      <c r="AL11" s="2491"/>
      <c r="AM11" s="2491"/>
      <c r="AN11" s="2492"/>
      <c r="AO11" s="2492"/>
      <c r="AP11" s="2492"/>
      <c r="AQ11" s="2493"/>
      <c r="AR11" s="2493"/>
      <c r="AS11" s="2494"/>
      <c r="AT11" s="2491"/>
      <c r="AU11" s="2491"/>
      <c r="AV11" s="2491"/>
      <c r="AW11" s="2491"/>
      <c r="AX11" s="2490"/>
      <c r="AY11" s="2490"/>
      <c r="AZ11" s="2490"/>
      <c r="BA11" s="2491"/>
      <c r="BB11" s="19"/>
      <c r="BC11" s="19"/>
      <c r="BD11" s="19"/>
      <c r="BE11" s="50"/>
      <c r="BF11" s="50"/>
      <c r="BI11" s="16"/>
      <c r="BJ11" s="16"/>
      <c r="BK11" s="16"/>
      <c r="BL11" s="16"/>
      <c r="BM11" s="22"/>
      <c r="BN11" s="16"/>
      <c r="BO11" s="19"/>
      <c r="BP11" s="19"/>
      <c r="BQ11" s="19"/>
      <c r="BR11" s="19"/>
      <c r="BS11" s="19"/>
      <c r="BT11" s="50"/>
      <c r="BU11" s="50"/>
      <c r="BW11" s="16"/>
      <c r="BX11" s="16"/>
      <c r="BY11" s="16"/>
      <c r="BZ11" s="22"/>
      <c r="CA11" s="22"/>
      <c r="CB11" s="22"/>
      <c r="CC11" s="16"/>
      <c r="CD11" s="19"/>
      <c r="CE11" s="19"/>
      <c r="CF11" s="19"/>
      <c r="CG11" s="19"/>
      <c r="CH11" s="50"/>
      <c r="CI11" s="50"/>
      <c r="CK11" s="16"/>
      <c r="CL11" s="16"/>
      <c r="CM11" s="16"/>
      <c r="CN11" s="16"/>
      <c r="CO11" s="22"/>
      <c r="CP11" s="16"/>
      <c r="CQ11" s="22"/>
      <c r="CR11" s="16"/>
      <c r="CS11" s="19"/>
      <c r="CT11" s="19"/>
      <c r="CU11" s="50"/>
      <c r="CV11" s="50"/>
      <c r="CX11" s="16"/>
      <c r="CY11" s="16"/>
      <c r="CZ11" s="16"/>
      <c r="DA11" s="22"/>
      <c r="DB11" s="16"/>
      <c r="DC11" s="19"/>
      <c r="DD11" s="19"/>
      <c r="DE11" s="19"/>
      <c r="DF11" s="50"/>
      <c r="DH11" s="16"/>
      <c r="DI11" s="16"/>
      <c r="DJ11" s="22"/>
      <c r="DK11" s="16"/>
      <c r="DL11" s="19"/>
      <c r="DM11" s="19"/>
      <c r="DN11" s="50"/>
      <c r="DP11" s="16"/>
      <c r="DQ11" s="16"/>
      <c r="DR11" s="22"/>
      <c r="DS11" s="16"/>
      <c r="DT11" s="19"/>
      <c r="DU11" s="19"/>
      <c r="DV11" s="50"/>
      <c r="DX11" s="138"/>
      <c r="EC11" s="220"/>
      <c r="FG11" s="7"/>
      <c r="FH11" s="7"/>
      <c r="FI11" s="7"/>
      <c r="FJ11" s="7"/>
      <c r="FK11" s="7"/>
      <c r="FL11" s="7"/>
      <c r="FM11" s="7"/>
      <c r="FN11" s="7"/>
      <c r="FO11" s="7"/>
      <c r="FP11" s="7"/>
    </row>
    <row r="12" spans="1:172" s="8" customFormat="1" ht="20.100000000000001" customHeight="1" x14ac:dyDescent="0.2">
      <c r="A12" s="20"/>
      <c r="B12" s="20"/>
      <c r="C12" s="1357"/>
      <c r="D12" s="13"/>
      <c r="E12" s="561"/>
      <c r="F12" s="7203"/>
      <c r="G12" s="7204"/>
      <c r="H12" s="7204"/>
      <c r="I12" s="7204"/>
      <c r="J12" s="7204"/>
      <c r="K12" s="7204"/>
      <c r="L12" s="7204"/>
      <c r="M12" s="7204"/>
      <c r="N12" s="7204"/>
      <c r="O12" s="7205"/>
      <c r="P12" s="107"/>
      <c r="Q12" s="7178"/>
      <c r="R12" s="107"/>
      <c r="S12" s="107"/>
      <c r="T12" s="959"/>
      <c r="V12" s="7"/>
      <c r="W12" s="7"/>
      <c r="X12" s="7"/>
      <c r="Y12" s="7"/>
      <c r="Z12" s="7"/>
      <c r="AA12" s="7"/>
      <c r="AB12" s="7"/>
      <c r="AC12" s="7"/>
      <c r="AD12" s="7"/>
      <c r="AE12" s="7"/>
      <c r="AF12" s="7"/>
      <c r="AG12" s="2491"/>
      <c r="AH12" s="2491"/>
      <c r="AI12" s="2491"/>
      <c r="AJ12" s="2491"/>
      <c r="AK12" s="2490"/>
      <c r="AL12" s="2491"/>
      <c r="AM12" s="2491"/>
      <c r="AN12" s="2492"/>
      <c r="AO12" s="2492"/>
      <c r="AP12" s="2492"/>
      <c r="AQ12" s="2493"/>
      <c r="AR12" s="2493"/>
      <c r="AS12" s="2494"/>
      <c r="AT12" s="2491"/>
      <c r="AU12" s="2491"/>
      <c r="AV12" s="2491"/>
      <c r="AW12" s="2491"/>
      <c r="AX12" s="2490"/>
      <c r="AY12" s="2490"/>
      <c r="AZ12" s="2490"/>
      <c r="BA12" s="2491"/>
      <c r="BB12" s="19"/>
      <c r="BC12" s="19"/>
      <c r="BD12" s="19"/>
      <c r="BE12" s="50"/>
      <c r="BF12" s="50"/>
      <c r="BI12" s="16"/>
      <c r="BJ12" s="16"/>
      <c r="BK12" s="16"/>
      <c r="BL12" s="16"/>
      <c r="BM12" s="22"/>
      <c r="BN12" s="16"/>
      <c r="BO12" s="19"/>
      <c r="BP12" s="19"/>
      <c r="BQ12" s="19"/>
      <c r="BR12" s="19"/>
      <c r="BS12" s="19"/>
      <c r="BT12" s="50"/>
      <c r="BU12" s="50"/>
      <c r="BW12" s="16"/>
      <c r="BX12" s="16"/>
      <c r="BY12" s="16"/>
      <c r="BZ12" s="22"/>
      <c r="CA12" s="22"/>
      <c r="CB12" s="22"/>
      <c r="CC12" s="16"/>
      <c r="CD12" s="19"/>
      <c r="CE12" s="19"/>
      <c r="CF12" s="19"/>
      <c r="CG12" s="19"/>
      <c r="CH12" s="50"/>
      <c r="CI12" s="50"/>
      <c r="CK12" s="16"/>
      <c r="CL12" s="16"/>
      <c r="CM12" s="16"/>
      <c r="CN12" s="16"/>
      <c r="CO12" s="22"/>
      <c r="CP12" s="16"/>
      <c r="CQ12" s="22"/>
      <c r="CR12" s="16"/>
      <c r="CS12" s="19"/>
      <c r="CT12" s="19"/>
      <c r="CU12" s="50"/>
      <c r="CV12" s="50"/>
      <c r="CX12" s="16"/>
      <c r="CY12" s="16"/>
      <c r="CZ12" s="16"/>
      <c r="DA12" s="22"/>
      <c r="DB12" s="16"/>
      <c r="DC12" s="19"/>
      <c r="DD12" s="19"/>
      <c r="DE12" s="19"/>
      <c r="DF12" s="50"/>
      <c r="DH12" s="16"/>
      <c r="DI12" s="16"/>
      <c r="DJ12" s="22"/>
      <c r="DK12" s="16"/>
      <c r="DL12" s="19"/>
      <c r="DM12" s="19"/>
      <c r="DN12" s="50"/>
      <c r="DP12" s="16"/>
      <c r="DQ12" s="16"/>
      <c r="DR12" s="22"/>
      <c r="DS12" s="16"/>
      <c r="DT12" s="19"/>
      <c r="DU12" s="19"/>
      <c r="DV12" s="50"/>
      <c r="DX12" s="138"/>
      <c r="EC12" s="220"/>
      <c r="FG12" s="7"/>
      <c r="FH12" s="7"/>
      <c r="FI12" s="7"/>
      <c r="FJ12" s="7"/>
      <c r="FK12" s="7"/>
      <c r="FL12" s="7"/>
      <c r="FM12" s="7"/>
      <c r="FN12" s="7"/>
      <c r="FO12" s="7"/>
      <c r="FP12" s="7"/>
    </row>
    <row r="13" spans="1:172" s="1673" customFormat="1" ht="9.9499999999999993" customHeight="1" thickBot="1" x14ac:dyDescent="0.25">
      <c r="A13" s="2082"/>
      <c r="B13" s="2082"/>
      <c r="C13" s="3383"/>
      <c r="D13" s="2000"/>
      <c r="E13" s="3384"/>
      <c r="F13" s="7206"/>
      <c r="G13" s="7207"/>
      <c r="H13" s="7207"/>
      <c r="I13" s="7207"/>
      <c r="J13" s="7207"/>
      <c r="K13" s="7207"/>
      <c r="L13" s="7207"/>
      <c r="M13" s="7207"/>
      <c r="N13" s="7207"/>
      <c r="O13" s="7208"/>
      <c r="P13" s="3385"/>
      <c r="Q13" s="7179"/>
      <c r="R13" s="3385"/>
      <c r="S13" s="3385"/>
      <c r="T13" s="3386"/>
      <c r="V13" s="7"/>
      <c r="W13" s="7"/>
      <c r="X13" s="7"/>
      <c r="Y13" s="7"/>
      <c r="Z13" s="7"/>
      <c r="AA13" s="7"/>
      <c r="AB13" s="7"/>
      <c r="AC13" s="7"/>
      <c r="AD13" s="7"/>
      <c r="AE13" s="7"/>
      <c r="AF13" s="7"/>
      <c r="AG13" s="3388"/>
      <c r="AH13" s="3388"/>
      <c r="AI13" s="3388"/>
      <c r="AJ13" s="3388"/>
      <c r="AK13" s="3387"/>
      <c r="AL13" s="3388"/>
      <c r="AM13" s="3388"/>
      <c r="AN13" s="3389"/>
      <c r="AO13" s="3389"/>
      <c r="AP13" s="3389"/>
      <c r="AQ13" s="3390"/>
      <c r="AR13" s="3390"/>
      <c r="AS13" s="3391"/>
      <c r="AT13" s="3388"/>
      <c r="AU13" s="3388"/>
      <c r="AV13" s="3388"/>
      <c r="AW13" s="3388"/>
      <c r="AX13" s="3387"/>
      <c r="AY13" s="3387"/>
      <c r="AZ13" s="3387"/>
      <c r="BA13" s="3388"/>
      <c r="BB13" s="217"/>
      <c r="BC13" s="217"/>
      <c r="BD13" s="217"/>
      <c r="BE13" s="3392"/>
      <c r="BF13" s="3392"/>
      <c r="BI13" s="218"/>
      <c r="BJ13" s="218"/>
      <c r="BK13" s="218"/>
      <c r="BL13" s="218"/>
      <c r="BM13" s="3393"/>
      <c r="BN13" s="218"/>
      <c r="BO13" s="217"/>
      <c r="BP13" s="217"/>
      <c r="BQ13" s="217"/>
      <c r="BR13" s="217"/>
      <c r="BS13" s="217"/>
      <c r="BT13" s="3392"/>
      <c r="BU13" s="3392"/>
      <c r="BW13" s="218"/>
      <c r="BX13" s="218"/>
      <c r="BY13" s="218"/>
      <c r="BZ13" s="3393"/>
      <c r="CA13" s="3393"/>
      <c r="CB13" s="3393"/>
      <c r="CC13" s="218"/>
      <c r="CD13" s="217"/>
      <c r="CE13" s="217"/>
      <c r="CF13" s="217"/>
      <c r="CG13" s="217"/>
      <c r="CH13" s="3392"/>
      <c r="CI13" s="3392"/>
      <c r="CK13" s="218"/>
      <c r="CL13" s="218"/>
      <c r="CM13" s="218"/>
      <c r="CN13" s="218"/>
      <c r="CO13" s="3393"/>
      <c r="CP13" s="218"/>
      <c r="CQ13" s="3393"/>
      <c r="CR13" s="218"/>
      <c r="CS13" s="217"/>
      <c r="CT13" s="217"/>
      <c r="CU13" s="3392"/>
      <c r="CV13" s="3392"/>
      <c r="CX13" s="218"/>
      <c r="CY13" s="218"/>
      <c r="CZ13" s="218"/>
      <c r="DA13" s="3393"/>
      <c r="DB13" s="218"/>
      <c r="DC13" s="217"/>
      <c r="DD13" s="217"/>
      <c r="DE13" s="217"/>
      <c r="DF13" s="3392"/>
      <c r="DH13" s="218"/>
      <c r="DI13" s="218"/>
      <c r="DJ13" s="3393"/>
      <c r="DK13" s="218"/>
      <c r="DL13" s="217"/>
      <c r="DM13" s="217"/>
      <c r="DN13" s="3392"/>
      <c r="DP13" s="218"/>
      <c r="DQ13" s="218"/>
      <c r="DR13" s="3393"/>
      <c r="DS13" s="218"/>
      <c r="DT13" s="217"/>
      <c r="DU13" s="217"/>
      <c r="DV13" s="3392"/>
      <c r="DX13" s="1467"/>
      <c r="EC13" s="2088"/>
    </row>
    <row r="14" spans="1:172" s="8" customFormat="1" ht="15" customHeight="1" thickBot="1" x14ac:dyDescent="0.25">
      <c r="A14" s="20"/>
      <c r="B14" s="20"/>
      <c r="C14" s="1357"/>
      <c r="D14" s="13"/>
      <c r="E14" s="561"/>
      <c r="F14" s="1844"/>
      <c r="G14" s="1844"/>
      <c r="H14" s="1844"/>
      <c r="I14" s="1844"/>
      <c r="J14" s="1844"/>
      <c r="K14" s="1844"/>
      <c r="L14" s="1844"/>
      <c r="M14" s="1844"/>
      <c r="N14" s="1844"/>
      <c r="O14" s="1844"/>
      <c r="P14" s="107"/>
      <c r="Q14" s="107"/>
      <c r="R14" s="107"/>
      <c r="S14" s="107"/>
      <c r="T14" s="959"/>
      <c r="V14" s="7"/>
      <c r="W14" s="7"/>
      <c r="X14" s="7"/>
      <c r="Y14" s="7"/>
      <c r="Z14" s="7"/>
      <c r="AA14" s="7"/>
      <c r="AB14" s="7"/>
      <c r="AC14" s="7"/>
      <c r="AD14" s="7"/>
      <c r="AE14" s="7"/>
      <c r="AF14" s="7"/>
      <c r="AG14" s="2491"/>
      <c r="AH14" s="2491"/>
      <c r="AI14" s="2491"/>
      <c r="AJ14" s="2491"/>
      <c r="AK14" s="2490"/>
      <c r="AL14" s="2491"/>
      <c r="AM14" s="2491"/>
      <c r="AN14" s="2492"/>
      <c r="AO14" s="2492"/>
      <c r="AP14" s="2492"/>
      <c r="AQ14" s="2493"/>
      <c r="AR14" s="2493"/>
      <c r="AS14" s="2494"/>
      <c r="AT14" s="2491"/>
      <c r="AU14" s="2491"/>
      <c r="AV14" s="2491"/>
      <c r="AW14" s="2491"/>
      <c r="AX14" s="2490"/>
      <c r="AY14" s="2490"/>
      <c r="AZ14" s="2490"/>
      <c r="BA14" s="2491"/>
      <c r="BB14" s="19"/>
      <c r="BC14" s="19"/>
      <c r="BD14" s="19"/>
      <c r="BE14" s="50"/>
      <c r="BF14" s="50"/>
      <c r="BI14" s="16"/>
      <c r="BJ14" s="16"/>
      <c r="BK14" s="16"/>
      <c r="BL14" s="16"/>
      <c r="BM14" s="22"/>
      <c r="BN14" s="16"/>
      <c r="BO14" s="19"/>
      <c r="BP14" s="19"/>
      <c r="BQ14" s="19"/>
      <c r="BR14" s="19"/>
      <c r="BS14" s="19"/>
      <c r="BT14" s="50"/>
      <c r="BU14" s="50"/>
      <c r="BW14" s="16"/>
      <c r="BX14" s="16"/>
      <c r="BY14" s="16"/>
      <c r="BZ14" s="22"/>
      <c r="CA14" s="22"/>
      <c r="CB14" s="22"/>
      <c r="CC14" s="16"/>
      <c r="CD14" s="19"/>
      <c r="CE14" s="19"/>
      <c r="CF14" s="19"/>
      <c r="CG14" s="19"/>
      <c r="CH14" s="50"/>
      <c r="CI14" s="50"/>
      <c r="CK14" s="16"/>
      <c r="CL14" s="16"/>
      <c r="CM14" s="16"/>
      <c r="CN14" s="16"/>
      <c r="CO14" s="22"/>
      <c r="CP14" s="16"/>
      <c r="CQ14" s="22"/>
      <c r="CR14" s="16"/>
      <c r="CS14" s="19"/>
      <c r="CT14" s="19"/>
      <c r="CU14" s="50"/>
      <c r="CV14" s="50"/>
      <c r="CX14" s="16"/>
      <c r="CY14" s="16"/>
      <c r="CZ14" s="16"/>
      <c r="DA14" s="22"/>
      <c r="DB14" s="16"/>
      <c r="DC14" s="19"/>
      <c r="DD14" s="19"/>
      <c r="DE14" s="19"/>
      <c r="DF14" s="50"/>
      <c r="DH14" s="16"/>
      <c r="DI14" s="16"/>
      <c r="DJ14" s="22"/>
      <c r="DK14" s="16"/>
      <c r="DL14" s="19"/>
      <c r="DM14" s="19"/>
      <c r="DN14" s="50"/>
      <c r="DP14" s="16"/>
      <c r="DQ14" s="16"/>
      <c r="DR14" s="22"/>
      <c r="DS14" s="16"/>
      <c r="DT14" s="19"/>
      <c r="DU14" s="19"/>
      <c r="DV14" s="50"/>
      <c r="DX14" s="138"/>
      <c r="EC14" s="220"/>
      <c r="FG14" s="7"/>
      <c r="FH14" s="7"/>
      <c r="FI14" s="7"/>
      <c r="FJ14" s="7"/>
      <c r="FK14" s="7"/>
      <c r="FL14" s="7"/>
      <c r="FM14" s="7"/>
      <c r="FN14" s="7"/>
      <c r="FO14" s="7"/>
      <c r="FP14" s="7"/>
    </row>
    <row r="15" spans="1:172" s="8" customFormat="1" ht="15" customHeight="1" x14ac:dyDescent="0.2">
      <c r="A15" s="20"/>
      <c r="B15" s="20"/>
      <c r="C15" s="1357"/>
      <c r="D15" s="13"/>
      <c r="E15" s="561"/>
      <c r="F15" s="7167" t="str">
        <f>IF(_Calcs!$D$11=1,"Beregnet mengde",IF(_Calcs!$D$11=2,"Klikk her til:","!"))</f>
        <v>Klikk her til:</v>
      </c>
      <c r="G15" s="7209"/>
      <c r="H15" s="7168"/>
      <c r="I15" s="7193" t="str">
        <f>IF(_Calcs!$D$11=2,_List!$CU$7&amp;" arkfane","")</f>
        <v>Mengdebasert arkfane</v>
      </c>
      <c r="J15" s="7194"/>
      <c r="K15" s="7194"/>
      <c r="L15" s="7194"/>
      <c r="M15" s="7194"/>
      <c r="N15" s="7194"/>
      <c r="O15" s="7194"/>
      <c r="P15" s="7194"/>
      <c r="Q15" s="7194"/>
      <c r="R15" s="7194"/>
      <c r="S15" s="7195"/>
      <c r="T15" s="959"/>
      <c r="V15" s="7"/>
      <c r="W15" s="7"/>
      <c r="X15" s="7"/>
      <c r="Y15" s="7"/>
      <c r="Z15" s="7"/>
      <c r="AA15" s="7"/>
      <c r="AB15" s="7"/>
      <c r="AC15" s="7"/>
      <c r="AD15" s="7"/>
      <c r="AE15" s="7"/>
      <c r="AF15" s="7"/>
      <c r="AG15" s="2491"/>
      <c r="AH15" s="2491"/>
      <c r="AI15" s="2491"/>
      <c r="AJ15" s="2491"/>
      <c r="AK15" s="2490"/>
      <c r="AL15" s="2491"/>
      <c r="AM15" s="2491"/>
      <c r="AN15" s="2492"/>
      <c r="AO15" s="2492"/>
      <c r="AP15" s="2492"/>
      <c r="AQ15" s="2493"/>
      <c r="AR15" s="2493"/>
      <c r="AS15" s="2494"/>
      <c r="AT15" s="2491"/>
      <c r="AU15" s="2491"/>
      <c r="AV15" s="2491"/>
      <c r="AW15" s="2491"/>
      <c r="AX15" s="2490"/>
      <c r="AY15" s="2490"/>
      <c r="AZ15" s="2490"/>
      <c r="BA15" s="2491"/>
      <c r="BB15" s="19"/>
      <c r="BC15" s="19"/>
      <c r="BD15" s="19"/>
      <c r="BE15" s="50"/>
      <c r="BF15" s="50"/>
      <c r="BI15" s="16"/>
      <c r="BJ15" s="16"/>
      <c r="BK15" s="16"/>
      <c r="BL15" s="16"/>
      <c r="BM15" s="22"/>
      <c r="BN15" s="16"/>
      <c r="BO15" s="19"/>
      <c r="BP15" s="19"/>
      <c r="BQ15" s="19"/>
      <c r="BR15" s="19"/>
      <c r="BS15" s="19"/>
      <c r="BT15" s="50"/>
      <c r="BU15" s="50"/>
      <c r="BW15" s="16"/>
      <c r="BX15" s="16"/>
      <c r="BY15" s="16"/>
      <c r="BZ15" s="22"/>
      <c r="CA15" s="22"/>
      <c r="CB15" s="22"/>
      <c r="CC15" s="16"/>
      <c r="CD15" s="19"/>
      <c r="CE15" s="19"/>
      <c r="CF15" s="19"/>
      <c r="CG15" s="19"/>
      <c r="CH15" s="50"/>
      <c r="CI15" s="50"/>
      <c r="CK15" s="16"/>
      <c r="CL15" s="16"/>
      <c r="CM15" s="16"/>
      <c r="CN15" s="16"/>
      <c r="CO15" s="22"/>
      <c r="CP15" s="16"/>
      <c r="CQ15" s="22"/>
      <c r="CR15" s="16"/>
      <c r="CS15" s="19"/>
      <c r="CT15" s="19"/>
      <c r="CU15" s="50"/>
      <c r="CV15" s="50"/>
      <c r="CX15" s="16"/>
      <c r="CY15" s="16"/>
      <c r="CZ15" s="16"/>
      <c r="DA15" s="22"/>
      <c r="DB15" s="16"/>
      <c r="DC15" s="19"/>
      <c r="DD15" s="19"/>
      <c r="DE15" s="19"/>
      <c r="DF15" s="50"/>
      <c r="DH15" s="16"/>
      <c r="DI15" s="16"/>
      <c r="DJ15" s="22"/>
      <c r="DK15" s="16"/>
      <c r="DL15" s="19"/>
      <c r="DM15" s="19"/>
      <c r="DN15" s="50"/>
      <c r="DP15" s="16"/>
      <c r="DQ15" s="16"/>
      <c r="DR15" s="22"/>
      <c r="DS15" s="16"/>
      <c r="DT15" s="19"/>
      <c r="DU15" s="19"/>
      <c r="DV15" s="50"/>
      <c r="DX15" s="138"/>
      <c r="EC15" s="220"/>
      <c r="FG15" s="7"/>
      <c r="FH15" s="7"/>
      <c r="FI15" s="7"/>
      <c r="FJ15" s="7"/>
      <c r="FK15" s="7"/>
      <c r="FL15" s="7"/>
      <c r="FM15" s="7"/>
      <c r="FN15" s="7"/>
      <c r="FO15" s="7"/>
      <c r="FP15" s="7"/>
    </row>
    <row r="16" spans="1:172" s="21" customFormat="1" ht="24.95" customHeight="1" thickBot="1" x14ac:dyDescent="0.25">
      <c r="A16" s="20"/>
      <c r="B16" s="20"/>
      <c r="C16" s="1355"/>
      <c r="D16" s="13"/>
      <c r="E16" s="561"/>
      <c r="F16" s="7169"/>
      <c r="G16" s="7210"/>
      <c r="H16" s="7170"/>
      <c r="I16" s="7196"/>
      <c r="J16" s="7197"/>
      <c r="K16" s="7197"/>
      <c r="L16" s="7197"/>
      <c r="M16" s="7197"/>
      <c r="N16" s="7197"/>
      <c r="O16" s="7197"/>
      <c r="P16" s="7197"/>
      <c r="Q16" s="7197"/>
      <c r="R16" s="7197"/>
      <c r="S16" s="7198"/>
      <c r="T16" s="2280"/>
      <c r="V16" s="7"/>
      <c r="W16" s="7"/>
      <c r="X16" s="7"/>
      <c r="Y16" s="7"/>
      <c r="Z16" s="7"/>
      <c r="AA16" s="7"/>
      <c r="AB16" s="7"/>
      <c r="AC16" s="7"/>
      <c r="AD16" s="7"/>
      <c r="AE16" s="7"/>
      <c r="AF16" s="7"/>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row>
    <row r="17" spans="1:172" s="8" customFormat="1" ht="15" customHeight="1" thickBot="1" x14ac:dyDescent="0.25">
      <c r="A17" s="20"/>
      <c r="B17" s="20"/>
      <c r="C17" s="1357"/>
      <c r="D17" s="13"/>
      <c r="E17" s="563"/>
      <c r="F17" s="564"/>
      <c r="G17" s="564"/>
      <c r="H17" s="564"/>
      <c r="I17" s="564"/>
      <c r="J17" s="565"/>
      <c r="K17" s="565"/>
      <c r="L17" s="565"/>
      <c r="M17" s="565"/>
      <c r="N17" s="569"/>
      <c r="O17" s="960"/>
      <c r="P17" s="565"/>
      <c r="Q17" s="565"/>
      <c r="R17" s="565"/>
      <c r="S17" s="565"/>
      <c r="T17" s="961"/>
      <c r="V17" s="7"/>
      <c r="W17" s="7"/>
      <c r="X17" s="7"/>
      <c r="Y17" s="7"/>
      <c r="Z17" s="7"/>
      <c r="AA17" s="7"/>
      <c r="AB17" s="7"/>
      <c r="AC17" s="7"/>
      <c r="AD17" s="7"/>
      <c r="AE17" s="7"/>
      <c r="AF17" s="7"/>
      <c r="AG17" s="16"/>
      <c r="AH17" s="16"/>
      <c r="AI17" s="16"/>
      <c r="AJ17" s="16"/>
      <c r="AK17" s="22"/>
      <c r="AL17" s="16"/>
      <c r="AM17" s="16"/>
      <c r="AN17" s="19"/>
      <c r="AO17" s="19"/>
      <c r="AP17" s="19"/>
      <c r="AQ17" s="50"/>
      <c r="AR17" s="50"/>
      <c r="AT17" s="16"/>
      <c r="AU17" s="16"/>
      <c r="AV17" s="16"/>
      <c r="AW17" s="16"/>
      <c r="AX17" s="22"/>
      <c r="AY17" s="22"/>
      <c r="AZ17" s="22"/>
      <c r="BA17" s="16"/>
      <c r="BB17" s="19"/>
      <c r="BC17" s="19"/>
      <c r="BD17" s="19"/>
      <c r="BE17" s="50"/>
      <c r="BF17" s="50"/>
      <c r="BI17" s="16"/>
      <c r="BJ17" s="16"/>
      <c r="BK17" s="16"/>
      <c r="BL17" s="16"/>
      <c r="BM17" s="22"/>
      <c r="BN17" s="16"/>
      <c r="BO17" s="19"/>
      <c r="BP17" s="19"/>
      <c r="BQ17" s="19"/>
      <c r="BR17" s="19"/>
      <c r="BS17" s="19"/>
      <c r="BT17" s="50"/>
      <c r="BU17" s="50"/>
      <c r="BW17" s="16"/>
      <c r="BX17" s="16"/>
      <c r="BY17" s="16"/>
      <c r="BZ17" s="22"/>
      <c r="CA17" s="22"/>
      <c r="CB17" s="22"/>
      <c r="CC17" s="16"/>
      <c r="CD17" s="19"/>
      <c r="CE17" s="19"/>
      <c r="CF17" s="19"/>
      <c r="CG17" s="19"/>
      <c r="CH17" s="50"/>
      <c r="CI17" s="50"/>
      <c r="CK17" s="16"/>
      <c r="CL17" s="16"/>
      <c r="CM17" s="16"/>
      <c r="CN17" s="16"/>
      <c r="CO17" s="22"/>
      <c r="CP17" s="16"/>
      <c r="CQ17" s="22"/>
      <c r="CR17" s="16"/>
      <c r="CS17" s="19"/>
      <c r="CT17" s="19"/>
      <c r="CU17" s="50"/>
      <c r="CV17" s="50"/>
      <c r="CX17" s="16"/>
      <c r="CY17" s="16"/>
      <c r="CZ17" s="16"/>
      <c r="DA17" s="22"/>
      <c r="DB17" s="16"/>
      <c r="DC17" s="19"/>
      <c r="DD17" s="19"/>
      <c r="DE17" s="19"/>
      <c r="DF17" s="50"/>
      <c r="DH17" s="16"/>
      <c r="DI17" s="16"/>
      <c r="DJ17" s="22"/>
      <c r="DK17" s="16"/>
      <c r="DL17" s="19"/>
      <c r="DM17" s="19"/>
      <c r="DN17" s="50"/>
      <c r="DP17" s="16"/>
      <c r="DQ17" s="16"/>
      <c r="DR17" s="22"/>
      <c r="DS17" s="16"/>
      <c r="DT17" s="19"/>
      <c r="DU17" s="19"/>
      <c r="DV17" s="50"/>
      <c r="DX17" s="138"/>
      <c r="EC17" s="220"/>
      <c r="FG17" s="7"/>
      <c r="FH17" s="7"/>
      <c r="FI17" s="7"/>
      <c r="FJ17" s="7"/>
      <c r="FK17" s="7"/>
      <c r="FL17" s="7"/>
      <c r="FM17" s="7"/>
      <c r="FN17" s="7"/>
      <c r="FO17" s="7"/>
      <c r="FP17" s="7"/>
    </row>
    <row r="18" spans="1:172" s="8" customFormat="1" ht="15" customHeight="1" thickBot="1" x14ac:dyDescent="0.25">
      <c r="A18" s="20"/>
      <c r="B18" s="20"/>
      <c r="C18" s="1357"/>
      <c r="D18" s="13"/>
      <c r="E18" s="14"/>
      <c r="F18" s="21"/>
      <c r="G18" s="21"/>
      <c r="H18" s="21"/>
      <c r="I18" s="21"/>
      <c r="J18" s="16"/>
      <c r="K18" s="16"/>
      <c r="L18" s="16"/>
      <c r="M18" s="16"/>
      <c r="N18" s="50"/>
      <c r="O18" s="115"/>
      <c r="P18" s="16"/>
      <c r="Q18" s="16"/>
      <c r="S18" s="40"/>
      <c r="V18" s="16"/>
      <c r="W18" s="16"/>
      <c r="X18" s="22"/>
      <c r="Y18" s="16"/>
      <c r="Z18" s="16"/>
      <c r="AA18" s="19"/>
      <c r="AB18" s="19"/>
      <c r="AC18" s="50"/>
      <c r="AD18" s="50"/>
      <c r="AE18" s="50"/>
      <c r="AG18" s="16"/>
      <c r="AH18" s="16"/>
      <c r="AI18" s="16"/>
      <c r="AJ18" s="16"/>
      <c r="AK18" s="22"/>
      <c r="AL18" s="16"/>
      <c r="AM18" s="16"/>
      <c r="AN18" s="19"/>
      <c r="AO18" s="19"/>
      <c r="AP18" s="19"/>
      <c r="AQ18" s="50"/>
      <c r="AR18" s="50"/>
      <c r="AT18" s="16"/>
      <c r="AU18" s="16"/>
      <c r="AV18" s="16"/>
      <c r="AW18" s="16"/>
      <c r="AX18" s="22"/>
      <c r="AY18" s="22"/>
      <c r="AZ18" s="22"/>
      <c r="BA18" s="16"/>
      <c r="BB18" s="19"/>
      <c r="BC18" s="19"/>
      <c r="BD18" s="19"/>
      <c r="BE18" s="50"/>
      <c r="BF18" s="50"/>
      <c r="BI18" s="16"/>
      <c r="BJ18" s="16"/>
      <c r="BK18" s="16"/>
      <c r="BL18" s="16"/>
      <c r="BM18" s="22"/>
      <c r="BN18" s="16"/>
      <c r="BO18" s="19"/>
      <c r="BP18" s="19"/>
      <c r="BQ18" s="19"/>
      <c r="BR18" s="19"/>
      <c r="BS18" s="19"/>
      <c r="BT18" s="50"/>
      <c r="BU18" s="50"/>
      <c r="BW18" s="16"/>
      <c r="BX18" s="16"/>
      <c r="BY18" s="16"/>
      <c r="BZ18" s="22"/>
      <c r="CA18" s="22"/>
      <c r="CB18" s="22"/>
      <c r="CC18" s="16"/>
      <c r="CD18" s="19"/>
      <c r="CE18" s="19"/>
      <c r="CF18" s="19"/>
      <c r="CG18" s="19"/>
      <c r="CH18" s="50"/>
      <c r="CI18" s="50"/>
      <c r="CK18" s="16"/>
      <c r="CL18" s="16"/>
      <c r="CM18" s="16"/>
      <c r="CN18" s="16"/>
      <c r="CO18" s="22"/>
      <c r="CP18" s="16"/>
      <c r="CQ18" s="22"/>
      <c r="CR18" s="16"/>
      <c r="CS18" s="19"/>
      <c r="CT18" s="19"/>
      <c r="CU18" s="50"/>
      <c r="CV18" s="50"/>
      <c r="CX18" s="16"/>
      <c r="CY18" s="16"/>
      <c r="CZ18" s="16"/>
      <c r="DA18" s="22"/>
      <c r="DB18" s="16"/>
      <c r="DC18" s="19"/>
      <c r="DD18" s="19"/>
      <c r="DE18" s="19"/>
      <c r="DF18" s="50"/>
      <c r="DH18" s="16"/>
      <c r="DI18" s="16"/>
      <c r="DJ18" s="22"/>
      <c r="DK18" s="16"/>
      <c r="DL18" s="19"/>
      <c r="DM18" s="19"/>
      <c r="DN18" s="50"/>
      <c r="DP18" s="16"/>
      <c r="DQ18" s="16"/>
      <c r="DR18" s="22"/>
      <c r="DS18" s="16"/>
      <c r="DT18" s="19"/>
      <c r="DU18" s="19"/>
      <c r="DV18" s="50"/>
      <c r="DX18" s="138"/>
      <c r="EC18" s="220"/>
      <c r="FG18" s="7"/>
      <c r="FH18" s="7"/>
      <c r="FI18" s="7"/>
      <c r="FJ18" s="7"/>
      <c r="FK18" s="7"/>
      <c r="FL18" s="7"/>
      <c r="FM18" s="7"/>
      <c r="FN18" s="7"/>
      <c r="FO18" s="7"/>
      <c r="FP18" s="7"/>
    </row>
    <row r="19" spans="1:172" s="8" customFormat="1" ht="15" customHeight="1" thickBot="1" x14ac:dyDescent="0.25">
      <c r="A19" s="20"/>
      <c r="B19" s="20"/>
      <c r="C19" s="1357"/>
      <c r="D19" s="13"/>
      <c r="E19" s="1359"/>
      <c r="F19" s="1360"/>
      <c r="G19" s="1360"/>
      <c r="H19" s="1360"/>
      <c r="I19" s="1360"/>
      <c r="J19" s="1361"/>
      <c r="K19" s="1361"/>
      <c r="L19" s="1361"/>
      <c r="M19" s="1361"/>
      <c r="N19" s="1362"/>
      <c r="O19" s="1363"/>
      <c r="P19" s="1361"/>
      <c r="Q19" s="1361"/>
      <c r="R19" s="1361"/>
      <c r="S19" s="1361"/>
      <c r="T19" s="1364"/>
      <c r="V19" s="16"/>
      <c r="W19" s="16"/>
      <c r="X19" s="22"/>
      <c r="Y19" s="16"/>
      <c r="Z19" s="16"/>
      <c r="AA19" s="19"/>
      <c r="AB19" s="19"/>
      <c r="AC19" s="50"/>
      <c r="AD19" s="50"/>
      <c r="AE19" s="50"/>
      <c r="AG19" s="16"/>
      <c r="AH19" s="16"/>
      <c r="AI19" s="16"/>
      <c r="AJ19" s="16"/>
      <c r="AK19" s="22"/>
      <c r="AL19" s="16"/>
      <c r="AM19" s="16"/>
      <c r="AN19" s="19"/>
      <c r="AO19" s="19"/>
      <c r="AP19" s="19"/>
      <c r="AQ19" s="50"/>
      <c r="AR19" s="50"/>
      <c r="AT19" s="16"/>
      <c r="AU19" s="16"/>
      <c r="AV19" s="16"/>
      <c r="AW19" s="16"/>
      <c r="AX19" s="22"/>
      <c r="AY19" s="22"/>
      <c r="AZ19" s="22"/>
      <c r="BA19" s="16"/>
      <c r="BB19" s="19"/>
      <c r="BC19" s="19"/>
      <c r="BD19" s="19"/>
      <c r="BE19" s="50"/>
      <c r="BF19" s="50"/>
      <c r="BI19" s="16"/>
      <c r="BJ19" s="16"/>
      <c r="BK19" s="16"/>
      <c r="BL19" s="16"/>
      <c r="BM19" s="22"/>
      <c r="BN19" s="16"/>
      <c r="BO19" s="19"/>
      <c r="BP19" s="19"/>
      <c r="BQ19" s="19"/>
      <c r="BR19" s="19"/>
      <c r="BS19" s="19"/>
      <c r="BT19" s="50"/>
      <c r="BU19" s="50"/>
      <c r="BW19" s="16"/>
      <c r="BX19" s="16"/>
      <c r="BY19" s="16"/>
      <c r="BZ19" s="22"/>
      <c r="CA19" s="22"/>
      <c r="CB19" s="22"/>
      <c r="CC19" s="16"/>
      <c r="CD19" s="19"/>
      <c r="CE19" s="19"/>
      <c r="CF19" s="19"/>
      <c r="CG19" s="19"/>
      <c r="CH19" s="50"/>
      <c r="CI19" s="50"/>
      <c r="CK19" s="16"/>
      <c r="CL19" s="16"/>
      <c r="CM19" s="16"/>
      <c r="CN19" s="16"/>
      <c r="CO19" s="22"/>
      <c r="CP19" s="16"/>
      <c r="CQ19" s="22"/>
      <c r="CR19" s="16"/>
      <c r="CS19" s="19"/>
      <c r="CT19" s="19"/>
      <c r="CU19" s="50"/>
      <c r="CV19" s="50"/>
      <c r="CX19" s="16"/>
      <c r="CY19" s="16"/>
      <c r="CZ19" s="16"/>
      <c r="DA19" s="22"/>
      <c r="DB19" s="16"/>
      <c r="DC19" s="19"/>
      <c r="DD19" s="19"/>
      <c r="DE19" s="19"/>
      <c r="DF19" s="50"/>
      <c r="DH19" s="16"/>
      <c r="DI19" s="16"/>
      <c r="DJ19" s="22"/>
      <c r="DK19" s="16"/>
      <c r="DL19" s="19"/>
      <c r="DM19" s="19"/>
      <c r="DN19" s="50"/>
      <c r="DP19" s="16"/>
      <c r="DQ19" s="16"/>
      <c r="DR19" s="22"/>
      <c r="DS19" s="16"/>
      <c r="DT19" s="19"/>
      <c r="DU19" s="19"/>
      <c r="DV19" s="50"/>
      <c r="DX19" s="138"/>
      <c r="EC19" s="220"/>
      <c r="FG19" s="7"/>
      <c r="FH19" s="7"/>
      <c r="FI19" s="7"/>
      <c r="FJ19" s="7"/>
      <c r="FK19" s="7"/>
      <c r="FL19" s="7"/>
      <c r="FM19" s="7"/>
      <c r="FN19" s="7"/>
      <c r="FO19" s="7"/>
      <c r="FP19" s="7"/>
    </row>
    <row r="20" spans="1:172" s="8" customFormat="1" ht="30" customHeight="1" thickBot="1" x14ac:dyDescent="0.25">
      <c r="A20" s="20"/>
      <c r="B20" s="20"/>
      <c r="C20" s="1357"/>
      <c r="D20" s="13"/>
      <c r="E20" s="1365"/>
      <c r="F20" s="1376" t="str">
        <f>_Calcs!$K$53&amp;" er satt til:"</f>
        <v>Sikrings-mengde er satt til:</v>
      </c>
      <c r="G20" s="1366"/>
      <c r="H20" s="6613" t="str">
        <f>_Calcs_Klasse!$AH$28</f>
        <v>Mengdebasert</v>
      </c>
      <c r="I20" s="6614"/>
      <c r="J20" s="6614"/>
      <c r="K20" s="6614"/>
      <c r="L20" s="6614"/>
      <c r="M20" s="6614"/>
      <c r="N20" s="6614"/>
      <c r="O20" s="6615"/>
      <c r="P20" s="1381"/>
      <c r="Q20" s="1381"/>
      <c r="R20" s="1381"/>
      <c r="S20" s="1367"/>
      <c r="T20" s="1369"/>
      <c r="V20" s="16"/>
      <c r="W20" s="16"/>
      <c r="X20" s="22"/>
      <c r="Y20" s="16"/>
      <c r="Z20" s="16"/>
      <c r="AA20" s="19"/>
      <c r="AB20" s="19"/>
      <c r="AC20" s="50"/>
      <c r="AD20" s="50"/>
      <c r="AE20" s="50"/>
      <c r="AG20" s="16"/>
      <c r="AH20" s="16"/>
      <c r="AI20" s="16"/>
      <c r="AJ20" s="16"/>
      <c r="AK20" s="22"/>
      <c r="AL20" s="16"/>
      <c r="AM20" s="16"/>
      <c r="AN20" s="19"/>
      <c r="AO20" s="19"/>
      <c r="AP20" s="19"/>
      <c r="AQ20" s="50"/>
      <c r="AR20" s="50"/>
      <c r="AT20" s="16"/>
      <c r="AU20" s="16"/>
      <c r="AV20" s="16"/>
      <c r="AW20" s="16"/>
      <c r="AX20" s="22"/>
      <c r="AY20" s="22"/>
      <c r="AZ20" s="22"/>
      <c r="BA20" s="16"/>
      <c r="BB20" s="19"/>
      <c r="BC20" s="19"/>
      <c r="BD20" s="19"/>
      <c r="BE20" s="50"/>
      <c r="BF20" s="50"/>
      <c r="BI20" s="16"/>
      <c r="BJ20" s="16"/>
      <c r="BK20" s="16"/>
      <c r="BL20" s="16"/>
      <c r="BM20" s="22"/>
      <c r="BN20" s="16"/>
      <c r="BO20" s="19"/>
      <c r="BP20" s="19"/>
      <c r="BQ20" s="19"/>
      <c r="BR20" s="19"/>
      <c r="BS20" s="19"/>
      <c r="BT20" s="50"/>
      <c r="BU20" s="50"/>
      <c r="BW20" s="16"/>
      <c r="BX20" s="16"/>
      <c r="BY20" s="16"/>
      <c r="BZ20" s="22"/>
      <c r="CA20" s="22"/>
      <c r="CB20" s="22"/>
      <c r="CC20" s="16"/>
      <c r="CD20" s="19"/>
      <c r="CE20" s="19"/>
      <c r="CF20" s="19"/>
      <c r="CG20" s="19"/>
      <c r="CH20" s="50"/>
      <c r="CI20" s="50"/>
      <c r="CK20" s="16"/>
      <c r="CL20" s="16"/>
      <c r="CM20" s="16"/>
      <c r="CN20" s="16"/>
      <c r="CO20" s="22"/>
      <c r="CP20" s="16"/>
      <c r="CQ20" s="22"/>
      <c r="CR20" s="16"/>
      <c r="CS20" s="19"/>
      <c r="CT20" s="19"/>
      <c r="CU20" s="50"/>
      <c r="CV20" s="50"/>
      <c r="CX20" s="16"/>
      <c r="CY20" s="16"/>
      <c r="CZ20" s="16"/>
      <c r="DA20" s="22"/>
      <c r="DB20" s="16"/>
      <c r="DC20" s="19"/>
      <c r="DD20" s="19"/>
      <c r="DE20" s="19"/>
      <c r="DF20" s="50"/>
      <c r="DH20" s="16"/>
      <c r="DI20" s="16"/>
      <c r="DJ20" s="22"/>
      <c r="DK20" s="16"/>
      <c r="DL20" s="19"/>
      <c r="DM20" s="19"/>
      <c r="DN20" s="50"/>
      <c r="DP20" s="16"/>
      <c r="DQ20" s="16"/>
      <c r="DR20" s="22"/>
      <c r="DS20" s="16"/>
      <c r="DT20" s="19"/>
      <c r="DU20" s="19"/>
      <c r="DV20" s="50"/>
      <c r="DX20" s="138"/>
      <c r="EC20" s="220"/>
      <c r="FG20" s="7"/>
      <c r="FH20" s="7"/>
      <c r="FI20" s="7"/>
      <c r="FJ20" s="7"/>
      <c r="FK20" s="7"/>
      <c r="FL20" s="7"/>
      <c r="FM20" s="7"/>
      <c r="FN20" s="7"/>
      <c r="FO20" s="7"/>
      <c r="FP20" s="7"/>
    </row>
    <row r="21" spans="1:172" s="8" customFormat="1" ht="15" customHeight="1" thickBot="1" x14ac:dyDescent="0.25">
      <c r="A21" s="20"/>
      <c r="B21" s="20"/>
      <c r="C21" s="1357"/>
      <c r="D21" s="16"/>
      <c r="E21" s="1370"/>
      <c r="F21" s="1371"/>
      <c r="G21" s="1371"/>
      <c r="H21" s="1371"/>
      <c r="I21" s="1371"/>
      <c r="J21" s="1371"/>
      <c r="K21" s="1371"/>
      <c r="L21" s="1372"/>
      <c r="M21" s="1372"/>
      <c r="N21" s="1373"/>
      <c r="O21" s="1374"/>
      <c r="P21" s="1372"/>
      <c r="Q21" s="1372"/>
      <c r="R21" s="1372"/>
      <c r="S21" s="1372"/>
      <c r="T21" s="1375"/>
      <c r="V21" s="16"/>
      <c r="W21" s="16"/>
      <c r="X21" s="22"/>
      <c r="Y21" s="16"/>
      <c r="Z21" s="16"/>
      <c r="AA21" s="19"/>
      <c r="AB21" s="19"/>
      <c r="AC21" s="50"/>
      <c r="AD21" s="50"/>
      <c r="AE21" s="50"/>
      <c r="AG21" s="16"/>
      <c r="AH21" s="16"/>
      <c r="AI21" s="16"/>
      <c r="AJ21" s="16"/>
      <c r="AK21" s="22"/>
      <c r="AL21" s="16"/>
      <c r="AM21" s="16"/>
      <c r="AN21" s="19"/>
      <c r="AO21" s="19"/>
      <c r="AP21" s="19"/>
      <c r="AQ21" s="50"/>
      <c r="AR21" s="50"/>
      <c r="AT21" s="16"/>
      <c r="AU21" s="16"/>
      <c r="AV21" s="16"/>
      <c r="AW21" s="16"/>
      <c r="AX21" s="22"/>
      <c r="AY21" s="22"/>
      <c r="AZ21" s="22"/>
      <c r="BA21" s="16"/>
      <c r="BB21" s="19"/>
      <c r="BC21" s="19"/>
      <c r="BD21" s="19"/>
      <c r="BE21" s="50"/>
      <c r="BF21" s="50"/>
      <c r="BI21" s="16"/>
      <c r="BJ21" s="16"/>
      <c r="BK21" s="16"/>
      <c r="BL21" s="16"/>
      <c r="BM21" s="22"/>
      <c r="BN21" s="16"/>
      <c r="BO21" s="19"/>
      <c r="BP21" s="19"/>
      <c r="BQ21" s="19"/>
      <c r="BR21" s="19"/>
      <c r="BS21" s="19"/>
      <c r="BT21" s="50"/>
      <c r="BU21" s="50"/>
      <c r="BW21" s="16"/>
      <c r="BX21" s="16"/>
      <c r="BY21" s="16"/>
      <c r="BZ21" s="22"/>
      <c r="CA21" s="22"/>
      <c r="CB21" s="22"/>
      <c r="CC21" s="16"/>
      <c r="CD21" s="19"/>
      <c r="CE21" s="19"/>
      <c r="CF21" s="19"/>
      <c r="CG21" s="19"/>
      <c r="CH21" s="50"/>
      <c r="CI21" s="50"/>
      <c r="CK21" s="16"/>
      <c r="CL21" s="16"/>
      <c r="CM21" s="16"/>
      <c r="CN21" s="16"/>
      <c r="CO21" s="22"/>
      <c r="CP21" s="16"/>
      <c r="CQ21" s="22"/>
      <c r="CR21" s="16"/>
      <c r="CS21" s="19"/>
      <c r="CT21" s="19"/>
      <c r="CU21" s="50"/>
      <c r="CV21" s="50"/>
      <c r="CX21" s="16"/>
      <c r="CY21" s="16"/>
      <c r="CZ21" s="16"/>
      <c r="DA21" s="22"/>
      <c r="DB21" s="16"/>
      <c r="DC21" s="19"/>
      <c r="DD21" s="19"/>
      <c r="DE21" s="19"/>
      <c r="DF21" s="50"/>
      <c r="DH21" s="16"/>
      <c r="DI21" s="16"/>
      <c r="DJ21" s="22"/>
      <c r="DK21" s="16"/>
      <c r="DL21" s="19"/>
      <c r="DM21" s="19"/>
      <c r="DN21" s="50"/>
      <c r="DP21" s="16"/>
      <c r="DQ21" s="16"/>
      <c r="DR21" s="22"/>
      <c r="DS21" s="16"/>
      <c r="DT21" s="19"/>
      <c r="DU21" s="19"/>
      <c r="DV21" s="50"/>
      <c r="DX21" s="138"/>
      <c r="EC21" s="220"/>
      <c r="FG21" s="7"/>
      <c r="FH21" s="7"/>
      <c r="FI21" s="7"/>
      <c r="FJ21" s="7"/>
      <c r="FK21" s="7"/>
      <c r="FL21" s="7"/>
      <c r="FM21" s="7"/>
      <c r="FN21" s="7"/>
      <c r="FO21" s="7"/>
      <c r="FP21" s="7"/>
    </row>
    <row r="22" spans="1:172" s="8" customFormat="1" ht="8.1" customHeight="1" thickBot="1" x14ac:dyDescent="0.25">
      <c r="A22" s="20"/>
      <c r="B22" s="20"/>
      <c r="C22" s="1357"/>
      <c r="D22" s="16"/>
      <c r="E22" s="5540"/>
      <c r="F22" s="5538"/>
      <c r="G22" s="5538"/>
      <c r="H22" s="5538"/>
      <c r="I22" s="5538"/>
      <c r="J22" s="5538"/>
      <c r="K22" s="5538"/>
      <c r="L22" s="1367"/>
      <c r="M22" s="1367"/>
      <c r="N22" s="5539"/>
      <c r="O22" s="1368"/>
      <c r="P22" s="1367"/>
      <c r="Q22" s="1367"/>
      <c r="R22" s="1367"/>
      <c r="S22" s="1367"/>
      <c r="T22" s="1369"/>
      <c r="V22" s="16"/>
      <c r="W22" s="16"/>
      <c r="X22" s="22"/>
      <c r="Y22" s="16"/>
      <c r="Z22" s="16"/>
      <c r="AA22" s="19"/>
      <c r="AB22" s="19"/>
      <c r="AC22" s="50"/>
      <c r="AD22" s="50"/>
      <c r="AE22" s="50"/>
      <c r="AG22" s="16"/>
      <c r="AH22" s="16"/>
      <c r="AI22" s="16"/>
      <c r="AJ22" s="16"/>
      <c r="AK22" s="22"/>
      <c r="AL22" s="16"/>
      <c r="AM22" s="16"/>
      <c r="AN22" s="19"/>
      <c r="AO22" s="19"/>
      <c r="AP22" s="19"/>
      <c r="AQ22" s="50"/>
      <c r="AR22" s="50"/>
      <c r="AT22" s="16"/>
      <c r="AU22" s="16"/>
      <c r="AV22" s="16"/>
      <c r="AW22" s="16"/>
      <c r="AX22" s="22"/>
      <c r="AY22" s="22"/>
      <c r="AZ22" s="22"/>
      <c r="BA22" s="16"/>
      <c r="BB22" s="19"/>
      <c r="BC22" s="19"/>
      <c r="BD22" s="19"/>
      <c r="BE22" s="50"/>
      <c r="BF22" s="50"/>
      <c r="BI22" s="16"/>
      <c r="BJ22" s="16"/>
      <c r="BK22" s="16"/>
      <c r="BL22" s="16"/>
      <c r="BM22" s="22"/>
      <c r="BN22" s="16"/>
      <c r="BO22" s="19"/>
      <c r="BP22" s="19"/>
      <c r="BQ22" s="19"/>
      <c r="BR22" s="19"/>
      <c r="BS22" s="19"/>
      <c r="BT22" s="50"/>
      <c r="BU22" s="50"/>
      <c r="BW22" s="16"/>
      <c r="BX22" s="16"/>
      <c r="BY22" s="16"/>
      <c r="BZ22" s="22"/>
      <c r="CA22" s="22"/>
      <c r="CB22" s="22"/>
      <c r="CC22" s="16"/>
      <c r="CD22" s="19"/>
      <c r="CE22" s="19"/>
      <c r="CF22" s="19"/>
      <c r="CG22" s="19"/>
      <c r="CH22" s="50"/>
      <c r="CI22" s="50"/>
      <c r="CK22" s="16"/>
      <c r="CL22" s="16"/>
      <c r="CM22" s="16"/>
      <c r="CN22" s="16"/>
      <c r="CO22" s="22"/>
      <c r="CP22" s="16"/>
      <c r="CQ22" s="22"/>
      <c r="CR22" s="16"/>
      <c r="CS22" s="19"/>
      <c r="CT22" s="19"/>
      <c r="CU22" s="50"/>
      <c r="CV22" s="50"/>
      <c r="CX22" s="16"/>
      <c r="CY22" s="16"/>
      <c r="CZ22" s="16"/>
      <c r="DA22" s="22"/>
      <c r="DB22" s="16"/>
      <c r="DC22" s="19"/>
      <c r="DD22" s="19"/>
      <c r="DE22" s="19"/>
      <c r="DF22" s="50"/>
      <c r="DH22" s="16"/>
      <c r="DI22" s="16"/>
      <c r="DJ22" s="22"/>
      <c r="DK22" s="16"/>
      <c r="DL22" s="19"/>
      <c r="DM22" s="19"/>
      <c r="DN22" s="50"/>
      <c r="DP22" s="16"/>
      <c r="DQ22" s="16"/>
      <c r="DR22" s="22"/>
      <c r="DS22" s="16"/>
      <c r="DT22" s="19"/>
      <c r="DU22" s="19"/>
      <c r="DV22" s="50"/>
      <c r="DX22" s="138"/>
      <c r="EC22" s="220"/>
      <c r="FG22" s="7"/>
      <c r="FH22" s="7"/>
      <c r="FI22" s="7"/>
      <c r="FJ22" s="7"/>
      <c r="FK22" s="7"/>
      <c r="FL22" s="7"/>
      <c r="FM22" s="7"/>
      <c r="FN22" s="7"/>
      <c r="FO22" s="7"/>
      <c r="FP22" s="7"/>
    </row>
    <row r="23" spans="1:172" s="8" customFormat="1" ht="30" customHeight="1" thickBot="1" x14ac:dyDescent="0.25">
      <c r="A23" s="20"/>
      <c r="B23" s="20"/>
      <c r="C23" s="1357"/>
      <c r="D23" s="13"/>
      <c r="E23" s="5540"/>
      <c r="F23" s="1376" t="str">
        <f>IF(_Calcs!$D$11=2,Tunneldrift!$M$125&amp;":",IF(_Calcs!$D$11=1,'!INN_SK'!$F$31,""))</f>
        <v>Fordeling av mengder:</v>
      </c>
      <c r="G23" s="5538"/>
      <c r="H23" s="6613" t="str">
        <f>IF(_Calcs!$D$11=2,Tunneldrift!$F$125,IF(_Calcs!$D$11=1,_Calcs_Klasse!$AI$30,""))</f>
        <v>Brukerdefinert</v>
      </c>
      <c r="I23" s="6614"/>
      <c r="J23" s="6614"/>
      <c r="K23" s="6614"/>
      <c r="L23" s="6614"/>
      <c r="M23" s="6614"/>
      <c r="N23" s="6614"/>
      <c r="O23" s="6615"/>
      <c r="P23" s="1367"/>
      <c r="Q23" s="1367"/>
      <c r="R23" s="1367"/>
      <c r="S23" s="1367"/>
      <c r="T23" s="1369"/>
      <c r="V23" s="16"/>
      <c r="W23" s="16"/>
      <c r="X23" s="22"/>
      <c r="Y23" s="16"/>
      <c r="Z23" s="16"/>
      <c r="AA23" s="19"/>
      <c r="AB23" s="19"/>
      <c r="AC23" s="50"/>
      <c r="AD23" s="50"/>
      <c r="AE23" s="50"/>
      <c r="AG23" s="16"/>
      <c r="AH23" s="16"/>
      <c r="AI23" s="16"/>
      <c r="AJ23" s="16"/>
      <c r="AK23" s="22"/>
      <c r="AL23" s="16"/>
      <c r="AM23" s="16"/>
      <c r="AN23" s="19"/>
      <c r="AO23" s="19"/>
      <c r="AP23" s="19"/>
      <c r="AQ23" s="50"/>
      <c r="AR23" s="50"/>
      <c r="AT23" s="16"/>
      <c r="AU23" s="16"/>
      <c r="AV23" s="16"/>
      <c r="AW23" s="16"/>
      <c r="AX23" s="22"/>
      <c r="AY23" s="22"/>
      <c r="AZ23" s="22"/>
      <c r="BA23" s="16"/>
      <c r="BB23" s="19"/>
      <c r="BC23" s="19"/>
      <c r="BD23" s="19"/>
      <c r="BE23" s="50"/>
      <c r="BF23" s="50"/>
      <c r="BI23" s="16"/>
      <c r="BJ23" s="16"/>
      <c r="BK23" s="16"/>
      <c r="BL23" s="16"/>
      <c r="BM23" s="22"/>
      <c r="BN23" s="16"/>
      <c r="BO23" s="19"/>
      <c r="BP23" s="19"/>
      <c r="BQ23" s="19"/>
      <c r="BR23" s="19"/>
      <c r="BS23" s="19"/>
      <c r="BT23" s="50"/>
      <c r="BU23" s="50"/>
      <c r="BW23" s="16"/>
      <c r="BX23" s="16"/>
      <c r="BY23" s="16"/>
      <c r="BZ23" s="22"/>
      <c r="CA23" s="22"/>
      <c r="CB23" s="22"/>
      <c r="CC23" s="16"/>
      <c r="CD23" s="19"/>
      <c r="CE23" s="19"/>
      <c r="CF23" s="19"/>
      <c r="CG23" s="19"/>
      <c r="CH23" s="50"/>
      <c r="CI23" s="50"/>
      <c r="CK23" s="16"/>
      <c r="CL23" s="16"/>
      <c r="CM23" s="16"/>
      <c r="CN23" s="16"/>
      <c r="CO23" s="22"/>
      <c r="CP23" s="16"/>
      <c r="CQ23" s="22"/>
      <c r="CR23" s="16"/>
      <c r="CS23" s="19"/>
      <c r="CT23" s="19"/>
      <c r="CU23" s="50"/>
      <c r="CV23" s="50"/>
      <c r="CX23" s="16"/>
      <c r="CY23" s="16"/>
      <c r="CZ23" s="16"/>
      <c r="DA23" s="22"/>
      <c r="DB23" s="16"/>
      <c r="DC23" s="19"/>
      <c r="DD23" s="19"/>
      <c r="DE23" s="19"/>
      <c r="DF23" s="50"/>
      <c r="DH23" s="16"/>
      <c r="DI23" s="16"/>
      <c r="DJ23" s="22"/>
      <c r="DK23" s="16"/>
      <c r="DL23" s="19"/>
      <c r="DM23" s="19"/>
      <c r="DN23" s="50"/>
      <c r="DP23" s="16"/>
      <c r="DQ23" s="16"/>
      <c r="DR23" s="22"/>
      <c r="DS23" s="16"/>
      <c r="DT23" s="19"/>
      <c r="DU23" s="19"/>
      <c r="DV23" s="50"/>
      <c r="DX23" s="138"/>
      <c r="EC23" s="220"/>
      <c r="FG23" s="7"/>
      <c r="FH23" s="7"/>
      <c r="FI23" s="7"/>
      <c r="FJ23" s="7"/>
      <c r="FK23" s="7"/>
      <c r="FL23" s="7"/>
      <c r="FM23" s="7"/>
      <c r="FN23" s="7"/>
      <c r="FO23" s="7"/>
      <c r="FP23" s="7"/>
    </row>
    <row r="24" spans="1:172" s="8" customFormat="1" ht="15" customHeight="1" thickBot="1" x14ac:dyDescent="0.25">
      <c r="A24" s="20"/>
      <c r="B24" s="20"/>
      <c r="C24" s="1358"/>
      <c r="D24" s="13"/>
      <c r="E24" s="1370"/>
      <c r="F24" s="1371"/>
      <c r="G24" s="1371"/>
      <c r="H24" s="1371"/>
      <c r="I24" s="1371"/>
      <c r="J24" s="1371"/>
      <c r="K24" s="1371"/>
      <c r="L24" s="1372"/>
      <c r="M24" s="1372"/>
      <c r="N24" s="1373"/>
      <c r="O24" s="1374"/>
      <c r="P24" s="1372"/>
      <c r="Q24" s="1372"/>
      <c r="R24" s="1372"/>
      <c r="S24" s="1372"/>
      <c r="T24" s="1375"/>
      <c r="V24" s="16"/>
      <c r="W24" s="16"/>
      <c r="X24" s="22"/>
      <c r="Y24" s="16"/>
      <c r="Z24" s="16"/>
      <c r="AA24" s="19"/>
      <c r="AB24" s="19"/>
      <c r="AC24" s="50"/>
      <c r="AD24" s="50"/>
      <c r="AE24" s="50"/>
      <c r="AG24" s="16"/>
      <c r="AH24" s="16"/>
      <c r="AI24" s="16"/>
      <c r="AJ24" s="16"/>
      <c r="AK24" s="22"/>
      <c r="AL24" s="16"/>
      <c r="AM24" s="16"/>
      <c r="AN24" s="19"/>
      <c r="AO24" s="19"/>
      <c r="AP24" s="19"/>
      <c r="AQ24" s="50"/>
      <c r="AR24" s="50"/>
      <c r="AT24" s="16"/>
      <c r="AU24" s="16"/>
      <c r="AV24" s="16"/>
      <c r="AW24" s="16"/>
      <c r="AX24" s="22"/>
      <c r="AY24" s="22"/>
      <c r="AZ24" s="22"/>
      <c r="BA24" s="16"/>
      <c r="BB24" s="19"/>
      <c r="BC24" s="19"/>
      <c r="BD24" s="19"/>
      <c r="BE24" s="50"/>
      <c r="BF24" s="50"/>
      <c r="BI24" s="16"/>
      <c r="BJ24" s="16"/>
      <c r="BK24" s="16"/>
      <c r="BL24" s="16"/>
      <c r="BM24" s="22"/>
      <c r="BN24" s="16"/>
      <c r="BO24" s="19"/>
      <c r="BP24" s="19"/>
      <c r="BQ24" s="19"/>
      <c r="BR24" s="19"/>
      <c r="BS24" s="19"/>
      <c r="BT24" s="50"/>
      <c r="BU24" s="50"/>
      <c r="BW24" s="16"/>
      <c r="BX24" s="16"/>
      <c r="BY24" s="16"/>
      <c r="BZ24" s="22"/>
      <c r="CA24" s="22"/>
      <c r="CB24" s="22"/>
      <c r="CC24" s="16"/>
      <c r="CD24" s="19"/>
      <c r="CE24" s="19"/>
      <c r="CF24" s="19"/>
      <c r="CG24" s="19"/>
      <c r="CH24" s="50"/>
      <c r="CI24" s="50"/>
      <c r="CK24" s="16"/>
      <c r="CL24" s="16"/>
      <c r="CM24" s="16"/>
      <c r="CN24" s="16"/>
      <c r="CO24" s="22"/>
      <c r="CP24" s="16"/>
      <c r="CQ24" s="22"/>
      <c r="CR24" s="16"/>
      <c r="CS24" s="19"/>
      <c r="CT24" s="19"/>
      <c r="CU24" s="50"/>
      <c r="CV24" s="50"/>
      <c r="CX24" s="16"/>
      <c r="CY24" s="16"/>
      <c r="CZ24" s="16"/>
      <c r="DA24" s="22"/>
      <c r="DB24" s="16"/>
      <c r="DC24" s="19"/>
      <c r="DD24" s="19"/>
      <c r="DE24" s="19"/>
      <c r="DF24" s="50"/>
      <c r="DH24" s="16"/>
      <c r="DI24" s="16"/>
      <c r="DJ24" s="22"/>
      <c r="DK24" s="16"/>
      <c r="DL24" s="19"/>
      <c r="DM24" s="19"/>
      <c r="DN24" s="50"/>
      <c r="DP24" s="16"/>
      <c r="DQ24" s="16"/>
      <c r="DR24" s="22"/>
      <c r="DS24" s="16"/>
      <c r="DT24" s="19"/>
      <c r="DU24" s="19"/>
      <c r="DV24" s="50"/>
      <c r="DX24" s="138"/>
      <c r="EC24" s="220"/>
      <c r="FG24" s="7"/>
      <c r="FH24" s="7"/>
      <c r="FI24" s="7"/>
      <c r="FJ24" s="7"/>
      <c r="FK24" s="7"/>
      <c r="FL24" s="7"/>
      <c r="FM24" s="7"/>
      <c r="FN24" s="7"/>
      <c r="FO24" s="7"/>
      <c r="FP24" s="7"/>
    </row>
    <row r="25" spans="1:172" s="8" customFormat="1" ht="24.95" customHeight="1" thickBot="1" x14ac:dyDescent="0.25">
      <c r="A25" s="20"/>
      <c r="B25" s="20"/>
      <c r="C25" s="3776"/>
      <c r="D25" s="20"/>
      <c r="E25" s="14"/>
      <c r="F25" s="21"/>
      <c r="G25" s="21"/>
      <c r="H25" s="21"/>
      <c r="I25" s="21"/>
      <c r="J25" s="16"/>
      <c r="K25" s="16"/>
      <c r="L25" s="16"/>
      <c r="M25" s="16"/>
      <c r="N25" s="16"/>
      <c r="O25" s="17"/>
      <c r="P25" s="15"/>
      <c r="Q25" s="16"/>
      <c r="T25" s="40"/>
      <c r="X25" s="16"/>
      <c r="Y25" s="22"/>
      <c r="Z25" s="22"/>
      <c r="AA25" s="19"/>
      <c r="AB25" s="19"/>
      <c r="AC25" s="22"/>
      <c r="AD25" s="22"/>
      <c r="AE25" s="22"/>
      <c r="AF25" s="16"/>
      <c r="AG25" s="22"/>
      <c r="AH25" s="22"/>
      <c r="AI25" s="19"/>
      <c r="AJ25" s="19"/>
      <c r="AK25" s="22"/>
      <c r="AL25" s="22"/>
      <c r="AM25" s="22"/>
      <c r="AN25" s="16"/>
      <c r="AO25" s="22"/>
      <c r="AP25" s="22"/>
      <c r="AQ25" s="19"/>
      <c r="AR25" s="19"/>
      <c r="AS25" s="22"/>
      <c r="AT25" s="22"/>
      <c r="AU25" s="22"/>
      <c r="AV25" s="16"/>
      <c r="AW25" s="22"/>
      <c r="AX25" s="22"/>
      <c r="AY25" s="19"/>
      <c r="AZ25" s="19"/>
      <c r="BA25" s="22"/>
      <c r="BB25" s="22"/>
      <c r="BC25" s="22"/>
      <c r="BD25" s="16"/>
      <c r="BE25" s="22"/>
      <c r="BF25" s="22"/>
      <c r="BG25" s="19"/>
      <c r="BH25" s="19"/>
      <c r="BI25" s="22"/>
      <c r="BJ25" s="22"/>
      <c r="BK25" s="22"/>
      <c r="BL25" s="16"/>
      <c r="BM25" s="22"/>
      <c r="BN25" s="22"/>
      <c r="BO25" s="19"/>
      <c r="BP25" s="19"/>
      <c r="BQ25" s="22"/>
      <c r="BR25" s="22"/>
      <c r="BS25" s="22"/>
      <c r="BT25" s="16"/>
      <c r="BU25" s="22"/>
      <c r="BV25" s="22"/>
      <c r="BW25" s="19"/>
      <c r="BX25" s="19"/>
      <c r="BY25" s="22"/>
      <c r="BZ25" s="22"/>
      <c r="CA25" s="22"/>
      <c r="CB25" s="16"/>
      <c r="CC25" s="22"/>
      <c r="CD25" s="22"/>
      <c r="CE25" s="19"/>
      <c r="CF25" s="19"/>
      <c r="CG25" s="22"/>
      <c r="CH25" s="22"/>
      <c r="CI25" s="22"/>
      <c r="CJ25" s="16"/>
      <c r="CK25" s="22"/>
      <c r="CL25" s="22"/>
      <c r="CM25" s="19"/>
      <c r="CN25" s="19"/>
      <c r="CO25" s="22"/>
      <c r="CP25" s="19"/>
    </row>
    <row r="26" spans="1:172" s="21" customFormat="1" ht="39.950000000000003" customHeight="1" thickBot="1" x14ac:dyDescent="0.25">
      <c r="A26" s="104"/>
      <c r="B26" s="104"/>
      <c r="C26" s="1525"/>
      <c r="D26" s="104"/>
      <c r="E26" s="1522"/>
      <c r="F26" s="1523"/>
      <c r="G26" s="1523"/>
      <c r="H26" s="1523"/>
      <c r="I26" s="1523"/>
      <c r="J26" s="1523"/>
      <c r="K26" s="1523"/>
      <c r="L26" s="1523"/>
      <c r="M26" s="1523"/>
      <c r="N26" s="1523"/>
      <c r="O26" s="1523"/>
      <c r="P26" s="1524"/>
      <c r="R26" s="6567" t="str">
        <f>IF(_Calcs_Klasse!$AI$27=1,"Sum","")</f>
        <v/>
      </c>
      <c r="S26" s="6568"/>
      <c r="T26" s="6569"/>
      <c r="V26" s="692"/>
      <c r="W26" s="6595" t="str">
        <f>_Calcs!$NO$36</f>
        <v>Stuff 1-1</v>
      </c>
      <c r="X26" s="6595"/>
      <c r="Y26" s="6595"/>
      <c r="Z26" s="6595"/>
      <c r="AA26" s="693"/>
      <c r="AB26" s="694"/>
      <c r="AD26" s="692"/>
      <c r="AE26" s="6595" t="str">
        <f>_Calcs!$NP$36</f>
        <v/>
      </c>
      <c r="AF26" s="6595"/>
      <c r="AG26" s="6595"/>
      <c r="AH26" s="6595"/>
      <c r="AI26" s="693"/>
      <c r="AJ26" s="694"/>
      <c r="AL26" s="692"/>
      <c r="AM26" s="6595" t="str">
        <f>_Calcs!$NQ$36</f>
        <v/>
      </c>
      <c r="AN26" s="6595"/>
      <c r="AO26" s="6595"/>
      <c r="AP26" s="6595"/>
      <c r="AQ26" s="693"/>
      <c r="AR26" s="694"/>
      <c r="AT26" s="692"/>
      <c r="AU26" s="6595" t="str">
        <f>_Calcs!$NR$36</f>
        <v/>
      </c>
      <c r="AV26" s="6595"/>
      <c r="AW26" s="6595"/>
      <c r="AX26" s="6595"/>
      <c r="AY26" s="693"/>
      <c r="AZ26" s="694"/>
      <c r="BB26" s="692"/>
      <c r="BC26" s="6595" t="str">
        <f>_Calcs!$NS$36</f>
        <v/>
      </c>
      <c r="BD26" s="6595"/>
      <c r="BE26" s="6595"/>
      <c r="BF26" s="6595"/>
      <c r="BG26" s="693"/>
      <c r="BH26" s="694"/>
      <c r="BJ26" s="692"/>
      <c r="BK26" s="6595" t="str">
        <f>_Calcs!$NT$36</f>
        <v/>
      </c>
      <c r="BL26" s="6595"/>
      <c r="BM26" s="6595"/>
      <c r="BN26" s="6595"/>
      <c r="BO26" s="693"/>
      <c r="BP26" s="694"/>
      <c r="BR26" s="692"/>
      <c r="BS26" s="6595" t="str">
        <f>_Calcs!$NU$36</f>
        <v/>
      </c>
      <c r="BT26" s="6595"/>
      <c r="BU26" s="6595"/>
      <c r="BV26" s="6595"/>
      <c r="BW26" s="693"/>
      <c r="BX26" s="694"/>
      <c r="BZ26" s="692"/>
      <c r="CA26" s="6595" t="str">
        <f>_Calcs!$NV$36</f>
        <v/>
      </c>
      <c r="CB26" s="6595"/>
      <c r="CC26" s="6595"/>
      <c r="CD26" s="6595"/>
      <c r="CE26" s="693"/>
      <c r="CF26" s="694"/>
      <c r="CH26" s="692"/>
      <c r="CI26" s="6595" t="str">
        <f>_Calcs!$NW$36</f>
        <v/>
      </c>
      <c r="CJ26" s="6595"/>
      <c r="CK26" s="6595"/>
      <c r="CL26" s="6595"/>
      <c r="CM26" s="693"/>
      <c r="CN26" s="694"/>
      <c r="CP26" s="171"/>
    </row>
    <row r="27" spans="1:172" s="21" customFormat="1" ht="24.95" customHeight="1" thickBot="1" x14ac:dyDescent="0.25">
      <c r="A27" s="20"/>
      <c r="B27" s="20"/>
      <c r="C27" s="13"/>
      <c r="D27" s="20"/>
      <c r="E27" s="14"/>
      <c r="J27" s="16"/>
      <c r="K27" s="16"/>
      <c r="L27" s="50"/>
      <c r="M27" s="50"/>
      <c r="N27" s="50"/>
      <c r="O27" s="15"/>
      <c r="P27" s="15"/>
      <c r="R27" s="8"/>
      <c r="S27" s="40"/>
      <c r="T27" s="8"/>
      <c r="U27" s="16"/>
      <c r="V27" s="16"/>
      <c r="W27" s="16"/>
      <c r="X27" s="22"/>
      <c r="Y27" s="16"/>
      <c r="Z27" s="19"/>
      <c r="AC27" s="16"/>
      <c r="AD27" s="16"/>
      <c r="AE27" s="16"/>
      <c r="AF27" s="22"/>
      <c r="AG27" s="16"/>
      <c r="AH27" s="19"/>
      <c r="AK27" s="16"/>
      <c r="AL27" s="16"/>
      <c r="AM27" s="16"/>
      <c r="AN27" s="22"/>
      <c r="AO27" s="16"/>
      <c r="AP27" s="19"/>
      <c r="AS27" s="16"/>
      <c r="AT27" s="16"/>
      <c r="AU27" s="16"/>
      <c r="AV27" s="22"/>
      <c r="AW27" s="16"/>
      <c r="AX27" s="19"/>
      <c r="BA27" s="16"/>
      <c r="BB27" s="16"/>
      <c r="BC27" s="16"/>
      <c r="BD27" s="22"/>
      <c r="BE27" s="16"/>
      <c r="BF27" s="19"/>
      <c r="BI27" s="16"/>
      <c r="BJ27" s="16"/>
      <c r="BK27" s="16"/>
      <c r="BL27" s="22"/>
      <c r="BM27" s="16"/>
      <c r="BN27" s="19"/>
      <c r="BQ27" s="16"/>
      <c r="BR27" s="16"/>
      <c r="BS27" s="16"/>
      <c r="BT27" s="22"/>
      <c r="BU27" s="16"/>
      <c r="BV27" s="19"/>
      <c r="BY27" s="16"/>
      <c r="BZ27" s="16"/>
      <c r="CA27" s="16"/>
      <c r="CB27" s="22"/>
      <c r="CC27" s="16"/>
      <c r="CD27" s="19"/>
      <c r="CG27" s="16"/>
      <c r="CH27" s="16"/>
      <c r="CI27" s="16"/>
      <c r="CJ27" s="22"/>
      <c r="CK27" s="16"/>
      <c r="CL27" s="19"/>
      <c r="CO27" s="16"/>
    </row>
    <row r="28" spans="1:172" s="21" customFormat="1" ht="20.100000000000001" customHeight="1" thickBot="1" x14ac:dyDescent="0.25">
      <c r="A28" s="25"/>
      <c r="B28" s="25"/>
      <c r="C28" s="1060"/>
      <c r="D28" s="25"/>
      <c r="E28" s="1108"/>
      <c r="F28" s="1019"/>
      <c r="G28" s="1019"/>
      <c r="H28" s="1019"/>
      <c r="I28" s="1019"/>
      <c r="J28" s="5735" t="s">
        <v>131</v>
      </c>
      <c r="K28" s="5735"/>
      <c r="L28" s="1195" t="s">
        <v>154</v>
      </c>
      <c r="M28" s="5735"/>
      <c r="N28" s="5735"/>
      <c r="O28" s="1195" t="s">
        <v>100</v>
      </c>
      <c r="P28" s="1347"/>
      <c r="R28" s="1108"/>
      <c r="S28" s="5739" t="s">
        <v>134</v>
      </c>
      <c r="T28" s="1201"/>
      <c r="U28" s="16"/>
      <c r="V28" s="1108"/>
      <c r="W28" s="1019"/>
      <c r="X28" s="5735" t="s">
        <v>73</v>
      </c>
      <c r="Y28" s="1163"/>
      <c r="Z28" s="1164"/>
      <c r="AA28" s="1163"/>
      <c r="AB28" s="1110"/>
      <c r="AC28" s="16"/>
      <c r="AD28" s="1108"/>
      <c r="AE28" s="1019"/>
      <c r="AF28" s="5735" t="s">
        <v>73</v>
      </c>
      <c r="AG28" s="1163"/>
      <c r="AH28" s="1164"/>
      <c r="AI28" s="1163"/>
      <c r="AJ28" s="1110"/>
      <c r="AK28" s="16"/>
      <c r="AL28" s="1108"/>
      <c r="AM28" s="1019"/>
      <c r="AN28" s="5735" t="s">
        <v>73</v>
      </c>
      <c r="AO28" s="1163"/>
      <c r="AP28" s="1164"/>
      <c r="AQ28" s="1163"/>
      <c r="AR28" s="1110"/>
      <c r="AS28" s="16"/>
      <c r="AT28" s="1108"/>
      <c r="AU28" s="1019"/>
      <c r="AV28" s="5735" t="s">
        <v>73</v>
      </c>
      <c r="AW28" s="1163"/>
      <c r="AX28" s="1164"/>
      <c r="AY28" s="1163"/>
      <c r="AZ28" s="1110"/>
      <c r="BA28" s="16"/>
      <c r="BB28" s="1108"/>
      <c r="BC28" s="1019"/>
      <c r="BD28" s="5735" t="s">
        <v>73</v>
      </c>
      <c r="BE28" s="1163"/>
      <c r="BF28" s="1164"/>
      <c r="BG28" s="1163"/>
      <c r="BH28" s="1110"/>
      <c r="BI28" s="16"/>
      <c r="BJ28" s="1108"/>
      <c r="BK28" s="1019"/>
      <c r="BL28" s="5735" t="s">
        <v>73</v>
      </c>
      <c r="BM28" s="1163"/>
      <c r="BN28" s="1164"/>
      <c r="BO28" s="1163"/>
      <c r="BP28" s="1110"/>
      <c r="BQ28" s="16"/>
      <c r="BR28" s="1108"/>
      <c r="BS28" s="1019"/>
      <c r="BT28" s="5735" t="s">
        <v>73</v>
      </c>
      <c r="BU28" s="1163"/>
      <c r="BV28" s="1164"/>
      <c r="BW28" s="1163"/>
      <c r="BX28" s="1110"/>
      <c r="BY28" s="16"/>
      <c r="BZ28" s="1108"/>
      <c r="CA28" s="1019"/>
      <c r="CB28" s="5735" t="s">
        <v>73</v>
      </c>
      <c r="CC28" s="1163"/>
      <c r="CD28" s="1164"/>
      <c r="CE28" s="1163"/>
      <c r="CF28" s="1110"/>
      <c r="CG28" s="16"/>
      <c r="CH28" s="1108"/>
      <c r="CI28" s="1019"/>
      <c r="CJ28" s="5735" t="s">
        <v>73</v>
      </c>
      <c r="CK28" s="1163"/>
      <c r="CL28" s="1164"/>
      <c r="CM28" s="1163"/>
      <c r="CN28" s="1110"/>
      <c r="CO28" s="16"/>
      <c r="CP28" s="33"/>
    </row>
    <row r="29" spans="1:172" s="21" customFormat="1" ht="24.95" customHeight="1" thickBot="1" x14ac:dyDescent="0.25">
      <c r="A29" s="104"/>
      <c r="B29" s="104"/>
      <c r="C29" s="13"/>
      <c r="D29" s="104"/>
      <c r="E29" s="14"/>
      <c r="F29" s="15"/>
      <c r="G29" s="15"/>
      <c r="H29" s="15"/>
      <c r="I29" s="15"/>
      <c r="J29" s="16"/>
      <c r="K29" s="16"/>
      <c r="L29" s="50"/>
      <c r="M29" s="50"/>
      <c r="N29" s="50"/>
      <c r="O29" s="15"/>
      <c r="P29" s="15"/>
      <c r="Q29" s="70"/>
      <c r="R29" s="8"/>
      <c r="S29" s="40"/>
      <c r="T29" s="8"/>
      <c r="U29" s="16"/>
      <c r="V29" s="17"/>
      <c r="W29" s="17"/>
      <c r="X29" s="18"/>
      <c r="Y29" s="16"/>
      <c r="Z29" s="19"/>
      <c r="AC29" s="16"/>
      <c r="AD29" s="17"/>
      <c r="AE29" s="17"/>
      <c r="AF29" s="18"/>
      <c r="AG29" s="16"/>
      <c r="AH29" s="19"/>
      <c r="AK29" s="16"/>
      <c r="AL29" s="17"/>
      <c r="AM29" s="17"/>
      <c r="AN29" s="18"/>
      <c r="AO29" s="16"/>
      <c r="AP29" s="19"/>
      <c r="AS29" s="16"/>
      <c r="AT29" s="17"/>
      <c r="AU29" s="17"/>
      <c r="AV29" s="18"/>
      <c r="AW29" s="16"/>
      <c r="AX29" s="19"/>
      <c r="BA29" s="16"/>
      <c r="BB29" s="17"/>
      <c r="BC29" s="17"/>
      <c r="BD29" s="18"/>
      <c r="BE29" s="16"/>
      <c r="BF29" s="19"/>
      <c r="BI29" s="16"/>
      <c r="BJ29" s="17"/>
      <c r="BK29" s="17"/>
      <c r="BL29" s="18"/>
      <c r="BM29" s="16"/>
      <c r="BN29" s="19"/>
      <c r="BQ29" s="16"/>
      <c r="BR29" s="17"/>
      <c r="BS29" s="17"/>
      <c r="BT29" s="18"/>
      <c r="BU29" s="16"/>
      <c r="BV29" s="19"/>
      <c r="BY29" s="16"/>
      <c r="BZ29" s="17"/>
      <c r="CA29" s="17"/>
      <c r="CB29" s="18"/>
      <c r="CC29" s="16"/>
      <c r="CD29" s="19"/>
      <c r="CG29" s="16"/>
      <c r="CH29" s="17"/>
      <c r="CI29" s="17"/>
      <c r="CJ29" s="18"/>
      <c r="CK29" s="16"/>
      <c r="CL29" s="19"/>
      <c r="CO29" s="16"/>
    </row>
    <row r="30" spans="1:172" s="78" customFormat="1" ht="15" customHeight="1" thickBot="1" x14ac:dyDescent="0.25">
      <c r="A30" s="104"/>
      <c r="B30" s="104"/>
      <c r="C30" s="1253"/>
      <c r="D30" s="104"/>
      <c r="E30" s="1219"/>
      <c r="F30" s="6597" t="str">
        <f>_Calcs!$K$54</f>
        <v>Rensk og kartlegging</v>
      </c>
      <c r="G30" s="6597"/>
      <c r="H30" s="6597"/>
      <c r="I30" s="6597"/>
      <c r="J30" s="6597"/>
      <c r="K30" s="6597"/>
      <c r="L30" s="6597"/>
      <c r="M30" s="6597"/>
      <c r="N30" s="6597"/>
      <c r="O30" s="6597"/>
      <c r="P30" s="1220"/>
      <c r="R30" s="23"/>
      <c r="S30" s="23"/>
      <c r="T30" s="23"/>
      <c r="U30" s="16"/>
      <c r="V30" s="16"/>
      <c r="W30" s="16"/>
      <c r="X30" s="22"/>
      <c r="Y30" s="16"/>
      <c r="Z30" s="19"/>
      <c r="AA30" s="21"/>
      <c r="AB30" s="21"/>
      <c r="AC30" s="16"/>
      <c r="AD30" s="16"/>
      <c r="AE30" s="16"/>
      <c r="AF30" s="22"/>
      <c r="AG30" s="16"/>
      <c r="AH30" s="19"/>
      <c r="AI30" s="21"/>
      <c r="AJ30" s="21"/>
      <c r="AK30" s="16"/>
      <c r="AL30" s="16"/>
      <c r="AM30" s="16"/>
      <c r="AN30" s="22"/>
      <c r="AO30" s="16"/>
      <c r="AP30" s="19"/>
      <c r="AQ30" s="21"/>
      <c r="AR30" s="21"/>
      <c r="AS30" s="16"/>
      <c r="AT30" s="16"/>
      <c r="AU30" s="16"/>
      <c r="AV30" s="22"/>
      <c r="AW30" s="16"/>
      <c r="AX30" s="19"/>
      <c r="AY30" s="21"/>
      <c r="AZ30" s="21"/>
      <c r="BA30" s="16"/>
      <c r="BB30" s="16"/>
      <c r="BC30" s="16"/>
      <c r="BD30" s="22"/>
      <c r="BE30" s="16"/>
      <c r="BF30" s="19"/>
      <c r="BG30" s="21"/>
      <c r="BH30" s="21"/>
      <c r="BI30" s="16"/>
      <c r="BJ30" s="16"/>
      <c r="BK30" s="16"/>
      <c r="BL30" s="22"/>
      <c r="BM30" s="16"/>
      <c r="BN30" s="19"/>
      <c r="BO30" s="21"/>
      <c r="BP30" s="21"/>
      <c r="BQ30" s="16"/>
      <c r="BR30" s="16"/>
      <c r="BS30" s="16"/>
      <c r="BT30" s="22"/>
      <c r="BU30" s="16"/>
      <c r="BV30" s="19"/>
      <c r="BW30" s="21"/>
      <c r="BX30" s="21"/>
      <c r="BY30" s="16"/>
      <c r="BZ30" s="16"/>
      <c r="CA30" s="16"/>
      <c r="CB30" s="22"/>
      <c r="CC30" s="16"/>
      <c r="CD30" s="19"/>
      <c r="CE30" s="21"/>
      <c r="CF30" s="21"/>
      <c r="CG30" s="16"/>
      <c r="CH30" s="16"/>
      <c r="CI30" s="16"/>
      <c r="CJ30" s="22"/>
      <c r="CK30" s="16"/>
      <c r="CL30" s="19"/>
      <c r="CM30" s="21"/>
      <c r="CN30" s="21"/>
      <c r="CO30" s="16"/>
      <c r="CP30" s="21"/>
    </row>
    <row r="31" spans="1:172" s="78" customFormat="1" ht="15" customHeight="1" thickBot="1" x14ac:dyDescent="0.25">
      <c r="A31" s="104"/>
      <c r="B31" s="104"/>
      <c r="C31" s="6601" t="s">
        <v>98</v>
      </c>
      <c r="D31" s="104"/>
      <c r="E31" s="1221"/>
      <c r="F31" s="6598"/>
      <c r="G31" s="6598"/>
      <c r="H31" s="6598"/>
      <c r="I31" s="6598"/>
      <c r="J31" s="6598"/>
      <c r="K31" s="6598"/>
      <c r="L31" s="6598"/>
      <c r="M31" s="6598"/>
      <c r="N31" s="6598"/>
      <c r="O31" s="6598"/>
      <c r="P31" s="1222"/>
      <c r="R31" s="1215"/>
      <c r="S31" s="1216"/>
      <c r="T31" s="1217"/>
      <c r="U31" s="16"/>
      <c r="V31" s="692"/>
      <c r="W31" s="693"/>
      <c r="X31" s="1233"/>
      <c r="Y31" s="693"/>
      <c r="Z31" s="1234"/>
      <c r="AA31" s="748"/>
      <c r="AB31" s="1235"/>
      <c r="AC31" s="16"/>
      <c r="AD31" s="692"/>
      <c r="AE31" s="693"/>
      <c r="AF31" s="1233"/>
      <c r="AG31" s="693"/>
      <c r="AH31" s="1234"/>
      <c r="AI31" s="748"/>
      <c r="AJ31" s="1235"/>
      <c r="AK31" s="16"/>
      <c r="AL31" s="692"/>
      <c r="AM31" s="693"/>
      <c r="AN31" s="1233"/>
      <c r="AO31" s="693"/>
      <c r="AP31" s="1234"/>
      <c r="AQ31" s="748"/>
      <c r="AR31" s="1235"/>
      <c r="AS31" s="16"/>
      <c r="AT31" s="692"/>
      <c r="AU31" s="693"/>
      <c r="AV31" s="1233"/>
      <c r="AW31" s="693"/>
      <c r="AX31" s="1234"/>
      <c r="AY31" s="748"/>
      <c r="AZ31" s="1235"/>
      <c r="BA31" s="16"/>
      <c r="BB31" s="692"/>
      <c r="BC31" s="693"/>
      <c r="BD31" s="1233"/>
      <c r="BE31" s="693"/>
      <c r="BF31" s="1234"/>
      <c r="BG31" s="748"/>
      <c r="BH31" s="1235"/>
      <c r="BI31" s="16"/>
      <c r="BJ31" s="692"/>
      <c r="BK31" s="693"/>
      <c r="BL31" s="1233"/>
      <c r="BM31" s="693"/>
      <c r="BN31" s="1234"/>
      <c r="BO31" s="748"/>
      <c r="BP31" s="1235"/>
      <c r="BQ31" s="16"/>
      <c r="BR31" s="692"/>
      <c r="BS31" s="693"/>
      <c r="BT31" s="1233"/>
      <c r="BU31" s="693"/>
      <c r="BV31" s="1234"/>
      <c r="BW31" s="748"/>
      <c r="BX31" s="1235"/>
      <c r="BY31" s="16"/>
      <c r="BZ31" s="692"/>
      <c r="CA31" s="693"/>
      <c r="CB31" s="1233"/>
      <c r="CC31" s="693"/>
      <c r="CD31" s="1234"/>
      <c r="CE31" s="748"/>
      <c r="CF31" s="1235"/>
      <c r="CG31" s="16"/>
      <c r="CH31" s="692"/>
      <c r="CI31" s="693"/>
      <c r="CJ31" s="1233"/>
      <c r="CK31" s="693"/>
      <c r="CL31" s="1234"/>
      <c r="CM31" s="748"/>
      <c r="CN31" s="1235"/>
      <c r="CO31" s="16"/>
      <c r="CP31" s="172"/>
    </row>
    <row r="32" spans="1:172" s="78" customFormat="1" ht="8.1" customHeight="1" thickBot="1" x14ac:dyDescent="0.25">
      <c r="A32" s="104"/>
      <c r="B32" s="104"/>
      <c r="C32" s="6601"/>
      <c r="D32" s="104"/>
      <c r="E32" s="17"/>
      <c r="F32" s="129"/>
      <c r="G32" s="129"/>
      <c r="H32" s="129"/>
      <c r="I32" s="129"/>
      <c r="J32" s="16"/>
      <c r="K32" s="16"/>
      <c r="L32" s="19"/>
      <c r="M32" s="19"/>
      <c r="N32" s="19"/>
      <c r="O32" s="15"/>
      <c r="P32" s="15"/>
      <c r="R32" s="23"/>
      <c r="S32" s="23"/>
      <c r="T32" s="23"/>
      <c r="U32" s="16"/>
      <c r="V32" s="16"/>
      <c r="W32" s="16"/>
      <c r="X32" s="22"/>
      <c r="Y32" s="16"/>
      <c r="Z32" s="19"/>
      <c r="AA32" s="21"/>
      <c r="AB32" s="21"/>
      <c r="AC32" s="16"/>
      <c r="AD32" s="16"/>
      <c r="AE32" s="16"/>
      <c r="AF32" s="22"/>
      <c r="AG32" s="16"/>
      <c r="AH32" s="19"/>
      <c r="AI32" s="21"/>
      <c r="AJ32" s="21"/>
      <c r="AK32" s="16"/>
      <c r="AL32" s="16"/>
      <c r="AM32" s="16"/>
      <c r="AN32" s="22"/>
      <c r="AO32" s="16"/>
      <c r="AP32" s="19"/>
      <c r="AQ32" s="21"/>
      <c r="AR32" s="21"/>
      <c r="AS32" s="16"/>
      <c r="AT32" s="16"/>
      <c r="AU32" s="16"/>
      <c r="AV32" s="22"/>
      <c r="AW32" s="16"/>
      <c r="AX32" s="19"/>
      <c r="AY32" s="21"/>
      <c r="AZ32" s="21"/>
      <c r="BA32" s="16"/>
      <c r="BB32" s="16"/>
      <c r="BC32" s="16"/>
      <c r="BD32" s="22"/>
      <c r="BE32" s="16"/>
      <c r="BF32" s="19"/>
      <c r="BG32" s="21"/>
      <c r="BH32" s="21"/>
      <c r="BI32" s="16"/>
      <c r="BJ32" s="16"/>
      <c r="BK32" s="16"/>
      <c r="BL32" s="22"/>
      <c r="BM32" s="16"/>
      <c r="BN32" s="19"/>
      <c r="BO32" s="21"/>
      <c r="BP32" s="21"/>
      <c r="BQ32" s="16"/>
      <c r="BR32" s="16"/>
      <c r="BS32" s="16"/>
      <c r="BT32" s="22"/>
      <c r="BU32" s="16"/>
      <c r="BV32" s="19"/>
      <c r="BW32" s="21"/>
      <c r="BX32" s="21"/>
      <c r="BY32" s="16"/>
      <c r="BZ32" s="16"/>
      <c r="CA32" s="16"/>
      <c r="CB32" s="22"/>
      <c r="CC32" s="16"/>
      <c r="CD32" s="19"/>
      <c r="CE32" s="21"/>
      <c r="CF32" s="21"/>
      <c r="CG32" s="16"/>
      <c r="CH32" s="16"/>
      <c r="CI32" s="16"/>
      <c r="CJ32" s="22"/>
      <c r="CK32" s="16"/>
      <c r="CL32" s="19"/>
      <c r="CM32" s="21"/>
      <c r="CN32" s="21"/>
      <c r="CO32" s="16"/>
      <c r="CP32" s="21"/>
    </row>
    <row r="33" spans="1:151" s="78" customFormat="1" ht="15" customHeight="1" thickBot="1" x14ac:dyDescent="0.25">
      <c r="A33" s="104"/>
      <c r="B33" s="104"/>
      <c r="C33" s="6601"/>
      <c r="D33" s="104"/>
      <c r="E33" s="1223"/>
      <c r="F33" s="661"/>
      <c r="G33" s="661"/>
      <c r="H33" s="661"/>
      <c r="I33" s="661"/>
      <c r="J33" s="643"/>
      <c r="K33" s="643"/>
      <c r="L33" s="1224"/>
      <c r="M33" s="1224"/>
      <c r="N33" s="1224"/>
      <c r="O33" s="658"/>
      <c r="P33" s="1225"/>
      <c r="R33" s="1153"/>
      <c r="S33" s="1154"/>
      <c r="T33" s="1155"/>
      <c r="U33" s="16"/>
      <c r="V33" s="1237"/>
      <c r="W33" s="643"/>
      <c r="X33" s="642"/>
      <c r="Y33" s="643"/>
      <c r="Z33" s="1224"/>
      <c r="AA33" s="1238"/>
      <c r="AB33" s="1239"/>
      <c r="AC33" s="16"/>
      <c r="AD33" s="1237"/>
      <c r="AE33" s="643"/>
      <c r="AF33" s="642"/>
      <c r="AG33" s="643"/>
      <c r="AH33" s="1224"/>
      <c r="AI33" s="1238"/>
      <c r="AJ33" s="1239"/>
      <c r="AK33" s="16"/>
      <c r="AL33" s="1237"/>
      <c r="AM33" s="643"/>
      <c r="AN33" s="642"/>
      <c r="AO33" s="643"/>
      <c r="AP33" s="1224"/>
      <c r="AQ33" s="1238"/>
      <c r="AR33" s="1239"/>
      <c r="AS33" s="16"/>
      <c r="AT33" s="1237"/>
      <c r="AU33" s="643"/>
      <c r="AV33" s="642"/>
      <c r="AW33" s="643"/>
      <c r="AX33" s="1224"/>
      <c r="AY33" s="1238"/>
      <c r="AZ33" s="1239"/>
      <c r="BA33" s="16"/>
      <c r="BB33" s="1237"/>
      <c r="BC33" s="643"/>
      <c r="BD33" s="642"/>
      <c r="BE33" s="643"/>
      <c r="BF33" s="1224"/>
      <c r="BG33" s="1238"/>
      <c r="BH33" s="1239"/>
      <c r="BI33" s="16"/>
      <c r="BJ33" s="1237"/>
      <c r="BK33" s="643"/>
      <c r="BL33" s="642"/>
      <c r="BM33" s="643"/>
      <c r="BN33" s="1224"/>
      <c r="BO33" s="1238"/>
      <c r="BP33" s="1239"/>
      <c r="BQ33" s="16"/>
      <c r="BR33" s="1237"/>
      <c r="BS33" s="643"/>
      <c r="BT33" s="642"/>
      <c r="BU33" s="643"/>
      <c r="BV33" s="1224"/>
      <c r="BW33" s="1238"/>
      <c r="BX33" s="1239"/>
      <c r="BY33" s="16"/>
      <c r="BZ33" s="1237"/>
      <c r="CA33" s="643"/>
      <c r="CB33" s="642"/>
      <c r="CC33" s="643"/>
      <c r="CD33" s="1224"/>
      <c r="CE33" s="1238"/>
      <c r="CF33" s="1239"/>
      <c r="CG33" s="16"/>
      <c r="CH33" s="1237"/>
      <c r="CI33" s="643"/>
      <c r="CJ33" s="642"/>
      <c r="CK33" s="643"/>
      <c r="CL33" s="1224"/>
      <c r="CM33" s="1238"/>
      <c r="CN33" s="1239"/>
      <c r="CO33" s="16"/>
      <c r="CP33" s="173"/>
    </row>
    <row r="34" spans="1:151" s="78" customFormat="1" ht="20.100000000000001" customHeight="1" thickBot="1" x14ac:dyDescent="0.25">
      <c r="A34" s="104"/>
      <c r="B34" s="104"/>
      <c r="C34" s="6601"/>
      <c r="D34" s="104"/>
      <c r="E34" s="1226"/>
      <c r="F34" s="76" t="str">
        <f>_Calcs!$M$54</f>
        <v>Manuell driftsrensk</v>
      </c>
      <c r="G34" s="76"/>
      <c r="H34" s="76"/>
      <c r="I34" s="76"/>
      <c r="J34" s="75"/>
      <c r="K34" s="75"/>
      <c r="L34" s="1227"/>
      <c r="M34" s="1227"/>
      <c r="N34" s="1227"/>
      <c r="O34" s="76" t="s">
        <v>46</v>
      </c>
      <c r="P34" s="1228"/>
      <c r="Q34" s="21"/>
      <c r="R34" s="1156"/>
      <c r="S34" s="2301">
        <f>IFERROR(INDEX(outputs_klasse_qty[man_total_hr],MATCH(_Calcs_Klasse!$CC$54,outputs_klasse_qty[Navn],0)),"")</f>
        <v>0</v>
      </c>
      <c r="T34" s="1157"/>
      <c r="U34" s="16"/>
      <c r="V34" s="1240"/>
      <c r="W34" s="75"/>
      <c r="X34" s="2313">
        <f>IFERROR(INDEX(outputs_klasse_qty[man_total_hr],MATCH(_Calcs_Klasse!$AV$146,outputs_klasse_qty[klasse_stuff_id],0)),"")</f>
        <v>0</v>
      </c>
      <c r="Y34" s="75"/>
      <c r="Z34" s="30" t="str">
        <f>IF(_Calcs_Klasse!$AI$27=2,"✓",IF(AND(_Calcs_Klasse!$AI$27=1,_Calcs!$NO$346=0),"✓","!"))</f>
        <v>✓</v>
      </c>
      <c r="AA34" s="1227"/>
      <c r="AB34" s="1241"/>
      <c r="AC34" s="16"/>
      <c r="AD34" s="1240"/>
      <c r="AE34" s="75"/>
      <c r="AF34" s="2313" t="str">
        <f>IFERROR(INDEX(outputs_klasse_qty[man_total_hr],MATCH(_Calcs_Klasse!$AW$146,outputs_klasse_qty[klasse_stuff_id],0)),"")</f>
        <v/>
      </c>
      <c r="AG34" s="75"/>
      <c r="AH34" s="30" t="str">
        <f>IF(_Calcs_Klasse!$AI$27=2,"✓",IF(AND(_Calcs_Klasse!$AI$27=1,_Calcs!$NP$346=0),"✓","!"))</f>
        <v>✓</v>
      </c>
      <c r="AI34" s="1227"/>
      <c r="AJ34" s="1241"/>
      <c r="AK34" s="16"/>
      <c r="AL34" s="1240"/>
      <c r="AM34" s="75"/>
      <c r="AN34" s="2313" t="str">
        <f>IFERROR(INDEX(outputs_klasse_qty[man_total_hr],MATCH(_Calcs_Klasse!$AX$146,outputs_klasse_qty[klasse_stuff_id],0)),"")</f>
        <v/>
      </c>
      <c r="AO34" s="75"/>
      <c r="AP34" s="30" t="str">
        <f>IF(_Calcs_Klasse!$AI$27=2,"✓",IF(AND(_Calcs_Klasse!$AI$27=1,_Calcs!$NQ$346=0),"✓","!"))</f>
        <v>✓</v>
      </c>
      <c r="AQ34" s="1227"/>
      <c r="AR34" s="1241"/>
      <c r="AS34" s="16"/>
      <c r="AT34" s="1240"/>
      <c r="AU34" s="75"/>
      <c r="AV34" s="2313" t="str">
        <f>IFERROR(INDEX(outputs_klasse_qty[man_total_hr],MATCH(_Calcs_Klasse!$AY$146,outputs_klasse_qty[klasse_stuff_id],0)),"")</f>
        <v/>
      </c>
      <c r="AW34" s="75"/>
      <c r="AX34" s="30" t="str">
        <f>IF(_Calcs_Klasse!$AI$27=2,"✓",IF(AND(_Calcs_Klasse!$AI$27=1,_Calcs!$NR$346=0),"✓","!"))</f>
        <v>✓</v>
      </c>
      <c r="AY34" s="1227"/>
      <c r="AZ34" s="1241"/>
      <c r="BA34" s="16"/>
      <c r="BB34" s="1240"/>
      <c r="BC34" s="75"/>
      <c r="BD34" s="2313" t="str">
        <f>IFERROR(INDEX(outputs_klasse_qty[man_total_hr],MATCH(_Calcs_Klasse!$AZ$146,outputs_klasse_qty[klasse_stuff_id],0)),"")</f>
        <v/>
      </c>
      <c r="BE34" s="75"/>
      <c r="BF34" s="30" t="str">
        <f>IF(_Calcs_Klasse!$AI$27=2,"✓",IF(AND(_Calcs_Klasse!$AI$27=1,_Calcs!$NS$346=0),"✓","!"))</f>
        <v>✓</v>
      </c>
      <c r="BG34" s="1227"/>
      <c r="BH34" s="1241"/>
      <c r="BI34" s="16"/>
      <c r="BJ34" s="1240"/>
      <c r="BK34" s="75"/>
      <c r="BL34" s="2313" t="str">
        <f>IFERROR(INDEX(outputs_klasse_qty[man_total_hr],MATCH(_Calcs_Klasse!$BA$146,outputs_klasse_qty[klasse_stuff_id],0)),"")</f>
        <v/>
      </c>
      <c r="BM34" s="75"/>
      <c r="BN34" s="30" t="str">
        <f>IF(_Calcs_Klasse!$AI$27=2,"✓",IF(AND(_Calcs_Klasse!$AI$27=1,_Calcs!$NT$346=0),"✓","!"))</f>
        <v>✓</v>
      </c>
      <c r="BO34" s="1227"/>
      <c r="BP34" s="1241"/>
      <c r="BQ34" s="16"/>
      <c r="BR34" s="1240"/>
      <c r="BS34" s="75"/>
      <c r="BT34" s="2313" t="str">
        <f>IFERROR(INDEX(outputs_klasse_qty[man_total_hr],MATCH(_Calcs_Klasse!$BB$146,outputs_klasse_qty[klasse_stuff_id],0)),"")</f>
        <v/>
      </c>
      <c r="BU34" s="75"/>
      <c r="BV34" s="30" t="str">
        <f>IF(_Calcs_Klasse!$AI$27=2,"✓",IF(AND(_Calcs_Klasse!$AI$27=1,_Calcs!$NU$346=0),"✓","!"))</f>
        <v>✓</v>
      </c>
      <c r="BW34" s="1227"/>
      <c r="BX34" s="1241"/>
      <c r="BY34" s="16"/>
      <c r="BZ34" s="1240"/>
      <c r="CA34" s="75"/>
      <c r="CB34" s="2313" t="str">
        <f>IFERROR(INDEX(outputs_klasse_qty[man_total_hr],MATCH(_Calcs_Klasse!$BC$146,outputs_klasse_qty[klasse_stuff_id],0)),"")</f>
        <v/>
      </c>
      <c r="CC34" s="75"/>
      <c r="CD34" s="30" t="str">
        <f>IF(_Calcs_Klasse!$AI$27=2,"✓",IF(AND(_Calcs_Klasse!$AI$27=1,_Calcs!$NV$346=0),"✓","!"))</f>
        <v>✓</v>
      </c>
      <c r="CE34" s="1227"/>
      <c r="CF34" s="1241"/>
      <c r="CG34" s="16"/>
      <c r="CH34" s="1240"/>
      <c r="CI34" s="75"/>
      <c r="CJ34" s="2313" t="str">
        <f>IFERROR(INDEX(outputs_klasse_qty[man_total_hr],MATCH(_Calcs_Klasse!$BD$146,outputs_klasse_qty[klasse_stuff_id],0)),"")</f>
        <v/>
      </c>
      <c r="CK34" s="75"/>
      <c r="CL34" s="30" t="str">
        <f>IF(_Calcs_Klasse!$AI$27=2,"✓",IF(AND(_Calcs_Klasse!$AI$27=1,_Calcs!$NW$346=0),"✓","!"))</f>
        <v>✓</v>
      </c>
      <c r="CM34" s="1227"/>
      <c r="CN34" s="1241"/>
      <c r="CO34" s="16"/>
      <c r="CP34" s="173"/>
    </row>
    <row r="35" spans="1:151" s="78" customFormat="1" ht="20.100000000000001" customHeight="1" thickBot="1" x14ac:dyDescent="0.25">
      <c r="A35" s="104"/>
      <c r="B35" s="104"/>
      <c r="C35" s="5736"/>
      <c r="D35" s="104"/>
      <c r="E35" s="1226"/>
      <c r="F35" s="76"/>
      <c r="G35" s="76"/>
      <c r="H35" s="76"/>
      <c r="I35" s="76"/>
      <c r="J35" s="75"/>
      <c r="K35" s="75"/>
      <c r="L35" s="1227"/>
      <c r="M35" s="1227"/>
      <c r="N35" s="1227"/>
      <c r="O35" s="76"/>
      <c r="P35" s="1228"/>
      <c r="Q35" s="21"/>
      <c r="R35" s="1156"/>
      <c r="S35" s="3777"/>
      <c r="T35" s="1157"/>
      <c r="U35" s="16"/>
      <c r="V35" s="1240"/>
      <c r="W35" s="75"/>
      <c r="X35" s="3778"/>
      <c r="Y35" s="75"/>
      <c r="Z35" s="3464"/>
      <c r="AA35" s="1227"/>
      <c r="AB35" s="1241"/>
      <c r="AC35" s="16"/>
      <c r="AD35" s="1240"/>
      <c r="AE35" s="75"/>
      <c r="AF35" s="3778"/>
      <c r="AG35" s="75"/>
      <c r="AH35" s="3464"/>
      <c r="AI35" s="1227"/>
      <c r="AJ35" s="1241"/>
      <c r="AK35" s="16"/>
      <c r="AL35" s="1240"/>
      <c r="AM35" s="75"/>
      <c r="AN35" s="3778"/>
      <c r="AO35" s="75"/>
      <c r="AP35" s="3464"/>
      <c r="AQ35" s="1227"/>
      <c r="AR35" s="1241"/>
      <c r="AS35" s="16"/>
      <c r="AT35" s="1240"/>
      <c r="AU35" s="75"/>
      <c r="AV35" s="3778"/>
      <c r="AW35" s="75"/>
      <c r="AX35" s="3464"/>
      <c r="AY35" s="1227"/>
      <c r="AZ35" s="1241"/>
      <c r="BA35" s="16"/>
      <c r="BB35" s="1240"/>
      <c r="BC35" s="75"/>
      <c r="BD35" s="3778"/>
      <c r="BE35" s="75"/>
      <c r="BF35" s="3464"/>
      <c r="BG35" s="1227"/>
      <c r="BH35" s="1241"/>
      <c r="BI35" s="16"/>
      <c r="BJ35" s="1240"/>
      <c r="BK35" s="75"/>
      <c r="BL35" s="3778"/>
      <c r="BM35" s="75"/>
      <c r="BN35" s="3464"/>
      <c r="BO35" s="1227"/>
      <c r="BP35" s="1241"/>
      <c r="BQ35" s="16"/>
      <c r="BR35" s="1240"/>
      <c r="BS35" s="75"/>
      <c r="BT35" s="3778"/>
      <c r="BU35" s="75"/>
      <c r="BV35" s="3464"/>
      <c r="BW35" s="1227"/>
      <c r="BX35" s="1241"/>
      <c r="BY35" s="16"/>
      <c r="BZ35" s="1240"/>
      <c r="CA35" s="75"/>
      <c r="CB35" s="3778"/>
      <c r="CC35" s="75"/>
      <c r="CD35" s="3464"/>
      <c r="CE35" s="1227"/>
      <c r="CF35" s="1241"/>
      <c r="CG35" s="16"/>
      <c r="CH35" s="1240"/>
      <c r="CI35" s="75"/>
      <c r="CJ35" s="3778"/>
      <c r="CK35" s="75"/>
      <c r="CL35" s="3464"/>
      <c r="CM35" s="1227"/>
      <c r="CN35" s="1241"/>
      <c r="CO35" s="16"/>
      <c r="CP35" s="173"/>
    </row>
    <row r="36" spans="1:151" s="78" customFormat="1" ht="20.100000000000001" customHeight="1" thickBot="1" x14ac:dyDescent="0.25">
      <c r="A36" s="104"/>
      <c r="B36" s="104"/>
      <c r="C36" s="5736"/>
      <c r="D36" s="104"/>
      <c r="E36" s="1226"/>
      <c r="F36" s="76" t="str">
        <f>_Calcs!$M$55</f>
        <v>Registrering og kartlegging</v>
      </c>
      <c r="G36" s="76"/>
      <c r="H36" s="76"/>
      <c r="I36" s="76"/>
      <c r="J36" s="75"/>
      <c r="K36" s="75"/>
      <c r="L36" s="1227"/>
      <c r="M36" s="1227"/>
      <c r="N36" s="1227"/>
      <c r="O36" s="76" t="s">
        <v>46</v>
      </c>
      <c r="P36" s="1228"/>
      <c r="Q36" s="21"/>
      <c r="R36" s="1156"/>
      <c r="S36" s="2301">
        <f>IFERROR(INDEX(outputs_klasse_qty[kartlegg_total_hr],MATCH(_Calcs_Klasse!$CC$54,outputs_klasse_qty[Navn],0)),"")</f>
        <v>0</v>
      </c>
      <c r="T36" s="1157"/>
      <c r="U36" s="16"/>
      <c r="V36" s="1240"/>
      <c r="W36" s="75"/>
      <c r="X36" s="2313">
        <f>IFERROR(INDEX(outputs_klasse_qty[kartlegg_total_hr],MATCH(_Calcs_Klasse!$AV$146,outputs_klasse_qty[klasse_stuff_id],0)),"")</f>
        <v>0</v>
      </c>
      <c r="Y36" s="75"/>
      <c r="Z36" s="30" t="str">
        <f>IF(_Calcs_Klasse!$AI$27=2,"✓",IF(AND(_Calcs_Klasse!$AI$27=1,_Calcs!$NO$346=0),"✓","!"))</f>
        <v>✓</v>
      </c>
      <c r="AA36" s="1227"/>
      <c r="AB36" s="1241"/>
      <c r="AC36" s="16"/>
      <c r="AD36" s="1240"/>
      <c r="AE36" s="75"/>
      <c r="AF36" s="2313" t="str">
        <f>IFERROR(INDEX(outputs_klasse_qty[kartlegg_total_hr],MATCH(_Calcs_Klasse!$AW$146,outputs_klasse_qty[klasse_stuff_id],0)),"")</f>
        <v/>
      </c>
      <c r="AG36" s="75"/>
      <c r="AH36" s="30" t="str">
        <f>IF(_Calcs_Klasse!$AI$27=2,"✓",IF(AND(_Calcs_Klasse!$AI$27=1,_Calcs!$NP$346=0),"✓","!"))</f>
        <v>✓</v>
      </c>
      <c r="AI36" s="1227"/>
      <c r="AJ36" s="1241"/>
      <c r="AK36" s="16"/>
      <c r="AL36" s="1240"/>
      <c r="AM36" s="75"/>
      <c r="AN36" s="2313" t="str">
        <f>IFERROR(INDEX(outputs_klasse_qty[kartlegg_total_hr],MATCH(_Calcs_Klasse!$AX$146,outputs_klasse_qty[klasse_stuff_id],0)),"")</f>
        <v/>
      </c>
      <c r="AO36" s="75"/>
      <c r="AP36" s="30" t="str">
        <f>IF(_Calcs_Klasse!$AI$27=2,"✓",IF(AND(_Calcs_Klasse!$AI$27=1,_Calcs!$NQ$346=0),"✓","!"))</f>
        <v>✓</v>
      </c>
      <c r="AQ36" s="1227"/>
      <c r="AR36" s="1241"/>
      <c r="AS36" s="16"/>
      <c r="AT36" s="1240"/>
      <c r="AU36" s="75"/>
      <c r="AV36" s="2313" t="str">
        <f>IFERROR(INDEX(outputs_klasse_qty[kartlegg_total_hr],MATCH(_Calcs_Klasse!$AY$146,outputs_klasse_qty[klasse_stuff_id],0)),"")</f>
        <v/>
      </c>
      <c r="AW36" s="75"/>
      <c r="AX36" s="30" t="str">
        <f>IF(_Calcs_Klasse!$AI$27=2,"✓",IF(AND(_Calcs_Klasse!$AI$27=1,_Calcs!$NR$346=0),"✓","!"))</f>
        <v>✓</v>
      </c>
      <c r="AY36" s="1227"/>
      <c r="AZ36" s="1241"/>
      <c r="BA36" s="16"/>
      <c r="BB36" s="1240"/>
      <c r="BC36" s="75"/>
      <c r="BD36" s="2313" t="str">
        <f>IFERROR(INDEX(outputs_klasse_qty[kartlegg_total_hr],MATCH(_Calcs_Klasse!$AZ$146,outputs_klasse_qty[klasse_stuff_id],0)),"")</f>
        <v/>
      </c>
      <c r="BE36" s="75"/>
      <c r="BF36" s="30" t="str">
        <f>IF(_Calcs_Klasse!$AI$27=2,"✓",IF(AND(_Calcs_Klasse!$AI$27=1,_Calcs!$NS$346=0),"✓","!"))</f>
        <v>✓</v>
      </c>
      <c r="BG36" s="1227"/>
      <c r="BH36" s="1241"/>
      <c r="BI36" s="16"/>
      <c r="BJ36" s="1240"/>
      <c r="BK36" s="75"/>
      <c r="BL36" s="2313" t="str">
        <f>IFERROR(INDEX(outputs_klasse_qty[kartlegg_total_hr],MATCH(_Calcs_Klasse!$BA$146,outputs_klasse_qty[klasse_stuff_id],0)),"")</f>
        <v/>
      </c>
      <c r="BM36" s="75"/>
      <c r="BN36" s="30" t="str">
        <f>IF(_Calcs_Klasse!$AI$27=2,"✓",IF(AND(_Calcs_Klasse!$AI$27=1,_Calcs!$NT$346=0),"✓","!"))</f>
        <v>✓</v>
      </c>
      <c r="BO36" s="1227"/>
      <c r="BP36" s="1241"/>
      <c r="BQ36" s="16"/>
      <c r="BR36" s="1240"/>
      <c r="BS36" s="75"/>
      <c r="BT36" s="2313" t="str">
        <f>IFERROR(INDEX(outputs_klasse_qty[kartlegg_total_hr],MATCH(_Calcs_Klasse!$BB$146,outputs_klasse_qty[klasse_stuff_id],0)),"")</f>
        <v/>
      </c>
      <c r="BU36" s="75"/>
      <c r="BV36" s="30" t="str">
        <f>IF(_Calcs_Klasse!$AI$27=2,"✓",IF(AND(_Calcs_Klasse!$AI$27=1,_Calcs!$NU$346=0),"✓","!"))</f>
        <v>✓</v>
      </c>
      <c r="BW36" s="1227"/>
      <c r="BX36" s="1241"/>
      <c r="BY36" s="16"/>
      <c r="BZ36" s="1240"/>
      <c r="CA36" s="75"/>
      <c r="CB36" s="2313" t="str">
        <f>IFERROR(INDEX(outputs_klasse_qty[kartlegg_total_hr],MATCH(_Calcs_Klasse!$BC$146,outputs_klasse_qty[klasse_stuff_id],0)),"")</f>
        <v/>
      </c>
      <c r="CC36" s="75"/>
      <c r="CD36" s="30" t="str">
        <f>IF(_Calcs_Klasse!$AI$27=2,"✓",IF(AND(_Calcs_Klasse!$AI$27=1,_Calcs!$NV$346=0),"✓","!"))</f>
        <v>✓</v>
      </c>
      <c r="CE36" s="1227"/>
      <c r="CF36" s="1241"/>
      <c r="CG36" s="16"/>
      <c r="CH36" s="1240"/>
      <c r="CI36" s="75"/>
      <c r="CJ36" s="2313" t="str">
        <f>IFERROR(INDEX(outputs_klasse_qty[kartlegg_total_hr],MATCH(_Calcs_Klasse!$BD$146,outputs_klasse_qty[klasse_stuff_id],0)),"")</f>
        <v/>
      </c>
      <c r="CK36" s="75"/>
      <c r="CL36" s="30" t="str">
        <f>IF(_Calcs_Klasse!$AI$27=2,"✓",IF(AND(_Calcs_Klasse!$AI$27=1,_Calcs!$NW$346=0),"✓","!"))</f>
        <v>✓</v>
      </c>
      <c r="CM36" s="1227"/>
      <c r="CN36" s="1241"/>
      <c r="CO36" s="16"/>
      <c r="CP36" s="173"/>
    </row>
    <row r="37" spans="1:151" s="78" customFormat="1" ht="15" customHeight="1" thickBot="1" x14ac:dyDescent="0.25">
      <c r="A37" s="104"/>
      <c r="B37" s="104"/>
      <c r="C37" s="1254"/>
      <c r="D37" s="20"/>
      <c r="E37" s="1229"/>
      <c r="F37" s="659"/>
      <c r="G37" s="659"/>
      <c r="H37" s="659"/>
      <c r="I37" s="659"/>
      <c r="J37" s="659"/>
      <c r="K37" s="659"/>
      <c r="L37" s="659"/>
      <c r="M37" s="659"/>
      <c r="N37" s="659"/>
      <c r="O37" s="659"/>
      <c r="P37" s="1230"/>
      <c r="R37" s="1158"/>
      <c r="S37" s="1159"/>
      <c r="T37" s="1160"/>
      <c r="U37" s="16"/>
      <c r="V37" s="1229"/>
      <c r="W37" s="659"/>
      <c r="X37" s="1242"/>
      <c r="Y37" s="659"/>
      <c r="Z37" s="659"/>
      <c r="AA37" s="1243"/>
      <c r="AB37" s="1244"/>
      <c r="AC37" s="16"/>
      <c r="AD37" s="1229"/>
      <c r="AE37" s="659"/>
      <c r="AF37" s="1242"/>
      <c r="AG37" s="659"/>
      <c r="AH37" s="659"/>
      <c r="AI37" s="1243"/>
      <c r="AJ37" s="1244"/>
      <c r="AK37" s="16"/>
      <c r="AL37" s="1229"/>
      <c r="AM37" s="659"/>
      <c r="AN37" s="1242"/>
      <c r="AO37" s="659"/>
      <c r="AP37" s="659"/>
      <c r="AQ37" s="1243"/>
      <c r="AR37" s="1244"/>
      <c r="AS37" s="16"/>
      <c r="AT37" s="1229"/>
      <c r="AU37" s="659"/>
      <c r="AV37" s="1242"/>
      <c r="AW37" s="659"/>
      <c r="AX37" s="659"/>
      <c r="AY37" s="1243"/>
      <c r="AZ37" s="1244"/>
      <c r="BA37" s="16"/>
      <c r="BB37" s="1229"/>
      <c r="BC37" s="659"/>
      <c r="BD37" s="1242"/>
      <c r="BE37" s="659"/>
      <c r="BF37" s="659"/>
      <c r="BG37" s="1243"/>
      <c r="BH37" s="1244"/>
      <c r="BI37" s="16"/>
      <c r="BJ37" s="1229"/>
      <c r="BK37" s="659"/>
      <c r="BL37" s="1242"/>
      <c r="BM37" s="659"/>
      <c r="BN37" s="659"/>
      <c r="BO37" s="1243"/>
      <c r="BP37" s="1244"/>
      <c r="BQ37" s="16"/>
      <c r="BR37" s="1229"/>
      <c r="BS37" s="659"/>
      <c r="BT37" s="1242"/>
      <c r="BU37" s="659"/>
      <c r="BV37" s="659"/>
      <c r="BW37" s="1243"/>
      <c r="BX37" s="1244"/>
      <c r="BY37" s="16"/>
      <c r="BZ37" s="1229"/>
      <c r="CA37" s="659"/>
      <c r="CB37" s="1242"/>
      <c r="CC37" s="659"/>
      <c r="CD37" s="659"/>
      <c r="CE37" s="1243"/>
      <c r="CF37" s="1244"/>
      <c r="CG37" s="16"/>
      <c r="CH37" s="1229"/>
      <c r="CI37" s="659"/>
      <c r="CJ37" s="1242"/>
      <c r="CK37" s="659"/>
      <c r="CL37" s="659"/>
      <c r="CM37" s="1243"/>
      <c r="CN37" s="1244"/>
      <c r="CO37" s="16"/>
      <c r="CP37" s="173"/>
    </row>
    <row r="38" spans="1:151" s="78" customFormat="1" ht="24.95" customHeight="1" thickBot="1" x14ac:dyDescent="0.25">
      <c r="A38" s="104"/>
      <c r="B38" s="104"/>
      <c r="C38" s="1254"/>
      <c r="D38" s="20"/>
      <c r="E38" s="15"/>
      <c r="F38" s="21"/>
      <c r="G38" s="21"/>
      <c r="H38" s="21"/>
      <c r="I38" s="21"/>
      <c r="J38" s="16"/>
      <c r="K38" s="16"/>
      <c r="L38" s="19"/>
      <c r="M38" s="19"/>
      <c r="N38" s="19"/>
      <c r="O38" s="15"/>
      <c r="P38" s="15"/>
      <c r="R38" s="7"/>
      <c r="S38" s="7"/>
      <c r="T38" s="7"/>
      <c r="U38" s="16"/>
      <c r="V38" s="16"/>
      <c r="W38" s="16"/>
      <c r="X38" s="22"/>
      <c r="Y38" s="16"/>
      <c r="Z38" s="19"/>
      <c r="AA38" s="21"/>
      <c r="AB38" s="21"/>
      <c r="AC38" s="16"/>
      <c r="AD38" s="16"/>
      <c r="AE38" s="16"/>
      <c r="AF38" s="22"/>
      <c r="AG38" s="16"/>
      <c r="AH38" s="19"/>
      <c r="AI38" s="21"/>
      <c r="AJ38" s="21"/>
      <c r="AK38" s="16"/>
      <c r="AL38" s="16"/>
      <c r="AM38" s="16"/>
      <c r="AN38" s="22"/>
      <c r="AO38" s="16"/>
      <c r="AP38" s="19"/>
      <c r="AQ38" s="21"/>
      <c r="AR38" s="21"/>
      <c r="AS38" s="16"/>
      <c r="AT38" s="16"/>
      <c r="AU38" s="16"/>
      <c r="AV38" s="22"/>
      <c r="AW38" s="16"/>
      <c r="AX38" s="19"/>
      <c r="AY38" s="21"/>
      <c r="AZ38" s="21"/>
      <c r="BA38" s="16"/>
      <c r="BB38" s="16"/>
      <c r="BC38" s="16"/>
      <c r="BD38" s="22"/>
      <c r="BE38" s="16"/>
      <c r="BF38" s="19"/>
      <c r="BG38" s="21"/>
      <c r="BH38" s="21"/>
      <c r="BI38" s="16"/>
      <c r="BJ38" s="16"/>
      <c r="BK38" s="16"/>
      <c r="BL38" s="22"/>
      <c r="BM38" s="16"/>
      <c r="BN38" s="19"/>
      <c r="BO38" s="21"/>
      <c r="BP38" s="21"/>
      <c r="BQ38" s="16"/>
      <c r="BR38" s="16"/>
      <c r="BS38" s="16"/>
      <c r="BT38" s="22"/>
      <c r="BU38" s="16"/>
      <c r="BV38" s="19"/>
      <c r="BW38" s="21"/>
      <c r="BX38" s="21"/>
      <c r="BY38" s="16"/>
      <c r="BZ38" s="16"/>
      <c r="CA38" s="16"/>
      <c r="CB38" s="22"/>
      <c r="CC38" s="16"/>
      <c r="CD38" s="19"/>
      <c r="CE38" s="21"/>
      <c r="CF38" s="21"/>
      <c r="CG38" s="16"/>
      <c r="CH38" s="16"/>
      <c r="CI38" s="16"/>
      <c r="CJ38" s="22"/>
      <c r="CK38" s="16"/>
      <c r="CL38" s="19"/>
      <c r="CM38" s="21"/>
      <c r="CN38" s="21"/>
      <c r="CO38" s="16"/>
      <c r="CP38" s="21"/>
    </row>
    <row r="39" spans="1:151" s="78" customFormat="1" ht="15" customHeight="1" thickBot="1" x14ac:dyDescent="0.25">
      <c r="A39" s="104"/>
      <c r="B39" s="104"/>
      <c r="C39" s="1254"/>
      <c r="D39" s="20"/>
      <c r="E39" s="1219"/>
      <c r="F39" s="6597" t="str">
        <f>_Calcs!$K$56</f>
        <v>Sikringsbolter</v>
      </c>
      <c r="G39" s="6597"/>
      <c r="H39" s="6597"/>
      <c r="I39" s="6597"/>
      <c r="J39" s="6597"/>
      <c r="K39" s="6597"/>
      <c r="L39" s="6597"/>
      <c r="M39" s="6597"/>
      <c r="N39" s="6597"/>
      <c r="O39" s="6597"/>
      <c r="P39" s="1220"/>
      <c r="R39" s="7"/>
      <c r="S39" s="7"/>
      <c r="T39" s="7"/>
      <c r="U39" s="16"/>
      <c r="V39" s="16"/>
      <c r="W39" s="16"/>
      <c r="X39" s="22"/>
      <c r="Y39" s="16"/>
      <c r="Z39" s="19"/>
      <c r="AA39" s="21"/>
      <c r="AB39" s="21"/>
      <c r="AC39" s="16"/>
      <c r="AD39" s="16"/>
      <c r="AE39" s="16"/>
      <c r="AF39" s="22"/>
      <c r="AG39" s="16"/>
      <c r="AH39" s="19"/>
      <c r="AI39" s="21"/>
      <c r="AJ39" s="21"/>
      <c r="AK39" s="16"/>
      <c r="AL39" s="16"/>
      <c r="AM39" s="16"/>
      <c r="AN39" s="22"/>
      <c r="AO39" s="16"/>
      <c r="AP39" s="19"/>
      <c r="AQ39" s="21"/>
      <c r="AR39" s="21"/>
      <c r="AS39" s="16"/>
      <c r="AT39" s="16"/>
      <c r="AU39" s="16"/>
      <c r="AV39" s="22"/>
      <c r="AW39" s="16"/>
      <c r="AX39" s="19"/>
      <c r="AY39" s="21"/>
      <c r="AZ39" s="21"/>
      <c r="BA39" s="16"/>
      <c r="BB39" s="16"/>
      <c r="BC39" s="16"/>
      <c r="BD39" s="22"/>
      <c r="BE39" s="16"/>
      <c r="BF39" s="19"/>
      <c r="BG39" s="21"/>
      <c r="BH39" s="21"/>
      <c r="BI39" s="16"/>
      <c r="BJ39" s="16"/>
      <c r="BK39" s="16"/>
      <c r="BL39" s="22"/>
      <c r="BM39" s="16"/>
      <c r="BN39" s="19"/>
      <c r="BO39" s="21"/>
      <c r="BP39" s="21"/>
      <c r="BQ39" s="16"/>
      <c r="BR39" s="16"/>
      <c r="BS39" s="16"/>
      <c r="BT39" s="22"/>
      <c r="BU39" s="16"/>
      <c r="BV39" s="19"/>
      <c r="BW39" s="21"/>
      <c r="BX39" s="21"/>
      <c r="BY39" s="16"/>
      <c r="BZ39" s="16"/>
      <c r="CA39" s="16"/>
      <c r="CB39" s="22"/>
      <c r="CC39" s="16"/>
      <c r="CD39" s="19"/>
      <c r="CE39" s="21"/>
      <c r="CF39" s="21"/>
      <c r="CG39" s="16"/>
      <c r="CH39" s="16"/>
      <c r="CI39" s="16"/>
      <c r="CJ39" s="22"/>
      <c r="CK39" s="16"/>
      <c r="CL39" s="19"/>
      <c r="CM39" s="21"/>
      <c r="CN39" s="21"/>
      <c r="CO39" s="16"/>
      <c r="CP39" s="21"/>
    </row>
    <row r="40" spans="1:151" s="78" customFormat="1" ht="15" customHeight="1" thickBot="1" x14ac:dyDescent="0.25">
      <c r="A40" s="104"/>
      <c r="B40" s="104"/>
      <c r="C40" s="5736"/>
      <c r="D40" s="20"/>
      <c r="E40" s="1221"/>
      <c r="F40" s="6598"/>
      <c r="G40" s="6598"/>
      <c r="H40" s="6598"/>
      <c r="I40" s="6598"/>
      <c r="J40" s="6598"/>
      <c r="K40" s="6598"/>
      <c r="L40" s="6598"/>
      <c r="M40" s="6598"/>
      <c r="N40" s="6598"/>
      <c r="O40" s="6598"/>
      <c r="P40" s="1222"/>
      <c r="R40" s="1215"/>
      <c r="S40" s="1216"/>
      <c r="T40" s="1217"/>
      <c r="U40" s="16"/>
      <c r="V40" s="692"/>
      <c r="W40" s="693"/>
      <c r="X40" s="1233"/>
      <c r="Y40" s="693"/>
      <c r="Z40" s="1234"/>
      <c r="AA40" s="748"/>
      <c r="AB40" s="1235"/>
      <c r="AC40" s="16"/>
      <c r="AD40" s="692"/>
      <c r="AE40" s="693"/>
      <c r="AF40" s="1233"/>
      <c r="AG40" s="693"/>
      <c r="AH40" s="1234"/>
      <c r="AI40" s="748"/>
      <c r="AJ40" s="1235"/>
      <c r="AK40" s="16"/>
      <c r="AL40" s="692"/>
      <c r="AM40" s="693"/>
      <c r="AN40" s="1233"/>
      <c r="AO40" s="693"/>
      <c r="AP40" s="1234"/>
      <c r="AQ40" s="748"/>
      <c r="AR40" s="1235"/>
      <c r="AS40" s="16"/>
      <c r="AT40" s="692"/>
      <c r="AU40" s="693"/>
      <c r="AV40" s="1233"/>
      <c r="AW40" s="693"/>
      <c r="AX40" s="1234"/>
      <c r="AY40" s="748"/>
      <c r="AZ40" s="1235"/>
      <c r="BA40" s="16"/>
      <c r="BB40" s="692"/>
      <c r="BC40" s="693"/>
      <c r="BD40" s="1233"/>
      <c r="BE40" s="693"/>
      <c r="BF40" s="1234"/>
      <c r="BG40" s="748"/>
      <c r="BH40" s="1235"/>
      <c r="BI40" s="16"/>
      <c r="BJ40" s="692"/>
      <c r="BK40" s="693"/>
      <c r="BL40" s="1233"/>
      <c r="BM40" s="693"/>
      <c r="BN40" s="1234"/>
      <c r="BO40" s="748"/>
      <c r="BP40" s="1235"/>
      <c r="BQ40" s="16"/>
      <c r="BR40" s="692"/>
      <c r="BS40" s="693"/>
      <c r="BT40" s="1233"/>
      <c r="BU40" s="693"/>
      <c r="BV40" s="1234"/>
      <c r="BW40" s="748"/>
      <c r="BX40" s="1235"/>
      <c r="BY40" s="16"/>
      <c r="BZ40" s="692"/>
      <c r="CA40" s="693"/>
      <c r="CB40" s="1233"/>
      <c r="CC40" s="693"/>
      <c r="CD40" s="1234"/>
      <c r="CE40" s="748"/>
      <c r="CF40" s="1235"/>
      <c r="CG40" s="16"/>
      <c r="CH40" s="692"/>
      <c r="CI40" s="693"/>
      <c r="CJ40" s="1233"/>
      <c r="CK40" s="693"/>
      <c r="CL40" s="1234"/>
      <c r="CM40" s="748"/>
      <c r="CN40" s="1235"/>
      <c r="CO40" s="16"/>
      <c r="CP40" s="172"/>
    </row>
    <row r="41" spans="1:151" s="78" customFormat="1" ht="8.1" customHeight="1" thickBot="1" x14ac:dyDescent="0.25">
      <c r="A41" s="104"/>
      <c r="B41" s="104"/>
      <c r="C41" s="5736"/>
      <c r="D41" s="20"/>
      <c r="E41" s="15"/>
      <c r="F41" s="1212"/>
      <c r="G41" s="1212"/>
      <c r="H41" s="1212"/>
      <c r="I41" s="1212"/>
      <c r="J41" s="16"/>
      <c r="K41" s="16"/>
      <c r="L41" s="19"/>
      <c r="M41" s="19"/>
      <c r="N41" s="19"/>
      <c r="O41" s="15"/>
      <c r="P41" s="15"/>
      <c r="R41" s="70"/>
      <c r="S41" s="114"/>
      <c r="T41" s="70"/>
      <c r="U41" s="16"/>
      <c r="V41" s="16"/>
      <c r="W41" s="16"/>
      <c r="X41" s="22"/>
      <c r="Y41" s="16"/>
      <c r="Z41" s="19"/>
      <c r="AA41" s="21"/>
      <c r="AB41" s="21"/>
      <c r="AC41" s="16"/>
      <c r="AD41" s="16"/>
      <c r="AE41" s="16"/>
      <c r="AF41" s="22"/>
      <c r="AG41" s="16"/>
      <c r="AH41" s="19"/>
      <c r="AI41" s="21"/>
      <c r="AJ41" s="21"/>
      <c r="AK41" s="16"/>
      <c r="AL41" s="16"/>
      <c r="AM41" s="16"/>
      <c r="AN41" s="22"/>
      <c r="AO41" s="16"/>
      <c r="AP41" s="19"/>
      <c r="AQ41" s="21"/>
      <c r="AR41" s="21"/>
      <c r="AS41" s="16"/>
      <c r="AT41" s="16"/>
      <c r="AU41" s="16"/>
      <c r="AV41" s="22"/>
      <c r="AW41" s="16"/>
      <c r="AX41" s="19"/>
      <c r="AY41" s="21"/>
      <c r="AZ41" s="21"/>
      <c r="BA41" s="16"/>
      <c r="BB41" s="16"/>
      <c r="BC41" s="16"/>
      <c r="BD41" s="22"/>
      <c r="BE41" s="16"/>
      <c r="BF41" s="19"/>
      <c r="BG41" s="21"/>
      <c r="BH41" s="21"/>
      <c r="BI41" s="16"/>
      <c r="BJ41" s="16"/>
      <c r="BK41" s="16"/>
      <c r="BL41" s="22"/>
      <c r="BM41" s="16"/>
      <c r="BN41" s="19"/>
      <c r="BO41" s="21"/>
      <c r="BP41" s="21"/>
      <c r="BQ41" s="16"/>
      <c r="BR41" s="16"/>
      <c r="BS41" s="16"/>
      <c r="BT41" s="22"/>
      <c r="BU41" s="16"/>
      <c r="BV41" s="19"/>
      <c r="BW41" s="21"/>
      <c r="BX41" s="21"/>
      <c r="BY41" s="16"/>
      <c r="BZ41" s="16"/>
      <c r="CA41" s="16"/>
      <c r="CB41" s="22"/>
      <c r="CC41" s="16"/>
      <c r="CD41" s="19"/>
      <c r="CE41" s="21"/>
      <c r="CF41" s="21"/>
      <c r="CG41" s="16"/>
      <c r="CH41" s="16"/>
      <c r="CI41" s="16"/>
      <c r="CJ41" s="22"/>
      <c r="CK41" s="16"/>
      <c r="CL41" s="19"/>
      <c r="CM41" s="21"/>
      <c r="CN41" s="21"/>
      <c r="CO41" s="16"/>
      <c r="CP41" s="21"/>
    </row>
    <row r="42" spans="1:151" s="78" customFormat="1" ht="15" customHeight="1" thickBot="1" x14ac:dyDescent="0.25">
      <c r="A42" s="104"/>
      <c r="B42" s="104"/>
      <c r="C42" s="1250"/>
      <c r="D42" s="20"/>
      <c r="E42" s="1223"/>
      <c r="F42" s="661"/>
      <c r="G42" s="661"/>
      <c r="H42" s="661"/>
      <c r="I42" s="661"/>
      <c r="J42" s="643"/>
      <c r="K42" s="643"/>
      <c r="L42" s="1224"/>
      <c r="M42" s="1224"/>
      <c r="N42" s="1224"/>
      <c r="O42" s="658"/>
      <c r="P42" s="1225"/>
      <c r="R42" s="1153"/>
      <c r="S42" s="1154"/>
      <c r="T42" s="1155"/>
      <c r="U42" s="16"/>
      <c r="V42" s="1237"/>
      <c r="W42" s="643"/>
      <c r="X42" s="642"/>
      <c r="Y42" s="643"/>
      <c r="Z42" s="1224"/>
      <c r="AA42" s="1238"/>
      <c r="AB42" s="1239"/>
      <c r="AC42" s="16"/>
      <c r="AD42" s="1237"/>
      <c r="AE42" s="643"/>
      <c r="AF42" s="642"/>
      <c r="AG42" s="643"/>
      <c r="AH42" s="1224"/>
      <c r="AI42" s="1238"/>
      <c r="AJ42" s="1239"/>
      <c r="AK42" s="16"/>
      <c r="AL42" s="1237"/>
      <c r="AM42" s="643"/>
      <c r="AN42" s="642"/>
      <c r="AO42" s="643"/>
      <c r="AP42" s="1224"/>
      <c r="AQ42" s="1238"/>
      <c r="AR42" s="1239"/>
      <c r="AS42" s="16"/>
      <c r="AT42" s="1237"/>
      <c r="AU42" s="643"/>
      <c r="AV42" s="642"/>
      <c r="AW42" s="643"/>
      <c r="AX42" s="1224"/>
      <c r="AY42" s="1238"/>
      <c r="AZ42" s="1239"/>
      <c r="BA42" s="16"/>
      <c r="BB42" s="1237"/>
      <c r="BC42" s="643"/>
      <c r="BD42" s="642"/>
      <c r="BE42" s="643"/>
      <c r="BF42" s="1224"/>
      <c r="BG42" s="1238"/>
      <c r="BH42" s="1239"/>
      <c r="BI42" s="16"/>
      <c r="BJ42" s="1237"/>
      <c r="BK42" s="643"/>
      <c r="BL42" s="642"/>
      <c r="BM42" s="643"/>
      <c r="BN42" s="1224"/>
      <c r="BO42" s="1238"/>
      <c r="BP42" s="1239"/>
      <c r="BQ42" s="16"/>
      <c r="BR42" s="1237"/>
      <c r="BS42" s="643"/>
      <c r="BT42" s="642"/>
      <c r="BU42" s="643"/>
      <c r="BV42" s="1224"/>
      <c r="BW42" s="1238"/>
      <c r="BX42" s="1239"/>
      <c r="BY42" s="16"/>
      <c r="BZ42" s="1237"/>
      <c r="CA42" s="643"/>
      <c r="CB42" s="642"/>
      <c r="CC42" s="643"/>
      <c r="CD42" s="1224"/>
      <c r="CE42" s="1238"/>
      <c r="CF42" s="1239"/>
      <c r="CG42" s="16"/>
      <c r="CH42" s="1237"/>
      <c r="CI42" s="643"/>
      <c r="CJ42" s="642"/>
      <c r="CK42" s="643"/>
      <c r="CL42" s="1224"/>
      <c r="CM42" s="1238"/>
      <c r="CN42" s="1239"/>
      <c r="CO42" s="16"/>
      <c r="CP42" s="173"/>
    </row>
    <row r="43" spans="1:151" s="1913" customFormat="1" ht="20.100000000000001" customHeight="1" thickBot="1" x14ac:dyDescent="0.25">
      <c r="A43" s="1905"/>
      <c r="B43" s="1905"/>
      <c r="C43" s="1906"/>
      <c r="D43" s="1907"/>
      <c r="E43" s="1908"/>
      <c r="F43" s="1909" t="str">
        <f>_Calcs!$M$56</f>
        <v>Alle typer ≤ 4 m</v>
      </c>
      <c r="G43" s="1909"/>
      <c r="H43" s="1909"/>
      <c r="I43" s="1909"/>
      <c r="J43" s="2297" t="s">
        <v>149</v>
      </c>
      <c r="K43" s="2297"/>
      <c r="L43" s="1910"/>
      <c r="M43" s="1910"/>
      <c r="N43" s="1910"/>
      <c r="O43" s="1911" t="s">
        <v>97</v>
      </c>
      <c r="P43" s="1912"/>
      <c r="R43" s="1914"/>
      <c r="S43" s="2302">
        <f>IFERROR(INDEX(outputs_klasse_qty[bolt_lt4_sum],MATCH(_Calcs_Klasse!$CC$54,outputs_klasse_qty[Navn],0)),"")</f>
        <v>0</v>
      </c>
      <c r="T43" s="1916"/>
      <c r="U43" s="1917"/>
      <c r="V43" s="1918"/>
      <c r="W43" s="1919"/>
      <c r="X43" s="2313" t="str">
        <f>IFERROR(INDEX(outputs_klasse_qty[bolt_lt4_sum],MATCH(_Calcs_Klasse!$AV$146,outputs_klasse_qty[klasse_stuff_id],0)),"")</f>
        <v/>
      </c>
      <c r="Y43" s="1919"/>
      <c r="Z43" s="3878" t="str">
        <f>IF(_Calcs_Klasse!$AI$27=2,"✓",IF(AND(_Calcs_Klasse!$AI$27=1,_Calcs!$NO$346=0),"✓","!"))</f>
        <v>✓</v>
      </c>
      <c r="AA43" s="1920"/>
      <c r="AB43" s="1921"/>
      <c r="AC43" s="1917"/>
      <c r="AD43" s="1918"/>
      <c r="AE43" s="1919"/>
      <c r="AF43" s="2313" t="str">
        <f>IFERROR(INDEX(outputs_klasse_qty[bolt_lt4_sum],MATCH(_Calcs_Klasse!$AW$146,outputs_klasse_qty[klasse_stuff_id],0)),"")</f>
        <v/>
      </c>
      <c r="AG43" s="1919"/>
      <c r="AH43" s="3878" t="str">
        <f>IF(_Calcs_Klasse!$AI$27=2,"✓",IF(AND(_Calcs_Klasse!$AI$27=1,_Calcs!$NP$346=0),"✓","!"))</f>
        <v>✓</v>
      </c>
      <c r="AI43" s="1920"/>
      <c r="AJ43" s="1921"/>
      <c r="AK43" s="1917"/>
      <c r="AL43" s="1918"/>
      <c r="AM43" s="1919"/>
      <c r="AN43" s="2313" t="str">
        <f>IFERROR(INDEX(outputs_klasse_qty[bolt_lt4_sum],MATCH(_Calcs_Klasse!$AX$146,outputs_klasse_qty[klasse_stuff_id],0)),"")</f>
        <v/>
      </c>
      <c r="AO43" s="1919"/>
      <c r="AP43" s="3878" t="str">
        <f>IF(_Calcs_Klasse!$AI$27=2,"✓",IF(AND(_Calcs_Klasse!$AI$27=1,_Calcs!$NQ$346=0),"✓","!"))</f>
        <v>✓</v>
      </c>
      <c r="AQ43" s="1920"/>
      <c r="AR43" s="1921"/>
      <c r="AS43" s="1917"/>
      <c r="AT43" s="1918"/>
      <c r="AU43" s="1919"/>
      <c r="AV43" s="2313" t="str">
        <f>IFERROR(INDEX(outputs_klasse_qty[bolt_lt4_sum],MATCH(_Calcs_Klasse!$AY$146,outputs_klasse_qty[klasse_stuff_id],0)),"")</f>
        <v/>
      </c>
      <c r="AW43" s="1919"/>
      <c r="AX43" s="3878" t="str">
        <f>IF(_Calcs_Klasse!$AI$27=2,"✓",IF(AND(_Calcs_Klasse!$AI$27=1,_Calcs!$NR$346=0),"✓","!"))</f>
        <v>✓</v>
      </c>
      <c r="AY43" s="1920"/>
      <c r="AZ43" s="1921"/>
      <c r="BA43" s="1917"/>
      <c r="BB43" s="1918"/>
      <c r="BC43" s="1919"/>
      <c r="BD43" s="2313" t="str">
        <f>IFERROR(INDEX(outputs_klasse_qty[bolt_lt4_sum],MATCH(_Calcs_Klasse!$AZ$146,outputs_klasse_qty[klasse_stuff_id],0)),"")</f>
        <v/>
      </c>
      <c r="BE43" s="1919"/>
      <c r="BF43" s="3878" t="str">
        <f>IF(_Calcs_Klasse!$AI$27=2,"✓",IF(AND(_Calcs_Klasse!$AI$27=1,_Calcs!$NS$346=0),"✓","!"))</f>
        <v>✓</v>
      </c>
      <c r="BG43" s="1920"/>
      <c r="BH43" s="1921"/>
      <c r="BI43" s="1917"/>
      <c r="BJ43" s="1918"/>
      <c r="BK43" s="1919"/>
      <c r="BL43" s="2313" t="str">
        <f>IFERROR(INDEX(outputs_klasse_qty[bolt_lt4_sum],MATCH(_Calcs_Klasse!$BA$146,outputs_klasse_qty[klasse_stuff_id],0)),"")</f>
        <v/>
      </c>
      <c r="BM43" s="1919"/>
      <c r="BN43" s="3878" t="str">
        <f>IF(_Calcs_Klasse!$AI$27=2,"✓",IF(AND(_Calcs_Klasse!$AI$27=1,_Calcs!$NT$346=0),"✓","!"))</f>
        <v>✓</v>
      </c>
      <c r="BO43" s="1920"/>
      <c r="BP43" s="1921"/>
      <c r="BQ43" s="1917"/>
      <c r="BR43" s="1918"/>
      <c r="BS43" s="1919"/>
      <c r="BT43" s="2313" t="str">
        <f>IFERROR(INDEX(outputs_klasse_qty[bolt_lt4_sum],MATCH(_Calcs_Klasse!$BB$146,outputs_klasse_qty[klasse_stuff_id],0)),"")</f>
        <v/>
      </c>
      <c r="BU43" s="1919"/>
      <c r="BV43" s="3878" t="str">
        <f>IF(_Calcs_Klasse!$AI$27=2,"✓",IF(AND(_Calcs_Klasse!$AI$27=1,_Calcs!$NU$346=0),"✓","!"))</f>
        <v>✓</v>
      </c>
      <c r="BW43" s="1920"/>
      <c r="BX43" s="1921"/>
      <c r="BY43" s="1917"/>
      <c r="BZ43" s="1918"/>
      <c r="CA43" s="1919"/>
      <c r="CB43" s="2313" t="str">
        <f>IFERROR(INDEX(outputs_klasse_qty[bolt_lt4_sum],MATCH(_Calcs_Klasse!$BC$146,outputs_klasse_qty[klasse_stuff_id],0)),"")</f>
        <v/>
      </c>
      <c r="CC43" s="1919"/>
      <c r="CD43" s="3878" t="str">
        <f>IF(_Calcs_Klasse!$AI$27=2,"✓",IF(AND(_Calcs_Klasse!$AI$27=1,_Calcs!$NV$346=0),"✓","!"))</f>
        <v>✓</v>
      </c>
      <c r="CE43" s="1920"/>
      <c r="CF43" s="1921"/>
      <c r="CG43" s="1917"/>
      <c r="CH43" s="1918"/>
      <c r="CI43" s="1919"/>
      <c r="CJ43" s="2313" t="str">
        <f>IFERROR(INDEX(outputs_klasse_qty[bolt_lt4_sum],MATCH(_Calcs_Klasse!$BD$146,outputs_klasse_qty[klasse_stuff_id],0)),"")</f>
        <v/>
      </c>
      <c r="CK43" s="1919"/>
      <c r="CL43" s="3878" t="str">
        <f>IF(_Calcs_Klasse!$AI$27=2,"✓",IF(AND(_Calcs_Klasse!$AI$27=1,_Calcs!$NW$346=0),"✓","!"))</f>
        <v>✓</v>
      </c>
      <c r="CM43" s="1920"/>
      <c r="CN43" s="1921"/>
      <c r="CO43" s="1917"/>
      <c r="CP43" s="1922"/>
      <c r="CQ43" s="1923"/>
      <c r="CR43" s="1923"/>
      <c r="CS43" s="1923"/>
      <c r="CT43" s="1923"/>
      <c r="CU43" s="1923"/>
      <c r="CV43" s="1923"/>
      <c r="CW43" s="1923"/>
      <c r="CX43" s="1923"/>
      <c r="CY43" s="1923"/>
      <c r="CZ43" s="1923"/>
      <c r="DA43" s="1923"/>
      <c r="DB43" s="1923"/>
      <c r="DC43" s="1923"/>
      <c r="DD43" s="1923"/>
      <c r="DE43" s="1923"/>
      <c r="DF43" s="1923"/>
      <c r="DG43" s="1923"/>
      <c r="DH43" s="1923"/>
      <c r="DI43" s="1923"/>
      <c r="DJ43" s="1923"/>
      <c r="DK43" s="1923"/>
      <c r="DL43" s="1923"/>
      <c r="DM43" s="1923"/>
      <c r="DN43" s="1923"/>
      <c r="DO43" s="1923"/>
      <c r="DP43" s="1923"/>
      <c r="DQ43" s="1923"/>
      <c r="DR43" s="1923"/>
      <c r="DS43" s="1923"/>
      <c r="DT43" s="1923"/>
      <c r="DU43" s="1923"/>
      <c r="DV43" s="1923"/>
      <c r="DW43" s="1923"/>
      <c r="DX43" s="1923"/>
      <c r="DY43" s="1923"/>
      <c r="DZ43" s="1923"/>
      <c r="EA43" s="1923"/>
      <c r="EB43" s="1923"/>
      <c r="EC43" s="1923"/>
      <c r="ED43" s="1923"/>
      <c r="EE43" s="1923"/>
      <c r="EF43" s="1923"/>
      <c r="EG43" s="1923"/>
      <c r="EH43" s="1923"/>
      <c r="EI43" s="1923"/>
      <c r="EJ43" s="1923"/>
      <c r="EK43" s="1923"/>
      <c r="EL43" s="1923"/>
      <c r="EM43" s="1923"/>
      <c r="EN43" s="1923"/>
      <c r="EO43" s="1923"/>
      <c r="EP43" s="1923"/>
      <c r="EQ43" s="1923"/>
      <c r="ER43" s="1923"/>
      <c r="ES43" s="1923"/>
      <c r="ET43" s="1923"/>
      <c r="EU43" s="1923"/>
    </row>
    <row r="44" spans="1:151" s="78" customFormat="1" ht="15" customHeight="1" thickBot="1" x14ac:dyDescent="0.25">
      <c r="A44" s="104"/>
      <c r="B44" s="104"/>
      <c r="C44" s="1251"/>
      <c r="D44" s="20"/>
      <c r="E44" s="1231"/>
      <c r="F44" s="650"/>
      <c r="G44" s="650"/>
      <c r="H44" s="650"/>
      <c r="I44" s="650"/>
      <c r="J44" s="75"/>
      <c r="K44" s="75"/>
      <c r="L44" s="1232"/>
      <c r="M44" s="1232"/>
      <c r="N44" s="1232"/>
      <c r="O44" s="76"/>
      <c r="P44" s="1228"/>
      <c r="R44" s="1156"/>
      <c r="S44" s="1924"/>
      <c r="T44" s="1916"/>
      <c r="U44" s="1917"/>
      <c r="V44" s="1918"/>
      <c r="W44" s="1919"/>
      <c r="X44" s="1919"/>
      <c r="Y44" s="1919"/>
      <c r="Z44" s="1925"/>
      <c r="AA44" s="1920"/>
      <c r="AB44" s="1921"/>
      <c r="AC44" s="1917"/>
      <c r="AD44" s="1918"/>
      <c r="AE44" s="1919"/>
      <c r="AF44" s="1919"/>
      <c r="AG44" s="1919"/>
      <c r="AH44" s="1925"/>
      <c r="AI44" s="1920"/>
      <c r="AJ44" s="1921"/>
      <c r="AK44" s="1917"/>
      <c r="AL44" s="1918"/>
      <c r="AM44" s="1919"/>
      <c r="AN44" s="1919"/>
      <c r="AO44" s="1919"/>
      <c r="AP44" s="1925"/>
      <c r="AQ44" s="1920"/>
      <c r="AR44" s="1921"/>
      <c r="AS44" s="1917"/>
      <c r="AT44" s="1918"/>
      <c r="AU44" s="1919"/>
      <c r="AV44" s="1919"/>
      <c r="AW44" s="1919"/>
      <c r="AX44" s="1925"/>
      <c r="AY44" s="1920"/>
      <c r="AZ44" s="1921"/>
      <c r="BA44" s="1917"/>
      <c r="BB44" s="1918"/>
      <c r="BC44" s="1919"/>
      <c r="BD44" s="1919"/>
      <c r="BE44" s="1919"/>
      <c r="BF44" s="1925"/>
      <c r="BG44" s="1920"/>
      <c r="BH44" s="1921"/>
      <c r="BI44" s="1917"/>
      <c r="BJ44" s="1918"/>
      <c r="BK44" s="1919"/>
      <c r="BL44" s="1919"/>
      <c r="BM44" s="1919"/>
      <c r="BN44" s="1925"/>
      <c r="BO44" s="1920"/>
      <c r="BP44" s="1921"/>
      <c r="BQ44" s="1917"/>
      <c r="BR44" s="1918"/>
      <c r="BS44" s="1919"/>
      <c r="BT44" s="1919"/>
      <c r="BU44" s="1919"/>
      <c r="BV44" s="1925"/>
      <c r="BW44" s="1920"/>
      <c r="BX44" s="1921"/>
      <c r="BY44" s="1917"/>
      <c r="BZ44" s="1918"/>
      <c r="CA44" s="1919"/>
      <c r="CB44" s="1919"/>
      <c r="CC44" s="1919"/>
      <c r="CD44" s="1925"/>
      <c r="CE44" s="1920"/>
      <c r="CF44" s="1921"/>
      <c r="CG44" s="1917"/>
      <c r="CH44" s="1918"/>
      <c r="CI44" s="1919"/>
      <c r="CJ44" s="1919"/>
      <c r="CK44" s="1919"/>
      <c r="CL44" s="1925"/>
      <c r="CM44" s="1920"/>
      <c r="CN44" s="1921"/>
      <c r="CO44" s="1917"/>
      <c r="CP44" s="1922"/>
      <c r="CQ44" s="1923"/>
      <c r="CR44" s="1923"/>
      <c r="CS44" s="1923"/>
      <c r="CT44" s="1923"/>
      <c r="CU44" s="1923"/>
      <c r="CV44" s="1923"/>
      <c r="CW44" s="1923"/>
      <c r="CX44" s="1923"/>
      <c r="CY44" s="1923"/>
      <c r="CZ44" s="1923"/>
      <c r="DA44" s="1923"/>
      <c r="DB44" s="1923"/>
      <c r="DC44" s="1923"/>
      <c r="DD44" s="1923"/>
      <c r="DE44" s="1923"/>
      <c r="DF44" s="1923"/>
      <c r="DG44" s="1923"/>
      <c r="DH44" s="1923"/>
      <c r="DI44" s="1923"/>
      <c r="DJ44" s="1923"/>
      <c r="DK44" s="1923"/>
      <c r="DL44" s="1923"/>
      <c r="DM44" s="1923"/>
      <c r="DN44" s="1923"/>
      <c r="DO44" s="1923"/>
      <c r="DP44" s="1923"/>
      <c r="DQ44" s="1923"/>
      <c r="DR44" s="1923"/>
      <c r="DS44" s="1923"/>
      <c r="DT44" s="1923"/>
      <c r="DU44" s="1923"/>
      <c r="DV44" s="1923"/>
      <c r="DW44" s="1923"/>
      <c r="DX44" s="1923"/>
      <c r="DY44" s="1923"/>
      <c r="DZ44" s="1923"/>
      <c r="EA44" s="1923"/>
      <c r="EB44" s="1923"/>
      <c r="EC44" s="1923"/>
      <c r="ED44" s="1923"/>
      <c r="EE44" s="1923"/>
      <c r="EF44" s="1923"/>
      <c r="EG44" s="1923"/>
      <c r="EH44" s="1923"/>
      <c r="EI44" s="1923"/>
      <c r="EJ44" s="1923"/>
      <c r="EK44" s="1923"/>
      <c r="EL44" s="1923"/>
      <c r="EM44" s="1923"/>
      <c r="EN44" s="1923"/>
      <c r="EO44" s="1923"/>
      <c r="EP44" s="1923"/>
      <c r="EQ44" s="1923"/>
      <c r="ER44" s="1923"/>
      <c r="ES44" s="1923"/>
      <c r="ET44" s="1923"/>
      <c r="EU44" s="1923"/>
    </row>
    <row r="45" spans="1:151" s="1913" customFormat="1" ht="20.100000000000001" customHeight="1" thickBot="1" x14ac:dyDescent="0.25">
      <c r="A45" s="1905"/>
      <c r="B45" s="1905"/>
      <c r="C45" s="1906"/>
      <c r="D45" s="1907"/>
      <c r="E45" s="1908"/>
      <c r="F45" s="1909" t="str">
        <f>_Calcs!$M$57</f>
        <v>Alle typer &gt; 4 m</v>
      </c>
      <c r="G45" s="1909"/>
      <c r="H45" s="1909"/>
      <c r="I45" s="1909"/>
      <c r="J45" s="2297" t="s">
        <v>149</v>
      </c>
      <c r="K45" s="2297"/>
      <c r="L45" s="1910"/>
      <c r="M45" s="1910"/>
      <c r="N45" s="1910"/>
      <c r="O45" s="1911" t="s">
        <v>97</v>
      </c>
      <c r="P45" s="1912"/>
      <c r="Q45" s="1915"/>
      <c r="R45" s="1914"/>
      <c r="S45" s="2302">
        <f>IFERROR(INDEX(outputs_klasse_qty[bolt_gt4_sum],MATCH(_Calcs_Klasse!$CC$54,outputs_klasse_qty[Navn],0)),"")</f>
        <v>0</v>
      </c>
      <c r="T45" s="1916"/>
      <c r="U45" s="1917"/>
      <c r="V45" s="1918"/>
      <c r="W45" s="1919"/>
      <c r="X45" s="2313" t="str">
        <f>IFERROR(INDEX(outputs_klasse_qty[bolt_gt4_sum],MATCH(_Calcs_Klasse!$AV$146,outputs_klasse_qty[klasse_stuff_id],0)),"")</f>
        <v/>
      </c>
      <c r="Y45" s="1919"/>
      <c r="Z45" s="3878" t="str">
        <f>IF(_Calcs_Klasse!$AI$27=2,"✓",IF(AND(_Calcs_Klasse!$AI$27=1,_Calcs!$NO$346=0),"✓","!"))</f>
        <v>✓</v>
      </c>
      <c r="AA45" s="1920"/>
      <c r="AB45" s="1921"/>
      <c r="AC45" s="1917"/>
      <c r="AD45" s="1918"/>
      <c r="AE45" s="1919"/>
      <c r="AF45" s="2313" t="str">
        <f>IFERROR(INDEX(outputs_klasse_qty[bolt_gt4_sum],MATCH(_Calcs_Klasse!$AW$146,outputs_klasse_qty[klasse_stuff_id],0)),"")</f>
        <v/>
      </c>
      <c r="AG45" s="1919"/>
      <c r="AH45" s="3878" t="str">
        <f>IF(_Calcs_Klasse!$AI$27=2,"✓",IF(AND(_Calcs_Klasse!$AI$27=1,_Calcs!$NP$346=0),"✓","!"))</f>
        <v>✓</v>
      </c>
      <c r="AI45" s="1920"/>
      <c r="AJ45" s="1921"/>
      <c r="AK45" s="1917"/>
      <c r="AL45" s="1918"/>
      <c r="AM45" s="1919"/>
      <c r="AN45" s="2313" t="str">
        <f>IFERROR(INDEX(outputs_klasse_qty[bolt_gt4_sum],MATCH(_Calcs_Klasse!$AX$146,outputs_klasse_qty[klasse_stuff_id],0)),"")</f>
        <v/>
      </c>
      <c r="AO45" s="1919"/>
      <c r="AP45" s="3878" t="str">
        <f>IF(_Calcs_Klasse!$AI$27=2,"✓",IF(AND(_Calcs_Klasse!$AI$27=1,_Calcs!$NQ$346=0),"✓","!"))</f>
        <v>✓</v>
      </c>
      <c r="AQ45" s="1920"/>
      <c r="AR45" s="1921"/>
      <c r="AS45" s="1917"/>
      <c r="AT45" s="1918"/>
      <c r="AU45" s="1919"/>
      <c r="AV45" s="2313" t="str">
        <f>IFERROR(INDEX(outputs_klasse_qty[bolt_gt4_sum],MATCH(_Calcs_Klasse!$AY$146,outputs_klasse_qty[klasse_stuff_id],0)),"")</f>
        <v/>
      </c>
      <c r="AW45" s="1919"/>
      <c r="AX45" s="3878" t="str">
        <f>IF(_Calcs_Klasse!$AI$27=2,"✓",IF(AND(_Calcs_Klasse!$AI$27=1,_Calcs!$NR$346=0),"✓","!"))</f>
        <v>✓</v>
      </c>
      <c r="AY45" s="1920"/>
      <c r="AZ45" s="1921"/>
      <c r="BA45" s="1917"/>
      <c r="BB45" s="1918"/>
      <c r="BC45" s="1919"/>
      <c r="BD45" s="2313" t="str">
        <f>IFERROR(INDEX(outputs_klasse_qty[bolt_gt4_sum],MATCH(_Calcs_Klasse!$AZ$146,outputs_klasse_qty[klasse_stuff_id],0)),"")</f>
        <v/>
      </c>
      <c r="BE45" s="1919"/>
      <c r="BF45" s="3878" t="str">
        <f>IF(_Calcs_Klasse!$AI$27=2,"✓",IF(AND(_Calcs_Klasse!$AI$27=1,_Calcs!$NS$346=0),"✓","!"))</f>
        <v>✓</v>
      </c>
      <c r="BG45" s="1920"/>
      <c r="BH45" s="1921"/>
      <c r="BI45" s="1917"/>
      <c r="BJ45" s="1918"/>
      <c r="BK45" s="1919"/>
      <c r="BL45" s="2313" t="str">
        <f>IFERROR(INDEX(outputs_klasse_qty[bolt_gt4_sum],MATCH(_Calcs_Klasse!$BA$146,outputs_klasse_qty[klasse_stuff_id],0)),"")</f>
        <v/>
      </c>
      <c r="BM45" s="1919"/>
      <c r="BN45" s="3878" t="str">
        <f>IF(_Calcs_Klasse!$AI$27=2,"✓",IF(AND(_Calcs_Klasse!$AI$27=1,_Calcs!$NT$346=0),"✓","!"))</f>
        <v>✓</v>
      </c>
      <c r="BO45" s="1920"/>
      <c r="BP45" s="1921"/>
      <c r="BQ45" s="1917"/>
      <c r="BR45" s="1918"/>
      <c r="BS45" s="1919"/>
      <c r="BT45" s="2313" t="str">
        <f>IFERROR(INDEX(outputs_klasse_qty[bolt_gt4_sum],MATCH(_Calcs_Klasse!$BB$146,outputs_klasse_qty[klasse_stuff_id],0)),"")</f>
        <v/>
      </c>
      <c r="BU45" s="1919"/>
      <c r="BV45" s="3878" t="str">
        <f>IF(_Calcs_Klasse!$AI$27=2,"✓",IF(AND(_Calcs_Klasse!$AI$27=1,_Calcs!$NU$346=0),"✓","!"))</f>
        <v>✓</v>
      </c>
      <c r="BW45" s="1920"/>
      <c r="BX45" s="1921"/>
      <c r="BY45" s="1917"/>
      <c r="BZ45" s="1918"/>
      <c r="CA45" s="1919"/>
      <c r="CB45" s="2313" t="str">
        <f>IFERROR(INDEX(outputs_klasse_qty[bolt_gt4_sum],MATCH(_Calcs_Klasse!$BC$146,outputs_klasse_qty[klasse_stuff_id],0)),"")</f>
        <v/>
      </c>
      <c r="CC45" s="1919"/>
      <c r="CD45" s="3878" t="str">
        <f>IF(_Calcs_Klasse!$AI$27=2,"✓",IF(AND(_Calcs_Klasse!$AI$27=1,_Calcs!$NV$346=0),"✓","!"))</f>
        <v>✓</v>
      </c>
      <c r="CE45" s="1920"/>
      <c r="CF45" s="1921"/>
      <c r="CG45" s="1917"/>
      <c r="CH45" s="1918"/>
      <c r="CI45" s="1919"/>
      <c r="CJ45" s="2313" t="str">
        <f>IFERROR(INDEX(outputs_klasse_qty[bolt_gt4_sum],MATCH(_Calcs_Klasse!$BD$146,outputs_klasse_qty[klasse_stuff_id],0)),"")</f>
        <v/>
      </c>
      <c r="CK45" s="1919"/>
      <c r="CL45" s="3878" t="str">
        <f>IF(_Calcs_Klasse!$AI$27=2,"✓",IF(AND(_Calcs_Klasse!$AI$27=1,_Calcs!$NW$346=0),"✓","!"))</f>
        <v>✓</v>
      </c>
      <c r="CM45" s="1920"/>
      <c r="CN45" s="1921"/>
      <c r="CO45" s="1917"/>
      <c r="CP45" s="1922"/>
      <c r="CQ45" s="1923"/>
      <c r="CR45" s="1923"/>
      <c r="CS45" s="1923"/>
      <c r="CT45" s="1923"/>
      <c r="CU45" s="1923"/>
      <c r="CV45" s="1923"/>
      <c r="CW45" s="1923"/>
      <c r="CX45" s="1923"/>
      <c r="CY45" s="1923"/>
      <c r="CZ45" s="1923"/>
      <c r="DA45" s="1923"/>
      <c r="DB45" s="1923"/>
      <c r="DC45" s="1923"/>
      <c r="DD45" s="1923"/>
      <c r="DE45" s="1923"/>
      <c r="DF45" s="1923"/>
      <c r="DG45" s="1923"/>
      <c r="DH45" s="1923"/>
      <c r="DI45" s="1923"/>
      <c r="DJ45" s="1923"/>
      <c r="DK45" s="1923"/>
      <c r="DL45" s="1923"/>
      <c r="DM45" s="1923"/>
      <c r="DN45" s="1923"/>
      <c r="DO45" s="1923"/>
      <c r="DP45" s="1923"/>
      <c r="DQ45" s="1923"/>
      <c r="DR45" s="1923"/>
      <c r="DS45" s="1923"/>
      <c r="DT45" s="1923"/>
      <c r="DU45" s="1923"/>
      <c r="DV45" s="1923"/>
      <c r="DW45" s="1923"/>
      <c r="DX45" s="1923"/>
      <c r="DY45" s="1923"/>
      <c r="DZ45" s="1923"/>
      <c r="EA45" s="1923"/>
      <c r="EB45" s="1923"/>
      <c r="EC45" s="1923"/>
      <c r="ED45" s="1923"/>
      <c r="EE45" s="1923"/>
      <c r="EF45" s="1923"/>
      <c r="EG45" s="1923"/>
      <c r="EH45" s="1923"/>
      <c r="EI45" s="1923"/>
      <c r="EJ45" s="1923"/>
      <c r="EK45" s="1923"/>
      <c r="EL45" s="1923"/>
      <c r="EM45" s="1923"/>
      <c r="EN45" s="1923"/>
      <c r="EO45" s="1923"/>
      <c r="EP45" s="1923"/>
      <c r="EQ45" s="1923"/>
      <c r="ER45" s="1923"/>
      <c r="ES45" s="1923"/>
      <c r="ET45" s="1923"/>
      <c r="EU45" s="1923"/>
    </row>
    <row r="46" spans="1:151" s="78" customFormat="1" ht="15" customHeight="1" thickBot="1" x14ac:dyDescent="0.25">
      <c r="A46" s="104"/>
      <c r="B46" s="104"/>
      <c r="C46" s="1251"/>
      <c r="D46" s="20"/>
      <c r="E46" s="1229"/>
      <c r="F46" s="659"/>
      <c r="G46" s="659"/>
      <c r="H46" s="659"/>
      <c r="I46" s="659"/>
      <c r="J46" s="659"/>
      <c r="K46" s="659"/>
      <c r="L46" s="659"/>
      <c r="M46" s="659"/>
      <c r="N46" s="659"/>
      <c r="O46" s="659"/>
      <c r="P46" s="1230"/>
      <c r="R46" s="1158"/>
      <c r="S46" s="1159"/>
      <c r="T46" s="1160"/>
      <c r="U46" s="16"/>
      <c r="V46" s="1229"/>
      <c r="W46" s="659"/>
      <c r="X46" s="1242"/>
      <c r="Y46" s="659"/>
      <c r="Z46" s="659"/>
      <c r="AA46" s="1243"/>
      <c r="AB46" s="1244"/>
      <c r="AC46" s="16"/>
      <c r="AD46" s="1229"/>
      <c r="AE46" s="659"/>
      <c r="AF46" s="1242"/>
      <c r="AG46" s="659"/>
      <c r="AH46" s="659"/>
      <c r="AI46" s="1243"/>
      <c r="AJ46" s="1244"/>
      <c r="AK46" s="16"/>
      <c r="AL46" s="1229"/>
      <c r="AM46" s="659"/>
      <c r="AN46" s="1242"/>
      <c r="AO46" s="659"/>
      <c r="AP46" s="659"/>
      <c r="AQ46" s="1243"/>
      <c r="AR46" s="1244"/>
      <c r="AS46" s="16"/>
      <c r="AT46" s="1229"/>
      <c r="AU46" s="659"/>
      <c r="AV46" s="1242"/>
      <c r="AW46" s="659"/>
      <c r="AX46" s="659"/>
      <c r="AY46" s="1243"/>
      <c r="AZ46" s="1244"/>
      <c r="BA46" s="16"/>
      <c r="BB46" s="1229"/>
      <c r="BC46" s="659"/>
      <c r="BD46" s="1242"/>
      <c r="BE46" s="659"/>
      <c r="BF46" s="659"/>
      <c r="BG46" s="1243"/>
      <c r="BH46" s="1244"/>
      <c r="BI46" s="16"/>
      <c r="BJ46" s="1229"/>
      <c r="BK46" s="659"/>
      <c r="BL46" s="1242"/>
      <c r="BM46" s="659"/>
      <c r="BN46" s="659"/>
      <c r="BO46" s="1243"/>
      <c r="BP46" s="1244"/>
      <c r="BQ46" s="16"/>
      <c r="BR46" s="1229"/>
      <c r="BS46" s="659"/>
      <c r="BT46" s="1242"/>
      <c r="BU46" s="659"/>
      <c r="BV46" s="659"/>
      <c r="BW46" s="1243"/>
      <c r="BX46" s="1244"/>
      <c r="BY46" s="16"/>
      <c r="BZ46" s="1229"/>
      <c r="CA46" s="659"/>
      <c r="CB46" s="1242"/>
      <c r="CC46" s="659"/>
      <c r="CD46" s="659"/>
      <c r="CE46" s="1243"/>
      <c r="CF46" s="1244"/>
      <c r="CG46" s="16"/>
      <c r="CH46" s="1229"/>
      <c r="CI46" s="659"/>
      <c r="CJ46" s="1242"/>
      <c r="CK46" s="659"/>
      <c r="CL46" s="659"/>
      <c r="CM46" s="1243"/>
      <c r="CN46" s="1244"/>
      <c r="CO46" s="16"/>
      <c r="CP46" s="173"/>
    </row>
    <row r="47" spans="1:151" s="21" customFormat="1" ht="24.95" customHeight="1" thickBot="1" x14ac:dyDescent="0.25">
      <c r="A47" s="104"/>
      <c r="B47" s="104"/>
      <c r="C47" s="1251"/>
      <c r="D47" s="104"/>
      <c r="E47" s="104"/>
      <c r="F47" s="104"/>
      <c r="G47" s="104"/>
      <c r="H47" s="104"/>
      <c r="I47" s="104"/>
      <c r="J47" s="104"/>
      <c r="K47" s="104"/>
      <c r="L47" s="104"/>
      <c r="M47" s="104"/>
      <c r="N47" s="104"/>
      <c r="O47" s="104"/>
      <c r="P47" s="104"/>
      <c r="R47" s="70"/>
      <c r="S47" s="114"/>
      <c r="T47" s="70"/>
      <c r="U47" s="16"/>
      <c r="V47" s="104"/>
      <c r="W47" s="104"/>
      <c r="X47" s="306"/>
      <c r="Y47" s="104"/>
      <c r="Z47" s="104"/>
      <c r="AA47" s="104"/>
      <c r="AB47" s="104"/>
      <c r="AC47" s="16"/>
      <c r="AD47" s="104"/>
      <c r="AE47" s="104"/>
      <c r="AF47" s="306"/>
      <c r="AG47" s="104"/>
      <c r="AH47" s="104"/>
      <c r="AI47" s="104"/>
      <c r="AJ47" s="104"/>
      <c r="AK47" s="16"/>
      <c r="AL47" s="104"/>
      <c r="AM47" s="104"/>
      <c r="AN47" s="306"/>
      <c r="AO47" s="104"/>
      <c r="AP47" s="104"/>
      <c r="AQ47" s="104"/>
      <c r="AR47" s="104"/>
      <c r="AS47" s="16"/>
      <c r="AT47" s="104"/>
      <c r="AU47" s="104"/>
      <c r="AV47" s="306"/>
      <c r="AW47" s="104"/>
      <c r="AX47" s="104"/>
      <c r="AY47" s="104"/>
      <c r="AZ47" s="104"/>
      <c r="BA47" s="16"/>
      <c r="BB47" s="104"/>
      <c r="BC47" s="104"/>
      <c r="BD47" s="306"/>
      <c r="BE47" s="104"/>
      <c r="BF47" s="104"/>
      <c r="BG47" s="104"/>
      <c r="BH47" s="104"/>
      <c r="BI47" s="16"/>
      <c r="BJ47" s="104"/>
      <c r="BK47" s="104"/>
      <c r="BL47" s="306"/>
      <c r="BM47" s="104"/>
      <c r="BN47" s="104"/>
      <c r="BO47" s="104"/>
      <c r="BP47" s="104"/>
      <c r="BQ47" s="16"/>
      <c r="BR47" s="104"/>
      <c r="BS47" s="104"/>
      <c r="BT47" s="306"/>
      <c r="BU47" s="104"/>
      <c r="BV47" s="104"/>
      <c r="BW47" s="104"/>
      <c r="BX47" s="104"/>
      <c r="BY47" s="16"/>
      <c r="BZ47" s="104"/>
      <c r="CA47" s="104"/>
      <c r="CB47" s="306"/>
      <c r="CC47" s="104"/>
      <c r="CD47" s="104"/>
      <c r="CE47" s="104"/>
      <c r="CF47" s="104"/>
      <c r="CG47" s="16"/>
      <c r="CH47" s="104"/>
      <c r="CI47" s="104"/>
      <c r="CJ47" s="306"/>
      <c r="CK47" s="104"/>
      <c r="CL47" s="104"/>
      <c r="CM47" s="104"/>
      <c r="CN47" s="104"/>
      <c r="CO47" s="16"/>
      <c r="CP47" s="104"/>
    </row>
    <row r="48" spans="1:151" s="78" customFormat="1" ht="15" customHeight="1" thickBot="1" x14ac:dyDescent="0.25">
      <c r="A48" s="104"/>
      <c r="B48" s="104"/>
      <c r="C48" s="1251"/>
      <c r="D48" s="20"/>
      <c r="E48" s="1219"/>
      <c r="F48" s="6597" t="str">
        <f>_Calcs!$K$72</f>
        <v>Forbolting</v>
      </c>
      <c r="G48" s="6597"/>
      <c r="H48" s="6597"/>
      <c r="I48" s="6597"/>
      <c r="J48" s="6597"/>
      <c r="K48" s="6597"/>
      <c r="L48" s="6597"/>
      <c r="M48" s="6597"/>
      <c r="N48" s="6597"/>
      <c r="O48" s="6597"/>
      <c r="P48" s="1220"/>
      <c r="R48" s="7"/>
      <c r="S48" s="7"/>
      <c r="T48" s="7"/>
      <c r="U48" s="16"/>
      <c r="V48" s="16"/>
      <c r="W48" s="16"/>
      <c r="X48" s="22"/>
      <c r="Y48" s="16"/>
      <c r="Z48" s="19"/>
      <c r="AA48" s="21"/>
      <c r="AB48" s="21"/>
      <c r="AC48" s="16"/>
      <c r="AD48" s="16"/>
      <c r="AE48" s="16"/>
      <c r="AF48" s="22"/>
      <c r="AG48" s="16"/>
      <c r="AH48" s="19"/>
      <c r="AI48" s="21"/>
      <c r="AJ48" s="21"/>
      <c r="AK48" s="16"/>
      <c r="AL48" s="16"/>
      <c r="AM48" s="16"/>
      <c r="AN48" s="22"/>
      <c r="AO48" s="16"/>
      <c r="AP48" s="19"/>
      <c r="AQ48" s="21"/>
      <c r="AR48" s="21"/>
      <c r="AS48" s="16"/>
      <c r="AT48" s="16"/>
      <c r="AU48" s="16"/>
      <c r="AV48" s="22"/>
      <c r="AW48" s="16"/>
      <c r="AX48" s="19"/>
      <c r="AY48" s="21"/>
      <c r="AZ48" s="21"/>
      <c r="BA48" s="16"/>
      <c r="BB48" s="16"/>
      <c r="BC48" s="16"/>
      <c r="BD48" s="22"/>
      <c r="BE48" s="16"/>
      <c r="BF48" s="19"/>
      <c r="BG48" s="21"/>
      <c r="BH48" s="21"/>
      <c r="BI48" s="16"/>
      <c r="BJ48" s="16"/>
      <c r="BK48" s="16"/>
      <c r="BL48" s="22"/>
      <c r="BM48" s="16"/>
      <c r="BN48" s="19"/>
      <c r="BO48" s="21"/>
      <c r="BP48" s="21"/>
      <c r="BQ48" s="16"/>
      <c r="BR48" s="16"/>
      <c r="BS48" s="16"/>
      <c r="BT48" s="22"/>
      <c r="BU48" s="16"/>
      <c r="BV48" s="19"/>
      <c r="BW48" s="21"/>
      <c r="BX48" s="21"/>
      <c r="BY48" s="16"/>
      <c r="BZ48" s="16"/>
      <c r="CA48" s="16"/>
      <c r="CB48" s="22"/>
      <c r="CC48" s="16"/>
      <c r="CD48" s="19"/>
      <c r="CE48" s="21"/>
      <c r="CF48" s="21"/>
      <c r="CG48" s="16"/>
      <c r="CH48" s="16"/>
      <c r="CI48" s="16"/>
      <c r="CJ48" s="22"/>
      <c r="CK48" s="16"/>
      <c r="CL48" s="19"/>
      <c r="CM48" s="21"/>
      <c r="CN48" s="21"/>
      <c r="CO48" s="16"/>
      <c r="CP48" s="21"/>
    </row>
    <row r="49" spans="1:151" s="78" customFormat="1" ht="15" customHeight="1" thickBot="1" x14ac:dyDescent="0.25">
      <c r="A49" s="104"/>
      <c r="B49" s="104"/>
      <c r="C49" s="1251"/>
      <c r="D49" s="20"/>
      <c r="E49" s="1221"/>
      <c r="F49" s="6598"/>
      <c r="G49" s="6598"/>
      <c r="H49" s="6598"/>
      <c r="I49" s="6598"/>
      <c r="J49" s="6598"/>
      <c r="K49" s="6598"/>
      <c r="L49" s="6598"/>
      <c r="M49" s="6598"/>
      <c r="N49" s="6598"/>
      <c r="O49" s="6598"/>
      <c r="P49" s="1222"/>
      <c r="R49" s="1215"/>
      <c r="S49" s="1216"/>
      <c r="T49" s="1217"/>
      <c r="U49" s="16"/>
      <c r="V49" s="692"/>
      <c r="W49" s="693"/>
      <c r="X49" s="1233"/>
      <c r="Y49" s="693"/>
      <c r="Z49" s="1234"/>
      <c r="AA49" s="748"/>
      <c r="AB49" s="1235"/>
      <c r="AC49" s="16"/>
      <c r="AD49" s="692"/>
      <c r="AE49" s="693"/>
      <c r="AF49" s="1233"/>
      <c r="AG49" s="693"/>
      <c r="AH49" s="1234"/>
      <c r="AI49" s="748"/>
      <c r="AJ49" s="1235"/>
      <c r="AK49" s="16"/>
      <c r="AL49" s="692"/>
      <c r="AM49" s="693"/>
      <c r="AN49" s="1233"/>
      <c r="AO49" s="693"/>
      <c r="AP49" s="1234"/>
      <c r="AQ49" s="748"/>
      <c r="AR49" s="1235"/>
      <c r="AS49" s="16"/>
      <c r="AT49" s="692"/>
      <c r="AU49" s="693"/>
      <c r="AV49" s="1233"/>
      <c r="AW49" s="693"/>
      <c r="AX49" s="1234"/>
      <c r="AY49" s="748"/>
      <c r="AZ49" s="1235"/>
      <c r="BA49" s="16"/>
      <c r="BB49" s="692"/>
      <c r="BC49" s="693"/>
      <c r="BD49" s="1233"/>
      <c r="BE49" s="693"/>
      <c r="BF49" s="1234"/>
      <c r="BG49" s="748"/>
      <c r="BH49" s="1235"/>
      <c r="BI49" s="16"/>
      <c r="BJ49" s="692"/>
      <c r="BK49" s="693"/>
      <c r="BL49" s="1233"/>
      <c r="BM49" s="693"/>
      <c r="BN49" s="1234"/>
      <c r="BO49" s="748"/>
      <c r="BP49" s="1235"/>
      <c r="BQ49" s="16"/>
      <c r="BR49" s="692"/>
      <c r="BS49" s="693"/>
      <c r="BT49" s="1233"/>
      <c r="BU49" s="693"/>
      <c r="BV49" s="1234"/>
      <c r="BW49" s="748"/>
      <c r="BX49" s="1235"/>
      <c r="BY49" s="16"/>
      <c r="BZ49" s="692"/>
      <c r="CA49" s="693"/>
      <c r="CB49" s="1233"/>
      <c r="CC49" s="693"/>
      <c r="CD49" s="1234"/>
      <c r="CE49" s="748"/>
      <c r="CF49" s="1235"/>
      <c r="CG49" s="16"/>
      <c r="CH49" s="692"/>
      <c r="CI49" s="693"/>
      <c r="CJ49" s="1233"/>
      <c r="CK49" s="693"/>
      <c r="CL49" s="1234"/>
      <c r="CM49" s="748"/>
      <c r="CN49" s="1235"/>
      <c r="CO49" s="16"/>
      <c r="CP49" s="172"/>
    </row>
    <row r="50" spans="1:151" s="78" customFormat="1" ht="8.1" customHeight="1" thickBot="1" x14ac:dyDescent="0.25">
      <c r="A50" s="104"/>
      <c r="B50" s="104"/>
      <c r="C50" s="1251"/>
      <c r="D50" s="20"/>
      <c r="E50" s="15"/>
      <c r="F50" s="1212"/>
      <c r="G50" s="1212"/>
      <c r="H50" s="1212"/>
      <c r="I50" s="1212"/>
      <c r="J50" s="16"/>
      <c r="K50" s="16"/>
      <c r="L50" s="19"/>
      <c r="M50" s="19"/>
      <c r="N50" s="19"/>
      <c r="O50" s="15"/>
      <c r="P50" s="15"/>
      <c r="R50" s="70"/>
      <c r="S50" s="114"/>
      <c r="T50" s="70"/>
      <c r="U50" s="16"/>
      <c r="V50" s="16"/>
      <c r="W50" s="16"/>
      <c r="X50" s="22"/>
      <c r="Y50" s="16"/>
      <c r="Z50" s="19"/>
      <c r="AA50" s="21"/>
      <c r="AB50" s="21"/>
      <c r="AC50" s="16"/>
      <c r="AD50" s="16"/>
      <c r="AE50" s="16"/>
      <c r="AF50" s="22"/>
      <c r="AG50" s="16"/>
      <c r="AH50" s="19"/>
      <c r="AI50" s="21"/>
      <c r="AJ50" s="21"/>
      <c r="AK50" s="16"/>
      <c r="AL50" s="16"/>
      <c r="AM50" s="16"/>
      <c r="AN50" s="22"/>
      <c r="AO50" s="16"/>
      <c r="AP50" s="19"/>
      <c r="AQ50" s="21"/>
      <c r="AR50" s="21"/>
      <c r="AS50" s="16"/>
      <c r="AT50" s="16"/>
      <c r="AU50" s="16"/>
      <c r="AV50" s="22"/>
      <c r="AW50" s="16"/>
      <c r="AX50" s="19"/>
      <c r="AY50" s="21"/>
      <c r="AZ50" s="21"/>
      <c r="BA50" s="16"/>
      <c r="BB50" s="16"/>
      <c r="BC50" s="16"/>
      <c r="BD50" s="22"/>
      <c r="BE50" s="16"/>
      <c r="BF50" s="19"/>
      <c r="BG50" s="21"/>
      <c r="BH50" s="21"/>
      <c r="BI50" s="16"/>
      <c r="BJ50" s="16"/>
      <c r="BK50" s="16"/>
      <c r="BL50" s="22"/>
      <c r="BM50" s="16"/>
      <c r="BN50" s="19"/>
      <c r="BO50" s="21"/>
      <c r="BP50" s="21"/>
      <c r="BQ50" s="16"/>
      <c r="BR50" s="16"/>
      <c r="BS50" s="16"/>
      <c r="BT50" s="22"/>
      <c r="BU50" s="16"/>
      <c r="BV50" s="19"/>
      <c r="BW50" s="21"/>
      <c r="BX50" s="21"/>
      <c r="BY50" s="16"/>
      <c r="BZ50" s="16"/>
      <c r="CA50" s="16"/>
      <c r="CB50" s="22"/>
      <c r="CC50" s="16"/>
      <c r="CD50" s="19"/>
      <c r="CE50" s="21"/>
      <c r="CF50" s="21"/>
      <c r="CG50" s="16"/>
      <c r="CH50" s="16"/>
      <c r="CI50" s="16"/>
      <c r="CJ50" s="22"/>
      <c r="CK50" s="16"/>
      <c r="CL50" s="19"/>
      <c r="CM50" s="21"/>
      <c r="CN50" s="21"/>
      <c r="CO50" s="16"/>
      <c r="CP50" s="21"/>
    </row>
    <row r="51" spans="1:151" s="78" customFormat="1" ht="15" customHeight="1" x14ac:dyDescent="0.2">
      <c r="A51" s="104"/>
      <c r="B51" s="104"/>
      <c r="C51" s="1250"/>
      <c r="D51" s="20"/>
      <c r="E51" s="1223"/>
      <c r="F51" s="661"/>
      <c r="G51" s="661"/>
      <c r="H51" s="661"/>
      <c r="I51" s="661"/>
      <c r="J51" s="643"/>
      <c r="K51" s="643"/>
      <c r="L51" s="1224"/>
      <c r="M51" s="1224"/>
      <c r="N51" s="1224"/>
      <c r="O51" s="658"/>
      <c r="P51" s="1225"/>
      <c r="R51" s="4074"/>
      <c r="S51" s="4074"/>
      <c r="T51" s="4074"/>
      <c r="V51" s="3874"/>
      <c r="W51" s="3874"/>
      <c r="X51" s="3874"/>
      <c r="Y51" s="3874"/>
      <c r="Z51" s="3874"/>
      <c r="AA51" s="3874"/>
      <c r="AB51" s="3874"/>
      <c r="AD51" s="3874"/>
      <c r="AE51" s="3874"/>
      <c r="AF51" s="3874"/>
      <c r="AG51" s="3874"/>
      <c r="AH51" s="3874"/>
      <c r="AI51" s="3874"/>
      <c r="AJ51" s="3874"/>
      <c r="AL51" s="3874"/>
      <c r="AM51" s="3874"/>
      <c r="AN51" s="3874"/>
      <c r="AO51" s="3874"/>
      <c r="AP51" s="3874"/>
      <c r="AQ51" s="3874"/>
      <c r="AR51" s="3874"/>
      <c r="AT51" s="3874"/>
      <c r="AU51" s="3874"/>
      <c r="AV51" s="3874"/>
      <c r="AW51" s="3874"/>
      <c r="AX51" s="3874"/>
      <c r="AY51" s="3874"/>
      <c r="AZ51" s="3874"/>
      <c r="BB51" s="3874"/>
      <c r="BC51" s="3874"/>
      <c r="BD51" s="3874"/>
      <c r="BE51" s="3874"/>
      <c r="BF51" s="3874"/>
      <c r="BG51" s="3874"/>
      <c r="BH51" s="3874"/>
      <c r="BJ51" s="3874"/>
      <c r="BK51" s="3874"/>
      <c r="BL51" s="3874"/>
      <c r="BM51" s="3874"/>
      <c r="BN51" s="3874"/>
      <c r="BO51" s="3874"/>
      <c r="BP51" s="3874"/>
      <c r="BR51" s="3874"/>
      <c r="BS51" s="3874"/>
      <c r="BT51" s="3874"/>
      <c r="BU51" s="3874"/>
      <c r="BV51" s="3874"/>
      <c r="BW51" s="3874"/>
      <c r="BX51" s="3874"/>
      <c r="BZ51" s="3874"/>
      <c r="CA51" s="3874"/>
      <c r="CB51" s="3874"/>
      <c r="CC51" s="3874"/>
      <c r="CD51" s="3874"/>
      <c r="CE51" s="3874"/>
      <c r="CF51" s="3874"/>
      <c r="CH51" s="3874"/>
      <c r="CI51" s="3874"/>
      <c r="CJ51" s="3874"/>
      <c r="CK51" s="3874"/>
      <c r="CL51" s="3874"/>
      <c r="CM51" s="3874"/>
      <c r="CN51" s="3874"/>
      <c r="CP51" s="3874"/>
    </row>
    <row r="52" spans="1:151" s="78" customFormat="1" ht="15" customHeight="1" x14ac:dyDescent="0.2">
      <c r="A52" s="104"/>
      <c r="B52" s="104"/>
      <c r="C52" s="1250"/>
      <c r="D52" s="20"/>
      <c r="E52" s="1231"/>
      <c r="F52" s="7199" t="str">
        <f>_Calcs!$M$72</f>
        <v>Forbolter</v>
      </c>
      <c r="G52" s="650"/>
      <c r="H52" s="650"/>
      <c r="I52" s="650"/>
      <c r="J52" s="75"/>
      <c r="K52" s="75"/>
      <c r="L52" s="1232"/>
      <c r="M52" s="1232"/>
      <c r="N52" s="1232"/>
      <c r="O52" s="76"/>
      <c r="P52" s="1228"/>
      <c r="R52" s="4074"/>
      <c r="S52" s="4074"/>
      <c r="T52" s="4074"/>
      <c r="U52" s="16"/>
      <c r="V52" s="1264"/>
      <c r="W52" s="1264"/>
      <c r="X52" s="4133"/>
      <c r="Y52" s="1264"/>
      <c r="Z52" s="4134"/>
      <c r="AA52" s="3893"/>
      <c r="AB52" s="3893"/>
      <c r="AC52" s="16"/>
      <c r="AD52" s="1264"/>
      <c r="AE52" s="1264"/>
      <c r="AF52" s="4133"/>
      <c r="AG52" s="1264"/>
      <c r="AH52" s="4134"/>
      <c r="AI52" s="3893"/>
      <c r="AJ52" s="3893"/>
      <c r="AK52" s="16"/>
      <c r="AL52" s="1264"/>
      <c r="AM52" s="1264"/>
      <c r="AN52" s="4133"/>
      <c r="AO52" s="1264"/>
      <c r="AP52" s="4134"/>
      <c r="AQ52" s="3893"/>
      <c r="AR52" s="3893"/>
      <c r="AS52" s="16"/>
      <c r="AT52" s="1264"/>
      <c r="AU52" s="1264"/>
      <c r="AV52" s="4133"/>
      <c r="AW52" s="1264"/>
      <c r="AX52" s="4134"/>
      <c r="AY52" s="3893"/>
      <c r="AZ52" s="3893"/>
      <c r="BA52" s="16"/>
      <c r="BB52" s="1264"/>
      <c r="BC52" s="1264"/>
      <c r="BD52" s="4133"/>
      <c r="BE52" s="1264"/>
      <c r="BF52" s="4134"/>
      <c r="BG52" s="3893"/>
      <c r="BH52" s="3893"/>
      <c r="BI52" s="16"/>
      <c r="BJ52" s="1264"/>
      <c r="BK52" s="1264"/>
      <c r="BL52" s="4133"/>
      <c r="BM52" s="1264"/>
      <c r="BN52" s="4134"/>
      <c r="BO52" s="3893"/>
      <c r="BP52" s="3893"/>
      <c r="BQ52" s="16"/>
      <c r="BR52" s="1264"/>
      <c r="BS52" s="1264"/>
      <c r="BT52" s="4133"/>
      <c r="BU52" s="1264"/>
      <c r="BV52" s="4134"/>
      <c r="BW52" s="3893"/>
      <c r="BX52" s="3893"/>
      <c r="BY52" s="16"/>
      <c r="BZ52" s="1264"/>
      <c r="CA52" s="1264"/>
      <c r="CB52" s="4133"/>
      <c r="CC52" s="1264"/>
      <c r="CD52" s="4134"/>
      <c r="CE52" s="3893"/>
      <c r="CF52" s="3893"/>
      <c r="CG52" s="16"/>
      <c r="CH52" s="1264"/>
      <c r="CI52" s="1264"/>
      <c r="CJ52" s="4133"/>
      <c r="CK52" s="1264"/>
      <c r="CL52" s="4134"/>
      <c r="CM52" s="3893"/>
      <c r="CN52" s="3893"/>
      <c r="CO52" s="16"/>
      <c r="CP52" s="3893"/>
    </row>
    <row r="53" spans="1:151" s="78" customFormat="1" ht="8.1" customHeight="1" thickBot="1" x14ac:dyDescent="0.25">
      <c r="A53" s="104"/>
      <c r="B53" s="104"/>
      <c r="C53" s="1250"/>
      <c r="D53" s="20"/>
      <c r="E53" s="1231"/>
      <c r="F53" s="7199"/>
      <c r="G53" s="650"/>
      <c r="H53" s="650"/>
      <c r="I53" s="650"/>
      <c r="J53" s="75"/>
      <c r="K53" s="75"/>
      <c r="L53" s="1232"/>
      <c r="M53" s="1232"/>
      <c r="N53" s="1232"/>
      <c r="O53" s="76"/>
      <c r="P53" s="1228"/>
      <c r="R53" s="51"/>
      <c r="S53" s="51"/>
      <c r="T53" s="51"/>
      <c r="U53" s="16"/>
      <c r="V53" s="16"/>
      <c r="W53" s="16"/>
      <c r="X53" s="36"/>
      <c r="Y53" s="16"/>
      <c r="Z53" s="138"/>
      <c r="AA53" s="3873"/>
      <c r="AB53" s="3873"/>
      <c r="AC53" s="16"/>
      <c r="AD53" s="16"/>
      <c r="AE53" s="16"/>
      <c r="AF53" s="36"/>
      <c r="AG53" s="16"/>
      <c r="AH53" s="138"/>
      <c r="AI53" s="3873"/>
      <c r="AJ53" s="3873"/>
      <c r="AK53" s="16"/>
      <c r="AL53" s="16"/>
      <c r="AM53" s="16"/>
      <c r="AN53" s="36"/>
      <c r="AO53" s="16"/>
      <c r="AP53" s="138"/>
      <c r="AQ53" s="3873"/>
      <c r="AR53" s="3873"/>
      <c r="AS53" s="16"/>
      <c r="AT53" s="16"/>
      <c r="AU53" s="16"/>
      <c r="AV53" s="36"/>
      <c r="AW53" s="16"/>
      <c r="AX53" s="138"/>
      <c r="AY53" s="3873"/>
      <c r="AZ53" s="3873"/>
      <c r="BA53" s="16"/>
      <c r="BB53" s="16"/>
      <c r="BC53" s="16"/>
      <c r="BD53" s="36"/>
      <c r="BE53" s="16"/>
      <c r="BF53" s="138"/>
      <c r="BG53" s="3873"/>
      <c r="BH53" s="3873"/>
      <c r="BI53" s="16"/>
      <c r="BJ53" s="16"/>
      <c r="BK53" s="16"/>
      <c r="BL53" s="36"/>
      <c r="BM53" s="16"/>
      <c r="BN53" s="138"/>
      <c r="BO53" s="3873"/>
      <c r="BP53" s="3873"/>
      <c r="BQ53" s="16"/>
      <c r="BR53" s="16"/>
      <c r="BS53" s="16"/>
      <c r="BT53" s="36"/>
      <c r="BU53" s="16"/>
      <c r="BV53" s="138"/>
      <c r="BW53" s="3873"/>
      <c r="BX53" s="3873"/>
      <c r="BY53" s="16"/>
      <c r="BZ53" s="16"/>
      <c r="CA53" s="16"/>
      <c r="CB53" s="36"/>
      <c r="CC53" s="16"/>
      <c r="CD53" s="138"/>
      <c r="CE53" s="3873"/>
      <c r="CF53" s="3873"/>
      <c r="CG53" s="16"/>
      <c r="CH53" s="16"/>
      <c r="CI53" s="16"/>
      <c r="CJ53" s="36"/>
      <c r="CK53" s="16"/>
      <c r="CL53" s="138"/>
      <c r="CM53" s="3873"/>
      <c r="CN53" s="3873"/>
      <c r="CO53" s="16"/>
      <c r="CP53" s="3873"/>
    </row>
    <row r="54" spans="1:151" s="78" customFormat="1" ht="15" customHeight="1" thickBot="1" x14ac:dyDescent="0.25">
      <c r="A54" s="104"/>
      <c r="B54" s="104"/>
      <c r="C54" s="1250"/>
      <c r="D54" s="20"/>
      <c r="E54" s="1231"/>
      <c r="F54" s="650"/>
      <c r="G54" s="650"/>
      <c r="H54" s="650"/>
      <c r="I54" s="650"/>
      <c r="J54" s="75"/>
      <c r="K54" s="75"/>
      <c r="L54" s="1232"/>
      <c r="M54" s="1232"/>
      <c r="N54" s="1232"/>
      <c r="O54" s="76"/>
      <c r="P54" s="1228"/>
      <c r="R54" s="1153"/>
      <c r="S54" s="1154"/>
      <c r="T54" s="1155"/>
      <c r="U54" s="16"/>
      <c r="V54" s="1237"/>
      <c r="W54" s="643"/>
      <c r="X54" s="642"/>
      <c r="Y54" s="643"/>
      <c r="Z54" s="1224"/>
      <c r="AA54" s="1238"/>
      <c r="AB54" s="1239"/>
      <c r="AC54" s="16"/>
      <c r="AD54" s="1237"/>
      <c r="AE54" s="643"/>
      <c r="AF54" s="642"/>
      <c r="AG54" s="643"/>
      <c r="AH54" s="1224"/>
      <c r="AI54" s="1238"/>
      <c r="AJ54" s="1239"/>
      <c r="AK54" s="16"/>
      <c r="AL54" s="1237"/>
      <c r="AM54" s="643"/>
      <c r="AN54" s="642"/>
      <c r="AO54" s="643"/>
      <c r="AP54" s="1224"/>
      <c r="AQ54" s="1238"/>
      <c r="AR54" s="1239"/>
      <c r="AS54" s="16"/>
      <c r="AT54" s="1237"/>
      <c r="AU54" s="643"/>
      <c r="AV54" s="642"/>
      <c r="AW54" s="643"/>
      <c r="AX54" s="1224"/>
      <c r="AY54" s="1238"/>
      <c r="AZ54" s="1239"/>
      <c r="BA54" s="16"/>
      <c r="BB54" s="1237"/>
      <c r="BC54" s="643"/>
      <c r="BD54" s="642"/>
      <c r="BE54" s="643"/>
      <c r="BF54" s="1224"/>
      <c r="BG54" s="1238"/>
      <c r="BH54" s="1239"/>
      <c r="BI54" s="16"/>
      <c r="BJ54" s="1237"/>
      <c r="BK54" s="643"/>
      <c r="BL54" s="642"/>
      <c r="BM54" s="643"/>
      <c r="BN54" s="1224"/>
      <c r="BO54" s="1238"/>
      <c r="BP54" s="1239"/>
      <c r="BQ54" s="16"/>
      <c r="BR54" s="1237"/>
      <c r="BS54" s="643"/>
      <c r="BT54" s="642"/>
      <c r="BU54" s="643"/>
      <c r="BV54" s="1224"/>
      <c r="BW54" s="1238"/>
      <c r="BX54" s="1239"/>
      <c r="BY54" s="16"/>
      <c r="BZ54" s="1237"/>
      <c r="CA54" s="643"/>
      <c r="CB54" s="642"/>
      <c r="CC54" s="643"/>
      <c r="CD54" s="1224"/>
      <c r="CE54" s="1238"/>
      <c r="CF54" s="1239"/>
      <c r="CG54" s="16"/>
      <c r="CH54" s="1237"/>
      <c r="CI54" s="643"/>
      <c r="CJ54" s="642"/>
      <c r="CK54" s="643"/>
      <c r="CL54" s="1224"/>
      <c r="CM54" s="1238"/>
      <c r="CN54" s="1239"/>
      <c r="CO54" s="16"/>
      <c r="CP54" s="173"/>
    </row>
    <row r="55" spans="1:151" s="1913" customFormat="1" ht="20.100000000000001" customHeight="1" thickBot="1" x14ac:dyDescent="0.25">
      <c r="A55" s="1905"/>
      <c r="B55" s="1905"/>
      <c r="C55" s="1906"/>
      <c r="D55" s="1907"/>
      <c r="E55" s="1908"/>
      <c r="F55" s="1909" t="str">
        <f>_Calcs!$M$56</f>
        <v>Alle typer ≤ 4 m</v>
      </c>
      <c r="G55" s="1909"/>
      <c r="H55" s="1909"/>
      <c r="I55" s="1909"/>
      <c r="J55" s="2297" t="s">
        <v>149</v>
      </c>
      <c r="K55" s="2297"/>
      <c r="L55" s="1910"/>
      <c r="M55" s="1910"/>
      <c r="N55" s="1910"/>
      <c r="O55" s="1911" t="s">
        <v>97</v>
      </c>
      <c r="P55" s="1912"/>
      <c r="R55" s="1914"/>
      <c r="S55" s="2302">
        <f>IFERROR(INDEX(outputs_klasse_qty[forbolter_lt4_sum],MATCH(_Calcs_Klasse!$CC$54,outputs_klasse_qty[Navn],0)),"")</f>
        <v>0</v>
      </c>
      <c r="T55" s="1916"/>
      <c r="U55" s="1917"/>
      <c r="V55" s="1918"/>
      <c r="W55" s="1919"/>
      <c r="X55" s="2313">
        <f>IFERROR(INDEX(outputs_klasse_qty[forbolter_lt4_sum],MATCH(_Calcs_Klasse!$AV$146,outputs_klasse_qty[klasse_stuff_id],0)),"")</f>
        <v>0</v>
      </c>
      <c r="Y55" s="1919"/>
      <c r="Z55" s="3878" t="str">
        <f>IF(_Calcs_Klasse!$AI$27=2,"✓",IF(AND(_Calcs_Klasse!$AI$27=1,_Calcs!$NO$346=0),"✓","!"))</f>
        <v>✓</v>
      </c>
      <c r="AA55" s="1920"/>
      <c r="AB55" s="1921"/>
      <c r="AC55" s="1917"/>
      <c r="AD55" s="1918"/>
      <c r="AE55" s="1919"/>
      <c r="AF55" s="2313" t="str">
        <f>IFERROR(INDEX(outputs_klasse_qty[forbolter_lt4_sum],MATCH(_Calcs_Klasse!$AW$146,outputs_klasse_qty[klasse_stuff_id],0)),"")</f>
        <v/>
      </c>
      <c r="AG55" s="1919"/>
      <c r="AH55" s="3878" t="str">
        <f>IF(_Calcs_Klasse!$AI$27=2,"✓",IF(AND(_Calcs_Klasse!$AI$27=1,_Calcs!$NP$346=0),"✓","!"))</f>
        <v>✓</v>
      </c>
      <c r="AI55" s="1920"/>
      <c r="AJ55" s="1921"/>
      <c r="AK55" s="1917"/>
      <c r="AL55" s="1918"/>
      <c r="AM55" s="1919"/>
      <c r="AN55" s="2313" t="str">
        <f>IFERROR(INDEX(outputs_klasse_qty[forbolter_lt4_sum],MATCH(_Calcs_Klasse!$AX$146,outputs_klasse_qty[klasse_stuff_id],0)),"")</f>
        <v/>
      </c>
      <c r="AO55" s="1919"/>
      <c r="AP55" s="3878" t="str">
        <f>IF(_Calcs_Klasse!$AI$27=2,"✓",IF(AND(_Calcs_Klasse!$AI$27=1,_Calcs!$NQ$346=0),"✓","!"))</f>
        <v>✓</v>
      </c>
      <c r="AQ55" s="1920"/>
      <c r="AR55" s="1921"/>
      <c r="AS55" s="1917"/>
      <c r="AT55" s="1918"/>
      <c r="AU55" s="1919"/>
      <c r="AV55" s="2313" t="str">
        <f>IFERROR(INDEX(outputs_klasse_qty[forbolter_lt4_sum],MATCH(_Calcs_Klasse!$AY$146,outputs_klasse_qty[klasse_stuff_id],0)),"")</f>
        <v/>
      </c>
      <c r="AW55" s="1919"/>
      <c r="AX55" s="3878" t="str">
        <f>IF(_Calcs_Klasse!$AI$27=2,"✓",IF(AND(_Calcs_Klasse!$AI$27=1,_Calcs!$NR$346=0),"✓","!"))</f>
        <v>✓</v>
      </c>
      <c r="AY55" s="1920"/>
      <c r="AZ55" s="1921"/>
      <c r="BA55" s="1917"/>
      <c r="BB55" s="1918"/>
      <c r="BC55" s="1919"/>
      <c r="BD55" s="2313" t="str">
        <f>IFERROR(INDEX(outputs_klasse_qty[forbolter_lt4_sum],MATCH(_Calcs_Klasse!$AZ$146,outputs_klasse_qty[klasse_stuff_id],0)),"")</f>
        <v/>
      </c>
      <c r="BE55" s="1919"/>
      <c r="BF55" s="3878" t="str">
        <f>IF(_Calcs_Klasse!$AI$27=2,"✓",IF(AND(_Calcs_Klasse!$AI$27=1,_Calcs!$NS$346=0),"✓","!"))</f>
        <v>✓</v>
      </c>
      <c r="BG55" s="1920"/>
      <c r="BH55" s="1921"/>
      <c r="BI55" s="1917"/>
      <c r="BJ55" s="1918"/>
      <c r="BK55" s="1919"/>
      <c r="BL55" s="2313" t="str">
        <f>IFERROR(INDEX(outputs_klasse_qty[forbolter_lt4_sum],MATCH(_Calcs_Klasse!$BA$146,outputs_klasse_qty[klasse_stuff_id],0)),"")</f>
        <v/>
      </c>
      <c r="BM55" s="1919"/>
      <c r="BN55" s="3878" t="str">
        <f>IF(_Calcs_Klasse!$AI$27=2,"✓",IF(AND(_Calcs_Klasse!$AI$27=1,_Calcs!$NT$346=0),"✓","!"))</f>
        <v>✓</v>
      </c>
      <c r="BO55" s="1920"/>
      <c r="BP55" s="1921"/>
      <c r="BQ55" s="1917"/>
      <c r="BR55" s="1918"/>
      <c r="BS55" s="1919"/>
      <c r="BT55" s="2313" t="str">
        <f>IFERROR(INDEX(outputs_klasse_qty[forbolter_lt4_sum],MATCH(_Calcs_Klasse!$BB$146,outputs_klasse_qty[klasse_stuff_id],0)),"")</f>
        <v/>
      </c>
      <c r="BU55" s="1919"/>
      <c r="BV55" s="3878" t="str">
        <f>IF(_Calcs_Klasse!$AI$27=2,"✓",IF(AND(_Calcs_Klasse!$AI$27=1,_Calcs!$NU$346=0),"✓","!"))</f>
        <v>✓</v>
      </c>
      <c r="BW55" s="1920"/>
      <c r="BX55" s="1921"/>
      <c r="BY55" s="1917"/>
      <c r="BZ55" s="1918"/>
      <c r="CA55" s="1919"/>
      <c r="CB55" s="2313" t="str">
        <f>IFERROR(INDEX(outputs_klasse_qty[forbolter_lt4_sum],MATCH(_Calcs_Klasse!$BC$146,outputs_klasse_qty[klasse_stuff_id],0)),"")</f>
        <v/>
      </c>
      <c r="CC55" s="1919"/>
      <c r="CD55" s="3878" t="str">
        <f>IF(_Calcs_Klasse!$AI$27=2,"✓",IF(AND(_Calcs_Klasse!$AI$27=1,_Calcs!$NV$346=0),"✓","!"))</f>
        <v>✓</v>
      </c>
      <c r="CE55" s="1920"/>
      <c r="CF55" s="1921"/>
      <c r="CG55" s="1917"/>
      <c r="CH55" s="1918"/>
      <c r="CI55" s="1919"/>
      <c r="CJ55" s="2313" t="str">
        <f>IFERROR(INDEX(outputs_klasse_qty[forbolter_lt4_sum],MATCH(_Calcs_Klasse!$BD$146,outputs_klasse_qty[klasse_stuff_id],0)),"")</f>
        <v/>
      </c>
      <c r="CK55" s="1919"/>
      <c r="CL55" s="3878" t="str">
        <f>IF(_Calcs_Klasse!$AI$27=2,"✓",IF(AND(_Calcs_Klasse!$AI$27=1,_Calcs!$NW$346=0),"✓","!"))</f>
        <v>✓</v>
      </c>
      <c r="CM55" s="1920"/>
      <c r="CN55" s="1921"/>
      <c r="CO55" s="1917"/>
      <c r="CP55" s="1922"/>
      <c r="CQ55" s="1923"/>
      <c r="CR55" s="1923"/>
      <c r="CS55" s="1923"/>
      <c r="CT55" s="1923"/>
      <c r="CU55" s="1923"/>
      <c r="CV55" s="1923"/>
      <c r="CW55" s="1923"/>
      <c r="CX55" s="1923"/>
      <c r="CY55" s="1923"/>
      <c r="CZ55" s="1923"/>
      <c r="DA55" s="1923"/>
      <c r="DB55" s="1923"/>
      <c r="DC55" s="1923"/>
      <c r="DD55" s="1923"/>
      <c r="DE55" s="1923"/>
      <c r="DF55" s="1923"/>
      <c r="DG55" s="1923"/>
      <c r="DH55" s="1923"/>
      <c r="DI55" s="1923"/>
      <c r="DJ55" s="1923"/>
      <c r="DK55" s="1923"/>
      <c r="DL55" s="1923"/>
      <c r="DM55" s="1923"/>
      <c r="DN55" s="1923"/>
      <c r="DO55" s="1923"/>
      <c r="DP55" s="1923"/>
      <c r="DQ55" s="1923"/>
      <c r="DR55" s="1923"/>
      <c r="DS55" s="1923"/>
      <c r="DT55" s="1923"/>
      <c r="DU55" s="1923"/>
      <c r="DV55" s="1923"/>
      <c r="DW55" s="1923"/>
      <c r="DX55" s="1923"/>
      <c r="DY55" s="1923"/>
      <c r="DZ55" s="1923"/>
      <c r="EA55" s="1923"/>
      <c r="EB55" s="1923"/>
      <c r="EC55" s="1923"/>
      <c r="ED55" s="1923"/>
      <c r="EE55" s="1923"/>
      <c r="EF55" s="1923"/>
      <c r="EG55" s="1923"/>
      <c r="EH55" s="1923"/>
      <c r="EI55" s="1923"/>
      <c r="EJ55" s="1923"/>
      <c r="EK55" s="1923"/>
      <c r="EL55" s="1923"/>
      <c r="EM55" s="1923"/>
      <c r="EN55" s="1923"/>
      <c r="EO55" s="1923"/>
      <c r="EP55" s="1923"/>
      <c r="EQ55" s="1923"/>
      <c r="ER55" s="1923"/>
      <c r="ES55" s="1923"/>
      <c r="ET55" s="1923"/>
      <c r="EU55" s="1923"/>
    </row>
    <row r="56" spans="1:151" s="78" customFormat="1" ht="15" customHeight="1" thickBot="1" x14ac:dyDescent="0.25">
      <c r="A56" s="104"/>
      <c r="B56" s="104"/>
      <c r="C56" s="1251"/>
      <c r="D56" s="20"/>
      <c r="E56" s="1231"/>
      <c r="F56" s="650"/>
      <c r="G56" s="650"/>
      <c r="H56" s="650"/>
      <c r="I56" s="650"/>
      <c r="J56" s="75"/>
      <c r="K56" s="75"/>
      <c r="L56" s="1232"/>
      <c r="M56" s="1232"/>
      <c r="N56" s="1232"/>
      <c r="O56" s="76"/>
      <c r="P56" s="1228"/>
      <c r="R56" s="1156"/>
      <c r="S56" s="1924"/>
      <c r="T56" s="1916"/>
      <c r="U56" s="1917"/>
      <c r="V56" s="1918"/>
      <c r="W56" s="1919"/>
      <c r="X56" s="1919"/>
      <c r="Y56" s="1919"/>
      <c r="Z56" s="1925"/>
      <c r="AA56" s="1920"/>
      <c r="AB56" s="1921"/>
      <c r="AC56" s="1917"/>
      <c r="AD56" s="1918"/>
      <c r="AE56" s="1919"/>
      <c r="AF56" s="1919"/>
      <c r="AG56" s="1919"/>
      <c r="AH56" s="1925"/>
      <c r="AI56" s="1920"/>
      <c r="AJ56" s="1921"/>
      <c r="AK56" s="1917"/>
      <c r="AL56" s="1918"/>
      <c r="AM56" s="1919"/>
      <c r="AN56" s="1919"/>
      <c r="AO56" s="1919"/>
      <c r="AP56" s="1925"/>
      <c r="AQ56" s="1920"/>
      <c r="AR56" s="1921"/>
      <c r="AS56" s="1917"/>
      <c r="AT56" s="1918"/>
      <c r="AU56" s="1919"/>
      <c r="AV56" s="1919"/>
      <c r="AW56" s="1919"/>
      <c r="AX56" s="1925"/>
      <c r="AY56" s="1920"/>
      <c r="AZ56" s="1921"/>
      <c r="BA56" s="1917"/>
      <c r="BB56" s="1918"/>
      <c r="BC56" s="1919"/>
      <c r="BD56" s="1919"/>
      <c r="BE56" s="1919"/>
      <c r="BF56" s="1925"/>
      <c r="BG56" s="1920"/>
      <c r="BH56" s="1921"/>
      <c r="BI56" s="1917"/>
      <c r="BJ56" s="1918"/>
      <c r="BK56" s="1919"/>
      <c r="BL56" s="1919"/>
      <c r="BM56" s="1919"/>
      <c r="BN56" s="1925"/>
      <c r="BO56" s="1920"/>
      <c r="BP56" s="1921"/>
      <c r="BQ56" s="1917"/>
      <c r="BR56" s="1918"/>
      <c r="BS56" s="1919"/>
      <c r="BT56" s="1919"/>
      <c r="BU56" s="1919"/>
      <c r="BV56" s="1925"/>
      <c r="BW56" s="1920"/>
      <c r="BX56" s="1921"/>
      <c r="BY56" s="1917"/>
      <c r="BZ56" s="1918"/>
      <c r="CA56" s="1919"/>
      <c r="CB56" s="1919"/>
      <c r="CC56" s="1919"/>
      <c r="CD56" s="1925"/>
      <c r="CE56" s="1920"/>
      <c r="CF56" s="1921"/>
      <c r="CG56" s="1917"/>
      <c r="CH56" s="1918"/>
      <c r="CI56" s="1919"/>
      <c r="CJ56" s="1919"/>
      <c r="CK56" s="1919"/>
      <c r="CL56" s="1925"/>
      <c r="CM56" s="1920"/>
      <c r="CN56" s="1921"/>
      <c r="CO56" s="1917"/>
      <c r="CP56" s="1922"/>
      <c r="CQ56" s="1923"/>
      <c r="CR56" s="1923"/>
      <c r="CS56" s="1923"/>
      <c r="CT56" s="1923"/>
      <c r="CU56" s="1923"/>
      <c r="CV56" s="1923"/>
      <c r="CW56" s="1923"/>
      <c r="CX56" s="1923"/>
      <c r="CY56" s="1923"/>
      <c r="CZ56" s="1923"/>
      <c r="DA56" s="1923"/>
      <c r="DB56" s="1923"/>
      <c r="DC56" s="1923"/>
      <c r="DD56" s="1923"/>
      <c r="DE56" s="1923"/>
      <c r="DF56" s="1923"/>
      <c r="DG56" s="1923"/>
      <c r="DH56" s="1923"/>
      <c r="DI56" s="1923"/>
      <c r="DJ56" s="1923"/>
      <c r="DK56" s="1923"/>
      <c r="DL56" s="1923"/>
      <c r="DM56" s="1923"/>
      <c r="DN56" s="1923"/>
      <c r="DO56" s="1923"/>
      <c r="DP56" s="1923"/>
      <c r="DQ56" s="1923"/>
      <c r="DR56" s="1923"/>
      <c r="DS56" s="1923"/>
      <c r="DT56" s="1923"/>
      <c r="DU56" s="1923"/>
      <c r="DV56" s="1923"/>
      <c r="DW56" s="1923"/>
      <c r="DX56" s="1923"/>
      <c r="DY56" s="1923"/>
      <c r="DZ56" s="1923"/>
      <c r="EA56" s="1923"/>
      <c r="EB56" s="1923"/>
      <c r="EC56" s="1923"/>
      <c r="ED56" s="1923"/>
      <c r="EE56" s="1923"/>
      <c r="EF56" s="1923"/>
      <c r="EG56" s="1923"/>
      <c r="EH56" s="1923"/>
      <c r="EI56" s="1923"/>
      <c r="EJ56" s="1923"/>
      <c r="EK56" s="1923"/>
      <c r="EL56" s="1923"/>
      <c r="EM56" s="1923"/>
      <c r="EN56" s="1923"/>
      <c r="EO56" s="1923"/>
      <c r="EP56" s="1923"/>
      <c r="EQ56" s="1923"/>
      <c r="ER56" s="1923"/>
      <c r="ES56" s="1923"/>
      <c r="ET56" s="1923"/>
      <c r="EU56" s="1923"/>
    </row>
    <row r="57" spans="1:151" s="1913" customFormat="1" ht="20.100000000000001" customHeight="1" thickBot="1" x14ac:dyDescent="0.25">
      <c r="A57" s="1905"/>
      <c r="B57" s="1905"/>
      <c r="C57" s="1906"/>
      <c r="D57" s="1907"/>
      <c r="E57" s="1908"/>
      <c r="F57" s="1909" t="str">
        <f>_Calcs!$M$57</f>
        <v>Alle typer &gt; 4 m</v>
      </c>
      <c r="G57" s="1909"/>
      <c r="H57" s="1909"/>
      <c r="I57" s="1909"/>
      <c r="J57" s="2297" t="s">
        <v>149</v>
      </c>
      <c r="K57" s="2297"/>
      <c r="L57" s="1910"/>
      <c r="M57" s="1910"/>
      <c r="N57" s="1910"/>
      <c r="O57" s="1911" t="s">
        <v>97</v>
      </c>
      <c r="P57" s="1912"/>
      <c r="Q57" s="1915"/>
      <c r="R57" s="1914"/>
      <c r="S57" s="2302">
        <f>IFERROR(INDEX(outputs_klasse_qty[forbolter_gt4_sum],MATCH(_Calcs_Klasse!$CC$54,outputs_klasse_qty[Navn],0)),"")</f>
        <v>0</v>
      </c>
      <c r="T57" s="1916"/>
      <c r="U57" s="1917"/>
      <c r="V57" s="1918"/>
      <c r="W57" s="1919"/>
      <c r="X57" s="2313">
        <f>IFERROR(INDEX(outputs_klasse_qty[forbolter_gt4_sum],MATCH(_Calcs_Klasse!$AV$146,outputs_klasse_qty[klasse_stuff_id],0)),"")</f>
        <v>0</v>
      </c>
      <c r="Y57" s="1919"/>
      <c r="Z57" s="3878" t="str">
        <f>IF(_Calcs_Klasse!$AI$27=2,"✓",IF(AND(_Calcs_Klasse!$AI$27=1,_Calcs!$NO$346=0),"✓","!"))</f>
        <v>✓</v>
      </c>
      <c r="AA57" s="1920"/>
      <c r="AB57" s="1921"/>
      <c r="AC57" s="1917"/>
      <c r="AD57" s="1918"/>
      <c r="AE57" s="1919"/>
      <c r="AF57" s="2313" t="str">
        <f>IFERROR(INDEX(outputs_klasse_qty[forbolter_gt4_sum],MATCH(_Calcs_Klasse!$AW$146,outputs_klasse_qty[klasse_stuff_id],0)),"")</f>
        <v/>
      </c>
      <c r="AG57" s="1919"/>
      <c r="AH57" s="3878" t="str">
        <f>IF(_Calcs_Klasse!$AI$27=2,"✓",IF(AND(_Calcs_Klasse!$AI$27=1,_Calcs!$NP$346=0),"✓","!"))</f>
        <v>✓</v>
      </c>
      <c r="AI57" s="1920"/>
      <c r="AJ57" s="1921"/>
      <c r="AK57" s="1917"/>
      <c r="AL57" s="1918"/>
      <c r="AM57" s="1919"/>
      <c r="AN57" s="2313" t="str">
        <f>IFERROR(INDEX(outputs_klasse_qty[forbolter_gt4_sum],MATCH(_Calcs_Klasse!$AX$146,outputs_klasse_qty[klasse_stuff_id],0)),"")</f>
        <v/>
      </c>
      <c r="AO57" s="1919"/>
      <c r="AP57" s="3878" t="str">
        <f>IF(_Calcs_Klasse!$AI$27=2,"✓",IF(AND(_Calcs_Klasse!$AI$27=1,_Calcs!$NQ$346=0),"✓","!"))</f>
        <v>✓</v>
      </c>
      <c r="AQ57" s="1920"/>
      <c r="AR57" s="1921"/>
      <c r="AS57" s="1917"/>
      <c r="AT57" s="1918"/>
      <c r="AU57" s="1919"/>
      <c r="AV57" s="2313" t="str">
        <f>IFERROR(INDEX(outputs_klasse_qty[forbolter_gt4_sum],MATCH(_Calcs_Klasse!$AY$146,outputs_klasse_qty[klasse_stuff_id],0)),"")</f>
        <v/>
      </c>
      <c r="AW57" s="1919"/>
      <c r="AX57" s="3878" t="str">
        <f>IF(_Calcs_Klasse!$AI$27=2,"✓",IF(AND(_Calcs_Klasse!$AI$27=1,_Calcs!$NR$346=0),"✓","!"))</f>
        <v>✓</v>
      </c>
      <c r="AY57" s="1920"/>
      <c r="AZ57" s="1921"/>
      <c r="BA57" s="1917"/>
      <c r="BB57" s="1918"/>
      <c r="BC57" s="1919"/>
      <c r="BD57" s="2313" t="str">
        <f>IFERROR(INDEX(outputs_klasse_qty[forbolter_gt4_sum],MATCH(_Calcs_Klasse!$AZ$146,outputs_klasse_qty[klasse_stuff_id],0)),"")</f>
        <v/>
      </c>
      <c r="BE57" s="1919"/>
      <c r="BF57" s="3878" t="str">
        <f>IF(_Calcs_Klasse!$AI$27=2,"✓",IF(AND(_Calcs_Klasse!$AI$27=1,_Calcs!$NS$346=0),"✓","!"))</f>
        <v>✓</v>
      </c>
      <c r="BG57" s="1920"/>
      <c r="BH57" s="1921"/>
      <c r="BI57" s="1917"/>
      <c r="BJ57" s="1918"/>
      <c r="BK57" s="1919"/>
      <c r="BL57" s="2313" t="str">
        <f>IFERROR(INDEX(outputs_klasse_qty[forbolter_gt4_sum],MATCH(_Calcs_Klasse!$BA$146,outputs_klasse_qty[klasse_stuff_id],0)),"")</f>
        <v/>
      </c>
      <c r="BM57" s="1919"/>
      <c r="BN57" s="3878" t="str">
        <f>IF(_Calcs_Klasse!$AI$27=2,"✓",IF(AND(_Calcs_Klasse!$AI$27=1,_Calcs!$NT$346=0),"✓","!"))</f>
        <v>✓</v>
      </c>
      <c r="BO57" s="1920"/>
      <c r="BP57" s="1921"/>
      <c r="BQ57" s="1917"/>
      <c r="BR57" s="1918"/>
      <c r="BS57" s="1919"/>
      <c r="BT57" s="2313" t="str">
        <f>IFERROR(INDEX(outputs_klasse_qty[forbolter_gt4_sum],MATCH(_Calcs_Klasse!$BB$146,outputs_klasse_qty[klasse_stuff_id],0)),"")</f>
        <v/>
      </c>
      <c r="BU57" s="1919"/>
      <c r="BV57" s="3878" t="str">
        <f>IF(_Calcs_Klasse!$AI$27=2,"✓",IF(AND(_Calcs_Klasse!$AI$27=1,_Calcs!$NU$346=0),"✓","!"))</f>
        <v>✓</v>
      </c>
      <c r="BW57" s="1920"/>
      <c r="BX57" s="1921"/>
      <c r="BY57" s="1917"/>
      <c r="BZ57" s="1918"/>
      <c r="CA57" s="1919"/>
      <c r="CB57" s="2313" t="str">
        <f>IFERROR(INDEX(outputs_klasse_qty[forbolter_gt4_sum],MATCH(_Calcs_Klasse!$BC$146,outputs_klasse_qty[klasse_stuff_id],0)),"")</f>
        <v/>
      </c>
      <c r="CC57" s="1919"/>
      <c r="CD57" s="3878" t="str">
        <f>IF(_Calcs_Klasse!$AI$27=2,"✓",IF(AND(_Calcs_Klasse!$AI$27=1,_Calcs!$NV$346=0),"✓","!"))</f>
        <v>✓</v>
      </c>
      <c r="CE57" s="1920"/>
      <c r="CF57" s="1921"/>
      <c r="CG57" s="1917"/>
      <c r="CH57" s="1918"/>
      <c r="CI57" s="1919"/>
      <c r="CJ57" s="2313" t="str">
        <f>IFERROR(INDEX(outputs_klasse_qty[forbolter_gt4_sum],MATCH(_Calcs_Klasse!$BD$146,outputs_klasse_qty[klasse_stuff_id],0)),"")</f>
        <v/>
      </c>
      <c r="CK57" s="1919"/>
      <c r="CL57" s="3878" t="str">
        <f>IF(_Calcs_Klasse!$AI$27=2,"✓",IF(AND(_Calcs_Klasse!$AI$27=1,_Calcs!$NW$346=0),"✓","!"))</f>
        <v>✓</v>
      </c>
      <c r="CM57" s="1920"/>
      <c r="CN57" s="1921"/>
      <c r="CO57" s="1917"/>
      <c r="CP57" s="1922"/>
      <c r="CQ57" s="1923"/>
      <c r="CR57" s="1923"/>
      <c r="CS57" s="1923"/>
      <c r="CT57" s="1923"/>
      <c r="CU57" s="1923"/>
      <c r="CV57" s="1923"/>
      <c r="CW57" s="1923"/>
      <c r="CX57" s="1923"/>
      <c r="CY57" s="1923"/>
      <c r="CZ57" s="1923"/>
      <c r="DA57" s="1923"/>
      <c r="DB57" s="1923"/>
      <c r="DC57" s="1923"/>
      <c r="DD57" s="1923"/>
      <c r="DE57" s="1923"/>
      <c r="DF57" s="1923"/>
      <c r="DG57" s="1923"/>
      <c r="DH57" s="1923"/>
      <c r="DI57" s="1923"/>
      <c r="DJ57" s="1923"/>
      <c r="DK57" s="1923"/>
      <c r="DL57" s="1923"/>
      <c r="DM57" s="1923"/>
      <c r="DN57" s="1923"/>
      <c r="DO57" s="1923"/>
      <c r="DP57" s="1923"/>
      <c r="DQ57" s="1923"/>
      <c r="DR57" s="1923"/>
      <c r="DS57" s="1923"/>
      <c r="DT57" s="1923"/>
      <c r="DU57" s="1923"/>
      <c r="DV57" s="1923"/>
      <c r="DW57" s="1923"/>
      <c r="DX57" s="1923"/>
      <c r="DY57" s="1923"/>
      <c r="DZ57" s="1923"/>
      <c r="EA57" s="1923"/>
      <c r="EB57" s="1923"/>
      <c r="EC57" s="1923"/>
      <c r="ED57" s="1923"/>
      <c r="EE57" s="1923"/>
      <c r="EF57" s="1923"/>
      <c r="EG57" s="1923"/>
      <c r="EH57" s="1923"/>
      <c r="EI57" s="1923"/>
      <c r="EJ57" s="1923"/>
      <c r="EK57" s="1923"/>
      <c r="EL57" s="1923"/>
      <c r="EM57" s="1923"/>
      <c r="EN57" s="1923"/>
      <c r="EO57" s="1923"/>
      <c r="EP57" s="1923"/>
      <c r="EQ57" s="1923"/>
      <c r="ER57" s="1923"/>
      <c r="ES57" s="1923"/>
      <c r="ET57" s="1923"/>
      <c r="EU57" s="1923"/>
    </row>
    <row r="58" spans="1:151" s="78" customFormat="1" ht="15" customHeight="1" thickBot="1" x14ac:dyDescent="0.25">
      <c r="A58" s="104"/>
      <c r="B58" s="104"/>
      <c r="C58" s="1251"/>
      <c r="D58" s="20"/>
      <c r="E58" s="1229"/>
      <c r="F58" s="659"/>
      <c r="G58" s="659"/>
      <c r="H58" s="659"/>
      <c r="I58" s="659"/>
      <c r="J58" s="659"/>
      <c r="K58" s="659"/>
      <c r="L58" s="659"/>
      <c r="M58" s="659"/>
      <c r="N58" s="659"/>
      <c r="O58" s="659"/>
      <c r="P58" s="1230"/>
      <c r="R58" s="1158"/>
      <c r="S58" s="1159"/>
      <c r="T58" s="1160"/>
      <c r="U58" s="16"/>
      <c r="V58" s="1229"/>
      <c r="W58" s="659"/>
      <c r="X58" s="1242"/>
      <c r="Y58" s="659"/>
      <c r="Z58" s="659"/>
      <c r="AA58" s="1243"/>
      <c r="AB58" s="1244"/>
      <c r="AC58" s="16"/>
      <c r="AD58" s="1229"/>
      <c r="AE58" s="659"/>
      <c r="AF58" s="1242"/>
      <c r="AG58" s="659"/>
      <c r="AH58" s="659"/>
      <c r="AI58" s="1243"/>
      <c r="AJ58" s="1244"/>
      <c r="AK58" s="16"/>
      <c r="AL58" s="1229"/>
      <c r="AM58" s="659"/>
      <c r="AN58" s="1242"/>
      <c r="AO58" s="659"/>
      <c r="AP58" s="659"/>
      <c r="AQ58" s="1243"/>
      <c r="AR58" s="1244"/>
      <c r="AS58" s="16"/>
      <c r="AT58" s="1229"/>
      <c r="AU58" s="659"/>
      <c r="AV58" s="1242"/>
      <c r="AW58" s="659"/>
      <c r="AX58" s="659"/>
      <c r="AY58" s="1243"/>
      <c r="AZ58" s="1244"/>
      <c r="BA58" s="16"/>
      <c r="BB58" s="1229"/>
      <c r="BC58" s="659"/>
      <c r="BD58" s="1242"/>
      <c r="BE58" s="659"/>
      <c r="BF58" s="659"/>
      <c r="BG58" s="1243"/>
      <c r="BH58" s="1244"/>
      <c r="BI58" s="16"/>
      <c r="BJ58" s="1229"/>
      <c r="BK58" s="659"/>
      <c r="BL58" s="1242"/>
      <c r="BM58" s="659"/>
      <c r="BN58" s="659"/>
      <c r="BO58" s="1243"/>
      <c r="BP58" s="1244"/>
      <c r="BQ58" s="16"/>
      <c r="BR58" s="1229"/>
      <c r="BS58" s="659"/>
      <c r="BT58" s="1242"/>
      <c r="BU58" s="659"/>
      <c r="BV58" s="659"/>
      <c r="BW58" s="1243"/>
      <c r="BX58" s="1244"/>
      <c r="BY58" s="16"/>
      <c r="BZ58" s="1229"/>
      <c r="CA58" s="659"/>
      <c r="CB58" s="1242"/>
      <c r="CC58" s="659"/>
      <c r="CD58" s="659"/>
      <c r="CE58" s="1243"/>
      <c r="CF58" s="1244"/>
      <c r="CG58" s="16"/>
      <c r="CH58" s="1229"/>
      <c r="CI58" s="659"/>
      <c r="CJ58" s="1242"/>
      <c r="CK58" s="659"/>
      <c r="CL58" s="659"/>
      <c r="CM58" s="1243"/>
      <c r="CN58" s="1244"/>
      <c r="CO58" s="16"/>
      <c r="CP58" s="173"/>
    </row>
    <row r="59" spans="1:151" s="78" customFormat="1" ht="8.1" customHeight="1" thickBot="1" x14ac:dyDescent="0.25">
      <c r="A59" s="104"/>
      <c r="B59" s="104"/>
      <c r="C59" s="1251"/>
      <c r="D59" s="20"/>
      <c r="E59" s="15"/>
      <c r="F59" s="1212"/>
      <c r="G59" s="1212"/>
      <c r="H59" s="1212"/>
      <c r="I59" s="1212"/>
      <c r="J59" s="16"/>
      <c r="K59" s="16"/>
      <c r="L59" s="19"/>
      <c r="M59" s="19"/>
      <c r="N59" s="19"/>
      <c r="O59" s="15"/>
      <c r="P59" s="15"/>
      <c r="R59" s="70"/>
      <c r="S59" s="114"/>
      <c r="T59" s="70"/>
      <c r="U59" s="16"/>
      <c r="V59" s="16"/>
      <c r="W59" s="16"/>
      <c r="X59" s="22"/>
      <c r="Y59" s="16"/>
      <c r="Z59" s="19"/>
      <c r="AA59" s="21"/>
      <c r="AB59" s="21"/>
      <c r="AC59" s="16"/>
      <c r="AD59" s="16"/>
      <c r="AE59" s="16"/>
      <c r="AF59" s="22"/>
      <c r="AG59" s="16"/>
      <c r="AH59" s="19"/>
      <c r="AI59" s="21"/>
      <c r="AJ59" s="21"/>
      <c r="AK59" s="16"/>
      <c r="AL59" s="16"/>
      <c r="AM59" s="16"/>
      <c r="AN59" s="22"/>
      <c r="AO59" s="16"/>
      <c r="AP59" s="19"/>
      <c r="AQ59" s="21"/>
      <c r="AR59" s="21"/>
      <c r="AS59" s="16"/>
      <c r="AT59" s="16"/>
      <c r="AU59" s="16"/>
      <c r="AV59" s="22"/>
      <c r="AW59" s="16"/>
      <c r="AX59" s="19"/>
      <c r="AY59" s="21"/>
      <c r="AZ59" s="21"/>
      <c r="BA59" s="16"/>
      <c r="BB59" s="16"/>
      <c r="BC59" s="16"/>
      <c r="BD59" s="22"/>
      <c r="BE59" s="16"/>
      <c r="BF59" s="19"/>
      <c r="BG59" s="21"/>
      <c r="BH59" s="21"/>
      <c r="BI59" s="16"/>
      <c r="BJ59" s="16"/>
      <c r="BK59" s="16"/>
      <c r="BL59" s="22"/>
      <c r="BM59" s="16"/>
      <c r="BN59" s="19"/>
      <c r="BO59" s="21"/>
      <c r="BP59" s="21"/>
      <c r="BQ59" s="16"/>
      <c r="BR59" s="16"/>
      <c r="BS59" s="16"/>
      <c r="BT59" s="22"/>
      <c r="BU59" s="16"/>
      <c r="BV59" s="19"/>
      <c r="BW59" s="21"/>
      <c r="BX59" s="21"/>
      <c r="BY59" s="16"/>
      <c r="BZ59" s="16"/>
      <c r="CA59" s="16"/>
      <c r="CB59" s="22"/>
      <c r="CC59" s="16"/>
      <c r="CD59" s="19"/>
      <c r="CE59" s="21"/>
      <c r="CF59" s="21"/>
      <c r="CG59" s="16"/>
      <c r="CH59" s="16"/>
      <c r="CI59" s="16"/>
      <c r="CJ59" s="22"/>
      <c r="CK59" s="16"/>
      <c r="CL59" s="19"/>
      <c r="CM59" s="21"/>
      <c r="CN59" s="21"/>
      <c r="CO59" s="16"/>
      <c r="CP59" s="21"/>
    </row>
    <row r="60" spans="1:151" s="78" customFormat="1" ht="15" customHeight="1" x14ac:dyDescent="0.2">
      <c r="A60" s="104"/>
      <c r="B60" s="104"/>
      <c r="C60" s="1250"/>
      <c r="D60" s="20"/>
      <c r="E60" s="1223"/>
      <c r="F60" s="661"/>
      <c r="G60" s="661"/>
      <c r="H60" s="661"/>
      <c r="I60" s="661"/>
      <c r="J60" s="643"/>
      <c r="K60" s="643"/>
      <c r="L60" s="1224"/>
      <c r="M60" s="1224"/>
      <c r="N60" s="1224"/>
      <c r="O60" s="658"/>
      <c r="P60" s="1225"/>
      <c r="R60" s="4074"/>
      <c r="S60" s="4074"/>
      <c r="T60" s="4074"/>
      <c r="V60" s="3874"/>
      <c r="W60" s="3874"/>
      <c r="X60" s="3874"/>
      <c r="Y60" s="3874"/>
      <c r="Z60" s="3874"/>
      <c r="AA60" s="3874"/>
      <c r="AB60" s="3874"/>
      <c r="AD60" s="3874"/>
      <c r="AE60" s="3874"/>
      <c r="AF60" s="3874"/>
      <c r="AG60" s="3874"/>
      <c r="AH60" s="3874"/>
      <c r="AI60" s="3874"/>
      <c r="AJ60" s="3874"/>
      <c r="AL60" s="3874"/>
      <c r="AM60" s="3874"/>
      <c r="AN60" s="3874"/>
      <c r="AO60" s="3874"/>
      <c r="AP60" s="3874"/>
      <c r="AQ60" s="3874"/>
      <c r="AR60" s="3874"/>
      <c r="AT60" s="3874"/>
      <c r="AU60" s="3874"/>
      <c r="AV60" s="3874"/>
      <c r="AW60" s="3874"/>
      <c r="AX60" s="3874"/>
      <c r="AY60" s="3874"/>
      <c r="AZ60" s="3874"/>
      <c r="BB60" s="3874"/>
      <c r="BC60" s="3874"/>
      <c r="BD60" s="3874"/>
      <c r="BE60" s="3874"/>
      <c r="BF60" s="3874"/>
      <c r="BG60" s="3874"/>
      <c r="BH60" s="3874"/>
      <c r="BJ60" s="3874"/>
      <c r="BK60" s="3874"/>
      <c r="BL60" s="3874"/>
      <c r="BM60" s="3874"/>
      <c r="BN60" s="3874"/>
      <c r="BO60" s="3874"/>
      <c r="BP60" s="3874"/>
      <c r="BR60" s="3874"/>
      <c r="BS60" s="3874"/>
      <c r="BT60" s="3874"/>
      <c r="BU60" s="3874"/>
      <c r="BV60" s="3874"/>
      <c r="BW60" s="3874"/>
      <c r="BX60" s="3874"/>
      <c r="BZ60" s="3874"/>
      <c r="CA60" s="3874"/>
      <c r="CB60" s="3874"/>
      <c r="CC60" s="3874"/>
      <c r="CD60" s="3874"/>
      <c r="CE60" s="3874"/>
      <c r="CF60" s="3874"/>
      <c r="CH60" s="3874"/>
      <c r="CI60" s="3874"/>
      <c r="CJ60" s="3874"/>
      <c r="CK60" s="3874"/>
      <c r="CL60" s="3874"/>
      <c r="CM60" s="3874"/>
      <c r="CN60" s="3874"/>
      <c r="CP60" s="3874"/>
    </row>
    <row r="61" spans="1:151" s="78" customFormat="1" ht="15" customHeight="1" x14ac:dyDescent="0.2">
      <c r="A61" s="104"/>
      <c r="B61" s="104"/>
      <c r="C61" s="1250"/>
      <c r="D61" s="20"/>
      <c r="E61" s="1231"/>
      <c r="F61" s="7199" t="str">
        <f>_Calcs!$M$73</f>
        <v>Radielle bolter (opphengbolter)</v>
      </c>
      <c r="G61" s="7199"/>
      <c r="H61" s="7199"/>
      <c r="I61" s="7199"/>
      <c r="J61" s="7199"/>
      <c r="K61" s="7199"/>
      <c r="L61" s="7199"/>
      <c r="M61" s="7199"/>
      <c r="N61" s="7199"/>
      <c r="O61" s="7199"/>
      <c r="P61" s="1228"/>
      <c r="R61" s="4074"/>
      <c r="S61" s="4074"/>
      <c r="T61" s="4074"/>
      <c r="U61" s="16"/>
      <c r="V61" s="1264"/>
      <c r="W61" s="1264"/>
      <c r="X61" s="4133"/>
      <c r="Y61" s="1264"/>
      <c r="Z61" s="4134"/>
      <c r="AA61" s="3893"/>
      <c r="AB61" s="3893"/>
      <c r="AC61" s="16"/>
      <c r="AD61" s="1264"/>
      <c r="AE61" s="1264"/>
      <c r="AF61" s="4133"/>
      <c r="AG61" s="1264"/>
      <c r="AH61" s="4134"/>
      <c r="AI61" s="3893"/>
      <c r="AJ61" s="3893"/>
      <c r="AK61" s="16"/>
      <c r="AL61" s="1264"/>
      <c r="AM61" s="1264"/>
      <c r="AN61" s="4133"/>
      <c r="AO61" s="1264"/>
      <c r="AP61" s="4134"/>
      <c r="AQ61" s="3893"/>
      <c r="AR61" s="3893"/>
      <c r="AS61" s="16"/>
      <c r="AT61" s="1264"/>
      <c r="AU61" s="1264"/>
      <c r="AV61" s="4133"/>
      <c r="AW61" s="1264"/>
      <c r="AX61" s="4134"/>
      <c r="AY61" s="3893"/>
      <c r="AZ61" s="3893"/>
      <c r="BA61" s="16"/>
      <c r="BB61" s="1264"/>
      <c r="BC61" s="1264"/>
      <c r="BD61" s="4133"/>
      <c r="BE61" s="1264"/>
      <c r="BF61" s="4134"/>
      <c r="BG61" s="3893"/>
      <c r="BH61" s="3893"/>
      <c r="BI61" s="16"/>
      <c r="BJ61" s="1264"/>
      <c r="BK61" s="1264"/>
      <c r="BL61" s="4133"/>
      <c r="BM61" s="1264"/>
      <c r="BN61" s="4134"/>
      <c r="BO61" s="3893"/>
      <c r="BP61" s="3893"/>
      <c r="BQ61" s="16"/>
      <c r="BR61" s="1264"/>
      <c r="BS61" s="1264"/>
      <c r="BT61" s="4133"/>
      <c r="BU61" s="1264"/>
      <c r="BV61" s="4134"/>
      <c r="BW61" s="3893"/>
      <c r="BX61" s="3893"/>
      <c r="BY61" s="16"/>
      <c r="BZ61" s="1264"/>
      <c r="CA61" s="1264"/>
      <c r="CB61" s="4133"/>
      <c r="CC61" s="1264"/>
      <c r="CD61" s="4134"/>
      <c r="CE61" s="3893"/>
      <c r="CF61" s="3893"/>
      <c r="CG61" s="16"/>
      <c r="CH61" s="1264"/>
      <c r="CI61" s="1264"/>
      <c r="CJ61" s="4133"/>
      <c r="CK61" s="1264"/>
      <c r="CL61" s="4134"/>
      <c r="CM61" s="3893"/>
      <c r="CN61" s="3893"/>
      <c r="CO61" s="16"/>
      <c r="CP61" s="3893"/>
    </row>
    <row r="62" spans="1:151" s="78" customFormat="1" ht="8.1" customHeight="1" thickBot="1" x14ac:dyDescent="0.25">
      <c r="A62" s="104"/>
      <c r="B62" s="104"/>
      <c r="C62" s="1250"/>
      <c r="D62" s="20"/>
      <c r="E62" s="1231"/>
      <c r="F62" s="7199"/>
      <c r="G62" s="7199"/>
      <c r="H62" s="7199"/>
      <c r="I62" s="7199"/>
      <c r="J62" s="7199"/>
      <c r="K62" s="7199"/>
      <c r="L62" s="7199"/>
      <c r="M62" s="7199"/>
      <c r="N62" s="7199"/>
      <c r="O62" s="7199"/>
      <c r="P62" s="1228"/>
      <c r="R62" s="51"/>
      <c r="S62" s="51"/>
      <c r="T62" s="51"/>
      <c r="U62" s="16"/>
      <c r="V62" s="16"/>
      <c r="W62" s="16"/>
      <c r="X62" s="36"/>
      <c r="Y62" s="16"/>
      <c r="Z62" s="138"/>
      <c r="AA62" s="3873"/>
      <c r="AB62" s="3873"/>
      <c r="AC62" s="16"/>
      <c r="AD62" s="16"/>
      <c r="AE62" s="16"/>
      <c r="AF62" s="36"/>
      <c r="AG62" s="16"/>
      <c r="AH62" s="138"/>
      <c r="AI62" s="3873"/>
      <c r="AJ62" s="3873"/>
      <c r="AK62" s="16"/>
      <c r="AL62" s="16"/>
      <c r="AM62" s="16"/>
      <c r="AN62" s="36"/>
      <c r="AO62" s="16"/>
      <c r="AP62" s="138"/>
      <c r="AQ62" s="3873"/>
      <c r="AR62" s="3873"/>
      <c r="AS62" s="16"/>
      <c r="AT62" s="16"/>
      <c r="AU62" s="16"/>
      <c r="AV62" s="36"/>
      <c r="AW62" s="16"/>
      <c r="AX62" s="138"/>
      <c r="AY62" s="3873"/>
      <c r="AZ62" s="3873"/>
      <c r="BA62" s="16"/>
      <c r="BB62" s="16"/>
      <c r="BC62" s="16"/>
      <c r="BD62" s="36"/>
      <c r="BE62" s="16"/>
      <c r="BF62" s="138"/>
      <c r="BG62" s="3873"/>
      <c r="BH62" s="3873"/>
      <c r="BI62" s="16"/>
      <c r="BJ62" s="16"/>
      <c r="BK62" s="16"/>
      <c r="BL62" s="36"/>
      <c r="BM62" s="16"/>
      <c r="BN62" s="138"/>
      <c r="BO62" s="3873"/>
      <c r="BP62" s="3873"/>
      <c r="BQ62" s="16"/>
      <c r="BR62" s="16"/>
      <c r="BS62" s="16"/>
      <c r="BT62" s="36"/>
      <c r="BU62" s="16"/>
      <c r="BV62" s="138"/>
      <c r="BW62" s="3873"/>
      <c r="BX62" s="3873"/>
      <c r="BY62" s="16"/>
      <c r="BZ62" s="16"/>
      <c r="CA62" s="16"/>
      <c r="CB62" s="36"/>
      <c r="CC62" s="16"/>
      <c r="CD62" s="138"/>
      <c r="CE62" s="3873"/>
      <c r="CF62" s="3873"/>
      <c r="CG62" s="16"/>
      <c r="CH62" s="16"/>
      <c r="CI62" s="16"/>
      <c r="CJ62" s="36"/>
      <c r="CK62" s="16"/>
      <c r="CL62" s="138"/>
      <c r="CM62" s="3873"/>
      <c r="CN62" s="3873"/>
      <c r="CO62" s="16"/>
      <c r="CP62" s="3873"/>
    </row>
    <row r="63" spans="1:151" s="78" customFormat="1" ht="15" customHeight="1" thickBot="1" x14ac:dyDescent="0.25">
      <c r="A63" s="104"/>
      <c r="B63" s="104"/>
      <c r="C63" s="1250"/>
      <c r="D63" s="20"/>
      <c r="E63" s="1231"/>
      <c r="F63" s="650"/>
      <c r="G63" s="650"/>
      <c r="H63" s="650"/>
      <c r="I63" s="650"/>
      <c r="J63" s="75"/>
      <c r="K63" s="75"/>
      <c r="L63" s="1232"/>
      <c r="M63" s="1232"/>
      <c r="N63" s="1232"/>
      <c r="O63" s="76"/>
      <c r="P63" s="1228"/>
      <c r="R63" s="1153"/>
      <c r="S63" s="1154"/>
      <c r="T63" s="1155"/>
      <c r="U63" s="16"/>
      <c r="V63" s="1237"/>
      <c r="W63" s="643"/>
      <c r="X63" s="642"/>
      <c r="Y63" s="643"/>
      <c r="Z63" s="1224"/>
      <c r="AA63" s="1238"/>
      <c r="AB63" s="1239"/>
      <c r="AC63" s="16"/>
      <c r="AD63" s="1237"/>
      <c r="AE63" s="643"/>
      <c r="AF63" s="642"/>
      <c r="AG63" s="643"/>
      <c r="AH63" s="1224"/>
      <c r="AI63" s="1238"/>
      <c r="AJ63" s="1239"/>
      <c r="AK63" s="16"/>
      <c r="AL63" s="1237"/>
      <c r="AM63" s="643"/>
      <c r="AN63" s="642"/>
      <c r="AO63" s="643"/>
      <c r="AP63" s="1224"/>
      <c r="AQ63" s="1238"/>
      <c r="AR63" s="1239"/>
      <c r="AS63" s="16"/>
      <c r="AT63" s="1237"/>
      <c r="AU63" s="643"/>
      <c r="AV63" s="642"/>
      <c r="AW63" s="643"/>
      <c r="AX63" s="1224"/>
      <c r="AY63" s="1238"/>
      <c r="AZ63" s="1239"/>
      <c r="BA63" s="16"/>
      <c r="BB63" s="1237"/>
      <c r="BC63" s="643"/>
      <c r="BD63" s="642"/>
      <c r="BE63" s="643"/>
      <c r="BF63" s="1224"/>
      <c r="BG63" s="1238"/>
      <c r="BH63" s="1239"/>
      <c r="BI63" s="16"/>
      <c r="BJ63" s="1237"/>
      <c r="BK63" s="643"/>
      <c r="BL63" s="642"/>
      <c r="BM63" s="643"/>
      <c r="BN63" s="1224"/>
      <c r="BO63" s="1238"/>
      <c r="BP63" s="1239"/>
      <c r="BQ63" s="16"/>
      <c r="BR63" s="1237"/>
      <c r="BS63" s="643"/>
      <c r="BT63" s="642"/>
      <c r="BU63" s="643"/>
      <c r="BV63" s="1224"/>
      <c r="BW63" s="1238"/>
      <c r="BX63" s="1239"/>
      <c r="BY63" s="16"/>
      <c r="BZ63" s="1237"/>
      <c r="CA63" s="643"/>
      <c r="CB63" s="642"/>
      <c r="CC63" s="643"/>
      <c r="CD63" s="1224"/>
      <c r="CE63" s="1238"/>
      <c r="CF63" s="1239"/>
      <c r="CG63" s="16"/>
      <c r="CH63" s="1237"/>
      <c r="CI63" s="643"/>
      <c r="CJ63" s="642"/>
      <c r="CK63" s="643"/>
      <c r="CL63" s="1224"/>
      <c r="CM63" s="1238"/>
      <c r="CN63" s="1239"/>
      <c r="CO63" s="16"/>
      <c r="CP63" s="173"/>
    </row>
    <row r="64" spans="1:151" s="1913" customFormat="1" ht="20.100000000000001" customHeight="1" thickBot="1" x14ac:dyDescent="0.25">
      <c r="A64" s="1905"/>
      <c r="B64" s="1905"/>
      <c r="C64" s="1906"/>
      <c r="D64" s="1907"/>
      <c r="E64" s="1908"/>
      <c r="F64" s="1909" t="s">
        <v>102</v>
      </c>
      <c r="G64" s="1909"/>
      <c r="H64" s="1909"/>
      <c r="I64" s="1909"/>
      <c r="J64" s="2297" t="s">
        <v>149</v>
      </c>
      <c r="K64" s="2297"/>
      <c r="L64" s="1910"/>
      <c r="M64" s="1910"/>
      <c r="N64" s="1910"/>
      <c r="O64" s="1911" t="s">
        <v>97</v>
      </c>
      <c r="P64" s="1912"/>
      <c r="R64" s="1914"/>
      <c r="S64" s="2302">
        <f>IFERROR(INDEX(outputs_klasse_qty[opphengbolter_lt4_sum],MATCH(_Calcs_Klasse!$CC$54,outputs_klasse_qty[Navn],0)),"")</f>
        <v>0</v>
      </c>
      <c r="T64" s="1916"/>
      <c r="U64" s="1917"/>
      <c r="V64" s="1918"/>
      <c r="W64" s="1919"/>
      <c r="X64" s="2313">
        <f>IFERROR(INDEX(outputs_klasse_qty[opphengbolter_lt4_sum],MATCH(_Calcs_Klasse!$AV$146,outputs_klasse_qty[klasse_stuff_id],0)),"")</f>
        <v>0</v>
      </c>
      <c r="Y64" s="1919"/>
      <c r="Z64" s="3878" t="str">
        <f>IF(_Calcs_Klasse!$AI$27=2,"✓",IF(AND(_Calcs_Klasse!$AI$27=1,_Calcs!$NO$346=0),"✓","!"))</f>
        <v>✓</v>
      </c>
      <c r="AA64" s="1920"/>
      <c r="AB64" s="1921"/>
      <c r="AC64" s="1917"/>
      <c r="AD64" s="1918"/>
      <c r="AE64" s="1919"/>
      <c r="AF64" s="2313" t="str">
        <f>IFERROR(INDEX(outputs_klasse_qty[opphengbolter_lt4_sum],MATCH(_Calcs_Klasse!$AW$146,outputs_klasse_qty[klasse_stuff_id],0)),"")</f>
        <v/>
      </c>
      <c r="AG64" s="1919"/>
      <c r="AH64" s="3878" t="str">
        <f>IF(_Calcs_Klasse!$AI$27=2,"✓",IF(AND(_Calcs_Klasse!$AI$27=1,_Calcs!$NP$346=0),"✓","!"))</f>
        <v>✓</v>
      </c>
      <c r="AI64" s="1920"/>
      <c r="AJ64" s="1921"/>
      <c r="AK64" s="1917"/>
      <c r="AL64" s="1918"/>
      <c r="AM64" s="1919"/>
      <c r="AN64" s="2313" t="str">
        <f>IFERROR(INDEX(outputs_klasse_qty[opphengbolter_lt4_sum],MATCH(_Calcs_Klasse!$AX$146,outputs_klasse_qty[klasse_stuff_id],0)),"")</f>
        <v/>
      </c>
      <c r="AO64" s="1919"/>
      <c r="AP64" s="3878" t="str">
        <f>IF(_Calcs_Klasse!$AI$27=2,"✓",IF(AND(_Calcs_Klasse!$AI$27=1,_Calcs!$NQ$346=0),"✓","!"))</f>
        <v>✓</v>
      </c>
      <c r="AQ64" s="1920"/>
      <c r="AR64" s="1921"/>
      <c r="AS64" s="1917"/>
      <c r="AT64" s="1918"/>
      <c r="AU64" s="1919"/>
      <c r="AV64" s="2313" t="str">
        <f>IFERROR(INDEX(outputs_klasse_qty[opphengbolter_lt4_sum],MATCH(_Calcs_Klasse!$AY$146,outputs_klasse_qty[klasse_stuff_id],0)),"")</f>
        <v/>
      </c>
      <c r="AW64" s="1919"/>
      <c r="AX64" s="3878" t="str">
        <f>IF(_Calcs_Klasse!$AI$27=2,"✓",IF(AND(_Calcs_Klasse!$AI$27=1,_Calcs!$NR$346=0),"✓","!"))</f>
        <v>✓</v>
      </c>
      <c r="AY64" s="1920"/>
      <c r="AZ64" s="1921"/>
      <c r="BA64" s="1917"/>
      <c r="BB64" s="1918"/>
      <c r="BC64" s="1919"/>
      <c r="BD64" s="2313" t="str">
        <f>IFERROR(INDEX(outputs_klasse_qty[opphengbolter_lt4_sum],MATCH(_Calcs_Klasse!$AZ$146,outputs_klasse_qty[klasse_stuff_id],0)),"")</f>
        <v/>
      </c>
      <c r="BE64" s="1919"/>
      <c r="BF64" s="3878" t="str">
        <f>IF(_Calcs_Klasse!$AI$27=2,"✓",IF(AND(_Calcs_Klasse!$AI$27=1,_Calcs!$NS$346=0),"✓","!"))</f>
        <v>✓</v>
      </c>
      <c r="BG64" s="1920"/>
      <c r="BH64" s="1921"/>
      <c r="BI64" s="1917"/>
      <c r="BJ64" s="1918"/>
      <c r="BK64" s="1919"/>
      <c r="BL64" s="2313" t="str">
        <f>IFERROR(INDEX(outputs_klasse_qty[opphengbolter_lt4_sum],MATCH(_Calcs_Klasse!$BA$146,outputs_klasse_qty[klasse_stuff_id],0)),"")</f>
        <v/>
      </c>
      <c r="BM64" s="1919"/>
      <c r="BN64" s="3878" t="str">
        <f>IF(_Calcs_Klasse!$AI$27=2,"✓",IF(AND(_Calcs_Klasse!$AI$27=1,_Calcs!$NT$346=0),"✓","!"))</f>
        <v>✓</v>
      </c>
      <c r="BO64" s="1920"/>
      <c r="BP64" s="1921"/>
      <c r="BQ64" s="1917"/>
      <c r="BR64" s="1918"/>
      <c r="BS64" s="1919"/>
      <c r="BT64" s="2313" t="str">
        <f>IFERROR(INDEX(outputs_klasse_qty[opphengbolter_lt4_sum],MATCH(_Calcs_Klasse!$BB$146,outputs_klasse_qty[klasse_stuff_id],0)),"")</f>
        <v/>
      </c>
      <c r="BU64" s="1919"/>
      <c r="BV64" s="3878" t="str">
        <f>IF(_Calcs_Klasse!$AI$27=2,"✓",IF(AND(_Calcs_Klasse!$AI$27=1,_Calcs!$NU$346=0),"✓","!"))</f>
        <v>✓</v>
      </c>
      <c r="BW64" s="1920"/>
      <c r="BX64" s="1921"/>
      <c r="BY64" s="1917"/>
      <c r="BZ64" s="1918"/>
      <c r="CA64" s="1919"/>
      <c r="CB64" s="2313" t="str">
        <f>IFERROR(INDEX(outputs_klasse_qty[opphengbolter_lt4_sum],MATCH(_Calcs_Klasse!$BC$146,outputs_klasse_qty[klasse_stuff_id],0)),"")</f>
        <v/>
      </c>
      <c r="CC64" s="1919"/>
      <c r="CD64" s="3878" t="str">
        <f>IF(_Calcs_Klasse!$AI$27=2,"✓",IF(AND(_Calcs_Klasse!$AI$27=1,_Calcs!$NV$346=0),"✓","!"))</f>
        <v>✓</v>
      </c>
      <c r="CE64" s="1920"/>
      <c r="CF64" s="1921"/>
      <c r="CG64" s="1917"/>
      <c r="CH64" s="1918"/>
      <c r="CI64" s="1919"/>
      <c r="CJ64" s="2313" t="str">
        <f>IFERROR(INDEX(outputs_klasse_qty[opphengbolter_lt4_sum],MATCH(_Calcs_Klasse!$BD$146,outputs_klasse_qty[klasse_stuff_id],0)),"")</f>
        <v/>
      </c>
      <c r="CK64" s="1919"/>
      <c r="CL64" s="3878" t="str">
        <f>IF(_Calcs_Klasse!$AI$27=2,"✓",IF(AND(_Calcs_Klasse!$AI$27=1,_Calcs!$NW$346=0),"✓","!"))</f>
        <v>✓</v>
      </c>
      <c r="CM64" s="1920"/>
      <c r="CN64" s="1921"/>
      <c r="CO64" s="1917"/>
      <c r="CP64" s="1922"/>
      <c r="CQ64" s="1923"/>
      <c r="CR64" s="1923"/>
      <c r="CS64" s="1923"/>
      <c r="CT64" s="1923"/>
      <c r="CU64" s="1923"/>
      <c r="CV64" s="1923"/>
      <c r="CW64" s="1923"/>
      <c r="CX64" s="1923"/>
      <c r="CY64" s="1923"/>
      <c r="CZ64" s="1923"/>
      <c r="DA64" s="1923"/>
      <c r="DB64" s="1923"/>
      <c r="DC64" s="1923"/>
      <c r="DD64" s="1923"/>
      <c r="DE64" s="1923"/>
      <c r="DF64" s="1923"/>
      <c r="DG64" s="1923"/>
      <c r="DH64" s="1923"/>
      <c r="DI64" s="1923"/>
      <c r="DJ64" s="1923"/>
      <c r="DK64" s="1923"/>
      <c r="DL64" s="1923"/>
      <c r="DM64" s="1923"/>
      <c r="DN64" s="1923"/>
      <c r="DO64" s="1923"/>
      <c r="DP64" s="1923"/>
      <c r="DQ64" s="1923"/>
      <c r="DR64" s="1923"/>
      <c r="DS64" s="1923"/>
      <c r="DT64" s="1923"/>
      <c r="DU64" s="1923"/>
      <c r="DV64" s="1923"/>
      <c r="DW64" s="1923"/>
      <c r="DX64" s="1923"/>
      <c r="DY64" s="1923"/>
      <c r="DZ64" s="1923"/>
      <c r="EA64" s="1923"/>
      <c r="EB64" s="1923"/>
      <c r="EC64" s="1923"/>
      <c r="ED64" s="1923"/>
      <c r="EE64" s="1923"/>
      <c r="EF64" s="1923"/>
      <c r="EG64" s="1923"/>
      <c r="EH64" s="1923"/>
      <c r="EI64" s="1923"/>
      <c r="EJ64" s="1923"/>
      <c r="EK64" s="1923"/>
      <c r="EL64" s="1923"/>
      <c r="EM64" s="1923"/>
      <c r="EN64" s="1923"/>
      <c r="EO64" s="1923"/>
      <c r="EP64" s="1923"/>
      <c r="EQ64" s="1923"/>
      <c r="ER64" s="1923"/>
      <c r="ES64" s="1923"/>
      <c r="ET64" s="1923"/>
      <c r="EU64" s="1923"/>
    </row>
    <row r="65" spans="1:151" s="78" customFormat="1" ht="15" customHeight="1" thickBot="1" x14ac:dyDescent="0.25">
      <c r="A65" s="104"/>
      <c r="B65" s="104"/>
      <c r="C65" s="1251"/>
      <c r="D65" s="20"/>
      <c r="E65" s="1231"/>
      <c r="F65" s="650"/>
      <c r="G65" s="650"/>
      <c r="H65" s="650"/>
      <c r="I65" s="650"/>
      <c r="J65" s="75"/>
      <c r="K65" s="75"/>
      <c r="L65" s="1232"/>
      <c r="M65" s="1232"/>
      <c r="N65" s="1232"/>
      <c r="O65" s="76"/>
      <c r="P65" s="1228"/>
      <c r="R65" s="1156"/>
      <c r="S65" s="1924"/>
      <c r="T65" s="1916"/>
      <c r="U65" s="1917"/>
      <c r="V65" s="1918"/>
      <c r="W65" s="1919"/>
      <c r="X65" s="1919"/>
      <c r="Y65" s="1919"/>
      <c r="Z65" s="1925"/>
      <c r="AA65" s="1920"/>
      <c r="AB65" s="1921"/>
      <c r="AC65" s="1917"/>
      <c r="AD65" s="1918"/>
      <c r="AE65" s="1919"/>
      <c r="AF65" s="1919"/>
      <c r="AG65" s="1919"/>
      <c r="AH65" s="1925"/>
      <c r="AI65" s="1920"/>
      <c r="AJ65" s="1921"/>
      <c r="AK65" s="1917"/>
      <c r="AL65" s="1918"/>
      <c r="AM65" s="1919"/>
      <c r="AN65" s="1919"/>
      <c r="AO65" s="1919"/>
      <c r="AP65" s="1925"/>
      <c r="AQ65" s="1920"/>
      <c r="AR65" s="1921"/>
      <c r="AS65" s="1917"/>
      <c r="AT65" s="1918"/>
      <c r="AU65" s="1919"/>
      <c r="AV65" s="1919"/>
      <c r="AW65" s="1919"/>
      <c r="AX65" s="1925"/>
      <c r="AY65" s="1920"/>
      <c r="AZ65" s="1921"/>
      <c r="BA65" s="1917"/>
      <c r="BB65" s="1918"/>
      <c r="BC65" s="1919"/>
      <c r="BD65" s="1919"/>
      <c r="BE65" s="1919"/>
      <c r="BF65" s="1925"/>
      <c r="BG65" s="1920"/>
      <c r="BH65" s="1921"/>
      <c r="BI65" s="1917"/>
      <c r="BJ65" s="1918"/>
      <c r="BK65" s="1919"/>
      <c r="BL65" s="1919"/>
      <c r="BM65" s="1919"/>
      <c r="BN65" s="1925"/>
      <c r="BO65" s="1920"/>
      <c r="BP65" s="1921"/>
      <c r="BQ65" s="1917"/>
      <c r="BR65" s="1918"/>
      <c r="BS65" s="1919"/>
      <c r="BT65" s="1919"/>
      <c r="BU65" s="1919"/>
      <c r="BV65" s="1925"/>
      <c r="BW65" s="1920"/>
      <c r="BX65" s="1921"/>
      <c r="BY65" s="1917"/>
      <c r="BZ65" s="1918"/>
      <c r="CA65" s="1919"/>
      <c r="CB65" s="1919"/>
      <c r="CC65" s="1919"/>
      <c r="CD65" s="1925"/>
      <c r="CE65" s="1920"/>
      <c r="CF65" s="1921"/>
      <c r="CG65" s="1917"/>
      <c r="CH65" s="1918"/>
      <c r="CI65" s="1919"/>
      <c r="CJ65" s="1919"/>
      <c r="CK65" s="1919"/>
      <c r="CL65" s="1925"/>
      <c r="CM65" s="1920"/>
      <c r="CN65" s="1921"/>
      <c r="CO65" s="1917"/>
      <c r="CP65" s="1922"/>
      <c r="CQ65" s="1923"/>
      <c r="CR65" s="1923"/>
      <c r="CS65" s="1923"/>
      <c r="CT65" s="1923"/>
      <c r="CU65" s="1923"/>
      <c r="CV65" s="1923"/>
      <c r="CW65" s="1923"/>
      <c r="CX65" s="1923"/>
      <c r="CY65" s="1923"/>
      <c r="CZ65" s="1923"/>
      <c r="DA65" s="1923"/>
      <c r="DB65" s="1923"/>
      <c r="DC65" s="1923"/>
      <c r="DD65" s="1923"/>
      <c r="DE65" s="1923"/>
      <c r="DF65" s="1923"/>
      <c r="DG65" s="1923"/>
      <c r="DH65" s="1923"/>
      <c r="DI65" s="1923"/>
      <c r="DJ65" s="1923"/>
      <c r="DK65" s="1923"/>
      <c r="DL65" s="1923"/>
      <c r="DM65" s="1923"/>
      <c r="DN65" s="1923"/>
      <c r="DO65" s="1923"/>
      <c r="DP65" s="1923"/>
      <c r="DQ65" s="1923"/>
      <c r="DR65" s="1923"/>
      <c r="DS65" s="1923"/>
      <c r="DT65" s="1923"/>
      <c r="DU65" s="1923"/>
      <c r="DV65" s="1923"/>
      <c r="DW65" s="1923"/>
      <c r="DX65" s="1923"/>
      <c r="DY65" s="1923"/>
      <c r="DZ65" s="1923"/>
      <c r="EA65" s="1923"/>
      <c r="EB65" s="1923"/>
      <c r="EC65" s="1923"/>
      <c r="ED65" s="1923"/>
      <c r="EE65" s="1923"/>
      <c r="EF65" s="1923"/>
      <c r="EG65" s="1923"/>
      <c r="EH65" s="1923"/>
      <c r="EI65" s="1923"/>
      <c r="EJ65" s="1923"/>
      <c r="EK65" s="1923"/>
      <c r="EL65" s="1923"/>
      <c r="EM65" s="1923"/>
      <c r="EN65" s="1923"/>
      <c r="EO65" s="1923"/>
      <c r="EP65" s="1923"/>
      <c r="EQ65" s="1923"/>
      <c r="ER65" s="1923"/>
      <c r="ES65" s="1923"/>
      <c r="ET65" s="1923"/>
      <c r="EU65" s="1923"/>
    </row>
    <row r="66" spans="1:151" s="1913" customFormat="1" ht="20.100000000000001" customHeight="1" thickBot="1" x14ac:dyDescent="0.25">
      <c r="A66" s="1905"/>
      <c r="B66" s="1905"/>
      <c r="C66" s="1906"/>
      <c r="D66" s="1907"/>
      <c r="E66" s="1908"/>
      <c r="F66" s="1909" t="s">
        <v>833</v>
      </c>
      <c r="G66" s="1909"/>
      <c r="H66" s="1909"/>
      <c r="I66" s="1909"/>
      <c r="J66" s="2297" t="s">
        <v>149</v>
      </c>
      <c r="K66" s="2297"/>
      <c r="L66" s="1910"/>
      <c r="M66" s="1910"/>
      <c r="N66" s="1910"/>
      <c r="O66" s="1911" t="s">
        <v>97</v>
      </c>
      <c r="P66" s="1912"/>
      <c r="Q66" s="1915"/>
      <c r="R66" s="1914"/>
      <c r="S66" s="2302">
        <f>IFERROR(INDEX(outputs_klasse_qty[opphengbolter_gt4_sum],MATCH(_Calcs_Klasse!$CC$54,outputs_klasse_qty[Navn],0)),"")</f>
        <v>0</v>
      </c>
      <c r="T66" s="1916"/>
      <c r="U66" s="1917"/>
      <c r="V66" s="1918"/>
      <c r="W66" s="1919"/>
      <c r="X66" s="2313">
        <f>IFERROR(INDEX(outputs_klasse_qty[opphengbolter_gt4_sum],MATCH(_Calcs_Klasse!$AV$146,outputs_klasse_qty[klasse_stuff_id],0)),"")</f>
        <v>0</v>
      </c>
      <c r="Y66" s="1919"/>
      <c r="Z66" s="3878" t="str">
        <f>IF(_Calcs_Klasse!$AI$27=2,"✓",IF(AND(_Calcs_Klasse!$AI$27=1,_Calcs!$NO$346=0),"✓","!"))</f>
        <v>✓</v>
      </c>
      <c r="AA66" s="1920"/>
      <c r="AB66" s="1921"/>
      <c r="AC66" s="1917"/>
      <c r="AD66" s="1918"/>
      <c r="AE66" s="1919"/>
      <c r="AF66" s="2313" t="str">
        <f>IFERROR(INDEX(outputs_klasse_qty[opphengbolter_gt4_sum],MATCH(_Calcs_Klasse!$AW$146,outputs_klasse_qty[klasse_stuff_id],0)),"")</f>
        <v/>
      </c>
      <c r="AG66" s="1919"/>
      <c r="AH66" s="3878" t="str">
        <f>IF(_Calcs_Klasse!$AI$27=2,"✓",IF(AND(_Calcs_Klasse!$AI$27=1,_Calcs!$NP$346=0),"✓","!"))</f>
        <v>✓</v>
      </c>
      <c r="AI66" s="1920"/>
      <c r="AJ66" s="1921"/>
      <c r="AK66" s="1917"/>
      <c r="AL66" s="1918"/>
      <c r="AM66" s="1919"/>
      <c r="AN66" s="2313" t="str">
        <f>IFERROR(INDEX(outputs_klasse_qty[opphengbolter_gt4_sum],MATCH(_Calcs_Klasse!$AX$146,outputs_klasse_qty[klasse_stuff_id],0)),"")</f>
        <v/>
      </c>
      <c r="AO66" s="1919"/>
      <c r="AP66" s="3878" t="str">
        <f>IF(_Calcs_Klasse!$AI$27=2,"✓",IF(AND(_Calcs_Klasse!$AI$27=1,_Calcs!$NQ$346=0),"✓","!"))</f>
        <v>✓</v>
      </c>
      <c r="AQ66" s="1920"/>
      <c r="AR66" s="1921"/>
      <c r="AS66" s="1917"/>
      <c r="AT66" s="1918"/>
      <c r="AU66" s="1919"/>
      <c r="AV66" s="2313" t="str">
        <f>IFERROR(INDEX(outputs_klasse_qty[opphengbolter_gt4_sum],MATCH(_Calcs_Klasse!$AY$146,outputs_klasse_qty[klasse_stuff_id],0)),"")</f>
        <v/>
      </c>
      <c r="AW66" s="1919"/>
      <c r="AX66" s="3878" t="str">
        <f>IF(_Calcs_Klasse!$AI$27=2,"✓",IF(AND(_Calcs_Klasse!$AI$27=1,_Calcs!$NR$346=0),"✓","!"))</f>
        <v>✓</v>
      </c>
      <c r="AY66" s="1920"/>
      <c r="AZ66" s="1921"/>
      <c r="BA66" s="1917"/>
      <c r="BB66" s="1918"/>
      <c r="BC66" s="1919"/>
      <c r="BD66" s="2313" t="str">
        <f>IFERROR(INDEX(outputs_klasse_qty[opphengbolter_gt4_sum],MATCH(_Calcs_Klasse!$AZ$146,outputs_klasse_qty[klasse_stuff_id],0)),"")</f>
        <v/>
      </c>
      <c r="BE66" s="1919"/>
      <c r="BF66" s="3878" t="str">
        <f>IF(_Calcs_Klasse!$AI$27=2,"✓",IF(AND(_Calcs_Klasse!$AI$27=1,_Calcs!$NS$346=0),"✓","!"))</f>
        <v>✓</v>
      </c>
      <c r="BG66" s="1920"/>
      <c r="BH66" s="1921"/>
      <c r="BI66" s="1917"/>
      <c r="BJ66" s="1918"/>
      <c r="BK66" s="1919"/>
      <c r="BL66" s="2313" t="str">
        <f>IFERROR(INDEX(outputs_klasse_qty[opphengbolter_gt4_sum],MATCH(_Calcs_Klasse!$BA$146,outputs_klasse_qty[klasse_stuff_id],0)),"")</f>
        <v/>
      </c>
      <c r="BM66" s="1919"/>
      <c r="BN66" s="3878" t="str">
        <f>IF(_Calcs_Klasse!$AI$27=2,"✓",IF(AND(_Calcs_Klasse!$AI$27=1,_Calcs!$NT$346=0),"✓","!"))</f>
        <v>✓</v>
      </c>
      <c r="BO66" s="1920"/>
      <c r="BP66" s="1921"/>
      <c r="BQ66" s="1917"/>
      <c r="BR66" s="1918"/>
      <c r="BS66" s="1919"/>
      <c r="BT66" s="2313" t="str">
        <f>IFERROR(INDEX(outputs_klasse_qty[opphengbolter_gt4_sum],MATCH(_Calcs_Klasse!$BB$146,outputs_klasse_qty[klasse_stuff_id],0)),"")</f>
        <v/>
      </c>
      <c r="BU66" s="1919"/>
      <c r="BV66" s="3878" t="str">
        <f>IF(_Calcs_Klasse!$AI$27=2,"✓",IF(AND(_Calcs_Klasse!$AI$27=1,_Calcs!$NU$346=0),"✓","!"))</f>
        <v>✓</v>
      </c>
      <c r="BW66" s="1920"/>
      <c r="BX66" s="1921"/>
      <c r="BY66" s="1917"/>
      <c r="BZ66" s="1918"/>
      <c r="CA66" s="1919"/>
      <c r="CB66" s="2313" t="str">
        <f>IFERROR(INDEX(outputs_klasse_qty[opphengbolter_gt4_sum],MATCH(_Calcs_Klasse!$BC$146,outputs_klasse_qty[klasse_stuff_id],0)),"")</f>
        <v/>
      </c>
      <c r="CC66" s="1919"/>
      <c r="CD66" s="3878" t="str">
        <f>IF(_Calcs_Klasse!$AI$27=2,"✓",IF(AND(_Calcs_Klasse!$AI$27=1,_Calcs!$NV$346=0),"✓","!"))</f>
        <v>✓</v>
      </c>
      <c r="CE66" s="1920"/>
      <c r="CF66" s="1921"/>
      <c r="CG66" s="1917"/>
      <c r="CH66" s="1918"/>
      <c r="CI66" s="1919"/>
      <c r="CJ66" s="2313" t="str">
        <f>IFERROR(INDEX(outputs_klasse_qty[opphengbolter_gt4_sum],MATCH(_Calcs_Klasse!$BD$146,outputs_klasse_qty[klasse_stuff_id],0)),"")</f>
        <v/>
      </c>
      <c r="CK66" s="1919"/>
      <c r="CL66" s="3878" t="str">
        <f>IF(_Calcs_Klasse!$AI$27=2,"✓",IF(AND(_Calcs_Klasse!$AI$27=1,_Calcs!$NW$346=0),"✓","!"))</f>
        <v>✓</v>
      </c>
      <c r="CM66" s="1920"/>
      <c r="CN66" s="1921"/>
      <c r="CO66" s="1917"/>
      <c r="CP66" s="1922"/>
      <c r="CQ66" s="1923"/>
      <c r="CR66" s="1923"/>
      <c r="CS66" s="1923"/>
      <c r="CT66" s="1923"/>
      <c r="CU66" s="1923"/>
      <c r="CV66" s="1923"/>
      <c r="CW66" s="1923"/>
      <c r="CX66" s="1923"/>
      <c r="CY66" s="1923"/>
      <c r="CZ66" s="1923"/>
      <c r="DA66" s="1923"/>
      <c r="DB66" s="1923"/>
      <c r="DC66" s="1923"/>
      <c r="DD66" s="1923"/>
      <c r="DE66" s="1923"/>
      <c r="DF66" s="1923"/>
      <c r="DG66" s="1923"/>
      <c r="DH66" s="1923"/>
      <c r="DI66" s="1923"/>
      <c r="DJ66" s="1923"/>
      <c r="DK66" s="1923"/>
      <c r="DL66" s="1923"/>
      <c r="DM66" s="1923"/>
      <c r="DN66" s="1923"/>
      <c r="DO66" s="1923"/>
      <c r="DP66" s="1923"/>
      <c r="DQ66" s="1923"/>
      <c r="DR66" s="1923"/>
      <c r="DS66" s="1923"/>
      <c r="DT66" s="1923"/>
      <c r="DU66" s="1923"/>
      <c r="DV66" s="1923"/>
      <c r="DW66" s="1923"/>
      <c r="DX66" s="1923"/>
      <c r="DY66" s="1923"/>
      <c r="DZ66" s="1923"/>
      <c r="EA66" s="1923"/>
      <c r="EB66" s="1923"/>
      <c r="EC66" s="1923"/>
      <c r="ED66" s="1923"/>
      <c r="EE66" s="1923"/>
      <c r="EF66" s="1923"/>
      <c r="EG66" s="1923"/>
      <c r="EH66" s="1923"/>
      <c r="EI66" s="1923"/>
      <c r="EJ66" s="1923"/>
      <c r="EK66" s="1923"/>
      <c r="EL66" s="1923"/>
      <c r="EM66" s="1923"/>
      <c r="EN66" s="1923"/>
      <c r="EO66" s="1923"/>
      <c r="EP66" s="1923"/>
      <c r="EQ66" s="1923"/>
      <c r="ER66" s="1923"/>
      <c r="ES66" s="1923"/>
      <c r="ET66" s="1923"/>
      <c r="EU66" s="1923"/>
    </row>
    <row r="67" spans="1:151" s="78" customFormat="1" ht="15" customHeight="1" thickBot="1" x14ac:dyDescent="0.25">
      <c r="A67" s="104"/>
      <c r="B67" s="104"/>
      <c r="C67" s="1251"/>
      <c r="D67" s="20"/>
      <c r="E67" s="1229"/>
      <c r="F67" s="659"/>
      <c r="G67" s="659"/>
      <c r="H67" s="659"/>
      <c r="I67" s="659"/>
      <c r="J67" s="659"/>
      <c r="K67" s="659"/>
      <c r="L67" s="659"/>
      <c r="M67" s="659"/>
      <c r="N67" s="659"/>
      <c r="O67" s="659"/>
      <c r="P67" s="1230"/>
      <c r="R67" s="1158"/>
      <c r="S67" s="1159"/>
      <c r="T67" s="1160"/>
      <c r="U67" s="16"/>
      <c r="V67" s="1229"/>
      <c r="W67" s="659"/>
      <c r="X67" s="1242"/>
      <c r="Y67" s="659"/>
      <c r="Z67" s="659"/>
      <c r="AA67" s="1243"/>
      <c r="AB67" s="1244"/>
      <c r="AC67" s="16"/>
      <c r="AD67" s="1229"/>
      <c r="AE67" s="659"/>
      <c r="AF67" s="1242"/>
      <c r="AG67" s="659"/>
      <c r="AH67" s="659"/>
      <c r="AI67" s="1243"/>
      <c r="AJ67" s="1244"/>
      <c r="AK67" s="16"/>
      <c r="AL67" s="1229"/>
      <c r="AM67" s="659"/>
      <c r="AN67" s="1242"/>
      <c r="AO67" s="659"/>
      <c r="AP67" s="659"/>
      <c r="AQ67" s="1243"/>
      <c r="AR67" s="1244"/>
      <c r="AS67" s="16"/>
      <c r="AT67" s="1229"/>
      <c r="AU67" s="659"/>
      <c r="AV67" s="1242"/>
      <c r="AW67" s="659"/>
      <c r="AX67" s="659"/>
      <c r="AY67" s="1243"/>
      <c r="AZ67" s="1244"/>
      <c r="BA67" s="16"/>
      <c r="BB67" s="1229"/>
      <c r="BC67" s="659"/>
      <c r="BD67" s="1242"/>
      <c r="BE67" s="659"/>
      <c r="BF67" s="659"/>
      <c r="BG67" s="1243"/>
      <c r="BH67" s="1244"/>
      <c r="BI67" s="16"/>
      <c r="BJ67" s="1229"/>
      <c r="BK67" s="659"/>
      <c r="BL67" s="1242"/>
      <c r="BM67" s="659"/>
      <c r="BN67" s="659"/>
      <c r="BO67" s="1243"/>
      <c r="BP67" s="1244"/>
      <c r="BQ67" s="16"/>
      <c r="BR67" s="1229"/>
      <c r="BS67" s="659"/>
      <c r="BT67" s="1242"/>
      <c r="BU67" s="659"/>
      <c r="BV67" s="659"/>
      <c r="BW67" s="1243"/>
      <c r="BX67" s="1244"/>
      <c r="BY67" s="16"/>
      <c r="BZ67" s="1229"/>
      <c r="CA67" s="659"/>
      <c r="CB67" s="1242"/>
      <c r="CC67" s="659"/>
      <c r="CD67" s="659"/>
      <c r="CE67" s="1243"/>
      <c r="CF67" s="1244"/>
      <c r="CG67" s="16"/>
      <c r="CH67" s="1229"/>
      <c r="CI67" s="659"/>
      <c r="CJ67" s="1242"/>
      <c r="CK67" s="659"/>
      <c r="CL67" s="659"/>
      <c r="CM67" s="1243"/>
      <c r="CN67" s="1244"/>
      <c r="CO67" s="16"/>
      <c r="CP67" s="173"/>
    </row>
    <row r="68" spans="1:151" s="21" customFormat="1" ht="24.95" customHeight="1" thickBot="1" x14ac:dyDescent="0.25">
      <c r="A68" s="104"/>
      <c r="B68" s="104"/>
      <c r="C68" s="1251"/>
      <c r="D68" s="104"/>
      <c r="E68" s="104"/>
      <c r="F68" s="104"/>
      <c r="G68" s="104"/>
      <c r="H68" s="104"/>
      <c r="I68" s="104"/>
      <c r="J68" s="104"/>
      <c r="K68" s="104"/>
      <c r="L68" s="104"/>
      <c r="M68" s="104"/>
      <c r="N68" s="104"/>
      <c r="O68" s="104"/>
      <c r="P68" s="104"/>
      <c r="R68" s="70"/>
      <c r="S68" s="114"/>
      <c r="T68" s="70"/>
      <c r="U68" s="16"/>
      <c r="V68" s="104"/>
      <c r="W68" s="104"/>
      <c r="X68" s="306"/>
      <c r="Y68" s="104"/>
      <c r="Z68" s="104"/>
      <c r="AA68" s="104"/>
      <c r="AB68" s="104"/>
      <c r="AC68" s="16"/>
      <c r="AD68" s="104"/>
      <c r="AE68" s="104"/>
      <c r="AF68" s="306"/>
      <c r="AG68" s="104"/>
      <c r="AH68" s="104"/>
      <c r="AI68" s="104"/>
      <c r="AJ68" s="104"/>
      <c r="AK68" s="16"/>
      <c r="AL68" s="104"/>
      <c r="AM68" s="104"/>
      <c r="AN68" s="306"/>
      <c r="AO68" s="104"/>
      <c r="AP68" s="104"/>
      <c r="AQ68" s="104"/>
      <c r="AR68" s="104"/>
      <c r="AS68" s="16"/>
      <c r="AT68" s="104"/>
      <c r="AU68" s="104"/>
      <c r="AV68" s="306"/>
      <c r="AW68" s="104"/>
      <c r="AX68" s="104"/>
      <c r="AY68" s="104"/>
      <c r="AZ68" s="104"/>
      <c r="BA68" s="16"/>
      <c r="BB68" s="104"/>
      <c r="BC68" s="104"/>
      <c r="BD68" s="306"/>
      <c r="BE68" s="104"/>
      <c r="BF68" s="104"/>
      <c r="BG68" s="104"/>
      <c r="BH68" s="104"/>
      <c r="BI68" s="16"/>
      <c r="BJ68" s="104"/>
      <c r="BK68" s="104"/>
      <c r="BL68" s="306"/>
      <c r="BM68" s="104"/>
      <c r="BN68" s="104"/>
      <c r="BO68" s="104"/>
      <c r="BP68" s="104"/>
      <c r="BQ68" s="16"/>
      <c r="BR68" s="104"/>
      <c r="BS68" s="104"/>
      <c r="BT68" s="306"/>
      <c r="BU68" s="104"/>
      <c r="BV68" s="104"/>
      <c r="BW68" s="104"/>
      <c r="BX68" s="104"/>
      <c r="BY68" s="16"/>
      <c r="BZ68" s="104"/>
      <c r="CA68" s="104"/>
      <c r="CB68" s="306"/>
      <c r="CC68" s="104"/>
      <c r="CD68" s="104"/>
      <c r="CE68" s="104"/>
      <c r="CF68" s="104"/>
      <c r="CG68" s="16"/>
      <c r="CH68" s="104"/>
      <c r="CI68" s="104"/>
      <c r="CJ68" s="306"/>
      <c r="CK68" s="104"/>
      <c r="CL68" s="104"/>
      <c r="CM68" s="104"/>
      <c r="CN68" s="104"/>
      <c r="CO68" s="16"/>
      <c r="CP68" s="104"/>
    </row>
    <row r="69" spans="1:151" s="78" customFormat="1" ht="15" customHeight="1" thickBot="1" x14ac:dyDescent="0.25">
      <c r="A69" s="104"/>
      <c r="B69" s="104"/>
      <c r="C69" s="1251"/>
      <c r="D69" s="20"/>
      <c r="E69" s="1219"/>
      <c r="F69" s="6597" t="str">
        <f>_Calcs!$K$59</f>
        <v>Bergbånd og nett</v>
      </c>
      <c r="G69" s="6597"/>
      <c r="H69" s="6597"/>
      <c r="I69" s="6597"/>
      <c r="J69" s="6597"/>
      <c r="K69" s="6597"/>
      <c r="L69" s="6597"/>
      <c r="M69" s="6597"/>
      <c r="N69" s="6597"/>
      <c r="O69" s="6597"/>
      <c r="P69" s="1220"/>
      <c r="R69" s="7"/>
      <c r="S69" s="7"/>
      <c r="T69" s="7"/>
      <c r="U69" s="16"/>
      <c r="V69" s="16"/>
      <c r="W69" s="16"/>
      <c r="X69" s="22"/>
      <c r="Y69" s="16"/>
      <c r="Z69" s="19"/>
      <c r="AA69" s="21"/>
      <c r="AB69" s="21"/>
      <c r="AC69" s="16"/>
      <c r="AD69" s="16"/>
      <c r="AE69" s="16"/>
      <c r="AF69" s="22"/>
      <c r="AG69" s="16"/>
      <c r="AH69" s="19"/>
      <c r="AI69" s="21"/>
      <c r="AJ69" s="21"/>
      <c r="AK69" s="16"/>
      <c r="AL69" s="16"/>
      <c r="AM69" s="16"/>
      <c r="AN69" s="22"/>
      <c r="AO69" s="16"/>
      <c r="AP69" s="19"/>
      <c r="AQ69" s="21"/>
      <c r="AR69" s="21"/>
      <c r="AS69" s="16"/>
      <c r="AT69" s="16"/>
      <c r="AU69" s="16"/>
      <c r="AV69" s="22"/>
      <c r="AW69" s="16"/>
      <c r="AX69" s="19"/>
      <c r="AY69" s="21"/>
      <c r="AZ69" s="21"/>
      <c r="BA69" s="16"/>
      <c r="BB69" s="16"/>
      <c r="BC69" s="16"/>
      <c r="BD69" s="22"/>
      <c r="BE69" s="16"/>
      <c r="BF69" s="19"/>
      <c r="BG69" s="21"/>
      <c r="BH69" s="21"/>
      <c r="BI69" s="16"/>
      <c r="BJ69" s="16"/>
      <c r="BK69" s="16"/>
      <c r="BL69" s="22"/>
      <c r="BM69" s="16"/>
      <c r="BN69" s="19"/>
      <c r="BO69" s="21"/>
      <c r="BP69" s="21"/>
      <c r="BQ69" s="16"/>
      <c r="BR69" s="16"/>
      <c r="BS69" s="16"/>
      <c r="BT69" s="22"/>
      <c r="BU69" s="16"/>
      <c r="BV69" s="19"/>
      <c r="BW69" s="21"/>
      <c r="BX69" s="21"/>
      <c r="BY69" s="16"/>
      <c r="BZ69" s="16"/>
      <c r="CA69" s="16"/>
      <c r="CB69" s="22"/>
      <c r="CC69" s="16"/>
      <c r="CD69" s="19"/>
      <c r="CE69" s="21"/>
      <c r="CF69" s="21"/>
      <c r="CG69" s="16"/>
      <c r="CH69" s="16"/>
      <c r="CI69" s="16"/>
      <c r="CJ69" s="22"/>
      <c r="CK69" s="16"/>
      <c r="CL69" s="19"/>
      <c r="CM69" s="21"/>
      <c r="CN69" s="21"/>
      <c r="CO69" s="16"/>
      <c r="CP69" s="21"/>
    </row>
    <row r="70" spans="1:151" s="78" customFormat="1" ht="15" customHeight="1" thickBot="1" x14ac:dyDescent="0.25">
      <c r="A70" s="104"/>
      <c r="B70" s="104"/>
      <c r="C70" s="1251"/>
      <c r="D70" s="20"/>
      <c r="E70" s="1221"/>
      <c r="F70" s="6598"/>
      <c r="G70" s="6598"/>
      <c r="H70" s="6598"/>
      <c r="I70" s="6598"/>
      <c r="J70" s="6598"/>
      <c r="K70" s="6598"/>
      <c r="L70" s="6598"/>
      <c r="M70" s="6598"/>
      <c r="N70" s="6598"/>
      <c r="O70" s="6598"/>
      <c r="P70" s="1222"/>
      <c r="R70" s="1215"/>
      <c r="S70" s="1216"/>
      <c r="T70" s="1217"/>
      <c r="U70" s="16"/>
      <c r="V70" s="692"/>
      <c r="W70" s="693"/>
      <c r="X70" s="1233"/>
      <c r="Y70" s="693"/>
      <c r="Z70" s="1234"/>
      <c r="AA70" s="748"/>
      <c r="AB70" s="1235"/>
      <c r="AC70" s="16"/>
      <c r="AD70" s="692"/>
      <c r="AE70" s="693"/>
      <c r="AF70" s="1233"/>
      <c r="AG70" s="693"/>
      <c r="AH70" s="1234"/>
      <c r="AI70" s="748"/>
      <c r="AJ70" s="1235"/>
      <c r="AK70" s="16"/>
      <c r="AL70" s="692"/>
      <c r="AM70" s="693"/>
      <c r="AN70" s="1233"/>
      <c r="AO70" s="693"/>
      <c r="AP70" s="1234"/>
      <c r="AQ70" s="748"/>
      <c r="AR70" s="1235"/>
      <c r="AS70" s="16"/>
      <c r="AT70" s="692"/>
      <c r="AU70" s="693"/>
      <c r="AV70" s="1233"/>
      <c r="AW70" s="693"/>
      <c r="AX70" s="1234"/>
      <c r="AY70" s="748"/>
      <c r="AZ70" s="1235"/>
      <c r="BA70" s="16"/>
      <c r="BB70" s="692"/>
      <c r="BC70" s="693"/>
      <c r="BD70" s="1233"/>
      <c r="BE70" s="693"/>
      <c r="BF70" s="1234"/>
      <c r="BG70" s="748"/>
      <c r="BH70" s="1235"/>
      <c r="BI70" s="16"/>
      <c r="BJ70" s="692"/>
      <c r="BK70" s="693"/>
      <c r="BL70" s="1233"/>
      <c r="BM70" s="693"/>
      <c r="BN70" s="1234"/>
      <c r="BO70" s="748"/>
      <c r="BP70" s="1235"/>
      <c r="BQ70" s="16"/>
      <c r="BR70" s="692"/>
      <c r="BS70" s="693"/>
      <c r="BT70" s="1233"/>
      <c r="BU70" s="693"/>
      <c r="BV70" s="1234"/>
      <c r="BW70" s="748"/>
      <c r="BX70" s="1235"/>
      <c r="BY70" s="16"/>
      <c r="BZ70" s="692"/>
      <c r="CA70" s="693"/>
      <c r="CB70" s="1233"/>
      <c r="CC70" s="693"/>
      <c r="CD70" s="1234"/>
      <c r="CE70" s="748"/>
      <c r="CF70" s="1235"/>
      <c r="CG70" s="16"/>
      <c r="CH70" s="692"/>
      <c r="CI70" s="693"/>
      <c r="CJ70" s="1233"/>
      <c r="CK70" s="693"/>
      <c r="CL70" s="1234"/>
      <c r="CM70" s="748"/>
      <c r="CN70" s="1235"/>
      <c r="CO70" s="16"/>
      <c r="CP70" s="172"/>
    </row>
    <row r="71" spans="1:151" s="78" customFormat="1" ht="8.1" customHeight="1" thickBot="1" x14ac:dyDescent="0.25">
      <c r="A71" s="104"/>
      <c r="B71" s="104"/>
      <c r="C71" s="1251"/>
      <c r="D71" s="20"/>
      <c r="E71" s="15"/>
      <c r="F71" s="1212"/>
      <c r="G71" s="1212"/>
      <c r="H71" s="1212"/>
      <c r="I71" s="1212"/>
      <c r="J71" s="16"/>
      <c r="K71" s="16"/>
      <c r="L71" s="19"/>
      <c r="M71" s="19"/>
      <c r="N71" s="19"/>
      <c r="O71" s="15"/>
      <c r="P71" s="15"/>
      <c r="R71" s="70"/>
      <c r="S71" s="114"/>
      <c r="T71" s="70"/>
      <c r="U71" s="16"/>
      <c r="V71" s="16"/>
      <c r="W71" s="16"/>
      <c r="X71" s="22"/>
      <c r="Y71" s="16"/>
      <c r="Z71" s="19"/>
      <c r="AA71" s="21"/>
      <c r="AB71" s="21"/>
      <c r="AC71" s="16"/>
      <c r="AD71" s="16"/>
      <c r="AE71" s="16"/>
      <c r="AF71" s="22"/>
      <c r="AG71" s="16"/>
      <c r="AH71" s="19"/>
      <c r="AI71" s="21"/>
      <c r="AJ71" s="21"/>
      <c r="AK71" s="16"/>
      <c r="AL71" s="16"/>
      <c r="AM71" s="16"/>
      <c r="AN71" s="22"/>
      <c r="AO71" s="16"/>
      <c r="AP71" s="19"/>
      <c r="AQ71" s="21"/>
      <c r="AR71" s="21"/>
      <c r="AS71" s="16"/>
      <c r="AT71" s="16"/>
      <c r="AU71" s="16"/>
      <c r="AV71" s="22"/>
      <c r="AW71" s="16"/>
      <c r="AX71" s="19"/>
      <c r="AY71" s="21"/>
      <c r="AZ71" s="21"/>
      <c r="BA71" s="16"/>
      <c r="BB71" s="16"/>
      <c r="BC71" s="16"/>
      <c r="BD71" s="22"/>
      <c r="BE71" s="16"/>
      <c r="BF71" s="19"/>
      <c r="BG71" s="21"/>
      <c r="BH71" s="21"/>
      <c r="BI71" s="16"/>
      <c r="BJ71" s="16"/>
      <c r="BK71" s="16"/>
      <c r="BL71" s="22"/>
      <c r="BM71" s="16"/>
      <c r="BN71" s="19"/>
      <c r="BO71" s="21"/>
      <c r="BP71" s="21"/>
      <c r="BQ71" s="16"/>
      <c r="BR71" s="16"/>
      <c r="BS71" s="16"/>
      <c r="BT71" s="22"/>
      <c r="BU71" s="16"/>
      <c r="BV71" s="19"/>
      <c r="BW71" s="21"/>
      <c r="BX71" s="21"/>
      <c r="BY71" s="16"/>
      <c r="BZ71" s="16"/>
      <c r="CA71" s="16"/>
      <c r="CB71" s="22"/>
      <c r="CC71" s="16"/>
      <c r="CD71" s="19"/>
      <c r="CE71" s="21"/>
      <c r="CF71" s="21"/>
      <c r="CG71" s="16"/>
      <c r="CH71" s="16"/>
      <c r="CI71" s="16"/>
      <c r="CJ71" s="22"/>
      <c r="CK71" s="16"/>
      <c r="CL71" s="19"/>
      <c r="CM71" s="21"/>
      <c r="CN71" s="21"/>
      <c r="CO71" s="16"/>
      <c r="CP71" s="21"/>
    </row>
    <row r="72" spans="1:151" s="78" customFormat="1" ht="15" customHeight="1" x14ac:dyDescent="0.2">
      <c r="A72" s="104"/>
      <c r="B72" s="104"/>
      <c r="C72" s="1250"/>
      <c r="D72" s="20"/>
      <c r="E72" s="1223"/>
      <c r="F72" s="661"/>
      <c r="G72" s="661"/>
      <c r="H72" s="661"/>
      <c r="I72" s="661"/>
      <c r="J72" s="643"/>
      <c r="K72" s="643"/>
      <c r="L72" s="1224"/>
      <c r="M72" s="1224"/>
      <c r="N72" s="1224"/>
      <c r="O72" s="658"/>
      <c r="P72" s="1225"/>
      <c r="R72" s="4074"/>
      <c r="S72" s="4074"/>
      <c r="T72" s="4074"/>
      <c r="V72" s="3874"/>
      <c r="W72" s="3874"/>
      <c r="X72" s="3874"/>
      <c r="Y72" s="3874"/>
      <c r="Z72" s="3874"/>
      <c r="AA72" s="3874"/>
      <c r="AB72" s="3874"/>
      <c r="AD72" s="3874"/>
      <c r="AE72" s="3874"/>
      <c r="AF72" s="3874"/>
      <c r="AG72" s="3874"/>
      <c r="AH72" s="3874"/>
      <c r="AI72" s="3874"/>
      <c r="AJ72" s="3874"/>
      <c r="AL72" s="3874"/>
      <c r="AM72" s="3874"/>
      <c r="AN72" s="3874"/>
      <c r="AO72" s="3874"/>
      <c r="AP72" s="3874"/>
      <c r="AQ72" s="3874"/>
      <c r="AR72" s="3874"/>
      <c r="AT72" s="3874"/>
      <c r="AU72" s="3874"/>
      <c r="AV72" s="3874"/>
      <c r="AW72" s="3874"/>
      <c r="AX72" s="3874"/>
      <c r="AY72" s="3874"/>
      <c r="AZ72" s="3874"/>
      <c r="BB72" s="3874"/>
      <c r="BC72" s="3874"/>
      <c r="BD72" s="3874"/>
      <c r="BE72" s="3874"/>
      <c r="BF72" s="3874"/>
      <c r="BG72" s="3874"/>
      <c r="BH72" s="3874"/>
      <c r="BJ72" s="3874"/>
      <c r="BK72" s="3874"/>
      <c r="BL72" s="3874"/>
      <c r="BM72" s="3874"/>
      <c r="BN72" s="3874"/>
      <c r="BO72" s="3874"/>
      <c r="BP72" s="3874"/>
      <c r="BR72" s="3874"/>
      <c r="BS72" s="3874"/>
      <c r="BT72" s="3874"/>
      <c r="BU72" s="3874"/>
      <c r="BV72" s="3874"/>
      <c r="BW72" s="3874"/>
      <c r="BX72" s="3874"/>
      <c r="BZ72" s="3874"/>
      <c r="CA72" s="3874"/>
      <c r="CB72" s="3874"/>
      <c r="CC72" s="3874"/>
      <c r="CD72" s="3874"/>
      <c r="CE72" s="3874"/>
      <c r="CF72" s="3874"/>
      <c r="CH72" s="3874"/>
      <c r="CI72" s="3874"/>
      <c r="CJ72" s="3874"/>
      <c r="CK72" s="3874"/>
      <c r="CL72" s="3874"/>
      <c r="CM72" s="3874"/>
      <c r="CN72" s="3874"/>
      <c r="CP72" s="3874"/>
    </row>
    <row r="73" spans="1:151" s="78" customFormat="1" ht="15" customHeight="1" x14ac:dyDescent="0.2">
      <c r="A73" s="104"/>
      <c r="B73" s="104"/>
      <c r="C73" s="1250"/>
      <c r="D73" s="20"/>
      <c r="E73" s="1231"/>
      <c r="F73" s="7199" t="str">
        <f>_Calcs!$L$59</f>
        <v>Bergbånd</v>
      </c>
      <c r="G73" s="7199"/>
      <c r="H73" s="7199"/>
      <c r="I73" s="7199"/>
      <c r="J73" s="7199"/>
      <c r="K73" s="7199"/>
      <c r="L73" s="7199"/>
      <c r="M73" s="7199"/>
      <c r="N73" s="7199"/>
      <c r="O73" s="7199"/>
      <c r="P73" s="1228"/>
      <c r="R73" s="4074"/>
      <c r="S73" s="4074"/>
      <c r="T73" s="4074"/>
      <c r="U73" s="16"/>
      <c r="V73" s="1264"/>
      <c r="W73" s="1264"/>
      <c r="X73" s="4133"/>
      <c r="Y73" s="1264"/>
      <c r="Z73" s="4134"/>
      <c r="AA73" s="3893"/>
      <c r="AB73" s="3893"/>
      <c r="AC73" s="16"/>
      <c r="AD73" s="1264"/>
      <c r="AE73" s="1264"/>
      <c r="AF73" s="4133"/>
      <c r="AG73" s="1264"/>
      <c r="AH73" s="4134"/>
      <c r="AI73" s="3893"/>
      <c r="AJ73" s="3893"/>
      <c r="AK73" s="16"/>
      <c r="AL73" s="1264"/>
      <c r="AM73" s="1264"/>
      <c r="AN73" s="4133"/>
      <c r="AO73" s="1264"/>
      <c r="AP73" s="4134"/>
      <c r="AQ73" s="3893"/>
      <c r="AR73" s="3893"/>
      <c r="AS73" s="16"/>
      <c r="AT73" s="1264"/>
      <c r="AU73" s="1264"/>
      <c r="AV73" s="4133"/>
      <c r="AW73" s="1264"/>
      <c r="AX73" s="4134"/>
      <c r="AY73" s="3893"/>
      <c r="AZ73" s="3893"/>
      <c r="BA73" s="16"/>
      <c r="BB73" s="1264"/>
      <c r="BC73" s="1264"/>
      <c r="BD73" s="4133"/>
      <c r="BE73" s="1264"/>
      <c r="BF73" s="4134"/>
      <c r="BG73" s="3893"/>
      <c r="BH73" s="3893"/>
      <c r="BI73" s="16"/>
      <c r="BJ73" s="1264"/>
      <c r="BK73" s="1264"/>
      <c r="BL73" s="4133"/>
      <c r="BM73" s="1264"/>
      <c r="BN73" s="4134"/>
      <c r="BO73" s="3893"/>
      <c r="BP73" s="3893"/>
      <c r="BQ73" s="16"/>
      <c r="BR73" s="1264"/>
      <c r="BS73" s="1264"/>
      <c r="BT73" s="4133"/>
      <c r="BU73" s="1264"/>
      <c r="BV73" s="4134"/>
      <c r="BW73" s="3893"/>
      <c r="BX73" s="3893"/>
      <c r="BY73" s="16"/>
      <c r="BZ73" s="1264"/>
      <c r="CA73" s="1264"/>
      <c r="CB73" s="4133"/>
      <c r="CC73" s="1264"/>
      <c r="CD73" s="4134"/>
      <c r="CE73" s="3893"/>
      <c r="CF73" s="3893"/>
      <c r="CG73" s="16"/>
      <c r="CH73" s="1264"/>
      <c r="CI73" s="1264"/>
      <c r="CJ73" s="4133"/>
      <c r="CK73" s="1264"/>
      <c r="CL73" s="4134"/>
      <c r="CM73" s="3893"/>
      <c r="CN73" s="3893"/>
      <c r="CO73" s="16"/>
      <c r="CP73" s="3893"/>
    </row>
    <row r="74" spans="1:151" s="78" customFormat="1" ht="8.1" customHeight="1" thickBot="1" x14ac:dyDescent="0.25">
      <c r="A74" s="104"/>
      <c r="B74" s="104"/>
      <c r="C74" s="1250"/>
      <c r="D74" s="20"/>
      <c r="E74" s="1231"/>
      <c r="F74" s="7199"/>
      <c r="G74" s="7199"/>
      <c r="H74" s="7199"/>
      <c r="I74" s="7199"/>
      <c r="J74" s="7199"/>
      <c r="K74" s="7199"/>
      <c r="L74" s="7199"/>
      <c r="M74" s="7199"/>
      <c r="N74" s="7199"/>
      <c r="O74" s="7199"/>
      <c r="P74" s="1228"/>
      <c r="R74" s="51"/>
      <c r="S74" s="51"/>
      <c r="T74" s="51"/>
      <c r="U74" s="16"/>
      <c r="V74" s="16"/>
      <c r="W74" s="16"/>
      <c r="X74" s="36"/>
      <c r="Y74" s="16"/>
      <c r="Z74" s="138"/>
      <c r="AA74" s="3873"/>
      <c r="AB74" s="3873"/>
      <c r="AC74" s="16"/>
      <c r="AD74" s="16"/>
      <c r="AE74" s="16"/>
      <c r="AF74" s="36"/>
      <c r="AG74" s="16"/>
      <c r="AH74" s="138"/>
      <c r="AI74" s="3873"/>
      <c r="AJ74" s="3873"/>
      <c r="AK74" s="16"/>
      <c r="AL74" s="16"/>
      <c r="AM74" s="16"/>
      <c r="AN74" s="36"/>
      <c r="AO74" s="16"/>
      <c r="AP74" s="138"/>
      <c r="AQ74" s="3873"/>
      <c r="AR74" s="3873"/>
      <c r="AS74" s="16"/>
      <c r="AT74" s="16"/>
      <c r="AU74" s="16"/>
      <c r="AV74" s="36"/>
      <c r="AW74" s="16"/>
      <c r="AX74" s="138"/>
      <c r="AY74" s="3873"/>
      <c r="AZ74" s="3873"/>
      <c r="BA74" s="16"/>
      <c r="BB74" s="16"/>
      <c r="BC74" s="16"/>
      <c r="BD74" s="36"/>
      <c r="BE74" s="16"/>
      <c r="BF74" s="138"/>
      <c r="BG74" s="3873"/>
      <c r="BH74" s="3873"/>
      <c r="BI74" s="16"/>
      <c r="BJ74" s="16"/>
      <c r="BK74" s="16"/>
      <c r="BL74" s="36"/>
      <c r="BM74" s="16"/>
      <c r="BN74" s="138"/>
      <c r="BO74" s="3873"/>
      <c r="BP74" s="3873"/>
      <c r="BQ74" s="16"/>
      <c r="BR74" s="16"/>
      <c r="BS74" s="16"/>
      <c r="BT74" s="36"/>
      <c r="BU74" s="16"/>
      <c r="BV74" s="138"/>
      <c r="BW74" s="3873"/>
      <c r="BX74" s="3873"/>
      <c r="BY74" s="16"/>
      <c r="BZ74" s="16"/>
      <c r="CA74" s="16"/>
      <c r="CB74" s="36"/>
      <c r="CC74" s="16"/>
      <c r="CD74" s="138"/>
      <c r="CE74" s="3873"/>
      <c r="CF74" s="3873"/>
      <c r="CG74" s="16"/>
      <c r="CH74" s="16"/>
      <c r="CI74" s="16"/>
      <c r="CJ74" s="36"/>
      <c r="CK74" s="16"/>
      <c r="CL74" s="138"/>
      <c r="CM74" s="3873"/>
      <c r="CN74" s="3873"/>
      <c r="CO74" s="16"/>
      <c r="CP74" s="3873"/>
    </row>
    <row r="75" spans="1:151" s="78" customFormat="1" ht="15" customHeight="1" thickBot="1" x14ac:dyDescent="0.25">
      <c r="A75" s="104"/>
      <c r="B75" s="104"/>
      <c r="C75" s="1251"/>
      <c r="D75" s="20"/>
      <c r="E75" s="663"/>
      <c r="F75" s="650"/>
      <c r="G75" s="650"/>
      <c r="H75" s="650"/>
      <c r="I75" s="650"/>
      <c r="J75" s="75"/>
      <c r="K75" s="75"/>
      <c r="L75" s="1232"/>
      <c r="M75" s="1232"/>
      <c r="N75" s="1232"/>
      <c r="O75" s="76"/>
      <c r="P75" s="1228"/>
      <c r="R75" s="1153"/>
      <c r="S75" s="1154"/>
      <c r="T75" s="1155"/>
      <c r="U75" s="16"/>
      <c r="V75" s="1237"/>
      <c r="W75" s="643"/>
      <c r="X75" s="642"/>
      <c r="Y75" s="643"/>
      <c r="Z75" s="1224"/>
      <c r="AA75" s="1238"/>
      <c r="AB75" s="1239"/>
      <c r="AC75" s="16"/>
      <c r="AD75" s="1237"/>
      <c r="AE75" s="643"/>
      <c r="AF75" s="642"/>
      <c r="AG75" s="643"/>
      <c r="AH75" s="1224"/>
      <c r="AI75" s="1238"/>
      <c r="AJ75" s="1239"/>
      <c r="AK75" s="16"/>
      <c r="AL75" s="1237"/>
      <c r="AM75" s="643"/>
      <c r="AN75" s="642"/>
      <c r="AO75" s="643"/>
      <c r="AP75" s="1224"/>
      <c r="AQ75" s="1238"/>
      <c r="AR75" s="1239"/>
      <c r="AS75" s="16"/>
      <c r="AT75" s="1237"/>
      <c r="AU75" s="643"/>
      <c r="AV75" s="642"/>
      <c r="AW75" s="643"/>
      <c r="AX75" s="1224"/>
      <c r="AY75" s="1238"/>
      <c r="AZ75" s="1239"/>
      <c r="BA75" s="16"/>
      <c r="BB75" s="1237"/>
      <c r="BC75" s="643"/>
      <c r="BD75" s="642"/>
      <c r="BE75" s="643"/>
      <c r="BF75" s="1224"/>
      <c r="BG75" s="1238"/>
      <c r="BH75" s="1239"/>
      <c r="BI75" s="16"/>
      <c r="BJ75" s="1237"/>
      <c r="BK75" s="643"/>
      <c r="BL75" s="642"/>
      <c r="BM75" s="643"/>
      <c r="BN75" s="1224"/>
      <c r="BO75" s="1238"/>
      <c r="BP75" s="1239"/>
      <c r="BQ75" s="16"/>
      <c r="BR75" s="1237"/>
      <c r="BS75" s="643"/>
      <c r="BT75" s="642"/>
      <c r="BU75" s="643"/>
      <c r="BV75" s="1224"/>
      <c r="BW75" s="1238"/>
      <c r="BX75" s="1239"/>
      <c r="BY75" s="16"/>
      <c r="BZ75" s="1237"/>
      <c r="CA75" s="643"/>
      <c r="CB75" s="642"/>
      <c r="CC75" s="643"/>
      <c r="CD75" s="1224"/>
      <c r="CE75" s="1238"/>
      <c r="CF75" s="1239"/>
      <c r="CG75" s="16"/>
      <c r="CH75" s="1237"/>
      <c r="CI75" s="643"/>
      <c r="CJ75" s="642"/>
      <c r="CK75" s="643"/>
      <c r="CL75" s="5515"/>
      <c r="CM75" s="1238"/>
      <c r="CN75" s="1239"/>
      <c r="CO75" s="16"/>
      <c r="CP75" s="173"/>
    </row>
    <row r="76" spans="1:151" s="78" customFormat="1" ht="20.100000000000001" customHeight="1" thickBot="1" x14ac:dyDescent="0.25">
      <c r="A76" s="104"/>
      <c r="B76" s="104"/>
      <c r="C76" s="1251"/>
      <c r="D76" s="20"/>
      <c r="E76" s="663"/>
      <c r="F76" s="650" t="str">
        <f>_Calcs!$M$59</f>
        <v>Bergbånd langs forbolting</v>
      </c>
      <c r="G76" s="650"/>
      <c r="H76" s="650"/>
      <c r="I76" s="4224"/>
      <c r="J76" s="75"/>
      <c r="K76" s="75"/>
      <c r="L76" s="5500"/>
      <c r="M76" s="5500"/>
      <c r="N76" s="5500"/>
      <c r="O76" s="76" t="s">
        <v>78</v>
      </c>
      <c r="P76" s="1228"/>
      <c r="R76" s="1156"/>
      <c r="S76" s="2301">
        <f>IFERROR(INDEX(outputs_klasse_qty[bergbånd_langs_forbolting_total],MATCH(_Calcs_Klasse!$CC$54,outputs_klasse_qty[Navn],0)),"")</f>
        <v>0</v>
      </c>
      <c r="T76" s="1157"/>
      <c r="U76" s="16"/>
      <c r="V76" s="1240"/>
      <c r="W76" s="75"/>
      <c r="X76" s="2313">
        <f>IFERROR(INDEX(outputs_klasse_qty[bergbånd_langs_forbolting_total],MATCH(_Calcs_Klasse!$AV$146,outputs_klasse_qty[klasse_stuff_id],0)),"")</f>
        <v>0</v>
      </c>
      <c r="Y76" s="75"/>
      <c r="Z76" s="30" t="str">
        <f>IF(_Calcs_Klasse!$AI$27=2,"✓",IF(AND(_Calcs_Klasse!$AI$27=1,_Calcs!$NO$346=0),"✓","!"))</f>
        <v>✓</v>
      </c>
      <c r="AA76" s="1227"/>
      <c r="AB76" s="1241"/>
      <c r="AC76" s="16"/>
      <c r="AD76" s="1240"/>
      <c r="AE76" s="75"/>
      <c r="AF76" s="2313" t="str">
        <f>IFERROR(INDEX(outputs_klasse_qty[bergbånd_langs_forbolting_total],MATCH(_Calcs_Klasse!$AW$146,outputs_klasse_qty[klasse_stuff_id],0)),"")</f>
        <v/>
      </c>
      <c r="AG76" s="75"/>
      <c r="AH76" s="30" t="str">
        <f>IF(_Calcs_Klasse!$AI$27=2,"✓",IF(AND(_Calcs_Klasse!$AI$27=1,_Calcs!$NP$346=0),"✓","!"))</f>
        <v>✓</v>
      </c>
      <c r="AI76" s="1227"/>
      <c r="AJ76" s="1241"/>
      <c r="AK76" s="16"/>
      <c r="AL76" s="1240"/>
      <c r="AM76" s="75"/>
      <c r="AN76" s="2313" t="str">
        <f>IFERROR(INDEX(outputs_klasse_qty[bergbånd_langs_forbolting_total],MATCH(_Calcs_Klasse!$AX$146,outputs_klasse_qty[klasse_stuff_id],0)),"")</f>
        <v/>
      </c>
      <c r="AO76" s="75"/>
      <c r="AP76" s="30" t="str">
        <f>IF(_Calcs_Klasse!$AI$27=2,"✓",IF(AND(_Calcs_Klasse!$AI$27=1,_Calcs!$NQ$346=0),"✓","!"))</f>
        <v>✓</v>
      </c>
      <c r="AQ76" s="1227"/>
      <c r="AR76" s="1241"/>
      <c r="AS76" s="16"/>
      <c r="AT76" s="1240"/>
      <c r="AU76" s="75"/>
      <c r="AV76" s="2313" t="str">
        <f>IFERROR(INDEX(outputs_klasse_qty[bergbånd_langs_forbolting_total],MATCH(_Calcs_Klasse!$AY$146,outputs_klasse_qty[klasse_stuff_id],0)),"")</f>
        <v/>
      </c>
      <c r="AW76" s="75"/>
      <c r="AX76" s="30" t="str">
        <f>IF(_Calcs_Klasse!$AI$27=2,"✓",IF(AND(_Calcs_Klasse!$AI$27=1,_Calcs!$NR$346=0),"✓","!"))</f>
        <v>✓</v>
      </c>
      <c r="AY76" s="1227"/>
      <c r="AZ76" s="1241"/>
      <c r="BA76" s="16"/>
      <c r="BB76" s="1240"/>
      <c r="BC76" s="75"/>
      <c r="BD76" s="2313" t="str">
        <f>IFERROR(INDEX(outputs_klasse_qty[bergbånd_langs_forbolting_total],MATCH(_Calcs_Klasse!$AZ$146,outputs_klasse_qty[klasse_stuff_id],0)),"")</f>
        <v/>
      </c>
      <c r="BE76" s="75"/>
      <c r="BF76" s="30" t="str">
        <f>IF(_Calcs_Klasse!$AI$27=2,"✓",IF(AND(_Calcs_Klasse!$AI$27=1,_Calcs!$NS$346=0),"✓","!"))</f>
        <v>✓</v>
      </c>
      <c r="BG76" s="1227"/>
      <c r="BH76" s="1241"/>
      <c r="BI76" s="16"/>
      <c r="BJ76" s="1240"/>
      <c r="BK76" s="75"/>
      <c r="BL76" s="2313" t="str">
        <f>IFERROR(INDEX(outputs_klasse_qty[bergbånd_langs_forbolting_total],MATCH(_Calcs_Klasse!$BA$146,outputs_klasse_qty[klasse_stuff_id],0)),"")</f>
        <v/>
      </c>
      <c r="BM76" s="75"/>
      <c r="BN76" s="30" t="str">
        <f>IF(_Calcs_Klasse!$AI$27=2,"✓",IF(AND(_Calcs_Klasse!$AI$27=1,_Calcs!$NT$346=0),"✓","!"))</f>
        <v>✓</v>
      </c>
      <c r="BO76" s="1227"/>
      <c r="BP76" s="1241"/>
      <c r="BQ76" s="16"/>
      <c r="BR76" s="1240"/>
      <c r="BS76" s="75"/>
      <c r="BT76" s="2313" t="str">
        <f>IFERROR(INDEX(outputs_klasse_qty[bergbånd_langs_forbolting_total],MATCH(_Calcs_Klasse!$BB$146,outputs_klasse_qty[klasse_stuff_id],0)),"")</f>
        <v/>
      </c>
      <c r="BU76" s="75"/>
      <c r="BV76" s="30" t="str">
        <f>IF(_Calcs_Klasse!$AI$27=2,"✓",IF(AND(_Calcs_Klasse!$AI$27=1,_Calcs!$NU$346=0),"✓","!"))</f>
        <v>✓</v>
      </c>
      <c r="BW76" s="1227"/>
      <c r="BX76" s="1241"/>
      <c r="BY76" s="16"/>
      <c r="BZ76" s="1240"/>
      <c r="CA76" s="75"/>
      <c r="CB76" s="2313" t="str">
        <f>IFERROR(INDEX(outputs_klasse_qty[bergbånd_langs_forbolting_total],MATCH(_Calcs_Klasse!$BC$146,outputs_klasse_qty[klasse_stuff_id],0)),"")</f>
        <v/>
      </c>
      <c r="CC76" s="75"/>
      <c r="CD76" s="30" t="str">
        <f>IF(_Calcs_Klasse!$AI$27=2,"✓",IF(AND(_Calcs_Klasse!$AI$27=1,_Calcs!$NV$346=0),"✓","!"))</f>
        <v>✓</v>
      </c>
      <c r="CE76" s="1227"/>
      <c r="CF76" s="1241"/>
      <c r="CG76" s="16"/>
      <c r="CH76" s="1240"/>
      <c r="CI76" s="75"/>
      <c r="CJ76" s="2313" t="str">
        <f>IFERROR(INDEX(outputs_klasse_qty[bergbånd_langs_forbolting_total],MATCH(_Calcs_Klasse!$BD$146,outputs_klasse_qty[klasse_stuff_id],0)),"")</f>
        <v/>
      </c>
      <c r="CK76" s="75"/>
      <c r="CL76" s="30" t="str">
        <f>IF(_Calcs_Klasse!$AI$27=2,"✓",IF(AND(_Calcs_Klasse!$AI$27=1,_Calcs!$NW$346=0),"✓","!"))</f>
        <v>✓</v>
      </c>
      <c r="CM76" s="1227"/>
      <c r="CN76" s="1241"/>
      <c r="CO76" s="16"/>
      <c r="CP76" s="173"/>
    </row>
    <row r="77" spans="1:151" s="78" customFormat="1" ht="15" customHeight="1" thickBot="1" x14ac:dyDescent="0.25">
      <c r="A77" s="104"/>
      <c r="B77" s="104"/>
      <c r="C77" s="1251"/>
      <c r="D77" s="20"/>
      <c r="E77" s="663"/>
      <c r="F77" s="650"/>
      <c r="G77" s="650"/>
      <c r="H77" s="650"/>
      <c r="I77" s="650"/>
      <c r="J77" s="75"/>
      <c r="K77" s="75"/>
      <c r="L77" s="1232"/>
      <c r="M77" s="1232"/>
      <c r="N77" s="1232"/>
      <c r="O77" s="76"/>
      <c r="P77" s="1228"/>
      <c r="R77" s="1156"/>
      <c r="S77" s="1154"/>
      <c r="T77" s="1157"/>
      <c r="U77" s="16"/>
      <c r="V77" s="1240"/>
      <c r="W77" s="75"/>
      <c r="X77" s="642"/>
      <c r="Y77" s="75"/>
      <c r="Z77" s="1232"/>
      <c r="AA77" s="1227"/>
      <c r="AB77" s="1241"/>
      <c r="AC77" s="16"/>
      <c r="AD77" s="1240"/>
      <c r="AE77" s="75"/>
      <c r="AF77" s="642"/>
      <c r="AG77" s="75"/>
      <c r="AH77" s="1232"/>
      <c r="AI77" s="1227"/>
      <c r="AJ77" s="1241"/>
      <c r="AK77" s="16"/>
      <c r="AL77" s="1240"/>
      <c r="AM77" s="75"/>
      <c r="AN77" s="642"/>
      <c r="AO77" s="75"/>
      <c r="AP77" s="1232"/>
      <c r="AQ77" s="1227"/>
      <c r="AR77" s="1241"/>
      <c r="AS77" s="16"/>
      <c r="AT77" s="1240"/>
      <c r="AU77" s="75"/>
      <c r="AV77" s="642"/>
      <c r="AW77" s="75"/>
      <c r="AX77" s="1232"/>
      <c r="AY77" s="1227"/>
      <c r="AZ77" s="1241"/>
      <c r="BA77" s="16"/>
      <c r="BB77" s="1240"/>
      <c r="BC77" s="75"/>
      <c r="BD77" s="642"/>
      <c r="BE77" s="75"/>
      <c r="BF77" s="1232"/>
      <c r="BG77" s="1227"/>
      <c r="BH77" s="1241"/>
      <c r="BI77" s="16"/>
      <c r="BJ77" s="1240"/>
      <c r="BK77" s="75"/>
      <c r="BL77" s="642"/>
      <c r="BM77" s="75"/>
      <c r="BN77" s="1232"/>
      <c r="BO77" s="1227"/>
      <c r="BP77" s="1241"/>
      <c r="BQ77" s="16"/>
      <c r="BR77" s="1240"/>
      <c r="BS77" s="75"/>
      <c r="BT77" s="642"/>
      <c r="BU77" s="75"/>
      <c r="BV77" s="1232"/>
      <c r="BW77" s="1227"/>
      <c r="BX77" s="1241"/>
      <c r="BY77" s="16"/>
      <c r="BZ77" s="1240"/>
      <c r="CA77" s="75"/>
      <c r="CB77" s="642"/>
      <c r="CC77" s="75"/>
      <c r="CD77" s="1232"/>
      <c r="CE77" s="1227"/>
      <c r="CF77" s="1241"/>
      <c r="CG77" s="16"/>
      <c r="CH77" s="1240"/>
      <c r="CI77" s="75"/>
      <c r="CJ77" s="642"/>
      <c r="CK77" s="75"/>
      <c r="CL77" s="5555"/>
      <c r="CM77" s="1227"/>
      <c r="CN77" s="1241"/>
      <c r="CO77" s="16"/>
      <c r="CP77" s="173"/>
    </row>
    <row r="78" spans="1:151" s="78" customFormat="1" ht="20.100000000000001" customHeight="1" thickBot="1" x14ac:dyDescent="0.25">
      <c r="A78" s="104"/>
      <c r="B78" s="104"/>
      <c r="C78" s="1251"/>
      <c r="D78" s="20"/>
      <c r="E78" s="663"/>
      <c r="F78" s="650" t="str">
        <f>_Calcs_Klasse!$AFB$35</f>
        <v>Tilleggs-bergbånd</v>
      </c>
      <c r="G78" s="650"/>
      <c r="H78" s="650"/>
      <c r="I78" s="4224"/>
      <c r="J78" s="75"/>
      <c r="K78" s="75"/>
      <c r="L78" s="5500"/>
      <c r="M78" s="5500"/>
      <c r="N78" s="5500"/>
      <c r="O78" s="76" t="s">
        <v>78</v>
      </c>
      <c r="P78" s="1228"/>
      <c r="R78" s="1156"/>
      <c r="S78" s="2301">
        <f>IFERROR(INDEX(outputs_klasse_qty[bånd_ekstra_total],MATCH(_Calcs_Klasse!$CC$54,outputs_klasse_qty[Navn],0)),"")</f>
        <v>0</v>
      </c>
      <c r="T78" s="1157"/>
      <c r="U78" s="16"/>
      <c r="V78" s="1240"/>
      <c r="W78" s="75"/>
      <c r="X78" s="2313">
        <f>IFERROR(INDEX(outputs_klasse_qty[bånd_ekstra_total],MATCH(_Calcs_Klasse!$AV$146,outputs_klasse_qty[klasse_stuff_id],0)),"")</f>
        <v>0</v>
      </c>
      <c r="Y78" s="75"/>
      <c r="Z78" s="30" t="str">
        <f>IF(_Calcs_Klasse!$AI$27=2,"✓",IF(AND(_Calcs_Klasse!$AI$27=1,_Calcs!$NO$346=0),"✓","!"))</f>
        <v>✓</v>
      </c>
      <c r="AA78" s="1227"/>
      <c r="AB78" s="1241"/>
      <c r="AC78" s="16"/>
      <c r="AD78" s="1240"/>
      <c r="AE78" s="75"/>
      <c r="AF78" s="2313" t="str">
        <f>IFERROR(INDEX(outputs_klasse_qty[bånd_ekstra_total],MATCH(_Calcs_Klasse!$AW$146,outputs_klasse_qty[klasse_stuff_id],0)),"")</f>
        <v/>
      </c>
      <c r="AG78" s="75"/>
      <c r="AH78" s="30" t="str">
        <f>IF(_Calcs_Klasse!$AI$27=2,"✓",IF(AND(_Calcs_Klasse!$AI$27=1,_Calcs!$NP$346=0),"✓","!"))</f>
        <v>✓</v>
      </c>
      <c r="AI78" s="1227"/>
      <c r="AJ78" s="1241"/>
      <c r="AK78" s="16"/>
      <c r="AL78" s="1240"/>
      <c r="AM78" s="75"/>
      <c r="AN78" s="2313" t="str">
        <f>IFERROR(INDEX(outputs_klasse_qty[bånd_ekstra_total],MATCH(_Calcs_Klasse!$AX$146,outputs_klasse_qty[klasse_stuff_id],0)),"")</f>
        <v/>
      </c>
      <c r="AO78" s="75"/>
      <c r="AP78" s="30" t="str">
        <f>IF(_Calcs_Klasse!$AI$27=2,"✓",IF(AND(_Calcs_Klasse!$AI$27=1,_Calcs!$NQ$346=0),"✓","!"))</f>
        <v>✓</v>
      </c>
      <c r="AQ78" s="1227"/>
      <c r="AR78" s="1241"/>
      <c r="AS78" s="16"/>
      <c r="AT78" s="1240"/>
      <c r="AU78" s="75"/>
      <c r="AV78" s="2313" t="str">
        <f>IFERROR(INDEX(outputs_klasse_qty[bånd_ekstra_total],MATCH(_Calcs_Klasse!$AY$146,outputs_klasse_qty[klasse_stuff_id],0)),"")</f>
        <v/>
      </c>
      <c r="AW78" s="75"/>
      <c r="AX78" s="30" t="str">
        <f>IF(_Calcs_Klasse!$AI$27=2,"✓",IF(AND(_Calcs_Klasse!$AI$27=1,_Calcs!$NR$346=0),"✓","!"))</f>
        <v>✓</v>
      </c>
      <c r="AY78" s="1227"/>
      <c r="AZ78" s="1241"/>
      <c r="BA78" s="16"/>
      <c r="BB78" s="1240"/>
      <c r="BC78" s="75"/>
      <c r="BD78" s="2313" t="str">
        <f>IFERROR(INDEX(outputs_klasse_qty[bånd_ekstra_total],MATCH(_Calcs_Klasse!$AZ$146,outputs_klasse_qty[klasse_stuff_id],0)),"")</f>
        <v/>
      </c>
      <c r="BE78" s="75"/>
      <c r="BF78" s="30" t="str">
        <f>IF(_Calcs_Klasse!$AI$27=2,"✓",IF(AND(_Calcs_Klasse!$AI$27=1,_Calcs!$NS$346=0),"✓","!"))</f>
        <v>✓</v>
      </c>
      <c r="BG78" s="1227"/>
      <c r="BH78" s="1241"/>
      <c r="BI78" s="16"/>
      <c r="BJ78" s="1240"/>
      <c r="BK78" s="75"/>
      <c r="BL78" s="2313" t="str">
        <f>IFERROR(INDEX(outputs_klasse_qty[bånd_ekstra_total],MATCH(_Calcs_Klasse!$BA$146,outputs_klasse_qty[klasse_stuff_id],0)),"")</f>
        <v/>
      </c>
      <c r="BM78" s="75"/>
      <c r="BN78" s="30" t="str">
        <f>IF(_Calcs_Klasse!$AI$27=2,"✓",IF(AND(_Calcs_Klasse!$AI$27=1,_Calcs!$NT$346=0),"✓","!"))</f>
        <v>✓</v>
      </c>
      <c r="BO78" s="1227"/>
      <c r="BP78" s="1241"/>
      <c r="BQ78" s="16"/>
      <c r="BR78" s="1240"/>
      <c r="BS78" s="75"/>
      <c r="BT78" s="2313" t="str">
        <f>IFERROR(INDEX(outputs_klasse_qty[bånd_ekstra_total],MATCH(_Calcs_Klasse!$BB$146,outputs_klasse_qty[klasse_stuff_id],0)),"")</f>
        <v/>
      </c>
      <c r="BU78" s="75"/>
      <c r="BV78" s="30" t="str">
        <f>IF(_Calcs_Klasse!$AI$27=2,"✓",IF(AND(_Calcs_Klasse!$AI$27=1,_Calcs!$NU$346=0),"✓","!"))</f>
        <v>✓</v>
      </c>
      <c r="BW78" s="1227"/>
      <c r="BX78" s="1241"/>
      <c r="BY78" s="16"/>
      <c r="BZ78" s="1240"/>
      <c r="CA78" s="75"/>
      <c r="CB78" s="2313" t="str">
        <f>IFERROR(INDEX(outputs_klasse_qty[bånd_ekstra_total],MATCH(_Calcs_Klasse!$BC$146,outputs_klasse_qty[klasse_stuff_id],0)),"")</f>
        <v/>
      </c>
      <c r="CC78" s="75"/>
      <c r="CD78" s="30" t="str">
        <f>IF(_Calcs_Klasse!$AI$27=2,"✓",IF(AND(_Calcs_Klasse!$AI$27=1,_Calcs!$NV$346=0),"✓","!"))</f>
        <v>✓</v>
      </c>
      <c r="CE78" s="1227"/>
      <c r="CF78" s="1241"/>
      <c r="CG78" s="16"/>
      <c r="CH78" s="1240"/>
      <c r="CI78" s="75"/>
      <c r="CJ78" s="2313" t="str">
        <f>IFERROR(INDEX(outputs_klasse_qty[bånd_ekstra_total],MATCH(_Calcs_Klasse!$BD$146,outputs_klasse_qty[klasse_stuff_id],0)),"")</f>
        <v/>
      </c>
      <c r="CK78" s="75"/>
      <c r="CL78" s="30" t="str">
        <f>IF(_Calcs_Klasse!$AI$27=2,"✓",IF(AND(_Calcs_Klasse!$AI$27=1,_Calcs!$NW$346=0),"✓","!"))</f>
        <v>✓</v>
      </c>
      <c r="CM78" s="1227"/>
      <c r="CN78" s="1241"/>
      <c r="CO78" s="16"/>
      <c r="CP78" s="173"/>
    </row>
    <row r="79" spans="1:151" s="78" customFormat="1" ht="15" customHeight="1" thickBot="1" x14ac:dyDescent="0.25">
      <c r="A79" s="104"/>
      <c r="B79" s="104"/>
      <c r="C79" s="1251"/>
      <c r="D79" s="20"/>
      <c r="E79" s="663"/>
      <c r="F79" s="650"/>
      <c r="G79" s="650"/>
      <c r="H79" s="650"/>
      <c r="I79" s="76"/>
      <c r="J79" s="75"/>
      <c r="K79" s="75"/>
      <c r="L79" s="5500"/>
      <c r="M79" s="5500"/>
      <c r="N79" s="5500"/>
      <c r="O79" s="76"/>
      <c r="P79" s="1228"/>
      <c r="R79" s="1156"/>
      <c r="S79" s="1159"/>
      <c r="T79" s="1157"/>
      <c r="U79" s="16"/>
      <c r="V79" s="1240"/>
      <c r="W79" s="75"/>
      <c r="X79" s="74"/>
      <c r="Y79" s="75"/>
      <c r="Z79" s="1232"/>
      <c r="AA79" s="1227"/>
      <c r="AB79" s="1241"/>
      <c r="AC79" s="16"/>
      <c r="AD79" s="1240"/>
      <c r="AE79" s="75"/>
      <c r="AF79" s="74"/>
      <c r="AG79" s="75"/>
      <c r="AH79" s="1232"/>
      <c r="AI79" s="1227"/>
      <c r="AJ79" s="1241"/>
      <c r="AK79" s="16"/>
      <c r="AL79" s="1240"/>
      <c r="AM79" s="75"/>
      <c r="AN79" s="74"/>
      <c r="AO79" s="75"/>
      <c r="AP79" s="1232"/>
      <c r="AQ79" s="1227"/>
      <c r="AR79" s="1241"/>
      <c r="AS79" s="16"/>
      <c r="AT79" s="1240"/>
      <c r="AU79" s="75"/>
      <c r="AV79" s="74"/>
      <c r="AW79" s="75"/>
      <c r="AX79" s="1232"/>
      <c r="AY79" s="1227"/>
      <c r="AZ79" s="1241"/>
      <c r="BA79" s="16"/>
      <c r="BB79" s="1240"/>
      <c r="BC79" s="75"/>
      <c r="BD79" s="74"/>
      <c r="BE79" s="75"/>
      <c r="BF79" s="1232"/>
      <c r="BG79" s="1227"/>
      <c r="BH79" s="1241"/>
      <c r="BI79" s="16"/>
      <c r="BJ79" s="1240"/>
      <c r="BK79" s="75"/>
      <c r="BL79" s="74"/>
      <c r="BM79" s="75"/>
      <c r="BN79" s="1232"/>
      <c r="BO79" s="1227"/>
      <c r="BP79" s="1241"/>
      <c r="BQ79" s="16"/>
      <c r="BR79" s="1240"/>
      <c r="BS79" s="75"/>
      <c r="BT79" s="74"/>
      <c r="BU79" s="75"/>
      <c r="BV79" s="1232"/>
      <c r="BW79" s="1227"/>
      <c r="BX79" s="1241"/>
      <c r="BY79" s="16"/>
      <c r="BZ79" s="1240"/>
      <c r="CA79" s="75"/>
      <c r="CB79" s="74"/>
      <c r="CC79" s="75"/>
      <c r="CD79" s="1232"/>
      <c r="CE79" s="1227"/>
      <c r="CF79" s="1241"/>
      <c r="CG79" s="16"/>
      <c r="CH79" s="1240"/>
      <c r="CI79" s="75"/>
      <c r="CJ79" s="74"/>
      <c r="CK79" s="75"/>
      <c r="CL79" s="1232"/>
      <c r="CM79" s="1227"/>
      <c r="CN79" s="1241"/>
      <c r="CO79" s="16"/>
      <c r="CP79" s="173"/>
    </row>
    <row r="80" spans="1:151" s="78" customFormat="1" ht="20.100000000000001" customHeight="1" thickBot="1" x14ac:dyDescent="0.25">
      <c r="A80" s="104"/>
      <c r="B80" s="104"/>
      <c r="C80" s="1251"/>
      <c r="D80" s="20"/>
      <c r="E80" s="663"/>
      <c r="F80" s="650" t="str">
        <f>_Calcs!$M$61</f>
        <v>Festebolter for bergbånd og nett</v>
      </c>
      <c r="G80" s="650"/>
      <c r="H80" s="650"/>
      <c r="I80" s="4224"/>
      <c r="J80" s="75"/>
      <c r="K80" s="75"/>
      <c r="L80" s="5500"/>
      <c r="M80" s="5500"/>
      <c r="N80" s="5500"/>
      <c r="O80" s="76" t="s">
        <v>78</v>
      </c>
      <c r="P80" s="1228"/>
      <c r="R80" s="1156"/>
      <c r="S80" s="2302">
        <f>IFERROR(INDEX(outputs_klasse_qty[festebolter_for bergbånd_total],MATCH(_Calcs_Klasse!$CC$54,outputs_klasse_qty[Navn],0)),"")</f>
        <v>0</v>
      </c>
      <c r="T80" s="1157"/>
      <c r="U80" s="16"/>
      <c r="V80" s="1240"/>
      <c r="W80" s="75"/>
      <c r="X80" s="2313">
        <f>IFERROR(INDEX(outputs_klasse_qty[festebolter_for bergbånd_total],MATCH(_Calcs_Klasse!$AV$146,outputs_klasse_qty[klasse_stuff_id],0)),"")</f>
        <v>0</v>
      </c>
      <c r="Y80" s="75"/>
      <c r="Z80" s="30" t="str">
        <f>IF(_Calcs_Klasse!$AI$27=2,"✓",IF(AND(_Calcs_Klasse!$AI$27=1,_Calcs!$NO$346=0),"✓","!"))</f>
        <v>✓</v>
      </c>
      <c r="AA80" s="1227"/>
      <c r="AB80" s="1241"/>
      <c r="AC80" s="16"/>
      <c r="AD80" s="1240"/>
      <c r="AE80" s="75"/>
      <c r="AF80" s="2313" t="str">
        <f>IFERROR(INDEX(outputs_klasse_qty[festebolter_for bergbånd_total],MATCH(_Calcs_Klasse!$AW$146,outputs_klasse_qty[klasse_stuff_id],0)),"")</f>
        <v/>
      </c>
      <c r="AG80" s="75"/>
      <c r="AH80" s="30" t="str">
        <f>IF(_Calcs_Klasse!$AI$27=2,"✓",IF(AND(_Calcs_Klasse!$AI$27=1,_Calcs!$NP$346=0),"✓","!"))</f>
        <v>✓</v>
      </c>
      <c r="AI80" s="1227"/>
      <c r="AJ80" s="1241"/>
      <c r="AK80" s="16"/>
      <c r="AL80" s="1240"/>
      <c r="AM80" s="75"/>
      <c r="AN80" s="2313" t="str">
        <f>IFERROR(INDEX(outputs_klasse_qty[festebolter_for bergbånd_total],MATCH(_Calcs_Klasse!$AX$146,outputs_klasse_qty[klasse_stuff_id],0)),"")</f>
        <v/>
      </c>
      <c r="AO80" s="75"/>
      <c r="AP80" s="30" t="str">
        <f>IF(_Calcs_Klasse!$AI$27=2,"✓",IF(AND(_Calcs_Klasse!$AI$27=1,_Calcs!$NQ$346=0),"✓","!"))</f>
        <v>✓</v>
      </c>
      <c r="AQ80" s="1227"/>
      <c r="AR80" s="1241"/>
      <c r="AS80" s="16"/>
      <c r="AT80" s="1240"/>
      <c r="AU80" s="75"/>
      <c r="AV80" s="2313" t="str">
        <f>IFERROR(INDEX(outputs_klasse_qty[festebolter_for bergbånd_total],MATCH(_Calcs_Klasse!$AY$146,outputs_klasse_qty[klasse_stuff_id],0)),"")</f>
        <v/>
      </c>
      <c r="AW80" s="75"/>
      <c r="AX80" s="30" t="str">
        <f>IF(_Calcs_Klasse!$AI$27=2,"✓",IF(AND(_Calcs_Klasse!$AI$27=1,_Calcs!$NR$346=0),"✓","!"))</f>
        <v>✓</v>
      </c>
      <c r="AY80" s="1227"/>
      <c r="AZ80" s="1241"/>
      <c r="BA80" s="16"/>
      <c r="BB80" s="1240"/>
      <c r="BC80" s="75"/>
      <c r="BD80" s="2313" t="str">
        <f>IFERROR(INDEX(outputs_klasse_qty[festebolter_for bergbånd_total],MATCH(_Calcs_Klasse!$AZ$146,outputs_klasse_qty[klasse_stuff_id],0)),"")</f>
        <v/>
      </c>
      <c r="BE80" s="75"/>
      <c r="BF80" s="30" t="str">
        <f>IF(_Calcs_Klasse!$AI$27=2,"✓",IF(AND(_Calcs_Klasse!$AI$27=1,_Calcs!$NS$346=0),"✓","!"))</f>
        <v>✓</v>
      </c>
      <c r="BG80" s="1227"/>
      <c r="BH80" s="1241"/>
      <c r="BI80" s="16"/>
      <c r="BJ80" s="1240"/>
      <c r="BK80" s="75"/>
      <c r="BL80" s="2313" t="str">
        <f>IFERROR(INDEX(outputs_klasse_qty[festebolter_for bergbånd_total],MATCH(_Calcs_Klasse!$BA$146,outputs_klasse_qty[klasse_stuff_id],0)),"")</f>
        <v/>
      </c>
      <c r="BM80" s="75"/>
      <c r="BN80" s="30" t="str">
        <f>IF(_Calcs_Klasse!$AI$27=2,"✓",IF(AND(_Calcs_Klasse!$AI$27=1,_Calcs!$NT$346=0),"✓","!"))</f>
        <v>✓</v>
      </c>
      <c r="BO80" s="1227"/>
      <c r="BP80" s="1241"/>
      <c r="BQ80" s="16"/>
      <c r="BR80" s="1240"/>
      <c r="BS80" s="75"/>
      <c r="BT80" s="2313" t="str">
        <f>IFERROR(INDEX(outputs_klasse_qty[festebolter_for bergbånd_total],MATCH(_Calcs_Klasse!$BB$146,outputs_klasse_qty[klasse_stuff_id],0)),"")</f>
        <v/>
      </c>
      <c r="BU80" s="75"/>
      <c r="BV80" s="30" t="str">
        <f>IF(_Calcs_Klasse!$AI$27=2,"✓",IF(AND(_Calcs_Klasse!$AI$27=1,_Calcs!$NU$346=0),"✓","!"))</f>
        <v>✓</v>
      </c>
      <c r="BW80" s="1227"/>
      <c r="BX80" s="1241"/>
      <c r="BY80" s="16"/>
      <c r="BZ80" s="1240"/>
      <c r="CA80" s="75"/>
      <c r="CB80" s="2313" t="str">
        <f>IFERROR(INDEX(outputs_klasse_qty[festebolter_for bergbånd_total],MATCH(_Calcs_Klasse!$BC$146,outputs_klasse_qty[klasse_stuff_id],0)),"")</f>
        <v/>
      </c>
      <c r="CC80" s="75"/>
      <c r="CD80" s="30" t="str">
        <f>IF(_Calcs_Klasse!$AI$27=2,"✓",IF(AND(_Calcs_Klasse!$AI$27=1,_Calcs!$NV$346=0),"✓","!"))</f>
        <v>✓</v>
      </c>
      <c r="CE80" s="1227"/>
      <c r="CF80" s="1241"/>
      <c r="CG80" s="16"/>
      <c r="CH80" s="1240"/>
      <c r="CI80" s="75"/>
      <c r="CJ80" s="2313" t="str">
        <f>IFERROR(INDEX(outputs_klasse_qty[festebolter_for bergbånd_total],MATCH(_Calcs_Klasse!$BD$146,outputs_klasse_qty[klasse_stuff_id],0)),"")</f>
        <v/>
      </c>
      <c r="CK80" s="75"/>
      <c r="CL80" s="30" t="str">
        <f>IF(_Calcs_Klasse!$AI$27=2,"✓",IF(AND(_Calcs_Klasse!$AI$27=1,_Calcs!$NW$346=0),"✓","!"))</f>
        <v>✓</v>
      </c>
      <c r="CM80" s="1227"/>
      <c r="CN80" s="1241"/>
      <c r="CO80" s="16"/>
      <c r="CP80" s="173"/>
    </row>
    <row r="81" spans="1:94" s="78" customFormat="1" ht="15" customHeight="1" thickBot="1" x14ac:dyDescent="0.25">
      <c r="A81" s="104"/>
      <c r="B81" s="104"/>
      <c r="C81" s="1251"/>
      <c r="D81" s="20"/>
      <c r="E81" s="665"/>
      <c r="F81" s="5553"/>
      <c r="G81" s="5553"/>
      <c r="H81" s="5553"/>
      <c r="I81" s="659"/>
      <c r="J81" s="655"/>
      <c r="K81" s="655"/>
      <c r="L81" s="5554"/>
      <c r="M81" s="5554"/>
      <c r="N81" s="5554"/>
      <c r="O81" s="659"/>
      <c r="P81" s="1230"/>
      <c r="R81" s="1158"/>
      <c r="S81" s="1159"/>
      <c r="T81" s="1160"/>
      <c r="U81" s="16"/>
      <c r="V81" s="5530"/>
      <c r="W81" s="655"/>
      <c r="X81" s="654"/>
      <c r="Y81" s="655"/>
      <c r="Z81" s="1245"/>
      <c r="AA81" s="1243"/>
      <c r="AB81" s="1244"/>
      <c r="AC81" s="16"/>
      <c r="AD81" s="5530"/>
      <c r="AE81" s="655"/>
      <c r="AF81" s="654"/>
      <c r="AG81" s="655"/>
      <c r="AH81" s="1245"/>
      <c r="AI81" s="1243"/>
      <c r="AJ81" s="1244"/>
      <c r="AK81" s="16"/>
      <c r="AL81" s="5530"/>
      <c r="AM81" s="655"/>
      <c r="AN81" s="654"/>
      <c r="AO81" s="655"/>
      <c r="AP81" s="1245"/>
      <c r="AQ81" s="1243"/>
      <c r="AR81" s="1244"/>
      <c r="AS81" s="16"/>
      <c r="AT81" s="5530"/>
      <c r="AU81" s="655"/>
      <c r="AV81" s="654"/>
      <c r="AW81" s="655"/>
      <c r="AX81" s="1245"/>
      <c r="AY81" s="1243"/>
      <c r="AZ81" s="1244"/>
      <c r="BA81" s="16"/>
      <c r="BB81" s="5530"/>
      <c r="BC81" s="655"/>
      <c r="BD81" s="654"/>
      <c r="BE81" s="655"/>
      <c r="BF81" s="1245"/>
      <c r="BG81" s="1243"/>
      <c r="BH81" s="1244"/>
      <c r="BI81" s="16"/>
      <c r="BJ81" s="5530"/>
      <c r="BK81" s="655"/>
      <c r="BL81" s="654"/>
      <c r="BM81" s="655"/>
      <c r="BN81" s="1245"/>
      <c r="BO81" s="1243"/>
      <c r="BP81" s="1244"/>
      <c r="BQ81" s="16"/>
      <c r="BR81" s="5530"/>
      <c r="BS81" s="655"/>
      <c r="BT81" s="654"/>
      <c r="BU81" s="655"/>
      <c r="BV81" s="1245"/>
      <c r="BW81" s="1243"/>
      <c r="BX81" s="1244"/>
      <c r="BY81" s="16"/>
      <c r="BZ81" s="5530"/>
      <c r="CA81" s="655"/>
      <c r="CB81" s="654"/>
      <c r="CC81" s="655"/>
      <c r="CD81" s="1245"/>
      <c r="CE81" s="1243"/>
      <c r="CF81" s="1244"/>
      <c r="CG81" s="16"/>
      <c r="CH81" s="5530"/>
      <c r="CI81" s="655"/>
      <c r="CJ81" s="654"/>
      <c r="CK81" s="655"/>
      <c r="CL81" s="1245"/>
      <c r="CM81" s="1243"/>
      <c r="CN81" s="1244"/>
      <c r="CO81" s="16"/>
      <c r="CP81" s="1227"/>
    </row>
    <row r="82" spans="1:94" s="78" customFormat="1" ht="8.1" customHeight="1" thickBot="1" x14ac:dyDescent="0.25">
      <c r="A82" s="104"/>
      <c r="B82" s="104"/>
      <c r="C82" s="1251"/>
      <c r="D82" s="20"/>
      <c r="E82" s="20"/>
      <c r="F82" s="17"/>
      <c r="G82" s="17"/>
      <c r="H82" s="17"/>
      <c r="I82" s="17"/>
      <c r="J82" s="16"/>
      <c r="K82" s="16"/>
      <c r="L82" s="1965"/>
      <c r="M82" s="1965"/>
      <c r="N82" s="1965"/>
      <c r="O82" s="17"/>
      <c r="P82" s="17"/>
      <c r="Q82" s="136"/>
      <c r="R82" s="51"/>
      <c r="S82" s="5551"/>
      <c r="T82" s="51"/>
      <c r="U82" s="16"/>
      <c r="V82" s="16"/>
      <c r="W82" s="16"/>
      <c r="X82" s="2299"/>
      <c r="Y82" s="16"/>
      <c r="Z82" s="954"/>
      <c r="AA82" s="3873"/>
      <c r="AB82" s="3873"/>
      <c r="AC82" s="16"/>
      <c r="AD82" s="16"/>
      <c r="AE82" s="16"/>
      <c r="AF82" s="2299"/>
      <c r="AG82" s="16"/>
      <c r="AH82" s="954"/>
      <c r="AI82" s="3873"/>
      <c r="AJ82" s="3873"/>
      <c r="AK82" s="16"/>
      <c r="AL82" s="16"/>
      <c r="AM82" s="16"/>
      <c r="AN82" s="2299"/>
      <c r="AO82" s="16"/>
      <c r="AP82" s="954"/>
      <c r="AQ82" s="3873"/>
      <c r="AR82" s="3873"/>
      <c r="AS82" s="16"/>
      <c r="AT82" s="16"/>
      <c r="AU82" s="16"/>
      <c r="AV82" s="2299"/>
      <c r="AW82" s="16"/>
      <c r="AX82" s="954"/>
      <c r="AY82" s="3873"/>
      <c r="AZ82" s="3873"/>
      <c r="BA82" s="16"/>
      <c r="BB82" s="16"/>
      <c r="BC82" s="16"/>
      <c r="BD82" s="2299"/>
      <c r="BE82" s="16"/>
      <c r="BF82" s="954"/>
      <c r="BG82" s="3873"/>
      <c r="BH82" s="3873"/>
      <c r="BI82" s="16"/>
      <c r="BJ82" s="16"/>
      <c r="BK82" s="16"/>
      <c r="BL82" s="2299"/>
      <c r="BM82" s="16"/>
      <c r="BN82" s="954"/>
      <c r="BO82" s="3873"/>
      <c r="BP82" s="3873"/>
      <c r="BQ82" s="16"/>
      <c r="BR82" s="16"/>
      <c r="BS82" s="16"/>
      <c r="BT82" s="2299"/>
      <c r="BU82" s="16"/>
      <c r="BV82" s="954"/>
      <c r="BW82" s="3873"/>
      <c r="BX82" s="3873"/>
      <c r="BY82" s="16"/>
      <c r="BZ82" s="16"/>
      <c r="CA82" s="16"/>
      <c r="CB82" s="2299"/>
      <c r="CC82" s="16"/>
      <c r="CD82" s="954"/>
      <c r="CE82" s="3873"/>
      <c r="CF82" s="3873"/>
      <c r="CG82" s="16"/>
      <c r="CH82" s="16"/>
      <c r="CI82" s="16"/>
      <c r="CJ82" s="2299"/>
      <c r="CK82" s="16"/>
      <c r="CL82" s="954"/>
      <c r="CM82" s="3873"/>
      <c r="CN82" s="3873"/>
      <c r="CO82" s="16"/>
      <c r="CP82" s="3873"/>
    </row>
    <row r="83" spans="1:94" s="78" customFormat="1" ht="15" customHeight="1" x14ac:dyDescent="0.2">
      <c r="A83" s="104"/>
      <c r="B83" s="104"/>
      <c r="C83" s="1250"/>
      <c r="D83" s="20"/>
      <c r="E83" s="1223"/>
      <c r="F83" s="661"/>
      <c r="G83" s="661"/>
      <c r="H83" s="661"/>
      <c r="I83" s="661"/>
      <c r="J83" s="643"/>
      <c r="K83" s="643"/>
      <c r="L83" s="1224"/>
      <c r="M83" s="1224"/>
      <c r="N83" s="1224"/>
      <c r="O83" s="658"/>
      <c r="P83" s="1225"/>
      <c r="R83" s="4074"/>
      <c r="S83" s="4074"/>
      <c r="T83" s="4074"/>
      <c r="V83" s="3874"/>
      <c r="W83" s="3874"/>
      <c r="X83" s="3874"/>
      <c r="Y83" s="3874"/>
      <c r="Z83" s="3874"/>
      <c r="AA83" s="3874"/>
      <c r="AB83" s="3874"/>
      <c r="AD83" s="3874"/>
      <c r="AE83" s="3874"/>
      <c r="AF83" s="3874"/>
      <c r="AG83" s="3874"/>
      <c r="AH83" s="3874"/>
      <c r="AI83" s="3874"/>
      <c r="AJ83" s="3874"/>
      <c r="AL83" s="3874"/>
      <c r="AM83" s="3874"/>
      <c r="AN83" s="3874"/>
      <c r="AO83" s="3874"/>
      <c r="AP83" s="3874"/>
      <c r="AQ83" s="3874"/>
      <c r="AR83" s="3874"/>
      <c r="AT83" s="3874"/>
      <c r="AU83" s="3874"/>
      <c r="AV83" s="3874"/>
      <c r="AW83" s="3874"/>
      <c r="AX83" s="3874"/>
      <c r="AY83" s="3874"/>
      <c r="AZ83" s="3874"/>
      <c r="BB83" s="3874"/>
      <c r="BC83" s="3874"/>
      <c r="BD83" s="3874"/>
      <c r="BE83" s="3874"/>
      <c r="BF83" s="3874"/>
      <c r="BG83" s="3874"/>
      <c r="BH83" s="3874"/>
      <c r="BJ83" s="3874"/>
      <c r="BK83" s="3874"/>
      <c r="BL83" s="3874"/>
      <c r="BM83" s="3874"/>
      <c r="BN83" s="3874"/>
      <c r="BO83" s="3874"/>
      <c r="BP83" s="3874"/>
      <c r="BR83" s="3874"/>
      <c r="BS83" s="3874"/>
      <c r="BT83" s="3874"/>
      <c r="BU83" s="3874"/>
      <c r="BV83" s="3874"/>
      <c r="BW83" s="3874"/>
      <c r="BX83" s="3874"/>
      <c r="BZ83" s="3874"/>
      <c r="CA83" s="3874"/>
      <c r="CB83" s="3874"/>
      <c r="CC83" s="3874"/>
      <c r="CD83" s="3874"/>
      <c r="CE83" s="3874"/>
      <c r="CF83" s="3874"/>
      <c r="CH83" s="3874"/>
      <c r="CI83" s="3874"/>
      <c r="CJ83" s="3874"/>
      <c r="CK83" s="3874"/>
      <c r="CL83" s="3874"/>
      <c r="CM83" s="3874"/>
      <c r="CN83" s="3874"/>
      <c r="CP83" s="3874"/>
    </row>
    <row r="84" spans="1:94" s="78" customFormat="1" ht="15" customHeight="1" x14ac:dyDescent="0.2">
      <c r="A84" s="104"/>
      <c r="B84" s="104"/>
      <c r="C84" s="1250"/>
      <c r="D84" s="20"/>
      <c r="E84" s="1231"/>
      <c r="F84" s="7199" t="str">
        <f>_Calcs!$K$62</f>
        <v>Nett</v>
      </c>
      <c r="G84" s="7199"/>
      <c r="H84" s="7199"/>
      <c r="I84" s="7199"/>
      <c r="J84" s="7199"/>
      <c r="K84" s="7199"/>
      <c r="L84" s="7199"/>
      <c r="M84" s="7199"/>
      <c r="N84" s="7199"/>
      <c r="O84" s="7199"/>
      <c r="P84" s="1228"/>
      <c r="R84" s="4074"/>
      <c r="S84" s="4074"/>
      <c r="T84" s="4074"/>
      <c r="U84" s="16"/>
      <c r="V84" s="1264"/>
      <c r="W84" s="1264"/>
      <c r="X84" s="4133"/>
      <c r="Y84" s="1264"/>
      <c r="Z84" s="4134"/>
      <c r="AA84" s="3893"/>
      <c r="AB84" s="3893"/>
      <c r="AC84" s="16"/>
      <c r="AD84" s="1264"/>
      <c r="AE84" s="1264"/>
      <c r="AF84" s="4133"/>
      <c r="AG84" s="1264"/>
      <c r="AH84" s="4134"/>
      <c r="AI84" s="3893"/>
      <c r="AJ84" s="3893"/>
      <c r="AK84" s="16"/>
      <c r="AL84" s="1264"/>
      <c r="AM84" s="1264"/>
      <c r="AN84" s="4133"/>
      <c r="AO84" s="1264"/>
      <c r="AP84" s="4134"/>
      <c r="AQ84" s="3893"/>
      <c r="AR84" s="3893"/>
      <c r="AS84" s="16"/>
      <c r="AT84" s="1264"/>
      <c r="AU84" s="1264"/>
      <c r="AV84" s="4133"/>
      <c r="AW84" s="1264"/>
      <c r="AX84" s="4134"/>
      <c r="AY84" s="3893"/>
      <c r="AZ84" s="3893"/>
      <c r="BA84" s="16"/>
      <c r="BB84" s="1264"/>
      <c r="BC84" s="1264"/>
      <c r="BD84" s="4133"/>
      <c r="BE84" s="1264"/>
      <c r="BF84" s="4134"/>
      <c r="BG84" s="3893"/>
      <c r="BH84" s="3893"/>
      <c r="BI84" s="16"/>
      <c r="BJ84" s="1264"/>
      <c r="BK84" s="1264"/>
      <c r="BL84" s="4133"/>
      <c r="BM84" s="1264"/>
      <c r="BN84" s="4134"/>
      <c r="BO84" s="3893"/>
      <c r="BP84" s="3893"/>
      <c r="BQ84" s="16"/>
      <c r="BR84" s="1264"/>
      <c r="BS84" s="1264"/>
      <c r="BT84" s="4133"/>
      <c r="BU84" s="1264"/>
      <c r="BV84" s="4134"/>
      <c r="BW84" s="3893"/>
      <c r="BX84" s="3893"/>
      <c r="BY84" s="16"/>
      <c r="BZ84" s="1264"/>
      <c r="CA84" s="1264"/>
      <c r="CB84" s="4133"/>
      <c r="CC84" s="1264"/>
      <c r="CD84" s="4134"/>
      <c r="CE84" s="3893"/>
      <c r="CF84" s="3893"/>
      <c r="CG84" s="16"/>
      <c r="CH84" s="1264"/>
      <c r="CI84" s="1264"/>
      <c r="CJ84" s="4133"/>
      <c r="CK84" s="1264"/>
      <c r="CL84" s="4134"/>
      <c r="CM84" s="3893"/>
      <c r="CN84" s="3893"/>
      <c r="CO84" s="16"/>
      <c r="CP84" s="3893"/>
    </row>
    <row r="85" spans="1:94" s="78" customFormat="1" ht="8.1" customHeight="1" thickBot="1" x14ac:dyDescent="0.25">
      <c r="A85" s="104"/>
      <c r="B85" s="104"/>
      <c r="C85" s="1250"/>
      <c r="D85" s="20"/>
      <c r="E85" s="1231"/>
      <c r="F85" s="7199"/>
      <c r="G85" s="7199"/>
      <c r="H85" s="7199"/>
      <c r="I85" s="7199"/>
      <c r="J85" s="7199"/>
      <c r="K85" s="7199"/>
      <c r="L85" s="7199"/>
      <c r="M85" s="7199"/>
      <c r="N85" s="7199"/>
      <c r="O85" s="7199"/>
      <c r="P85" s="1228"/>
      <c r="R85" s="51"/>
      <c r="S85" s="51"/>
      <c r="T85" s="51"/>
      <c r="U85" s="16"/>
      <c r="V85" s="16"/>
      <c r="W85" s="16"/>
      <c r="X85" s="36"/>
      <c r="Y85" s="16"/>
      <c r="Z85" s="138"/>
      <c r="AA85" s="3873"/>
      <c r="AB85" s="3873"/>
      <c r="AC85" s="16"/>
      <c r="AD85" s="16"/>
      <c r="AE85" s="16"/>
      <c r="AF85" s="36"/>
      <c r="AG85" s="16"/>
      <c r="AH85" s="138"/>
      <c r="AI85" s="3873"/>
      <c r="AJ85" s="3873"/>
      <c r="AK85" s="16"/>
      <c r="AL85" s="16"/>
      <c r="AM85" s="16"/>
      <c r="AN85" s="36"/>
      <c r="AO85" s="16"/>
      <c r="AP85" s="138"/>
      <c r="AQ85" s="3873"/>
      <c r="AR85" s="3873"/>
      <c r="AS85" s="16"/>
      <c r="AT85" s="16"/>
      <c r="AU85" s="16"/>
      <c r="AV85" s="36"/>
      <c r="AW85" s="16"/>
      <c r="AX85" s="138"/>
      <c r="AY85" s="3873"/>
      <c r="AZ85" s="3873"/>
      <c r="BA85" s="16"/>
      <c r="BB85" s="16"/>
      <c r="BC85" s="16"/>
      <c r="BD85" s="36"/>
      <c r="BE85" s="16"/>
      <c r="BF85" s="138"/>
      <c r="BG85" s="3873"/>
      <c r="BH85" s="3873"/>
      <c r="BI85" s="16"/>
      <c r="BJ85" s="16"/>
      <c r="BK85" s="16"/>
      <c r="BL85" s="36"/>
      <c r="BM85" s="16"/>
      <c r="BN85" s="138"/>
      <c r="BO85" s="3873"/>
      <c r="BP85" s="3873"/>
      <c r="BQ85" s="16"/>
      <c r="BR85" s="16"/>
      <c r="BS85" s="16"/>
      <c r="BT85" s="36"/>
      <c r="BU85" s="16"/>
      <c r="BV85" s="138"/>
      <c r="BW85" s="3873"/>
      <c r="BX85" s="3873"/>
      <c r="BY85" s="16"/>
      <c r="BZ85" s="16"/>
      <c r="CA85" s="16"/>
      <c r="CB85" s="36"/>
      <c r="CC85" s="16"/>
      <c r="CD85" s="138"/>
      <c r="CE85" s="3873"/>
      <c r="CF85" s="3873"/>
      <c r="CG85" s="16"/>
      <c r="CH85" s="16"/>
      <c r="CI85" s="16"/>
      <c r="CJ85" s="36"/>
      <c r="CK85" s="16"/>
      <c r="CL85" s="138"/>
      <c r="CM85" s="3873"/>
      <c r="CN85" s="3873"/>
      <c r="CO85" s="16"/>
      <c r="CP85" s="3873"/>
    </row>
    <row r="86" spans="1:94" s="78" customFormat="1" ht="15" customHeight="1" thickBot="1" x14ac:dyDescent="0.25">
      <c r="A86" s="104"/>
      <c r="B86" s="104"/>
      <c r="C86" s="1251"/>
      <c r="D86" s="20"/>
      <c r="E86" s="663"/>
      <c r="F86" s="650"/>
      <c r="G86" s="650"/>
      <c r="H86" s="650"/>
      <c r="I86" s="76"/>
      <c r="J86" s="75"/>
      <c r="K86" s="75"/>
      <c r="L86" s="5500"/>
      <c r="M86" s="5500"/>
      <c r="N86" s="5500"/>
      <c r="O86" s="76"/>
      <c r="P86" s="1228"/>
      <c r="R86" s="1153"/>
      <c r="S86" s="5552"/>
      <c r="T86" s="1155"/>
      <c r="U86" s="16"/>
      <c r="V86" s="1237"/>
      <c r="W86" s="643"/>
      <c r="X86" s="642"/>
      <c r="Y86" s="643"/>
      <c r="Z86" s="1224"/>
      <c r="AA86" s="1238"/>
      <c r="AB86" s="1239"/>
      <c r="AC86" s="16"/>
      <c r="AD86" s="1237"/>
      <c r="AE86" s="643"/>
      <c r="AF86" s="642"/>
      <c r="AG86" s="643"/>
      <c r="AH86" s="1224"/>
      <c r="AI86" s="1238"/>
      <c r="AJ86" s="1239"/>
      <c r="AK86" s="16"/>
      <c r="AL86" s="1237"/>
      <c r="AM86" s="643"/>
      <c r="AN86" s="642"/>
      <c r="AO86" s="643"/>
      <c r="AP86" s="1224"/>
      <c r="AQ86" s="1238"/>
      <c r="AR86" s="1239"/>
      <c r="AS86" s="16"/>
      <c r="AT86" s="1237"/>
      <c r="AU86" s="643"/>
      <c r="AV86" s="642"/>
      <c r="AW86" s="643"/>
      <c r="AX86" s="1224"/>
      <c r="AY86" s="1238"/>
      <c r="AZ86" s="1239"/>
      <c r="BA86" s="16"/>
      <c r="BB86" s="1237"/>
      <c r="BC86" s="643"/>
      <c r="BD86" s="642"/>
      <c r="BE86" s="643"/>
      <c r="BF86" s="1224"/>
      <c r="BG86" s="1238"/>
      <c r="BH86" s="1239"/>
      <c r="BI86" s="16"/>
      <c r="BJ86" s="1237"/>
      <c r="BK86" s="643"/>
      <c r="BL86" s="642"/>
      <c r="BM86" s="643"/>
      <c r="BN86" s="1224"/>
      <c r="BO86" s="1238"/>
      <c r="BP86" s="1239"/>
      <c r="BQ86" s="16"/>
      <c r="BR86" s="1237"/>
      <c r="BS86" s="643"/>
      <c r="BT86" s="642"/>
      <c r="BU86" s="643"/>
      <c r="BV86" s="1224"/>
      <c r="BW86" s="1238"/>
      <c r="BX86" s="1239"/>
      <c r="BY86" s="16"/>
      <c r="BZ86" s="1237"/>
      <c r="CA86" s="643"/>
      <c r="CB86" s="642"/>
      <c r="CC86" s="643"/>
      <c r="CD86" s="1224"/>
      <c r="CE86" s="1238"/>
      <c r="CF86" s="1239"/>
      <c r="CG86" s="16"/>
      <c r="CH86" s="1237"/>
      <c r="CI86" s="643"/>
      <c r="CJ86" s="642"/>
      <c r="CK86" s="643"/>
      <c r="CL86" s="1224"/>
      <c r="CM86" s="1238"/>
      <c r="CN86" s="1239"/>
      <c r="CO86" s="16"/>
      <c r="CP86" s="173"/>
    </row>
    <row r="87" spans="1:94" s="78" customFormat="1" ht="20.100000000000001" customHeight="1" thickBot="1" x14ac:dyDescent="0.25">
      <c r="A87" s="104"/>
      <c r="B87" s="104"/>
      <c r="C87" s="1251"/>
      <c r="D87" s="20"/>
      <c r="E87" s="663"/>
      <c r="F87" s="76" t="str">
        <f>_Calcs!$L$62</f>
        <v>Nett</v>
      </c>
      <c r="G87" s="76"/>
      <c r="H87" s="76"/>
      <c r="I87" s="76"/>
      <c r="J87" s="75"/>
      <c r="K87" s="75"/>
      <c r="L87" s="5500"/>
      <c r="M87" s="5500"/>
      <c r="N87" s="5500"/>
      <c r="O87" s="76" t="s">
        <v>103</v>
      </c>
      <c r="P87" s="1228"/>
      <c r="Q87" s="21"/>
      <c r="R87" s="1156"/>
      <c r="S87" s="3885">
        <f>IFERROR(INDEX(outputs_klasse_qty[nett_total],MATCH(_Calcs_Klasse!$CC$54,outputs_klasse_qty[Navn],0)),"")</f>
        <v>0</v>
      </c>
      <c r="T87" s="1157"/>
      <c r="U87" s="16"/>
      <c r="V87" s="1231"/>
      <c r="W87" s="76"/>
      <c r="X87" s="2313">
        <f>IFERROR(INDEX(outputs_klasse_qty[nett_total],MATCH(_Calcs_Klasse!$AV$146,outputs_klasse_qty[klasse_stuff_id],0)),"")</f>
        <v>0</v>
      </c>
      <c r="Y87" s="75"/>
      <c r="Z87" s="30" t="str">
        <f>IF(_Calcs_Klasse!$AI$27=2,"✓",IF(AND(_Calcs_Klasse!$AI$27=1,_Calcs!$NO$346=0),"✓","!"))</f>
        <v>✓</v>
      </c>
      <c r="AA87" s="1227"/>
      <c r="AB87" s="1241"/>
      <c r="AC87" s="16"/>
      <c r="AD87" s="1231"/>
      <c r="AE87" s="76"/>
      <c r="AF87" s="2313" t="str">
        <f>IFERROR(INDEX(outputs_klasse_qty[nett_total],MATCH(_Calcs_Klasse!$AW$146,outputs_klasse_qty[klasse_stuff_id],0)),"")</f>
        <v/>
      </c>
      <c r="AG87" s="75"/>
      <c r="AH87" s="30" t="str">
        <f>IF(_Calcs_Klasse!$AI$27=2,"✓",IF(AND(_Calcs_Klasse!$AI$27=1,_Calcs!$NP$346=0),"✓","!"))</f>
        <v>✓</v>
      </c>
      <c r="AI87" s="1227"/>
      <c r="AJ87" s="1241"/>
      <c r="AK87" s="16"/>
      <c r="AL87" s="1231"/>
      <c r="AM87" s="76"/>
      <c r="AN87" s="2313" t="str">
        <f>IFERROR(INDEX(outputs_klasse_qty[nett_total],MATCH(_Calcs_Klasse!$AX$146,outputs_klasse_qty[klasse_stuff_id],0)),"")</f>
        <v/>
      </c>
      <c r="AO87" s="75"/>
      <c r="AP87" s="30" t="str">
        <f>IF(_Calcs_Klasse!$AI$27=2,"✓",IF(AND(_Calcs_Klasse!$AI$27=1,_Calcs!$NQ$346=0),"✓","!"))</f>
        <v>✓</v>
      </c>
      <c r="AQ87" s="1227"/>
      <c r="AR87" s="1241"/>
      <c r="AS87" s="16"/>
      <c r="AT87" s="1231"/>
      <c r="AU87" s="76"/>
      <c r="AV87" s="2313" t="str">
        <f>IFERROR(INDEX(outputs_klasse_qty[nett_total],MATCH(_Calcs_Klasse!$AY$146,outputs_klasse_qty[klasse_stuff_id],0)),"")</f>
        <v/>
      </c>
      <c r="AW87" s="75"/>
      <c r="AX87" s="30" t="str">
        <f>IF(_Calcs_Klasse!$AI$27=2,"✓",IF(AND(_Calcs_Klasse!$AI$27=1,_Calcs!$NR$346=0),"✓","!"))</f>
        <v>✓</v>
      </c>
      <c r="AY87" s="1227"/>
      <c r="AZ87" s="1241"/>
      <c r="BA87" s="16"/>
      <c r="BB87" s="1231"/>
      <c r="BC87" s="76"/>
      <c r="BD87" s="2313" t="str">
        <f>IFERROR(INDEX(outputs_klasse_qty[nett_total],MATCH(_Calcs_Klasse!$AZ$146,outputs_klasse_qty[klasse_stuff_id],0)),"")</f>
        <v/>
      </c>
      <c r="BE87" s="75"/>
      <c r="BF87" s="30" t="str">
        <f>IF(_Calcs_Klasse!$AI$27=2,"✓",IF(AND(_Calcs_Klasse!$AI$27=1,_Calcs!$NS$346=0),"✓","!"))</f>
        <v>✓</v>
      </c>
      <c r="BG87" s="1227"/>
      <c r="BH87" s="1241"/>
      <c r="BI87" s="16"/>
      <c r="BJ87" s="1231"/>
      <c r="BK87" s="76"/>
      <c r="BL87" s="2313" t="str">
        <f>IFERROR(INDEX(outputs_klasse_qty[nett_total],MATCH(_Calcs_Klasse!$BA$146,outputs_klasse_qty[klasse_stuff_id],0)),"")</f>
        <v/>
      </c>
      <c r="BM87" s="75"/>
      <c r="BN87" s="30" t="str">
        <f>IF(_Calcs_Klasse!$AI$27=2,"✓",IF(AND(_Calcs_Klasse!$AI$27=1,_Calcs!$NT$346=0),"✓","!"))</f>
        <v>✓</v>
      </c>
      <c r="BO87" s="1227"/>
      <c r="BP87" s="1241"/>
      <c r="BQ87" s="16"/>
      <c r="BR87" s="1231"/>
      <c r="BS87" s="76"/>
      <c r="BT87" s="2313" t="str">
        <f>IFERROR(INDEX(outputs_klasse_qty[nett_total],MATCH(_Calcs_Klasse!$BB$146,outputs_klasse_qty[klasse_stuff_id],0)),"")</f>
        <v/>
      </c>
      <c r="BU87" s="75"/>
      <c r="BV87" s="30" t="str">
        <f>IF(_Calcs_Klasse!$AI$27=2,"✓",IF(AND(_Calcs_Klasse!$AI$27=1,_Calcs!$NU$346=0),"✓","!"))</f>
        <v>✓</v>
      </c>
      <c r="BW87" s="1227"/>
      <c r="BX87" s="1241"/>
      <c r="BY87" s="16"/>
      <c r="BZ87" s="1231"/>
      <c r="CA87" s="76"/>
      <c r="CB87" s="2313" t="str">
        <f>IFERROR(INDEX(outputs_klasse_qty[nett_total],MATCH(_Calcs_Klasse!$BC$146,outputs_klasse_qty[klasse_stuff_id],0)),"")</f>
        <v/>
      </c>
      <c r="CC87" s="75"/>
      <c r="CD87" s="30" t="str">
        <f>IF(_Calcs_Klasse!$AI$27=2,"✓",IF(AND(_Calcs_Klasse!$AI$27=1,_Calcs!$NV$346=0),"✓","!"))</f>
        <v>✓</v>
      </c>
      <c r="CE87" s="1227"/>
      <c r="CF87" s="1241"/>
      <c r="CG87" s="16"/>
      <c r="CH87" s="1231"/>
      <c r="CI87" s="76"/>
      <c r="CJ87" s="2313" t="str">
        <f>IFERROR(INDEX(outputs_klasse_qty[nett_total],MATCH(_Calcs_Klasse!$BD$146,outputs_klasse_qty[klasse_stuff_id],0)),"")</f>
        <v/>
      </c>
      <c r="CK87" s="75"/>
      <c r="CL87" s="30" t="str">
        <f>IF(_Calcs_Klasse!$AI$27=2,"✓",IF(AND(_Calcs_Klasse!$AI$27=1,_Calcs!$NW$346=0),"✓","!"))</f>
        <v>✓</v>
      </c>
      <c r="CM87" s="1227"/>
      <c r="CN87" s="1241"/>
      <c r="CO87" s="16"/>
      <c r="CP87" s="173"/>
    </row>
    <row r="88" spans="1:94" s="78" customFormat="1" ht="20.100000000000001" customHeight="1" thickBot="1" x14ac:dyDescent="0.25">
      <c r="A88" s="104"/>
      <c r="B88" s="104"/>
      <c r="C88" s="1251"/>
      <c r="D88" s="20"/>
      <c r="E88" s="663"/>
      <c r="F88" s="76"/>
      <c r="G88" s="76"/>
      <c r="H88" s="76"/>
      <c r="I88" s="76"/>
      <c r="J88" s="75"/>
      <c r="K88" s="75"/>
      <c r="L88" s="5500"/>
      <c r="M88" s="5500"/>
      <c r="N88" s="5500"/>
      <c r="O88" s="76"/>
      <c r="P88" s="1228"/>
      <c r="Q88" s="21"/>
      <c r="R88" s="1156"/>
      <c r="S88" s="5556"/>
      <c r="T88" s="1157"/>
      <c r="U88" s="16"/>
      <c r="V88" s="1240"/>
      <c r="W88" s="75"/>
      <c r="X88" s="3778"/>
      <c r="Y88" s="75"/>
      <c r="Z88" s="3464"/>
      <c r="AA88" s="1227"/>
      <c r="AB88" s="1241"/>
      <c r="AC88" s="16"/>
      <c r="AD88" s="1240"/>
      <c r="AE88" s="75"/>
      <c r="AF88" s="3778"/>
      <c r="AG88" s="75"/>
      <c r="AH88" s="3464"/>
      <c r="AI88" s="1227"/>
      <c r="AJ88" s="1241"/>
      <c r="AK88" s="16"/>
      <c r="AL88" s="1240"/>
      <c r="AM88" s="75"/>
      <c r="AN88" s="3778"/>
      <c r="AO88" s="75"/>
      <c r="AP88" s="3464"/>
      <c r="AQ88" s="1227"/>
      <c r="AR88" s="1241"/>
      <c r="AS88" s="16"/>
      <c r="AT88" s="1240"/>
      <c r="AU88" s="75"/>
      <c r="AV88" s="3778"/>
      <c r="AW88" s="75"/>
      <c r="AX88" s="3464"/>
      <c r="AY88" s="1227"/>
      <c r="AZ88" s="1241"/>
      <c r="BA88" s="16"/>
      <c r="BB88" s="1240"/>
      <c r="BC88" s="75"/>
      <c r="BD88" s="3778"/>
      <c r="BE88" s="75"/>
      <c r="BF88" s="3464"/>
      <c r="BG88" s="1227"/>
      <c r="BH88" s="1241"/>
      <c r="BI88" s="16"/>
      <c r="BJ88" s="1240"/>
      <c r="BK88" s="75"/>
      <c r="BL88" s="3778"/>
      <c r="BM88" s="75"/>
      <c r="BN88" s="3464"/>
      <c r="BO88" s="1227"/>
      <c r="BP88" s="1241"/>
      <c r="BQ88" s="16"/>
      <c r="BR88" s="1240"/>
      <c r="BS88" s="75"/>
      <c r="BT88" s="3778"/>
      <c r="BU88" s="75"/>
      <c r="BV88" s="3464"/>
      <c r="BW88" s="1227"/>
      <c r="BX88" s="1241"/>
      <c r="BY88" s="16"/>
      <c r="BZ88" s="1240"/>
      <c r="CA88" s="75"/>
      <c r="CB88" s="3778"/>
      <c r="CC88" s="75"/>
      <c r="CD88" s="3464"/>
      <c r="CE88" s="1227"/>
      <c r="CF88" s="1241"/>
      <c r="CG88" s="16"/>
      <c r="CH88" s="1240"/>
      <c r="CI88" s="75"/>
      <c r="CJ88" s="3778"/>
      <c r="CK88" s="75"/>
      <c r="CL88" s="3464"/>
      <c r="CM88" s="1227"/>
      <c r="CN88" s="1241"/>
      <c r="CO88" s="16"/>
      <c r="CP88" s="173"/>
    </row>
    <row r="89" spans="1:94" s="78" customFormat="1" ht="20.100000000000001" customHeight="1" thickBot="1" x14ac:dyDescent="0.25">
      <c r="A89" s="104"/>
      <c r="B89" s="104"/>
      <c r="C89" s="1251"/>
      <c r="D89" s="20"/>
      <c r="E89" s="663"/>
      <c r="F89" s="76" t="str">
        <f>_Calcs!$L$63</f>
        <v>Sprøytebetong ved nett</v>
      </c>
      <c r="G89" s="76"/>
      <c r="H89" s="76"/>
      <c r="I89" s="4224"/>
      <c r="J89" s="75"/>
      <c r="K89" s="75"/>
      <c r="L89" s="5500"/>
      <c r="M89" s="5500"/>
      <c r="N89" s="5500"/>
      <c r="O89" s="76" t="s">
        <v>86</v>
      </c>
      <c r="P89" s="1228"/>
      <c r="Q89" s="21"/>
      <c r="R89" s="1156"/>
      <c r="S89" s="3885">
        <f>IFERROR(INDEX(outputs_klasse_qty[nett_total],MATCH(_Calcs_Klasse!$CC$54,outputs_klasse_qty[Navn],0)),"")</f>
        <v>0</v>
      </c>
      <c r="T89" s="1157"/>
      <c r="U89" s="16"/>
      <c r="V89" s="1231"/>
      <c r="W89" s="76"/>
      <c r="X89" s="2313">
        <f>IFERROR(INDEX(outputs_klasse_qty[nett_total],MATCH(_Calcs_Klasse!$AV$146,outputs_klasse_qty[klasse_stuff_id],0)),"")</f>
        <v>0</v>
      </c>
      <c r="Y89" s="75"/>
      <c r="Z89" s="30" t="str">
        <f>IF(_Calcs_Klasse!$AI$27=2,"✓",IF(AND(_Calcs_Klasse!$AI$27=1,_Calcs!$NO$346=0),"✓","!"))</f>
        <v>✓</v>
      </c>
      <c r="AA89" s="1227"/>
      <c r="AB89" s="1241"/>
      <c r="AC89" s="16"/>
      <c r="AD89" s="1231"/>
      <c r="AE89" s="76"/>
      <c r="AF89" s="2313" t="str">
        <f>IFERROR(INDEX(outputs_klasse_qty[nett_total],MATCH(_Calcs_Klasse!$AW$146,outputs_klasse_qty[klasse_stuff_id],0)),"")</f>
        <v/>
      </c>
      <c r="AG89" s="75"/>
      <c r="AH89" s="30" t="str">
        <f>IF(_Calcs_Klasse!$AI$27=2,"✓",IF(AND(_Calcs_Klasse!$AI$27=1,_Calcs!$NP$346=0),"✓","!"))</f>
        <v>✓</v>
      </c>
      <c r="AI89" s="1227"/>
      <c r="AJ89" s="1241"/>
      <c r="AK89" s="16"/>
      <c r="AL89" s="1231"/>
      <c r="AM89" s="76"/>
      <c r="AN89" s="2313" t="str">
        <f>IFERROR(INDEX(outputs_klasse_qty[nett_total],MATCH(_Calcs_Klasse!$AX$146,outputs_klasse_qty[klasse_stuff_id],0)),"")</f>
        <v/>
      </c>
      <c r="AO89" s="75"/>
      <c r="AP89" s="30" t="str">
        <f>IF(_Calcs_Klasse!$AI$27=2,"✓",IF(AND(_Calcs_Klasse!$AI$27=1,_Calcs!$NQ$346=0),"✓","!"))</f>
        <v>✓</v>
      </c>
      <c r="AQ89" s="1227"/>
      <c r="AR89" s="1241"/>
      <c r="AS89" s="16"/>
      <c r="AT89" s="1231"/>
      <c r="AU89" s="76"/>
      <c r="AV89" s="2313" t="str">
        <f>IFERROR(INDEX(outputs_klasse_qty[nett_total],MATCH(_Calcs_Klasse!$AY$146,outputs_klasse_qty[klasse_stuff_id],0)),"")</f>
        <v/>
      </c>
      <c r="AW89" s="75"/>
      <c r="AX89" s="30" t="str">
        <f>IF(_Calcs_Klasse!$AI$27=2,"✓",IF(AND(_Calcs_Klasse!$AI$27=1,_Calcs!$NR$346=0),"✓","!"))</f>
        <v>✓</v>
      </c>
      <c r="AY89" s="1227"/>
      <c r="AZ89" s="1241"/>
      <c r="BA89" s="16"/>
      <c r="BB89" s="1231"/>
      <c r="BC89" s="76"/>
      <c r="BD89" s="2313" t="str">
        <f>IFERROR(INDEX(outputs_klasse_qty[nett_total],MATCH(_Calcs_Klasse!$AZ$146,outputs_klasse_qty[klasse_stuff_id],0)),"")</f>
        <v/>
      </c>
      <c r="BE89" s="75"/>
      <c r="BF89" s="30" t="str">
        <f>IF(_Calcs_Klasse!$AI$27=2,"✓",IF(AND(_Calcs_Klasse!$AI$27=1,_Calcs!$NS$346=0),"✓","!"))</f>
        <v>✓</v>
      </c>
      <c r="BG89" s="1227"/>
      <c r="BH89" s="1241"/>
      <c r="BI89" s="16"/>
      <c r="BJ89" s="1231"/>
      <c r="BK89" s="76"/>
      <c r="BL89" s="2313" t="str">
        <f>IFERROR(INDEX(outputs_klasse_qty[nett_total],MATCH(_Calcs_Klasse!$BA$146,outputs_klasse_qty[klasse_stuff_id],0)),"")</f>
        <v/>
      </c>
      <c r="BM89" s="75"/>
      <c r="BN89" s="30" t="str">
        <f>IF(_Calcs_Klasse!$AI$27=2,"✓",IF(AND(_Calcs_Klasse!$AI$27=1,_Calcs!$NT$346=0),"✓","!"))</f>
        <v>✓</v>
      </c>
      <c r="BO89" s="1227"/>
      <c r="BP89" s="1241"/>
      <c r="BQ89" s="16"/>
      <c r="BR89" s="1231"/>
      <c r="BS89" s="76"/>
      <c r="BT89" s="2313" t="str">
        <f>IFERROR(INDEX(outputs_klasse_qty[nett_total],MATCH(_Calcs_Klasse!$BB$146,outputs_klasse_qty[klasse_stuff_id],0)),"")</f>
        <v/>
      </c>
      <c r="BU89" s="75"/>
      <c r="BV89" s="30" t="str">
        <f>IF(_Calcs_Klasse!$AI$27=2,"✓",IF(AND(_Calcs_Klasse!$AI$27=1,_Calcs!$NU$346=0),"✓","!"))</f>
        <v>✓</v>
      </c>
      <c r="BW89" s="1227"/>
      <c r="BX89" s="1241"/>
      <c r="BY89" s="16"/>
      <c r="BZ89" s="1231"/>
      <c r="CA89" s="76"/>
      <c r="CB89" s="2313" t="str">
        <f>IFERROR(INDEX(outputs_klasse_qty[nett_total],MATCH(_Calcs_Klasse!$BC$146,outputs_klasse_qty[klasse_stuff_id],0)),"")</f>
        <v/>
      </c>
      <c r="CC89" s="75"/>
      <c r="CD89" s="30" t="str">
        <f>IF(_Calcs_Klasse!$AI$27=2,"✓",IF(AND(_Calcs_Klasse!$AI$27=1,_Calcs!$NV$346=0),"✓","!"))</f>
        <v>✓</v>
      </c>
      <c r="CE89" s="1227"/>
      <c r="CF89" s="1241"/>
      <c r="CG89" s="16"/>
      <c r="CH89" s="1231"/>
      <c r="CI89" s="76"/>
      <c r="CJ89" s="2313" t="str">
        <f>IFERROR(INDEX(outputs_klasse_qty[nett_total],MATCH(_Calcs_Klasse!$BD$146,outputs_klasse_qty[klasse_stuff_id],0)),"")</f>
        <v/>
      </c>
      <c r="CK89" s="75"/>
      <c r="CL89" s="30" t="str">
        <f>IF(_Calcs_Klasse!$AI$27=2,"✓",IF(AND(_Calcs_Klasse!$AI$27=1,_Calcs!$NW$346=0),"✓","!"))</f>
        <v>✓</v>
      </c>
      <c r="CM89" s="1227"/>
      <c r="CN89" s="1241"/>
      <c r="CO89" s="16"/>
      <c r="CP89" s="173"/>
    </row>
    <row r="90" spans="1:94" s="78" customFormat="1" ht="20.100000000000001" customHeight="1" thickBot="1" x14ac:dyDescent="0.25">
      <c r="A90" s="104"/>
      <c r="B90" s="104"/>
      <c r="C90" s="1251"/>
      <c r="D90" s="20"/>
      <c r="E90" s="663"/>
      <c r="F90" s="76"/>
      <c r="G90" s="76"/>
      <c r="H90" s="76"/>
      <c r="I90" s="76"/>
      <c r="J90" s="75"/>
      <c r="K90" s="75"/>
      <c r="L90" s="5500"/>
      <c r="M90" s="5500"/>
      <c r="N90" s="5500"/>
      <c r="O90" s="76"/>
      <c r="P90" s="1228"/>
      <c r="Q90" s="21"/>
      <c r="R90" s="1156"/>
      <c r="S90" s="3777"/>
      <c r="T90" s="1157"/>
      <c r="U90" s="16"/>
      <c r="V90" s="1240"/>
      <c r="W90" s="75"/>
      <c r="X90" s="3778"/>
      <c r="Y90" s="75"/>
      <c r="Z90" s="3464"/>
      <c r="AA90" s="1227"/>
      <c r="AB90" s="1241"/>
      <c r="AC90" s="16"/>
      <c r="AD90" s="1240"/>
      <c r="AE90" s="75"/>
      <c r="AF90" s="3778"/>
      <c r="AG90" s="75"/>
      <c r="AH90" s="3464"/>
      <c r="AI90" s="1227"/>
      <c r="AJ90" s="1241"/>
      <c r="AK90" s="16"/>
      <c r="AL90" s="1240"/>
      <c r="AM90" s="75"/>
      <c r="AN90" s="3778"/>
      <c r="AO90" s="75"/>
      <c r="AP90" s="3464"/>
      <c r="AQ90" s="1227"/>
      <c r="AR90" s="1241"/>
      <c r="AS90" s="16"/>
      <c r="AT90" s="1240"/>
      <c r="AU90" s="75"/>
      <c r="AV90" s="3778"/>
      <c r="AW90" s="75"/>
      <c r="AX90" s="3464"/>
      <c r="AY90" s="1227"/>
      <c r="AZ90" s="1241"/>
      <c r="BA90" s="16"/>
      <c r="BB90" s="1240"/>
      <c r="BC90" s="75"/>
      <c r="BD90" s="3778"/>
      <c r="BE90" s="75"/>
      <c r="BF90" s="3464"/>
      <c r="BG90" s="1227"/>
      <c r="BH90" s="1241"/>
      <c r="BI90" s="16"/>
      <c r="BJ90" s="1240"/>
      <c r="BK90" s="75"/>
      <c r="BL90" s="3778"/>
      <c r="BM90" s="75"/>
      <c r="BN90" s="3464"/>
      <c r="BO90" s="1227"/>
      <c r="BP90" s="1241"/>
      <c r="BQ90" s="16"/>
      <c r="BR90" s="1240"/>
      <c r="BS90" s="75"/>
      <c r="BT90" s="3778"/>
      <c r="BU90" s="75"/>
      <c r="BV90" s="3464"/>
      <c r="BW90" s="1227"/>
      <c r="BX90" s="1241"/>
      <c r="BY90" s="16"/>
      <c r="BZ90" s="1240"/>
      <c r="CA90" s="75"/>
      <c r="CB90" s="3778"/>
      <c r="CC90" s="75"/>
      <c r="CD90" s="3464"/>
      <c r="CE90" s="1227"/>
      <c r="CF90" s="1241"/>
      <c r="CG90" s="16"/>
      <c r="CH90" s="1240"/>
      <c r="CI90" s="75"/>
      <c r="CJ90" s="3778"/>
      <c r="CK90" s="75"/>
      <c r="CL90" s="3464"/>
      <c r="CM90" s="1227"/>
      <c r="CN90" s="1241"/>
      <c r="CO90" s="16"/>
      <c r="CP90" s="173"/>
    </row>
    <row r="91" spans="1:94" s="78" customFormat="1" ht="20.100000000000001" customHeight="1" thickBot="1" x14ac:dyDescent="0.25">
      <c r="A91" s="104"/>
      <c r="B91" s="104"/>
      <c r="C91" s="1251"/>
      <c r="D91" s="20"/>
      <c r="E91" s="663"/>
      <c r="F91" s="76" t="str">
        <f>_Calcs!$L$64</f>
        <v>Festebolter for nett</v>
      </c>
      <c r="G91" s="76"/>
      <c r="H91" s="76"/>
      <c r="I91" s="4224"/>
      <c r="J91" s="2297" t="s">
        <v>149</v>
      </c>
      <c r="K91" s="75"/>
      <c r="L91" s="5500"/>
      <c r="M91" s="5500"/>
      <c r="N91" s="5500"/>
      <c r="O91" s="76" t="s">
        <v>97</v>
      </c>
      <c r="P91" s="1228"/>
      <c r="Q91" s="21"/>
      <c r="R91" s="1156"/>
      <c r="S91" s="2302">
        <f>IFERROR(INDEX(outputs_klasse_qty[nett_total],MATCH(_Calcs_Klasse!$CC$54,outputs_klasse_qty[Navn],0)),"")</f>
        <v>0</v>
      </c>
      <c r="T91" s="1157"/>
      <c r="U91" s="16"/>
      <c r="V91" s="1231"/>
      <c r="W91" s="76"/>
      <c r="X91" s="2313">
        <f>IFERROR(INDEX(outputs_klasse_qty[nett_total],MATCH(_Calcs_Klasse!$AV$146,outputs_klasse_qty[klasse_stuff_id],0)),"")</f>
        <v>0</v>
      </c>
      <c r="Y91" s="75"/>
      <c r="Z91" s="30" t="str">
        <f>IF(_Calcs_Klasse!$AI$27=2,"✓",IF(AND(_Calcs_Klasse!$AI$27=1,_Calcs!$NO$346=0),"✓","!"))</f>
        <v>✓</v>
      </c>
      <c r="AA91" s="1227"/>
      <c r="AB91" s="1241"/>
      <c r="AC91" s="16"/>
      <c r="AD91" s="1231"/>
      <c r="AE91" s="76"/>
      <c r="AF91" s="2313" t="str">
        <f>IFERROR(INDEX(outputs_klasse_qty[nett_total],MATCH(_Calcs_Klasse!$AW$146,outputs_klasse_qty[klasse_stuff_id],0)),"")</f>
        <v/>
      </c>
      <c r="AG91" s="75"/>
      <c r="AH91" s="30" t="str">
        <f>IF(_Calcs_Klasse!$AI$27=2,"✓",IF(AND(_Calcs_Klasse!$AI$27=1,_Calcs!$NP$346=0),"✓","!"))</f>
        <v>✓</v>
      </c>
      <c r="AI91" s="1227"/>
      <c r="AJ91" s="1241"/>
      <c r="AK91" s="16"/>
      <c r="AL91" s="1231"/>
      <c r="AM91" s="76"/>
      <c r="AN91" s="2313" t="str">
        <f>IFERROR(INDEX(outputs_klasse_qty[nett_total],MATCH(_Calcs_Klasse!$AX$146,outputs_klasse_qty[klasse_stuff_id],0)),"")</f>
        <v/>
      </c>
      <c r="AO91" s="75"/>
      <c r="AP91" s="30" t="str">
        <f>IF(_Calcs_Klasse!$AI$27=2,"✓",IF(AND(_Calcs_Klasse!$AI$27=1,_Calcs!$NQ$346=0),"✓","!"))</f>
        <v>✓</v>
      </c>
      <c r="AQ91" s="1227"/>
      <c r="AR91" s="1241"/>
      <c r="AS91" s="16"/>
      <c r="AT91" s="1231"/>
      <c r="AU91" s="76"/>
      <c r="AV91" s="2313" t="str">
        <f>IFERROR(INDEX(outputs_klasse_qty[nett_total],MATCH(_Calcs_Klasse!$AY$146,outputs_klasse_qty[klasse_stuff_id],0)),"")</f>
        <v/>
      </c>
      <c r="AW91" s="75"/>
      <c r="AX91" s="30" t="str">
        <f>IF(_Calcs_Klasse!$AI$27=2,"✓",IF(AND(_Calcs_Klasse!$AI$27=1,_Calcs!$NR$346=0),"✓","!"))</f>
        <v>✓</v>
      </c>
      <c r="AY91" s="1227"/>
      <c r="AZ91" s="1241"/>
      <c r="BA91" s="16"/>
      <c r="BB91" s="1231"/>
      <c r="BC91" s="76"/>
      <c r="BD91" s="2313" t="str">
        <f>IFERROR(INDEX(outputs_klasse_qty[nett_total],MATCH(_Calcs_Klasse!$AZ$146,outputs_klasse_qty[klasse_stuff_id],0)),"")</f>
        <v/>
      </c>
      <c r="BE91" s="75"/>
      <c r="BF91" s="30" t="str">
        <f>IF(_Calcs_Klasse!$AI$27=2,"✓",IF(AND(_Calcs_Klasse!$AI$27=1,_Calcs!$NS$346=0),"✓","!"))</f>
        <v>✓</v>
      </c>
      <c r="BG91" s="1227"/>
      <c r="BH91" s="1241"/>
      <c r="BI91" s="16"/>
      <c r="BJ91" s="1231"/>
      <c r="BK91" s="76"/>
      <c r="BL91" s="2313" t="str">
        <f>IFERROR(INDEX(outputs_klasse_qty[nett_total],MATCH(_Calcs_Klasse!$BA$146,outputs_klasse_qty[klasse_stuff_id],0)),"")</f>
        <v/>
      </c>
      <c r="BM91" s="75"/>
      <c r="BN91" s="30" t="str">
        <f>IF(_Calcs_Klasse!$AI$27=2,"✓",IF(AND(_Calcs_Klasse!$AI$27=1,_Calcs!$NT$346=0),"✓","!"))</f>
        <v>✓</v>
      </c>
      <c r="BO91" s="1227"/>
      <c r="BP91" s="1241"/>
      <c r="BQ91" s="16"/>
      <c r="BR91" s="1231"/>
      <c r="BS91" s="76"/>
      <c r="BT91" s="2313" t="str">
        <f>IFERROR(INDEX(outputs_klasse_qty[nett_total],MATCH(_Calcs_Klasse!$BB$146,outputs_klasse_qty[klasse_stuff_id],0)),"")</f>
        <v/>
      </c>
      <c r="BU91" s="75"/>
      <c r="BV91" s="30" t="str">
        <f>IF(_Calcs_Klasse!$AI$27=2,"✓",IF(AND(_Calcs_Klasse!$AI$27=1,_Calcs!$NU$346=0),"✓","!"))</f>
        <v>✓</v>
      </c>
      <c r="BW91" s="1227"/>
      <c r="BX91" s="1241"/>
      <c r="BY91" s="16"/>
      <c r="BZ91" s="1231"/>
      <c r="CA91" s="76"/>
      <c r="CB91" s="2313" t="str">
        <f>IFERROR(INDEX(outputs_klasse_qty[nett_total],MATCH(_Calcs_Klasse!$BC$146,outputs_klasse_qty[klasse_stuff_id],0)),"")</f>
        <v/>
      </c>
      <c r="CC91" s="75"/>
      <c r="CD91" s="30" t="str">
        <f>IF(_Calcs_Klasse!$AI$27=2,"✓",IF(AND(_Calcs_Klasse!$AI$27=1,_Calcs!$NV$346=0),"✓","!"))</f>
        <v>✓</v>
      </c>
      <c r="CE91" s="1227"/>
      <c r="CF91" s="1241"/>
      <c r="CG91" s="16"/>
      <c r="CH91" s="1231"/>
      <c r="CI91" s="76"/>
      <c r="CJ91" s="2313" t="str">
        <f>IFERROR(INDEX(outputs_klasse_qty[nett_total],MATCH(_Calcs_Klasse!$BD$146,outputs_klasse_qty[klasse_stuff_id],0)),"")</f>
        <v/>
      </c>
      <c r="CK91" s="75"/>
      <c r="CL91" s="30" t="str">
        <f>IF(_Calcs_Klasse!$AI$27=2,"✓",IF(AND(_Calcs_Klasse!$AI$27=1,_Calcs!$NW$346=0),"✓","!"))</f>
        <v>✓</v>
      </c>
      <c r="CM91" s="1227"/>
      <c r="CN91" s="1241"/>
      <c r="CO91" s="16"/>
      <c r="CP91" s="173"/>
    </row>
    <row r="92" spans="1:94" s="78" customFormat="1" ht="15" customHeight="1" thickBot="1" x14ac:dyDescent="0.25">
      <c r="A92" s="104"/>
      <c r="B92" s="104"/>
      <c r="C92" s="1251"/>
      <c r="D92" s="20"/>
      <c r="E92" s="665"/>
      <c r="F92" s="659"/>
      <c r="G92" s="659"/>
      <c r="H92" s="659"/>
      <c r="I92" s="659"/>
      <c r="J92" s="655"/>
      <c r="K92" s="655"/>
      <c r="L92" s="1245"/>
      <c r="M92" s="1245"/>
      <c r="N92" s="1245"/>
      <c r="O92" s="659"/>
      <c r="P92" s="1230"/>
      <c r="R92" s="1158"/>
      <c r="S92" s="1159"/>
      <c r="T92" s="1160"/>
      <c r="U92" s="16"/>
      <c r="V92" s="1229"/>
      <c r="W92" s="659"/>
      <c r="X92" s="1242"/>
      <c r="Y92" s="659"/>
      <c r="Z92" s="659"/>
      <c r="AA92" s="1243"/>
      <c r="AB92" s="1244"/>
      <c r="AC92" s="16"/>
      <c r="AD92" s="1229"/>
      <c r="AE92" s="659"/>
      <c r="AF92" s="1242"/>
      <c r="AG92" s="659"/>
      <c r="AH92" s="659"/>
      <c r="AI92" s="1243"/>
      <c r="AJ92" s="1244"/>
      <c r="AK92" s="16"/>
      <c r="AL92" s="1229"/>
      <c r="AM92" s="659"/>
      <c r="AN92" s="1242"/>
      <c r="AO92" s="659"/>
      <c r="AP92" s="659"/>
      <c r="AQ92" s="1243"/>
      <c r="AR92" s="1244"/>
      <c r="AS92" s="16"/>
      <c r="AT92" s="1229"/>
      <c r="AU92" s="659"/>
      <c r="AV92" s="1242"/>
      <c r="AW92" s="659"/>
      <c r="AX92" s="659"/>
      <c r="AY92" s="1243"/>
      <c r="AZ92" s="1244"/>
      <c r="BA92" s="16"/>
      <c r="BB92" s="1229"/>
      <c r="BC92" s="659"/>
      <c r="BD92" s="1242"/>
      <c r="BE92" s="659"/>
      <c r="BF92" s="659"/>
      <c r="BG92" s="1243"/>
      <c r="BH92" s="1244"/>
      <c r="BI92" s="16"/>
      <c r="BJ92" s="1229"/>
      <c r="BK92" s="659"/>
      <c r="BL92" s="1242"/>
      <c r="BM92" s="659"/>
      <c r="BN92" s="659"/>
      <c r="BO92" s="1243"/>
      <c r="BP92" s="1244"/>
      <c r="BQ92" s="16"/>
      <c r="BR92" s="1229"/>
      <c r="BS92" s="659"/>
      <c r="BT92" s="1242"/>
      <c r="BU92" s="659"/>
      <c r="BV92" s="659"/>
      <c r="BW92" s="1243"/>
      <c r="BX92" s="1244"/>
      <c r="BY92" s="16"/>
      <c r="BZ92" s="1229"/>
      <c r="CA92" s="659"/>
      <c r="CB92" s="1242"/>
      <c r="CC92" s="659"/>
      <c r="CD92" s="659"/>
      <c r="CE92" s="1243"/>
      <c r="CF92" s="1244"/>
      <c r="CG92" s="16"/>
      <c r="CH92" s="1229"/>
      <c r="CI92" s="659"/>
      <c r="CJ92" s="1242"/>
      <c r="CK92" s="659"/>
      <c r="CL92" s="659"/>
      <c r="CM92" s="1243"/>
      <c r="CN92" s="1244"/>
      <c r="CO92" s="16"/>
      <c r="CP92" s="173"/>
    </row>
    <row r="93" spans="1:94" s="21" customFormat="1" ht="24.95" customHeight="1" thickBot="1" x14ac:dyDescent="0.25">
      <c r="A93" s="104"/>
      <c r="B93" s="104"/>
      <c r="C93" s="1251"/>
      <c r="D93" s="104"/>
      <c r="E93" s="104"/>
      <c r="F93" s="104"/>
      <c r="G93" s="104"/>
      <c r="H93" s="104"/>
      <c r="I93" s="104"/>
      <c r="J93" s="104"/>
      <c r="K93" s="104"/>
      <c r="L93" s="104"/>
      <c r="M93" s="104"/>
      <c r="N93" s="104"/>
      <c r="O93" s="104"/>
      <c r="P93" s="104"/>
      <c r="R93" s="70"/>
      <c r="S93" s="114"/>
      <c r="T93" s="70"/>
      <c r="U93" s="16"/>
      <c r="V93" s="104"/>
      <c r="W93" s="104"/>
      <c r="X93" s="306"/>
      <c r="Y93" s="104"/>
      <c r="Z93" s="104"/>
      <c r="AA93" s="104"/>
      <c r="AB93" s="104"/>
      <c r="AC93" s="16"/>
      <c r="AD93" s="104"/>
      <c r="AE93" s="104"/>
      <c r="AF93" s="306"/>
      <c r="AG93" s="104"/>
      <c r="AH93" s="104"/>
      <c r="AI93" s="104"/>
      <c r="AJ93" s="104"/>
      <c r="AK93" s="16"/>
      <c r="AL93" s="104"/>
      <c r="AM93" s="104"/>
      <c r="AN93" s="306"/>
      <c r="AO93" s="104"/>
      <c r="AP93" s="104"/>
      <c r="AQ93" s="104"/>
      <c r="AR93" s="104"/>
      <c r="AS93" s="16"/>
      <c r="AT93" s="104"/>
      <c r="AU93" s="104"/>
      <c r="AV93" s="306"/>
      <c r="AW93" s="104"/>
      <c r="AX93" s="104"/>
      <c r="AY93" s="104"/>
      <c r="AZ93" s="104"/>
      <c r="BA93" s="16"/>
      <c r="BB93" s="104"/>
      <c r="BC93" s="104"/>
      <c r="BD93" s="306"/>
      <c r="BE93" s="104"/>
      <c r="BF93" s="104"/>
      <c r="BG93" s="104"/>
      <c r="BH93" s="104"/>
      <c r="BI93" s="16"/>
      <c r="BJ93" s="104"/>
      <c r="BK93" s="104"/>
      <c r="BL93" s="306"/>
      <c r="BM93" s="104"/>
      <c r="BN93" s="104"/>
      <c r="BO93" s="104"/>
      <c r="BP93" s="104"/>
      <c r="BQ93" s="16"/>
      <c r="BR93" s="104"/>
      <c r="BS93" s="104"/>
      <c r="BT93" s="306"/>
      <c r="BU93" s="104"/>
      <c r="BV93" s="104"/>
      <c r="BW93" s="104"/>
      <c r="BX93" s="104"/>
      <c r="BY93" s="16"/>
      <c r="BZ93" s="104"/>
      <c r="CA93" s="104"/>
      <c r="CB93" s="306"/>
      <c r="CC93" s="104"/>
      <c r="CD93" s="104"/>
      <c r="CE93" s="104"/>
      <c r="CF93" s="104"/>
      <c r="CG93" s="16"/>
      <c r="CH93" s="104"/>
      <c r="CI93" s="104"/>
      <c r="CJ93" s="306"/>
      <c r="CK93" s="104"/>
      <c r="CL93" s="104"/>
      <c r="CM93" s="104"/>
      <c r="CN93" s="104"/>
      <c r="CO93" s="16"/>
      <c r="CP93" s="104"/>
    </row>
    <row r="94" spans="1:94" s="78" customFormat="1" ht="15" customHeight="1" thickBot="1" x14ac:dyDescent="0.25">
      <c r="A94" s="104"/>
      <c r="B94" s="104"/>
      <c r="C94" s="1251"/>
      <c r="D94" s="20"/>
      <c r="E94" s="1219"/>
      <c r="F94" s="6597" t="str">
        <f>_Calcs!$K$65</f>
        <v>Sprøytebetong</v>
      </c>
      <c r="G94" s="6597"/>
      <c r="H94" s="6597"/>
      <c r="I94" s="6597"/>
      <c r="J94" s="6597"/>
      <c r="K94" s="6597"/>
      <c r="L94" s="6597"/>
      <c r="M94" s="6597"/>
      <c r="N94" s="6597"/>
      <c r="O94" s="6597"/>
      <c r="P94" s="1220"/>
      <c r="R94" s="7"/>
      <c r="S94" s="7"/>
      <c r="T94" s="7"/>
      <c r="U94" s="16"/>
      <c r="V94" s="16"/>
      <c r="W94" s="16"/>
      <c r="X94" s="22"/>
      <c r="Y94" s="16"/>
      <c r="Z94" s="19"/>
      <c r="AA94" s="21"/>
      <c r="AB94" s="21"/>
      <c r="AC94" s="16"/>
      <c r="AD94" s="16"/>
      <c r="AE94" s="16"/>
      <c r="AF94" s="22"/>
      <c r="AG94" s="16"/>
      <c r="AH94" s="19"/>
      <c r="AI94" s="21"/>
      <c r="AJ94" s="21"/>
      <c r="AK94" s="16"/>
      <c r="AL94" s="16"/>
      <c r="AM94" s="16"/>
      <c r="AN94" s="22"/>
      <c r="AO94" s="16"/>
      <c r="AP94" s="19"/>
      <c r="AQ94" s="21"/>
      <c r="AR94" s="21"/>
      <c r="AS94" s="16"/>
      <c r="AT94" s="16"/>
      <c r="AU94" s="16"/>
      <c r="AV94" s="22"/>
      <c r="AW94" s="16"/>
      <c r="AX94" s="19"/>
      <c r="AY94" s="21"/>
      <c r="AZ94" s="21"/>
      <c r="BA94" s="16"/>
      <c r="BB94" s="16"/>
      <c r="BC94" s="16"/>
      <c r="BD94" s="22"/>
      <c r="BE94" s="16"/>
      <c r="BF94" s="19"/>
      <c r="BG94" s="21"/>
      <c r="BH94" s="21"/>
      <c r="BI94" s="16"/>
      <c r="BJ94" s="16"/>
      <c r="BK94" s="16"/>
      <c r="BL94" s="22"/>
      <c r="BM94" s="16"/>
      <c r="BN94" s="19"/>
      <c r="BO94" s="21"/>
      <c r="BP94" s="21"/>
      <c r="BQ94" s="16"/>
      <c r="BR94" s="16"/>
      <c r="BS94" s="16"/>
      <c r="BT94" s="22"/>
      <c r="BU94" s="16"/>
      <c r="BV94" s="19"/>
      <c r="BW94" s="21"/>
      <c r="BX94" s="21"/>
      <c r="BY94" s="16"/>
      <c r="BZ94" s="16"/>
      <c r="CA94" s="16"/>
      <c r="CB94" s="22"/>
      <c r="CC94" s="16"/>
      <c r="CD94" s="19"/>
      <c r="CE94" s="21"/>
      <c r="CF94" s="21"/>
      <c r="CG94" s="16"/>
      <c r="CH94" s="16"/>
      <c r="CI94" s="16"/>
      <c r="CJ94" s="22"/>
      <c r="CK94" s="16"/>
      <c r="CL94" s="19"/>
      <c r="CM94" s="21"/>
      <c r="CN94" s="21"/>
      <c r="CO94" s="16"/>
      <c r="CP94" s="21"/>
    </row>
    <row r="95" spans="1:94" s="78" customFormat="1" ht="15" customHeight="1" thickBot="1" x14ac:dyDescent="0.25">
      <c r="A95" s="104"/>
      <c r="B95" s="104"/>
      <c r="C95" s="1251"/>
      <c r="D95" s="20"/>
      <c r="E95" s="1221"/>
      <c r="F95" s="6598"/>
      <c r="G95" s="6598"/>
      <c r="H95" s="6598"/>
      <c r="I95" s="6598"/>
      <c r="J95" s="6598"/>
      <c r="K95" s="6598"/>
      <c r="L95" s="6598"/>
      <c r="M95" s="6598"/>
      <c r="N95" s="6598"/>
      <c r="O95" s="6598"/>
      <c r="P95" s="1222"/>
      <c r="R95" s="1215"/>
      <c r="S95" s="1216"/>
      <c r="T95" s="1217"/>
      <c r="U95" s="16"/>
      <c r="V95" s="692"/>
      <c r="W95" s="693"/>
      <c r="X95" s="1233"/>
      <c r="Y95" s="693"/>
      <c r="Z95" s="1234"/>
      <c r="AA95" s="748"/>
      <c r="AB95" s="1235"/>
      <c r="AC95" s="16"/>
      <c r="AD95" s="692"/>
      <c r="AE95" s="693"/>
      <c r="AF95" s="1233"/>
      <c r="AG95" s="693"/>
      <c r="AH95" s="1234"/>
      <c r="AI95" s="748"/>
      <c r="AJ95" s="1235"/>
      <c r="AK95" s="16"/>
      <c r="AL95" s="692"/>
      <c r="AM95" s="693"/>
      <c r="AN95" s="1233"/>
      <c r="AO95" s="693"/>
      <c r="AP95" s="1234"/>
      <c r="AQ95" s="748"/>
      <c r="AR95" s="1235"/>
      <c r="AS95" s="16"/>
      <c r="AT95" s="692"/>
      <c r="AU95" s="693"/>
      <c r="AV95" s="1233"/>
      <c r="AW95" s="693"/>
      <c r="AX95" s="1234"/>
      <c r="AY95" s="748"/>
      <c r="AZ95" s="1235"/>
      <c r="BA95" s="16"/>
      <c r="BB95" s="692"/>
      <c r="BC95" s="693"/>
      <c r="BD95" s="1233"/>
      <c r="BE95" s="693"/>
      <c r="BF95" s="1234"/>
      <c r="BG95" s="748"/>
      <c r="BH95" s="1235"/>
      <c r="BI95" s="16"/>
      <c r="BJ95" s="692"/>
      <c r="BK95" s="693"/>
      <c r="BL95" s="1233"/>
      <c r="BM95" s="693"/>
      <c r="BN95" s="1234"/>
      <c r="BO95" s="748"/>
      <c r="BP95" s="1235"/>
      <c r="BQ95" s="16"/>
      <c r="BR95" s="692"/>
      <c r="BS95" s="693"/>
      <c r="BT95" s="1233"/>
      <c r="BU95" s="693"/>
      <c r="BV95" s="1234"/>
      <c r="BW95" s="748"/>
      <c r="BX95" s="1235"/>
      <c r="BY95" s="16"/>
      <c r="BZ95" s="692"/>
      <c r="CA95" s="693"/>
      <c r="CB95" s="1233"/>
      <c r="CC95" s="693"/>
      <c r="CD95" s="1234"/>
      <c r="CE95" s="748"/>
      <c r="CF95" s="1235"/>
      <c r="CG95" s="16"/>
      <c r="CH95" s="692"/>
      <c r="CI95" s="693"/>
      <c r="CJ95" s="1233"/>
      <c r="CK95" s="693"/>
      <c r="CL95" s="1234"/>
      <c r="CM95" s="748"/>
      <c r="CN95" s="1235"/>
      <c r="CO95" s="16"/>
      <c r="CP95" s="172"/>
    </row>
    <row r="96" spans="1:94" s="78" customFormat="1" ht="8.1" customHeight="1" thickBot="1" x14ac:dyDescent="0.25">
      <c r="A96" s="104"/>
      <c r="B96" s="104"/>
      <c r="C96" s="1251"/>
      <c r="D96" s="20"/>
      <c r="E96" s="15"/>
      <c r="F96" s="1212"/>
      <c r="G96" s="1212"/>
      <c r="H96" s="1212"/>
      <c r="I96" s="1212"/>
      <c r="J96" s="16"/>
      <c r="K96" s="16"/>
      <c r="L96" s="19"/>
      <c r="M96" s="19"/>
      <c r="N96" s="19"/>
      <c r="O96" s="15"/>
      <c r="P96" s="15"/>
      <c r="R96" s="70"/>
      <c r="S96" s="114"/>
      <c r="T96" s="70"/>
      <c r="U96" s="16"/>
      <c r="V96" s="16"/>
      <c r="W96" s="16"/>
      <c r="X96" s="22"/>
      <c r="Y96" s="16"/>
      <c r="Z96" s="19"/>
      <c r="AA96" s="21"/>
      <c r="AB96" s="21"/>
      <c r="AC96" s="16"/>
      <c r="AD96" s="16"/>
      <c r="AE96" s="16"/>
      <c r="AF96" s="22"/>
      <c r="AG96" s="16"/>
      <c r="AH96" s="19"/>
      <c r="AI96" s="21"/>
      <c r="AJ96" s="21"/>
      <c r="AK96" s="16"/>
      <c r="AL96" s="16"/>
      <c r="AM96" s="16"/>
      <c r="AN96" s="22"/>
      <c r="AO96" s="16"/>
      <c r="AP96" s="19"/>
      <c r="AQ96" s="21"/>
      <c r="AR96" s="21"/>
      <c r="AS96" s="16"/>
      <c r="AT96" s="16"/>
      <c r="AU96" s="16"/>
      <c r="AV96" s="22"/>
      <c r="AW96" s="16"/>
      <c r="AX96" s="19"/>
      <c r="AY96" s="21"/>
      <c r="AZ96" s="21"/>
      <c r="BA96" s="16"/>
      <c r="BB96" s="16"/>
      <c r="BC96" s="16"/>
      <c r="BD96" s="22"/>
      <c r="BE96" s="16"/>
      <c r="BF96" s="19"/>
      <c r="BG96" s="21"/>
      <c r="BH96" s="21"/>
      <c r="BI96" s="16"/>
      <c r="BJ96" s="16"/>
      <c r="BK96" s="16"/>
      <c r="BL96" s="22"/>
      <c r="BM96" s="16"/>
      <c r="BN96" s="19"/>
      <c r="BO96" s="21"/>
      <c r="BP96" s="21"/>
      <c r="BQ96" s="16"/>
      <c r="BR96" s="16"/>
      <c r="BS96" s="16"/>
      <c r="BT96" s="22"/>
      <c r="BU96" s="16"/>
      <c r="BV96" s="19"/>
      <c r="BW96" s="21"/>
      <c r="BX96" s="21"/>
      <c r="BY96" s="16"/>
      <c r="BZ96" s="16"/>
      <c r="CA96" s="16"/>
      <c r="CB96" s="22"/>
      <c r="CC96" s="16"/>
      <c r="CD96" s="19"/>
      <c r="CE96" s="21"/>
      <c r="CF96" s="21"/>
      <c r="CG96" s="16"/>
      <c r="CH96" s="16"/>
      <c r="CI96" s="16"/>
      <c r="CJ96" s="22"/>
      <c r="CK96" s="16"/>
      <c r="CL96" s="19"/>
      <c r="CM96" s="21"/>
      <c r="CN96" s="21"/>
      <c r="CO96" s="16"/>
      <c r="CP96" s="21"/>
    </row>
    <row r="97" spans="1:94" s="78" customFormat="1" ht="15" customHeight="1" thickBot="1" x14ac:dyDescent="0.25">
      <c r="A97" s="104"/>
      <c r="B97" s="104"/>
      <c r="C97" s="1251"/>
      <c r="D97" s="20"/>
      <c r="E97" s="660"/>
      <c r="F97" s="658"/>
      <c r="G97" s="658"/>
      <c r="H97" s="658"/>
      <c r="I97" s="658"/>
      <c r="J97" s="643"/>
      <c r="K97" s="643"/>
      <c r="L97" s="1224"/>
      <c r="M97" s="1224"/>
      <c r="N97" s="1224"/>
      <c r="O97" s="658"/>
      <c r="P97" s="1225"/>
      <c r="R97" s="1153"/>
      <c r="S97" s="1154"/>
      <c r="T97" s="1155"/>
      <c r="U97" s="16"/>
      <c r="V97" s="1223"/>
      <c r="W97" s="658"/>
      <c r="X97" s="1257"/>
      <c r="Y97" s="643"/>
      <c r="Z97" s="1224"/>
      <c r="AA97" s="1238"/>
      <c r="AB97" s="1239"/>
      <c r="AC97" s="16"/>
      <c r="AD97" s="1223"/>
      <c r="AE97" s="658"/>
      <c r="AF97" s="1257"/>
      <c r="AG97" s="643"/>
      <c r="AH97" s="1224"/>
      <c r="AI97" s="1238"/>
      <c r="AJ97" s="1239"/>
      <c r="AK97" s="16"/>
      <c r="AL97" s="1223"/>
      <c r="AM97" s="658"/>
      <c r="AN97" s="1257"/>
      <c r="AO97" s="643"/>
      <c r="AP97" s="1224"/>
      <c r="AQ97" s="1238"/>
      <c r="AR97" s="1239"/>
      <c r="AS97" s="16"/>
      <c r="AT97" s="1223"/>
      <c r="AU97" s="658"/>
      <c r="AV97" s="1257"/>
      <c r="AW97" s="643"/>
      <c r="AX97" s="1224"/>
      <c r="AY97" s="1238"/>
      <c r="AZ97" s="1239"/>
      <c r="BA97" s="16"/>
      <c r="BB97" s="1223"/>
      <c r="BC97" s="658"/>
      <c r="BD97" s="1257"/>
      <c r="BE97" s="643"/>
      <c r="BF97" s="1224"/>
      <c r="BG97" s="1238"/>
      <c r="BH97" s="1239"/>
      <c r="BI97" s="16"/>
      <c r="BJ97" s="1223"/>
      <c r="BK97" s="658"/>
      <c r="BL97" s="1257"/>
      <c r="BM97" s="643"/>
      <c r="BN97" s="1224"/>
      <c r="BO97" s="1238"/>
      <c r="BP97" s="1239"/>
      <c r="BQ97" s="16"/>
      <c r="BR97" s="1223"/>
      <c r="BS97" s="658"/>
      <c r="BT97" s="1257"/>
      <c r="BU97" s="643"/>
      <c r="BV97" s="1224"/>
      <c r="BW97" s="1238"/>
      <c r="BX97" s="1239"/>
      <c r="BY97" s="16"/>
      <c r="BZ97" s="1223"/>
      <c r="CA97" s="658"/>
      <c r="CB97" s="1257"/>
      <c r="CC97" s="643"/>
      <c r="CD97" s="1224"/>
      <c r="CE97" s="1238"/>
      <c r="CF97" s="1239"/>
      <c r="CG97" s="16"/>
      <c r="CH97" s="1223"/>
      <c r="CI97" s="658"/>
      <c r="CJ97" s="1257"/>
      <c r="CK97" s="643"/>
      <c r="CL97" s="1224"/>
      <c r="CM97" s="1238"/>
      <c r="CN97" s="1239"/>
      <c r="CO97" s="16"/>
      <c r="CP97" s="173"/>
    </row>
    <row r="98" spans="1:94" s="78" customFormat="1" ht="20.100000000000001" customHeight="1" thickBot="1" x14ac:dyDescent="0.25">
      <c r="A98" s="104"/>
      <c r="B98" s="104"/>
      <c r="C98" s="1251"/>
      <c r="D98" s="20"/>
      <c r="E98" s="663"/>
      <c r="F98" s="76" t="str">
        <f>_Calcs!$M$65</f>
        <v>Sprøytebetong, all bruk</v>
      </c>
      <c r="G98" s="76"/>
      <c r="H98" s="76"/>
      <c r="I98" s="76"/>
      <c r="J98" s="75"/>
      <c r="K98" s="75"/>
      <c r="L98" s="1227"/>
      <c r="M98" s="1227"/>
      <c r="N98" s="1227"/>
      <c r="O98" s="76" t="s">
        <v>86</v>
      </c>
      <c r="P98" s="1228"/>
      <c r="Q98" s="21"/>
      <c r="R98" s="1156"/>
      <c r="S98" s="2301">
        <f>IFERROR(INDEX(outputs_klasse_qty[sprøyte_total],MATCH(_Calcs_Klasse!$CC$54,outputs_klasse_qty[Navn],0)),"")</f>
        <v>0</v>
      </c>
      <c r="T98" s="1157"/>
      <c r="U98" s="16"/>
      <c r="V98" s="1231"/>
      <c r="W98" s="76"/>
      <c r="X98" s="2313">
        <f>IFERROR(INDEX(outputs_klasse_qty[sprøyte_total],MATCH(_Calcs_Klasse!$AV$146,outputs_klasse_qty[klasse_stuff_id],0)),"")</f>
        <v>0</v>
      </c>
      <c r="Y98" s="75"/>
      <c r="Z98" s="30" t="str">
        <f>IF(_Calcs_Klasse!$AI$27=2,"✓",IF(AND(_Calcs_Klasse!$AI$27=1,_Calcs!$NO$346=0),"✓","!"))</f>
        <v>✓</v>
      </c>
      <c r="AA98" s="1227"/>
      <c r="AB98" s="1241"/>
      <c r="AC98" s="16"/>
      <c r="AD98" s="1231"/>
      <c r="AE98" s="76"/>
      <c r="AF98" s="2313" t="str">
        <f>IFERROR(INDEX(outputs_klasse_qty[sprøyte_total],MATCH(_Calcs_Klasse!$AW$146,outputs_klasse_qty[klasse_stuff_id],0)),"")</f>
        <v/>
      </c>
      <c r="AG98" s="75"/>
      <c r="AH98" s="30" t="str">
        <f>IF(_Calcs_Klasse!$AI$27=2,"✓",IF(AND(_Calcs_Klasse!$AI$27=1,_Calcs!$NP$346=0),"✓","!"))</f>
        <v>✓</v>
      </c>
      <c r="AI98" s="1227"/>
      <c r="AJ98" s="1241"/>
      <c r="AK98" s="16"/>
      <c r="AL98" s="1231"/>
      <c r="AM98" s="76"/>
      <c r="AN98" s="2313" t="str">
        <f>IFERROR(INDEX(outputs_klasse_qty[sprøyte_total],MATCH(_Calcs_Klasse!$AX$146,outputs_klasse_qty[klasse_stuff_id],0)),"")</f>
        <v/>
      </c>
      <c r="AO98" s="75"/>
      <c r="AP98" s="30" t="str">
        <f>IF(_Calcs_Klasse!$AI$27=2,"✓",IF(AND(_Calcs_Klasse!$AI$27=1,_Calcs!$NQ$346=0),"✓","!"))</f>
        <v>✓</v>
      </c>
      <c r="AQ98" s="1227"/>
      <c r="AR98" s="1241"/>
      <c r="AS98" s="16"/>
      <c r="AT98" s="1231"/>
      <c r="AU98" s="76"/>
      <c r="AV98" s="2313" t="str">
        <f>IFERROR(INDEX(outputs_klasse_qty[sprøyte_total],MATCH(_Calcs_Klasse!$AY$146,outputs_klasse_qty[klasse_stuff_id],0)),"")</f>
        <v/>
      </c>
      <c r="AW98" s="75"/>
      <c r="AX98" s="30" t="str">
        <f>IF(_Calcs_Klasse!$AI$27=2,"✓",IF(AND(_Calcs_Klasse!$AI$27=1,_Calcs!$NR$346=0),"✓","!"))</f>
        <v>✓</v>
      </c>
      <c r="AY98" s="1227"/>
      <c r="AZ98" s="1241"/>
      <c r="BA98" s="16"/>
      <c r="BB98" s="1231"/>
      <c r="BC98" s="76"/>
      <c r="BD98" s="2313" t="str">
        <f>IFERROR(INDEX(outputs_klasse_qty[sprøyte_total],MATCH(_Calcs_Klasse!$AZ$146,outputs_klasse_qty[klasse_stuff_id],0)),"")</f>
        <v/>
      </c>
      <c r="BE98" s="75"/>
      <c r="BF98" s="30" t="str">
        <f>IF(_Calcs_Klasse!$AI$27=2,"✓",IF(AND(_Calcs_Klasse!$AI$27=1,_Calcs!$NS$346=0),"✓","!"))</f>
        <v>✓</v>
      </c>
      <c r="BG98" s="1227"/>
      <c r="BH98" s="1241"/>
      <c r="BI98" s="16"/>
      <c r="BJ98" s="1231"/>
      <c r="BK98" s="76"/>
      <c r="BL98" s="2313" t="str">
        <f>IFERROR(INDEX(outputs_klasse_qty[sprøyte_total],MATCH(_Calcs_Klasse!$BA$146,outputs_klasse_qty[klasse_stuff_id],0)),"")</f>
        <v/>
      </c>
      <c r="BM98" s="75"/>
      <c r="BN98" s="30" t="str">
        <f>IF(_Calcs_Klasse!$AI$27=2,"✓",IF(AND(_Calcs_Klasse!$AI$27=1,_Calcs!$NT$346=0),"✓","!"))</f>
        <v>✓</v>
      </c>
      <c r="BO98" s="1227"/>
      <c r="BP98" s="1241"/>
      <c r="BQ98" s="16"/>
      <c r="BR98" s="1231"/>
      <c r="BS98" s="76"/>
      <c r="BT98" s="2313" t="str">
        <f>IFERROR(INDEX(outputs_klasse_qty[sprøyte_total],MATCH(_Calcs_Klasse!$BB$146,outputs_klasse_qty[klasse_stuff_id],0)),"")</f>
        <v/>
      </c>
      <c r="BU98" s="75"/>
      <c r="BV98" s="30" t="str">
        <f>IF(_Calcs_Klasse!$AI$27=2,"✓",IF(AND(_Calcs_Klasse!$AI$27=1,_Calcs!$NU$346=0),"✓","!"))</f>
        <v>✓</v>
      </c>
      <c r="BW98" s="1227"/>
      <c r="BX98" s="1241"/>
      <c r="BY98" s="16"/>
      <c r="BZ98" s="1231"/>
      <c r="CA98" s="76"/>
      <c r="CB98" s="2313" t="str">
        <f>IFERROR(INDEX(outputs_klasse_qty[sprøyte_total],MATCH(_Calcs_Klasse!$BC$146,outputs_klasse_qty[klasse_stuff_id],0)),"")</f>
        <v/>
      </c>
      <c r="CC98" s="75"/>
      <c r="CD98" s="30" t="str">
        <f>IF(_Calcs_Klasse!$AI$27=2,"✓",IF(AND(_Calcs_Klasse!$AI$27=1,_Calcs!$NV$346=0),"✓","!"))</f>
        <v>✓</v>
      </c>
      <c r="CE98" s="1227"/>
      <c r="CF98" s="1241"/>
      <c r="CG98" s="16"/>
      <c r="CH98" s="1231"/>
      <c r="CI98" s="76"/>
      <c r="CJ98" s="2313" t="str">
        <f>IFERROR(INDEX(outputs_klasse_qty[sprøyte_total],MATCH(_Calcs_Klasse!$BD$146,outputs_klasse_qty[klasse_stuff_id],0)),"")</f>
        <v/>
      </c>
      <c r="CK98" s="75"/>
      <c r="CL98" s="30" t="str">
        <f>IF(_Calcs_Klasse!$AI$27=2,"✓",IF(AND(_Calcs_Klasse!$AI$27=1,_Calcs!$NW$346=0),"✓","!"))</f>
        <v>✓</v>
      </c>
      <c r="CM98" s="1227"/>
      <c r="CN98" s="1241"/>
      <c r="CO98" s="16"/>
      <c r="CP98" s="173"/>
    </row>
    <row r="99" spans="1:94" s="78" customFormat="1" ht="15" customHeight="1" thickBot="1" x14ac:dyDescent="0.25">
      <c r="A99" s="104"/>
      <c r="B99" s="104"/>
      <c r="C99" s="1251"/>
      <c r="D99" s="20"/>
      <c r="E99" s="665"/>
      <c r="F99" s="1246"/>
      <c r="G99" s="1246"/>
      <c r="H99" s="1246"/>
      <c r="I99" s="1246"/>
      <c r="J99" s="1246"/>
      <c r="K99" s="1246"/>
      <c r="L99" s="1246"/>
      <c r="M99" s="1246"/>
      <c r="N99" s="1246"/>
      <c r="O99" s="659"/>
      <c r="P99" s="1230"/>
      <c r="R99" s="1158"/>
      <c r="S99" s="1159"/>
      <c r="T99" s="1160"/>
      <c r="U99" s="16"/>
      <c r="V99" s="665"/>
      <c r="W99" s="1246"/>
      <c r="X99" s="1258"/>
      <c r="Y99" s="1246"/>
      <c r="Z99" s="1246"/>
      <c r="AA99" s="1243"/>
      <c r="AB99" s="1244"/>
      <c r="AC99" s="16"/>
      <c r="AD99" s="665"/>
      <c r="AE99" s="1246"/>
      <c r="AF99" s="1258"/>
      <c r="AG99" s="1246"/>
      <c r="AH99" s="1246"/>
      <c r="AI99" s="1243"/>
      <c r="AJ99" s="1244"/>
      <c r="AK99" s="16"/>
      <c r="AL99" s="665"/>
      <c r="AM99" s="1246"/>
      <c r="AN99" s="1258"/>
      <c r="AO99" s="1246"/>
      <c r="AP99" s="1246"/>
      <c r="AQ99" s="1243"/>
      <c r="AR99" s="1244"/>
      <c r="AS99" s="16"/>
      <c r="AT99" s="665"/>
      <c r="AU99" s="1246"/>
      <c r="AV99" s="1258"/>
      <c r="AW99" s="1246"/>
      <c r="AX99" s="1246"/>
      <c r="AY99" s="1243"/>
      <c r="AZ99" s="1244"/>
      <c r="BA99" s="16"/>
      <c r="BB99" s="665"/>
      <c r="BC99" s="1246"/>
      <c r="BD99" s="1258"/>
      <c r="BE99" s="1246"/>
      <c r="BF99" s="1246"/>
      <c r="BG99" s="1243"/>
      <c r="BH99" s="1244"/>
      <c r="BI99" s="16"/>
      <c r="BJ99" s="665"/>
      <c r="BK99" s="1246"/>
      <c r="BL99" s="1258"/>
      <c r="BM99" s="1246"/>
      <c r="BN99" s="1246"/>
      <c r="BO99" s="1243"/>
      <c r="BP99" s="1244"/>
      <c r="BQ99" s="16"/>
      <c r="BR99" s="665"/>
      <c r="BS99" s="1246"/>
      <c r="BT99" s="1258"/>
      <c r="BU99" s="1246"/>
      <c r="BV99" s="1246"/>
      <c r="BW99" s="1243"/>
      <c r="BX99" s="1244"/>
      <c r="BY99" s="16"/>
      <c r="BZ99" s="665"/>
      <c r="CA99" s="1246"/>
      <c r="CB99" s="1258"/>
      <c r="CC99" s="1246"/>
      <c r="CD99" s="1246"/>
      <c r="CE99" s="1243"/>
      <c r="CF99" s="1244"/>
      <c r="CG99" s="16"/>
      <c r="CH99" s="665"/>
      <c r="CI99" s="1246"/>
      <c r="CJ99" s="1258"/>
      <c r="CK99" s="1246"/>
      <c r="CL99" s="1246"/>
      <c r="CM99" s="1243"/>
      <c r="CN99" s="1244"/>
      <c r="CO99" s="16"/>
      <c r="CP99" s="173"/>
    </row>
    <row r="100" spans="1:94" s="21" customFormat="1" ht="24.95" customHeight="1" thickBot="1" x14ac:dyDescent="0.25">
      <c r="A100" s="104"/>
      <c r="B100" s="104"/>
      <c r="C100" s="1251"/>
      <c r="D100" s="104"/>
      <c r="E100" s="104"/>
      <c r="F100" s="104"/>
      <c r="G100" s="104"/>
      <c r="H100" s="104"/>
      <c r="I100" s="104"/>
      <c r="J100" s="104"/>
      <c r="K100" s="104"/>
      <c r="L100" s="104"/>
      <c r="M100" s="104"/>
      <c r="N100" s="104"/>
      <c r="O100" s="104"/>
      <c r="P100" s="104"/>
      <c r="R100" s="70"/>
      <c r="S100" s="114"/>
      <c r="T100" s="70"/>
      <c r="U100" s="16"/>
      <c r="V100" s="104"/>
      <c r="W100" s="104"/>
      <c r="X100" s="306"/>
      <c r="Y100" s="104"/>
      <c r="Z100" s="104"/>
      <c r="AA100" s="104"/>
      <c r="AB100" s="104"/>
      <c r="AC100" s="16"/>
      <c r="AD100" s="104"/>
      <c r="AE100" s="104"/>
      <c r="AF100" s="306"/>
      <c r="AG100" s="104"/>
      <c r="AH100" s="104"/>
      <c r="AI100" s="104"/>
      <c r="AJ100" s="104"/>
      <c r="AK100" s="16"/>
      <c r="AL100" s="104"/>
      <c r="AM100" s="104"/>
      <c r="AN100" s="306"/>
      <c r="AO100" s="104"/>
      <c r="AP100" s="104"/>
      <c r="AQ100" s="104"/>
      <c r="AR100" s="104"/>
      <c r="AS100" s="16"/>
      <c r="AT100" s="104"/>
      <c r="AU100" s="104"/>
      <c r="AV100" s="306"/>
      <c r="AW100" s="104"/>
      <c r="AX100" s="104"/>
      <c r="AY100" s="104"/>
      <c r="AZ100" s="104"/>
      <c r="BA100" s="16"/>
      <c r="BB100" s="104"/>
      <c r="BC100" s="104"/>
      <c r="BD100" s="306"/>
      <c r="BE100" s="104"/>
      <c r="BF100" s="104"/>
      <c r="BG100" s="104"/>
      <c r="BH100" s="104"/>
      <c r="BI100" s="16"/>
      <c r="BJ100" s="104"/>
      <c r="BK100" s="104"/>
      <c r="BL100" s="306"/>
      <c r="BM100" s="104"/>
      <c r="BN100" s="104"/>
      <c r="BO100" s="104"/>
      <c r="BP100" s="104"/>
      <c r="BQ100" s="16"/>
      <c r="BR100" s="104"/>
      <c r="BS100" s="104"/>
      <c r="BT100" s="306"/>
      <c r="BU100" s="104"/>
      <c r="BV100" s="104"/>
      <c r="BW100" s="104"/>
      <c r="BX100" s="104"/>
      <c r="BY100" s="16"/>
      <c r="BZ100" s="104"/>
      <c r="CA100" s="104"/>
      <c r="CB100" s="306"/>
      <c r="CC100" s="104"/>
      <c r="CD100" s="104"/>
      <c r="CE100" s="104"/>
      <c r="CF100" s="104"/>
      <c r="CG100" s="16"/>
      <c r="CH100" s="104"/>
      <c r="CI100" s="104"/>
      <c r="CJ100" s="306"/>
      <c r="CK100" s="104"/>
      <c r="CL100" s="104"/>
      <c r="CM100" s="104"/>
      <c r="CN100" s="104"/>
      <c r="CO100" s="16"/>
      <c r="CP100" s="104"/>
    </row>
    <row r="101" spans="1:94" s="78" customFormat="1" ht="15" customHeight="1" thickBot="1" x14ac:dyDescent="0.25">
      <c r="A101" s="104"/>
      <c r="B101" s="104"/>
      <c r="C101" s="1251"/>
      <c r="D101" s="20"/>
      <c r="E101" s="1219"/>
      <c r="F101" s="6597" t="str">
        <f>_Calcs!$K$66</f>
        <v>Sikringsbuer</v>
      </c>
      <c r="G101" s="6597"/>
      <c r="H101" s="6597"/>
      <c r="I101" s="6597"/>
      <c r="J101" s="6597"/>
      <c r="K101" s="6597"/>
      <c r="L101" s="6597"/>
      <c r="M101" s="6597"/>
      <c r="N101" s="6597"/>
      <c r="O101" s="6597"/>
      <c r="P101" s="1220"/>
      <c r="R101" s="7"/>
      <c r="S101" s="7"/>
      <c r="T101" s="7"/>
      <c r="U101" s="16"/>
      <c r="V101" s="16"/>
      <c r="W101" s="16"/>
      <c r="X101" s="22"/>
      <c r="Y101" s="16"/>
      <c r="Z101" s="19"/>
      <c r="AA101" s="21"/>
      <c r="AB101" s="21"/>
      <c r="AC101" s="16"/>
      <c r="AD101" s="16"/>
      <c r="AE101" s="16"/>
      <c r="AF101" s="22"/>
      <c r="AG101" s="16"/>
      <c r="AH101" s="19"/>
      <c r="AI101" s="21"/>
      <c r="AJ101" s="21"/>
      <c r="AK101" s="16"/>
      <c r="AL101" s="16"/>
      <c r="AM101" s="16"/>
      <c r="AN101" s="22"/>
      <c r="AO101" s="16"/>
      <c r="AP101" s="19"/>
      <c r="AQ101" s="21"/>
      <c r="AR101" s="21"/>
      <c r="AS101" s="16"/>
      <c r="AT101" s="16"/>
      <c r="AU101" s="16"/>
      <c r="AV101" s="22"/>
      <c r="AW101" s="16"/>
      <c r="AX101" s="19"/>
      <c r="AY101" s="21"/>
      <c r="AZ101" s="21"/>
      <c r="BA101" s="16"/>
      <c r="BB101" s="16"/>
      <c r="BC101" s="16"/>
      <c r="BD101" s="22"/>
      <c r="BE101" s="16"/>
      <c r="BF101" s="19"/>
      <c r="BG101" s="21"/>
      <c r="BH101" s="21"/>
      <c r="BI101" s="16"/>
      <c r="BJ101" s="16"/>
      <c r="BK101" s="16"/>
      <c r="BL101" s="22"/>
      <c r="BM101" s="16"/>
      <c r="BN101" s="19"/>
      <c r="BO101" s="21"/>
      <c r="BP101" s="21"/>
      <c r="BQ101" s="16"/>
      <c r="BR101" s="16"/>
      <c r="BS101" s="16"/>
      <c r="BT101" s="22"/>
      <c r="BU101" s="16"/>
      <c r="BV101" s="19"/>
      <c r="BW101" s="21"/>
      <c r="BX101" s="21"/>
      <c r="BY101" s="16"/>
      <c r="BZ101" s="16"/>
      <c r="CA101" s="16"/>
      <c r="CB101" s="22"/>
      <c r="CC101" s="16"/>
      <c r="CD101" s="19"/>
      <c r="CE101" s="21"/>
      <c r="CF101" s="21"/>
      <c r="CG101" s="16"/>
      <c r="CH101" s="16"/>
      <c r="CI101" s="16"/>
      <c r="CJ101" s="22"/>
      <c r="CK101" s="16"/>
      <c r="CL101" s="19"/>
      <c r="CM101" s="21"/>
      <c r="CN101" s="21"/>
      <c r="CO101" s="16"/>
      <c r="CP101" s="21"/>
    </row>
    <row r="102" spans="1:94" s="78" customFormat="1" ht="15" customHeight="1" thickBot="1" x14ac:dyDescent="0.25">
      <c r="A102" s="104"/>
      <c r="B102" s="104"/>
      <c r="C102" s="1251"/>
      <c r="D102" s="20"/>
      <c r="E102" s="1221"/>
      <c r="F102" s="6598"/>
      <c r="G102" s="6598"/>
      <c r="H102" s="6598"/>
      <c r="I102" s="6598"/>
      <c r="J102" s="6598"/>
      <c r="K102" s="6598"/>
      <c r="L102" s="6598"/>
      <c r="M102" s="6598"/>
      <c r="N102" s="6598"/>
      <c r="O102" s="6598"/>
      <c r="P102" s="1222"/>
      <c r="R102" s="1215"/>
      <c r="S102" s="1216"/>
      <c r="T102" s="1217"/>
      <c r="U102" s="16"/>
      <c r="V102" s="692"/>
      <c r="W102" s="693"/>
      <c r="X102" s="1233"/>
      <c r="Y102" s="693"/>
      <c r="Z102" s="1234"/>
      <c r="AA102" s="748"/>
      <c r="AB102" s="1235"/>
      <c r="AC102" s="16"/>
      <c r="AD102" s="692"/>
      <c r="AE102" s="693"/>
      <c r="AF102" s="1233"/>
      <c r="AG102" s="693"/>
      <c r="AH102" s="1234"/>
      <c r="AI102" s="748"/>
      <c r="AJ102" s="1235"/>
      <c r="AK102" s="16"/>
      <c r="AL102" s="692"/>
      <c r="AM102" s="693"/>
      <c r="AN102" s="1233"/>
      <c r="AO102" s="693"/>
      <c r="AP102" s="1234"/>
      <c r="AQ102" s="748"/>
      <c r="AR102" s="1235"/>
      <c r="AS102" s="16"/>
      <c r="AT102" s="692"/>
      <c r="AU102" s="693"/>
      <c r="AV102" s="1233"/>
      <c r="AW102" s="693"/>
      <c r="AX102" s="1234"/>
      <c r="AY102" s="748"/>
      <c r="AZ102" s="1235"/>
      <c r="BA102" s="16"/>
      <c r="BB102" s="692"/>
      <c r="BC102" s="693"/>
      <c r="BD102" s="1233"/>
      <c r="BE102" s="693"/>
      <c r="BF102" s="1234"/>
      <c r="BG102" s="748"/>
      <c r="BH102" s="1235"/>
      <c r="BI102" s="16"/>
      <c r="BJ102" s="692"/>
      <c r="BK102" s="693"/>
      <c r="BL102" s="1233"/>
      <c r="BM102" s="693"/>
      <c r="BN102" s="1234"/>
      <c r="BO102" s="748"/>
      <c r="BP102" s="1235"/>
      <c r="BQ102" s="16"/>
      <c r="BR102" s="692"/>
      <c r="BS102" s="693"/>
      <c r="BT102" s="1233"/>
      <c r="BU102" s="693"/>
      <c r="BV102" s="1234"/>
      <c r="BW102" s="748"/>
      <c r="BX102" s="1235"/>
      <c r="BY102" s="16"/>
      <c r="BZ102" s="692"/>
      <c r="CA102" s="693"/>
      <c r="CB102" s="1233"/>
      <c r="CC102" s="693"/>
      <c r="CD102" s="1234"/>
      <c r="CE102" s="748"/>
      <c r="CF102" s="1235"/>
      <c r="CG102" s="16"/>
      <c r="CH102" s="692"/>
      <c r="CI102" s="693"/>
      <c r="CJ102" s="1233"/>
      <c r="CK102" s="693"/>
      <c r="CL102" s="1234"/>
      <c r="CM102" s="748"/>
      <c r="CN102" s="1235"/>
      <c r="CO102" s="16"/>
      <c r="CP102" s="172"/>
    </row>
    <row r="103" spans="1:94" s="78" customFormat="1" ht="8.1" customHeight="1" thickBot="1" x14ac:dyDescent="0.25">
      <c r="A103" s="104"/>
      <c r="B103" s="104"/>
      <c r="C103" s="1251"/>
      <c r="D103" s="20"/>
      <c r="E103" s="15"/>
      <c r="F103" s="1212"/>
      <c r="G103" s="1212"/>
      <c r="H103" s="1212"/>
      <c r="I103" s="1212"/>
      <c r="J103" s="16"/>
      <c r="K103" s="16"/>
      <c r="L103" s="19"/>
      <c r="M103" s="19"/>
      <c r="N103" s="19"/>
      <c r="O103" s="15"/>
      <c r="P103" s="15"/>
      <c r="R103" s="70"/>
      <c r="S103" s="114"/>
      <c r="T103" s="70"/>
      <c r="U103" s="16"/>
      <c r="V103" s="16"/>
      <c r="W103" s="16"/>
      <c r="X103" s="22"/>
      <c r="Y103" s="16"/>
      <c r="Z103" s="19"/>
      <c r="AA103" s="21"/>
      <c r="AB103" s="21"/>
      <c r="AC103" s="16"/>
      <c r="AD103" s="16"/>
      <c r="AE103" s="16"/>
      <c r="AF103" s="22"/>
      <c r="AG103" s="16"/>
      <c r="AH103" s="19"/>
      <c r="AI103" s="21"/>
      <c r="AJ103" s="21"/>
      <c r="AK103" s="16"/>
      <c r="AL103" s="16"/>
      <c r="AM103" s="16"/>
      <c r="AN103" s="22"/>
      <c r="AO103" s="16"/>
      <c r="AP103" s="19"/>
      <c r="AQ103" s="21"/>
      <c r="AR103" s="21"/>
      <c r="AS103" s="16"/>
      <c r="AT103" s="16"/>
      <c r="AU103" s="16"/>
      <c r="AV103" s="22"/>
      <c r="AW103" s="16"/>
      <c r="AX103" s="19"/>
      <c r="AY103" s="21"/>
      <c r="AZ103" s="21"/>
      <c r="BA103" s="16"/>
      <c r="BB103" s="16"/>
      <c r="BC103" s="16"/>
      <c r="BD103" s="22"/>
      <c r="BE103" s="16"/>
      <c r="BF103" s="19"/>
      <c r="BG103" s="21"/>
      <c r="BH103" s="21"/>
      <c r="BI103" s="16"/>
      <c r="BJ103" s="16"/>
      <c r="BK103" s="16"/>
      <c r="BL103" s="22"/>
      <c r="BM103" s="16"/>
      <c r="BN103" s="19"/>
      <c r="BO103" s="21"/>
      <c r="BP103" s="21"/>
      <c r="BQ103" s="16"/>
      <c r="BR103" s="16"/>
      <c r="BS103" s="16"/>
      <c r="BT103" s="22"/>
      <c r="BU103" s="16"/>
      <c r="BV103" s="19"/>
      <c r="BW103" s="21"/>
      <c r="BX103" s="21"/>
      <c r="BY103" s="16"/>
      <c r="BZ103" s="16"/>
      <c r="CA103" s="16"/>
      <c r="CB103" s="22"/>
      <c r="CC103" s="16"/>
      <c r="CD103" s="19"/>
      <c r="CE103" s="21"/>
      <c r="CF103" s="21"/>
      <c r="CG103" s="16"/>
      <c r="CH103" s="16"/>
      <c r="CI103" s="16"/>
      <c r="CJ103" s="22"/>
      <c r="CK103" s="16"/>
      <c r="CL103" s="19"/>
      <c r="CM103" s="21"/>
      <c r="CN103" s="21"/>
      <c r="CO103" s="16"/>
      <c r="CP103" s="21"/>
    </row>
    <row r="104" spans="1:94" s="78" customFormat="1" ht="15" customHeight="1" thickBot="1" x14ac:dyDescent="0.25">
      <c r="A104" s="104"/>
      <c r="B104" s="104"/>
      <c r="C104" s="1251"/>
      <c r="D104" s="20"/>
      <c r="E104" s="660"/>
      <c r="F104" s="658"/>
      <c r="G104" s="658"/>
      <c r="H104" s="658"/>
      <c r="I104" s="658"/>
      <c r="J104" s="643"/>
      <c r="K104" s="643"/>
      <c r="L104" s="1224"/>
      <c r="M104" s="1224"/>
      <c r="N104" s="1224"/>
      <c r="O104" s="658"/>
      <c r="P104" s="1225"/>
      <c r="R104" s="1153"/>
      <c r="S104" s="1154"/>
      <c r="T104" s="1155"/>
      <c r="U104" s="16"/>
      <c r="V104" s="1223"/>
      <c r="W104" s="658"/>
      <c r="X104" s="1257"/>
      <c r="Y104" s="643"/>
      <c r="Z104" s="1224"/>
      <c r="AA104" s="661"/>
      <c r="AB104" s="1259"/>
      <c r="AC104" s="16"/>
      <c r="AD104" s="1223"/>
      <c r="AE104" s="658"/>
      <c r="AF104" s="1257"/>
      <c r="AG104" s="643"/>
      <c r="AH104" s="1224"/>
      <c r="AI104" s="661"/>
      <c r="AJ104" s="1259"/>
      <c r="AK104" s="16"/>
      <c r="AL104" s="1223"/>
      <c r="AM104" s="658"/>
      <c r="AN104" s="1257"/>
      <c r="AO104" s="643"/>
      <c r="AP104" s="1224"/>
      <c r="AQ104" s="661"/>
      <c r="AR104" s="1259"/>
      <c r="AS104" s="16"/>
      <c r="AT104" s="1223"/>
      <c r="AU104" s="658"/>
      <c r="AV104" s="1257"/>
      <c r="AW104" s="643"/>
      <c r="AX104" s="1224"/>
      <c r="AY104" s="661"/>
      <c r="AZ104" s="1259"/>
      <c r="BA104" s="16"/>
      <c r="BB104" s="1223"/>
      <c r="BC104" s="658"/>
      <c r="BD104" s="1257"/>
      <c r="BE104" s="643"/>
      <c r="BF104" s="1224"/>
      <c r="BG104" s="661"/>
      <c r="BH104" s="1259"/>
      <c r="BI104" s="16"/>
      <c r="BJ104" s="1223"/>
      <c r="BK104" s="658"/>
      <c r="BL104" s="1257"/>
      <c r="BM104" s="643"/>
      <c r="BN104" s="1224"/>
      <c r="BO104" s="661"/>
      <c r="BP104" s="1259"/>
      <c r="BQ104" s="16"/>
      <c r="BR104" s="1223"/>
      <c r="BS104" s="658"/>
      <c r="BT104" s="1257"/>
      <c r="BU104" s="643"/>
      <c r="BV104" s="1224"/>
      <c r="BW104" s="661"/>
      <c r="BX104" s="1259"/>
      <c r="BY104" s="16"/>
      <c r="BZ104" s="1223"/>
      <c r="CA104" s="658"/>
      <c r="CB104" s="1257"/>
      <c r="CC104" s="643"/>
      <c r="CD104" s="1224"/>
      <c r="CE104" s="661"/>
      <c r="CF104" s="1259"/>
      <c r="CG104" s="16"/>
      <c r="CH104" s="1223"/>
      <c r="CI104" s="658"/>
      <c r="CJ104" s="1257"/>
      <c r="CK104" s="643"/>
      <c r="CL104" s="1224"/>
      <c r="CM104" s="661"/>
      <c r="CN104" s="1259"/>
      <c r="CO104" s="16"/>
      <c r="CP104" s="175"/>
    </row>
    <row r="105" spans="1:94" s="78" customFormat="1" ht="20.100000000000001" customHeight="1" thickBot="1" x14ac:dyDescent="0.25">
      <c r="A105" s="104"/>
      <c r="B105" s="104"/>
      <c r="C105" s="1251"/>
      <c r="D105" s="20"/>
      <c r="E105" s="663"/>
      <c r="F105" s="76" t="s">
        <v>1852</v>
      </c>
      <c r="G105" s="76"/>
      <c r="H105" s="76"/>
      <c r="I105" s="76"/>
      <c r="J105" s="5738" t="s">
        <v>149</v>
      </c>
      <c r="K105" s="5738"/>
      <c r="L105" s="1227"/>
      <c r="M105" s="1227"/>
      <c r="N105" s="1227"/>
      <c r="O105" s="76" t="s">
        <v>262</v>
      </c>
      <c r="P105" s="1228"/>
      <c r="Q105" s="21"/>
      <c r="R105" s="1156"/>
      <c r="S105" s="2301" t="str">
        <f>IFERROR(INDEX(outputs_klasse_qty[bue_e30_sum],MATCH(_Calcs_Klasse!$CC$54,outputs_klasse_qty[Navn],0)),"")</f>
        <v/>
      </c>
      <c r="T105" s="1157"/>
      <c r="U105" s="16"/>
      <c r="V105" s="1231"/>
      <c r="W105" s="76"/>
      <c r="X105" s="2313" t="str">
        <f>IFERROR(INDEX(outputs_klasse_qty[bue_e30_sum],MATCH(_Calcs_Klasse!$AV$146,outputs_klasse_qty[klasse_stuff_id],0)),"")</f>
        <v/>
      </c>
      <c r="Y105" s="75"/>
      <c r="Z105" s="30" t="str">
        <f>IF(_Calcs_Klasse!$AI$27=2,"✓",IF(AND(_Calcs_Klasse!$AI$27=1,_Calcs!$NO$346=0),"✓","!"))</f>
        <v>✓</v>
      </c>
      <c r="AA105" s="650"/>
      <c r="AB105" s="651"/>
      <c r="AC105" s="16"/>
      <c r="AD105" s="1231"/>
      <c r="AE105" s="76"/>
      <c r="AF105" s="2313" t="str">
        <f>IFERROR(INDEX(outputs_klasse_qty[bue_e30_sum],MATCH(_Calcs_Klasse!$AW$146,outputs_klasse_qty[klasse_stuff_id],0)),"")</f>
        <v/>
      </c>
      <c r="AG105" s="75"/>
      <c r="AH105" s="30" t="str">
        <f>IF(_Calcs_Klasse!$AI$27=2,"✓",IF(AND(_Calcs_Klasse!$AI$27=1,_Calcs!$NP$346=0),"✓","!"))</f>
        <v>✓</v>
      </c>
      <c r="AI105" s="650"/>
      <c r="AJ105" s="651"/>
      <c r="AK105" s="16"/>
      <c r="AL105" s="1231"/>
      <c r="AM105" s="76"/>
      <c r="AN105" s="2313" t="str">
        <f>IFERROR(INDEX(outputs_klasse_qty[bue_e30_sum],MATCH(_Calcs_Klasse!$AX$146,outputs_klasse_qty[klasse_stuff_id],0)),"")</f>
        <v/>
      </c>
      <c r="AO105" s="75"/>
      <c r="AP105" s="30" t="str">
        <f>IF(_Calcs_Klasse!$AI$27=2,"✓",IF(AND(_Calcs_Klasse!$AI$27=1,_Calcs!$NQ$346=0),"✓","!"))</f>
        <v>✓</v>
      </c>
      <c r="AQ105" s="650"/>
      <c r="AR105" s="651"/>
      <c r="AS105" s="16"/>
      <c r="AT105" s="1231"/>
      <c r="AU105" s="76"/>
      <c r="AV105" s="2313" t="str">
        <f>IFERROR(INDEX(outputs_klasse_qty[bue_e30_sum],MATCH(_Calcs_Klasse!$AY$146,outputs_klasse_qty[klasse_stuff_id],0)),"")</f>
        <v/>
      </c>
      <c r="AW105" s="75"/>
      <c r="AX105" s="30" t="str">
        <f>IF(_Calcs_Klasse!$AI$27=2,"✓",IF(AND(_Calcs_Klasse!$AI$27=1,_Calcs!$NR$346=0),"✓","!"))</f>
        <v>✓</v>
      </c>
      <c r="AY105" s="650"/>
      <c r="AZ105" s="651"/>
      <c r="BA105" s="16"/>
      <c r="BB105" s="1231"/>
      <c r="BC105" s="76"/>
      <c r="BD105" s="2313" t="str">
        <f>IFERROR(INDEX(outputs_klasse_qty[bue_e30_sum],MATCH(_Calcs_Klasse!$AZ$146,outputs_klasse_qty[klasse_stuff_id],0)),"")</f>
        <v/>
      </c>
      <c r="BE105" s="75"/>
      <c r="BF105" s="30" t="str">
        <f>IF(_Calcs_Klasse!$AI$27=2,"✓",IF(AND(_Calcs_Klasse!$AI$27=1,_Calcs!$NS$346=0),"✓","!"))</f>
        <v>✓</v>
      </c>
      <c r="BG105" s="650"/>
      <c r="BH105" s="651"/>
      <c r="BI105" s="16"/>
      <c r="BJ105" s="1231"/>
      <c r="BK105" s="76"/>
      <c r="BL105" s="2313" t="str">
        <f>IFERROR(INDEX(outputs_klasse_qty[bue_e30_sum],MATCH(_Calcs_Klasse!$BA$146,outputs_klasse_qty[klasse_stuff_id],0)),"")</f>
        <v/>
      </c>
      <c r="BM105" s="75"/>
      <c r="BN105" s="30" t="str">
        <f>IF(_Calcs_Klasse!$AI$27=2,"✓",IF(AND(_Calcs_Klasse!$AI$27=1,_Calcs!$NT$346=0),"✓","!"))</f>
        <v>✓</v>
      </c>
      <c r="BO105" s="650"/>
      <c r="BP105" s="651"/>
      <c r="BQ105" s="16"/>
      <c r="BR105" s="1231"/>
      <c r="BS105" s="76"/>
      <c r="BT105" s="2313" t="str">
        <f>IFERROR(INDEX(outputs_klasse_qty[bue_e30_sum],MATCH(_Calcs_Klasse!$BB$146,outputs_klasse_qty[klasse_stuff_id],0)),"")</f>
        <v/>
      </c>
      <c r="BU105" s="75"/>
      <c r="BV105" s="30" t="str">
        <f>IF(_Calcs_Klasse!$AI$27=2,"✓",IF(AND(_Calcs_Klasse!$AI$27=1,_Calcs!$NU$346=0),"✓","!"))</f>
        <v>✓</v>
      </c>
      <c r="BW105" s="650"/>
      <c r="BX105" s="651"/>
      <c r="BY105" s="16"/>
      <c r="BZ105" s="1231"/>
      <c r="CA105" s="76"/>
      <c r="CB105" s="2313" t="str">
        <f>IFERROR(INDEX(outputs_klasse_qty[bue_e30_sum],MATCH(_Calcs_Klasse!$BC$146,outputs_klasse_qty[klasse_stuff_id],0)),"")</f>
        <v/>
      </c>
      <c r="CC105" s="75"/>
      <c r="CD105" s="30" t="str">
        <f>IF(_Calcs_Klasse!$AI$27=2,"✓",IF(AND(_Calcs_Klasse!$AI$27=1,_Calcs!$NV$346=0),"✓","!"))</f>
        <v>✓</v>
      </c>
      <c r="CE105" s="650"/>
      <c r="CF105" s="651"/>
      <c r="CG105" s="16"/>
      <c r="CH105" s="1231"/>
      <c r="CI105" s="76"/>
      <c r="CJ105" s="2313" t="str">
        <f>IFERROR(INDEX(outputs_klasse_qty[bue_e30_sum],MATCH(_Calcs_Klasse!$BD$146,outputs_klasse_qty[klasse_stuff_id],0)),"")</f>
        <v/>
      </c>
      <c r="CK105" s="75"/>
      <c r="CL105" s="30" t="str">
        <f>IF(_Calcs_Klasse!$AI$27=2,"✓",IF(AND(_Calcs_Klasse!$AI$27=1,_Calcs!$NW$346=0),"✓","!"))</f>
        <v>✓</v>
      </c>
      <c r="CM105" s="650"/>
      <c r="CN105" s="651"/>
      <c r="CO105" s="16"/>
      <c r="CP105" s="175"/>
    </row>
    <row r="106" spans="1:94" s="78" customFormat="1" ht="15" customHeight="1" thickBot="1" x14ac:dyDescent="0.25">
      <c r="A106" s="104"/>
      <c r="B106" s="104"/>
      <c r="C106" s="1251"/>
      <c r="D106" s="20"/>
      <c r="E106" s="663"/>
      <c r="F106" s="4189"/>
      <c r="G106" s="76"/>
      <c r="H106" s="76"/>
      <c r="I106" s="76"/>
      <c r="J106" s="75"/>
      <c r="K106" s="75"/>
      <c r="L106" s="1232"/>
      <c r="M106" s="1232"/>
      <c r="N106" s="1232"/>
      <c r="O106" s="76"/>
      <c r="P106" s="1228"/>
      <c r="R106" s="1156"/>
      <c r="S106" s="3243"/>
      <c r="T106" s="1157"/>
      <c r="U106" s="16"/>
      <c r="V106" s="1231"/>
      <c r="W106" s="76"/>
      <c r="X106" s="4190"/>
      <c r="Y106" s="75"/>
      <c r="Z106" s="1232"/>
      <c r="AA106" s="650"/>
      <c r="AB106" s="651"/>
      <c r="AC106" s="16"/>
      <c r="AD106" s="1231"/>
      <c r="AE106" s="76"/>
      <c r="AF106" s="4190"/>
      <c r="AG106" s="75"/>
      <c r="AH106" s="1232"/>
      <c r="AI106" s="650"/>
      <c r="AJ106" s="651"/>
      <c r="AK106" s="16"/>
      <c r="AL106" s="1231"/>
      <c r="AM106" s="76"/>
      <c r="AN106" s="4190"/>
      <c r="AO106" s="75"/>
      <c r="AP106" s="1232"/>
      <c r="AQ106" s="650"/>
      <c r="AR106" s="651"/>
      <c r="AS106" s="16"/>
      <c r="AT106" s="1231"/>
      <c r="AU106" s="76"/>
      <c r="AV106" s="4190"/>
      <c r="AW106" s="75"/>
      <c r="AX106" s="1232"/>
      <c r="AY106" s="650"/>
      <c r="AZ106" s="651"/>
      <c r="BA106" s="16"/>
      <c r="BB106" s="1231"/>
      <c r="BC106" s="76"/>
      <c r="BD106" s="4190"/>
      <c r="BE106" s="75"/>
      <c r="BF106" s="1232"/>
      <c r="BG106" s="650"/>
      <c r="BH106" s="651"/>
      <c r="BI106" s="16"/>
      <c r="BJ106" s="1231"/>
      <c r="BK106" s="76"/>
      <c r="BL106" s="4190"/>
      <c r="BM106" s="75"/>
      <c r="BN106" s="1232"/>
      <c r="BO106" s="650"/>
      <c r="BP106" s="651"/>
      <c r="BQ106" s="16"/>
      <c r="BR106" s="1231"/>
      <c r="BS106" s="76"/>
      <c r="BT106" s="4190"/>
      <c r="BU106" s="75"/>
      <c r="BV106" s="1232"/>
      <c r="BW106" s="650"/>
      <c r="BX106" s="651"/>
      <c r="BY106" s="16"/>
      <c r="BZ106" s="1231"/>
      <c r="CA106" s="76"/>
      <c r="CB106" s="4190"/>
      <c r="CC106" s="75"/>
      <c r="CD106" s="1232"/>
      <c r="CE106" s="650"/>
      <c r="CF106" s="651"/>
      <c r="CG106" s="16"/>
      <c r="CH106" s="1231"/>
      <c r="CI106" s="76"/>
      <c r="CJ106" s="4190"/>
      <c r="CK106" s="75"/>
      <c r="CL106" s="1232"/>
      <c r="CM106" s="650"/>
      <c r="CN106" s="651"/>
      <c r="CO106" s="16"/>
      <c r="CP106" s="175"/>
    </row>
    <row r="107" spans="1:94" s="78" customFormat="1" ht="20.100000000000001" customHeight="1" thickBot="1" x14ac:dyDescent="0.25">
      <c r="A107" s="104"/>
      <c r="B107" s="104"/>
      <c r="C107" s="1251"/>
      <c r="D107" s="20"/>
      <c r="E107" s="663"/>
      <c r="F107" s="76" t="s">
        <v>1851</v>
      </c>
      <c r="G107" s="76"/>
      <c r="H107" s="76"/>
      <c r="I107" s="76"/>
      <c r="J107" s="5738" t="s">
        <v>149</v>
      </c>
      <c r="K107" s="5738"/>
      <c r="L107" s="1227"/>
      <c r="M107" s="1227"/>
      <c r="N107" s="1227"/>
      <c r="O107" s="76" t="s">
        <v>262</v>
      </c>
      <c r="P107" s="1228"/>
      <c r="Q107" s="21"/>
      <c r="R107" s="1156"/>
      <c r="S107" s="2301" t="str">
        <f>IFERROR(INDEX(outputs_klasse_qty[bue_d60_sum],MATCH(_Calcs_Klasse!$CC$54,outputs_klasse_qty[Navn],0)),"")</f>
        <v/>
      </c>
      <c r="T107" s="1157"/>
      <c r="U107" s="16"/>
      <c r="V107" s="1231"/>
      <c r="W107" s="76"/>
      <c r="X107" s="2313" t="str">
        <f>IFERROR(INDEX(outputs_klasse_qty[bue_d60_sum],MATCH(_Calcs_Klasse!$AV$146,outputs_klasse_qty[klasse_stuff_id],0)),"")</f>
        <v/>
      </c>
      <c r="Y107" s="75"/>
      <c r="Z107" s="30" t="str">
        <f>IF(_Calcs_Klasse!$AI$27=2,"✓",IF(AND(_Calcs_Klasse!$AI$27=1,_Calcs!$NO$346=0),"✓","!"))</f>
        <v>✓</v>
      </c>
      <c r="AA107" s="650"/>
      <c r="AB107" s="651"/>
      <c r="AC107" s="16"/>
      <c r="AD107" s="1231"/>
      <c r="AE107" s="76"/>
      <c r="AF107" s="2313" t="str">
        <f>IFERROR(INDEX(outputs_klasse_qty[bue_d60_sum],MATCH(_Calcs_Klasse!$AW$146,outputs_klasse_qty[klasse_stuff_id],0)),"")</f>
        <v/>
      </c>
      <c r="AG107" s="75"/>
      <c r="AH107" s="30" t="str">
        <f>IF(_Calcs_Klasse!$AI$27=2,"✓",IF(AND(_Calcs_Klasse!$AI$27=1,_Calcs!$NP$346=0),"✓","!"))</f>
        <v>✓</v>
      </c>
      <c r="AI107" s="650"/>
      <c r="AJ107" s="651"/>
      <c r="AK107" s="16"/>
      <c r="AL107" s="1231"/>
      <c r="AM107" s="76"/>
      <c r="AN107" s="2313" t="str">
        <f>IFERROR(INDEX(outputs_klasse_qty[bue_d60_sum],MATCH(_Calcs_Klasse!$AX$146,outputs_klasse_qty[klasse_stuff_id],0)),"")</f>
        <v/>
      </c>
      <c r="AO107" s="75"/>
      <c r="AP107" s="30" t="str">
        <f>IF(_Calcs_Klasse!$AI$27=2,"✓",IF(AND(_Calcs_Klasse!$AI$27=1,_Calcs!$NQ$346=0),"✓","!"))</f>
        <v>✓</v>
      </c>
      <c r="AQ107" s="650"/>
      <c r="AR107" s="651"/>
      <c r="AS107" s="16"/>
      <c r="AT107" s="1231"/>
      <c r="AU107" s="76"/>
      <c r="AV107" s="2313" t="str">
        <f>IFERROR(INDEX(outputs_klasse_qty[bue_d60_sum],MATCH(_Calcs_Klasse!$AY$146,outputs_klasse_qty[klasse_stuff_id],0)),"")</f>
        <v/>
      </c>
      <c r="AW107" s="75"/>
      <c r="AX107" s="30" t="str">
        <f>IF(_Calcs_Klasse!$AI$27=2,"✓",IF(AND(_Calcs_Klasse!$AI$27=1,_Calcs!$NR$346=0),"✓","!"))</f>
        <v>✓</v>
      </c>
      <c r="AY107" s="650"/>
      <c r="AZ107" s="651"/>
      <c r="BA107" s="16"/>
      <c r="BB107" s="1231"/>
      <c r="BC107" s="76"/>
      <c r="BD107" s="2313" t="str">
        <f>IFERROR(INDEX(outputs_klasse_qty[bue_d60_sum],MATCH(_Calcs_Klasse!$AZ$146,outputs_klasse_qty[klasse_stuff_id],0)),"")</f>
        <v/>
      </c>
      <c r="BE107" s="75"/>
      <c r="BF107" s="30" t="str">
        <f>IF(_Calcs_Klasse!$AI$27=2,"✓",IF(AND(_Calcs_Klasse!$AI$27=1,_Calcs!$NS$346=0),"✓","!"))</f>
        <v>✓</v>
      </c>
      <c r="BG107" s="650"/>
      <c r="BH107" s="651"/>
      <c r="BI107" s="16"/>
      <c r="BJ107" s="1231"/>
      <c r="BK107" s="76"/>
      <c r="BL107" s="2313" t="str">
        <f>IFERROR(INDEX(outputs_klasse_qty[bue_d60_sum],MATCH(_Calcs_Klasse!$BA$146,outputs_klasse_qty[klasse_stuff_id],0)),"")</f>
        <v/>
      </c>
      <c r="BM107" s="75"/>
      <c r="BN107" s="30" t="str">
        <f>IF(_Calcs_Klasse!$AI$27=2,"✓",IF(AND(_Calcs_Klasse!$AI$27=1,_Calcs!$NT$346=0),"✓","!"))</f>
        <v>✓</v>
      </c>
      <c r="BO107" s="650"/>
      <c r="BP107" s="651"/>
      <c r="BQ107" s="16"/>
      <c r="BR107" s="1231"/>
      <c r="BS107" s="76"/>
      <c r="BT107" s="2313" t="str">
        <f>IFERROR(INDEX(outputs_klasse_qty[bue_d60_sum],MATCH(_Calcs_Klasse!$BB$146,outputs_klasse_qty[klasse_stuff_id],0)),"")</f>
        <v/>
      </c>
      <c r="BU107" s="75"/>
      <c r="BV107" s="30" t="str">
        <f>IF(_Calcs_Klasse!$AI$27=2,"✓",IF(AND(_Calcs_Klasse!$AI$27=1,_Calcs!$NU$346=0),"✓","!"))</f>
        <v>✓</v>
      </c>
      <c r="BW107" s="650"/>
      <c r="BX107" s="651"/>
      <c r="BY107" s="16"/>
      <c r="BZ107" s="1231"/>
      <c r="CA107" s="76"/>
      <c r="CB107" s="2313" t="str">
        <f>IFERROR(INDEX(outputs_klasse_qty[bue_d60_sum],MATCH(_Calcs_Klasse!$BC$146,outputs_klasse_qty[klasse_stuff_id],0)),"")</f>
        <v/>
      </c>
      <c r="CC107" s="75"/>
      <c r="CD107" s="30" t="str">
        <f>IF(_Calcs_Klasse!$AI$27=2,"✓",IF(AND(_Calcs_Klasse!$AI$27=1,_Calcs!$NV$346=0),"✓","!"))</f>
        <v>✓</v>
      </c>
      <c r="CE107" s="650"/>
      <c r="CF107" s="651"/>
      <c r="CG107" s="16"/>
      <c r="CH107" s="1231"/>
      <c r="CI107" s="76"/>
      <c r="CJ107" s="2313" t="str">
        <f>IFERROR(INDEX(outputs_klasse_qty[bue_d60_sum],MATCH(_Calcs_Klasse!$BD$146,outputs_klasse_qty[klasse_stuff_id],0)),"")</f>
        <v/>
      </c>
      <c r="CK107" s="75"/>
      <c r="CL107" s="30" t="str">
        <f>IF(_Calcs_Klasse!$AI$27=2,"✓",IF(AND(_Calcs_Klasse!$AI$27=1,_Calcs!$NW$346=0),"✓","!"))</f>
        <v>✓</v>
      </c>
      <c r="CM107" s="650"/>
      <c r="CN107" s="651"/>
      <c r="CO107" s="16"/>
      <c r="CP107" s="175"/>
    </row>
    <row r="108" spans="1:94" s="78" customFormat="1" ht="15" customHeight="1" thickBot="1" x14ac:dyDescent="0.25">
      <c r="A108" s="104"/>
      <c r="B108" s="104"/>
      <c r="C108" s="1251"/>
      <c r="D108" s="20"/>
      <c r="E108" s="665"/>
      <c r="F108" s="1246"/>
      <c r="G108" s="1246"/>
      <c r="H108" s="1246"/>
      <c r="I108" s="1246"/>
      <c r="J108" s="1246"/>
      <c r="K108" s="1246"/>
      <c r="L108" s="1246"/>
      <c r="M108" s="1246"/>
      <c r="N108" s="1246"/>
      <c r="O108" s="659"/>
      <c r="P108" s="1230"/>
      <c r="R108" s="1158"/>
      <c r="S108" s="1159"/>
      <c r="T108" s="1160"/>
      <c r="U108" s="16"/>
      <c r="V108" s="665"/>
      <c r="W108" s="1246"/>
      <c r="X108" s="1258"/>
      <c r="Y108" s="1246"/>
      <c r="Z108" s="1246"/>
      <c r="AA108" s="1246"/>
      <c r="AB108" s="1260"/>
      <c r="AC108" s="16"/>
      <c r="AD108" s="665"/>
      <c r="AE108" s="1246"/>
      <c r="AF108" s="1258"/>
      <c r="AG108" s="1246"/>
      <c r="AH108" s="1246"/>
      <c r="AI108" s="1246"/>
      <c r="AJ108" s="1260"/>
      <c r="AK108" s="16"/>
      <c r="AL108" s="665"/>
      <c r="AM108" s="1246"/>
      <c r="AN108" s="1258"/>
      <c r="AO108" s="1246"/>
      <c r="AP108" s="1246"/>
      <c r="AQ108" s="1246"/>
      <c r="AR108" s="1260"/>
      <c r="AS108" s="16"/>
      <c r="AT108" s="665"/>
      <c r="AU108" s="1246"/>
      <c r="AV108" s="1258"/>
      <c r="AW108" s="1246"/>
      <c r="AX108" s="1246"/>
      <c r="AY108" s="1246"/>
      <c r="AZ108" s="1260"/>
      <c r="BA108" s="16"/>
      <c r="BB108" s="665"/>
      <c r="BC108" s="1246"/>
      <c r="BD108" s="1258"/>
      <c r="BE108" s="1246"/>
      <c r="BF108" s="1246"/>
      <c r="BG108" s="1246"/>
      <c r="BH108" s="1260"/>
      <c r="BI108" s="16"/>
      <c r="BJ108" s="665"/>
      <c r="BK108" s="1246"/>
      <c r="BL108" s="1258"/>
      <c r="BM108" s="1246"/>
      <c r="BN108" s="1246"/>
      <c r="BO108" s="1246"/>
      <c r="BP108" s="1260"/>
      <c r="BQ108" s="16"/>
      <c r="BR108" s="665"/>
      <c r="BS108" s="1246"/>
      <c r="BT108" s="1258"/>
      <c r="BU108" s="1246"/>
      <c r="BV108" s="1246"/>
      <c r="BW108" s="1246"/>
      <c r="BX108" s="1260"/>
      <c r="BY108" s="16"/>
      <c r="BZ108" s="665"/>
      <c r="CA108" s="1246"/>
      <c r="CB108" s="1258"/>
      <c r="CC108" s="1246"/>
      <c r="CD108" s="1246"/>
      <c r="CE108" s="1246"/>
      <c r="CF108" s="1260"/>
      <c r="CG108" s="16"/>
      <c r="CH108" s="665"/>
      <c r="CI108" s="1246"/>
      <c r="CJ108" s="1258"/>
      <c r="CK108" s="1246"/>
      <c r="CL108" s="1246"/>
      <c r="CM108" s="1246"/>
      <c r="CN108" s="1260"/>
      <c r="CO108" s="16"/>
      <c r="CP108" s="176"/>
    </row>
    <row r="109" spans="1:94" s="78" customFormat="1" ht="8.1" customHeight="1" thickBot="1" x14ac:dyDescent="0.25">
      <c r="A109" s="104"/>
      <c r="B109" s="104"/>
      <c r="C109" s="1251"/>
      <c r="D109" s="20"/>
      <c r="E109" s="15"/>
      <c r="F109" s="1212"/>
      <c r="G109" s="1212"/>
      <c r="H109" s="1212"/>
      <c r="I109" s="1212"/>
      <c r="J109" s="16"/>
      <c r="K109" s="16"/>
      <c r="L109" s="19"/>
      <c r="M109" s="19"/>
      <c r="N109" s="19"/>
      <c r="O109" s="15"/>
      <c r="P109" s="15"/>
      <c r="R109" s="70"/>
      <c r="S109" s="114"/>
      <c r="T109" s="70"/>
      <c r="U109" s="16"/>
      <c r="V109" s="16"/>
      <c r="W109" s="16"/>
      <c r="X109" s="22"/>
      <c r="Y109" s="16"/>
      <c r="Z109" s="19"/>
      <c r="AA109" s="21"/>
      <c r="AB109" s="21"/>
      <c r="AC109" s="16"/>
      <c r="AD109" s="16"/>
      <c r="AE109" s="16"/>
      <c r="AF109" s="22"/>
      <c r="AG109" s="16"/>
      <c r="AH109" s="19"/>
      <c r="AI109" s="21"/>
      <c r="AJ109" s="21"/>
      <c r="AK109" s="16"/>
      <c r="AL109" s="16"/>
      <c r="AM109" s="16"/>
      <c r="AN109" s="22"/>
      <c r="AO109" s="16"/>
      <c r="AP109" s="19"/>
      <c r="AQ109" s="21"/>
      <c r="AR109" s="21"/>
      <c r="AS109" s="16"/>
      <c r="AT109" s="16"/>
      <c r="AU109" s="16"/>
      <c r="AV109" s="22"/>
      <c r="AW109" s="16"/>
      <c r="AX109" s="19"/>
      <c r="AY109" s="21"/>
      <c r="AZ109" s="21"/>
      <c r="BA109" s="16"/>
      <c r="BB109" s="16"/>
      <c r="BC109" s="16"/>
      <c r="BD109" s="22"/>
      <c r="BE109" s="16"/>
      <c r="BF109" s="19"/>
      <c r="BG109" s="21"/>
      <c r="BH109" s="21"/>
      <c r="BI109" s="16"/>
      <c r="BJ109" s="16"/>
      <c r="BK109" s="16"/>
      <c r="BL109" s="22"/>
      <c r="BM109" s="16"/>
      <c r="BN109" s="19"/>
      <c r="BO109" s="21"/>
      <c r="BP109" s="21"/>
      <c r="BQ109" s="16"/>
      <c r="BR109" s="16"/>
      <c r="BS109" s="16"/>
      <c r="BT109" s="22"/>
      <c r="BU109" s="16"/>
      <c r="BV109" s="19"/>
      <c r="BW109" s="21"/>
      <c r="BX109" s="21"/>
      <c r="BY109" s="16"/>
      <c r="BZ109" s="16"/>
      <c r="CA109" s="16"/>
      <c r="CB109" s="22"/>
      <c r="CC109" s="16"/>
      <c r="CD109" s="19"/>
      <c r="CE109" s="21"/>
      <c r="CF109" s="21"/>
      <c r="CG109" s="16"/>
      <c r="CH109" s="16"/>
      <c r="CI109" s="16"/>
      <c r="CJ109" s="22"/>
      <c r="CK109" s="16"/>
      <c r="CL109" s="19"/>
      <c r="CM109" s="21"/>
      <c r="CN109" s="21"/>
      <c r="CO109" s="16"/>
      <c r="CP109" s="21"/>
    </row>
    <row r="110" spans="1:94" s="78" customFormat="1" ht="15" customHeight="1" x14ac:dyDescent="0.2">
      <c r="A110" s="104"/>
      <c r="B110" s="104"/>
      <c r="C110" s="1250"/>
      <c r="D110" s="20"/>
      <c r="E110" s="1223"/>
      <c r="F110" s="661"/>
      <c r="G110" s="661"/>
      <c r="H110" s="661"/>
      <c r="I110" s="661"/>
      <c r="J110" s="643"/>
      <c r="K110" s="643"/>
      <c r="L110" s="1224"/>
      <c r="M110" s="1224"/>
      <c r="N110" s="1224"/>
      <c r="O110" s="658"/>
      <c r="P110" s="1225"/>
      <c r="R110" s="4074"/>
      <c r="S110" s="4074"/>
      <c r="T110" s="4074"/>
      <c r="V110" s="3874"/>
      <c r="W110" s="3874"/>
      <c r="X110" s="3874"/>
      <c r="Y110" s="3874"/>
      <c r="Z110" s="3874"/>
      <c r="AA110" s="3874"/>
      <c r="AB110" s="3874"/>
      <c r="AD110" s="3874"/>
      <c r="AE110" s="3874"/>
      <c r="AF110" s="3874"/>
      <c r="AG110" s="3874"/>
      <c r="AH110" s="3874"/>
      <c r="AI110" s="3874"/>
      <c r="AJ110" s="3874"/>
      <c r="AL110" s="3874"/>
      <c r="AM110" s="3874"/>
      <c r="AN110" s="3874"/>
      <c r="AO110" s="3874"/>
      <c r="AP110" s="3874"/>
      <c r="AQ110" s="3874"/>
      <c r="AR110" s="3874"/>
      <c r="AT110" s="3874"/>
      <c r="AU110" s="3874"/>
      <c r="AV110" s="3874"/>
      <c r="AW110" s="3874"/>
      <c r="AX110" s="3874"/>
      <c r="AY110" s="3874"/>
      <c r="AZ110" s="3874"/>
      <c r="BB110" s="3874"/>
      <c r="BC110" s="3874"/>
      <c r="BD110" s="3874"/>
      <c r="BE110" s="3874"/>
      <c r="BF110" s="3874"/>
      <c r="BG110" s="3874"/>
      <c r="BH110" s="3874"/>
      <c r="BJ110" s="3874"/>
      <c r="BK110" s="3874"/>
      <c r="BL110" s="3874"/>
      <c r="BM110" s="3874"/>
      <c r="BN110" s="3874"/>
      <c r="BO110" s="3874"/>
      <c r="BP110" s="3874"/>
      <c r="BR110" s="3874"/>
      <c r="BS110" s="3874"/>
      <c r="BT110" s="3874"/>
      <c r="BU110" s="3874"/>
      <c r="BV110" s="3874"/>
      <c r="BW110" s="3874"/>
      <c r="BX110" s="3874"/>
      <c r="BZ110" s="3874"/>
      <c r="CA110" s="3874"/>
      <c r="CB110" s="3874"/>
      <c r="CC110" s="3874"/>
      <c r="CD110" s="3874"/>
      <c r="CE110" s="3874"/>
      <c r="CF110" s="3874"/>
      <c r="CH110" s="3874"/>
      <c r="CI110" s="3874"/>
      <c r="CJ110" s="3874"/>
      <c r="CK110" s="3874"/>
      <c r="CL110" s="3874"/>
      <c r="CM110" s="3874"/>
      <c r="CN110" s="3874"/>
      <c r="CP110" s="3874"/>
    </row>
    <row r="111" spans="1:94" s="78" customFormat="1" ht="15" customHeight="1" x14ac:dyDescent="0.2">
      <c r="A111" s="104"/>
      <c r="B111" s="104"/>
      <c r="C111" s="1250"/>
      <c r="D111" s="20"/>
      <c r="E111" s="1231"/>
      <c r="F111" s="7199" t="str">
        <f>_Calcs!$M$68</f>
        <v>Bue-radielle bolter</v>
      </c>
      <c r="G111" s="7199"/>
      <c r="H111" s="650"/>
      <c r="I111" s="650"/>
      <c r="J111" s="75"/>
      <c r="K111" s="75"/>
      <c r="L111" s="1232"/>
      <c r="M111" s="1232"/>
      <c r="N111" s="1232"/>
      <c r="O111" s="76"/>
      <c r="P111" s="1228"/>
      <c r="R111" s="4074"/>
      <c r="S111" s="4074"/>
      <c r="T111" s="4074"/>
      <c r="U111" s="16"/>
      <c r="V111" s="1264"/>
      <c r="W111" s="1264"/>
      <c r="X111" s="4133"/>
      <c r="Y111" s="1264"/>
      <c r="Z111" s="4134"/>
      <c r="AA111" s="3893"/>
      <c r="AB111" s="3893"/>
      <c r="AC111" s="16"/>
      <c r="AD111" s="1264"/>
      <c r="AE111" s="1264"/>
      <c r="AF111" s="4133"/>
      <c r="AG111" s="1264"/>
      <c r="AH111" s="4134"/>
      <c r="AI111" s="3893"/>
      <c r="AJ111" s="3893"/>
      <c r="AK111" s="16"/>
      <c r="AL111" s="1264"/>
      <c r="AM111" s="1264"/>
      <c r="AN111" s="4133"/>
      <c r="AO111" s="1264"/>
      <c r="AP111" s="4134"/>
      <c r="AQ111" s="3893"/>
      <c r="AR111" s="3893"/>
      <c r="AS111" s="16"/>
      <c r="AT111" s="1264"/>
      <c r="AU111" s="1264"/>
      <c r="AV111" s="4133"/>
      <c r="AW111" s="1264"/>
      <c r="AX111" s="4134"/>
      <c r="AY111" s="3893"/>
      <c r="AZ111" s="3893"/>
      <c r="BA111" s="16"/>
      <c r="BB111" s="1264"/>
      <c r="BC111" s="1264"/>
      <c r="BD111" s="4133"/>
      <c r="BE111" s="1264"/>
      <c r="BF111" s="4134"/>
      <c r="BG111" s="3893"/>
      <c r="BH111" s="3893"/>
      <c r="BI111" s="16"/>
      <c r="BJ111" s="1264"/>
      <c r="BK111" s="1264"/>
      <c r="BL111" s="4133"/>
      <c r="BM111" s="1264"/>
      <c r="BN111" s="4134"/>
      <c r="BO111" s="3893"/>
      <c r="BP111" s="3893"/>
      <c r="BQ111" s="16"/>
      <c r="BR111" s="1264"/>
      <c r="BS111" s="1264"/>
      <c r="BT111" s="4133"/>
      <c r="BU111" s="1264"/>
      <c r="BV111" s="4134"/>
      <c r="BW111" s="3893"/>
      <c r="BX111" s="3893"/>
      <c r="BY111" s="16"/>
      <c r="BZ111" s="1264"/>
      <c r="CA111" s="1264"/>
      <c r="CB111" s="4133"/>
      <c r="CC111" s="1264"/>
      <c r="CD111" s="4134"/>
      <c r="CE111" s="3893"/>
      <c r="CF111" s="3893"/>
      <c r="CG111" s="16"/>
      <c r="CH111" s="1264"/>
      <c r="CI111" s="1264"/>
      <c r="CJ111" s="4133"/>
      <c r="CK111" s="1264"/>
      <c r="CL111" s="4134"/>
      <c r="CM111" s="3893"/>
      <c r="CN111" s="3893"/>
      <c r="CO111" s="16"/>
      <c r="CP111" s="3893"/>
    </row>
    <row r="112" spans="1:94" s="78" customFormat="1" ht="8.1" customHeight="1" thickBot="1" x14ac:dyDescent="0.25">
      <c r="A112" s="104"/>
      <c r="B112" s="104"/>
      <c r="C112" s="1250"/>
      <c r="D112" s="20"/>
      <c r="E112" s="1231"/>
      <c r="F112" s="7199"/>
      <c r="G112" s="7199"/>
      <c r="H112" s="650"/>
      <c r="I112" s="650"/>
      <c r="J112" s="75"/>
      <c r="K112" s="75"/>
      <c r="L112" s="1232"/>
      <c r="M112" s="1232"/>
      <c r="N112" s="1232"/>
      <c r="O112" s="76"/>
      <c r="P112" s="1228"/>
      <c r="R112" s="51"/>
      <c r="S112" s="51"/>
      <c r="T112" s="51"/>
      <c r="U112" s="16"/>
      <c r="V112" s="16"/>
      <c r="W112" s="16"/>
      <c r="X112" s="36"/>
      <c r="Y112" s="16"/>
      <c r="Z112" s="138"/>
      <c r="AA112" s="3873"/>
      <c r="AB112" s="3873"/>
      <c r="AC112" s="16"/>
      <c r="AD112" s="16"/>
      <c r="AE112" s="16"/>
      <c r="AF112" s="36"/>
      <c r="AG112" s="16"/>
      <c r="AH112" s="138"/>
      <c r="AI112" s="3873"/>
      <c r="AJ112" s="3873"/>
      <c r="AK112" s="16"/>
      <c r="AL112" s="16"/>
      <c r="AM112" s="16"/>
      <c r="AN112" s="36"/>
      <c r="AO112" s="16"/>
      <c r="AP112" s="138"/>
      <c r="AQ112" s="3873"/>
      <c r="AR112" s="3873"/>
      <c r="AS112" s="16"/>
      <c r="AT112" s="16"/>
      <c r="AU112" s="16"/>
      <c r="AV112" s="36"/>
      <c r="AW112" s="16"/>
      <c r="AX112" s="138"/>
      <c r="AY112" s="3873"/>
      <c r="AZ112" s="3873"/>
      <c r="BA112" s="16"/>
      <c r="BB112" s="16"/>
      <c r="BC112" s="16"/>
      <c r="BD112" s="36"/>
      <c r="BE112" s="16"/>
      <c r="BF112" s="138"/>
      <c r="BG112" s="3873"/>
      <c r="BH112" s="3873"/>
      <c r="BI112" s="16"/>
      <c r="BJ112" s="16"/>
      <c r="BK112" s="16"/>
      <c r="BL112" s="36"/>
      <c r="BM112" s="16"/>
      <c r="BN112" s="138"/>
      <c r="BO112" s="3873"/>
      <c r="BP112" s="3873"/>
      <c r="BQ112" s="16"/>
      <c r="BR112" s="16"/>
      <c r="BS112" s="16"/>
      <c r="BT112" s="36"/>
      <c r="BU112" s="16"/>
      <c r="BV112" s="138"/>
      <c r="BW112" s="3873"/>
      <c r="BX112" s="3873"/>
      <c r="BY112" s="16"/>
      <c r="BZ112" s="16"/>
      <c r="CA112" s="16"/>
      <c r="CB112" s="36"/>
      <c r="CC112" s="16"/>
      <c r="CD112" s="138"/>
      <c r="CE112" s="3873"/>
      <c r="CF112" s="3873"/>
      <c r="CG112" s="16"/>
      <c r="CH112" s="16"/>
      <c r="CI112" s="16"/>
      <c r="CJ112" s="36"/>
      <c r="CK112" s="16"/>
      <c r="CL112" s="138"/>
      <c r="CM112" s="3873"/>
      <c r="CN112" s="3873"/>
      <c r="CO112" s="16"/>
      <c r="CP112" s="3873"/>
    </row>
    <row r="113" spans="1:151" s="78" customFormat="1" ht="15" customHeight="1" thickBot="1" x14ac:dyDescent="0.25">
      <c r="A113" s="104"/>
      <c r="B113" s="104"/>
      <c r="C113" s="1250"/>
      <c r="D113" s="20"/>
      <c r="E113" s="1231"/>
      <c r="F113" s="650"/>
      <c r="G113" s="650"/>
      <c r="H113" s="650"/>
      <c r="I113" s="650"/>
      <c r="J113" s="75"/>
      <c r="K113" s="75"/>
      <c r="L113" s="1232"/>
      <c r="M113" s="1232"/>
      <c r="N113" s="1232"/>
      <c r="O113" s="76"/>
      <c r="P113" s="1228"/>
      <c r="R113" s="1153"/>
      <c r="S113" s="1154"/>
      <c r="T113" s="1155"/>
      <c r="U113" s="16"/>
      <c r="V113" s="1237"/>
      <c r="W113" s="643"/>
      <c r="X113" s="642"/>
      <c r="Y113" s="643"/>
      <c r="Z113" s="1224"/>
      <c r="AA113" s="1238"/>
      <c r="AB113" s="1239"/>
      <c r="AC113" s="16"/>
      <c r="AD113" s="1237"/>
      <c r="AE113" s="643"/>
      <c r="AF113" s="642"/>
      <c r="AG113" s="643"/>
      <c r="AH113" s="1224"/>
      <c r="AI113" s="1238"/>
      <c r="AJ113" s="1239"/>
      <c r="AK113" s="16"/>
      <c r="AL113" s="1237"/>
      <c r="AM113" s="643"/>
      <c r="AN113" s="642"/>
      <c r="AO113" s="643"/>
      <c r="AP113" s="1224"/>
      <c r="AQ113" s="1238"/>
      <c r="AR113" s="1239"/>
      <c r="AS113" s="16"/>
      <c r="AT113" s="1237"/>
      <c r="AU113" s="643"/>
      <c r="AV113" s="642"/>
      <c r="AW113" s="643"/>
      <c r="AX113" s="1224"/>
      <c r="AY113" s="1238"/>
      <c r="AZ113" s="1239"/>
      <c r="BA113" s="16"/>
      <c r="BB113" s="1237"/>
      <c r="BC113" s="643"/>
      <c r="BD113" s="642"/>
      <c r="BE113" s="643"/>
      <c r="BF113" s="1224"/>
      <c r="BG113" s="1238"/>
      <c r="BH113" s="1239"/>
      <c r="BI113" s="16"/>
      <c r="BJ113" s="1237"/>
      <c r="BK113" s="643"/>
      <c r="BL113" s="642"/>
      <c r="BM113" s="643"/>
      <c r="BN113" s="1224"/>
      <c r="BO113" s="1238"/>
      <c r="BP113" s="1239"/>
      <c r="BQ113" s="16"/>
      <c r="BR113" s="1237"/>
      <c r="BS113" s="643"/>
      <c r="BT113" s="642"/>
      <c r="BU113" s="643"/>
      <c r="BV113" s="1224"/>
      <c r="BW113" s="1238"/>
      <c r="BX113" s="1239"/>
      <c r="BY113" s="16"/>
      <c r="BZ113" s="1237"/>
      <c r="CA113" s="643"/>
      <c r="CB113" s="642"/>
      <c r="CC113" s="643"/>
      <c r="CD113" s="1224"/>
      <c r="CE113" s="1238"/>
      <c r="CF113" s="1239"/>
      <c r="CG113" s="16"/>
      <c r="CH113" s="1237"/>
      <c r="CI113" s="643"/>
      <c r="CJ113" s="642"/>
      <c r="CK113" s="643"/>
      <c r="CL113" s="1224"/>
      <c r="CM113" s="1238"/>
      <c r="CN113" s="1239"/>
      <c r="CO113" s="16"/>
      <c r="CP113" s="173"/>
    </row>
    <row r="114" spans="1:151" s="1913" customFormat="1" ht="20.100000000000001" customHeight="1" thickBot="1" x14ac:dyDescent="0.25">
      <c r="A114" s="1905"/>
      <c r="B114" s="1905"/>
      <c r="C114" s="1906"/>
      <c r="D114" s="1907"/>
      <c r="E114" s="1908"/>
      <c r="F114" s="1909" t="str">
        <f>_Calcs!$N$73</f>
        <v>Alle typer ≤ 4 m</v>
      </c>
      <c r="G114" s="1909"/>
      <c r="H114" s="1909"/>
      <c r="I114" s="1909"/>
      <c r="J114" s="2297" t="s">
        <v>149</v>
      </c>
      <c r="K114" s="2297"/>
      <c r="L114" s="1910"/>
      <c r="M114" s="1910"/>
      <c r="N114" s="1910"/>
      <c r="O114" s="1911" t="s">
        <v>97</v>
      </c>
      <c r="P114" s="1912"/>
      <c r="R114" s="1914"/>
      <c r="S114" s="2302">
        <f>IFERROR(INDEX(outputs_klasse_qty[bue_radielle_lt4_sum],MATCH(_Calcs_Klasse!$CC$54,outputs_klasse_qty[Navn],0)),"")</f>
        <v>0</v>
      </c>
      <c r="T114" s="1916"/>
      <c r="U114" s="1917"/>
      <c r="V114" s="1918"/>
      <c r="W114" s="1919"/>
      <c r="X114" s="2313">
        <f>IFERROR(INDEX(outputs_klasse_qty[bue_radielle_lt4_sum],MATCH(_Calcs_Klasse!$AV$146,outputs_klasse_qty[klasse_stuff_id],0)),"")</f>
        <v>0</v>
      </c>
      <c r="Y114" s="1919"/>
      <c r="Z114" s="3878" t="str">
        <f>IF(_Calcs_Klasse!$AI$27=2,"✓",IF(AND(_Calcs_Klasse!$AI$27=1,_Calcs!$NO$346=0),"✓","!"))</f>
        <v>✓</v>
      </c>
      <c r="AA114" s="1920"/>
      <c r="AB114" s="1921"/>
      <c r="AC114" s="1917"/>
      <c r="AD114" s="1918"/>
      <c r="AE114" s="1919"/>
      <c r="AF114" s="2313" t="str">
        <f>IFERROR(INDEX(outputs_klasse_qty[bue_radielle_lt4_sum],MATCH(_Calcs_Klasse!$AW$146,outputs_klasse_qty[klasse_stuff_id],0)),"")</f>
        <v/>
      </c>
      <c r="AG114" s="1919"/>
      <c r="AH114" s="3878" t="str">
        <f>IF(_Calcs_Klasse!$AI$27=2,"✓",IF(AND(_Calcs_Klasse!$AI$27=1,_Calcs!$NP$346=0),"✓","!"))</f>
        <v>✓</v>
      </c>
      <c r="AI114" s="1920"/>
      <c r="AJ114" s="1921"/>
      <c r="AK114" s="1917"/>
      <c r="AL114" s="1918"/>
      <c r="AM114" s="1919"/>
      <c r="AN114" s="2313" t="str">
        <f>IFERROR(INDEX(outputs_klasse_qty[bue_radielle_lt4_sum],MATCH(_Calcs_Klasse!$AX$146,outputs_klasse_qty[klasse_stuff_id],0)),"")</f>
        <v/>
      </c>
      <c r="AO114" s="1919"/>
      <c r="AP114" s="3878" t="str">
        <f>IF(_Calcs_Klasse!$AI$27=2,"✓",IF(AND(_Calcs_Klasse!$AI$27=1,_Calcs!$NQ$346=0),"✓","!"))</f>
        <v>✓</v>
      </c>
      <c r="AQ114" s="1920"/>
      <c r="AR114" s="1921"/>
      <c r="AS114" s="1917"/>
      <c r="AT114" s="1918"/>
      <c r="AU114" s="1919"/>
      <c r="AV114" s="2313" t="str">
        <f>IFERROR(INDEX(outputs_klasse_qty[bue_radielle_lt4_sum],MATCH(_Calcs_Klasse!$AY$146,outputs_klasse_qty[klasse_stuff_id],0)),"")</f>
        <v/>
      </c>
      <c r="AW114" s="1919"/>
      <c r="AX114" s="3878" t="str">
        <f>IF(_Calcs_Klasse!$AI$27=2,"✓",IF(AND(_Calcs_Klasse!$AI$27=1,_Calcs!$NR$346=0),"✓","!"))</f>
        <v>✓</v>
      </c>
      <c r="AY114" s="1920"/>
      <c r="AZ114" s="1921"/>
      <c r="BA114" s="1917"/>
      <c r="BB114" s="1918"/>
      <c r="BC114" s="1919"/>
      <c r="BD114" s="2313" t="str">
        <f>IFERROR(INDEX(outputs_klasse_qty[bue_radielle_lt4_sum],MATCH(_Calcs_Klasse!$AZ$146,outputs_klasse_qty[klasse_stuff_id],0)),"")</f>
        <v/>
      </c>
      <c r="BE114" s="1919"/>
      <c r="BF114" s="3878" t="str">
        <f>IF(_Calcs_Klasse!$AI$27=2,"✓",IF(AND(_Calcs_Klasse!$AI$27=1,_Calcs!$NS$346=0),"✓","!"))</f>
        <v>✓</v>
      </c>
      <c r="BG114" s="1920"/>
      <c r="BH114" s="1921"/>
      <c r="BI114" s="1917"/>
      <c r="BJ114" s="1918"/>
      <c r="BK114" s="1919"/>
      <c r="BL114" s="2313" t="str">
        <f>IFERROR(INDEX(outputs_klasse_qty[bue_radielle_lt4_sum],MATCH(_Calcs_Klasse!$BA$146,outputs_klasse_qty[klasse_stuff_id],0)),"")</f>
        <v/>
      </c>
      <c r="BM114" s="1919"/>
      <c r="BN114" s="3878" t="str">
        <f>IF(_Calcs_Klasse!$AI$27=2,"✓",IF(AND(_Calcs_Klasse!$AI$27=1,_Calcs!$NT$346=0),"✓","!"))</f>
        <v>✓</v>
      </c>
      <c r="BO114" s="1920"/>
      <c r="BP114" s="1921"/>
      <c r="BQ114" s="1917"/>
      <c r="BR114" s="1918"/>
      <c r="BS114" s="1919"/>
      <c r="BT114" s="2313" t="str">
        <f>IFERROR(INDEX(outputs_klasse_qty[bue_radielle_lt4_sum],MATCH(_Calcs_Klasse!$BB$146,outputs_klasse_qty[klasse_stuff_id],0)),"")</f>
        <v/>
      </c>
      <c r="BU114" s="1919"/>
      <c r="BV114" s="3878" t="str">
        <f>IF(_Calcs_Klasse!$AI$27=2,"✓",IF(AND(_Calcs_Klasse!$AI$27=1,_Calcs!$NU$346=0),"✓","!"))</f>
        <v>✓</v>
      </c>
      <c r="BW114" s="1920"/>
      <c r="BX114" s="1921"/>
      <c r="BY114" s="1917"/>
      <c r="BZ114" s="1918"/>
      <c r="CA114" s="1919"/>
      <c r="CB114" s="2313" t="str">
        <f>IFERROR(INDEX(outputs_klasse_qty[bue_radielle_lt4_sum],MATCH(_Calcs_Klasse!$BC$146,outputs_klasse_qty[klasse_stuff_id],0)),"")</f>
        <v/>
      </c>
      <c r="CC114" s="1919"/>
      <c r="CD114" s="3878" t="str">
        <f>IF(_Calcs_Klasse!$AI$27=2,"✓",IF(AND(_Calcs_Klasse!$AI$27=1,_Calcs!$NV$346=0),"✓","!"))</f>
        <v>✓</v>
      </c>
      <c r="CE114" s="1920"/>
      <c r="CF114" s="1921"/>
      <c r="CG114" s="1917"/>
      <c r="CH114" s="1918"/>
      <c r="CI114" s="1919"/>
      <c r="CJ114" s="2313" t="str">
        <f>IFERROR(INDEX(outputs_klasse_qty[bue_radielle_lt4_sum],MATCH(_Calcs_Klasse!$BD$146,outputs_klasse_qty[klasse_stuff_id],0)),"")</f>
        <v/>
      </c>
      <c r="CK114" s="1919"/>
      <c r="CL114" s="3878" t="str">
        <f>IF(_Calcs_Klasse!$AI$27=2,"✓",IF(AND(_Calcs_Klasse!$AI$27=1,_Calcs!$NW$346=0),"✓","!"))</f>
        <v>✓</v>
      </c>
      <c r="CM114" s="1920"/>
      <c r="CN114" s="1921"/>
      <c r="CO114" s="1917"/>
      <c r="CP114" s="1922"/>
      <c r="CQ114" s="1923"/>
      <c r="CR114" s="1923"/>
      <c r="CS114" s="1923"/>
      <c r="CT114" s="1923"/>
      <c r="CU114" s="1923"/>
      <c r="CV114" s="1923"/>
      <c r="CW114" s="1923"/>
      <c r="CX114" s="1923"/>
      <c r="CY114" s="1923"/>
      <c r="CZ114" s="1923"/>
      <c r="DA114" s="1923"/>
      <c r="DB114" s="1923"/>
      <c r="DC114" s="1923"/>
      <c r="DD114" s="1923"/>
      <c r="DE114" s="1923"/>
      <c r="DF114" s="1923"/>
      <c r="DG114" s="1923"/>
      <c r="DH114" s="1923"/>
      <c r="DI114" s="1923"/>
      <c r="DJ114" s="1923"/>
      <c r="DK114" s="1923"/>
      <c r="DL114" s="1923"/>
      <c r="DM114" s="1923"/>
      <c r="DN114" s="1923"/>
      <c r="DO114" s="1923"/>
      <c r="DP114" s="1923"/>
      <c r="DQ114" s="1923"/>
      <c r="DR114" s="1923"/>
      <c r="DS114" s="1923"/>
      <c r="DT114" s="1923"/>
      <c r="DU114" s="1923"/>
      <c r="DV114" s="1923"/>
      <c r="DW114" s="1923"/>
      <c r="DX114" s="1923"/>
      <c r="DY114" s="1923"/>
      <c r="DZ114" s="1923"/>
      <c r="EA114" s="1923"/>
      <c r="EB114" s="1923"/>
      <c r="EC114" s="1923"/>
      <c r="ED114" s="1923"/>
      <c r="EE114" s="1923"/>
      <c r="EF114" s="1923"/>
      <c r="EG114" s="1923"/>
      <c r="EH114" s="1923"/>
      <c r="EI114" s="1923"/>
      <c r="EJ114" s="1923"/>
      <c r="EK114" s="1923"/>
      <c r="EL114" s="1923"/>
      <c r="EM114" s="1923"/>
      <c r="EN114" s="1923"/>
      <c r="EO114" s="1923"/>
      <c r="EP114" s="1923"/>
      <c r="EQ114" s="1923"/>
      <c r="ER114" s="1923"/>
      <c r="ES114" s="1923"/>
      <c r="ET114" s="1923"/>
      <c r="EU114" s="1923"/>
    </row>
    <row r="115" spans="1:151" s="78" customFormat="1" ht="15" customHeight="1" thickBot="1" x14ac:dyDescent="0.25">
      <c r="A115" s="104"/>
      <c r="B115" s="104"/>
      <c r="C115" s="1251"/>
      <c r="D115" s="20"/>
      <c r="E115" s="1231"/>
      <c r="F115" s="650"/>
      <c r="G115" s="650"/>
      <c r="H115" s="650"/>
      <c r="I115" s="650"/>
      <c r="J115" s="75"/>
      <c r="K115" s="75"/>
      <c r="L115" s="1232"/>
      <c r="M115" s="1232"/>
      <c r="N115" s="1232"/>
      <c r="O115" s="76"/>
      <c r="P115" s="1228"/>
      <c r="R115" s="1156"/>
      <c r="S115" s="1924"/>
      <c r="T115" s="1916"/>
      <c r="U115" s="1917"/>
      <c r="V115" s="1918"/>
      <c r="W115" s="1919"/>
      <c r="X115" s="1919"/>
      <c r="Y115" s="1919"/>
      <c r="Z115" s="1925"/>
      <c r="AA115" s="1920"/>
      <c r="AB115" s="1921"/>
      <c r="AC115" s="1917"/>
      <c r="AD115" s="1918"/>
      <c r="AE115" s="1919"/>
      <c r="AF115" s="1919"/>
      <c r="AG115" s="1919"/>
      <c r="AH115" s="1925"/>
      <c r="AI115" s="1920"/>
      <c r="AJ115" s="1921"/>
      <c r="AK115" s="1917"/>
      <c r="AL115" s="1918"/>
      <c r="AM115" s="1919"/>
      <c r="AN115" s="1919"/>
      <c r="AO115" s="1919"/>
      <c r="AP115" s="1925"/>
      <c r="AQ115" s="1920"/>
      <c r="AR115" s="1921"/>
      <c r="AS115" s="1917"/>
      <c r="AT115" s="1918"/>
      <c r="AU115" s="1919"/>
      <c r="AV115" s="1919"/>
      <c r="AW115" s="1919"/>
      <c r="AX115" s="1925"/>
      <c r="AY115" s="1920"/>
      <c r="AZ115" s="1921"/>
      <c r="BA115" s="1917"/>
      <c r="BB115" s="1918"/>
      <c r="BC115" s="1919"/>
      <c r="BD115" s="1919"/>
      <c r="BE115" s="1919"/>
      <c r="BF115" s="1925"/>
      <c r="BG115" s="1920"/>
      <c r="BH115" s="1921"/>
      <c r="BI115" s="1917"/>
      <c r="BJ115" s="1918"/>
      <c r="BK115" s="1919"/>
      <c r="BL115" s="1919"/>
      <c r="BM115" s="1919"/>
      <c r="BN115" s="1925"/>
      <c r="BO115" s="1920"/>
      <c r="BP115" s="1921"/>
      <c r="BQ115" s="1917"/>
      <c r="BR115" s="1918"/>
      <c r="BS115" s="1919"/>
      <c r="BT115" s="1919"/>
      <c r="BU115" s="1919"/>
      <c r="BV115" s="1925"/>
      <c r="BW115" s="1920"/>
      <c r="BX115" s="1921"/>
      <c r="BY115" s="1917"/>
      <c r="BZ115" s="1918"/>
      <c r="CA115" s="1919"/>
      <c r="CB115" s="1919"/>
      <c r="CC115" s="1919"/>
      <c r="CD115" s="1925"/>
      <c r="CE115" s="1920"/>
      <c r="CF115" s="1921"/>
      <c r="CG115" s="1917"/>
      <c r="CH115" s="1918"/>
      <c r="CI115" s="1919"/>
      <c r="CJ115" s="1919"/>
      <c r="CK115" s="1919"/>
      <c r="CL115" s="1925"/>
      <c r="CM115" s="1920"/>
      <c r="CN115" s="1921"/>
      <c r="CO115" s="1917"/>
      <c r="CP115" s="1922"/>
      <c r="CQ115" s="1923"/>
      <c r="CR115" s="1923"/>
      <c r="CS115" s="1923"/>
      <c r="CT115" s="1923"/>
      <c r="CU115" s="1923"/>
      <c r="CV115" s="1923"/>
      <c r="CW115" s="1923"/>
      <c r="CX115" s="1923"/>
      <c r="CY115" s="1923"/>
      <c r="CZ115" s="1923"/>
      <c r="DA115" s="1923"/>
      <c r="DB115" s="1923"/>
      <c r="DC115" s="1923"/>
      <c r="DD115" s="1923"/>
      <c r="DE115" s="1923"/>
      <c r="DF115" s="1923"/>
      <c r="DG115" s="1923"/>
      <c r="DH115" s="1923"/>
      <c r="DI115" s="1923"/>
      <c r="DJ115" s="1923"/>
      <c r="DK115" s="1923"/>
      <c r="DL115" s="1923"/>
      <c r="DM115" s="1923"/>
      <c r="DN115" s="1923"/>
      <c r="DO115" s="1923"/>
      <c r="DP115" s="1923"/>
      <c r="DQ115" s="1923"/>
      <c r="DR115" s="1923"/>
      <c r="DS115" s="1923"/>
      <c r="DT115" s="1923"/>
      <c r="DU115" s="1923"/>
      <c r="DV115" s="1923"/>
      <c r="DW115" s="1923"/>
      <c r="DX115" s="1923"/>
      <c r="DY115" s="1923"/>
      <c r="DZ115" s="1923"/>
      <c r="EA115" s="1923"/>
      <c r="EB115" s="1923"/>
      <c r="EC115" s="1923"/>
      <c r="ED115" s="1923"/>
      <c r="EE115" s="1923"/>
      <c r="EF115" s="1923"/>
      <c r="EG115" s="1923"/>
      <c r="EH115" s="1923"/>
      <c r="EI115" s="1923"/>
      <c r="EJ115" s="1923"/>
      <c r="EK115" s="1923"/>
      <c r="EL115" s="1923"/>
      <c r="EM115" s="1923"/>
      <c r="EN115" s="1923"/>
      <c r="EO115" s="1923"/>
      <c r="EP115" s="1923"/>
      <c r="EQ115" s="1923"/>
      <c r="ER115" s="1923"/>
      <c r="ES115" s="1923"/>
      <c r="ET115" s="1923"/>
      <c r="EU115" s="1923"/>
    </row>
    <row r="116" spans="1:151" s="1913" customFormat="1" ht="20.100000000000001" customHeight="1" thickBot="1" x14ac:dyDescent="0.25">
      <c r="A116" s="1905"/>
      <c r="B116" s="1905"/>
      <c r="C116" s="1906"/>
      <c r="D116" s="1907"/>
      <c r="E116" s="1908"/>
      <c r="F116" s="1909" t="str">
        <f>_Calcs!$N$74</f>
        <v>Alle typer &gt; 4 m</v>
      </c>
      <c r="G116" s="1909"/>
      <c r="H116" s="1909"/>
      <c r="I116" s="1909"/>
      <c r="J116" s="2297" t="s">
        <v>149</v>
      </c>
      <c r="K116" s="2297"/>
      <c r="L116" s="1910"/>
      <c r="M116" s="1910"/>
      <c r="N116" s="1910"/>
      <c r="O116" s="1911" t="s">
        <v>97</v>
      </c>
      <c r="P116" s="1912"/>
      <c r="Q116" s="1915"/>
      <c r="R116" s="1914"/>
      <c r="S116" s="2302">
        <f>IFERROR(INDEX(outputs_klasse_qty[bue_radielle_gt4_sum],MATCH(_Calcs_Klasse!$CC$54,outputs_klasse_qty[Navn],0)),"")</f>
        <v>0</v>
      </c>
      <c r="T116" s="1916"/>
      <c r="U116" s="1917"/>
      <c r="V116" s="1918"/>
      <c r="W116" s="1919"/>
      <c r="X116" s="2313">
        <f>IFERROR(INDEX(outputs_klasse_qty[bue_radielle_gt4_sum],MATCH(_Calcs_Klasse!$AV$146,outputs_klasse_qty[klasse_stuff_id],0)),"")</f>
        <v>0</v>
      </c>
      <c r="Y116" s="1919"/>
      <c r="Z116" s="3878" t="str">
        <f>IF(_Calcs_Klasse!$AI$27=2,"✓",IF(AND(_Calcs_Klasse!$AI$27=1,_Calcs!$NO$346=0),"✓","!"))</f>
        <v>✓</v>
      </c>
      <c r="AA116" s="1920"/>
      <c r="AB116" s="1921"/>
      <c r="AC116" s="1917"/>
      <c r="AD116" s="1918"/>
      <c r="AE116" s="1919"/>
      <c r="AF116" s="2313" t="str">
        <f>IFERROR(INDEX(outputs_klasse_qty[bue_radielle_gt4_sum],MATCH(_Calcs_Klasse!$AW$146,outputs_klasse_qty[klasse_stuff_id],0)),"")</f>
        <v/>
      </c>
      <c r="AG116" s="1919"/>
      <c r="AH116" s="3878" t="str">
        <f>IF(_Calcs_Klasse!$AI$27=2,"✓",IF(AND(_Calcs_Klasse!$AI$27=1,_Calcs!$NP$346=0),"✓","!"))</f>
        <v>✓</v>
      </c>
      <c r="AI116" s="1920"/>
      <c r="AJ116" s="1921"/>
      <c r="AK116" s="1917"/>
      <c r="AL116" s="1918"/>
      <c r="AM116" s="1919"/>
      <c r="AN116" s="2313" t="str">
        <f>IFERROR(INDEX(outputs_klasse_qty[bue_radielle_gt4_sum],MATCH(_Calcs_Klasse!$AX$146,outputs_klasse_qty[klasse_stuff_id],0)),"")</f>
        <v/>
      </c>
      <c r="AO116" s="1919"/>
      <c r="AP116" s="3878" t="str">
        <f>IF(_Calcs_Klasse!$AI$27=2,"✓",IF(AND(_Calcs_Klasse!$AI$27=1,_Calcs!$NQ$346=0),"✓","!"))</f>
        <v>✓</v>
      </c>
      <c r="AQ116" s="1920"/>
      <c r="AR116" s="1921"/>
      <c r="AS116" s="1917"/>
      <c r="AT116" s="1918"/>
      <c r="AU116" s="1919"/>
      <c r="AV116" s="2313" t="str">
        <f>IFERROR(INDEX(outputs_klasse_qty[bue_radielle_gt4_sum],MATCH(_Calcs_Klasse!$AY$146,outputs_klasse_qty[klasse_stuff_id],0)),"")</f>
        <v/>
      </c>
      <c r="AW116" s="1919"/>
      <c r="AX116" s="3878" t="str">
        <f>IF(_Calcs_Klasse!$AI$27=2,"✓",IF(AND(_Calcs_Klasse!$AI$27=1,_Calcs!$NR$346=0),"✓","!"))</f>
        <v>✓</v>
      </c>
      <c r="AY116" s="1920"/>
      <c r="AZ116" s="1921"/>
      <c r="BA116" s="1917"/>
      <c r="BB116" s="1918"/>
      <c r="BC116" s="1919"/>
      <c r="BD116" s="2313" t="str">
        <f>IFERROR(INDEX(outputs_klasse_qty[bue_radielle_gt4_sum],MATCH(_Calcs_Klasse!$AZ$146,outputs_klasse_qty[klasse_stuff_id],0)),"")</f>
        <v/>
      </c>
      <c r="BE116" s="1919"/>
      <c r="BF116" s="3878" t="str">
        <f>IF(_Calcs_Klasse!$AI$27=2,"✓",IF(AND(_Calcs_Klasse!$AI$27=1,_Calcs!$NS$346=0),"✓","!"))</f>
        <v>✓</v>
      </c>
      <c r="BG116" s="1920"/>
      <c r="BH116" s="1921"/>
      <c r="BI116" s="1917"/>
      <c r="BJ116" s="1918"/>
      <c r="BK116" s="1919"/>
      <c r="BL116" s="2313" t="str">
        <f>IFERROR(INDEX(outputs_klasse_qty[bue_radielle_gt4_sum],MATCH(_Calcs_Klasse!$BA$146,outputs_klasse_qty[klasse_stuff_id],0)),"")</f>
        <v/>
      </c>
      <c r="BM116" s="1919"/>
      <c r="BN116" s="3878" t="str">
        <f>IF(_Calcs_Klasse!$AI$27=2,"✓",IF(AND(_Calcs_Klasse!$AI$27=1,_Calcs!$NT$346=0),"✓","!"))</f>
        <v>✓</v>
      </c>
      <c r="BO116" s="1920"/>
      <c r="BP116" s="1921"/>
      <c r="BQ116" s="1917"/>
      <c r="BR116" s="1918"/>
      <c r="BS116" s="1919"/>
      <c r="BT116" s="2313" t="str">
        <f>IFERROR(INDEX(outputs_klasse_qty[bue_radielle_gt4_sum],MATCH(_Calcs_Klasse!$BB$146,outputs_klasse_qty[klasse_stuff_id],0)),"")</f>
        <v/>
      </c>
      <c r="BU116" s="1919"/>
      <c r="BV116" s="3878" t="str">
        <f>IF(_Calcs_Klasse!$AI$27=2,"✓",IF(AND(_Calcs_Klasse!$AI$27=1,_Calcs!$NU$346=0),"✓","!"))</f>
        <v>✓</v>
      </c>
      <c r="BW116" s="1920"/>
      <c r="BX116" s="1921"/>
      <c r="BY116" s="1917"/>
      <c r="BZ116" s="1918"/>
      <c r="CA116" s="1919"/>
      <c r="CB116" s="2313" t="str">
        <f>IFERROR(INDEX(outputs_klasse_qty[bue_radielle_gt4_sum],MATCH(_Calcs_Klasse!$BC$146,outputs_klasse_qty[klasse_stuff_id],0)),"")</f>
        <v/>
      </c>
      <c r="CC116" s="1919"/>
      <c r="CD116" s="3878" t="str">
        <f>IF(_Calcs_Klasse!$AI$27=2,"✓",IF(AND(_Calcs_Klasse!$AI$27=1,_Calcs!$NV$346=0),"✓","!"))</f>
        <v>✓</v>
      </c>
      <c r="CE116" s="1920"/>
      <c r="CF116" s="1921"/>
      <c r="CG116" s="1917"/>
      <c r="CH116" s="1918"/>
      <c r="CI116" s="1919"/>
      <c r="CJ116" s="2313" t="str">
        <f>IFERROR(INDEX(outputs_klasse_qty[bue_radielle_gt4_sum],MATCH(_Calcs_Klasse!$BD$146,outputs_klasse_qty[klasse_stuff_id],0)),"")</f>
        <v/>
      </c>
      <c r="CK116" s="1919"/>
      <c r="CL116" s="3878" t="str">
        <f>IF(_Calcs_Klasse!$AI$27=2,"✓",IF(AND(_Calcs_Klasse!$AI$27=1,_Calcs!$NW$346=0),"✓","!"))</f>
        <v>✓</v>
      </c>
      <c r="CM116" s="1920"/>
      <c r="CN116" s="1921"/>
      <c r="CO116" s="1917"/>
      <c r="CP116" s="1922"/>
      <c r="CQ116" s="1923"/>
      <c r="CR116" s="1923"/>
      <c r="CS116" s="1923"/>
      <c r="CT116" s="1923"/>
      <c r="CU116" s="1923"/>
      <c r="CV116" s="1923"/>
      <c r="CW116" s="1923"/>
      <c r="CX116" s="1923"/>
      <c r="CY116" s="1923"/>
      <c r="CZ116" s="1923"/>
      <c r="DA116" s="1923"/>
      <c r="DB116" s="1923"/>
      <c r="DC116" s="1923"/>
      <c r="DD116" s="1923"/>
      <c r="DE116" s="1923"/>
      <c r="DF116" s="1923"/>
      <c r="DG116" s="1923"/>
      <c r="DH116" s="1923"/>
      <c r="DI116" s="1923"/>
      <c r="DJ116" s="1923"/>
      <c r="DK116" s="1923"/>
      <c r="DL116" s="1923"/>
      <c r="DM116" s="1923"/>
      <c r="DN116" s="1923"/>
      <c r="DO116" s="1923"/>
      <c r="DP116" s="1923"/>
      <c r="DQ116" s="1923"/>
      <c r="DR116" s="1923"/>
      <c r="DS116" s="1923"/>
      <c r="DT116" s="1923"/>
      <c r="DU116" s="1923"/>
      <c r="DV116" s="1923"/>
      <c r="DW116" s="1923"/>
      <c r="DX116" s="1923"/>
      <c r="DY116" s="1923"/>
      <c r="DZ116" s="1923"/>
      <c r="EA116" s="1923"/>
      <c r="EB116" s="1923"/>
      <c r="EC116" s="1923"/>
      <c r="ED116" s="1923"/>
      <c r="EE116" s="1923"/>
      <c r="EF116" s="1923"/>
      <c r="EG116" s="1923"/>
      <c r="EH116" s="1923"/>
      <c r="EI116" s="1923"/>
      <c r="EJ116" s="1923"/>
      <c r="EK116" s="1923"/>
      <c r="EL116" s="1923"/>
      <c r="EM116" s="1923"/>
      <c r="EN116" s="1923"/>
      <c r="EO116" s="1923"/>
      <c r="EP116" s="1923"/>
      <c r="EQ116" s="1923"/>
      <c r="ER116" s="1923"/>
      <c r="ES116" s="1923"/>
      <c r="ET116" s="1923"/>
      <c r="EU116" s="1923"/>
    </row>
    <row r="117" spans="1:151" s="78" customFormat="1" ht="15" customHeight="1" thickBot="1" x14ac:dyDescent="0.25">
      <c r="A117" s="104"/>
      <c r="B117" s="104"/>
      <c r="C117" s="1251"/>
      <c r="D117" s="20"/>
      <c r="E117" s="1229"/>
      <c r="F117" s="659"/>
      <c r="G117" s="659"/>
      <c r="H117" s="659"/>
      <c r="I117" s="659"/>
      <c r="J117" s="659"/>
      <c r="K117" s="659"/>
      <c r="L117" s="659"/>
      <c r="M117" s="659"/>
      <c r="N117" s="659"/>
      <c r="O117" s="659"/>
      <c r="P117" s="1230"/>
      <c r="R117" s="1158"/>
      <c r="S117" s="1159"/>
      <c r="T117" s="1160"/>
      <c r="U117" s="16"/>
      <c r="V117" s="1229"/>
      <c r="W117" s="659"/>
      <c r="X117" s="1242"/>
      <c r="Y117" s="659"/>
      <c r="Z117" s="659"/>
      <c r="AA117" s="1243"/>
      <c r="AB117" s="1244"/>
      <c r="AC117" s="16"/>
      <c r="AD117" s="1229"/>
      <c r="AE117" s="659"/>
      <c r="AF117" s="1242"/>
      <c r="AG117" s="659"/>
      <c r="AH117" s="659"/>
      <c r="AI117" s="1243"/>
      <c r="AJ117" s="1244"/>
      <c r="AK117" s="16"/>
      <c r="AL117" s="1229"/>
      <c r="AM117" s="659"/>
      <c r="AN117" s="1242"/>
      <c r="AO117" s="659"/>
      <c r="AP117" s="659"/>
      <c r="AQ117" s="1243"/>
      <c r="AR117" s="1244"/>
      <c r="AS117" s="16"/>
      <c r="AT117" s="1229"/>
      <c r="AU117" s="659"/>
      <c r="AV117" s="1242"/>
      <c r="AW117" s="659"/>
      <c r="AX117" s="659"/>
      <c r="AY117" s="1243"/>
      <c r="AZ117" s="1244"/>
      <c r="BA117" s="16"/>
      <c r="BB117" s="1229"/>
      <c r="BC117" s="659"/>
      <c r="BD117" s="1242"/>
      <c r="BE117" s="659"/>
      <c r="BF117" s="659"/>
      <c r="BG117" s="1243"/>
      <c r="BH117" s="1244"/>
      <c r="BI117" s="16"/>
      <c r="BJ117" s="1229"/>
      <c r="BK117" s="659"/>
      <c r="BL117" s="1242"/>
      <c r="BM117" s="659"/>
      <c r="BN117" s="659"/>
      <c r="BO117" s="1243"/>
      <c r="BP117" s="1244"/>
      <c r="BQ117" s="16"/>
      <c r="BR117" s="1229"/>
      <c r="BS117" s="659"/>
      <c r="BT117" s="1242"/>
      <c r="BU117" s="659"/>
      <c r="BV117" s="659"/>
      <c r="BW117" s="1243"/>
      <c r="BX117" s="1244"/>
      <c r="BY117" s="16"/>
      <c r="BZ117" s="1229"/>
      <c r="CA117" s="659"/>
      <c r="CB117" s="1242"/>
      <c r="CC117" s="659"/>
      <c r="CD117" s="659"/>
      <c r="CE117" s="1243"/>
      <c r="CF117" s="1244"/>
      <c r="CG117" s="16"/>
      <c r="CH117" s="1229"/>
      <c r="CI117" s="659"/>
      <c r="CJ117" s="1242"/>
      <c r="CK117" s="659"/>
      <c r="CL117" s="659"/>
      <c r="CM117" s="1243"/>
      <c r="CN117" s="1244"/>
      <c r="CO117" s="16"/>
      <c r="CP117" s="173"/>
    </row>
    <row r="118" spans="1:151" s="78" customFormat="1" ht="8.1" customHeight="1" thickBot="1" x14ac:dyDescent="0.25">
      <c r="A118" s="104"/>
      <c r="B118" s="104"/>
      <c r="C118" s="1251"/>
      <c r="D118" s="20"/>
      <c r="E118" s="14"/>
      <c r="F118" s="15"/>
      <c r="G118" s="15"/>
      <c r="H118" s="15"/>
      <c r="I118" s="15"/>
      <c r="J118" s="16"/>
      <c r="K118" s="16"/>
      <c r="L118" s="19"/>
      <c r="M118" s="19"/>
      <c r="N118" s="19"/>
      <c r="O118" s="15"/>
      <c r="P118" s="15"/>
      <c r="R118" s="70"/>
      <c r="S118" s="114"/>
      <c r="T118" s="70"/>
      <c r="U118" s="16"/>
      <c r="V118" s="17"/>
      <c r="W118" s="17"/>
      <c r="X118" s="18"/>
      <c r="Y118" s="16"/>
      <c r="Z118" s="19"/>
      <c r="AA118" s="21"/>
      <c r="AB118" s="21"/>
      <c r="AC118" s="16"/>
      <c r="AD118" s="17"/>
      <c r="AE118" s="17"/>
      <c r="AF118" s="18"/>
      <c r="AG118" s="16"/>
      <c r="AH118" s="19"/>
      <c r="AI118" s="21"/>
      <c r="AJ118" s="21"/>
      <c r="AK118" s="16"/>
      <c r="AL118" s="17"/>
      <c r="AM118" s="17"/>
      <c r="AN118" s="18"/>
      <c r="AO118" s="16"/>
      <c r="AP118" s="19"/>
      <c r="AQ118" s="21"/>
      <c r="AR118" s="21"/>
      <c r="AS118" s="16"/>
      <c r="AT118" s="17"/>
      <c r="AU118" s="17"/>
      <c r="AV118" s="18"/>
      <c r="AW118" s="16"/>
      <c r="AX118" s="19"/>
      <c r="AY118" s="21"/>
      <c r="AZ118" s="21"/>
      <c r="BA118" s="16"/>
      <c r="BB118" s="17"/>
      <c r="BC118" s="17"/>
      <c r="BD118" s="18"/>
      <c r="BE118" s="16"/>
      <c r="BF118" s="19"/>
      <c r="BG118" s="21"/>
      <c r="BH118" s="21"/>
      <c r="BI118" s="16"/>
      <c r="BJ118" s="17"/>
      <c r="BK118" s="17"/>
      <c r="BL118" s="18"/>
      <c r="BM118" s="16"/>
      <c r="BN118" s="19"/>
      <c r="BO118" s="21"/>
      <c r="BP118" s="21"/>
      <c r="BQ118" s="16"/>
      <c r="BR118" s="17"/>
      <c r="BS118" s="17"/>
      <c r="BT118" s="18"/>
      <c r="BU118" s="16"/>
      <c r="BV118" s="19"/>
      <c r="BW118" s="21"/>
      <c r="BX118" s="21"/>
      <c r="BY118" s="16"/>
      <c r="BZ118" s="17"/>
      <c r="CA118" s="17"/>
      <c r="CB118" s="18"/>
      <c r="CC118" s="16"/>
      <c r="CD118" s="19"/>
      <c r="CE118" s="21"/>
      <c r="CF118" s="21"/>
      <c r="CG118" s="16"/>
      <c r="CH118" s="17"/>
      <c r="CI118" s="17"/>
      <c r="CJ118" s="18"/>
      <c r="CK118" s="16"/>
      <c r="CL118" s="19"/>
      <c r="CM118" s="21"/>
      <c r="CN118" s="21"/>
      <c r="CO118" s="16"/>
      <c r="CP118" s="21"/>
    </row>
    <row r="119" spans="1:151" s="78" customFormat="1" ht="15" customHeight="1" thickBot="1" x14ac:dyDescent="0.25">
      <c r="A119" s="104"/>
      <c r="B119" s="104"/>
      <c r="C119" s="1251"/>
      <c r="D119" s="20"/>
      <c r="E119" s="660"/>
      <c r="F119" s="658"/>
      <c r="G119" s="658"/>
      <c r="H119" s="658"/>
      <c r="I119" s="658"/>
      <c r="J119" s="643"/>
      <c r="K119" s="643"/>
      <c r="L119" s="1224"/>
      <c r="M119" s="1224"/>
      <c r="N119" s="1224"/>
      <c r="O119" s="658"/>
      <c r="P119" s="1225"/>
      <c r="R119" s="1153"/>
      <c r="S119" s="1154"/>
      <c r="T119" s="1155"/>
      <c r="U119" s="16"/>
      <c r="V119" s="1223"/>
      <c r="W119" s="658"/>
      <c r="X119" s="1257"/>
      <c r="Y119" s="643"/>
      <c r="Z119" s="1224"/>
      <c r="AA119" s="661"/>
      <c r="AB119" s="1259"/>
      <c r="AC119" s="16"/>
      <c r="AD119" s="1223"/>
      <c r="AE119" s="658"/>
      <c r="AF119" s="1257"/>
      <c r="AG119" s="643"/>
      <c r="AH119" s="1224"/>
      <c r="AI119" s="661"/>
      <c r="AJ119" s="1259"/>
      <c r="AK119" s="16"/>
      <c r="AL119" s="1223"/>
      <c r="AM119" s="658"/>
      <c r="AN119" s="1257"/>
      <c r="AO119" s="643"/>
      <c r="AP119" s="1224"/>
      <c r="AQ119" s="661"/>
      <c r="AR119" s="1259"/>
      <c r="AS119" s="16"/>
      <c r="AT119" s="1223"/>
      <c r="AU119" s="658"/>
      <c r="AV119" s="1257"/>
      <c r="AW119" s="643"/>
      <c r="AX119" s="1224"/>
      <c r="AY119" s="661"/>
      <c r="AZ119" s="1259"/>
      <c r="BA119" s="16"/>
      <c r="BB119" s="1223"/>
      <c r="BC119" s="658"/>
      <c r="BD119" s="1257"/>
      <c r="BE119" s="643"/>
      <c r="BF119" s="1224"/>
      <c r="BG119" s="661"/>
      <c r="BH119" s="1259"/>
      <c r="BI119" s="16"/>
      <c r="BJ119" s="1223"/>
      <c r="BK119" s="658"/>
      <c r="BL119" s="1257"/>
      <c r="BM119" s="643"/>
      <c r="BN119" s="1224"/>
      <c r="BO119" s="661"/>
      <c r="BP119" s="1259"/>
      <c r="BQ119" s="16"/>
      <c r="BR119" s="1223"/>
      <c r="BS119" s="658"/>
      <c r="BT119" s="1257"/>
      <c r="BU119" s="643"/>
      <c r="BV119" s="1224"/>
      <c r="BW119" s="661"/>
      <c r="BX119" s="1259"/>
      <c r="BY119" s="16"/>
      <c r="BZ119" s="1223"/>
      <c r="CA119" s="658"/>
      <c r="CB119" s="1257"/>
      <c r="CC119" s="643"/>
      <c r="CD119" s="1224"/>
      <c r="CE119" s="661"/>
      <c r="CF119" s="1259"/>
      <c r="CG119" s="16"/>
      <c r="CH119" s="1223"/>
      <c r="CI119" s="658"/>
      <c r="CJ119" s="1257"/>
      <c r="CK119" s="643"/>
      <c r="CL119" s="1224"/>
      <c r="CM119" s="661"/>
      <c r="CN119" s="1259"/>
      <c r="CO119" s="16"/>
      <c r="CP119" s="175"/>
    </row>
    <row r="120" spans="1:151" s="78" customFormat="1" ht="20.100000000000001" customHeight="1" thickBot="1" x14ac:dyDescent="0.25">
      <c r="A120" s="104"/>
      <c r="B120" s="104"/>
      <c r="C120" s="1251"/>
      <c r="D120" s="20"/>
      <c r="E120" s="663"/>
      <c r="F120" s="76" t="str">
        <f>_Calcs!$M$69</f>
        <v>Tilleggs-sprøytebetong ved buer</v>
      </c>
      <c r="G120" s="76"/>
      <c r="H120" s="76"/>
      <c r="I120" s="76"/>
      <c r="J120" s="5738" t="s">
        <v>149</v>
      </c>
      <c r="K120" s="5738"/>
      <c r="L120" s="1227"/>
      <c r="M120" s="1227"/>
      <c r="N120" s="1227"/>
      <c r="O120" s="76" t="s">
        <v>86</v>
      </c>
      <c r="P120" s="1228"/>
      <c r="Q120" s="21"/>
      <c r="R120" s="1156"/>
      <c r="S120" s="2301">
        <f>IFERROR(INDEX(outputs_klasse_qty[sprøytebetong_ved_bue_sum],MATCH(_Calcs_Klasse!$CC$54,outputs_klasse_qty[Navn],0)),"")</f>
        <v>0</v>
      </c>
      <c r="T120" s="1157"/>
      <c r="U120" s="16"/>
      <c r="V120" s="1231"/>
      <c r="W120" s="76"/>
      <c r="X120" s="2313">
        <f>IFERROR(INDEX(outputs_klasse_qty[sprøytebetong_ved_bue_sum],MATCH(_Calcs_Klasse!$AV$146,outputs_klasse_qty[klasse_stuff_id],0)),"")</f>
        <v>0</v>
      </c>
      <c r="Y120" s="75"/>
      <c r="Z120" s="30" t="str">
        <f>IF(_Calcs_Klasse!$AI$27=2,"✓",IF(AND(_Calcs_Klasse!$AI$27=1,_Calcs!$NO$346=0),"✓","!"))</f>
        <v>✓</v>
      </c>
      <c r="AA120" s="650"/>
      <c r="AB120" s="651"/>
      <c r="AC120" s="16"/>
      <c r="AD120" s="1231"/>
      <c r="AE120" s="76"/>
      <c r="AF120" s="2313" t="str">
        <f>IFERROR(INDEX(outputs_klasse_qty[sprøytebetong_ved_bue_sum],MATCH(_Calcs_Klasse!$AW$146,outputs_klasse_qty[klasse_stuff_id],0)),"")</f>
        <v/>
      </c>
      <c r="AG120" s="75"/>
      <c r="AH120" s="30" t="str">
        <f>IF(_Calcs_Klasse!$AI$27=2,"✓",IF(AND(_Calcs_Klasse!$AI$27=1,_Calcs!$NP$346=0),"✓","!"))</f>
        <v>✓</v>
      </c>
      <c r="AI120" s="650"/>
      <c r="AJ120" s="651"/>
      <c r="AK120" s="16"/>
      <c r="AL120" s="1231"/>
      <c r="AM120" s="76"/>
      <c r="AN120" s="2313" t="str">
        <f>IFERROR(INDEX(outputs_klasse_qty[sprøytebetong_ved_bue_sum],MATCH(_Calcs_Klasse!$AX$146,outputs_klasse_qty[klasse_stuff_id],0)),"")</f>
        <v/>
      </c>
      <c r="AO120" s="75"/>
      <c r="AP120" s="30" t="str">
        <f>IF(_Calcs_Klasse!$AI$27=2,"✓",IF(AND(_Calcs_Klasse!$AI$27=1,_Calcs!$NQ$346=0),"✓","!"))</f>
        <v>✓</v>
      </c>
      <c r="AQ120" s="650"/>
      <c r="AR120" s="651"/>
      <c r="AS120" s="16"/>
      <c r="AT120" s="1231"/>
      <c r="AU120" s="76"/>
      <c r="AV120" s="2313" t="str">
        <f>IFERROR(INDEX(outputs_klasse_qty[sprøytebetong_ved_bue_sum],MATCH(_Calcs_Klasse!$AY$146,outputs_klasse_qty[klasse_stuff_id],0)),"")</f>
        <v/>
      </c>
      <c r="AW120" s="75"/>
      <c r="AX120" s="30" t="str">
        <f>IF(_Calcs_Klasse!$AI$27=2,"✓",IF(AND(_Calcs_Klasse!$AI$27=1,_Calcs!$NR$346=0),"✓","!"))</f>
        <v>✓</v>
      </c>
      <c r="AY120" s="650"/>
      <c r="AZ120" s="651"/>
      <c r="BA120" s="16"/>
      <c r="BB120" s="1231"/>
      <c r="BC120" s="76"/>
      <c r="BD120" s="2313" t="str">
        <f>IFERROR(INDEX(outputs_klasse_qty[sprøytebetong_ved_bue_sum],MATCH(_Calcs_Klasse!$AZ$146,outputs_klasse_qty[klasse_stuff_id],0)),"")</f>
        <v/>
      </c>
      <c r="BE120" s="75"/>
      <c r="BF120" s="30" t="str">
        <f>IF(_Calcs_Klasse!$AI$27=2,"✓",IF(AND(_Calcs_Klasse!$AI$27=1,_Calcs!$NS$346=0),"✓","!"))</f>
        <v>✓</v>
      </c>
      <c r="BG120" s="650"/>
      <c r="BH120" s="651"/>
      <c r="BI120" s="16"/>
      <c r="BJ120" s="1231"/>
      <c r="BK120" s="76"/>
      <c r="BL120" s="2313" t="str">
        <f>IFERROR(INDEX(outputs_klasse_qty[sprøytebetong_ved_bue_sum],MATCH(_Calcs_Klasse!$BA$146,outputs_klasse_qty[klasse_stuff_id],0)),"")</f>
        <v/>
      </c>
      <c r="BM120" s="75"/>
      <c r="BN120" s="30" t="str">
        <f>IF(_Calcs_Klasse!$AI$27=2,"✓",IF(AND(_Calcs_Klasse!$AI$27=1,_Calcs!$NT$346=0),"✓","!"))</f>
        <v>✓</v>
      </c>
      <c r="BO120" s="650"/>
      <c r="BP120" s="651"/>
      <c r="BQ120" s="16"/>
      <c r="BR120" s="1231"/>
      <c r="BS120" s="76"/>
      <c r="BT120" s="2313" t="str">
        <f>IFERROR(INDEX(outputs_klasse_qty[sprøytebetong_ved_bue_sum],MATCH(_Calcs_Klasse!$BB$146,outputs_klasse_qty[klasse_stuff_id],0)),"")</f>
        <v/>
      </c>
      <c r="BU120" s="75"/>
      <c r="BV120" s="30" t="str">
        <f>IF(_Calcs_Klasse!$AI$27=2,"✓",IF(AND(_Calcs_Klasse!$AI$27=1,_Calcs!$NU$346=0),"✓","!"))</f>
        <v>✓</v>
      </c>
      <c r="BW120" s="650"/>
      <c r="BX120" s="651"/>
      <c r="BY120" s="16"/>
      <c r="BZ120" s="1231"/>
      <c r="CA120" s="76"/>
      <c r="CB120" s="2313" t="str">
        <f>IFERROR(INDEX(outputs_klasse_qty[sprøytebetong_ved_bue_sum],MATCH(_Calcs_Klasse!$BC$146,outputs_klasse_qty[klasse_stuff_id],0)),"")</f>
        <v/>
      </c>
      <c r="CC120" s="75"/>
      <c r="CD120" s="30" t="str">
        <f>IF(_Calcs_Klasse!$AI$27=2,"✓",IF(AND(_Calcs_Klasse!$AI$27=1,_Calcs!$NV$346=0),"✓","!"))</f>
        <v>✓</v>
      </c>
      <c r="CE120" s="650"/>
      <c r="CF120" s="651"/>
      <c r="CG120" s="16"/>
      <c r="CH120" s="1231"/>
      <c r="CI120" s="76"/>
      <c r="CJ120" s="2313" t="str">
        <f>IFERROR(INDEX(outputs_klasse_qty[sprøytebetong_ved_bue_sum],MATCH(_Calcs_Klasse!$BD$146,outputs_klasse_qty[klasse_stuff_id],0)),"")</f>
        <v/>
      </c>
      <c r="CK120" s="75"/>
      <c r="CL120" s="30" t="str">
        <f>IF(_Calcs_Klasse!$AI$27=2,"✓",IF(AND(_Calcs_Klasse!$AI$27=1,_Calcs!$NW$346=0),"✓","!"))</f>
        <v>✓</v>
      </c>
      <c r="CM120" s="650"/>
      <c r="CN120" s="651"/>
      <c r="CO120" s="16"/>
      <c r="CP120" s="175"/>
    </row>
    <row r="121" spans="1:151" s="78" customFormat="1" ht="15" customHeight="1" thickBot="1" x14ac:dyDescent="0.25">
      <c r="A121" s="104"/>
      <c r="B121" s="104"/>
      <c r="C121" s="1251"/>
      <c r="D121" s="20"/>
      <c r="E121" s="665"/>
      <c r="F121" s="1246"/>
      <c r="G121" s="1246"/>
      <c r="H121" s="1246"/>
      <c r="I121" s="1246"/>
      <c r="J121" s="1246"/>
      <c r="K121" s="1246"/>
      <c r="L121" s="1246"/>
      <c r="M121" s="1246"/>
      <c r="N121" s="1246"/>
      <c r="O121" s="659"/>
      <c r="P121" s="1230"/>
      <c r="R121" s="1158"/>
      <c r="S121" s="1159"/>
      <c r="T121" s="1160"/>
      <c r="U121" s="16"/>
      <c r="V121" s="665"/>
      <c r="W121" s="1246"/>
      <c r="X121" s="1258"/>
      <c r="Y121" s="1246"/>
      <c r="Z121" s="1246"/>
      <c r="AA121" s="1246"/>
      <c r="AB121" s="1260"/>
      <c r="AC121" s="16"/>
      <c r="AD121" s="665"/>
      <c r="AE121" s="1246"/>
      <c r="AF121" s="1258"/>
      <c r="AG121" s="1246"/>
      <c r="AH121" s="1246"/>
      <c r="AI121" s="1246"/>
      <c r="AJ121" s="1260"/>
      <c r="AK121" s="16"/>
      <c r="AL121" s="665"/>
      <c r="AM121" s="1246"/>
      <c r="AN121" s="1258"/>
      <c r="AO121" s="1246"/>
      <c r="AP121" s="1246"/>
      <c r="AQ121" s="1246"/>
      <c r="AR121" s="1260"/>
      <c r="AS121" s="16"/>
      <c r="AT121" s="665"/>
      <c r="AU121" s="1246"/>
      <c r="AV121" s="1258"/>
      <c r="AW121" s="1246"/>
      <c r="AX121" s="1246"/>
      <c r="AY121" s="1246"/>
      <c r="AZ121" s="1260"/>
      <c r="BA121" s="16"/>
      <c r="BB121" s="665"/>
      <c r="BC121" s="1246"/>
      <c r="BD121" s="1258"/>
      <c r="BE121" s="1246"/>
      <c r="BF121" s="1246"/>
      <c r="BG121" s="1246"/>
      <c r="BH121" s="1260"/>
      <c r="BI121" s="16"/>
      <c r="BJ121" s="665"/>
      <c r="BK121" s="1246"/>
      <c r="BL121" s="1258"/>
      <c r="BM121" s="1246"/>
      <c r="BN121" s="1246"/>
      <c r="BO121" s="1246"/>
      <c r="BP121" s="1260"/>
      <c r="BQ121" s="16"/>
      <c r="BR121" s="665"/>
      <c r="BS121" s="1246"/>
      <c r="BT121" s="1258"/>
      <c r="BU121" s="1246"/>
      <c r="BV121" s="1246"/>
      <c r="BW121" s="1246"/>
      <c r="BX121" s="1260"/>
      <c r="BY121" s="16"/>
      <c r="BZ121" s="665"/>
      <c r="CA121" s="1246"/>
      <c r="CB121" s="1258"/>
      <c r="CC121" s="1246"/>
      <c r="CD121" s="1246"/>
      <c r="CE121" s="1246"/>
      <c r="CF121" s="1260"/>
      <c r="CG121" s="16"/>
      <c r="CH121" s="665"/>
      <c r="CI121" s="1246"/>
      <c r="CJ121" s="1258"/>
      <c r="CK121" s="1246"/>
      <c r="CL121" s="1246"/>
      <c r="CM121" s="1246"/>
      <c r="CN121" s="1260"/>
      <c r="CO121" s="16"/>
      <c r="CP121" s="176"/>
    </row>
    <row r="122" spans="1:151" s="78" customFormat="1" ht="8.1" customHeight="1" thickBot="1" x14ac:dyDescent="0.25">
      <c r="A122" s="104"/>
      <c r="B122" s="104"/>
      <c r="C122" s="1251"/>
      <c r="D122" s="20"/>
      <c r="E122" s="15"/>
      <c r="F122" s="1212"/>
      <c r="G122" s="1212"/>
      <c r="H122" s="1212"/>
      <c r="I122" s="1212"/>
      <c r="J122" s="16"/>
      <c r="K122" s="16"/>
      <c r="L122" s="19"/>
      <c r="M122" s="19"/>
      <c r="N122" s="19"/>
      <c r="O122" s="15"/>
      <c r="P122" s="15"/>
      <c r="R122" s="70"/>
      <c r="S122" s="114"/>
      <c r="T122" s="70"/>
      <c r="U122" s="16"/>
      <c r="V122" s="16"/>
      <c r="W122" s="16"/>
      <c r="X122" s="22"/>
      <c r="Y122" s="16"/>
      <c r="Z122" s="19"/>
      <c r="AA122" s="21"/>
      <c r="AB122" s="21"/>
      <c r="AC122" s="16"/>
      <c r="AD122" s="16"/>
      <c r="AE122" s="16"/>
      <c r="AF122" s="22"/>
      <c r="AG122" s="16"/>
      <c r="AH122" s="19"/>
      <c r="AI122" s="21"/>
      <c r="AJ122" s="21"/>
      <c r="AK122" s="16"/>
      <c r="AL122" s="16"/>
      <c r="AM122" s="16"/>
      <c r="AN122" s="22"/>
      <c r="AO122" s="16"/>
      <c r="AP122" s="19"/>
      <c r="AQ122" s="21"/>
      <c r="AR122" s="21"/>
      <c r="AS122" s="16"/>
      <c r="AT122" s="16"/>
      <c r="AU122" s="16"/>
      <c r="AV122" s="22"/>
      <c r="AW122" s="16"/>
      <c r="AX122" s="19"/>
      <c r="AY122" s="21"/>
      <c r="AZ122" s="21"/>
      <c r="BA122" s="16"/>
      <c r="BB122" s="16"/>
      <c r="BC122" s="16"/>
      <c r="BD122" s="22"/>
      <c r="BE122" s="16"/>
      <c r="BF122" s="19"/>
      <c r="BG122" s="21"/>
      <c r="BH122" s="21"/>
      <c r="BI122" s="16"/>
      <c r="BJ122" s="16"/>
      <c r="BK122" s="16"/>
      <c r="BL122" s="22"/>
      <c r="BM122" s="16"/>
      <c r="BN122" s="19"/>
      <c r="BO122" s="21"/>
      <c r="BP122" s="21"/>
      <c r="BQ122" s="16"/>
      <c r="BR122" s="16"/>
      <c r="BS122" s="16"/>
      <c r="BT122" s="22"/>
      <c r="BU122" s="16"/>
      <c r="BV122" s="19"/>
      <c r="BW122" s="21"/>
      <c r="BX122" s="21"/>
      <c r="BY122" s="16"/>
      <c r="BZ122" s="16"/>
      <c r="CA122" s="16"/>
      <c r="CB122" s="22"/>
      <c r="CC122" s="16"/>
      <c r="CD122" s="19"/>
      <c r="CE122" s="21"/>
      <c r="CF122" s="21"/>
      <c r="CG122" s="16"/>
      <c r="CH122" s="16"/>
      <c r="CI122" s="16"/>
      <c r="CJ122" s="22"/>
      <c r="CK122" s="16"/>
      <c r="CL122" s="19"/>
      <c r="CM122" s="21"/>
      <c r="CN122" s="21"/>
      <c r="CO122" s="16"/>
      <c r="CP122" s="21"/>
    </row>
    <row r="123" spans="1:151" s="78" customFormat="1" ht="15" customHeight="1" x14ac:dyDescent="0.2">
      <c r="A123" s="104"/>
      <c r="B123" s="104"/>
      <c r="C123" s="1250"/>
      <c r="D123" s="20"/>
      <c r="E123" s="1223"/>
      <c r="F123" s="661"/>
      <c r="G123" s="661"/>
      <c r="H123" s="661"/>
      <c r="I123" s="661"/>
      <c r="J123" s="643"/>
      <c r="K123" s="643"/>
      <c r="L123" s="1224"/>
      <c r="M123" s="1224"/>
      <c r="N123" s="1224"/>
      <c r="O123" s="658"/>
      <c r="P123" s="1225"/>
      <c r="R123" s="4074"/>
      <c r="S123" s="4074"/>
      <c r="T123" s="4074"/>
      <c r="V123" s="3874"/>
      <c r="W123" s="3874"/>
      <c r="X123" s="3874"/>
      <c r="Y123" s="3874"/>
      <c r="Z123" s="3874"/>
      <c r="AA123" s="3874"/>
      <c r="AB123" s="3874"/>
      <c r="AD123" s="3874"/>
      <c r="AE123" s="3874"/>
      <c r="AF123" s="3874"/>
      <c r="AG123" s="3874"/>
      <c r="AH123" s="3874"/>
      <c r="AI123" s="3874"/>
      <c r="AJ123" s="3874"/>
      <c r="AL123" s="3874"/>
      <c r="AM123" s="3874"/>
      <c r="AN123" s="3874"/>
      <c r="AO123" s="3874"/>
      <c r="AP123" s="3874"/>
      <c r="AQ123" s="3874"/>
      <c r="AR123" s="3874"/>
      <c r="AT123" s="3874"/>
      <c r="AU123" s="3874"/>
      <c r="AV123" s="3874"/>
      <c r="AW123" s="3874"/>
      <c r="AX123" s="3874"/>
      <c r="AY123" s="3874"/>
      <c r="AZ123" s="3874"/>
      <c r="BB123" s="3874"/>
      <c r="BC123" s="3874"/>
      <c r="BD123" s="3874"/>
      <c r="BE123" s="3874"/>
      <c r="BF123" s="3874"/>
      <c r="BG123" s="3874"/>
      <c r="BH123" s="3874"/>
      <c r="BJ123" s="3874"/>
      <c r="BK123" s="3874"/>
      <c r="BL123" s="3874"/>
      <c r="BM123" s="3874"/>
      <c r="BN123" s="3874"/>
      <c r="BO123" s="3874"/>
      <c r="BP123" s="3874"/>
      <c r="BR123" s="3874"/>
      <c r="BS123" s="3874"/>
      <c r="BT123" s="3874"/>
      <c r="BU123" s="3874"/>
      <c r="BV123" s="3874"/>
      <c r="BW123" s="3874"/>
      <c r="BX123" s="3874"/>
      <c r="BZ123" s="3874"/>
      <c r="CA123" s="3874"/>
      <c r="CB123" s="3874"/>
      <c r="CC123" s="3874"/>
      <c r="CD123" s="3874"/>
      <c r="CE123" s="3874"/>
      <c r="CF123" s="3874"/>
      <c r="CH123" s="3874"/>
      <c r="CI123" s="3874"/>
      <c r="CJ123" s="3874"/>
      <c r="CK123" s="3874"/>
      <c r="CL123" s="3874"/>
      <c r="CM123" s="3874"/>
      <c r="CN123" s="3874"/>
      <c r="CP123" s="3874"/>
    </row>
    <row r="124" spans="1:151" s="78" customFormat="1" ht="15" customHeight="1" x14ac:dyDescent="0.2">
      <c r="A124" s="104"/>
      <c r="B124" s="104"/>
      <c r="C124" s="1250"/>
      <c r="D124" s="20"/>
      <c r="E124" s="1231"/>
      <c r="F124" s="7199" t="str">
        <f>_Calcs!$M$67</f>
        <v>Forankring bolter</v>
      </c>
      <c r="G124" s="7199"/>
      <c r="H124" s="650"/>
      <c r="I124" s="650"/>
      <c r="J124" s="75"/>
      <c r="K124" s="75"/>
      <c r="L124" s="1232"/>
      <c r="M124" s="1232"/>
      <c r="N124" s="1232"/>
      <c r="O124" s="76"/>
      <c r="P124" s="1228"/>
      <c r="R124" s="4074"/>
      <c r="S124" s="4074"/>
      <c r="T124" s="4074"/>
      <c r="U124" s="16"/>
      <c r="V124" s="1264"/>
      <c r="W124" s="1264"/>
      <c r="X124" s="4133"/>
      <c r="Y124" s="1264"/>
      <c r="Z124" s="4134"/>
      <c r="AA124" s="3893"/>
      <c r="AB124" s="3893"/>
      <c r="AC124" s="16"/>
      <c r="AD124" s="1264"/>
      <c r="AE124" s="1264"/>
      <c r="AF124" s="4133"/>
      <c r="AG124" s="1264"/>
      <c r="AH124" s="4134"/>
      <c r="AI124" s="3893"/>
      <c r="AJ124" s="3893"/>
      <c r="AK124" s="16"/>
      <c r="AL124" s="1264"/>
      <c r="AM124" s="1264"/>
      <c r="AN124" s="4133"/>
      <c r="AO124" s="1264"/>
      <c r="AP124" s="4134"/>
      <c r="AQ124" s="3893"/>
      <c r="AR124" s="3893"/>
      <c r="AS124" s="16"/>
      <c r="AT124" s="1264"/>
      <c r="AU124" s="1264"/>
      <c r="AV124" s="4133"/>
      <c r="AW124" s="1264"/>
      <c r="AX124" s="4134"/>
      <c r="AY124" s="3893"/>
      <c r="AZ124" s="3893"/>
      <c r="BA124" s="16"/>
      <c r="BB124" s="1264"/>
      <c r="BC124" s="1264"/>
      <c r="BD124" s="4133"/>
      <c r="BE124" s="1264"/>
      <c r="BF124" s="4134"/>
      <c r="BG124" s="3893"/>
      <c r="BH124" s="3893"/>
      <c r="BI124" s="16"/>
      <c r="BJ124" s="1264"/>
      <c r="BK124" s="1264"/>
      <c r="BL124" s="4133"/>
      <c r="BM124" s="1264"/>
      <c r="BN124" s="4134"/>
      <c r="BO124" s="3893"/>
      <c r="BP124" s="3893"/>
      <c r="BQ124" s="16"/>
      <c r="BR124" s="1264"/>
      <c r="BS124" s="1264"/>
      <c r="BT124" s="4133"/>
      <c r="BU124" s="1264"/>
      <c r="BV124" s="4134"/>
      <c r="BW124" s="3893"/>
      <c r="BX124" s="3893"/>
      <c r="BY124" s="16"/>
      <c r="BZ124" s="1264"/>
      <c r="CA124" s="1264"/>
      <c r="CB124" s="4133"/>
      <c r="CC124" s="1264"/>
      <c r="CD124" s="4134"/>
      <c r="CE124" s="3893"/>
      <c r="CF124" s="3893"/>
      <c r="CG124" s="16"/>
      <c r="CH124" s="1264"/>
      <c r="CI124" s="1264"/>
      <c r="CJ124" s="4133"/>
      <c r="CK124" s="1264"/>
      <c r="CL124" s="4134"/>
      <c r="CM124" s="3893"/>
      <c r="CN124" s="3893"/>
      <c r="CO124" s="16"/>
      <c r="CP124" s="3893"/>
    </row>
    <row r="125" spans="1:151" s="78" customFormat="1" ht="8.1" customHeight="1" thickBot="1" x14ac:dyDescent="0.25">
      <c r="A125" s="104"/>
      <c r="B125" s="104"/>
      <c r="C125" s="1250"/>
      <c r="D125" s="20"/>
      <c r="E125" s="1231"/>
      <c r="F125" s="7199"/>
      <c r="G125" s="7199"/>
      <c r="H125" s="650"/>
      <c r="I125" s="650"/>
      <c r="J125" s="75"/>
      <c r="K125" s="75"/>
      <c r="L125" s="1232"/>
      <c r="M125" s="1232"/>
      <c r="N125" s="1232"/>
      <c r="O125" s="76"/>
      <c r="P125" s="1228"/>
      <c r="R125" s="51"/>
      <c r="S125" s="51"/>
      <c r="T125" s="51"/>
      <c r="U125" s="16"/>
      <c r="V125" s="16"/>
      <c r="W125" s="16"/>
      <c r="X125" s="36"/>
      <c r="Y125" s="16"/>
      <c r="Z125" s="138"/>
      <c r="AA125" s="3873"/>
      <c r="AB125" s="3873"/>
      <c r="AC125" s="16"/>
      <c r="AD125" s="16"/>
      <c r="AE125" s="16"/>
      <c r="AF125" s="36"/>
      <c r="AG125" s="16"/>
      <c r="AH125" s="138"/>
      <c r="AI125" s="3873"/>
      <c r="AJ125" s="3873"/>
      <c r="AK125" s="16"/>
      <c r="AL125" s="16"/>
      <c r="AM125" s="16"/>
      <c r="AN125" s="36"/>
      <c r="AO125" s="16"/>
      <c r="AP125" s="138"/>
      <c r="AQ125" s="3873"/>
      <c r="AR125" s="3873"/>
      <c r="AS125" s="16"/>
      <c r="AT125" s="16"/>
      <c r="AU125" s="16"/>
      <c r="AV125" s="36"/>
      <c r="AW125" s="16"/>
      <c r="AX125" s="138"/>
      <c r="AY125" s="3873"/>
      <c r="AZ125" s="3873"/>
      <c r="BA125" s="16"/>
      <c r="BB125" s="16"/>
      <c r="BC125" s="16"/>
      <c r="BD125" s="36"/>
      <c r="BE125" s="16"/>
      <c r="BF125" s="138"/>
      <c r="BG125" s="3873"/>
      <c r="BH125" s="3873"/>
      <c r="BI125" s="16"/>
      <c r="BJ125" s="16"/>
      <c r="BK125" s="16"/>
      <c r="BL125" s="36"/>
      <c r="BM125" s="16"/>
      <c r="BN125" s="138"/>
      <c r="BO125" s="3873"/>
      <c r="BP125" s="3873"/>
      <c r="BQ125" s="16"/>
      <c r="BR125" s="16"/>
      <c r="BS125" s="16"/>
      <c r="BT125" s="36"/>
      <c r="BU125" s="16"/>
      <c r="BV125" s="138"/>
      <c r="BW125" s="3873"/>
      <c r="BX125" s="3873"/>
      <c r="BY125" s="16"/>
      <c r="BZ125" s="16"/>
      <c r="CA125" s="16"/>
      <c r="CB125" s="36"/>
      <c r="CC125" s="16"/>
      <c r="CD125" s="138"/>
      <c r="CE125" s="3873"/>
      <c r="CF125" s="3873"/>
      <c r="CG125" s="16"/>
      <c r="CH125" s="16"/>
      <c r="CI125" s="16"/>
      <c r="CJ125" s="36"/>
      <c r="CK125" s="16"/>
      <c r="CL125" s="138"/>
      <c r="CM125" s="3873"/>
      <c r="CN125" s="3873"/>
      <c r="CO125" s="16"/>
      <c r="CP125" s="3873"/>
    </row>
    <row r="126" spans="1:151" s="78" customFormat="1" ht="15" customHeight="1" thickBot="1" x14ac:dyDescent="0.25">
      <c r="A126" s="104"/>
      <c r="B126" s="104"/>
      <c r="C126" s="1250"/>
      <c r="D126" s="20"/>
      <c r="E126" s="1231"/>
      <c r="F126" s="650"/>
      <c r="G126" s="650"/>
      <c r="H126" s="650"/>
      <c r="I126" s="650"/>
      <c r="J126" s="75"/>
      <c r="K126" s="75"/>
      <c r="L126" s="1232"/>
      <c r="M126" s="1232"/>
      <c r="N126" s="1232"/>
      <c r="O126" s="76"/>
      <c r="P126" s="1228"/>
      <c r="R126" s="1153"/>
      <c r="S126" s="1154"/>
      <c r="T126" s="1155"/>
      <c r="U126" s="16"/>
      <c r="V126" s="1237"/>
      <c r="W126" s="643"/>
      <c r="X126" s="642"/>
      <c r="Y126" s="643"/>
      <c r="Z126" s="1224"/>
      <c r="AA126" s="1238"/>
      <c r="AB126" s="1239"/>
      <c r="AC126" s="16"/>
      <c r="AD126" s="1237"/>
      <c r="AE126" s="643"/>
      <c r="AF126" s="642"/>
      <c r="AG126" s="643"/>
      <c r="AH126" s="1224"/>
      <c r="AI126" s="1238"/>
      <c r="AJ126" s="1239"/>
      <c r="AK126" s="16"/>
      <c r="AL126" s="1237"/>
      <c r="AM126" s="643"/>
      <c r="AN126" s="642"/>
      <c r="AO126" s="643"/>
      <c r="AP126" s="1224"/>
      <c r="AQ126" s="1238"/>
      <c r="AR126" s="1239"/>
      <c r="AS126" s="16"/>
      <c r="AT126" s="1237"/>
      <c r="AU126" s="643"/>
      <c r="AV126" s="642"/>
      <c r="AW126" s="643"/>
      <c r="AX126" s="1224"/>
      <c r="AY126" s="1238"/>
      <c r="AZ126" s="1239"/>
      <c r="BA126" s="16"/>
      <c r="BB126" s="1237"/>
      <c r="BC126" s="643"/>
      <c r="BD126" s="642"/>
      <c r="BE126" s="643"/>
      <c r="BF126" s="1224"/>
      <c r="BG126" s="1238"/>
      <c r="BH126" s="1239"/>
      <c r="BI126" s="16"/>
      <c r="BJ126" s="1237"/>
      <c r="BK126" s="643"/>
      <c r="BL126" s="642"/>
      <c r="BM126" s="643"/>
      <c r="BN126" s="1224"/>
      <c r="BO126" s="1238"/>
      <c r="BP126" s="1239"/>
      <c r="BQ126" s="16"/>
      <c r="BR126" s="1237"/>
      <c r="BS126" s="643"/>
      <c r="BT126" s="642"/>
      <c r="BU126" s="643"/>
      <c r="BV126" s="1224"/>
      <c r="BW126" s="1238"/>
      <c r="BX126" s="1239"/>
      <c r="BY126" s="16"/>
      <c r="BZ126" s="1237"/>
      <c r="CA126" s="643"/>
      <c r="CB126" s="642"/>
      <c r="CC126" s="643"/>
      <c r="CD126" s="1224"/>
      <c r="CE126" s="1238"/>
      <c r="CF126" s="1239"/>
      <c r="CG126" s="16"/>
      <c r="CH126" s="1237"/>
      <c r="CI126" s="643"/>
      <c r="CJ126" s="642"/>
      <c r="CK126" s="643"/>
      <c r="CL126" s="1224"/>
      <c r="CM126" s="1238"/>
      <c r="CN126" s="1239"/>
      <c r="CO126" s="16"/>
      <c r="CP126" s="173"/>
    </row>
    <row r="127" spans="1:151" s="1913" customFormat="1" ht="20.100000000000001" customHeight="1" thickBot="1" x14ac:dyDescent="0.25">
      <c r="A127" s="1905"/>
      <c r="B127" s="1905"/>
      <c r="C127" s="1906"/>
      <c r="D127" s="1907"/>
      <c r="E127" s="1908"/>
      <c r="F127" s="1909" t="str">
        <f>_Calcs!$M$56</f>
        <v>Alle typer ≤ 4 m</v>
      </c>
      <c r="G127" s="1909"/>
      <c r="H127" s="1909"/>
      <c r="I127" s="1909"/>
      <c r="J127" s="2297" t="s">
        <v>149</v>
      </c>
      <c r="K127" s="2297"/>
      <c r="L127" s="1910"/>
      <c r="M127" s="1910"/>
      <c r="N127" s="1910"/>
      <c r="O127" s="1911" t="s">
        <v>97</v>
      </c>
      <c r="P127" s="1912"/>
      <c r="R127" s="1914"/>
      <c r="S127" s="2302">
        <f>IFERROR(INDEX(outputs_klasse_qty[forankring_lt4_sum],MATCH(_Calcs_Klasse!$CC$54,outputs_klasse_qty[Navn],0)),"")</f>
        <v>0</v>
      </c>
      <c r="T127" s="1916"/>
      <c r="U127" s="1917"/>
      <c r="V127" s="1918"/>
      <c r="W127" s="1919"/>
      <c r="X127" s="2313">
        <f>IFERROR(INDEX(outputs_klasse_qty[forankring_lt4_sum],MATCH(_Calcs_Klasse!$AV$146,outputs_klasse_qty[klasse_stuff_id],0)),"")</f>
        <v>0</v>
      </c>
      <c r="Y127" s="1919"/>
      <c r="Z127" s="3878" t="str">
        <f>IF(_Calcs_Klasse!$AI$27=2,"✓",IF(AND(_Calcs_Klasse!$AI$27=1,_Calcs!$NO$346=0),"✓","!"))</f>
        <v>✓</v>
      </c>
      <c r="AA127" s="1920"/>
      <c r="AB127" s="1921"/>
      <c r="AC127" s="1917"/>
      <c r="AD127" s="1918"/>
      <c r="AE127" s="1919"/>
      <c r="AF127" s="2313" t="str">
        <f>IFERROR(INDEX(outputs_klasse_qty[forankring_lt4_sum],MATCH(_Calcs_Klasse!$AW$146,outputs_klasse_qty[klasse_stuff_id],0)),"")</f>
        <v/>
      </c>
      <c r="AG127" s="1919"/>
      <c r="AH127" s="3878" t="str">
        <f>IF(_Calcs_Klasse!$AI$27=2,"✓",IF(AND(_Calcs_Klasse!$AI$27=1,_Calcs!$NP$346=0),"✓","!"))</f>
        <v>✓</v>
      </c>
      <c r="AI127" s="1920"/>
      <c r="AJ127" s="1921"/>
      <c r="AK127" s="1917"/>
      <c r="AL127" s="1918"/>
      <c r="AM127" s="1919"/>
      <c r="AN127" s="2313" t="str">
        <f>IFERROR(INDEX(outputs_klasse_qty[forankring_lt4_sum],MATCH(_Calcs_Klasse!$AX$146,outputs_klasse_qty[klasse_stuff_id],0)),"")</f>
        <v/>
      </c>
      <c r="AO127" s="1919"/>
      <c r="AP127" s="3878" t="str">
        <f>IF(_Calcs_Klasse!$AI$27=2,"✓",IF(AND(_Calcs_Klasse!$AI$27=1,_Calcs!$NQ$346=0),"✓","!"))</f>
        <v>✓</v>
      </c>
      <c r="AQ127" s="1920"/>
      <c r="AR127" s="1921"/>
      <c r="AS127" s="1917"/>
      <c r="AT127" s="1918"/>
      <c r="AU127" s="1919"/>
      <c r="AV127" s="2313" t="str">
        <f>IFERROR(INDEX(outputs_klasse_qty[forankring_lt4_sum],MATCH(_Calcs_Klasse!$AY$146,outputs_klasse_qty[klasse_stuff_id],0)),"")</f>
        <v/>
      </c>
      <c r="AW127" s="1919"/>
      <c r="AX127" s="3878" t="str">
        <f>IF(_Calcs_Klasse!$AI$27=2,"✓",IF(AND(_Calcs_Klasse!$AI$27=1,_Calcs!$NR$346=0),"✓","!"))</f>
        <v>✓</v>
      </c>
      <c r="AY127" s="1920"/>
      <c r="AZ127" s="1921"/>
      <c r="BA127" s="1917"/>
      <c r="BB127" s="1918"/>
      <c r="BC127" s="1919"/>
      <c r="BD127" s="2313" t="str">
        <f>IFERROR(INDEX(outputs_klasse_qty[forankring_lt4_sum],MATCH(_Calcs_Klasse!$AZ$146,outputs_klasse_qty[klasse_stuff_id],0)),"")</f>
        <v/>
      </c>
      <c r="BE127" s="1919"/>
      <c r="BF127" s="3878" t="str">
        <f>IF(_Calcs_Klasse!$AI$27=2,"✓",IF(AND(_Calcs_Klasse!$AI$27=1,_Calcs!$NS$346=0),"✓","!"))</f>
        <v>✓</v>
      </c>
      <c r="BG127" s="1920"/>
      <c r="BH127" s="1921"/>
      <c r="BI127" s="1917"/>
      <c r="BJ127" s="1918"/>
      <c r="BK127" s="1919"/>
      <c r="BL127" s="2313" t="str">
        <f>IFERROR(INDEX(outputs_klasse_qty[forankring_lt4_sum],MATCH(_Calcs_Klasse!$BA$146,outputs_klasse_qty[klasse_stuff_id],0)),"")</f>
        <v/>
      </c>
      <c r="BM127" s="1919"/>
      <c r="BN127" s="3878" t="str">
        <f>IF(_Calcs_Klasse!$AI$27=2,"✓",IF(AND(_Calcs_Klasse!$AI$27=1,_Calcs!$NT$346=0),"✓","!"))</f>
        <v>✓</v>
      </c>
      <c r="BO127" s="1920"/>
      <c r="BP127" s="1921"/>
      <c r="BQ127" s="1917"/>
      <c r="BR127" s="1918"/>
      <c r="BS127" s="1919"/>
      <c r="BT127" s="2313" t="str">
        <f>IFERROR(INDEX(outputs_klasse_qty[forankring_lt4_sum],MATCH(_Calcs_Klasse!$BB$146,outputs_klasse_qty[klasse_stuff_id],0)),"")</f>
        <v/>
      </c>
      <c r="BU127" s="1919"/>
      <c r="BV127" s="3878" t="str">
        <f>IF(_Calcs_Klasse!$AI$27=2,"✓",IF(AND(_Calcs_Klasse!$AI$27=1,_Calcs!$NU$346=0),"✓","!"))</f>
        <v>✓</v>
      </c>
      <c r="BW127" s="1920"/>
      <c r="BX127" s="1921"/>
      <c r="BY127" s="1917"/>
      <c r="BZ127" s="1918"/>
      <c r="CA127" s="1919"/>
      <c r="CB127" s="2313" t="str">
        <f>IFERROR(INDEX(outputs_klasse_qty[forankring_lt4_sum],MATCH(_Calcs_Klasse!$BC$146,outputs_klasse_qty[klasse_stuff_id],0)),"")</f>
        <v/>
      </c>
      <c r="CC127" s="1919"/>
      <c r="CD127" s="3878" t="str">
        <f>IF(_Calcs_Klasse!$AI$27=2,"✓",IF(AND(_Calcs_Klasse!$AI$27=1,_Calcs!$NV$346=0),"✓","!"))</f>
        <v>✓</v>
      </c>
      <c r="CE127" s="1920"/>
      <c r="CF127" s="1921"/>
      <c r="CG127" s="1917"/>
      <c r="CH127" s="1918"/>
      <c r="CI127" s="1919"/>
      <c r="CJ127" s="2313" t="str">
        <f>IFERROR(INDEX(outputs_klasse_qty[forankring_lt4_sum],MATCH(_Calcs_Klasse!$BD$146,outputs_klasse_qty[klasse_stuff_id],0)),"")</f>
        <v/>
      </c>
      <c r="CK127" s="1919"/>
      <c r="CL127" s="3878" t="str">
        <f>IF(_Calcs_Klasse!$AI$27=2,"✓",IF(AND(_Calcs_Klasse!$AI$27=1,_Calcs!$NW$346=0),"✓","!"))</f>
        <v>✓</v>
      </c>
      <c r="CM127" s="1920"/>
      <c r="CN127" s="1921"/>
      <c r="CO127" s="1917"/>
      <c r="CP127" s="1922"/>
      <c r="CQ127" s="1923"/>
      <c r="CR127" s="1923"/>
      <c r="CS127" s="1923"/>
      <c r="CT127" s="1923"/>
      <c r="CU127" s="1923"/>
      <c r="CV127" s="1923"/>
      <c r="CW127" s="1923"/>
      <c r="CX127" s="1923"/>
      <c r="CY127" s="1923"/>
      <c r="CZ127" s="1923"/>
      <c r="DA127" s="1923"/>
      <c r="DB127" s="1923"/>
      <c r="DC127" s="1923"/>
      <c r="DD127" s="1923"/>
      <c r="DE127" s="1923"/>
      <c r="DF127" s="1923"/>
      <c r="DG127" s="1923"/>
      <c r="DH127" s="1923"/>
      <c r="DI127" s="1923"/>
      <c r="DJ127" s="1923"/>
      <c r="DK127" s="1923"/>
      <c r="DL127" s="1923"/>
      <c r="DM127" s="1923"/>
      <c r="DN127" s="1923"/>
      <c r="DO127" s="1923"/>
      <c r="DP127" s="1923"/>
      <c r="DQ127" s="1923"/>
      <c r="DR127" s="1923"/>
      <c r="DS127" s="1923"/>
      <c r="DT127" s="1923"/>
      <c r="DU127" s="1923"/>
      <c r="DV127" s="1923"/>
      <c r="DW127" s="1923"/>
      <c r="DX127" s="1923"/>
      <c r="DY127" s="1923"/>
      <c r="DZ127" s="1923"/>
      <c r="EA127" s="1923"/>
      <c r="EB127" s="1923"/>
      <c r="EC127" s="1923"/>
      <c r="ED127" s="1923"/>
      <c r="EE127" s="1923"/>
      <c r="EF127" s="1923"/>
      <c r="EG127" s="1923"/>
      <c r="EH127" s="1923"/>
      <c r="EI127" s="1923"/>
      <c r="EJ127" s="1923"/>
      <c r="EK127" s="1923"/>
      <c r="EL127" s="1923"/>
      <c r="EM127" s="1923"/>
      <c r="EN127" s="1923"/>
      <c r="EO127" s="1923"/>
      <c r="EP127" s="1923"/>
      <c r="EQ127" s="1923"/>
      <c r="ER127" s="1923"/>
      <c r="ES127" s="1923"/>
      <c r="ET127" s="1923"/>
      <c r="EU127" s="1923"/>
    </row>
    <row r="128" spans="1:151" s="78" customFormat="1" ht="15" customHeight="1" thickBot="1" x14ac:dyDescent="0.25">
      <c r="A128" s="104"/>
      <c r="B128" s="104"/>
      <c r="C128" s="1251"/>
      <c r="D128" s="20"/>
      <c r="E128" s="1231"/>
      <c r="F128" s="650"/>
      <c r="G128" s="650"/>
      <c r="H128" s="650"/>
      <c r="I128" s="650"/>
      <c r="J128" s="75"/>
      <c r="K128" s="75"/>
      <c r="L128" s="1232"/>
      <c r="M128" s="1232"/>
      <c r="N128" s="1232"/>
      <c r="O128" s="76"/>
      <c r="P128" s="1228"/>
      <c r="R128" s="1156"/>
      <c r="S128" s="1924"/>
      <c r="T128" s="1916"/>
      <c r="U128" s="1917"/>
      <c r="V128" s="1918"/>
      <c r="W128" s="1919"/>
      <c r="X128" s="1919"/>
      <c r="Y128" s="1919"/>
      <c r="Z128" s="1925"/>
      <c r="AA128" s="1920"/>
      <c r="AB128" s="1921"/>
      <c r="AC128" s="1917"/>
      <c r="AD128" s="1918"/>
      <c r="AE128" s="1919"/>
      <c r="AF128" s="1919"/>
      <c r="AG128" s="1919"/>
      <c r="AH128" s="1925"/>
      <c r="AI128" s="1920"/>
      <c r="AJ128" s="1921"/>
      <c r="AK128" s="1917"/>
      <c r="AL128" s="1918"/>
      <c r="AM128" s="1919"/>
      <c r="AN128" s="1919"/>
      <c r="AO128" s="1919"/>
      <c r="AP128" s="1925"/>
      <c r="AQ128" s="1920"/>
      <c r="AR128" s="1921"/>
      <c r="AS128" s="1917"/>
      <c r="AT128" s="1918"/>
      <c r="AU128" s="1919"/>
      <c r="AV128" s="1919"/>
      <c r="AW128" s="1919"/>
      <c r="AX128" s="1925"/>
      <c r="AY128" s="1920"/>
      <c r="AZ128" s="1921"/>
      <c r="BA128" s="1917"/>
      <c r="BB128" s="1918"/>
      <c r="BC128" s="1919"/>
      <c r="BD128" s="1919"/>
      <c r="BE128" s="1919"/>
      <c r="BF128" s="1925"/>
      <c r="BG128" s="1920"/>
      <c r="BH128" s="1921"/>
      <c r="BI128" s="1917"/>
      <c r="BJ128" s="1918"/>
      <c r="BK128" s="1919"/>
      <c r="BL128" s="1919"/>
      <c r="BM128" s="1919"/>
      <c r="BN128" s="1925"/>
      <c r="BO128" s="1920"/>
      <c r="BP128" s="1921"/>
      <c r="BQ128" s="1917"/>
      <c r="BR128" s="1918"/>
      <c r="BS128" s="1919"/>
      <c r="BT128" s="1919"/>
      <c r="BU128" s="1919"/>
      <c r="BV128" s="1925"/>
      <c r="BW128" s="1920"/>
      <c r="BX128" s="1921"/>
      <c r="BY128" s="1917"/>
      <c r="BZ128" s="1918"/>
      <c r="CA128" s="1919"/>
      <c r="CB128" s="1919"/>
      <c r="CC128" s="1919"/>
      <c r="CD128" s="1925"/>
      <c r="CE128" s="1920"/>
      <c r="CF128" s="1921"/>
      <c r="CG128" s="1917"/>
      <c r="CH128" s="1918"/>
      <c r="CI128" s="1919"/>
      <c r="CJ128" s="1919"/>
      <c r="CK128" s="1919"/>
      <c r="CL128" s="1925"/>
      <c r="CM128" s="1920"/>
      <c r="CN128" s="1921"/>
      <c r="CO128" s="1917"/>
      <c r="CP128" s="1922"/>
      <c r="CQ128" s="1923"/>
      <c r="CR128" s="1923"/>
      <c r="CS128" s="1923"/>
      <c r="CT128" s="1923"/>
      <c r="CU128" s="1923"/>
      <c r="CV128" s="1923"/>
      <c r="CW128" s="1923"/>
      <c r="CX128" s="1923"/>
      <c r="CY128" s="1923"/>
      <c r="CZ128" s="1923"/>
      <c r="DA128" s="1923"/>
      <c r="DB128" s="1923"/>
      <c r="DC128" s="1923"/>
      <c r="DD128" s="1923"/>
      <c r="DE128" s="1923"/>
      <c r="DF128" s="1923"/>
      <c r="DG128" s="1923"/>
      <c r="DH128" s="1923"/>
      <c r="DI128" s="1923"/>
      <c r="DJ128" s="1923"/>
      <c r="DK128" s="1923"/>
      <c r="DL128" s="1923"/>
      <c r="DM128" s="1923"/>
      <c r="DN128" s="1923"/>
      <c r="DO128" s="1923"/>
      <c r="DP128" s="1923"/>
      <c r="DQ128" s="1923"/>
      <c r="DR128" s="1923"/>
      <c r="DS128" s="1923"/>
      <c r="DT128" s="1923"/>
      <c r="DU128" s="1923"/>
      <c r="DV128" s="1923"/>
      <c r="DW128" s="1923"/>
      <c r="DX128" s="1923"/>
      <c r="DY128" s="1923"/>
      <c r="DZ128" s="1923"/>
      <c r="EA128" s="1923"/>
      <c r="EB128" s="1923"/>
      <c r="EC128" s="1923"/>
      <c r="ED128" s="1923"/>
      <c r="EE128" s="1923"/>
      <c r="EF128" s="1923"/>
      <c r="EG128" s="1923"/>
      <c r="EH128" s="1923"/>
      <c r="EI128" s="1923"/>
      <c r="EJ128" s="1923"/>
      <c r="EK128" s="1923"/>
      <c r="EL128" s="1923"/>
      <c r="EM128" s="1923"/>
      <c r="EN128" s="1923"/>
      <c r="EO128" s="1923"/>
      <c r="EP128" s="1923"/>
      <c r="EQ128" s="1923"/>
      <c r="ER128" s="1923"/>
      <c r="ES128" s="1923"/>
      <c r="ET128" s="1923"/>
      <c r="EU128" s="1923"/>
    </row>
    <row r="129" spans="1:151" s="1913" customFormat="1" ht="20.100000000000001" customHeight="1" thickBot="1" x14ac:dyDescent="0.25">
      <c r="A129" s="1905"/>
      <c r="B129" s="1905"/>
      <c r="C129" s="1906"/>
      <c r="D129" s="1907"/>
      <c r="E129" s="1908"/>
      <c r="F129" s="1909" t="str">
        <f>_Calcs!$M$57</f>
        <v>Alle typer &gt; 4 m</v>
      </c>
      <c r="G129" s="1909"/>
      <c r="H129" s="1909"/>
      <c r="I129" s="1909"/>
      <c r="J129" s="2297" t="s">
        <v>149</v>
      </c>
      <c r="K129" s="2297"/>
      <c r="L129" s="1910"/>
      <c r="M129" s="1910"/>
      <c r="N129" s="1910"/>
      <c r="O129" s="1911" t="s">
        <v>97</v>
      </c>
      <c r="P129" s="1912"/>
      <c r="Q129" s="1915"/>
      <c r="R129" s="1914"/>
      <c r="S129" s="2302">
        <f>IFERROR(INDEX(outputs_klasse_qty[forankring_gt4_sum],MATCH(_Calcs_Klasse!$CC$54,outputs_klasse_qty[Navn],0)),"")</f>
        <v>0</v>
      </c>
      <c r="T129" s="1916"/>
      <c r="U129" s="1917"/>
      <c r="V129" s="1918"/>
      <c r="W129" s="1919"/>
      <c r="X129" s="2313">
        <f>IFERROR(INDEX(outputs_klasse_qty[forankring_gt4_sum],MATCH(_Calcs_Klasse!$AV$146,outputs_klasse_qty[klasse_stuff_id],0)),"")</f>
        <v>0</v>
      </c>
      <c r="Y129" s="1919"/>
      <c r="Z129" s="3878" t="str">
        <f>IF(_Calcs_Klasse!$AI$27=2,"✓",IF(AND(_Calcs_Klasse!$AI$27=1,_Calcs!$NO$346=0),"✓","!"))</f>
        <v>✓</v>
      </c>
      <c r="AA129" s="1920"/>
      <c r="AB129" s="1921"/>
      <c r="AC129" s="1917"/>
      <c r="AD129" s="1918"/>
      <c r="AE129" s="1919"/>
      <c r="AF129" s="2313" t="str">
        <f>IFERROR(INDEX(outputs_klasse_qty[forankring_gt4_sum],MATCH(_Calcs_Klasse!$AW$146,outputs_klasse_qty[klasse_stuff_id],0)),"")</f>
        <v/>
      </c>
      <c r="AG129" s="1919"/>
      <c r="AH129" s="3878" t="str">
        <f>IF(_Calcs_Klasse!$AI$27=2,"✓",IF(AND(_Calcs_Klasse!$AI$27=1,_Calcs!$NP$346=0),"✓","!"))</f>
        <v>✓</v>
      </c>
      <c r="AI129" s="1920"/>
      <c r="AJ129" s="1921"/>
      <c r="AK129" s="1917"/>
      <c r="AL129" s="1918"/>
      <c r="AM129" s="1919"/>
      <c r="AN129" s="2313" t="str">
        <f>IFERROR(INDEX(outputs_klasse_qty[forankring_gt4_sum],MATCH(_Calcs_Klasse!$AX$146,outputs_klasse_qty[klasse_stuff_id],0)),"")</f>
        <v/>
      </c>
      <c r="AO129" s="1919"/>
      <c r="AP129" s="3878" t="str">
        <f>IF(_Calcs_Klasse!$AI$27=2,"✓",IF(AND(_Calcs_Klasse!$AI$27=1,_Calcs!$NQ$346=0),"✓","!"))</f>
        <v>✓</v>
      </c>
      <c r="AQ129" s="1920"/>
      <c r="AR129" s="1921"/>
      <c r="AS129" s="1917"/>
      <c r="AT129" s="1918"/>
      <c r="AU129" s="1919"/>
      <c r="AV129" s="2313" t="str">
        <f>IFERROR(INDEX(outputs_klasse_qty[forankring_gt4_sum],MATCH(_Calcs_Klasse!$AY$146,outputs_klasse_qty[klasse_stuff_id],0)),"")</f>
        <v/>
      </c>
      <c r="AW129" s="1919"/>
      <c r="AX129" s="3878" t="str">
        <f>IF(_Calcs_Klasse!$AI$27=2,"✓",IF(AND(_Calcs_Klasse!$AI$27=1,_Calcs!$NR$346=0),"✓","!"))</f>
        <v>✓</v>
      </c>
      <c r="AY129" s="1920"/>
      <c r="AZ129" s="1921"/>
      <c r="BA129" s="1917"/>
      <c r="BB129" s="1918"/>
      <c r="BC129" s="1919"/>
      <c r="BD129" s="2313" t="str">
        <f>IFERROR(INDEX(outputs_klasse_qty[forankring_gt4_sum],MATCH(_Calcs_Klasse!$AZ$146,outputs_klasse_qty[klasse_stuff_id],0)),"")</f>
        <v/>
      </c>
      <c r="BE129" s="1919"/>
      <c r="BF129" s="3878" t="str">
        <f>IF(_Calcs_Klasse!$AI$27=2,"✓",IF(AND(_Calcs_Klasse!$AI$27=1,_Calcs!$NS$346=0),"✓","!"))</f>
        <v>✓</v>
      </c>
      <c r="BG129" s="1920"/>
      <c r="BH129" s="1921"/>
      <c r="BI129" s="1917"/>
      <c r="BJ129" s="1918"/>
      <c r="BK129" s="1919"/>
      <c r="BL129" s="2313" t="str">
        <f>IFERROR(INDEX(outputs_klasse_qty[forankring_gt4_sum],MATCH(_Calcs_Klasse!$BA$146,outputs_klasse_qty[klasse_stuff_id],0)),"")</f>
        <v/>
      </c>
      <c r="BM129" s="1919"/>
      <c r="BN129" s="3878" t="str">
        <f>IF(_Calcs_Klasse!$AI$27=2,"✓",IF(AND(_Calcs_Klasse!$AI$27=1,_Calcs!$NT$346=0),"✓","!"))</f>
        <v>✓</v>
      </c>
      <c r="BO129" s="1920"/>
      <c r="BP129" s="1921"/>
      <c r="BQ129" s="1917"/>
      <c r="BR129" s="1918"/>
      <c r="BS129" s="1919"/>
      <c r="BT129" s="2313" t="str">
        <f>IFERROR(INDEX(outputs_klasse_qty[forankring_gt4_sum],MATCH(_Calcs_Klasse!$BB$146,outputs_klasse_qty[klasse_stuff_id],0)),"")</f>
        <v/>
      </c>
      <c r="BU129" s="1919"/>
      <c r="BV129" s="3878" t="str">
        <f>IF(_Calcs_Klasse!$AI$27=2,"✓",IF(AND(_Calcs_Klasse!$AI$27=1,_Calcs!$NU$346=0),"✓","!"))</f>
        <v>✓</v>
      </c>
      <c r="BW129" s="1920"/>
      <c r="BX129" s="1921"/>
      <c r="BY129" s="1917"/>
      <c r="BZ129" s="1918"/>
      <c r="CA129" s="1919"/>
      <c r="CB129" s="2313" t="str">
        <f>IFERROR(INDEX(outputs_klasse_qty[forankring_gt4_sum],MATCH(_Calcs_Klasse!$BC$146,outputs_klasse_qty[klasse_stuff_id],0)),"")</f>
        <v/>
      </c>
      <c r="CC129" s="1919"/>
      <c r="CD129" s="3878" t="str">
        <f>IF(_Calcs_Klasse!$AI$27=2,"✓",IF(AND(_Calcs_Klasse!$AI$27=1,_Calcs!$NV$346=0),"✓","!"))</f>
        <v>✓</v>
      </c>
      <c r="CE129" s="1920"/>
      <c r="CF129" s="1921"/>
      <c r="CG129" s="1917"/>
      <c r="CH129" s="1918"/>
      <c r="CI129" s="1919"/>
      <c r="CJ129" s="2313" t="str">
        <f>IFERROR(INDEX(outputs_klasse_qty[forankring_gt4_sum],MATCH(_Calcs_Klasse!$BD$146,outputs_klasse_qty[klasse_stuff_id],0)),"")</f>
        <v/>
      </c>
      <c r="CK129" s="1919"/>
      <c r="CL129" s="3878" t="str">
        <f>IF(_Calcs_Klasse!$AI$27=2,"✓",IF(AND(_Calcs_Klasse!$AI$27=1,_Calcs!$NW$346=0),"✓","!"))</f>
        <v>✓</v>
      </c>
      <c r="CM129" s="1920"/>
      <c r="CN129" s="1921"/>
      <c r="CO129" s="1917"/>
      <c r="CP129" s="1922"/>
      <c r="CQ129" s="1923"/>
      <c r="CR129" s="1923"/>
      <c r="CS129" s="1923"/>
      <c r="CT129" s="1923"/>
      <c r="CU129" s="1923"/>
      <c r="CV129" s="1923"/>
      <c r="CW129" s="1923"/>
      <c r="CX129" s="1923"/>
      <c r="CY129" s="1923"/>
      <c r="CZ129" s="1923"/>
      <c r="DA129" s="1923"/>
      <c r="DB129" s="1923"/>
      <c r="DC129" s="1923"/>
      <c r="DD129" s="1923"/>
      <c r="DE129" s="1923"/>
      <c r="DF129" s="1923"/>
      <c r="DG129" s="1923"/>
      <c r="DH129" s="1923"/>
      <c r="DI129" s="1923"/>
      <c r="DJ129" s="1923"/>
      <c r="DK129" s="1923"/>
      <c r="DL129" s="1923"/>
      <c r="DM129" s="1923"/>
      <c r="DN129" s="1923"/>
      <c r="DO129" s="1923"/>
      <c r="DP129" s="1923"/>
      <c r="DQ129" s="1923"/>
      <c r="DR129" s="1923"/>
      <c r="DS129" s="1923"/>
      <c r="DT129" s="1923"/>
      <c r="DU129" s="1923"/>
      <c r="DV129" s="1923"/>
      <c r="DW129" s="1923"/>
      <c r="DX129" s="1923"/>
      <c r="DY129" s="1923"/>
      <c r="DZ129" s="1923"/>
      <c r="EA129" s="1923"/>
      <c r="EB129" s="1923"/>
      <c r="EC129" s="1923"/>
      <c r="ED129" s="1923"/>
      <c r="EE129" s="1923"/>
      <c r="EF129" s="1923"/>
      <c r="EG129" s="1923"/>
      <c r="EH129" s="1923"/>
      <c r="EI129" s="1923"/>
      <c r="EJ129" s="1923"/>
      <c r="EK129" s="1923"/>
      <c r="EL129" s="1923"/>
      <c r="EM129" s="1923"/>
      <c r="EN129" s="1923"/>
      <c r="EO129" s="1923"/>
      <c r="EP129" s="1923"/>
      <c r="EQ129" s="1923"/>
      <c r="ER129" s="1923"/>
      <c r="ES129" s="1923"/>
      <c r="ET129" s="1923"/>
      <c r="EU129" s="1923"/>
    </row>
    <row r="130" spans="1:151" s="78" customFormat="1" ht="15" customHeight="1" thickBot="1" x14ac:dyDescent="0.25">
      <c r="A130" s="104"/>
      <c r="B130" s="104"/>
      <c r="C130" s="1251"/>
      <c r="D130" s="20"/>
      <c r="E130" s="1229"/>
      <c r="F130" s="659"/>
      <c r="G130" s="659"/>
      <c r="H130" s="659"/>
      <c r="I130" s="659"/>
      <c r="J130" s="659"/>
      <c r="K130" s="659"/>
      <c r="L130" s="659"/>
      <c r="M130" s="659"/>
      <c r="N130" s="659"/>
      <c r="O130" s="659"/>
      <c r="P130" s="1230"/>
      <c r="R130" s="1158"/>
      <c r="S130" s="1159"/>
      <c r="T130" s="1160"/>
      <c r="U130" s="16"/>
      <c r="V130" s="1229"/>
      <c r="W130" s="659"/>
      <c r="X130" s="1242"/>
      <c r="Y130" s="659"/>
      <c r="Z130" s="659"/>
      <c r="AA130" s="1243"/>
      <c r="AB130" s="1244"/>
      <c r="AC130" s="16"/>
      <c r="AD130" s="1229"/>
      <c r="AE130" s="659"/>
      <c r="AF130" s="1242"/>
      <c r="AG130" s="659"/>
      <c r="AH130" s="659"/>
      <c r="AI130" s="1243"/>
      <c r="AJ130" s="1244"/>
      <c r="AK130" s="16"/>
      <c r="AL130" s="1229"/>
      <c r="AM130" s="659"/>
      <c r="AN130" s="1242"/>
      <c r="AO130" s="659"/>
      <c r="AP130" s="659"/>
      <c r="AQ130" s="1243"/>
      <c r="AR130" s="1244"/>
      <c r="AS130" s="16"/>
      <c r="AT130" s="1229"/>
      <c r="AU130" s="659"/>
      <c r="AV130" s="1242"/>
      <c r="AW130" s="659"/>
      <c r="AX130" s="659"/>
      <c r="AY130" s="1243"/>
      <c r="AZ130" s="1244"/>
      <c r="BA130" s="16"/>
      <c r="BB130" s="1229"/>
      <c r="BC130" s="659"/>
      <c r="BD130" s="1242"/>
      <c r="BE130" s="659"/>
      <c r="BF130" s="659"/>
      <c r="BG130" s="1243"/>
      <c r="BH130" s="1244"/>
      <c r="BI130" s="16"/>
      <c r="BJ130" s="1229"/>
      <c r="BK130" s="659"/>
      <c r="BL130" s="1242"/>
      <c r="BM130" s="659"/>
      <c r="BN130" s="659"/>
      <c r="BO130" s="1243"/>
      <c r="BP130" s="1244"/>
      <c r="BQ130" s="16"/>
      <c r="BR130" s="1229"/>
      <c r="BS130" s="659"/>
      <c r="BT130" s="1242"/>
      <c r="BU130" s="659"/>
      <c r="BV130" s="659"/>
      <c r="BW130" s="1243"/>
      <c r="BX130" s="1244"/>
      <c r="BY130" s="16"/>
      <c r="BZ130" s="1229"/>
      <c r="CA130" s="659"/>
      <c r="CB130" s="1242"/>
      <c r="CC130" s="659"/>
      <c r="CD130" s="659"/>
      <c r="CE130" s="1243"/>
      <c r="CF130" s="1244"/>
      <c r="CG130" s="16"/>
      <c r="CH130" s="1229"/>
      <c r="CI130" s="659"/>
      <c r="CJ130" s="1242"/>
      <c r="CK130" s="659"/>
      <c r="CL130" s="659"/>
      <c r="CM130" s="1243"/>
      <c r="CN130" s="1244"/>
      <c r="CO130" s="16"/>
      <c r="CP130" s="173"/>
    </row>
    <row r="131" spans="1:151" s="78" customFormat="1" ht="24.95" customHeight="1" thickBot="1" x14ac:dyDescent="0.25">
      <c r="A131" s="104"/>
      <c r="B131" s="104"/>
      <c r="C131" s="1251"/>
      <c r="D131" s="20"/>
      <c r="E131" s="14"/>
      <c r="F131" s="15"/>
      <c r="G131" s="15"/>
      <c r="H131" s="15"/>
      <c r="I131" s="15"/>
      <c r="J131" s="16"/>
      <c r="K131" s="16"/>
      <c r="L131" s="19"/>
      <c r="M131" s="19"/>
      <c r="N131" s="19"/>
      <c r="O131" s="15"/>
      <c r="P131" s="15"/>
      <c r="R131" s="70"/>
      <c r="S131" s="114"/>
      <c r="T131" s="70"/>
      <c r="U131" s="16"/>
      <c r="V131" s="17"/>
      <c r="W131" s="17"/>
      <c r="X131" s="18"/>
      <c r="Y131" s="16"/>
      <c r="Z131" s="19"/>
      <c r="AA131" s="21"/>
      <c r="AB131" s="21"/>
      <c r="AC131" s="16"/>
      <c r="AD131" s="17"/>
      <c r="AE131" s="17"/>
      <c r="AF131" s="18"/>
      <c r="AG131" s="16"/>
      <c r="AH131" s="19"/>
      <c r="AI131" s="21"/>
      <c r="AJ131" s="21"/>
      <c r="AK131" s="16"/>
      <c r="AL131" s="17"/>
      <c r="AM131" s="17"/>
      <c r="AN131" s="18"/>
      <c r="AO131" s="16"/>
      <c r="AP131" s="19"/>
      <c r="AQ131" s="21"/>
      <c r="AR131" s="21"/>
      <c r="AS131" s="16"/>
      <c r="AT131" s="17"/>
      <c r="AU131" s="17"/>
      <c r="AV131" s="18"/>
      <c r="AW131" s="16"/>
      <c r="AX131" s="19"/>
      <c r="AY131" s="21"/>
      <c r="AZ131" s="21"/>
      <c r="BA131" s="16"/>
      <c r="BB131" s="17"/>
      <c r="BC131" s="17"/>
      <c r="BD131" s="18"/>
      <c r="BE131" s="16"/>
      <c r="BF131" s="19"/>
      <c r="BG131" s="21"/>
      <c r="BH131" s="21"/>
      <c r="BI131" s="16"/>
      <c r="BJ131" s="17"/>
      <c r="BK131" s="17"/>
      <c r="BL131" s="18"/>
      <c r="BM131" s="16"/>
      <c r="BN131" s="19"/>
      <c r="BO131" s="21"/>
      <c r="BP131" s="21"/>
      <c r="BQ131" s="16"/>
      <c r="BR131" s="17"/>
      <c r="BS131" s="17"/>
      <c r="BT131" s="18"/>
      <c r="BU131" s="16"/>
      <c r="BV131" s="19"/>
      <c r="BW131" s="21"/>
      <c r="BX131" s="21"/>
      <c r="BY131" s="16"/>
      <c r="BZ131" s="17"/>
      <c r="CA131" s="17"/>
      <c r="CB131" s="18"/>
      <c r="CC131" s="16"/>
      <c r="CD131" s="19"/>
      <c r="CE131" s="21"/>
      <c r="CF131" s="21"/>
      <c r="CG131" s="16"/>
      <c r="CH131" s="17"/>
      <c r="CI131" s="17"/>
      <c r="CJ131" s="18"/>
      <c r="CK131" s="16"/>
      <c r="CL131" s="19"/>
      <c r="CM131" s="21"/>
      <c r="CN131" s="21"/>
      <c r="CO131" s="16"/>
      <c r="CP131" s="21"/>
    </row>
    <row r="132" spans="1:151" s="78" customFormat="1" ht="15" customHeight="1" thickBot="1" x14ac:dyDescent="0.25">
      <c r="A132" s="104"/>
      <c r="B132" s="104"/>
      <c r="C132" s="1251"/>
      <c r="D132" s="20"/>
      <c r="E132" s="1219"/>
      <c r="F132" s="6597" t="str">
        <f>_Calcs!$K$70</f>
        <v>Sikringsstøp</v>
      </c>
      <c r="G132" s="6597"/>
      <c r="H132" s="6597"/>
      <c r="I132" s="6597"/>
      <c r="J132" s="6597"/>
      <c r="K132" s="6597"/>
      <c r="L132" s="6597"/>
      <c r="M132" s="6597"/>
      <c r="N132" s="6597"/>
      <c r="O132" s="6597"/>
      <c r="P132" s="1220"/>
      <c r="R132" s="7"/>
      <c r="S132" s="7"/>
      <c r="T132" s="7"/>
      <c r="U132" s="16"/>
      <c r="V132" s="16"/>
      <c r="W132" s="16"/>
      <c r="X132" s="22"/>
      <c r="Y132" s="16"/>
      <c r="Z132" s="19"/>
      <c r="AA132" s="21"/>
      <c r="AB132" s="21"/>
      <c r="AC132" s="16"/>
      <c r="AD132" s="16"/>
      <c r="AE132" s="16"/>
      <c r="AF132" s="22"/>
      <c r="AG132" s="16"/>
      <c r="AH132" s="19"/>
      <c r="AI132" s="21"/>
      <c r="AJ132" s="21"/>
      <c r="AK132" s="16"/>
      <c r="AL132" s="16"/>
      <c r="AM132" s="16"/>
      <c r="AN132" s="22"/>
      <c r="AO132" s="16"/>
      <c r="AP132" s="19"/>
      <c r="AQ132" s="21"/>
      <c r="AR132" s="21"/>
      <c r="AS132" s="16"/>
      <c r="AT132" s="16"/>
      <c r="AU132" s="16"/>
      <c r="AV132" s="22"/>
      <c r="AW132" s="16"/>
      <c r="AX132" s="19"/>
      <c r="AY132" s="21"/>
      <c r="AZ132" s="21"/>
      <c r="BA132" s="16"/>
      <c r="BB132" s="16"/>
      <c r="BC132" s="16"/>
      <c r="BD132" s="22"/>
      <c r="BE132" s="16"/>
      <c r="BF132" s="19"/>
      <c r="BG132" s="21"/>
      <c r="BH132" s="21"/>
      <c r="BI132" s="16"/>
      <c r="BJ132" s="16"/>
      <c r="BK132" s="16"/>
      <c r="BL132" s="22"/>
      <c r="BM132" s="16"/>
      <c r="BN132" s="19"/>
      <c r="BO132" s="21"/>
      <c r="BP132" s="21"/>
      <c r="BQ132" s="16"/>
      <c r="BR132" s="16"/>
      <c r="BS132" s="16"/>
      <c r="BT132" s="22"/>
      <c r="BU132" s="16"/>
      <c r="BV132" s="19"/>
      <c r="BW132" s="21"/>
      <c r="BX132" s="21"/>
      <c r="BY132" s="16"/>
      <c r="BZ132" s="16"/>
      <c r="CA132" s="16"/>
      <c r="CB132" s="22"/>
      <c r="CC132" s="16"/>
      <c r="CD132" s="19"/>
      <c r="CE132" s="21"/>
      <c r="CF132" s="21"/>
      <c r="CG132" s="16"/>
      <c r="CH132" s="16"/>
      <c r="CI132" s="16"/>
      <c r="CJ132" s="22"/>
      <c r="CK132" s="16"/>
      <c r="CL132" s="19"/>
      <c r="CM132" s="21"/>
      <c r="CN132" s="21"/>
      <c r="CO132" s="16"/>
      <c r="CP132" s="21"/>
    </row>
    <row r="133" spans="1:151" s="78" customFormat="1" ht="15" customHeight="1" thickBot="1" x14ac:dyDescent="0.25">
      <c r="A133" s="104"/>
      <c r="B133" s="104"/>
      <c r="C133" s="1251"/>
      <c r="D133" s="20"/>
      <c r="E133" s="1221"/>
      <c r="F133" s="6598"/>
      <c r="G133" s="6598"/>
      <c r="H133" s="6598"/>
      <c r="I133" s="6598"/>
      <c r="J133" s="6598"/>
      <c r="K133" s="6598"/>
      <c r="L133" s="6598"/>
      <c r="M133" s="6598"/>
      <c r="N133" s="6598"/>
      <c r="O133" s="6598"/>
      <c r="P133" s="1222"/>
      <c r="R133" s="1215"/>
      <c r="S133" s="1216"/>
      <c r="T133" s="1217"/>
      <c r="U133" s="16"/>
      <c r="V133" s="692"/>
      <c r="W133" s="693"/>
      <c r="X133" s="1233"/>
      <c r="Y133" s="693"/>
      <c r="Z133" s="1234"/>
      <c r="AA133" s="748"/>
      <c r="AB133" s="1235"/>
      <c r="AC133" s="16"/>
      <c r="AD133" s="692"/>
      <c r="AE133" s="693"/>
      <c r="AF133" s="1233"/>
      <c r="AG133" s="693"/>
      <c r="AH133" s="1234"/>
      <c r="AI133" s="748"/>
      <c r="AJ133" s="1235"/>
      <c r="AK133" s="16"/>
      <c r="AL133" s="692"/>
      <c r="AM133" s="693"/>
      <c r="AN133" s="1233"/>
      <c r="AO133" s="693"/>
      <c r="AP133" s="1234"/>
      <c r="AQ133" s="748"/>
      <c r="AR133" s="1235"/>
      <c r="AS133" s="16"/>
      <c r="AT133" s="692"/>
      <c r="AU133" s="693"/>
      <c r="AV133" s="1233"/>
      <c r="AW133" s="693"/>
      <c r="AX133" s="1234"/>
      <c r="AY133" s="748"/>
      <c r="AZ133" s="1235"/>
      <c r="BA133" s="16"/>
      <c r="BB133" s="692"/>
      <c r="BC133" s="693"/>
      <c r="BD133" s="1233"/>
      <c r="BE133" s="693"/>
      <c r="BF133" s="1234"/>
      <c r="BG133" s="748"/>
      <c r="BH133" s="1235"/>
      <c r="BI133" s="16"/>
      <c r="BJ133" s="692"/>
      <c r="BK133" s="693"/>
      <c r="BL133" s="1233"/>
      <c r="BM133" s="693"/>
      <c r="BN133" s="1234"/>
      <c r="BO133" s="748"/>
      <c r="BP133" s="1235"/>
      <c r="BQ133" s="16"/>
      <c r="BR133" s="692"/>
      <c r="BS133" s="693"/>
      <c r="BT133" s="1233"/>
      <c r="BU133" s="693"/>
      <c r="BV133" s="1234"/>
      <c r="BW133" s="748"/>
      <c r="BX133" s="1235"/>
      <c r="BY133" s="16"/>
      <c r="BZ133" s="692"/>
      <c r="CA133" s="693"/>
      <c r="CB133" s="1233"/>
      <c r="CC133" s="693"/>
      <c r="CD133" s="1234"/>
      <c r="CE133" s="748"/>
      <c r="CF133" s="1235"/>
      <c r="CG133" s="16"/>
      <c r="CH133" s="692"/>
      <c r="CI133" s="693"/>
      <c r="CJ133" s="1233"/>
      <c r="CK133" s="693"/>
      <c r="CL133" s="1234"/>
      <c r="CM133" s="748"/>
      <c r="CN133" s="1235"/>
      <c r="CO133" s="16"/>
      <c r="CP133" s="172"/>
    </row>
    <row r="134" spans="1:151" s="78" customFormat="1" ht="8.1" customHeight="1" thickBot="1" x14ac:dyDescent="0.25">
      <c r="A134" s="104"/>
      <c r="B134" s="104"/>
      <c r="C134" s="1251"/>
      <c r="D134" s="20"/>
      <c r="E134" s="15"/>
      <c r="F134" s="1212"/>
      <c r="G134" s="1212"/>
      <c r="H134" s="1212"/>
      <c r="I134" s="1212"/>
      <c r="J134" s="16"/>
      <c r="K134" s="16"/>
      <c r="L134" s="19"/>
      <c r="M134" s="19"/>
      <c r="N134" s="19"/>
      <c r="O134" s="15"/>
      <c r="P134" s="15"/>
      <c r="R134" s="70"/>
      <c r="S134" s="114"/>
      <c r="T134" s="70"/>
      <c r="U134" s="16"/>
      <c r="V134" s="16"/>
      <c r="W134" s="16"/>
      <c r="X134" s="22"/>
      <c r="Y134" s="16"/>
      <c r="Z134" s="19"/>
      <c r="AA134" s="21"/>
      <c r="AB134" s="21"/>
      <c r="AC134" s="16"/>
      <c r="AD134" s="16"/>
      <c r="AE134" s="16"/>
      <c r="AF134" s="22"/>
      <c r="AG134" s="16"/>
      <c r="AH134" s="19"/>
      <c r="AI134" s="21"/>
      <c r="AJ134" s="21"/>
      <c r="AK134" s="16"/>
      <c r="AL134" s="16"/>
      <c r="AM134" s="16"/>
      <c r="AN134" s="22"/>
      <c r="AO134" s="16"/>
      <c r="AP134" s="19"/>
      <c r="AQ134" s="21"/>
      <c r="AR134" s="21"/>
      <c r="AS134" s="16"/>
      <c r="AT134" s="16"/>
      <c r="AU134" s="16"/>
      <c r="AV134" s="22"/>
      <c r="AW134" s="16"/>
      <c r="AX134" s="19"/>
      <c r="AY134" s="21"/>
      <c r="AZ134" s="21"/>
      <c r="BA134" s="16"/>
      <c r="BB134" s="16"/>
      <c r="BC134" s="16"/>
      <c r="BD134" s="22"/>
      <c r="BE134" s="16"/>
      <c r="BF134" s="19"/>
      <c r="BG134" s="21"/>
      <c r="BH134" s="21"/>
      <c r="BI134" s="16"/>
      <c r="BJ134" s="16"/>
      <c r="BK134" s="16"/>
      <c r="BL134" s="22"/>
      <c r="BM134" s="16"/>
      <c r="BN134" s="19"/>
      <c r="BO134" s="21"/>
      <c r="BP134" s="21"/>
      <c r="BQ134" s="16"/>
      <c r="BR134" s="16"/>
      <c r="BS134" s="16"/>
      <c r="BT134" s="22"/>
      <c r="BU134" s="16"/>
      <c r="BV134" s="19"/>
      <c r="BW134" s="21"/>
      <c r="BX134" s="21"/>
      <c r="BY134" s="16"/>
      <c r="BZ134" s="16"/>
      <c r="CA134" s="16"/>
      <c r="CB134" s="22"/>
      <c r="CC134" s="16"/>
      <c r="CD134" s="19"/>
      <c r="CE134" s="21"/>
      <c r="CF134" s="21"/>
      <c r="CG134" s="16"/>
      <c r="CH134" s="16"/>
      <c r="CI134" s="16"/>
      <c r="CJ134" s="22"/>
      <c r="CK134" s="16"/>
      <c r="CL134" s="19"/>
      <c r="CM134" s="21"/>
      <c r="CN134" s="21"/>
      <c r="CO134" s="16"/>
      <c r="CP134" s="21"/>
    </row>
    <row r="135" spans="1:151" s="78" customFormat="1" ht="15" customHeight="1" thickBot="1" x14ac:dyDescent="0.25">
      <c r="A135" s="104"/>
      <c r="B135" s="104"/>
      <c r="C135" s="1251"/>
      <c r="D135" s="20"/>
      <c r="E135" s="660"/>
      <c r="F135" s="658"/>
      <c r="G135" s="658"/>
      <c r="H135" s="658"/>
      <c r="I135" s="658"/>
      <c r="J135" s="643"/>
      <c r="K135" s="643"/>
      <c r="L135" s="1224"/>
      <c r="M135" s="1224"/>
      <c r="N135" s="1224"/>
      <c r="O135" s="658"/>
      <c r="P135" s="1225"/>
      <c r="R135" s="1153"/>
      <c r="S135" s="1154"/>
      <c r="T135" s="1155"/>
      <c r="U135" s="16"/>
      <c r="V135" s="1223"/>
      <c r="W135" s="658"/>
      <c r="X135" s="1257"/>
      <c r="Y135" s="643"/>
      <c r="Z135" s="1224"/>
      <c r="AA135" s="1238"/>
      <c r="AB135" s="1239"/>
      <c r="AC135" s="16"/>
      <c r="AD135" s="1223"/>
      <c r="AE135" s="658"/>
      <c r="AF135" s="1257"/>
      <c r="AG135" s="643"/>
      <c r="AH135" s="1224"/>
      <c r="AI135" s="1238"/>
      <c r="AJ135" s="1239"/>
      <c r="AK135" s="16"/>
      <c r="AL135" s="1223"/>
      <c r="AM135" s="658"/>
      <c r="AN135" s="1257"/>
      <c r="AO135" s="643"/>
      <c r="AP135" s="1224"/>
      <c r="AQ135" s="1238"/>
      <c r="AR135" s="1239"/>
      <c r="AS135" s="16"/>
      <c r="AT135" s="1223"/>
      <c r="AU135" s="658"/>
      <c r="AV135" s="1257"/>
      <c r="AW135" s="643"/>
      <c r="AX135" s="1224"/>
      <c r="AY135" s="1238"/>
      <c r="AZ135" s="1239"/>
      <c r="BA135" s="16"/>
      <c r="BB135" s="1223"/>
      <c r="BC135" s="658"/>
      <c r="BD135" s="1257"/>
      <c r="BE135" s="643"/>
      <c r="BF135" s="1224"/>
      <c r="BG135" s="1238"/>
      <c r="BH135" s="1239"/>
      <c r="BI135" s="16"/>
      <c r="BJ135" s="1223"/>
      <c r="BK135" s="658"/>
      <c r="BL135" s="1257"/>
      <c r="BM135" s="643"/>
      <c r="BN135" s="1224"/>
      <c r="BO135" s="1238"/>
      <c r="BP135" s="1239"/>
      <c r="BQ135" s="16"/>
      <c r="BR135" s="1223"/>
      <c r="BS135" s="658"/>
      <c r="BT135" s="1257"/>
      <c r="BU135" s="643"/>
      <c r="BV135" s="1224"/>
      <c r="BW135" s="1238"/>
      <c r="BX135" s="1239"/>
      <c r="BY135" s="16"/>
      <c r="BZ135" s="1223"/>
      <c r="CA135" s="658"/>
      <c r="CB135" s="1257"/>
      <c r="CC135" s="643"/>
      <c r="CD135" s="1224"/>
      <c r="CE135" s="1238"/>
      <c r="CF135" s="1239"/>
      <c r="CG135" s="16"/>
      <c r="CH135" s="1223"/>
      <c r="CI135" s="658"/>
      <c r="CJ135" s="1257"/>
      <c r="CK135" s="643"/>
      <c r="CL135" s="1224"/>
      <c r="CM135" s="1238"/>
      <c r="CN135" s="1239"/>
      <c r="CO135" s="16"/>
      <c r="CP135" s="173"/>
    </row>
    <row r="136" spans="1:151" s="78" customFormat="1" ht="20.100000000000001" customHeight="1" thickBot="1" x14ac:dyDescent="0.25">
      <c r="A136" s="104"/>
      <c r="B136" s="104"/>
      <c r="C136" s="1251"/>
      <c r="D136" s="20"/>
      <c r="E136" s="663"/>
      <c r="F136" s="6596" t="s">
        <v>108</v>
      </c>
      <c r="G136" s="6596"/>
      <c r="H136" s="6596"/>
      <c r="I136" s="6596"/>
      <c r="J136" s="75"/>
      <c r="K136" s="75"/>
      <c r="L136" s="1227"/>
      <c r="M136" s="1227"/>
      <c r="N136" s="1227"/>
      <c r="O136" s="76" t="s">
        <v>78</v>
      </c>
      <c r="P136" s="1228"/>
      <c r="R136" s="1156"/>
      <c r="S136" s="2301"/>
      <c r="T136" s="1157"/>
      <c r="U136" s="16"/>
      <c r="V136" s="1231"/>
      <c r="W136" s="76"/>
      <c r="X136" s="2313"/>
      <c r="Y136" s="75"/>
      <c r="Z136" s="30" t="str">
        <f>IF(_Calcs_Klasse!$AI$27=2,"✓",IF(AND(_Calcs_Klasse!$AI$27=1,_Calcs!$NO$346=0),"✓","!"))</f>
        <v>✓</v>
      </c>
      <c r="AA136" s="1227"/>
      <c r="AB136" s="1241"/>
      <c r="AC136" s="16"/>
      <c r="AD136" s="1231"/>
      <c r="AE136" s="76"/>
      <c r="AF136" s="2313"/>
      <c r="AG136" s="75"/>
      <c r="AH136" s="30" t="str">
        <f>IF(_Calcs_Klasse!$AI$27=2,"✓",IF(AND(_Calcs_Klasse!$AI$27=1,_Calcs!$NP$346=0),"✓","!"))</f>
        <v>✓</v>
      </c>
      <c r="AI136" s="1227"/>
      <c r="AJ136" s="1241"/>
      <c r="AK136" s="16"/>
      <c r="AL136" s="1231"/>
      <c r="AM136" s="76"/>
      <c r="AN136" s="2313"/>
      <c r="AO136" s="75"/>
      <c r="AP136" s="30" t="str">
        <f>IF(_Calcs_Klasse!$AI$27=2,"✓",IF(AND(_Calcs_Klasse!$AI$27=1,_Calcs!$NQ$346=0),"✓","!"))</f>
        <v>✓</v>
      </c>
      <c r="AQ136" s="1227"/>
      <c r="AR136" s="1241"/>
      <c r="AS136" s="16"/>
      <c r="AT136" s="1231"/>
      <c r="AU136" s="76"/>
      <c r="AV136" s="2313"/>
      <c r="AW136" s="75"/>
      <c r="AX136" s="30" t="str">
        <f>IF(_Calcs_Klasse!$AI$27=2,"✓",IF(AND(_Calcs_Klasse!$AI$27=1,_Calcs!$NR$346=0),"✓","!"))</f>
        <v>✓</v>
      </c>
      <c r="AY136" s="1227"/>
      <c r="AZ136" s="1241"/>
      <c r="BA136" s="16"/>
      <c r="BB136" s="1231"/>
      <c r="BC136" s="76"/>
      <c r="BD136" s="2313"/>
      <c r="BE136" s="75"/>
      <c r="BF136" s="30" t="str">
        <f>IF(_Calcs_Klasse!$AI$27=2,"✓",IF(AND(_Calcs_Klasse!$AI$27=1,_Calcs!$NS$346=0),"✓","!"))</f>
        <v>✓</v>
      </c>
      <c r="BG136" s="1227"/>
      <c r="BH136" s="1241"/>
      <c r="BI136" s="16"/>
      <c r="BJ136" s="1231"/>
      <c r="BK136" s="76"/>
      <c r="BL136" s="2313"/>
      <c r="BM136" s="75"/>
      <c r="BN136" s="30" t="str">
        <f>IF(_Calcs_Klasse!$AI$27=2,"✓",IF(AND(_Calcs_Klasse!$AI$27=1,_Calcs!$NT$346=0),"✓","!"))</f>
        <v>✓</v>
      </c>
      <c r="BO136" s="1227"/>
      <c r="BP136" s="1241"/>
      <c r="BQ136" s="16"/>
      <c r="BR136" s="1231"/>
      <c r="BS136" s="76"/>
      <c r="BT136" s="2313"/>
      <c r="BU136" s="75"/>
      <c r="BV136" s="30" t="str">
        <f>IF(_Calcs_Klasse!$AI$27=2,"✓",IF(AND(_Calcs_Klasse!$AI$27=1,_Calcs!$NU$346=0),"✓","!"))</f>
        <v>✓</v>
      </c>
      <c r="BW136" s="1227"/>
      <c r="BX136" s="1241"/>
      <c r="BY136" s="16"/>
      <c r="BZ136" s="1231"/>
      <c r="CA136" s="76"/>
      <c r="CB136" s="2313"/>
      <c r="CC136" s="75"/>
      <c r="CD136" s="30" t="str">
        <f>IF(_Calcs_Klasse!$AI$27=2,"✓",IF(AND(_Calcs_Klasse!$AI$27=1,_Calcs!$NV$346=0),"✓","!"))</f>
        <v>✓</v>
      </c>
      <c r="CE136" s="1227"/>
      <c r="CF136" s="1241"/>
      <c r="CG136" s="16"/>
      <c r="CH136" s="1231"/>
      <c r="CI136" s="76"/>
      <c r="CJ136" s="2313"/>
      <c r="CK136" s="75"/>
      <c r="CL136" s="30" t="str">
        <f>IF(_Calcs_Klasse!$AI$27=2,"✓",IF(AND(_Calcs_Klasse!$AI$27=1,_Calcs!$NW$346=0),"✓","!"))</f>
        <v>✓</v>
      </c>
      <c r="CM136" s="1227"/>
      <c r="CN136" s="1241"/>
      <c r="CO136" s="16"/>
      <c r="CP136" s="173"/>
    </row>
    <row r="137" spans="1:151" s="78" customFormat="1" ht="15" customHeight="1" thickBot="1" x14ac:dyDescent="0.25">
      <c r="A137" s="104"/>
      <c r="B137" s="104"/>
      <c r="C137" s="1251"/>
      <c r="D137" s="20"/>
      <c r="E137" s="663"/>
      <c r="F137" s="1247"/>
      <c r="G137" s="1247"/>
      <c r="H137" s="1247"/>
      <c r="I137" s="1247"/>
      <c r="J137" s="1227"/>
      <c r="K137" s="1227"/>
      <c r="L137" s="1227"/>
      <c r="M137" s="1227"/>
      <c r="N137" s="1227"/>
      <c r="O137" s="1248"/>
      <c r="P137" s="1249"/>
      <c r="R137" s="1156"/>
      <c r="S137" s="1159"/>
      <c r="T137" s="1157"/>
      <c r="U137" s="16"/>
      <c r="V137" s="1231"/>
      <c r="W137" s="76"/>
      <c r="X137" s="1227"/>
      <c r="Y137" s="1227"/>
      <c r="Z137" s="1227"/>
      <c r="AA137" s="1227"/>
      <c r="AB137" s="1241"/>
      <c r="AC137" s="16"/>
      <c r="AD137" s="1231"/>
      <c r="AE137" s="76"/>
      <c r="AF137" s="1227"/>
      <c r="AG137" s="1227"/>
      <c r="AH137" s="1227"/>
      <c r="AI137" s="1227"/>
      <c r="AJ137" s="1241"/>
      <c r="AK137" s="16"/>
      <c r="AL137" s="1231"/>
      <c r="AM137" s="76"/>
      <c r="AN137" s="1227"/>
      <c r="AO137" s="1227"/>
      <c r="AP137" s="1227"/>
      <c r="AQ137" s="1227"/>
      <c r="AR137" s="1241"/>
      <c r="AS137" s="16"/>
      <c r="AT137" s="1231"/>
      <c r="AU137" s="76"/>
      <c r="AV137" s="1227"/>
      <c r="AW137" s="1227"/>
      <c r="AX137" s="1227"/>
      <c r="AY137" s="1227"/>
      <c r="AZ137" s="1241"/>
      <c r="BA137" s="16"/>
      <c r="BB137" s="1231"/>
      <c r="BC137" s="76"/>
      <c r="BD137" s="1227"/>
      <c r="BE137" s="1227"/>
      <c r="BF137" s="1227"/>
      <c r="BG137" s="1227"/>
      <c r="BH137" s="1241"/>
      <c r="BI137" s="16"/>
      <c r="BJ137" s="1231"/>
      <c r="BK137" s="76"/>
      <c r="BL137" s="1227"/>
      <c r="BM137" s="1227"/>
      <c r="BN137" s="1227"/>
      <c r="BO137" s="1227"/>
      <c r="BP137" s="1241"/>
      <c r="BQ137" s="16"/>
      <c r="BR137" s="1231"/>
      <c r="BS137" s="76"/>
      <c r="BT137" s="1227"/>
      <c r="BU137" s="1227"/>
      <c r="BV137" s="1227"/>
      <c r="BW137" s="1227"/>
      <c r="BX137" s="1241"/>
      <c r="BY137" s="16"/>
      <c r="BZ137" s="1231"/>
      <c r="CA137" s="76"/>
      <c r="CB137" s="1227"/>
      <c r="CC137" s="1227"/>
      <c r="CD137" s="1227"/>
      <c r="CE137" s="1227"/>
      <c r="CF137" s="1241"/>
      <c r="CG137" s="16"/>
      <c r="CH137" s="1231"/>
      <c r="CI137" s="76"/>
      <c r="CJ137" s="1227"/>
      <c r="CK137" s="1227"/>
      <c r="CL137" s="1227"/>
      <c r="CM137" s="1227"/>
      <c r="CN137" s="1241"/>
      <c r="CO137" s="16"/>
      <c r="CP137" s="173"/>
    </row>
    <row r="138" spans="1:151" s="78" customFormat="1" ht="20.100000000000001" customHeight="1" thickBot="1" x14ac:dyDescent="0.25">
      <c r="A138" s="104"/>
      <c r="B138" s="104"/>
      <c r="C138" s="1251"/>
      <c r="D138" s="20"/>
      <c r="E138" s="663"/>
      <c r="F138" s="7021" t="s">
        <v>109</v>
      </c>
      <c r="G138" s="7021"/>
      <c r="H138" s="7021"/>
      <c r="I138" s="7021"/>
      <c r="J138" s="1227"/>
      <c r="K138" s="1227"/>
      <c r="L138" s="1227"/>
      <c r="M138" s="1227"/>
      <c r="N138" s="1227"/>
      <c r="O138" s="2006" t="s">
        <v>78</v>
      </c>
      <c r="P138" s="1249"/>
      <c r="Q138" s="21"/>
      <c r="R138" s="1156"/>
      <c r="S138" s="2301"/>
      <c r="T138" s="1157"/>
      <c r="U138" s="16"/>
      <c r="V138" s="1231"/>
      <c r="W138" s="76"/>
      <c r="X138" s="2313"/>
      <c r="Y138" s="75"/>
      <c r="Z138" s="30" t="str">
        <f>IF(_Calcs_Klasse!$AI$27=2,"✓",IF(AND(_Calcs_Klasse!$AI$27=1,_Calcs!$NO$346=0),"✓","!"))</f>
        <v>✓</v>
      </c>
      <c r="AA138" s="1227"/>
      <c r="AB138" s="1241"/>
      <c r="AC138" s="16"/>
      <c r="AD138" s="1231"/>
      <c r="AE138" s="76"/>
      <c r="AF138" s="2313"/>
      <c r="AG138" s="75"/>
      <c r="AH138" s="30" t="str">
        <f>IF(_Calcs_Klasse!$AI$27=2,"✓",IF(AND(_Calcs_Klasse!$AI$27=1,_Calcs!$NP$346=0),"✓","!"))</f>
        <v>✓</v>
      </c>
      <c r="AI138" s="1227"/>
      <c r="AJ138" s="1241"/>
      <c r="AK138" s="16"/>
      <c r="AL138" s="1231"/>
      <c r="AM138" s="76"/>
      <c r="AN138" s="2313"/>
      <c r="AO138" s="75"/>
      <c r="AP138" s="30" t="str">
        <f>IF(_Calcs_Klasse!$AI$27=2,"✓",IF(AND(_Calcs_Klasse!$AI$27=1,_Calcs!$NQ$346=0),"✓","!"))</f>
        <v>✓</v>
      </c>
      <c r="AQ138" s="1227"/>
      <c r="AR138" s="1241"/>
      <c r="AS138" s="16"/>
      <c r="AT138" s="1231"/>
      <c r="AU138" s="76"/>
      <c r="AV138" s="2313"/>
      <c r="AW138" s="75"/>
      <c r="AX138" s="30" t="str">
        <f>IF(_Calcs_Klasse!$AI$27=2,"✓",IF(AND(_Calcs_Klasse!$AI$27=1,_Calcs!$NR$346=0),"✓","!"))</f>
        <v>✓</v>
      </c>
      <c r="AY138" s="1227"/>
      <c r="AZ138" s="1241"/>
      <c r="BA138" s="16"/>
      <c r="BB138" s="1231"/>
      <c r="BC138" s="76"/>
      <c r="BD138" s="2313"/>
      <c r="BE138" s="75"/>
      <c r="BF138" s="30" t="str">
        <f>IF(_Calcs_Klasse!$AI$27=2,"✓",IF(AND(_Calcs_Klasse!$AI$27=1,_Calcs!$NS$346=0),"✓","!"))</f>
        <v>✓</v>
      </c>
      <c r="BG138" s="1227"/>
      <c r="BH138" s="1241"/>
      <c r="BI138" s="16"/>
      <c r="BJ138" s="1231"/>
      <c r="BK138" s="76"/>
      <c r="BL138" s="2313"/>
      <c r="BM138" s="75"/>
      <c r="BN138" s="30" t="str">
        <f>IF(_Calcs_Klasse!$AI$27=2,"✓",IF(AND(_Calcs_Klasse!$AI$27=1,_Calcs!$NT$346=0),"✓","!"))</f>
        <v>✓</v>
      </c>
      <c r="BO138" s="1227"/>
      <c r="BP138" s="1241"/>
      <c r="BQ138" s="16"/>
      <c r="BR138" s="1231"/>
      <c r="BS138" s="76"/>
      <c r="BT138" s="2313"/>
      <c r="BU138" s="75"/>
      <c r="BV138" s="30" t="str">
        <f>IF(_Calcs_Klasse!$AI$27=2,"✓",IF(AND(_Calcs_Klasse!$AI$27=1,_Calcs!$NU$346=0),"✓","!"))</f>
        <v>✓</v>
      </c>
      <c r="BW138" s="1227"/>
      <c r="BX138" s="1241"/>
      <c r="BY138" s="16"/>
      <c r="BZ138" s="1231"/>
      <c r="CA138" s="76"/>
      <c r="CB138" s="2313"/>
      <c r="CC138" s="75"/>
      <c r="CD138" s="30" t="str">
        <f>IF(_Calcs_Klasse!$AI$27=2,"✓",IF(AND(_Calcs_Klasse!$AI$27=1,_Calcs!$NV$346=0),"✓","!"))</f>
        <v>✓</v>
      </c>
      <c r="CE138" s="1227"/>
      <c r="CF138" s="1241"/>
      <c r="CG138" s="16"/>
      <c r="CH138" s="1231"/>
      <c r="CI138" s="76"/>
      <c r="CJ138" s="2313"/>
      <c r="CK138" s="75"/>
      <c r="CL138" s="30" t="str">
        <f>IF(_Calcs_Klasse!$AI$27=2,"✓",IF(AND(_Calcs_Klasse!$AI$27=1,_Calcs!$NW$346=0),"✓","!"))</f>
        <v>✓</v>
      </c>
      <c r="CM138" s="1227"/>
      <c r="CN138" s="1241"/>
      <c r="CO138" s="16"/>
      <c r="CP138" s="173"/>
    </row>
    <row r="139" spans="1:151" s="78" customFormat="1" ht="15" customHeight="1" thickBot="1" x14ac:dyDescent="0.25">
      <c r="A139" s="104"/>
      <c r="B139" s="104"/>
      <c r="C139" s="1251"/>
      <c r="D139" s="20"/>
      <c r="E139" s="663"/>
      <c r="F139" s="7021"/>
      <c r="G139" s="7021"/>
      <c r="H139" s="7021"/>
      <c r="I139" s="7021"/>
      <c r="J139" s="75"/>
      <c r="K139" s="75"/>
      <c r="L139" s="1227"/>
      <c r="M139" s="1227"/>
      <c r="N139" s="1227"/>
      <c r="O139" s="2006"/>
      <c r="P139" s="1228"/>
      <c r="R139" s="1158"/>
      <c r="S139" s="1236"/>
      <c r="T139" s="1160"/>
      <c r="U139" s="16"/>
      <c r="V139" s="1229"/>
      <c r="W139" s="659"/>
      <c r="X139" s="656"/>
      <c r="Y139" s="656"/>
      <c r="Z139" s="656"/>
      <c r="AA139" s="656"/>
      <c r="AB139" s="657"/>
      <c r="AD139" s="1229"/>
      <c r="AE139" s="659"/>
      <c r="AF139" s="656"/>
      <c r="AG139" s="656"/>
      <c r="AH139" s="656"/>
      <c r="AI139" s="656"/>
      <c r="AJ139" s="657"/>
      <c r="AL139" s="1229"/>
      <c r="AM139" s="659"/>
      <c r="AN139" s="656"/>
      <c r="AO139" s="656"/>
      <c r="AP139" s="656"/>
      <c r="AQ139" s="656"/>
      <c r="AR139" s="657"/>
      <c r="AT139" s="1229"/>
      <c r="AU139" s="659"/>
      <c r="AV139" s="656"/>
      <c r="AW139" s="656"/>
      <c r="AX139" s="656"/>
      <c r="AY139" s="656"/>
      <c r="AZ139" s="657"/>
      <c r="BB139" s="1229"/>
      <c r="BC139" s="659"/>
      <c r="BD139" s="656"/>
      <c r="BE139" s="656"/>
      <c r="BF139" s="656"/>
      <c r="BG139" s="656"/>
      <c r="BH139" s="657"/>
      <c r="BJ139" s="1229"/>
      <c r="BK139" s="659"/>
      <c r="BL139" s="656"/>
      <c r="BM139" s="656"/>
      <c r="BN139" s="656"/>
      <c r="BO139" s="656"/>
      <c r="BP139" s="657"/>
      <c r="BR139" s="1229"/>
      <c r="BS139" s="659"/>
      <c r="BT139" s="656"/>
      <c r="BU139" s="656"/>
      <c r="BV139" s="656"/>
      <c r="BW139" s="656"/>
      <c r="BX139" s="657"/>
      <c r="BZ139" s="1229"/>
      <c r="CA139" s="659"/>
      <c r="CB139" s="656"/>
      <c r="CC139" s="656"/>
      <c r="CD139" s="656"/>
      <c r="CE139" s="656"/>
      <c r="CF139" s="657"/>
      <c r="CH139" s="1229"/>
      <c r="CI139" s="659"/>
      <c r="CJ139" s="656"/>
      <c r="CK139" s="656"/>
      <c r="CL139" s="656"/>
      <c r="CM139" s="656"/>
      <c r="CN139" s="657"/>
      <c r="CO139" s="16"/>
      <c r="CP139" s="173"/>
    </row>
    <row r="140" spans="1:151" s="78" customFormat="1" ht="8.1" customHeight="1" x14ac:dyDescent="0.2">
      <c r="A140" s="104"/>
      <c r="B140" s="104"/>
      <c r="C140" s="1251"/>
      <c r="D140" s="20"/>
      <c r="E140" s="663"/>
      <c r="F140" s="5737"/>
      <c r="G140" s="5737"/>
      <c r="H140" s="5737"/>
      <c r="I140" s="5737"/>
      <c r="J140" s="75"/>
      <c r="K140" s="75"/>
      <c r="L140" s="1227"/>
      <c r="M140" s="1227"/>
      <c r="N140" s="1227"/>
      <c r="O140" s="76"/>
      <c r="P140" s="1228"/>
      <c r="R140" s="51"/>
      <c r="S140" s="2298"/>
      <c r="T140" s="51"/>
      <c r="U140" s="16"/>
      <c r="V140" s="17"/>
      <c r="W140" s="17"/>
      <c r="X140" s="2299"/>
      <c r="Y140" s="16"/>
      <c r="Z140" s="954"/>
      <c r="AA140" s="1261"/>
      <c r="AB140" s="1261"/>
      <c r="AC140" s="16"/>
      <c r="AD140" s="17"/>
      <c r="AE140" s="17"/>
      <c r="AF140" s="2299"/>
      <c r="AG140" s="16"/>
      <c r="AH140" s="954"/>
      <c r="AI140" s="1261"/>
      <c r="AJ140" s="1261"/>
      <c r="AK140" s="16"/>
      <c r="AL140" s="17"/>
      <c r="AM140" s="17"/>
      <c r="AN140" s="2299"/>
      <c r="AO140" s="16"/>
      <c r="AP140" s="954"/>
      <c r="AQ140" s="1261"/>
      <c r="AR140" s="1261"/>
      <c r="AS140" s="16"/>
      <c r="AT140" s="17"/>
      <c r="AU140" s="17"/>
      <c r="AV140" s="2299"/>
      <c r="AW140" s="16"/>
      <c r="AX140" s="954"/>
      <c r="AY140" s="1261"/>
      <c r="AZ140" s="1261"/>
      <c r="BA140" s="16"/>
      <c r="BB140" s="17"/>
      <c r="BC140" s="17"/>
      <c r="BD140" s="2299"/>
      <c r="BE140" s="16"/>
      <c r="BF140" s="954"/>
      <c r="BG140" s="1261"/>
      <c r="BH140" s="1261"/>
      <c r="BI140" s="16"/>
      <c r="BJ140" s="17"/>
      <c r="BK140" s="17"/>
      <c r="BL140" s="2299"/>
      <c r="BM140" s="16"/>
      <c r="BN140" s="954"/>
      <c r="BO140" s="1261"/>
      <c r="BP140" s="1261"/>
      <c r="BQ140" s="16"/>
      <c r="BR140" s="17"/>
      <c r="BS140" s="17"/>
      <c r="BT140" s="2299"/>
      <c r="BU140" s="16"/>
      <c r="BV140" s="954"/>
      <c r="BW140" s="1261"/>
      <c r="BX140" s="1261"/>
      <c r="BY140" s="16"/>
      <c r="BZ140" s="17"/>
      <c r="CA140" s="17"/>
      <c r="CB140" s="2299"/>
      <c r="CC140" s="16"/>
      <c r="CD140" s="954"/>
      <c r="CE140" s="1261"/>
      <c r="CF140" s="1261"/>
      <c r="CG140" s="16"/>
      <c r="CH140" s="17"/>
      <c r="CI140" s="17"/>
      <c r="CJ140" s="2299"/>
      <c r="CK140" s="16"/>
      <c r="CL140" s="954"/>
      <c r="CM140" s="1261"/>
      <c r="CN140" s="1261"/>
      <c r="CO140" s="16"/>
      <c r="CP140" s="1261"/>
    </row>
    <row r="141" spans="1:151" s="78" customFormat="1" ht="9.9499999999999993" customHeight="1" thickBot="1" x14ac:dyDescent="0.25">
      <c r="A141" s="104"/>
      <c r="B141" s="104"/>
      <c r="C141" s="1252"/>
      <c r="D141" s="20"/>
      <c r="E141" s="665"/>
      <c r="F141" s="659"/>
      <c r="G141" s="659"/>
      <c r="H141" s="659"/>
      <c r="I141" s="659"/>
      <c r="J141" s="655"/>
      <c r="K141" s="655"/>
      <c r="L141" s="1245"/>
      <c r="M141" s="1245"/>
      <c r="N141" s="1245"/>
      <c r="O141" s="659"/>
      <c r="P141" s="1230"/>
      <c r="R141" s="1213"/>
      <c r="S141" s="1214"/>
      <c r="T141" s="1213"/>
      <c r="U141" s="16"/>
      <c r="V141" s="1262"/>
      <c r="W141" s="1262"/>
      <c r="X141" s="1263"/>
      <c r="Y141" s="1264"/>
      <c r="Z141" s="1265"/>
      <c r="AA141" s="1266"/>
      <c r="AB141" s="1266"/>
      <c r="AC141" s="16"/>
      <c r="AD141" s="1262"/>
      <c r="AE141" s="1262"/>
      <c r="AF141" s="1263"/>
      <c r="AG141" s="1264"/>
      <c r="AH141" s="1265"/>
      <c r="AI141" s="1266"/>
      <c r="AJ141" s="1266"/>
      <c r="AK141" s="16"/>
      <c r="AL141" s="1262"/>
      <c r="AM141" s="1262"/>
      <c r="AN141" s="1263"/>
      <c r="AO141" s="1264"/>
      <c r="AP141" s="1265"/>
      <c r="AQ141" s="1266"/>
      <c r="AR141" s="1266"/>
      <c r="AS141" s="16"/>
      <c r="AT141" s="1262"/>
      <c r="AU141" s="1262"/>
      <c r="AV141" s="1263"/>
      <c r="AW141" s="1264"/>
      <c r="AX141" s="1265"/>
      <c r="AY141" s="1266"/>
      <c r="AZ141" s="1266"/>
      <c r="BA141" s="16"/>
      <c r="BB141" s="1262"/>
      <c r="BC141" s="1262"/>
      <c r="BD141" s="1263"/>
      <c r="BE141" s="1264"/>
      <c r="BF141" s="1265"/>
      <c r="BG141" s="1266"/>
      <c r="BH141" s="1266"/>
      <c r="BI141" s="16"/>
      <c r="BJ141" s="1262"/>
      <c r="BK141" s="1262"/>
      <c r="BL141" s="1263"/>
      <c r="BM141" s="1264"/>
      <c r="BN141" s="1265"/>
      <c r="BO141" s="1266"/>
      <c r="BP141" s="1266"/>
      <c r="BQ141" s="16"/>
      <c r="BR141" s="1262"/>
      <c r="BS141" s="1262"/>
      <c r="BT141" s="1263"/>
      <c r="BU141" s="1264"/>
      <c r="BV141" s="1265"/>
      <c r="BW141" s="1266"/>
      <c r="BX141" s="1266"/>
      <c r="BY141" s="16"/>
      <c r="BZ141" s="1262"/>
      <c r="CA141" s="1262"/>
      <c r="CB141" s="1263"/>
      <c r="CC141" s="1264"/>
      <c r="CD141" s="1265"/>
      <c r="CE141" s="1266"/>
      <c r="CF141" s="1266"/>
      <c r="CG141" s="16"/>
      <c r="CH141" s="1262"/>
      <c r="CI141" s="1262"/>
      <c r="CJ141" s="1263"/>
      <c r="CK141" s="1264"/>
      <c r="CL141" s="1265"/>
      <c r="CM141" s="1266"/>
      <c r="CN141" s="1266"/>
      <c r="CO141" s="16"/>
      <c r="CP141" s="1265"/>
    </row>
    <row r="142" spans="1:151" s="130" customFormat="1" ht="30" customHeight="1" x14ac:dyDescent="0.2">
      <c r="J142" s="226"/>
      <c r="K142" s="226"/>
      <c r="O142" s="131"/>
      <c r="R142" s="7"/>
      <c r="S142" s="7"/>
      <c r="T142" s="7"/>
      <c r="U142" s="7"/>
      <c r="Y142" s="131"/>
      <c r="AB142" s="8"/>
      <c r="AC142" s="7"/>
      <c r="AG142" s="131"/>
      <c r="AJ142" s="8"/>
      <c r="AK142" s="7"/>
      <c r="AO142" s="131"/>
      <c r="AR142" s="8"/>
      <c r="AS142" s="7"/>
      <c r="AW142" s="131"/>
      <c r="AZ142" s="8"/>
      <c r="BA142" s="7"/>
      <c r="BE142" s="131"/>
      <c r="BH142" s="8"/>
      <c r="BI142" s="7"/>
      <c r="BM142" s="131"/>
      <c r="BP142" s="8"/>
      <c r="BQ142" s="7"/>
      <c r="BU142" s="131"/>
      <c r="BX142" s="8"/>
      <c r="BY142" s="7"/>
      <c r="CC142" s="131"/>
      <c r="CF142" s="8"/>
      <c r="CG142" s="7"/>
      <c r="CK142" s="131"/>
      <c r="CN142" s="8"/>
      <c r="CO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row>
    <row r="143" spans="1:151" s="8" customFormat="1" ht="5.0999999999999996" customHeight="1" x14ac:dyDescent="0.2">
      <c r="A143" s="10"/>
      <c r="B143" s="10"/>
      <c r="C143" s="2275"/>
      <c r="D143" s="10"/>
      <c r="E143" s="2276"/>
      <c r="F143" s="2277"/>
      <c r="G143" s="2277"/>
      <c r="H143" s="2277"/>
      <c r="I143" s="2275"/>
      <c r="J143" s="2275"/>
      <c r="K143" s="2275"/>
      <c r="L143" s="2277"/>
      <c r="M143" s="2277"/>
      <c r="N143" s="2277"/>
      <c r="O143" s="2300"/>
      <c r="P143" s="2277"/>
      <c r="Q143" s="17"/>
      <c r="R143" s="2275"/>
      <c r="S143" s="2275"/>
      <c r="T143" s="2275"/>
      <c r="V143" s="2277"/>
      <c r="W143" s="2277"/>
      <c r="X143" s="2275"/>
      <c r="Y143" s="2275"/>
      <c r="Z143" s="2275"/>
      <c r="AA143" s="2275"/>
      <c r="AB143" s="2278"/>
      <c r="AD143" s="2277"/>
      <c r="AE143" s="2277"/>
      <c r="AF143" s="2275"/>
      <c r="AG143" s="2275"/>
      <c r="AH143" s="2275"/>
      <c r="AI143" s="2275"/>
      <c r="AJ143" s="2278"/>
      <c r="AL143" s="2277"/>
      <c r="AM143" s="2277"/>
      <c r="AN143" s="2275"/>
      <c r="AO143" s="2275"/>
      <c r="AP143" s="2275"/>
      <c r="AQ143" s="2275"/>
      <c r="AR143" s="2278"/>
      <c r="AT143" s="2277"/>
      <c r="AU143" s="2277"/>
      <c r="AV143" s="2275"/>
      <c r="AW143" s="2275"/>
      <c r="AX143" s="2275"/>
      <c r="AY143" s="2275"/>
      <c r="AZ143" s="2278"/>
      <c r="BA143" s="7"/>
      <c r="BB143" s="2277"/>
      <c r="BC143" s="2277"/>
      <c r="BD143" s="2275"/>
      <c r="BE143" s="2275"/>
      <c r="BF143" s="2275"/>
      <c r="BG143" s="2275"/>
      <c r="BH143" s="2278"/>
      <c r="BJ143" s="2277"/>
      <c r="BK143" s="2277"/>
      <c r="BL143" s="2275"/>
      <c r="BM143" s="2275"/>
      <c r="BN143" s="2275"/>
      <c r="BO143" s="2275"/>
      <c r="BP143" s="2278"/>
      <c r="BR143" s="2277"/>
      <c r="BS143" s="2277"/>
      <c r="BT143" s="2275"/>
      <c r="BU143" s="2275"/>
      <c r="BV143" s="2275"/>
      <c r="BW143" s="2275"/>
      <c r="BX143" s="2278"/>
      <c r="BZ143" s="2277"/>
      <c r="CA143" s="2277"/>
      <c r="CB143" s="2275"/>
      <c r="CC143" s="2275"/>
      <c r="CD143" s="2275"/>
      <c r="CE143" s="2275"/>
      <c r="CF143" s="2278"/>
      <c r="CG143" s="7"/>
      <c r="CH143" s="2277"/>
      <c r="CI143" s="2277"/>
      <c r="CJ143" s="2275"/>
      <c r="CK143" s="2275"/>
      <c r="CL143" s="2275"/>
      <c r="CM143" s="2275"/>
      <c r="CN143" s="2278"/>
      <c r="CO143" s="7"/>
      <c r="CP143" s="2275"/>
      <c r="CQ143" s="7"/>
    </row>
    <row r="144" spans="1:151" s="8" customFormat="1" ht="3.75" customHeight="1" x14ac:dyDescent="0.2">
      <c r="A144" s="10"/>
      <c r="B144" s="10"/>
      <c r="C144" s="13"/>
      <c r="D144" s="10"/>
      <c r="E144" s="14"/>
      <c r="F144" s="15"/>
      <c r="G144" s="15"/>
      <c r="H144" s="15"/>
      <c r="I144" s="16"/>
      <c r="J144" s="16"/>
      <c r="K144" s="16"/>
      <c r="L144" s="17"/>
      <c r="M144" s="17"/>
      <c r="N144" s="15"/>
      <c r="O144" s="2007"/>
      <c r="P144" s="17"/>
      <c r="Q144" s="17"/>
      <c r="R144" s="16"/>
      <c r="S144" s="16"/>
      <c r="T144" s="16"/>
      <c r="V144" s="18"/>
      <c r="W144" s="18"/>
      <c r="X144" s="13"/>
      <c r="Y144" s="16"/>
      <c r="Z144" s="16"/>
      <c r="AA144" s="16"/>
      <c r="AB144" s="19"/>
      <c r="AD144" s="18"/>
      <c r="AE144" s="18"/>
      <c r="AF144" s="13"/>
      <c r="AG144" s="16"/>
      <c r="AH144" s="16"/>
      <c r="AI144" s="16"/>
      <c r="AJ144" s="19"/>
      <c r="AL144" s="18"/>
      <c r="AM144" s="18"/>
      <c r="AN144" s="13"/>
      <c r="AO144" s="16"/>
      <c r="AP144" s="16"/>
      <c r="AQ144" s="16"/>
      <c r="AR144" s="19"/>
      <c r="AT144" s="18"/>
      <c r="AU144" s="18"/>
      <c r="AV144" s="13"/>
      <c r="AW144" s="16"/>
      <c r="AX144" s="16"/>
      <c r="AY144" s="16"/>
      <c r="AZ144" s="19"/>
      <c r="BA144" s="7"/>
      <c r="BB144" s="18"/>
      <c r="BC144" s="18"/>
      <c r="BD144" s="13"/>
      <c r="BE144" s="16"/>
      <c r="BF144" s="16"/>
      <c r="BG144" s="16"/>
      <c r="BH144" s="19"/>
      <c r="BJ144" s="18"/>
      <c r="BK144" s="18"/>
      <c r="BL144" s="13"/>
      <c r="BM144" s="16"/>
      <c r="BN144" s="16"/>
      <c r="BO144" s="16"/>
      <c r="BP144" s="19"/>
      <c r="BR144" s="18"/>
      <c r="BS144" s="18"/>
      <c r="BT144" s="13"/>
      <c r="BU144" s="16"/>
      <c r="BV144" s="16"/>
      <c r="BW144" s="16"/>
      <c r="BX144" s="19"/>
      <c r="BZ144" s="18"/>
      <c r="CA144" s="18"/>
      <c r="CB144" s="13"/>
      <c r="CC144" s="16"/>
      <c r="CD144" s="16"/>
      <c r="CE144" s="16"/>
      <c r="CF144" s="19"/>
      <c r="CG144" s="7"/>
      <c r="CH144" s="18"/>
      <c r="CI144" s="18"/>
      <c r="CJ144" s="13"/>
      <c r="CK144" s="16"/>
      <c r="CL144" s="16"/>
      <c r="CM144" s="16"/>
      <c r="CN144" s="19"/>
      <c r="CO144" s="7"/>
      <c r="CP144" s="16"/>
      <c r="CQ144" s="7"/>
      <c r="DQ144" s="7"/>
    </row>
    <row r="145" spans="1:121" s="8" customFormat="1" ht="12" customHeight="1" x14ac:dyDescent="0.2">
      <c r="A145" s="10"/>
      <c r="B145" s="10"/>
      <c r="C145" s="2275"/>
      <c r="D145" s="10"/>
      <c r="E145" s="2276"/>
      <c r="F145" s="2277"/>
      <c r="G145" s="2277"/>
      <c r="H145" s="2277"/>
      <c r="I145" s="2275"/>
      <c r="J145" s="2275"/>
      <c r="K145" s="2275"/>
      <c r="L145" s="2277"/>
      <c r="M145" s="2277"/>
      <c r="N145" s="2277"/>
      <c r="O145" s="2300"/>
      <c r="P145" s="2277"/>
      <c r="Q145" s="17"/>
      <c r="R145" s="2275"/>
      <c r="S145" s="2275"/>
      <c r="T145" s="2275"/>
      <c r="V145" s="2277"/>
      <c r="W145" s="2277"/>
      <c r="X145" s="2275"/>
      <c r="Y145" s="2275"/>
      <c r="Z145" s="2275"/>
      <c r="AA145" s="2275"/>
      <c r="AB145" s="2278"/>
      <c r="AD145" s="2277"/>
      <c r="AE145" s="2277"/>
      <c r="AF145" s="2275"/>
      <c r="AG145" s="2275"/>
      <c r="AH145" s="2275"/>
      <c r="AI145" s="2275"/>
      <c r="AJ145" s="2278"/>
      <c r="AL145" s="2277"/>
      <c r="AM145" s="2277"/>
      <c r="AN145" s="2275"/>
      <c r="AO145" s="2275"/>
      <c r="AP145" s="2275"/>
      <c r="AQ145" s="2275"/>
      <c r="AR145" s="2278"/>
      <c r="AT145" s="2277"/>
      <c r="AU145" s="2277"/>
      <c r="AV145" s="2275"/>
      <c r="AW145" s="2275"/>
      <c r="AX145" s="2275"/>
      <c r="AY145" s="2275"/>
      <c r="AZ145" s="2278"/>
      <c r="BA145" s="7"/>
      <c r="BB145" s="2277"/>
      <c r="BC145" s="2277"/>
      <c r="BD145" s="2275"/>
      <c r="BE145" s="2275"/>
      <c r="BF145" s="2275"/>
      <c r="BG145" s="2275"/>
      <c r="BH145" s="2278"/>
      <c r="BJ145" s="2277"/>
      <c r="BK145" s="2277"/>
      <c r="BL145" s="2275"/>
      <c r="BM145" s="2275"/>
      <c r="BN145" s="2275"/>
      <c r="BO145" s="2275"/>
      <c r="BP145" s="2278"/>
      <c r="BR145" s="2277"/>
      <c r="BS145" s="2277"/>
      <c r="BT145" s="2275"/>
      <c r="BU145" s="2275"/>
      <c r="BV145" s="2275"/>
      <c r="BW145" s="2275"/>
      <c r="BX145" s="2278"/>
      <c r="BZ145" s="2277"/>
      <c r="CA145" s="2277"/>
      <c r="CB145" s="2275"/>
      <c r="CC145" s="2275"/>
      <c r="CD145" s="2275"/>
      <c r="CE145" s="2275"/>
      <c r="CF145" s="2278"/>
      <c r="CG145" s="7"/>
      <c r="CH145" s="2277"/>
      <c r="CI145" s="2277"/>
      <c r="CJ145" s="2275"/>
      <c r="CK145" s="2275"/>
      <c r="CL145" s="2275"/>
      <c r="CM145" s="2275"/>
      <c r="CN145" s="2278"/>
      <c r="CO145" s="7"/>
      <c r="CP145" s="2275"/>
      <c r="CQ145" s="7"/>
      <c r="DQ145" s="7"/>
    </row>
    <row r="146" spans="1:121" s="8" customFormat="1" ht="50.1" customHeight="1" x14ac:dyDescent="0.2">
      <c r="A146" s="20"/>
      <c r="B146" s="20"/>
      <c r="C146" s="13"/>
      <c r="D146" s="20"/>
      <c r="E146" s="14"/>
      <c r="F146" s="21"/>
      <c r="G146" s="21"/>
      <c r="H146" s="21"/>
      <c r="I146" s="16"/>
      <c r="J146" s="16"/>
      <c r="K146" s="16"/>
      <c r="L146" s="16"/>
      <c r="M146" s="16"/>
      <c r="N146" s="15"/>
      <c r="O146" s="215"/>
      <c r="P146" s="16"/>
      <c r="Q146" s="16"/>
      <c r="R146" s="7"/>
      <c r="S146" s="24"/>
      <c r="T146" s="7"/>
      <c r="V146" s="22"/>
      <c r="W146" s="22"/>
      <c r="X146" s="13"/>
      <c r="Y146" s="16"/>
      <c r="Z146" s="7"/>
      <c r="AA146" s="7"/>
      <c r="AB146" s="7"/>
      <c r="AD146" s="22"/>
      <c r="AE146" s="22"/>
      <c r="AF146" s="13"/>
      <c r="AG146" s="16"/>
      <c r="AH146" s="7"/>
      <c r="AI146" s="7"/>
      <c r="AJ146" s="7"/>
      <c r="AL146" s="22"/>
      <c r="AM146" s="22"/>
      <c r="AN146" s="13"/>
      <c r="AO146" s="16"/>
      <c r="AP146" s="7"/>
      <c r="AQ146" s="7"/>
      <c r="AR146" s="7"/>
      <c r="AT146" s="22"/>
      <c r="AU146" s="22"/>
      <c r="AV146" s="13"/>
      <c r="AW146" s="16"/>
      <c r="AX146" s="7"/>
      <c r="AY146" s="7"/>
      <c r="AZ146" s="7"/>
      <c r="BA146" s="7"/>
      <c r="BB146" s="22"/>
      <c r="BC146" s="22"/>
      <c r="BD146" s="13"/>
      <c r="BE146" s="16"/>
      <c r="BF146" s="7"/>
      <c r="BG146" s="7"/>
      <c r="BH146" s="7"/>
      <c r="BJ146" s="22"/>
      <c r="BK146" s="22"/>
      <c r="BL146" s="13"/>
      <c r="BM146" s="16"/>
      <c r="BN146" s="7"/>
      <c r="BO146" s="7"/>
      <c r="BP146" s="7"/>
      <c r="BR146" s="22"/>
      <c r="BS146" s="22"/>
      <c r="BT146" s="13"/>
      <c r="BU146" s="16"/>
      <c r="BV146" s="7"/>
      <c r="BW146" s="7"/>
      <c r="BX146" s="7"/>
      <c r="BZ146" s="22"/>
      <c r="CA146" s="22"/>
      <c r="CB146" s="13"/>
      <c r="CC146" s="16"/>
      <c r="CD146" s="7"/>
      <c r="CE146" s="7"/>
      <c r="CF146" s="7"/>
      <c r="CG146" s="7"/>
      <c r="CH146" s="22"/>
      <c r="CI146" s="22"/>
      <c r="CJ146" s="13"/>
      <c r="CK146" s="16"/>
      <c r="CL146" s="7"/>
      <c r="CM146" s="7"/>
      <c r="CN146" s="7"/>
      <c r="CO146" s="7"/>
      <c r="CP146" s="130"/>
      <c r="CQ146" s="7"/>
    </row>
  </sheetData>
  <mergeCells count="32">
    <mergeCell ref="CI26:CL26"/>
    <mergeCell ref="F30:O31"/>
    <mergeCell ref="AU26:AX26"/>
    <mergeCell ref="BC26:BF26"/>
    <mergeCell ref="BK26:BN26"/>
    <mergeCell ref="BS26:BV26"/>
    <mergeCell ref="CA26:CD26"/>
    <mergeCell ref="AM26:AP26"/>
    <mergeCell ref="AE26:AH26"/>
    <mergeCell ref="R26:T26"/>
    <mergeCell ref="W26:Z26"/>
    <mergeCell ref="F136:I136"/>
    <mergeCell ref="F138:I139"/>
    <mergeCell ref="F69:O70"/>
    <mergeCell ref="F94:O95"/>
    <mergeCell ref="F111:G112"/>
    <mergeCell ref="F124:G125"/>
    <mergeCell ref="C31:C34"/>
    <mergeCell ref="F101:O102"/>
    <mergeCell ref="F39:O40"/>
    <mergeCell ref="H23:O23"/>
    <mergeCell ref="F132:O133"/>
    <mergeCell ref="Q11:Q13"/>
    <mergeCell ref="I15:S16"/>
    <mergeCell ref="F84:O85"/>
    <mergeCell ref="F73:O74"/>
    <mergeCell ref="F48:O49"/>
    <mergeCell ref="F52:F53"/>
    <mergeCell ref="F61:O62"/>
    <mergeCell ref="H20:O20"/>
    <mergeCell ref="F11:O13"/>
    <mergeCell ref="F15:H16"/>
  </mergeCells>
  <conditionalFormatting sqref="Z140 Z138 Z34:Z36">
    <cfRule type="containsText" dxfId="2554" priority="11496" operator="containsText" text="✓">
      <formula>NOT(ISERROR(SEARCH("✓",Z34)))</formula>
    </cfRule>
  </conditionalFormatting>
  <conditionalFormatting sqref="Z43">
    <cfRule type="containsText" dxfId="2553" priority="575" operator="containsText" text="✓">
      <formula>NOT(ISERROR(SEARCH("✓",Z43)))</formula>
    </cfRule>
  </conditionalFormatting>
  <conditionalFormatting sqref="Z136 Z105 Z98 Z87 Z76 Z45">
    <cfRule type="containsText" dxfId="2552" priority="574" operator="containsText" text="✓">
      <formula>NOT(ISERROR(SEARCH("✓",Z45)))</formula>
    </cfRule>
  </conditionalFormatting>
  <conditionalFormatting sqref="AH34 AH140 AH138">
    <cfRule type="containsText" dxfId="2551" priority="11491" operator="containsText" text="✓">
      <formula>NOT(ISERROR(SEARCH("✓",AH34)))</formula>
    </cfRule>
  </conditionalFormatting>
  <conditionalFormatting sqref="AH43">
    <cfRule type="containsText" dxfId="2550" priority="572" operator="containsText" text="✓">
      <formula>NOT(ISERROR(SEARCH("✓",AH43)))</formula>
    </cfRule>
  </conditionalFormatting>
  <conditionalFormatting sqref="AH136 AH105 AH98 AH87 AH76 AH45">
    <cfRule type="containsText" dxfId="2549" priority="590" operator="containsText" text="✓">
      <formula>NOT(ISERROR(SEARCH("✓",AH45)))</formula>
    </cfRule>
  </conditionalFormatting>
  <conditionalFormatting sqref="AX136 AX105 AX98 AX87 AX76 AX45">
    <cfRule type="containsText" dxfId="2548" priority="565" operator="containsText" text="✓">
      <formula>NOT(ISERROR(SEARCH("✓",AX45)))</formula>
    </cfRule>
  </conditionalFormatting>
  <conditionalFormatting sqref="AP34 AP140 AP138">
    <cfRule type="containsText" dxfId="2547" priority="588" operator="containsText" text="✓">
      <formula>NOT(ISERROR(SEARCH("✓",AP34)))</formula>
    </cfRule>
  </conditionalFormatting>
  <conditionalFormatting sqref="AP43">
    <cfRule type="containsText" dxfId="2546" priority="569" operator="containsText" text="✓">
      <formula>NOT(ISERROR(SEARCH("✓",AP43)))</formula>
    </cfRule>
  </conditionalFormatting>
  <conditionalFormatting sqref="AP136 AP105 AP98 AP87 AP76 AP45">
    <cfRule type="containsText" dxfId="2545" priority="568" operator="containsText" text="✓">
      <formula>NOT(ISERROR(SEARCH("✓",AP45)))</formula>
    </cfRule>
  </conditionalFormatting>
  <conditionalFormatting sqref="AX34 AX140 AX138">
    <cfRule type="containsText" dxfId="2544" priority="586" operator="containsText" text="✓">
      <formula>NOT(ISERROR(SEARCH("✓",AX34)))</formula>
    </cfRule>
  </conditionalFormatting>
  <conditionalFormatting sqref="AX43">
    <cfRule type="containsText" dxfId="2543" priority="566" operator="containsText" text="✓">
      <formula>NOT(ISERROR(SEARCH("✓",AX43)))</formula>
    </cfRule>
  </conditionalFormatting>
  <conditionalFormatting sqref="BF34 BF140 BF138">
    <cfRule type="containsText" dxfId="2542" priority="584" operator="containsText" text="✓">
      <formula>NOT(ISERROR(SEARCH("✓",BF34)))</formula>
    </cfRule>
  </conditionalFormatting>
  <conditionalFormatting sqref="BF43">
    <cfRule type="containsText" dxfId="2541" priority="563" operator="containsText" text="✓">
      <formula>NOT(ISERROR(SEARCH("✓",BF43)))</formula>
    </cfRule>
  </conditionalFormatting>
  <conditionalFormatting sqref="BF136 BF105 BF98 BF87 BF76 BF45">
    <cfRule type="containsText" dxfId="2540" priority="562" operator="containsText" text="✓">
      <formula>NOT(ISERROR(SEARCH("✓",BF45)))</formula>
    </cfRule>
  </conditionalFormatting>
  <conditionalFormatting sqref="BN34 BN140 BN138">
    <cfRule type="containsText" dxfId="2539" priority="582" operator="containsText" text="✓">
      <formula>NOT(ISERROR(SEARCH("✓",BN34)))</formula>
    </cfRule>
  </conditionalFormatting>
  <conditionalFormatting sqref="BN43">
    <cfRule type="containsText" dxfId="2538" priority="560" operator="containsText" text="✓">
      <formula>NOT(ISERROR(SEARCH("✓",BN43)))</formula>
    </cfRule>
  </conditionalFormatting>
  <conditionalFormatting sqref="BN136 BN105 BN98 BN87 BN76 BN45">
    <cfRule type="containsText" dxfId="2537" priority="559" operator="containsText" text="✓">
      <formula>NOT(ISERROR(SEARCH("✓",BN45)))</formula>
    </cfRule>
  </conditionalFormatting>
  <conditionalFormatting sqref="CD136 CD105 CD98 CD87 CD76 CD45">
    <cfRule type="containsText" dxfId="2536" priority="553" operator="containsText" text="✓">
      <formula>NOT(ISERROR(SEARCH("✓",CD45)))</formula>
    </cfRule>
  </conditionalFormatting>
  <conditionalFormatting sqref="BV34 BV140 BV138">
    <cfRule type="containsText" dxfId="2535" priority="580" operator="containsText" text="✓">
      <formula>NOT(ISERROR(SEARCH("✓",BV34)))</formula>
    </cfRule>
  </conditionalFormatting>
  <conditionalFormatting sqref="BV43">
    <cfRule type="containsText" dxfId="2534" priority="557" operator="containsText" text="✓">
      <formula>NOT(ISERROR(SEARCH("✓",BV43)))</formula>
    </cfRule>
  </conditionalFormatting>
  <conditionalFormatting sqref="BV136 BV105 BV98 BV87 BV76 BV45">
    <cfRule type="containsText" dxfId="2533" priority="556" operator="containsText" text="✓">
      <formula>NOT(ISERROR(SEARCH("✓",BV45)))</formula>
    </cfRule>
  </conditionalFormatting>
  <conditionalFormatting sqref="CD34 CD140 CD138">
    <cfRule type="containsText" dxfId="2532" priority="578" operator="containsText" text="✓">
      <formula>NOT(ISERROR(SEARCH("✓",CD34)))</formula>
    </cfRule>
  </conditionalFormatting>
  <conditionalFormatting sqref="CD43">
    <cfRule type="containsText" dxfId="2531" priority="554" operator="containsText" text="✓">
      <formula>NOT(ISERROR(SEARCH("✓",CD43)))</formula>
    </cfRule>
  </conditionalFormatting>
  <conditionalFormatting sqref="CL136 CL105 CL98 CL87 CL76 CL45">
    <cfRule type="containsText" dxfId="2530" priority="550" operator="containsText" text="✓">
      <formula>NOT(ISERROR(SEARCH("✓",CL45)))</formula>
    </cfRule>
  </conditionalFormatting>
  <conditionalFormatting sqref="CL34 CL140 CL138">
    <cfRule type="containsText" dxfId="2529" priority="576" operator="containsText" text="✓">
      <formula>NOT(ISERROR(SEARCH("✓",CL34)))</formula>
    </cfRule>
  </conditionalFormatting>
  <conditionalFormatting sqref="CL43">
    <cfRule type="containsText" dxfId="2528" priority="551" operator="containsText" text="✓">
      <formula>NOT(ISERROR(SEARCH("✓",CL43)))</formula>
    </cfRule>
  </conditionalFormatting>
  <conditionalFormatting sqref="AH35:AH36">
    <cfRule type="containsText" dxfId="2527" priority="529" operator="containsText" text="✓">
      <formula>NOT(ISERROR(SEARCH("✓",AH35)))</formula>
    </cfRule>
  </conditionalFormatting>
  <conditionalFormatting sqref="CL88">
    <cfRule type="containsText" dxfId="2526" priority="512" operator="containsText" text="✓">
      <formula>NOT(ISERROR(SEARCH("✓",CL88)))</formula>
    </cfRule>
  </conditionalFormatting>
  <conditionalFormatting sqref="AP35:AP36">
    <cfRule type="containsText" dxfId="2525" priority="528" operator="containsText" text="✓">
      <formula>NOT(ISERROR(SEARCH("✓",AP35)))</formula>
    </cfRule>
  </conditionalFormatting>
  <conditionalFormatting sqref="AX35:AX36">
    <cfRule type="containsText" dxfId="2524" priority="527" operator="containsText" text="✓">
      <formula>NOT(ISERROR(SEARCH("✓",AX35)))</formula>
    </cfRule>
  </conditionalFormatting>
  <conditionalFormatting sqref="BF35:BF36">
    <cfRule type="containsText" dxfId="2523" priority="526" operator="containsText" text="✓">
      <formula>NOT(ISERROR(SEARCH("✓",BF35)))</formula>
    </cfRule>
  </conditionalFormatting>
  <conditionalFormatting sqref="BN35:BN36">
    <cfRule type="containsText" dxfId="2522" priority="525" operator="containsText" text="✓">
      <formula>NOT(ISERROR(SEARCH("✓",BN35)))</formula>
    </cfRule>
  </conditionalFormatting>
  <conditionalFormatting sqref="BV35:BV36">
    <cfRule type="containsText" dxfId="2521" priority="524" operator="containsText" text="✓">
      <formula>NOT(ISERROR(SEARCH("✓",BV35)))</formula>
    </cfRule>
  </conditionalFormatting>
  <conditionalFormatting sqref="CD35:CD36">
    <cfRule type="containsText" dxfId="2520" priority="523" operator="containsText" text="✓">
      <formula>NOT(ISERROR(SEARCH("✓",CD35)))</formula>
    </cfRule>
  </conditionalFormatting>
  <conditionalFormatting sqref="CL35:CL36">
    <cfRule type="containsText" dxfId="2519" priority="522" operator="containsText" text="✓">
      <formula>NOT(ISERROR(SEARCH("✓",CL35)))</formula>
    </cfRule>
  </conditionalFormatting>
  <conditionalFormatting sqref="Z88">
    <cfRule type="containsText" dxfId="2518" priority="573" operator="containsText" text="✓">
      <formula>NOT(ISERROR(SEARCH("✓",Z88)))</formula>
    </cfRule>
  </conditionalFormatting>
  <conditionalFormatting sqref="AH88">
    <cfRule type="containsText" dxfId="2517" priority="519" operator="containsText" text="✓">
      <formula>NOT(ISERROR(SEARCH("✓",AH88)))</formula>
    </cfRule>
  </conditionalFormatting>
  <conditionalFormatting sqref="AP88">
    <cfRule type="containsText" dxfId="2516" priority="518" operator="containsText" text="✓">
      <formula>NOT(ISERROR(SEARCH("✓",AP88)))</formula>
    </cfRule>
  </conditionalFormatting>
  <conditionalFormatting sqref="AX88">
    <cfRule type="containsText" dxfId="2515" priority="517" operator="containsText" text="✓">
      <formula>NOT(ISERROR(SEARCH("✓",AX88)))</formula>
    </cfRule>
  </conditionalFormatting>
  <conditionalFormatting sqref="BF88">
    <cfRule type="containsText" dxfId="2514" priority="516" operator="containsText" text="✓">
      <formula>NOT(ISERROR(SEARCH("✓",BF88)))</formula>
    </cfRule>
  </conditionalFormatting>
  <conditionalFormatting sqref="BN88">
    <cfRule type="containsText" dxfId="2513" priority="515" operator="containsText" text="✓">
      <formula>NOT(ISERROR(SEARCH("✓",BN88)))</formula>
    </cfRule>
  </conditionalFormatting>
  <conditionalFormatting sqref="BV88">
    <cfRule type="containsText" dxfId="2512" priority="514" operator="containsText" text="✓">
      <formula>NOT(ISERROR(SEARCH("✓",BV88)))</formula>
    </cfRule>
  </conditionalFormatting>
  <conditionalFormatting sqref="CD88">
    <cfRule type="containsText" dxfId="2511" priority="513" operator="containsText" text="✓">
      <formula>NOT(ISERROR(SEARCH("✓",CD88)))</formula>
    </cfRule>
  </conditionalFormatting>
  <conditionalFormatting sqref="Z120">
    <cfRule type="containsText" dxfId="2510" priority="521" operator="containsText" text="✓">
      <formula>NOT(ISERROR(SEARCH("✓",Z120)))</formula>
    </cfRule>
  </conditionalFormatting>
  <conditionalFormatting sqref="AH120">
    <cfRule type="containsText" dxfId="2509" priority="425" operator="containsText" text="✓">
      <formula>NOT(ISERROR(SEARCH("✓",AH120)))</formula>
    </cfRule>
  </conditionalFormatting>
  <conditionalFormatting sqref="AX120">
    <cfRule type="containsText" dxfId="2508" priority="423" operator="containsText" text="✓">
      <formula>NOT(ISERROR(SEARCH("✓",AX120)))</formula>
    </cfRule>
  </conditionalFormatting>
  <conditionalFormatting sqref="AP120">
    <cfRule type="containsText" dxfId="2507" priority="424" operator="containsText" text="✓">
      <formula>NOT(ISERROR(SEARCH("✓",AP120)))</formula>
    </cfRule>
  </conditionalFormatting>
  <conditionalFormatting sqref="BF120">
    <cfRule type="containsText" dxfId="2506" priority="422" operator="containsText" text="✓">
      <formula>NOT(ISERROR(SEARCH("✓",BF120)))</formula>
    </cfRule>
  </conditionalFormatting>
  <conditionalFormatting sqref="BN120">
    <cfRule type="containsText" dxfId="2505" priority="421" operator="containsText" text="✓">
      <formula>NOT(ISERROR(SEARCH("✓",BN120)))</formula>
    </cfRule>
  </conditionalFormatting>
  <conditionalFormatting sqref="CD120">
    <cfRule type="containsText" dxfId="2504" priority="419" operator="containsText" text="✓">
      <formula>NOT(ISERROR(SEARCH("✓",CD120)))</formula>
    </cfRule>
  </conditionalFormatting>
  <conditionalFormatting sqref="BV120">
    <cfRule type="containsText" dxfId="2503" priority="420" operator="containsText" text="✓">
      <formula>NOT(ISERROR(SEARCH("✓",BV120)))</formula>
    </cfRule>
  </conditionalFormatting>
  <conditionalFormatting sqref="CL120">
    <cfRule type="containsText" dxfId="2502" priority="418" operator="containsText" text="✓">
      <formula>NOT(ISERROR(SEARCH("✓",CL120)))</formula>
    </cfRule>
  </conditionalFormatting>
  <conditionalFormatting sqref="Z107">
    <cfRule type="containsText" dxfId="2501" priority="426" operator="containsText" text="✓">
      <formula>NOT(ISERROR(SEARCH("✓",Z107)))</formula>
    </cfRule>
  </conditionalFormatting>
  <conditionalFormatting sqref="AH107">
    <cfRule type="containsText" dxfId="2500" priority="414" operator="containsText" text="✓">
      <formula>NOT(ISERROR(SEARCH("✓",AH107)))</formula>
    </cfRule>
  </conditionalFormatting>
  <conditionalFormatting sqref="AX107">
    <cfRule type="containsText" dxfId="2499" priority="412" operator="containsText" text="✓">
      <formula>NOT(ISERROR(SEARCH("✓",AX107)))</formula>
    </cfRule>
  </conditionalFormatting>
  <conditionalFormatting sqref="AP107">
    <cfRule type="containsText" dxfId="2498" priority="413" operator="containsText" text="✓">
      <formula>NOT(ISERROR(SEARCH("✓",AP107)))</formula>
    </cfRule>
  </conditionalFormatting>
  <conditionalFormatting sqref="BF107">
    <cfRule type="containsText" dxfId="2497" priority="411" operator="containsText" text="✓">
      <formula>NOT(ISERROR(SEARCH("✓",BF107)))</formula>
    </cfRule>
  </conditionalFormatting>
  <conditionalFormatting sqref="BN107">
    <cfRule type="containsText" dxfId="2496" priority="410" operator="containsText" text="✓">
      <formula>NOT(ISERROR(SEARCH("✓",BN107)))</formula>
    </cfRule>
  </conditionalFormatting>
  <conditionalFormatting sqref="CD107">
    <cfRule type="containsText" dxfId="2495" priority="408" operator="containsText" text="✓">
      <formula>NOT(ISERROR(SEARCH("✓",CD107)))</formula>
    </cfRule>
  </conditionalFormatting>
  <conditionalFormatting sqref="BV107">
    <cfRule type="containsText" dxfId="2494" priority="409" operator="containsText" text="✓">
      <formula>NOT(ISERROR(SEARCH("✓",BV107)))</formula>
    </cfRule>
  </conditionalFormatting>
  <conditionalFormatting sqref="CL107">
    <cfRule type="containsText" dxfId="2493" priority="407" operator="containsText" text="✓">
      <formula>NOT(ISERROR(SEARCH("✓",CL107)))</formula>
    </cfRule>
  </conditionalFormatting>
  <conditionalFormatting sqref="Z89">
    <cfRule type="containsText" dxfId="2492" priority="415" operator="containsText" text="✓">
      <formula>NOT(ISERROR(SEARCH("✓",Z89)))</formula>
    </cfRule>
  </conditionalFormatting>
  <conditionalFormatting sqref="AH89">
    <cfRule type="containsText" dxfId="2491" priority="380" operator="containsText" text="✓">
      <formula>NOT(ISERROR(SEARCH("✓",AH89)))</formula>
    </cfRule>
  </conditionalFormatting>
  <conditionalFormatting sqref="AP89">
    <cfRule type="containsText" dxfId="2490" priority="379" operator="containsText" text="✓">
      <formula>NOT(ISERROR(SEARCH("✓",AP89)))</formula>
    </cfRule>
  </conditionalFormatting>
  <conditionalFormatting sqref="BV89">
    <cfRule type="containsText" dxfId="2489" priority="375" operator="containsText" text="✓">
      <formula>NOT(ISERROR(SEARCH("✓",BV89)))</formula>
    </cfRule>
  </conditionalFormatting>
  <conditionalFormatting sqref="AX89">
    <cfRule type="containsText" dxfId="2488" priority="378" operator="containsText" text="✓">
      <formula>NOT(ISERROR(SEARCH("✓",AX89)))</formula>
    </cfRule>
  </conditionalFormatting>
  <conditionalFormatting sqref="BF89">
    <cfRule type="containsText" dxfId="2487" priority="377" operator="containsText" text="✓">
      <formula>NOT(ISERROR(SEARCH("✓",BF89)))</formula>
    </cfRule>
  </conditionalFormatting>
  <conditionalFormatting sqref="BN89">
    <cfRule type="containsText" dxfId="2486" priority="376" operator="containsText" text="✓">
      <formula>NOT(ISERROR(SEARCH("✓",BN89)))</formula>
    </cfRule>
  </conditionalFormatting>
  <conditionalFormatting sqref="CD89">
    <cfRule type="containsText" dxfId="2485" priority="374" operator="containsText" text="✓">
      <formula>NOT(ISERROR(SEARCH("✓",CD89)))</formula>
    </cfRule>
  </conditionalFormatting>
  <conditionalFormatting sqref="CL89">
    <cfRule type="containsText" dxfId="2484" priority="373" operator="containsText" text="✓">
      <formula>NOT(ISERROR(SEARCH("✓",CL89)))</formula>
    </cfRule>
  </conditionalFormatting>
  <conditionalFormatting sqref="AH129">
    <cfRule type="containsText" dxfId="2483" priority="367" operator="containsText" text="✓">
      <formula>NOT(ISERROR(SEARCH("✓",AH129)))</formula>
    </cfRule>
  </conditionalFormatting>
  <conditionalFormatting sqref="Z127">
    <cfRule type="containsText" dxfId="2482" priority="381" operator="containsText" text="✓">
      <formula>NOT(ISERROR(SEARCH("✓",Z127)))</formula>
    </cfRule>
  </conditionalFormatting>
  <conditionalFormatting sqref="Z129">
    <cfRule type="containsText" dxfId="2481" priority="370" operator="containsText" text="✓">
      <formula>NOT(ISERROR(SEARCH("✓",Z129)))</formula>
    </cfRule>
  </conditionalFormatting>
  <conditionalFormatting sqref="AH127">
    <cfRule type="containsText" dxfId="2480" priority="368" operator="containsText" text="✓">
      <formula>NOT(ISERROR(SEARCH("✓",AH127)))</formula>
    </cfRule>
  </conditionalFormatting>
  <conditionalFormatting sqref="AP129">
    <cfRule type="containsText" dxfId="2479" priority="365" operator="containsText" text="✓">
      <formula>NOT(ISERROR(SEARCH("✓",AP129)))</formula>
    </cfRule>
  </conditionalFormatting>
  <conditionalFormatting sqref="AP127">
    <cfRule type="containsText" dxfId="2478" priority="366" operator="containsText" text="✓">
      <formula>NOT(ISERROR(SEARCH("✓",AP127)))</formula>
    </cfRule>
  </conditionalFormatting>
  <conditionalFormatting sqref="AX129">
    <cfRule type="containsText" dxfId="2477" priority="363" operator="containsText" text="✓">
      <formula>NOT(ISERROR(SEARCH("✓",AX129)))</formula>
    </cfRule>
  </conditionalFormatting>
  <conditionalFormatting sqref="AX127">
    <cfRule type="containsText" dxfId="2476" priority="364" operator="containsText" text="✓">
      <formula>NOT(ISERROR(SEARCH("✓",AX127)))</formula>
    </cfRule>
  </conditionalFormatting>
  <conditionalFormatting sqref="BF127">
    <cfRule type="containsText" dxfId="2475" priority="362" operator="containsText" text="✓">
      <formula>NOT(ISERROR(SEARCH("✓",BF127)))</formula>
    </cfRule>
  </conditionalFormatting>
  <conditionalFormatting sqref="BF129">
    <cfRule type="containsText" dxfId="2474" priority="361" operator="containsText" text="✓">
      <formula>NOT(ISERROR(SEARCH("✓",BF129)))</formula>
    </cfRule>
  </conditionalFormatting>
  <conditionalFormatting sqref="BN127">
    <cfRule type="containsText" dxfId="2473" priority="360" operator="containsText" text="✓">
      <formula>NOT(ISERROR(SEARCH("✓",BN127)))</formula>
    </cfRule>
  </conditionalFormatting>
  <conditionalFormatting sqref="BN129">
    <cfRule type="containsText" dxfId="2472" priority="359" operator="containsText" text="✓">
      <formula>NOT(ISERROR(SEARCH("✓",BN129)))</formula>
    </cfRule>
  </conditionalFormatting>
  <conditionalFormatting sqref="CD129">
    <cfRule type="containsText" dxfId="2471" priority="355" operator="containsText" text="✓">
      <formula>NOT(ISERROR(SEARCH("✓",CD129)))</formula>
    </cfRule>
  </conditionalFormatting>
  <conditionalFormatting sqref="BV127">
    <cfRule type="containsText" dxfId="2470" priority="358" operator="containsText" text="✓">
      <formula>NOT(ISERROR(SEARCH("✓",BV127)))</formula>
    </cfRule>
  </conditionalFormatting>
  <conditionalFormatting sqref="BV129">
    <cfRule type="containsText" dxfId="2469" priority="357" operator="containsText" text="✓">
      <formula>NOT(ISERROR(SEARCH("✓",BV129)))</formula>
    </cfRule>
  </conditionalFormatting>
  <conditionalFormatting sqref="CD127">
    <cfRule type="containsText" dxfId="2468" priority="356" operator="containsText" text="✓">
      <formula>NOT(ISERROR(SEARCH("✓",CD127)))</formula>
    </cfRule>
  </conditionalFormatting>
  <conditionalFormatting sqref="CL129">
    <cfRule type="containsText" dxfId="2467" priority="353" operator="containsText" text="✓">
      <formula>NOT(ISERROR(SEARCH("✓",CL129)))</formula>
    </cfRule>
  </conditionalFormatting>
  <conditionalFormatting sqref="CL127">
    <cfRule type="containsText" dxfId="2466" priority="354" operator="containsText" text="✓">
      <formula>NOT(ISERROR(SEARCH("✓",CL127)))</formula>
    </cfRule>
  </conditionalFormatting>
  <conditionalFormatting sqref="AH116">
    <cfRule type="containsText" dxfId="2465" priority="330" operator="containsText" text="✓">
      <formula>NOT(ISERROR(SEARCH("✓",AH116)))</formula>
    </cfRule>
  </conditionalFormatting>
  <conditionalFormatting sqref="Z114">
    <cfRule type="containsText" dxfId="2464" priority="369" operator="containsText" text="✓">
      <formula>NOT(ISERROR(SEARCH("✓",Z114)))</formula>
    </cfRule>
  </conditionalFormatting>
  <conditionalFormatting sqref="Z116">
    <cfRule type="containsText" dxfId="2463" priority="351" operator="containsText" text="✓">
      <formula>NOT(ISERROR(SEARCH("✓",Z116)))</formula>
    </cfRule>
  </conditionalFormatting>
  <conditionalFormatting sqref="AH114">
    <cfRule type="containsText" dxfId="2462" priority="331" operator="containsText" text="✓">
      <formula>NOT(ISERROR(SEARCH("✓",AH114)))</formula>
    </cfRule>
  </conditionalFormatting>
  <conditionalFormatting sqref="AP116">
    <cfRule type="containsText" dxfId="2461" priority="328" operator="containsText" text="✓">
      <formula>NOT(ISERROR(SEARCH("✓",AP116)))</formula>
    </cfRule>
  </conditionalFormatting>
  <conditionalFormatting sqref="AP114">
    <cfRule type="containsText" dxfId="2460" priority="329" operator="containsText" text="✓">
      <formula>NOT(ISERROR(SEARCH("✓",AP114)))</formula>
    </cfRule>
  </conditionalFormatting>
  <conditionalFormatting sqref="AX116">
    <cfRule type="containsText" dxfId="2459" priority="326" operator="containsText" text="✓">
      <formula>NOT(ISERROR(SEARCH("✓",AX116)))</formula>
    </cfRule>
  </conditionalFormatting>
  <conditionalFormatting sqref="AX114">
    <cfRule type="containsText" dxfId="2458" priority="327" operator="containsText" text="✓">
      <formula>NOT(ISERROR(SEARCH("✓",AX114)))</formula>
    </cfRule>
  </conditionalFormatting>
  <conditionalFormatting sqref="BF114">
    <cfRule type="containsText" dxfId="2457" priority="325" operator="containsText" text="✓">
      <formula>NOT(ISERROR(SEARCH("✓",BF114)))</formula>
    </cfRule>
  </conditionalFormatting>
  <conditionalFormatting sqref="BF116">
    <cfRule type="containsText" dxfId="2456" priority="324" operator="containsText" text="✓">
      <formula>NOT(ISERROR(SEARCH("✓",BF116)))</formula>
    </cfRule>
  </conditionalFormatting>
  <conditionalFormatting sqref="BN114">
    <cfRule type="containsText" dxfId="2455" priority="323" operator="containsText" text="✓">
      <formula>NOT(ISERROR(SEARCH("✓",BN114)))</formula>
    </cfRule>
  </conditionalFormatting>
  <conditionalFormatting sqref="BN116">
    <cfRule type="containsText" dxfId="2454" priority="322" operator="containsText" text="✓">
      <formula>NOT(ISERROR(SEARCH("✓",BN116)))</formula>
    </cfRule>
  </conditionalFormatting>
  <conditionalFormatting sqref="CD116">
    <cfRule type="containsText" dxfId="2453" priority="316" operator="containsText" text="✓">
      <formula>NOT(ISERROR(SEARCH("✓",CD116)))</formula>
    </cfRule>
  </conditionalFormatting>
  <conditionalFormatting sqref="BV114">
    <cfRule type="containsText" dxfId="2452" priority="321" operator="containsText" text="✓">
      <formula>NOT(ISERROR(SEARCH("✓",BV114)))</formula>
    </cfRule>
  </conditionalFormatting>
  <conditionalFormatting sqref="BV116">
    <cfRule type="containsText" dxfId="2451" priority="320" operator="containsText" text="✓">
      <formula>NOT(ISERROR(SEARCH("✓",BV116)))</formula>
    </cfRule>
  </conditionalFormatting>
  <conditionalFormatting sqref="CD114">
    <cfRule type="containsText" dxfId="2450" priority="317" operator="containsText" text="✓">
      <formula>NOT(ISERROR(SEARCH("✓",CD114)))</formula>
    </cfRule>
  </conditionalFormatting>
  <conditionalFormatting sqref="CL116">
    <cfRule type="containsText" dxfId="2449" priority="314" operator="containsText" text="✓">
      <formula>NOT(ISERROR(SEARCH("✓",CL116)))</formula>
    </cfRule>
  </conditionalFormatting>
  <conditionalFormatting sqref="CL114">
    <cfRule type="containsText" dxfId="2448" priority="315" operator="containsText" text="✓">
      <formula>NOT(ISERROR(SEARCH("✓",CL114)))</formula>
    </cfRule>
  </conditionalFormatting>
  <conditionalFormatting sqref="Z80">
    <cfRule type="containsText" dxfId="2447" priority="344" operator="containsText" text="✓">
      <formula>NOT(ISERROR(SEARCH("✓",Z80)))</formula>
    </cfRule>
  </conditionalFormatting>
  <conditionalFormatting sqref="AH80">
    <cfRule type="containsText" dxfId="2446" priority="263" operator="containsText" text="✓">
      <formula>NOT(ISERROR(SEARCH("✓",AH80)))</formula>
    </cfRule>
  </conditionalFormatting>
  <conditionalFormatting sqref="AX80">
    <cfRule type="containsText" dxfId="2445" priority="261" operator="containsText" text="✓">
      <formula>NOT(ISERROR(SEARCH("✓",AX80)))</formula>
    </cfRule>
  </conditionalFormatting>
  <conditionalFormatting sqref="AP80">
    <cfRule type="containsText" dxfId="2444" priority="262" operator="containsText" text="✓">
      <formula>NOT(ISERROR(SEARCH("✓",AP80)))</formula>
    </cfRule>
  </conditionalFormatting>
  <conditionalFormatting sqref="BF80">
    <cfRule type="containsText" dxfId="2443" priority="260" operator="containsText" text="✓">
      <formula>NOT(ISERROR(SEARCH("✓",BF80)))</formula>
    </cfRule>
  </conditionalFormatting>
  <conditionalFormatting sqref="BN80">
    <cfRule type="containsText" dxfId="2442" priority="259" operator="containsText" text="✓">
      <formula>NOT(ISERROR(SEARCH("✓",BN80)))</formula>
    </cfRule>
  </conditionalFormatting>
  <conditionalFormatting sqref="CD80">
    <cfRule type="containsText" dxfId="2441" priority="257" operator="containsText" text="✓">
      <formula>NOT(ISERROR(SEARCH("✓",CD80)))</formula>
    </cfRule>
  </conditionalFormatting>
  <conditionalFormatting sqref="BV80">
    <cfRule type="containsText" dxfId="2440" priority="258" operator="containsText" text="✓">
      <formula>NOT(ISERROR(SEARCH("✓",BV80)))</formula>
    </cfRule>
  </conditionalFormatting>
  <conditionalFormatting sqref="CL80">
    <cfRule type="containsText" dxfId="2439" priority="256" operator="containsText" text="✓">
      <formula>NOT(ISERROR(SEARCH("✓",CL80)))</formula>
    </cfRule>
  </conditionalFormatting>
  <conditionalFormatting sqref="CL82">
    <cfRule type="containsText" dxfId="2438" priority="225" operator="containsText" text="✓">
      <formula>NOT(ISERROR(SEARCH("✓",CL82)))</formula>
    </cfRule>
  </conditionalFormatting>
  <conditionalFormatting sqref="Z82">
    <cfRule type="containsText" dxfId="2437" priority="319" operator="containsText" text="✓">
      <formula>NOT(ISERROR(SEARCH("✓",Z82)))</formula>
    </cfRule>
  </conditionalFormatting>
  <conditionalFormatting sqref="AH82">
    <cfRule type="containsText" dxfId="2436" priority="232" operator="containsText" text="✓">
      <formula>NOT(ISERROR(SEARCH("✓",AH82)))</formula>
    </cfRule>
  </conditionalFormatting>
  <conditionalFormatting sqref="AP82">
    <cfRule type="containsText" dxfId="2435" priority="231" operator="containsText" text="✓">
      <formula>NOT(ISERROR(SEARCH("✓",AP82)))</formula>
    </cfRule>
  </conditionalFormatting>
  <conditionalFormatting sqref="AX82">
    <cfRule type="containsText" dxfId="2434" priority="230" operator="containsText" text="✓">
      <formula>NOT(ISERROR(SEARCH("✓",AX82)))</formula>
    </cfRule>
  </conditionalFormatting>
  <conditionalFormatting sqref="BF82">
    <cfRule type="containsText" dxfId="2433" priority="229" operator="containsText" text="✓">
      <formula>NOT(ISERROR(SEARCH("✓",BF82)))</formula>
    </cfRule>
  </conditionalFormatting>
  <conditionalFormatting sqref="BN82">
    <cfRule type="containsText" dxfId="2432" priority="228" operator="containsText" text="✓">
      <formula>NOT(ISERROR(SEARCH("✓",BN82)))</formula>
    </cfRule>
  </conditionalFormatting>
  <conditionalFormatting sqref="BV82">
    <cfRule type="containsText" dxfId="2431" priority="227" operator="containsText" text="✓">
      <formula>NOT(ISERROR(SEARCH("✓",BV82)))</formula>
    </cfRule>
  </conditionalFormatting>
  <conditionalFormatting sqref="CD82">
    <cfRule type="containsText" dxfId="2430" priority="226" operator="containsText" text="✓">
      <formula>NOT(ISERROR(SEARCH("✓",CD82)))</formula>
    </cfRule>
  </conditionalFormatting>
  <conditionalFormatting sqref="Z78">
    <cfRule type="containsText" dxfId="2429" priority="264" operator="containsText" text="✓">
      <formula>NOT(ISERROR(SEARCH("✓",Z78)))</formula>
    </cfRule>
  </conditionalFormatting>
  <conditionalFormatting sqref="AH78">
    <cfRule type="containsText" dxfId="2428" priority="204" operator="containsText" text="✓">
      <formula>NOT(ISERROR(SEARCH("✓",AH78)))</formula>
    </cfRule>
  </conditionalFormatting>
  <conditionalFormatting sqref="AX78">
    <cfRule type="containsText" dxfId="2427" priority="202" operator="containsText" text="✓">
      <formula>NOT(ISERROR(SEARCH("✓",AX78)))</formula>
    </cfRule>
  </conditionalFormatting>
  <conditionalFormatting sqref="AP78">
    <cfRule type="containsText" dxfId="2426" priority="203" operator="containsText" text="✓">
      <formula>NOT(ISERROR(SEARCH("✓",AP78)))</formula>
    </cfRule>
  </conditionalFormatting>
  <conditionalFormatting sqref="BF78">
    <cfRule type="containsText" dxfId="2425" priority="201" operator="containsText" text="✓">
      <formula>NOT(ISERROR(SEARCH("✓",BF78)))</formula>
    </cfRule>
  </conditionalFormatting>
  <conditionalFormatting sqref="BN78">
    <cfRule type="containsText" dxfId="2424" priority="200" operator="containsText" text="✓">
      <formula>NOT(ISERROR(SEARCH("✓",BN78)))</formula>
    </cfRule>
  </conditionalFormatting>
  <conditionalFormatting sqref="CD78">
    <cfRule type="containsText" dxfId="2423" priority="198" operator="containsText" text="✓">
      <formula>NOT(ISERROR(SEARCH("✓",CD78)))</formula>
    </cfRule>
  </conditionalFormatting>
  <conditionalFormatting sqref="BV78">
    <cfRule type="containsText" dxfId="2422" priority="199" operator="containsText" text="✓">
      <formula>NOT(ISERROR(SEARCH("✓",BV78)))</formula>
    </cfRule>
  </conditionalFormatting>
  <conditionalFormatting sqref="CL78">
    <cfRule type="containsText" dxfId="2421" priority="197" operator="containsText" text="✓">
      <formula>NOT(ISERROR(SEARCH("✓",CL78)))</formula>
    </cfRule>
  </conditionalFormatting>
  <conditionalFormatting sqref="CL90">
    <cfRule type="containsText" dxfId="2420" priority="80" operator="containsText" text="✓">
      <formula>NOT(ISERROR(SEARCH("✓",CL90)))</formula>
    </cfRule>
  </conditionalFormatting>
  <conditionalFormatting sqref="Z90">
    <cfRule type="containsText" dxfId="2419" priority="234" operator="containsText" text="✓">
      <formula>NOT(ISERROR(SEARCH("✓",Z90)))</formula>
    </cfRule>
  </conditionalFormatting>
  <conditionalFormatting sqref="AH90">
    <cfRule type="containsText" dxfId="2418" priority="87" operator="containsText" text="✓">
      <formula>NOT(ISERROR(SEARCH("✓",AH90)))</formula>
    </cfRule>
  </conditionalFormatting>
  <conditionalFormatting sqref="AP90">
    <cfRule type="containsText" dxfId="2417" priority="86" operator="containsText" text="✓">
      <formula>NOT(ISERROR(SEARCH("✓",AP90)))</formula>
    </cfRule>
  </conditionalFormatting>
  <conditionalFormatting sqref="AX90">
    <cfRule type="containsText" dxfId="2416" priority="85" operator="containsText" text="✓">
      <formula>NOT(ISERROR(SEARCH("✓",AX90)))</formula>
    </cfRule>
  </conditionalFormatting>
  <conditionalFormatting sqref="BF90">
    <cfRule type="containsText" dxfId="2415" priority="84" operator="containsText" text="✓">
      <formula>NOT(ISERROR(SEARCH("✓",BF90)))</formula>
    </cfRule>
  </conditionalFormatting>
  <conditionalFormatting sqref="BN90">
    <cfRule type="containsText" dxfId="2414" priority="83" operator="containsText" text="✓">
      <formula>NOT(ISERROR(SEARCH("✓",BN90)))</formula>
    </cfRule>
  </conditionalFormatting>
  <conditionalFormatting sqref="BV90">
    <cfRule type="containsText" dxfId="2413" priority="82" operator="containsText" text="✓">
      <formula>NOT(ISERROR(SEARCH("✓",BV90)))</formula>
    </cfRule>
  </conditionalFormatting>
  <conditionalFormatting sqref="CD90">
    <cfRule type="containsText" dxfId="2412" priority="81" operator="containsText" text="✓">
      <formula>NOT(ISERROR(SEARCH("✓",CD90)))</formula>
    </cfRule>
  </conditionalFormatting>
  <conditionalFormatting sqref="Z91">
    <cfRule type="containsText" dxfId="2411" priority="350" operator="containsText" text="✓">
      <formula>NOT(ISERROR(SEARCH("✓",Z91)))</formula>
    </cfRule>
  </conditionalFormatting>
  <conditionalFormatting sqref="AH91">
    <cfRule type="containsText" dxfId="2410" priority="79" operator="containsText" text="✓">
      <formula>NOT(ISERROR(SEARCH("✓",AH91)))</formula>
    </cfRule>
  </conditionalFormatting>
  <conditionalFormatting sqref="AP91">
    <cfRule type="containsText" dxfId="2409" priority="78" operator="containsText" text="✓">
      <formula>NOT(ISERROR(SEARCH("✓",AP91)))</formula>
    </cfRule>
  </conditionalFormatting>
  <conditionalFormatting sqref="BV91">
    <cfRule type="containsText" dxfId="2408" priority="74" operator="containsText" text="✓">
      <formula>NOT(ISERROR(SEARCH("✓",BV91)))</formula>
    </cfRule>
  </conditionalFormatting>
  <conditionalFormatting sqref="AX91">
    <cfRule type="containsText" dxfId="2407" priority="77" operator="containsText" text="✓">
      <formula>NOT(ISERROR(SEARCH("✓",AX91)))</formula>
    </cfRule>
  </conditionalFormatting>
  <conditionalFormatting sqref="BF91">
    <cfRule type="containsText" dxfId="2406" priority="76" operator="containsText" text="✓">
      <formula>NOT(ISERROR(SEARCH("✓",BF91)))</formula>
    </cfRule>
  </conditionalFormatting>
  <conditionalFormatting sqref="BN91">
    <cfRule type="containsText" dxfId="2405" priority="75" operator="containsText" text="✓">
      <formula>NOT(ISERROR(SEARCH("✓",BN91)))</formula>
    </cfRule>
  </conditionalFormatting>
  <conditionalFormatting sqref="CD91">
    <cfRule type="containsText" dxfId="2404" priority="73" operator="containsText" text="✓">
      <formula>NOT(ISERROR(SEARCH("✓",CD91)))</formula>
    </cfRule>
  </conditionalFormatting>
  <conditionalFormatting sqref="CL91">
    <cfRule type="containsText" dxfId="2403" priority="71" operator="containsText" text="✓">
      <formula>NOT(ISERROR(SEARCH("✓",CL91)))</formula>
    </cfRule>
  </conditionalFormatting>
  <conditionalFormatting sqref="Z55">
    <cfRule type="containsText" dxfId="2402" priority="205" operator="containsText" text="✓">
      <formula>NOT(ISERROR(SEARCH("✓",Z55)))</formula>
    </cfRule>
  </conditionalFormatting>
  <conditionalFormatting sqref="Z57">
    <cfRule type="containsText" dxfId="2401" priority="89" operator="containsText" text="✓">
      <formula>NOT(ISERROR(SEARCH("✓",Z57)))</formula>
    </cfRule>
  </conditionalFormatting>
  <conditionalFormatting sqref="AH55">
    <cfRule type="containsText" dxfId="2400" priority="48" operator="containsText" text="✓">
      <formula>NOT(ISERROR(SEARCH("✓",AH55)))</formula>
    </cfRule>
  </conditionalFormatting>
  <conditionalFormatting sqref="AH57">
    <cfRule type="containsText" dxfId="2399" priority="46" operator="containsText" text="✓">
      <formula>NOT(ISERROR(SEARCH("✓",AH57)))</formula>
    </cfRule>
  </conditionalFormatting>
  <conditionalFormatting sqref="AX57">
    <cfRule type="containsText" dxfId="2398" priority="51" operator="containsText" text="✓">
      <formula>NOT(ISERROR(SEARCH("✓",AX57)))</formula>
    </cfRule>
  </conditionalFormatting>
  <conditionalFormatting sqref="AP55">
    <cfRule type="containsText" dxfId="2397" priority="44" operator="containsText" text="✓">
      <formula>NOT(ISERROR(SEARCH("✓",AP55)))</formula>
    </cfRule>
  </conditionalFormatting>
  <conditionalFormatting sqref="AP57">
    <cfRule type="containsText" dxfId="2396" priority="45" operator="containsText" text="✓">
      <formula>NOT(ISERROR(SEARCH("✓",AP57)))</formula>
    </cfRule>
  </conditionalFormatting>
  <conditionalFormatting sqref="AX55">
    <cfRule type="containsText" dxfId="2395" priority="60" operator="containsText" text="✓">
      <formula>NOT(ISERROR(SEARCH("✓",AX55)))</formula>
    </cfRule>
  </conditionalFormatting>
  <conditionalFormatting sqref="BF55">
    <cfRule type="containsText" dxfId="2394" priority="42" operator="containsText" text="✓">
      <formula>NOT(ISERROR(SEARCH("✓",BF55)))</formula>
    </cfRule>
  </conditionalFormatting>
  <conditionalFormatting sqref="BF57">
    <cfRule type="containsText" dxfId="2393" priority="39" operator="containsText" text="✓">
      <formula>NOT(ISERROR(SEARCH("✓",BF57)))</formula>
    </cfRule>
  </conditionalFormatting>
  <conditionalFormatting sqref="BN55">
    <cfRule type="containsText" dxfId="2392" priority="68" operator="containsText" text="✓">
      <formula>NOT(ISERROR(SEARCH("✓",BN55)))</formula>
    </cfRule>
  </conditionalFormatting>
  <conditionalFormatting sqref="BN57">
    <cfRule type="containsText" dxfId="2391" priority="55" operator="containsText" text="✓">
      <formula>NOT(ISERROR(SEARCH("✓",BN57)))</formula>
    </cfRule>
  </conditionalFormatting>
  <conditionalFormatting sqref="CD57">
    <cfRule type="containsText" dxfId="2390" priority="40" operator="containsText" text="✓">
      <formula>NOT(ISERROR(SEARCH("✓",CD57)))</formula>
    </cfRule>
  </conditionalFormatting>
  <conditionalFormatting sqref="BV55">
    <cfRule type="containsText" dxfId="2389" priority="35" operator="containsText" text="✓">
      <formula>NOT(ISERROR(SEARCH("✓",BV55)))</formula>
    </cfRule>
  </conditionalFormatting>
  <conditionalFormatting sqref="BV57">
    <cfRule type="containsText" dxfId="2388" priority="33" operator="containsText" text="✓">
      <formula>NOT(ISERROR(SEARCH("✓",BV57)))</formula>
    </cfRule>
  </conditionalFormatting>
  <conditionalFormatting sqref="CD55">
    <cfRule type="containsText" dxfId="2387" priority="49" operator="containsText" text="✓">
      <formula>NOT(ISERROR(SEARCH("✓",CD55)))</formula>
    </cfRule>
  </conditionalFormatting>
  <conditionalFormatting sqref="CL57">
    <cfRule type="containsText" dxfId="2386" priority="20" operator="containsText" text="✓">
      <formula>NOT(ISERROR(SEARCH("✓",CL57)))</formula>
    </cfRule>
  </conditionalFormatting>
  <conditionalFormatting sqref="CL55">
    <cfRule type="containsText" dxfId="2385" priority="32" operator="containsText" text="✓">
      <formula>NOT(ISERROR(SEARCH("✓",CL55)))</formula>
    </cfRule>
  </conditionalFormatting>
  <conditionalFormatting sqref="Z64">
    <cfRule type="containsText" dxfId="2384" priority="72" operator="containsText" text="✓">
      <formula>NOT(ISERROR(SEARCH("✓",Z64)))</formula>
    </cfRule>
  </conditionalFormatting>
  <conditionalFormatting sqref="Z66">
    <cfRule type="containsText" dxfId="2383" priority="62" operator="containsText" text="✓">
      <formula>NOT(ISERROR(SEARCH("✓",Z66)))</formula>
    </cfRule>
  </conditionalFormatting>
  <conditionalFormatting sqref="AH64">
    <cfRule type="containsText" dxfId="2382" priority="34" operator="containsText" text="✓">
      <formula>NOT(ISERROR(SEARCH("✓",AH64)))</formula>
    </cfRule>
  </conditionalFormatting>
  <conditionalFormatting sqref="AH66">
    <cfRule type="containsText" dxfId="2381" priority="29" operator="containsText" text="✓">
      <formula>NOT(ISERROR(SEARCH("✓",AH66)))</formula>
    </cfRule>
  </conditionalFormatting>
  <conditionalFormatting sqref="AX66">
    <cfRule type="containsText" dxfId="2380" priority="43" operator="containsText" text="✓">
      <formula>NOT(ISERROR(SEARCH("✓",AX66)))</formula>
    </cfRule>
  </conditionalFormatting>
  <conditionalFormatting sqref="AP64">
    <cfRule type="containsText" dxfId="2379" priority="36" operator="containsText" text="✓">
      <formula>NOT(ISERROR(SEARCH("✓",AP64)))</formula>
    </cfRule>
  </conditionalFormatting>
  <conditionalFormatting sqref="AP66">
    <cfRule type="containsText" dxfId="2378" priority="31" operator="containsText" text="✓">
      <formula>NOT(ISERROR(SEARCH("✓",AP66)))</formula>
    </cfRule>
  </conditionalFormatting>
  <conditionalFormatting sqref="AX64">
    <cfRule type="containsText" dxfId="2377" priority="47" operator="containsText" text="✓">
      <formula>NOT(ISERROR(SEARCH("✓",AX64)))</formula>
    </cfRule>
  </conditionalFormatting>
  <conditionalFormatting sqref="BF64">
    <cfRule type="containsText" dxfId="2376" priority="28" operator="containsText" text="✓">
      <formula>NOT(ISERROR(SEARCH("✓",BF64)))</formula>
    </cfRule>
  </conditionalFormatting>
  <conditionalFormatting sqref="BF66">
    <cfRule type="containsText" dxfId="2375" priority="27" operator="containsText" text="✓">
      <formula>NOT(ISERROR(SEARCH("✓",BF66)))</formula>
    </cfRule>
  </conditionalFormatting>
  <conditionalFormatting sqref="BN64">
    <cfRule type="containsText" dxfId="2374" priority="53" operator="containsText" text="✓">
      <formula>NOT(ISERROR(SEARCH("✓",BN64)))</formula>
    </cfRule>
  </conditionalFormatting>
  <conditionalFormatting sqref="BN66">
    <cfRule type="containsText" dxfId="2373" priority="50" operator="containsText" text="✓">
      <formula>NOT(ISERROR(SEARCH("✓",BN66)))</formula>
    </cfRule>
  </conditionalFormatting>
  <conditionalFormatting sqref="CD66">
    <cfRule type="containsText" dxfId="2372" priority="52" operator="containsText" text="✓">
      <formula>NOT(ISERROR(SEARCH("✓",CD66)))</formula>
    </cfRule>
  </conditionalFormatting>
  <conditionalFormatting sqref="BV64">
    <cfRule type="containsText" dxfId="2371" priority="18" operator="containsText" text="✓">
      <formula>NOT(ISERROR(SEARCH("✓",BV64)))</formula>
    </cfRule>
  </conditionalFormatting>
  <conditionalFormatting sqref="BV66">
    <cfRule type="containsText" dxfId="2370" priority="17" operator="containsText" text="✓">
      <formula>NOT(ISERROR(SEARCH("✓",BV66)))</formula>
    </cfRule>
  </conditionalFormatting>
  <conditionalFormatting sqref="CD64">
    <cfRule type="containsText" dxfId="2369" priority="37" operator="containsText" text="✓">
      <formula>NOT(ISERROR(SEARCH("✓",CD64)))</formula>
    </cfRule>
  </conditionalFormatting>
  <conditionalFormatting sqref="CL66">
    <cfRule type="containsText" dxfId="2368" priority="58" operator="containsText" text="✓">
      <formula>NOT(ISERROR(SEARCH("✓",CL66)))</formula>
    </cfRule>
  </conditionalFormatting>
  <conditionalFormatting sqref="CL64">
    <cfRule type="containsText" dxfId="2367" priority="56" operator="containsText" text="✓">
      <formula>NOT(ISERROR(SEARCH("✓",CL64)))</formula>
    </cfRule>
  </conditionalFormatting>
  <dataValidations count="6">
    <dataValidation allowBlank="1" sqref="K105:P105 F105:I105 K45:P55 F45:I46 J92:J100 F44:P44 K43:P43 F43:I43 F106:P106 F33:P42 F120:I120 K120:P120 F126:G126 K107:P107 F107:I107 F121:P122 J130 K129:P130 F129:I130 F128:P128 K127:P127 F127:I127 F131:P140 F123:F124 F118:P119 F108:P109 J117 K116:P117 F116:I117 F115:P115 K114:P114 F114:I114 F113:G113 F110:F111 H110:P113 G110 H123:P126 G123 G83:O83 P83:P85 G72:O72 P72:P74 G75:P82 F75:F84 F86:I100 K86:P100 J86:J90 J46:J54 F59:P59 J58 K57:P58 F57:I58 F56:P56 F55:I55 F54 J67 K66:P67 F66:I67 F65:P65 K64:P64 F64:I64 F60:F61 P60:P63 G60:O60 F63:O63 F68:P68 F47:F52 G47:I54 G69:P71 F69:F73 F101:P104" xr:uid="{0172F0EA-E067-4911-8E44-A94031EE557E}"/>
    <dataValidation allowBlank="1" showErrorMessage="1" promptTitle="Foreslått kapasitet" prompt="Disse verdiene er estimater fra NFF" sqref="L28 N28" xr:uid="{3B180D48-E64F-4A75-A5D2-D80756CE66E6}"/>
    <dataValidation allowBlank="1" showInputMessage="1" showErrorMessage="1" promptTitle="Buer" prompt="Omfatter radielle bolter, braketter, armering" sqref="J105 J120 J107" xr:uid="{DA3BC414-A138-4130-9B62-000AC3465ABE}"/>
    <dataValidation allowBlank="1" showInputMessage="1" showErrorMessage="1" promptTitle="Bolter" prompt="Ikke bak stuff forutsatt «all» sikring på stuff" sqref="J45 J43 J129 J127 J116 J114 J57 J55 J66 J64" xr:uid="{8D9875BA-EDDF-4D84-B94C-CA8C0FAF3BC3}"/>
    <dataValidation allowBlank="1" showErrorMessage="1" sqref="R97:T99 R26:T37 R40:T40 R70:T70 R95:T95 R102:T102 R133:T133 R72:T92 K21:R24 R135:T137 R138:R140 T138:T140 S138 S140 R141:T141 T8:U15 P8:P14 R8:S14 Q14 R60:T67 D47:E49 K142:U146 R51:T58 D68:E71 D75:E82 K5:U5 A1:I1 K1:U1 A17:I18 A142:I146 R42:T46 I19 K19:R19 K14:O14 S19:U24 G5:I10 A5:E15 K8:O10 F5:F12 Q8:Q10 I21:I24 K17:U18 R49:T49 F14:I14 R119:T121 R104:T108 R123:T130 R110:T117 D86:E102 A19:H24 V1:XFD1048576" xr:uid="{5BF4C8FF-13F6-41C0-992D-9D2E08BCB1F7}"/>
    <dataValidation allowBlank="1" showInputMessage="1" showErrorMessage="1" promptTitle="Festebolter" prompt="Alle festebolter er ≤ 4 m" sqref="J91" xr:uid="{53C99212-F728-407E-9C05-8355B7F9C2A9}"/>
  </dataValidations>
  <hyperlinks>
    <hyperlink ref="F15:H16" location="INN_Stabil!A1" display="INN_Stabil!A1" xr:uid="{8DC7E85B-ADD2-4D25-884B-A743E1ED29EC}"/>
    <hyperlink ref="I15:S16" location="INN_Stabil!A1" display="INN_Stabil!A1" xr:uid="{08F65FFB-D764-4793-B773-7FFD5A021A6C}"/>
  </hyperlinks>
  <printOptions horizontalCentered="1" verticalCentered="1"/>
  <pageMargins left="0.23622047244094491" right="0.23622047244094491" top="0.74803149606299213" bottom="0.74803149606299213" header="0.31496062992125984" footer="0.31496062992125984"/>
  <pageSetup paperSize="8" scale="32" orientation="landscape" r:id="rId1"/>
  <extLst>
    <ext xmlns:x14="http://schemas.microsoft.com/office/spreadsheetml/2009/9/main" uri="{78C0D931-6437-407d-A8EE-F0AAD7539E65}">
      <x14:conditionalFormattings>
        <x14:conditionalFormatting xmlns:xm="http://schemas.microsoft.com/office/excel/2006/main">
          <x14:cfRule type="expression" priority="547" id="{ABB0FFE7-B00C-4D1B-BCC1-D680708D5E46}">
            <xm:f>_Calcs_Klasse!$AI$27&lt;&gt;1</xm:f>
            <x14:dxf>
              <font>
                <color theme="0" tint="-4.9989318521683403E-2"/>
              </font>
            </x14:dxf>
          </x14:cfRule>
          <xm:sqref>S34:S36 S43 S45 S76 S87 S98 S105 S136 S138 S129 S116 S57 S66</xm:sqref>
        </x14:conditionalFormatting>
        <x14:conditionalFormatting xmlns:xm="http://schemas.microsoft.com/office/excel/2006/main">
          <x14:cfRule type="expression" priority="520" id="{E4E22A6C-DA88-4E4B-810A-3A583609E1A6}">
            <xm:f>_Calcs_Klasse!$AI$27&lt;&gt;1</xm:f>
            <x14:dxf>
              <font>
                <color theme="0" tint="-4.9989318521683403E-2"/>
              </font>
            </x14:dxf>
          </x14:cfRule>
          <xm:sqref>S88</xm:sqref>
        </x14:conditionalFormatting>
        <x14:conditionalFormatting xmlns:xm="http://schemas.microsoft.com/office/excel/2006/main">
          <x14:cfRule type="expression" priority="417" id="{3BF94029-F11D-4DBC-861F-751650E14A60}">
            <xm:f>_Calcs_Klasse!$AI$27&lt;&gt;1</xm:f>
            <x14:dxf>
              <font>
                <color theme="0" tint="-4.9989318521683403E-2"/>
              </font>
            </x14:dxf>
          </x14:cfRule>
          <xm:sqref>S120</xm:sqref>
        </x14:conditionalFormatting>
        <x14:conditionalFormatting xmlns:xm="http://schemas.microsoft.com/office/excel/2006/main">
          <x14:cfRule type="expression" priority="406" id="{B8D61217-219F-40C1-BCE4-28C75EF71C87}">
            <xm:f>_Calcs_Klasse!$AI$27&lt;&gt;1</xm:f>
            <x14:dxf>
              <font>
                <color theme="0" tint="-4.9989318521683403E-2"/>
              </font>
            </x14:dxf>
          </x14:cfRule>
          <xm:sqref>S107</xm:sqref>
        </x14:conditionalFormatting>
        <x14:conditionalFormatting xmlns:xm="http://schemas.microsoft.com/office/excel/2006/main">
          <x14:cfRule type="expression" priority="372" id="{05FD5201-3DEA-48AD-8B1E-A1A643D1B651}">
            <xm:f>_Calcs_Klasse!$AI$27&lt;&gt;1</xm:f>
            <x14:dxf>
              <font>
                <color theme="0" tint="-4.9989318521683403E-2"/>
              </font>
            </x14:dxf>
          </x14:cfRule>
          <xm:sqref>S89</xm:sqref>
        </x14:conditionalFormatting>
        <x14:conditionalFormatting xmlns:xm="http://schemas.microsoft.com/office/excel/2006/main">
          <x14:cfRule type="expression" priority="352" id="{36C28F70-C53D-48A5-BCD7-1F9990E835EF}">
            <xm:f>_Calcs_Klasse!$AI$27&lt;&gt;1</xm:f>
            <x14:dxf>
              <font>
                <color theme="0" tint="-4.9989318521683403E-2"/>
              </font>
            </x14:dxf>
          </x14:cfRule>
          <xm:sqref>S127</xm:sqref>
        </x14:conditionalFormatting>
        <x14:conditionalFormatting xmlns:xm="http://schemas.microsoft.com/office/excel/2006/main">
          <x14:cfRule type="expression" priority="313" id="{818DB853-3C8D-4700-9A24-F5E790A9D343}">
            <xm:f>_Calcs_Klasse!$AI$27&lt;&gt;1</xm:f>
            <x14:dxf>
              <font>
                <color theme="0" tint="-4.9989318521683403E-2"/>
              </font>
            </x14:dxf>
          </x14:cfRule>
          <xm:sqref>S114</xm:sqref>
        </x14:conditionalFormatting>
        <x14:conditionalFormatting xmlns:xm="http://schemas.microsoft.com/office/excel/2006/main">
          <x14:cfRule type="expression" priority="296" id="{1D32CFFC-A8B8-44BB-9B9B-64E8FE71AB4D}">
            <xm:f>_Calcs_Klasse!$AI$27=2</xm:f>
            <x14:dxf>
              <font>
                <color rgb="FFDFE4E9"/>
              </font>
              <fill>
                <patternFill>
                  <bgColor rgb="FFDFE4E9"/>
                </patternFill>
              </fill>
              <border>
                <left/>
                <right/>
                <top/>
                <bottom/>
              </border>
            </x14:dxf>
          </x14:cfRule>
          <xm:sqref>E23:T24</xm:sqref>
        </x14:conditionalFormatting>
        <x14:conditionalFormatting xmlns:xm="http://schemas.microsoft.com/office/excel/2006/main">
          <x14:cfRule type="expression" priority="295" id="{3E454DEC-1EB7-4FD5-B8CB-E5721D25EAA6}">
            <xm:f>_Calcs_Klasse!$AI$27=2</xm:f>
            <x14:dxf>
              <fill>
                <patternFill>
                  <bgColor theme="0"/>
                </patternFill>
              </fill>
              <border>
                <left/>
                <right/>
                <vertical/>
                <horizontal/>
              </border>
            </x14:dxf>
          </x14:cfRule>
          <xm:sqref>E22:T22</xm:sqref>
        </x14:conditionalFormatting>
        <x14:conditionalFormatting xmlns:xm="http://schemas.microsoft.com/office/excel/2006/main">
          <x14:cfRule type="expression" priority="294" id="{22C3C7BE-7CA8-44BC-BA79-78DDB4FED6B1}">
            <xm:f>_Calcs_Klasse!$AI$27=2</xm:f>
            <x14:dxf>
              <fill>
                <patternFill>
                  <bgColor rgb="FFA5D0CF"/>
                </patternFill>
              </fill>
            </x14:dxf>
          </x14:cfRule>
          <xm:sqref>F16:H16 F15:I15</xm:sqref>
        </x14:conditionalFormatting>
        <x14:conditionalFormatting xmlns:xm="http://schemas.microsoft.com/office/excel/2006/main">
          <x14:cfRule type="expression" priority="292" id="{4A2BB5D4-3249-4700-95BD-8504754D20BD}">
            <xm:f>_Calcs_Klasse!$AI$27=2</xm:f>
            <x14:dxf>
              <font>
                <b/>
                <i val="0"/>
                <u val="double"/>
              </font>
              <border>
                <right/>
                <vertical/>
                <horizontal/>
              </border>
            </x14:dxf>
          </x14:cfRule>
          <xm:sqref>F15:H16</xm:sqref>
        </x14:conditionalFormatting>
        <x14:conditionalFormatting xmlns:xm="http://schemas.microsoft.com/office/excel/2006/main">
          <x14:cfRule type="expression" priority="291" id="{5DBFAD66-F7B4-46B5-9607-58B81B6704D0}">
            <xm:f>_Calcs_Klasse!$AI$27=1</xm:f>
            <x14:dxf>
              <border>
                <right/>
                <top/>
                <bottom/>
                <vertical/>
                <horizontal/>
              </border>
            </x14:dxf>
          </x14:cfRule>
          <xm:sqref>I15:S16</xm:sqref>
        </x14:conditionalFormatting>
        <x14:conditionalFormatting xmlns:xm="http://schemas.microsoft.com/office/excel/2006/main">
          <x14:cfRule type="expression" priority="290" id="{B5C92968-9B6B-429F-ADE6-2D7C12EF28DC}">
            <xm:f>_Calcs_Klasse!$AI$27=1</xm:f>
            <x14:dxf>
              <fill>
                <patternFill>
                  <bgColor rgb="FFDEDCB8"/>
                </patternFill>
              </fill>
            </x14:dxf>
          </x14:cfRule>
          <xm:sqref>F11:O13</xm:sqref>
        </x14:conditionalFormatting>
        <x14:conditionalFormatting xmlns:xm="http://schemas.microsoft.com/office/excel/2006/main">
          <x14:cfRule type="expression" priority="289" id="{46BCEB9F-2620-418B-B428-FC3FC62E25B2}">
            <xm:f>_Calcs_Klasse!$AI$27=1</xm:f>
            <x14:dxf>
              <border>
                <bottom/>
                <vertical/>
                <horizontal/>
              </border>
            </x14:dxf>
          </x14:cfRule>
          <xm:sqref>E21:T21</xm:sqref>
        </x14:conditionalFormatting>
        <x14:conditionalFormatting xmlns:xm="http://schemas.microsoft.com/office/excel/2006/main">
          <x14:cfRule type="expression" priority="346" id="{3874CEE6-C7CA-483F-B122-4CB258343962}">
            <xm:f>_Calcs_Klasse!$AI$27=2</xm:f>
            <x14:dxf>
              <font>
                <color theme="0" tint="-0.14996795556505021"/>
              </font>
              <fill>
                <patternFill>
                  <bgColor theme="0" tint="-0.14996795556505021"/>
                </patternFill>
              </fill>
            </x14:dxf>
          </x14:cfRule>
          <xm:sqref>X34 X36 AF34 AF36 AN34 AN36 AV34 AV36 BD34 BD36 BL34 BL36 BT34 CB34 CB36 CJ34 CJ36 BT36 CJ43 CJ45 CB43 CB45 BT43 BT45 BL43 BL45 BD43 BD45 AV43 AV45 AN43 AN45 AF43 X43 X45 AF45 X76 X87 X89 AF76 AF87 AF89 AN89 AN87 AN76 AV76 AV87 AV89 BD89 BD87 BD76 BL76 BL87 BL89 BT89 BT87 BT76 CB76 CB87 CB89 CJ89 CJ87 CJ76 CJ98 CB98 BT98 BL98 BD98 AV98 AN98 AF98 X98 CJ105 CJ107 CB105 CB107 BT105 BT107 BL105 BL107 BD105 BD107 AV105 AV107 AN105 AN107 AF105 AF107 X105 X107 X114 X116 AF114 AF116 AN114 AN116 AV114 AV116 BD114 BD116 BL114 BL116 BT114 BT116 CB114 CB116 CJ114 CJ116 X138 X136 X129 X127 X120 AF138 AF136 AF129 AF127 AF120 AN138 AN136 AN129 AN127 AN120 AV138 AV136 AV129 AV127 AV120 BD138 BD136 BD129 BD127 BD120 BL138 BL136 BL129 BL127 BL120 BT138 BT136 BT129 BT127 BT120 CB138 CB136 CB129 CB127 CB120 CJ138 CJ136 CJ129 CJ127 CJ120 AF80 AN80 AV80 BD80 BL80 BT80 CB80 CJ80 AF78 AN78 AV78 BD78 BL78 BT78 CB78 CJ78 AF91 AN91 AV91 BD91 BL91 BT91 CB91 CJ91 X57 AF55 AF57 AN55 AN57 AV55 AV57 BD55 BD57 BL55 BL57 BT55 BT57 CB55 CB57 CJ55 CJ57 X64 X66 AF64 AF66 AN64 AN66 AV64 AV66 BD64 BD66 BL64 BL66 BT64 BT66 CB64 CB66 CJ64 CJ66</xm:sqref>
        </x14:conditionalFormatting>
        <x14:conditionalFormatting xmlns:xm="http://schemas.microsoft.com/office/excel/2006/main">
          <x14:cfRule type="expression" priority="61" id="{47052AE2-56F7-46FB-BDF4-4B362BA4F215}">
            <xm:f>_Calcs_Klasse!$AI$27=2</xm:f>
            <x14:dxf>
              <font>
                <color theme="1"/>
              </font>
              <fill>
                <patternFill>
                  <bgColor theme="0" tint="-4.9989318521683403E-2"/>
                </patternFill>
              </fill>
            </x14:dxf>
          </x14:cfRule>
          <xm:sqref>CP33:CP37 CH37:CN37 CK36:CN36 CH36:CI36 CH35:CN35 CK34:CN34 CH34:CI34 CH33:CN33 BR37:BX37 BU36:BX36 BR36:BS36 BR35:BX35 BU34:BX34 BR34:BS34 BR33:BX33 BJ37:BP37 BM36:BP36 BJ36:BK36 BJ35:BP35 BM34:BP34 BJ34:BK34 BJ33:BP33 BB37:BH37 BE36:BH36 BB36:BC36 BB35:BH35 BE34:BH34 BB34:BC34 BB33:BH33 AT37:AZ37 AW36:AZ36 AT36:AU36 AT35:AZ35 AW34:AZ34 AT34:AU34 AT33:AZ33 AL37:AR37 AO36:AR36 AL36:AM36 AL35:AR35 AO34:AR34 AL34:AM34 AL33:AR33 AD37:AJ37 AG36:AJ36 AD36:AE36 AD35:AJ35 AG34:AJ34 AD34:AE34 AD33:AJ33 V37:AB37 Y36:AB36 V36:W36 V35:AB35 Y34:AB34 V34:W34 V33:AB33 CP42:CP46 CH46:CN46 CK45:CN45 CH45:CI45 CH44:CN44 CK43:CN43 CH43:CI43 CH42:CN42 BZ46:CF46 CC45:CF45 BZ45:CA45 BZ44:CF44 CC43:CF43 BZ43:CA43 BZ42:CF42 BR46:BX46 BU45:BX45 BR45:BS45 BR44:BX44 BU43:BX43 BR43:BS43 BR42:BX42 BJ46:BP46 BM45:BP45 BJ45:BK45 BJ44:BP44 BM43:BP43 BJ43:BK43 BJ42:BP42 BB46:BH46 BE45:BH45 BB45:BC45 BB44:BH44 BE43:BH43 BB43:BC43 BB42:BH42 AT46:AZ46 AW45:AZ45 AT45:AU45 AT44:AZ44 AW43:AZ43 AT43:AU43 AT42:AZ42 AL46:AR46 AO45:AR45 AL45:AM45 AL44:AR44 AO43:AR43 AL43:AM43 AL42:AR42 AD46:AJ46 AG45:AJ45 AD45:AE45 AD44:AJ44 AG43:AJ43 AD43:AE43 AD42:AJ42 V46:AB46 Y45:AB45 V45:W45 V44:AB44 Y43:AB43 V43:W43 V42:AB42 CH92:CN92 CK89:CN89 CH89:CI89 CH88:CN88 CK87:CN87 CH87:CI87 CK76:CN76 CH76:CI76 BZ92:CF92 CC89:CF89 BZ89:CA89 BZ88:CF88 CC87:CF87 BZ87:CA87 CC76:CF76 BZ76:CA76 BR92:BX92 BU89:BX89 BR89:BS89 BR88:BX88 BU87:BX87 BR87:BS87 BU76:BX76 BR76:BS76 BJ92:BP92 BM89:BP89 BJ89:BK89 BJ88:BP88 BM87:BP87 BJ87:BK87 BM76:BP76 BJ76:BK76 BB92:BH92 BE89:BH89 BB89:BC89 BB88:BH88 BE87:BH87 BB87:BC87 BE76:BH76 BB76:BC76 AT92:AZ92 AW89:AZ89 AT89:AU89 AT88:AZ88 AW87:AZ87 AT87:AU87 AW76:AZ76 AT76:AU76 AL92:AR92 AO89:AR89 AL89:AM89 AL88:AR88 AO87:AR87 AL87:AM87 AO76:AR76 AL76:AM76 AD92:AJ92 AG89:AJ89 AD89:AE89 AD88:AJ88 AG87:AJ87 AD87:AE87 AG76:AJ76 AD76:AE76 V92:AB92 Y89:AB89 V89:W89 V88:AB88 Y87:AB87 V87:W87 Y76:AB76 V76:W76 CP97:CP99 CH99:CN99 CK98:CN98 CH98:CI98 CH97:CN97 BZ99:CF99 CC98:CF98 BZ98:CA98 BZ97:CF97 BR99:BX99 BU98:BX98 BR98:BS98 BR97:BX97 BJ99:BP99 BM98:BP98 BJ98:BK98 BJ97:BP97 BB99:BH99 BE98:BH98 BB98:BC98 BB97:BH97 AT99:AZ99 AW98:AZ98 AT98:AU98 AT97:AZ97 AL99:AR99 AO98:AR98 AL98:AM98 AL97:AR97 AD99:AJ99 AG98:AJ98 AD98:AE98 AD97:AJ97 V99:AB99 Y98:AB98 V98:W98 V97:AB97 CP104:CP108 CH108:CN108 CK107:CN107 CH107:CI107 CH106:CN106 CK105:CN105 CH105:CI105 CH104:CN104 BZ108:CF108 CC107:CF107 BZ107:CA107 BZ106:CF106 CC105:CF105 BZ105:CA105 BZ104:CF104 BR108:BX108 BU107:BX107 BR107:BS107 BR106:BX106 BU105:BX105 BR105:BS105 BR104:BX104 BJ108:BP108 BM107:BP107 BJ107:BK107 BJ106:BP106 BM105:BP105 BJ105:BK105 BJ104:BP104 BB108:BH108 BE107:BH107 BB107:BC107 BB106:BH106 BE105:BH105 BB105:BC105 BB104:BH104 AT108:AZ108 AW107:AZ107 AT107:AU107 AT106:AZ106 AW105:AZ105 AT105:AU105 AT104:AZ104 AL108:AR108 AO107:AR107 AL107:AM107 AL106:AR106 AO105:AR105 AL105:AM105 AL104:AR104 AD108:AJ108 AG107:AJ107 AD107:AE107 AD106:AJ106 AG105:AJ105 AD105:AE105 AD104:AJ104 V108:AB108 Y107:AB107 V107:W107 V106:AB106 Y105:AB105 V105:W105 V104:AB104 CP110:CP111 CH110:CN111 BZ110:CF111 BR110:BX111 BJ110:BP111 BB110:BH111 AT110:AZ111 AL110:AR111 AD110:AJ111 V110:AB111 CP113:CP117 CH117:CN117 CK116:CN116 CH116:CI116 CH115:CN115 CK114:CN114 CH114:CI114 CH113:CN113 BZ117:CF117 CC116:CF116 BZ116:CA116 BZ115:CF115 CC114:CF114 BZ114:CA114 BZ113:CF113 BR117:BX117 BU116:BX116 BR116:BS116 BR115:BX115 BU114:BX114 BR114:BS114 BR113:BX113 BJ117:BP117 BM116:BP116 BJ116:BK116 BJ115:BP115 BM114:BP114 BJ114:BK114 BJ113:BP113 BB117:BH117 BE116:BH116 BB116:BC116 BB115:BH115 BE114:BH114 BB114:BC114 BB113:BH113 AT117:AZ117 AW116:AZ116 AT116:AU116 AT115:AZ115 AW114:AZ114 AT114:AU114 AT113:AZ113 AL117:AR117 AO116:AR116 AL116:AM116 AL115:AR115 AO114:AR114 AL114:AM114 AL113:AR113 AD117:AJ117 AG116:AJ116 AD116:AE116 AD115:AJ115 AG114:AJ114 AD114:AE114 AD113:AJ113 V117:AB117 Y116:AB116 V116:W116 V115:AB115 Y114:AB114 V114:W114 V113:AB113 CP119:CP121 CH121:CN121 CK120:CN120 CH120:CI120 CH119:CN119 BZ121:CF121 CC120:CF120 BZ120:CA120 BZ119:CF119 BR121:BX121 BU120:BX120 BR120:BS120 BR119:BX119 BJ121:BP121 BM120:BP120 BJ120:BK120 BJ119:BP119 BB121:BH121 BE120:BH120 BB120:BC120 BB119:BH119 AT121:AZ121 AW120:AZ120 AT120:AU120 AT119:AZ119 AL121:AR121 AO120:AR120 AL120:AM120 AL119:AR119 AD121:AJ121 AG120:AJ120 AD120:AE120 AD119:AJ119 V121:AB121 Y120:AB120 V120:W120 V119:AB119 CP123:CP124 CH123:CN124 BZ123:CF124 BR123:BX124 BJ123:BP124 CH81:CN81 CH86:CN86 BZ86:CF86 BR86:BX86 BJ86:BP86 BB86:BH86 AT86:AZ86 AL86:AR86 AD86:AJ86 V86:AB86 CP75:CP76 CH75:CN75 BZ75:CF75 BR75:BX75 BJ75:BP75 BB75:BH75 AT75:AZ75 AL75:AR75 AD75:AJ75 V75:AB75 AT123:AZ124 AL123:AR124 AD123:AJ124 V123:AB124 V130:AB130 Y129:AB129 V129:W129 V128:AB128 Y127:AB127 V127:W127 V126:AB126 AD130:AJ130 AG129:AJ129 AD129:AE129 AD128:AJ128 AG127:AJ127 AD127:AE127 AD126:AJ126 AL130:AR130 AO129:AR129 AL129:AM129 AL128:AR128 AO127:AR127 AL127:AM127 AL126:AR126 AT130:AZ130 AW129:AZ129 AT129:AU129 AT128:AZ128 AW127:AZ127 AT127:AU127 AT126:AZ126 BB130:BH130 BE129:BH129 BB129:BC129 BB128:BH128 BE127:BH127 BB127:BC127 BB126:BH126 BJ130:BP130 BM129:BP129 BJ129:BK129 BJ128:BP128 BM127:BP127 BJ127:BK127 BJ126:BP126 BR130:BX130 BU129:BX129 BR129:BS129 BR128:BX128 BU127:BX127 BR127:BS127 BR126:BX126 BZ130:CF130 CC129:CF129 BZ129:CA129 BZ128:CF128 CC127:CF127 BZ127:CA127 BZ126:CF126 CH130:CN130 CK129:CN129 CH129:CI129 CH128:CN128 CK127:CN127 CH127:CI127 CH126:CN126 CP126:CP130 CP135:CP139 CH139:CN139 CK138:CN138 CH138:CI138 CH137:CN137 CK136:CN136 CH136:CI136 CH135:CN135 BZ139:CF139 CC138:CF138 BZ138:CA138 BZ137:CF137 CC136:CF136 BZ136:CA136 BZ135:CF135 BR139:BX139 BU138:BX138 BR138:BS138 BR137:BX137 BU136:BX136 BR136:BS136 BR135:BX135 BJ139:BP139 BM138:BP138 BJ138:BK138 BJ137:BP137 BM136:BP136 BJ136:BK136 BJ135:BP135 BB139:BH139 BE138:BH138 BB138:BC138 BB137:BH137 BE136:BH136 BB136:BC136 BB135:BH135 AT139:AZ139 AW138:AZ138 AT138:AU138 AT137:AZ137 AW136:AZ136 AT136:AU136 AT135:AZ135 AL139:AR139 AO138:AR138 AL138:AM138 AL137:AR137 AO136:AR136 AL136:AM136</xm:sqref>
        </x14:conditionalFormatting>
        <x14:conditionalFormatting xmlns:xm="http://schemas.microsoft.com/office/excel/2006/main">
          <x14:cfRule type="expression" priority="100" id="{1CDFF75C-B4D0-4E96-B3B8-2BAF3FAFE46F}">
            <xm:f>_Calcs_Klasse!$AI$27=2</xm:f>
            <x14:dxf>
              <fill>
                <patternFill>
                  <bgColor theme="0" tint="-0.14996795556505021"/>
                </patternFill>
              </fill>
            </x14:dxf>
          </x14:cfRule>
          <xm:sqref>CP31 CH31:CN31 BZ31:CF31 BR31:BX31 BJ31:BP31 BB31:BH31 AT31:AZ31 AL31:AR31 AD31:AJ31 V31:AB31 CP40 CH40:CN40 BZ40:CF40 BR40:BX40 BJ40:BP40 BB40:BH40 AT40:AZ40 AL40:AR40 AD40:AJ40 V40:AB40 CP70 CH70:CN70 BZ70:CF70 BR70:BX70 BJ70:BP70 BB70:BH70 AT70:AZ70 AL70:AR70 AD70:AJ70 V70:AB70 CP95 CH95:CN95 BZ95:CF95 BR95:BX95 BJ95:BP95 BB95:BH95 AT95:AZ95 AL95:AR95 AD95:AJ95 V95:AB95 CP102 CH102:CN102 BZ102:CF102 BR102:BX102 BJ102:BP102 BB102:BH102 AT102:AZ102 AL102:AR102 AD102:AJ102 V102:AB102 CP133 CH133:CN133 BZ133:CF133 BR133:BX133 BJ133:BP133 BB133:BH133 AT133:AZ133 AL133:AR133 AD133:AJ133 V133:AB133 E30:P31 E39:P40 E69:P70 E94:P95 E101:P102 E132:P133 C81 C86:C89 C75:C76 C92:C141 CH49:CN49 BZ49:CF49 BR49:BX49 BJ49:BP49 BB49:BH49 AT49:AZ49 AL49:AR49 AD49:AJ49 V49:AB49 E48:P49 C30:C71</xm:sqref>
        </x14:conditionalFormatting>
        <x14:conditionalFormatting xmlns:xm="http://schemas.microsoft.com/office/excel/2006/main">
          <x14:cfRule type="expression" priority="284" id="{FD471827-4299-4804-A2F3-55E6B7E795AA}">
            <xm:f>_Calcs_Klasse!$AI$27=2</xm:f>
            <x14:dxf>
              <font>
                <color theme="0" tint="-4.9989318521683403E-2"/>
              </font>
              <fill>
                <patternFill>
                  <bgColor theme="0" tint="-4.9989318521683403E-2"/>
                </patternFill>
              </fill>
            </x14:dxf>
          </x14:cfRule>
          <xm:sqref>E33:P37 E42:P46 E97:P99 E104:P108 E110:P117 E119:P121 E123:P130 E135:P141 E81:P81 E86:P89 E75:P76 E92:P92 E91:I91 K91:P91 E60:P67</xm:sqref>
        </x14:conditionalFormatting>
        <x14:conditionalFormatting xmlns:xm="http://schemas.microsoft.com/office/excel/2006/main">
          <x14:cfRule type="expression" priority="59" id="{18BFC3D9-6125-4C54-A674-FC11F5B12468}">
            <xm:f>_Calcs_Klasse!$AI$27=2</xm:f>
            <x14:dxf>
              <fill>
                <patternFill>
                  <bgColor theme="0" tint="-4.9989318521683403E-2"/>
                </patternFill>
              </fill>
            </x14:dxf>
          </x14:cfRule>
          <xm:sqref>C26 E26:P26 CP26 CH26:CN26 BZ26:CF26 BR26:BX26 BJ26:BP26 BB26:BH26 AT26:AZ26 AL26:AR26 AD26:AJ26 V26:AB26</xm:sqref>
        </x14:conditionalFormatting>
        <x14:conditionalFormatting xmlns:xm="http://schemas.microsoft.com/office/excel/2006/main">
          <x14:cfRule type="expression" priority="349" id="{A09F84CB-C4B4-4EEA-98C5-1B1CC71A27F9}">
            <xm:f>_Calcs_Klasse!$AI$27=2</xm:f>
            <x14:dxf>
              <font>
                <color theme="6" tint="0.79998168889431442"/>
              </font>
            </x14:dxf>
          </x14:cfRule>
          <xm:sqref>CJ28 CB28 BT28 BL28 BD28 AV28 AN28 AF28 X28 S28 O28 L28 J28</xm:sqref>
        </x14:conditionalFormatting>
        <x14:conditionalFormatting xmlns:xm="http://schemas.microsoft.com/office/excel/2006/main">
          <x14:cfRule type="expression" priority="348" id="{FB6A5A16-DD22-4AA9-9ED5-6BCAB17850A5}">
            <xm:f>_Calcs_Klasse!$AI$27=2</xm:f>
            <x14:dxf>
              <font>
                <color theme="1"/>
              </font>
              <fill>
                <patternFill>
                  <bgColor theme="0" tint="-4.9989318521683403E-2"/>
                </patternFill>
              </fill>
            </x14:dxf>
          </x14:cfRule>
          <xm:sqref>BB123:BH124</xm:sqref>
        </x14:conditionalFormatting>
        <x14:conditionalFormatting xmlns:xm="http://schemas.microsoft.com/office/excel/2006/main">
          <x14:cfRule type="expression" priority="2" stopIfTrue="1" id="{83F7CA5B-887E-4E71-A064-E0646F566ADD}">
            <xm:f>_Calcs_Klasse!$AV$154&lt;2</xm:f>
            <x14:dxf>
              <font>
                <color theme="0"/>
              </font>
              <fill>
                <patternFill>
                  <bgColor theme="0"/>
                </patternFill>
              </fill>
              <border>
                <left/>
                <right/>
                <top/>
                <bottom/>
                <vertical/>
                <horizontal/>
              </border>
            </x14:dxf>
          </x14:cfRule>
          <xm:sqref>AE1:AL1048576</xm:sqref>
        </x14:conditionalFormatting>
        <x14:conditionalFormatting xmlns:xm="http://schemas.microsoft.com/office/excel/2006/main">
          <x14:cfRule type="expression" priority="21" id="{51D657AF-0B8E-49F2-A3CE-0D0FFFAAE7D4}">
            <xm:f>_Calcs_Klasse!$AV$154&lt;6</xm:f>
            <x14:dxf>
              <border>
                <left/>
                <right/>
                <top/>
                <bottom/>
                <vertical/>
                <horizontal/>
              </border>
            </x14:dxf>
          </x14:cfRule>
          <xm:sqref>BJ1:BJ1048576</xm:sqref>
        </x14:conditionalFormatting>
        <x14:conditionalFormatting xmlns:xm="http://schemas.microsoft.com/office/excel/2006/main">
          <x14:cfRule type="expression" priority="11498" id="{50360134-22D2-447B-94C4-40F4B676AB1A}">
            <xm:f>_Calcs_Klasse!$AV$154&lt;2</xm:f>
            <x14:dxf>
              <border>
                <left/>
                <right/>
                <top/>
                <bottom/>
                <vertical/>
                <horizontal/>
              </border>
            </x14:dxf>
          </x14:cfRule>
          <xm:sqref>AD1:AD46 AD81 AD86:AD89 AD75:AD76 AD69:AD71 AD92:AD1048576</xm:sqref>
        </x14:conditionalFormatting>
        <x14:conditionalFormatting xmlns:xm="http://schemas.microsoft.com/office/excel/2006/main">
          <x14:cfRule type="expression" priority="255" id="{A75C8D56-E337-48E5-9527-03DE21D6CE33}">
            <xm:f>_Calcs_Klasse!$AI$27&lt;&gt;1</xm:f>
            <x14:dxf>
              <font>
                <color theme="0" tint="-4.9989318521683403E-2"/>
              </font>
            </x14:dxf>
          </x14:cfRule>
          <xm:sqref>S80</xm:sqref>
        </x14:conditionalFormatting>
        <x14:conditionalFormatting xmlns:xm="http://schemas.microsoft.com/office/excel/2006/main">
          <x14:cfRule type="expression" priority="252" id="{2D7511B6-77E8-4583-8A4D-B2D9656E90AB}">
            <xm:f>_Calcs_Klasse!$AI$27=2</xm:f>
            <x14:dxf>
              <font>
                <color theme="0" tint="-0.14996795556505021"/>
              </font>
              <fill>
                <patternFill>
                  <bgColor theme="0" tint="-0.14996795556505021"/>
                </patternFill>
              </fill>
            </x14:dxf>
          </x14:cfRule>
          <xm:sqref>X80</xm:sqref>
        </x14:conditionalFormatting>
        <x14:conditionalFormatting xmlns:xm="http://schemas.microsoft.com/office/excel/2006/main">
          <x14:cfRule type="expression" priority="253" id="{9CF7A79E-4C89-4DC9-8BEB-2C6671EDCFDF}">
            <xm:f>_Calcs_Klasse!$AI$27=2</xm:f>
            <x14:dxf>
              <font>
                <color theme="1"/>
              </font>
              <fill>
                <patternFill>
                  <bgColor theme="0" tint="-4.9989318521683403E-2"/>
                </patternFill>
              </fill>
            </x14:dxf>
          </x14:cfRule>
          <xm:sqref>CP80</xm:sqref>
        </x14:conditionalFormatting>
        <x14:conditionalFormatting xmlns:xm="http://schemas.microsoft.com/office/excel/2006/main">
          <x14:cfRule type="expression" priority="254" id="{35D94F38-47EE-4200-BEBC-A125A2106396}">
            <xm:f>_Calcs_Klasse!$AI$27=2</xm:f>
            <x14:dxf>
              <fill>
                <patternFill>
                  <bgColor theme="0" tint="-0.14996795556505021"/>
                </patternFill>
              </fill>
            </x14:dxf>
          </x14:cfRule>
          <xm:sqref>C80</xm:sqref>
        </x14:conditionalFormatting>
        <x14:conditionalFormatting xmlns:xm="http://schemas.microsoft.com/office/excel/2006/main">
          <x14:cfRule type="expression" priority="251" id="{D2B938ED-72C4-410D-BF1C-3A3AF8EA6EA3}">
            <xm:f>_Calcs_Klasse!$AI$27=2</xm:f>
            <x14:dxf>
              <font>
                <color theme="0" tint="-4.9989318521683403E-2"/>
              </font>
              <fill>
                <patternFill>
                  <bgColor theme="0" tint="-4.9989318521683403E-2"/>
                </patternFill>
              </fill>
            </x14:dxf>
          </x14:cfRule>
          <xm:sqref>E80:P80</xm:sqref>
        </x14:conditionalFormatting>
        <x14:conditionalFormatting xmlns:xm="http://schemas.microsoft.com/office/excel/2006/main">
          <x14:cfRule type="expression" priority="273" id="{BB0D2B0D-04D0-4341-B576-0CC95A541B0C}">
            <xm:f>_Calcs_Klasse!$AV$154&lt;6</xm:f>
            <x14:dxf>
              <border>
                <left/>
                <right/>
                <top/>
                <bottom/>
                <vertical/>
                <horizontal/>
              </border>
            </x14:dxf>
          </x14:cfRule>
          <xm:sqref>BJ80</xm:sqref>
        </x14:conditionalFormatting>
        <x14:conditionalFormatting xmlns:xm="http://schemas.microsoft.com/office/excel/2006/main">
          <x14:cfRule type="expression" priority="280" id="{B2ADE1A8-9EFA-4EDB-8EB7-AD9FA84D5BDC}">
            <xm:f>_Calcs_Klasse!$AV$154&lt;2</xm:f>
            <x14:dxf>
              <border>
                <left/>
                <right/>
                <top/>
                <bottom/>
                <vertical/>
                <horizontal/>
              </border>
            </x14:dxf>
          </x14:cfRule>
          <xm:sqref>AD80</xm:sqref>
        </x14:conditionalFormatting>
        <x14:conditionalFormatting xmlns:xm="http://schemas.microsoft.com/office/excel/2006/main">
          <x14:cfRule type="expression" priority="233" id="{06CE81E9-0589-4A67-BF36-241972C44B56}">
            <xm:f>_Calcs_Klasse!$AI$27&lt;&gt;1</xm:f>
            <x14:dxf>
              <font>
                <color theme="0" tint="-4.9989318521683403E-2"/>
              </font>
            </x14:dxf>
          </x14:cfRule>
          <xm:sqref>S82</xm:sqref>
        </x14:conditionalFormatting>
        <x14:conditionalFormatting xmlns:xm="http://schemas.microsoft.com/office/excel/2006/main">
          <x14:cfRule type="expression" priority="223" id="{A20D8035-F64D-481C-85B9-E2494E4B3EE1}">
            <xm:f>_Calcs_Klasse!$AI$27=2</xm:f>
            <x14:dxf>
              <font>
                <color theme="1"/>
              </font>
              <fill>
                <patternFill>
                  <bgColor theme="0" tint="-4.9989318521683403E-2"/>
                </patternFill>
              </fill>
            </x14:dxf>
          </x14:cfRule>
          <xm:sqref>CH82:CN82</xm:sqref>
        </x14:conditionalFormatting>
        <x14:conditionalFormatting xmlns:xm="http://schemas.microsoft.com/office/excel/2006/main">
          <x14:cfRule type="expression" priority="224" id="{CD13B9A8-256A-44D8-91B9-616FDE3192B5}">
            <xm:f>_Calcs_Klasse!$AI$27=2</xm:f>
            <x14:dxf>
              <fill>
                <patternFill>
                  <bgColor theme="0" tint="-0.14996795556505021"/>
                </patternFill>
              </fill>
            </x14:dxf>
          </x14:cfRule>
          <xm:sqref>C82</xm:sqref>
        </x14:conditionalFormatting>
        <x14:conditionalFormatting xmlns:xm="http://schemas.microsoft.com/office/excel/2006/main">
          <x14:cfRule type="expression" priority="222" id="{EE6A46D0-D07F-4643-9941-25FA83CFF87A}">
            <xm:f>_Calcs_Klasse!$AI$27=2</xm:f>
            <x14:dxf>
              <font>
                <color theme="0" tint="-4.9989318521683403E-2"/>
              </font>
              <fill>
                <patternFill>
                  <bgColor theme="0" tint="-4.9989318521683403E-2"/>
                </patternFill>
              </fill>
            </x14:dxf>
          </x14:cfRule>
          <xm:sqref>E82:P82</xm:sqref>
        </x14:conditionalFormatting>
        <x14:conditionalFormatting xmlns:xm="http://schemas.microsoft.com/office/excel/2006/main">
          <x14:cfRule type="expression" priority="243" id="{F16FE67E-5B12-4473-BA4B-CA4C79191B69}">
            <xm:f>_Calcs_Klasse!$AV$154&lt;6</xm:f>
            <x14:dxf>
              <border>
                <left/>
                <right/>
                <top/>
                <bottom/>
                <vertical/>
                <horizontal/>
              </border>
            </x14:dxf>
          </x14:cfRule>
          <xm:sqref>BJ82</xm:sqref>
        </x14:conditionalFormatting>
        <x14:conditionalFormatting xmlns:xm="http://schemas.microsoft.com/office/excel/2006/main">
          <x14:cfRule type="expression" priority="250" id="{F2C44721-D67B-469B-9A79-D4E0BDF47ECE}">
            <xm:f>_Calcs_Klasse!$AV$154&lt;2</xm:f>
            <x14:dxf>
              <border>
                <left/>
                <right/>
                <top/>
                <bottom/>
                <vertical/>
                <horizontal/>
              </border>
            </x14:dxf>
          </x14:cfRule>
          <xm:sqref>AD82</xm:sqref>
        </x14:conditionalFormatting>
        <x14:conditionalFormatting xmlns:xm="http://schemas.microsoft.com/office/excel/2006/main">
          <x14:cfRule type="expression" priority="196" id="{EA60F2B1-50FF-4F8F-A60F-6B97C7FAC0EE}">
            <xm:f>_Calcs_Klasse!$AI$27&lt;&gt;1</xm:f>
            <x14:dxf>
              <font>
                <color theme="0" tint="-4.9989318521683403E-2"/>
              </font>
            </x14:dxf>
          </x14:cfRule>
          <xm:sqref>S78</xm:sqref>
        </x14:conditionalFormatting>
        <x14:conditionalFormatting xmlns:xm="http://schemas.microsoft.com/office/excel/2006/main">
          <x14:cfRule type="expression" priority="193" id="{8D606923-DB51-424F-BF37-C81FFEB3C8D6}">
            <xm:f>_Calcs_Klasse!$AI$27=2</xm:f>
            <x14:dxf>
              <font>
                <color theme="0" tint="-0.14996795556505021"/>
              </font>
              <fill>
                <patternFill>
                  <bgColor theme="0" tint="-0.14996795556505021"/>
                </patternFill>
              </fill>
            </x14:dxf>
          </x14:cfRule>
          <xm:sqref>X78</xm:sqref>
        </x14:conditionalFormatting>
        <x14:conditionalFormatting xmlns:xm="http://schemas.microsoft.com/office/excel/2006/main">
          <x14:cfRule type="expression" priority="194" id="{25BABC9D-93E5-4FEC-8A70-710E9C0988C1}">
            <xm:f>_Calcs_Klasse!$AI$27=2</xm:f>
            <x14:dxf>
              <font>
                <color theme="1"/>
              </font>
              <fill>
                <patternFill>
                  <bgColor theme="0" tint="-4.9989318521683403E-2"/>
                </patternFill>
              </fill>
            </x14:dxf>
          </x14:cfRule>
          <xm:sqref>CP77:CP79</xm:sqref>
        </x14:conditionalFormatting>
        <x14:conditionalFormatting xmlns:xm="http://schemas.microsoft.com/office/excel/2006/main">
          <x14:cfRule type="expression" priority="195" id="{C27EE40D-EB25-4E2F-9153-578BF784E734}">
            <xm:f>_Calcs_Klasse!$AI$27=2</xm:f>
            <x14:dxf>
              <fill>
                <patternFill>
                  <bgColor theme="0" tint="-0.14996795556505021"/>
                </patternFill>
              </fill>
            </x14:dxf>
          </x14:cfRule>
          <xm:sqref>C77:C79</xm:sqref>
        </x14:conditionalFormatting>
        <x14:conditionalFormatting xmlns:xm="http://schemas.microsoft.com/office/excel/2006/main">
          <x14:cfRule type="expression" priority="192" id="{D66D5FCB-9375-44AE-9EE1-66E30A30719C}">
            <xm:f>_Calcs_Klasse!$AI$27=2</xm:f>
            <x14:dxf>
              <font>
                <color theme="0" tint="-4.9989318521683403E-2"/>
              </font>
              <fill>
                <patternFill>
                  <bgColor theme="0" tint="-4.9989318521683403E-2"/>
                </patternFill>
              </fill>
            </x14:dxf>
          </x14:cfRule>
          <xm:sqref>E77:P79</xm:sqref>
        </x14:conditionalFormatting>
        <x14:conditionalFormatting xmlns:xm="http://schemas.microsoft.com/office/excel/2006/main">
          <x14:cfRule type="expression" priority="214" id="{F90F1735-0AF6-4B9D-8BE1-9473367FE9BF}">
            <xm:f>_Calcs_Klasse!$AV$154&lt;6</xm:f>
            <x14:dxf>
              <border>
                <left/>
                <right/>
                <top/>
                <bottom/>
                <vertical/>
                <horizontal/>
              </border>
            </x14:dxf>
          </x14:cfRule>
          <xm:sqref>BJ77:BJ79</xm:sqref>
        </x14:conditionalFormatting>
        <x14:conditionalFormatting xmlns:xm="http://schemas.microsoft.com/office/excel/2006/main">
          <x14:cfRule type="expression" priority="221" id="{D67B8F32-6CD5-4D9D-B0F0-0AADACA12051}">
            <xm:f>_Calcs_Klasse!$AV$154&lt;2</xm:f>
            <x14:dxf>
              <border>
                <left/>
                <right/>
                <top/>
                <bottom/>
                <vertical/>
                <horizontal/>
              </border>
            </x14:dxf>
          </x14:cfRule>
          <xm:sqref>AD77:AD79</xm:sqref>
        </x14:conditionalFormatting>
        <x14:conditionalFormatting xmlns:xm="http://schemas.microsoft.com/office/excel/2006/main">
          <x14:cfRule type="expression" priority="155" id="{306F8814-91C8-4A3E-AA4B-B182D015783F}">
            <xm:f>_Calcs_Klasse!$AI$27=2</xm:f>
            <x14:dxf>
              <font>
                <color theme="1"/>
              </font>
              <fill>
                <patternFill>
                  <bgColor theme="0" tint="-4.9989318521683403E-2"/>
                </patternFill>
              </fill>
            </x14:dxf>
          </x14:cfRule>
          <xm:sqref>CP83:CP84</xm:sqref>
        </x14:conditionalFormatting>
        <x14:conditionalFormatting xmlns:xm="http://schemas.microsoft.com/office/excel/2006/main">
          <x14:cfRule type="expression" priority="156" id="{FB7D084B-A958-45CE-9608-247872AA6204}">
            <xm:f>_Calcs_Klasse!$AI$27=2</xm:f>
            <x14:dxf>
              <fill>
                <patternFill>
                  <bgColor theme="0" tint="-0.14996795556505021"/>
                </patternFill>
              </fill>
            </x14:dxf>
          </x14:cfRule>
          <xm:sqref>C83:C85</xm:sqref>
        </x14:conditionalFormatting>
        <x14:conditionalFormatting xmlns:xm="http://schemas.microsoft.com/office/excel/2006/main">
          <x14:cfRule type="expression" priority="154" id="{E585F437-3A7F-4BCE-8C7F-29677548EDB7}">
            <xm:f>_Calcs_Klasse!$AI$27=2</xm:f>
            <x14:dxf>
              <font>
                <color theme="0" tint="-4.9989318521683403E-2"/>
              </font>
              <fill>
                <patternFill>
                  <bgColor theme="0" tint="-4.9989318521683403E-2"/>
                </patternFill>
              </fill>
            </x14:dxf>
          </x14:cfRule>
          <xm:sqref>E83:P85</xm:sqref>
        </x14:conditionalFormatting>
        <x14:conditionalFormatting xmlns:xm="http://schemas.microsoft.com/office/excel/2006/main">
          <x14:cfRule type="expression" priority="165" id="{82D4E479-F9CA-4BE3-A7C8-F6CE1D5DAF7A}">
            <xm:f>_Calcs_Klasse!$AV$154&lt;6</xm:f>
            <x14:dxf>
              <border>
                <left/>
                <right/>
                <top/>
                <bottom/>
                <vertical/>
                <horizontal/>
              </border>
            </x14:dxf>
          </x14:cfRule>
          <xm:sqref>BJ83:BJ85</xm:sqref>
        </x14:conditionalFormatting>
        <x14:conditionalFormatting xmlns:xm="http://schemas.microsoft.com/office/excel/2006/main">
          <x14:cfRule type="expression" priority="172" id="{573B3A0B-02A4-4878-8CD2-905A08A7EDAB}">
            <xm:f>_Calcs_Klasse!$AV$154&lt;2</xm:f>
            <x14:dxf>
              <border>
                <left/>
                <right/>
                <top/>
                <bottom/>
                <vertical/>
                <horizontal/>
              </border>
            </x14:dxf>
          </x14:cfRule>
          <xm:sqref>AD83:AD85</xm:sqref>
        </x14:conditionalFormatting>
        <x14:conditionalFormatting xmlns:xm="http://schemas.microsoft.com/office/excel/2006/main">
          <x14:cfRule type="expression" priority="107" id="{CEA89A50-F6F2-4C1E-8B94-8105488C8517}">
            <xm:f>_Calcs_Klasse!$AI$27=2</xm:f>
            <x14:dxf>
              <font>
                <color theme="1"/>
              </font>
              <fill>
                <patternFill>
                  <bgColor theme="0" tint="-4.9989318521683403E-2"/>
                </patternFill>
              </fill>
            </x14:dxf>
          </x14:cfRule>
          <xm:sqref>CP72:CP73</xm:sqref>
        </x14:conditionalFormatting>
        <x14:conditionalFormatting xmlns:xm="http://schemas.microsoft.com/office/excel/2006/main">
          <x14:cfRule type="expression" priority="108" id="{D6CAAD82-E8DE-48DF-BD8D-8ADE9A368F7B}">
            <xm:f>_Calcs_Klasse!$AI$27=2</xm:f>
            <x14:dxf>
              <fill>
                <patternFill>
                  <bgColor theme="0" tint="-0.14996795556505021"/>
                </patternFill>
              </fill>
            </x14:dxf>
          </x14:cfRule>
          <xm:sqref>C72:C74</xm:sqref>
        </x14:conditionalFormatting>
        <x14:conditionalFormatting xmlns:xm="http://schemas.microsoft.com/office/excel/2006/main">
          <x14:cfRule type="expression" priority="106" id="{55F725A9-D298-4951-861D-3B38F569B923}">
            <xm:f>_Calcs_Klasse!$AI$27=2</xm:f>
            <x14:dxf>
              <font>
                <color theme="0" tint="-4.9989318521683403E-2"/>
              </font>
              <fill>
                <patternFill>
                  <bgColor theme="0" tint="-4.9989318521683403E-2"/>
                </patternFill>
              </fill>
            </x14:dxf>
          </x14:cfRule>
          <xm:sqref>E72:P74</xm:sqref>
        </x14:conditionalFormatting>
        <x14:conditionalFormatting xmlns:xm="http://schemas.microsoft.com/office/excel/2006/main">
          <x14:cfRule type="expression" priority="117" id="{5B1A726E-E16A-42DC-B77D-24B8221E5C4D}">
            <xm:f>_Calcs_Klasse!$AV$154&lt;6</xm:f>
            <x14:dxf>
              <border>
                <left/>
                <right/>
                <top/>
                <bottom/>
                <vertical/>
                <horizontal/>
              </border>
            </x14:dxf>
          </x14:cfRule>
          <xm:sqref>BJ72:BJ74</xm:sqref>
        </x14:conditionalFormatting>
        <x14:conditionalFormatting xmlns:xm="http://schemas.microsoft.com/office/excel/2006/main">
          <x14:cfRule type="expression" priority="23" id="{C7F4A52C-993C-4C7D-AF5A-64849AE4BC63}">
            <xm:f>_Calcs_Klasse!$AV$154&lt;5</xm:f>
            <x14:dxf>
              <border>
                <left/>
                <right/>
                <top/>
                <bottom/>
                <vertical/>
                <horizontal/>
              </border>
            </x14:dxf>
          </x14:cfRule>
          <xm:sqref>BB1:BB1048576</xm:sqref>
        </x14:conditionalFormatting>
        <x14:conditionalFormatting xmlns:xm="http://schemas.microsoft.com/office/excel/2006/main">
          <x14:cfRule type="expression" priority="124" id="{804E34D0-641F-4EF0-9C47-311AE4442584}">
            <xm:f>_Calcs_Klasse!$AV$154&lt;2</xm:f>
            <x14:dxf>
              <border>
                <left/>
                <right/>
                <top/>
                <bottom/>
                <vertical/>
                <horizontal/>
              </border>
            </x14:dxf>
          </x14:cfRule>
          <xm:sqref>AD72:AD74</xm:sqref>
        </x14:conditionalFormatting>
        <x14:conditionalFormatting xmlns:xm="http://schemas.microsoft.com/office/excel/2006/main">
          <x14:cfRule type="expression" priority="88" id="{C877FCD0-129E-41EB-8A54-678A48FDBDB3}">
            <xm:f>_Calcs_Klasse!$AI$27&lt;&gt;1</xm:f>
            <x14:dxf>
              <font>
                <color theme="0" tint="-4.9989318521683403E-2"/>
              </font>
            </x14:dxf>
          </x14:cfRule>
          <xm:sqref>S90</xm:sqref>
        </x14:conditionalFormatting>
        <x14:conditionalFormatting xmlns:xm="http://schemas.microsoft.com/office/excel/2006/main">
          <x14:cfRule type="expression" priority="70" id="{84D57398-3CC0-4841-AE3E-CDF239603759}">
            <xm:f>_Calcs_Klasse!$AI$27&lt;&gt;1</xm:f>
            <x14:dxf>
              <font>
                <color theme="0" tint="-4.9989318521683403E-2"/>
              </font>
            </x14:dxf>
          </x14:cfRule>
          <xm:sqref>S91</xm:sqref>
        </x14:conditionalFormatting>
        <x14:conditionalFormatting xmlns:xm="http://schemas.microsoft.com/office/excel/2006/main">
          <x14:cfRule type="expression" priority="67" id="{4E756A33-E758-429C-AC2F-EE71B115E578}">
            <xm:f>_Calcs_Klasse!$AI$27=2</xm:f>
            <x14:dxf>
              <font>
                <color theme="0" tint="-0.14996795556505021"/>
              </font>
              <fill>
                <patternFill>
                  <bgColor theme="0" tint="-0.14996795556505021"/>
                </patternFill>
              </fill>
            </x14:dxf>
          </x14:cfRule>
          <xm:sqref>X91</xm:sqref>
        </x14:conditionalFormatting>
        <x14:conditionalFormatting xmlns:xm="http://schemas.microsoft.com/office/excel/2006/main">
          <x14:cfRule type="expression" priority="54" id="{7F58EBDC-1221-4D61-8E6F-3B59461FF5E6}">
            <xm:f>_Calcs_Klasse!$AI$27=2</xm:f>
            <x14:dxf>
              <font>
                <color theme="1"/>
              </font>
              <fill>
                <patternFill>
                  <bgColor theme="0" tint="-4.9989318521683403E-2"/>
                </patternFill>
              </fill>
            </x14:dxf>
          </x14:cfRule>
          <xm:sqref>CK91:CN91</xm:sqref>
        </x14:conditionalFormatting>
        <x14:conditionalFormatting xmlns:xm="http://schemas.microsoft.com/office/excel/2006/main">
          <x14:cfRule type="expression" priority="69" id="{A396AD4A-C420-464C-AC3F-92D3C9EFE51A}">
            <xm:f>_Calcs_Klasse!$AI$27=2</xm:f>
            <x14:dxf>
              <fill>
                <patternFill>
                  <bgColor theme="0" tint="-0.14996795556505021"/>
                </patternFill>
              </fill>
            </x14:dxf>
          </x14:cfRule>
          <xm:sqref>C90:C91</xm:sqref>
        </x14:conditionalFormatting>
        <x14:conditionalFormatting xmlns:xm="http://schemas.microsoft.com/office/excel/2006/main">
          <x14:cfRule type="expression" priority="66" id="{20DBD421-0892-4CF3-A44A-FC98656B2EC6}">
            <xm:f>_Calcs_Klasse!$AI$27=2</xm:f>
            <x14:dxf>
              <font>
                <color theme="0" tint="-4.9989318521683403E-2"/>
              </font>
              <fill>
                <patternFill>
                  <bgColor theme="0" tint="-4.9989318521683403E-2"/>
                </patternFill>
              </fill>
            </x14:dxf>
          </x14:cfRule>
          <xm:sqref>E90:P90</xm:sqref>
        </x14:conditionalFormatting>
        <x14:conditionalFormatting xmlns:xm="http://schemas.microsoft.com/office/excel/2006/main">
          <x14:cfRule type="expression" priority="98" id="{61C94C58-2551-4FC9-99F8-0A504228E943}">
            <xm:f>_Calcs_Klasse!$AV$154&lt;6</xm:f>
            <x14:dxf>
              <border>
                <left/>
                <right/>
                <top/>
                <bottom/>
                <vertical/>
                <horizontal/>
              </border>
            </x14:dxf>
          </x14:cfRule>
          <xm:sqref>BJ90:BJ91</xm:sqref>
        </x14:conditionalFormatting>
        <x14:conditionalFormatting xmlns:xm="http://schemas.microsoft.com/office/excel/2006/main">
          <x14:cfRule type="expression" priority="105" id="{6B37EC14-D49D-435E-9B53-5882FC5A6F01}">
            <xm:f>_Calcs_Klasse!$AV$154&lt;2</xm:f>
            <x14:dxf>
              <border>
                <left/>
                <right/>
                <top/>
                <bottom/>
                <vertical/>
                <horizontal/>
              </border>
            </x14:dxf>
          </x14:cfRule>
          <xm:sqref>AD90:AD91</xm:sqref>
        </x14:conditionalFormatting>
        <x14:conditionalFormatting xmlns:xm="http://schemas.microsoft.com/office/excel/2006/main">
          <x14:cfRule type="expression" priority="65" id="{F3D1F107-0F66-4F04-9630-991B9132EF09}">
            <xm:f>_Calcs_Klasse!$AI$27=2</xm:f>
            <x14:dxf>
              <font>
                <color theme="0" tint="-4.9989318521683403E-2"/>
              </font>
              <fill>
                <patternFill>
                  <bgColor theme="0" tint="-4.9989318521683403E-2"/>
                </patternFill>
              </fill>
            </x14:dxf>
          </x14:cfRule>
          <xm:sqref>J91</xm:sqref>
        </x14:conditionalFormatting>
        <x14:conditionalFormatting xmlns:xm="http://schemas.microsoft.com/office/excel/2006/main">
          <x14:cfRule type="expression" priority="30" id="{0E03DECD-3D23-4857-A518-8983C9CE8FF1}">
            <xm:f>_Calcs_Klasse!$AI$27&lt;&gt;1</xm:f>
            <x14:dxf>
              <font>
                <color theme="0" tint="-4.9989318521683403E-2"/>
              </font>
            </x14:dxf>
          </x14:cfRule>
          <xm:sqref>S55</xm:sqref>
        </x14:conditionalFormatting>
        <x14:conditionalFormatting xmlns:xm="http://schemas.microsoft.com/office/excel/2006/main">
          <x14:cfRule type="expression" priority="11" id="{417EEF53-E48A-4879-B631-D5EC5C6C162D}">
            <xm:f>_Calcs_Klasse!$AI$27&lt;&gt;1</xm:f>
            <x14:dxf>
              <font>
                <color theme="0" tint="-4.9989318521683403E-2"/>
              </font>
            </x14:dxf>
          </x14:cfRule>
          <xm:sqref>S64</xm:sqref>
        </x14:conditionalFormatting>
        <x14:conditionalFormatting xmlns:xm="http://schemas.microsoft.com/office/excel/2006/main">
          <x14:cfRule type="expression" priority="8" id="{EB1F8097-A569-4FAD-ABEA-A7F36D68C853}">
            <xm:f>_Calcs_Klasse!$AI$27=2</xm:f>
            <x14:dxf>
              <font>
                <color theme="0" tint="-0.14996795556505021"/>
              </font>
              <fill>
                <patternFill>
                  <bgColor theme="0" tint="-0.14996795556505021"/>
                </patternFill>
              </fill>
            </x14:dxf>
          </x14:cfRule>
          <xm:sqref>X55</xm:sqref>
        </x14:conditionalFormatting>
        <x14:conditionalFormatting xmlns:xm="http://schemas.microsoft.com/office/excel/2006/main">
          <x14:cfRule type="expression" priority="16" id="{5E8B0E83-47A9-409B-AE90-0A299D1F37AE}">
            <xm:f>_Calcs_Klasse!$AI$27=2</xm:f>
            <x14:dxf>
              <font>
                <color theme="1"/>
              </font>
              <fill>
                <patternFill>
                  <bgColor theme="0" tint="-4.9989318521683403E-2"/>
                </patternFill>
              </fill>
            </x14:dxf>
          </x14:cfRule>
          <xm:sqref>CP51:CP52</xm:sqref>
        </x14:conditionalFormatting>
        <x14:conditionalFormatting xmlns:xm="http://schemas.microsoft.com/office/excel/2006/main">
          <x14:cfRule type="expression" priority="13" id="{066CE957-770B-4A9B-A42F-C8808505236C}">
            <xm:f>_Calcs_Klasse!$AI$27=2</xm:f>
            <x14:dxf>
              <fill>
                <patternFill>
                  <bgColor theme="0" tint="-0.14996795556505021"/>
                </patternFill>
              </fill>
            </x14:dxf>
          </x14:cfRule>
          <xm:sqref>CP49</xm:sqref>
        </x14:conditionalFormatting>
        <x14:conditionalFormatting xmlns:xm="http://schemas.microsoft.com/office/excel/2006/main">
          <x14:cfRule type="expression" priority="7" id="{AF48365C-BFA5-4EBE-8292-B3344310FC67}">
            <xm:f>_Calcs_Klasse!$AI$27=2</xm:f>
            <x14:dxf>
              <font>
                <color theme="0" tint="-4.9989318521683403E-2"/>
              </font>
              <fill>
                <patternFill>
                  <bgColor theme="0" tint="-4.9989318521683403E-2"/>
                </patternFill>
              </fill>
            </x14:dxf>
          </x14:cfRule>
          <xm:sqref>E51:P58</xm:sqref>
        </x14:conditionalFormatting>
        <x14:conditionalFormatting xmlns:xm="http://schemas.microsoft.com/office/excel/2006/main">
          <x14:cfRule type="expression" priority="38" id="{D758506B-CEA7-4C00-977C-D4DBBF83B4B6}">
            <xm:f>_Calcs_Klasse!$AV$154&lt;9</xm:f>
            <x14:dxf>
              <border>
                <left/>
                <right/>
                <top/>
                <bottom/>
                <vertical/>
                <horizontal/>
              </border>
            </x14:dxf>
          </x14:cfRule>
          <xm:sqref>CH1:CH1048576</xm:sqref>
        </x14:conditionalFormatting>
        <x14:conditionalFormatting xmlns:xm="http://schemas.microsoft.com/office/excel/2006/main">
          <x14:cfRule type="expression" priority="9" stopIfTrue="1" id="{1F355685-5624-4378-AC78-16F5C04F2661}">
            <xm:f>_Calcs_Klasse!$AV$154&lt;8</xm:f>
            <x14:dxf>
              <font>
                <color theme="0"/>
              </font>
              <fill>
                <patternFill>
                  <bgColor theme="0"/>
                </patternFill>
              </fill>
              <border>
                <left/>
                <right/>
                <top/>
                <bottom/>
                <vertical/>
                <horizontal/>
              </border>
            </x14:dxf>
          </x14:cfRule>
          <xm:sqref>CA1:CH1048576</xm:sqref>
        </x14:conditionalFormatting>
        <x14:conditionalFormatting xmlns:xm="http://schemas.microsoft.com/office/excel/2006/main">
          <x14:cfRule type="expression" priority="1" stopIfTrue="1" id="{0B42F125-B250-4668-B0A5-3E1682630D2F}">
            <xm:f>_Calcs_Klasse!$AV$154&lt;9</xm:f>
            <x14:dxf>
              <font>
                <color theme="0"/>
              </font>
              <fill>
                <patternFill>
                  <bgColor theme="0"/>
                </patternFill>
              </fill>
              <border>
                <left/>
                <right/>
                <top/>
                <bottom/>
                <vertical/>
                <horizontal/>
              </border>
            </x14:dxf>
          </x14:cfRule>
          <xm:sqref>CI1:CP1048576</xm:sqref>
        </x14:conditionalFormatting>
        <x14:conditionalFormatting xmlns:xm="http://schemas.microsoft.com/office/excel/2006/main">
          <x14:cfRule type="expression" priority="24" id="{976306D3-AAD1-4C41-9437-64391DB6A3EB}">
            <xm:f>_Calcs_Klasse!$AV$154&lt;8</xm:f>
            <x14:dxf>
              <border>
                <left/>
                <right/>
                <top/>
                <bottom/>
                <vertical/>
                <horizontal/>
              </border>
            </x14:dxf>
          </x14:cfRule>
          <xm:sqref>BZ1:BZ1048576</xm:sqref>
        </x14:conditionalFormatting>
        <x14:conditionalFormatting xmlns:xm="http://schemas.microsoft.com/office/excel/2006/main">
          <x14:cfRule type="expression" priority="10" id="{EFBC9695-D7F4-4957-A129-32267B1B5FC3}">
            <xm:f>_Calcs_Klasse!$AV$154&lt;7</xm:f>
            <x14:dxf>
              <font>
                <color theme="0"/>
              </font>
              <fill>
                <patternFill>
                  <bgColor theme="0"/>
                </patternFill>
              </fill>
              <border>
                <left/>
                <right/>
                <top/>
                <bottom/>
                <vertical/>
                <horizontal/>
              </border>
            </x14:dxf>
          </x14:cfRule>
          <xm:sqref>BS1:BZ1048576</xm:sqref>
        </x14:conditionalFormatting>
        <x14:conditionalFormatting xmlns:xm="http://schemas.microsoft.com/office/excel/2006/main">
          <x14:cfRule type="expression" priority="41" stopIfTrue="1" id="{FA9793EB-1EA0-4A51-A09A-1FF7789269EF}">
            <xm:f>_Calcs_Klasse!$AV$154&lt;7</xm:f>
            <x14:dxf>
              <border>
                <left/>
                <right/>
                <top/>
                <bottom/>
                <vertical/>
                <horizontal/>
              </border>
            </x14:dxf>
          </x14:cfRule>
          <xm:sqref>BR1:BR1048576</xm:sqref>
        </x14:conditionalFormatting>
        <x14:conditionalFormatting xmlns:xm="http://schemas.microsoft.com/office/excel/2006/main">
          <x14:cfRule type="expression" priority="14" stopIfTrue="1" id="{06A33F73-B9D9-4C22-ADA6-E8BDB3DCA87D}">
            <xm:f>_Calcs_Klasse!$AV$154&lt;6</xm:f>
            <x14:dxf>
              <font>
                <color theme="0"/>
              </font>
              <fill>
                <patternFill>
                  <bgColor theme="0"/>
                </patternFill>
              </fill>
              <border>
                <left/>
                <right/>
                <top/>
                <bottom/>
                <vertical/>
                <horizontal/>
              </border>
            </x14:dxf>
          </x14:cfRule>
          <xm:sqref>BK1:BR1048576</xm:sqref>
        </x14:conditionalFormatting>
        <x14:conditionalFormatting xmlns:xm="http://schemas.microsoft.com/office/excel/2006/main">
          <x14:cfRule type="expression" priority="57" id="{53CAE78B-FD1C-449C-B652-CED5DADADEF3}">
            <xm:f>_Calcs_Klasse!$AV$154&lt;6</xm:f>
            <x14:dxf>
              <border>
                <left/>
                <right/>
                <top/>
                <bottom/>
                <vertical/>
                <horizontal/>
              </border>
            </x14:dxf>
          </x14:cfRule>
          <xm:sqref>BJ47:BJ68</xm:sqref>
        </x14:conditionalFormatting>
        <x14:conditionalFormatting xmlns:xm="http://schemas.microsoft.com/office/excel/2006/main">
          <x14:cfRule type="expression" priority="12" stopIfTrue="1" id="{22B36B88-F7EE-4107-97BC-9A8029049AD0}">
            <xm:f>_Calcs_Klasse!$AV$154&lt;5</xm:f>
            <x14:dxf>
              <font>
                <color theme="0"/>
              </font>
              <fill>
                <patternFill>
                  <bgColor theme="0"/>
                </patternFill>
              </fill>
              <border>
                <left/>
                <right/>
                <top/>
                <bottom/>
                <vertical/>
                <horizontal/>
              </border>
            </x14:dxf>
          </x14:cfRule>
          <xm:sqref>BC1:BJ1048576</xm:sqref>
        </x14:conditionalFormatting>
        <x14:conditionalFormatting xmlns:xm="http://schemas.microsoft.com/office/excel/2006/main">
          <x14:cfRule type="expression" priority="19" stopIfTrue="1" id="{96810FAE-A697-4083-AAED-93C42939DEFD}">
            <xm:f>_Calcs_Klasse!$AV$154&lt;4</xm:f>
            <x14:dxf>
              <font>
                <color theme="0"/>
              </font>
              <fill>
                <patternFill>
                  <bgColor theme="0"/>
                </patternFill>
              </fill>
              <border>
                <left/>
                <right/>
                <top/>
                <bottom/>
                <vertical/>
                <horizontal/>
              </border>
            </x14:dxf>
          </x14:cfRule>
          <xm:sqref>AU1:BB1048576</xm:sqref>
        </x14:conditionalFormatting>
        <x14:conditionalFormatting xmlns:xm="http://schemas.microsoft.com/office/excel/2006/main">
          <x14:cfRule type="expression" priority="25" id="{FFAC6B3E-C868-4653-92F7-0AD691BEB0C8}">
            <xm:f>_Calcs_Klasse!$AV$154&lt;4</xm:f>
            <x14:dxf>
              <border>
                <left/>
                <right/>
                <top/>
                <bottom/>
                <vertical/>
                <horizontal/>
              </border>
            </x14:dxf>
          </x14:cfRule>
          <xm:sqref>AT1:AT1048576</xm:sqref>
        </x14:conditionalFormatting>
        <x14:conditionalFormatting xmlns:xm="http://schemas.microsoft.com/office/excel/2006/main">
          <x14:cfRule type="expression" priority="3" stopIfTrue="1" id="{B4C12FA5-F4D1-416F-BE17-0ECCAA1B6D75}">
            <xm:f>_Calcs_Klasse!$AV$154&lt;3</xm:f>
            <x14:dxf>
              <font>
                <color theme="0"/>
              </font>
              <fill>
                <patternFill>
                  <bgColor theme="0"/>
                </patternFill>
              </fill>
              <border>
                <left/>
                <right/>
                <top/>
                <bottom/>
                <vertical/>
                <horizontal/>
              </border>
            </x14:dxf>
          </x14:cfRule>
          <xm:sqref>AM1:AT1048576</xm:sqref>
        </x14:conditionalFormatting>
        <x14:conditionalFormatting xmlns:xm="http://schemas.microsoft.com/office/excel/2006/main">
          <x14:cfRule type="expression" priority="22" id="{ED5DF09B-EF90-480F-B7D1-35A9F13699B6}">
            <xm:f>_Calcs_Klasse!$AV$154&lt;3</xm:f>
            <x14:dxf>
              <border>
                <left/>
                <right/>
                <top/>
                <bottom/>
                <vertical/>
                <horizontal/>
              </border>
            </x14:dxf>
          </x14:cfRule>
          <xm:sqref>AL1:AL1048576</xm:sqref>
        </x14:conditionalFormatting>
        <x14:conditionalFormatting xmlns:xm="http://schemas.microsoft.com/office/excel/2006/main">
          <x14:cfRule type="expression" priority="64" id="{414DA495-4193-4B40-BD65-386D72FB1A51}">
            <xm:f>_Calcs_Klasse!$AV$154&lt;2</xm:f>
            <x14:dxf>
              <border>
                <left/>
                <right/>
                <top/>
                <bottom/>
                <vertical/>
                <horizontal/>
              </border>
            </x14:dxf>
          </x14:cfRule>
          <xm:sqref>AD47:AD68</xm:sqref>
        </x14:conditionalFormatting>
        <x14:conditionalFormatting xmlns:xm="http://schemas.microsoft.com/office/excel/2006/main">
          <x14:cfRule type="expression" priority="6" id="{222DF84D-78FC-4FFE-9432-9E0944CB1C55}">
            <xm:f>_Calcs_Klasse!$AI$27=2</xm:f>
            <x14:dxf>
              <font>
                <color theme="1"/>
              </font>
              <fill>
                <patternFill>
                  <bgColor theme="0" tint="-4.9989318521683403E-2"/>
                </patternFill>
              </fill>
            </x14:dxf>
          </x14:cfRule>
          <xm:sqref>V139:AB139 Y138:AB138 V138:W138 V137:AB137 Y136:AB136 V136:W136 V135:AB135 AD135:AD139 Y91:AB91 W91 W90:AB90 AD90:AD91 V90:V91 V81:AB81 Y80:AB80 V80:W80 V79:AB79 Y78:AB78 V78:W78 V77:AB77 AD77:AD81 V58:AB58 Y57:AB57 V57:W57 V56:AB56 Y55:AB55 V55:W55 V54:AB54 AD54:AD58 V67:AB67 Y66:AB66 V66:W66 V65:AB65 Y64:AB64 V64:W64 V63:AB63 AD63:AD67</xm:sqref>
        </x14:conditionalFormatting>
        <x14:conditionalFormatting xmlns:xm="http://schemas.microsoft.com/office/excel/2006/main">
          <x14:cfRule type="expression" priority="5" id="{856899AB-0650-4AD6-A159-89113C036CE7}">
            <xm:f>_Calcs_Klasse!$AI$27=2</xm:f>
            <x14:dxf>
              <font>
                <color theme="1"/>
              </font>
              <fill>
                <patternFill>
                  <bgColor theme="0" tint="-4.9989318521683403E-2"/>
                </patternFill>
              </fill>
            </x14:dxf>
          </x14:cfRule>
          <xm:sqref>AD83:AD84 V83:AB84 AD72:AD73 V72:AA73 AD60:AD61 V60:AB61 AD51:AD52 V51:AB52 AD141 V141:AB141</xm:sqref>
        </x14:conditionalFormatting>
        <x14:conditionalFormatting xmlns:xm="http://schemas.microsoft.com/office/excel/2006/main">
          <x14:cfRule type="expression" priority="4" id="{5FC67787-A5DA-4A93-93EC-EA2EEFFEE938}">
            <xm:f>_Calcs_Klasse!$AI$27=2</xm:f>
            <x14:dxf>
              <font>
                <color theme="1"/>
              </font>
              <fill>
                <patternFill>
                  <bgColor theme="0" tint="-4.9989318521683403E-2"/>
                </patternFill>
              </fill>
            </x14:dxf>
          </x14:cfRule>
          <xm:sqref>AB72:AB73</xm:sqref>
        </x14:conditionalFormatting>
        <x14:conditionalFormatting xmlns:xm="http://schemas.microsoft.com/office/excel/2006/main">
          <x14:cfRule type="expression" priority="26" id="{67C6E1BD-AFB1-4C6F-8B7A-5D696750CDE2}">
            <xm:f>_Calcs_Klasse!$AI$27=2</xm:f>
            <x14:dxf>
              <font>
                <color theme="1"/>
              </font>
              <fill>
                <patternFill>
                  <bgColor theme="0" tint="-4.9989318521683403E-2"/>
                </patternFill>
              </fill>
            </x14:dxf>
          </x14:cfRule>
          <xm:sqref>BJ51:BJ52 BB51:BH52 AT51:AZ52 AL51:AR52 AE51:AJ52 BB58:BH58 AT58:AZ58 AL58:AR58 AE58:AJ58 BE57:BH57 BB57:BC57 AW57:AZ57 AT57:AU57 AO57:AR57 AL57:AM57 AG57:AJ57 AE57 BB56:BH56 AT56:AZ56 AL56:AR56 AE56:AJ56 BE55:BH55 BB55:BC55 AW55:AZ55 AT55:AU55 AO55:AR55 AL55:AM55 AG55:AJ55 AE55 BJ54:BJ58 BB54:BH54 AT54:AZ54 AL54:AR54 AE54:AJ54 BB67:BH67 AT67:AZ67 AL67:AR67 AE67:AJ67 BE66:BH66 BB66:BC66 AW66:AZ66 AT66:AU66 AO66:AR66 AL66:AM66 AG66:AJ66 AE66 BB65:BH65 AT65:AZ65 AL65:AR65 AE65:AJ65 BE64:BH64 BB64:BC64 AW64:AZ64 AT64:AU64 AO64:AR64 AL64:AM64 AG64:AJ64 AE64 BJ63:BJ67 BB63:BH63 AT63:AZ63 AL63:AR63 AE63:AJ63 BJ60:BJ61 BB60:BH61 AT60:AZ61 AL60:AR61 AE60:AJ61 BB81:BH81 AT81:AZ81 AL81:AR81 AE81:AJ81 BE80:BH80 BB80:BC80 AW80:AZ80 AT80:AU80 AO80:AR80 AL80:AM80 AG80:AJ80 AE80 BB79:BH79 AT79:AZ79 AL79:AR79 AE79:AJ79 BE78:BH78 BB78:BC78 AW78:AZ78 AT78:AU78 AO78:AR78 AL78:AM78 AG78:AJ78 AE78 BB77:BH77 AT77:AZ77 AL77:AR77 AE77:AJ77 BE76:BH76 BB76:BC76 AW76:AZ76 AT76:AU76 AO76:AR76 AL76:AM76 AG76:AJ76 AE76 BJ75:BJ81 BB75:BH75 AT75:AZ75 AL75:AR75 AE75:AJ75 BJ72:BJ73 BB72:BH73 AT72:AZ73 AL72:AR73 AE72:AJ73 BE91:BH91 BB91:BC91 AW91:AZ91 AT91:AU91 AO91:AR91 AL91:AM91 AG91:AJ91 AE91 BB90:BH90 AT90:AZ90 AL90:AR90 AE90:AJ90 BE89:BH89 BB89:BC89 AW89:AZ89 AT89:AU89 AO89:AR89 AL89:AM89 AG89:AJ89 AE89 BB88:BH88 AT88:AZ88 AL88:AR88 AE88:AJ88 BE87:BH87 BB87:BC87 AW87:AZ87 AT87:AU87 AO87:AR87 AL87:AM87 AG87:AJ87 AE87 BJ86:BJ91 BB86:BH86 AT86:AZ86 AL86:AR86 AE86:AJ86 BJ83:BJ84 BB83:BH84 AT83:AZ84 AL83:AR84 AE83:AJ84</xm:sqref>
        </x14:conditionalFormatting>
        <x14:conditionalFormatting xmlns:xm="http://schemas.microsoft.com/office/excel/2006/main">
          <x14:cfRule type="expression" priority="571" id="{9C545280-AB21-4F5A-AA8E-62A6B97732CA}">
            <xm:f>_Calcs_Klasse!$AI$27=2</xm:f>
            <x14:dxf>
              <font>
                <color theme="1"/>
              </font>
              <fill>
                <patternFill>
                  <bgColor theme="0" tint="-4.9989318521683403E-2"/>
                </patternFill>
              </fill>
            </x14:dxf>
          </x14:cfRule>
          <xm:sqref>AE139:AJ139 AG138:AJ138 AE138 AE137:AJ137 AG136:AJ136 AE136 AE135:AJ135 BJ141 BB141:BH141 AT141:AZ141 AL141:AR141 AE141:AJ141 AL135:AR135</xm:sqref>
        </x14:conditionalFormatting>
        <x14:conditionalFormatting xmlns:xm="http://schemas.microsoft.com/office/excel/2006/main">
          <x14:cfRule type="expression" priority="15" id="{77E9FE17-AE34-47FA-8A7F-FA454A5166FD}">
            <xm:f>_Calcs_Klasse!$AI$27=2</xm:f>
            <x14:dxf>
              <font>
                <color theme="1"/>
              </font>
              <fill>
                <patternFill>
                  <bgColor theme="0" tint="-4.9989318521683403E-2"/>
                </patternFill>
              </fill>
            </x14:dxf>
          </x14:cfRule>
          <xm:sqref>BZ37:CF37 CC36:CF36 BZ36:CA36 BZ35:CF35 CC34:CF34 BZ34:CA34 BZ33:CF33 CP63:CP67 CH67:CN67 CK66:CN66 CH66:CI66 CH65:CN65 CK64:CN64 CH64:CI64 CH63:CN63 BZ67:CF67 CC66:CF66 BZ66:CA66 BZ65:CF65 CC64:CF64 BZ64:CA64 BZ63:CF63 BR67:BX67 BU66:BX66 BR66:BS66 BR65:BX65 BU64:BX64 BR64:BS64 BR63:BX63 BK67:BP67 BM66:BP66 BK66 BK65:BP65 BM64:BP64 BK64 BK63:BP63 CP60:CP61 CH60:CN61 BZ60:CF61 BR60:BX61 BK60:BP61 CP54:CP58 CH58:CN58 CK57:CN57 CH57:CI57 CH56:CN56 CK55:CN55 CH55:CI55 CH54:CN54 BZ58:CF58 CC57:CF57 BZ57:CA57 BZ56:CF56 CC55:CF55 BZ55:CA55 BZ54:CF54 BR58:BX58 BU57:BX57 BR57:BS57 BR56:BX56 BU55:BX55 BR55:BS55 BR54:BX54 BK58:BP58 BM57:BP57 BK57 BK56:BP56 BM55:BP55 BK55 BK54:BP54 CP51:CP52 CH51:CN52 BZ51:CF52 BR51:BX52 BK51:BP52 CH72:CN73 BZ72:CF73 BR72:BX73 BK72:BP73 CP77:CP81 CH81:CN81 CK80:CN80 CH80:CI80 CH79:CN79 CK78:CN78 CH78:CI78 CH77:CN77 BZ81:CF81 CC80:CF80 BZ80:CA80 BZ79:CF79 CC78:CF78 BZ78:CA78 BZ77:CF77 BR81:BX81 BU80:BX80 BR80:BS80 BR79:BX79 BU78:BX78 BR78:BS78 BR77:BX77 BK81:BP81 BM80:BP80 BK80 BK79:BP79 BM78:BP78 BK78 BK77:BP77 CH92:CN92 CK91:CN91 CH91:CI91 CH90:CN90 BZ92:CF92 CC91:CF91 BZ91:CA91 BZ90:CF90 BR92:BX92 BU91:BX91 BR91:BS91 BR90:BX90 BK92:BP92 BM91:BP91 BK91 BK90:BP90 CP86:CP92 CH83:CN84 BZ83:CF84 BR83:BX84 BK83:BP84 CP141 CH141:CN141 BZ141:CF141 BR141:BX141 BK141:BP141</xm:sqref>
        </x14:conditionalFormatting>
        <x14:conditionalFormatting xmlns:xm="http://schemas.microsoft.com/office/excel/2006/main">
          <x14:cfRule type="expression" priority="14987" id="{98DA9A49-73DB-4A81-A45F-705EC64DD7A3}">
            <xm:f>_Calcs!$D$11=1</xm:f>
            <x14:dxf>
              <fill>
                <patternFill>
                  <bgColor theme="0" tint="-0.14996795556505021"/>
                </patternFill>
              </fill>
              <border>
                <left/>
                <right/>
                <top/>
                <bottom/>
                <vertical/>
                <horizontal/>
              </border>
            </x14:dxf>
          </x14:cfRule>
          <xm:sqref>Q11:Q13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58FCB-5446-43B0-B4F3-F61C3FF954C8}">
  <sheetPr>
    <pageSetUpPr fitToPage="1"/>
  </sheetPr>
  <dimension ref="B3:D20"/>
  <sheetViews>
    <sheetView workbookViewId="0">
      <selection activeCell="P59" sqref="P59"/>
    </sheetView>
  </sheetViews>
  <sheetFormatPr defaultRowHeight="14.25" x14ac:dyDescent="0.2"/>
  <cols>
    <col min="1" max="1" width="9" style="181"/>
    <col min="2" max="2" width="9.875" style="181" bestFit="1" customWidth="1"/>
    <col min="3" max="16384" width="9" style="181"/>
  </cols>
  <sheetData>
    <row r="3" spans="2:4" ht="15" x14ac:dyDescent="0.25">
      <c r="B3" s="6237">
        <v>44493</v>
      </c>
      <c r="D3" s="3304" t="s">
        <v>2727</v>
      </c>
    </row>
    <row r="4" spans="2:4" x14ac:dyDescent="0.2">
      <c r="D4" s="181" t="s">
        <v>2779</v>
      </c>
    </row>
    <row r="11" spans="2:4" ht="15" x14ac:dyDescent="0.25">
      <c r="B11" s="6237">
        <v>44462</v>
      </c>
      <c r="D11" s="3304" t="s">
        <v>860</v>
      </c>
    </row>
    <row r="12" spans="2:4" x14ac:dyDescent="0.2">
      <c r="D12" s="181" t="s">
        <v>2725</v>
      </c>
    </row>
    <row r="14" spans="2:4" ht="15" x14ac:dyDescent="0.25">
      <c r="D14" s="3304" t="s">
        <v>2727</v>
      </c>
    </row>
    <row r="15" spans="2:4" x14ac:dyDescent="0.2">
      <c r="D15" s="6238" t="s">
        <v>2729</v>
      </c>
    </row>
    <row r="16" spans="2:4" x14ac:dyDescent="0.2">
      <c r="D16" s="6238"/>
    </row>
    <row r="17" spans="4:4" ht="15" x14ac:dyDescent="0.25">
      <c r="D17" s="3304"/>
    </row>
    <row r="18" spans="4:4" ht="15" x14ac:dyDescent="0.25">
      <c r="D18" s="3304" t="s">
        <v>2728</v>
      </c>
    </row>
    <row r="19" spans="4:4" x14ac:dyDescent="0.2">
      <c r="D19" s="181" t="s">
        <v>2701</v>
      </c>
    </row>
    <row r="20" spans="4:4" x14ac:dyDescent="0.2">
      <c r="D20" s="181" t="s">
        <v>2702</v>
      </c>
    </row>
  </sheetData>
  <pageMargins left="0.7" right="0.7" top="0.75" bottom="0.75" header="0.3" footer="0.3"/>
  <pageSetup scale="9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8C30-6857-48D1-BDA3-C8804AF49EEB}">
  <sheetPr codeName="Sheet27">
    <pageSetUpPr fitToPage="1"/>
  </sheetPr>
  <dimension ref="B1:XU1525"/>
  <sheetViews>
    <sheetView zoomScale="55" zoomScaleNormal="55" workbookViewId="0"/>
  </sheetViews>
  <sheetFormatPr defaultRowHeight="14.25" x14ac:dyDescent="0.2"/>
  <cols>
    <col min="1" max="1" width="9" style="183"/>
    <col min="2" max="2" width="20.375" style="265" customWidth="1"/>
    <col min="3" max="3" width="21" style="265" customWidth="1"/>
    <col min="4" max="4" width="15.875" style="265" customWidth="1"/>
    <col min="5" max="5" width="3.375" style="265" customWidth="1"/>
    <col min="6" max="6" width="36.5" style="183" customWidth="1"/>
    <col min="7" max="8" width="9" style="183"/>
    <col min="9" max="9" width="23.125" style="183" customWidth="1"/>
    <col min="10" max="10" width="24.125" style="183" bestFit="1" customWidth="1"/>
    <col min="11" max="11" width="20.5" style="183" bestFit="1" customWidth="1"/>
    <col min="12" max="12" width="25.5" style="183" customWidth="1"/>
    <col min="13" max="13" width="34" style="183" bestFit="1" customWidth="1"/>
    <col min="14" max="14" width="15.25" style="183" bestFit="1" customWidth="1"/>
    <col min="15" max="15" width="33.75" style="183" customWidth="1"/>
    <col min="16" max="17" width="9" style="183"/>
    <col min="18" max="18" width="18.5" style="6009" bestFit="1" customWidth="1"/>
    <col min="19" max="19" width="18.375" style="6009" customWidth="1"/>
    <col min="20" max="20" width="40.625" style="6009" customWidth="1"/>
    <col min="21" max="33" width="9" style="183"/>
    <col min="34" max="34" width="36.375" style="183" customWidth="1"/>
    <col min="35" max="35" width="12.25" style="183" bestFit="1" customWidth="1"/>
    <col min="36" max="36" width="7.625" style="183" bestFit="1" customWidth="1"/>
    <col min="37" max="37" width="9.5" style="183" bestFit="1" customWidth="1"/>
    <col min="38" max="38" width="8.875" style="183" bestFit="1" customWidth="1"/>
    <col min="39" max="53" width="9" style="183"/>
    <col min="54" max="54" width="23.375" style="183" customWidth="1"/>
    <col min="55" max="55" width="18.25" style="183" customWidth="1"/>
    <col min="56" max="56" width="14.875" style="183" customWidth="1"/>
    <col min="57" max="57" width="16.25" style="183" bestFit="1" customWidth="1"/>
    <col min="58" max="58" width="24.375" style="183" customWidth="1"/>
    <col min="59" max="59" width="21.75" style="183" customWidth="1"/>
    <col min="60" max="60" width="22.625" style="183" customWidth="1"/>
    <col min="61" max="61" width="38.125" style="184" customWidth="1"/>
    <col min="62" max="62" width="13.5" style="183" bestFit="1" customWidth="1"/>
    <col min="63" max="63" width="11.375" style="183" customWidth="1"/>
    <col min="64" max="64" width="26.5" style="183" bestFit="1" customWidth="1"/>
    <col min="65" max="65" width="31.75" style="183" bestFit="1" customWidth="1"/>
    <col min="66" max="66" width="15.5" style="183" bestFit="1" customWidth="1"/>
    <col min="67" max="67" width="14.75" style="183" bestFit="1" customWidth="1"/>
    <col min="68" max="68" width="11.625" style="183" customWidth="1"/>
    <col min="69" max="69" width="14.375" style="183" customWidth="1"/>
    <col min="70" max="70" width="13.25" style="183" customWidth="1"/>
    <col min="71" max="90" width="8.5" style="183" customWidth="1"/>
    <col min="91" max="91" width="41.375" style="5370" customWidth="1"/>
    <col min="92" max="92" width="27.25" style="5370" customWidth="1"/>
    <col min="93" max="93" width="12.5" style="5370" bestFit="1" customWidth="1"/>
    <col min="94" max="94" width="23.5" style="5370" bestFit="1" customWidth="1"/>
    <col min="95" max="96" width="33.5" style="5370" bestFit="1" customWidth="1"/>
    <col min="97" max="97" width="35.125" style="5370" bestFit="1" customWidth="1"/>
    <col min="98" max="98" width="26.25" style="183" customWidth="1"/>
    <col min="99" max="100" width="8.5" style="183" customWidth="1"/>
    <col min="101" max="101" width="32.875" style="183" bestFit="1" customWidth="1"/>
    <col min="102" max="102" width="21.5" style="183" bestFit="1" customWidth="1"/>
    <col min="103" max="103" width="16" style="183" bestFit="1" customWidth="1"/>
    <col min="104" max="104" width="26.625" style="183" bestFit="1" customWidth="1"/>
    <col min="105" max="105" width="7.5" style="183" bestFit="1" customWidth="1"/>
    <col min="106" max="121" width="8.5" style="183" customWidth="1"/>
    <col min="122" max="122" width="11.25" style="183" customWidth="1"/>
    <col min="123" max="123" width="10.25" style="183" customWidth="1"/>
    <col min="124" max="124" width="15.875" style="183" customWidth="1"/>
    <col min="125" max="125" width="15" style="183" customWidth="1"/>
    <col min="126" max="126" width="12" style="183" customWidth="1"/>
    <col min="127" max="127" width="15.875" style="183" customWidth="1"/>
    <col min="128" max="128" width="16.375" style="183" customWidth="1"/>
    <col min="129" max="129" width="19.125" style="183" customWidth="1"/>
    <col min="130" max="130" width="17.375" style="183" customWidth="1"/>
    <col min="131" max="131" width="12.25" style="183" customWidth="1"/>
    <col min="132" max="132" width="14.875" style="183" customWidth="1"/>
    <col min="133" max="133" width="17.375" style="183" customWidth="1"/>
    <col min="134" max="134" width="18.875" style="183" customWidth="1"/>
    <col min="135" max="135" width="12" style="183" customWidth="1"/>
    <col min="136" max="136" width="14.375" style="183" customWidth="1"/>
    <col min="137" max="137" width="17.25" style="183" customWidth="1"/>
    <col min="138" max="144" width="10.75" style="183" customWidth="1"/>
    <col min="145" max="147" width="8.5" style="183" customWidth="1"/>
    <col min="148" max="148" width="22.125" style="183" customWidth="1"/>
    <col min="149" max="149" width="21.375" style="183" customWidth="1"/>
    <col min="150" max="150" width="22.25" style="183" customWidth="1"/>
    <col min="151" max="151" width="11.125" style="183" customWidth="1"/>
    <col min="152" max="152" width="8.625" style="183" customWidth="1"/>
    <col min="153" max="172" width="12.625" style="183" customWidth="1"/>
    <col min="173" max="173" width="8.5" style="183" customWidth="1"/>
    <col min="174" max="174" width="11.75" style="183" customWidth="1"/>
    <col min="175" max="175" width="8.5" style="183" customWidth="1"/>
    <col min="176" max="176" width="15" style="183" bestFit="1" customWidth="1"/>
    <col min="177" max="177" width="12.75" style="183" customWidth="1"/>
    <col min="178" max="178" width="8.5" style="183" customWidth="1"/>
    <col min="179" max="179" width="12" style="183" customWidth="1"/>
    <col min="180" max="180" width="8.5" style="183" customWidth="1"/>
    <col min="181" max="181" width="12.125" style="183" bestFit="1" customWidth="1"/>
    <col min="182" max="191" width="8.5" style="183" customWidth="1"/>
    <col min="192" max="192" width="22.625" style="183" customWidth="1"/>
    <col min="193" max="193" width="25.625" style="183" bestFit="1" customWidth="1"/>
    <col min="194" max="194" width="19.125" style="183" bestFit="1" customWidth="1"/>
    <col min="195" max="195" width="23.125" style="183" bestFit="1" customWidth="1"/>
    <col min="196" max="196" width="20.625" style="183" bestFit="1" customWidth="1"/>
    <col min="197" max="197" width="22.625" style="183" bestFit="1" customWidth="1"/>
    <col min="198" max="198" width="21.125" style="183" bestFit="1" customWidth="1"/>
    <col min="199" max="199" width="21.625" style="183" bestFit="1" customWidth="1"/>
    <col min="200" max="200" width="20.125" style="183" bestFit="1" customWidth="1"/>
    <col min="201" max="215" width="8.5" style="183" customWidth="1"/>
    <col min="216" max="216" width="36.125" style="183" customWidth="1"/>
    <col min="217" max="241" width="8.5" style="183" customWidth="1"/>
    <col min="242" max="242" width="15.625" style="183" customWidth="1"/>
    <col min="243" max="243" width="25.875" style="183" customWidth="1"/>
    <col min="244" max="244" width="17.875" style="183" customWidth="1"/>
    <col min="245" max="245" width="23.875" style="183" customWidth="1"/>
    <col min="246" max="277" width="15.625" style="183" customWidth="1"/>
    <col min="278" max="278" width="12.625" style="183" customWidth="1"/>
    <col min="279" max="279" width="12.375" style="183" customWidth="1"/>
    <col min="280" max="280" width="12.125" style="183" customWidth="1"/>
    <col min="281" max="300" width="8.5" style="183" customWidth="1"/>
    <col min="301" max="301" width="19.75" style="183" customWidth="1"/>
    <col min="302" max="302" width="21.125" style="183" customWidth="1"/>
    <col min="303" max="303" width="22.75" style="183" customWidth="1"/>
    <col min="304" max="304" width="23" style="183" customWidth="1"/>
    <col min="305" max="305" width="30.375" style="183" customWidth="1"/>
    <col min="306" max="306" width="25.625" style="183" customWidth="1"/>
    <col min="307" max="307" width="26.75" style="183" customWidth="1"/>
    <col min="308" max="308" width="16" style="183" customWidth="1"/>
    <col min="309" max="309" width="21.625" style="183" customWidth="1"/>
    <col min="310" max="312" width="18.375" style="183" customWidth="1"/>
    <col min="313" max="313" width="15.125" style="183" customWidth="1"/>
    <col min="314" max="314" width="23.5" style="183" bestFit="1" customWidth="1"/>
    <col min="315" max="315" width="19.875" style="183" bestFit="1" customWidth="1"/>
    <col min="316" max="316" width="22" style="183" customWidth="1"/>
    <col min="317" max="317" width="21.625" style="183" customWidth="1"/>
    <col min="318" max="318" width="25" style="183" customWidth="1"/>
    <col min="319" max="321" width="8.5" style="183" customWidth="1"/>
    <col min="322" max="322" width="26.25" style="183" customWidth="1"/>
    <col min="323" max="323" width="25.75" style="183" customWidth="1"/>
    <col min="324" max="324" width="32" style="183" customWidth="1"/>
    <col min="325" max="325" width="19.625" style="183" customWidth="1"/>
    <col min="326" max="326" width="15.125" style="183" customWidth="1"/>
    <col min="327" max="327" width="24.625" style="183" bestFit="1" customWidth="1"/>
    <col min="328" max="328" width="22" style="183" customWidth="1"/>
    <col min="329" max="329" width="29.875" style="183" customWidth="1"/>
    <col min="330" max="330" width="25.375" style="183" customWidth="1"/>
    <col min="331" max="331" width="24.5" style="183" customWidth="1"/>
    <col min="332" max="332" width="11.25" style="183" customWidth="1"/>
    <col min="333" max="372" width="8.5" style="183" customWidth="1"/>
    <col min="373" max="373" width="2.75" style="183" customWidth="1"/>
    <col min="374" max="376" width="8.5" style="183" customWidth="1"/>
    <col min="377" max="377" width="10.875" style="183" customWidth="1"/>
    <col min="378" max="378" width="47.25" style="183" customWidth="1"/>
    <col min="379" max="379" width="18.75" style="183" bestFit="1" customWidth="1"/>
    <col min="380" max="380" width="31.25" style="183" bestFit="1" customWidth="1"/>
    <col min="381" max="381" width="19" style="183" bestFit="1" customWidth="1"/>
    <col min="382" max="382" width="31.25" style="183" bestFit="1" customWidth="1"/>
    <col min="383" max="383" width="33.375" style="183" bestFit="1" customWidth="1"/>
    <col min="384" max="384" width="27.125" style="183" bestFit="1" customWidth="1"/>
    <col min="385" max="385" width="33.375" style="183" bestFit="1" customWidth="1"/>
    <col min="386" max="386" width="22.25" style="183" bestFit="1" customWidth="1"/>
    <col min="387" max="387" width="16.5" style="183" bestFit="1" customWidth="1"/>
    <col min="388" max="388" width="38.25" style="183" bestFit="1" customWidth="1"/>
    <col min="389" max="389" width="8.5" style="183" bestFit="1" customWidth="1"/>
    <col min="390" max="390" width="11.75" style="183" bestFit="1" customWidth="1"/>
    <col min="391" max="391" width="18" style="183" bestFit="1" customWidth="1"/>
    <col min="392" max="392" width="14.75" style="183" bestFit="1" customWidth="1"/>
    <col min="393" max="393" width="14.375" style="183" bestFit="1" customWidth="1"/>
    <col min="394" max="394" width="24.125" style="183" bestFit="1" customWidth="1"/>
    <col min="395" max="395" width="14.375" style="183" bestFit="1" customWidth="1"/>
    <col min="396" max="396" width="13.875" style="183" bestFit="1" customWidth="1"/>
    <col min="397" max="397" width="14.25" style="183" bestFit="1" customWidth="1"/>
    <col min="398" max="398" width="14.375" style="183" bestFit="1" customWidth="1"/>
    <col min="399" max="400" width="14.625" style="183" customWidth="1"/>
    <col min="401" max="408" width="15" style="183" customWidth="1"/>
    <col min="409" max="409" width="18.5" style="183" customWidth="1"/>
    <col min="410" max="410" width="9" style="183" bestFit="1" customWidth="1"/>
    <col min="411" max="411" width="29.25" style="183" customWidth="1"/>
    <col min="412" max="412" width="9.625" style="184" bestFit="1" customWidth="1"/>
    <col min="413" max="413" width="23.875" style="184" customWidth="1"/>
    <col min="414" max="414" width="10.125" style="184" bestFit="1" customWidth="1"/>
    <col min="415" max="415" width="9.375" style="184" bestFit="1" customWidth="1"/>
    <col min="416" max="416" width="9.625" style="184" bestFit="1" customWidth="1"/>
    <col min="417" max="417" width="9" style="184" bestFit="1" customWidth="1"/>
    <col min="418" max="418" width="12.375" style="184" bestFit="1" customWidth="1"/>
    <col min="419" max="419" width="14.375" style="184" bestFit="1" customWidth="1"/>
    <col min="420" max="420" width="24.375" style="184" customWidth="1"/>
    <col min="421" max="421" width="15.75" style="184" bestFit="1" customWidth="1"/>
    <col min="422" max="422" width="13.75" style="184" bestFit="1" customWidth="1"/>
    <col min="423" max="425" width="16.875" style="183" customWidth="1"/>
    <col min="426" max="426" width="16.875" style="265" customWidth="1"/>
    <col min="427" max="427" width="26.875" style="265" customWidth="1"/>
    <col min="428" max="428" width="29.25" style="265" bestFit="1" customWidth="1"/>
    <col min="429" max="429" width="38.375" style="265" customWidth="1"/>
    <col min="430" max="430" width="35.5" style="265" bestFit="1" customWidth="1"/>
    <col min="431" max="431" width="27.875" style="265" bestFit="1" customWidth="1"/>
    <col min="432" max="432" width="34.375" style="265" bestFit="1" customWidth="1"/>
    <col min="433" max="436" width="17.75" style="183" customWidth="1"/>
    <col min="437" max="437" width="27.625" style="183" customWidth="1"/>
    <col min="438" max="438" width="17.75" style="183" customWidth="1"/>
    <col min="439" max="439" width="36.375" style="183" bestFit="1" customWidth="1"/>
    <col min="440" max="440" width="11.375" style="183" bestFit="1" customWidth="1"/>
    <col min="441" max="441" width="11.375" style="183" customWidth="1"/>
    <col min="442" max="442" width="32.875" style="183" customWidth="1"/>
    <col min="443" max="443" width="23.5" style="183" customWidth="1"/>
    <col min="444" max="444" width="16.25" style="183" customWidth="1"/>
    <col min="445" max="445" width="32.25" style="183" customWidth="1"/>
    <col min="446" max="446" width="18.375" style="183" bestFit="1" customWidth="1"/>
    <col min="447" max="447" width="24" style="183" customWidth="1"/>
    <col min="448" max="448" width="16" style="183" customWidth="1"/>
    <col min="449" max="449" width="20.125" style="183" customWidth="1"/>
    <col min="450" max="450" width="21.5" style="183" customWidth="1"/>
    <col min="451" max="451" width="8.5" style="183" customWidth="1"/>
    <col min="452" max="452" width="24.25" style="183" bestFit="1" customWidth="1"/>
    <col min="453" max="453" width="12" style="183" bestFit="1" customWidth="1"/>
    <col min="454" max="454" width="5.625" style="183" customWidth="1"/>
    <col min="455" max="455" width="11.625" style="183" customWidth="1"/>
    <col min="456" max="456" width="51.5" style="183" customWidth="1"/>
    <col min="457" max="457" width="21.625" style="183" customWidth="1"/>
    <col min="458" max="458" width="29.875" style="183" customWidth="1"/>
    <col min="459" max="465" width="21.625" style="183" customWidth="1"/>
    <col min="466" max="466" width="26.5" style="183" bestFit="1" customWidth="1"/>
    <col min="467" max="467" width="31.75" style="183" bestFit="1" customWidth="1"/>
    <col min="468" max="468" width="19.375" style="183" bestFit="1" customWidth="1"/>
    <col min="469" max="471" width="10" style="183" customWidth="1"/>
    <col min="472" max="472" width="18" style="183" customWidth="1"/>
    <col min="473" max="473" width="18.375" style="183" customWidth="1"/>
    <col min="474" max="474" width="9" style="183"/>
    <col min="475" max="475" width="28.75" style="183" customWidth="1"/>
    <col min="476" max="482" width="17.375" style="183" customWidth="1"/>
    <col min="483" max="483" width="17.375" style="210" customWidth="1"/>
    <col min="484" max="484" width="17.375" style="183" customWidth="1"/>
    <col min="485" max="485" width="17.375" style="210" customWidth="1"/>
    <col min="486" max="490" width="9" style="183"/>
    <col min="491" max="491" width="20.375" style="183" customWidth="1"/>
    <col min="492" max="492" width="40.25" style="183" bestFit="1" customWidth="1"/>
    <col min="493" max="493" width="18.125" style="183" customWidth="1"/>
    <col min="494" max="494" width="15.125" style="183" customWidth="1"/>
    <col min="495" max="509" width="9" style="183"/>
    <col min="510" max="510" width="12.5" style="183" customWidth="1"/>
    <col min="511" max="511" width="11.125" style="183" customWidth="1"/>
    <col min="512" max="512" width="130.25" style="184" bestFit="1" customWidth="1"/>
    <col min="513" max="513" width="12.25" style="184" bestFit="1" customWidth="1"/>
    <col min="514" max="514" width="16.5" style="183" bestFit="1" customWidth="1"/>
    <col min="515" max="515" width="7.75" style="183" bestFit="1" customWidth="1"/>
    <col min="516" max="516" width="19" style="183" bestFit="1" customWidth="1"/>
    <col min="517" max="517" width="20" style="183" bestFit="1" customWidth="1"/>
    <col min="518" max="518" width="31.125" style="183" bestFit="1" customWidth="1"/>
    <col min="519" max="519" width="34" style="183" bestFit="1" customWidth="1"/>
    <col min="520" max="520" width="7.75" style="183" bestFit="1" customWidth="1"/>
    <col min="521" max="522" width="8.125" style="183" bestFit="1" customWidth="1"/>
    <col min="523" max="525" width="9" style="183"/>
    <col min="526" max="537" width="15.625" style="183" customWidth="1"/>
    <col min="538" max="538" width="15.625" style="181" customWidth="1"/>
    <col min="539" max="543" width="15.625" style="183" customWidth="1"/>
    <col min="544" max="547" width="15.625" style="181" customWidth="1"/>
    <col min="548" max="556" width="15.625" style="183" customWidth="1"/>
    <col min="557" max="557" width="15.625" style="265" customWidth="1"/>
    <col min="558" max="558" width="9.125" style="184" customWidth="1"/>
    <col min="559" max="559" width="14.25" style="265" customWidth="1"/>
    <col min="560" max="561" width="10.625" style="265" customWidth="1"/>
    <col min="562" max="562" width="10.125" style="265" bestFit="1" customWidth="1"/>
    <col min="563" max="569" width="10.625" style="265" customWidth="1"/>
    <col min="570" max="570" width="10.625" style="402" customWidth="1"/>
    <col min="571" max="572" width="10.625" style="265" customWidth="1"/>
    <col min="574" max="604" width="10.625" style="265" customWidth="1"/>
    <col min="605" max="16384" width="9" style="183"/>
  </cols>
  <sheetData>
    <row r="1" spans="2:499" s="2617" customFormat="1" x14ac:dyDescent="0.2">
      <c r="B1" s="2981"/>
      <c r="C1" s="2981"/>
      <c r="D1" s="2981"/>
      <c r="E1" s="2981"/>
      <c r="R1" s="2686"/>
      <c r="S1" s="2686"/>
      <c r="T1" s="2686"/>
      <c r="BA1" s="183"/>
      <c r="BB1" s="183"/>
      <c r="BC1" s="183"/>
      <c r="BD1" s="183"/>
      <c r="BE1" s="183"/>
      <c r="BF1" s="183"/>
      <c r="BG1" s="183"/>
      <c r="BH1" s="183"/>
      <c r="BI1" s="184"/>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5370"/>
      <c r="CN1" s="5370"/>
      <c r="CO1" s="5370"/>
      <c r="CP1" s="5370"/>
      <c r="CQ1" s="5370"/>
      <c r="CR1" s="5370"/>
      <c r="CS1" s="5370"/>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3"/>
      <c r="IX1" s="183"/>
      <c r="IY1" s="183"/>
      <c r="IZ1" s="183"/>
      <c r="JA1" s="183"/>
      <c r="JB1" s="183"/>
      <c r="JC1" s="183"/>
      <c r="JD1" s="183"/>
      <c r="JE1" s="183"/>
      <c r="JF1" s="183"/>
      <c r="JG1" s="183"/>
      <c r="JH1" s="183"/>
      <c r="JI1" s="183"/>
      <c r="JJ1" s="183"/>
      <c r="JK1" s="183"/>
      <c r="JL1" s="183"/>
      <c r="JM1" s="183"/>
      <c r="JN1" s="183"/>
      <c r="JO1" s="183"/>
      <c r="JP1" s="183"/>
      <c r="JQ1" s="183"/>
      <c r="JR1" s="183"/>
      <c r="JS1" s="183"/>
      <c r="JT1" s="183"/>
      <c r="JU1" s="183"/>
      <c r="JV1" s="183"/>
      <c r="JW1" s="183"/>
      <c r="JX1" s="183"/>
      <c r="JY1" s="183"/>
      <c r="JZ1" s="183"/>
      <c r="KA1" s="183"/>
      <c r="KB1" s="183"/>
      <c r="KC1" s="183"/>
      <c r="KD1" s="183"/>
      <c r="KE1" s="183"/>
      <c r="KF1" s="183"/>
      <c r="KG1" s="183"/>
      <c r="KH1" s="183"/>
      <c r="KI1" s="183"/>
      <c r="KJ1" s="183"/>
      <c r="KK1" s="183"/>
      <c r="KL1" s="183"/>
      <c r="KM1" s="183"/>
      <c r="KN1" s="183"/>
      <c r="KO1" s="183"/>
      <c r="KP1" s="183"/>
      <c r="KQ1" s="183"/>
      <c r="KR1" s="183"/>
      <c r="KS1" s="183"/>
      <c r="KT1" s="183"/>
      <c r="KU1" s="183"/>
      <c r="KV1" s="183"/>
      <c r="KW1" s="183"/>
      <c r="KX1" s="183"/>
      <c r="KY1" s="183"/>
      <c r="KZ1" s="183"/>
      <c r="LA1" s="183"/>
      <c r="LB1" s="183"/>
      <c r="LC1" s="183"/>
      <c r="LD1" s="183"/>
      <c r="LE1" s="183"/>
      <c r="LF1" s="183"/>
      <c r="LG1" s="183"/>
      <c r="LH1" s="183"/>
      <c r="LI1" s="183"/>
      <c r="LJ1" s="183"/>
      <c r="LK1" s="183"/>
      <c r="LL1" s="183"/>
      <c r="LM1" s="183"/>
      <c r="LN1" s="183"/>
      <c r="LO1" s="183"/>
      <c r="LP1" s="183"/>
      <c r="LQ1" s="183"/>
      <c r="LR1" s="183"/>
      <c r="LS1" s="183"/>
      <c r="LT1" s="183"/>
      <c r="LU1" s="183"/>
      <c r="LV1" s="183"/>
      <c r="LW1" s="183"/>
      <c r="LX1" s="183"/>
      <c r="LY1" s="183"/>
      <c r="LZ1" s="183"/>
      <c r="MA1" s="183"/>
      <c r="MB1" s="183"/>
      <c r="MC1" s="183"/>
      <c r="MD1" s="183"/>
      <c r="ME1" s="183"/>
      <c r="MF1" s="183"/>
      <c r="MG1" s="183"/>
      <c r="MH1" s="183"/>
      <c r="MI1" s="183"/>
      <c r="MJ1" s="183"/>
      <c r="MK1" s="183"/>
      <c r="ML1" s="183"/>
      <c r="MM1" s="183"/>
      <c r="MN1" s="183"/>
      <c r="MO1" s="183"/>
      <c r="MP1" s="183"/>
      <c r="MQ1" s="183"/>
      <c r="MR1" s="183"/>
      <c r="MS1" s="183"/>
      <c r="MT1" s="183"/>
      <c r="MU1" s="183"/>
      <c r="MV1" s="183"/>
      <c r="MW1" s="183"/>
      <c r="MX1" s="183"/>
      <c r="MY1" s="183"/>
      <c r="MZ1" s="183"/>
      <c r="NA1" s="183"/>
      <c r="NB1" s="183"/>
      <c r="NC1" s="183"/>
      <c r="ND1" s="183"/>
      <c r="NE1" s="183"/>
      <c r="NF1" s="183"/>
      <c r="NG1" s="183"/>
      <c r="NH1" s="183"/>
      <c r="NI1" s="183"/>
      <c r="NJ1" s="183"/>
      <c r="NK1" s="183"/>
      <c r="NL1" s="183"/>
      <c r="NM1" s="183"/>
      <c r="NN1" s="183"/>
      <c r="NO1" s="183"/>
      <c r="NP1" s="183"/>
      <c r="NQ1" s="183"/>
      <c r="NR1" s="183"/>
      <c r="NS1" s="183"/>
      <c r="NT1" s="183"/>
      <c r="NU1" s="183"/>
      <c r="NV1" s="183"/>
      <c r="NW1" s="183"/>
      <c r="NX1" s="183"/>
      <c r="NY1" s="183"/>
      <c r="NZ1" s="183"/>
      <c r="OA1" s="183"/>
      <c r="OB1" s="183"/>
      <c r="OC1" s="183"/>
      <c r="OD1" s="183"/>
      <c r="OE1" s="183"/>
      <c r="OF1" s="183"/>
      <c r="OG1" s="183"/>
      <c r="OH1" s="183"/>
      <c r="OI1" s="183"/>
      <c r="OJ1" s="183"/>
      <c r="OK1" s="183"/>
      <c r="OL1" s="183"/>
      <c r="OM1" s="183"/>
      <c r="ON1" s="183"/>
      <c r="OO1" s="183"/>
      <c r="OP1" s="183"/>
      <c r="OQ1" s="183"/>
      <c r="OR1" s="183"/>
      <c r="OS1" s="183"/>
      <c r="OT1" s="183"/>
      <c r="OU1" s="183"/>
      <c r="OV1" s="184"/>
      <c r="OW1" s="184"/>
      <c r="OX1" s="184"/>
      <c r="OY1" s="184"/>
      <c r="OZ1" s="184"/>
      <c r="PA1" s="184"/>
      <c r="PB1" s="184"/>
      <c r="PC1" s="184"/>
      <c r="PD1" s="184"/>
      <c r="PE1" s="184"/>
      <c r="PF1" s="184"/>
      <c r="PG1" s="183"/>
      <c r="PH1" s="183"/>
      <c r="PI1" s="183"/>
      <c r="PJ1" s="265"/>
      <c r="PK1" s="265"/>
      <c r="PL1" s="265"/>
      <c r="PM1" s="265"/>
      <c r="PN1" s="265"/>
      <c r="PO1" s="265"/>
      <c r="PP1" s="265"/>
      <c r="PQ1" s="183"/>
      <c r="PR1" s="183"/>
      <c r="PS1" s="183"/>
      <c r="PT1" s="183"/>
      <c r="PU1" s="183"/>
      <c r="PV1" s="183"/>
      <c r="PW1" s="183"/>
      <c r="PX1" s="183"/>
      <c r="PY1" s="183"/>
      <c r="PZ1" s="183"/>
      <c r="QA1" s="183"/>
      <c r="QB1" s="183"/>
      <c r="QC1" s="183"/>
      <c r="QD1" s="183"/>
      <c r="QE1" s="183"/>
      <c r="QF1" s="183"/>
      <c r="QG1" s="183"/>
      <c r="QH1" s="183"/>
      <c r="QI1" s="183"/>
      <c r="QJ1" s="183"/>
      <c r="QK1" s="183"/>
      <c r="QL1" s="183"/>
      <c r="QM1" s="183"/>
      <c r="QN1" s="183"/>
      <c r="QO1" s="183"/>
      <c r="QP1" s="183"/>
      <c r="QQ1" s="183"/>
      <c r="QR1" s="183"/>
      <c r="QS1" s="183"/>
      <c r="QT1" s="183"/>
      <c r="QU1" s="183"/>
      <c r="QV1" s="183"/>
      <c r="QW1" s="183"/>
      <c r="QX1" s="183"/>
      <c r="QY1" s="183"/>
      <c r="QZ1" s="183"/>
      <c r="RA1" s="183"/>
      <c r="RB1" s="183"/>
      <c r="RC1" s="183"/>
      <c r="RD1" s="183"/>
      <c r="RE1" s="183"/>
      <c r="RF1" s="183"/>
      <c r="RG1" s="183"/>
      <c r="RH1" s="183"/>
      <c r="RI1" s="183"/>
      <c r="RJ1" s="183"/>
      <c r="RK1" s="183"/>
      <c r="RL1" s="183"/>
      <c r="RM1" s="183"/>
      <c r="RN1" s="183"/>
      <c r="RO1" s="210"/>
      <c r="RP1" s="183"/>
      <c r="RQ1" s="210"/>
      <c r="RR1" s="183"/>
      <c r="RS1" s="183"/>
      <c r="RT1" s="183"/>
      <c r="RU1" s="183"/>
    </row>
    <row r="2" spans="2:499" s="2617" customFormat="1" ht="15" customHeight="1" x14ac:dyDescent="0.2">
      <c r="B2" s="2981"/>
      <c r="C2" s="2981"/>
      <c r="D2" s="2981"/>
      <c r="E2" s="2981"/>
      <c r="R2" s="2686"/>
      <c r="S2" s="2686"/>
      <c r="T2" s="2686"/>
      <c r="AH2" s="183"/>
      <c r="AI2" s="183"/>
      <c r="AJ2" s="183"/>
      <c r="AK2" s="183"/>
      <c r="AL2" s="183"/>
      <c r="AM2" s="183"/>
      <c r="AN2" s="183"/>
      <c r="BA2" s="183"/>
      <c r="BB2" s="183"/>
      <c r="BC2" s="183"/>
      <c r="BD2" s="183"/>
      <c r="BE2" s="183"/>
      <c r="BF2" s="183"/>
      <c r="BG2" s="183"/>
      <c r="BH2" s="183"/>
      <c r="BI2" s="184"/>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5370"/>
      <c r="CN2" s="5370"/>
      <c r="CO2" s="5370"/>
      <c r="CP2" s="5370"/>
      <c r="CQ2" s="5370"/>
      <c r="CR2" s="5370"/>
      <c r="CS2" s="5370"/>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3"/>
      <c r="FM2" s="183"/>
      <c r="FN2" s="183"/>
      <c r="FO2" s="183"/>
      <c r="FP2" s="183"/>
      <c r="FQ2" s="183"/>
      <c r="FR2" s="183"/>
      <c r="FS2" s="183"/>
      <c r="FT2" s="183"/>
      <c r="FU2" s="183"/>
      <c r="FV2" s="183"/>
      <c r="FW2" s="183"/>
      <c r="FX2" s="183"/>
      <c r="FY2" s="183"/>
      <c r="FZ2" s="183"/>
      <c r="GA2" s="183"/>
      <c r="GB2" s="183"/>
      <c r="GC2" s="183"/>
      <c r="GD2" s="183"/>
      <c r="GE2" s="183"/>
      <c r="GF2" s="183"/>
      <c r="GG2" s="183"/>
      <c r="GH2" s="183"/>
      <c r="GI2" s="183"/>
      <c r="GJ2" s="183"/>
      <c r="GK2" s="183"/>
      <c r="GL2" s="183"/>
      <c r="GM2" s="183"/>
      <c r="GN2" s="183"/>
      <c r="GO2" s="183"/>
      <c r="GP2" s="183"/>
      <c r="GQ2" s="183"/>
      <c r="GR2" s="183"/>
      <c r="GS2" s="183"/>
      <c r="GT2" s="183"/>
      <c r="GU2" s="183"/>
      <c r="GV2" s="183"/>
      <c r="GW2" s="183"/>
      <c r="GX2" s="183"/>
      <c r="GY2" s="183"/>
      <c r="GZ2" s="183"/>
      <c r="HA2" s="183"/>
      <c r="HB2" s="183"/>
      <c r="HC2" s="183"/>
      <c r="HD2" s="183"/>
      <c r="HE2" s="183"/>
      <c r="HF2" s="183"/>
      <c r="HG2" s="183"/>
      <c r="HH2" s="183"/>
      <c r="HI2" s="183"/>
      <c r="HJ2" s="183"/>
      <c r="HK2" s="183"/>
      <c r="HL2" s="183"/>
      <c r="HM2" s="183"/>
      <c r="HN2" s="183"/>
      <c r="HO2" s="183"/>
      <c r="HP2" s="183"/>
      <c r="HQ2" s="183"/>
      <c r="HR2" s="183"/>
      <c r="HS2" s="183"/>
      <c r="HT2" s="183"/>
      <c r="HU2" s="183"/>
      <c r="HV2" s="183"/>
      <c r="HW2" s="183"/>
      <c r="HX2" s="183"/>
      <c r="HY2" s="183"/>
      <c r="HZ2" s="183"/>
      <c r="IA2" s="183"/>
      <c r="IB2" s="183"/>
      <c r="IC2" s="183"/>
      <c r="ID2" s="183"/>
      <c r="IE2" s="183"/>
      <c r="IF2" s="183"/>
      <c r="IG2" s="183"/>
      <c r="IH2" s="183"/>
      <c r="II2" s="183"/>
      <c r="IJ2" s="183"/>
      <c r="IK2" s="183"/>
      <c r="IL2" s="183"/>
      <c r="IM2" s="183"/>
      <c r="IN2" s="183"/>
      <c r="IO2" s="183"/>
      <c r="IP2" s="183"/>
      <c r="IQ2" s="183"/>
      <c r="IR2" s="183"/>
      <c r="IS2" s="183"/>
      <c r="IT2" s="183"/>
      <c r="IU2" s="183"/>
      <c r="IV2" s="183"/>
      <c r="IW2" s="183"/>
      <c r="IX2" s="183"/>
      <c r="IY2" s="183"/>
      <c r="IZ2" s="183"/>
      <c r="JA2" s="183"/>
      <c r="JB2" s="183"/>
      <c r="JC2" s="183"/>
      <c r="JD2" s="183"/>
      <c r="JE2" s="183"/>
      <c r="JF2" s="183"/>
      <c r="JG2" s="183"/>
      <c r="JH2" s="183"/>
      <c r="JI2" s="183"/>
      <c r="JJ2" s="183"/>
      <c r="JK2" s="183"/>
      <c r="JL2" s="183"/>
      <c r="JM2" s="183"/>
      <c r="JN2" s="183"/>
      <c r="JO2" s="183"/>
      <c r="JP2" s="183"/>
      <c r="JQ2" s="183"/>
      <c r="JR2" s="183"/>
      <c r="JS2" s="183"/>
      <c r="JT2" s="183"/>
      <c r="JU2" s="183"/>
      <c r="JV2" s="183"/>
      <c r="JW2" s="183"/>
      <c r="JX2" s="183"/>
      <c r="JY2" s="183"/>
      <c r="JZ2" s="183"/>
      <c r="KA2" s="183"/>
      <c r="KB2" s="183"/>
      <c r="KC2" s="183"/>
      <c r="KD2" s="183"/>
      <c r="KE2" s="183"/>
      <c r="KF2" s="183"/>
      <c r="KG2" s="183"/>
      <c r="KH2" s="183"/>
      <c r="KI2" s="183"/>
      <c r="KJ2" s="183"/>
      <c r="KK2" s="183"/>
      <c r="KL2" s="183"/>
      <c r="KM2" s="183"/>
      <c r="KN2" s="183"/>
      <c r="KO2" s="183"/>
      <c r="KP2" s="183"/>
      <c r="KQ2" s="183"/>
      <c r="KR2" s="183"/>
      <c r="KS2" s="183"/>
      <c r="KT2" s="183"/>
      <c r="KU2" s="183"/>
      <c r="KV2" s="183"/>
      <c r="KW2" s="183"/>
      <c r="KX2" s="183"/>
      <c r="KY2" s="183"/>
      <c r="KZ2" s="183"/>
      <c r="LA2" s="183"/>
      <c r="LB2" s="183"/>
      <c r="LC2" s="183"/>
      <c r="LD2" s="183"/>
      <c r="LE2" s="183"/>
      <c r="LF2" s="183"/>
      <c r="LG2" s="183"/>
      <c r="LH2" s="183"/>
      <c r="LI2" s="183"/>
      <c r="LJ2" s="183"/>
      <c r="LK2" s="183"/>
      <c r="LL2" s="183"/>
      <c r="LM2" s="183"/>
      <c r="LN2" s="183"/>
      <c r="LO2" s="183"/>
      <c r="LP2" s="183"/>
      <c r="LQ2" s="183"/>
      <c r="LR2" s="183"/>
      <c r="LS2" s="183"/>
      <c r="LT2" s="183"/>
      <c r="LU2" s="183"/>
      <c r="LV2" s="183"/>
      <c r="LW2" s="183"/>
      <c r="LX2" s="183"/>
      <c r="LY2" s="183"/>
      <c r="LZ2" s="183"/>
      <c r="MA2" s="183"/>
      <c r="MB2" s="183"/>
      <c r="MC2" s="183"/>
      <c r="MD2" s="183"/>
      <c r="ME2" s="183"/>
      <c r="MF2" s="183"/>
      <c r="MG2" s="183"/>
      <c r="MH2" s="183"/>
      <c r="MI2" s="183"/>
      <c r="MJ2" s="183"/>
      <c r="MK2" s="183"/>
      <c r="ML2" s="183"/>
      <c r="MM2" s="183"/>
      <c r="MN2" s="183"/>
      <c r="MO2" s="183"/>
      <c r="MP2" s="183"/>
      <c r="MQ2" s="183"/>
      <c r="MR2" s="183"/>
      <c r="MS2" s="183"/>
      <c r="MT2" s="183"/>
      <c r="MU2" s="183"/>
      <c r="MV2" s="183"/>
      <c r="MW2" s="183"/>
      <c r="MX2" s="183"/>
      <c r="MY2" s="183"/>
      <c r="MZ2" s="183"/>
      <c r="NA2" s="183"/>
      <c r="NB2" s="183"/>
      <c r="NC2" s="183"/>
      <c r="ND2" s="183"/>
      <c r="NE2" s="183"/>
      <c r="NF2" s="183"/>
      <c r="NG2" s="183"/>
      <c r="NH2" s="183"/>
      <c r="NI2" s="183"/>
      <c r="NJ2" s="183"/>
      <c r="NK2" s="183"/>
      <c r="NL2" s="183"/>
      <c r="NM2" s="183"/>
      <c r="NN2" s="183"/>
      <c r="NO2" s="183"/>
      <c r="NP2" s="183"/>
      <c r="NQ2" s="183"/>
      <c r="NR2" s="183"/>
      <c r="NS2" s="183"/>
      <c r="NT2" s="183"/>
      <c r="NU2" s="183"/>
      <c r="NV2" s="183"/>
      <c r="NW2" s="183"/>
      <c r="NX2" s="183"/>
      <c r="NY2" s="183"/>
      <c r="NZ2" s="183"/>
      <c r="OA2" s="183"/>
      <c r="OB2" s="183"/>
      <c r="OC2" s="183"/>
      <c r="OD2" s="183"/>
      <c r="OE2" s="183"/>
      <c r="OF2" s="183"/>
      <c r="OG2" s="183"/>
      <c r="OH2" s="183"/>
      <c r="OI2" s="183"/>
      <c r="OJ2" s="183"/>
      <c r="OK2" s="183"/>
      <c r="OL2" s="183"/>
      <c r="OM2" s="183"/>
      <c r="ON2" s="183"/>
      <c r="OO2" s="183"/>
      <c r="OP2" s="183"/>
      <c r="OQ2" s="183"/>
      <c r="OR2" s="183"/>
      <c r="OS2" s="183"/>
      <c r="OT2" s="183"/>
      <c r="OU2" s="183"/>
      <c r="OV2" s="184"/>
      <c r="OW2" s="184"/>
      <c r="OX2" s="184"/>
      <c r="OY2" s="184"/>
      <c r="OZ2" s="184"/>
      <c r="PA2" s="184"/>
      <c r="PB2" s="184"/>
      <c r="PC2" s="184"/>
      <c r="PD2" s="184"/>
      <c r="PE2" s="184"/>
      <c r="PF2" s="184"/>
      <c r="PG2" s="183"/>
      <c r="PH2" s="183"/>
      <c r="PI2" s="183"/>
      <c r="PJ2" s="265"/>
      <c r="PK2" s="265"/>
      <c r="PL2" s="265"/>
      <c r="PM2" s="265"/>
      <c r="PN2" s="265"/>
      <c r="PO2" s="265"/>
      <c r="PP2" s="265"/>
      <c r="PQ2" s="183"/>
      <c r="PR2" s="183"/>
      <c r="PS2" s="183"/>
      <c r="PT2" s="183"/>
      <c r="PU2" s="183"/>
      <c r="PV2" s="183"/>
      <c r="PW2" s="183"/>
      <c r="PX2" s="183"/>
      <c r="PY2" s="183"/>
      <c r="PZ2" s="183"/>
      <c r="QA2" s="183"/>
      <c r="QB2" s="183"/>
      <c r="QC2" s="183"/>
      <c r="QD2" s="183"/>
      <c r="QE2" s="183"/>
      <c r="QF2" s="183"/>
      <c r="QG2" s="183"/>
      <c r="QH2" s="183"/>
      <c r="QI2" s="183"/>
      <c r="QJ2" s="183"/>
      <c r="QK2" s="183"/>
      <c r="QL2" s="183"/>
      <c r="QM2" s="183"/>
      <c r="QU2" s="183"/>
      <c r="QV2" s="183"/>
      <c r="QW2" s="183"/>
      <c r="QX2" s="183"/>
      <c r="QY2" s="183"/>
      <c r="QZ2" s="183"/>
      <c r="RA2" s="183"/>
      <c r="RB2" s="183"/>
      <c r="RC2" s="183"/>
      <c r="RD2" s="183"/>
      <c r="RE2" s="183"/>
      <c r="RF2" s="183"/>
      <c r="RG2" s="183"/>
      <c r="RH2" s="183"/>
      <c r="RI2" s="183"/>
      <c r="RJ2" s="183"/>
      <c r="RK2" s="183"/>
      <c r="RL2" s="183"/>
      <c r="RM2" s="183"/>
      <c r="RN2" s="183"/>
      <c r="RO2" s="210"/>
      <c r="RP2" s="183"/>
      <c r="RQ2" s="210"/>
      <c r="RR2" s="183"/>
      <c r="RS2" s="183"/>
      <c r="RT2" s="183"/>
      <c r="RU2" s="183"/>
    </row>
    <row r="3" spans="2:499" s="2617" customFormat="1" ht="28.5" customHeight="1" x14ac:dyDescent="0.2">
      <c r="B3" s="2981"/>
      <c r="C3" s="2981"/>
      <c r="D3" s="2981"/>
      <c r="E3" s="2981"/>
      <c r="R3" s="2686"/>
      <c r="S3" s="2686"/>
      <c r="T3" s="2686"/>
      <c r="AH3" s="225" t="s">
        <v>292</v>
      </c>
      <c r="AI3" s="225"/>
      <c r="AJ3" s="225"/>
      <c r="AK3" s="225"/>
      <c r="AL3" s="225"/>
      <c r="AM3" s="225"/>
      <c r="AN3" s="225"/>
      <c r="BA3" s="183"/>
      <c r="BB3" s="298" t="s">
        <v>346</v>
      </c>
      <c r="BC3" s="224"/>
      <c r="BD3" s="224"/>
      <c r="BE3" s="224"/>
      <c r="BF3" s="224"/>
      <c r="BG3" s="224"/>
      <c r="BH3" s="224"/>
      <c r="BI3" s="224"/>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5370"/>
      <c r="CN3" s="5370"/>
      <c r="CO3" s="5370"/>
      <c r="CP3" s="5370"/>
      <c r="CQ3" s="5370"/>
      <c r="CR3" s="5370"/>
      <c r="CS3" s="5370"/>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c r="EP3" s="183"/>
      <c r="EQ3" s="183"/>
      <c r="ER3" s="183"/>
      <c r="ES3" s="183"/>
      <c r="ET3" s="183"/>
      <c r="EU3" s="183"/>
      <c r="EV3" s="183"/>
      <c r="EW3" s="183"/>
      <c r="EX3" s="183"/>
      <c r="EY3" s="183"/>
      <c r="EZ3" s="183"/>
      <c r="FA3" s="183"/>
      <c r="FB3" s="183"/>
      <c r="FC3" s="183"/>
      <c r="FD3" s="183"/>
      <c r="FE3" s="183"/>
      <c r="FF3" s="183"/>
      <c r="FG3" s="183"/>
      <c r="FH3" s="183"/>
      <c r="FI3" s="183"/>
      <c r="FJ3" s="183"/>
      <c r="FK3" s="183"/>
      <c r="FL3" s="183"/>
      <c r="FM3" s="183"/>
      <c r="FN3" s="183"/>
      <c r="GH3" s="183"/>
      <c r="GI3" s="183"/>
      <c r="GJ3" s="183"/>
      <c r="GK3" s="183"/>
      <c r="GL3" s="183"/>
      <c r="GM3" s="183"/>
      <c r="GN3" s="183"/>
      <c r="GO3" s="183"/>
      <c r="GP3" s="183"/>
      <c r="GQ3" s="183"/>
      <c r="GR3" s="183"/>
      <c r="GS3" s="183"/>
      <c r="GT3" s="183"/>
      <c r="GU3" s="183"/>
      <c r="GV3" s="183"/>
      <c r="GW3" s="183"/>
      <c r="GX3" s="183"/>
      <c r="GY3" s="183"/>
      <c r="GZ3" s="183"/>
      <c r="HA3" s="183"/>
      <c r="HB3" s="183"/>
      <c r="HC3" s="183"/>
      <c r="HD3" s="183"/>
      <c r="HE3" s="183"/>
      <c r="HF3" s="183"/>
      <c r="HG3" s="183"/>
      <c r="HH3" s="183"/>
      <c r="HI3" s="183"/>
      <c r="HJ3" s="183"/>
      <c r="HK3" s="183"/>
      <c r="HL3" s="183"/>
      <c r="HM3" s="183"/>
      <c r="HN3" s="183"/>
      <c r="HO3" s="183"/>
      <c r="HP3" s="183"/>
      <c r="HQ3" s="183"/>
      <c r="HR3" s="183"/>
      <c r="HS3" s="183"/>
      <c r="HT3" s="183"/>
      <c r="HU3" s="183"/>
      <c r="HV3" s="183"/>
      <c r="HW3" s="183"/>
      <c r="HX3" s="183"/>
      <c r="HY3" s="183"/>
      <c r="HZ3" s="183"/>
      <c r="IA3" s="183"/>
      <c r="IB3" s="183"/>
      <c r="IC3" s="183"/>
      <c r="ID3" s="183"/>
      <c r="IE3" s="183"/>
      <c r="IF3" s="183"/>
      <c r="IG3" s="183"/>
      <c r="IH3" s="183"/>
      <c r="II3" s="183"/>
      <c r="IJ3" s="183"/>
      <c r="IK3" s="183"/>
      <c r="IL3" s="183"/>
      <c r="IM3" s="183"/>
      <c r="IN3" s="183"/>
      <c r="IO3" s="183"/>
      <c r="IP3" s="183"/>
      <c r="KH3" s="183"/>
      <c r="KI3" s="183"/>
      <c r="KJ3" s="183"/>
      <c r="KK3" s="183"/>
      <c r="KL3" s="183"/>
      <c r="KM3" s="183"/>
      <c r="KN3" s="183"/>
      <c r="KO3" s="183"/>
      <c r="KP3" s="183"/>
      <c r="KQ3" s="183"/>
      <c r="KR3" s="183"/>
      <c r="KS3" s="183"/>
      <c r="KT3" s="183"/>
      <c r="KU3" s="183"/>
      <c r="KV3" s="183"/>
      <c r="KW3" s="183"/>
      <c r="KX3" s="183"/>
      <c r="KY3" s="183"/>
      <c r="KZ3" s="183"/>
      <c r="LA3" s="183"/>
      <c r="LB3" s="183"/>
      <c r="LC3" s="183"/>
      <c r="LD3" s="183"/>
      <c r="LE3" s="183"/>
      <c r="LF3" s="183"/>
      <c r="LG3" s="183"/>
      <c r="LH3" s="183"/>
      <c r="LI3" s="183"/>
      <c r="LJ3" s="183"/>
      <c r="LK3" s="183"/>
      <c r="LL3" s="183"/>
      <c r="LM3" s="183"/>
      <c r="LN3" s="183"/>
      <c r="LO3" s="183"/>
      <c r="LP3" s="183"/>
      <c r="LQ3" s="183"/>
      <c r="LR3" s="183"/>
      <c r="LS3" s="183"/>
      <c r="LT3" s="183"/>
      <c r="LU3" s="183"/>
      <c r="LV3" s="183"/>
      <c r="LW3" s="183"/>
      <c r="LX3" s="183"/>
      <c r="LY3" s="183"/>
      <c r="LZ3" s="183"/>
      <c r="MA3" s="183"/>
      <c r="MB3" s="183"/>
      <c r="MC3" s="183"/>
      <c r="MD3" s="183"/>
      <c r="ME3" s="183"/>
      <c r="MF3" s="183"/>
      <c r="MG3" s="183"/>
      <c r="MH3" s="183"/>
      <c r="MI3" s="183"/>
      <c r="MJ3" s="183"/>
      <c r="MK3" s="183"/>
      <c r="ML3" s="183"/>
      <c r="MM3" s="183"/>
      <c r="MN3" s="183"/>
      <c r="MO3" s="183"/>
      <c r="MP3" s="183"/>
      <c r="MQ3" s="183"/>
      <c r="MR3" s="183"/>
      <c r="MS3" s="183"/>
      <c r="MT3" s="183"/>
      <c r="MU3" s="183"/>
      <c r="MV3" s="183"/>
      <c r="MW3" s="183"/>
      <c r="MX3" s="183"/>
      <c r="MY3" s="183"/>
      <c r="MZ3" s="183"/>
      <c r="NA3" s="183"/>
      <c r="NB3" s="183"/>
      <c r="NC3" s="183"/>
      <c r="ND3" s="183"/>
      <c r="NE3" s="183"/>
      <c r="NF3" s="183"/>
      <c r="NG3" s="183"/>
      <c r="NH3" s="183"/>
      <c r="NI3" s="183"/>
      <c r="NJ3" s="183"/>
      <c r="NK3" s="183"/>
      <c r="NL3" s="183"/>
      <c r="NM3" s="183"/>
      <c r="NN3" s="183"/>
      <c r="NO3" s="183"/>
      <c r="NP3" s="183"/>
      <c r="NQ3" s="183"/>
      <c r="NR3" s="183"/>
      <c r="NS3" s="183"/>
      <c r="NT3" s="183"/>
      <c r="NU3" s="183"/>
      <c r="NV3" s="183"/>
      <c r="NW3" s="183"/>
      <c r="NX3" s="183"/>
      <c r="NY3" s="183"/>
      <c r="NZ3" s="183"/>
      <c r="OA3" s="183"/>
      <c r="OB3" s="183"/>
      <c r="OC3" s="183"/>
      <c r="OD3" s="183"/>
      <c r="OE3" s="183"/>
      <c r="OF3" s="183"/>
      <c r="OG3" s="183"/>
      <c r="OH3" s="183"/>
      <c r="OI3" s="183"/>
      <c r="OJ3" s="183"/>
      <c r="OK3" s="183"/>
      <c r="OL3" s="183"/>
      <c r="OM3" s="183"/>
      <c r="ON3" s="183"/>
      <c r="OO3" s="183"/>
      <c r="OP3" s="183"/>
      <c r="OQ3" s="183"/>
      <c r="OR3" s="183"/>
      <c r="OS3" s="183"/>
      <c r="OT3" s="183"/>
      <c r="OU3" s="183"/>
      <c r="OV3" s="184"/>
      <c r="OW3" s="184"/>
      <c r="OX3" s="184"/>
      <c r="OY3" s="184"/>
      <c r="OZ3" s="184"/>
      <c r="PA3" s="184"/>
      <c r="PB3" s="184"/>
      <c r="PC3" s="184"/>
      <c r="PD3" s="184"/>
      <c r="PE3" s="184"/>
      <c r="PF3" s="184"/>
      <c r="PG3" s="183"/>
      <c r="PH3" s="183"/>
      <c r="PI3" s="183"/>
      <c r="PJ3" s="265"/>
      <c r="PK3" s="265"/>
      <c r="PL3" s="265"/>
      <c r="PM3" s="265"/>
      <c r="PN3" s="265"/>
      <c r="PO3" s="265"/>
      <c r="PP3" s="265"/>
      <c r="PQ3" s="183"/>
      <c r="PR3" s="183"/>
      <c r="PS3" s="183"/>
      <c r="PT3" s="183"/>
      <c r="PU3" s="183"/>
      <c r="PV3" s="183"/>
      <c r="PW3" s="183"/>
      <c r="PX3" s="183"/>
      <c r="PY3" s="183"/>
      <c r="PZ3" s="183"/>
      <c r="QA3" s="183"/>
      <c r="QB3" s="183"/>
      <c r="QC3" s="183"/>
      <c r="QD3" s="183"/>
      <c r="QE3" s="183"/>
      <c r="QF3" s="183"/>
      <c r="QG3" s="183"/>
      <c r="QH3" s="183"/>
      <c r="QI3" s="183"/>
      <c r="QJ3" s="183"/>
      <c r="QK3" s="183"/>
      <c r="QL3" s="183"/>
      <c r="QM3" s="183"/>
      <c r="QU3" s="225"/>
      <c r="QV3" s="225"/>
      <c r="QW3" s="225"/>
      <c r="QX3" s="225"/>
      <c r="QY3" s="183"/>
      <c r="QZ3" s="183"/>
      <c r="RA3" s="183"/>
      <c r="RB3" s="183"/>
      <c r="RC3" s="183"/>
      <c r="RD3" s="183"/>
      <c r="RE3" s="183"/>
      <c r="RF3" s="183"/>
      <c r="RG3" s="183"/>
      <c r="RH3" s="183"/>
      <c r="RI3" s="183"/>
      <c r="RJ3" s="183"/>
      <c r="RK3" s="183"/>
      <c r="RL3" s="183"/>
      <c r="RM3" s="183"/>
      <c r="RN3" s="183"/>
      <c r="RO3" s="210"/>
      <c r="RP3" s="183"/>
      <c r="RQ3" s="210"/>
      <c r="RR3" s="183"/>
      <c r="RS3" s="183"/>
      <c r="RT3" s="183"/>
      <c r="RU3" s="183"/>
    </row>
    <row r="4" spans="2:499" s="2617" customFormat="1" x14ac:dyDescent="0.2">
      <c r="B4" s="2981"/>
      <c r="C4" s="2981"/>
      <c r="D4" s="2981"/>
      <c r="E4" s="2981"/>
      <c r="R4" s="2686"/>
      <c r="S4" s="2686"/>
      <c r="T4" s="2686"/>
      <c r="AH4" s="183"/>
      <c r="AI4" s="183"/>
      <c r="AJ4" s="183"/>
      <c r="AK4" s="183"/>
      <c r="AL4" s="183"/>
      <c r="AM4" s="183"/>
      <c r="AN4" s="183"/>
      <c r="BA4" s="183"/>
      <c r="BB4" s="183"/>
      <c r="BC4" s="183"/>
      <c r="BD4" s="183"/>
      <c r="BE4" s="183"/>
      <c r="BF4" s="183"/>
      <c r="BG4" s="183"/>
      <c r="BH4" s="183"/>
      <c r="BI4" s="184"/>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5370"/>
      <c r="CN4" s="5370"/>
      <c r="CO4" s="5370"/>
      <c r="CP4" s="5370"/>
      <c r="CQ4" s="5370"/>
      <c r="CR4" s="5370"/>
      <c r="CS4" s="5370"/>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GH4" s="183"/>
      <c r="GI4" s="183"/>
      <c r="GJ4" s="183"/>
      <c r="GK4" s="183"/>
      <c r="GL4" s="183"/>
      <c r="GM4" s="183"/>
      <c r="GN4" s="183"/>
      <c r="GO4" s="183"/>
      <c r="GP4" s="183"/>
      <c r="GQ4" s="183"/>
      <c r="GR4" s="183"/>
      <c r="GS4" s="183"/>
      <c r="GT4" s="183"/>
      <c r="GU4" s="183"/>
      <c r="GV4" s="183"/>
      <c r="GW4" s="183"/>
      <c r="GX4" s="183"/>
      <c r="GY4" s="183"/>
      <c r="GZ4" s="183"/>
      <c r="HA4" s="183"/>
      <c r="HB4" s="183"/>
      <c r="HC4" s="183"/>
      <c r="HD4" s="183"/>
      <c r="HE4" s="183"/>
      <c r="HF4" s="183"/>
      <c r="HG4" s="183"/>
      <c r="HH4" s="183"/>
      <c r="HI4" s="183"/>
      <c r="HJ4" s="183"/>
      <c r="HK4" s="183"/>
      <c r="HL4" s="183"/>
      <c r="HM4" s="183"/>
      <c r="HN4" s="183"/>
      <c r="HO4" s="183"/>
      <c r="HP4" s="183"/>
      <c r="HQ4" s="183"/>
      <c r="HR4" s="183"/>
      <c r="HS4" s="183"/>
      <c r="HT4" s="183"/>
      <c r="HU4" s="183"/>
      <c r="HV4" s="183"/>
      <c r="HW4" s="183"/>
      <c r="HX4" s="183"/>
      <c r="HY4" s="183"/>
      <c r="HZ4" s="183"/>
      <c r="IA4" s="183"/>
      <c r="IB4" s="183"/>
      <c r="IC4" s="183"/>
      <c r="ID4" s="183"/>
      <c r="IE4" s="183"/>
      <c r="IF4" s="183"/>
      <c r="IG4" s="183"/>
      <c r="IH4" s="183"/>
      <c r="II4" s="183"/>
      <c r="IJ4" s="183"/>
      <c r="IK4" s="183"/>
      <c r="IL4" s="183"/>
      <c r="IM4" s="183"/>
      <c r="IN4" s="183"/>
      <c r="IO4" s="183"/>
      <c r="IP4" s="183"/>
      <c r="KH4" s="183"/>
      <c r="KI4" s="183"/>
      <c r="KJ4" s="183"/>
      <c r="KK4" s="183"/>
      <c r="KL4" s="183"/>
      <c r="KM4" s="183"/>
      <c r="KN4" s="183"/>
      <c r="KO4" s="183"/>
      <c r="KP4" s="183"/>
      <c r="KQ4" s="183"/>
      <c r="KR4" s="183"/>
      <c r="KS4" s="183"/>
      <c r="KT4" s="183"/>
      <c r="KU4" s="183"/>
      <c r="KV4" s="183"/>
      <c r="KW4" s="183"/>
      <c r="KX4" s="183"/>
      <c r="KY4" s="183"/>
      <c r="KZ4" s="183"/>
      <c r="LA4" s="183"/>
      <c r="LB4" s="183"/>
      <c r="LC4" s="183"/>
      <c r="LD4" s="183"/>
      <c r="LE4" s="183"/>
      <c r="LF4" s="183"/>
      <c r="LG4" s="183"/>
      <c r="LH4" s="183"/>
      <c r="LI4" s="183"/>
      <c r="LJ4" s="183"/>
      <c r="LK4" s="183"/>
      <c r="LL4" s="183"/>
      <c r="LM4" s="183"/>
      <c r="LN4" s="183"/>
      <c r="LO4" s="183"/>
      <c r="LP4" s="183"/>
      <c r="LQ4" s="183"/>
      <c r="LR4" s="183"/>
      <c r="LS4" s="183"/>
      <c r="LT4" s="183"/>
      <c r="LU4" s="183"/>
      <c r="LV4" s="183"/>
      <c r="LW4" s="183"/>
      <c r="LX4" s="183"/>
      <c r="LY4" s="183"/>
      <c r="LZ4" s="183"/>
      <c r="MA4" s="183"/>
      <c r="MB4" s="183"/>
      <c r="MC4" s="183"/>
      <c r="MD4" s="183"/>
      <c r="ME4" s="183"/>
      <c r="MF4" s="183"/>
      <c r="MG4" s="183"/>
      <c r="MH4" s="183"/>
      <c r="MI4" s="183"/>
      <c r="MJ4" s="183"/>
      <c r="MK4" s="183"/>
      <c r="ML4" s="183"/>
      <c r="MM4" s="183"/>
      <c r="MN4" s="183"/>
      <c r="MO4" s="183"/>
      <c r="MP4" s="183"/>
      <c r="MQ4" s="183"/>
      <c r="MR4" s="183"/>
      <c r="MS4" s="183"/>
      <c r="MT4" s="183"/>
      <c r="MU4" s="183"/>
      <c r="MV4" s="183"/>
      <c r="MW4" s="183"/>
      <c r="MX4" s="183"/>
      <c r="MY4" s="183"/>
      <c r="MZ4" s="183"/>
      <c r="NA4" s="183"/>
      <c r="NB4" s="183"/>
      <c r="NC4" s="183"/>
      <c r="ND4" s="183"/>
      <c r="NE4" s="183"/>
      <c r="NF4" s="183"/>
      <c r="NG4" s="183"/>
      <c r="NH4" s="183"/>
      <c r="NI4" s="183"/>
      <c r="NJ4" s="183"/>
      <c r="NK4" s="183"/>
      <c r="NL4" s="183"/>
      <c r="NM4" s="183"/>
      <c r="NN4" s="183"/>
      <c r="NO4" s="183"/>
      <c r="NP4" s="183"/>
      <c r="NQ4" s="183"/>
      <c r="NR4" s="183"/>
      <c r="NS4" s="183"/>
      <c r="NT4" s="183"/>
      <c r="NU4" s="183"/>
      <c r="NV4" s="183"/>
      <c r="NW4" s="183"/>
      <c r="NX4" s="183"/>
      <c r="NY4" s="183"/>
      <c r="NZ4" s="183"/>
      <c r="OA4" s="183"/>
      <c r="OB4" s="183"/>
      <c r="OC4" s="183"/>
      <c r="OD4" s="183"/>
      <c r="OE4" s="183"/>
      <c r="OF4" s="183"/>
      <c r="OG4" s="183"/>
      <c r="OH4" s="183"/>
      <c r="OI4" s="183"/>
      <c r="OJ4" s="183"/>
      <c r="OK4" s="183"/>
      <c r="OL4" s="183"/>
      <c r="OM4" s="183"/>
      <c r="ON4" s="183"/>
      <c r="OO4" s="183"/>
      <c r="OP4" s="183"/>
      <c r="OQ4" s="183"/>
      <c r="OR4" s="183"/>
      <c r="OS4" s="183"/>
      <c r="OT4" s="183"/>
      <c r="OU4" s="183"/>
      <c r="OV4" s="184"/>
      <c r="OW4" s="184"/>
      <c r="OX4" s="184"/>
      <c r="OY4" s="184"/>
      <c r="OZ4" s="184"/>
      <c r="PA4" s="184"/>
      <c r="PB4" s="184"/>
      <c r="PC4" s="184"/>
      <c r="PD4" s="184"/>
      <c r="PE4" s="184"/>
      <c r="PF4" s="184"/>
      <c r="PG4" s="183"/>
      <c r="PH4" s="183"/>
      <c r="PI4" s="183"/>
      <c r="PJ4" s="265"/>
      <c r="PK4" s="265"/>
      <c r="PL4" s="265"/>
      <c r="PM4" s="265"/>
      <c r="PN4" s="265"/>
      <c r="PO4" s="265"/>
      <c r="PP4" s="265"/>
      <c r="PQ4" s="183"/>
      <c r="PR4" s="183"/>
      <c r="PS4" s="183"/>
      <c r="PT4" s="183"/>
      <c r="PU4" s="183"/>
      <c r="PV4" s="183"/>
      <c r="PW4" s="183"/>
      <c r="PX4" s="183"/>
      <c r="PY4" s="183"/>
      <c r="PZ4" s="183"/>
      <c r="QA4" s="183"/>
      <c r="QB4" s="183"/>
      <c r="QC4" s="183"/>
      <c r="QD4" s="183"/>
      <c r="QE4" s="183"/>
      <c r="QF4" s="183"/>
      <c r="QG4" s="183"/>
      <c r="QH4" s="183"/>
      <c r="QI4" s="183"/>
      <c r="QJ4" s="183"/>
      <c r="QK4" s="183"/>
      <c r="QL4" s="183"/>
      <c r="QM4" s="183"/>
      <c r="QU4" s="183"/>
      <c r="QV4" s="183"/>
      <c r="QW4" s="183"/>
      <c r="QX4" s="183"/>
      <c r="QY4" s="183"/>
      <c r="QZ4" s="183"/>
      <c r="RA4" s="183"/>
      <c r="RB4" s="183"/>
      <c r="RC4" s="183"/>
      <c r="RD4" s="183"/>
      <c r="RE4" s="183"/>
      <c r="RF4" s="183"/>
      <c r="RG4" s="183"/>
      <c r="RH4" s="183"/>
      <c r="RI4" s="183"/>
      <c r="RJ4" s="183"/>
      <c r="RK4" s="183"/>
      <c r="RL4" s="183"/>
      <c r="RM4" s="183"/>
      <c r="RN4" s="183"/>
      <c r="RO4" s="183"/>
      <c r="RP4" s="183"/>
      <c r="RQ4" s="183"/>
      <c r="RR4" s="183"/>
      <c r="RS4" s="183"/>
      <c r="RT4" s="183"/>
      <c r="RU4" s="183"/>
      <c r="RW4" s="181"/>
      <c r="RX4" s="181"/>
      <c r="RY4" s="181"/>
      <c r="RZ4" s="181"/>
      <c r="SA4" s="181"/>
      <c r="SB4" s="181"/>
      <c r="SC4" s="181"/>
      <c r="SD4" s="181"/>
      <c r="SE4" s="181"/>
    </row>
    <row r="5" spans="2:499" s="2617" customFormat="1" x14ac:dyDescent="0.2">
      <c r="B5" s="2981"/>
      <c r="C5" s="2981"/>
      <c r="D5" s="2981"/>
      <c r="E5" s="2981"/>
      <c r="R5" s="2686"/>
      <c r="S5" s="2686"/>
      <c r="T5" s="2686"/>
      <c r="AH5" s="183"/>
      <c r="AI5" s="183"/>
      <c r="AJ5" s="183"/>
      <c r="AK5" s="183"/>
      <c r="AL5" s="183"/>
      <c r="AM5" s="183"/>
      <c r="AN5" s="183"/>
      <c r="BA5" s="183"/>
      <c r="BB5" s="183"/>
      <c r="BC5" s="183"/>
      <c r="BD5" s="183"/>
      <c r="BE5" s="183"/>
      <c r="BF5" s="183"/>
      <c r="BG5" s="183"/>
      <c r="BH5" s="183"/>
      <c r="BI5" s="184"/>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5370"/>
      <c r="CN5" s="5370"/>
      <c r="CO5" s="5370"/>
      <c r="CP5" s="5370"/>
      <c r="CQ5" s="5370"/>
      <c r="CR5" s="5370"/>
      <c r="CS5" s="5370"/>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DZ5" s="183"/>
      <c r="EA5" s="183"/>
      <c r="EB5" s="183"/>
      <c r="EC5" s="183"/>
      <c r="ED5" s="183"/>
      <c r="EE5" s="183"/>
      <c r="EF5" s="183"/>
      <c r="EG5" s="183"/>
      <c r="EH5" s="183"/>
      <c r="EI5" s="183"/>
      <c r="EJ5" s="183"/>
      <c r="EK5" s="183"/>
      <c r="EL5" s="183"/>
      <c r="EM5" s="183"/>
      <c r="EN5" s="183"/>
      <c r="EO5" s="183"/>
      <c r="EP5" s="183"/>
      <c r="EQ5" s="183"/>
      <c r="ER5" s="183"/>
      <c r="ES5" s="183"/>
      <c r="ET5" s="183"/>
      <c r="EU5" s="183"/>
      <c r="EV5" s="183"/>
      <c r="EW5" s="183"/>
      <c r="EX5" s="183"/>
      <c r="EY5" s="183"/>
      <c r="EZ5" s="183"/>
      <c r="FA5" s="183"/>
      <c r="FB5" s="183"/>
      <c r="FC5" s="183"/>
      <c r="FD5" s="183"/>
      <c r="FE5" s="183"/>
      <c r="FF5" s="183"/>
      <c r="FG5" s="183"/>
      <c r="FH5" s="183"/>
      <c r="FI5" s="183"/>
      <c r="FJ5" s="183"/>
      <c r="FK5" s="183"/>
      <c r="FL5" s="183"/>
      <c r="FM5" s="183"/>
      <c r="FN5" s="183"/>
      <c r="GH5" s="414"/>
      <c r="GI5" s="183"/>
      <c r="GJ5" s="183"/>
      <c r="GK5" s="183"/>
      <c r="GL5" s="183"/>
      <c r="GM5" s="183"/>
      <c r="GN5" s="183"/>
      <c r="GO5" s="183"/>
      <c r="GP5" s="183"/>
      <c r="GQ5" s="183"/>
      <c r="GR5" s="183"/>
      <c r="GS5" s="183"/>
      <c r="GT5" s="183"/>
      <c r="GU5" s="183"/>
      <c r="GV5" s="183"/>
      <c r="GW5" s="183"/>
      <c r="GX5" s="183"/>
      <c r="GY5" s="183"/>
      <c r="GZ5" s="183"/>
      <c r="HA5" s="183"/>
      <c r="HB5" s="183"/>
      <c r="HC5" s="183"/>
      <c r="HD5" s="183"/>
      <c r="HE5" s="183"/>
      <c r="HF5" s="183"/>
      <c r="HG5" s="183"/>
      <c r="HH5" s="183"/>
      <c r="HI5" s="183"/>
      <c r="HJ5" s="183"/>
      <c r="HK5" s="183"/>
      <c r="HL5" s="183"/>
      <c r="HM5" s="183"/>
      <c r="HN5" s="183"/>
      <c r="HO5" s="183"/>
      <c r="HP5" s="183"/>
      <c r="HQ5" s="183"/>
      <c r="HR5" s="183"/>
      <c r="HS5" s="183"/>
      <c r="HT5" s="183"/>
      <c r="HU5" s="183"/>
      <c r="HV5" s="183"/>
      <c r="HW5" s="183"/>
      <c r="HX5" s="183"/>
      <c r="HY5" s="183"/>
      <c r="HZ5" s="183"/>
      <c r="IA5" s="183"/>
      <c r="IB5" s="183"/>
      <c r="IC5" s="183"/>
      <c r="ID5" s="183"/>
      <c r="IE5" s="183"/>
      <c r="IF5" s="183"/>
      <c r="IG5" s="183"/>
      <c r="IH5" s="183"/>
      <c r="II5" s="183"/>
      <c r="IJ5" s="183"/>
      <c r="IK5" s="183"/>
      <c r="IL5" s="183"/>
      <c r="IM5" s="183"/>
      <c r="IN5" s="183"/>
      <c r="IO5" s="183"/>
      <c r="IP5" s="183"/>
      <c r="KH5" s="183"/>
      <c r="KI5" s="183"/>
      <c r="KJ5" s="183"/>
      <c r="KK5" s="183"/>
      <c r="KL5" s="183"/>
      <c r="KM5" s="183"/>
      <c r="KN5" s="183"/>
      <c r="KO5" s="183"/>
      <c r="KP5" s="183"/>
      <c r="KQ5" s="183"/>
      <c r="KR5" s="183"/>
      <c r="KS5" s="183"/>
      <c r="KT5" s="183"/>
      <c r="KU5" s="183"/>
      <c r="KV5" s="183"/>
      <c r="KW5" s="183"/>
      <c r="KX5" s="183"/>
      <c r="KY5" s="183"/>
      <c r="KZ5" s="183"/>
      <c r="LA5" s="183"/>
      <c r="LB5" s="183"/>
      <c r="LC5" s="183"/>
      <c r="LD5" s="183"/>
      <c r="LE5" s="183"/>
      <c r="LF5" s="183"/>
      <c r="LG5" s="183"/>
      <c r="LH5" s="183"/>
      <c r="LI5" s="183"/>
      <c r="LJ5" s="183"/>
      <c r="LK5" s="183"/>
      <c r="LL5" s="183"/>
      <c r="LM5" s="183"/>
      <c r="LN5" s="183"/>
      <c r="LO5" s="183"/>
      <c r="LP5" s="183"/>
      <c r="LQ5" s="183"/>
      <c r="LR5" s="183"/>
      <c r="LS5" s="183"/>
      <c r="LT5" s="183"/>
      <c r="LU5" s="183"/>
      <c r="LV5" s="183"/>
      <c r="LW5" s="183"/>
      <c r="LX5" s="183"/>
      <c r="LY5" s="183"/>
      <c r="LZ5" s="183"/>
      <c r="MA5" s="183"/>
      <c r="MB5" s="183"/>
      <c r="MC5" s="183"/>
      <c r="MD5" s="183"/>
      <c r="ME5" s="183"/>
      <c r="MF5" s="183"/>
      <c r="MG5" s="183"/>
      <c r="MH5" s="183"/>
      <c r="MI5" s="183"/>
      <c r="MJ5" s="183"/>
      <c r="MK5" s="183"/>
      <c r="ML5" s="183"/>
      <c r="MM5" s="183"/>
      <c r="MN5" s="183"/>
      <c r="MO5" s="183"/>
      <c r="MP5" s="183"/>
      <c r="MQ5" s="183"/>
      <c r="MR5" s="183"/>
      <c r="MS5" s="183"/>
      <c r="MT5" s="183"/>
      <c r="MU5" s="183"/>
      <c r="MV5" s="183"/>
      <c r="MW5" s="183"/>
      <c r="MX5" s="183"/>
      <c r="MY5" s="183"/>
      <c r="MZ5" s="183"/>
      <c r="NA5" s="183"/>
      <c r="NB5" s="183"/>
      <c r="NC5" s="183"/>
      <c r="ND5" s="183"/>
      <c r="NE5" s="183"/>
      <c r="NF5" s="183"/>
      <c r="NG5" s="183"/>
      <c r="NH5" s="183"/>
      <c r="NI5" s="1567"/>
      <c r="NJ5" s="183"/>
      <c r="NK5" s="183"/>
      <c r="NL5" s="183"/>
      <c r="NM5" s="183"/>
      <c r="NN5" s="183"/>
      <c r="NO5" s="183"/>
      <c r="NP5" s="183"/>
      <c r="NQ5" s="183"/>
      <c r="NR5" s="183"/>
      <c r="NS5" s="183"/>
      <c r="NT5" s="183"/>
      <c r="NU5" s="183"/>
      <c r="NV5" s="183"/>
      <c r="NW5" s="183"/>
      <c r="NX5" s="183"/>
      <c r="NY5" s="183"/>
      <c r="NZ5" s="183"/>
      <c r="OA5" s="183"/>
      <c r="OB5" s="183"/>
      <c r="OC5" s="183"/>
      <c r="OD5" s="183"/>
      <c r="OE5" s="183"/>
      <c r="OF5" s="183"/>
      <c r="OG5" s="183"/>
      <c r="OH5" s="183"/>
      <c r="OI5" s="183"/>
      <c r="OJ5" s="183"/>
      <c r="OK5" s="183"/>
      <c r="OL5" s="183"/>
      <c r="OM5" s="183"/>
      <c r="ON5" s="183"/>
      <c r="OO5" s="183"/>
      <c r="OP5" s="183"/>
      <c r="OQ5" s="183"/>
      <c r="OR5" s="183"/>
      <c r="OS5" s="183"/>
      <c r="OT5" s="183"/>
      <c r="OU5" s="183"/>
      <c r="OV5" s="184"/>
      <c r="OW5" s="184"/>
      <c r="OX5" s="184"/>
      <c r="OY5" s="184"/>
      <c r="OZ5" s="184"/>
      <c r="PA5" s="184"/>
      <c r="PB5" s="184"/>
      <c r="PC5" s="184"/>
      <c r="PD5" s="184"/>
      <c r="PE5" s="184"/>
      <c r="PF5" s="184"/>
      <c r="PG5" s="183"/>
      <c r="PH5" s="183"/>
      <c r="PI5" s="183"/>
      <c r="PJ5" s="265"/>
      <c r="PK5" s="265"/>
      <c r="PL5" s="265"/>
      <c r="PM5" s="265"/>
      <c r="PN5" s="265"/>
      <c r="PO5" s="265"/>
      <c r="PP5" s="265"/>
      <c r="PQ5" s="183"/>
      <c r="PR5" s="183"/>
      <c r="PS5" s="183"/>
      <c r="PT5" s="183"/>
      <c r="PU5" s="183"/>
      <c r="PV5" s="183"/>
      <c r="PW5" s="183"/>
      <c r="PX5" s="183"/>
      <c r="PY5" s="183"/>
      <c r="PZ5" s="183"/>
      <c r="QA5" s="183"/>
      <c r="QB5" s="183"/>
      <c r="QC5" s="183"/>
      <c r="QD5" s="183"/>
      <c r="QE5" s="183"/>
      <c r="QF5" s="183"/>
      <c r="QG5" s="183"/>
      <c r="QH5" s="183"/>
      <c r="QI5" s="183"/>
      <c r="QJ5" s="183"/>
      <c r="QK5" s="183"/>
      <c r="QL5" s="183"/>
      <c r="QM5" s="183"/>
      <c r="QU5" s="183"/>
      <c r="QV5" s="183"/>
      <c r="QW5" s="183"/>
      <c r="QX5" s="183"/>
      <c r="QY5" s="183"/>
      <c r="QZ5" s="183"/>
      <c r="RA5" s="183"/>
      <c r="RB5" s="183"/>
      <c r="RC5" s="183"/>
      <c r="RD5" s="183"/>
      <c r="RE5" s="183"/>
      <c r="RF5" s="183"/>
      <c r="RS5" s="183"/>
      <c r="RT5" s="183"/>
      <c r="RU5" s="183"/>
      <c r="RW5" s="181"/>
      <c r="RX5" s="181"/>
      <c r="RY5" s="181"/>
      <c r="RZ5" s="181"/>
      <c r="SA5" s="181"/>
      <c r="SB5" s="181"/>
      <c r="SC5" s="181"/>
      <c r="SD5" s="181"/>
      <c r="SE5" s="181"/>
    </row>
    <row r="6" spans="2:499" s="5252" customFormat="1" ht="30.75" customHeight="1" x14ac:dyDescent="0.2">
      <c r="B6" s="7213" t="s">
        <v>1544</v>
      </c>
      <c r="C6" s="7213"/>
      <c r="D6" s="7213"/>
      <c r="E6" s="6130"/>
      <c r="F6" s="5251"/>
      <c r="G6" s="5251"/>
      <c r="H6" s="5251"/>
      <c r="I6" s="5251"/>
      <c r="J6" s="5251"/>
      <c r="K6" s="5251"/>
      <c r="L6" s="6013"/>
      <c r="R6" s="370" t="s">
        <v>246</v>
      </c>
      <c r="S6" s="6008"/>
      <c r="T6" s="370"/>
      <c r="U6" s="5202"/>
      <c r="V6" s="5202"/>
      <c r="W6" s="5202"/>
      <c r="AH6" s="370" t="s">
        <v>415</v>
      </c>
      <c r="AI6" s="370"/>
      <c r="AJ6" s="370"/>
      <c r="AK6" s="5202"/>
      <c r="AL6" s="5202"/>
      <c r="AM6" s="5202"/>
      <c r="AN6" s="5202"/>
      <c r="BA6" s="5202"/>
      <c r="BB6" s="7215" t="s">
        <v>81</v>
      </c>
      <c r="BC6" s="7215"/>
      <c r="BD6" s="7215"/>
      <c r="BE6" s="5202"/>
      <c r="BF6" s="5202"/>
      <c r="BG6" s="5202"/>
      <c r="BH6" s="5202"/>
      <c r="BI6" s="5202"/>
      <c r="BJ6" s="5202"/>
      <c r="BK6" s="5202"/>
      <c r="BL6" s="5202"/>
      <c r="BM6" s="5202"/>
      <c r="BN6" s="5202"/>
      <c r="BO6" s="5202"/>
      <c r="BP6" s="5202"/>
      <c r="BQ6" s="5202"/>
      <c r="BR6" s="5202"/>
      <c r="BS6" s="5202"/>
      <c r="BT6" s="5202"/>
      <c r="BU6" s="5202"/>
      <c r="BV6" s="5202"/>
      <c r="BW6" s="5202"/>
      <c r="BX6" s="5202"/>
      <c r="BY6" s="5202"/>
      <c r="BZ6" s="5202"/>
      <c r="CA6" s="5202"/>
      <c r="CB6" s="5202"/>
      <c r="CC6" s="5202"/>
      <c r="CD6" s="5202"/>
      <c r="CE6" s="5202"/>
      <c r="CF6" s="5202"/>
      <c r="CG6" s="5202"/>
      <c r="CH6" s="5202"/>
      <c r="CI6" s="5202"/>
      <c r="CJ6" s="5202"/>
      <c r="CK6" s="5202"/>
      <c r="CL6" s="5202"/>
      <c r="CM6" s="7225" t="s">
        <v>2393</v>
      </c>
      <c r="CN6" s="7225"/>
      <c r="CO6" s="7225"/>
      <c r="CP6" s="7225"/>
      <c r="CQ6" s="7225"/>
      <c r="CR6" s="7225"/>
      <c r="CS6" s="7225"/>
      <c r="CT6" s="5202"/>
      <c r="CU6" s="5202"/>
      <c r="CV6" s="5202"/>
      <c r="CW6" s="5202"/>
      <c r="CX6" s="5202"/>
      <c r="CY6" s="5202"/>
      <c r="CZ6" s="5202"/>
      <c r="DA6" s="5202"/>
      <c r="DB6" s="5202"/>
      <c r="DC6" s="5202"/>
      <c r="DD6" s="5202"/>
      <c r="DE6" s="5202"/>
      <c r="DF6" s="5202"/>
      <c r="DG6" s="5202"/>
      <c r="DH6" s="5202"/>
      <c r="DI6" s="5202"/>
      <c r="DJ6" s="5202"/>
      <c r="DK6" s="5202"/>
      <c r="DL6" s="5202"/>
      <c r="DM6" s="5202"/>
      <c r="DN6" s="5202"/>
      <c r="DO6" s="5202"/>
      <c r="DP6" s="5202"/>
      <c r="DQ6" s="5202"/>
      <c r="DR6" s="7216" t="s">
        <v>299</v>
      </c>
      <c r="DS6" s="7216"/>
      <c r="DT6" s="7216"/>
      <c r="DU6" s="5202"/>
      <c r="DV6" s="5202"/>
      <c r="DW6" s="5202"/>
      <c r="DX6" s="5202"/>
      <c r="DY6" s="5202"/>
      <c r="DZ6" s="5202"/>
      <c r="EA6" s="5202"/>
      <c r="EB6" s="5202"/>
      <c r="EC6" s="5202"/>
      <c r="ED6" s="5202"/>
      <c r="EE6" s="5202"/>
      <c r="EF6" s="5202"/>
      <c r="EG6" s="5202"/>
      <c r="EH6" s="5202"/>
      <c r="EI6" s="5202"/>
      <c r="EJ6" s="5202"/>
      <c r="EK6" s="5202"/>
      <c r="EL6" s="5202"/>
      <c r="EM6" s="5202"/>
      <c r="EN6" s="5202"/>
      <c r="EO6" s="5202"/>
      <c r="EP6" s="5202"/>
      <c r="EQ6" s="5202"/>
      <c r="ER6" s="7214" t="s">
        <v>322</v>
      </c>
      <c r="ES6" s="7214"/>
      <c r="ET6" s="7214"/>
      <c r="EU6" s="5202"/>
      <c r="EV6" s="5202"/>
      <c r="EW6" s="5202"/>
      <c r="EX6" s="5202"/>
      <c r="EY6" s="5202"/>
      <c r="EZ6" s="5202"/>
      <c r="FA6" s="5202"/>
      <c r="FB6" s="5202"/>
      <c r="FC6" s="5202"/>
      <c r="FD6" s="5202"/>
      <c r="FE6" s="5202"/>
      <c r="FF6" s="5202"/>
      <c r="FG6" s="5202"/>
      <c r="FH6" s="5202"/>
      <c r="FI6" s="5202"/>
      <c r="FJ6" s="5202"/>
      <c r="FK6" s="5202"/>
      <c r="FL6" s="5202"/>
      <c r="FM6" s="5202"/>
      <c r="FN6" s="5202"/>
      <c r="GH6" s="5253"/>
      <c r="GI6" s="5202"/>
      <c r="GJ6" s="7223" t="s">
        <v>439</v>
      </c>
      <c r="GK6" s="7223"/>
      <c r="GL6" s="7223"/>
      <c r="GM6" s="6012"/>
      <c r="GN6" s="6012"/>
      <c r="GO6" s="5202"/>
      <c r="GP6" s="5202"/>
      <c r="GQ6" s="5202"/>
      <c r="GR6" s="5202"/>
      <c r="GS6" s="5202"/>
      <c r="GT6" s="5202"/>
      <c r="GU6" s="5202"/>
      <c r="GV6" s="5202"/>
      <c r="GW6" s="5202"/>
      <c r="GX6" s="5202"/>
      <c r="GY6" s="5202"/>
      <c r="GZ6" s="5202"/>
      <c r="HA6" s="5202"/>
      <c r="HB6" s="5202"/>
      <c r="HC6" s="5202"/>
      <c r="HD6" s="5202"/>
      <c r="HE6" s="5202"/>
      <c r="HF6" s="5202"/>
      <c r="HG6" s="5202"/>
      <c r="HH6" s="5254" t="s">
        <v>258</v>
      </c>
      <c r="HI6" s="5202"/>
      <c r="HJ6" s="5202"/>
      <c r="HK6" s="5202"/>
      <c r="IE6" s="5202"/>
      <c r="IF6" s="5202"/>
      <c r="IG6" s="5202"/>
      <c r="IH6" s="1757" t="s">
        <v>115</v>
      </c>
      <c r="II6" s="1757"/>
      <c r="IJ6" s="1757"/>
      <c r="IK6" s="1757"/>
      <c r="IL6" s="1757"/>
      <c r="IM6" s="1757"/>
      <c r="IN6" s="207"/>
      <c r="IO6" s="207"/>
      <c r="IP6" s="207"/>
      <c r="IQ6" s="207"/>
      <c r="IR6" s="207"/>
      <c r="IS6" s="207"/>
      <c r="IT6" s="207"/>
      <c r="IU6" s="207"/>
      <c r="IV6" s="207"/>
      <c r="IW6" s="207"/>
      <c r="IX6" s="207"/>
      <c r="IY6" s="207"/>
      <c r="IZ6" s="207"/>
      <c r="JA6" s="207"/>
      <c r="JB6" s="207"/>
      <c r="JC6" s="207"/>
      <c r="JD6" s="207"/>
      <c r="JE6" s="207"/>
      <c r="JF6" s="207"/>
      <c r="JG6" s="207"/>
      <c r="JH6" s="207"/>
      <c r="JI6" s="207"/>
      <c r="JJ6" s="207"/>
      <c r="JK6" s="207"/>
      <c r="JL6" s="207"/>
      <c r="JM6" s="207"/>
      <c r="JN6" s="207"/>
      <c r="JO6" s="207"/>
      <c r="JP6" s="207"/>
      <c r="JQ6" s="207"/>
      <c r="JR6" s="207"/>
      <c r="JS6" s="207"/>
      <c r="JT6" s="207"/>
      <c r="JU6" s="207"/>
      <c r="JV6" s="207"/>
      <c r="JW6" s="207"/>
      <c r="JX6" s="207"/>
      <c r="JY6" s="207"/>
      <c r="JZ6" s="207"/>
      <c r="KA6" s="207"/>
      <c r="KB6" s="207"/>
      <c r="KC6" s="207"/>
      <c r="KD6" s="207"/>
      <c r="KE6" s="207"/>
      <c r="KF6" s="207"/>
      <c r="KH6" s="5202"/>
      <c r="KI6" s="5202"/>
      <c r="KJ6" s="5202"/>
      <c r="KK6" s="5202"/>
      <c r="KL6" s="5202"/>
      <c r="KM6" s="5202"/>
      <c r="KN6" s="5202"/>
      <c r="KO6" s="5275" t="s">
        <v>2264</v>
      </c>
      <c r="KP6" s="5275"/>
      <c r="KQ6" s="5275"/>
      <c r="KR6" s="5275"/>
      <c r="KS6" s="5275"/>
      <c r="KT6" s="5275"/>
      <c r="KU6" s="5275"/>
      <c r="KV6" s="5275"/>
      <c r="KW6" s="5275"/>
      <c r="KX6" s="5275"/>
      <c r="KY6" s="5275"/>
      <c r="KZ6" s="5275"/>
      <c r="LA6" s="5275"/>
      <c r="LB6" s="5202"/>
      <c r="LC6" s="5202"/>
      <c r="LD6" s="5202"/>
      <c r="LE6" s="5202"/>
      <c r="LF6" s="5202"/>
      <c r="LG6" s="5202"/>
      <c r="LH6" s="5202"/>
      <c r="LI6" s="5202"/>
      <c r="LJ6" s="364" t="s">
        <v>150</v>
      </c>
      <c r="LK6" s="364"/>
      <c r="LL6" s="364"/>
      <c r="LM6" s="5202"/>
      <c r="LN6" s="5202"/>
      <c r="LO6" s="5202"/>
      <c r="LP6" s="5202"/>
      <c r="LQ6" s="5202"/>
      <c r="LR6" s="5202"/>
      <c r="LS6" s="5202"/>
      <c r="LT6" s="5202"/>
      <c r="LU6" s="5202"/>
      <c r="LV6" s="5202"/>
      <c r="LW6" s="5202"/>
      <c r="LX6" s="5202"/>
      <c r="LY6" s="5202"/>
      <c r="LZ6" s="5202"/>
      <c r="MA6" s="5202"/>
      <c r="MB6" s="5202"/>
      <c r="MC6" s="5202"/>
      <c r="MD6" s="5202"/>
      <c r="ME6" s="5202"/>
      <c r="MF6" s="5202"/>
      <c r="MG6" s="5202"/>
      <c r="MH6" s="5202"/>
      <c r="MI6" s="5202"/>
      <c r="MJ6" s="5202"/>
      <c r="MK6" s="5202"/>
      <c r="ML6" s="5202"/>
      <c r="MM6" s="5202"/>
      <c r="MN6" s="5202"/>
      <c r="MO6" s="5202"/>
      <c r="MP6" s="5202"/>
      <c r="MQ6" s="5202"/>
      <c r="MR6" s="5202"/>
      <c r="MS6" s="5202"/>
      <c r="MT6" s="5202"/>
      <c r="MU6" s="5202"/>
      <c r="MV6" s="5202"/>
      <c r="MW6" s="5202"/>
      <c r="MX6" s="5202"/>
      <c r="MY6" s="5202"/>
      <c r="MZ6" s="5202"/>
      <c r="NA6" s="5202"/>
      <c r="NB6" s="5202"/>
      <c r="NC6" s="5202"/>
      <c r="ND6" s="5202"/>
      <c r="NE6" s="5202"/>
      <c r="NF6" s="5202"/>
      <c r="NG6" s="5202"/>
      <c r="NH6" s="5202"/>
      <c r="NI6" s="5255"/>
      <c r="NJ6" s="5202"/>
      <c r="NK6" s="5202"/>
      <c r="NL6" s="5202"/>
      <c r="NM6" s="5202"/>
      <c r="NN6" s="7224" t="s">
        <v>429</v>
      </c>
      <c r="NO6" s="7224"/>
      <c r="NP6" s="7224"/>
      <c r="NQ6" s="5202"/>
      <c r="NR6" s="5202"/>
      <c r="NS6" s="5202"/>
      <c r="NT6" s="5202"/>
      <c r="NU6" s="5202"/>
      <c r="NV6" s="5202"/>
      <c r="NW6" s="5202"/>
      <c r="NX6" s="5202"/>
      <c r="NY6" s="5202"/>
      <c r="NZ6" s="5202"/>
      <c r="OA6" s="5202"/>
      <c r="OB6" s="5202"/>
      <c r="OC6" s="5202"/>
      <c r="OD6" s="5202"/>
      <c r="OE6" s="5202"/>
      <c r="OF6" s="5202"/>
      <c r="OG6" s="5202"/>
      <c r="OH6" s="5202"/>
      <c r="OI6" s="5202"/>
      <c r="OJ6" s="5202"/>
      <c r="OK6" s="5202"/>
      <c r="OL6" s="5202"/>
      <c r="OM6" s="5202"/>
      <c r="ON6" s="5202"/>
      <c r="OO6" s="5202"/>
      <c r="OP6" s="5202"/>
      <c r="OQ6" s="5202"/>
      <c r="OR6" s="5202"/>
      <c r="OS6" s="5202"/>
      <c r="OT6" s="5202"/>
      <c r="OU6" s="5202"/>
      <c r="OV6" s="5202"/>
      <c r="OW6" s="5202"/>
      <c r="OX6" s="5202"/>
      <c r="OY6" s="5202"/>
      <c r="OZ6" s="5202"/>
      <c r="PA6" s="5202"/>
      <c r="PB6" s="5202"/>
      <c r="PC6" s="5202"/>
      <c r="PD6" s="5202"/>
      <c r="PE6" s="5202"/>
      <c r="PF6" s="5202"/>
      <c r="PG6" s="5202"/>
      <c r="PH6" s="5202"/>
      <c r="PI6" s="5202"/>
      <c r="PJ6" s="5202"/>
      <c r="PK6" s="5202"/>
      <c r="PL6" s="5202"/>
      <c r="PM6" s="5202"/>
      <c r="PN6" s="5202"/>
      <c r="PO6" s="5202"/>
      <c r="PP6" s="5202"/>
      <c r="PQ6" s="5202"/>
      <c r="PR6" s="5202"/>
      <c r="PS6" s="5202"/>
      <c r="PT6" s="5202"/>
      <c r="PU6" s="5202"/>
      <c r="PV6" s="5202"/>
      <c r="PW6" s="5202"/>
      <c r="PX6" s="5202"/>
      <c r="PY6" s="5202"/>
      <c r="PZ6" s="5202"/>
      <c r="QA6" s="5202"/>
      <c r="QB6" s="5202"/>
      <c r="QC6" s="5202"/>
      <c r="QD6" s="5202"/>
      <c r="QE6" s="5202"/>
      <c r="QF6" s="5202"/>
      <c r="QG6" s="5202"/>
      <c r="QH6" s="5202"/>
      <c r="QI6" s="5202"/>
      <c r="QJ6" s="5202"/>
      <c r="QK6" s="5202"/>
      <c r="QL6" s="5202"/>
      <c r="QM6" s="5202"/>
      <c r="QU6" s="5202"/>
      <c r="QV6" s="5202"/>
      <c r="QW6" s="5202"/>
      <c r="QX6" s="5202"/>
      <c r="QY6" s="5202"/>
      <c r="QZ6" s="5202"/>
      <c r="RA6" s="5202"/>
      <c r="RB6" s="5202"/>
      <c r="RC6" s="5202"/>
      <c r="RD6" s="5202"/>
      <c r="RE6" s="5202"/>
      <c r="RF6" s="5202"/>
      <c r="RS6" s="5202"/>
      <c r="RT6" s="5202"/>
      <c r="RU6" s="5202"/>
      <c r="RW6" s="5257"/>
      <c r="RX6" s="5257"/>
      <c r="RY6" s="5257"/>
      <c r="RZ6" s="5257"/>
      <c r="SA6" s="5257"/>
      <c r="SB6" s="5257"/>
      <c r="SC6" s="5257"/>
      <c r="SD6" s="5257"/>
      <c r="SE6" s="5257"/>
    </row>
    <row r="7" spans="2:499" s="2617" customFormat="1" x14ac:dyDescent="0.2">
      <c r="B7" s="2981"/>
      <c r="C7" s="2981"/>
      <c r="D7" s="2981"/>
      <c r="E7" s="2981"/>
      <c r="R7" s="2686"/>
      <c r="S7" s="2686"/>
      <c r="T7" s="2686"/>
      <c r="AH7" s="183"/>
      <c r="AI7" s="183"/>
      <c r="AJ7" s="183"/>
      <c r="AK7" s="183"/>
      <c r="AL7" s="183"/>
      <c r="AM7" s="183"/>
      <c r="AN7" s="183"/>
      <c r="BA7" s="183"/>
      <c r="BB7" s="183"/>
      <c r="BC7" s="183"/>
      <c r="BD7" s="183"/>
      <c r="BE7" s="183"/>
      <c r="BF7" s="183"/>
      <c r="BG7" s="183"/>
      <c r="BH7" s="183"/>
      <c r="BI7" s="184"/>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5370"/>
      <c r="CN7" s="5370"/>
      <c r="CO7" s="5370"/>
      <c r="CP7" s="5370"/>
      <c r="CQ7" s="5370"/>
      <c r="CR7" s="5370"/>
      <c r="CS7" s="5370"/>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GH7" s="414"/>
      <c r="GI7" s="183"/>
      <c r="GJ7" s="183"/>
      <c r="GK7" s="183"/>
      <c r="GL7" s="183"/>
      <c r="GM7" s="183"/>
      <c r="GN7" s="183"/>
      <c r="GO7" s="183"/>
      <c r="GP7" s="183"/>
      <c r="GQ7" s="183"/>
      <c r="GR7" s="183"/>
      <c r="GS7" s="183"/>
      <c r="GT7" s="183"/>
      <c r="GU7" s="183"/>
      <c r="GV7" s="183"/>
      <c r="GW7" s="183"/>
      <c r="GX7" s="183"/>
      <c r="GY7" s="183"/>
      <c r="GZ7" s="183"/>
      <c r="HA7" s="183"/>
      <c r="HB7" s="183"/>
      <c r="HC7" s="183"/>
      <c r="HD7" s="183"/>
      <c r="HE7" s="183"/>
      <c r="HF7" s="183"/>
      <c r="HG7" s="183"/>
      <c r="HH7" s="183"/>
      <c r="HI7" s="183"/>
      <c r="HJ7" s="183"/>
      <c r="HK7" s="183"/>
      <c r="HL7" s="183"/>
      <c r="HM7" s="183"/>
      <c r="HN7" s="183"/>
      <c r="HO7" s="183"/>
      <c r="HP7" s="183"/>
      <c r="HQ7" s="183"/>
      <c r="HR7" s="183"/>
      <c r="HS7" s="183"/>
      <c r="HT7" s="183"/>
      <c r="HU7" s="183"/>
      <c r="HV7" s="183"/>
      <c r="HW7" s="183"/>
      <c r="HX7" s="183"/>
      <c r="HY7" s="183"/>
      <c r="HZ7" s="183"/>
      <c r="IA7" s="183"/>
      <c r="IB7" s="183"/>
      <c r="IC7" s="183"/>
      <c r="ID7" s="183"/>
      <c r="IE7" s="183"/>
      <c r="IF7" s="183"/>
      <c r="IG7" s="183"/>
      <c r="IH7" s="183"/>
      <c r="II7" s="183"/>
      <c r="IJ7" s="183"/>
      <c r="IK7" s="183"/>
      <c r="IL7" s="183"/>
      <c r="IM7" s="183"/>
      <c r="IN7" s="183"/>
      <c r="IO7" s="183"/>
      <c r="IP7" s="183"/>
      <c r="IQ7" s="183"/>
      <c r="IR7" s="183"/>
      <c r="IS7" s="183"/>
      <c r="IT7" s="183"/>
      <c r="IU7" s="183"/>
      <c r="IV7" s="183"/>
      <c r="IW7" s="183"/>
      <c r="IX7" s="183"/>
      <c r="IY7" s="183"/>
      <c r="IZ7" s="183"/>
      <c r="JA7" s="183"/>
      <c r="JB7" s="183"/>
      <c r="JC7" s="183"/>
      <c r="JD7" s="183"/>
      <c r="JE7" s="183"/>
      <c r="JF7" s="183"/>
      <c r="JG7" s="183"/>
      <c r="JH7" s="183"/>
      <c r="JI7" s="183"/>
      <c r="JJ7" s="183"/>
      <c r="JK7" s="183"/>
      <c r="JL7" s="183"/>
      <c r="JM7" s="183"/>
      <c r="JN7" s="183"/>
      <c r="JO7" s="183"/>
      <c r="JP7" s="183"/>
      <c r="JQ7" s="183"/>
      <c r="JR7" s="183"/>
      <c r="JS7" s="183"/>
      <c r="JT7" s="183"/>
      <c r="JU7" s="183"/>
      <c r="JV7" s="183"/>
      <c r="JW7" s="183"/>
      <c r="JX7" s="183"/>
      <c r="JY7" s="183"/>
      <c r="JZ7" s="183"/>
      <c r="KA7" s="183"/>
      <c r="KB7" s="183"/>
      <c r="KC7" s="183"/>
      <c r="KD7" s="183"/>
      <c r="KE7" s="183"/>
      <c r="KF7" s="183"/>
      <c r="KH7" s="183"/>
      <c r="KI7" s="183"/>
      <c r="KJ7" s="183"/>
      <c r="KK7" s="183"/>
      <c r="KL7" s="183"/>
      <c r="KM7" s="183"/>
      <c r="KN7" s="183"/>
      <c r="KO7" s="183"/>
      <c r="KP7" s="183"/>
      <c r="KQ7" s="183"/>
      <c r="KR7" s="183"/>
      <c r="KS7" s="183"/>
      <c r="KT7" s="183"/>
      <c r="KU7" s="183"/>
      <c r="KV7" s="183"/>
      <c r="KW7" s="183"/>
      <c r="KX7" s="183"/>
      <c r="KY7" s="183"/>
      <c r="KZ7" s="183"/>
      <c r="LA7" s="183"/>
      <c r="LB7" s="183"/>
      <c r="LC7" s="183"/>
      <c r="LD7" s="183"/>
      <c r="LE7" s="183"/>
      <c r="LF7" s="183"/>
      <c r="LG7" s="183"/>
      <c r="LH7" s="183"/>
      <c r="LI7" s="183"/>
      <c r="LJ7" s="183"/>
      <c r="LK7" s="183"/>
      <c r="LL7" s="183"/>
      <c r="LM7" s="183"/>
      <c r="LN7" s="183"/>
      <c r="LO7" s="183"/>
      <c r="LP7" s="183"/>
      <c r="LQ7" s="183"/>
      <c r="LR7" s="183"/>
      <c r="LS7" s="183"/>
      <c r="LT7" s="183"/>
      <c r="LU7" s="183"/>
      <c r="LV7" s="183"/>
      <c r="LW7" s="183"/>
      <c r="LX7" s="183"/>
      <c r="LY7" s="183"/>
      <c r="LZ7" s="183"/>
      <c r="MA7" s="183"/>
      <c r="MB7" s="183"/>
      <c r="MC7" s="183"/>
      <c r="MD7" s="183"/>
      <c r="ME7" s="183"/>
      <c r="MF7" s="183"/>
      <c r="MG7" s="183"/>
      <c r="MH7" s="183"/>
      <c r="MI7" s="183"/>
      <c r="MJ7" s="183"/>
      <c r="MK7" s="183"/>
      <c r="ML7" s="183"/>
      <c r="MM7" s="183"/>
      <c r="MN7" s="183"/>
      <c r="MO7" s="183"/>
      <c r="MP7" s="183"/>
      <c r="MQ7" s="183"/>
      <c r="MR7" s="183"/>
      <c r="MS7" s="183"/>
      <c r="MT7" s="183"/>
      <c r="MU7" s="183"/>
      <c r="MV7" s="183"/>
      <c r="MW7" s="183"/>
      <c r="MX7" s="183"/>
      <c r="MY7" s="183"/>
      <c r="MZ7" s="183"/>
      <c r="NA7" s="183"/>
      <c r="NB7" s="183"/>
      <c r="NC7" s="183"/>
      <c r="ND7" s="183"/>
      <c r="NE7" s="183"/>
      <c r="NF7" s="183"/>
      <c r="NG7" s="183"/>
      <c r="NH7" s="183"/>
      <c r="NI7" s="1567"/>
      <c r="NJ7" s="183"/>
      <c r="NK7" s="183"/>
      <c r="NL7" s="183"/>
      <c r="NM7" s="183"/>
      <c r="NN7" s="183"/>
      <c r="NO7" s="183"/>
      <c r="NP7" s="183"/>
      <c r="NQ7" s="183"/>
      <c r="NR7" s="183"/>
      <c r="NS7" s="183"/>
      <c r="NT7" s="183"/>
      <c r="NU7" s="183"/>
      <c r="NV7" s="183"/>
      <c r="NW7" s="183"/>
      <c r="NX7" s="183"/>
      <c r="NY7" s="183"/>
      <c r="NZ7" s="183"/>
      <c r="OA7" s="183"/>
      <c r="OB7" s="183"/>
      <c r="OC7" s="183"/>
      <c r="OD7" s="183"/>
      <c r="OE7" s="183"/>
      <c r="OF7" s="183"/>
      <c r="OG7" s="183"/>
      <c r="OH7" s="183"/>
      <c r="OI7" s="183"/>
      <c r="OJ7" s="183"/>
      <c r="OK7" s="183"/>
      <c r="OL7" s="183"/>
      <c r="OM7" s="183"/>
      <c r="ON7" s="183"/>
      <c r="OO7" s="183"/>
      <c r="OP7" s="183"/>
      <c r="OQ7" s="183"/>
      <c r="OR7" s="183"/>
      <c r="OS7" s="183"/>
      <c r="OT7" s="183"/>
      <c r="OU7" s="183"/>
      <c r="OV7" s="184"/>
      <c r="OW7" s="184"/>
      <c r="OX7" s="184"/>
      <c r="OY7" s="184"/>
      <c r="OZ7" s="184"/>
      <c r="PA7" s="184"/>
      <c r="PB7" s="184"/>
      <c r="PC7" s="184"/>
      <c r="PD7" s="184"/>
      <c r="PE7" s="184"/>
      <c r="PF7" s="184"/>
      <c r="PG7" s="183"/>
      <c r="PH7" s="183"/>
      <c r="PI7" s="183"/>
      <c r="PJ7" s="265"/>
      <c r="PK7" s="265"/>
      <c r="PL7" s="265"/>
      <c r="PM7" s="265"/>
      <c r="PN7" s="265"/>
      <c r="PO7" s="265"/>
      <c r="PP7" s="265"/>
      <c r="PQ7" s="183"/>
      <c r="PR7" s="183"/>
      <c r="PS7" s="183"/>
      <c r="PT7" s="183"/>
      <c r="PU7" s="183"/>
      <c r="PV7" s="183"/>
      <c r="PW7" s="183"/>
      <c r="PX7" s="183"/>
      <c r="PY7" s="183"/>
      <c r="PZ7" s="183"/>
      <c r="QA7" s="183"/>
      <c r="QB7" s="183"/>
      <c r="QC7" s="183"/>
      <c r="QD7" s="183"/>
      <c r="QE7" s="183"/>
      <c r="QF7" s="183"/>
      <c r="QG7" s="183"/>
      <c r="QH7" s="183"/>
      <c r="QI7" s="183"/>
      <c r="QJ7" s="183"/>
      <c r="QK7" s="183"/>
      <c r="QL7" s="183"/>
      <c r="QM7" s="183"/>
      <c r="QU7" s="184"/>
      <c r="QV7" s="183"/>
      <c r="QW7" s="183"/>
      <c r="QX7" s="183"/>
      <c r="QY7" s="183"/>
      <c r="QZ7" s="183"/>
      <c r="RA7" s="183"/>
      <c r="RB7" s="183"/>
      <c r="RC7" s="183"/>
      <c r="RD7" s="183"/>
      <c r="RE7" s="183"/>
      <c r="RF7" s="183"/>
      <c r="RS7" s="183"/>
      <c r="RT7" s="183"/>
      <c r="RU7" s="183"/>
      <c r="RW7" s="181"/>
      <c r="RX7" s="181"/>
      <c r="RY7" s="181"/>
      <c r="RZ7" s="181"/>
      <c r="SA7" s="181"/>
      <c r="SB7" s="181"/>
      <c r="SC7" s="181"/>
      <c r="SD7" s="181"/>
      <c r="SE7" s="181"/>
    </row>
    <row r="8" spans="2:499" s="2617" customFormat="1" x14ac:dyDescent="0.2">
      <c r="B8" s="2981"/>
      <c r="C8" s="2981"/>
      <c r="D8" s="2981"/>
      <c r="E8" s="2981"/>
      <c r="R8" s="2686"/>
      <c r="S8" s="2686"/>
      <c r="T8" s="2686"/>
      <c r="AH8" s="183"/>
      <c r="AI8" s="183"/>
      <c r="AJ8" s="183"/>
      <c r="AK8" s="183"/>
      <c r="AL8" s="183"/>
      <c r="AM8" s="183"/>
      <c r="AN8" s="183"/>
      <c r="BA8" s="183"/>
      <c r="BB8" s="283" t="s">
        <v>326</v>
      </c>
      <c r="BC8" s="183"/>
      <c r="BD8" s="183"/>
      <c r="BE8" s="183"/>
      <c r="BF8" s="183"/>
      <c r="BG8" s="183"/>
      <c r="BH8" s="183"/>
      <c r="BI8" s="184"/>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5370"/>
      <c r="CN8" s="5370"/>
      <c r="CO8" s="5370"/>
      <c r="CP8" s="5370"/>
      <c r="CQ8" s="5370"/>
      <c r="CR8" s="5370"/>
      <c r="CS8" s="5370"/>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283" t="s">
        <v>347</v>
      </c>
      <c r="DS8" s="183"/>
      <c r="DT8" s="183"/>
      <c r="DU8" s="183"/>
      <c r="DV8" s="183"/>
      <c r="DW8" s="183"/>
      <c r="DX8" s="183"/>
      <c r="DY8" s="183"/>
      <c r="DZ8" s="183"/>
      <c r="EA8" s="183"/>
      <c r="EB8" s="183"/>
      <c r="EC8" s="183"/>
      <c r="ED8" s="183"/>
      <c r="EE8" s="183"/>
      <c r="EF8" s="183"/>
      <c r="EG8" s="183"/>
      <c r="EH8" s="183"/>
      <c r="EI8" s="183"/>
      <c r="EJ8" s="183"/>
      <c r="EK8" s="183"/>
      <c r="EL8" s="183"/>
      <c r="EM8" s="183"/>
      <c r="EN8" s="183"/>
      <c r="EO8" s="183"/>
      <c r="EP8" s="183"/>
      <c r="EQ8" s="183"/>
      <c r="GH8" s="414"/>
      <c r="GI8" s="183"/>
      <c r="GJ8" s="183"/>
      <c r="GK8" s="183"/>
      <c r="GL8" s="183"/>
      <c r="GM8" s="183"/>
      <c r="GN8" s="183"/>
      <c r="GO8" s="183"/>
      <c r="GP8" s="183"/>
      <c r="GQ8" s="183"/>
      <c r="GR8" s="183"/>
      <c r="GS8" s="183"/>
      <c r="GT8" s="183"/>
      <c r="GU8" s="183"/>
      <c r="GV8" s="183"/>
      <c r="GW8" s="183"/>
      <c r="GX8" s="183"/>
      <c r="GY8" s="183"/>
      <c r="GZ8" s="183"/>
      <c r="HA8" s="183"/>
      <c r="HB8" s="183"/>
      <c r="HC8" s="183"/>
      <c r="HD8" s="183"/>
      <c r="HE8" s="183"/>
      <c r="HF8" s="183"/>
      <c r="HG8" s="183"/>
      <c r="HH8" s="183"/>
      <c r="HI8" s="183"/>
      <c r="HJ8" s="183"/>
      <c r="HK8" s="183"/>
      <c r="HL8" s="183"/>
      <c r="HM8" s="183"/>
      <c r="HN8" s="183"/>
      <c r="HO8" s="183"/>
      <c r="HP8" s="183"/>
      <c r="HQ8" s="183"/>
      <c r="HR8" s="183"/>
      <c r="HS8" s="183"/>
      <c r="HT8" s="183"/>
      <c r="HU8" s="183"/>
      <c r="HV8" s="183"/>
      <c r="HW8" s="183"/>
      <c r="HX8" s="183"/>
      <c r="HY8" s="183"/>
      <c r="HZ8" s="183"/>
      <c r="IA8" s="183"/>
      <c r="IB8" s="183"/>
      <c r="IC8" s="183"/>
      <c r="ID8" s="183"/>
      <c r="IE8" s="183"/>
      <c r="IF8" s="183"/>
      <c r="IG8" s="183"/>
      <c r="IH8" s="183"/>
      <c r="II8" s="183"/>
      <c r="IJ8" s="183"/>
      <c r="IK8" s="183"/>
      <c r="IL8" s="183"/>
      <c r="IM8" s="183"/>
      <c r="IN8" s="183"/>
      <c r="IO8" s="183"/>
      <c r="IP8" s="183"/>
      <c r="IQ8" s="183"/>
      <c r="IR8" s="183"/>
      <c r="IS8" s="183"/>
      <c r="IT8" s="183"/>
      <c r="IU8" s="183"/>
      <c r="IV8" s="183"/>
      <c r="IW8" s="183"/>
      <c r="IX8" s="183"/>
      <c r="IY8" s="183"/>
      <c r="IZ8" s="183"/>
      <c r="JA8" s="183"/>
      <c r="JB8" s="183"/>
      <c r="JC8" s="183"/>
      <c r="JD8" s="183"/>
      <c r="JE8" s="183"/>
      <c r="JF8" s="183"/>
      <c r="JG8" s="183"/>
      <c r="JH8" s="183"/>
      <c r="JI8" s="183"/>
      <c r="JJ8" s="183"/>
      <c r="JK8" s="183"/>
      <c r="JL8" s="183"/>
      <c r="JM8" s="183"/>
      <c r="JN8" s="183"/>
      <c r="JO8" s="183"/>
      <c r="JP8" s="183"/>
      <c r="JQ8" s="183"/>
      <c r="JR8" s="183"/>
      <c r="JS8" s="183"/>
      <c r="JT8" s="183"/>
      <c r="JU8" s="183"/>
      <c r="JV8" s="183"/>
      <c r="JW8" s="183"/>
      <c r="JX8" s="183"/>
      <c r="JY8" s="183"/>
      <c r="JZ8" s="183"/>
      <c r="KA8" s="183"/>
      <c r="KB8" s="183"/>
      <c r="KC8" s="183"/>
      <c r="KD8" s="183"/>
      <c r="KE8" s="183"/>
      <c r="KF8" s="183"/>
      <c r="KH8" s="183"/>
      <c r="KI8" s="183"/>
      <c r="KJ8" s="183"/>
      <c r="KK8" s="183"/>
      <c r="KL8" s="183"/>
      <c r="KM8" s="183"/>
      <c r="KN8" s="183"/>
      <c r="KO8" s="183"/>
      <c r="KP8" s="183"/>
      <c r="KQ8" s="183"/>
      <c r="KR8" s="183"/>
      <c r="KS8" s="183"/>
      <c r="KT8" s="183"/>
      <c r="KU8" s="183"/>
      <c r="KV8" s="183"/>
      <c r="KW8" s="183"/>
      <c r="KX8" s="183"/>
      <c r="KY8" s="183"/>
      <c r="KZ8" s="183"/>
      <c r="LA8" s="183"/>
      <c r="LB8" s="183"/>
      <c r="LC8" s="183"/>
      <c r="LD8" s="183"/>
      <c r="LE8" s="183"/>
      <c r="LF8" s="183"/>
      <c r="LG8" s="183"/>
      <c r="LH8" s="183"/>
      <c r="LI8" s="183"/>
      <c r="LJ8" s="183"/>
      <c r="LK8" s="183"/>
      <c r="LL8" s="183"/>
      <c r="LM8" s="183"/>
      <c r="LN8" s="183"/>
      <c r="LO8" s="183"/>
      <c r="LP8" s="183"/>
      <c r="LQ8" s="183"/>
      <c r="LR8" s="183"/>
      <c r="LS8" s="183"/>
      <c r="LT8" s="183"/>
      <c r="LU8" s="183"/>
      <c r="LV8" s="183"/>
      <c r="LW8" s="183"/>
      <c r="LX8" s="183"/>
      <c r="LY8" s="183"/>
      <c r="LZ8" s="183"/>
      <c r="MA8" s="183"/>
      <c r="MB8" s="183"/>
      <c r="MC8" s="183"/>
      <c r="MD8" s="183"/>
      <c r="ME8" s="183"/>
      <c r="MF8" s="183"/>
      <c r="MG8" s="183"/>
      <c r="MH8" s="183"/>
      <c r="MI8" s="183"/>
      <c r="MJ8" s="183"/>
      <c r="MK8" s="183"/>
      <c r="ML8" s="183"/>
      <c r="MM8" s="183"/>
      <c r="MN8" s="183"/>
      <c r="MO8" s="183"/>
      <c r="MP8" s="183"/>
      <c r="MQ8" s="183"/>
      <c r="MR8" s="183"/>
      <c r="MS8" s="183"/>
      <c r="MT8" s="183"/>
      <c r="MU8" s="183"/>
      <c r="MV8" s="183"/>
      <c r="MW8" s="183"/>
      <c r="MX8" s="183"/>
      <c r="MY8" s="183"/>
      <c r="MZ8" s="183"/>
      <c r="NA8" s="183"/>
      <c r="NB8" s="183"/>
      <c r="NC8" s="183"/>
      <c r="ND8" s="183"/>
      <c r="NE8" s="183"/>
      <c r="NF8" s="183"/>
      <c r="NG8" s="183"/>
      <c r="NH8" s="183"/>
      <c r="NI8" s="1567"/>
      <c r="NJ8" s="183"/>
      <c r="NK8" s="183"/>
      <c r="NL8" s="183"/>
      <c r="NM8" s="183"/>
      <c r="NN8" s="183"/>
      <c r="NO8" s="183"/>
      <c r="NP8" s="183"/>
      <c r="NQ8" s="183"/>
      <c r="NR8" s="183"/>
      <c r="NS8" s="183"/>
      <c r="NT8" s="183"/>
      <c r="NU8" s="183"/>
      <c r="NV8" s="183"/>
      <c r="NW8" s="183"/>
      <c r="NX8" s="183"/>
      <c r="NY8" s="183"/>
      <c r="NZ8" s="183"/>
      <c r="OA8" s="183"/>
      <c r="OB8" s="183"/>
      <c r="OC8" s="183"/>
      <c r="OD8" s="183"/>
      <c r="OE8" s="183"/>
      <c r="OF8" s="183"/>
      <c r="OG8" s="183"/>
      <c r="OH8" s="183"/>
      <c r="OI8" s="183"/>
      <c r="OJ8" s="183"/>
      <c r="OK8" s="183"/>
      <c r="OL8" s="183"/>
      <c r="OM8" s="183"/>
      <c r="ON8" s="183"/>
      <c r="OO8" s="183"/>
      <c r="OP8" s="183"/>
      <c r="OQ8" s="183"/>
      <c r="OR8" s="183"/>
      <c r="OS8" s="183"/>
      <c r="OT8" s="183"/>
      <c r="OU8" s="183"/>
      <c r="OV8" s="184"/>
      <c r="OW8" s="184"/>
      <c r="OX8" s="184"/>
      <c r="OY8" s="184"/>
      <c r="OZ8" s="184"/>
      <c r="PA8" s="184"/>
      <c r="PB8" s="184"/>
      <c r="PC8" s="184"/>
      <c r="PD8" s="184"/>
      <c r="PE8" s="184"/>
      <c r="PF8" s="184"/>
      <c r="PG8" s="183"/>
      <c r="PH8" s="183"/>
      <c r="PI8" s="183"/>
      <c r="PJ8" s="265"/>
      <c r="PK8" s="265"/>
      <c r="PL8" s="265"/>
      <c r="PM8" s="265"/>
      <c r="PN8" s="265"/>
      <c r="PO8" s="265"/>
      <c r="PP8" s="265"/>
      <c r="PQ8" s="183"/>
      <c r="PR8" s="183"/>
      <c r="PS8" s="183"/>
      <c r="PT8" s="183"/>
      <c r="PU8" s="183"/>
      <c r="PV8" s="183"/>
      <c r="PW8" s="183"/>
      <c r="PX8" s="183"/>
      <c r="PY8" s="183"/>
      <c r="PZ8" s="183"/>
      <c r="QA8" s="183"/>
      <c r="QB8" s="183"/>
      <c r="QC8" s="183"/>
      <c r="QD8" s="183"/>
      <c r="QE8" s="183"/>
      <c r="QF8" s="183"/>
      <c r="QG8" s="183"/>
      <c r="QH8" s="183"/>
      <c r="QI8" s="183"/>
      <c r="QJ8" s="183"/>
      <c r="QK8" s="183"/>
      <c r="QL8" s="183"/>
      <c r="QM8" s="183"/>
      <c r="QU8" s="184"/>
      <c r="QV8" s="183"/>
      <c r="QW8" s="183"/>
      <c r="QX8" s="183"/>
      <c r="QY8" s="183"/>
      <c r="QZ8" s="183"/>
      <c r="RA8" s="183"/>
      <c r="RB8" s="183"/>
      <c r="RC8" s="183"/>
      <c r="RD8" s="183"/>
      <c r="RE8" s="183"/>
      <c r="RF8" s="183"/>
      <c r="RS8" s="183"/>
      <c r="RT8" s="183"/>
      <c r="RU8" s="183"/>
      <c r="RW8" s="181"/>
      <c r="RX8" s="181"/>
      <c r="RY8" s="181"/>
      <c r="RZ8" s="181"/>
      <c r="SA8" s="181"/>
      <c r="SB8" s="181"/>
      <c r="SC8" s="181"/>
      <c r="SD8" s="181"/>
      <c r="SE8" s="181"/>
    </row>
    <row r="9" spans="2:499" s="2617" customFormat="1" ht="42.75" x14ac:dyDescent="0.3">
      <c r="B9" s="3861" t="s">
        <v>1622</v>
      </c>
      <c r="C9" s="3861" t="str">
        <f>Forside!AD58</f>
        <v>Version 1,0</v>
      </c>
      <c r="D9" s="3882">
        <f>IF(_Calcs!C9=_List!G7,1,IF(_Calcs!C9=_List!G8,2,IF(_Calcs!C9=_List!G9,0)))</f>
        <v>0</v>
      </c>
      <c r="E9" s="6131"/>
      <c r="F9" s="6143" t="s">
        <v>2749</v>
      </c>
      <c r="R9" s="242"/>
      <c r="S9" s="242"/>
      <c r="T9" s="6147" t="s">
        <v>838</v>
      </c>
      <c r="AH9" s="335" t="s">
        <v>382</v>
      </c>
      <c r="AI9" s="336"/>
      <c r="AJ9" s="183"/>
      <c r="AK9" s="183"/>
      <c r="AL9" s="183"/>
      <c r="AM9" s="183"/>
      <c r="AN9" s="183"/>
      <c r="BA9" s="183"/>
      <c r="BB9" s="183"/>
      <c r="BC9" s="183"/>
      <c r="BD9" s="183"/>
      <c r="BE9" s="183"/>
      <c r="BF9" s="183"/>
      <c r="BG9" s="183"/>
      <c r="BH9" s="183"/>
      <c r="BI9" s="184"/>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5371" t="s">
        <v>2366</v>
      </c>
      <c r="CN9" s="5370"/>
      <c r="CO9" s="5370"/>
      <c r="CP9" s="5370"/>
      <c r="CQ9" s="5370"/>
      <c r="CR9" s="5370"/>
      <c r="CS9" s="5370"/>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c r="DZ9" s="183"/>
      <c r="EA9" s="183"/>
      <c r="EB9" s="183"/>
      <c r="EC9" s="183"/>
      <c r="ED9" s="183"/>
      <c r="EE9" s="183"/>
      <c r="EF9" s="183"/>
      <c r="EG9" s="183"/>
      <c r="EH9" s="183"/>
      <c r="EI9" s="183"/>
      <c r="EJ9" s="183"/>
      <c r="EK9" s="183"/>
      <c r="EL9" s="183"/>
      <c r="EM9" s="183"/>
      <c r="EN9" s="183"/>
      <c r="EO9" s="183"/>
      <c r="EP9" s="183"/>
      <c r="EQ9" s="183"/>
      <c r="GH9" s="414"/>
      <c r="GI9" s="183"/>
      <c r="GJ9" s="183"/>
      <c r="GK9" s="183"/>
      <c r="GL9" s="183"/>
      <c r="GO9" s="183"/>
      <c r="GP9" s="183"/>
      <c r="GQ9" s="183"/>
      <c r="GR9" s="183"/>
      <c r="GS9" s="183"/>
      <c r="GT9" s="183"/>
      <c r="GU9" s="183"/>
      <c r="GV9" s="183"/>
      <c r="GW9" s="183"/>
      <c r="GX9" s="183"/>
      <c r="GY9" s="183"/>
      <c r="GZ9" s="183"/>
      <c r="HA9" s="183"/>
      <c r="HB9" s="183"/>
      <c r="HC9" s="183"/>
      <c r="HD9" s="183"/>
      <c r="HE9" s="183"/>
      <c r="HF9" s="183"/>
      <c r="HG9" s="183"/>
      <c r="HH9" s="803" t="s">
        <v>615</v>
      </c>
      <c r="HI9" s="803"/>
      <c r="HJ9" s="183"/>
      <c r="HK9" s="183"/>
      <c r="HL9" s="183"/>
      <c r="HM9" s="183"/>
      <c r="HN9" s="183"/>
      <c r="HO9" s="183"/>
      <c r="HP9" s="183"/>
      <c r="HQ9" s="183"/>
      <c r="HR9" s="183"/>
      <c r="HS9" s="183"/>
      <c r="HT9" s="183"/>
      <c r="HU9" s="183"/>
      <c r="HV9" s="183"/>
      <c r="HW9" s="183"/>
      <c r="HX9" s="183"/>
      <c r="HY9" s="183"/>
      <c r="HZ9" s="183"/>
      <c r="IA9" s="183"/>
      <c r="IB9" s="183"/>
      <c r="IC9" s="183"/>
      <c r="ID9" s="183"/>
      <c r="IE9" s="183"/>
      <c r="IF9" s="183"/>
      <c r="IG9" s="183"/>
      <c r="IN9" s="5202"/>
      <c r="IO9" s="5202"/>
      <c r="IP9" s="5202"/>
      <c r="IQ9" s="5202"/>
      <c r="IR9" s="5202"/>
      <c r="IS9" s="5202"/>
      <c r="IT9" s="5202"/>
      <c r="IU9" s="5202"/>
      <c r="IV9" s="5202"/>
      <c r="IW9" s="5202"/>
      <c r="IX9" s="5202"/>
      <c r="IY9" s="5202"/>
      <c r="IZ9" s="5202"/>
      <c r="JA9" s="5202"/>
      <c r="JB9" s="5202"/>
      <c r="JC9" s="5202"/>
      <c r="JD9" s="5202"/>
      <c r="JE9" s="5202"/>
      <c r="JF9" s="5202"/>
      <c r="JG9" s="5202"/>
      <c r="JH9" s="5202"/>
      <c r="JI9" s="5202"/>
      <c r="JJ9" s="5202"/>
      <c r="JK9" s="5202"/>
      <c r="JL9" s="5202"/>
      <c r="JM9" s="5202"/>
      <c r="JN9" s="5202"/>
      <c r="JO9" s="5202"/>
      <c r="JP9" s="5202"/>
      <c r="JQ9" s="5202"/>
      <c r="JR9" s="5202"/>
      <c r="JS9" s="5202"/>
      <c r="JT9" s="5202"/>
      <c r="JU9" s="5202"/>
      <c r="JV9" s="5202"/>
      <c r="JW9" s="5202"/>
      <c r="JX9" s="5202"/>
      <c r="JY9" s="183"/>
      <c r="JZ9" s="183"/>
      <c r="KA9" s="183"/>
      <c r="KB9" s="183"/>
      <c r="KC9" s="183"/>
      <c r="KD9" s="183"/>
      <c r="KE9" s="183"/>
      <c r="KF9" s="183"/>
      <c r="KH9" s="183"/>
      <c r="KI9" s="183"/>
      <c r="KJ9" s="183"/>
      <c r="KK9" s="183"/>
      <c r="KL9" s="183"/>
      <c r="KM9" s="183"/>
      <c r="KN9" s="183"/>
      <c r="KO9" s="183"/>
      <c r="KP9" s="183"/>
      <c r="KQ9" s="183"/>
      <c r="KR9" s="183"/>
      <c r="KS9" s="183"/>
      <c r="KT9" s="183"/>
      <c r="KU9" s="183"/>
      <c r="KV9" s="183"/>
      <c r="KW9" s="183"/>
      <c r="KX9" s="183"/>
      <c r="KY9" s="183"/>
      <c r="KZ9" s="183"/>
      <c r="LA9" s="183"/>
      <c r="LB9" s="183"/>
      <c r="LC9" s="183"/>
      <c r="LD9" s="183"/>
      <c r="LE9" s="183"/>
      <c r="LF9" s="183"/>
      <c r="LG9" s="183"/>
      <c r="LH9" s="183"/>
      <c r="LI9" s="183"/>
      <c r="LJ9" s="183"/>
      <c r="LK9" s="183"/>
      <c r="LL9" s="183"/>
      <c r="LM9" s="183"/>
      <c r="LN9" s="183"/>
      <c r="LO9" s="183"/>
      <c r="LP9" s="183"/>
      <c r="LQ9" s="183"/>
      <c r="LR9" s="183"/>
      <c r="LS9" s="183"/>
      <c r="LT9" s="183"/>
      <c r="LU9" s="183"/>
      <c r="LV9" s="183"/>
      <c r="LW9" s="183"/>
      <c r="LX9" s="183"/>
      <c r="LY9" s="183"/>
      <c r="LZ9" s="183"/>
      <c r="MA9" s="183"/>
      <c r="MB9" s="183"/>
      <c r="MC9" s="183"/>
      <c r="MD9" s="183"/>
      <c r="ME9" s="183"/>
      <c r="MF9" s="183"/>
      <c r="MG9" s="183"/>
      <c r="MH9" s="183"/>
      <c r="MI9" s="183"/>
      <c r="MJ9" s="183"/>
      <c r="MK9" s="183"/>
      <c r="ML9" s="183"/>
      <c r="MM9" s="183"/>
      <c r="MN9" s="183"/>
      <c r="MO9" s="183"/>
      <c r="MP9" s="183"/>
      <c r="MQ9" s="183"/>
      <c r="MR9" s="183"/>
      <c r="MS9" s="183"/>
      <c r="MT9" s="183"/>
      <c r="MU9" s="183"/>
      <c r="MV9" s="183"/>
      <c r="MW9" s="183"/>
      <c r="MX9" s="183"/>
      <c r="MY9" s="183"/>
      <c r="MZ9" s="183"/>
      <c r="NA9" s="183"/>
      <c r="NB9" s="183"/>
      <c r="NC9" s="183"/>
      <c r="ND9" s="183"/>
      <c r="NE9" s="183"/>
      <c r="NF9" s="183"/>
      <c r="NG9" s="183"/>
      <c r="NH9" s="183"/>
      <c r="NI9" s="1567"/>
      <c r="NJ9" s="183"/>
      <c r="NK9" s="183"/>
      <c r="NL9" s="183"/>
      <c r="NM9" s="183"/>
      <c r="NN9" s="183"/>
      <c r="NO9" s="183"/>
      <c r="NP9" s="183"/>
      <c r="NQ9" s="183"/>
      <c r="NR9" s="183"/>
      <c r="NS9" s="183"/>
      <c r="NT9" s="183"/>
      <c r="NU9" s="183"/>
      <c r="NV9" s="183"/>
      <c r="NW9" s="183"/>
      <c r="NX9" s="183"/>
      <c r="NY9" s="183"/>
      <c r="NZ9" s="183"/>
      <c r="OA9" s="183"/>
      <c r="OB9" s="183"/>
      <c r="OC9" s="183"/>
      <c r="OD9" s="183"/>
      <c r="OE9" s="183"/>
      <c r="OF9" s="183"/>
      <c r="OG9" s="183"/>
      <c r="OH9" s="183"/>
      <c r="OI9" s="183"/>
      <c r="OJ9" s="183"/>
      <c r="OK9" s="183"/>
      <c r="OL9" s="183"/>
      <c r="OM9" s="183"/>
      <c r="ON9" s="183"/>
      <c r="OO9" s="183"/>
      <c r="OP9" s="183"/>
      <c r="OQ9" s="183"/>
      <c r="OR9" s="183"/>
      <c r="OS9" s="183"/>
      <c r="OT9" s="183"/>
      <c r="OU9" s="183"/>
      <c r="OV9" s="184"/>
      <c r="OW9" s="184"/>
      <c r="OX9" s="184"/>
      <c r="OY9" s="184"/>
      <c r="OZ9" s="184"/>
      <c r="PA9" s="184"/>
      <c r="PB9" s="184"/>
      <c r="PC9" s="184"/>
      <c r="PD9" s="184"/>
      <c r="PE9" s="184"/>
      <c r="PF9" s="184"/>
      <c r="PG9" s="183"/>
      <c r="PH9" s="183"/>
      <c r="PI9" s="183"/>
      <c r="PJ9" s="265"/>
      <c r="PK9" s="265"/>
      <c r="PL9" s="265"/>
      <c r="PM9" s="265"/>
      <c r="PN9" s="265"/>
      <c r="PO9" s="265"/>
      <c r="PP9" s="265"/>
      <c r="PQ9" s="183"/>
      <c r="PR9" s="183"/>
      <c r="PS9" s="183"/>
      <c r="PT9" s="183"/>
      <c r="PU9" s="183"/>
      <c r="PV9" s="183"/>
      <c r="PW9" s="183"/>
      <c r="PX9" s="183"/>
      <c r="PY9" s="183"/>
      <c r="PZ9" s="183"/>
      <c r="QA9" s="183"/>
      <c r="QB9" s="183"/>
      <c r="QC9" s="183"/>
      <c r="QD9" s="183"/>
      <c r="QE9" s="183"/>
      <c r="QF9" s="183"/>
      <c r="QG9" s="183"/>
      <c r="QH9" s="183"/>
      <c r="QI9" s="183"/>
      <c r="QJ9" s="183"/>
      <c r="QK9" s="183"/>
      <c r="QL9" s="183"/>
      <c r="QM9" s="183"/>
      <c r="QU9" s="184"/>
      <c r="QV9" s="183"/>
      <c r="QW9" s="183"/>
      <c r="QX9" s="183"/>
      <c r="QY9" s="183"/>
      <c r="QZ9" s="183"/>
      <c r="RA9" s="183"/>
      <c r="RB9" s="183"/>
      <c r="RC9" s="183"/>
      <c r="RD9" s="183"/>
      <c r="RE9" s="183"/>
      <c r="RF9" s="183"/>
      <c r="RS9" s="183"/>
      <c r="RT9" s="183"/>
      <c r="RU9" s="183"/>
      <c r="RW9" s="181"/>
      <c r="RX9" s="181"/>
      <c r="RY9" s="181"/>
      <c r="RZ9" s="181"/>
      <c r="SA9" s="181"/>
      <c r="SB9" s="181"/>
      <c r="SC9" s="181"/>
      <c r="SD9" s="181"/>
      <c r="SE9" s="181"/>
    </row>
    <row r="10" spans="2:499" s="2617" customFormat="1" ht="43.5" x14ac:dyDescent="0.55000000000000004">
      <c r="C10" s="2981"/>
      <c r="D10" s="2981"/>
      <c r="E10" s="2981"/>
      <c r="R10" s="242" t="s">
        <v>1195</v>
      </c>
      <c r="S10" s="242" t="s">
        <v>59</v>
      </c>
      <c r="T10" s="6260" t="str">
        <f>IF(Prosjektinfo!$Q$27="","",Prosjektinfo!$Q$27)</f>
        <v/>
      </c>
      <c r="AH10" s="183"/>
      <c r="AI10" s="183"/>
      <c r="AJ10" s="183"/>
      <c r="AK10" s="183"/>
      <c r="AL10" s="183"/>
      <c r="AM10" s="183"/>
      <c r="AN10" s="183"/>
      <c r="BA10" s="183"/>
      <c r="BB10" s="266" t="s">
        <v>249</v>
      </c>
      <c r="BC10" s="267"/>
      <c r="BD10" s="267"/>
      <c r="BE10" s="267"/>
      <c r="BF10" s="183"/>
      <c r="BG10" s="183"/>
      <c r="BH10" s="183"/>
      <c r="BI10" s="184"/>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5371" t="s">
        <v>2367</v>
      </c>
      <c r="CN10" s="5370"/>
      <c r="CO10" s="5370"/>
      <c r="CP10" s="5370"/>
      <c r="CQ10" s="5370"/>
      <c r="CR10" s="5370"/>
      <c r="CS10" s="5370"/>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346" t="s">
        <v>249</v>
      </c>
      <c r="DS10" s="347"/>
      <c r="DT10" s="347"/>
      <c r="DU10" s="347"/>
      <c r="DV10" s="183"/>
      <c r="DW10" s="183"/>
      <c r="DX10" s="183"/>
      <c r="DY10" s="184"/>
      <c r="DZ10" s="183"/>
      <c r="EA10" s="183"/>
      <c r="EB10" s="183"/>
      <c r="EC10" s="183"/>
      <c r="ED10" s="183"/>
      <c r="EE10" s="183"/>
      <c r="EF10" s="183"/>
      <c r="EG10" s="183"/>
      <c r="EH10" s="183"/>
      <c r="EI10" s="183"/>
      <c r="EJ10" s="183"/>
      <c r="EK10" s="183"/>
      <c r="EL10" s="183"/>
      <c r="EM10" s="183"/>
      <c r="EN10" s="183"/>
      <c r="EO10" s="183"/>
      <c r="EP10" s="183"/>
      <c r="EQ10" s="183"/>
      <c r="ER10" s="2970"/>
      <c r="GH10" s="414"/>
      <c r="GI10" s="183"/>
      <c r="GJ10" s="183" t="s">
        <v>2686</v>
      </c>
      <c r="GK10" s="183"/>
      <c r="GL10" s="183"/>
      <c r="GO10" s="183"/>
      <c r="GP10" s="183"/>
      <c r="GQ10" s="183"/>
      <c r="GR10" s="183"/>
      <c r="GS10" s="183"/>
      <c r="GT10" s="183"/>
      <c r="GU10" s="183"/>
      <c r="GV10" s="183"/>
      <c r="GW10" s="183"/>
      <c r="GX10" s="183"/>
      <c r="GY10" s="183"/>
      <c r="GZ10" s="183"/>
      <c r="HA10" s="183"/>
      <c r="HB10" s="183"/>
      <c r="HC10" s="183"/>
      <c r="HD10" s="183"/>
      <c r="HE10" s="183"/>
      <c r="HF10" s="183"/>
      <c r="HG10" s="183"/>
      <c r="HH10" s="183"/>
      <c r="HI10" s="183"/>
      <c r="HJ10" s="183"/>
      <c r="HK10" s="183"/>
      <c r="HL10" s="183"/>
      <c r="HM10" s="183"/>
      <c r="HN10" s="183"/>
      <c r="HO10" s="183"/>
      <c r="HP10" s="183"/>
      <c r="HQ10" s="183"/>
      <c r="HR10" s="183"/>
      <c r="HS10" s="183"/>
      <c r="HT10" s="183"/>
      <c r="HU10" s="183"/>
      <c r="HV10" s="183"/>
      <c r="HW10" s="183"/>
      <c r="HX10" s="183"/>
      <c r="HY10" s="183"/>
      <c r="HZ10" s="183"/>
      <c r="IA10" s="183"/>
      <c r="IB10" s="183"/>
      <c r="IC10" s="183"/>
      <c r="ID10" s="183"/>
      <c r="IE10" s="183"/>
      <c r="IF10" s="183"/>
      <c r="IG10" s="183"/>
      <c r="IJ10" s="1756"/>
      <c r="IK10" s="1756"/>
      <c r="IL10" s="1756"/>
      <c r="IM10" s="1756"/>
      <c r="IN10" s="183"/>
      <c r="IO10" s="183"/>
      <c r="IP10" s="183"/>
      <c r="IQ10" s="183"/>
      <c r="IR10" s="183"/>
      <c r="IS10" s="183"/>
      <c r="IT10" s="183"/>
      <c r="IU10" s="183"/>
      <c r="IV10" s="183"/>
      <c r="IW10" s="183"/>
      <c r="IX10" s="183"/>
      <c r="IY10" s="183"/>
      <c r="IZ10" s="183"/>
      <c r="JA10" s="183"/>
      <c r="JB10" s="183"/>
      <c r="JC10" s="183"/>
      <c r="JD10" s="183"/>
      <c r="JE10" s="183"/>
      <c r="JF10" s="183"/>
      <c r="JG10" s="183"/>
      <c r="JH10" s="183"/>
      <c r="JI10" s="183"/>
      <c r="JJ10" s="183"/>
      <c r="JK10" s="183"/>
      <c r="JL10" s="183"/>
      <c r="JM10" s="183"/>
      <c r="JN10" s="183"/>
      <c r="JO10" s="183"/>
      <c r="JP10" s="183"/>
      <c r="JQ10" s="183"/>
      <c r="JR10" s="183"/>
      <c r="JS10" s="183"/>
      <c r="JT10" s="183"/>
      <c r="JU10" s="183"/>
      <c r="JV10" s="183"/>
      <c r="JW10" s="183"/>
      <c r="JX10" s="183"/>
      <c r="JY10" s="183"/>
      <c r="JZ10" s="183"/>
      <c r="KA10" s="183"/>
      <c r="KB10" s="183"/>
      <c r="KC10" s="183"/>
      <c r="KD10" s="183"/>
      <c r="KE10" s="183"/>
      <c r="KF10" s="183"/>
      <c r="KH10" s="183"/>
      <c r="KI10" s="183"/>
      <c r="KJ10" s="183"/>
      <c r="KK10" s="183"/>
      <c r="KL10" s="183"/>
      <c r="KM10" s="183"/>
      <c r="KN10" s="183"/>
      <c r="KO10" s="5241" t="s">
        <v>2270</v>
      </c>
      <c r="KP10" s="5242"/>
      <c r="KQ10" s="5242"/>
      <c r="KR10" s="5242"/>
      <c r="KS10" s="5242"/>
      <c r="KT10" s="5242"/>
      <c r="KU10" s="5241"/>
      <c r="KV10" s="5242"/>
      <c r="KW10" s="183"/>
      <c r="KX10" s="183"/>
      <c r="KY10" s="183"/>
      <c r="KZ10" s="183"/>
      <c r="LA10" s="183"/>
      <c r="LB10" s="183"/>
      <c r="LC10" s="183"/>
      <c r="LD10" s="183"/>
      <c r="LE10" s="183"/>
      <c r="LF10" s="183"/>
      <c r="LG10" s="183"/>
      <c r="LH10" s="183"/>
      <c r="LI10" s="183"/>
      <c r="LJ10" s="183"/>
      <c r="LK10" s="183"/>
      <c r="LL10" s="183"/>
      <c r="LM10" s="183"/>
      <c r="LN10" s="183"/>
      <c r="LO10" s="183"/>
      <c r="LP10" s="183"/>
      <c r="LQ10" s="183"/>
      <c r="LR10" s="183"/>
      <c r="LS10" s="183"/>
      <c r="LT10" s="183"/>
      <c r="LU10" s="183"/>
      <c r="LV10" s="183"/>
      <c r="LW10" s="183"/>
      <c r="LX10" s="183"/>
      <c r="LY10" s="183"/>
      <c r="LZ10" s="183"/>
      <c r="MA10" s="183"/>
      <c r="MB10" s="183"/>
      <c r="MC10" s="183"/>
      <c r="MD10" s="183"/>
      <c r="ME10" s="183"/>
      <c r="MF10" s="183"/>
      <c r="MG10" s="183"/>
      <c r="MH10" s="183"/>
      <c r="MI10" s="183"/>
      <c r="MJ10" s="183"/>
      <c r="MK10" s="183"/>
      <c r="ML10" s="183"/>
      <c r="MM10" s="183"/>
      <c r="MN10" s="183"/>
      <c r="MO10" s="183"/>
      <c r="MP10" s="183"/>
      <c r="MQ10" s="183"/>
      <c r="MR10" s="183"/>
      <c r="MS10" s="183"/>
      <c r="MT10" s="183"/>
      <c r="MU10" s="183"/>
      <c r="MV10" s="183"/>
      <c r="MW10" s="183"/>
      <c r="MX10" s="183"/>
      <c r="MY10" s="183"/>
      <c r="MZ10" s="183"/>
      <c r="NA10" s="183"/>
      <c r="NB10" s="183"/>
      <c r="NC10" s="183"/>
      <c r="ND10" s="183"/>
      <c r="NE10" s="183"/>
      <c r="NF10" s="183"/>
      <c r="NG10" s="183"/>
      <c r="NH10" s="183"/>
      <c r="NI10" s="1567"/>
      <c r="NJ10" s="183"/>
      <c r="NK10" s="183"/>
      <c r="NL10" s="183"/>
      <c r="NM10" s="183"/>
      <c r="NN10" s="183"/>
      <c r="NO10" s="183"/>
      <c r="NP10" s="183"/>
      <c r="NQ10" s="183"/>
      <c r="NR10" s="183"/>
      <c r="NS10" s="183"/>
      <c r="NT10" s="183"/>
      <c r="NU10" s="183"/>
      <c r="NV10" s="183"/>
      <c r="NW10" s="183"/>
      <c r="NX10" s="183"/>
      <c r="NY10" s="183"/>
      <c r="NZ10" s="183"/>
      <c r="OA10" s="183"/>
      <c r="OB10" s="183"/>
      <c r="OC10" s="183"/>
      <c r="OD10" s="183"/>
      <c r="OE10" s="183"/>
      <c r="OF10" s="183"/>
      <c r="OG10" s="183"/>
      <c r="OH10" s="183"/>
      <c r="OI10" s="183"/>
      <c r="OJ10" s="183"/>
      <c r="OK10" s="183"/>
      <c r="OL10" s="183"/>
      <c r="OM10" s="183"/>
      <c r="ON10" s="183"/>
      <c r="OO10" s="183"/>
      <c r="OP10" s="183"/>
      <c r="OQ10" s="183"/>
      <c r="OR10" s="183"/>
      <c r="OS10" s="183"/>
      <c r="OT10" s="183"/>
      <c r="OU10" s="183"/>
      <c r="OV10" s="184"/>
      <c r="OW10" s="184"/>
      <c r="OX10" s="184"/>
      <c r="OY10" s="184"/>
      <c r="OZ10" s="184"/>
      <c r="PA10" s="184"/>
      <c r="PB10" s="184"/>
      <c r="PC10" s="184"/>
      <c r="PD10" s="184"/>
      <c r="PE10" s="184"/>
      <c r="PF10" s="184"/>
      <c r="PG10" s="183"/>
      <c r="PH10" s="183"/>
      <c r="PI10" s="183"/>
      <c r="PJ10" s="265"/>
      <c r="PK10" s="265"/>
      <c r="PL10" s="265"/>
      <c r="PM10" s="265"/>
      <c r="PN10" s="265"/>
      <c r="PO10" s="265"/>
      <c r="PP10" s="265"/>
      <c r="PQ10" s="183"/>
      <c r="PR10" s="183"/>
      <c r="PS10" s="183"/>
      <c r="PT10" s="183"/>
      <c r="PU10" s="183"/>
      <c r="PV10" s="183"/>
      <c r="PW10" s="183"/>
      <c r="PX10" s="183"/>
      <c r="PY10" s="183"/>
      <c r="PZ10" s="183"/>
      <c r="QA10" s="183"/>
      <c r="QB10" s="183"/>
      <c r="QC10" s="183"/>
      <c r="QD10" s="183"/>
      <c r="QE10" s="183"/>
      <c r="QF10" s="183"/>
      <c r="QG10" s="183"/>
      <c r="QH10" s="183"/>
      <c r="QI10" s="183"/>
      <c r="QJ10" s="183"/>
      <c r="QK10" s="183"/>
      <c r="QL10" s="183"/>
      <c r="QM10" s="183"/>
      <c r="QU10" s="183"/>
      <c r="QV10" s="183"/>
      <c r="QW10" s="183"/>
      <c r="QX10" s="183"/>
      <c r="QY10" s="183"/>
      <c r="QZ10" s="183"/>
      <c r="RA10" s="183"/>
      <c r="RB10" s="183"/>
      <c r="RC10" s="183"/>
      <c r="RD10" s="183"/>
      <c r="RE10" s="183"/>
      <c r="RF10" s="183"/>
      <c r="RS10" s="183"/>
      <c r="RT10" s="183"/>
      <c r="RU10" s="183"/>
      <c r="RW10" s="181"/>
      <c r="RX10" s="181"/>
      <c r="RY10" s="181"/>
      <c r="RZ10" s="181"/>
      <c r="SA10" s="181"/>
      <c r="SB10" s="181"/>
      <c r="SC10" s="181"/>
      <c r="SD10" s="181"/>
      <c r="SE10" s="181"/>
    </row>
    <row r="11" spans="2:499" s="2617" customFormat="1" ht="42.75" customHeight="1" x14ac:dyDescent="0.25">
      <c r="B11" s="6132" t="str">
        <f>_Calcs!$M$22</f>
        <v>Beregning av tid for sikring</v>
      </c>
      <c r="C11" s="6133" t="str">
        <f>Tunneldrift!$E$127</f>
        <v>Mengdebasert</v>
      </c>
      <c r="D11" s="3882">
        <f>_Calcs_Klasse!$AI$27</f>
        <v>2</v>
      </c>
      <c r="E11" s="6131"/>
      <c r="F11" s="6143" t="s">
        <v>2498</v>
      </c>
      <c r="I11" s="5569" t="s">
        <v>2499</v>
      </c>
      <c r="J11" s="5570"/>
      <c r="K11" s="5570"/>
      <c r="L11" s="5570"/>
      <c r="M11" s="5570"/>
      <c r="N11" s="5570"/>
      <c r="O11" s="5570"/>
      <c r="R11" s="242"/>
      <c r="S11" s="242" t="s">
        <v>60</v>
      </c>
      <c r="T11" s="6260" t="str">
        <f>IF(Prosjektinfo!$Q$29="","",Prosjektinfo!$Q$29)</f>
        <v/>
      </c>
      <c r="AH11" s="183"/>
      <c r="AI11" s="183"/>
      <c r="AJ11" s="183"/>
      <c r="AK11" s="183"/>
      <c r="AL11" s="183"/>
      <c r="AM11" s="183"/>
      <c r="AN11" s="183"/>
      <c r="BA11" s="183"/>
      <c r="BB11" s="206"/>
      <c r="BC11" s="199" t="s">
        <v>208</v>
      </c>
      <c r="BD11" s="199" t="s">
        <v>210</v>
      </c>
      <c r="BE11" s="199" t="str">
        <f>$K$90</f>
        <v>Tverrslag</v>
      </c>
      <c r="BF11" s="183"/>
      <c r="BG11" s="183"/>
      <c r="BH11" s="183"/>
      <c r="BI11" s="184"/>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N11" s="5373"/>
      <c r="CO11" s="2367"/>
      <c r="CP11" s="2367"/>
      <c r="CQ11" s="2367"/>
      <c r="CR11" s="2367"/>
      <c r="CS11" s="2367"/>
      <c r="CT11" s="181"/>
      <c r="CU11" s="181"/>
      <c r="CV11" s="181"/>
      <c r="CW11" s="181"/>
      <c r="CX11" s="181"/>
      <c r="CY11" s="181"/>
      <c r="CZ11" s="181"/>
      <c r="DA11" s="181"/>
      <c r="DB11" s="181"/>
      <c r="DC11" s="181"/>
      <c r="DD11" s="183"/>
      <c r="DE11" s="183"/>
      <c r="DF11" s="183"/>
      <c r="DG11" s="183"/>
      <c r="DH11" s="183"/>
      <c r="DI11" s="183"/>
      <c r="DJ11" s="183"/>
      <c r="DK11" s="183"/>
      <c r="DL11" s="183"/>
      <c r="DM11" s="183"/>
      <c r="DN11" s="183"/>
      <c r="DO11" s="183"/>
      <c r="DP11" s="183"/>
      <c r="DQ11" s="183"/>
      <c r="DR11" s="199"/>
      <c r="DS11" s="199" t="str">
        <f>BC11</f>
        <v>Løp 1</v>
      </c>
      <c r="DT11" s="199" t="str">
        <f>BD11</f>
        <v>Løp 2</v>
      </c>
      <c r="DU11" s="199" t="s">
        <v>320</v>
      </c>
      <c r="DV11" s="183"/>
      <c r="DW11" s="183"/>
      <c r="DX11" s="183"/>
      <c r="DY11" s="184"/>
      <c r="DZ11" s="183"/>
      <c r="EA11" s="183"/>
      <c r="EB11" s="183"/>
      <c r="EC11" s="183"/>
      <c r="ED11" s="183"/>
      <c r="EE11" s="183"/>
      <c r="EF11" s="183"/>
      <c r="EG11" s="183"/>
      <c r="EH11" s="183"/>
      <c r="EI11" s="183"/>
      <c r="EJ11" s="183"/>
      <c r="EK11" s="183"/>
      <c r="EL11" s="183"/>
      <c r="EM11" s="183"/>
      <c r="EN11" s="183"/>
      <c r="EO11" s="183"/>
      <c r="EP11" s="183"/>
      <c r="EQ11" s="183"/>
      <c r="GH11" s="414"/>
      <c r="GI11" s="183"/>
      <c r="GJ11" s="242" t="s">
        <v>1244</v>
      </c>
      <c r="GK11" s="185" t="s">
        <v>1250</v>
      </c>
      <c r="GL11" s="183"/>
      <c r="GM11" s="199" t="s">
        <v>1190</v>
      </c>
      <c r="GN11" s="199" t="s">
        <v>1237</v>
      </c>
      <c r="GO11" s="183"/>
      <c r="GP11" s="183"/>
      <c r="GQ11" s="183"/>
      <c r="GR11" s="183"/>
      <c r="GS11" s="183"/>
      <c r="GT11" s="183"/>
      <c r="GU11" s="183"/>
      <c r="GV11" s="183"/>
      <c r="GW11" s="183"/>
      <c r="GX11" s="183"/>
      <c r="GY11" s="183"/>
      <c r="GZ11" s="183"/>
      <c r="HA11" s="183"/>
      <c r="HB11" s="183"/>
      <c r="HC11" s="183"/>
      <c r="HD11" s="183"/>
      <c r="HE11" s="183"/>
      <c r="HF11" s="183"/>
      <c r="HG11" s="183"/>
      <c r="HH11" s="2970" t="s">
        <v>662</v>
      </c>
      <c r="HI11" s="183"/>
      <c r="HJ11" s="183"/>
      <c r="HK11" s="183"/>
      <c r="HL11" s="183"/>
      <c r="HM11" s="183"/>
      <c r="HN11" s="183"/>
      <c r="HO11" s="183"/>
      <c r="HP11" s="183"/>
      <c r="HQ11" s="183"/>
      <c r="HR11" s="183"/>
      <c r="HS11" s="183"/>
      <c r="HT11" s="183"/>
      <c r="HU11" s="183"/>
      <c r="HV11" s="183"/>
      <c r="HW11" s="183"/>
      <c r="HX11" s="183"/>
      <c r="HY11" s="183"/>
      <c r="HZ11" s="183"/>
      <c r="IA11" s="183"/>
      <c r="IB11" s="183"/>
      <c r="IC11" s="183"/>
      <c r="ID11" s="183"/>
      <c r="IE11" s="183"/>
      <c r="IF11" s="183"/>
      <c r="IG11" s="183"/>
      <c r="IH11" s="183"/>
      <c r="II11" s="183"/>
      <c r="IJ11" s="183"/>
      <c r="IK11" s="183"/>
      <c r="IL11" s="183"/>
      <c r="IM11" s="183"/>
      <c r="IN11" s="183"/>
      <c r="IO11" s="183"/>
      <c r="IP11" s="183"/>
      <c r="IQ11" s="183"/>
      <c r="IR11" s="183"/>
      <c r="IS11" s="183"/>
      <c r="IT11" s="183"/>
      <c r="IU11" s="183"/>
      <c r="IV11" s="183"/>
      <c r="IW11" s="183"/>
      <c r="IX11" s="183"/>
      <c r="IY11" s="183"/>
      <c r="IZ11" s="183"/>
      <c r="JA11" s="183"/>
      <c r="JB11" s="183"/>
      <c r="JC11" s="183"/>
      <c r="JD11" s="183"/>
      <c r="JE11" s="183"/>
      <c r="JF11" s="183"/>
      <c r="JG11" s="183"/>
      <c r="JH11" s="183"/>
      <c r="JI11" s="183"/>
      <c r="JJ11" s="183"/>
      <c r="JK11" s="183"/>
      <c r="JL11" s="183"/>
      <c r="JM11" s="183"/>
      <c r="JN11" s="183"/>
      <c r="JO11" s="183"/>
      <c r="JP11" s="183"/>
      <c r="JQ11" s="183"/>
      <c r="JR11" s="183"/>
      <c r="JS11" s="183"/>
      <c r="JT11" s="183"/>
      <c r="JU11" s="183"/>
      <c r="JV11" s="183"/>
      <c r="JW11" s="183"/>
      <c r="JX11" s="183"/>
      <c r="JY11" s="183"/>
      <c r="JZ11" s="183"/>
      <c r="KA11" s="183"/>
      <c r="KB11" s="183"/>
      <c r="KC11" s="183"/>
      <c r="KD11" s="183"/>
      <c r="KE11" s="183"/>
      <c r="KF11" s="183"/>
      <c r="KH11" s="183"/>
      <c r="KI11" s="183"/>
      <c r="KJ11" s="183"/>
      <c r="KK11" s="183"/>
      <c r="KL11" s="183"/>
      <c r="KM11" s="183"/>
      <c r="KN11" s="183"/>
      <c r="KO11" s="433" t="s">
        <v>2265</v>
      </c>
      <c r="KP11" s="183"/>
      <c r="KQ11" s="183"/>
      <c r="KR11" s="183"/>
      <c r="KS11" s="183"/>
      <c r="KT11" s="183"/>
      <c r="KU11" s="183"/>
      <c r="KV11" s="183"/>
      <c r="KW11" s="183"/>
      <c r="KX11" s="183"/>
      <c r="KY11" s="183"/>
      <c r="KZ11" s="183"/>
      <c r="LA11" s="183"/>
      <c r="LB11" s="183"/>
      <c r="LC11" s="183"/>
      <c r="LD11" s="183"/>
      <c r="LE11" s="183"/>
      <c r="LF11" s="183"/>
      <c r="LG11" s="183"/>
      <c r="LH11" s="183"/>
      <c r="LI11" s="183"/>
      <c r="LJ11" s="183"/>
      <c r="LK11" s="183"/>
      <c r="LL11" s="183"/>
      <c r="LM11" s="183"/>
      <c r="LN11" s="183"/>
      <c r="LO11" s="183"/>
      <c r="LP11" s="183"/>
      <c r="LQ11" s="183"/>
      <c r="LR11" s="183"/>
      <c r="LS11" s="183"/>
      <c r="LT11" s="183"/>
      <c r="LU11" s="183"/>
      <c r="LV11" s="183"/>
      <c r="LW11" s="183"/>
      <c r="LX11" s="183"/>
      <c r="LY11" s="183"/>
      <c r="LZ11" s="183"/>
      <c r="MA11" s="183"/>
      <c r="MB11" s="183"/>
      <c r="MC11" s="183"/>
      <c r="MD11" s="183"/>
      <c r="ME11" s="183"/>
      <c r="MF11" s="183"/>
      <c r="MG11" s="183"/>
      <c r="MH11" s="183"/>
      <c r="MI11" s="183"/>
      <c r="MJ11" s="183"/>
      <c r="MK11" s="183"/>
      <c r="ML11" s="183"/>
      <c r="MM11" s="183"/>
      <c r="MN11" s="183"/>
      <c r="MO11" s="183"/>
      <c r="MP11" s="183"/>
      <c r="MQ11" s="183"/>
      <c r="MR11" s="183"/>
      <c r="MS11" s="183"/>
      <c r="MT11" s="183"/>
      <c r="MU11" s="183"/>
      <c r="MV11" s="183"/>
      <c r="MW11" s="183"/>
      <c r="MX11" s="183"/>
      <c r="MY11" s="183"/>
      <c r="MZ11" s="183"/>
      <c r="NA11" s="183"/>
      <c r="NB11" s="183"/>
      <c r="NC11" s="183"/>
      <c r="ND11" s="183"/>
      <c r="NE11" s="183"/>
      <c r="NF11" s="183"/>
      <c r="NG11" s="183"/>
      <c r="NH11" s="183"/>
      <c r="NI11" s="1567"/>
      <c r="NJ11" s="183"/>
      <c r="NK11" s="183"/>
      <c r="NL11" s="183"/>
      <c r="NM11" s="183"/>
      <c r="NN11" s="426" t="s">
        <v>372</v>
      </c>
      <c r="NO11" s="427"/>
      <c r="NP11" s="183"/>
      <c r="NQ11" s="183"/>
      <c r="NR11" s="183"/>
      <c r="NS11" s="183"/>
      <c r="NT11" s="183"/>
      <c r="NU11" s="184"/>
      <c r="NV11" s="183"/>
      <c r="NW11" s="183"/>
      <c r="NX11" s="183"/>
      <c r="NY11" s="183"/>
      <c r="NZ11" s="183"/>
      <c r="OA11" s="183"/>
      <c r="OB11" s="183"/>
      <c r="OC11" s="183"/>
      <c r="OD11" s="183"/>
      <c r="OE11" s="183"/>
      <c r="OF11" s="183"/>
      <c r="OG11" s="183"/>
      <c r="OH11" s="183"/>
      <c r="OI11" s="183"/>
      <c r="OJ11" s="183"/>
      <c r="OK11" s="183"/>
      <c r="OL11" s="183"/>
      <c r="OM11" s="183"/>
      <c r="ON11" s="183"/>
      <c r="OO11" s="183"/>
      <c r="OP11" s="183"/>
      <c r="OQ11" s="183"/>
      <c r="OR11" s="183"/>
      <c r="OS11" s="183"/>
      <c r="OT11" s="183"/>
      <c r="OU11" s="183"/>
      <c r="OV11" s="184"/>
      <c r="OW11" s="184"/>
      <c r="OX11" s="184"/>
      <c r="OY11" s="184"/>
      <c r="OZ11" s="184"/>
      <c r="PA11" s="184"/>
      <c r="PB11" s="184"/>
      <c r="PC11" s="184"/>
      <c r="PD11" s="184"/>
      <c r="PE11" s="184"/>
      <c r="PF11" s="184"/>
      <c r="PG11" s="183"/>
      <c r="PH11" s="183"/>
      <c r="PI11" s="183"/>
      <c r="PJ11" s="265"/>
      <c r="PK11" s="265"/>
      <c r="PL11" s="265"/>
      <c r="PM11" s="265"/>
      <c r="PN11" s="265"/>
      <c r="PO11" s="265"/>
      <c r="PP11" s="265"/>
      <c r="PQ11" s="183"/>
      <c r="PR11" s="183"/>
      <c r="PS11" s="183"/>
      <c r="PT11" s="183"/>
      <c r="PU11" s="183"/>
      <c r="PV11" s="183"/>
      <c r="PW11" s="183"/>
      <c r="PX11" s="183"/>
      <c r="PY11" s="183"/>
      <c r="PZ11" s="183"/>
      <c r="QA11" s="183"/>
      <c r="QB11" s="183"/>
      <c r="QC11" s="183"/>
      <c r="QD11" s="183"/>
      <c r="QE11" s="183"/>
      <c r="QF11" s="183"/>
      <c r="QG11" s="183"/>
      <c r="QH11" s="183"/>
      <c r="QI11" s="183"/>
      <c r="QJ11" s="183"/>
      <c r="QK11" s="183"/>
      <c r="QL11" s="183"/>
      <c r="QM11" s="183"/>
      <c r="QU11" s="183"/>
      <c r="QV11" s="183"/>
      <c r="QW11" s="183"/>
      <c r="QX11" s="183"/>
      <c r="QY11" s="183"/>
      <c r="QZ11" s="183"/>
      <c r="RA11" s="183"/>
      <c r="RB11" s="183"/>
      <c r="RC11" s="183"/>
      <c r="RD11" s="183"/>
      <c r="RE11" s="183"/>
      <c r="RF11" s="183"/>
      <c r="RS11" s="183"/>
      <c r="RT11" s="183"/>
      <c r="RU11" s="183"/>
    </row>
    <row r="12" spans="2:499" s="2617" customFormat="1" ht="50.25" customHeight="1" x14ac:dyDescent="0.2">
      <c r="I12" s="7219" t="s">
        <v>2751</v>
      </c>
      <c r="J12" s="7219"/>
      <c r="K12" s="7219"/>
      <c r="L12" s="7219"/>
      <c r="M12" s="7219"/>
      <c r="N12" s="7219"/>
      <c r="O12" s="7219"/>
      <c r="R12" s="242"/>
      <c r="S12" s="242"/>
      <c r="T12" s="6148"/>
      <c r="AH12" s="283" t="s">
        <v>2371</v>
      </c>
      <c r="AI12" s="183"/>
      <c r="AJ12" s="183"/>
      <c r="AK12" s="183"/>
      <c r="AL12" s="183"/>
      <c r="AM12" s="183"/>
      <c r="AN12" s="183"/>
      <c r="BA12" s="183"/>
      <c r="BB12" s="206" t="s">
        <v>354</v>
      </c>
      <c r="BC12" s="211">
        <f>BM225</f>
        <v>0</v>
      </c>
      <c r="BD12" s="211">
        <f>BM226</f>
        <v>0</v>
      </c>
      <c r="BE12" s="211">
        <f>BM235</f>
        <v>0</v>
      </c>
      <c r="BF12" s="183"/>
      <c r="BG12" s="183"/>
      <c r="BH12" s="183"/>
      <c r="BI12" s="184"/>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5436" t="s">
        <v>2368</v>
      </c>
      <c r="CN12" s="5373"/>
      <c r="CO12" s="5373"/>
      <c r="CP12" s="5373"/>
      <c r="CQ12" s="5375"/>
      <c r="CR12" s="5375"/>
      <c r="CS12" s="5375"/>
      <c r="CT12" s="181"/>
      <c r="CU12" s="181"/>
      <c r="CV12" s="181"/>
      <c r="CW12" s="181"/>
      <c r="CX12" s="181"/>
      <c r="CY12" s="181"/>
      <c r="CZ12" s="181"/>
      <c r="DA12" s="181"/>
      <c r="DB12" s="181"/>
      <c r="DC12" s="181"/>
      <c r="DD12" s="3456"/>
      <c r="DE12" s="3456"/>
      <c r="DF12" s="3456"/>
      <c r="DG12" s="3456"/>
      <c r="DH12" s="3456"/>
      <c r="DI12" s="3456"/>
      <c r="DJ12" s="3456"/>
      <c r="DK12" s="3456"/>
      <c r="DL12" s="3456"/>
      <c r="DM12" s="3456"/>
      <c r="DN12" s="3456"/>
      <c r="DO12" s="3456"/>
      <c r="DP12" s="3456"/>
      <c r="DQ12" s="183"/>
      <c r="DR12" s="199" t="s">
        <v>321</v>
      </c>
      <c r="DS12" s="211">
        <f>EH103</f>
        <v>0</v>
      </c>
      <c r="DT12" s="211">
        <f>EH104</f>
        <v>0</v>
      </c>
      <c r="DU12" s="211">
        <f>EH113</f>
        <v>0</v>
      </c>
      <c r="DV12" s="183"/>
      <c r="DW12" s="183"/>
      <c r="DX12" s="183"/>
      <c r="DY12" s="184"/>
      <c r="DZ12" s="183"/>
      <c r="EA12" s="183"/>
      <c r="EB12" s="183"/>
      <c r="EC12" s="183"/>
      <c r="ED12" s="183"/>
      <c r="EE12" s="183"/>
      <c r="EF12" s="183"/>
      <c r="EG12" s="183"/>
      <c r="EH12" s="183"/>
      <c r="EI12" s="183"/>
      <c r="EJ12" s="183"/>
      <c r="EK12" s="183"/>
      <c r="EL12" s="183"/>
      <c r="EM12" s="183"/>
      <c r="EN12" s="183"/>
      <c r="EO12" s="183"/>
      <c r="EP12" s="183"/>
      <c r="EQ12" s="183"/>
      <c r="GH12" s="414"/>
      <c r="GI12" s="183"/>
      <c r="GL12" s="183"/>
      <c r="GM12" s="6242">
        <f>'Inn forbered'!$S$15</f>
        <v>0</v>
      </c>
      <c r="GN12" s="199">
        <f>IF(GM12="Ja",1,2)</f>
        <v>2</v>
      </c>
      <c r="GO12" s="183"/>
      <c r="GP12" s="183"/>
      <c r="GQ12" s="183"/>
      <c r="GR12" s="183"/>
      <c r="GS12" s="183"/>
      <c r="GT12" s="183"/>
      <c r="GU12" s="183"/>
      <c r="GV12" s="183"/>
      <c r="GW12" s="183"/>
      <c r="GX12" s="183"/>
      <c r="GY12" s="183"/>
      <c r="GZ12" s="183"/>
      <c r="HA12" s="183"/>
      <c r="HB12" s="183"/>
      <c r="HC12" s="183"/>
      <c r="HD12" s="183"/>
      <c r="HE12" s="183"/>
      <c r="HF12" s="183"/>
      <c r="HG12" s="183"/>
      <c r="HH12" s="183"/>
      <c r="HI12" s="183"/>
      <c r="HJ12" s="183"/>
      <c r="HK12" s="183"/>
      <c r="HL12" s="183"/>
      <c r="HM12" s="183"/>
      <c r="HN12" s="183"/>
      <c r="HO12" s="183"/>
      <c r="HP12" s="183"/>
      <c r="HQ12" s="183"/>
      <c r="HR12" s="183"/>
      <c r="HS12" s="183"/>
      <c r="HT12" s="183"/>
      <c r="HU12" s="183"/>
      <c r="HV12" s="183"/>
      <c r="HW12" s="183"/>
      <c r="HX12" s="183"/>
      <c r="HY12" s="183"/>
      <c r="HZ12" s="183"/>
      <c r="IA12" s="183"/>
      <c r="IB12" s="183"/>
      <c r="IC12" s="183"/>
      <c r="ID12" s="183"/>
      <c r="IE12" s="183"/>
      <c r="IF12" s="183"/>
      <c r="IG12" s="183"/>
      <c r="IH12" s="5262" t="s">
        <v>2291</v>
      </c>
      <c r="II12" s="5263"/>
      <c r="IJ12" s="5263"/>
      <c r="IK12" s="183"/>
      <c r="IL12" s="183"/>
      <c r="IM12" s="183"/>
      <c r="IN12" s="183"/>
      <c r="IO12" s="183"/>
      <c r="IP12" s="183"/>
      <c r="IQ12" s="183"/>
      <c r="IR12" s="183"/>
      <c r="IS12" s="183"/>
      <c r="IT12" s="183"/>
      <c r="IU12" s="183"/>
      <c r="IV12" s="183"/>
      <c r="IW12" s="183"/>
      <c r="IX12" s="183"/>
      <c r="IY12" s="183"/>
      <c r="IZ12" s="183"/>
      <c r="JA12" s="183"/>
      <c r="JB12" s="183"/>
      <c r="JC12" s="183"/>
      <c r="JD12" s="183"/>
      <c r="JE12" s="183"/>
      <c r="JF12" s="183"/>
      <c r="JG12" s="183"/>
      <c r="JH12" s="183"/>
      <c r="JI12" s="183"/>
      <c r="JJ12" s="183"/>
      <c r="JK12" s="183"/>
      <c r="JL12" s="183"/>
      <c r="JM12" s="183"/>
      <c r="JN12" s="183"/>
      <c r="JO12" s="183"/>
      <c r="JP12" s="183"/>
      <c r="JQ12" s="183"/>
      <c r="JR12" s="183"/>
      <c r="JS12" s="183"/>
      <c r="JT12" s="183"/>
      <c r="JU12" s="183"/>
      <c r="JV12" s="183"/>
      <c r="JW12" s="183"/>
      <c r="JX12" s="183"/>
      <c r="JY12" s="183"/>
      <c r="JZ12" s="183"/>
      <c r="KA12" s="183"/>
      <c r="KB12" s="183"/>
      <c r="KC12" s="183"/>
      <c r="KD12" s="183"/>
      <c r="KE12" s="183"/>
      <c r="KF12" s="183"/>
      <c r="KH12" s="183"/>
      <c r="KI12" s="183"/>
      <c r="KJ12" s="183"/>
      <c r="KK12" s="183"/>
      <c r="KL12" s="183"/>
      <c r="KM12" s="183"/>
      <c r="KN12" s="183"/>
      <c r="KO12" s="183"/>
      <c r="KP12" s="183"/>
      <c r="KQ12" s="183"/>
      <c r="KR12" s="183"/>
      <c r="KS12" s="183"/>
      <c r="KT12" s="183"/>
      <c r="KU12" s="183"/>
      <c r="KV12" s="183"/>
      <c r="KW12" s="183"/>
      <c r="KX12" s="183"/>
      <c r="KY12" s="183"/>
      <c r="KZ12" s="183"/>
      <c r="LA12" s="183"/>
      <c r="LB12" s="183"/>
      <c r="LC12" s="183"/>
      <c r="LD12" s="183"/>
      <c r="LE12" s="183"/>
      <c r="LF12" s="183"/>
      <c r="LG12" s="183"/>
      <c r="LH12" s="183"/>
      <c r="LI12" s="183"/>
      <c r="LJ12" s="183"/>
      <c r="LK12" s="183"/>
      <c r="LL12" s="183"/>
      <c r="LM12" s="183"/>
      <c r="LN12" s="183"/>
      <c r="LO12" s="183"/>
      <c r="LP12" s="183"/>
      <c r="LQ12" s="183"/>
      <c r="LR12" s="183"/>
      <c r="LS12" s="183"/>
      <c r="LT12" s="183"/>
      <c r="LU12" s="183"/>
      <c r="LV12" s="183"/>
      <c r="LW12" s="183"/>
      <c r="LX12" s="183"/>
      <c r="LY12" s="183"/>
      <c r="LZ12" s="183"/>
      <c r="MA12" s="183"/>
      <c r="MB12" s="183"/>
      <c r="MC12" s="183"/>
      <c r="MD12" s="183"/>
      <c r="ME12" s="183"/>
      <c r="MF12" s="183"/>
      <c r="MG12" s="183"/>
      <c r="MH12" s="183"/>
      <c r="MI12" s="183"/>
      <c r="MJ12" s="183"/>
      <c r="MK12" s="183"/>
      <c r="ML12" s="183"/>
      <c r="MM12" s="183"/>
      <c r="MN12" s="183"/>
      <c r="MO12" s="183"/>
      <c r="MP12" s="183"/>
      <c r="MQ12" s="183"/>
      <c r="MR12" s="183"/>
      <c r="MS12" s="183"/>
      <c r="MT12" s="183"/>
      <c r="MU12" s="183"/>
      <c r="MV12" s="183"/>
      <c r="MW12" s="183"/>
      <c r="MX12" s="183"/>
      <c r="MY12" s="183"/>
      <c r="MZ12" s="183"/>
      <c r="NA12" s="183"/>
      <c r="NB12" s="183"/>
      <c r="NC12" s="183"/>
      <c r="ND12" s="183"/>
      <c r="NE12" s="183"/>
      <c r="NF12" s="183"/>
      <c r="NG12" s="183"/>
      <c r="NH12" s="183"/>
      <c r="NI12" s="1567"/>
      <c r="NJ12" s="183"/>
      <c r="NK12" s="183"/>
      <c r="NL12" s="183"/>
      <c r="NM12" s="183"/>
      <c r="NN12" s="183"/>
      <c r="NO12" s="183"/>
      <c r="NP12" s="183"/>
      <c r="NQ12" s="183"/>
      <c r="NR12" s="183"/>
      <c r="NS12" s="183"/>
      <c r="NT12" s="183"/>
      <c r="NU12" s="184"/>
      <c r="NV12" s="183"/>
      <c r="NW12" s="183"/>
      <c r="NX12" s="183"/>
      <c r="NY12" s="183"/>
      <c r="NZ12" s="183"/>
      <c r="OA12" s="183"/>
      <c r="OB12" s="183"/>
      <c r="OC12" s="183"/>
      <c r="OD12" s="183"/>
      <c r="OE12" s="183"/>
      <c r="OF12" s="183"/>
      <c r="OG12" s="183"/>
      <c r="OH12" s="183"/>
      <c r="OI12" s="183"/>
      <c r="OJ12" s="183"/>
      <c r="OK12" s="183"/>
      <c r="OL12" s="183"/>
      <c r="OM12" s="183"/>
      <c r="ON12" s="183"/>
      <c r="OO12" s="183"/>
      <c r="OP12" s="183"/>
      <c r="OQ12" s="183"/>
      <c r="OR12" s="183"/>
      <c r="OS12" s="183"/>
      <c r="OT12" s="183"/>
      <c r="OU12" s="183"/>
      <c r="OV12" s="184"/>
      <c r="OW12" s="184"/>
      <c r="OX12" s="184"/>
      <c r="OY12" s="184"/>
      <c r="OZ12" s="184"/>
      <c r="PA12" s="184"/>
      <c r="PB12" s="184"/>
      <c r="PC12" s="184"/>
      <c r="PD12" s="184"/>
      <c r="PE12" s="184"/>
      <c r="PF12" s="184"/>
      <c r="PG12" s="183"/>
      <c r="PH12" s="183"/>
      <c r="PI12" s="183"/>
      <c r="PJ12" s="265"/>
      <c r="PK12" s="265"/>
      <c r="PL12" s="265"/>
      <c r="PM12" s="265"/>
      <c r="PN12" s="265"/>
      <c r="PO12" s="265"/>
      <c r="PP12" s="265"/>
      <c r="PQ12" s="183"/>
      <c r="PR12" s="183"/>
      <c r="PS12" s="183"/>
      <c r="PT12" s="183"/>
      <c r="PU12" s="183"/>
      <c r="PV12" s="183"/>
      <c r="PW12" s="183"/>
      <c r="PX12" s="183"/>
      <c r="PY12" s="183"/>
      <c r="PZ12" s="183"/>
      <c r="QA12" s="183"/>
      <c r="QB12" s="183"/>
      <c r="QC12" s="183"/>
      <c r="QD12" s="183"/>
      <c r="QE12" s="183"/>
      <c r="QF12" s="183"/>
      <c r="QG12" s="183"/>
      <c r="QH12" s="183"/>
      <c r="QI12" s="183"/>
      <c r="QJ12" s="183"/>
      <c r="QK12" s="183"/>
      <c r="QL12" s="183"/>
      <c r="QM12" s="183"/>
      <c r="QU12" s="184"/>
      <c r="QV12" s="183"/>
      <c r="QW12" s="183"/>
      <c r="QX12" s="183"/>
      <c r="QY12" s="183"/>
      <c r="QZ12" s="183"/>
      <c r="RA12" s="183"/>
      <c r="RB12" s="183"/>
      <c r="RC12" s="183"/>
      <c r="RD12" s="183"/>
      <c r="RE12" s="183"/>
      <c r="RF12" s="183"/>
      <c r="RS12" s="183"/>
      <c r="RT12" s="183"/>
      <c r="RU12" s="183"/>
    </row>
    <row r="13" spans="2:499" s="2617" customFormat="1" ht="30" x14ac:dyDescent="0.2">
      <c r="H13" s="2625"/>
      <c r="I13" s="7217" t="s">
        <v>131</v>
      </c>
      <c r="J13" s="7217"/>
      <c r="K13" s="7218" t="s">
        <v>2506</v>
      </c>
      <c r="L13" s="7218"/>
      <c r="M13" s="7218"/>
      <c r="N13" s="7218"/>
      <c r="O13" s="7218"/>
      <c r="R13" s="242"/>
      <c r="S13" s="242" t="s">
        <v>1193</v>
      </c>
      <c r="T13" s="6148" t="str">
        <f>IF(Prosjektinfo!$Q$33="","",Prosjektinfo!$Q$33)</f>
        <v/>
      </c>
      <c r="AH13" s="183"/>
      <c r="AI13" s="183"/>
      <c r="AJ13" s="183"/>
      <c r="AK13" s="183"/>
      <c r="AL13" s="183"/>
      <c r="AM13" s="183"/>
      <c r="AN13" s="183"/>
      <c r="BA13" s="183"/>
      <c r="BB13" s="265"/>
      <c r="BC13" s="183"/>
      <c r="BD13" s="183"/>
      <c r="BE13" s="183"/>
      <c r="BF13" s="183"/>
      <c r="BG13" s="183"/>
      <c r="BH13" s="183"/>
      <c r="BI13" s="184"/>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3438" t="str">
        <f>_Calcs!$K$26</f>
        <v>Gjennomgående teoretisk
sprengningsprofil (eks. grøfter)</v>
      </c>
      <c r="CN13" s="5373"/>
      <c r="CO13" s="5373"/>
      <c r="CP13" s="5373"/>
      <c r="CQ13" s="5375"/>
      <c r="CR13" s="5375"/>
      <c r="CS13" s="5375"/>
      <c r="CT13" s="181"/>
      <c r="CU13" s="181"/>
      <c r="CV13" s="181"/>
      <c r="CW13" s="181"/>
      <c r="CX13" s="181"/>
      <c r="CY13" s="181"/>
      <c r="CZ13" s="181"/>
      <c r="DA13" s="181"/>
      <c r="DB13" s="181"/>
      <c r="DC13" s="181"/>
      <c r="DQ13" s="183"/>
      <c r="DR13" s="183"/>
      <c r="DS13" s="183"/>
      <c r="DT13" s="183"/>
      <c r="DU13" s="183"/>
      <c r="DV13" s="183"/>
      <c r="DW13" s="183"/>
      <c r="DX13" s="183"/>
      <c r="DY13" s="184"/>
      <c r="DZ13" s="183"/>
      <c r="EA13" s="183"/>
      <c r="EB13" s="183"/>
      <c r="EC13" s="183"/>
      <c r="ED13" s="183"/>
      <c r="EE13" s="183"/>
      <c r="EF13" s="183"/>
      <c r="EG13" s="183"/>
      <c r="EH13" s="183"/>
      <c r="EI13" s="183"/>
      <c r="EJ13" s="183"/>
      <c r="EK13" s="183"/>
      <c r="EL13" s="183"/>
      <c r="EM13" s="183"/>
      <c r="EN13" s="183"/>
      <c r="EO13" s="183"/>
      <c r="EP13" s="183"/>
      <c r="EQ13" s="183"/>
      <c r="GH13" s="414"/>
      <c r="GI13" s="183"/>
      <c r="GJ13" s="185" t="s">
        <v>48</v>
      </c>
      <c r="GK13" s="185" t="s">
        <v>1236</v>
      </c>
      <c r="GL13" s="183"/>
      <c r="GM13" s="185" t="s">
        <v>2329</v>
      </c>
      <c r="GN13" s="185" t="b">
        <f>ISBLANK('Inn forbered'!$S$15)</f>
        <v>1</v>
      </c>
      <c r="GO13" s="433" t="s">
        <v>2781</v>
      </c>
      <c r="GP13" s="183"/>
      <c r="GQ13" s="183"/>
      <c r="GR13" s="183"/>
      <c r="GS13" s="183"/>
      <c r="GT13" s="183"/>
      <c r="GU13" s="183"/>
      <c r="GV13" s="183"/>
      <c r="GW13" s="183"/>
      <c r="GX13" s="183"/>
      <c r="GY13" s="183"/>
      <c r="GZ13" s="183"/>
      <c r="HA13" s="183"/>
      <c r="HB13" s="183"/>
      <c r="HC13" s="183"/>
      <c r="HD13" s="183"/>
      <c r="HE13" s="183"/>
      <c r="HF13" s="183"/>
      <c r="HG13" s="183"/>
      <c r="HH13" s="185"/>
      <c r="HI13" s="185" t="s">
        <v>146</v>
      </c>
      <c r="HJ13" s="185" t="s">
        <v>588</v>
      </c>
      <c r="HK13" s="183"/>
      <c r="HL13" s="183"/>
      <c r="HM13" s="183"/>
      <c r="HN13" s="183"/>
      <c r="HO13" s="183"/>
      <c r="HP13" s="183"/>
      <c r="HQ13" s="183"/>
      <c r="HR13" s="183"/>
      <c r="HS13" s="183"/>
      <c r="HT13" s="183"/>
      <c r="HU13" s="183"/>
      <c r="HV13" s="183"/>
      <c r="HW13" s="183"/>
      <c r="HX13" s="183"/>
      <c r="HY13" s="183"/>
      <c r="HZ13" s="183"/>
      <c r="IA13" s="183"/>
      <c r="IB13" s="183"/>
      <c r="IC13" s="183"/>
      <c r="ID13" s="183"/>
      <c r="IE13" s="183"/>
      <c r="IF13" s="183"/>
      <c r="IG13" s="183"/>
      <c r="IL13" s="183"/>
      <c r="IM13" s="183"/>
      <c r="IN13" s="183"/>
      <c r="IO13" s="183"/>
      <c r="IP13" s="183"/>
      <c r="IQ13" s="183"/>
      <c r="IR13" s="183"/>
      <c r="IS13" s="183"/>
      <c r="IT13" s="183"/>
      <c r="IU13" s="183"/>
      <c r="IV13" s="183"/>
      <c r="IW13" s="183"/>
      <c r="IX13" s="183"/>
      <c r="IY13" s="183"/>
      <c r="IZ13" s="183"/>
      <c r="JA13" s="183"/>
      <c r="JB13" s="183"/>
      <c r="JC13" s="183"/>
      <c r="JD13" s="183"/>
      <c r="JE13" s="183"/>
      <c r="JF13" s="183"/>
      <c r="JG13" s="183"/>
      <c r="JH13" s="183"/>
      <c r="JI13" s="183"/>
      <c r="JJ13" s="183"/>
      <c r="JK13" s="183"/>
      <c r="JL13" s="183"/>
      <c r="JM13" s="183"/>
      <c r="JN13" s="183"/>
      <c r="JO13" s="183"/>
      <c r="JP13" s="183"/>
      <c r="JQ13" s="183"/>
      <c r="JR13" s="183"/>
      <c r="JS13" s="183"/>
      <c r="JT13" s="183"/>
      <c r="JU13" s="183"/>
      <c r="JV13" s="183"/>
      <c r="JW13" s="183"/>
      <c r="JX13" s="183"/>
      <c r="JY13" s="183"/>
      <c r="JZ13" s="183"/>
      <c r="KA13" s="183"/>
      <c r="KB13" s="183"/>
      <c r="KC13" s="183"/>
      <c r="KD13" s="183"/>
      <c r="KE13" s="183"/>
      <c r="KF13" s="183"/>
      <c r="KH13" s="183"/>
      <c r="KI13" s="183"/>
      <c r="KJ13" s="183"/>
      <c r="KK13" s="183"/>
      <c r="KL13" s="183"/>
      <c r="KM13" s="183"/>
      <c r="KN13" s="183"/>
      <c r="KO13" s="183"/>
      <c r="KP13" s="183"/>
      <c r="KQ13" s="183"/>
      <c r="KR13" s="183"/>
      <c r="KS13" s="183"/>
      <c r="KT13" s="183"/>
      <c r="KU13" s="183"/>
      <c r="KV13" s="183"/>
      <c r="KW13" s="183"/>
      <c r="KX13" s="183"/>
      <c r="KY13" s="183"/>
      <c r="KZ13" s="183"/>
      <c r="LA13" s="183"/>
      <c r="LB13" s="183"/>
      <c r="LC13" s="183"/>
      <c r="LD13" s="183"/>
      <c r="LE13" s="183"/>
      <c r="LF13" s="183"/>
      <c r="LG13" s="183"/>
      <c r="LH13" s="183"/>
      <c r="LI13" s="183"/>
      <c r="LJ13" s="183"/>
      <c r="LK13" s="183"/>
      <c r="LL13" s="183"/>
      <c r="LM13" s="183"/>
      <c r="LN13" s="183"/>
      <c r="LO13" s="183"/>
      <c r="LP13" s="183"/>
      <c r="LQ13" s="183"/>
      <c r="LR13" s="183"/>
      <c r="LS13" s="183"/>
      <c r="LT13" s="183"/>
      <c r="LU13" s="183"/>
      <c r="LV13" s="183"/>
      <c r="LW13" s="183"/>
      <c r="LX13" s="183"/>
      <c r="LY13" s="183"/>
      <c r="LZ13" s="183"/>
      <c r="MA13" s="183"/>
      <c r="MB13" s="183"/>
      <c r="MC13" s="183"/>
      <c r="MD13" s="183"/>
      <c r="ME13" s="183"/>
      <c r="MF13" s="183"/>
      <c r="MG13" s="183"/>
      <c r="MH13" s="183"/>
      <c r="MI13" s="183"/>
      <c r="MJ13" s="183"/>
      <c r="MK13" s="183"/>
      <c r="ML13" s="183"/>
      <c r="MM13" s="183"/>
      <c r="MN13" s="183"/>
      <c r="MO13" s="183"/>
      <c r="MP13" s="183"/>
      <c r="MQ13" s="183"/>
      <c r="MR13" s="183"/>
      <c r="MS13" s="183"/>
      <c r="MT13" s="183"/>
      <c r="MU13" s="183"/>
      <c r="MV13" s="183"/>
      <c r="MW13" s="183"/>
      <c r="MX13" s="183"/>
      <c r="MY13" s="183"/>
      <c r="MZ13" s="183"/>
      <c r="NA13" s="183"/>
      <c r="NB13" s="183"/>
      <c r="NC13" s="183"/>
      <c r="ND13" s="183"/>
      <c r="NE13" s="183"/>
      <c r="NF13" s="183"/>
      <c r="NG13" s="183"/>
      <c r="NH13" s="183"/>
      <c r="NI13" s="1567"/>
      <c r="NJ13" s="183"/>
      <c r="NK13" s="183"/>
      <c r="NL13" s="183"/>
      <c r="NM13" s="183"/>
      <c r="NN13" s="283" t="s">
        <v>352</v>
      </c>
      <c r="NO13" s="282"/>
      <c r="NP13" s="282"/>
      <c r="NQ13" s="282"/>
      <c r="NR13" s="282"/>
      <c r="NS13" s="183"/>
      <c r="NT13" s="183"/>
      <c r="NU13" s="184"/>
      <c r="NV13" s="183"/>
      <c r="NW13" s="183"/>
      <c r="NX13" s="183"/>
      <c r="NY13" s="183"/>
      <c r="NZ13" s="183"/>
      <c r="OA13" s="183"/>
      <c r="OB13" s="183"/>
      <c r="OC13" s="183"/>
      <c r="OD13" s="183"/>
      <c r="OE13" s="183"/>
      <c r="OF13" s="183"/>
      <c r="OG13" s="183"/>
      <c r="OH13" s="183"/>
      <c r="OI13" s="183"/>
      <c r="OJ13" s="183"/>
      <c r="OK13" s="183"/>
      <c r="OL13" s="183"/>
      <c r="OM13" s="183"/>
      <c r="ON13" s="183"/>
      <c r="OO13" s="183"/>
      <c r="OP13" s="183"/>
      <c r="OQ13" s="183"/>
      <c r="OR13" s="183"/>
      <c r="OS13" s="183"/>
      <c r="OT13" s="183"/>
      <c r="OU13" s="183"/>
      <c r="OV13" s="184"/>
      <c r="OW13" s="184"/>
      <c r="OX13" s="184"/>
      <c r="OY13" s="184"/>
      <c r="OZ13" s="184"/>
      <c r="PA13" s="184"/>
      <c r="PB13" s="184"/>
      <c r="PC13" s="184"/>
      <c r="PD13" s="184"/>
      <c r="PE13" s="184"/>
      <c r="PF13" s="184"/>
      <c r="PG13" s="183"/>
      <c r="PH13" s="183"/>
      <c r="PI13" s="183"/>
      <c r="PJ13" s="265"/>
      <c r="PK13" s="265"/>
      <c r="PL13" s="265"/>
      <c r="PM13" s="265"/>
      <c r="PN13" s="265"/>
      <c r="PO13" s="265"/>
      <c r="PP13" s="265"/>
      <c r="PQ13" s="183"/>
      <c r="PR13" s="183"/>
      <c r="PS13" s="183"/>
      <c r="PT13" s="183"/>
      <c r="PU13" s="183"/>
      <c r="PV13" s="183"/>
      <c r="PW13" s="183"/>
      <c r="PX13" s="183"/>
      <c r="PY13" s="183"/>
      <c r="PZ13" s="183"/>
      <c r="QA13" s="183"/>
      <c r="QB13" s="183"/>
      <c r="QC13" s="183"/>
      <c r="QD13" s="183"/>
      <c r="QE13" s="183"/>
      <c r="QF13" s="183"/>
      <c r="QG13" s="183"/>
      <c r="QH13" s="183"/>
      <c r="QI13" s="183"/>
      <c r="QJ13" s="183"/>
      <c r="QK13" s="183"/>
      <c r="QL13" s="183"/>
      <c r="QM13" s="183"/>
      <c r="QU13" s="184"/>
      <c r="QV13" s="183"/>
      <c r="QW13" s="183"/>
      <c r="QX13" s="183"/>
      <c r="QY13" s="183"/>
      <c r="QZ13" s="183"/>
      <c r="RA13" s="183"/>
      <c r="RB13" s="183"/>
      <c r="RC13" s="183"/>
      <c r="RD13" s="183"/>
      <c r="RE13" s="183"/>
      <c r="RF13" s="183"/>
      <c r="RS13" s="183"/>
      <c r="RT13" s="183"/>
      <c r="RU13" s="183"/>
    </row>
    <row r="14" spans="2:499" s="2617" customFormat="1" ht="23.25" x14ac:dyDescent="0.35">
      <c r="H14" s="2625"/>
      <c r="I14" s="5546" t="s">
        <v>1546</v>
      </c>
      <c r="J14" s="5546" t="s">
        <v>2500</v>
      </c>
      <c r="K14" s="5562" t="s">
        <v>1170</v>
      </c>
      <c r="L14" s="5562" t="s">
        <v>2503</v>
      </c>
      <c r="M14" s="5546" t="s">
        <v>2504</v>
      </c>
      <c r="N14" s="5546" t="s">
        <v>2505</v>
      </c>
      <c r="O14" s="5546" t="s">
        <v>2187</v>
      </c>
      <c r="R14" s="242"/>
      <c r="S14" s="242" t="s">
        <v>1194</v>
      </c>
      <c r="T14" s="6148" t="str">
        <f>IF(Prosjektinfo!$Q$35="","",Prosjektinfo!$Q$35)</f>
        <v/>
      </c>
      <c r="AH14" s="185" t="s">
        <v>813</v>
      </c>
      <c r="AI14" s="538">
        <f>Prosjektinfo!Q83</f>
        <v>0</v>
      </c>
      <c r="AJ14" s="183"/>
      <c r="AK14" s="183"/>
      <c r="AL14" s="183"/>
      <c r="AM14" s="183"/>
      <c r="AN14" s="183"/>
      <c r="BA14" s="183"/>
      <c r="BB14" s="266" t="s">
        <v>255</v>
      </c>
      <c r="BC14" s="271"/>
      <c r="BD14" s="271"/>
      <c r="BE14" s="271"/>
      <c r="BF14" s="271"/>
      <c r="BG14" s="271"/>
      <c r="BH14" s="271"/>
      <c r="BI14" s="267"/>
      <c r="BJ14" s="271"/>
      <c r="BK14" s="271"/>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5437" t="s">
        <v>1009</v>
      </c>
      <c r="CN14" s="5379" t="str">
        <f>$BH$35</f>
        <v/>
      </c>
      <c r="CO14" s="5373"/>
      <c r="CP14" s="5373"/>
      <c r="CQ14" s="5375"/>
      <c r="CR14" s="5375"/>
      <c r="CS14" s="5375"/>
      <c r="CT14" s="181"/>
      <c r="CU14" s="181"/>
      <c r="CV14" s="181"/>
      <c r="CW14" s="181"/>
      <c r="CX14" s="181"/>
      <c r="CY14" s="181"/>
      <c r="CZ14" s="181"/>
      <c r="DA14" s="181"/>
      <c r="DB14" s="181"/>
      <c r="DC14" s="181"/>
      <c r="DQ14" s="183"/>
      <c r="DR14" s="348" t="s">
        <v>255</v>
      </c>
      <c r="DS14" s="348"/>
      <c r="DT14" s="348"/>
      <c r="DU14" s="348"/>
      <c r="DV14" s="348"/>
      <c r="DW14" s="348"/>
      <c r="DX14" s="348"/>
      <c r="DY14" s="347"/>
      <c r="DZ14" s="348"/>
      <c r="EA14" s="348"/>
      <c r="EB14" s="183"/>
      <c r="EC14" s="183"/>
      <c r="ED14" s="183"/>
      <c r="EE14" s="183"/>
      <c r="EF14" s="183"/>
      <c r="EG14" s="183"/>
      <c r="EH14" s="183"/>
      <c r="EI14" s="183"/>
      <c r="EJ14" s="183"/>
      <c r="EK14" s="183"/>
      <c r="EL14" s="183"/>
      <c r="EM14" s="183"/>
      <c r="EN14" s="183"/>
      <c r="EO14" s="183"/>
      <c r="EP14" s="183"/>
      <c r="EQ14" s="183"/>
      <c r="GH14" s="414"/>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5" t="str">
        <f>Tunneldrift!M112</f>
        <v>Etablering av kryssområde</v>
      </c>
      <c r="HI14" s="185">
        <f>IF(Tunneldrift!F89="","",Tunneldrift!F89)</f>
        <v>0</v>
      </c>
      <c r="HJ14" s="185">
        <f>HI14*$AI$80</f>
        <v>0</v>
      </c>
      <c r="HK14" s="183"/>
      <c r="HL14" s="183"/>
      <c r="HM14" s="183"/>
      <c r="HN14" s="183"/>
      <c r="HO14" s="183"/>
      <c r="HP14" s="183"/>
      <c r="HQ14" s="183"/>
      <c r="HR14" s="183"/>
      <c r="HS14" s="183"/>
      <c r="HT14" s="183"/>
      <c r="HU14" s="183"/>
      <c r="HV14" s="183"/>
      <c r="HW14" s="183"/>
      <c r="HX14" s="183"/>
      <c r="HY14" s="183"/>
      <c r="HZ14" s="183"/>
      <c r="IA14" s="183"/>
      <c r="IB14" s="183"/>
      <c r="IC14" s="183"/>
      <c r="ID14" s="183"/>
      <c r="IE14" s="183"/>
      <c r="IF14" s="183"/>
      <c r="IG14" s="183"/>
      <c r="IH14" s="3445" t="s">
        <v>760</v>
      </c>
      <c r="IK14" s="183"/>
      <c r="IL14" s="183"/>
      <c r="IM14" s="183"/>
      <c r="IN14" s="183"/>
      <c r="IO14" s="183"/>
      <c r="IP14" s="183"/>
      <c r="IQ14" s="183"/>
      <c r="IR14" s="183"/>
      <c r="IS14" s="183"/>
      <c r="IT14" s="183"/>
      <c r="IU14" s="183"/>
      <c r="IV14" s="183"/>
      <c r="IW14" s="183"/>
      <c r="IX14" s="183"/>
      <c r="IY14" s="183"/>
      <c r="IZ14" s="183"/>
      <c r="JA14" s="183"/>
      <c r="JB14" s="183"/>
      <c r="JC14" s="183"/>
      <c r="JD14" s="183"/>
      <c r="JG14" s="183"/>
      <c r="JH14" s="183"/>
      <c r="JI14" s="183"/>
      <c r="JJ14" s="183"/>
      <c r="JK14" s="183"/>
      <c r="JL14" s="183"/>
      <c r="JM14" s="183"/>
      <c r="JN14" s="183"/>
      <c r="JO14" s="183"/>
      <c r="JP14" s="183"/>
      <c r="JQ14" s="183"/>
      <c r="JR14" s="183"/>
      <c r="JS14" s="183"/>
      <c r="JT14" s="183"/>
      <c r="JU14" s="183"/>
      <c r="JV14" s="183"/>
      <c r="JW14" s="183"/>
      <c r="JX14" s="183"/>
      <c r="JY14" s="183"/>
      <c r="JZ14" s="183"/>
      <c r="KA14" s="183"/>
      <c r="KB14" s="183"/>
      <c r="KC14" s="183"/>
      <c r="KD14" s="183"/>
      <c r="KE14" s="183"/>
      <c r="KF14" s="183"/>
      <c r="KH14" s="183"/>
      <c r="KI14" s="183"/>
      <c r="KJ14" s="183"/>
      <c r="KK14" s="183"/>
      <c r="KL14" s="183"/>
      <c r="KM14" s="183"/>
      <c r="KN14" s="183"/>
      <c r="KO14" s="249" t="s">
        <v>2267</v>
      </c>
      <c r="KP14" s="315" t="s">
        <v>2266</v>
      </c>
      <c r="KQ14" s="183"/>
      <c r="KR14" s="183"/>
      <c r="KS14" s="183"/>
      <c r="KT14" s="183"/>
      <c r="KU14" s="183"/>
      <c r="KV14" s="183"/>
      <c r="KW14" s="183"/>
      <c r="KX14" s="183"/>
      <c r="KY14" s="183"/>
      <c r="KZ14" s="183"/>
      <c r="LA14" s="183"/>
      <c r="LB14" s="183"/>
      <c r="LC14" s="183"/>
      <c r="LD14" s="183"/>
      <c r="LE14" s="183"/>
      <c r="LF14" s="183"/>
      <c r="LG14" s="183"/>
      <c r="LH14" s="183"/>
      <c r="LI14" s="183"/>
      <c r="LJ14" s="5258" t="s">
        <v>407</v>
      </c>
      <c r="LK14" s="5258"/>
      <c r="LL14" s="5259"/>
      <c r="LM14" s="5260"/>
      <c r="LN14" s="5260"/>
      <c r="LO14" s="5260"/>
      <c r="LP14" s="5260"/>
      <c r="LQ14" s="5260"/>
      <c r="LR14" s="5260"/>
      <c r="LS14" s="5260"/>
      <c r="LT14" s="5260"/>
      <c r="LU14" s="183"/>
      <c r="LV14" s="183"/>
      <c r="LW14" s="183"/>
      <c r="LX14" s="183"/>
      <c r="LY14" s="183"/>
      <c r="LZ14" s="183"/>
      <c r="MA14" s="183"/>
      <c r="MB14" s="183"/>
      <c r="MC14" s="183"/>
      <c r="MD14" s="183"/>
      <c r="ME14" s="183"/>
      <c r="MF14" s="183"/>
      <c r="MG14" s="183"/>
      <c r="MH14" s="183"/>
      <c r="MI14" s="183"/>
      <c r="MJ14" s="183"/>
      <c r="MK14" s="183"/>
      <c r="ML14" s="183"/>
      <c r="MM14" s="183"/>
      <c r="MN14" s="183"/>
      <c r="MO14" s="183"/>
      <c r="MP14" s="183"/>
      <c r="MQ14" s="183"/>
      <c r="MR14" s="183"/>
      <c r="MS14" s="183"/>
      <c r="MT14" s="183"/>
      <c r="MU14" s="183"/>
      <c r="MV14" s="183"/>
      <c r="MW14" s="183"/>
      <c r="MX14" s="183"/>
      <c r="MY14" s="183"/>
      <c r="MZ14" s="183"/>
      <c r="NA14" s="183"/>
      <c r="NB14" s="183"/>
      <c r="NC14" s="183"/>
      <c r="ND14" s="183"/>
      <c r="NE14" s="183"/>
      <c r="NF14" s="183"/>
      <c r="NG14" s="183"/>
      <c r="NH14" s="183"/>
      <c r="NI14" s="1567"/>
      <c r="NJ14" s="183"/>
      <c r="NK14" s="183"/>
      <c r="NL14" s="183"/>
      <c r="NM14" s="183"/>
      <c r="NN14" s="183"/>
      <c r="NO14" s="183"/>
      <c r="NP14" s="183"/>
      <c r="NQ14" s="183"/>
      <c r="NR14" s="183"/>
      <c r="NS14" s="183"/>
      <c r="NT14" s="183"/>
      <c r="NU14" s="184"/>
      <c r="NV14" s="183"/>
      <c r="NW14" s="183"/>
      <c r="NX14" s="183"/>
      <c r="NY14" s="183"/>
      <c r="NZ14" s="183"/>
      <c r="OA14" s="183"/>
      <c r="OB14" s="183"/>
      <c r="OC14" s="183"/>
      <c r="OD14" s="183"/>
      <c r="OE14" s="183"/>
      <c r="OF14" s="183"/>
      <c r="OG14" s="183"/>
      <c r="OH14" s="183"/>
      <c r="OI14" s="183"/>
      <c r="OJ14" s="183"/>
      <c r="OK14" s="183"/>
      <c r="OL14" s="183"/>
      <c r="OM14" s="183"/>
      <c r="ON14" s="183"/>
      <c r="OO14" s="183"/>
      <c r="OP14" s="183"/>
      <c r="OQ14" s="183"/>
      <c r="OR14" s="183"/>
      <c r="OS14" s="183"/>
      <c r="OT14" s="183"/>
      <c r="OU14" s="183"/>
      <c r="OV14" s="184"/>
      <c r="OW14" s="184"/>
      <c r="OX14" s="184"/>
      <c r="OY14" s="184"/>
      <c r="OZ14" s="184"/>
      <c r="PA14" s="184"/>
      <c r="PB14" s="184"/>
      <c r="PC14" s="184"/>
      <c r="PD14" s="184"/>
      <c r="PE14" s="184"/>
      <c r="PF14" s="184"/>
      <c r="PG14" s="183"/>
      <c r="PH14" s="183"/>
      <c r="PI14" s="183"/>
      <c r="PJ14" s="265"/>
      <c r="PK14" s="265"/>
      <c r="PL14" s="265"/>
      <c r="PM14" s="265"/>
      <c r="PN14" s="265"/>
      <c r="PO14" s="265"/>
      <c r="PP14" s="265"/>
      <c r="PQ14" s="183"/>
      <c r="PR14" s="183"/>
      <c r="PS14" s="183"/>
      <c r="PT14" s="183"/>
      <c r="PU14" s="183"/>
      <c r="PV14" s="183"/>
      <c r="PW14" s="183"/>
      <c r="PX14" s="183"/>
      <c r="PY14" s="183"/>
      <c r="PZ14" s="183"/>
      <c r="QA14" s="183"/>
      <c r="QB14" s="183"/>
      <c r="QC14" s="183"/>
      <c r="QD14" s="183"/>
      <c r="QE14" s="183"/>
      <c r="QF14" s="183"/>
      <c r="QG14" s="183"/>
      <c r="QH14" s="183"/>
      <c r="QI14" s="183"/>
      <c r="QJ14" s="183"/>
      <c r="QK14" s="183"/>
      <c r="QL14" s="183"/>
      <c r="QM14" s="183"/>
      <c r="QU14" s="184"/>
      <c r="QV14" s="183"/>
      <c r="QW14" s="183"/>
      <c r="QX14" s="183"/>
      <c r="QY14" s="183"/>
      <c r="QZ14" s="183"/>
      <c r="RA14" s="183"/>
      <c r="RB14" s="183"/>
      <c r="RC14" s="183"/>
      <c r="RD14" s="183"/>
      <c r="RE14" s="183"/>
      <c r="RF14" s="183"/>
      <c r="RS14" s="183"/>
      <c r="RT14" s="183"/>
      <c r="RU14" s="183"/>
    </row>
    <row r="15" spans="2:499" s="2617" customFormat="1" ht="57" x14ac:dyDescent="0.2">
      <c r="B15" s="2970" t="s">
        <v>2750</v>
      </c>
      <c r="C15" s="2981"/>
      <c r="D15" s="2622"/>
      <c r="E15" s="2622"/>
      <c r="H15" s="2625"/>
      <c r="I15" s="185"/>
      <c r="J15" s="185"/>
      <c r="K15" s="185"/>
      <c r="L15" s="185"/>
      <c r="M15" s="185"/>
      <c r="N15" s="185"/>
      <c r="O15" s="185"/>
      <c r="R15" s="242"/>
      <c r="S15" s="242"/>
      <c r="T15" s="6148"/>
      <c r="AH15" s="185" t="s">
        <v>814</v>
      </c>
      <c r="AI15" s="538" t="str">
        <f>Prosjektinfo!$AC$90</f>
        <v/>
      </c>
      <c r="AJ15" s="183"/>
      <c r="AK15" s="183"/>
      <c r="AL15" s="183"/>
      <c r="AM15" s="183"/>
      <c r="AN15" s="183"/>
      <c r="BA15" s="183"/>
      <c r="BB15" s="206"/>
      <c r="BC15" s="199" t="s">
        <v>170</v>
      </c>
      <c r="BD15" s="199" t="s">
        <v>171</v>
      </c>
      <c r="BE15" s="199" t="s">
        <v>172</v>
      </c>
      <c r="BF15" s="199" t="s">
        <v>173</v>
      </c>
      <c r="BG15" s="199" t="s">
        <v>183</v>
      </c>
      <c r="BH15" s="199" t="s">
        <v>184</v>
      </c>
      <c r="BI15" s="199" t="s">
        <v>185</v>
      </c>
      <c r="BJ15" s="199" t="s">
        <v>186</v>
      </c>
      <c r="BK15" s="199" t="str">
        <f>$K$90</f>
        <v>Tverrslag</v>
      </c>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3438" t="s">
        <v>258</v>
      </c>
      <c r="CN15" s="5379" t="str">
        <f>$BK$35</f>
        <v/>
      </c>
      <c r="CO15" s="5373"/>
      <c r="CP15" s="5373"/>
      <c r="CQ15" s="5375"/>
      <c r="CR15" s="5375"/>
      <c r="CS15" s="5375"/>
      <c r="CT15" s="181"/>
      <c r="CU15" s="181"/>
      <c r="CV15" s="181"/>
      <c r="CW15" s="181"/>
      <c r="CX15" s="181"/>
      <c r="CY15" s="181"/>
      <c r="CZ15" s="181"/>
      <c r="DA15" s="181"/>
      <c r="DB15" s="181"/>
      <c r="DC15" s="181"/>
      <c r="DQ15" s="183"/>
      <c r="DR15" s="185"/>
      <c r="DS15" s="199" t="s">
        <v>170</v>
      </c>
      <c r="DT15" s="199" t="s">
        <v>171</v>
      </c>
      <c r="DU15" s="199" t="s">
        <v>172</v>
      </c>
      <c r="DV15" s="199" t="s">
        <v>173</v>
      </c>
      <c r="DW15" s="199" t="s">
        <v>183</v>
      </c>
      <c r="DX15" s="199" t="s">
        <v>184</v>
      </c>
      <c r="DY15" s="199" t="s">
        <v>185</v>
      </c>
      <c r="DZ15" s="199" t="s">
        <v>186</v>
      </c>
      <c r="EA15" s="199" t="s">
        <v>320</v>
      </c>
      <c r="EB15" s="183"/>
      <c r="EC15" s="183"/>
      <c r="ED15" s="183"/>
      <c r="EE15" s="183"/>
      <c r="EF15" s="183"/>
      <c r="EG15" s="183"/>
      <c r="EH15" s="183"/>
      <c r="EI15" s="183"/>
      <c r="EJ15" s="183"/>
      <c r="EK15" s="183"/>
      <c r="EL15" s="183"/>
      <c r="EM15" s="183"/>
      <c r="EN15" s="183"/>
      <c r="EO15" s="183"/>
      <c r="EP15" s="183"/>
      <c r="EQ15" s="183"/>
      <c r="GH15" s="414"/>
      <c r="GI15" s="183"/>
      <c r="GJ15" s="419" t="s">
        <v>451</v>
      </c>
      <c r="GK15" s="417"/>
      <c r="GL15" s="417"/>
      <c r="GM15" s="419"/>
      <c r="GN15" s="183"/>
      <c r="GO15" s="183"/>
      <c r="GP15" s="183"/>
      <c r="GQ15" s="184"/>
      <c r="GR15" s="183"/>
      <c r="GS15" s="183"/>
      <c r="GT15" s="183"/>
      <c r="GU15" s="183"/>
      <c r="GV15" s="183"/>
      <c r="GW15" s="183"/>
      <c r="GX15" s="183"/>
      <c r="GY15" s="183"/>
      <c r="GZ15" s="183"/>
      <c r="HA15" s="183"/>
      <c r="HB15" s="183"/>
      <c r="HC15" s="183"/>
      <c r="HD15" s="183"/>
      <c r="HE15" s="183"/>
      <c r="HF15" s="183"/>
      <c r="HG15" s="183"/>
      <c r="HH15" s="185" t="str">
        <f>Tunneldrift!M102</f>
        <v>1st stuff etter tverrslag</v>
      </c>
      <c r="HI15" s="185" t="str">
        <f>Tunneldrift!F100</f>
        <v/>
      </c>
      <c r="HJ15" s="185" t="e">
        <f>INDEX(outputs_tverrslag[Tverrslag construction time],MATCH(HI15,outputs_tverrslag[name],0))</f>
        <v>#N/A</v>
      </c>
      <c r="HK15" s="183"/>
      <c r="HL15" s="183"/>
      <c r="HM15" s="183"/>
      <c r="HN15" s="183"/>
      <c r="HO15" s="183"/>
      <c r="HP15" s="183"/>
      <c r="HQ15" s="183"/>
      <c r="HR15" s="183"/>
      <c r="HS15" s="183"/>
      <c r="HT15" s="183"/>
      <c r="HU15" s="183"/>
      <c r="HV15" s="183"/>
      <c r="HW15" s="183"/>
      <c r="HX15" s="183"/>
      <c r="HY15" s="183"/>
      <c r="HZ15" s="183"/>
      <c r="IA15" s="183"/>
      <c r="IB15" s="183"/>
      <c r="IC15" s="183"/>
      <c r="ID15" s="183"/>
      <c r="IE15" s="183"/>
      <c r="IF15" s="183"/>
      <c r="IG15" s="183"/>
      <c r="IH15" s="183"/>
      <c r="II15" s="3866" t="s">
        <v>2666</v>
      </c>
      <c r="IJ15" s="3866" t="s">
        <v>1592</v>
      </c>
      <c r="IK15" s="183"/>
      <c r="IL15" s="183"/>
      <c r="IM15" s="183"/>
      <c r="IN15" s="183"/>
      <c r="IO15" s="183"/>
      <c r="IP15" s="183"/>
      <c r="IQ15" s="183"/>
      <c r="IR15" s="183"/>
      <c r="IS15" s="183"/>
      <c r="IT15" s="183"/>
      <c r="IU15" s="183"/>
      <c r="IV15" s="183"/>
      <c r="IW15" s="183"/>
      <c r="IX15" s="183"/>
      <c r="IY15" s="183"/>
      <c r="IZ15" s="183"/>
      <c r="JA15" s="183"/>
      <c r="JB15" s="183"/>
      <c r="JC15" s="183"/>
      <c r="JD15" s="183"/>
      <c r="JG15" s="183"/>
      <c r="JH15" s="183"/>
      <c r="JI15" s="183"/>
      <c r="JJ15" s="183"/>
      <c r="JK15" s="183"/>
      <c r="JL15" s="183"/>
      <c r="JM15" s="183"/>
      <c r="JN15" s="183"/>
      <c r="JO15" s="183"/>
      <c r="JP15" s="183"/>
      <c r="JQ15" s="183"/>
      <c r="JR15" s="183"/>
      <c r="JS15" s="183"/>
      <c r="JT15" s="183"/>
      <c r="JU15" s="183"/>
      <c r="JV15" s="183"/>
      <c r="JW15" s="183"/>
      <c r="JX15" s="183"/>
      <c r="JY15" s="183"/>
      <c r="JZ15" s="183"/>
      <c r="KA15" s="183"/>
      <c r="KB15" s="183"/>
      <c r="KC15" s="183"/>
      <c r="KD15" s="183"/>
      <c r="KE15" s="183"/>
      <c r="KF15" s="183"/>
      <c r="KH15" s="183"/>
      <c r="KI15" s="183"/>
      <c r="KJ15" s="183"/>
      <c r="KK15" s="183"/>
      <c r="KL15" s="183"/>
      <c r="KM15" s="183"/>
      <c r="KN15" s="183"/>
      <c r="KO15" s="5225">
        <v>11</v>
      </c>
      <c r="KP15" s="5226">
        <v>1</v>
      </c>
      <c r="KQ15" s="183"/>
      <c r="KR15" s="183"/>
      <c r="KS15" s="183"/>
      <c r="KT15" s="183"/>
      <c r="KU15" s="183"/>
      <c r="KV15" s="183"/>
      <c r="KW15" s="183"/>
      <c r="KX15" s="183"/>
      <c r="KY15" s="183"/>
      <c r="KZ15" s="183"/>
      <c r="LA15" s="183"/>
      <c r="LB15" s="183"/>
      <c r="LC15" s="183"/>
      <c r="LD15" s="183"/>
      <c r="LE15" s="183"/>
      <c r="LF15" s="183"/>
      <c r="LG15" s="183"/>
      <c r="LH15" s="183"/>
      <c r="LI15" s="183"/>
      <c r="LJ15" s="183"/>
      <c r="LK15" s="183"/>
      <c r="LL15" s="183"/>
      <c r="LM15" s="183"/>
      <c r="LN15" s="183"/>
      <c r="LO15" s="183"/>
      <c r="LP15" s="183"/>
      <c r="LQ15" s="183"/>
      <c r="LR15" s="183"/>
      <c r="LS15" s="183"/>
      <c r="LT15" s="183"/>
      <c r="LU15" s="183"/>
      <c r="LV15" s="183"/>
      <c r="LW15" s="183"/>
      <c r="LX15" s="183"/>
      <c r="LY15" s="183"/>
      <c r="LZ15" s="183"/>
      <c r="MA15" s="183"/>
      <c r="MB15" s="183"/>
      <c r="MC15" s="183"/>
      <c r="MD15" s="183"/>
      <c r="ME15" s="183"/>
      <c r="MF15" s="183"/>
      <c r="MG15" s="183"/>
      <c r="MH15" s="183"/>
      <c r="MI15" s="183"/>
      <c r="MJ15" s="183"/>
      <c r="MK15" s="183"/>
      <c r="ML15" s="183"/>
      <c r="MM15" s="183"/>
      <c r="MN15" s="183"/>
      <c r="MO15" s="183"/>
      <c r="MP15" s="183"/>
      <c r="MQ15" s="183"/>
      <c r="MR15" s="183"/>
      <c r="MS15" s="183"/>
      <c r="MT15" s="183"/>
      <c r="MU15" s="183"/>
      <c r="MV15" s="183"/>
      <c r="MW15" s="183"/>
      <c r="MX15" s="183"/>
      <c r="MY15" s="183"/>
      <c r="MZ15" s="183"/>
      <c r="NA15" s="183"/>
      <c r="NB15" s="183"/>
      <c r="NC15" s="183"/>
      <c r="ND15" s="183"/>
      <c r="NE15" s="183"/>
      <c r="NF15" s="183"/>
      <c r="NG15" s="183"/>
      <c r="NH15" s="183"/>
      <c r="NI15" s="1567"/>
      <c r="NJ15" s="183"/>
      <c r="NK15" s="183"/>
      <c r="NL15" s="183"/>
      <c r="NM15" s="183"/>
      <c r="NN15" s="428" t="s">
        <v>453</v>
      </c>
      <c r="NO15" s="427"/>
      <c r="NP15" s="427"/>
      <c r="NQ15" s="183"/>
      <c r="NR15" s="183"/>
      <c r="NS15" s="183"/>
      <c r="NT15" s="183"/>
      <c r="NU15" s="184"/>
      <c r="NV15" s="183"/>
      <c r="NW15" s="183"/>
      <c r="NX15" s="183"/>
      <c r="NY15" s="183"/>
      <c r="NZ15" s="183"/>
      <c r="OA15" s="183"/>
      <c r="OB15" s="183"/>
      <c r="OC15" s="183"/>
      <c r="OD15" s="183"/>
      <c r="OE15" s="183"/>
      <c r="OF15" s="183"/>
      <c r="OG15" s="183"/>
      <c r="OH15" s="183"/>
      <c r="OI15" s="183"/>
      <c r="OJ15" s="183"/>
      <c r="OK15" s="183"/>
      <c r="OL15" s="183"/>
      <c r="OM15" s="183"/>
      <c r="ON15" s="183"/>
      <c r="OO15" s="183"/>
      <c r="OP15" s="183"/>
      <c r="OQ15" s="183"/>
      <c r="OR15" s="183"/>
      <c r="OS15" s="183"/>
      <c r="OT15" s="183"/>
      <c r="OU15" s="183"/>
      <c r="OV15" s="184"/>
      <c r="OW15" s="184"/>
      <c r="OX15" s="184"/>
      <c r="OY15" s="184"/>
      <c r="OZ15" s="184"/>
      <c r="PA15" s="184"/>
      <c r="PB15" s="184"/>
      <c r="PC15" s="184"/>
      <c r="PD15" s="184"/>
      <c r="PE15" s="184"/>
      <c r="PF15" s="184"/>
      <c r="PG15" s="183"/>
      <c r="PH15" s="183"/>
      <c r="PI15" s="183"/>
      <c r="PJ15" s="265"/>
      <c r="PK15" s="265"/>
      <c r="PL15" s="265"/>
      <c r="PM15" s="265"/>
      <c r="PN15" s="265"/>
      <c r="PO15" s="265"/>
      <c r="PP15" s="265"/>
      <c r="PQ15" s="183"/>
      <c r="PR15" s="183"/>
      <c r="PS15" s="183"/>
      <c r="PT15" s="183"/>
      <c r="PU15" s="183"/>
      <c r="PV15" s="183"/>
      <c r="PW15" s="183"/>
      <c r="PX15" s="183"/>
      <c r="PY15" s="183"/>
      <c r="PZ15" s="183"/>
      <c r="QA15" s="183"/>
      <c r="QB15" s="183"/>
      <c r="QC15" s="183"/>
      <c r="QD15" s="183"/>
      <c r="QE15" s="183"/>
      <c r="QF15" s="183"/>
      <c r="QG15" s="183"/>
      <c r="QH15" s="183"/>
      <c r="QI15" s="183"/>
      <c r="QJ15" s="183"/>
      <c r="QK15" s="183"/>
      <c r="QL15" s="183"/>
      <c r="QM15" s="183"/>
      <c r="QU15" s="184"/>
      <c r="QV15" s="183"/>
      <c r="QW15" s="183"/>
      <c r="QX15" s="183"/>
      <c r="QY15" s="183"/>
      <c r="QZ15" s="183"/>
      <c r="RA15" s="183"/>
      <c r="RB15" s="183"/>
      <c r="RC15" s="183"/>
      <c r="RD15" s="183"/>
      <c r="RE15" s="183"/>
      <c r="RF15" s="183"/>
      <c r="RS15" s="183"/>
      <c r="RT15" s="183"/>
      <c r="RU15" s="183"/>
    </row>
    <row r="16" spans="2:499" s="2617" customFormat="1" ht="54.75" customHeight="1" x14ac:dyDescent="0.2">
      <c r="B16" s="3863" t="s">
        <v>1605</v>
      </c>
      <c r="C16" s="3864" t="s">
        <v>1604</v>
      </c>
      <c r="D16" s="325" t="s">
        <v>154</v>
      </c>
      <c r="E16" s="6144"/>
      <c r="H16" s="2625"/>
      <c r="I16" s="5564" t="s">
        <v>2501</v>
      </c>
      <c r="J16" s="5563" t="s">
        <v>2502</v>
      </c>
      <c r="K16" s="185" t="s">
        <v>2790</v>
      </c>
      <c r="L16" s="185"/>
      <c r="M16" s="185"/>
      <c r="N16" s="185"/>
      <c r="O16" s="185"/>
      <c r="R16" s="242"/>
      <c r="S16" s="242" t="s">
        <v>841</v>
      </c>
      <c r="T16" s="6148" t="str">
        <f>IF(Prosjektinfo!$Q$39="","",Prosjektinfo!$Q$39)</f>
        <v/>
      </c>
      <c r="AH16" s="183"/>
      <c r="AI16" s="248" t="s">
        <v>232</v>
      </c>
      <c r="AJ16" s="199" t="s">
        <v>146</v>
      </c>
      <c r="AK16" s="199" t="s">
        <v>231</v>
      </c>
      <c r="AL16" s="199" t="s">
        <v>146</v>
      </c>
      <c r="AM16" s="183"/>
      <c r="AN16" s="183"/>
      <c r="BA16" s="183"/>
      <c r="BB16" s="206" t="s">
        <v>354</v>
      </c>
      <c r="BC16" s="211">
        <f>BM227</f>
        <v>0</v>
      </c>
      <c r="BD16" s="211">
        <f>BM228</f>
        <v>0</v>
      </c>
      <c r="BE16" s="211">
        <f>BM229</f>
        <v>0</v>
      </c>
      <c r="BF16" s="211">
        <f>BM230</f>
        <v>0</v>
      </c>
      <c r="BG16" s="211">
        <f>BM231</f>
        <v>0</v>
      </c>
      <c r="BH16" s="211">
        <f>BM232</f>
        <v>0</v>
      </c>
      <c r="BI16" s="211">
        <f>BM233</f>
        <v>0</v>
      </c>
      <c r="BJ16" s="211">
        <f>BM234</f>
        <v>0</v>
      </c>
      <c r="BK16" s="211">
        <f>BM235</f>
        <v>0</v>
      </c>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5368" t="str">
        <f>$AH$80</f>
        <v>Ukentlig arbeidstid</v>
      </c>
      <c r="CN16" s="5367">
        <v>101</v>
      </c>
      <c r="CO16" s="5373"/>
      <c r="CP16" s="5373"/>
      <c r="CQ16" s="5375"/>
      <c r="CR16" s="5375"/>
      <c r="CS16" s="5375"/>
      <c r="CT16" s="181"/>
      <c r="CU16" s="181"/>
      <c r="CV16" s="181"/>
      <c r="CW16" s="181"/>
      <c r="CX16" s="181"/>
      <c r="CY16" s="181"/>
      <c r="CZ16" s="181"/>
      <c r="DA16" s="181"/>
      <c r="DB16" s="181"/>
      <c r="DC16" s="181"/>
      <c r="DQ16" s="183"/>
      <c r="DR16" s="185" t="s">
        <v>321</v>
      </c>
      <c r="DS16" s="211">
        <f>EH105</f>
        <v>0</v>
      </c>
      <c r="DT16" s="211">
        <f>EH106</f>
        <v>0</v>
      </c>
      <c r="DU16" s="211">
        <f>EH107</f>
        <v>0</v>
      </c>
      <c r="DV16" s="211">
        <f>EH108</f>
        <v>0</v>
      </c>
      <c r="DW16" s="211">
        <f>EH109</f>
        <v>0</v>
      </c>
      <c r="DX16" s="211">
        <f>EH110</f>
        <v>0</v>
      </c>
      <c r="DY16" s="211">
        <f>EH111</f>
        <v>0</v>
      </c>
      <c r="DZ16" s="211">
        <f>EH112</f>
        <v>0</v>
      </c>
      <c r="EA16" s="211">
        <f>EH113</f>
        <v>0</v>
      </c>
      <c r="EB16" s="183"/>
      <c r="EC16" s="183"/>
      <c r="ED16" s="183"/>
      <c r="EE16" s="183"/>
      <c r="EF16" s="183"/>
      <c r="EG16" s="183"/>
      <c r="EH16" s="183"/>
      <c r="EI16" s="183"/>
      <c r="EJ16" s="183"/>
      <c r="EK16" s="183"/>
      <c r="EL16" s="183"/>
      <c r="EM16" s="183"/>
      <c r="EN16" s="183"/>
      <c r="EO16" s="21"/>
      <c r="EP16" s="21"/>
      <c r="EQ16" s="21"/>
      <c r="GH16" s="415"/>
      <c r="GI16" s="21"/>
      <c r="GJ16" s="183"/>
      <c r="GK16" s="183"/>
      <c r="GL16" s="183"/>
      <c r="GM16" s="183"/>
      <c r="GN16" s="183"/>
      <c r="GO16" s="183"/>
      <c r="GP16" s="183"/>
      <c r="GQ16" s="184"/>
      <c r="GR16" s="183"/>
      <c r="GS16" s="183"/>
      <c r="GT16" s="21"/>
      <c r="GU16" s="21"/>
      <c r="GV16" s="21"/>
      <c r="GW16" s="21"/>
      <c r="GX16" s="21"/>
      <c r="GY16" s="21"/>
      <c r="GZ16" s="21"/>
      <c r="HA16" s="21"/>
      <c r="HB16" s="21"/>
      <c r="HC16" s="21"/>
      <c r="HD16" s="21"/>
      <c r="HE16" s="21"/>
      <c r="HF16" s="21"/>
      <c r="HG16" s="21"/>
      <c r="HH16" s="185" t="str">
        <f>Tunneldrift!M104</f>
        <v>2nd stuff etter tverrslag</v>
      </c>
      <c r="HI16" s="185" t="str">
        <f>Tunneldrift!F101</f>
        <v/>
      </c>
      <c r="HJ16" s="185" t="e">
        <f>INDEX(outputs_tverrslag[Tverrslag construction time],MATCH(HI16,outputs_tverrslag[name],0))</f>
        <v>#N/A</v>
      </c>
      <c r="HK16" s="183"/>
      <c r="HL16" s="183"/>
      <c r="HM16" s="21"/>
      <c r="HN16" s="21"/>
      <c r="HO16" s="21"/>
      <c r="HP16" s="21"/>
      <c r="HQ16" s="21"/>
      <c r="HR16" s="21"/>
      <c r="HS16" s="21"/>
      <c r="HT16" s="21"/>
      <c r="HU16" s="21"/>
      <c r="HV16" s="21"/>
      <c r="HW16" s="21"/>
      <c r="HX16" s="21"/>
      <c r="HY16" s="21"/>
      <c r="HZ16" s="21"/>
      <c r="IA16" s="21"/>
      <c r="IB16" s="21"/>
      <c r="IC16" s="21"/>
      <c r="ID16" s="21"/>
      <c r="IE16" s="21"/>
      <c r="IF16" s="21"/>
      <c r="IG16" s="21"/>
      <c r="IH16" s="183"/>
      <c r="II16" s="183"/>
      <c r="IJ16" s="183"/>
      <c r="IK16" s="183"/>
      <c r="IL16" s="183"/>
      <c r="IM16" s="183"/>
      <c r="IN16" s="183"/>
      <c r="IO16" s="183"/>
      <c r="IP16" s="183"/>
      <c r="IQ16" s="183"/>
      <c r="IR16" s="183"/>
      <c r="IS16" s="183"/>
      <c r="IT16" s="183"/>
      <c r="IU16" s="183"/>
      <c r="IV16" s="183"/>
      <c r="IW16" s="183"/>
      <c r="IX16" s="183"/>
      <c r="IY16" s="183"/>
      <c r="IZ16" s="183"/>
      <c r="JA16" s="183"/>
      <c r="JB16" s="183"/>
      <c r="JC16" s="183"/>
      <c r="JD16" s="183"/>
      <c r="JG16" s="183"/>
      <c r="JH16" s="183"/>
      <c r="JI16" s="183"/>
      <c r="JJ16" s="183"/>
      <c r="JK16" s="183"/>
      <c r="JL16" s="183"/>
      <c r="JM16" s="183"/>
      <c r="JN16" s="183"/>
      <c r="JO16" s="183"/>
      <c r="JP16" s="183"/>
      <c r="JQ16" s="183"/>
      <c r="JR16" s="183"/>
      <c r="JS16" s="183"/>
      <c r="JT16" s="183"/>
      <c r="JU16" s="183"/>
      <c r="JV16" s="183"/>
      <c r="JW16" s="183"/>
      <c r="JX16" s="183"/>
      <c r="JY16" s="183"/>
      <c r="JZ16" s="183"/>
      <c r="KA16" s="183"/>
      <c r="KB16" s="183"/>
      <c r="KC16" s="183"/>
      <c r="KD16" s="183"/>
      <c r="KE16" s="183"/>
      <c r="KF16" s="183"/>
      <c r="KH16" s="21"/>
      <c r="KI16" s="21"/>
      <c r="KJ16" s="21"/>
      <c r="KK16" s="21"/>
      <c r="KL16" s="21"/>
      <c r="KM16" s="21"/>
      <c r="KN16" s="21"/>
      <c r="KO16" s="5227">
        <v>12</v>
      </c>
      <c r="KP16" s="5228">
        <v>2</v>
      </c>
      <c r="KQ16" s="21"/>
      <c r="KR16" s="21"/>
      <c r="KS16" s="21"/>
      <c r="KT16" s="21"/>
      <c r="KU16" s="21"/>
      <c r="KV16" s="21"/>
      <c r="KW16" s="21"/>
      <c r="KX16" s="21"/>
      <c r="KY16" s="21"/>
      <c r="KZ16" s="21"/>
      <c r="LA16" s="21"/>
      <c r="LB16" s="21"/>
      <c r="LC16" s="21"/>
      <c r="LD16" s="21"/>
      <c r="LE16" s="21"/>
      <c r="LF16" s="21"/>
      <c r="LG16" s="21"/>
      <c r="LH16" s="21"/>
      <c r="LI16" s="21"/>
      <c r="LJ16" s="183"/>
      <c r="LK16" s="183"/>
      <c r="LL16" s="183"/>
      <c r="LM16" s="183"/>
      <c r="LN16" s="183"/>
      <c r="LO16" s="183"/>
      <c r="LP16" s="183"/>
      <c r="LQ16" s="183"/>
      <c r="LR16" s="183"/>
      <c r="LS16" s="183"/>
      <c r="LT16" s="183"/>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1568"/>
      <c r="NJ16" s="21"/>
      <c r="NK16" s="21"/>
      <c r="NL16" s="21"/>
      <c r="NM16" s="21"/>
      <c r="NN16" s="183"/>
      <c r="NO16" s="183"/>
      <c r="NP16" s="183"/>
      <c r="NQ16" s="183"/>
      <c r="NR16" s="183"/>
      <c r="NS16" s="183"/>
      <c r="NT16" s="183"/>
      <c r="NU16" s="184"/>
      <c r="NV16" s="183"/>
      <c r="NW16" s="183"/>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14"/>
      <c r="OW16" s="14"/>
      <c r="OX16" s="14"/>
      <c r="OY16" s="14"/>
      <c r="OZ16" s="14"/>
      <c r="PA16" s="14"/>
      <c r="PB16" s="14"/>
      <c r="PC16" s="14"/>
      <c r="PD16" s="14"/>
      <c r="PE16" s="14"/>
      <c r="PF16" s="14"/>
      <c r="PG16" s="21"/>
      <c r="PH16" s="21"/>
      <c r="PI16" s="21"/>
      <c r="PJ16" s="15"/>
      <c r="PK16" s="15"/>
      <c r="PL16" s="15"/>
      <c r="PM16" s="15"/>
      <c r="PN16" s="15"/>
      <c r="PO16" s="15"/>
      <c r="PP16" s="15"/>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U16" s="183"/>
      <c r="QV16" s="183"/>
      <c r="QW16" s="183"/>
      <c r="QX16" s="183"/>
      <c r="QY16" s="183"/>
      <c r="QZ16" s="183"/>
      <c r="RA16" s="183"/>
      <c r="RB16" s="183"/>
      <c r="RC16" s="183"/>
      <c r="RD16" s="183"/>
      <c r="RE16" s="183"/>
      <c r="RF16" s="183"/>
      <c r="RS16" s="183"/>
      <c r="RT16" s="183"/>
      <c r="RU16" s="183"/>
    </row>
    <row r="17" spans="2:589" s="2617" customFormat="1" ht="19.5" x14ac:dyDescent="0.3">
      <c r="B17" s="206" t="s">
        <v>1544</v>
      </c>
      <c r="C17" s="206"/>
      <c r="D17" s="5264" t="s">
        <v>1545</v>
      </c>
      <c r="E17" s="6145"/>
      <c r="H17" s="2625"/>
      <c r="I17" s="5564"/>
      <c r="J17" s="185"/>
      <c r="K17" s="185"/>
      <c r="L17" s="185"/>
      <c r="M17" s="185"/>
      <c r="N17" s="185"/>
      <c r="O17" s="185"/>
      <c r="R17" s="242"/>
      <c r="S17" s="242" t="s">
        <v>842</v>
      </c>
      <c r="T17" s="6149" t="str">
        <f>IF(Prosjektinfo!$Q$41="","",Prosjektinfo!$Q$41)</f>
        <v/>
      </c>
      <c r="AH17" s="185" t="s">
        <v>200</v>
      </c>
      <c r="AI17" s="199">
        <v>1</v>
      </c>
      <c r="AJ17" s="202">
        <f>Tunneldrift!$AD$141</f>
        <v>0</v>
      </c>
      <c r="AK17" s="194">
        <v>5</v>
      </c>
      <c r="AL17" s="202">
        <f>Tunneldrift!$AD$173</f>
        <v>0</v>
      </c>
      <c r="AM17" s="183"/>
      <c r="AN17" s="183"/>
      <c r="BA17" s="183"/>
      <c r="BB17" s="279"/>
      <c r="BC17" s="279"/>
      <c r="BD17" s="279"/>
      <c r="BE17" s="279"/>
      <c r="BF17" s="279"/>
      <c r="BG17" s="279"/>
      <c r="BH17" s="279"/>
      <c r="BI17" s="280"/>
      <c r="BJ17" s="279"/>
      <c r="BK17" s="279"/>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3436"/>
      <c r="CN17" s="3436"/>
      <c r="CO17" s="5373"/>
      <c r="CP17" s="5373"/>
      <c r="CQ17" s="5375"/>
      <c r="CR17" s="5375"/>
      <c r="CS17" s="5375"/>
      <c r="CT17" s="181"/>
      <c r="CU17" s="181"/>
      <c r="CV17" s="181"/>
      <c r="CW17" s="181"/>
      <c r="CX17" s="181"/>
      <c r="CY17" s="181"/>
      <c r="CZ17" s="181"/>
      <c r="DA17" s="181"/>
      <c r="DB17" s="181"/>
      <c r="DC17" s="181"/>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21"/>
      <c r="EP17" s="21"/>
      <c r="EQ17" s="21"/>
      <c r="GH17" s="415"/>
      <c r="GI17" s="21"/>
      <c r="GJ17" s="183"/>
      <c r="GK17" s="183"/>
      <c r="GL17" s="183"/>
      <c r="GM17" s="183"/>
      <c r="GN17" s="183"/>
      <c r="GO17" s="183"/>
      <c r="GP17" s="183"/>
      <c r="GQ17" s="183"/>
      <c r="GR17" s="183"/>
      <c r="GS17" s="183"/>
      <c r="GT17" s="21"/>
      <c r="GU17" s="21"/>
      <c r="GV17" s="21"/>
      <c r="GW17" s="21"/>
      <c r="GX17" s="21"/>
      <c r="GY17" s="21"/>
      <c r="GZ17" s="21"/>
      <c r="HA17" s="21"/>
      <c r="HB17" s="21"/>
      <c r="HC17" s="21"/>
      <c r="HD17" s="21"/>
      <c r="HE17" s="21"/>
      <c r="HF17" s="21"/>
      <c r="HG17" s="21"/>
      <c r="HH17" s="185" t="str">
        <f>Tunneldrift!M106</f>
        <v>3rd stuff etter tverrslag</v>
      </c>
      <c r="HI17" s="185" t="str">
        <f>Tunneldrift!F102</f>
        <v/>
      </c>
      <c r="HJ17" s="185" t="e">
        <f>INDEX(outputs_tverrslag[Tverrslag construction time],MATCH(HI17,outputs_tverrslag[name],0))</f>
        <v>#N/A</v>
      </c>
      <c r="HK17" s="183"/>
      <c r="HL17" s="183"/>
      <c r="HM17" s="21"/>
      <c r="HN17" s="21"/>
      <c r="HO17" s="21"/>
      <c r="HP17" s="21"/>
      <c r="HQ17" s="21"/>
      <c r="HR17" s="21"/>
      <c r="HS17" s="21"/>
      <c r="HT17" s="21"/>
      <c r="HU17" s="21"/>
      <c r="HV17" s="21"/>
      <c r="HW17" s="21"/>
      <c r="HX17" s="21"/>
      <c r="HY17" s="21"/>
      <c r="HZ17" s="21"/>
      <c r="IA17" s="21"/>
      <c r="IB17" s="21"/>
      <c r="IC17" s="21"/>
      <c r="ID17" s="21"/>
      <c r="IE17" s="21"/>
      <c r="IF17" s="21"/>
      <c r="IG17" s="21"/>
      <c r="IH17" s="1758" t="s">
        <v>408</v>
      </c>
      <c r="II17" s="5943" t="s">
        <v>2314</v>
      </c>
      <c r="IJ17" s="185" t="s">
        <v>2664</v>
      </c>
      <c r="IK17" s="185" t="s">
        <v>2665</v>
      </c>
      <c r="IL17" s="185" t="s">
        <v>2662</v>
      </c>
      <c r="IM17" s="185" t="s">
        <v>2663</v>
      </c>
      <c r="IN17" s="185" t="s">
        <v>1586</v>
      </c>
      <c r="IO17" s="273" t="s">
        <v>1590</v>
      </c>
      <c r="IP17" s="1586" t="s">
        <v>1587</v>
      </c>
      <c r="IQ17" s="185" t="s">
        <v>1588</v>
      </c>
      <c r="IR17" s="206" t="s">
        <v>739</v>
      </c>
      <c r="IS17" s="1586" t="s">
        <v>740</v>
      </c>
      <c r="IT17" s="206" t="s">
        <v>741</v>
      </c>
      <c r="IU17" s="206" t="s">
        <v>742</v>
      </c>
      <c r="IV17" s="1586" t="s">
        <v>743</v>
      </c>
      <c r="IW17" s="206" t="s">
        <v>744</v>
      </c>
      <c r="IX17" s="206" t="s">
        <v>745</v>
      </c>
      <c r="IY17" s="1586" t="s">
        <v>746</v>
      </c>
      <c r="IZ17" s="206" t="s">
        <v>747</v>
      </c>
      <c r="JA17" s="206" t="s">
        <v>748</v>
      </c>
      <c r="JB17" s="1586" t="s">
        <v>749</v>
      </c>
      <c r="JC17" s="206" t="s">
        <v>750</v>
      </c>
      <c r="JD17" s="206" t="s">
        <v>751</v>
      </c>
      <c r="JE17" s="1586" t="s">
        <v>752</v>
      </c>
      <c r="JF17" s="206" t="s">
        <v>753</v>
      </c>
      <c r="JG17" s="206" t="s">
        <v>754</v>
      </c>
      <c r="JH17" s="1586" t="s">
        <v>755</v>
      </c>
      <c r="JI17" s="206" t="s">
        <v>756</v>
      </c>
      <c r="JJ17" s="206" t="s">
        <v>757</v>
      </c>
      <c r="JK17" s="1586" t="s">
        <v>758</v>
      </c>
      <c r="JL17" s="206" t="s">
        <v>759</v>
      </c>
      <c r="JM17" s="183"/>
      <c r="JN17" s="183"/>
      <c r="JO17" s="183"/>
      <c r="JP17" s="183"/>
      <c r="JQ17" s="183"/>
      <c r="JR17" s="183"/>
      <c r="JS17" s="183"/>
      <c r="JT17" s="183"/>
      <c r="JU17" s="183"/>
      <c r="JV17" s="183"/>
      <c r="JW17" s="183"/>
      <c r="JX17" s="183"/>
      <c r="JY17" s="183"/>
      <c r="JZ17" s="183"/>
      <c r="KA17" s="183"/>
      <c r="KB17" s="183"/>
      <c r="KC17" s="183"/>
      <c r="KD17" s="183"/>
      <c r="KE17" s="183"/>
      <c r="KF17" s="183"/>
      <c r="KH17" s="21"/>
      <c r="KI17" s="21"/>
      <c r="KJ17" s="21"/>
      <c r="KK17" s="21"/>
      <c r="KL17" s="21"/>
      <c r="KM17" s="21"/>
      <c r="KN17" s="21"/>
      <c r="KO17" s="5227">
        <v>13</v>
      </c>
      <c r="KP17" s="5228">
        <v>3</v>
      </c>
      <c r="KQ17" s="21"/>
      <c r="KR17" s="21"/>
      <c r="KS17" s="21"/>
      <c r="KT17" s="21"/>
      <c r="KU17" s="21"/>
      <c r="KV17" s="21"/>
      <c r="KW17" s="21"/>
      <c r="KX17" s="21"/>
      <c r="KY17" s="21"/>
      <c r="KZ17" s="21"/>
      <c r="LA17" s="21"/>
      <c r="LB17" s="21"/>
      <c r="LC17" s="21"/>
      <c r="LD17" s="21"/>
      <c r="LE17" s="21"/>
      <c r="LF17" s="21"/>
      <c r="LG17" s="21"/>
      <c r="LH17" s="21"/>
      <c r="LI17" s="21"/>
      <c r="LJ17" s="246" t="s">
        <v>387</v>
      </c>
      <c r="LK17" s="373" t="str">
        <f>Tunneldrift!$AD$137</f>
        <v>Stuff 1-1</v>
      </c>
      <c r="LL17" s="373" t="str">
        <f>Tunneldrift!$AO$137</f>
        <v>Stuff 1-2</v>
      </c>
      <c r="LM17" s="373" t="str">
        <f>Tunneldrift!$AZ$137</f>
        <v>Stuff 1-3</v>
      </c>
      <c r="LN17" s="373" t="str">
        <f>Tunneldrift!$BO$137</f>
        <v>Stuff 1-4</v>
      </c>
      <c r="LO17" s="373" t="str">
        <f>Tunneldrift!$AD$169</f>
        <v>Stuff 2-1</v>
      </c>
      <c r="LP17" s="373" t="str">
        <f>Tunneldrift!$AO$169</f>
        <v>Stuff 2-2</v>
      </c>
      <c r="LQ17" s="373" t="str">
        <f>Tunneldrift!$AZ$169</f>
        <v>Stuff 2-3</v>
      </c>
      <c r="LR17" s="373" t="str">
        <f>Tunneldrift!$BO$169</f>
        <v>Stuff 2-4</v>
      </c>
      <c r="LS17" s="373" t="str">
        <f>QW135</f>
        <v>Tverrslag</v>
      </c>
      <c r="LT17" s="183"/>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1568"/>
      <c r="NJ17" s="21"/>
      <c r="NK17" s="21"/>
      <c r="NL17" s="470"/>
      <c r="NM17" s="21"/>
      <c r="NN17" s="398" t="s">
        <v>353</v>
      </c>
      <c r="NO17" s="399"/>
      <c r="NP17" s="399"/>
      <c r="NQ17" s="399"/>
      <c r="NR17" s="399"/>
      <c r="NS17" s="7220" t="s">
        <v>81</v>
      </c>
      <c r="NT17" s="7221"/>
      <c r="NU17" s="7221"/>
      <c r="NV17" s="7221"/>
      <c r="NW17" s="7222"/>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14"/>
      <c r="OW17" s="14"/>
      <c r="OX17" s="14"/>
      <c r="OY17" s="14"/>
      <c r="OZ17" s="14"/>
      <c r="PA17" s="14"/>
      <c r="PB17" s="14"/>
      <c r="PC17" s="14"/>
      <c r="PD17" s="14"/>
      <c r="PE17" s="14"/>
      <c r="PF17" s="14"/>
      <c r="PG17" s="21"/>
      <c r="PH17" s="21"/>
      <c r="PI17" s="21"/>
      <c r="PJ17" s="15"/>
      <c r="PK17" s="15"/>
      <c r="PL17" s="15"/>
      <c r="PM17" s="15"/>
      <c r="PN17" s="15"/>
      <c r="PO17" s="15"/>
      <c r="PP17" s="15"/>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U17" s="183"/>
      <c r="QV17" s="183"/>
      <c r="QW17" s="183"/>
      <c r="QX17" s="183"/>
      <c r="QY17" s="183"/>
      <c r="QZ17" s="183"/>
      <c r="RA17" s="183"/>
      <c r="RB17" s="183"/>
      <c r="RC17" s="183"/>
      <c r="RD17" s="183"/>
      <c r="RE17" s="183"/>
      <c r="RF17" s="183"/>
      <c r="RS17" s="183"/>
      <c r="RT17" s="183"/>
      <c r="RU17" s="183"/>
    </row>
    <row r="18" spans="2:589" s="2617" customFormat="1" ht="15.75" thickBot="1" x14ac:dyDescent="0.25">
      <c r="B18" s="206"/>
      <c r="C18" s="206"/>
      <c r="D18" s="199"/>
      <c r="E18" s="184"/>
      <c r="H18" s="2625"/>
      <c r="I18" s="5565"/>
      <c r="J18" s="185"/>
      <c r="K18" s="372" t="s">
        <v>1547</v>
      </c>
      <c r="L18" s="185"/>
      <c r="M18" s="3807" t="s">
        <v>151</v>
      </c>
      <c r="N18" s="372" t="s">
        <v>132</v>
      </c>
      <c r="O18" s="185"/>
      <c r="R18" s="242"/>
      <c r="S18" s="242"/>
      <c r="T18" s="6148"/>
      <c r="AH18" s="183"/>
      <c r="AI18" s="199">
        <v>2</v>
      </c>
      <c r="AJ18" s="202">
        <f>Tunneldrift!$AO$141</f>
        <v>0</v>
      </c>
      <c r="AK18" s="194">
        <v>6</v>
      </c>
      <c r="AL18" s="202">
        <f>Tunneldrift!$AO$173</f>
        <v>0</v>
      </c>
      <c r="AM18" s="183"/>
      <c r="AN18" s="183"/>
      <c r="BA18" s="183"/>
      <c r="BB18" s="275"/>
      <c r="BC18" s="275"/>
      <c r="BD18" s="275"/>
      <c r="BE18" s="275"/>
      <c r="BF18" s="275"/>
      <c r="BG18" s="275"/>
      <c r="BH18" s="275"/>
      <c r="BI18" s="275"/>
      <c r="BJ18" s="275"/>
      <c r="BK18" s="275"/>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5373"/>
      <c r="CN18" s="5373"/>
      <c r="CO18" s="5373"/>
      <c r="CP18" s="5373"/>
      <c r="CQ18" s="5375"/>
      <c r="CR18" s="5375"/>
      <c r="CS18" s="5375"/>
      <c r="CT18" s="181"/>
      <c r="CU18" s="181"/>
      <c r="CV18" s="181"/>
      <c r="CW18" s="181"/>
      <c r="CX18" s="181"/>
      <c r="CY18" s="181"/>
      <c r="CZ18" s="181"/>
      <c r="DA18" s="181"/>
      <c r="DB18" s="181"/>
      <c r="DC18" s="181"/>
      <c r="DQ18" s="183"/>
      <c r="DR18" s="275"/>
      <c r="DS18" s="275"/>
      <c r="DT18" s="275"/>
      <c r="DU18" s="275"/>
      <c r="DV18" s="275"/>
      <c r="DW18" s="275"/>
      <c r="DX18" s="275"/>
      <c r="DY18" s="275"/>
      <c r="DZ18" s="275"/>
      <c r="EA18" s="275"/>
      <c r="EB18" s="183"/>
      <c r="EC18" s="183"/>
      <c r="ED18" s="183"/>
      <c r="EE18" s="183"/>
      <c r="EF18" s="183"/>
      <c r="EG18" s="183"/>
      <c r="EH18" s="183"/>
      <c r="EI18" s="183"/>
      <c r="EJ18" s="183"/>
      <c r="EK18" s="183"/>
      <c r="EL18" s="183"/>
      <c r="EM18" s="183"/>
      <c r="EN18" s="183"/>
      <c r="EO18" s="183"/>
      <c r="EP18" s="183"/>
      <c r="EQ18" s="183"/>
      <c r="GH18" s="414"/>
      <c r="GI18" s="183"/>
      <c r="GJ18" s="249" t="s">
        <v>285</v>
      </c>
      <c r="GK18" s="247" t="s">
        <v>440</v>
      </c>
      <c r="GL18" s="247" t="s">
        <v>147</v>
      </c>
      <c r="GM18" s="247" t="s">
        <v>441</v>
      </c>
      <c r="GN18" s="247" t="s">
        <v>1246</v>
      </c>
      <c r="GO18" s="247" t="s">
        <v>1257</v>
      </c>
      <c r="GP18" s="247" t="s">
        <v>1247</v>
      </c>
      <c r="GQ18" s="247" t="s">
        <v>442</v>
      </c>
      <c r="GR18" s="247" t="s">
        <v>1000</v>
      </c>
      <c r="HH18" s="185" t="str">
        <f>Tunneldrift!M108</f>
        <v>4th stuff etter tverrslag</v>
      </c>
      <c r="HI18" s="185" t="str">
        <f>Tunneldrift!F103</f>
        <v/>
      </c>
      <c r="HJ18" s="185" t="e">
        <f>INDEX(outputs_tverrslag[Tverrslag construction time],MATCH(HI18,outputs_tverrslag[name],0))</f>
        <v>#N/A</v>
      </c>
      <c r="HK18" s="183"/>
      <c r="HL18" s="183"/>
      <c r="IH18" s="1758">
        <v>1</v>
      </c>
      <c r="II18" s="5942">
        <f>INDEX(outputs_oppsum[kon_metod_no],MATCH($NO$276,outputs_oppsum[stuff_id],0))</f>
        <v>1</v>
      </c>
      <c r="IJ18" s="199" t="b">
        <f>ISBLANK('Inn justeringer'!$Y$30)</f>
        <v>1</v>
      </c>
      <c r="IK18" s="5620">
        <f>'Inn justeringer'!$Y$30</f>
        <v>0</v>
      </c>
      <c r="IL18" s="199" t="b">
        <f>ISBLANK('Inn justeringer'!$Y$36)</f>
        <v>1</v>
      </c>
      <c r="IM18" s="5620" t="str">
        <f>IF($IL$18=TRUE,"",'Inn justeringer'!$Y$36)</f>
        <v/>
      </c>
      <c r="IN18" s="199">
        <f>'Inn justeringer'!$Y$45</f>
        <v>0</v>
      </c>
      <c r="IO18" s="273">
        <f>IF(IN18=$K$76,1,IF(IN18=$K$77,2,IF(IN18=_List!$EG$7,3,0)))</f>
        <v>0</v>
      </c>
      <c r="IP18" s="3835" t="str">
        <f>IF(ISBLANK('Inn justeringer'!$Y$48),"",'Inn justeringer'!$Y$48)</f>
        <v/>
      </c>
      <c r="IQ18" s="199" t="str">
        <f>IF(ISBLANK('Inn justeringer'!$Y$51),"",'Inn justeringer'!$Y$51)</f>
        <v/>
      </c>
      <c r="IR18" s="199" t="str">
        <f>IF(ISBLANK('Inn justeringer'!$Y$60),"",'Inn justeringer'!$Y$60)</f>
        <v/>
      </c>
      <c r="IS18" s="3835" t="str">
        <f>IF(ISBLANK('Inn justeringer'!$Y$63),"",'Inn justeringer'!$Y$63)</f>
        <v/>
      </c>
      <c r="IT18" s="199" t="str">
        <f>IF(ISBLANK('Inn justeringer'!$Y$66),"",'Inn justeringer'!$Y$66)</f>
        <v/>
      </c>
      <c r="IU18" s="199" t="str">
        <f>IF(ISBLANK('Inn justeringer'!$Y$72),"",'Inn justeringer'!$Y$72)</f>
        <v/>
      </c>
      <c r="IV18" s="3835" t="str">
        <f>IF(ISBLANK('Inn justeringer'!$Y$75),"",'Inn justeringer'!$Y$75)</f>
        <v/>
      </c>
      <c r="IW18" s="199" t="str">
        <f>IF(ISBLANK('Inn justeringer'!$Y$78),"",'Inn justeringer'!$Y$78)</f>
        <v/>
      </c>
      <c r="IX18" s="199" t="str">
        <f>IF(ISBLANK('Inn justeringer'!$Y$84),"",'Inn justeringer'!$Y$84)</f>
        <v/>
      </c>
      <c r="IY18" s="3835" t="str">
        <f>IF(ISBLANK('Inn justeringer'!$Y$87),"",'Inn justeringer'!$Y$87)</f>
        <v/>
      </c>
      <c r="IZ18" s="199" t="str">
        <f>IF(ISBLANK('Inn justeringer'!$Y$90),"",'Inn justeringer'!$Y$90)</f>
        <v/>
      </c>
      <c r="JA18" s="199" t="str">
        <f>IF(ISBLANK('Inn justeringer'!$Y$96),"",'Inn justeringer'!$Y$96)</f>
        <v/>
      </c>
      <c r="JB18" s="3835" t="str">
        <f>IF(ISBLANK('Inn justeringer'!$Y$99),"",'Inn justeringer'!$Y$99)</f>
        <v/>
      </c>
      <c r="JC18" s="199" t="str">
        <f>IF(ISBLANK('Inn justeringer'!$Y$102),"",'Inn justeringer'!$Y$102)</f>
        <v/>
      </c>
      <c r="JD18" s="199" t="str">
        <f>IF(ISBLANK('Inn justeringer'!$Y$108),"",'Inn justeringer'!$Y$108)</f>
        <v/>
      </c>
      <c r="JE18" s="3835" t="str">
        <f>IF(ISBLANK('Inn justeringer'!$Y$111),"",'Inn justeringer'!$Y$111)</f>
        <v/>
      </c>
      <c r="JF18" s="199" t="str">
        <f>IF(ISBLANK('Inn justeringer'!$Y$114),"",'Inn justeringer'!$Y$114)</f>
        <v/>
      </c>
      <c r="JG18" s="199" t="str">
        <f>IF(ISBLANK('Inn justeringer'!$Y$120),"",'Inn justeringer'!$Y$120)</f>
        <v/>
      </c>
      <c r="JH18" s="3835" t="str">
        <f>IF(ISBLANK('Inn justeringer'!$Y$123),"",'Inn justeringer'!$Y$123)</f>
        <v/>
      </c>
      <c r="JI18" s="199" t="str">
        <f>IF(ISBLANK('Inn justeringer'!$Y$126),"",'Inn justeringer'!$Y$126)</f>
        <v/>
      </c>
      <c r="JJ18" s="199" t="str">
        <f>IF(ISBLANK('Inn justeringer'!$Y$132),"",'Inn justeringer'!$Y$132)</f>
        <v/>
      </c>
      <c r="JK18" s="3835" t="str">
        <f>IF(ISBLANK('Inn justeringer'!$Y$135),"",'Inn justeringer'!$Y$135)</f>
        <v/>
      </c>
      <c r="JL18" s="199" t="str">
        <f>IF(ISBLANK('Inn justeringer'!$Y$138),"",'Inn justeringer'!$Y$138)</f>
        <v/>
      </c>
      <c r="JM18" s="183"/>
      <c r="JN18" s="183"/>
      <c r="JO18" s="183"/>
      <c r="JP18" s="183"/>
      <c r="JQ18" s="183"/>
      <c r="JR18" s="183"/>
      <c r="JS18" s="183"/>
      <c r="JT18" s="183"/>
      <c r="JU18" s="183"/>
      <c r="JV18" s="183"/>
      <c r="JW18" s="183"/>
      <c r="JX18" s="183"/>
      <c r="JY18" s="183"/>
      <c r="JZ18" s="183"/>
      <c r="KA18" s="183"/>
      <c r="KB18" s="183"/>
      <c r="KC18" s="183"/>
      <c r="KD18" s="183"/>
      <c r="KE18" s="183"/>
      <c r="KF18" s="183"/>
      <c r="KH18" s="183"/>
      <c r="KI18" s="183"/>
      <c r="KJ18" s="183"/>
      <c r="KK18" s="183"/>
      <c r="KL18" s="183"/>
      <c r="KM18" s="183"/>
      <c r="KN18" s="183"/>
      <c r="KO18" s="5225">
        <v>14</v>
      </c>
      <c r="KP18" s="5226">
        <v>4</v>
      </c>
      <c r="KQ18" s="183"/>
      <c r="KR18" s="183"/>
      <c r="KS18" s="183"/>
      <c r="KT18" s="183"/>
      <c r="KU18" s="183"/>
      <c r="KV18" s="183"/>
      <c r="KW18" s="183"/>
      <c r="KX18" s="183"/>
      <c r="KY18" s="183"/>
      <c r="KZ18" s="183"/>
      <c r="LA18" s="183"/>
      <c r="LB18" s="183"/>
      <c r="LC18" s="183"/>
      <c r="LD18" s="183"/>
      <c r="LE18" s="183"/>
      <c r="LF18" s="183"/>
      <c r="LG18" s="183"/>
      <c r="LH18" s="183"/>
      <c r="LI18" s="183"/>
      <c r="LJ18" s="185" t="s">
        <v>397</v>
      </c>
      <c r="LK18" s="199" t="s">
        <v>398</v>
      </c>
      <c r="LL18" s="199" t="s">
        <v>399</v>
      </c>
      <c r="LM18" s="199" t="s">
        <v>400</v>
      </c>
      <c r="LN18" s="199" t="s">
        <v>401</v>
      </c>
      <c r="LO18" s="199" t="s">
        <v>402</v>
      </c>
      <c r="LP18" s="199" t="s">
        <v>403</v>
      </c>
      <c r="LQ18" s="199" t="s">
        <v>404</v>
      </c>
      <c r="LR18" s="199" t="s">
        <v>405</v>
      </c>
      <c r="LS18" s="199"/>
      <c r="LT18" s="183"/>
      <c r="LU18" s="183"/>
      <c r="LV18" s="183"/>
      <c r="LW18" s="183"/>
      <c r="LX18" s="183"/>
      <c r="LY18" s="183"/>
      <c r="LZ18" s="183"/>
      <c r="MA18" s="183"/>
      <c r="MB18" s="183"/>
      <c r="MC18" s="183"/>
      <c r="MD18" s="183"/>
      <c r="ME18" s="183"/>
      <c r="MF18" s="183"/>
      <c r="MG18" s="183"/>
      <c r="MH18" s="183"/>
      <c r="MI18" s="183"/>
      <c r="MJ18" s="183"/>
      <c r="MK18" s="183"/>
      <c r="ML18" s="183"/>
      <c r="MM18" s="183"/>
      <c r="MN18" s="183"/>
      <c r="MO18" s="183"/>
      <c r="MP18" s="183"/>
      <c r="MQ18" s="183"/>
      <c r="MR18" s="183"/>
      <c r="MS18" s="183"/>
      <c r="MT18" s="183"/>
      <c r="MU18" s="183"/>
      <c r="MV18" s="183"/>
      <c r="MW18" s="183"/>
      <c r="MX18" s="183"/>
      <c r="MY18" s="183"/>
      <c r="MZ18" s="183"/>
      <c r="NA18" s="183"/>
      <c r="NB18" s="183"/>
      <c r="NC18" s="183"/>
      <c r="ND18" s="183"/>
      <c r="NE18" s="183"/>
      <c r="NF18" s="183"/>
      <c r="NG18" s="183"/>
      <c r="NH18" s="183"/>
      <c r="NI18" s="1567"/>
      <c r="NJ18" s="183"/>
      <c r="NK18" s="183"/>
      <c r="NL18" s="471"/>
      <c r="NM18" s="183"/>
      <c r="NN18" s="249" t="s">
        <v>257</v>
      </c>
      <c r="NO18" s="450" t="s">
        <v>283</v>
      </c>
      <c r="NP18" s="450" t="s">
        <v>284</v>
      </c>
      <c r="NQ18" s="221" t="s">
        <v>285</v>
      </c>
      <c r="NR18" s="254" t="s">
        <v>48</v>
      </c>
      <c r="NS18" s="247" t="s">
        <v>310</v>
      </c>
      <c r="NT18" s="247" t="s">
        <v>311</v>
      </c>
      <c r="NU18" s="248" t="s">
        <v>313</v>
      </c>
      <c r="NV18" s="247" t="s">
        <v>287</v>
      </c>
      <c r="NW18" s="247" t="s">
        <v>431</v>
      </c>
      <c r="NX18" s="185" t="s">
        <v>430</v>
      </c>
      <c r="NY18" s="183"/>
      <c r="NZ18" s="183"/>
      <c r="OA18" s="183"/>
      <c r="OB18" s="183"/>
      <c r="OC18" s="183"/>
      <c r="OD18" s="183"/>
      <c r="OE18" s="183"/>
      <c r="OF18" s="183"/>
      <c r="OG18" s="183"/>
      <c r="OH18" s="183"/>
      <c r="OI18" s="183"/>
      <c r="OJ18" s="183"/>
      <c r="OK18" s="183"/>
      <c r="OL18" s="183"/>
      <c r="OM18" s="183"/>
      <c r="ON18" s="183"/>
      <c r="OO18" s="183"/>
      <c r="OP18" s="183"/>
      <c r="OQ18" s="183"/>
      <c r="OR18" s="183"/>
      <c r="OS18" s="183"/>
      <c r="OT18" s="183"/>
      <c r="OU18" s="183"/>
      <c r="OV18" s="184"/>
      <c r="OW18" s="184"/>
      <c r="OX18" s="184"/>
      <c r="OY18" s="184"/>
      <c r="OZ18" s="184"/>
      <c r="PA18" s="184"/>
      <c r="PB18" s="184"/>
      <c r="PC18" s="184"/>
      <c r="PD18" s="184"/>
      <c r="PE18" s="184"/>
      <c r="PF18" s="184"/>
      <c r="PG18" s="183"/>
      <c r="PH18" s="183"/>
      <c r="PI18" s="183"/>
      <c r="PJ18" s="265"/>
      <c r="PK18" s="265"/>
      <c r="PL18" s="265"/>
      <c r="PM18" s="265"/>
      <c r="PN18" s="265"/>
      <c r="PO18" s="265"/>
      <c r="PP18" s="265"/>
      <c r="PQ18" s="183"/>
      <c r="PR18" s="183"/>
      <c r="PS18" s="183"/>
      <c r="PT18" s="183"/>
      <c r="PU18" s="183"/>
      <c r="PV18" s="183"/>
      <c r="PW18" s="183"/>
      <c r="PX18" s="183"/>
      <c r="PY18" s="183"/>
      <c r="PZ18" s="183"/>
      <c r="QA18" s="183"/>
      <c r="QB18" s="183"/>
      <c r="QC18" s="183"/>
      <c r="QD18" s="183"/>
      <c r="QE18" s="183"/>
      <c r="QF18" s="183"/>
      <c r="QG18" s="183"/>
      <c r="QH18" s="183"/>
      <c r="QI18" s="183"/>
      <c r="QJ18" s="183"/>
      <c r="QK18" s="183"/>
      <c r="QL18" s="183"/>
      <c r="QM18" s="21"/>
      <c r="QU18" s="183"/>
      <c r="QV18" s="183"/>
      <c r="QW18" s="183"/>
      <c r="QX18" s="183"/>
      <c r="QY18" s="183"/>
      <c r="QZ18" s="183"/>
      <c r="RA18" s="183"/>
      <c r="RB18" s="183"/>
      <c r="RC18" s="183"/>
      <c r="RD18" s="183"/>
      <c r="RE18" s="183"/>
      <c r="RF18" s="183"/>
      <c r="RS18" s="183"/>
      <c r="RT18" s="183"/>
      <c r="RU18" s="183"/>
    </row>
    <row r="19" spans="2:589" s="2617" customFormat="1" ht="28.5" x14ac:dyDescent="0.2">
      <c r="B19" s="206" t="s">
        <v>81</v>
      </c>
      <c r="C19" s="206"/>
      <c r="D19" s="5264" t="s">
        <v>2379</v>
      </c>
      <c r="E19" s="6145"/>
      <c r="H19" s="2625"/>
      <c r="I19" s="5565"/>
      <c r="J19" s="185"/>
      <c r="K19" s="372" t="s">
        <v>1548</v>
      </c>
      <c r="L19" s="185"/>
      <c r="M19" s="3807" t="s">
        <v>2732</v>
      </c>
      <c r="N19" s="372" t="s">
        <v>845</v>
      </c>
      <c r="O19" s="185"/>
      <c r="R19" s="242"/>
      <c r="S19" s="242" t="s">
        <v>1192</v>
      </c>
      <c r="T19" s="6148" t="str">
        <f>IF(Prosjektinfo!$Q$43="","",Prosjektinfo!$Q$43)</f>
        <v/>
      </c>
      <c r="AH19" s="183"/>
      <c r="AI19" s="199">
        <v>3</v>
      </c>
      <c r="AJ19" s="202">
        <f>Tunneldrift!$AZ$141</f>
        <v>0</v>
      </c>
      <c r="AK19" s="194">
        <v>7</v>
      </c>
      <c r="AL19" s="202">
        <f>Tunneldrift!$AZ$173</f>
        <v>0</v>
      </c>
      <c r="AM19" s="183"/>
      <c r="AN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433" t="s">
        <v>2378</v>
      </c>
      <c r="CT19" s="3435"/>
      <c r="CU19" s="3435"/>
      <c r="CV19" s="181"/>
      <c r="CW19" s="181"/>
      <c r="CX19" s="181"/>
      <c r="CY19" s="181"/>
      <c r="CZ19" s="181"/>
      <c r="DA19" s="181"/>
      <c r="DB19" s="181"/>
      <c r="DC19" s="181"/>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91"/>
      <c r="EP19" s="191"/>
      <c r="EQ19" s="191"/>
      <c r="GH19" s="416"/>
      <c r="GI19" s="191"/>
      <c r="GJ19" s="185">
        <v>1</v>
      </c>
      <c r="GK19" s="185">
        <f>'Inn forbered'!S23</f>
        <v>0</v>
      </c>
      <c r="GL19" s="185" t="str">
        <f>'Inn forbered'!S25</f>
        <v>Ikke relevant</v>
      </c>
      <c r="GM19" s="185">
        <f>'Inn forbered'!S27</f>
        <v>0</v>
      </c>
      <c r="GN19" s="185">
        <f>IF('Inn forbered'!$S$23="",1,0)</f>
        <v>1</v>
      </c>
      <c r="GO19" s="185">
        <f>IF('Inn forbered'!$S$25="",1,0)</f>
        <v>0</v>
      </c>
      <c r="GP19" s="185">
        <f>IF('Inn forbered'!$S$27="",1,0)</f>
        <v>1</v>
      </c>
      <c r="GQ19" s="247">
        <f>inputs_forbe[[#This Row],[Forberedende]]+inputs_forbe[[#This Row],[Andrearbeider]]</f>
        <v>0</v>
      </c>
      <c r="GR19" s="247"/>
      <c r="HH19" s="185" t="str">
        <f>Tunneldrift!M110</f>
        <v>Forsink for hver stuff</v>
      </c>
      <c r="HI19" s="185">
        <f>Tunneldrift!F94</f>
        <v>0</v>
      </c>
      <c r="HJ19" s="185">
        <f>HI19*$AI$80</f>
        <v>0</v>
      </c>
      <c r="HK19" s="183"/>
      <c r="HL19" s="183"/>
      <c r="IH19" s="1758">
        <v>2</v>
      </c>
      <c r="II19" s="5942" t="e">
        <f>INDEX(outputs_oppsum[kon_metod_no],MATCH($NP$276,outputs_oppsum[stuff_id],0))</f>
        <v>#N/A</v>
      </c>
      <c r="IJ19" s="199" t="b">
        <f>IJ18</f>
        <v>1</v>
      </c>
      <c r="IK19" s="5620">
        <f>IK18</f>
        <v>0</v>
      </c>
      <c r="IL19" s="199" t="b">
        <f>IL18</f>
        <v>1</v>
      </c>
      <c r="IM19" s="5620" t="str">
        <f>IM18</f>
        <v/>
      </c>
      <c r="IN19" s="199">
        <f>'Inn justeringer'!$AG$45</f>
        <v>0</v>
      </c>
      <c r="IO19" s="273">
        <f>IF(IN19=$K$76,1,IF(IN19=$K$77,2,IF(IN19=_List!$EG$7,3,0)))</f>
        <v>0</v>
      </c>
      <c r="IP19" s="3835" t="str">
        <f>IF(ISBLANK('Inn justeringer'!$AG$48),"",'Inn justeringer'!$AG$48)</f>
        <v/>
      </c>
      <c r="IQ19" s="199" t="str">
        <f>IF(ISBLANK('Inn justeringer'!$AG$51),"",'Inn justeringer'!$AG$51)</f>
        <v/>
      </c>
      <c r="IR19" s="199" t="str">
        <f>IF(ISBLANK('Inn justeringer'!$AG$60),"",'Inn justeringer'!$AG$60)</f>
        <v/>
      </c>
      <c r="IS19" s="3835" t="str">
        <f>IF(ISBLANK('Inn justeringer'!$AG$63),"",'Inn justeringer'!$AG$63)</f>
        <v/>
      </c>
      <c r="IT19" s="199" t="str">
        <f>IF(ISBLANK('Inn justeringer'!$AG$66),"",'Inn justeringer'!$AG$66)</f>
        <v/>
      </c>
      <c r="IU19" s="199" t="str">
        <f>IF(ISBLANK('Inn justeringer'!$AG$72),"",'Inn justeringer'!$AG$72)</f>
        <v/>
      </c>
      <c r="IV19" s="3835" t="str">
        <f>IF(ISBLANK('Inn justeringer'!$AG$75),"",'Inn justeringer'!$AG$75)</f>
        <v/>
      </c>
      <c r="IW19" s="199" t="str">
        <f>IF(ISBLANK('Inn justeringer'!$AG$78),"",'Inn justeringer'!$AG$78)</f>
        <v/>
      </c>
      <c r="IX19" s="199" t="str">
        <f>IF(ISBLANK('Inn justeringer'!$AG$84),"",'Inn justeringer'!$AG$84)</f>
        <v/>
      </c>
      <c r="IY19" s="3835" t="str">
        <f>IF(ISBLANK('Inn justeringer'!$AG$87),"",'Inn justeringer'!$AG$87)</f>
        <v/>
      </c>
      <c r="IZ19" s="199" t="str">
        <f>IF(ISBLANK('Inn justeringer'!$AG$90),"",'Inn justeringer'!$AG$90)</f>
        <v/>
      </c>
      <c r="JA19" s="199" t="str">
        <f>IF(ISBLANK('Inn justeringer'!$AG$96),"",'Inn justeringer'!$AG$96)</f>
        <v/>
      </c>
      <c r="JB19" s="3835" t="str">
        <f>IF(ISBLANK('Inn justeringer'!$AG$99),"",'Inn justeringer'!$AG$99)</f>
        <v/>
      </c>
      <c r="JC19" s="199" t="str">
        <f>IF(ISBLANK('Inn justeringer'!$AG$102),"",'Inn justeringer'!$AG$102)</f>
        <v/>
      </c>
      <c r="JD19" s="199" t="str">
        <f>IF(ISBLANK('Inn justeringer'!$AG$108),"",'Inn justeringer'!$AG$108)</f>
        <v/>
      </c>
      <c r="JE19" s="3835" t="str">
        <f>IF(ISBLANK('Inn justeringer'!$AG$111),"",'Inn justeringer'!$AG$111)</f>
        <v/>
      </c>
      <c r="JF19" s="199" t="str">
        <f>IF(ISBLANK('Inn justeringer'!$AG$114),"",'Inn justeringer'!$AG$114)</f>
        <v/>
      </c>
      <c r="JG19" s="199" t="str">
        <f>IF(ISBLANK('Inn justeringer'!$AG$120),"",'Inn justeringer'!$AG$120)</f>
        <v/>
      </c>
      <c r="JH19" s="3835" t="str">
        <f>IF(ISBLANK('Inn justeringer'!$AG$123),"",'Inn justeringer'!$AG$123)</f>
        <v/>
      </c>
      <c r="JI19" s="199" t="str">
        <f>IF(ISBLANK('Inn justeringer'!$AG$126),"",'Inn justeringer'!$AG$126)</f>
        <v/>
      </c>
      <c r="JJ19" s="199" t="str">
        <f>IF(ISBLANK('Inn justeringer'!$AG$132),"",'Inn justeringer'!$AG$132)</f>
        <v/>
      </c>
      <c r="JK19" s="3835" t="str">
        <f>IF(ISBLANK('Inn justeringer'!$AG$135),"",'Inn justeringer'!$AG$135)</f>
        <v/>
      </c>
      <c r="JL19" s="199" t="str">
        <f>IF(ISBLANK('Inn justeringer'!$AG$138),"",'Inn justeringer'!$AG$138)</f>
        <v/>
      </c>
      <c r="JM19" s="21"/>
      <c r="JN19" s="21"/>
      <c r="JO19" s="21"/>
      <c r="JP19" s="21"/>
      <c r="JQ19" s="21"/>
      <c r="JR19" s="21"/>
      <c r="JS19" s="21"/>
      <c r="JT19" s="21"/>
      <c r="JU19" s="21"/>
      <c r="JV19" s="21"/>
      <c r="JW19" s="21"/>
      <c r="JX19" s="21"/>
      <c r="JY19" s="183"/>
      <c r="JZ19" s="183"/>
      <c r="KA19" s="183"/>
      <c r="KB19" s="183"/>
      <c r="KC19" s="183"/>
      <c r="KD19" s="183"/>
      <c r="KE19" s="183"/>
      <c r="KF19" s="183"/>
      <c r="KH19" s="191"/>
      <c r="KI19" s="191"/>
      <c r="KJ19" s="191"/>
      <c r="KK19" s="191"/>
      <c r="KL19" s="191"/>
      <c r="KM19" s="191"/>
      <c r="KN19" s="191"/>
      <c r="KO19" s="5227">
        <v>22</v>
      </c>
      <c r="KP19" s="5228">
        <v>1</v>
      </c>
      <c r="KQ19" s="191"/>
      <c r="KR19" s="191"/>
      <c r="KS19" s="191"/>
      <c r="KT19" s="191"/>
      <c r="KU19" s="191"/>
      <c r="KV19" s="191"/>
      <c r="KW19" s="191"/>
      <c r="KX19" s="191"/>
      <c r="KY19" s="191"/>
      <c r="KZ19" s="191"/>
      <c r="LA19" s="191"/>
      <c r="LB19" s="191"/>
      <c r="LC19" s="191"/>
      <c r="LD19" s="191"/>
      <c r="LE19" s="191"/>
      <c r="LF19" s="191"/>
      <c r="LG19" s="191"/>
      <c r="LH19" s="191"/>
      <c r="LI19" s="191"/>
      <c r="LJ19" s="185">
        <v>22</v>
      </c>
      <c r="LK19" s="199">
        <v>1</v>
      </c>
      <c r="LL19" s="199"/>
      <c r="LM19" s="199"/>
      <c r="LN19" s="199"/>
      <c r="LO19" s="199">
        <v>1</v>
      </c>
      <c r="LP19" s="199"/>
      <c r="LQ19" s="199"/>
      <c r="LR19" s="199"/>
      <c r="LS19" s="199"/>
      <c r="LT19" s="183"/>
      <c r="LU19" s="191"/>
      <c r="LV19" s="191"/>
      <c r="LW19" s="191"/>
      <c r="LX19" s="191"/>
      <c r="LY19" s="191"/>
      <c r="LZ19" s="191"/>
      <c r="MA19" s="191"/>
      <c r="MB19" s="191"/>
      <c r="MC19" s="191"/>
      <c r="MD19" s="191"/>
      <c r="ME19" s="191"/>
      <c r="MF19" s="191"/>
      <c r="MG19" s="191"/>
      <c r="MH19" s="191"/>
      <c r="MI19" s="191"/>
      <c r="MJ19" s="191"/>
      <c r="MK19" s="191"/>
      <c r="ML19" s="191"/>
      <c r="MM19" s="191"/>
      <c r="MN19" s="191"/>
      <c r="MO19" s="191"/>
      <c r="MP19" s="191"/>
      <c r="MQ19" s="191"/>
      <c r="MR19" s="191"/>
      <c r="MS19" s="191"/>
      <c r="MT19" s="191"/>
      <c r="MU19" s="191"/>
      <c r="MV19" s="191"/>
      <c r="MW19" s="191"/>
      <c r="MX19" s="191"/>
      <c r="MY19" s="191"/>
      <c r="MZ19" s="191"/>
      <c r="NA19" s="191"/>
      <c r="NB19" s="191"/>
      <c r="NC19" s="191"/>
      <c r="ND19" s="191"/>
      <c r="NE19" s="191"/>
      <c r="NF19" s="191"/>
      <c r="NG19" s="191"/>
      <c r="NH19" s="191"/>
      <c r="NI19" s="1569"/>
      <c r="NJ19" s="191"/>
      <c r="NK19" s="191"/>
      <c r="NL19" s="472"/>
      <c r="NM19" s="191"/>
      <c r="NN19" s="439" t="str">
        <f>$NO$67</f>
        <v>Stuff 1-1</v>
      </c>
      <c r="NO19" s="451">
        <v>1</v>
      </c>
      <c r="NP19" s="451">
        <f>IF($BC$34&gt;0,1,0)</f>
        <v>1</v>
      </c>
      <c r="NQ19" s="194">
        <f>INDEX(outputs_position[11],MATCH($BC$35,outputs_position[lopstuff],0))</f>
        <v>1</v>
      </c>
      <c r="NR19" s="252" t="str">
        <f t="shared" ref="NR19:NR27" si="0">NN19</f>
        <v>Stuff 1-1</v>
      </c>
      <c r="NS19" s="261">
        <f>IFERROR((INDEX(outputs_spreng[Name],MATCH($NR19,outputs_spreng[lopstuff],0))),0)</f>
        <v>0</v>
      </c>
      <c r="NT19" s="261">
        <f>IFERROR((INDEX(outputs_spreng[Redusertsalvelengde],MATCH($NR19,outputs_spreng[lopstuff],0))),0)</f>
        <v>0</v>
      </c>
      <c r="NU19" s="261">
        <f>IFERROR((INDEX(outputs_spreng[Todelttverrsnitt],MATCH($NR19,outputs_spreng[lopstuff],0))),0)</f>
        <v>0</v>
      </c>
      <c r="NV19" s="261">
        <f>IFERROR((INDEX(outputs_spreng[Redusertsalvelengdeogtodelttverrsnitt],MATCH($NR19,outputs_spreng[lopstuff],0))),0)</f>
        <v>0</v>
      </c>
      <c r="NW19" s="261">
        <f>IFERROR((INDEX(outputs_spreng[Normal],MATCH($NR19,outputs_spreng[lopstuff],0))),0)</f>
        <v>0</v>
      </c>
      <c r="NX19" s="418">
        <f>oppsum_position[[#This Row],[Redusertsalvelengde]]+oppsum_position[[#This Row],[Todelttverrsnitt]]+oppsum_position[[#This Row],[Redusertsalvelengdeogtodelttverrsnitt]]+oppsum_position[[#This Row],[Normal]]</f>
        <v>0</v>
      </c>
      <c r="NY19" s="191"/>
      <c r="NZ19" s="191"/>
      <c r="OA19" s="191"/>
      <c r="OB19" s="191"/>
      <c r="OC19" s="191"/>
      <c r="OD19" s="191"/>
      <c r="OE19" s="191"/>
      <c r="OF19" s="191"/>
      <c r="OG19" s="191"/>
      <c r="OH19" s="191"/>
      <c r="OI19" s="191"/>
      <c r="OJ19" s="191"/>
      <c r="OK19" s="191"/>
      <c r="OL19" s="191"/>
      <c r="OM19" s="191"/>
      <c r="ON19" s="191"/>
      <c r="OO19" s="191"/>
      <c r="OP19" s="191"/>
      <c r="OQ19" s="191"/>
      <c r="OR19" s="191"/>
      <c r="OS19" s="191"/>
      <c r="OT19" s="191"/>
      <c r="OU19" s="191"/>
      <c r="OV19" s="145"/>
      <c r="OW19" s="145"/>
      <c r="OX19" s="145"/>
      <c r="OY19" s="145"/>
      <c r="OZ19" s="145"/>
      <c r="PA19" s="145"/>
      <c r="PB19" s="145"/>
      <c r="PC19" s="145"/>
      <c r="PD19" s="145"/>
      <c r="PE19" s="145"/>
      <c r="PF19" s="145"/>
      <c r="PG19" s="191"/>
      <c r="PH19" s="191"/>
      <c r="PI19" s="191"/>
      <c r="PJ19" s="18"/>
      <c r="PK19" s="18"/>
      <c r="PL19" s="18"/>
      <c r="PM19" s="18"/>
      <c r="PN19" s="18"/>
      <c r="PO19" s="18"/>
      <c r="PP19" s="18"/>
      <c r="PQ19" s="191"/>
      <c r="PR19" s="191"/>
      <c r="PS19" s="191"/>
      <c r="PT19" s="191"/>
      <c r="PU19" s="191"/>
      <c r="PV19" s="191"/>
      <c r="PW19" s="191"/>
      <c r="PX19" s="191"/>
      <c r="PY19" s="191"/>
      <c r="PZ19" s="191"/>
      <c r="QA19" s="191"/>
      <c r="QB19" s="191"/>
      <c r="QC19" s="191"/>
      <c r="QD19" s="191"/>
      <c r="QE19" s="191"/>
      <c r="QF19" s="191"/>
      <c r="QG19" s="191"/>
      <c r="QH19" s="191"/>
      <c r="QI19" s="191"/>
      <c r="QJ19" s="191"/>
      <c r="QK19" s="191"/>
      <c r="QL19" s="191"/>
      <c r="QM19" s="191"/>
      <c r="QU19" s="183"/>
      <c r="QV19" s="183"/>
      <c r="QW19" s="183"/>
      <c r="QX19" s="183"/>
      <c r="QY19" s="183"/>
      <c r="QZ19" s="183"/>
      <c r="RA19" s="183"/>
      <c r="RB19" s="183"/>
      <c r="RC19" s="183"/>
      <c r="RD19" s="183"/>
      <c r="RE19" s="183"/>
      <c r="RF19" s="183"/>
      <c r="RS19" s="183"/>
      <c r="RT19" s="183"/>
      <c r="RU19" s="183"/>
    </row>
    <row r="20" spans="2:589" s="2617" customFormat="1" x14ac:dyDescent="0.2">
      <c r="B20" s="185" t="s">
        <v>647</v>
      </c>
      <c r="C20" s="185"/>
      <c r="D20" s="5264" t="s">
        <v>2380</v>
      </c>
      <c r="E20" s="6145"/>
      <c r="H20" s="2625"/>
      <c r="I20" s="5565"/>
      <c r="J20" s="185"/>
      <c r="K20" s="372" t="s">
        <v>1549</v>
      </c>
      <c r="L20" s="185"/>
      <c r="M20" s="3807" t="s">
        <v>152</v>
      </c>
      <c r="N20" s="372"/>
      <c r="O20" s="185"/>
      <c r="R20" s="242"/>
      <c r="S20" s="242"/>
      <c r="T20" s="6148"/>
      <c r="AH20" s="183"/>
      <c r="AI20" s="199">
        <v>4</v>
      </c>
      <c r="AJ20" s="202">
        <f>Tunneldrift!$BO$141</f>
        <v>0</v>
      </c>
      <c r="AK20" s="194">
        <v>8</v>
      </c>
      <c r="AL20" s="202">
        <f>Tunneldrift!$BO$173</f>
        <v>0</v>
      </c>
      <c r="AM20" s="183"/>
      <c r="AN20" s="183"/>
      <c r="BA20" s="183"/>
      <c r="BB20" s="183"/>
      <c r="BC20" s="183"/>
      <c r="BD20" s="183"/>
      <c r="BE20" s="183"/>
      <c r="BF20" s="183"/>
      <c r="BG20" s="183"/>
      <c r="BH20" s="183"/>
      <c r="BI20" s="184"/>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T20" s="181"/>
      <c r="CU20" s="181"/>
      <c r="CV20" s="181"/>
      <c r="CW20" s="181"/>
      <c r="CX20" s="181"/>
      <c r="CY20" s="181"/>
      <c r="CZ20" s="181"/>
      <c r="DA20" s="181"/>
      <c r="DB20" s="181"/>
      <c r="DC20" s="181"/>
      <c r="DQ20" s="183"/>
      <c r="DR20" s="183"/>
      <c r="DS20" s="183"/>
      <c r="DT20" s="183"/>
      <c r="DU20" s="183"/>
      <c r="DV20" s="183"/>
      <c r="DW20" s="183"/>
      <c r="DX20" s="183"/>
      <c r="DY20" s="184"/>
      <c r="DZ20" s="183"/>
      <c r="EA20" s="183"/>
      <c r="EB20" s="183"/>
      <c r="EC20" s="183"/>
      <c r="ED20" s="183"/>
      <c r="EE20" s="183"/>
      <c r="EF20" s="183"/>
      <c r="EG20" s="183"/>
      <c r="EH20" s="183"/>
      <c r="EI20" s="183"/>
      <c r="EJ20" s="183"/>
      <c r="EK20" s="183"/>
      <c r="EL20" s="183"/>
      <c r="EM20" s="183"/>
      <c r="EN20" s="183"/>
      <c r="EO20" s="183"/>
      <c r="EP20" s="183"/>
      <c r="EQ20" s="183"/>
      <c r="GH20" s="414"/>
      <c r="GI20" s="183"/>
      <c r="GJ20" s="185">
        <v>2</v>
      </c>
      <c r="GK20" s="185">
        <f>'Inn forbered'!$AA$23</f>
        <v>0</v>
      </c>
      <c r="GL20" s="185">
        <f>'Inn forbered'!$AA$25</f>
        <v>0</v>
      </c>
      <c r="GM20" s="185">
        <f>'Inn forbered'!$AA$27</f>
        <v>0</v>
      </c>
      <c r="GN20" s="185">
        <f>IF('Inn forbered'!$AA$23="",1,0)</f>
        <v>1</v>
      </c>
      <c r="GO20" s="185">
        <f>IF('Inn forbered'!$AA$25="",1,0)</f>
        <v>1</v>
      </c>
      <c r="GP20" s="185">
        <f>IF('Inn forbered'!$AA$27="",1,0)</f>
        <v>1</v>
      </c>
      <c r="GQ20" s="247">
        <f>inputs_forbe[[#This Row],[Forberedende]]+inputs_forbe[[#This Row],[Portaler]]+inputs_forbe[[#This Row],[Andrearbeider]]</f>
        <v>0</v>
      </c>
      <c r="GR20" s="185"/>
      <c r="HH20" s="185"/>
      <c r="HI20" s="223"/>
      <c r="HJ20" s="223"/>
      <c r="HK20" s="21"/>
      <c r="HL20" s="21"/>
      <c r="IH20" s="1758">
        <v>3</v>
      </c>
      <c r="II20" s="5942" t="e">
        <f>INDEX(outputs_oppsum[kon_metod_no],MATCH($NQ$276,outputs_oppsum[stuff_id],0))</f>
        <v>#N/A</v>
      </c>
      <c r="IJ20" s="199" t="b">
        <f>ISBLANK('Inn justeringer'!$AO$30)</f>
        <v>1</v>
      </c>
      <c r="IK20" s="5620">
        <f>'Inn justeringer'!$AO$30</f>
        <v>0</v>
      </c>
      <c r="IL20" s="199" t="b">
        <f>ISBLANK('Inn justeringer'!$AO$36)</f>
        <v>1</v>
      </c>
      <c r="IM20" s="5620" t="str">
        <f>IF($IL$20=TRUE,"",'Inn justeringer'!$AO$36)</f>
        <v/>
      </c>
      <c r="IN20" s="199">
        <f>'Inn justeringer'!$AO$45</f>
        <v>0</v>
      </c>
      <c r="IO20" s="273">
        <f>IF(IN20=$K$76,1,IF(IN20=$K$77,2,IF(IN20=_List!$EG$7,3,0)))</f>
        <v>0</v>
      </c>
      <c r="IP20" s="3835" t="str">
        <f>IF(ISBLANK('Inn justeringer'!$AO$48),"",'Inn justeringer'!$AO$48)</f>
        <v/>
      </c>
      <c r="IQ20" s="199" t="str">
        <f>IF(ISBLANK('Inn justeringer'!$AO$51),"",'Inn justeringer'!$AO$51)</f>
        <v/>
      </c>
      <c r="IR20" s="199" t="str">
        <f>IF(ISBLANK('Inn justeringer'!$AO$60),"",'Inn justeringer'!$AO$60)</f>
        <v/>
      </c>
      <c r="IS20" s="3835" t="str">
        <f>IF(ISBLANK('Inn justeringer'!$AO$63),"",'Inn justeringer'!$AO$63)</f>
        <v/>
      </c>
      <c r="IT20" s="199" t="str">
        <f>IF(ISBLANK('Inn justeringer'!$AO$66),"",'Inn justeringer'!$AO$66)</f>
        <v/>
      </c>
      <c r="IU20" s="199" t="str">
        <f>IF(ISBLANK('Inn justeringer'!$AO$72),"",'Inn justeringer'!$AO$72)</f>
        <v/>
      </c>
      <c r="IV20" s="3835" t="str">
        <f>IF(ISBLANK('Inn justeringer'!$AO$75),"",'Inn justeringer'!$AO$75)</f>
        <v/>
      </c>
      <c r="IW20" s="199" t="str">
        <f>IF(ISBLANK('Inn justeringer'!$AO$78),"",'Inn justeringer'!$AO$78)</f>
        <v/>
      </c>
      <c r="IX20" s="199" t="str">
        <f>IF(ISBLANK('Inn justeringer'!$AO$84),"",'Inn justeringer'!$AO$84)</f>
        <v/>
      </c>
      <c r="IY20" s="3835" t="str">
        <f>IF(ISBLANK('Inn justeringer'!$AO$87),"",'Inn justeringer'!$AO$87)</f>
        <v/>
      </c>
      <c r="IZ20" s="199" t="str">
        <f>IF(ISBLANK('Inn justeringer'!$AO$90),"",'Inn justeringer'!$AO$90)</f>
        <v/>
      </c>
      <c r="JA20" s="199" t="str">
        <f>IF(ISBLANK('Inn justeringer'!$AO$96),"",'Inn justeringer'!$AO$96)</f>
        <v/>
      </c>
      <c r="JB20" s="3835" t="str">
        <f>IF(ISBLANK('Inn justeringer'!$AO$99),"",'Inn justeringer'!$AO$99)</f>
        <v/>
      </c>
      <c r="JC20" s="199" t="str">
        <f>IF(ISBLANK('Inn justeringer'!$AO$102),"",'Inn justeringer'!$AO$102)</f>
        <v/>
      </c>
      <c r="JD20" s="199" t="str">
        <f>IF(ISBLANK('Inn justeringer'!$AO$108),"",'Inn justeringer'!$AO$108)</f>
        <v/>
      </c>
      <c r="JE20" s="3835" t="str">
        <f>IF(ISBLANK('Inn justeringer'!$AO$111),"",'Inn justeringer'!$AO$111)</f>
        <v/>
      </c>
      <c r="JF20" s="199" t="str">
        <f>IF(ISBLANK('Inn justeringer'!$AO$114),"",'Inn justeringer'!$AO$114)</f>
        <v/>
      </c>
      <c r="JG20" s="199" t="str">
        <f>IF(ISBLANK('Inn justeringer'!$AO$120),"",'Inn justeringer'!$AO$120)</f>
        <v/>
      </c>
      <c r="JH20" s="3835" t="str">
        <f>IF(ISBLANK('Inn justeringer'!$AO$123),"",'Inn justeringer'!$AO$123)</f>
        <v/>
      </c>
      <c r="JI20" s="199" t="str">
        <f>IF(ISBLANK('Inn justeringer'!$AO$126),"",'Inn justeringer'!$AO$126)</f>
        <v/>
      </c>
      <c r="JJ20" s="199" t="str">
        <f>IF(ISBLANK('Inn justeringer'!$AO$132),"",'Inn justeringer'!$AO$132)</f>
        <v/>
      </c>
      <c r="JK20" s="3835" t="str">
        <f>IF(ISBLANK('Inn justeringer'!$AO$135),"",'Inn justeringer'!$AO$135)</f>
        <v/>
      </c>
      <c r="JL20" s="199" t="str">
        <f>IF(ISBLANK('Inn justeringer'!$AO$138),"",'Inn justeringer'!$AO$138)</f>
        <v/>
      </c>
      <c r="JM20" s="21"/>
      <c r="JN20" s="21"/>
      <c r="JO20" s="21"/>
      <c r="JP20" s="21"/>
      <c r="JQ20" s="21"/>
      <c r="JR20" s="21"/>
      <c r="JS20" s="21"/>
      <c r="JT20" s="21"/>
      <c r="JU20" s="21"/>
      <c r="JV20" s="21"/>
      <c r="JW20" s="21"/>
      <c r="JX20" s="21"/>
      <c r="JY20" s="183"/>
      <c r="JZ20" s="183"/>
      <c r="KA20" s="183"/>
      <c r="KB20" s="183"/>
      <c r="KC20" s="183"/>
      <c r="KD20" s="183"/>
      <c r="KE20" s="183"/>
      <c r="KF20" s="183"/>
      <c r="KH20" s="183"/>
      <c r="KI20" s="183"/>
      <c r="KJ20" s="183"/>
      <c r="KK20" s="183"/>
      <c r="KL20" s="183"/>
      <c r="KM20" s="183"/>
      <c r="KN20" s="183"/>
      <c r="KO20" s="5225">
        <v>24</v>
      </c>
      <c r="KP20" s="5226">
        <v>2</v>
      </c>
      <c r="KQ20" s="183"/>
      <c r="KR20" s="183"/>
      <c r="KS20" s="183"/>
      <c r="KT20" s="183"/>
      <c r="KU20" s="183"/>
      <c r="KV20" s="183"/>
      <c r="KW20" s="183"/>
      <c r="KX20" s="183"/>
      <c r="KY20" s="183"/>
      <c r="KZ20" s="183"/>
      <c r="LA20" s="183"/>
      <c r="LB20" s="183"/>
      <c r="LC20" s="183"/>
      <c r="LD20" s="183"/>
      <c r="LE20" s="183"/>
      <c r="LF20" s="183"/>
      <c r="LG20" s="183"/>
      <c r="LH20" s="183"/>
      <c r="LI20" s="183"/>
      <c r="LJ20" s="185">
        <v>24</v>
      </c>
      <c r="LK20" s="199">
        <v>1</v>
      </c>
      <c r="LL20" s="199">
        <v>2</v>
      </c>
      <c r="LM20" s="199"/>
      <c r="LN20" s="199"/>
      <c r="LO20" s="199">
        <v>1</v>
      </c>
      <c r="LP20" s="199">
        <v>2</v>
      </c>
      <c r="LQ20" s="199"/>
      <c r="LR20" s="199"/>
      <c r="LS20" s="199"/>
      <c r="LT20" s="183"/>
      <c r="LU20" s="183"/>
      <c r="LV20" s="183"/>
      <c r="LW20" s="183"/>
      <c r="LX20" s="183"/>
      <c r="LY20" s="183"/>
      <c r="LZ20" s="183"/>
      <c r="MA20" s="183"/>
      <c r="MB20" s="183"/>
      <c r="MC20" s="183"/>
      <c r="MD20" s="183"/>
      <c r="ME20" s="183"/>
      <c r="MF20" s="183"/>
      <c r="MG20" s="183"/>
      <c r="MH20" s="183"/>
      <c r="MI20" s="183"/>
      <c r="MJ20" s="183"/>
      <c r="MK20" s="183"/>
      <c r="ML20" s="183"/>
      <c r="MM20" s="183"/>
      <c r="MN20" s="183"/>
      <c r="MO20" s="183"/>
      <c r="MP20" s="183"/>
      <c r="MQ20" s="183"/>
      <c r="MR20" s="183"/>
      <c r="MS20" s="183"/>
      <c r="MT20" s="183"/>
      <c r="MU20" s="183"/>
      <c r="MV20" s="183"/>
      <c r="MW20" s="183"/>
      <c r="MX20" s="183"/>
      <c r="MY20" s="183"/>
      <c r="MZ20" s="183"/>
      <c r="NA20" s="183"/>
      <c r="NB20" s="183"/>
      <c r="NC20" s="183"/>
      <c r="ND20" s="183"/>
      <c r="NE20" s="183"/>
      <c r="NF20" s="183"/>
      <c r="NG20" s="183"/>
      <c r="NH20" s="183"/>
      <c r="NI20" s="1567"/>
      <c r="NJ20" s="183"/>
      <c r="NK20" s="183"/>
      <c r="NL20" s="471"/>
      <c r="NM20" s="183"/>
      <c r="NN20" s="439" t="str">
        <f>$NO$68</f>
        <v>Stuff 1-2</v>
      </c>
      <c r="NO20" s="451">
        <v>2</v>
      </c>
      <c r="NP20" s="451">
        <f>IF($BC$34&gt;1,1,0)</f>
        <v>0</v>
      </c>
      <c r="NQ20" s="194">
        <f>INDEX(outputs_position[12],MATCH($BC$35,outputs_position[lopstuff],0))</f>
        <v>0</v>
      </c>
      <c r="NR20" s="252" t="str">
        <f t="shared" si="0"/>
        <v>Stuff 1-2</v>
      </c>
      <c r="NS20" s="261">
        <f>IFERROR((INDEX(outputs_spreng[Name],MATCH($NR20,outputs_spreng[lopstuff],0))),0)</f>
        <v>0</v>
      </c>
      <c r="NT20" s="261">
        <f>IFERROR((INDEX(outputs_spreng[Redusertsalvelengde],MATCH($NR20,outputs_spreng[lopstuff],0))),0)</f>
        <v>0</v>
      </c>
      <c r="NU20" s="261">
        <f>IFERROR((INDEX(outputs_spreng[Todelttverrsnitt],MATCH($NR20,outputs_spreng[lopstuff],0))),0)</f>
        <v>0</v>
      </c>
      <c r="NV20" s="261">
        <f>IFERROR((INDEX(outputs_spreng[Redusertsalvelengdeogtodelttverrsnitt],MATCH($NR20,outputs_spreng[lopstuff],0))),0)</f>
        <v>0</v>
      </c>
      <c r="NW20" s="261">
        <f>IFERROR((INDEX(outputs_spreng[Normal],MATCH($NR20,outputs_spreng[lopstuff],0))),0)</f>
        <v>0</v>
      </c>
      <c r="NX20" s="418">
        <f>oppsum_position[[#This Row],[Redusertsalvelengde]]+oppsum_position[[#This Row],[Todelttverrsnitt]]+oppsum_position[[#This Row],[Redusertsalvelengdeogtodelttverrsnitt]]+oppsum_position[[#This Row],[Normal]]</f>
        <v>0</v>
      </c>
      <c r="NY20" s="183"/>
      <c r="NZ20" s="183"/>
      <c r="OA20" s="183"/>
      <c r="OB20" s="183"/>
      <c r="OC20" s="183"/>
      <c r="OD20" s="183"/>
      <c r="OE20" s="183"/>
      <c r="OF20" s="183"/>
      <c r="OG20" s="183"/>
      <c r="OH20" s="183"/>
      <c r="OI20" s="183"/>
      <c r="OJ20" s="183"/>
      <c r="OK20" s="183"/>
      <c r="OL20" s="183"/>
      <c r="OM20" s="183"/>
      <c r="ON20" s="183"/>
      <c r="OO20" s="183"/>
      <c r="OP20" s="183"/>
      <c r="OQ20" s="183"/>
      <c r="OR20" s="183"/>
      <c r="OS20" s="183"/>
      <c r="OT20" s="183"/>
      <c r="OU20" s="183"/>
      <c r="OV20" s="184"/>
      <c r="OW20" s="184"/>
      <c r="OX20" s="184"/>
      <c r="OY20" s="184"/>
      <c r="OZ20" s="184"/>
      <c r="PA20" s="184"/>
      <c r="PB20" s="184"/>
      <c r="PC20" s="184"/>
      <c r="PD20" s="184"/>
      <c r="PE20" s="184"/>
      <c r="PF20" s="184"/>
      <c r="PG20" s="183"/>
      <c r="PH20" s="183"/>
      <c r="PI20" s="183"/>
      <c r="PJ20" s="265"/>
      <c r="PK20" s="265"/>
      <c r="PL20" s="265"/>
      <c r="PM20" s="265"/>
      <c r="PN20" s="265"/>
      <c r="PO20" s="265"/>
      <c r="PP20" s="265"/>
      <c r="PQ20" s="183"/>
      <c r="PR20" s="183"/>
      <c r="PS20" s="183"/>
      <c r="PT20" s="183"/>
      <c r="PU20" s="183"/>
      <c r="PV20" s="183"/>
      <c r="PW20" s="183"/>
      <c r="PX20" s="183"/>
      <c r="PY20" s="183"/>
      <c r="PZ20" s="183"/>
      <c r="QA20" s="183"/>
      <c r="QB20" s="183"/>
      <c r="QC20" s="183"/>
      <c r="QD20" s="183"/>
      <c r="QE20" s="183"/>
      <c r="QF20" s="183"/>
      <c r="QG20" s="183"/>
      <c r="QH20" s="183"/>
      <c r="QI20" s="183"/>
      <c r="QJ20" s="183"/>
      <c r="QK20" s="183"/>
      <c r="QL20" s="183"/>
      <c r="QM20" s="183"/>
      <c r="QU20" s="183"/>
      <c r="QV20" s="183"/>
      <c r="QW20" s="183"/>
      <c r="QX20" s="183"/>
      <c r="QY20" s="183"/>
      <c r="QZ20" s="183"/>
      <c r="RA20" s="183"/>
      <c r="RB20" s="183"/>
      <c r="RC20" s="183"/>
      <c r="RD20" s="183"/>
      <c r="RE20" s="183"/>
      <c r="RF20" s="183"/>
      <c r="RS20" s="183"/>
      <c r="RT20" s="183"/>
      <c r="RU20" s="183"/>
    </row>
    <row r="21" spans="2:589" s="2617" customFormat="1" ht="24.95" customHeight="1" x14ac:dyDescent="0.4">
      <c r="B21" s="185" t="s">
        <v>1599</v>
      </c>
      <c r="C21" s="185"/>
      <c r="D21" s="5264" t="s">
        <v>2627</v>
      </c>
      <c r="E21" s="6145"/>
      <c r="H21" s="2625"/>
      <c r="I21" s="5565"/>
      <c r="J21" s="185"/>
      <c r="K21" s="372"/>
      <c r="L21" s="185"/>
      <c r="M21" s="3807" t="s">
        <v>21</v>
      </c>
      <c r="N21" s="372"/>
      <c r="O21" s="185"/>
      <c r="R21" s="242"/>
      <c r="S21" s="242"/>
      <c r="T21" s="6150"/>
      <c r="AH21" s="183"/>
      <c r="AI21" s="183"/>
      <c r="AJ21" s="183"/>
      <c r="AK21" s="183"/>
      <c r="AL21" s="183"/>
      <c r="AM21" s="183"/>
      <c r="AN21" s="183"/>
      <c r="BA21" s="183"/>
      <c r="BB21" s="276" t="s">
        <v>323</v>
      </c>
      <c r="BC21" s="276"/>
      <c r="BD21" s="183"/>
      <c r="BE21" s="183"/>
      <c r="BF21" s="183"/>
      <c r="BG21" s="183"/>
      <c r="BH21" s="183"/>
      <c r="BI21" s="184"/>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T21" s="181"/>
      <c r="CU21" s="181"/>
      <c r="CV21" s="181"/>
      <c r="CW21" s="181"/>
      <c r="CX21" s="181"/>
      <c r="CY21" s="181"/>
      <c r="CZ21" s="181"/>
      <c r="DA21" s="181"/>
      <c r="DB21" s="181"/>
      <c r="DC21" s="181"/>
      <c r="DQ21" s="183"/>
      <c r="DR21" s="343" t="s">
        <v>289</v>
      </c>
      <c r="DS21" s="343"/>
      <c r="DT21" s="183"/>
      <c r="DU21" s="183"/>
      <c r="DV21" s="183"/>
      <c r="DW21" s="183"/>
      <c r="DX21" s="183"/>
      <c r="DY21" s="184"/>
      <c r="DZ21" s="183"/>
      <c r="EA21" s="183"/>
      <c r="EB21" s="183"/>
      <c r="EC21" s="183"/>
      <c r="ED21" s="183"/>
      <c r="EE21" s="183"/>
      <c r="EF21" s="183"/>
      <c r="EG21" s="183"/>
      <c r="EH21" s="183"/>
      <c r="EI21" s="183"/>
      <c r="EJ21" s="183"/>
      <c r="EK21" s="183"/>
      <c r="EL21" s="183"/>
      <c r="EM21" s="183"/>
      <c r="EN21" s="183"/>
      <c r="EO21" s="183"/>
      <c r="EP21" s="183"/>
      <c r="EQ21" s="183"/>
      <c r="GH21" s="414"/>
      <c r="GI21" s="183"/>
      <c r="GJ21" s="185">
        <v>3</v>
      </c>
      <c r="GK21" s="185">
        <f>'Inn forbered'!$AI$23</f>
        <v>0</v>
      </c>
      <c r="GL21" s="185">
        <f>'Inn forbered'!$AI$25</f>
        <v>0</v>
      </c>
      <c r="GM21" s="185">
        <f>'Inn forbered'!$AI$27</f>
        <v>0</v>
      </c>
      <c r="GN21" s="185">
        <f>IF('Inn forbered'!$AI$23="",1,0)</f>
        <v>1</v>
      </c>
      <c r="GO21" s="185">
        <f>IF('Inn forbered'!$AI$25="",1,0)</f>
        <v>1</v>
      </c>
      <c r="GP21" s="185">
        <f>IF('Inn forbered'!$AI$27="",1,0)</f>
        <v>1</v>
      </c>
      <c r="GQ21" s="247">
        <f>inputs_forbe[[#This Row],[Forberedende]]+inputs_forbe[[#This Row],[Portaler]]+inputs_forbe[[#This Row],[Andrearbeider]]</f>
        <v>0</v>
      </c>
      <c r="GR21" s="185"/>
      <c r="HH21" s="185" t="s">
        <v>616</v>
      </c>
      <c r="HI21" s="223">
        <f>INDEX(tverr_connection[possible],MATCH($BC$28,tverr_connection[config],0))</f>
        <v>0</v>
      </c>
      <c r="HJ21" s="223"/>
      <c r="HK21" s="21"/>
      <c r="HL21" s="21"/>
      <c r="IH21" s="1758">
        <v>4</v>
      </c>
      <c r="II21" s="5942" t="e">
        <f>INDEX(outputs_oppsum[kon_metod_no],MATCH($NR$276,outputs_oppsum[stuff_id],0))</f>
        <v>#N/A</v>
      </c>
      <c r="IJ21" s="199" t="b">
        <f>IJ20</f>
        <v>1</v>
      </c>
      <c r="IK21" s="5620">
        <f>IK20</f>
        <v>0</v>
      </c>
      <c r="IL21" s="199" t="b">
        <f>IL20</f>
        <v>1</v>
      </c>
      <c r="IM21" s="5620" t="str">
        <f>IM20</f>
        <v/>
      </c>
      <c r="IN21" s="199">
        <f>'Inn justeringer'!$AW$45</f>
        <v>0</v>
      </c>
      <c r="IO21" s="273">
        <f>IF(IN21=$K$76,1,IF(IN21=$K$77,2,IF(IN21=_List!$EG$7,3,0)))</f>
        <v>0</v>
      </c>
      <c r="IP21" s="3835" t="str">
        <f>IF(ISBLANK('Inn justeringer'!$AW$48),"",'Inn justeringer'!$AW$48)</f>
        <v/>
      </c>
      <c r="IQ21" s="199" t="str">
        <f>IF(ISBLANK('Inn justeringer'!$AW$51),"",'Inn justeringer'!$AW$51)</f>
        <v/>
      </c>
      <c r="IR21" s="199" t="str">
        <f>IF(ISBLANK('Inn justeringer'!$AW$60),"",'Inn justeringer'!$AW$60)</f>
        <v/>
      </c>
      <c r="IS21" s="3835" t="str">
        <f>IF(ISBLANK('Inn justeringer'!$AW$63),"",'Inn justeringer'!$AW$63)</f>
        <v/>
      </c>
      <c r="IT21" s="199" t="str">
        <f>IF(ISBLANK('Inn justeringer'!$AW$66),"",'Inn justeringer'!$AW$66)</f>
        <v/>
      </c>
      <c r="IU21" s="199" t="str">
        <f>IF(ISBLANK('Inn justeringer'!$AW$72),"",'Inn justeringer'!$AW$72)</f>
        <v/>
      </c>
      <c r="IV21" s="3835" t="str">
        <f>IF(ISBLANK('Inn justeringer'!$AW$75),"",'Inn justeringer'!$AW$75)</f>
        <v/>
      </c>
      <c r="IW21" s="199" t="str">
        <f>IF(ISBLANK('Inn justeringer'!$AW$78),"",'Inn justeringer'!$AW$78)</f>
        <v/>
      </c>
      <c r="IX21" s="199" t="str">
        <f>IF(ISBLANK('Inn justeringer'!$AW$84),"",'Inn justeringer'!$AW$84)</f>
        <v/>
      </c>
      <c r="IY21" s="3835" t="str">
        <f>IF(ISBLANK('Inn justeringer'!$AW$87),"",'Inn justeringer'!$AW$87)</f>
        <v/>
      </c>
      <c r="IZ21" s="199" t="str">
        <f>IF(ISBLANK('Inn justeringer'!$AW$90),"",'Inn justeringer'!$AW$90)</f>
        <v/>
      </c>
      <c r="JA21" s="199" t="str">
        <f>IF(ISBLANK('Inn justeringer'!$AW$96),"",'Inn justeringer'!$AW$96)</f>
        <v/>
      </c>
      <c r="JB21" s="3835" t="str">
        <f>IF(ISBLANK('Inn justeringer'!$AW$99),"",'Inn justeringer'!$AW$99)</f>
        <v/>
      </c>
      <c r="JC21" s="199" t="str">
        <f>IF(ISBLANK('Inn justeringer'!$AW$102),"",'Inn justeringer'!$AW$102)</f>
        <v/>
      </c>
      <c r="JD21" s="199" t="str">
        <f>IF(ISBLANK('Inn justeringer'!$AW$108),"",'Inn justeringer'!$AW$108)</f>
        <v/>
      </c>
      <c r="JE21" s="3835" t="str">
        <f>IF(ISBLANK('Inn justeringer'!$AW$111),"",'Inn justeringer'!$AW$111)</f>
        <v/>
      </c>
      <c r="JF21" s="199" t="str">
        <f>IF(ISBLANK('Inn justeringer'!$AW$114),"",'Inn justeringer'!$AW$114)</f>
        <v/>
      </c>
      <c r="JG21" s="199" t="str">
        <f>IF(ISBLANK('Inn justeringer'!$AW$120),"",'Inn justeringer'!$AW$120)</f>
        <v/>
      </c>
      <c r="JH21" s="3835" t="str">
        <f>IF(ISBLANK('Inn justeringer'!$AW$123),"",'Inn justeringer'!$AW$123)</f>
        <v/>
      </c>
      <c r="JI21" s="199" t="str">
        <f>IF(ISBLANK('Inn justeringer'!$AW$126),"",'Inn justeringer'!$AW$126)</f>
        <v/>
      </c>
      <c r="JJ21" s="199" t="str">
        <f>IF(ISBLANK('Inn justeringer'!$AW$132),"",'Inn justeringer'!$AW$132)</f>
        <v/>
      </c>
      <c r="JK21" s="3835" t="str">
        <f>IF(ISBLANK('Inn justeringer'!$AW$135),"",'Inn justeringer'!$AW$135)</f>
        <v/>
      </c>
      <c r="JL21" s="199" t="str">
        <f>IF(ISBLANK('Inn justeringer'!$AW$138),"",'Inn justeringer'!$AW$138)</f>
        <v/>
      </c>
      <c r="JM21" s="183"/>
      <c r="JN21" s="183"/>
      <c r="JO21" s="183"/>
      <c r="JP21" s="183"/>
      <c r="JQ21" s="183"/>
      <c r="JR21" s="183"/>
      <c r="JS21" s="183"/>
      <c r="JT21" s="183"/>
      <c r="JU21" s="183"/>
      <c r="JV21" s="183"/>
      <c r="JW21" s="183"/>
      <c r="JX21" s="183"/>
      <c r="JY21" s="183"/>
      <c r="JZ21" s="183"/>
      <c r="KA21" s="183"/>
      <c r="KB21" s="183"/>
      <c r="KC21" s="183"/>
      <c r="KD21" s="183"/>
      <c r="KE21" s="183"/>
      <c r="KF21" s="183"/>
      <c r="KH21" s="183"/>
      <c r="KI21" s="183"/>
      <c r="KJ21" s="183"/>
      <c r="KK21" s="183"/>
      <c r="KL21" s="183"/>
      <c r="KM21" s="183"/>
      <c r="KN21" s="183"/>
      <c r="KO21" s="5225">
        <v>26</v>
      </c>
      <c r="KP21" s="5226">
        <v>3</v>
      </c>
      <c r="KQ21" s="183"/>
      <c r="KR21" s="183"/>
      <c r="KS21" s="183"/>
      <c r="KT21" s="183"/>
      <c r="KU21" s="183"/>
      <c r="KV21" s="183"/>
      <c r="KW21" s="183"/>
      <c r="KX21" s="183"/>
      <c r="KY21" s="183"/>
      <c r="KZ21" s="183"/>
      <c r="LA21" s="183"/>
      <c r="LB21" s="183"/>
      <c r="LC21" s="183"/>
      <c r="LD21" s="183"/>
      <c r="LE21" s="183"/>
      <c r="LF21" s="183"/>
      <c r="LG21" s="183"/>
      <c r="LH21" s="183"/>
      <c r="LI21" s="183"/>
      <c r="LJ21" s="185">
        <v>26</v>
      </c>
      <c r="LK21" s="199">
        <v>1</v>
      </c>
      <c r="LL21" s="199">
        <v>2</v>
      </c>
      <c r="LM21" s="199">
        <v>3</v>
      </c>
      <c r="LN21" s="199"/>
      <c r="LO21" s="199">
        <v>1</v>
      </c>
      <c r="LP21" s="199">
        <v>2</v>
      </c>
      <c r="LQ21" s="199">
        <v>3</v>
      </c>
      <c r="LR21" s="199"/>
      <c r="LS21" s="199"/>
      <c r="LT21" s="183"/>
      <c r="LU21" s="183"/>
      <c r="LV21" s="183"/>
      <c r="LW21" s="183"/>
      <c r="LX21" s="183"/>
      <c r="LY21" s="183"/>
      <c r="LZ21" s="183"/>
      <c r="MA21" s="183"/>
      <c r="MB21" s="183"/>
      <c r="MC21" s="183"/>
      <c r="MD21" s="183"/>
      <c r="ME21" s="183"/>
      <c r="MF21" s="183"/>
      <c r="MG21" s="183"/>
      <c r="MH21" s="183"/>
      <c r="MI21" s="183"/>
      <c r="MJ21" s="183"/>
      <c r="MK21" s="183"/>
      <c r="ML21" s="183"/>
      <c r="MM21" s="183"/>
      <c r="MN21" s="183"/>
      <c r="MO21" s="183"/>
      <c r="MP21" s="183"/>
      <c r="MQ21" s="183"/>
      <c r="MR21" s="183"/>
      <c r="MS21" s="183"/>
      <c r="MT21" s="183"/>
      <c r="MU21" s="183"/>
      <c r="MV21" s="183"/>
      <c r="MW21" s="183"/>
      <c r="MX21" s="183"/>
      <c r="MY21" s="183"/>
      <c r="MZ21" s="183"/>
      <c r="NA21" s="183"/>
      <c r="NB21" s="183"/>
      <c r="NC21" s="183"/>
      <c r="ND21" s="183"/>
      <c r="NE21" s="183"/>
      <c r="NF21" s="183"/>
      <c r="NG21" s="183"/>
      <c r="NH21" s="183"/>
      <c r="NI21" s="1567"/>
      <c r="NJ21" s="183"/>
      <c r="NK21" s="183"/>
      <c r="NL21" s="471"/>
      <c r="NM21" s="183"/>
      <c r="NN21" s="439" t="str">
        <f>$NO$69</f>
        <v>Stuff 1-3</v>
      </c>
      <c r="NO21" s="451">
        <v>3</v>
      </c>
      <c r="NP21" s="451">
        <f>IF($BC$34&gt;2,1,0)</f>
        <v>0</v>
      </c>
      <c r="NQ21" s="194">
        <f>INDEX(outputs_position[13],MATCH($BC$35,outputs_position[lopstuff],0))</f>
        <v>0</v>
      </c>
      <c r="NR21" s="252" t="str">
        <f t="shared" si="0"/>
        <v>Stuff 1-3</v>
      </c>
      <c r="NS21" s="261">
        <f>IFERROR((INDEX(outputs_spreng[Name],MATCH($NR21,outputs_spreng[lopstuff],0))),0)</f>
        <v>0</v>
      </c>
      <c r="NT21" s="261">
        <f>IFERROR((INDEX(outputs_spreng[Redusertsalvelengde],MATCH($NR21,outputs_spreng[lopstuff],0))),0)</f>
        <v>0</v>
      </c>
      <c r="NU21" s="261">
        <f>IFERROR((INDEX(outputs_spreng[Todelttverrsnitt],MATCH($NR21,outputs_spreng[lopstuff],0))),0)</f>
        <v>0</v>
      </c>
      <c r="NV21" s="261">
        <f>IFERROR((INDEX(outputs_spreng[Redusertsalvelengdeogtodelttverrsnitt],MATCH($NR21,outputs_spreng[lopstuff],0))),0)</f>
        <v>0</v>
      </c>
      <c r="NW21" s="261">
        <f>IFERROR((INDEX(outputs_spreng[Normal],MATCH($NR21,outputs_spreng[lopstuff],0))),0)</f>
        <v>0</v>
      </c>
      <c r="NX21" s="418">
        <f>oppsum_position[[#This Row],[Redusertsalvelengde]]+oppsum_position[[#This Row],[Todelttverrsnitt]]+oppsum_position[[#This Row],[Redusertsalvelengdeogtodelttverrsnitt]]+oppsum_position[[#This Row],[Normal]]</f>
        <v>0</v>
      </c>
      <c r="NY21" s="183"/>
      <c r="NZ21" s="183"/>
      <c r="OA21" s="183"/>
      <c r="OB21" s="183"/>
      <c r="OC21" s="183"/>
      <c r="OD21" s="183"/>
      <c r="OE21" s="183"/>
      <c r="OF21" s="183"/>
      <c r="OG21" s="183"/>
      <c r="OH21" s="183"/>
      <c r="OI21" s="183"/>
      <c r="OJ21" s="183"/>
      <c r="OK21" s="183"/>
      <c r="OL21" s="183"/>
      <c r="OM21" s="183"/>
      <c r="ON21" s="183"/>
      <c r="OO21" s="183"/>
      <c r="OP21" s="183"/>
      <c r="OQ21" s="183"/>
      <c r="OR21" s="183"/>
      <c r="OS21" s="183"/>
      <c r="OT21" s="183"/>
      <c r="OU21" s="183"/>
      <c r="OV21" s="184"/>
      <c r="OW21" s="184"/>
      <c r="OX21" s="184"/>
      <c r="OY21" s="184"/>
      <c r="OZ21" s="184"/>
      <c r="PA21" s="184"/>
      <c r="PB21" s="184"/>
      <c r="PC21" s="184"/>
      <c r="PD21" s="184"/>
      <c r="PE21" s="184"/>
      <c r="PF21" s="184"/>
      <c r="PG21" s="183"/>
      <c r="PH21" s="183"/>
      <c r="PI21" s="183"/>
      <c r="PJ21" s="265"/>
      <c r="PK21" s="265"/>
      <c r="PL21" s="265"/>
      <c r="PM21" s="265"/>
      <c r="PN21" s="265"/>
      <c r="PO21" s="265"/>
      <c r="PP21" s="265"/>
      <c r="PQ21" s="183"/>
      <c r="PR21" s="183"/>
      <c r="PS21" s="183"/>
      <c r="PT21" s="183"/>
      <c r="PU21" s="183"/>
      <c r="PV21" s="183"/>
      <c r="PW21" s="183"/>
      <c r="PX21" s="183"/>
      <c r="PY21" s="183"/>
      <c r="PZ21" s="183"/>
      <c r="QA21" s="183"/>
      <c r="QB21" s="183"/>
      <c r="QC21" s="183"/>
      <c r="QD21" s="183"/>
      <c r="QE21" s="183"/>
      <c r="QF21" s="183"/>
      <c r="QG21" s="183"/>
      <c r="QH21" s="183"/>
      <c r="QI21" s="183"/>
      <c r="QJ21" s="183"/>
      <c r="QK21" s="183"/>
      <c r="QL21" s="183"/>
      <c r="QM21" s="183"/>
      <c r="QU21" s="183"/>
      <c r="QV21" s="183"/>
      <c r="QW21" s="183"/>
      <c r="QX21" s="183"/>
      <c r="QY21" s="183"/>
      <c r="QZ21" s="183"/>
      <c r="RA21" s="183"/>
      <c r="RB21" s="183"/>
      <c r="RC21" s="183"/>
      <c r="RD21" s="183"/>
      <c r="RE21" s="183"/>
      <c r="RF21" s="183"/>
      <c r="RS21" s="183"/>
      <c r="RT21" s="183"/>
      <c r="RU21" s="183"/>
    </row>
    <row r="22" spans="2:589" s="2617" customFormat="1" ht="30" x14ac:dyDescent="0.2">
      <c r="B22" s="185"/>
      <c r="C22" s="185" t="s">
        <v>2640</v>
      </c>
      <c r="D22" s="6106" t="s">
        <v>2726</v>
      </c>
      <c r="E22" s="6146"/>
      <c r="H22" s="2625"/>
      <c r="I22" s="5565"/>
      <c r="J22" s="372"/>
      <c r="K22" s="185" t="s">
        <v>1502</v>
      </c>
      <c r="L22" s="185"/>
      <c r="M22" s="372" t="s">
        <v>2685</v>
      </c>
      <c r="N22" s="372"/>
      <c r="O22" s="185"/>
      <c r="R22" s="242"/>
      <c r="S22" s="242"/>
      <c r="T22" s="6150"/>
      <c r="AH22" s="183"/>
      <c r="AI22" s="183"/>
      <c r="AJ22" s="183"/>
      <c r="AK22" s="183"/>
      <c r="AL22" s="183"/>
      <c r="AM22" s="183"/>
      <c r="AN22" s="183"/>
      <c r="BA22" s="183"/>
      <c r="BB22" s="183"/>
      <c r="BC22" s="183"/>
      <c r="BD22" s="183"/>
      <c r="BE22" s="183"/>
      <c r="BF22" s="183"/>
      <c r="BG22" s="183"/>
      <c r="BH22" s="183"/>
      <c r="BI22" s="184"/>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3436"/>
      <c r="CN22" s="3436"/>
      <c r="CO22" s="2625"/>
      <c r="CP22" s="5376" t="s">
        <v>1201</v>
      </c>
      <c r="CQ22" s="5376" t="s">
        <v>1620</v>
      </c>
      <c r="CR22" s="5377" t="s">
        <v>2373</v>
      </c>
      <c r="CS22" s="5377" t="s">
        <v>2374</v>
      </c>
      <c r="CT22" s="5377" t="s">
        <v>2375</v>
      </c>
      <c r="CU22" s="181"/>
      <c r="CV22" s="181"/>
      <c r="CW22" s="181"/>
      <c r="CX22" s="181"/>
      <c r="CY22" s="181"/>
      <c r="CZ22" s="181"/>
      <c r="DA22" s="181"/>
      <c r="DB22" s="181"/>
      <c r="DC22" s="181"/>
      <c r="DQ22" s="183"/>
      <c r="DR22" s="183"/>
      <c r="DS22" s="183"/>
      <c r="DT22" s="183"/>
      <c r="DU22" s="183"/>
      <c r="DV22" s="183"/>
      <c r="DW22" s="183"/>
      <c r="DX22" s="183"/>
      <c r="DY22" s="183"/>
      <c r="DZ22" s="183"/>
      <c r="EA22" s="183"/>
      <c r="EB22" s="183"/>
      <c r="EC22" s="183"/>
      <c r="ED22" s="21"/>
      <c r="EE22" s="21"/>
      <c r="EF22" s="21"/>
      <c r="EG22" s="21"/>
      <c r="EH22" s="21"/>
      <c r="EI22" s="21"/>
      <c r="EJ22" s="21"/>
      <c r="EK22" s="21"/>
      <c r="EL22" s="21"/>
      <c r="EM22" s="21"/>
      <c r="EN22" s="21"/>
      <c r="EO22" s="183"/>
      <c r="EP22" s="183"/>
      <c r="EQ22" s="183"/>
      <c r="GH22" s="414"/>
      <c r="GI22" s="183"/>
      <c r="GJ22" s="185">
        <v>4</v>
      </c>
      <c r="GK22" s="185">
        <f>'Inn forbered'!$AQ$23</f>
        <v>0</v>
      </c>
      <c r="GL22" s="185">
        <f>'Inn forbered'!$AQ$25</f>
        <v>0</v>
      </c>
      <c r="GM22" s="185">
        <f>'Inn forbered'!$AQ$27</f>
        <v>0</v>
      </c>
      <c r="GN22" s="185">
        <f>IF('Inn forbered'!$AQ$23="",1,0)</f>
        <v>1</v>
      </c>
      <c r="GO22" s="185">
        <f>IF('Inn forbered'!$AQ$25="",1,0)</f>
        <v>1</v>
      </c>
      <c r="GP22" s="185">
        <f>IF('Inn forbered'!$AQ$27="",1,0)</f>
        <v>1</v>
      </c>
      <c r="GQ22" s="247">
        <f>inputs_forbe[[#This Row],[Forberedende]]+inputs_forbe[[#This Row],[Portaler]]+inputs_forbe[[#This Row],[Andrearbeider]]</f>
        <v>0</v>
      </c>
      <c r="GR22" s="185"/>
      <c r="HH22" s="185" t="s">
        <v>617</v>
      </c>
      <c r="HI22" s="185">
        <f>HI19*HI21</f>
        <v>0</v>
      </c>
      <c r="HJ22" s="185">
        <f>HJ19*HI21</f>
        <v>0</v>
      </c>
      <c r="IH22" s="1758">
        <v>5</v>
      </c>
      <c r="II22" s="5942" t="e">
        <f>INDEX(outputs_oppsum[kon_metod_no],MATCH($NS$276,outputs_oppsum[stuff_id],0))</f>
        <v>#N/A</v>
      </c>
      <c r="IJ22" s="199" t="b">
        <f>ISBLANK('Inn justeringer'!$BE$30)</f>
        <v>1</v>
      </c>
      <c r="IK22" s="5620">
        <f>'Inn justeringer'!$BE$30</f>
        <v>0</v>
      </c>
      <c r="IL22" s="199" t="b">
        <f>ISBLANK('Inn justeringer'!$BE$36)</f>
        <v>1</v>
      </c>
      <c r="IM22" s="5620" t="str">
        <f>IF($IL$22=TRUE,"",'Inn justeringer'!$BE$36)</f>
        <v/>
      </c>
      <c r="IN22" s="199">
        <f>'Inn justeringer'!$BE$45</f>
        <v>0</v>
      </c>
      <c r="IO22" s="273">
        <f>IF(IN22=$K$76,1,IF(IN22=$K$77,2,IF(IN22=_List!$EG$7,3,0)))</f>
        <v>0</v>
      </c>
      <c r="IP22" s="3835" t="str">
        <f>IF(ISBLANK('Inn justeringer'!$BE$48),"",'Inn justeringer'!$BE$48)</f>
        <v/>
      </c>
      <c r="IQ22" s="199" t="str">
        <f>IF(ISBLANK('Inn justeringer'!$BE$51),"",'Inn justeringer'!$BE$51)</f>
        <v/>
      </c>
      <c r="IR22" s="199" t="str">
        <f>IF(ISBLANK('Inn justeringer'!$BE$60),"",'Inn justeringer'!$BE$60)</f>
        <v/>
      </c>
      <c r="IS22" s="3835" t="str">
        <f>IF(ISBLANK('Inn justeringer'!$BE$63),"",'Inn justeringer'!$BE$63)</f>
        <v/>
      </c>
      <c r="IT22" s="199" t="str">
        <f>IF(ISBLANK('Inn justeringer'!$BE$66),"",'Inn justeringer'!$BE$66)</f>
        <v/>
      </c>
      <c r="IU22" s="199" t="str">
        <f>IF(ISBLANK('Inn justeringer'!$BE$72),"",'Inn justeringer'!$BE$72)</f>
        <v/>
      </c>
      <c r="IV22" s="3835" t="str">
        <f>IF(ISBLANK('Inn justeringer'!$BE$75),"",'Inn justeringer'!$BE$75)</f>
        <v/>
      </c>
      <c r="IW22" s="199" t="str">
        <f>IF(ISBLANK('Inn justeringer'!$BE$78),"",'Inn justeringer'!$BE$78)</f>
        <v/>
      </c>
      <c r="IX22" s="199" t="str">
        <f>IF(ISBLANK('Inn justeringer'!$BE$84),"",'Inn justeringer'!$BE$84)</f>
        <v/>
      </c>
      <c r="IY22" s="3835" t="str">
        <f>IF(ISBLANK('Inn justeringer'!$BE$87),"",'Inn justeringer'!$BE$87)</f>
        <v/>
      </c>
      <c r="IZ22" s="199" t="str">
        <f>IF(ISBLANK('Inn justeringer'!$BE$90),"",'Inn justeringer'!$BE$90)</f>
        <v/>
      </c>
      <c r="JA22" s="199" t="str">
        <f>IF(ISBLANK('Inn justeringer'!$BE$96),"",'Inn justeringer'!$BE$96)</f>
        <v/>
      </c>
      <c r="JB22" s="3835" t="str">
        <f>IF(ISBLANK('Inn justeringer'!$BE$99),"",'Inn justeringer'!$BE$99)</f>
        <v/>
      </c>
      <c r="JC22" s="199" t="str">
        <f>IF(ISBLANK('Inn justeringer'!$BE$102),"",'Inn justeringer'!$BE$102)</f>
        <v/>
      </c>
      <c r="JD22" s="199" t="str">
        <f>IF(ISBLANK('Inn justeringer'!$BE$108),"",'Inn justeringer'!$BE$108)</f>
        <v/>
      </c>
      <c r="JE22" s="3835" t="str">
        <f>IF(ISBLANK('Inn justeringer'!$BE$111),"",'Inn justeringer'!$BE$111)</f>
        <v/>
      </c>
      <c r="JF22" s="199" t="str">
        <f>IF(ISBLANK('Inn justeringer'!$BE$114),"",'Inn justeringer'!$BE$114)</f>
        <v/>
      </c>
      <c r="JG22" s="199" t="str">
        <f>IF(ISBLANK('Inn justeringer'!$BE$120),"",'Inn justeringer'!$BE$120)</f>
        <v/>
      </c>
      <c r="JH22" s="3835" t="str">
        <f>IF(ISBLANK('Inn justeringer'!$BE$123),"",'Inn justeringer'!$BE$123)</f>
        <v/>
      </c>
      <c r="JI22" s="199" t="str">
        <f>IF(ISBLANK('Inn justeringer'!$BE$126),"",'Inn justeringer'!$BE$126)</f>
        <v/>
      </c>
      <c r="JJ22" s="199" t="str">
        <f>IF(ISBLANK('Inn justeringer'!$BE$132),"",'Inn justeringer'!$BE$132)</f>
        <v/>
      </c>
      <c r="JK22" s="3835" t="str">
        <f>IF(ISBLANK('Inn justeringer'!$BE$135),"",'Inn justeringer'!$BE$135)</f>
        <v/>
      </c>
      <c r="JL22" s="199" t="str">
        <f>IF(ISBLANK('Inn justeringer'!$BE$138),"",'Inn justeringer'!$BE$138)</f>
        <v/>
      </c>
      <c r="JM22" s="191"/>
      <c r="JN22" s="191"/>
      <c r="JO22" s="191"/>
      <c r="JP22" s="191"/>
      <c r="JQ22" s="191"/>
      <c r="JR22" s="191"/>
      <c r="JS22" s="191"/>
      <c r="JT22" s="191"/>
      <c r="JU22" s="191"/>
      <c r="JV22" s="191"/>
      <c r="JW22" s="191"/>
      <c r="JX22" s="191"/>
      <c r="JY22" s="183"/>
      <c r="JZ22" s="183"/>
      <c r="KA22" s="183"/>
      <c r="KB22" s="183"/>
      <c r="KC22" s="183"/>
      <c r="KD22" s="183"/>
      <c r="KE22" s="183"/>
      <c r="KF22" s="183"/>
      <c r="KH22" s="183"/>
      <c r="KI22" s="183"/>
      <c r="KJ22" s="183"/>
      <c r="KK22" s="183"/>
      <c r="KL22" s="183"/>
      <c r="KM22" s="183"/>
      <c r="KN22" s="183"/>
      <c r="KO22" s="5229">
        <v>28</v>
      </c>
      <c r="KP22" s="5230">
        <v>4</v>
      </c>
      <c r="KQ22" s="183"/>
      <c r="KR22" s="183"/>
      <c r="KS22" s="183"/>
      <c r="KT22" s="183"/>
      <c r="KU22" s="183"/>
      <c r="KV22" s="183"/>
      <c r="KW22" s="183"/>
      <c r="KX22" s="183"/>
      <c r="KY22" s="183"/>
      <c r="KZ22" s="183"/>
      <c r="LA22" s="183"/>
      <c r="LB22" s="183"/>
      <c r="LC22" s="183"/>
      <c r="LD22" s="183"/>
      <c r="LE22" s="183"/>
      <c r="LF22" s="183"/>
      <c r="LG22" s="183"/>
      <c r="LH22" s="183"/>
      <c r="LI22" s="183"/>
      <c r="LJ22" s="185">
        <v>28</v>
      </c>
      <c r="LK22" s="199">
        <v>1</v>
      </c>
      <c r="LL22" s="199">
        <v>2</v>
      </c>
      <c r="LM22" s="199">
        <v>3</v>
      </c>
      <c r="LN22" s="199">
        <v>4</v>
      </c>
      <c r="LO22" s="194">
        <v>1</v>
      </c>
      <c r="LP22" s="194">
        <v>2</v>
      </c>
      <c r="LQ22" s="199">
        <v>3</v>
      </c>
      <c r="LR22" s="199">
        <v>4</v>
      </c>
      <c r="LS22" s="199"/>
      <c r="LT22" s="183"/>
      <c r="LU22" s="183"/>
      <c r="LV22" s="183"/>
      <c r="LW22" s="183"/>
      <c r="LX22" s="183"/>
      <c r="LY22" s="183"/>
      <c r="LZ22" s="183"/>
      <c r="MA22" s="183"/>
      <c r="MB22" s="183"/>
      <c r="MC22" s="183"/>
      <c r="MD22" s="183"/>
      <c r="ME22" s="183"/>
      <c r="MF22" s="183"/>
      <c r="MG22" s="183"/>
      <c r="MH22" s="183"/>
      <c r="MI22" s="183"/>
      <c r="MJ22" s="183"/>
      <c r="MK22" s="183"/>
      <c r="ML22" s="183"/>
      <c r="MM22" s="183"/>
      <c r="MN22" s="183"/>
      <c r="MO22" s="183"/>
      <c r="MP22" s="183"/>
      <c r="MQ22" s="183"/>
      <c r="MR22" s="183"/>
      <c r="MS22" s="183"/>
      <c r="MT22" s="183"/>
      <c r="MU22" s="183"/>
      <c r="MV22" s="183"/>
      <c r="MW22" s="183"/>
      <c r="MX22" s="183"/>
      <c r="MY22" s="183"/>
      <c r="MZ22" s="183"/>
      <c r="NA22" s="183"/>
      <c r="NB22" s="183"/>
      <c r="NC22" s="183"/>
      <c r="ND22" s="183"/>
      <c r="NE22" s="183"/>
      <c r="NF22" s="183"/>
      <c r="NG22" s="183"/>
      <c r="NH22" s="183"/>
      <c r="NI22" s="1567"/>
      <c r="NJ22" s="183"/>
      <c r="NK22" s="183"/>
      <c r="NL22" s="471"/>
      <c r="NM22" s="183"/>
      <c r="NN22" s="439" t="str">
        <f>$NO$70</f>
        <v>Stuff 1-4</v>
      </c>
      <c r="NO22" s="451">
        <v>4</v>
      </c>
      <c r="NP22" s="451">
        <f>IF($BC$34&gt;3,1,0)</f>
        <v>0</v>
      </c>
      <c r="NQ22" s="194">
        <f>INDEX(outputs_position[14],MATCH($BC$35,outputs_position[lopstuff],0))</f>
        <v>0</v>
      </c>
      <c r="NR22" s="252" t="str">
        <f t="shared" si="0"/>
        <v>Stuff 1-4</v>
      </c>
      <c r="NS22" s="261">
        <f>IFERROR((INDEX(outputs_spreng[Name],MATCH($NR22,outputs_spreng[lopstuff],0))),0)</f>
        <v>0</v>
      </c>
      <c r="NT22" s="261">
        <f>IFERROR((INDEX(outputs_spreng[Redusertsalvelengde],MATCH($NR22,outputs_spreng[lopstuff],0))),0)</f>
        <v>0</v>
      </c>
      <c r="NU22" s="261">
        <f>IFERROR((INDEX(outputs_spreng[Todelttverrsnitt],MATCH($NR22,outputs_spreng[lopstuff],0))),0)</f>
        <v>0</v>
      </c>
      <c r="NV22" s="261">
        <f>IFERROR((INDEX(outputs_spreng[Redusertsalvelengdeogtodelttverrsnitt],MATCH($NR22,outputs_spreng[lopstuff],0))),0)</f>
        <v>0</v>
      </c>
      <c r="NW22" s="261">
        <f>IFERROR((INDEX(outputs_spreng[Normal],MATCH($NR22,outputs_spreng[lopstuff],0))),0)</f>
        <v>0</v>
      </c>
      <c r="NX22" s="418">
        <f>oppsum_position[[#This Row],[Redusertsalvelengde]]+oppsum_position[[#This Row],[Todelttverrsnitt]]+oppsum_position[[#This Row],[Redusertsalvelengdeogtodelttverrsnitt]]+oppsum_position[[#This Row],[Normal]]</f>
        <v>0</v>
      </c>
      <c r="NY22" s="183"/>
      <c r="NZ22" s="183"/>
      <c r="OA22" s="183"/>
      <c r="OB22" s="183"/>
      <c r="OC22" s="183"/>
      <c r="OD22" s="183"/>
      <c r="OE22" s="183"/>
      <c r="OF22" s="183"/>
      <c r="OG22" s="183"/>
      <c r="OH22" s="183"/>
      <c r="OI22" s="183"/>
      <c r="OJ22" s="183"/>
      <c r="OK22" s="183"/>
      <c r="OL22" s="183"/>
      <c r="OM22" s="183"/>
      <c r="ON22" s="183"/>
      <c r="OO22" s="183"/>
      <c r="OP22" s="183"/>
      <c r="OQ22" s="183"/>
      <c r="OR22" s="183"/>
      <c r="OS22" s="183"/>
      <c r="OT22" s="183"/>
      <c r="OU22" s="183"/>
      <c r="OV22" s="184"/>
      <c r="OW22" s="184"/>
      <c r="OX22" s="184"/>
      <c r="OY22" s="184"/>
      <c r="OZ22" s="184"/>
      <c r="PA22" s="184"/>
      <c r="PB22" s="184"/>
      <c r="PC22" s="184"/>
      <c r="PD22" s="184"/>
      <c r="PE22" s="184"/>
      <c r="PF22" s="184"/>
      <c r="PG22" s="183"/>
      <c r="PH22" s="183"/>
      <c r="PI22" s="183"/>
      <c r="PJ22" s="265"/>
      <c r="PK22" s="265"/>
      <c r="PL22" s="265"/>
      <c r="PM22" s="265"/>
      <c r="PN22" s="265"/>
      <c r="PO22" s="265"/>
      <c r="PP22" s="265"/>
      <c r="PQ22" s="183"/>
      <c r="PR22" s="183"/>
      <c r="PS22" s="183"/>
      <c r="PT22" s="183"/>
      <c r="PU22" s="183"/>
      <c r="PV22" s="183"/>
      <c r="PW22" s="183"/>
      <c r="PX22" s="183"/>
      <c r="PY22" s="183"/>
      <c r="PZ22" s="183"/>
      <c r="QA22" s="183"/>
      <c r="QB22" s="183"/>
      <c r="QC22" s="183"/>
      <c r="QD22" s="183"/>
      <c r="QE22" s="183"/>
      <c r="QF22" s="183"/>
      <c r="QG22" s="183"/>
      <c r="QH22" s="183"/>
      <c r="QI22" s="183"/>
      <c r="QJ22" s="183"/>
      <c r="QK22" s="183"/>
      <c r="QL22" s="183"/>
      <c r="QM22" s="183"/>
      <c r="QU22" s="183"/>
      <c r="QV22" s="183"/>
      <c r="QW22" s="183"/>
      <c r="QX22" s="183"/>
      <c r="QY22" s="183"/>
      <c r="QZ22" s="183"/>
      <c r="RA22" s="183"/>
      <c r="RB22" s="183"/>
      <c r="RC22" s="183"/>
      <c r="RD22" s="183"/>
      <c r="RE22" s="183"/>
      <c r="RF22" s="183"/>
      <c r="RS22" s="183"/>
      <c r="RT22" s="183"/>
      <c r="RU22" s="183"/>
    </row>
    <row r="23" spans="2:589" s="2617" customFormat="1" ht="15" x14ac:dyDescent="0.2">
      <c r="B23" s="185" t="s">
        <v>1630</v>
      </c>
      <c r="C23" s="185"/>
      <c r="D23" s="6106" t="s">
        <v>2782</v>
      </c>
      <c r="E23" s="6145"/>
      <c r="H23" s="2625"/>
      <c r="I23" s="5565"/>
      <c r="J23" s="372"/>
      <c r="K23" s="3807" t="s">
        <v>1232</v>
      </c>
      <c r="L23" s="3807"/>
      <c r="M23" s="372"/>
      <c r="N23" s="372"/>
      <c r="O23" s="185"/>
      <c r="R23" s="242"/>
      <c r="S23" s="242"/>
      <c r="T23" s="6150"/>
      <c r="AH23" s="183"/>
      <c r="AI23" s="183"/>
      <c r="AJ23" s="183"/>
      <c r="AK23" s="183"/>
      <c r="AL23" s="183"/>
      <c r="AM23" s="183"/>
      <c r="AN23" s="183"/>
      <c r="BA23" s="183"/>
      <c r="BB23" s="283" t="s">
        <v>325</v>
      </c>
      <c r="BC23" s="183"/>
      <c r="BD23" s="183"/>
      <c r="BE23" s="183"/>
      <c r="BF23" s="183"/>
      <c r="BG23" s="183"/>
      <c r="BH23" s="183"/>
      <c r="BI23" s="184"/>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3436"/>
      <c r="CN23" s="3431" t="s">
        <v>2377</v>
      </c>
      <c r="CO23" s="2625"/>
      <c r="CP23" s="3431">
        <v>50</v>
      </c>
      <c r="CQ23" s="3431">
        <v>50</v>
      </c>
      <c r="CR23" s="5378">
        <v>25</v>
      </c>
      <c r="CS23" s="5378">
        <v>25</v>
      </c>
      <c r="CT23" s="5378">
        <v>15</v>
      </c>
      <c r="CU23" s="181"/>
      <c r="CV23" s="181"/>
      <c r="CW23" s="181"/>
      <c r="CX23" s="181"/>
      <c r="CY23" s="181"/>
      <c r="CZ23" s="181"/>
      <c r="DA23" s="181"/>
      <c r="DB23" s="181"/>
      <c r="DC23" s="181"/>
      <c r="DD23" s="2625"/>
      <c r="DE23" s="2625"/>
      <c r="DF23" s="2625"/>
      <c r="DG23" s="2625"/>
      <c r="DH23" s="2625"/>
      <c r="DI23" s="2625"/>
      <c r="DJ23" s="2625"/>
      <c r="DK23" s="2625"/>
      <c r="DL23" s="2625"/>
      <c r="DM23" s="2625"/>
      <c r="DN23" s="2625"/>
      <c r="DO23" s="2625"/>
      <c r="DP23" s="2625"/>
      <c r="DQ23" s="183"/>
      <c r="DR23" s="283" t="s">
        <v>348</v>
      </c>
      <c r="DS23" s="183"/>
      <c r="DT23" s="183"/>
      <c r="DU23" s="183"/>
      <c r="DV23" s="183"/>
      <c r="DW23" s="183"/>
      <c r="DX23" s="183"/>
      <c r="DY23" s="183"/>
      <c r="DZ23" s="183"/>
      <c r="EA23" s="183"/>
      <c r="EB23" s="183"/>
      <c r="EC23" s="183"/>
      <c r="ED23" s="21"/>
      <c r="EE23" s="21"/>
      <c r="EF23" s="21"/>
      <c r="EG23" s="21"/>
      <c r="EH23" s="21"/>
      <c r="EI23" s="21"/>
      <c r="EJ23" s="21"/>
      <c r="EK23" s="21"/>
      <c r="EL23" s="21"/>
      <c r="EM23" s="21"/>
      <c r="EN23" s="21"/>
      <c r="EO23" s="183"/>
      <c r="EP23" s="183"/>
      <c r="EQ23" s="183"/>
      <c r="GH23" s="414"/>
      <c r="GI23" s="183"/>
      <c r="GJ23" s="185">
        <v>5</v>
      </c>
      <c r="GK23" s="185">
        <f>'Inn forbered'!$AY$23</f>
        <v>0</v>
      </c>
      <c r="GL23" s="185">
        <f>'Inn forbered'!$AY$25</f>
        <v>0</v>
      </c>
      <c r="GM23" s="185">
        <f>'Inn forbered'!$AY$27</f>
        <v>0</v>
      </c>
      <c r="GN23" s="185">
        <f>IF('Inn forbered'!$AY$23="",1,0)</f>
        <v>1</v>
      </c>
      <c r="GO23" s="185">
        <f>IF('Inn forbered'!$AY$25="",1,0)</f>
        <v>1</v>
      </c>
      <c r="GP23" s="185">
        <f>IF('Inn forbered'!$AY$27="",1,0)</f>
        <v>1</v>
      </c>
      <c r="GQ23" s="247">
        <f>inputs_forbe[[#This Row],[Forberedende]]+inputs_forbe[[#This Row],[Portaler]]+inputs_forbe[[#This Row],[Andrearbeider]]</f>
        <v>0</v>
      </c>
      <c r="GR23" s="185"/>
      <c r="IH23" s="1758">
        <v>6</v>
      </c>
      <c r="II23" s="5942" t="e">
        <f>INDEX(outputs_oppsum[kon_metod_no],MATCH($NT$276,outputs_oppsum[stuff_id],0))</f>
        <v>#N/A</v>
      </c>
      <c r="IJ23" s="199" t="b">
        <f>IJ22</f>
        <v>1</v>
      </c>
      <c r="IK23" s="5620">
        <f>IK22</f>
        <v>0</v>
      </c>
      <c r="IL23" s="199" t="b">
        <f>IL22</f>
        <v>1</v>
      </c>
      <c r="IM23" s="5620" t="str">
        <f>IM22</f>
        <v/>
      </c>
      <c r="IN23" s="199">
        <f>'Inn justeringer'!$BM$45</f>
        <v>0</v>
      </c>
      <c r="IO23" s="273">
        <f>IF(IN23=$K$76,1,IF(IN23=$K$77,2,IF(IN23=_List!$EG$7,3,0)))</f>
        <v>0</v>
      </c>
      <c r="IP23" s="3835" t="str">
        <f>IF(ISBLANK('Inn justeringer'!$BM$48),"",'Inn justeringer'!$BM$48)</f>
        <v/>
      </c>
      <c r="IQ23" s="199" t="str">
        <f>IF(ISBLANK('Inn justeringer'!$BM$51),"",'Inn justeringer'!$BM$51)</f>
        <v/>
      </c>
      <c r="IR23" s="199" t="str">
        <f>IF(ISBLANK('Inn justeringer'!$BM$60),"",'Inn justeringer'!$BM$60)</f>
        <v/>
      </c>
      <c r="IS23" s="3835" t="str">
        <f>IF(ISBLANK('Inn justeringer'!$BM$63),"",'Inn justeringer'!$BM$63)</f>
        <v/>
      </c>
      <c r="IT23" s="199" t="str">
        <f>IF(ISBLANK('Inn justeringer'!$BM$66),"",'Inn justeringer'!$BM$66)</f>
        <v/>
      </c>
      <c r="IU23" s="199" t="str">
        <f>IF(ISBLANK('Inn justeringer'!$BM$72),"",'Inn justeringer'!$BM$72)</f>
        <v/>
      </c>
      <c r="IV23" s="3835" t="str">
        <f>IF(ISBLANK('Inn justeringer'!$BM$75),"",'Inn justeringer'!$BM$75)</f>
        <v/>
      </c>
      <c r="IW23" s="199" t="str">
        <f>IF(ISBLANK('Inn justeringer'!$BM$78),"",'Inn justeringer'!$BM$78)</f>
        <v/>
      </c>
      <c r="IX23" s="199" t="str">
        <f>IF(ISBLANK('Inn justeringer'!$BM$84),"",'Inn justeringer'!$BM$84)</f>
        <v/>
      </c>
      <c r="IY23" s="3835" t="str">
        <f>IF(ISBLANK('Inn justeringer'!$BM$87),"",'Inn justeringer'!$BM$87)</f>
        <v/>
      </c>
      <c r="IZ23" s="199" t="str">
        <f>IF(ISBLANK('Inn justeringer'!$BM$90),"",'Inn justeringer'!$BM$90)</f>
        <v/>
      </c>
      <c r="JA23" s="199" t="str">
        <f>IF(ISBLANK('Inn justeringer'!$BM$96),"",'Inn justeringer'!$BM$96)</f>
        <v/>
      </c>
      <c r="JB23" s="3835" t="str">
        <f>IF(ISBLANK('Inn justeringer'!$BM$99),"",'Inn justeringer'!$BM$99)</f>
        <v/>
      </c>
      <c r="JC23" s="199" t="str">
        <f>IF(ISBLANK('Inn justeringer'!$BM$102),"",'Inn justeringer'!$BM$102)</f>
        <v/>
      </c>
      <c r="JD23" s="199" t="str">
        <f>IF(ISBLANK('Inn justeringer'!$BM$108),"",'Inn justeringer'!$BM$108)</f>
        <v/>
      </c>
      <c r="JE23" s="3835" t="str">
        <f>IF(ISBLANK('Inn justeringer'!$BM$111),"",'Inn justeringer'!$BM$111)</f>
        <v/>
      </c>
      <c r="JF23" s="199" t="str">
        <f>IF(ISBLANK('Inn justeringer'!$BM$114),"",'Inn justeringer'!$BM$114)</f>
        <v/>
      </c>
      <c r="JG23" s="199" t="str">
        <f>IF(ISBLANK('Inn justeringer'!$BM$120),"",'Inn justeringer'!$BM$120)</f>
        <v/>
      </c>
      <c r="JH23" s="3835" t="str">
        <f>IF(ISBLANK('Inn justeringer'!$BM$123),"",'Inn justeringer'!$BM$123)</f>
        <v/>
      </c>
      <c r="JI23" s="199" t="str">
        <f>IF(ISBLANK('Inn justeringer'!$BM$126),"",'Inn justeringer'!$BM$126)</f>
        <v/>
      </c>
      <c r="JJ23" s="199" t="str">
        <f>IF(ISBLANK('Inn justeringer'!$BM$132),"",'Inn justeringer'!$BM$132)</f>
        <v/>
      </c>
      <c r="JK23" s="3835" t="str">
        <f>IF(ISBLANK('Inn justeringer'!$BM$135),"",'Inn justeringer'!$BM$135)</f>
        <v/>
      </c>
      <c r="JL23" s="199" t="str">
        <f>IF(ISBLANK('Inn justeringer'!$BM$138),"",'Inn justeringer'!$BM$138)</f>
        <v/>
      </c>
      <c r="JM23" s="183"/>
      <c r="JN23" s="183"/>
      <c r="JO23" s="183"/>
      <c r="JP23" s="183"/>
      <c r="JQ23" s="183"/>
      <c r="JR23" s="183"/>
      <c r="JS23" s="183"/>
      <c r="JT23" s="183"/>
      <c r="JU23" s="183"/>
      <c r="JV23" s="183"/>
      <c r="JW23" s="183"/>
      <c r="JX23" s="183"/>
      <c r="JY23" s="183"/>
      <c r="JZ23" s="183"/>
      <c r="KA23" s="183"/>
      <c r="KB23" s="183"/>
      <c r="KC23" s="183"/>
      <c r="KD23" s="183"/>
      <c r="KE23" s="183"/>
      <c r="KF23" s="183"/>
      <c r="KH23" s="183"/>
      <c r="KI23" s="183"/>
      <c r="KJ23" s="183"/>
      <c r="KK23" s="183"/>
      <c r="KL23" s="183"/>
      <c r="KM23" s="183"/>
      <c r="KN23" s="183"/>
      <c r="KO23" s="183"/>
      <c r="KP23" s="183"/>
      <c r="KQ23" s="183"/>
      <c r="KR23" s="183"/>
      <c r="KS23" s="183"/>
      <c r="KT23" s="183"/>
      <c r="KU23" s="183"/>
      <c r="KV23" s="183"/>
      <c r="KW23" s="183"/>
      <c r="KX23" s="183"/>
      <c r="KY23" s="183"/>
      <c r="KZ23" s="183"/>
      <c r="LA23" s="183"/>
      <c r="LB23" s="183"/>
      <c r="LC23" s="183"/>
      <c r="LD23" s="183"/>
      <c r="LE23" s="183"/>
      <c r="LF23" s="183"/>
      <c r="LG23" s="183"/>
      <c r="LH23" s="183"/>
      <c r="LI23" s="183"/>
      <c r="LJ23" s="183"/>
      <c r="LK23" s="183"/>
      <c r="LL23" s="183"/>
      <c r="LM23" s="183"/>
      <c r="LN23" s="183"/>
      <c r="LO23" s="183"/>
      <c r="LP23" s="183"/>
      <c r="LQ23" s="183"/>
      <c r="LR23" s="183"/>
      <c r="LS23" s="183"/>
      <c r="LT23" s="183"/>
      <c r="LU23" s="183"/>
      <c r="LV23" s="183"/>
      <c r="LW23" s="183"/>
      <c r="LX23" s="183"/>
      <c r="LY23" s="183"/>
      <c r="LZ23" s="183"/>
      <c r="MA23" s="183"/>
      <c r="MB23" s="183"/>
      <c r="MC23" s="183"/>
      <c r="MD23" s="183"/>
      <c r="ME23" s="183"/>
      <c r="MF23" s="183"/>
      <c r="MG23" s="183"/>
      <c r="MH23" s="183"/>
      <c r="MI23" s="183"/>
      <c r="MJ23" s="183"/>
      <c r="MK23" s="183"/>
      <c r="ML23" s="183"/>
      <c r="MM23" s="183"/>
      <c r="MN23" s="183"/>
      <c r="MO23" s="183"/>
      <c r="MP23" s="183"/>
      <c r="MQ23" s="183"/>
      <c r="MR23" s="183"/>
      <c r="MS23" s="183"/>
      <c r="MT23" s="183"/>
      <c r="MU23" s="183"/>
      <c r="MV23" s="183"/>
      <c r="MW23" s="183"/>
      <c r="MX23" s="183"/>
      <c r="MY23" s="183"/>
      <c r="MZ23" s="183"/>
      <c r="NA23" s="183"/>
      <c r="NB23" s="183"/>
      <c r="NC23" s="183"/>
      <c r="ND23" s="183"/>
      <c r="NE23" s="183"/>
      <c r="NF23" s="183"/>
      <c r="NG23" s="183"/>
      <c r="NH23" s="183"/>
      <c r="NI23" s="1567"/>
      <c r="NJ23" s="183"/>
      <c r="NK23" s="183"/>
      <c r="NL23" s="471"/>
      <c r="NM23" s="183"/>
      <c r="NN23" s="439" t="str">
        <f>$NO$71</f>
        <v>Stuff 2-1</v>
      </c>
      <c r="NO23" s="451">
        <v>5</v>
      </c>
      <c r="NP23" s="451">
        <f>IF($BC$34&gt;4,1,0)</f>
        <v>0</v>
      </c>
      <c r="NQ23" s="194">
        <f>INDEX(outputs_position[21],MATCH($BC$35,outputs_position[lopstuff],0))</f>
        <v>0</v>
      </c>
      <c r="NR23" s="252" t="str">
        <f t="shared" si="0"/>
        <v>Stuff 2-1</v>
      </c>
      <c r="NS23" s="261">
        <f>IFERROR((INDEX(outputs_spreng[Name],MATCH($NR23,outputs_spreng[lopstuff],0))),0)</f>
        <v>0</v>
      </c>
      <c r="NT23" s="261">
        <f>IFERROR((INDEX(outputs_spreng[Redusertsalvelengde],MATCH($NR23,outputs_spreng[lopstuff],0))),0)</f>
        <v>0</v>
      </c>
      <c r="NU23" s="261">
        <f>IFERROR((INDEX(outputs_spreng[Todelttverrsnitt],MATCH($NR23,outputs_spreng[lopstuff],0))),0)</f>
        <v>0</v>
      </c>
      <c r="NV23" s="261">
        <f>IFERROR((INDEX(outputs_spreng[Redusertsalvelengdeogtodelttverrsnitt],MATCH($NR23,outputs_spreng[lopstuff],0))),0)</f>
        <v>0</v>
      </c>
      <c r="NW23" s="261">
        <f>IFERROR((INDEX(outputs_spreng[Normal],MATCH($NR23,outputs_spreng[lopstuff],0))),0)</f>
        <v>0</v>
      </c>
      <c r="NX23" s="418">
        <f>oppsum_position[[#This Row],[Redusertsalvelengde]]+oppsum_position[[#This Row],[Todelttverrsnitt]]+oppsum_position[[#This Row],[Redusertsalvelengdeogtodelttverrsnitt]]+oppsum_position[[#This Row],[Normal]]</f>
        <v>0</v>
      </c>
      <c r="NY23" s="183"/>
      <c r="NZ23" s="183"/>
      <c r="OA23" s="183"/>
      <c r="OB23" s="183"/>
      <c r="OC23" s="183"/>
      <c r="OD23" s="183"/>
      <c r="OE23" s="183"/>
      <c r="OF23" s="183"/>
      <c r="OG23" s="183"/>
      <c r="OH23" s="183"/>
      <c r="OI23" s="183"/>
      <c r="OJ23" s="183"/>
      <c r="OK23" s="183"/>
      <c r="OL23" s="183"/>
      <c r="OM23" s="183"/>
      <c r="ON23" s="183"/>
      <c r="OO23" s="183"/>
      <c r="OP23" s="183"/>
      <c r="OQ23" s="183"/>
      <c r="OR23" s="183"/>
      <c r="OS23" s="183"/>
      <c r="OT23" s="183"/>
      <c r="OU23" s="183"/>
      <c r="OV23" s="184"/>
      <c r="OW23" s="184"/>
      <c r="OX23" s="184"/>
      <c r="OY23" s="184"/>
      <c r="OZ23" s="184"/>
      <c r="PA23" s="184"/>
      <c r="PB23" s="184"/>
      <c r="PC23" s="184"/>
      <c r="PD23" s="184"/>
      <c r="PE23" s="184"/>
      <c r="PF23" s="184"/>
      <c r="PG23" s="183"/>
      <c r="PH23" s="183"/>
      <c r="PI23" s="183"/>
      <c r="PJ23" s="265"/>
      <c r="PK23" s="265"/>
      <c r="PL23" s="265"/>
      <c r="PM23" s="265"/>
      <c r="PN23" s="265"/>
      <c r="PO23" s="265"/>
      <c r="PP23" s="265"/>
      <c r="PQ23" s="183"/>
      <c r="PR23" s="183"/>
      <c r="PS23" s="183"/>
      <c r="PT23" s="183"/>
      <c r="PU23" s="183"/>
      <c r="PV23" s="183"/>
      <c r="PW23" s="183"/>
      <c r="PX23" s="183"/>
      <c r="PY23" s="183"/>
      <c r="PZ23" s="183"/>
      <c r="QA23" s="183"/>
      <c r="QB23" s="183"/>
      <c r="QC23" s="183"/>
      <c r="QD23" s="183"/>
      <c r="QE23" s="183"/>
      <c r="QF23" s="183"/>
      <c r="QG23" s="183"/>
      <c r="QH23" s="183"/>
      <c r="QI23" s="183"/>
      <c r="QJ23" s="183"/>
      <c r="QK23" s="183"/>
      <c r="QL23" s="183"/>
      <c r="QM23" s="183"/>
      <c r="QU23" s="183"/>
      <c r="QV23" s="183"/>
      <c r="QW23" s="183"/>
      <c r="QX23" s="183"/>
      <c r="QY23" s="183"/>
      <c r="QZ23" s="183"/>
      <c r="RA23" s="183"/>
      <c r="RB23" s="183"/>
      <c r="RC23" s="183"/>
      <c r="RD23" s="183"/>
      <c r="RE23" s="183"/>
      <c r="RF23" s="183"/>
      <c r="RS23" s="183"/>
      <c r="RT23" s="183"/>
      <c r="RU23" s="183"/>
    </row>
    <row r="24" spans="2:589" s="2617" customFormat="1" ht="15.75" thickBot="1" x14ac:dyDescent="0.25">
      <c r="B24" s="206" t="s">
        <v>115</v>
      </c>
      <c r="C24" s="206"/>
      <c r="D24" s="5264" t="s">
        <v>2672</v>
      </c>
      <c r="E24" s="6145"/>
      <c r="H24" s="2625"/>
      <c r="I24" s="5565"/>
      <c r="J24" s="372"/>
      <c r="K24" s="3807" t="s">
        <v>1233</v>
      </c>
      <c r="L24" s="3807"/>
      <c r="M24" s="372"/>
      <c r="N24" s="372"/>
      <c r="O24" s="185"/>
      <c r="R24" s="242"/>
      <c r="S24" s="242"/>
      <c r="T24" s="6150"/>
      <c r="AH24" s="183"/>
      <c r="AI24" s="199" t="s">
        <v>232</v>
      </c>
      <c r="AJ24" s="199" t="s">
        <v>235</v>
      </c>
      <c r="AK24" s="199" t="s">
        <v>231</v>
      </c>
      <c r="AL24" s="199" t="s">
        <v>235</v>
      </c>
      <c r="AM24" s="183"/>
      <c r="AN24" s="183"/>
      <c r="BA24" s="183"/>
      <c r="BB24" s="183"/>
      <c r="BC24" s="183"/>
      <c r="BD24" s="183"/>
      <c r="BE24" s="183"/>
      <c r="BF24" s="183"/>
      <c r="BG24" s="183"/>
      <c r="BH24" s="183"/>
      <c r="BI24" s="184"/>
      <c r="BJ24" s="183"/>
      <c r="BK24" s="183"/>
      <c r="BL24" s="183"/>
      <c r="BM24" s="183"/>
      <c r="BN24" s="183"/>
      <c r="BO24" s="183"/>
      <c r="BP24" s="183"/>
      <c r="BQ24" s="183"/>
      <c r="BR24" s="183"/>
      <c r="BS24" s="183"/>
      <c r="BT24" s="183"/>
      <c r="BU24" s="183"/>
      <c r="BV24" s="21"/>
      <c r="BW24" s="21"/>
      <c r="BX24" s="21"/>
      <c r="BY24" s="21"/>
      <c r="BZ24" s="21"/>
      <c r="CA24" s="21"/>
      <c r="CB24" s="21"/>
      <c r="CC24" s="21"/>
      <c r="CD24" s="21"/>
      <c r="CE24" s="21"/>
      <c r="CF24" s="21"/>
      <c r="CG24" s="21"/>
      <c r="CH24" s="21"/>
      <c r="CI24" s="21"/>
      <c r="CJ24" s="21"/>
      <c r="CK24" s="21"/>
      <c r="CL24" s="21"/>
      <c r="CM24" s="3436"/>
      <c r="CN24" s="3431" t="s">
        <v>2376</v>
      </c>
      <c r="CO24" s="2625"/>
      <c r="CP24" s="5379">
        <f>CP23/$CP$23</f>
        <v>1</v>
      </c>
      <c r="CQ24" s="5379">
        <f>CQ23/$CP$23</f>
        <v>1</v>
      </c>
      <c r="CR24" s="5379">
        <f>CR23/$CP$23</f>
        <v>0.5</v>
      </c>
      <c r="CS24" s="5379">
        <f>CS23/$CP$23</f>
        <v>0.5</v>
      </c>
      <c r="CT24" s="5379">
        <f>CT23/$CP$23</f>
        <v>0.3</v>
      </c>
      <c r="CU24" s="181"/>
      <c r="CV24" s="181"/>
      <c r="CW24" s="181"/>
      <c r="CX24" s="181"/>
      <c r="CY24" s="181"/>
      <c r="CZ24" s="181"/>
      <c r="DA24" s="181"/>
      <c r="DB24" s="181"/>
      <c r="DC24" s="181"/>
      <c r="DD24" s="2625"/>
      <c r="DE24" s="2625"/>
      <c r="DF24" s="2625"/>
      <c r="DG24" s="2625"/>
      <c r="DH24" s="2625"/>
      <c r="DI24" s="2625"/>
      <c r="DJ24" s="2625"/>
      <c r="DK24" s="2625"/>
      <c r="DL24" s="2625"/>
      <c r="DM24" s="2625"/>
      <c r="DN24" s="2625"/>
      <c r="DO24" s="2625"/>
      <c r="DP24" s="2625"/>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GH24" s="414"/>
      <c r="GI24" s="183"/>
      <c r="GJ24" s="185">
        <v>6</v>
      </c>
      <c r="GK24" s="185">
        <f>'Inn forbered'!$BG$23</f>
        <v>0</v>
      </c>
      <c r="GL24" s="185">
        <f>'Inn forbered'!$BG$25</f>
        <v>0</v>
      </c>
      <c r="GM24" s="185">
        <f>'Inn forbered'!$BG$27</f>
        <v>0</v>
      </c>
      <c r="GN24" s="185">
        <f>IF('Inn forbered'!$BG$23="",1,0)</f>
        <v>1</v>
      </c>
      <c r="GO24" s="185">
        <f>IF('Inn forbered'!$BG$25="",1,0)</f>
        <v>1</v>
      </c>
      <c r="GP24" s="185">
        <f>IF('Inn forbered'!$BG$27="",1,0)</f>
        <v>1</v>
      </c>
      <c r="GQ24" s="247">
        <f>inputs_forbe[[#This Row],[Forberedende]]+inputs_forbe[[#This Row],[Portaler]]+inputs_forbe[[#This Row],[Andrearbeider]]</f>
        <v>0</v>
      </c>
      <c r="GR24" s="185"/>
      <c r="IH24" s="1758">
        <v>7</v>
      </c>
      <c r="II24" s="5942" t="e">
        <f>INDEX(outputs_oppsum[kon_metod_no],MATCH($NU$276,outputs_oppsum[stuff_id],0))</f>
        <v>#N/A</v>
      </c>
      <c r="IJ24" s="199" t="b">
        <f>ISBLANK('Inn justeringer'!$BU$30)</f>
        <v>1</v>
      </c>
      <c r="IK24" s="5620">
        <f>'Inn justeringer'!$BU$30</f>
        <v>0</v>
      </c>
      <c r="IL24" s="199" t="b">
        <f>ISBLANK('Inn justeringer'!$BU$36)</f>
        <v>1</v>
      </c>
      <c r="IM24" s="5620" t="str">
        <f>IF($IL$24=TRUE,"",'Inn justeringer'!$BU$36)</f>
        <v/>
      </c>
      <c r="IN24" s="199">
        <f>'Inn justeringer'!$BU$45</f>
        <v>0</v>
      </c>
      <c r="IO24" s="273">
        <f>IF(IN24=$K$76,1,IF(IN24=$K$77,2,IF(IN24=_List!$EG$7,3,0)))</f>
        <v>0</v>
      </c>
      <c r="IP24" s="3835" t="str">
        <f>IF(ISBLANK('Inn justeringer'!$BU$48),"",'Inn justeringer'!$BU$48)</f>
        <v/>
      </c>
      <c r="IQ24" s="199" t="str">
        <f>IF(ISBLANK('Inn justeringer'!$BU$51),"",'Inn justeringer'!$BU$51)</f>
        <v/>
      </c>
      <c r="IR24" s="199" t="str">
        <f>IF(ISBLANK('Inn justeringer'!$BU$60),"",'Inn justeringer'!$BU$60)</f>
        <v/>
      </c>
      <c r="IS24" s="3835" t="str">
        <f>IF(ISBLANK('Inn justeringer'!$BU$63),"",'Inn justeringer'!$BU$63)</f>
        <v/>
      </c>
      <c r="IT24" s="199" t="str">
        <f>IF(ISBLANK('Inn justeringer'!$BU$66),"",'Inn justeringer'!$BU$66)</f>
        <v/>
      </c>
      <c r="IU24" s="199" t="str">
        <f>IF(ISBLANK('Inn justeringer'!$BU$72),"",'Inn justeringer'!$BU$72)</f>
        <v/>
      </c>
      <c r="IV24" s="3835" t="str">
        <f>IF(ISBLANK('Inn justeringer'!$BU$75),"",'Inn justeringer'!$BU$75)</f>
        <v/>
      </c>
      <c r="IW24" s="199" t="str">
        <f>IF(ISBLANK('Inn justeringer'!$BU$78),"",'Inn justeringer'!$BU$78)</f>
        <v/>
      </c>
      <c r="IX24" s="199" t="str">
        <f>IF(ISBLANK('Inn justeringer'!$BU$84),"",'Inn justeringer'!$BU$84)</f>
        <v/>
      </c>
      <c r="IY24" s="3835" t="str">
        <f>IF(ISBLANK('Inn justeringer'!$BU$87),"",'Inn justeringer'!$BU$87)</f>
        <v/>
      </c>
      <c r="IZ24" s="199" t="str">
        <f>IF(ISBLANK('Inn justeringer'!$BU$90),"",'Inn justeringer'!$BU$90)</f>
        <v/>
      </c>
      <c r="JA24" s="199" t="str">
        <f>IF(ISBLANK('Inn justeringer'!$BU$96),"",'Inn justeringer'!$BU$96)</f>
        <v/>
      </c>
      <c r="JB24" s="3835" t="str">
        <f>IF(ISBLANK('Inn justeringer'!$BU$99),"",'Inn justeringer'!$BU$99)</f>
        <v/>
      </c>
      <c r="JC24" s="199" t="str">
        <f>IF(ISBLANK('Inn justeringer'!$BU$102),"",'Inn justeringer'!$BU$102)</f>
        <v/>
      </c>
      <c r="JD24" s="199" t="str">
        <f>IF(ISBLANK('Inn justeringer'!$BU$108),"",'Inn justeringer'!$BU$108)</f>
        <v/>
      </c>
      <c r="JE24" s="3835" t="str">
        <f>IF(ISBLANK('Inn justeringer'!$BU$111),"",'Inn justeringer'!$BU$111)</f>
        <v/>
      </c>
      <c r="JF24" s="199" t="str">
        <f>IF(ISBLANK('Inn justeringer'!$BU$114),"",'Inn justeringer'!$BU$114)</f>
        <v/>
      </c>
      <c r="JG24" s="199" t="str">
        <f>IF(ISBLANK('Inn justeringer'!$BU$120),"",'Inn justeringer'!$BU$120)</f>
        <v/>
      </c>
      <c r="JH24" s="3835" t="str">
        <f>IF(ISBLANK('Inn justeringer'!$BU$123),"",'Inn justeringer'!$BU$123)</f>
        <v/>
      </c>
      <c r="JI24" s="199" t="str">
        <f>IF(ISBLANK('Inn justeringer'!$BU$126),"",'Inn justeringer'!$BU$126)</f>
        <v/>
      </c>
      <c r="JJ24" s="199" t="str">
        <f>IF(ISBLANK('Inn justeringer'!$BU$132),"",'Inn justeringer'!$BU$132)</f>
        <v/>
      </c>
      <c r="JK24" s="3835" t="str">
        <f>IF(ISBLANK('Inn justeringer'!$BU$135),"",'Inn justeringer'!$BU$135)</f>
        <v/>
      </c>
      <c r="JL24" s="199" t="str">
        <f>IF(ISBLANK('Inn justeringer'!$BU$138),"",'Inn justeringer'!$BU$138)</f>
        <v/>
      </c>
      <c r="JM24" s="183"/>
      <c r="JN24" s="183"/>
      <c r="JO24" s="183"/>
      <c r="JP24" s="183"/>
      <c r="JQ24" s="183"/>
      <c r="JR24" s="183"/>
      <c r="JS24" s="183"/>
      <c r="JT24" s="183"/>
      <c r="JU24" s="183"/>
      <c r="JV24" s="183"/>
      <c r="JW24" s="183"/>
      <c r="JX24" s="183"/>
      <c r="JY24" s="183"/>
      <c r="JZ24" s="183"/>
      <c r="KA24" s="183"/>
      <c r="KB24" s="183"/>
      <c r="KC24" s="183"/>
      <c r="KD24" s="183"/>
      <c r="KE24" s="183"/>
      <c r="KF24" s="183"/>
      <c r="KH24" s="183"/>
      <c r="KI24" s="183"/>
      <c r="KJ24" s="183"/>
      <c r="KK24" s="183"/>
      <c r="KL24" s="183"/>
      <c r="KM24" s="183"/>
      <c r="KN24" s="183"/>
      <c r="KO24" s="183"/>
      <c r="KP24" s="183"/>
      <c r="KQ24" s="183"/>
      <c r="KR24" s="183"/>
      <c r="KS24" s="183"/>
      <c r="KT24" s="183"/>
      <c r="KU24" s="183"/>
      <c r="KV24" s="183"/>
      <c r="KW24" s="183"/>
      <c r="KX24" s="183"/>
      <c r="KY24" s="183"/>
      <c r="KZ24" s="183"/>
      <c r="LA24" s="183"/>
      <c r="LB24" s="183"/>
      <c r="LC24" s="183"/>
      <c r="LD24" s="183"/>
      <c r="LE24" s="183"/>
      <c r="LF24" s="183"/>
      <c r="LG24" s="183"/>
      <c r="LH24" s="183"/>
      <c r="LI24" s="183"/>
      <c r="LJ24" s="183"/>
      <c r="LK24" s="183"/>
      <c r="LL24" s="183"/>
      <c r="LM24" s="183"/>
      <c r="LN24" s="183"/>
      <c r="LO24" s="183"/>
      <c r="LP24" s="183"/>
      <c r="LQ24" s="183"/>
      <c r="LR24" s="183"/>
      <c r="LS24" s="183"/>
      <c r="LT24" s="183"/>
      <c r="LU24" s="183"/>
      <c r="LV24" s="183"/>
      <c r="LW24" s="183"/>
      <c r="LX24" s="183"/>
      <c r="LY24" s="183"/>
      <c r="LZ24" s="183"/>
      <c r="MA24" s="183"/>
      <c r="MB24" s="183"/>
      <c r="MC24" s="183"/>
      <c r="MD24" s="183"/>
      <c r="ME24" s="183"/>
      <c r="MF24" s="183"/>
      <c r="MG24" s="183"/>
      <c r="MH24" s="183"/>
      <c r="MI24" s="183"/>
      <c r="MJ24" s="183"/>
      <c r="MK24" s="183"/>
      <c r="ML24" s="183"/>
      <c r="MM24" s="183"/>
      <c r="MN24" s="183"/>
      <c r="MO24" s="183"/>
      <c r="MP24" s="183"/>
      <c r="MQ24" s="183"/>
      <c r="MR24" s="183"/>
      <c r="MS24" s="183"/>
      <c r="MT24" s="183"/>
      <c r="MU24" s="183"/>
      <c r="MV24" s="183"/>
      <c r="MW24" s="183"/>
      <c r="MX24" s="183"/>
      <c r="MY24" s="183"/>
      <c r="MZ24" s="183"/>
      <c r="NA24" s="183"/>
      <c r="NB24" s="183"/>
      <c r="NC24" s="183"/>
      <c r="ND24" s="183"/>
      <c r="NE24" s="183"/>
      <c r="NF24" s="183"/>
      <c r="NG24" s="183"/>
      <c r="NH24" s="183"/>
      <c r="NI24" s="1567"/>
      <c r="NJ24" s="183"/>
      <c r="NK24" s="183"/>
      <c r="NL24" s="471"/>
      <c r="NM24" s="183"/>
      <c r="NN24" s="439" t="str">
        <f>$NO$72</f>
        <v>Stuff 2-2</v>
      </c>
      <c r="NO24" s="451">
        <v>6</v>
      </c>
      <c r="NP24" s="451">
        <f>IF($BC$34&gt;5,1,0)</f>
        <v>0</v>
      </c>
      <c r="NQ24" s="194">
        <f>INDEX(outputs_position[22],MATCH($BC$35,outputs_position[lopstuff],0))</f>
        <v>0</v>
      </c>
      <c r="NR24" s="252" t="str">
        <f t="shared" si="0"/>
        <v>Stuff 2-2</v>
      </c>
      <c r="NS24" s="261">
        <f>IFERROR((INDEX(outputs_spreng[Name],MATCH($NR24,outputs_spreng[lopstuff],0))),0)</f>
        <v>0</v>
      </c>
      <c r="NT24" s="261">
        <f>IFERROR((INDEX(outputs_spreng[Redusertsalvelengde],MATCH($NR24,outputs_spreng[lopstuff],0))),0)</f>
        <v>0</v>
      </c>
      <c r="NU24" s="261">
        <f>IFERROR((INDEX(outputs_spreng[Todelttverrsnitt],MATCH($NR24,outputs_spreng[lopstuff],0))),0)</f>
        <v>0</v>
      </c>
      <c r="NV24" s="261">
        <f>IFERROR((INDEX(outputs_spreng[Redusertsalvelengdeogtodelttverrsnitt],MATCH($NR24,outputs_spreng[lopstuff],0))),0)</f>
        <v>0</v>
      </c>
      <c r="NW24" s="261">
        <f>IFERROR((INDEX(outputs_spreng[Normal],MATCH($NR24,outputs_spreng[lopstuff],0))),0)</f>
        <v>0</v>
      </c>
      <c r="NX24" s="418">
        <f>oppsum_position[[#This Row],[Redusertsalvelengde]]+oppsum_position[[#This Row],[Todelttverrsnitt]]+oppsum_position[[#This Row],[Redusertsalvelengdeogtodelttverrsnitt]]+oppsum_position[[#This Row],[Normal]]</f>
        <v>0</v>
      </c>
      <c r="NY24" s="183"/>
      <c r="NZ24" s="183"/>
      <c r="OA24" s="183"/>
      <c r="OB24" s="183"/>
      <c r="OC24" s="183"/>
      <c r="OD24" s="183"/>
      <c r="OE24" s="183"/>
      <c r="OF24" s="183"/>
      <c r="OG24" s="183"/>
      <c r="OH24" s="183"/>
      <c r="OI24" s="183"/>
      <c r="OJ24" s="183"/>
      <c r="OK24" s="183"/>
      <c r="OL24" s="183"/>
      <c r="OM24" s="183"/>
      <c r="ON24" s="183"/>
      <c r="OO24" s="183"/>
      <c r="OP24" s="183"/>
      <c r="OQ24" s="183"/>
      <c r="OR24" s="183"/>
      <c r="OS24" s="183"/>
      <c r="OT24" s="183"/>
      <c r="OU24" s="183"/>
      <c r="OV24" s="184"/>
      <c r="OW24" s="184"/>
      <c r="OX24" s="184"/>
      <c r="OY24" s="184"/>
      <c r="OZ24" s="184"/>
      <c r="PA24" s="184"/>
      <c r="PB24" s="184"/>
      <c r="PC24" s="184"/>
      <c r="PD24" s="184"/>
      <c r="PE24" s="184"/>
      <c r="PF24" s="184"/>
      <c r="PG24" s="183"/>
      <c r="PH24" s="183"/>
      <c r="PI24" s="183"/>
      <c r="PJ24" s="265"/>
      <c r="PK24" s="265"/>
      <c r="PL24" s="265"/>
      <c r="PM24" s="265"/>
      <c r="PN24" s="265"/>
      <c r="PO24" s="265"/>
      <c r="PP24" s="265"/>
      <c r="PQ24" s="183"/>
      <c r="PR24" s="183"/>
      <c r="PS24" s="183"/>
      <c r="PT24" s="183"/>
      <c r="PU24" s="183"/>
      <c r="PV24" s="183"/>
      <c r="PW24" s="183"/>
      <c r="PX24" s="183"/>
      <c r="PY24" s="183"/>
      <c r="PZ24" s="183"/>
      <c r="QA24" s="183"/>
      <c r="QB24" s="183"/>
      <c r="QC24" s="183"/>
      <c r="QD24" s="183"/>
      <c r="QE24" s="183"/>
      <c r="QF24" s="183"/>
      <c r="QG24" s="183"/>
      <c r="QH24" s="183"/>
      <c r="QI24" s="183"/>
      <c r="QJ24" s="183"/>
      <c r="QK24" s="183"/>
      <c r="QL24" s="183"/>
      <c r="QM24" s="183"/>
      <c r="QU24" s="183"/>
      <c r="QV24" s="183"/>
      <c r="QW24" s="183"/>
      <c r="QX24" s="183"/>
      <c r="QY24" s="183"/>
      <c r="QZ24" s="183"/>
      <c r="RA24" s="183"/>
      <c r="RB24" s="183"/>
      <c r="RC24" s="183"/>
      <c r="RD24" s="183"/>
      <c r="RE24" s="183"/>
      <c r="RF24" s="183"/>
      <c r="RS24" s="183"/>
      <c r="RT24" s="183"/>
      <c r="RU24" s="183"/>
    </row>
    <row r="25" spans="2:589" s="2617" customFormat="1" ht="27" customHeight="1" thickBot="1" x14ac:dyDescent="0.4">
      <c r="C25" s="2617" t="s">
        <v>2680</v>
      </c>
      <c r="D25" s="6262" t="s">
        <v>2788</v>
      </c>
      <c r="E25" s="6145"/>
      <c r="H25" s="2625"/>
      <c r="I25" s="5565"/>
      <c r="J25" s="372"/>
      <c r="K25" s="5749" t="s">
        <v>2632</v>
      </c>
      <c r="L25" s="372"/>
      <c r="M25" s="372"/>
      <c r="N25" s="372"/>
      <c r="O25" s="185"/>
      <c r="R25" s="242" t="s">
        <v>61</v>
      </c>
      <c r="S25" s="242" t="s">
        <v>242</v>
      </c>
      <c r="T25" s="6148"/>
      <c r="AH25" s="185" t="s">
        <v>221</v>
      </c>
      <c r="AI25" s="194">
        <v>1</v>
      </c>
      <c r="AJ25" s="201">
        <f>Tunneldrift!$AD$139</f>
        <v>0</v>
      </c>
      <c r="AK25" s="194">
        <v>5</v>
      </c>
      <c r="AL25" s="203">
        <f>Tunneldrift!AD171</f>
        <v>0</v>
      </c>
      <c r="AM25" s="183"/>
      <c r="AN25" s="183"/>
      <c r="BA25" s="183"/>
      <c r="BB25" s="292" t="s">
        <v>336</v>
      </c>
      <c r="BC25" s="278"/>
      <c r="BD25" s="278"/>
      <c r="BE25" s="278"/>
      <c r="BF25" s="278"/>
      <c r="BG25" s="293"/>
      <c r="BH25" s="183"/>
      <c r="BI25" s="184"/>
      <c r="BJ25" s="183"/>
      <c r="BK25" s="183"/>
      <c r="BL25" s="183"/>
      <c r="BM25" s="183"/>
      <c r="BN25" s="183"/>
      <c r="BO25" s="183"/>
      <c r="BP25" s="183"/>
      <c r="BQ25" s="183"/>
      <c r="BR25" s="183"/>
      <c r="BS25" s="183"/>
      <c r="BT25" s="183"/>
      <c r="BU25" s="183"/>
      <c r="BV25" s="21"/>
      <c r="BW25" s="21"/>
      <c r="BX25" s="21"/>
      <c r="BY25" s="21"/>
      <c r="BZ25" s="21"/>
      <c r="CA25" s="21"/>
      <c r="CB25" s="21"/>
      <c r="CC25" s="21"/>
      <c r="CD25" s="21"/>
      <c r="CE25" s="21"/>
      <c r="CF25" s="21"/>
      <c r="CG25" s="21"/>
      <c r="CH25" s="21"/>
      <c r="CI25" s="21"/>
      <c r="CJ25" s="21"/>
      <c r="CK25" s="21"/>
      <c r="CL25" s="21"/>
      <c r="CM25" s="3436"/>
      <c r="CN25" s="3436"/>
      <c r="CO25" s="2625"/>
      <c r="CP25" s="3436"/>
      <c r="CQ25" s="3436"/>
      <c r="CR25" s="5380"/>
      <c r="CS25" s="5380"/>
      <c r="CT25" s="5380"/>
      <c r="CU25" s="181"/>
      <c r="CV25" s="181"/>
      <c r="CW25" s="181"/>
      <c r="CX25" s="181"/>
      <c r="CY25" s="181"/>
      <c r="CZ25" s="181"/>
      <c r="DA25" s="181"/>
      <c r="DB25" s="181"/>
      <c r="DC25" s="181"/>
      <c r="DD25" s="2625"/>
      <c r="DE25" s="2625"/>
      <c r="DF25" s="2625"/>
      <c r="DG25" s="2625"/>
      <c r="DH25" s="2625"/>
      <c r="DI25" s="2625"/>
      <c r="DJ25" s="2625"/>
      <c r="DK25" s="2625"/>
      <c r="DL25" s="2625"/>
      <c r="DM25" s="2625"/>
      <c r="DN25" s="2625"/>
      <c r="DO25" s="2625"/>
      <c r="DP25" s="2625"/>
      <c r="DQ25" s="183"/>
      <c r="DR25" s="283" t="s">
        <v>349</v>
      </c>
      <c r="DS25" s="183"/>
      <c r="DT25" s="183"/>
      <c r="DU25" s="183"/>
      <c r="DV25" s="183"/>
      <c r="DW25" s="183"/>
      <c r="DX25" s="183"/>
      <c r="DY25" s="183"/>
      <c r="DZ25" s="183"/>
      <c r="EA25" s="183"/>
      <c r="EB25" s="183"/>
      <c r="EC25" s="183"/>
      <c r="ED25" s="183"/>
      <c r="EE25" s="183"/>
      <c r="EF25" s="183"/>
      <c r="EG25" s="183"/>
      <c r="EH25" s="191"/>
      <c r="EI25" s="191"/>
      <c r="EJ25" s="191"/>
      <c r="EK25" s="191"/>
      <c r="EL25" s="191"/>
      <c r="EM25" s="191"/>
      <c r="EN25" s="191"/>
      <c r="EO25" s="183"/>
      <c r="EP25" s="183"/>
      <c r="EQ25" s="183"/>
      <c r="GH25" s="414"/>
      <c r="GI25" s="183"/>
      <c r="GJ25" s="185">
        <v>7</v>
      </c>
      <c r="GK25" s="185">
        <f>'Inn forbered'!$BO$23</f>
        <v>0</v>
      </c>
      <c r="GL25" s="185">
        <f>'Inn forbered'!$BO$25</f>
        <v>0</v>
      </c>
      <c r="GM25" s="185">
        <f>'Inn forbered'!$BO$27</f>
        <v>0</v>
      </c>
      <c r="GN25" s="185">
        <f>IF('Inn forbered'!$BO$23="",1,0)</f>
        <v>1</v>
      </c>
      <c r="GO25" s="185">
        <f>IF('Inn forbered'!$BO$25="",1,0)</f>
        <v>1</v>
      </c>
      <c r="GP25" s="185">
        <f>IF('Inn forbered'!$BO$27="",1,0)</f>
        <v>1</v>
      </c>
      <c r="GQ25" s="247">
        <f>inputs_forbe[[#This Row],[Forberedende]]+inputs_forbe[[#This Row],[Portaler]]+inputs_forbe[[#This Row],[Andrearbeider]]</f>
        <v>0</v>
      </c>
      <c r="GR25" s="185"/>
      <c r="HH25" s="3687" t="s">
        <v>1010</v>
      </c>
      <c r="HI25" s="3688">
        <f>Tunneldrift!$AD$82</f>
        <v>0</v>
      </c>
      <c r="IH25" s="1758">
        <v>8</v>
      </c>
      <c r="II25" s="5942" t="e">
        <f>INDEX(outputs_oppsum[kon_metod_no],MATCH($NV$276,outputs_oppsum[stuff_id],0))</f>
        <v>#N/A</v>
      </c>
      <c r="IJ25" s="199" t="b">
        <f>IJ24</f>
        <v>1</v>
      </c>
      <c r="IK25" s="5620">
        <f>IK24</f>
        <v>0</v>
      </c>
      <c r="IL25" s="199" t="b">
        <f>IL24</f>
        <v>1</v>
      </c>
      <c r="IM25" s="5620" t="str">
        <f>IM24</f>
        <v/>
      </c>
      <c r="IN25" s="199">
        <f>'Inn justeringer'!$CC$45</f>
        <v>0</v>
      </c>
      <c r="IO25" s="273">
        <f>IF(IN25=$K$76,1,IF(IN25=$K$77,2,IF(IN25=_List!$EG$7,3,0)))</f>
        <v>0</v>
      </c>
      <c r="IP25" s="3835" t="str">
        <f>IF(ISBLANK('Inn justeringer'!$CC$48),"",'Inn justeringer'!$CC$48)</f>
        <v/>
      </c>
      <c r="IQ25" s="199" t="str">
        <f>IF(ISBLANK('Inn justeringer'!$CC$51),"",'Inn justeringer'!$CC$51)</f>
        <v/>
      </c>
      <c r="IR25" s="199" t="str">
        <f>IF(ISBLANK('Inn justeringer'!$CC$60),"",'Inn justeringer'!$CC$60)</f>
        <v/>
      </c>
      <c r="IS25" s="3835" t="str">
        <f>IF(ISBLANK('Inn justeringer'!$CC$63),"",'Inn justeringer'!$CC$63)</f>
        <v/>
      </c>
      <c r="IT25" s="199" t="str">
        <f>IF(ISBLANK('Inn justeringer'!$CC$66),"",'Inn justeringer'!$CC$66)</f>
        <v/>
      </c>
      <c r="IU25" s="199" t="str">
        <f>IF(ISBLANK('Inn justeringer'!$CC$72),"",'Inn justeringer'!$CC$72)</f>
        <v/>
      </c>
      <c r="IV25" s="3835" t="str">
        <f>IF(ISBLANK('Inn justeringer'!$CC$75),"",'Inn justeringer'!$CC$75)</f>
        <v/>
      </c>
      <c r="IW25" s="199" t="str">
        <f>IF(ISBLANK('Inn justeringer'!$CC$78),"",'Inn justeringer'!$CC$78)</f>
        <v/>
      </c>
      <c r="IX25" s="199" t="str">
        <f>IF(ISBLANK('Inn justeringer'!$CC$84),"",'Inn justeringer'!$CC$84)</f>
        <v/>
      </c>
      <c r="IY25" s="3835" t="str">
        <f>IF(ISBLANK('Inn justeringer'!$CC$87),"",'Inn justeringer'!$CC$87)</f>
        <v/>
      </c>
      <c r="IZ25" s="199" t="str">
        <f>IF(ISBLANK('Inn justeringer'!$CC$90),"",'Inn justeringer'!$CC$90)</f>
        <v/>
      </c>
      <c r="JA25" s="199" t="str">
        <f>IF(ISBLANK('Inn justeringer'!$CC$96),"",'Inn justeringer'!$CC$96)</f>
        <v/>
      </c>
      <c r="JB25" s="3835" t="str">
        <f>IF(ISBLANK('Inn justeringer'!$CC$99),"",'Inn justeringer'!$CC$99)</f>
        <v/>
      </c>
      <c r="JC25" s="199" t="str">
        <f>IF(ISBLANK('Inn justeringer'!$CC$102),"",'Inn justeringer'!$CC$102)</f>
        <v/>
      </c>
      <c r="JD25" s="199" t="str">
        <f>IF(ISBLANK('Inn justeringer'!$CC$108),"",'Inn justeringer'!$CC$108)</f>
        <v/>
      </c>
      <c r="JE25" s="3835" t="str">
        <f>IF(ISBLANK('Inn justeringer'!$CC$111),"",'Inn justeringer'!$CC$111)</f>
        <v/>
      </c>
      <c r="JF25" s="199" t="str">
        <f>IF(ISBLANK('Inn justeringer'!$CC$114),"",'Inn justeringer'!$CC$114)</f>
        <v/>
      </c>
      <c r="JG25" s="199" t="str">
        <f>IF(ISBLANK('Inn justeringer'!$CC$120),"",'Inn justeringer'!$CC$120)</f>
        <v/>
      </c>
      <c r="JH25" s="3835" t="str">
        <f>IF(ISBLANK('Inn justeringer'!$CC$123),"",'Inn justeringer'!$CC$123)</f>
        <v/>
      </c>
      <c r="JI25" s="199" t="str">
        <f>IF(ISBLANK('Inn justeringer'!$CC$126),"",'Inn justeringer'!$CC$126)</f>
        <v/>
      </c>
      <c r="JJ25" s="199" t="str">
        <f>IF(ISBLANK('Inn justeringer'!$CC$132),"",'Inn justeringer'!$CC$132)</f>
        <v/>
      </c>
      <c r="JK25" s="3835" t="str">
        <f>IF(ISBLANK('Inn justeringer'!$CC$135),"",'Inn justeringer'!$CC$135)</f>
        <v/>
      </c>
      <c r="JL25" s="199" t="str">
        <f>IF(ISBLANK('Inn justeringer'!$CC$138),"",'Inn justeringer'!$CC$138)</f>
        <v/>
      </c>
      <c r="JM25" s="183"/>
      <c r="JN25" s="183"/>
      <c r="JO25" s="183"/>
      <c r="JP25" s="183"/>
      <c r="JQ25" s="183"/>
      <c r="JR25" s="183"/>
      <c r="JS25" s="183"/>
      <c r="JT25" s="183"/>
      <c r="JU25" s="183"/>
      <c r="JV25" s="183"/>
      <c r="JW25" s="183"/>
      <c r="JX25" s="183"/>
      <c r="JY25" s="183"/>
      <c r="JZ25" s="183"/>
      <c r="KA25" s="183"/>
      <c r="KB25" s="183"/>
      <c r="KC25" s="183"/>
      <c r="KD25" s="183"/>
      <c r="KE25" s="183"/>
      <c r="KF25" s="183"/>
      <c r="KH25" s="183"/>
      <c r="KI25" s="183"/>
      <c r="KJ25" s="183"/>
      <c r="KK25" s="183"/>
      <c r="KL25" s="183"/>
      <c r="KM25" s="183"/>
      <c r="KN25" s="183"/>
      <c r="KO25" s="185" t="s">
        <v>2268</v>
      </c>
      <c r="KP25" s="1690">
        <f>INDEX(tunneldrift_column[Column_number],MATCH($BC$35,tunneldrift_column[Løp_Stuff],0))</f>
        <v>1</v>
      </c>
      <c r="KQ25" s="183"/>
      <c r="KR25" s="183"/>
      <c r="KS25" s="183"/>
      <c r="KT25" s="183"/>
      <c r="KU25" s="183"/>
      <c r="KV25" s="183"/>
      <c r="KW25" s="183"/>
      <c r="KX25" s="183"/>
      <c r="KY25" s="183"/>
      <c r="KZ25" s="183"/>
      <c r="LA25" s="183"/>
      <c r="LB25" s="183"/>
      <c r="LC25" s="183"/>
      <c r="LD25" s="183"/>
      <c r="LE25" s="183"/>
      <c r="LF25" s="183"/>
      <c r="LG25" s="183"/>
      <c r="LH25" s="183"/>
      <c r="LI25" s="183"/>
      <c r="LJ25" s="183"/>
      <c r="LK25" s="183"/>
      <c r="LL25" s="183"/>
      <c r="LM25" s="183"/>
      <c r="LN25" s="183"/>
      <c r="LO25" s="183"/>
      <c r="LP25" s="183"/>
      <c r="LQ25" s="183"/>
      <c r="LR25" s="183"/>
      <c r="LS25" s="183"/>
      <c r="LT25" s="183"/>
      <c r="LU25" s="183"/>
      <c r="LV25" s="183"/>
      <c r="LW25" s="183"/>
      <c r="LX25" s="183"/>
      <c r="LY25" s="183"/>
      <c r="LZ25" s="183"/>
      <c r="MA25" s="183"/>
      <c r="MB25" s="183"/>
      <c r="MC25" s="183"/>
      <c r="MD25" s="183"/>
      <c r="ME25" s="183"/>
      <c r="MF25" s="183"/>
      <c r="MG25" s="183"/>
      <c r="MH25" s="183"/>
      <c r="MI25" s="183"/>
      <c r="MJ25" s="183"/>
      <c r="MK25" s="183"/>
      <c r="ML25" s="183"/>
      <c r="MM25" s="183"/>
      <c r="MN25" s="183"/>
      <c r="MO25" s="183"/>
      <c r="MP25" s="183"/>
      <c r="MQ25" s="183"/>
      <c r="MR25" s="183"/>
      <c r="MS25" s="183"/>
      <c r="MT25" s="183"/>
      <c r="MU25" s="183"/>
      <c r="MV25" s="183"/>
      <c r="MW25" s="183"/>
      <c r="MX25" s="183"/>
      <c r="MY25" s="183"/>
      <c r="MZ25" s="183"/>
      <c r="NA25" s="183"/>
      <c r="NB25" s="183"/>
      <c r="NC25" s="183"/>
      <c r="ND25" s="183"/>
      <c r="NE25" s="183"/>
      <c r="NF25" s="183"/>
      <c r="NG25" s="183"/>
      <c r="NH25" s="183"/>
      <c r="NI25" s="1567"/>
      <c r="NJ25" s="183"/>
      <c r="NK25" s="183"/>
      <c r="NL25" s="471"/>
      <c r="NM25" s="183"/>
      <c r="NN25" s="439" t="str">
        <f>$NO$73</f>
        <v>Stuff 2-3</v>
      </c>
      <c r="NO25" s="451">
        <v>7</v>
      </c>
      <c r="NP25" s="451">
        <f>IF($BC$34&gt;6,1,0)</f>
        <v>0</v>
      </c>
      <c r="NQ25" s="194">
        <f>INDEX(outputs_position[23],MATCH($BC$35,outputs_position[lopstuff],0))</f>
        <v>0</v>
      </c>
      <c r="NR25" s="252" t="str">
        <f t="shared" si="0"/>
        <v>Stuff 2-3</v>
      </c>
      <c r="NS25" s="261">
        <f>IFERROR((INDEX(outputs_spreng[Name],MATCH($NR25,outputs_spreng[lopstuff],0))),0)</f>
        <v>0</v>
      </c>
      <c r="NT25" s="261">
        <f>IFERROR((INDEX(outputs_spreng[Redusertsalvelengde],MATCH($NR25,outputs_spreng[lopstuff],0))),0)</f>
        <v>0</v>
      </c>
      <c r="NU25" s="261">
        <f>IFERROR((INDEX(outputs_spreng[Todelttverrsnitt],MATCH($NR25,outputs_spreng[lopstuff],0))),0)</f>
        <v>0</v>
      </c>
      <c r="NV25" s="261">
        <f>IFERROR((INDEX(outputs_spreng[Redusertsalvelengdeogtodelttverrsnitt],MATCH($NR25,outputs_spreng[lopstuff],0))),0)</f>
        <v>0</v>
      </c>
      <c r="NW25" s="261">
        <f>IFERROR((INDEX(outputs_spreng[Normal],MATCH($NR25,outputs_spreng[lopstuff],0))),0)</f>
        <v>0</v>
      </c>
      <c r="NX25" s="418">
        <f>oppsum_position[[#This Row],[Redusertsalvelengde]]+oppsum_position[[#This Row],[Todelttverrsnitt]]+oppsum_position[[#This Row],[Redusertsalvelengdeogtodelttverrsnitt]]+oppsum_position[[#This Row],[Normal]]</f>
        <v>0</v>
      </c>
      <c r="NY25" s="183"/>
      <c r="NZ25" s="183"/>
      <c r="OA25" s="183"/>
      <c r="OB25" s="183"/>
      <c r="OC25" s="183"/>
      <c r="OD25" s="183"/>
      <c r="OE25" s="183"/>
      <c r="OF25" s="183"/>
      <c r="OG25" s="183"/>
      <c r="OH25" s="183"/>
      <c r="OI25" s="183"/>
      <c r="OJ25" s="183"/>
      <c r="OK25" s="183"/>
      <c r="OL25" s="183"/>
      <c r="OM25" s="183"/>
      <c r="ON25" s="183"/>
      <c r="OO25" s="183"/>
      <c r="OP25" s="183"/>
      <c r="OQ25" s="183"/>
      <c r="OR25" s="183"/>
      <c r="OS25" s="183"/>
      <c r="OT25" s="183"/>
      <c r="OU25" s="183"/>
      <c r="OV25" s="184"/>
      <c r="OW25" s="184"/>
      <c r="OX25" s="184"/>
      <c r="OY25" s="184"/>
      <c r="OZ25" s="184"/>
      <c r="PA25" s="184"/>
      <c r="PB25" s="184"/>
      <c r="PC25" s="184"/>
      <c r="PD25" s="184"/>
      <c r="PE25" s="184"/>
      <c r="PF25" s="184"/>
      <c r="PG25" s="183"/>
      <c r="PH25" s="183"/>
      <c r="PI25" s="183"/>
      <c r="PJ25" s="265"/>
      <c r="PK25" s="265"/>
      <c r="PL25" s="265"/>
      <c r="PM25" s="265"/>
      <c r="PN25" s="265"/>
      <c r="PO25" s="265"/>
      <c r="PP25" s="265"/>
      <c r="PQ25" s="183"/>
      <c r="PR25" s="183"/>
      <c r="PS25" s="183"/>
      <c r="PT25" s="183"/>
      <c r="PU25" s="183"/>
      <c r="PV25" s="183"/>
      <c r="PW25" s="183"/>
      <c r="PX25" s="183"/>
      <c r="PY25" s="183"/>
      <c r="PZ25" s="183"/>
      <c r="QA25" s="183"/>
      <c r="QB25" s="183"/>
      <c r="QC25" s="183"/>
      <c r="QD25" s="183"/>
      <c r="QE25" s="183"/>
      <c r="QF25" s="183"/>
      <c r="QG25" s="183"/>
      <c r="QH25" s="183"/>
      <c r="QI25" s="183"/>
      <c r="QJ25" s="183"/>
      <c r="QK25" s="183"/>
      <c r="QL25" s="183"/>
      <c r="QM25" s="183"/>
      <c r="QU25" s="183"/>
      <c r="QV25" s="183"/>
      <c r="QW25" s="183"/>
      <c r="QX25" s="183"/>
      <c r="QY25" s="183"/>
      <c r="QZ25" s="183"/>
      <c r="RA25" s="183"/>
      <c r="RB25" s="183"/>
      <c r="RC25" s="183"/>
      <c r="RD25" s="183"/>
      <c r="RE25" s="183"/>
      <c r="RF25" s="183"/>
      <c r="RS25" s="183"/>
      <c r="RT25" s="183"/>
      <c r="RU25" s="183"/>
    </row>
    <row r="26" spans="2:589" s="2617" customFormat="1" ht="38.25" customHeight="1" x14ac:dyDescent="0.2">
      <c r="B26" s="206" t="s">
        <v>258</v>
      </c>
      <c r="C26" s="206"/>
      <c r="D26" s="5264" t="s">
        <v>2381</v>
      </c>
      <c r="E26" s="6145"/>
      <c r="H26" s="2625"/>
      <c r="I26" s="5565"/>
      <c r="J26" s="372"/>
      <c r="K26" s="2691" t="s">
        <v>2633</v>
      </c>
      <c r="L26" s="372"/>
      <c r="M26" s="372"/>
      <c r="N26" s="372"/>
      <c r="O26" s="185"/>
      <c r="R26" s="242"/>
      <c r="S26" s="242" t="s">
        <v>66</v>
      </c>
      <c r="T26" s="6150"/>
      <c r="AH26" s="183"/>
      <c r="AI26" s="194">
        <v>2</v>
      </c>
      <c r="AJ26" s="201">
        <f>Tunneldrift!$AO$139</f>
        <v>0</v>
      </c>
      <c r="AK26" s="194">
        <v>6</v>
      </c>
      <c r="AL26" s="203">
        <f>Tunneldrift!AO171</f>
        <v>0</v>
      </c>
      <c r="AM26" s="183"/>
      <c r="AN26" s="183"/>
      <c r="BA26" s="183"/>
      <c r="BB26" s="183"/>
      <c r="BC26" s="183"/>
      <c r="BD26" s="183"/>
      <c r="BE26" s="183"/>
      <c r="BF26" s="183"/>
      <c r="BG26" s="183"/>
      <c r="BH26" s="183"/>
      <c r="BI26" s="184"/>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3437"/>
      <c r="CN26" s="3436"/>
      <c r="CO26" s="2625"/>
      <c r="CP26" s="3436"/>
      <c r="CQ26" s="3436"/>
      <c r="CR26" s="5380"/>
      <c r="CS26" s="5380"/>
      <c r="CT26" s="5380"/>
      <c r="CU26" s="181"/>
      <c r="CV26" s="181"/>
      <c r="CW26" s="181"/>
      <c r="CX26" s="181"/>
      <c r="CY26" s="181"/>
      <c r="CZ26" s="181"/>
      <c r="DA26" s="181"/>
      <c r="DB26" s="181"/>
      <c r="DC26" s="181"/>
      <c r="DD26" s="3444"/>
      <c r="DE26" s="3444"/>
      <c r="DF26" s="3444"/>
      <c r="DG26" s="3444"/>
      <c r="DH26" s="3444"/>
      <c r="DI26" s="3444"/>
      <c r="DJ26" s="3444"/>
      <c r="DK26" s="3444"/>
      <c r="DL26" s="3444"/>
      <c r="DM26" s="3444"/>
      <c r="DN26" s="3444"/>
      <c r="DO26" s="3444"/>
      <c r="DP26" s="3444"/>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GH26" s="414"/>
      <c r="GI26" s="183"/>
      <c r="GJ26" s="185">
        <v>8</v>
      </c>
      <c r="GK26" s="185">
        <f>'Inn forbered'!$BW$23</f>
        <v>0</v>
      </c>
      <c r="GL26" s="185">
        <f>'Inn forbered'!$BW$25</f>
        <v>0</v>
      </c>
      <c r="GM26" s="185">
        <f>'Inn forbered'!$BW$27</f>
        <v>0</v>
      </c>
      <c r="GN26" s="185">
        <f>IF('Inn forbered'!$BW$23="",1,0)</f>
        <v>1</v>
      </c>
      <c r="GO26" s="185">
        <f>IF('Inn forbered'!$BW$25="",1,0)</f>
        <v>1</v>
      </c>
      <c r="GP26" s="185">
        <f>IF('Inn forbered'!$BW$27="",1,0)</f>
        <v>1</v>
      </c>
      <c r="GQ26" s="247">
        <f>inputs_forbe[[#This Row],[Forberedende]]+inputs_forbe[[#This Row],[Portaler]]+inputs_forbe[[#This Row],[Andrearbeider]]</f>
        <v>0</v>
      </c>
      <c r="GR26" s="185"/>
      <c r="IH26" s="1758">
        <v>9</v>
      </c>
      <c r="II26" s="5942" t="e">
        <f>INDEX(outputs_oppsum[kon_metod_no],MATCH($NW$276,outputs_oppsum[stuff_id],0))</f>
        <v>#N/A</v>
      </c>
      <c r="IJ26" s="199" t="b">
        <f>ISBLANK('Inn justeringer'!$CK$30)</f>
        <v>1</v>
      </c>
      <c r="IK26" s="5620">
        <f>'Inn justeringer'!$CK$30</f>
        <v>0</v>
      </c>
      <c r="IL26" s="199" t="b">
        <f>ISBLANK('Inn justeringer'!$CK$36)</f>
        <v>1</v>
      </c>
      <c r="IM26" s="5620" t="str">
        <f>IF($IL$26=TRUE,"",'Inn justeringer'!$CK$36)</f>
        <v/>
      </c>
      <c r="IN26" s="199">
        <f>'Inn justeringer'!$CK$45</f>
        <v>0</v>
      </c>
      <c r="IO26" s="273">
        <f>IF(IN26=$K$76,1,IF(IN26=$K$77,2,IF(IN26=_List!$EG$7,3,0)))</f>
        <v>0</v>
      </c>
      <c r="IP26" s="3835" t="str">
        <f>IF(ISBLANK('Inn justeringer'!$CK$48),"",'Inn justeringer'!$CK$48)</f>
        <v/>
      </c>
      <c r="IQ26" s="199" t="str">
        <f>IF(ISBLANK('Inn justeringer'!$CK$51),"",'Inn justeringer'!$CK$51)</f>
        <v/>
      </c>
      <c r="IR26" s="199" t="str">
        <f>IF(ISBLANK('Inn justeringer'!$CK$60),"",'Inn justeringer'!$CK$60)</f>
        <v/>
      </c>
      <c r="IS26" s="3835" t="str">
        <f>IF(ISBLANK('Inn justeringer'!$CK$63),"",'Inn justeringer'!$CK$63)</f>
        <v/>
      </c>
      <c r="IT26" s="199" t="str">
        <f>IF(ISBLANK('Inn justeringer'!$CK$66),"",'Inn justeringer'!$CK$66)</f>
        <v/>
      </c>
      <c r="IU26" s="199" t="str">
        <f>IF(ISBLANK('Inn justeringer'!$CK$72),"",'Inn justeringer'!$CK$72)</f>
        <v/>
      </c>
      <c r="IV26" s="3835" t="str">
        <f>IF(ISBLANK('Inn justeringer'!$CK$75),"",'Inn justeringer'!$CK$75)</f>
        <v/>
      </c>
      <c r="IW26" s="199" t="str">
        <f>IF(ISBLANK('Inn justeringer'!$CK$78),"",'Inn justeringer'!$CK$78)</f>
        <v/>
      </c>
      <c r="IX26" s="199" t="str">
        <f>IF(ISBLANK('Inn justeringer'!$CK$84),"",'Inn justeringer'!$CK$84)</f>
        <v/>
      </c>
      <c r="IY26" s="3835" t="str">
        <f>IF(ISBLANK('Inn justeringer'!$CK$87),"",'Inn justeringer'!$CK$87)</f>
        <v/>
      </c>
      <c r="IZ26" s="199" t="str">
        <f>IF(ISBLANK('Inn justeringer'!$CK$90),"",'Inn justeringer'!$CK$90)</f>
        <v/>
      </c>
      <c r="JA26" s="199" t="str">
        <f>IF(ISBLANK('Inn justeringer'!$CK$96),"",'Inn justeringer'!$CK$96)</f>
        <v/>
      </c>
      <c r="JB26" s="3835" t="str">
        <f>IF(ISBLANK('Inn justeringer'!$CK$99),"",'Inn justeringer'!$CK$99)</f>
        <v/>
      </c>
      <c r="JC26" s="199" t="str">
        <f>IF(ISBLANK('Inn justeringer'!$CK$102),"",'Inn justeringer'!$CK$102)</f>
        <v/>
      </c>
      <c r="JD26" s="199" t="str">
        <f>IF(ISBLANK('Inn justeringer'!$CK$108),"",'Inn justeringer'!$CK$108)</f>
        <v/>
      </c>
      <c r="JE26" s="3835" t="str">
        <f>IF(ISBLANK('Inn justeringer'!$CK$111),"",'Inn justeringer'!$CK$111)</f>
        <v/>
      </c>
      <c r="JF26" s="199" t="str">
        <f>IF(ISBLANK('Inn justeringer'!$CK$114),"",'Inn justeringer'!$CK$114)</f>
        <v/>
      </c>
      <c r="JG26" s="199" t="str">
        <f>IF(ISBLANK('Inn justeringer'!$CK$120),"",'Inn justeringer'!$CK$120)</f>
        <v/>
      </c>
      <c r="JH26" s="3835" t="str">
        <f>IF(ISBLANK('Inn justeringer'!$CK$123),"",'Inn justeringer'!$CK$123)</f>
        <v/>
      </c>
      <c r="JI26" s="199" t="str">
        <f>IF(ISBLANK('Inn justeringer'!$CK$126),"",'Inn justeringer'!$CK$126)</f>
        <v/>
      </c>
      <c r="JJ26" s="199" t="str">
        <f>IF(ISBLANK('Inn justeringer'!$CK$132),"",'Inn justeringer'!$CK$132)</f>
        <v/>
      </c>
      <c r="JK26" s="3835" t="str">
        <f>IF(ISBLANK('Inn justeringer'!$CK$135),"",'Inn justeringer'!$CK$135)</f>
        <v/>
      </c>
      <c r="JL26" s="199" t="str">
        <f>IF(ISBLANK('Inn justeringer'!$CK$138),"",'Inn justeringer'!$CK$138)</f>
        <v/>
      </c>
      <c r="JM26" s="183"/>
      <c r="JN26" s="183"/>
      <c r="JO26" s="183"/>
      <c r="JP26" s="183"/>
      <c r="JQ26" s="183"/>
      <c r="JR26" s="183"/>
      <c r="JS26" s="183"/>
      <c r="JT26" s="183"/>
      <c r="JU26" s="183"/>
      <c r="JV26" s="183"/>
      <c r="JW26" s="183"/>
      <c r="JX26" s="183"/>
      <c r="JY26" s="183"/>
      <c r="JZ26" s="183"/>
      <c r="KA26" s="183"/>
      <c r="KB26" s="183"/>
      <c r="KC26" s="183"/>
      <c r="KD26" s="183"/>
      <c r="KE26" s="183"/>
      <c r="KF26" s="183"/>
      <c r="KH26" s="183"/>
      <c r="KI26" s="183"/>
      <c r="KJ26" s="183"/>
      <c r="KK26" s="183"/>
      <c r="KL26" s="183"/>
      <c r="KM26" s="183"/>
      <c r="KN26" s="183"/>
      <c r="KO26" s="183"/>
      <c r="KP26" s="183"/>
      <c r="KQ26" s="183"/>
      <c r="KR26" s="183"/>
      <c r="KS26" s="183"/>
      <c r="KT26" s="183"/>
      <c r="KU26" s="183"/>
      <c r="KV26" s="183"/>
      <c r="KW26" s="183"/>
      <c r="KX26" s="183"/>
      <c r="KY26" s="183"/>
      <c r="KZ26" s="183"/>
      <c r="LA26" s="183"/>
      <c r="LB26" s="183"/>
      <c r="LC26" s="183"/>
      <c r="LD26" s="183"/>
      <c r="LE26" s="183"/>
      <c r="LF26" s="183"/>
      <c r="LG26" s="183"/>
      <c r="LH26" s="183"/>
      <c r="LI26" s="183"/>
      <c r="LJ26" s="183"/>
      <c r="LK26" s="183"/>
      <c r="LL26" s="183"/>
      <c r="LM26" s="183"/>
      <c r="LN26" s="183"/>
      <c r="LO26" s="183"/>
      <c r="LP26" s="183"/>
      <c r="LQ26" s="183"/>
      <c r="LR26" s="183"/>
      <c r="LS26" s="183"/>
      <c r="LT26" s="183"/>
      <c r="LU26" s="183"/>
      <c r="LV26" s="183"/>
      <c r="LW26" s="183"/>
      <c r="LX26" s="183"/>
      <c r="LY26" s="183"/>
      <c r="LZ26" s="183"/>
      <c r="MA26" s="183"/>
      <c r="MB26" s="183"/>
      <c r="MC26" s="183"/>
      <c r="MD26" s="183"/>
      <c r="ME26" s="183"/>
      <c r="MF26" s="183"/>
      <c r="MG26" s="183"/>
      <c r="MH26" s="183"/>
      <c r="MI26" s="183"/>
      <c r="MJ26" s="183"/>
      <c r="MK26" s="183"/>
      <c r="ML26" s="183"/>
      <c r="MM26" s="183"/>
      <c r="MN26" s="183"/>
      <c r="MO26" s="183"/>
      <c r="MP26" s="183"/>
      <c r="MQ26" s="183"/>
      <c r="MR26" s="183"/>
      <c r="MS26" s="183"/>
      <c r="MT26" s="183"/>
      <c r="MU26" s="183"/>
      <c r="MV26" s="183"/>
      <c r="MW26" s="183"/>
      <c r="MX26" s="183"/>
      <c r="MY26" s="183"/>
      <c r="MZ26" s="183"/>
      <c r="NA26" s="183"/>
      <c r="NB26" s="183"/>
      <c r="NC26" s="183"/>
      <c r="ND26" s="183"/>
      <c r="NE26" s="183"/>
      <c r="NF26" s="183"/>
      <c r="NG26" s="183"/>
      <c r="NH26" s="183"/>
      <c r="NI26" s="1567"/>
      <c r="NJ26" s="183"/>
      <c r="NK26" s="183"/>
      <c r="NL26" s="471"/>
      <c r="NM26" s="183"/>
      <c r="NN26" s="439" t="str">
        <f>$NO$74</f>
        <v>Stuff 2-4</v>
      </c>
      <c r="NO26" s="451">
        <v>8</v>
      </c>
      <c r="NP26" s="451">
        <f>IF($BC$34&gt;7,1,0)</f>
        <v>0</v>
      </c>
      <c r="NQ26" s="194">
        <f>INDEX(outputs_position[24],MATCH($BC$35,outputs_position[lopstuff],0))</f>
        <v>0</v>
      </c>
      <c r="NR26" s="252" t="str">
        <f t="shared" si="0"/>
        <v>Stuff 2-4</v>
      </c>
      <c r="NS26" s="261">
        <f>IFERROR((INDEX(outputs_spreng[Name],MATCH($NR26,outputs_spreng[lopstuff],0))),0)</f>
        <v>0</v>
      </c>
      <c r="NT26" s="261">
        <f>IFERROR((INDEX(outputs_spreng[Redusertsalvelengde],MATCH($NR26,outputs_spreng[lopstuff],0))),0)</f>
        <v>0</v>
      </c>
      <c r="NU26" s="261">
        <f>IFERROR((INDEX(outputs_spreng[Todelttverrsnitt],MATCH($NR26,outputs_spreng[lopstuff],0))),0)</f>
        <v>0</v>
      </c>
      <c r="NV26" s="261">
        <f>IFERROR((INDEX(outputs_spreng[Redusertsalvelengdeogtodelttverrsnitt],MATCH($NR26,outputs_spreng[lopstuff],0))),0)</f>
        <v>0</v>
      </c>
      <c r="NW26" s="261">
        <f>IFERROR((INDEX(outputs_spreng[Normal],MATCH($NR26,outputs_spreng[lopstuff],0))),0)</f>
        <v>0</v>
      </c>
      <c r="NX26" s="418">
        <f>oppsum_position[[#This Row],[Redusertsalvelengde]]+oppsum_position[[#This Row],[Todelttverrsnitt]]+oppsum_position[[#This Row],[Redusertsalvelengdeogtodelttverrsnitt]]+oppsum_position[[#This Row],[Normal]]</f>
        <v>0</v>
      </c>
      <c r="NY26" s="183"/>
      <c r="NZ26" s="183"/>
      <c r="OA26" s="183"/>
      <c r="OB26" s="183"/>
      <c r="OC26" s="183"/>
      <c r="OD26" s="183"/>
      <c r="OE26" s="183"/>
      <c r="OF26" s="183"/>
      <c r="OG26" s="183"/>
      <c r="OH26" s="183"/>
      <c r="OI26" s="183"/>
      <c r="OJ26" s="183"/>
      <c r="OK26" s="183"/>
      <c r="OL26" s="183"/>
      <c r="OM26" s="183"/>
      <c r="ON26" s="183"/>
      <c r="OO26" s="183"/>
      <c r="OP26" s="183"/>
      <c r="OQ26" s="183"/>
      <c r="OR26" s="183"/>
      <c r="OS26" s="183"/>
      <c r="OT26" s="183"/>
      <c r="OU26" s="183"/>
      <c r="OV26" s="184"/>
      <c r="OW26" s="184"/>
      <c r="OX26" s="184"/>
      <c r="OY26" s="184"/>
      <c r="OZ26" s="184"/>
      <c r="PA26" s="184"/>
      <c r="PB26" s="184"/>
      <c r="PC26" s="184"/>
      <c r="PD26" s="184"/>
      <c r="PE26" s="184"/>
      <c r="PF26" s="184"/>
      <c r="PG26" s="183"/>
      <c r="PH26" s="183"/>
      <c r="PI26" s="183"/>
      <c r="PJ26" s="265"/>
      <c r="PK26" s="265"/>
      <c r="PL26" s="265"/>
      <c r="PM26" s="265"/>
      <c r="PN26" s="265"/>
      <c r="PO26" s="265"/>
      <c r="PP26" s="265"/>
      <c r="PQ26" s="183"/>
      <c r="PR26" s="183"/>
      <c r="PS26" s="183"/>
      <c r="PT26" s="183"/>
      <c r="PU26" s="183"/>
      <c r="PV26" s="183"/>
      <c r="PW26" s="183"/>
      <c r="PX26" s="183"/>
      <c r="PY26" s="183"/>
      <c r="PZ26" s="183"/>
      <c r="QA26" s="183"/>
      <c r="QB26" s="183"/>
      <c r="QC26" s="183"/>
      <c r="QD26" s="183"/>
      <c r="QE26" s="183"/>
      <c r="QF26" s="183"/>
      <c r="QG26" s="183"/>
      <c r="QH26" s="183"/>
      <c r="QI26" s="183"/>
      <c r="QJ26" s="183"/>
      <c r="QK26" s="183"/>
      <c r="QL26" s="183"/>
      <c r="QM26" s="183"/>
      <c r="QU26" s="183"/>
      <c r="QV26" s="183"/>
      <c r="QW26" s="183"/>
      <c r="QX26" s="183"/>
      <c r="QY26" s="183"/>
      <c r="QZ26" s="183"/>
      <c r="RA26" s="183"/>
      <c r="RB26" s="183"/>
      <c r="RC26" s="183"/>
      <c r="RD26" s="183"/>
      <c r="RE26" s="183"/>
      <c r="RF26" s="183"/>
      <c r="RS26" s="183"/>
      <c r="RT26" s="183"/>
      <c r="RU26" s="183"/>
      <c r="VK26" s="265"/>
      <c r="VL26" s="265"/>
      <c r="VM26" s="265"/>
      <c r="VN26" s="265"/>
      <c r="VO26" s="265"/>
      <c r="VP26" s="265"/>
      <c r="VQ26" s="265"/>
    </row>
    <row r="27" spans="2:589" s="2617" customFormat="1" ht="44.25" customHeight="1" x14ac:dyDescent="0.35">
      <c r="B27" s="206" t="s">
        <v>2269</v>
      </c>
      <c r="C27" s="206"/>
      <c r="D27" s="5264" t="s">
        <v>2382</v>
      </c>
      <c r="E27" s="6145"/>
      <c r="H27" s="2625"/>
      <c r="I27" s="5565"/>
      <c r="J27" s="372"/>
      <c r="K27" s="372"/>
      <c r="L27" s="3807" t="s">
        <v>2785</v>
      </c>
      <c r="M27" s="372" t="s">
        <v>2397</v>
      </c>
      <c r="N27" s="372"/>
      <c r="O27" s="185"/>
      <c r="R27" s="242"/>
      <c r="S27" s="242" t="s">
        <v>62</v>
      </c>
      <c r="T27" s="6150"/>
      <c r="AH27" s="183"/>
      <c r="AI27" s="194">
        <v>3</v>
      </c>
      <c r="AJ27" s="201">
        <f>Tunneldrift!AZ139</f>
        <v>0</v>
      </c>
      <c r="AK27" s="194">
        <v>7</v>
      </c>
      <c r="AL27" s="203">
        <f>Tunneldrift!AZ171</f>
        <v>0</v>
      </c>
      <c r="AM27" s="183"/>
      <c r="AN27" s="183"/>
      <c r="BA27" s="183"/>
      <c r="BB27" s="185" t="s">
        <v>268</v>
      </c>
      <c r="BC27" s="185" t="s">
        <v>199</v>
      </c>
      <c r="BD27" s="185" t="s">
        <v>298</v>
      </c>
      <c r="BE27" s="185" t="s">
        <v>219</v>
      </c>
      <c r="BF27" s="185" t="s">
        <v>218</v>
      </c>
      <c r="BG27" s="229" t="s">
        <v>252</v>
      </c>
      <c r="BH27" s="185" t="s">
        <v>217</v>
      </c>
      <c r="BI27" s="188" t="s">
        <v>236</v>
      </c>
      <c r="BJ27" s="206"/>
      <c r="BK27" s="185"/>
      <c r="BL27" s="185" t="s">
        <v>239</v>
      </c>
      <c r="BM27" s="185" t="s">
        <v>238</v>
      </c>
      <c r="BN27" s="242" t="s">
        <v>469</v>
      </c>
      <c r="BO27" s="183"/>
      <c r="BP27" s="183"/>
      <c r="BQ27" s="183"/>
      <c r="BR27" s="183"/>
      <c r="BS27" s="183"/>
      <c r="BT27" s="183"/>
      <c r="BU27" s="183"/>
      <c r="BV27" s="191"/>
      <c r="BW27" s="191"/>
      <c r="BX27" s="191"/>
      <c r="BY27" s="191"/>
      <c r="BZ27" s="191"/>
      <c r="CA27" s="191"/>
      <c r="CB27" s="191"/>
      <c r="CC27" s="191"/>
      <c r="CD27" s="191"/>
      <c r="CE27" s="191"/>
      <c r="CF27" s="191"/>
      <c r="CG27" s="191"/>
      <c r="CH27" s="191"/>
      <c r="CI27" s="191"/>
      <c r="CJ27" s="191"/>
      <c r="CK27" s="191"/>
      <c r="CL27" s="191"/>
      <c r="CM27" s="3437"/>
      <c r="CN27" s="5381" t="str">
        <f>CP22</f>
        <v>Normalsalve</v>
      </c>
      <c r="CO27" s="2625"/>
      <c r="CP27" s="5376" t="str" cm="1">
        <f t="array" ref="CP27:CT27">CP22:CT22</f>
        <v>Normalsalve</v>
      </c>
      <c r="CQ27" s="5376" t="str">
        <v>Nisjer og andre bergrom</v>
      </c>
      <c r="CR27" s="5377" t="str">
        <v>Fullt tverrsnitt –
redusert salvelengde</v>
      </c>
      <c r="CS27" s="5377" t="str">
        <v>Todelt tverrsnitt –
normal salvelengde</v>
      </c>
      <c r="CT27" s="5377" t="str">
        <v>Todelt tverrsnitt –
redusert salvelengde</v>
      </c>
      <c r="CU27" s="181"/>
      <c r="CV27" s="181"/>
      <c r="CW27" s="181"/>
      <c r="CX27" s="181"/>
      <c r="CY27" s="181"/>
      <c r="CZ27" s="181"/>
      <c r="DA27" s="181"/>
      <c r="DB27" s="181"/>
      <c r="DC27" s="181"/>
      <c r="DD27" s="2689"/>
      <c r="DE27" s="2689"/>
      <c r="DF27" s="2689"/>
      <c r="DG27" s="2689"/>
      <c r="DH27" s="2689"/>
      <c r="DI27" s="2689"/>
      <c r="DJ27" s="2689"/>
      <c r="DK27" s="2689"/>
      <c r="DL27" s="2689"/>
      <c r="DM27" s="2689"/>
      <c r="DN27" s="2689"/>
      <c r="DO27" s="2689"/>
      <c r="DP27" s="2689"/>
      <c r="DQ27" s="183"/>
      <c r="DR27" s="355" t="s">
        <v>448</v>
      </c>
      <c r="DS27" s="356"/>
      <c r="DT27" s="356"/>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GH27" s="414"/>
      <c r="GI27" s="183"/>
      <c r="GJ27" s="185">
        <v>9</v>
      </c>
      <c r="GK27" s="185">
        <f>'Inn forbered'!$CE$23</f>
        <v>0</v>
      </c>
      <c r="GL27" s="185">
        <f>'Inn forbered'!$CE$25</f>
        <v>0</v>
      </c>
      <c r="GM27" s="185">
        <f>'Inn forbered'!$CE$27</f>
        <v>0</v>
      </c>
      <c r="GN27" s="185">
        <f>IF('Inn forbered'!$CE$23="",1,0)</f>
        <v>1</v>
      </c>
      <c r="GO27" s="185">
        <f>IF('Inn forbered'!$CE$25="",1,0)</f>
        <v>1</v>
      </c>
      <c r="GP27" s="185">
        <f>IF('Inn forbered'!$CE$27="",1,0)</f>
        <v>1</v>
      </c>
      <c r="GQ27" s="247">
        <f>inputs_forbe[[#This Row],[Forberedende]]+inputs_forbe[[#This Row],[Portaler]]+inputs_forbe[[#This Row],[Andrearbeider]]</f>
        <v>0</v>
      </c>
      <c r="GR27" s="185"/>
      <c r="IH27" s="183"/>
      <c r="II27" s="183"/>
      <c r="IJ27" s="183"/>
      <c r="IK27" s="183"/>
      <c r="IL27" s="183"/>
      <c r="IM27" s="183"/>
      <c r="IN27" s="183"/>
      <c r="IO27" s="183"/>
      <c r="IP27" s="183"/>
      <c r="IQ27" s="183"/>
      <c r="IR27" s="183"/>
      <c r="IS27" s="183"/>
      <c r="IT27" s="183"/>
      <c r="IU27" s="183"/>
      <c r="IV27" s="183"/>
      <c r="IW27" s="183"/>
      <c r="IX27" s="183"/>
      <c r="IY27" s="183"/>
      <c r="IZ27" s="183"/>
      <c r="JA27" s="183"/>
      <c r="JB27" s="183"/>
      <c r="JC27" s="183"/>
      <c r="JD27" s="183"/>
      <c r="JE27" s="183"/>
      <c r="JG27" s="183"/>
      <c r="JH27" s="183"/>
      <c r="JI27" s="183"/>
      <c r="JJ27" s="183"/>
      <c r="JK27" s="183"/>
      <c r="JL27" s="183"/>
      <c r="JM27" s="183"/>
      <c r="JN27" s="183"/>
      <c r="JO27" s="183"/>
      <c r="JP27" s="183"/>
      <c r="JQ27" s="183"/>
      <c r="JR27" s="183"/>
      <c r="JS27" s="183"/>
      <c r="JT27" s="183"/>
      <c r="JU27" s="183"/>
      <c r="JV27" s="183"/>
      <c r="JW27" s="183"/>
      <c r="JX27" s="183"/>
      <c r="JY27" s="183"/>
      <c r="JZ27" s="183"/>
      <c r="KA27" s="183"/>
      <c r="KB27" s="183"/>
      <c r="KC27" s="183"/>
      <c r="KD27" s="183"/>
      <c r="KE27" s="183"/>
      <c r="KF27" s="183"/>
      <c r="KH27" s="183"/>
      <c r="KI27" s="183"/>
      <c r="KJ27" s="183"/>
      <c r="KK27" s="183"/>
      <c r="KL27" s="183"/>
      <c r="KM27" s="183"/>
      <c r="KN27" s="183"/>
      <c r="KO27" s="5277" t="s">
        <v>2276</v>
      </c>
      <c r="KP27" s="5278"/>
      <c r="KQ27" s="5278"/>
      <c r="KR27" s="5242"/>
      <c r="KS27" s="183"/>
      <c r="KT27" s="183"/>
      <c r="KU27" s="183"/>
      <c r="KV27" s="183"/>
      <c r="KW27" s="183"/>
      <c r="KX27" s="183"/>
      <c r="KY27" s="183"/>
      <c r="KZ27" s="183"/>
      <c r="LA27" s="183"/>
      <c r="LB27" s="183"/>
      <c r="LC27" s="183"/>
      <c r="LD27" s="183"/>
      <c r="LE27" s="183"/>
      <c r="LF27" s="183"/>
      <c r="LG27" s="183"/>
      <c r="LH27" s="183"/>
      <c r="LI27" s="183"/>
      <c r="LJ27" s="183"/>
      <c r="LK27" s="183"/>
      <c r="LL27" s="183"/>
      <c r="LM27" s="183"/>
      <c r="LN27" s="183"/>
      <c r="LO27" s="183"/>
      <c r="LP27" s="183"/>
      <c r="LQ27" s="183"/>
      <c r="LR27" s="183"/>
      <c r="LS27" s="183"/>
      <c r="LT27" s="183"/>
      <c r="LU27" s="183"/>
      <c r="LV27" s="183"/>
      <c r="LW27" s="183"/>
      <c r="LX27" s="183"/>
      <c r="LY27" s="183"/>
      <c r="LZ27" s="183"/>
      <c r="MA27" s="183"/>
      <c r="MB27" s="183"/>
      <c r="MC27" s="183"/>
      <c r="MD27" s="183"/>
      <c r="ME27" s="183"/>
      <c r="MF27" s="183"/>
      <c r="MG27" s="183"/>
      <c r="MH27" s="183"/>
      <c r="MI27" s="183"/>
      <c r="MJ27" s="183"/>
      <c r="MK27" s="183"/>
      <c r="ML27" s="183"/>
      <c r="MM27" s="183"/>
      <c r="MN27" s="183"/>
      <c r="MO27" s="183"/>
      <c r="MP27" s="183"/>
      <c r="MQ27" s="183"/>
      <c r="MR27" s="183"/>
      <c r="MS27" s="183"/>
      <c r="MT27" s="183"/>
      <c r="MU27" s="183"/>
      <c r="MV27" s="183"/>
      <c r="MW27" s="183"/>
      <c r="MX27" s="183"/>
      <c r="MY27" s="183"/>
      <c r="MZ27" s="183"/>
      <c r="NA27" s="183"/>
      <c r="NB27" s="183"/>
      <c r="NC27" s="183"/>
      <c r="ND27" s="183"/>
      <c r="NE27" s="183"/>
      <c r="NF27" s="183"/>
      <c r="NG27" s="183"/>
      <c r="NH27" s="183"/>
      <c r="NI27" s="1567"/>
      <c r="NJ27" s="183"/>
      <c r="NK27" s="183"/>
      <c r="NL27" s="471"/>
      <c r="NM27" s="183"/>
      <c r="NN27" s="1269" t="str">
        <f>$QW$135</f>
        <v>Tverrslag</v>
      </c>
      <c r="NO27" s="452">
        <v>9</v>
      </c>
      <c r="NP27" s="452">
        <f>$BC$36</f>
        <v>0</v>
      </c>
      <c r="NQ27" s="194">
        <f>INDEX(outputs_position[Tverrslag],MATCH($BC$35,outputs_position[lopstuff],0))</f>
        <v>0</v>
      </c>
      <c r="NR27" s="258" t="str">
        <f t="shared" si="0"/>
        <v>Tverrslag</v>
      </c>
      <c r="NS27" s="261" t="str">
        <f>IFERROR((INDEX(outputs_spreng[Name],MATCH($NR27,outputs_spreng[lopstuff],0))),0)</f>
        <v>Tverrslag</v>
      </c>
      <c r="NT27" s="261">
        <f>IFERROR((INDEX(outputs_spreng[Redusertsalvelengde],MATCH($NR27,outputs_spreng[lopstuff],0))),0)</f>
        <v>0</v>
      </c>
      <c r="NU27" s="261">
        <f>IFERROR((INDEX(outputs_spreng[Todelttverrsnitt],MATCH($NR27,outputs_spreng[lopstuff],0))),0)</f>
        <v>0</v>
      </c>
      <c r="NV27" s="261">
        <f>IFERROR((INDEX(outputs_spreng[Redusertsalvelengdeogtodelttverrsnitt],MATCH($NR27,outputs_spreng[lopstuff],0))),0)</f>
        <v>0</v>
      </c>
      <c r="NW27" s="261">
        <f>IFERROR((INDEX(outputs_spreng[Normal],MATCH($NR27,outputs_spreng[lopstuff],0))),0)</f>
        <v>0</v>
      </c>
      <c r="NX27" s="418" t="e">
        <f>oppsum_position[[#This Row],[Redusertsalvelengde]]+oppsum_position[[#This Row],[Todelttverrsnitt]]+oppsum_position[[#This Row],[Redusertsalvelengdeogtodelttverrsnitt]]+oppsum_position[[#This Row],[Normal]]</f>
        <v>#VALUE!</v>
      </c>
      <c r="NY27" s="183"/>
      <c r="NZ27" s="183"/>
      <c r="OA27" s="183"/>
      <c r="OB27" s="183"/>
      <c r="OC27" s="183"/>
      <c r="OD27" s="183"/>
      <c r="OE27" s="183"/>
      <c r="OF27" s="183"/>
      <c r="OG27" s="183"/>
      <c r="OH27" s="183"/>
      <c r="OI27" s="183"/>
      <c r="OJ27" s="183"/>
      <c r="OK27" s="183"/>
      <c r="OL27" s="183"/>
      <c r="OM27" s="183"/>
      <c r="ON27" s="183"/>
      <c r="OO27" s="183"/>
      <c r="OP27" s="183"/>
      <c r="OQ27" s="183"/>
      <c r="OR27" s="183"/>
      <c r="OS27" s="183"/>
      <c r="OT27" s="183"/>
      <c r="OU27" s="183"/>
      <c r="OV27" s="184"/>
      <c r="OW27" s="184"/>
      <c r="OX27" s="184"/>
      <c r="OY27" s="184"/>
      <c r="OZ27" s="184"/>
      <c r="PA27" s="184"/>
      <c r="PB27" s="184"/>
      <c r="PC27" s="184"/>
      <c r="PD27" s="184"/>
      <c r="PE27" s="184"/>
      <c r="PF27" s="184"/>
      <c r="PG27" s="183"/>
      <c r="PH27" s="183"/>
      <c r="PI27" s="183"/>
      <c r="PJ27" s="265"/>
      <c r="PK27" s="265"/>
      <c r="PL27" s="265"/>
      <c r="PM27" s="265"/>
      <c r="PN27" s="265"/>
      <c r="PO27" s="265"/>
      <c r="PP27" s="265"/>
      <c r="PQ27" s="183"/>
      <c r="PR27" s="183"/>
      <c r="PS27" s="183"/>
      <c r="PT27" s="183"/>
      <c r="PU27" s="183"/>
      <c r="PV27" s="183"/>
      <c r="PW27" s="183"/>
      <c r="PX27" s="183"/>
      <c r="PY27" s="183"/>
      <c r="PZ27" s="183"/>
      <c r="QA27" s="183"/>
      <c r="QB27" s="183"/>
      <c r="QC27" s="183"/>
      <c r="QD27" s="183"/>
      <c r="QE27" s="183"/>
      <c r="QF27" s="183"/>
      <c r="QG27" s="183"/>
      <c r="QH27" s="183"/>
      <c r="QI27" s="183"/>
      <c r="QJ27" s="183"/>
      <c r="QK27" s="183"/>
      <c r="QL27" s="183"/>
      <c r="QM27" s="183"/>
      <c r="QU27" s="183"/>
      <c r="QV27" s="183"/>
      <c r="QW27" s="183"/>
      <c r="QX27" s="183"/>
      <c r="QY27" s="183"/>
      <c r="QZ27" s="183"/>
      <c r="RA27" s="183"/>
      <c r="RB27" s="183"/>
      <c r="RC27" s="183"/>
      <c r="RD27" s="183"/>
      <c r="RE27" s="183"/>
      <c r="RF27" s="183"/>
      <c r="RS27" s="183"/>
      <c r="RT27" s="183"/>
      <c r="RU27" s="183"/>
      <c r="SZ27" s="183"/>
      <c r="TA27" s="183"/>
      <c r="TB27" s="183"/>
      <c r="TC27" s="183"/>
      <c r="TD27" s="183"/>
      <c r="TE27" s="183"/>
      <c r="TF27" s="183"/>
      <c r="TG27" s="183"/>
      <c r="TH27" s="183"/>
      <c r="TI27" s="183"/>
      <c r="TJ27" s="183"/>
      <c r="TK27" s="183"/>
      <c r="TL27" s="183"/>
      <c r="TM27" s="183"/>
      <c r="TN27" s="183"/>
      <c r="TO27" s="183"/>
      <c r="TP27" s="183"/>
      <c r="TQ27" s="183"/>
      <c r="TR27" s="183"/>
      <c r="TS27" s="183"/>
      <c r="TT27" s="183"/>
      <c r="TU27" s="183"/>
      <c r="TV27" s="183"/>
      <c r="TW27" s="183"/>
      <c r="TX27" s="183"/>
      <c r="TY27" s="183"/>
      <c r="TZ27" s="183"/>
      <c r="UA27" s="183"/>
      <c r="UB27" s="183"/>
      <c r="UC27" s="183"/>
      <c r="UD27" s="183"/>
      <c r="UE27" s="183"/>
      <c r="UF27" s="183"/>
      <c r="UG27" s="183"/>
      <c r="UH27" s="183"/>
      <c r="UI27" s="183"/>
      <c r="UJ27" s="183"/>
      <c r="UK27" s="183"/>
      <c r="UL27" s="183"/>
      <c r="UM27" s="183"/>
      <c r="UN27" s="183"/>
      <c r="UO27" s="183"/>
      <c r="UP27" s="183"/>
      <c r="UQ27" s="183"/>
      <c r="UR27" s="183"/>
      <c r="US27" s="183"/>
      <c r="UT27" s="183"/>
      <c r="UU27" s="183"/>
      <c r="UV27" s="183"/>
      <c r="UW27" s="183"/>
      <c r="UX27" s="183"/>
      <c r="UY27" s="183"/>
      <c r="UZ27" s="183"/>
      <c r="VA27" s="183"/>
      <c r="VB27" s="183"/>
      <c r="VC27" s="183"/>
      <c r="VD27" s="183"/>
      <c r="VE27" s="183"/>
      <c r="VF27" s="183"/>
      <c r="VG27" s="183"/>
      <c r="VH27" s="183"/>
      <c r="VI27" s="183"/>
      <c r="VJ27" s="183"/>
      <c r="VK27" s="183"/>
      <c r="VL27" s="183"/>
      <c r="VM27" s="183"/>
      <c r="VN27" s="183"/>
      <c r="VO27" s="183"/>
      <c r="VP27" s="183"/>
      <c r="VQ27" s="265"/>
    </row>
    <row r="28" spans="2:589" s="2617" customFormat="1" ht="45.75" thickBot="1" x14ac:dyDescent="0.4">
      <c r="B28" s="185" t="s">
        <v>150</v>
      </c>
      <c r="C28" s="185"/>
      <c r="D28" s="5264" t="s">
        <v>2673</v>
      </c>
      <c r="E28" s="6145"/>
      <c r="H28" s="2625"/>
      <c r="I28" s="5565" t="s">
        <v>123</v>
      </c>
      <c r="J28" s="372" t="s">
        <v>2689</v>
      </c>
      <c r="K28" s="3807" t="s">
        <v>123</v>
      </c>
      <c r="L28" s="3807" t="s">
        <v>2777</v>
      </c>
      <c r="M28" s="372" t="s">
        <v>1614</v>
      </c>
      <c r="N28" s="372" t="s">
        <v>2261</v>
      </c>
      <c r="O28" s="185"/>
      <c r="R28" s="242"/>
      <c r="S28" s="242" t="s">
        <v>2632</v>
      </c>
      <c r="T28" s="6150"/>
      <c r="AH28" s="183"/>
      <c r="AI28" s="194">
        <v>4</v>
      </c>
      <c r="AJ28" s="201">
        <f>Tunneldrift!BO139</f>
        <v>0</v>
      </c>
      <c r="AK28" s="194">
        <v>8</v>
      </c>
      <c r="AL28" s="200">
        <f>Tunneldrift!BO171</f>
        <v>0</v>
      </c>
      <c r="AM28" s="183"/>
      <c r="AN28" s="183"/>
      <c r="BA28" s="183"/>
      <c r="BB28" s="185" t="str">
        <f>Tunneldrift!$F$10&amp;Tunneldrift!$F$18</f>
        <v>11</v>
      </c>
      <c r="BC28" s="185" t="str">
        <f>Tunneldrift!$EH$86&amp;Tunneldrift!$F$6</f>
        <v>11A</v>
      </c>
      <c r="BD28" s="185" t="str">
        <f>Tunneldrift!$F$10&amp;Tunneldrift!$F$18&amp;Tunneldrift!$F$13</f>
        <v>111</v>
      </c>
      <c r="BE28" s="185" t="str">
        <f>Tunneldrift!$EH$86&amp;Tunneldrift!$F$65</f>
        <v>110</v>
      </c>
      <c r="BF28" s="185" t="str">
        <f>Tunneldrift!$F$10&amp;Tunneldrift!$F$18&amp;Tunneldrift!$F$13&amp;Tunneldrift!$F$6</f>
        <v>111A</v>
      </c>
      <c r="BG28" s="229" t="str">
        <f>Tunneldrift!$EH$86&amp;Tunneldrift!$F$65&amp;Tunneldrift!$F$13</f>
        <v>1101</v>
      </c>
      <c r="BH28" s="185" t="str">
        <f>Tunneldrift!$F$10&amp;Tunneldrift!$F$18&amp;Tunneldrift!$F$65&amp;Tunneldrift!$F$13</f>
        <v>1101</v>
      </c>
      <c r="BI28" s="188" t="str">
        <f>Tunneldrift!$F$10&amp;Tunneldrift!$F$18&amp;Tunneldrift!$F$65&amp;Tunneldrift!$F$13&amp;Tunneldrift!$F$6</f>
        <v>1101A</v>
      </c>
      <c r="BJ28" s="185" t="str">
        <f>Tunneldrift!$EI$94&amp;Tunneldrift!$F$41</f>
        <v>1101A</v>
      </c>
      <c r="BK28" s="185" t="str">
        <f>Tunneldrift!$EH$94&amp;Tunneldrift!$F$41</f>
        <v>1101</v>
      </c>
      <c r="BL28" s="231" t="str">
        <f>Tunneldrift!$EM$86&amp;Tunneldrift!$F$8</f>
        <v>111A0</v>
      </c>
      <c r="BM28" s="232" t="str">
        <f>Tunneldrift!$EI$94&amp;Tunneldrift!$F$8</f>
        <v>1101A0</v>
      </c>
      <c r="BN28" s="185" t="str">
        <f>(BC28&amp;BC37)</f>
        <v>11A0</v>
      </c>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3431"/>
      <c r="CN28" s="3440" t="s">
        <v>2256</v>
      </c>
      <c r="CO28" s="2625"/>
      <c r="CP28" s="3440" t="s">
        <v>2372</v>
      </c>
      <c r="CQ28" s="3440" t="s">
        <v>2372</v>
      </c>
      <c r="CR28" s="3440" t="s">
        <v>2372</v>
      </c>
      <c r="CS28" s="3440" t="s">
        <v>2372</v>
      </c>
      <c r="CT28" s="3440" t="s">
        <v>2372</v>
      </c>
      <c r="CU28" s="181"/>
      <c r="CV28" s="181"/>
      <c r="CW28" s="181"/>
      <c r="CX28" s="181"/>
      <c r="CY28" s="181"/>
      <c r="CZ28" s="181"/>
      <c r="DA28" s="181"/>
      <c r="DB28" s="181"/>
      <c r="DC28" s="181"/>
      <c r="DD28" s="2625"/>
      <c r="DE28" s="2625"/>
      <c r="DF28" s="2625"/>
      <c r="DG28" s="2625"/>
      <c r="DH28" s="2625"/>
      <c r="DI28" s="2625"/>
      <c r="DJ28" s="2625"/>
      <c r="DK28" s="2625"/>
      <c r="DL28" s="2625"/>
      <c r="DM28" s="2625"/>
      <c r="DN28" s="2625"/>
      <c r="DO28" s="2625"/>
      <c r="DP28" s="2625"/>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GH28" s="3689"/>
      <c r="GJ28" s="185">
        <v>10</v>
      </c>
      <c r="GK28" s="185">
        <f>'Inn forbered'!$CM$23</f>
        <v>0</v>
      </c>
      <c r="GL28" s="185">
        <f>'Inn forbered'!$CM$25</f>
        <v>0</v>
      </c>
      <c r="GM28" s="185">
        <f>'Inn forbered'!$CM$27</f>
        <v>0</v>
      </c>
      <c r="GN28" s="185">
        <f>IF('Inn forbered'!$CM$23="",1,0)</f>
        <v>1</v>
      </c>
      <c r="GO28" s="185">
        <f>IF('Inn forbered'!$CM$25="",1,0)</f>
        <v>1</v>
      </c>
      <c r="GP28" s="185">
        <f>IF('Inn forbered'!$CM$27="",1,0)</f>
        <v>1</v>
      </c>
      <c r="GQ28" s="247">
        <f>inputs_forbe[[#This Row],[Forberedende]]+inputs_forbe[[#This Row],[Portaler]]+inputs_forbe[[#This Row],[Andrearbeider]]</f>
        <v>0</v>
      </c>
      <c r="GR28" s="246"/>
      <c r="GS28" s="183"/>
      <c r="HH28" s="435"/>
      <c r="IH28" s="433"/>
      <c r="II28" s="183"/>
      <c r="IJ28" s="183"/>
      <c r="IK28" s="183"/>
      <c r="IL28" s="183"/>
      <c r="IM28" s="183"/>
      <c r="IN28" s="183"/>
      <c r="IO28" s="183"/>
      <c r="IP28" s="183"/>
      <c r="IQ28" s="183"/>
      <c r="IR28" s="183"/>
      <c r="IS28" s="183"/>
      <c r="IT28" s="183"/>
      <c r="IU28" s="183"/>
      <c r="IV28" s="183"/>
      <c r="IW28" s="183"/>
      <c r="IX28" s="183"/>
      <c r="IY28" s="183"/>
      <c r="IZ28" s="183"/>
      <c r="JA28" s="183"/>
      <c r="JB28" s="183"/>
      <c r="JC28" s="183"/>
      <c r="JD28" s="183"/>
      <c r="JE28" s="183"/>
      <c r="JF28" s="183"/>
      <c r="JG28" s="183"/>
      <c r="JH28" s="183"/>
      <c r="JI28" s="183"/>
      <c r="JJ28" s="183"/>
      <c r="JK28" s="183"/>
      <c r="JL28" s="183"/>
      <c r="JM28" s="183"/>
      <c r="JN28" s="183"/>
      <c r="JO28" s="183"/>
      <c r="JP28" s="183"/>
      <c r="JQ28" s="183"/>
      <c r="JR28" s="183"/>
      <c r="JS28" s="183"/>
      <c r="JT28" s="183"/>
      <c r="JU28" s="183"/>
      <c r="JV28" s="183"/>
      <c r="JW28" s="183"/>
      <c r="JX28" s="183"/>
      <c r="JY28" s="183"/>
      <c r="JZ28" s="183"/>
      <c r="KA28" s="183"/>
      <c r="KB28" s="183"/>
      <c r="KC28" s="183"/>
      <c r="KD28" s="183"/>
      <c r="KE28" s="183"/>
      <c r="KF28" s="183"/>
      <c r="KO28" s="433" t="s">
        <v>2273</v>
      </c>
      <c r="LJ28" s="5258" t="s">
        <v>478</v>
      </c>
      <c r="LK28" s="5258"/>
      <c r="LL28" s="5259"/>
      <c r="LM28" s="5261"/>
      <c r="LN28" s="183"/>
      <c r="LO28" s="183"/>
      <c r="LP28" s="183"/>
      <c r="LQ28" s="183"/>
      <c r="LR28" s="183"/>
      <c r="LS28" s="183"/>
      <c r="LT28" s="183"/>
      <c r="NI28" s="3690"/>
      <c r="NZ28" s="183"/>
      <c r="OA28" s="183"/>
      <c r="OB28" s="183"/>
      <c r="OC28" s="183"/>
      <c r="OD28" s="183"/>
      <c r="OE28" s="183"/>
      <c r="OF28" s="183"/>
      <c r="OG28" s="183"/>
      <c r="OH28" s="183"/>
      <c r="OI28" s="183"/>
      <c r="OJ28" s="183"/>
      <c r="OK28" s="183"/>
      <c r="OL28" s="183"/>
      <c r="OM28" s="183"/>
      <c r="ON28" s="183"/>
      <c r="OO28" s="183"/>
      <c r="OP28" s="183"/>
      <c r="OQ28" s="183"/>
      <c r="OR28" s="183"/>
      <c r="OS28" s="183"/>
      <c r="OT28" s="183"/>
      <c r="OU28" s="183"/>
      <c r="OV28" s="184"/>
      <c r="OW28" s="184"/>
      <c r="OX28" s="184"/>
      <c r="OY28" s="184"/>
      <c r="OZ28" s="184"/>
      <c r="PA28" s="184"/>
      <c r="PB28" s="184"/>
      <c r="PC28" s="184"/>
      <c r="PD28" s="184"/>
      <c r="PE28" s="184"/>
      <c r="PF28" s="184"/>
      <c r="PG28" s="183"/>
      <c r="PH28" s="183"/>
      <c r="PI28" s="183"/>
      <c r="PJ28" s="265"/>
      <c r="PK28" s="265"/>
      <c r="PL28" s="265"/>
      <c r="PM28" s="265"/>
      <c r="PN28" s="265"/>
      <c r="PO28" s="265"/>
      <c r="PP28" s="265"/>
      <c r="PQ28" s="183"/>
      <c r="PR28" s="183"/>
      <c r="PS28" s="183"/>
      <c r="PT28" s="183"/>
      <c r="PU28" s="183"/>
      <c r="PV28" s="183"/>
      <c r="PW28" s="183"/>
      <c r="PX28" s="183"/>
      <c r="PY28" s="183"/>
      <c r="PZ28" s="183"/>
      <c r="QA28" s="183"/>
      <c r="QB28" s="183"/>
      <c r="QC28" s="183"/>
      <c r="QD28" s="183"/>
      <c r="QE28" s="183"/>
      <c r="QF28" s="183"/>
      <c r="QG28" s="183"/>
      <c r="QH28" s="183"/>
      <c r="QI28" s="183"/>
      <c r="QJ28" s="183"/>
      <c r="QK28" s="183"/>
      <c r="QL28" s="183"/>
      <c r="QM28" s="183"/>
      <c r="QU28" s="183"/>
      <c r="QV28" s="183"/>
      <c r="QW28" s="183"/>
      <c r="QX28" s="183"/>
      <c r="QY28" s="183"/>
      <c r="QZ28" s="183"/>
      <c r="RA28" s="183"/>
      <c r="RB28" s="183"/>
      <c r="RC28" s="183"/>
      <c r="RD28" s="183"/>
      <c r="RE28" s="183"/>
      <c r="RF28" s="183"/>
      <c r="RS28" s="183"/>
      <c r="RT28" s="183"/>
      <c r="RU28" s="183"/>
      <c r="SZ28" s="183"/>
      <c r="TA28" s="183"/>
      <c r="TB28" s="183"/>
      <c r="TC28" s="183"/>
      <c r="TD28" s="183"/>
      <c r="TE28" s="183"/>
      <c r="TF28" s="183"/>
      <c r="TG28" s="183"/>
      <c r="TH28" s="183"/>
      <c r="TI28" s="183"/>
      <c r="TJ28" s="183"/>
      <c r="TK28" s="183"/>
      <c r="TL28" s="183"/>
      <c r="TM28" s="183"/>
      <c r="TN28" s="183"/>
      <c r="TO28" s="183"/>
      <c r="TP28" s="183"/>
      <c r="TQ28" s="183"/>
      <c r="TR28" s="183"/>
      <c r="TS28" s="183"/>
      <c r="TT28" s="183"/>
      <c r="TU28" s="183"/>
      <c r="TV28" s="183"/>
      <c r="TW28" s="183"/>
      <c r="TX28" s="183"/>
      <c r="TY28" s="183"/>
      <c r="TZ28" s="183"/>
      <c r="UA28" s="183"/>
      <c r="UB28" s="183"/>
      <c r="UC28" s="183"/>
      <c r="UD28" s="183"/>
      <c r="UE28" s="183"/>
      <c r="UF28" s="183"/>
      <c r="UG28" s="183"/>
      <c r="UH28" s="183"/>
      <c r="UI28" s="183"/>
      <c r="UJ28" s="183"/>
      <c r="UK28" s="183"/>
      <c r="UL28" s="183"/>
      <c r="UM28" s="183"/>
      <c r="UN28" s="183"/>
      <c r="UO28" s="183"/>
      <c r="UP28" s="183"/>
      <c r="UQ28" s="183"/>
      <c r="UR28" s="183"/>
      <c r="US28" s="183"/>
      <c r="UT28" s="183"/>
      <c r="UU28" s="183"/>
      <c r="UV28" s="183"/>
      <c r="UW28" s="183"/>
      <c r="UX28" s="183"/>
      <c r="UY28" s="183"/>
      <c r="UZ28" s="183"/>
      <c r="VA28" s="183"/>
      <c r="VB28" s="183"/>
      <c r="VC28" s="183"/>
      <c r="VD28" s="183"/>
      <c r="VE28" s="183"/>
      <c r="VF28" s="183"/>
      <c r="VG28" s="183"/>
      <c r="VH28" s="183"/>
      <c r="VI28" s="183"/>
      <c r="VJ28" s="183"/>
      <c r="VK28" s="183"/>
      <c r="VL28" s="183"/>
      <c r="VM28" s="183"/>
      <c r="VN28" s="183"/>
      <c r="VO28" s="183"/>
      <c r="VP28" s="183"/>
      <c r="VQ28" s="265"/>
    </row>
    <row r="29" spans="2:589" s="2617" customFormat="1" ht="38.25" customHeight="1" thickBot="1" x14ac:dyDescent="0.25">
      <c r="B29" s="206" t="s">
        <v>309</v>
      </c>
      <c r="C29" s="206"/>
      <c r="D29" s="5264" t="s">
        <v>2626</v>
      </c>
      <c r="E29" s="6145"/>
      <c r="H29" s="2625"/>
      <c r="I29" s="5565"/>
      <c r="J29" s="372"/>
      <c r="K29" s="3807"/>
      <c r="L29" s="3807"/>
      <c r="M29" s="3807" t="s">
        <v>1201</v>
      </c>
      <c r="N29" s="372"/>
      <c r="O29" s="185"/>
      <c r="R29" s="242"/>
      <c r="S29" s="242" t="s">
        <v>2633</v>
      </c>
      <c r="T29" s="6150"/>
      <c r="AH29" s="183"/>
      <c r="AI29" s="183"/>
      <c r="AJ29" s="183"/>
      <c r="AK29" s="183"/>
      <c r="AL29" s="183"/>
      <c r="AM29" s="183"/>
      <c r="AN29" s="183"/>
      <c r="BA29" s="183"/>
      <c r="BB29" s="185"/>
      <c r="BC29" s="185"/>
      <c r="BD29" s="185"/>
      <c r="BE29" s="185"/>
      <c r="BF29" s="185"/>
      <c r="BG29" s="185"/>
      <c r="BH29" s="185"/>
      <c r="BI29" s="185" t="str">
        <f>Tunneldrift!$F$6</f>
        <v>A</v>
      </c>
      <c r="BJ29" s="185"/>
      <c r="BK29" s="185"/>
      <c r="BL29" s="185"/>
      <c r="BM29" s="185"/>
      <c r="BN29" s="185"/>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5382" t="s">
        <v>2395</v>
      </c>
      <c r="CN29" s="5382" t="e">
        <f>(0.0007*($CN$14^2))-(0.4385*$CN$14)+99.475</f>
        <v>#VALUE!</v>
      </c>
      <c r="CO29" s="2625"/>
      <c r="CP29" s="6257" t="str">
        <f>IFERROR(CN14*CN29/$CN$16,"!")</f>
        <v>!</v>
      </c>
      <c r="CQ29" s="6257" t="str">
        <f t="shared" ref="CQ29:CT30" si="1">IFERROR($CP29*CQ$24,"!")</f>
        <v>!</v>
      </c>
      <c r="CR29" s="6257" t="str">
        <f t="shared" si="1"/>
        <v>!</v>
      </c>
      <c r="CS29" s="6257" t="str">
        <f t="shared" si="1"/>
        <v>!</v>
      </c>
      <c r="CT29" s="6257" t="str">
        <f t="shared" si="1"/>
        <v>!</v>
      </c>
      <c r="CU29" s="181"/>
      <c r="CV29" s="181"/>
      <c r="CW29" s="181"/>
      <c r="CX29" s="181"/>
      <c r="CY29" s="181"/>
      <c r="CZ29" s="181"/>
      <c r="DA29" s="181"/>
      <c r="DB29" s="181"/>
      <c r="DC29" s="181"/>
      <c r="DD29" s="2625"/>
      <c r="DE29" s="2625"/>
      <c r="DF29" s="2625"/>
      <c r="DG29" s="2625"/>
      <c r="DH29" s="2625"/>
      <c r="DI29" s="2625"/>
      <c r="DJ29" s="2625"/>
      <c r="DK29" s="2625"/>
      <c r="DL29" s="2625"/>
      <c r="DM29" s="2625"/>
      <c r="DN29" s="2625"/>
      <c r="DO29" s="2625"/>
      <c r="DP29" s="2625"/>
      <c r="DQ29" s="183"/>
      <c r="DR29" s="183"/>
      <c r="DS29" s="185" t="s">
        <v>289</v>
      </c>
      <c r="DT29" s="183"/>
      <c r="DU29" s="183"/>
      <c r="DV29" s="183"/>
      <c r="DW29" s="183"/>
      <c r="DX29" s="183"/>
      <c r="DY29" s="183"/>
      <c r="DZ29" s="183"/>
      <c r="EA29" s="183"/>
      <c r="EB29" s="183"/>
      <c r="EC29" s="183"/>
      <c r="ED29" s="183"/>
      <c r="EE29" s="191"/>
      <c r="EF29" s="191"/>
      <c r="EG29" s="191"/>
      <c r="EH29" s="183"/>
      <c r="EI29" s="183"/>
      <c r="EJ29" s="183"/>
      <c r="EK29" s="183"/>
      <c r="EL29" s="183"/>
      <c r="EM29" s="183"/>
      <c r="EN29" s="183"/>
      <c r="EO29" s="183"/>
      <c r="EP29" s="183"/>
      <c r="GH29" s="3689"/>
      <c r="GJ29" s="183"/>
      <c r="GK29" s="183"/>
      <c r="GL29" s="183"/>
      <c r="GM29" s="183"/>
      <c r="GN29" s="183"/>
      <c r="GO29" s="183"/>
      <c r="GP29" s="183"/>
      <c r="GQ29" s="183"/>
      <c r="GR29" s="183"/>
      <c r="GS29" s="183"/>
      <c r="HH29" s="7212" t="s">
        <v>694</v>
      </c>
      <c r="HI29" s="7212"/>
      <c r="HJ29" s="7212"/>
      <c r="HK29" s="7212"/>
      <c r="HL29" s="7212"/>
      <c r="HM29" s="7212"/>
      <c r="IH29" s="5434" t="s">
        <v>1607</v>
      </c>
      <c r="II29" s="5433" t="s">
        <v>18</v>
      </c>
      <c r="IJ29" s="183"/>
      <c r="IK29" s="183"/>
      <c r="IL29" s="183"/>
      <c r="IM29" s="183"/>
      <c r="IN29" s="183"/>
      <c r="IO29" s="183"/>
      <c r="IP29" s="183"/>
      <c r="IQ29" s="183"/>
      <c r="IR29" s="183"/>
      <c r="IS29" s="183"/>
      <c r="IT29" s="183"/>
      <c r="IU29" s="183"/>
      <c r="IV29" s="183"/>
      <c r="IW29" s="183"/>
      <c r="IX29" s="183"/>
      <c r="IY29" s="183"/>
      <c r="IZ29" s="183"/>
      <c r="JA29" s="183"/>
      <c r="JB29" s="183"/>
      <c r="JC29" s="183"/>
      <c r="JD29" s="183"/>
      <c r="JE29" s="183"/>
      <c r="JF29" s="183"/>
      <c r="JG29" s="183"/>
      <c r="JH29" s="183"/>
      <c r="JI29" s="183"/>
      <c r="JJ29" s="183"/>
      <c r="JK29" s="183"/>
      <c r="JL29" s="183"/>
      <c r="JM29" s="183"/>
      <c r="JN29" s="183"/>
      <c r="JO29" s="183"/>
      <c r="JP29" s="183"/>
      <c r="JQ29" s="183"/>
      <c r="JR29" s="183"/>
      <c r="JS29" s="183"/>
      <c r="JT29" s="183"/>
      <c r="JU29" s="183"/>
      <c r="JV29" s="183"/>
      <c r="JW29" s="183"/>
      <c r="JX29" s="183"/>
      <c r="JY29" s="183"/>
      <c r="JZ29" s="183"/>
      <c r="KA29" s="183"/>
      <c r="KB29" s="183"/>
      <c r="KC29" s="183"/>
      <c r="KD29" s="183"/>
      <c r="KE29" s="183"/>
      <c r="KF29" s="183"/>
      <c r="KO29" s="5232" t="s">
        <v>2274</v>
      </c>
      <c r="LJ29" s="183"/>
      <c r="LK29" s="183"/>
      <c r="LL29" s="183"/>
      <c r="LM29" s="183"/>
      <c r="LN29" s="183"/>
      <c r="LO29" s="183"/>
      <c r="LP29" s="183"/>
      <c r="LQ29" s="183"/>
      <c r="LR29" s="183"/>
      <c r="LS29" s="183"/>
      <c r="LT29" s="183"/>
      <c r="NI29" s="3690"/>
      <c r="NZ29" s="183"/>
      <c r="OA29" s="183"/>
      <c r="OB29" s="183"/>
      <c r="OC29" s="183"/>
      <c r="OD29" s="183"/>
      <c r="OE29" s="183"/>
      <c r="OF29" s="183"/>
      <c r="OG29" s="183"/>
      <c r="OH29" s="183"/>
      <c r="OI29" s="183"/>
      <c r="OJ29" s="183"/>
      <c r="OK29" s="183"/>
      <c r="OL29" s="183"/>
      <c r="OM29" s="183"/>
      <c r="ON29" s="183"/>
      <c r="OO29" s="183"/>
      <c r="OP29" s="183"/>
      <c r="OQ29" s="183"/>
      <c r="OR29" s="183"/>
      <c r="OS29" s="183"/>
      <c r="OT29" s="183"/>
      <c r="OU29" s="183"/>
      <c r="OV29" s="184"/>
      <c r="OW29" s="184"/>
      <c r="OX29" s="184"/>
      <c r="OY29" s="184"/>
      <c r="OZ29" s="184"/>
      <c r="PA29" s="184"/>
      <c r="PB29" s="184"/>
      <c r="PC29" s="184"/>
      <c r="PD29" s="184"/>
      <c r="PE29" s="184"/>
      <c r="PF29" s="184"/>
      <c r="PG29" s="183"/>
      <c r="PH29" s="183"/>
      <c r="PI29" s="183"/>
      <c r="PJ29" s="265"/>
      <c r="PK29" s="265"/>
      <c r="PL29" s="265"/>
      <c r="PM29" s="265"/>
      <c r="PN29" s="265"/>
      <c r="PO29" s="265"/>
      <c r="PP29" s="265"/>
      <c r="PQ29" s="183"/>
      <c r="PR29" s="183"/>
      <c r="PS29" s="183"/>
      <c r="PT29" s="183"/>
      <c r="PU29" s="183"/>
      <c r="PV29" s="183"/>
      <c r="PW29" s="183"/>
      <c r="PX29" s="183"/>
      <c r="PY29" s="183"/>
      <c r="PZ29" s="183"/>
      <c r="QA29" s="183"/>
      <c r="QB29" s="183"/>
      <c r="QC29" s="183"/>
      <c r="QD29" s="183"/>
      <c r="QE29" s="183"/>
      <c r="QF29" s="183"/>
      <c r="QG29" s="183"/>
      <c r="QH29" s="183"/>
      <c r="QI29" s="183"/>
      <c r="QJ29" s="183"/>
      <c r="QK29" s="183"/>
      <c r="QL29" s="183"/>
      <c r="QM29" s="183"/>
      <c r="QU29" s="183"/>
      <c r="QV29" s="183"/>
      <c r="QW29" s="183"/>
      <c r="QX29" s="183"/>
      <c r="QY29" s="183"/>
      <c r="QZ29" s="183"/>
      <c r="RA29" s="183"/>
      <c r="RB29" s="183"/>
      <c r="RC29" s="183"/>
      <c r="RD29" s="183"/>
      <c r="RE29" s="183"/>
      <c r="RF29" s="183"/>
      <c r="RS29" s="183"/>
      <c r="RT29" s="183"/>
      <c r="RU29" s="183"/>
      <c r="SZ29" s="183"/>
      <c r="UG29" s="183"/>
      <c r="UH29" s="183"/>
      <c r="UI29" s="183"/>
      <c r="UJ29" s="183"/>
      <c r="UK29" s="183"/>
      <c r="UL29" s="183"/>
      <c r="UM29" s="183"/>
      <c r="UN29" s="183"/>
      <c r="UO29" s="5734"/>
      <c r="UP29" s="5734"/>
      <c r="UQ29" s="5734"/>
      <c r="UR29" s="5734"/>
      <c r="US29" s="5734"/>
      <c r="UT29" s="5734"/>
      <c r="UU29" s="5734"/>
      <c r="UV29" s="5734"/>
      <c r="UX29" s="5734"/>
      <c r="UY29" s="5734"/>
      <c r="UZ29" s="5734"/>
      <c r="VA29" s="5734"/>
      <c r="VB29" s="5734"/>
      <c r="VC29" s="5734"/>
      <c r="VD29" s="5734"/>
      <c r="VE29" s="5734"/>
      <c r="VF29" s="5734"/>
      <c r="VG29" s="5734"/>
      <c r="VH29" s="5734"/>
      <c r="VI29" s="5734"/>
      <c r="VJ29" s="5734"/>
      <c r="VK29" s="5734"/>
      <c r="VL29" s="5734"/>
      <c r="VM29" s="5734"/>
      <c r="VN29" s="5734"/>
      <c r="VO29" s="5734"/>
      <c r="VP29" s="5734"/>
      <c r="VQ29" s="265"/>
    </row>
    <row r="30" spans="2:589" s="2617" customFormat="1" ht="36" customHeight="1" x14ac:dyDescent="0.2">
      <c r="B30" s="206"/>
      <c r="C30" s="206" t="s">
        <v>1608</v>
      </c>
      <c r="D30" s="5264" t="s">
        <v>2383</v>
      </c>
      <c r="E30" s="184"/>
      <c r="H30" s="2625"/>
      <c r="I30" s="5565"/>
      <c r="J30" s="372"/>
      <c r="K30" s="372"/>
      <c r="L30" s="372"/>
      <c r="M30" s="372" t="s">
        <v>1202</v>
      </c>
      <c r="N30" s="372"/>
      <c r="O30" s="185"/>
      <c r="R30" s="242"/>
      <c r="S30" s="242"/>
      <c r="T30" s="6150"/>
      <c r="AH30" s="183"/>
      <c r="AI30" s="183"/>
      <c r="AJ30" s="183"/>
      <c r="AK30" s="183"/>
      <c r="AL30" s="183"/>
      <c r="AM30" s="183"/>
      <c r="AN30" s="183"/>
      <c r="BA30" s="183"/>
      <c r="BB30" s="183"/>
      <c r="BC30" s="183"/>
      <c r="BD30" s="183"/>
      <c r="BE30" s="183"/>
      <c r="BF30" s="183"/>
      <c r="BG30" s="183"/>
      <c r="BH30" s="183"/>
      <c r="BI30" s="184"/>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5382" t="s">
        <v>2394</v>
      </c>
      <c r="CN30" s="5382" t="e">
        <f>(0.0007*($CN$15^2))-(0.4385*$CN$15)+99.475</f>
        <v>#VALUE!</v>
      </c>
      <c r="CO30" s="2625"/>
      <c r="CP30" s="6257" t="str">
        <f>IFERROR(CN15*CN30/$CN$16,"!")</f>
        <v>!</v>
      </c>
      <c r="CQ30" s="6257" t="str">
        <f t="shared" si="1"/>
        <v>!</v>
      </c>
      <c r="CR30" s="6257" t="str">
        <f t="shared" si="1"/>
        <v>!</v>
      </c>
      <c r="CS30" s="6257" t="str">
        <f t="shared" si="1"/>
        <v>!</v>
      </c>
      <c r="CT30" s="6257" t="str">
        <f t="shared" si="1"/>
        <v>!</v>
      </c>
      <c r="CU30" s="181"/>
      <c r="CV30" s="181"/>
      <c r="CW30" s="181"/>
      <c r="CX30" s="181"/>
      <c r="CY30" s="181"/>
      <c r="CZ30" s="181"/>
      <c r="DA30" s="181"/>
      <c r="DB30" s="181"/>
      <c r="DC30" s="181"/>
      <c r="DD30" s="2625"/>
      <c r="DE30" s="2625"/>
      <c r="DF30" s="2625"/>
      <c r="DG30" s="2625"/>
      <c r="DH30" s="2625"/>
      <c r="DI30" s="2625"/>
      <c r="DJ30" s="2625"/>
      <c r="DK30" s="2625"/>
      <c r="DL30" s="2625"/>
      <c r="DM30" s="2625"/>
      <c r="DN30" s="2625"/>
      <c r="DO30" s="2625"/>
      <c r="DP30" s="2625"/>
      <c r="DQ30" s="183"/>
      <c r="DR30" s="183"/>
      <c r="DS30" s="305" t="s">
        <v>0</v>
      </c>
      <c r="DT30" s="300"/>
      <c r="DU30" s="300"/>
      <c r="DV30" s="301" t="s">
        <v>75</v>
      </c>
      <c r="DW30" s="301"/>
      <c r="DX30" s="301"/>
      <c r="DY30" s="301"/>
      <c r="DZ30" s="302" t="s">
        <v>76</v>
      </c>
      <c r="EA30" s="302"/>
      <c r="EB30" s="302"/>
      <c r="EC30" s="302"/>
      <c r="ED30" s="183"/>
      <c r="EE30" s="183"/>
      <c r="EF30" s="183"/>
      <c r="EG30" s="183"/>
      <c r="EH30" s="183"/>
      <c r="EI30" s="183"/>
      <c r="EJ30" s="183"/>
      <c r="EK30" s="183"/>
      <c r="EL30" s="183"/>
      <c r="EM30" s="183"/>
      <c r="EN30" s="183"/>
      <c r="EO30" s="183"/>
      <c r="EP30" s="183"/>
      <c r="GH30" s="3689"/>
      <c r="GN30" s="183"/>
      <c r="GO30" s="183"/>
      <c r="GP30" s="183"/>
      <c r="GQ30" s="183"/>
      <c r="GR30" s="183"/>
      <c r="GS30" s="183"/>
      <c r="HH30" s="7212"/>
      <c r="HI30" s="7212"/>
      <c r="HJ30" s="7212"/>
      <c r="HK30" s="7212"/>
      <c r="HL30" s="7212"/>
      <c r="HM30" s="7212"/>
      <c r="IH30" s="183"/>
      <c r="II30" s="183"/>
      <c r="IJ30" s="183"/>
      <c r="IK30" s="183"/>
      <c r="IL30" s="183"/>
      <c r="IM30" s="183"/>
      <c r="IN30" s="183"/>
      <c r="IO30" s="183"/>
      <c r="IP30" s="183"/>
      <c r="IQ30" s="183"/>
      <c r="IR30" s="183"/>
      <c r="IS30" s="183"/>
      <c r="IT30" s="183"/>
      <c r="IU30" s="183"/>
      <c r="IV30" s="183"/>
      <c r="IW30" s="183"/>
      <c r="IX30" s="183"/>
      <c r="IY30" s="183"/>
      <c r="IZ30" s="183"/>
      <c r="JA30" s="183"/>
      <c r="JB30" s="183"/>
      <c r="JC30" s="183"/>
      <c r="JD30" s="183"/>
      <c r="JE30" s="183"/>
      <c r="JF30" s="183"/>
      <c r="JG30" s="183"/>
      <c r="JH30" s="183"/>
      <c r="JI30" s="183"/>
      <c r="JJ30" s="183"/>
      <c r="JK30" s="183"/>
      <c r="JL30" s="183"/>
      <c r="JM30" s="183"/>
      <c r="JN30" s="183"/>
      <c r="JO30" s="183"/>
      <c r="JP30" s="183"/>
      <c r="JQ30" s="183"/>
      <c r="JR30" s="183"/>
      <c r="JS30" s="183"/>
      <c r="JT30" s="183"/>
      <c r="JU30" s="183"/>
      <c r="JV30" s="183"/>
      <c r="JW30" s="183"/>
      <c r="JX30" s="183"/>
      <c r="JY30" s="183"/>
      <c r="JZ30" s="183"/>
      <c r="KA30" s="183"/>
      <c r="KB30" s="183"/>
      <c r="KC30" s="183"/>
      <c r="KD30" s="183"/>
      <c r="KE30" s="183"/>
      <c r="KF30" s="183"/>
      <c r="LJ30" s="433" t="s">
        <v>2325</v>
      </c>
      <c r="LK30" s="183"/>
      <c r="LL30" s="183"/>
      <c r="LM30" s="183"/>
      <c r="LN30" s="183"/>
      <c r="LO30" s="183"/>
      <c r="LP30" s="183"/>
      <c r="LQ30" s="183"/>
      <c r="LR30" s="183"/>
      <c r="LS30" s="183"/>
      <c r="LT30" s="183"/>
      <c r="NI30" s="3690"/>
      <c r="NZ30" s="183"/>
      <c r="OA30" s="183"/>
      <c r="OB30" s="183"/>
      <c r="OC30" s="183"/>
      <c r="OD30" s="183"/>
      <c r="OE30" s="183"/>
      <c r="OF30" s="183"/>
      <c r="OG30" s="183"/>
      <c r="OH30" s="183"/>
      <c r="OI30" s="183"/>
      <c r="OJ30" s="183"/>
      <c r="OK30" s="183"/>
      <c r="OL30" s="183"/>
      <c r="OM30" s="183"/>
      <c r="ON30" s="183"/>
      <c r="OO30" s="183"/>
      <c r="OP30" s="183"/>
      <c r="OQ30" s="183"/>
      <c r="OR30" s="183"/>
      <c r="OS30" s="183"/>
      <c r="OT30" s="183"/>
      <c r="OU30" s="183"/>
      <c r="OV30" s="184"/>
      <c r="OW30" s="184"/>
      <c r="OX30" s="184"/>
      <c r="OY30" s="184"/>
      <c r="OZ30" s="184"/>
      <c r="PA30" s="184"/>
      <c r="PB30" s="184"/>
      <c r="PC30" s="184"/>
      <c r="PD30" s="184"/>
      <c r="PE30" s="184"/>
      <c r="PF30" s="184"/>
      <c r="PG30" s="183"/>
      <c r="PH30" s="183"/>
      <c r="PI30" s="183"/>
      <c r="PJ30" s="265"/>
      <c r="PK30" s="265"/>
      <c r="PL30" s="265"/>
      <c r="PM30" s="265"/>
      <c r="PN30" s="265"/>
      <c r="PO30" s="265"/>
      <c r="PP30" s="265"/>
      <c r="PQ30" s="183"/>
      <c r="PR30" s="183"/>
      <c r="PS30" s="183"/>
      <c r="PT30" s="183"/>
      <c r="PU30" s="183"/>
      <c r="PV30" s="183"/>
      <c r="PW30" s="183"/>
      <c r="PX30" s="183"/>
      <c r="PY30" s="183"/>
      <c r="PZ30" s="183"/>
      <c r="QA30" s="183"/>
      <c r="QB30" s="183"/>
      <c r="QC30" s="183"/>
      <c r="QD30" s="183"/>
      <c r="QE30" s="183"/>
      <c r="QF30" s="183"/>
      <c r="QG30" s="183"/>
      <c r="QH30" s="183"/>
      <c r="QI30" s="183"/>
      <c r="QJ30" s="183"/>
      <c r="QK30" s="183"/>
      <c r="QL30" s="183"/>
      <c r="QM30" s="183"/>
      <c r="QU30" s="183"/>
      <c r="QV30" s="183"/>
      <c r="QW30" s="183"/>
      <c r="QX30" s="183"/>
      <c r="QY30" s="183"/>
      <c r="QZ30" s="183"/>
      <c r="RA30" s="183"/>
      <c r="RB30" s="183"/>
      <c r="RC30" s="183"/>
      <c r="RD30" s="183"/>
      <c r="RE30" s="183"/>
      <c r="RF30" s="183"/>
      <c r="RS30" s="183"/>
      <c r="RT30" s="183"/>
      <c r="RU30" s="183"/>
      <c r="SZ30" s="183"/>
      <c r="UG30" s="183"/>
      <c r="UH30" s="183"/>
      <c r="UI30" s="183"/>
      <c r="VN30" s="183"/>
      <c r="VO30" s="183"/>
      <c r="VP30" s="183"/>
      <c r="VQ30" s="265"/>
    </row>
    <row r="31" spans="2:589" s="2617" customFormat="1" ht="27.75" customHeight="1" thickBot="1" x14ac:dyDescent="0.35">
      <c r="B31" s="206"/>
      <c r="C31" s="206"/>
      <c r="D31" s="199"/>
      <c r="E31" s="6145"/>
      <c r="H31" s="2625"/>
      <c r="I31" s="5565"/>
      <c r="J31" s="372"/>
      <c r="K31" s="372"/>
      <c r="L31" s="372"/>
      <c r="M31" s="372" t="s">
        <v>1203</v>
      </c>
      <c r="N31" s="372"/>
      <c r="O31" s="185"/>
      <c r="R31" s="242"/>
      <c r="S31" s="242" t="s">
        <v>67</v>
      </c>
      <c r="T31" s="6150"/>
      <c r="AH31" s="283" t="s">
        <v>383</v>
      </c>
      <c r="AI31" s="183"/>
      <c r="AJ31" s="183"/>
      <c r="AK31" s="183"/>
      <c r="AL31" s="183"/>
      <c r="AM31" s="183"/>
      <c r="AN31" s="183"/>
      <c r="BA31" s="183"/>
      <c r="BB31" s="433" t="s">
        <v>2279</v>
      </c>
      <c r="BG31" s="3461" t="s">
        <v>1009</v>
      </c>
      <c r="BJ31" s="3461" t="s">
        <v>258</v>
      </c>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5375"/>
      <c r="CN31" s="5375"/>
      <c r="CO31" s="5375"/>
      <c r="CP31" s="5375"/>
      <c r="CQ31" s="5375"/>
      <c r="CR31" s="5375"/>
      <c r="CS31" s="5375"/>
      <c r="CT31" s="181"/>
      <c r="CU31" s="181"/>
      <c r="CV31" s="181"/>
      <c r="CW31" s="181"/>
      <c r="CX31" s="181"/>
      <c r="CY31" s="181"/>
      <c r="CZ31" s="181"/>
      <c r="DA31" s="181"/>
      <c r="DB31" s="181"/>
      <c r="DC31" s="181"/>
      <c r="DD31" s="2625"/>
      <c r="DE31" s="2625"/>
      <c r="DF31" s="2625"/>
      <c r="DG31" s="2625"/>
      <c r="DH31" s="2625"/>
      <c r="DI31" s="2625"/>
      <c r="DJ31" s="2625"/>
      <c r="DK31" s="2625"/>
      <c r="DL31" s="2625"/>
      <c r="DM31" s="2625"/>
      <c r="DN31" s="2625"/>
      <c r="DO31" s="2625"/>
      <c r="DP31" s="2625"/>
      <c r="DQ31" s="183"/>
      <c r="DR31" s="249" t="s">
        <v>285</v>
      </c>
      <c r="DS31" s="248" t="s">
        <v>0</v>
      </c>
      <c r="DT31" s="248" t="s">
        <v>1</v>
      </c>
      <c r="DU31" s="248" t="s">
        <v>2</v>
      </c>
      <c r="DV31" s="248" t="s">
        <v>300</v>
      </c>
      <c r="DW31" s="248" t="s">
        <v>301</v>
      </c>
      <c r="DX31" s="248" t="s">
        <v>302</v>
      </c>
      <c r="DY31" s="248" t="s">
        <v>303</v>
      </c>
      <c r="DZ31" s="248" t="s">
        <v>304</v>
      </c>
      <c r="EA31" s="248" t="s">
        <v>305</v>
      </c>
      <c r="EB31" s="248" t="s">
        <v>306</v>
      </c>
      <c r="EC31" s="250" t="s">
        <v>307</v>
      </c>
      <c r="ED31" s="183"/>
      <c r="EE31" s="183"/>
      <c r="EF31" s="183"/>
      <c r="EG31" s="183"/>
      <c r="EH31" s="183"/>
      <c r="EI31" s="183"/>
      <c r="EJ31" s="183"/>
      <c r="EK31" s="183"/>
      <c r="EL31" s="183"/>
      <c r="EM31" s="183"/>
      <c r="EN31" s="183"/>
      <c r="EO31" s="183"/>
      <c r="EP31" s="183"/>
      <c r="GH31" s="3689"/>
      <c r="HH31" s="435"/>
      <c r="HI31" s="183"/>
      <c r="HJ31" s="183"/>
      <c r="IH31" s="183"/>
      <c r="II31" s="183"/>
      <c r="IJ31" s="183"/>
      <c r="IK31" s="183"/>
      <c r="IL31" s="183"/>
      <c r="IM31" s="183"/>
      <c r="IN31" s="183"/>
      <c r="IO31" s="183"/>
      <c r="IP31" s="183"/>
      <c r="IQ31" s="183"/>
      <c r="IR31" s="183"/>
      <c r="IS31" s="183"/>
      <c r="IT31" s="183"/>
      <c r="IU31" s="183"/>
      <c r="IV31" s="183"/>
      <c r="IW31" s="183"/>
      <c r="IX31" s="183"/>
      <c r="IY31" s="183"/>
      <c r="IZ31" s="183"/>
      <c r="JA31" s="183"/>
      <c r="JB31" s="183"/>
      <c r="JC31" s="183"/>
      <c r="JD31" s="183"/>
      <c r="JY31" s="183"/>
      <c r="JZ31" s="183"/>
      <c r="KA31" s="183"/>
      <c r="KB31" s="183"/>
      <c r="KC31" s="183"/>
      <c r="KD31" s="183"/>
      <c r="KE31" s="183"/>
      <c r="KF31" s="183"/>
      <c r="KS31" s="5242"/>
      <c r="KT31" s="5242"/>
      <c r="LJ31" s="183"/>
      <c r="LK31" s="183"/>
      <c r="LL31" s="183"/>
      <c r="LM31" s="183"/>
      <c r="LN31" s="183"/>
      <c r="LO31" s="183"/>
      <c r="LP31" s="183"/>
      <c r="LQ31" s="183"/>
      <c r="LR31" s="183"/>
      <c r="LS31" s="183"/>
      <c r="LT31" s="183"/>
      <c r="NI31" s="3690"/>
      <c r="NN31" s="400" t="s">
        <v>561</v>
      </c>
      <c r="NO31" s="401"/>
      <c r="NP31" s="401"/>
      <c r="NQ31" s="402"/>
      <c r="NR31" s="403" t="s">
        <v>362</v>
      </c>
      <c r="NS31" s="401"/>
      <c r="NT31" s="402"/>
      <c r="NU31" s="404" t="s">
        <v>412</v>
      </c>
      <c r="NZ31" s="183"/>
      <c r="OA31" s="183"/>
      <c r="OB31" s="183"/>
      <c r="OC31" s="183"/>
      <c r="OD31" s="183"/>
      <c r="OE31" s="183"/>
      <c r="OF31" s="183"/>
      <c r="OG31" s="183"/>
      <c r="OH31" s="183"/>
      <c r="OI31" s="183"/>
      <c r="OJ31" s="183"/>
      <c r="OK31" s="183"/>
      <c r="OL31" s="183"/>
      <c r="OM31" s="183"/>
      <c r="ON31" s="183"/>
      <c r="OO31" s="183"/>
      <c r="OP31" s="183"/>
      <c r="OQ31" s="183"/>
      <c r="OR31" s="183"/>
      <c r="OS31" s="183"/>
      <c r="OT31" s="183"/>
      <c r="OU31" s="183"/>
      <c r="OV31" s="184"/>
      <c r="OW31" s="184"/>
      <c r="OX31" s="184"/>
      <c r="OY31" s="184"/>
      <c r="OZ31" s="184"/>
      <c r="PA31" s="184"/>
      <c r="PB31" s="184"/>
      <c r="PC31" s="184"/>
      <c r="PD31" s="184"/>
      <c r="PE31" s="184"/>
      <c r="PF31" s="184"/>
      <c r="PG31" s="183"/>
      <c r="PH31" s="183"/>
      <c r="PI31" s="183"/>
      <c r="PJ31" s="265"/>
      <c r="PK31" s="265"/>
      <c r="PL31" s="265"/>
      <c r="PM31" s="265"/>
      <c r="PN31" s="265"/>
      <c r="PO31" s="265"/>
      <c r="PP31" s="265"/>
      <c r="PQ31" s="183"/>
      <c r="PR31" s="183"/>
      <c r="PS31" s="183"/>
      <c r="PT31" s="183"/>
      <c r="PU31" s="183"/>
      <c r="PV31" s="183"/>
      <c r="PW31" s="183"/>
      <c r="PX31" s="183"/>
      <c r="PY31" s="183"/>
      <c r="PZ31" s="183"/>
      <c r="QA31" s="183"/>
      <c r="QB31" s="183"/>
      <c r="QC31" s="183"/>
      <c r="QD31" s="183"/>
      <c r="QE31" s="183"/>
      <c r="QF31" s="183"/>
      <c r="QG31" s="183"/>
      <c r="QH31" s="183"/>
      <c r="QI31" s="183"/>
      <c r="QJ31" s="183"/>
      <c r="QK31" s="183"/>
      <c r="QL31" s="183"/>
      <c r="QM31" s="183"/>
      <c r="QU31" s="183"/>
      <c r="QV31" s="183"/>
      <c r="QW31" s="183"/>
      <c r="QX31" s="183"/>
      <c r="QY31" s="183"/>
      <c r="QZ31" s="183"/>
      <c r="RA31" s="183"/>
      <c r="RB31" s="183"/>
      <c r="RC31" s="183"/>
      <c r="RD31" s="183"/>
      <c r="RE31" s="183"/>
      <c r="RF31" s="183"/>
      <c r="RS31" s="183"/>
      <c r="RT31" s="183"/>
      <c r="RU31" s="183"/>
      <c r="SZ31" s="183"/>
      <c r="UG31" s="183"/>
      <c r="UH31" s="183"/>
      <c r="UI31" s="183"/>
      <c r="VN31" s="183"/>
      <c r="VO31" s="183"/>
      <c r="VP31" s="183"/>
      <c r="VQ31" s="265"/>
    </row>
    <row r="32" spans="2:589" s="2617" customFormat="1" ht="30" customHeight="1" x14ac:dyDescent="0.2">
      <c r="B32" s="185" t="s">
        <v>859</v>
      </c>
      <c r="C32" s="206" t="s">
        <v>1594</v>
      </c>
      <c r="D32" s="5264" t="s">
        <v>2384</v>
      </c>
      <c r="E32" s="6145"/>
      <c r="H32" s="2625"/>
      <c r="I32" s="5565"/>
      <c r="J32" s="372"/>
      <c r="K32" s="372"/>
      <c r="L32" s="372"/>
      <c r="M32" s="372" t="s">
        <v>1204</v>
      </c>
      <c r="N32" s="372"/>
      <c r="O32" s="185"/>
      <c r="R32" s="242"/>
      <c r="S32" s="242" t="s">
        <v>2721</v>
      </c>
      <c r="T32" s="6150"/>
      <c r="AH32" s="183"/>
      <c r="AI32" s="183"/>
      <c r="AJ32" s="183"/>
      <c r="AK32" s="183"/>
      <c r="AL32" s="183"/>
      <c r="AM32" s="183"/>
      <c r="AN32" s="183"/>
      <c r="BA32" s="183"/>
      <c r="BB32" s="5247" t="s">
        <v>2278</v>
      </c>
      <c r="BD32" s="183"/>
      <c r="BE32" s="183"/>
      <c r="BF32" s="183"/>
      <c r="BG32" s="3550" t="str">
        <f>Prosjektinfo!F83</f>
        <v>Løp tunnellengde</v>
      </c>
      <c r="BH32" s="3551">
        <f>Prosjektinfo!$Q$83</f>
        <v>0</v>
      </c>
      <c r="BI32" s="184"/>
      <c r="BJ32" s="3550"/>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5375"/>
      <c r="CN32" s="5375"/>
      <c r="CO32" s="5375"/>
      <c r="CP32" s="5375"/>
      <c r="CQ32" s="5375"/>
      <c r="CR32" s="5375"/>
      <c r="CS32" s="5375"/>
      <c r="DQ32" s="183"/>
      <c r="DR32" s="235">
        <v>1</v>
      </c>
      <c r="DS32" s="199">
        <f>'Inn foran'!$X$26</f>
        <v>0</v>
      </c>
      <c r="DT32" s="199">
        <f>'Inn foran'!$X$28</f>
        <v>0</v>
      </c>
      <c r="DU32" s="199">
        <f>'Inn foran'!$X$32</f>
        <v>0</v>
      </c>
      <c r="DV32" s="234">
        <f>'Inn foran'!$X$42</f>
        <v>0</v>
      </c>
      <c r="DW32" s="199">
        <f>'Inn foran'!$X$44</f>
        <v>0</v>
      </c>
      <c r="DX32" s="234">
        <f>'Inn foran'!$X$46</f>
        <v>0</v>
      </c>
      <c r="DY32" s="199"/>
      <c r="DZ32" s="234">
        <f>'Inn foran'!$X$53</f>
        <v>0</v>
      </c>
      <c r="EA32" s="199">
        <f>'Inn foran'!$X$55</f>
        <v>0</v>
      </c>
      <c r="EB32" s="199">
        <f>'Inn foran'!$X$57</f>
        <v>0</v>
      </c>
      <c r="EC32" s="236"/>
      <c r="ED32" s="183"/>
      <c r="EE32" s="183"/>
      <c r="EF32" s="183"/>
      <c r="EG32" s="183"/>
      <c r="EH32" s="183"/>
      <c r="EI32" s="183"/>
      <c r="EJ32" s="183"/>
      <c r="EK32" s="183"/>
      <c r="EL32" s="183"/>
      <c r="EM32" s="183"/>
      <c r="EN32" s="183"/>
      <c r="EO32" s="183"/>
      <c r="EP32" s="183"/>
      <c r="GH32" s="3689"/>
      <c r="GJ32" s="2617" t="s">
        <v>1238</v>
      </c>
      <c r="GM32" s="2617" t="s">
        <v>1248</v>
      </c>
      <c r="GP32" s="2617" t="s">
        <v>1249</v>
      </c>
      <c r="IH32" s="183"/>
      <c r="II32" s="183"/>
      <c r="IJ32" s="183"/>
      <c r="IK32" s="183"/>
      <c r="IL32" s="183"/>
      <c r="IM32" s="183"/>
      <c r="IN32" s="183"/>
      <c r="IO32" s="183"/>
      <c r="IP32" s="183"/>
      <c r="IQ32" s="183"/>
      <c r="IR32" s="183"/>
      <c r="IS32" s="183"/>
      <c r="IT32" s="183"/>
      <c r="IU32" s="183"/>
      <c r="IV32" s="183"/>
      <c r="IW32" s="183"/>
      <c r="IX32" s="183"/>
      <c r="IY32" s="183"/>
      <c r="IZ32" s="183"/>
      <c r="JA32" s="183"/>
      <c r="JB32" s="183"/>
      <c r="JC32" s="183"/>
      <c r="JD32" s="183"/>
      <c r="JY32" s="183"/>
      <c r="JZ32" s="183"/>
      <c r="KA32" s="183"/>
      <c r="KB32" s="183"/>
      <c r="KC32" s="183"/>
      <c r="KD32" s="183"/>
      <c r="KE32" s="183"/>
      <c r="KF32" s="183"/>
      <c r="LJ32" s="1172" t="s">
        <v>2329</v>
      </c>
      <c r="LK32" s="5250" t="b">
        <f>ISBLANK(Tunneldrift!$AD$39)</f>
        <v>1</v>
      </c>
      <c r="LT32" s="183"/>
      <c r="NI32" s="3690"/>
      <c r="NZ32" s="183"/>
      <c r="OA32" s="183"/>
      <c r="OB32" s="183"/>
      <c r="OC32" s="183"/>
      <c r="OD32" s="183"/>
      <c r="OE32" s="183"/>
      <c r="OF32" s="183"/>
      <c r="OG32" s="183"/>
      <c r="OH32" s="183"/>
      <c r="OI32" s="183"/>
      <c r="OJ32" s="183"/>
      <c r="OK32" s="183"/>
      <c r="OL32" s="183"/>
      <c r="OM32" s="183"/>
      <c r="ON32" s="183"/>
      <c r="OO32" s="183"/>
      <c r="OP32" s="183"/>
      <c r="OQ32" s="183"/>
      <c r="OR32" s="183"/>
      <c r="OS32" s="183"/>
      <c r="OT32" s="183"/>
      <c r="OU32" s="183"/>
      <c r="OV32" s="184"/>
      <c r="OW32" s="184"/>
      <c r="OX32" s="184"/>
      <c r="OY32" s="184"/>
      <c r="OZ32" s="184"/>
      <c r="PA32" s="184"/>
      <c r="PB32" s="184"/>
      <c r="PC32" s="184"/>
      <c r="PD32" s="184"/>
      <c r="PE32" s="184"/>
      <c r="PF32" s="184"/>
      <c r="PG32" s="183"/>
      <c r="PH32" s="183"/>
      <c r="PI32" s="183"/>
      <c r="PJ32" s="265"/>
      <c r="PK32" s="265"/>
      <c r="PL32" s="265"/>
      <c r="PM32" s="265"/>
      <c r="PN32" s="265"/>
      <c r="PO32" s="265"/>
      <c r="PP32" s="265"/>
      <c r="PQ32" s="183"/>
      <c r="PR32" s="183"/>
      <c r="PS32" s="183"/>
      <c r="PT32" s="183"/>
      <c r="PU32" s="183"/>
      <c r="PV32" s="183"/>
      <c r="PW32" s="183"/>
      <c r="PX32" s="183"/>
      <c r="PY32" s="183"/>
      <c r="PZ32" s="183"/>
      <c r="QA32" s="183"/>
      <c r="QB32" s="183"/>
      <c r="QC32" s="183"/>
      <c r="QD32" s="183"/>
      <c r="QE32" s="183"/>
      <c r="QF32" s="183"/>
      <c r="QG32" s="183"/>
      <c r="QH32" s="183"/>
      <c r="QI32" s="183"/>
      <c r="QJ32" s="183"/>
      <c r="QK32" s="183"/>
      <c r="QL32" s="183"/>
      <c r="QM32" s="183"/>
      <c r="QU32" s="183"/>
      <c r="QV32" s="183"/>
      <c r="QW32" s="183"/>
      <c r="QX32" s="183"/>
      <c r="QY32" s="183"/>
      <c r="QZ32" s="183"/>
      <c r="RA32" s="183"/>
      <c r="RB32" s="183"/>
      <c r="RC32" s="183"/>
      <c r="RD32" s="183"/>
      <c r="RE32" s="183"/>
      <c r="RF32" s="183"/>
      <c r="RS32" s="183"/>
      <c r="RT32" s="183"/>
      <c r="RU32" s="183"/>
      <c r="SZ32" s="183"/>
      <c r="UG32" s="183"/>
      <c r="UH32" s="183"/>
      <c r="UI32" s="183"/>
      <c r="VN32" s="183"/>
      <c r="VO32" s="183"/>
      <c r="VP32" s="183"/>
      <c r="VQ32" s="265"/>
    </row>
    <row r="33" spans="2:604" s="2617" customFormat="1" ht="30" customHeight="1" thickBot="1" x14ac:dyDescent="0.25">
      <c r="B33" s="185"/>
      <c r="C33" s="206" t="s">
        <v>1603</v>
      </c>
      <c r="D33" s="5264" t="s">
        <v>2385</v>
      </c>
      <c r="E33" s="184"/>
      <c r="H33" s="2625"/>
      <c r="I33" s="5565"/>
      <c r="J33" s="372"/>
      <c r="K33" s="372"/>
      <c r="L33" s="372"/>
      <c r="M33" s="372" t="s">
        <v>1205</v>
      </c>
      <c r="N33" s="372"/>
      <c r="O33" s="185"/>
      <c r="R33" s="242"/>
      <c r="S33" s="242" t="s">
        <v>2722</v>
      </c>
      <c r="T33" s="6150"/>
      <c r="AH33" s="183"/>
      <c r="AI33" s="184"/>
      <c r="AJ33" s="184"/>
      <c r="AK33" s="184"/>
      <c r="AL33" s="184"/>
      <c r="AM33" s="183"/>
      <c r="AN33" s="183"/>
      <c r="BA33" s="183"/>
      <c r="BB33" s="272" t="s">
        <v>333</v>
      </c>
      <c r="BC33" s="222">
        <f>Tunneldrift!$F$10</f>
        <v>1</v>
      </c>
      <c r="BD33" s="183"/>
      <c r="BE33" s="183"/>
      <c r="BF33" s="183"/>
      <c r="BG33" s="3552" t="str">
        <f>Prosjektinfo!F90</f>
        <v>Løp 2 tunnellengde</v>
      </c>
      <c r="BH33" s="3553">
        <f>IF(Prosjektinfo!$AC$90="",0,Prosjektinfo!$AC$90)</f>
        <v>0</v>
      </c>
      <c r="BI33" s="184"/>
      <c r="BJ33" s="3552"/>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5375"/>
      <c r="CN33" s="5375"/>
      <c r="CO33" s="5375"/>
      <c r="CP33" s="5375"/>
      <c r="CQ33" s="5375"/>
      <c r="CR33" s="5375"/>
      <c r="CS33" s="5375"/>
      <c r="DQ33" s="183"/>
      <c r="DR33" s="235">
        <v>2</v>
      </c>
      <c r="DS33" s="199">
        <f>'Inn foran'!AF26</f>
        <v>0</v>
      </c>
      <c r="DT33" s="199">
        <f>'Inn foran'!AF28</f>
        <v>0</v>
      </c>
      <c r="DU33" s="199">
        <f>'Inn foran'!AF32</f>
        <v>0</v>
      </c>
      <c r="DV33" s="234">
        <f>'Inn foran'!AF42</f>
        <v>0</v>
      </c>
      <c r="DW33" s="199">
        <f>'Inn foran'!AF44</f>
        <v>0</v>
      </c>
      <c r="DX33" s="199">
        <f>'Inn foran'!AF46</f>
        <v>0</v>
      </c>
      <c r="DY33" s="199"/>
      <c r="DZ33" s="234">
        <f>'Inn foran'!AF53</f>
        <v>0</v>
      </c>
      <c r="EA33" s="199">
        <f>'Inn foran'!AF55</f>
        <v>0</v>
      </c>
      <c r="EB33" s="199">
        <f>'Inn foran'!AF57</f>
        <v>0</v>
      </c>
      <c r="EC33" s="193"/>
      <c r="ED33" s="183"/>
      <c r="EE33" s="183"/>
      <c r="EF33" s="183"/>
      <c r="EG33" s="183"/>
      <c r="EH33" s="183"/>
      <c r="EI33" s="183"/>
      <c r="EJ33" s="183"/>
      <c r="EK33" s="183"/>
      <c r="EL33" s="183"/>
      <c r="EM33" s="183"/>
      <c r="EN33" s="183"/>
      <c r="EO33" s="183"/>
      <c r="EP33" s="183"/>
      <c r="GH33" s="3689"/>
      <c r="IH33" s="1765" t="s">
        <v>763</v>
      </c>
      <c r="II33" s="3402"/>
      <c r="IJ33" s="3402"/>
      <c r="IK33" s="183"/>
      <c r="IL33" s="183"/>
      <c r="IM33" s="183"/>
      <c r="IN33" s="183"/>
      <c r="IO33" s="183"/>
      <c r="IP33" s="183"/>
      <c r="IQ33" s="183"/>
      <c r="IR33" s="183"/>
      <c r="IS33" s="183"/>
      <c r="IT33" s="183"/>
      <c r="IU33" s="183"/>
      <c r="IV33" s="183"/>
      <c r="IW33" s="183"/>
      <c r="IX33" s="183"/>
      <c r="IY33" s="183"/>
      <c r="IZ33" s="183"/>
      <c r="JA33" s="183"/>
      <c r="JB33" s="183"/>
      <c r="JC33" s="183"/>
      <c r="JD33" s="183"/>
      <c r="JY33" s="183"/>
      <c r="JZ33" s="183"/>
      <c r="KA33" s="183"/>
      <c r="KB33" s="183"/>
      <c r="KC33" s="183"/>
      <c r="KD33" s="183"/>
      <c r="KE33" s="183"/>
      <c r="KF33" s="183"/>
      <c r="KO33" s="5243" t="s">
        <v>2275</v>
      </c>
      <c r="KP33" s="5239" t="s">
        <v>398</v>
      </c>
      <c r="KQ33" s="5239" t="s">
        <v>399</v>
      </c>
      <c r="KR33" s="5239" t="s">
        <v>400</v>
      </c>
      <c r="KS33" s="5239" t="s">
        <v>401</v>
      </c>
      <c r="KT33" s="5239" t="s">
        <v>402</v>
      </c>
      <c r="KU33" s="5239" t="s">
        <v>403</v>
      </c>
      <c r="KV33" s="5239" t="s">
        <v>404</v>
      </c>
      <c r="KW33" s="5240" t="s">
        <v>405</v>
      </c>
      <c r="LJ33" s="1172" t="s">
        <v>2326</v>
      </c>
      <c r="LK33" s="5250">
        <f>BC42</f>
        <v>1</v>
      </c>
      <c r="LL33" s="2625"/>
      <c r="LM33" s="5290" t="s">
        <v>2327</v>
      </c>
      <c r="LN33" s="207"/>
      <c r="LO33" s="207"/>
      <c r="LP33" s="207"/>
      <c r="LQ33" s="207"/>
      <c r="LR33" s="207"/>
      <c r="LS33" s="207"/>
      <c r="LT33" s="183"/>
      <c r="NI33" s="3690"/>
      <c r="NZ33" s="183"/>
      <c r="OA33" s="183"/>
      <c r="OB33" s="183"/>
      <c r="OC33" s="183"/>
      <c r="OD33" s="183"/>
      <c r="OE33" s="183"/>
      <c r="OF33" s="183"/>
      <c r="OG33" s="183"/>
      <c r="OH33" s="183"/>
      <c r="OI33" s="183"/>
      <c r="OJ33" s="183"/>
      <c r="OK33" s="183"/>
      <c r="OL33" s="183"/>
      <c r="OM33" s="183"/>
      <c r="ON33" s="183"/>
      <c r="OO33" s="183"/>
      <c r="OP33" s="183"/>
      <c r="OQ33" s="183"/>
      <c r="OR33" s="183"/>
      <c r="OS33" s="183"/>
      <c r="OT33" s="183"/>
      <c r="OU33" s="183"/>
      <c r="OV33" s="184"/>
      <c r="OW33" s="184"/>
      <c r="OX33" s="184"/>
      <c r="OY33" s="184"/>
      <c r="OZ33" s="184"/>
      <c r="PA33" s="184"/>
      <c r="PB33" s="184"/>
      <c r="PC33" s="184"/>
      <c r="PD33" s="184"/>
      <c r="PE33" s="184"/>
      <c r="PF33" s="184"/>
      <c r="PG33" s="183"/>
      <c r="PH33" s="183"/>
      <c r="PI33" s="183"/>
      <c r="PJ33" s="265"/>
      <c r="PK33" s="265"/>
      <c r="PL33" s="265"/>
      <c r="PM33" s="265"/>
      <c r="PN33" s="265"/>
      <c r="PO33" s="265"/>
      <c r="PP33" s="265"/>
      <c r="PQ33" s="183"/>
      <c r="PR33" s="183"/>
      <c r="PS33" s="183"/>
      <c r="PT33" s="183"/>
      <c r="PU33" s="183"/>
      <c r="PV33" s="183"/>
      <c r="PW33" s="183"/>
      <c r="PX33" s="183"/>
      <c r="PY33" s="183"/>
      <c r="PZ33" s="183"/>
      <c r="QA33" s="183"/>
      <c r="QB33" s="183"/>
      <c r="QC33" s="183"/>
      <c r="QD33" s="183"/>
      <c r="QE33" s="183"/>
      <c r="QF33" s="183"/>
      <c r="QG33" s="183"/>
      <c r="QH33" s="183"/>
      <c r="QI33" s="183"/>
      <c r="QJ33" s="183"/>
      <c r="QK33" s="183"/>
      <c r="QL33" s="183"/>
      <c r="QM33" s="183"/>
      <c r="QU33" s="183"/>
      <c r="QV33" s="183"/>
      <c r="QW33" s="183"/>
      <c r="QX33" s="183"/>
      <c r="QY33" s="183"/>
      <c r="QZ33" s="183"/>
      <c r="RA33" s="183"/>
      <c r="RB33" s="183"/>
      <c r="RC33" s="183"/>
      <c r="RD33" s="183"/>
      <c r="RE33" s="183"/>
      <c r="RF33" s="183"/>
      <c r="RS33" s="183"/>
      <c r="RT33" s="183"/>
      <c r="RU33" s="183"/>
      <c r="SZ33" s="183"/>
      <c r="UG33" s="183"/>
      <c r="UH33" s="183"/>
      <c r="UI33" s="183"/>
      <c r="VN33" s="183"/>
      <c r="VO33" s="183"/>
      <c r="VP33" s="183"/>
      <c r="VQ33" s="265"/>
    </row>
    <row r="34" spans="2:604" s="2617" customFormat="1" ht="30" customHeight="1" x14ac:dyDescent="0.25">
      <c r="B34" s="206"/>
      <c r="C34" s="206"/>
      <c r="D34" s="199"/>
      <c r="E34" s="184"/>
      <c r="H34" s="2625"/>
      <c r="I34" s="5565"/>
      <c r="J34" s="2691" t="s">
        <v>2637</v>
      </c>
      <c r="K34" s="372"/>
      <c r="L34" s="372"/>
      <c r="M34" s="372" t="s">
        <v>2763</v>
      </c>
      <c r="N34" s="2617" t="s">
        <v>2634</v>
      </c>
      <c r="O34" s="185"/>
      <c r="R34" s="242"/>
      <c r="S34" s="242" t="s">
        <v>1636</v>
      </c>
      <c r="T34" s="6150"/>
      <c r="AH34" s="5364" t="s">
        <v>201</v>
      </c>
      <c r="AI34" s="3849">
        <v>1</v>
      </c>
      <c r="AJ34" s="3850" t="e">
        <f>IF($AI$14&lt;&gt;"",AJ25/$AI$44,0)</f>
        <v>#DIV/0!</v>
      </c>
      <c r="AK34" s="183"/>
      <c r="AL34" s="183"/>
      <c r="BA34" s="183"/>
      <c r="BB34" s="272" t="s">
        <v>280</v>
      </c>
      <c r="BC34" s="222">
        <f>Tunneldrift!$F$18</f>
        <v>1</v>
      </c>
      <c r="BD34" s="183"/>
      <c r="BE34" s="183"/>
      <c r="BF34" s="183"/>
      <c r="BG34" s="3552" t="s">
        <v>574</v>
      </c>
      <c r="BH34" s="3553">
        <f>BH32+BH33</f>
        <v>0</v>
      </c>
      <c r="BI34" s="184"/>
      <c r="BJ34" s="3552"/>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5375"/>
      <c r="CN34" s="5375"/>
      <c r="CO34" s="5375"/>
      <c r="CP34" s="5375"/>
      <c r="CQ34" s="5375"/>
      <c r="CR34" s="5375"/>
      <c r="CS34" s="5375"/>
      <c r="CT34" s="2625"/>
      <c r="CU34" s="2625"/>
      <c r="CV34" s="2625"/>
      <c r="CW34" s="2625"/>
      <c r="CX34" s="2625"/>
      <c r="CY34" s="2625"/>
      <c r="CZ34" s="2625"/>
      <c r="DA34" s="2625"/>
      <c r="DB34" s="2625"/>
      <c r="DC34" s="2625"/>
      <c r="DD34" s="2625"/>
      <c r="DE34" s="2625"/>
      <c r="DF34" s="2625"/>
      <c r="DG34" s="2625"/>
      <c r="DH34" s="2625"/>
      <c r="DI34" s="2625"/>
      <c r="DJ34" s="2625"/>
      <c r="DK34" s="2625"/>
      <c r="DL34" s="2625"/>
      <c r="DM34" s="2625"/>
      <c r="DN34" s="2625"/>
      <c r="DO34" s="2625"/>
      <c r="DP34" s="2625"/>
      <c r="DQ34" s="183"/>
      <c r="DR34" s="235">
        <v>3</v>
      </c>
      <c r="DS34" s="199">
        <f>'Inn foran'!$AN$26</f>
        <v>0</v>
      </c>
      <c r="DT34" s="199">
        <f>'Inn foran'!$AN$28</f>
        <v>0</v>
      </c>
      <c r="DU34" s="199">
        <f>'Inn foran'!$AN$32</f>
        <v>0</v>
      </c>
      <c r="DV34" s="234">
        <f>'Inn foran'!$AN$42</f>
        <v>0</v>
      </c>
      <c r="DW34" s="199">
        <f>'Inn foran'!$AN$44</f>
        <v>0</v>
      </c>
      <c r="DX34" s="234">
        <f>'Inn foran'!$AN$46</f>
        <v>0</v>
      </c>
      <c r="DY34" s="199"/>
      <c r="DZ34" s="234">
        <f>'Inn foran'!$AN$53</f>
        <v>0</v>
      </c>
      <c r="EA34" s="199">
        <f>'Inn foran'!$AN$55</f>
        <v>0</v>
      </c>
      <c r="EB34" s="199">
        <f>'Inn foran'!$AN$57</f>
        <v>0</v>
      </c>
      <c r="EC34" s="236"/>
      <c r="ED34" s="183"/>
      <c r="EE34" s="183"/>
      <c r="EF34" s="183"/>
      <c r="EG34" s="183"/>
      <c r="EH34" s="183"/>
      <c r="EI34" s="183"/>
      <c r="EJ34" s="183"/>
      <c r="EK34" s="183"/>
      <c r="EL34" s="183"/>
      <c r="EM34" s="183"/>
      <c r="EN34" s="183"/>
      <c r="EO34" s="183"/>
      <c r="EP34" s="183"/>
      <c r="ER34" s="283" t="s">
        <v>355</v>
      </c>
      <c r="ES34" s="183"/>
      <c r="ET34" s="183"/>
      <c r="EU34" s="183"/>
      <c r="EV34" s="183"/>
      <c r="EW34" s="183"/>
      <c r="EX34" s="183"/>
      <c r="EY34" s="183"/>
      <c r="EZ34" s="183"/>
      <c r="FA34" s="183"/>
      <c r="FB34" s="183"/>
      <c r="FC34" s="183"/>
      <c r="FD34" s="183"/>
      <c r="FE34" s="183"/>
      <c r="FF34" s="183"/>
      <c r="FG34" s="183"/>
      <c r="FH34" s="183"/>
      <c r="FI34" s="183"/>
      <c r="FJ34" s="183"/>
      <c r="FK34" s="183"/>
      <c r="FL34" s="183"/>
      <c r="FM34" s="183"/>
      <c r="FN34" s="183"/>
      <c r="GH34" s="3689"/>
      <c r="GJ34" s="249" t="s">
        <v>48</v>
      </c>
      <c r="GK34" s="247" t="s">
        <v>1239</v>
      </c>
      <c r="GL34" s="247" t="s">
        <v>475</v>
      </c>
      <c r="GM34" s="247" t="s">
        <v>1246</v>
      </c>
      <c r="GN34" s="247" t="s">
        <v>1257</v>
      </c>
      <c r="GO34" s="247" t="s">
        <v>1247</v>
      </c>
      <c r="GP34" s="247" t="s">
        <v>1259</v>
      </c>
      <c r="GQ34" s="315" t="s">
        <v>1252</v>
      </c>
      <c r="GR34" s="2617" t="s">
        <v>1251</v>
      </c>
      <c r="HH34" s="3691" t="s">
        <v>199</v>
      </c>
      <c r="HI34" s="3692" t="s">
        <v>519</v>
      </c>
      <c r="HJ34" s="3692" t="s">
        <v>523</v>
      </c>
      <c r="HK34" s="3692" t="s">
        <v>695</v>
      </c>
      <c r="HL34" s="3692" t="s">
        <v>696</v>
      </c>
      <c r="HM34" s="3692" t="s">
        <v>697</v>
      </c>
      <c r="HN34" s="3692" t="s">
        <v>698</v>
      </c>
      <c r="HO34" s="3692" t="s">
        <v>699</v>
      </c>
      <c r="HP34" s="3692" t="s">
        <v>700</v>
      </c>
      <c r="HQ34" s="3692" t="s">
        <v>701</v>
      </c>
      <c r="HR34" s="3692" t="s">
        <v>520</v>
      </c>
      <c r="HS34" s="3692" t="s">
        <v>524</v>
      </c>
      <c r="HT34" s="3692" t="s">
        <v>702</v>
      </c>
      <c r="HU34" s="3692" t="s">
        <v>703</v>
      </c>
      <c r="HV34" s="3692" t="s">
        <v>704</v>
      </c>
      <c r="HW34" s="3692" t="s">
        <v>705</v>
      </c>
      <c r="HX34" s="3692" t="s">
        <v>706</v>
      </c>
      <c r="HY34" s="3692" t="s">
        <v>707</v>
      </c>
      <c r="HZ34" s="3693" t="s">
        <v>708</v>
      </c>
      <c r="IH34" s="183"/>
      <c r="II34" s="183"/>
      <c r="IJ34" s="183"/>
      <c r="IK34" s="183"/>
      <c r="IL34" s="183"/>
      <c r="IM34" s="183"/>
      <c r="IN34" s="183"/>
      <c r="IO34" s="183"/>
      <c r="IP34" s="183"/>
      <c r="IQ34" s="183"/>
      <c r="IR34" s="183"/>
      <c r="IS34" s="183"/>
      <c r="IT34" s="183"/>
      <c r="IU34" s="183"/>
      <c r="IV34" s="183"/>
      <c r="IW34" s="183"/>
      <c r="IX34" s="183"/>
      <c r="IY34" s="183"/>
      <c r="IZ34" s="183"/>
      <c r="JA34" s="183"/>
      <c r="JB34" s="183"/>
      <c r="JC34" s="183"/>
      <c r="JD34" s="183"/>
      <c r="JY34" s="183"/>
      <c r="JZ34" s="183"/>
      <c r="KA34" s="183"/>
      <c r="KB34" s="183"/>
      <c r="KC34" s="183"/>
      <c r="KD34" s="183"/>
      <c r="KE34" s="183"/>
      <c r="KF34" s="183"/>
      <c r="KH34" s="183"/>
      <c r="KI34" s="183"/>
      <c r="KJ34" s="183"/>
      <c r="KK34" s="183"/>
      <c r="KL34" s="183"/>
      <c r="KM34" s="183"/>
      <c r="KN34" s="183"/>
      <c r="KO34" s="5244">
        <v>11</v>
      </c>
      <c r="KP34" s="5233">
        <v>1</v>
      </c>
      <c r="KQ34" s="5233">
        <v>0</v>
      </c>
      <c r="KR34" s="5233">
        <v>0</v>
      </c>
      <c r="KS34" s="5233">
        <v>0</v>
      </c>
      <c r="KT34" s="5233">
        <v>0</v>
      </c>
      <c r="KU34" s="5233">
        <v>0</v>
      </c>
      <c r="KV34" s="5233">
        <v>0</v>
      </c>
      <c r="KW34" s="5234">
        <v>0</v>
      </c>
      <c r="KX34" s="183"/>
      <c r="KY34" s="183"/>
      <c r="KZ34" s="183"/>
      <c r="LA34" s="183"/>
      <c r="LB34" s="183"/>
      <c r="LC34" s="183"/>
      <c r="LD34" s="183"/>
      <c r="LJ34" s="2625"/>
      <c r="LK34" s="2625"/>
      <c r="LL34" s="2625"/>
      <c r="LM34" s="2625"/>
      <c r="LN34" s="2625"/>
      <c r="LO34" s="2625"/>
      <c r="LP34" s="2625"/>
      <c r="LQ34" s="2625"/>
      <c r="LR34" s="2625"/>
      <c r="LS34" s="2625"/>
      <c r="LT34" s="183"/>
      <c r="NI34" s="3690"/>
      <c r="NN34" s="394" t="s">
        <v>371</v>
      </c>
      <c r="NO34" s="395"/>
      <c r="NP34" s="395"/>
      <c r="NQ34" s="395"/>
      <c r="NR34" s="395"/>
      <c r="NS34" s="395"/>
      <c r="NT34" s="395"/>
      <c r="NU34" s="395"/>
      <c r="NV34" s="395"/>
      <c r="NW34" s="395"/>
      <c r="OE34" s="183"/>
      <c r="OF34" s="183"/>
      <c r="OG34" s="183"/>
      <c r="OH34" s="183"/>
      <c r="OI34" s="183"/>
      <c r="OJ34" s="183"/>
      <c r="OK34" s="183"/>
      <c r="OL34" s="183"/>
      <c r="OM34" s="183"/>
      <c r="ON34" s="183"/>
      <c r="OO34" s="183"/>
      <c r="OP34" s="183"/>
      <c r="OQ34" s="183"/>
      <c r="OR34" s="183"/>
      <c r="OS34" s="183"/>
      <c r="OT34" s="183"/>
      <c r="OU34" s="183"/>
      <c r="OV34" s="183"/>
      <c r="OW34" s="183"/>
      <c r="OX34" s="183"/>
      <c r="OY34" s="183"/>
      <c r="OZ34" s="183"/>
      <c r="PA34" s="184"/>
      <c r="PB34" s="184"/>
      <c r="PC34" s="184"/>
      <c r="PD34" s="184"/>
      <c r="PE34" s="184"/>
      <c r="PF34" s="184"/>
      <c r="PG34" s="184"/>
      <c r="PH34" s="184"/>
      <c r="PI34" s="184"/>
      <c r="PJ34" s="184"/>
      <c r="PK34" s="184"/>
      <c r="PL34" s="183"/>
      <c r="PM34" s="183"/>
      <c r="PN34" s="183"/>
      <c r="PO34" s="265"/>
      <c r="PP34" s="265"/>
      <c r="PQ34" s="265"/>
      <c r="PR34" s="265"/>
      <c r="PS34" s="265"/>
      <c r="PT34" s="265"/>
      <c r="PU34" s="265"/>
      <c r="PV34" s="183"/>
      <c r="PW34" s="183"/>
      <c r="PX34" s="183"/>
      <c r="PY34" s="183"/>
      <c r="PZ34" s="183"/>
      <c r="QA34" s="183"/>
      <c r="QB34" s="183"/>
      <c r="QC34" s="183"/>
      <c r="QD34" s="183"/>
      <c r="QE34" s="183"/>
      <c r="QF34" s="183"/>
      <c r="QG34" s="183"/>
      <c r="QH34" s="183"/>
      <c r="QI34" s="183"/>
      <c r="QJ34" s="183"/>
      <c r="QK34" s="183"/>
      <c r="QL34" s="183"/>
      <c r="QM34" s="183"/>
      <c r="QV34" s="183"/>
      <c r="QW34" s="183"/>
      <c r="QX34" s="183"/>
      <c r="QY34" s="183"/>
      <c r="QZ34" s="183"/>
      <c r="RA34" s="183"/>
      <c r="RB34" s="183"/>
      <c r="RC34" s="183"/>
      <c r="RD34" s="183"/>
      <c r="RE34" s="183"/>
      <c r="RF34" s="183"/>
      <c r="RS34" s="183"/>
      <c r="RT34" s="210"/>
      <c r="RU34" s="183"/>
      <c r="RV34" s="210"/>
      <c r="RW34" s="183"/>
      <c r="RX34" s="183"/>
      <c r="RY34" s="183"/>
      <c r="RZ34" s="183"/>
      <c r="SZ34" s="183"/>
      <c r="UG34" s="183"/>
      <c r="UH34" s="183"/>
      <c r="UI34" s="183"/>
      <c r="UJ34" s="183"/>
      <c r="UK34" s="183"/>
      <c r="UL34" s="183"/>
      <c r="UM34" s="183"/>
      <c r="UN34" s="183"/>
      <c r="UO34" s="183"/>
      <c r="UP34" s="183"/>
      <c r="UQ34" s="183"/>
      <c r="UR34" s="183"/>
      <c r="US34" s="183"/>
      <c r="UT34" s="183"/>
      <c r="UU34" s="183"/>
      <c r="UV34" s="183"/>
      <c r="UW34" s="183"/>
      <c r="UX34" s="183"/>
      <c r="UY34" s="183"/>
      <c r="UZ34" s="183"/>
      <c r="VA34" s="183"/>
      <c r="VB34" s="183"/>
      <c r="VC34" s="181"/>
      <c r="VD34" s="181"/>
      <c r="VE34" s="181"/>
      <c r="VF34" s="181"/>
      <c r="VG34" s="183"/>
      <c r="VH34" s="183"/>
      <c r="VI34" s="183"/>
      <c r="VJ34" s="183"/>
      <c r="VK34" s="183"/>
      <c r="VL34" s="183"/>
      <c r="VN34" s="183"/>
      <c r="VO34" s="183"/>
      <c r="VP34" s="183"/>
      <c r="VQ34" s="265"/>
    </row>
    <row r="35" spans="2:604" s="2617" customFormat="1" ht="30" customHeight="1" x14ac:dyDescent="0.2">
      <c r="B35" s="2981"/>
      <c r="C35" s="2981"/>
      <c r="D35" s="2981"/>
      <c r="E35" s="2981"/>
      <c r="H35" s="2625"/>
      <c r="I35" s="5565"/>
      <c r="J35" s="372"/>
      <c r="K35" s="372"/>
      <c r="L35" s="372"/>
      <c r="M35" s="372" t="s">
        <v>2637</v>
      </c>
      <c r="N35" s="372" t="s">
        <v>116</v>
      </c>
      <c r="O35" s="185"/>
      <c r="R35" s="242"/>
      <c r="S35" s="242" t="s">
        <v>1637</v>
      </c>
      <c r="T35" s="6150"/>
      <c r="AH35" s="183"/>
      <c r="AI35" s="3455">
        <v>2</v>
      </c>
      <c r="AJ35" s="3851" t="e">
        <f>IF($AI$14&lt;&gt;"",AJ26/$AI$44,0)</f>
        <v>#DIV/0!</v>
      </c>
      <c r="AK35" s="183"/>
      <c r="AL35" s="183"/>
      <c r="BA35" s="183"/>
      <c r="BB35" s="272" t="s">
        <v>278</v>
      </c>
      <c r="BC35" s="222">
        <f>VALUE(Tunneldrift!$EH$86)</f>
        <v>11</v>
      </c>
      <c r="BD35" s="183"/>
      <c r="BE35" s="183"/>
      <c r="BF35" s="183"/>
      <c r="BG35" s="3552" t="s">
        <v>259</v>
      </c>
      <c r="BH35" s="3553" t="str">
        <f>Prosjektinfo!$AE$59</f>
        <v/>
      </c>
      <c r="BI35" s="184"/>
      <c r="BJ35" s="3552" t="s">
        <v>259</v>
      </c>
      <c r="BK35" s="183" t="str">
        <f>Tunneldrift!$F$66</f>
        <v/>
      </c>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5369" t="s">
        <v>2369</v>
      </c>
      <c r="CN35" s="5369"/>
      <c r="CO35" s="5369"/>
      <c r="CP35" s="5375"/>
      <c r="CQ35" s="5375"/>
      <c r="CR35" s="5375"/>
      <c r="CS35" s="5375"/>
      <c r="DQ35" s="183"/>
      <c r="DR35" s="235">
        <v>4</v>
      </c>
      <c r="DS35" s="199">
        <f>'Inn foran'!$AV$26</f>
        <v>0</v>
      </c>
      <c r="DT35" s="199">
        <f>'Inn foran'!$AV$28</f>
        <v>0</v>
      </c>
      <c r="DU35" s="199">
        <f>'Inn foran'!$AV$32</f>
        <v>0</v>
      </c>
      <c r="DV35" s="234">
        <f>'Inn foran'!$AV$42</f>
        <v>0</v>
      </c>
      <c r="DW35" s="199">
        <f>'Inn foran'!$AV$44</f>
        <v>0</v>
      </c>
      <c r="DX35" s="234">
        <f>'Inn foran'!$AV$46</f>
        <v>0</v>
      </c>
      <c r="DY35" s="199"/>
      <c r="DZ35" s="234">
        <f>'Inn foran'!$AV$53</f>
        <v>0</v>
      </c>
      <c r="EA35" s="199">
        <f>'Inn foran'!$AV$55</f>
        <v>0</v>
      </c>
      <c r="EB35" s="199">
        <f>'Inn foran'!$AV$57</f>
        <v>0</v>
      </c>
      <c r="EC35" s="236"/>
      <c r="ED35" s="183"/>
      <c r="EE35" s="183"/>
      <c r="EF35" s="183"/>
      <c r="EG35" s="183"/>
      <c r="EH35" s="183"/>
      <c r="EI35" s="183"/>
      <c r="EJ35" s="183"/>
      <c r="EK35" s="183"/>
      <c r="EL35" s="183"/>
      <c r="EM35" s="183"/>
      <c r="EN35" s="183"/>
      <c r="EO35" s="183"/>
      <c r="EP35" s="183"/>
      <c r="ER35" s="183"/>
      <c r="ES35" s="183"/>
      <c r="ET35" s="183"/>
      <c r="EU35" s="183"/>
      <c r="EV35" s="183"/>
      <c r="EW35" s="183"/>
      <c r="EX35" s="183"/>
      <c r="EY35" s="183"/>
      <c r="EZ35" s="183"/>
      <c r="FA35" s="183"/>
      <c r="FB35" s="183"/>
      <c r="FC35" s="183"/>
      <c r="FD35" s="183"/>
      <c r="FE35" s="183"/>
      <c r="FF35" s="183"/>
      <c r="FG35" s="183"/>
      <c r="FH35" s="183"/>
      <c r="FI35" s="183"/>
      <c r="FJ35" s="183"/>
      <c r="FK35" s="183"/>
      <c r="FL35" s="183"/>
      <c r="FM35" s="183"/>
      <c r="FN35" s="183"/>
      <c r="GH35" s="3689"/>
      <c r="GJ35" s="439" t="str">
        <f>$GK$13</f>
        <v>Prosjekt</v>
      </c>
      <c r="GK35" s="185">
        <v>0</v>
      </c>
      <c r="GL35" s="185">
        <f>IF(GN12=1,1,0)</f>
        <v>0</v>
      </c>
      <c r="GM35" s="185">
        <f>IFERROR(INDEX(inputs_forbe[blank_for],MATCH(control_forbe[[#This Row],[position_forb]],inputs_forbe[Position],0)),0)</f>
        <v>1</v>
      </c>
      <c r="GN35" s="185">
        <f>IFERROR(INDEX(inputs_forbe[blank_forsk],MATCH(control_forbe[[#This Row],[position_forb]],inputs_forbe[Position],0)),0)</f>
        <v>0</v>
      </c>
      <c r="GO35" s="185"/>
      <c r="GP35" s="185">
        <f>IF(AND($GN$12=1,control_forbe[[#This Row],[blank_for]]+control_forbe[[#This Row],[blank_forsk]]&gt;0),1,0)</f>
        <v>0</v>
      </c>
      <c r="GQ35" s="193">
        <v>1</v>
      </c>
      <c r="HH35" s="3694" t="s">
        <v>565</v>
      </c>
      <c r="HI35" s="3695">
        <v>0</v>
      </c>
      <c r="HJ35" s="3695">
        <v>0</v>
      </c>
      <c r="HK35" s="3695">
        <v>0</v>
      </c>
      <c r="HL35" s="3695">
        <v>0</v>
      </c>
      <c r="HM35" s="3695">
        <v>0</v>
      </c>
      <c r="HN35" s="3695">
        <v>0</v>
      </c>
      <c r="HO35" s="3695">
        <v>0</v>
      </c>
      <c r="HP35" s="3695">
        <v>0</v>
      </c>
      <c r="HQ35" s="3695">
        <v>0</v>
      </c>
      <c r="HR35" s="3695">
        <v>0</v>
      </c>
      <c r="HS35" s="3695">
        <v>0</v>
      </c>
      <c r="HT35" s="3695">
        <v>0</v>
      </c>
      <c r="HU35" s="3695">
        <v>0</v>
      </c>
      <c r="HV35" s="3695">
        <v>0</v>
      </c>
      <c r="HW35" s="3695">
        <v>0</v>
      </c>
      <c r="HX35" s="3695">
        <v>0</v>
      </c>
      <c r="HY35" s="3695">
        <v>0</v>
      </c>
      <c r="HZ35" s="3696">
        <v>0</v>
      </c>
      <c r="IH35" s="2970" t="s">
        <v>761</v>
      </c>
      <c r="II35" s="183"/>
      <c r="IJ35" s="183"/>
      <c r="IK35" s="183"/>
      <c r="IL35" s="183"/>
      <c r="IM35" s="183"/>
      <c r="IN35" s="183"/>
      <c r="IO35" s="183"/>
      <c r="IP35" s="183"/>
      <c r="IQ35" s="183"/>
      <c r="IR35" s="183"/>
      <c r="IS35" s="183"/>
      <c r="IT35" s="183"/>
      <c r="IU35" s="183"/>
      <c r="IV35" s="183"/>
      <c r="IW35" s="183"/>
      <c r="IX35" s="183"/>
      <c r="IY35" s="183"/>
      <c r="IZ35" s="183"/>
      <c r="JA35" s="183"/>
      <c r="JB35" s="183"/>
      <c r="JC35" s="183"/>
      <c r="JD35" s="183" t="s">
        <v>1589</v>
      </c>
      <c r="JY35" s="183"/>
      <c r="JZ35" s="183"/>
      <c r="KA35" s="183"/>
      <c r="KB35" s="183"/>
      <c r="KC35" s="183"/>
      <c r="KD35" s="183"/>
      <c r="KE35" s="183"/>
      <c r="KF35" s="183"/>
      <c r="KH35" s="184"/>
      <c r="KI35" s="184"/>
      <c r="KJ35" s="184"/>
      <c r="KK35" s="184"/>
      <c r="KL35" s="184"/>
      <c r="KM35" s="184"/>
      <c r="KN35" s="184"/>
      <c r="KO35" s="5245">
        <v>12</v>
      </c>
      <c r="KP35" s="5235">
        <v>1</v>
      </c>
      <c r="KQ35" s="5235">
        <v>1</v>
      </c>
      <c r="KR35" s="5235">
        <v>0</v>
      </c>
      <c r="KS35" s="5235">
        <v>0</v>
      </c>
      <c r="KT35" s="5235">
        <v>0</v>
      </c>
      <c r="KU35" s="5235">
        <v>0</v>
      </c>
      <c r="KV35" s="5235">
        <v>0</v>
      </c>
      <c r="KW35" s="5236">
        <v>0</v>
      </c>
      <c r="KX35" s="5231"/>
      <c r="KY35" s="5231"/>
      <c r="KZ35" s="5231"/>
      <c r="LA35" s="184"/>
      <c r="LB35" s="184"/>
      <c r="LC35" s="184"/>
      <c r="LD35" s="184"/>
      <c r="LJ35" s="207"/>
      <c r="LK35" s="5289" t="str">
        <f>Tunneldrift!$AD$137</f>
        <v>Stuff 1-1</v>
      </c>
      <c r="LL35" s="5289" t="str">
        <f>Tunneldrift!$AO$137</f>
        <v>Stuff 1-2</v>
      </c>
      <c r="LM35" s="5289" t="str">
        <f>Tunneldrift!$AZ$137</f>
        <v>Stuff 1-3</v>
      </c>
      <c r="LN35" s="5289" t="str">
        <f>Tunneldrift!$BO$137</f>
        <v>Stuff 1-4</v>
      </c>
      <c r="LO35" s="5289" t="str">
        <f>Tunneldrift!$AD$169</f>
        <v>Stuff 2-1</v>
      </c>
      <c r="LP35" s="5289" t="str">
        <f>Tunneldrift!$AO$169</f>
        <v>Stuff 2-2</v>
      </c>
      <c r="LQ35" s="5289" t="str">
        <f>Tunneldrift!$AZ$169</f>
        <v>Stuff 2-3</v>
      </c>
      <c r="LR35" s="5289" t="str">
        <f>Tunneldrift!$BO$169</f>
        <v>Stuff 2-4</v>
      </c>
      <c r="LS35" s="5289" t="str">
        <f>LS17</f>
        <v>Tverrslag</v>
      </c>
      <c r="LT35" s="183"/>
      <c r="NI35" s="3690"/>
      <c r="NN35" s="396" t="s">
        <v>340</v>
      </c>
      <c r="NO35" s="397">
        <v>1</v>
      </c>
      <c r="NP35" s="397">
        <v>2</v>
      </c>
      <c r="NQ35" s="397">
        <v>3</v>
      </c>
      <c r="NR35" s="397">
        <v>4</v>
      </c>
      <c r="NS35" s="397">
        <v>5</v>
      </c>
      <c r="NT35" s="397">
        <v>6</v>
      </c>
      <c r="NU35" s="397">
        <v>7</v>
      </c>
      <c r="NV35" s="397">
        <v>8</v>
      </c>
      <c r="NW35" s="397">
        <v>9</v>
      </c>
      <c r="OE35" s="183"/>
      <c r="OF35" s="183"/>
      <c r="OG35" s="183"/>
      <c r="OH35" s="183"/>
      <c r="OI35" s="183"/>
      <c r="OJ35" s="183"/>
      <c r="OK35" s="183"/>
      <c r="OL35" s="183"/>
      <c r="OM35" s="183"/>
      <c r="ON35" s="183"/>
      <c r="OO35" s="183"/>
      <c r="OP35" s="183"/>
      <c r="OQ35" s="183"/>
      <c r="OR35" s="183"/>
      <c r="OS35" s="183"/>
      <c r="OT35" s="183"/>
      <c r="OU35" s="183"/>
      <c r="OV35" s="183"/>
      <c r="OW35" s="183"/>
      <c r="OX35" s="183"/>
      <c r="OY35" s="183"/>
      <c r="OZ35" s="183"/>
      <c r="PA35" s="184"/>
      <c r="PB35" s="184"/>
      <c r="PC35" s="184"/>
      <c r="PD35" s="184"/>
      <c r="PE35" s="184"/>
      <c r="PF35" s="184"/>
      <c r="PG35" s="184"/>
      <c r="PH35" s="184"/>
      <c r="PI35" s="184"/>
      <c r="PJ35" s="184"/>
      <c r="PK35" s="184"/>
      <c r="PL35" s="183"/>
      <c r="PM35" s="183"/>
      <c r="PN35" s="183"/>
      <c r="PO35" s="265"/>
      <c r="PP35" s="265"/>
      <c r="PQ35" s="265"/>
      <c r="PR35" s="265"/>
      <c r="PS35" s="265"/>
      <c r="PT35" s="265"/>
      <c r="PU35" s="265"/>
      <c r="PV35" s="183"/>
      <c r="PW35" s="183"/>
      <c r="PX35" s="183"/>
      <c r="PY35" s="183"/>
      <c r="PZ35" s="183"/>
      <c r="QA35" s="183"/>
      <c r="QB35" s="183"/>
      <c r="QC35" s="183"/>
      <c r="QD35" s="183"/>
      <c r="QE35" s="183"/>
      <c r="QF35" s="183"/>
      <c r="QG35" s="183"/>
      <c r="QH35" s="183"/>
      <c r="QI35" s="183"/>
      <c r="QJ35" s="183"/>
      <c r="QK35" s="183"/>
      <c r="QL35" s="183"/>
      <c r="QM35" s="183"/>
      <c r="QV35" s="183"/>
      <c r="QW35" s="183"/>
      <c r="QX35" s="183"/>
      <c r="QY35" s="183"/>
      <c r="QZ35" s="183"/>
      <c r="RA35" s="183"/>
      <c r="RB35" s="183"/>
      <c r="RC35" s="183"/>
      <c r="RD35" s="183"/>
      <c r="RE35" s="183"/>
      <c r="RF35" s="183"/>
      <c r="RS35" s="183"/>
      <c r="RT35" s="210"/>
      <c r="RU35" s="183"/>
      <c r="RV35" s="210"/>
      <c r="RW35" s="183"/>
      <c r="RX35" s="183"/>
      <c r="RY35" s="183"/>
      <c r="RZ35" s="183"/>
      <c r="SZ35" s="435"/>
      <c r="UG35" s="183"/>
      <c r="VL35" s="183"/>
      <c r="VN35" s="183"/>
      <c r="VO35" s="183"/>
      <c r="VP35" s="183"/>
      <c r="VQ35" s="265"/>
    </row>
    <row r="36" spans="2:604" s="2617" customFormat="1" ht="30" customHeight="1" thickBot="1" x14ac:dyDescent="0.3">
      <c r="B36" s="2981"/>
      <c r="C36" s="2981"/>
      <c r="D36" s="2981"/>
      <c r="E36" s="2981"/>
      <c r="H36" s="2625"/>
      <c r="I36" s="5565"/>
      <c r="J36" s="372"/>
      <c r="K36" s="372"/>
      <c r="L36" s="372"/>
      <c r="M36" s="372"/>
      <c r="N36" s="372" t="s">
        <v>117</v>
      </c>
      <c r="O36" s="185"/>
      <c r="R36" s="2686"/>
      <c r="S36" s="6009"/>
      <c r="T36" s="2686"/>
      <c r="AH36" s="183"/>
      <c r="AI36" s="3455">
        <v>3</v>
      </c>
      <c r="AJ36" s="3851" t="e">
        <f>IF($AI$14&lt;&gt;"",AJ27/$AI$44)</f>
        <v>#DIV/0!</v>
      </c>
      <c r="AK36" s="183"/>
      <c r="AL36" s="183"/>
      <c r="BA36" s="183"/>
      <c r="BB36" s="272" t="s">
        <v>277</v>
      </c>
      <c r="BC36" s="222">
        <f>Tunneldrift!$F$37</f>
        <v>0</v>
      </c>
      <c r="BD36" s="183"/>
      <c r="BF36" s="183"/>
      <c r="BG36" s="3554" t="s">
        <v>575</v>
      </c>
      <c r="BH36" s="3555">
        <f>IF(AND($BC$33=1,$BH$32&lt;&gt;0),$BH$35*$BH$34,IF(AND($BC$33=2,$BH$32&lt;&gt;0,$BH$33&lt;&gt;0),$BH$35*$BH$34,0))</f>
        <v>0</v>
      </c>
      <c r="BI36" s="184"/>
      <c r="BJ36" s="3554" t="s">
        <v>575</v>
      </c>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5369" t="s">
        <v>2370</v>
      </c>
      <c r="CN36" s="5369"/>
      <c r="CO36" s="5369"/>
      <c r="CP36" s="5373"/>
      <c r="CQ36" s="5373"/>
      <c r="CR36" s="5373"/>
      <c r="CS36" s="5373"/>
      <c r="DQ36" s="183"/>
      <c r="DR36" s="235">
        <v>5</v>
      </c>
      <c r="DS36" s="199">
        <f>'Inn foran'!$BD$26</f>
        <v>0</v>
      </c>
      <c r="DT36" s="199">
        <f>'Inn foran'!$BD$28</f>
        <v>0</v>
      </c>
      <c r="DU36" s="199">
        <f>'Inn foran'!$BD$32</f>
        <v>0</v>
      </c>
      <c r="DV36" s="234">
        <f>'Inn foran'!$BD$42</f>
        <v>0</v>
      </c>
      <c r="DW36" s="199">
        <f>'Inn foran'!$BD$44</f>
        <v>0</v>
      </c>
      <c r="DX36" s="234">
        <f>'Inn foran'!$BD$46</f>
        <v>0</v>
      </c>
      <c r="DY36" s="199"/>
      <c r="DZ36" s="234">
        <f>'Inn foran'!$BD$53</f>
        <v>0</v>
      </c>
      <c r="EA36" s="199">
        <f>'Inn foran'!$BD$55</f>
        <v>0</v>
      </c>
      <c r="EB36" s="199">
        <f>'Inn foran'!$BD$57</f>
        <v>0</v>
      </c>
      <c r="EC36" s="236"/>
      <c r="ED36" s="183"/>
      <c r="EE36" s="183"/>
      <c r="EF36" s="183"/>
      <c r="EG36" s="183"/>
      <c r="EH36" s="183"/>
      <c r="EI36" s="183"/>
      <c r="EJ36" s="183"/>
      <c r="EK36" s="183"/>
      <c r="EL36" s="183"/>
      <c r="EM36" s="183"/>
      <c r="EN36" s="183"/>
      <c r="EO36" s="183"/>
      <c r="EP36" s="183"/>
      <c r="ER36" s="353" t="s">
        <v>249</v>
      </c>
      <c r="ES36" s="352"/>
      <c r="ET36" s="352"/>
      <c r="EU36" s="352"/>
      <c r="EV36" s="183"/>
      <c r="EW36" s="183"/>
      <c r="EX36" s="183"/>
      <c r="EY36" s="184"/>
      <c r="EZ36" s="183"/>
      <c r="FA36" s="183"/>
      <c r="FB36" s="183"/>
      <c r="FC36" s="183"/>
      <c r="FD36" s="183"/>
      <c r="FE36" s="183"/>
      <c r="FF36" s="183"/>
      <c r="FG36" s="183"/>
      <c r="FH36" s="183"/>
      <c r="FI36" s="183"/>
      <c r="FJ36" s="183"/>
      <c r="FK36" s="183"/>
      <c r="FL36" s="183"/>
      <c r="FM36" s="183"/>
      <c r="FN36" s="183"/>
      <c r="GH36" s="3689"/>
      <c r="GJ36" s="439" t="str">
        <f>$NO$67</f>
        <v>Stuff 1-1</v>
      </c>
      <c r="GK36" s="241">
        <f t="shared" ref="GK36:GK44" si="2">PX67</f>
        <v>0</v>
      </c>
      <c r="GL36" s="185">
        <f>IF(AND($GN$12=1,control_forbe[[#This Row],[Tverrslag_status]]&lt;&gt;1),1,0)</f>
        <v>0</v>
      </c>
      <c r="GM36" s="185">
        <f>IFERROR(INDEX(inputs_forbe[blank_for],MATCH(control_forbe[[#This Row],[position_forb]],inputs_forbe[Position],0)),0)</f>
        <v>1</v>
      </c>
      <c r="GN36" s="185">
        <f>IFERROR(INDEX(inputs_forbe[blank_forsk],MATCH(control_forbe[[#This Row],[position_forb]],inputs_forbe[Position],0)),0)</f>
        <v>1</v>
      </c>
      <c r="GO36" s="185"/>
      <c r="GP36" s="185">
        <f>IF(AND($GN$12=1,control_forbe[[#This Row],[blank_for]]+control_forbe[[#This Row],[blank_forsk]]&gt;0),1,0)</f>
        <v>0</v>
      </c>
      <c r="GQ36" s="193">
        <f t="shared" ref="GQ36:GQ44" si="3">IF(NQ19&lt;&gt;0,NQ19+1,0)</f>
        <v>2</v>
      </c>
      <c r="HH36" s="3694" t="s">
        <v>566</v>
      </c>
      <c r="HI36" s="3695">
        <v>0</v>
      </c>
      <c r="HJ36" s="3695">
        <v>0</v>
      </c>
      <c r="HK36" s="3695">
        <v>0</v>
      </c>
      <c r="HL36" s="3695">
        <v>0</v>
      </c>
      <c r="HM36" s="3695">
        <v>0</v>
      </c>
      <c r="HN36" s="3695">
        <v>0</v>
      </c>
      <c r="HO36" s="3695">
        <v>0</v>
      </c>
      <c r="HP36" s="3695">
        <v>0</v>
      </c>
      <c r="HQ36" s="3695">
        <v>0</v>
      </c>
      <c r="HR36" s="3695">
        <v>0</v>
      </c>
      <c r="HS36" s="3695">
        <v>0</v>
      </c>
      <c r="HT36" s="3695">
        <v>0</v>
      </c>
      <c r="HU36" s="3695">
        <v>0</v>
      </c>
      <c r="HV36" s="3695">
        <v>0</v>
      </c>
      <c r="HW36" s="3695">
        <v>0</v>
      </c>
      <c r="HX36" s="3695">
        <v>0</v>
      </c>
      <c r="HY36" s="3695">
        <v>0</v>
      </c>
      <c r="HZ36" s="3696">
        <v>0</v>
      </c>
      <c r="IA36" s="183"/>
      <c r="IB36" s="183"/>
      <c r="IC36" s="183"/>
      <c r="ID36" s="183"/>
      <c r="IE36" s="183"/>
      <c r="IF36" s="183"/>
      <c r="IH36" s="183"/>
      <c r="II36" s="183"/>
      <c r="IJ36" s="183"/>
      <c r="IK36" s="183"/>
      <c r="IL36" s="183"/>
      <c r="IM36" s="183"/>
      <c r="IN36" s="183"/>
      <c r="IO36" s="183"/>
      <c r="IP36" s="183"/>
      <c r="IQ36" s="183"/>
      <c r="IR36" s="183"/>
      <c r="IS36" s="183"/>
      <c r="IT36" s="183"/>
      <c r="IU36" s="183"/>
      <c r="IV36" s="183"/>
      <c r="IW36" s="183"/>
      <c r="IX36" s="183"/>
      <c r="IY36" s="183"/>
      <c r="IZ36" s="183"/>
      <c r="JA36" s="183"/>
      <c r="JB36" s="183"/>
      <c r="JC36" s="183"/>
      <c r="JD36" s="183"/>
      <c r="JY36" s="183"/>
      <c r="JZ36" s="183"/>
      <c r="KA36" s="183"/>
      <c r="KB36" s="183"/>
      <c r="KC36" s="183"/>
      <c r="KD36" s="183"/>
      <c r="KE36" s="183"/>
      <c r="KF36" s="183"/>
      <c r="KH36" s="184"/>
      <c r="KI36" s="184"/>
      <c r="KJ36" s="184"/>
      <c r="KK36" s="184"/>
      <c r="KL36" s="184"/>
      <c r="KM36" s="184"/>
      <c r="KN36" s="184"/>
      <c r="KO36" s="5245">
        <v>13</v>
      </c>
      <c r="KP36" s="5235">
        <v>1</v>
      </c>
      <c r="KQ36" s="5235">
        <v>1</v>
      </c>
      <c r="KR36" s="5235">
        <v>1</v>
      </c>
      <c r="KS36" s="5235">
        <v>0</v>
      </c>
      <c r="KT36" s="5235">
        <v>0</v>
      </c>
      <c r="KU36" s="5235">
        <v>0</v>
      </c>
      <c r="KV36" s="5235">
        <v>0</v>
      </c>
      <c r="KW36" s="5236">
        <v>0</v>
      </c>
      <c r="KX36" s="5231"/>
      <c r="KY36" s="5231"/>
      <c r="KZ36" s="5231"/>
      <c r="LA36" s="184"/>
      <c r="LB36" s="184"/>
      <c r="LC36" s="184"/>
      <c r="LD36" s="184"/>
      <c r="LJ36" s="372" t="s">
        <v>2324</v>
      </c>
      <c r="LK36" s="372" t="b">
        <f>ISBLANK(Tunneldrift!$AD$150)</f>
        <v>1</v>
      </c>
      <c r="LL36" s="372" t="b">
        <f>ISBLANK(Tunneldrift!$AO$150)</f>
        <v>1</v>
      </c>
      <c r="LM36" s="372" t="b">
        <f>ISBLANK(Tunneldrift!$AZ$150)</f>
        <v>1</v>
      </c>
      <c r="LN36" s="372" t="b">
        <f>ISBLANK(Tunneldrift!$BO$150)</f>
        <v>1</v>
      </c>
      <c r="LO36" s="372" t="b">
        <f>LK36</f>
        <v>1</v>
      </c>
      <c r="LP36" s="372" t="b">
        <f>LL36</f>
        <v>1</v>
      </c>
      <c r="LQ36" s="372" t="b">
        <f>LM36</f>
        <v>1</v>
      </c>
      <c r="LR36" s="372" t="b">
        <f>LN36</f>
        <v>1</v>
      </c>
      <c r="LS36" s="372"/>
      <c r="LT36" s="183"/>
      <c r="NI36" s="3690"/>
      <c r="NN36" s="319" t="s">
        <v>48</v>
      </c>
      <c r="NO36" s="313" t="str">
        <f>IFERROR((INDEX(oppsum_position[Name],MATCH(NO$35,oppsum_position[Position],0))),"")</f>
        <v>Stuff 1-1</v>
      </c>
      <c r="NP36" s="313" t="str">
        <f>IFERROR((INDEX(oppsum_position[Name],MATCH(NP$35,oppsum_position[Position],0))),"")</f>
        <v/>
      </c>
      <c r="NQ36" s="313" t="str">
        <f>IFERROR((INDEX(oppsum_position[Name],MATCH(NQ$35,oppsum_position[Position],0))),"")</f>
        <v/>
      </c>
      <c r="NR36" s="313" t="str">
        <f>IFERROR((INDEX(oppsum_position[Name],MATCH(NR$35,oppsum_position[Position],0))),"")</f>
        <v/>
      </c>
      <c r="NS36" s="313" t="str">
        <f>IFERROR((INDEX(oppsum_position[Name],MATCH(NS$35,oppsum_position[Position],0))),"")</f>
        <v/>
      </c>
      <c r="NT36" s="313" t="str">
        <f>IFERROR((INDEX(oppsum_position[Name],MATCH(NT$35,oppsum_position[Position],0))),"")</f>
        <v/>
      </c>
      <c r="NU36" s="313" t="str">
        <f>IFERROR((INDEX(oppsum_position[Name],MATCH(NU$35,oppsum_position[Position],0))),"")</f>
        <v/>
      </c>
      <c r="NV36" s="313" t="str">
        <f>IFERROR((INDEX(oppsum_position[Name],MATCH(NV$35,oppsum_position[Position],0))),"")</f>
        <v/>
      </c>
      <c r="NW36" s="313" t="str">
        <f>IFERROR((INDEX(oppsum_position[Name],MATCH(NW$35,oppsum_position[Position],0))),"")</f>
        <v/>
      </c>
      <c r="OE36" s="183"/>
      <c r="OF36" s="183"/>
      <c r="OG36" s="183"/>
      <c r="OH36" s="183"/>
      <c r="OI36" s="183"/>
      <c r="OJ36" s="183"/>
      <c r="OK36" s="183"/>
      <c r="OL36" s="183"/>
      <c r="OM36" s="183"/>
      <c r="ON36" s="183"/>
      <c r="OO36" s="183"/>
      <c r="OP36" s="183"/>
      <c r="OQ36" s="183"/>
      <c r="OR36" s="183"/>
      <c r="OS36" s="183"/>
      <c r="OT36" s="183"/>
      <c r="OU36" s="183"/>
      <c r="OV36" s="183"/>
      <c r="OW36" s="183"/>
      <c r="OX36" s="183"/>
      <c r="OY36" s="183"/>
      <c r="OZ36" s="183"/>
      <c r="PA36" s="184"/>
      <c r="PB36" s="184"/>
      <c r="PC36" s="184"/>
      <c r="PD36" s="184"/>
      <c r="PE36" s="184"/>
      <c r="PF36" s="184"/>
      <c r="PG36" s="184"/>
      <c r="PH36" s="184"/>
      <c r="PI36" s="184"/>
      <c r="PJ36" s="184"/>
      <c r="PK36" s="184"/>
      <c r="PL36" s="183"/>
      <c r="PM36" s="183"/>
      <c r="PN36" s="183"/>
      <c r="PO36" s="265"/>
      <c r="PP36" s="265"/>
      <c r="PQ36" s="265"/>
      <c r="PR36" s="265"/>
      <c r="PS36" s="265"/>
      <c r="PT36" s="265"/>
      <c r="PU36" s="265"/>
      <c r="PV36" s="183"/>
      <c r="PW36" s="183"/>
      <c r="PX36" s="183"/>
      <c r="PY36" s="183"/>
      <c r="PZ36" s="183"/>
      <c r="QA36" s="183"/>
      <c r="QB36" s="183"/>
      <c r="QC36" s="183"/>
      <c r="QD36" s="183"/>
      <c r="QE36" s="183"/>
      <c r="QF36" s="183"/>
      <c r="QG36" s="183"/>
      <c r="QH36" s="183"/>
      <c r="QI36" s="183"/>
      <c r="QJ36" s="183"/>
      <c r="QK36" s="183"/>
      <c r="QL36" s="183"/>
      <c r="QM36" s="183"/>
      <c r="QV36" s="183"/>
      <c r="QW36" s="183"/>
      <c r="QX36" s="183"/>
      <c r="QY36" s="183"/>
      <c r="QZ36" s="183"/>
      <c r="RA36" s="183"/>
      <c r="RB36" s="183"/>
      <c r="RC36" s="183"/>
      <c r="RD36" s="183"/>
      <c r="RE36" s="183"/>
      <c r="RF36" s="183"/>
      <c r="RS36" s="183"/>
      <c r="RT36" s="210"/>
      <c r="RU36" s="183"/>
      <c r="RV36" s="210"/>
      <c r="RW36" s="183"/>
      <c r="RX36" s="183"/>
      <c r="RY36" s="183"/>
      <c r="RZ36" s="183"/>
      <c r="SZ36" s="435"/>
      <c r="UG36" s="183"/>
      <c r="VL36" s="183"/>
      <c r="VN36" s="183"/>
      <c r="VO36" s="183"/>
      <c r="VP36" s="183"/>
      <c r="VQ36" s="265"/>
    </row>
    <row r="37" spans="2:604" s="2617" customFormat="1" ht="30" customHeight="1" x14ac:dyDescent="0.2">
      <c r="B37" s="2981"/>
      <c r="C37" s="2981"/>
      <c r="D37" s="2981"/>
      <c r="E37" s="2981"/>
      <c r="H37" s="2625"/>
      <c r="I37" s="5565"/>
      <c r="J37" s="372"/>
      <c r="K37" s="372"/>
      <c r="L37" s="372"/>
      <c r="M37" s="372"/>
      <c r="N37" s="372" t="s">
        <v>118</v>
      </c>
      <c r="O37" s="185"/>
      <c r="R37" s="2686"/>
      <c r="S37" s="2686"/>
      <c r="T37" s="2686"/>
      <c r="AH37" s="183"/>
      <c r="AI37" s="3455">
        <v>4</v>
      </c>
      <c r="AJ37" s="3851" t="e">
        <f>IF($AI$14&lt;&gt;"",AJ28/$AI$44,0)</f>
        <v>#DIV/0!</v>
      </c>
      <c r="AK37" s="183"/>
      <c r="AL37" s="183"/>
      <c r="BA37" s="183"/>
      <c r="BB37" s="185" t="s">
        <v>422</v>
      </c>
      <c r="BC37" s="185">
        <f>Tunneldrift!F65</f>
        <v>0</v>
      </c>
      <c r="BD37" s="183"/>
      <c r="BE37" s="273" t="s">
        <v>1613</v>
      </c>
      <c r="BF37" s="183"/>
      <c r="BG37" s="183"/>
      <c r="BH37" s="183"/>
      <c r="BI37" s="184"/>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5373"/>
      <c r="CN37" s="5373"/>
      <c r="CO37" s="5373"/>
      <c r="CP37" s="5373"/>
      <c r="CQ37" s="5373"/>
      <c r="CR37" s="5373"/>
      <c r="CS37" s="5373"/>
      <c r="DQ37" s="183"/>
      <c r="DR37" s="235">
        <v>6</v>
      </c>
      <c r="DS37" s="199">
        <f>'Inn foran'!$BL$26</f>
        <v>0</v>
      </c>
      <c r="DT37" s="199">
        <f>'Inn foran'!$BL$28</f>
        <v>0</v>
      </c>
      <c r="DU37" s="199">
        <f>'Inn foran'!$BL$32</f>
        <v>0</v>
      </c>
      <c r="DV37" s="234">
        <f>'Inn foran'!$BL$42</f>
        <v>0</v>
      </c>
      <c r="DW37" s="199">
        <f>'Inn foran'!$BL$44</f>
        <v>0</v>
      </c>
      <c r="DX37" s="234">
        <f>'Inn foran'!$BL$46</f>
        <v>0</v>
      </c>
      <c r="DY37" s="199"/>
      <c r="DZ37" s="234">
        <f>'Inn foran'!$BL$53</f>
        <v>0</v>
      </c>
      <c r="EA37" s="199">
        <f>'Inn foran'!$BL$55</f>
        <v>0</v>
      </c>
      <c r="EB37" s="199">
        <f>'Inn foran'!$BL$57</f>
        <v>0</v>
      </c>
      <c r="EC37" s="236"/>
      <c r="ED37" s="183"/>
      <c r="EE37" s="183"/>
      <c r="EF37" s="183"/>
      <c r="EG37" s="183"/>
      <c r="EH37" s="183"/>
      <c r="EI37" s="183"/>
      <c r="EJ37" s="183"/>
      <c r="EK37" s="183"/>
      <c r="EL37" s="183"/>
      <c r="EM37" s="183"/>
      <c r="EN37" s="183"/>
      <c r="EO37" s="239"/>
      <c r="EP37" s="239"/>
      <c r="ER37" s="199"/>
      <c r="ES37" s="199" t="str">
        <f>$BC$11</f>
        <v>Løp 1</v>
      </c>
      <c r="ET37" s="199" t="str">
        <f>$BD$11</f>
        <v>Løp 2</v>
      </c>
      <c r="EU37" s="199" t="s">
        <v>320</v>
      </c>
      <c r="EV37" s="183"/>
      <c r="EW37" s="183"/>
      <c r="EX37" s="183"/>
      <c r="EY37" s="184"/>
      <c r="EZ37" s="183"/>
      <c r="FA37" s="183"/>
      <c r="FB37" s="183"/>
      <c r="FC37" s="183"/>
      <c r="FD37" s="183"/>
      <c r="FE37" s="183"/>
      <c r="FF37" s="183"/>
      <c r="FG37" s="183"/>
      <c r="FH37" s="183"/>
      <c r="FI37" s="183"/>
      <c r="FJ37" s="183"/>
      <c r="FK37" s="183"/>
      <c r="FL37" s="183"/>
      <c r="FM37" s="183"/>
      <c r="FN37" s="183"/>
      <c r="GH37" s="3689"/>
      <c r="GJ37" s="439" t="str">
        <f>$NO$68</f>
        <v>Stuff 1-2</v>
      </c>
      <c r="GK37" s="241">
        <f t="shared" si="2"/>
        <v>0</v>
      </c>
      <c r="GL37" s="185">
        <f>IF(AND($GN$12=1,control_forbe[[#This Row],[Tverrslag_status]]&lt;&gt;1),1,0)</f>
        <v>0</v>
      </c>
      <c r="GM37" s="185">
        <f>IFERROR(INDEX(inputs_forbe[blank_for],MATCH(control_forbe[[#This Row],[position_forb]],inputs_forbe[Position],0)),0)</f>
        <v>0</v>
      </c>
      <c r="GN37" s="185">
        <f>IFERROR(INDEX(inputs_forbe[blank_forsk],MATCH(control_forbe[[#This Row],[position_forb]],inputs_forbe[Position],0)),0)</f>
        <v>0</v>
      </c>
      <c r="GO37" s="185"/>
      <c r="GP37" s="185">
        <f>IF(AND($GN$12=1,control_forbe[[#This Row],[blank_for]]+control_forbe[[#This Row],[blank_forsk]]&gt;0),1,0)</f>
        <v>0</v>
      </c>
      <c r="GQ37" s="193">
        <f t="shared" si="3"/>
        <v>0</v>
      </c>
      <c r="HH37" s="3694" t="s">
        <v>507</v>
      </c>
      <c r="HI37" s="3695">
        <v>0</v>
      </c>
      <c r="HJ37" s="3695">
        <v>1</v>
      </c>
      <c r="HK37" s="3695">
        <v>0</v>
      </c>
      <c r="HL37" s="3695">
        <v>0</v>
      </c>
      <c r="HM37" s="3695">
        <v>0</v>
      </c>
      <c r="HN37" s="3695">
        <v>0</v>
      </c>
      <c r="HO37" s="3695">
        <v>0</v>
      </c>
      <c r="HP37" s="3695">
        <v>0</v>
      </c>
      <c r="HQ37" s="3695">
        <v>0</v>
      </c>
      <c r="HR37" s="3695">
        <v>0</v>
      </c>
      <c r="HS37" s="3695">
        <v>1</v>
      </c>
      <c r="HT37" s="3695">
        <v>0</v>
      </c>
      <c r="HU37" s="3695">
        <v>0</v>
      </c>
      <c r="HV37" s="3695">
        <v>0</v>
      </c>
      <c r="HW37" s="3695">
        <v>0</v>
      </c>
      <c r="HX37" s="3695">
        <v>0</v>
      </c>
      <c r="HY37" s="3695">
        <v>0</v>
      </c>
      <c r="HZ37" s="3696">
        <v>0</v>
      </c>
      <c r="IA37" s="183"/>
      <c r="IB37" s="183"/>
      <c r="IC37" s="183"/>
      <c r="ID37" s="183"/>
      <c r="IE37" s="183"/>
      <c r="IF37" s="183"/>
      <c r="IH37" s="1762" t="s">
        <v>408</v>
      </c>
      <c r="II37" s="1762" t="s">
        <v>2667</v>
      </c>
      <c r="IJ37" s="1762" t="s">
        <v>2660</v>
      </c>
      <c r="IK37" s="247" t="s">
        <v>2661</v>
      </c>
      <c r="IL37" s="247" t="s">
        <v>1812</v>
      </c>
      <c r="IM37" s="247" t="s">
        <v>1691</v>
      </c>
      <c r="IN37" s="247" t="s">
        <v>1690</v>
      </c>
      <c r="IO37" s="447" t="s">
        <v>1586</v>
      </c>
      <c r="IP37" s="447" t="s">
        <v>1587</v>
      </c>
      <c r="IQ37" s="1762" t="s">
        <v>1588</v>
      </c>
      <c r="IR37" s="447" t="s">
        <v>739</v>
      </c>
      <c r="IS37" s="447" t="s">
        <v>740</v>
      </c>
      <c r="IT37" s="447" t="s">
        <v>741</v>
      </c>
      <c r="IU37" s="447" t="s">
        <v>742</v>
      </c>
      <c r="IV37" s="447" t="s">
        <v>743</v>
      </c>
      <c r="IW37" s="447" t="s">
        <v>744</v>
      </c>
      <c r="IX37" s="447" t="s">
        <v>745</v>
      </c>
      <c r="IY37" s="447" t="s">
        <v>746</v>
      </c>
      <c r="IZ37" s="447" t="s">
        <v>747</v>
      </c>
      <c r="JA37" s="447" t="s">
        <v>748</v>
      </c>
      <c r="JB37" s="447" t="s">
        <v>749</v>
      </c>
      <c r="JC37" s="447" t="s">
        <v>750</v>
      </c>
      <c r="JD37" s="447" t="s">
        <v>751</v>
      </c>
      <c r="JE37" s="447" t="s">
        <v>752</v>
      </c>
      <c r="JF37" s="447" t="s">
        <v>753</v>
      </c>
      <c r="JG37" s="447" t="s">
        <v>754</v>
      </c>
      <c r="JH37" s="447" t="s">
        <v>755</v>
      </c>
      <c r="JI37" s="447" t="s">
        <v>756</v>
      </c>
      <c r="JJ37" s="447" t="s">
        <v>757</v>
      </c>
      <c r="JK37" s="447" t="s">
        <v>758</v>
      </c>
      <c r="JL37" s="447" t="s">
        <v>759</v>
      </c>
      <c r="JM37" s="447" t="s">
        <v>2668</v>
      </c>
      <c r="JN37" s="447" t="s">
        <v>1593</v>
      </c>
      <c r="JO37" s="447" t="s">
        <v>764</v>
      </c>
      <c r="JP37" s="447" t="s">
        <v>765</v>
      </c>
      <c r="JQ37" s="447" t="s">
        <v>766</v>
      </c>
      <c r="JR37" s="447" t="s">
        <v>767</v>
      </c>
      <c r="JS37" s="447" t="s">
        <v>768</v>
      </c>
      <c r="JT37" s="447" t="s">
        <v>769</v>
      </c>
      <c r="JU37" s="447" t="s">
        <v>770</v>
      </c>
      <c r="JV37" s="448" t="s">
        <v>782</v>
      </c>
      <c r="JW37" s="247" t="s">
        <v>1595</v>
      </c>
      <c r="JX37" s="247" t="s">
        <v>1591</v>
      </c>
      <c r="JY37" s="247" t="s">
        <v>651</v>
      </c>
      <c r="JZ37" s="247" t="s">
        <v>999</v>
      </c>
      <c r="KA37" s="247" t="s">
        <v>1000</v>
      </c>
      <c r="KB37" s="247" t="s">
        <v>1063</v>
      </c>
      <c r="KC37" s="247" t="s">
        <v>1064</v>
      </c>
      <c r="KD37" s="183"/>
      <c r="KE37" s="183"/>
      <c r="KF37" s="183"/>
      <c r="KH37" s="184"/>
      <c r="KI37" s="184"/>
      <c r="KJ37" s="184"/>
      <c r="KK37" s="184"/>
      <c r="KL37" s="184"/>
      <c r="KM37" s="184"/>
      <c r="KN37" s="184"/>
      <c r="KO37" s="5245">
        <v>14</v>
      </c>
      <c r="KP37" s="5235">
        <v>1</v>
      </c>
      <c r="KQ37" s="5235">
        <v>1</v>
      </c>
      <c r="KR37" s="5235">
        <v>1</v>
      </c>
      <c r="KS37" s="5235">
        <v>1</v>
      </c>
      <c r="KT37" s="5235">
        <v>0</v>
      </c>
      <c r="KU37" s="5235">
        <v>0</v>
      </c>
      <c r="KV37" s="5235">
        <v>0</v>
      </c>
      <c r="KW37" s="5236">
        <v>0</v>
      </c>
      <c r="KX37" s="184"/>
      <c r="KY37" s="184"/>
      <c r="KZ37" s="184"/>
      <c r="LA37" s="184"/>
      <c r="LB37" s="184"/>
      <c r="LC37" s="184"/>
      <c r="LD37" s="184"/>
      <c r="LJ37" s="2625"/>
      <c r="LK37" s="2625"/>
      <c r="LL37" s="2625"/>
      <c r="LM37" s="2625"/>
      <c r="LN37" s="2625"/>
      <c r="LO37" s="2625"/>
      <c r="LP37" s="2625"/>
      <c r="LQ37" s="2625"/>
      <c r="LR37" s="2625"/>
      <c r="LS37" s="2625"/>
      <c r="LT37" s="183"/>
      <c r="NI37" s="3690"/>
      <c r="NN37" s="185"/>
      <c r="NO37" s="199"/>
      <c r="NP37" s="199"/>
      <c r="NQ37" s="199"/>
      <c r="NR37" s="199"/>
      <c r="NS37" s="199"/>
      <c r="NT37" s="199"/>
      <c r="NU37" s="199"/>
      <c r="NV37" s="199"/>
      <c r="NW37" s="199"/>
      <c r="OE37" s="239"/>
      <c r="OF37" s="239"/>
      <c r="OG37" s="239"/>
      <c r="OH37" s="239"/>
      <c r="OI37" s="239"/>
      <c r="OJ37" s="239"/>
      <c r="OK37" s="239"/>
      <c r="OL37" s="239"/>
      <c r="OM37" s="239"/>
      <c r="ON37" s="239"/>
      <c r="OO37" s="239"/>
      <c r="OP37" s="239"/>
      <c r="OQ37" s="239"/>
      <c r="OR37" s="239"/>
      <c r="OS37" s="239"/>
      <c r="OT37" s="239"/>
      <c r="OU37" s="239"/>
      <c r="OV37" s="239"/>
      <c r="OW37" s="239"/>
      <c r="OX37" s="239"/>
      <c r="OY37" s="239"/>
      <c r="OZ37" s="239"/>
      <c r="PA37" s="239"/>
      <c r="PB37" s="239"/>
      <c r="PC37" s="239"/>
      <c r="PD37" s="239"/>
      <c r="PE37" s="239"/>
      <c r="PF37" s="239"/>
      <c r="PG37" s="239"/>
      <c r="PH37" s="239"/>
      <c r="PI37" s="239"/>
      <c r="PJ37" s="239"/>
      <c r="PK37" s="239"/>
      <c r="PL37" s="239"/>
      <c r="PM37" s="239"/>
      <c r="PN37" s="239"/>
      <c r="PO37" s="842"/>
      <c r="PP37" s="842"/>
      <c r="PQ37" s="842"/>
      <c r="PR37" s="842"/>
      <c r="PS37" s="842"/>
      <c r="PT37" s="842"/>
      <c r="PU37" s="842"/>
      <c r="PV37" s="239"/>
      <c r="PW37" s="239"/>
      <c r="PX37" s="239"/>
      <c r="PY37" s="239"/>
      <c r="PZ37" s="239"/>
      <c r="QA37" s="239"/>
      <c r="QB37" s="239"/>
      <c r="QC37" s="239"/>
      <c r="QD37" s="239"/>
      <c r="QE37" s="239"/>
      <c r="QF37" s="239"/>
      <c r="QG37" s="239"/>
      <c r="QH37" s="239"/>
      <c r="QI37" s="239"/>
      <c r="QJ37" s="239"/>
      <c r="QK37" s="239"/>
      <c r="QL37" s="239"/>
      <c r="QM37" s="239"/>
      <c r="QV37" s="183"/>
      <c r="QW37" s="183"/>
      <c r="QX37" s="183"/>
      <c r="QY37" s="183"/>
      <c r="QZ37" s="183"/>
      <c r="RA37" s="183"/>
      <c r="RB37" s="183"/>
      <c r="RC37" s="183"/>
      <c r="RD37" s="183"/>
      <c r="RE37" s="183"/>
      <c r="RF37" s="183"/>
      <c r="RS37" s="183"/>
      <c r="RT37" s="210"/>
      <c r="RU37" s="183"/>
      <c r="RV37" s="210"/>
      <c r="RW37" s="183"/>
      <c r="RX37" s="183"/>
      <c r="RY37" s="183"/>
      <c r="RZ37" s="183"/>
      <c r="SZ37" s="435"/>
      <c r="UG37" s="183"/>
      <c r="VL37" s="183"/>
      <c r="VN37" s="183"/>
      <c r="VO37" s="183"/>
      <c r="VP37" s="183"/>
      <c r="VQ37" s="265"/>
    </row>
    <row r="38" spans="2:604" s="2617" customFormat="1" ht="30" customHeight="1" x14ac:dyDescent="0.2">
      <c r="B38" s="2981"/>
      <c r="C38" s="2981"/>
      <c r="D38" s="2981"/>
      <c r="E38" s="2981"/>
      <c r="I38" s="5565"/>
      <c r="J38" s="372"/>
      <c r="K38" s="372"/>
      <c r="L38" s="372"/>
      <c r="M38" s="372"/>
      <c r="N38" s="372" t="s">
        <v>119</v>
      </c>
      <c r="O38" s="185"/>
      <c r="R38" s="2686"/>
      <c r="S38" s="6009"/>
      <c r="T38" s="2686"/>
      <c r="AH38" s="183"/>
      <c r="AI38" s="3448">
        <v>5</v>
      </c>
      <c r="AJ38" s="3851">
        <f>IF($AI$15&lt;&gt;"",AL25/$AI$44,0)</f>
        <v>0</v>
      </c>
      <c r="AK38" s="183"/>
      <c r="AL38" s="183"/>
      <c r="BA38" s="183"/>
      <c r="BB38" s="272" t="s">
        <v>1615</v>
      </c>
      <c r="BC38" s="222">
        <f>IF(Tunneldrift!$F$125=_List!$CQ$7,1,IF(Tunneldrift!$F$125=_List!$CQ$8,2,0))</f>
        <v>2</v>
      </c>
      <c r="BD38" s="183"/>
      <c r="BE38" s="183"/>
      <c r="BF38" s="183"/>
      <c r="BG38" s="183"/>
      <c r="BH38" s="183"/>
      <c r="BI38" s="184"/>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5373"/>
      <c r="CN38" s="5373"/>
      <c r="CO38" s="5373"/>
      <c r="CP38" s="5373"/>
      <c r="CQ38" s="5373"/>
      <c r="CR38" s="5373"/>
      <c r="CS38" s="5373"/>
      <c r="CT38" s="3434"/>
      <c r="CU38" s="3434"/>
      <c r="CV38" s="3434"/>
      <c r="CW38" s="3434"/>
      <c r="CX38" s="3434"/>
      <c r="CY38" s="3434"/>
      <c r="CZ38" s="3434"/>
      <c r="DA38" s="3434"/>
      <c r="DB38" s="3434"/>
      <c r="DC38" s="3434"/>
      <c r="DD38" s="3434"/>
      <c r="DE38" s="3434"/>
      <c r="DF38" s="3434"/>
      <c r="DG38" s="3434"/>
      <c r="DH38" s="3434"/>
      <c r="DI38" s="3434"/>
      <c r="DJ38" s="3434"/>
      <c r="DK38" s="3434"/>
      <c r="DL38" s="3434"/>
      <c r="DM38" s="3434"/>
      <c r="DN38" s="3434"/>
      <c r="DO38" s="3434"/>
      <c r="DP38" s="3434"/>
      <c r="DQ38" s="183"/>
      <c r="DR38" s="235">
        <v>7</v>
      </c>
      <c r="DS38" s="199">
        <f>'Inn foran'!$BT$26</f>
        <v>0</v>
      </c>
      <c r="DT38" s="199">
        <f>'Inn foran'!$BT$28</f>
        <v>0</v>
      </c>
      <c r="DU38" s="199">
        <f>'Inn foran'!$BT$32</f>
        <v>0</v>
      </c>
      <c r="DV38" s="234">
        <f>'Inn foran'!$BT$42</f>
        <v>0</v>
      </c>
      <c r="DW38" s="199">
        <f>'Inn foran'!$BT$44</f>
        <v>0</v>
      </c>
      <c r="DX38" s="234">
        <f>'Inn foran'!$BT$46</f>
        <v>0</v>
      </c>
      <c r="DY38" s="199"/>
      <c r="DZ38" s="234">
        <f>'Inn foran'!$BT$53</f>
        <v>0</v>
      </c>
      <c r="EA38" s="199">
        <f>'Inn foran'!$BT$55</f>
        <v>0</v>
      </c>
      <c r="EB38" s="199">
        <f>'Inn foran'!$BT$57</f>
        <v>0</v>
      </c>
      <c r="EC38" s="236"/>
      <c r="ED38" s="183"/>
      <c r="EE38" s="183"/>
      <c r="EF38" s="183"/>
      <c r="EG38" s="183"/>
      <c r="EH38" s="183"/>
      <c r="EI38" s="183"/>
      <c r="EJ38" s="183"/>
      <c r="EK38" s="183"/>
      <c r="EL38" s="183"/>
      <c r="EM38" s="183"/>
      <c r="EN38" s="183"/>
      <c r="EO38" s="239"/>
      <c r="EP38" s="239"/>
      <c r="ER38" s="206" t="s">
        <v>373</v>
      </c>
      <c r="ES38" s="211">
        <f>FL131</f>
        <v>0</v>
      </c>
      <c r="ET38" s="211">
        <f>FL134</f>
        <v>0</v>
      </c>
      <c r="EU38" s="211">
        <f>FL127</f>
        <v>0</v>
      </c>
      <c r="EV38" s="183"/>
      <c r="EW38" s="183"/>
      <c r="EX38" s="183"/>
      <c r="EY38" s="184"/>
      <c r="EZ38" s="183"/>
      <c r="FA38" s="183"/>
      <c r="FB38" s="183"/>
      <c r="FC38" s="183"/>
      <c r="FD38" s="183"/>
      <c r="FE38" s="183"/>
      <c r="FF38" s="183"/>
      <c r="FG38" s="183"/>
      <c r="FH38" s="183"/>
      <c r="FI38" s="183"/>
      <c r="FJ38" s="183"/>
      <c r="FK38" s="183"/>
      <c r="FL38" s="183"/>
      <c r="FM38" s="183"/>
      <c r="FN38" s="183"/>
      <c r="GH38" s="3689"/>
      <c r="GJ38" s="439" t="str">
        <f>$NO$69</f>
        <v>Stuff 1-3</v>
      </c>
      <c r="GK38" s="241">
        <f t="shared" si="2"/>
        <v>0</v>
      </c>
      <c r="GL38" s="185">
        <f>IF(AND($GN$12=1,control_forbe[[#This Row],[Tverrslag_status]]&lt;&gt;1),1,0)</f>
        <v>0</v>
      </c>
      <c r="GM38" s="185">
        <f>IFERROR(INDEX(inputs_forbe[blank_for],MATCH(control_forbe[[#This Row],[position_forb]],inputs_forbe[Position],0)),0)</f>
        <v>0</v>
      </c>
      <c r="GN38" s="185">
        <f>IFERROR(INDEX(inputs_forbe[blank_forsk],MATCH(control_forbe[[#This Row],[position_forb]],inputs_forbe[Position],0)),0)</f>
        <v>0</v>
      </c>
      <c r="GO38" s="185"/>
      <c r="GP38" s="185">
        <f>IF(AND($GN$12=1,control_forbe[[#This Row],[blank_for]]+control_forbe[[#This Row],[blank_forsk]]&gt;0),1,0)</f>
        <v>0</v>
      </c>
      <c r="GQ38" s="193">
        <f t="shared" si="3"/>
        <v>0</v>
      </c>
      <c r="HH38" s="3694" t="s">
        <v>506</v>
      </c>
      <c r="HI38" s="3695">
        <v>1</v>
      </c>
      <c r="HJ38" s="3695">
        <v>0</v>
      </c>
      <c r="HK38" s="3695">
        <v>0</v>
      </c>
      <c r="HL38" s="3695">
        <v>0</v>
      </c>
      <c r="HM38" s="3695">
        <v>0</v>
      </c>
      <c r="HN38" s="3695">
        <v>0</v>
      </c>
      <c r="HO38" s="3695">
        <v>0</v>
      </c>
      <c r="HP38" s="3695">
        <v>0</v>
      </c>
      <c r="HQ38" s="3695">
        <v>0</v>
      </c>
      <c r="HR38" s="3695">
        <v>1</v>
      </c>
      <c r="HS38" s="3695">
        <v>0</v>
      </c>
      <c r="HT38" s="3695">
        <v>0</v>
      </c>
      <c r="HU38" s="3695">
        <v>0</v>
      </c>
      <c r="HV38" s="3695">
        <v>0</v>
      </c>
      <c r="HW38" s="3695">
        <v>0</v>
      </c>
      <c r="HX38" s="3695">
        <v>0</v>
      </c>
      <c r="HY38" s="3695">
        <v>0</v>
      </c>
      <c r="HZ38" s="3696">
        <v>0</v>
      </c>
      <c r="IA38" s="183"/>
      <c r="IB38" s="183"/>
      <c r="IC38" s="183"/>
      <c r="ID38" s="183"/>
      <c r="IE38" s="183"/>
      <c r="IF38" s="183"/>
      <c r="IH38" s="1761">
        <v>1</v>
      </c>
      <c r="II38" s="1762">
        <f>II18</f>
        <v>1</v>
      </c>
      <c r="IJ38" s="1762">
        <f>IF(checks_justeringer[[#This Row],[metode_check]]&lt;&gt;2,1,1)</f>
        <v>1</v>
      </c>
      <c r="IK38" s="2637">
        <f>IF(AND(checks_justeringer[[#This Row],[metode_check]]=2,IJ18=FALSE,IL18=TRUE),0,1)</f>
        <v>1</v>
      </c>
      <c r="IL38" s="2637"/>
      <c r="IM38" s="2637"/>
      <c r="IN38" s="2637"/>
      <c r="IO38" s="199">
        <f t="shared" ref="IO38:IO46" si="4">IF(OR(IO18=1,IO18=2,IO18=3),1,0)</f>
        <v>0</v>
      </c>
      <c r="IP38" s="3834">
        <f t="shared" ref="IP38:IQ46" si="5">IF(OR(AND($IO18=1,IP18=0),AND($IO18=1,IP18="")),0,1)</f>
        <v>1</v>
      </c>
      <c r="IQ38" s="3834">
        <f t="shared" si="5"/>
        <v>1</v>
      </c>
      <c r="IR38" s="3834">
        <f t="shared" ref="IR38:IR46" si="6">IF(OR(AND($IO18=2,IR18=0),AND($IO18=2,IR18="")),0,1)</f>
        <v>1</v>
      </c>
      <c r="IS38" s="3834">
        <f t="shared" ref="IS38:IS46" si="7">IF(OR(AND($IO18=2,IR18="Ja",IS18=0),AND($IO18=2,IR18="Ja",IS18="")),0,1)</f>
        <v>1</v>
      </c>
      <c r="IT38" s="3834">
        <f t="shared" ref="IT38:IT46" si="8">IF(AND($IO18=2,IR18="Ja",IT18=""),0,1)</f>
        <v>1</v>
      </c>
      <c r="IU38" s="3834">
        <f t="shared" ref="IU38:IU46" si="9">IF(OR(AND($IO18=2,IU18=0),AND($IO18=2,IU18="")),0,1)</f>
        <v>1</v>
      </c>
      <c r="IV38" s="3834">
        <f t="shared" ref="IV38:IV46" si="10">IF(OR(AND($IO18=2,IU18="Ja",IV18=0),AND($IO18=2,IU18="Ja",IV18="")),0,1)</f>
        <v>1</v>
      </c>
      <c r="IW38" s="3834">
        <f t="shared" ref="IW38:IW46" si="11">IF(AND($IO18=2,IU18="Ja",IW18=""),0,1)</f>
        <v>1</v>
      </c>
      <c r="IX38" s="3834">
        <f t="shared" ref="IX38:IX46" si="12">IF(OR(AND($IO18=2,IX18=0),AND($IO18=2,IX18="")),0,1)</f>
        <v>1</v>
      </c>
      <c r="IY38" s="3834">
        <f t="shared" ref="IY38:IY46" si="13">IF(OR(AND($IO18=2,IX18="Ja",IY18=0),AND($IO18=2,IX18="Ja",IY18="")),0,1)</f>
        <v>1</v>
      </c>
      <c r="IZ38" s="3834">
        <f t="shared" ref="IZ38:IZ46" si="14">IF(AND($IO18=2,IX18="Ja",IZ18=""),0,1)</f>
        <v>1</v>
      </c>
      <c r="JA38" s="3834">
        <f t="shared" ref="JA38:JA46" si="15">IF(OR(AND($IO18=2,JA18=0),AND($IO18=2,JA18="")),0,1)</f>
        <v>1</v>
      </c>
      <c r="JB38" s="3834">
        <f t="shared" ref="JB38:JB46" si="16">IF(OR(AND($IO18=2,JA18="Ja",JB18=0),AND($IO18=2,JA18="Ja",JB18="")),0,1)</f>
        <v>1</v>
      </c>
      <c r="JC38" s="3834">
        <f t="shared" ref="JC38:JC46" si="17">IF(AND($IO18=2,JA18="Ja",JC18=""),0,1)</f>
        <v>1</v>
      </c>
      <c r="JD38" s="3834">
        <f t="shared" ref="JD38:JD46" si="18">IF(OR(AND($IO18=2,JD18=0),AND($IO18=2,JD18="")),0,1)</f>
        <v>1</v>
      </c>
      <c r="JE38" s="3834">
        <f t="shared" ref="JE38:JE46" si="19">IF(OR(AND($IO18=2,JD18="Ja",JE18=0),AND($IO18=2,JD18="Ja",JE18="")),0,1)</f>
        <v>1</v>
      </c>
      <c r="JF38" s="3834">
        <f t="shared" ref="JF38:JF46" si="20">IF(AND($IO18=2,JD18="Ja",JF18=""),0,1)</f>
        <v>1</v>
      </c>
      <c r="JG38" s="3834">
        <f t="shared" ref="JG38:JG46" si="21">IF(OR(AND($IO18=2,JG18=0),AND($IO18=2,JG18="")),0,1)</f>
        <v>1</v>
      </c>
      <c r="JH38" s="3834">
        <f t="shared" ref="JH38:JH46" si="22">IF(OR(AND($IO18=2,JG18="Ja",JH18=0),AND($IO18=2,JG18="Ja",JH18="")),0,1)</f>
        <v>1</v>
      </c>
      <c r="JI38" s="3834">
        <f t="shared" ref="JI38:JI46" si="23">IF(AND($IO18=2,JG18="Ja",JI18=""),0,1)</f>
        <v>1</v>
      </c>
      <c r="JJ38" s="3834">
        <f t="shared" ref="JJ38:JJ46" si="24">IF(OR(AND($IO18=2,JJ18=0),AND($IO18=2,JJ18="")),0,1)</f>
        <v>1</v>
      </c>
      <c r="JK38" s="3834">
        <f t="shared" ref="JK38:JK46" si="25">IF(OR(AND($IO18=2,JJ18="Ja",JK18=0),AND($IO18=2,JJ18="Ja",JK18="")),0,1)</f>
        <v>1</v>
      </c>
      <c r="JL38" s="3834">
        <f t="shared" ref="JL38:JL46" si="26">IF(AND($IO18=2,JJ18="Ja",JL18=""),0,1)</f>
        <v>1</v>
      </c>
      <c r="JM38" s="3834">
        <f>IF(COUNTIF(checks_justeringer[[#This Row],[vek_faktor_bruker]:[vek_faktor_beg]],0)&gt;0,0,1)</f>
        <v>1</v>
      </c>
      <c r="JN38" s="199">
        <f>IF(COUNTIF(checks_justeringer[[#This Row],[general_svar]:[general_beg]],0)&gt;0,0,1)</f>
        <v>0</v>
      </c>
      <c r="JO38" s="199">
        <f>IF(COUNTIF(checks_justeringer[[#This Row],[geo_svar]:[geo_beg]],0)&gt;0,0,1)</f>
        <v>1</v>
      </c>
      <c r="JP38" s="199">
        <f>IF(COUNTIF(checks_justeringer[[#This Row],[stig_svar]:[stig_beg]],0)&gt;0,0,1)</f>
        <v>1</v>
      </c>
      <c r="JQ38" s="199">
        <f>IF(COUNTIF(checks_justeringer[[#This Row],[arb_svar]:[arb_beg]],0)&gt;0,0,1)</f>
        <v>1</v>
      </c>
      <c r="JR38" s="199">
        <f>IF(COUNTIF(checks_justeringer[[#This Row],[spreng_svar]:[spreng_beg]],0)&gt;0,0,1)</f>
        <v>1</v>
      </c>
      <c r="JS38" s="199">
        <f>IF(COUNTIF(checks_justeringer[[#This Row],[skyte_svar]:[skyte_beg]],0)&gt;0,0,1)</f>
        <v>1</v>
      </c>
      <c r="JT38" s="199">
        <f>IF(COUNTIF(checks_justeringer[[#This Row],[støy_svar]:[støy_beg]],0)&gt;0,0,1)</f>
        <v>1</v>
      </c>
      <c r="JU38" s="199">
        <f>IF(COUNTIF(checks_justeringer[[#This Row],[ann_svar]:[ann_beg]],0)&gt;0,0,1)</f>
        <v>1</v>
      </c>
      <c r="JV38" s="193">
        <f>COUNTIF(checks_justeringer[[#This Row],[vek_faktor_final]:[ann_final]],0)</f>
        <v>1</v>
      </c>
      <c r="JW38" s="248">
        <f t="shared" ref="JW38:JW46" si="27">IF(OR(AND(IO18=2,JG18="Nei",JD18="Nei",JA18="Nei",IX18="Nei",IU18="Nei",IR18="Nei",JJ18="Nei"),IO18=3,IO18=0),1,0)</f>
        <v>1</v>
      </c>
      <c r="JX38" s="248"/>
      <c r="JY38" s="248"/>
      <c r="JZ38" s="248"/>
      <c r="KA38" s="248"/>
      <c r="KB38" s="248"/>
      <c r="KC38" s="248"/>
      <c r="KD38" s="184"/>
      <c r="KE38" s="183"/>
      <c r="KF38" s="183"/>
      <c r="KH38" s="184"/>
      <c r="KI38" s="184"/>
      <c r="KJ38" s="184"/>
      <c r="KK38" s="184"/>
      <c r="KL38" s="184"/>
      <c r="KM38" s="184"/>
      <c r="KN38" s="184"/>
      <c r="KO38" s="5245">
        <v>22</v>
      </c>
      <c r="KP38" s="5235">
        <v>1</v>
      </c>
      <c r="KQ38" s="5235">
        <v>0</v>
      </c>
      <c r="KR38" s="5235">
        <v>0</v>
      </c>
      <c r="KS38" s="5235">
        <v>0</v>
      </c>
      <c r="KT38" s="5235">
        <v>1</v>
      </c>
      <c r="KU38" s="5235">
        <v>0</v>
      </c>
      <c r="KV38" s="5235">
        <v>0</v>
      </c>
      <c r="KW38" s="5236">
        <v>0</v>
      </c>
      <c r="KX38" s="184"/>
      <c r="KY38" s="184"/>
      <c r="KZ38" s="184"/>
      <c r="LA38" s="184"/>
      <c r="LB38" s="184"/>
      <c r="LC38" s="184"/>
      <c r="LD38" s="184"/>
      <c r="LJ38" s="372" t="s">
        <v>2330</v>
      </c>
      <c r="LK38" s="5250">
        <f>Tunneldrift!B140</f>
        <v>1</v>
      </c>
      <c r="LL38" s="5250">
        <f>Tunneldrift!D140</f>
        <v>1</v>
      </c>
      <c r="LM38" s="5250">
        <f>Tunneldrift!E140</f>
        <v>1</v>
      </c>
      <c r="LN38" s="5250">
        <f>Tunneldrift!F140</f>
        <v>1</v>
      </c>
      <c r="LO38" s="5250">
        <f>Tunneldrift!B171</f>
        <v>1</v>
      </c>
      <c r="LP38" s="5250">
        <f>Tunneldrift!D171</f>
        <v>1</v>
      </c>
      <c r="LQ38" s="5250">
        <f>Tunneldrift!E171</f>
        <v>1</v>
      </c>
      <c r="LR38" s="5250">
        <f>Tunneldrift!F171</f>
        <v>1</v>
      </c>
      <c r="LS38" s="5250">
        <v>1</v>
      </c>
      <c r="LT38" s="183"/>
      <c r="NI38" s="3690"/>
      <c r="NN38" s="185" t="s">
        <v>434</v>
      </c>
      <c r="NO38" s="199">
        <f>INDEX(oppsum_position[default position],MATCH(NO36,oppsum_position[Navn],0))</f>
        <v>1</v>
      </c>
      <c r="NP38" s="199" t="e">
        <f>INDEX(oppsum_position[default position],MATCH(NP36,oppsum_position[Navn],0))</f>
        <v>#N/A</v>
      </c>
      <c r="NQ38" s="199" t="e">
        <f>INDEX(oppsum_position[default position],MATCH(NQ36,oppsum_position[Navn],0))</f>
        <v>#N/A</v>
      </c>
      <c r="NR38" s="199" t="e">
        <f>INDEX(oppsum_position[default position],MATCH(NR36,oppsum_position[Navn],0))</f>
        <v>#N/A</v>
      </c>
      <c r="NS38" s="199" t="e">
        <f>INDEX(oppsum_position[default position],MATCH(NS36,oppsum_position[Navn],0))</f>
        <v>#N/A</v>
      </c>
      <c r="NT38" s="199" t="e">
        <f>INDEX(oppsum_position[default position],MATCH(NT36,oppsum_position[Navn],0))</f>
        <v>#N/A</v>
      </c>
      <c r="NU38" s="199" t="e">
        <f>INDEX(oppsum_position[default position],MATCH(NU36,oppsum_position[Navn],0))</f>
        <v>#N/A</v>
      </c>
      <c r="NV38" s="199" t="e">
        <f>INDEX(oppsum_position[default position],MATCH(NV36,oppsum_position[Navn],0))</f>
        <v>#N/A</v>
      </c>
      <c r="NW38" s="199" t="e">
        <f>INDEX(oppsum_position[default position],MATCH(NW36,oppsum_position[Navn],0))</f>
        <v>#N/A</v>
      </c>
      <c r="OE38" s="239"/>
      <c r="OF38" s="239"/>
      <c r="OG38" s="239"/>
      <c r="OH38" s="239"/>
      <c r="OI38" s="239"/>
      <c r="OJ38" s="239"/>
      <c r="OK38" s="239"/>
      <c r="OL38" s="239"/>
      <c r="OM38" s="239"/>
      <c r="ON38" s="239"/>
      <c r="OO38" s="239"/>
      <c r="OP38" s="239"/>
      <c r="OQ38" s="239"/>
      <c r="OR38" s="239"/>
      <c r="OS38" s="239"/>
      <c r="OT38" s="239"/>
      <c r="OU38" s="239"/>
      <c r="OV38" s="239"/>
      <c r="OW38" s="239"/>
      <c r="OX38" s="239"/>
      <c r="OY38" s="239"/>
      <c r="OZ38" s="239"/>
      <c r="PA38" s="239"/>
      <c r="PB38" s="239"/>
      <c r="PC38" s="239"/>
      <c r="PD38" s="239"/>
      <c r="PE38" s="239"/>
      <c r="PF38" s="239"/>
      <c r="PG38" s="239"/>
      <c r="PH38" s="239"/>
      <c r="PI38" s="239"/>
      <c r="PJ38" s="239"/>
      <c r="PK38" s="239"/>
      <c r="PL38" s="239"/>
      <c r="PM38" s="239"/>
      <c r="PN38" s="239"/>
      <c r="PO38" s="842"/>
      <c r="PP38" s="842"/>
      <c r="PQ38" s="842"/>
      <c r="PR38" s="842"/>
      <c r="PS38" s="842"/>
      <c r="PT38" s="842"/>
      <c r="PU38" s="842"/>
      <c r="PV38" s="239"/>
      <c r="PW38" s="239"/>
      <c r="PX38" s="239"/>
      <c r="PY38" s="239"/>
      <c r="PZ38" s="239"/>
      <c r="QA38" s="239"/>
      <c r="QB38" s="239"/>
      <c r="QC38" s="239"/>
      <c r="QD38" s="239"/>
      <c r="QE38" s="239"/>
      <c r="QF38" s="239"/>
      <c r="QG38" s="239"/>
      <c r="QH38" s="239"/>
      <c r="QI38" s="239"/>
      <c r="QJ38" s="239"/>
      <c r="QK38" s="239"/>
      <c r="QL38" s="239"/>
      <c r="QM38" s="239"/>
      <c r="QV38" s="183"/>
      <c r="QW38" s="183"/>
      <c r="QX38" s="183"/>
      <c r="QY38" s="183"/>
      <c r="QZ38" s="183"/>
      <c r="RA38" s="183"/>
      <c r="RB38" s="183"/>
      <c r="RC38" s="183"/>
      <c r="RD38" s="183"/>
      <c r="RE38" s="183"/>
      <c r="RF38" s="183"/>
      <c r="RS38" s="183"/>
      <c r="RT38" s="210"/>
      <c r="RU38" s="183"/>
      <c r="RV38" s="210"/>
      <c r="RW38" s="183"/>
      <c r="RX38" s="183"/>
      <c r="RY38" s="183"/>
      <c r="RZ38" s="183"/>
      <c r="SZ38" s="435"/>
      <c r="UG38" s="183"/>
      <c r="VL38" s="183"/>
      <c r="VN38" s="183"/>
      <c r="VO38" s="183"/>
      <c r="VP38" s="183"/>
      <c r="VQ38" s="265"/>
    </row>
    <row r="39" spans="2:604" s="2617" customFormat="1" ht="30" customHeight="1" x14ac:dyDescent="0.2">
      <c r="B39" s="2981"/>
      <c r="C39" s="2981"/>
      <c r="D39" s="2981"/>
      <c r="E39" s="2981"/>
      <c r="I39" s="5565"/>
      <c r="J39" s="372"/>
      <c r="K39" s="372"/>
      <c r="L39" s="372"/>
      <c r="M39" s="372"/>
      <c r="N39" s="372" t="s">
        <v>120</v>
      </c>
      <c r="O39" s="185"/>
      <c r="R39" s="2686"/>
      <c r="S39" s="6009"/>
      <c r="T39" s="2686"/>
      <c r="AH39" s="183"/>
      <c r="AI39" s="3448">
        <v>6</v>
      </c>
      <c r="AJ39" s="3851">
        <f>IF($AI$15&lt;&gt;"",AL26/$AI$44,0)</f>
        <v>0</v>
      </c>
      <c r="AK39" s="183"/>
      <c r="AL39" s="183"/>
      <c r="BA39" s="183"/>
      <c r="BB39" s="272" t="s">
        <v>281</v>
      </c>
      <c r="BC39" s="222" t="str">
        <f>BC34&amp;BC38</f>
        <v>12</v>
      </c>
      <c r="BD39" s="183"/>
      <c r="BE39" s="183"/>
      <c r="BF39" s="183"/>
      <c r="BG39" s="183"/>
      <c r="BH39" s="183"/>
      <c r="BI39" s="184"/>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5372"/>
      <c r="CN39" s="5372"/>
      <c r="CO39" s="5372"/>
      <c r="CP39" s="5372"/>
      <c r="CQ39" s="5373"/>
      <c r="CR39" s="5373"/>
      <c r="CS39" s="5373"/>
      <c r="CT39" s="3436"/>
      <c r="CU39" s="3436"/>
      <c r="CV39" s="3436"/>
      <c r="CW39" s="3436"/>
      <c r="CX39" s="3436"/>
      <c r="CY39" s="3436"/>
      <c r="CZ39" s="3436"/>
      <c r="DA39" s="3436"/>
      <c r="DB39" s="3436"/>
      <c r="DC39" s="3436"/>
      <c r="DD39" s="3436"/>
      <c r="DE39" s="3436"/>
      <c r="DF39" s="3436"/>
      <c r="DG39" s="3436"/>
      <c r="DH39" s="3436"/>
      <c r="DI39" s="3436"/>
      <c r="DJ39" s="3436"/>
      <c r="DK39" s="3436"/>
      <c r="DL39" s="3436"/>
      <c r="DM39" s="3436"/>
      <c r="DN39" s="3436"/>
      <c r="DO39" s="3436"/>
      <c r="DP39" s="3436"/>
      <c r="DQ39" s="183"/>
      <c r="DR39" s="235">
        <v>8</v>
      </c>
      <c r="DS39" s="199">
        <f>'Inn foran'!$CB$26</f>
        <v>0</v>
      </c>
      <c r="DT39" s="199">
        <f>'Inn foran'!$CB$28</f>
        <v>0</v>
      </c>
      <c r="DU39" s="199">
        <f>'Inn foran'!$CB$32</f>
        <v>0</v>
      </c>
      <c r="DV39" s="234">
        <f>'Inn foran'!$CB$42</f>
        <v>0</v>
      </c>
      <c r="DW39" s="199">
        <f>'Inn foran'!$CB$44</f>
        <v>0</v>
      </c>
      <c r="DX39" s="234">
        <f>'Inn foran'!$CB$46</f>
        <v>0</v>
      </c>
      <c r="DY39" s="199"/>
      <c r="DZ39" s="234">
        <f>'Inn foran'!$CB$53</f>
        <v>0</v>
      </c>
      <c r="EA39" s="199">
        <f>'Inn foran'!$CB$55</f>
        <v>0</v>
      </c>
      <c r="EB39" s="199">
        <f>'Inn foran'!$CB$57</f>
        <v>0</v>
      </c>
      <c r="EC39" s="236"/>
      <c r="ED39" s="183"/>
      <c r="EE39" s="183"/>
      <c r="EF39" s="183"/>
      <c r="EG39" s="183"/>
      <c r="EH39" s="183"/>
      <c r="EI39" s="183"/>
      <c r="EJ39" s="183"/>
      <c r="EK39" s="183"/>
      <c r="EL39" s="183"/>
      <c r="EM39" s="183"/>
      <c r="EN39" s="183"/>
      <c r="EO39" s="239"/>
      <c r="EP39" s="239"/>
      <c r="ER39" s="183"/>
      <c r="ES39" s="183"/>
      <c r="ET39" s="183"/>
      <c r="EU39" s="183"/>
      <c r="EV39" s="183"/>
      <c r="EW39" s="183"/>
      <c r="EX39" s="183"/>
      <c r="EY39" s="184"/>
      <c r="EZ39" s="183"/>
      <c r="FA39" s="183"/>
      <c r="FB39" s="183"/>
      <c r="FC39" s="183"/>
      <c r="FD39" s="183"/>
      <c r="FE39" s="183"/>
      <c r="FF39" s="183"/>
      <c r="FG39" s="183"/>
      <c r="FH39" s="183"/>
      <c r="FI39" s="183"/>
      <c r="FJ39" s="183"/>
      <c r="FK39" s="183"/>
      <c r="FL39" s="183"/>
      <c r="FM39" s="183"/>
      <c r="FN39" s="183"/>
      <c r="GH39" s="3689"/>
      <c r="GJ39" s="439" t="str">
        <f>$NO$70</f>
        <v>Stuff 1-4</v>
      </c>
      <c r="GK39" s="241">
        <f t="shared" si="2"/>
        <v>0</v>
      </c>
      <c r="GL39" s="185">
        <f>IF(AND($GN$12=1,control_forbe[[#This Row],[Tverrslag_status]]&lt;&gt;1),1,0)</f>
        <v>0</v>
      </c>
      <c r="GM39" s="185">
        <f>IFERROR(INDEX(inputs_forbe[blank_for],MATCH(control_forbe[[#This Row],[position_forb]],inputs_forbe[Position],0)),0)</f>
        <v>0</v>
      </c>
      <c r="GN39" s="185">
        <f>IFERROR(INDEX(inputs_forbe[blank_forsk],MATCH(control_forbe[[#This Row],[position_forb]],inputs_forbe[Position],0)),0)</f>
        <v>0</v>
      </c>
      <c r="GO39" s="185"/>
      <c r="GP39" s="185">
        <f>IF(AND($GN$12=1,control_forbe[[#This Row],[blank_for]]+control_forbe[[#This Row],[blank_forsk]]&gt;0),1,0)</f>
        <v>0</v>
      </c>
      <c r="GQ39" s="193">
        <f t="shared" si="3"/>
        <v>0</v>
      </c>
      <c r="HH39" s="3694" t="s">
        <v>508</v>
      </c>
      <c r="HI39" s="3695">
        <v>0</v>
      </c>
      <c r="HJ39" s="3695">
        <v>1</v>
      </c>
      <c r="HK39" s="3695">
        <v>0</v>
      </c>
      <c r="HL39" s="3695">
        <v>0</v>
      </c>
      <c r="HM39" s="3695">
        <v>0</v>
      </c>
      <c r="HN39" s="3695">
        <v>0</v>
      </c>
      <c r="HO39" s="3695">
        <v>0</v>
      </c>
      <c r="HP39" s="3695">
        <v>0</v>
      </c>
      <c r="HQ39" s="3695">
        <v>0</v>
      </c>
      <c r="HR39" s="3695">
        <v>0</v>
      </c>
      <c r="HS39" s="3695">
        <v>1</v>
      </c>
      <c r="HT39" s="3695">
        <v>0</v>
      </c>
      <c r="HU39" s="3695">
        <v>0</v>
      </c>
      <c r="HV39" s="3695">
        <v>0</v>
      </c>
      <c r="HW39" s="3695">
        <v>0</v>
      </c>
      <c r="HX39" s="3695">
        <v>0</v>
      </c>
      <c r="HY39" s="3695">
        <v>0</v>
      </c>
      <c r="HZ39" s="3696">
        <v>0</v>
      </c>
      <c r="IA39" s="183"/>
      <c r="IB39" s="183"/>
      <c r="IC39" s="183"/>
      <c r="ID39" s="183"/>
      <c r="IE39" s="183"/>
      <c r="IF39" s="183"/>
      <c r="IH39" s="1761">
        <v>2</v>
      </c>
      <c r="II39" s="1762" t="e">
        <f t="shared" ref="II39:II46" si="28">II19</f>
        <v>#N/A</v>
      </c>
      <c r="IJ39" s="1762">
        <f>IJ38</f>
        <v>1</v>
      </c>
      <c r="IK39" s="2637">
        <f>IK38</f>
        <v>1</v>
      </c>
      <c r="IL39" s="1758"/>
      <c r="IM39" s="1758"/>
      <c r="IN39" s="1758"/>
      <c r="IO39" s="199">
        <f t="shared" si="4"/>
        <v>0</v>
      </c>
      <c r="IP39" s="3834">
        <f t="shared" si="5"/>
        <v>1</v>
      </c>
      <c r="IQ39" s="3834">
        <f t="shared" si="5"/>
        <v>1</v>
      </c>
      <c r="IR39" s="3834">
        <f t="shared" si="6"/>
        <v>1</v>
      </c>
      <c r="IS39" s="3834">
        <f t="shared" si="7"/>
        <v>1</v>
      </c>
      <c r="IT39" s="3834">
        <f t="shared" si="8"/>
        <v>1</v>
      </c>
      <c r="IU39" s="3834">
        <f t="shared" si="9"/>
        <v>1</v>
      </c>
      <c r="IV39" s="3834">
        <f t="shared" si="10"/>
        <v>1</v>
      </c>
      <c r="IW39" s="3834">
        <f t="shared" si="11"/>
        <v>1</v>
      </c>
      <c r="IX39" s="3834">
        <f t="shared" si="12"/>
        <v>1</v>
      </c>
      <c r="IY39" s="3834">
        <f t="shared" si="13"/>
        <v>1</v>
      </c>
      <c r="IZ39" s="3834">
        <f t="shared" si="14"/>
        <v>1</v>
      </c>
      <c r="JA39" s="3834">
        <f t="shared" si="15"/>
        <v>1</v>
      </c>
      <c r="JB39" s="3834">
        <f t="shared" si="16"/>
        <v>1</v>
      </c>
      <c r="JC39" s="3834">
        <f t="shared" si="17"/>
        <v>1</v>
      </c>
      <c r="JD39" s="3834">
        <f t="shared" si="18"/>
        <v>1</v>
      </c>
      <c r="JE39" s="3834">
        <f t="shared" si="19"/>
        <v>1</v>
      </c>
      <c r="JF39" s="3834">
        <f t="shared" si="20"/>
        <v>1</v>
      </c>
      <c r="JG39" s="3834">
        <f t="shared" si="21"/>
        <v>1</v>
      </c>
      <c r="JH39" s="3834">
        <f t="shared" si="22"/>
        <v>1</v>
      </c>
      <c r="JI39" s="3834">
        <f t="shared" si="23"/>
        <v>1</v>
      </c>
      <c r="JJ39" s="3834">
        <f t="shared" si="24"/>
        <v>1</v>
      </c>
      <c r="JK39" s="3834">
        <f t="shared" si="25"/>
        <v>1</v>
      </c>
      <c r="JL39" s="3834">
        <f t="shared" si="26"/>
        <v>1</v>
      </c>
      <c r="JM39" s="3834">
        <f>IF(COUNTIF(checks_justeringer[[#This Row],[vek_faktor_bruker]:[vek_faktor_beg]],0)&gt;0,0,1)</f>
        <v>1</v>
      </c>
      <c r="JN39" s="199">
        <f>IF(COUNTIF(checks_justeringer[[#This Row],[general_svar]:[general_beg]],0)&gt;0,0,1)</f>
        <v>0</v>
      </c>
      <c r="JO39" s="199">
        <f>IF(COUNTIF(checks_justeringer[[#This Row],[geo_svar]:[geo_beg]],0)&gt;0,0,1)</f>
        <v>1</v>
      </c>
      <c r="JP39" s="199">
        <f>IF(COUNTIF(checks_justeringer[[#This Row],[stig_svar]:[stig_beg]],0)&gt;0,0,1)</f>
        <v>1</v>
      </c>
      <c r="JQ39" s="199">
        <f>IF(COUNTIF(checks_justeringer[[#This Row],[arb_svar]:[arb_beg]],0)&gt;0,0,1)</f>
        <v>1</v>
      </c>
      <c r="JR39" s="199">
        <f>IF(COUNTIF(checks_justeringer[[#This Row],[spreng_svar]:[spreng_beg]],0)&gt;0,0,1)</f>
        <v>1</v>
      </c>
      <c r="JS39" s="199">
        <f>IF(COUNTIF(checks_justeringer[[#This Row],[skyte_svar]:[skyte_beg]],0)&gt;0,0,1)</f>
        <v>1</v>
      </c>
      <c r="JT39" s="199">
        <f>IF(COUNTIF(checks_justeringer[[#This Row],[støy_svar]:[støy_beg]],0)&gt;0,0,1)</f>
        <v>1</v>
      </c>
      <c r="JU39" s="199">
        <f>IF(COUNTIF(checks_justeringer[[#This Row],[ann_svar]:[ann_beg]],0)&gt;0,0,1)</f>
        <v>1</v>
      </c>
      <c r="JV39" s="193">
        <f>COUNTIF(checks_justeringer[[#This Row],[vek_faktor_final]:[ann_final]],0)</f>
        <v>1</v>
      </c>
      <c r="JW39" s="248">
        <f t="shared" si="27"/>
        <v>1</v>
      </c>
      <c r="JX39" s="199"/>
      <c r="JY39" s="199"/>
      <c r="JZ39" s="199"/>
      <c r="KA39" s="199"/>
      <c r="KB39" s="199"/>
      <c r="KC39" s="199"/>
      <c r="KD39" s="184"/>
      <c r="KE39" s="183"/>
      <c r="KF39" s="183"/>
      <c r="KH39" s="184"/>
      <c r="KI39" s="184"/>
      <c r="KJ39" s="184"/>
      <c r="KK39" s="184"/>
      <c r="KL39" s="184"/>
      <c r="KM39" s="184"/>
      <c r="KN39" s="184"/>
      <c r="KO39" s="5245">
        <v>24</v>
      </c>
      <c r="KP39" s="5235">
        <v>1</v>
      </c>
      <c r="KQ39" s="5235">
        <v>1</v>
      </c>
      <c r="KR39" s="5235">
        <v>0</v>
      </c>
      <c r="KS39" s="5235">
        <v>0</v>
      </c>
      <c r="KT39" s="5235">
        <v>1</v>
      </c>
      <c r="KU39" s="5235">
        <v>1</v>
      </c>
      <c r="KV39" s="5235">
        <v>0</v>
      </c>
      <c r="KW39" s="5236">
        <v>0</v>
      </c>
      <c r="KX39" s="184"/>
      <c r="KY39" s="184"/>
      <c r="KZ39" s="184"/>
      <c r="LA39" s="184"/>
      <c r="LB39" s="184"/>
      <c r="LC39" s="184"/>
      <c r="LD39" s="184"/>
      <c r="LJ39" s="372" t="s">
        <v>2331</v>
      </c>
      <c r="LK39" s="5250" t="str">
        <f>IF(LK38=1,_List!$AW$7,IF(LK38=2,_List!$AW$8))</f>
        <v>Enstuffs drift</v>
      </c>
      <c r="LL39" s="5250" t="str">
        <f>IF(LL38=1,_List!$AW$7,IF(LL38=2,_List!$AW$8))</f>
        <v>Enstuffs drift</v>
      </c>
      <c r="LM39" s="5250" t="str">
        <f>IF(LM38=1,_List!$AW$7,IF(LM38=2,_List!$AW$8))</f>
        <v>Enstuffs drift</v>
      </c>
      <c r="LN39" s="5250" t="str">
        <f>IF(LN38=1,_List!$AW$7,IF(LN38=2,_List!$AW$8))</f>
        <v>Enstuffs drift</v>
      </c>
      <c r="LO39" s="5250" t="str">
        <f>IF(LO38=1,_List!$AW$7,IF(LO38=2,_List!$AW$8))</f>
        <v>Enstuffs drift</v>
      </c>
      <c r="LP39" s="5250" t="str">
        <f>IF(LP38=1,_List!$AW$7,IF(LP38=2,_List!$AW$8))</f>
        <v>Enstuffs drift</v>
      </c>
      <c r="LQ39" s="5250" t="str">
        <f>IF(LQ38=1,_List!$AW$7,IF(LQ38=2,_List!$AW$8))</f>
        <v>Enstuffs drift</v>
      </c>
      <c r="LR39" s="5250" t="str">
        <f>IF(LR38=1,_List!$AW$7,IF(LR38=2,_List!$AW$8))</f>
        <v>Enstuffs drift</v>
      </c>
      <c r="LS39" s="5250" t="str">
        <f>IF(LS38=1,_List!$AW$7,IF(LS38=2,_List!$AW$8))</f>
        <v>Enstuffs drift</v>
      </c>
      <c r="NI39" s="3690"/>
      <c r="NN39" s="185" t="s">
        <v>435</v>
      </c>
      <c r="NO39" s="199">
        <f t="shared" ref="NO39:NW39" si="29">$BC$38</f>
        <v>2</v>
      </c>
      <c r="NP39" s="199">
        <f t="shared" si="29"/>
        <v>2</v>
      </c>
      <c r="NQ39" s="199">
        <f t="shared" si="29"/>
        <v>2</v>
      </c>
      <c r="NR39" s="199">
        <f t="shared" si="29"/>
        <v>2</v>
      </c>
      <c r="NS39" s="199">
        <f t="shared" si="29"/>
        <v>2</v>
      </c>
      <c r="NT39" s="199">
        <f t="shared" si="29"/>
        <v>2</v>
      </c>
      <c r="NU39" s="199">
        <f t="shared" si="29"/>
        <v>2</v>
      </c>
      <c r="NV39" s="199">
        <f t="shared" si="29"/>
        <v>2</v>
      </c>
      <c r="NW39" s="199">
        <f t="shared" si="29"/>
        <v>2</v>
      </c>
      <c r="OE39" s="239"/>
      <c r="OF39" s="239"/>
      <c r="OG39" s="239"/>
      <c r="OH39" s="239"/>
      <c r="OI39" s="239"/>
      <c r="OJ39" s="239"/>
      <c r="OK39" s="239"/>
      <c r="OL39" s="239"/>
      <c r="OM39" s="239"/>
      <c r="ON39" s="239"/>
      <c r="OO39" s="239"/>
      <c r="OP39" s="239"/>
      <c r="OQ39" s="239"/>
      <c r="OR39" s="239"/>
      <c r="OS39" s="239"/>
      <c r="OT39" s="239"/>
      <c r="OU39" s="239"/>
      <c r="OV39" s="239"/>
      <c r="OW39" s="239"/>
      <c r="OX39" s="239"/>
      <c r="OY39" s="239"/>
      <c r="OZ39" s="239"/>
      <c r="PA39" s="239"/>
      <c r="PB39" s="239"/>
      <c r="PC39" s="239"/>
      <c r="PD39" s="239"/>
      <c r="PE39" s="239"/>
      <c r="PF39" s="239"/>
      <c r="PG39" s="239"/>
      <c r="PH39" s="239"/>
      <c r="PI39" s="239"/>
      <c r="PJ39" s="239"/>
      <c r="PK39" s="239"/>
      <c r="PL39" s="239"/>
      <c r="PM39" s="239"/>
      <c r="PN39" s="239"/>
      <c r="PO39" s="842"/>
      <c r="PP39" s="842"/>
      <c r="PQ39" s="842"/>
      <c r="PR39" s="842"/>
      <c r="PS39" s="842"/>
      <c r="PT39" s="842"/>
      <c r="PU39" s="842"/>
      <c r="PV39" s="239"/>
      <c r="PW39" s="239"/>
      <c r="PX39" s="239"/>
      <c r="PY39" s="239"/>
      <c r="PZ39" s="239"/>
      <c r="QA39" s="239"/>
      <c r="QB39" s="239"/>
      <c r="QC39" s="239"/>
      <c r="QD39" s="239"/>
      <c r="QE39" s="239"/>
      <c r="QF39" s="239"/>
      <c r="QG39" s="239"/>
      <c r="QH39" s="239"/>
      <c r="QI39" s="239"/>
      <c r="QJ39" s="239"/>
      <c r="QK39" s="239"/>
      <c r="QL39" s="239"/>
      <c r="QM39" s="239"/>
      <c r="QV39" s="183"/>
      <c r="QW39" s="183"/>
      <c r="QX39" s="183"/>
      <c r="QY39" s="183"/>
      <c r="QZ39" s="183"/>
      <c r="RA39" s="183"/>
      <c r="RB39" s="183"/>
      <c r="RC39" s="183"/>
      <c r="RD39" s="183"/>
      <c r="RE39" s="183"/>
      <c r="RF39" s="183"/>
      <c r="RG39" s="183"/>
      <c r="RH39" s="183"/>
      <c r="RI39" s="183"/>
      <c r="RJ39" s="183"/>
      <c r="RK39" s="183"/>
      <c r="RL39" s="183"/>
      <c r="RM39" s="183"/>
      <c r="RN39" s="183"/>
      <c r="RO39" s="183"/>
      <c r="RP39" s="183"/>
      <c r="RQ39" s="183"/>
      <c r="RR39" s="183"/>
      <c r="RS39" s="183"/>
      <c r="RT39" s="210"/>
      <c r="RU39" s="183"/>
      <c r="RV39" s="210"/>
      <c r="RW39" s="183"/>
      <c r="RX39" s="183"/>
      <c r="RY39" s="183"/>
      <c r="RZ39" s="183"/>
      <c r="SZ39" s="435"/>
      <c r="UG39" s="183"/>
      <c r="VL39" s="183"/>
      <c r="VN39" s="183"/>
      <c r="VO39" s="183"/>
      <c r="VP39" s="183"/>
      <c r="VQ39" s="265"/>
    </row>
    <row r="40" spans="2:604" s="2617" customFormat="1" ht="30" customHeight="1" x14ac:dyDescent="0.35">
      <c r="B40" s="2981"/>
      <c r="C40" s="2981"/>
      <c r="D40" s="2981"/>
      <c r="E40" s="2981"/>
      <c r="I40" s="5565"/>
      <c r="J40" s="372"/>
      <c r="K40" s="372"/>
      <c r="L40" s="372"/>
      <c r="M40" s="372"/>
      <c r="N40" s="372" t="s">
        <v>121</v>
      </c>
      <c r="O40" s="185"/>
      <c r="R40" s="2686"/>
      <c r="S40" s="6009"/>
      <c r="T40" s="2686"/>
      <c r="AH40" s="183"/>
      <c r="AI40" s="3448">
        <v>7</v>
      </c>
      <c r="AJ40" s="3851">
        <f>IF($AI$15&lt;&gt;"",AL27/$AI$44,0)</f>
        <v>0</v>
      </c>
      <c r="AK40" s="183"/>
      <c r="AL40" s="183"/>
      <c r="BA40" s="183"/>
      <c r="BB40" s="273" t="s">
        <v>318</v>
      </c>
      <c r="BC40" s="199" t="str">
        <f>BC34&amp;BC36</f>
        <v>10</v>
      </c>
      <c r="BD40" s="183"/>
      <c r="BE40" s="183"/>
      <c r="BF40" s="183"/>
      <c r="BG40" s="183"/>
      <c r="BH40" s="183"/>
      <c r="BI40" s="184"/>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5372"/>
      <c r="CN40" s="5372"/>
      <c r="CO40" s="5372"/>
      <c r="CP40" s="5372"/>
      <c r="CQ40" s="5374"/>
      <c r="CR40" s="5374"/>
      <c r="CS40" s="5374"/>
      <c r="CT40" s="3442"/>
      <c r="CU40" s="3442"/>
      <c r="CV40" s="3442"/>
      <c r="CW40" s="3442"/>
      <c r="CX40" s="3442"/>
      <c r="CY40" s="3442"/>
      <c r="CZ40" s="3442"/>
      <c r="DA40" s="3442"/>
      <c r="DB40" s="3442"/>
      <c r="DC40" s="3442"/>
      <c r="DD40" s="3442"/>
      <c r="DE40" s="3442"/>
      <c r="DF40" s="3442"/>
      <c r="DG40" s="3442"/>
      <c r="DH40" s="3442"/>
      <c r="DI40" s="3442"/>
      <c r="DJ40" s="3442"/>
      <c r="DK40" s="3442"/>
      <c r="DL40" s="3442"/>
      <c r="DM40" s="3442"/>
      <c r="DN40" s="3442"/>
      <c r="DO40" s="3442"/>
      <c r="DP40" s="3442"/>
      <c r="DQ40" s="183"/>
      <c r="DR40" s="303">
        <v>9</v>
      </c>
      <c r="DS40" s="199">
        <f>'Inn foran'!$CJ$26</f>
        <v>0</v>
      </c>
      <c r="DT40" s="199">
        <f>'Inn foran'!$CJ$28</f>
        <v>0</v>
      </c>
      <c r="DU40" s="199">
        <f>'Inn foran'!$CJ$32</f>
        <v>0</v>
      </c>
      <c r="DV40" s="234">
        <f>'Inn foran'!$CJ$42</f>
        <v>0</v>
      </c>
      <c r="DW40" s="199">
        <f>'Inn foran'!$CJ$44</f>
        <v>0</v>
      </c>
      <c r="DX40" s="234">
        <f>'Inn foran'!$CJ$46</f>
        <v>0</v>
      </c>
      <c r="DY40" s="199"/>
      <c r="DZ40" s="234">
        <f>'Inn foran'!$CJ$53</f>
        <v>0</v>
      </c>
      <c r="EA40" s="199">
        <f>'Inn foran'!$CJ$55</f>
        <v>0</v>
      </c>
      <c r="EB40" s="199">
        <f>'Inn foran'!$CJ$57</f>
        <v>0</v>
      </c>
      <c r="EC40" s="236"/>
      <c r="ED40" s="183"/>
      <c r="EE40" s="183"/>
      <c r="EF40" s="183"/>
      <c r="EG40" s="183"/>
      <c r="EH40" s="183"/>
      <c r="EI40" s="183"/>
      <c r="EJ40" s="183"/>
      <c r="EK40" s="183"/>
      <c r="EL40" s="183"/>
      <c r="EM40" s="183"/>
      <c r="EN40" s="183"/>
      <c r="EO40" s="239"/>
      <c r="EP40" s="239"/>
      <c r="ER40" s="351" t="s">
        <v>255</v>
      </c>
      <c r="ES40" s="351"/>
      <c r="ET40" s="351"/>
      <c r="EU40" s="351"/>
      <c r="EV40" s="351"/>
      <c r="EW40" s="351"/>
      <c r="EX40" s="351"/>
      <c r="EY40" s="352"/>
      <c r="EZ40" s="351"/>
      <c r="FA40" s="351"/>
      <c r="FB40" s="183"/>
      <c r="FC40" s="183"/>
      <c r="FD40" s="183"/>
      <c r="FE40" s="183"/>
      <c r="FF40" s="183"/>
      <c r="FG40" s="183"/>
      <c r="FH40" s="183"/>
      <c r="FI40" s="183"/>
      <c r="FJ40" s="183"/>
      <c r="FK40" s="183"/>
      <c r="FL40" s="183"/>
      <c r="FM40" s="183"/>
      <c r="FN40" s="183"/>
      <c r="GH40" s="3689"/>
      <c r="GJ40" s="439" t="str">
        <f>$NO$71</f>
        <v>Stuff 2-1</v>
      </c>
      <c r="GK40" s="241">
        <f t="shared" si="2"/>
        <v>0</v>
      </c>
      <c r="GL40" s="185">
        <f>IF(AND($GN$12=1,control_forbe[[#This Row],[Tverrslag_status]]&lt;&gt;1),1,0)</f>
        <v>0</v>
      </c>
      <c r="GM40" s="185">
        <f>IFERROR(INDEX(inputs_forbe[blank_for],MATCH(control_forbe[[#This Row],[position_forb]],inputs_forbe[Position],0)),0)</f>
        <v>0</v>
      </c>
      <c r="GN40" s="185">
        <f>IFERROR(INDEX(inputs_forbe[blank_forsk],MATCH(control_forbe[[#This Row],[position_forb]],inputs_forbe[Position],0)),0)</f>
        <v>0</v>
      </c>
      <c r="GO40" s="185"/>
      <c r="GP40" s="185">
        <f>IF(AND($GN$12=1,control_forbe[[#This Row],[blank_for]]+control_forbe[[#This Row],[blank_forsk]]&gt;0),1,0)</f>
        <v>0</v>
      </c>
      <c r="GQ40" s="193">
        <f t="shared" si="3"/>
        <v>0</v>
      </c>
      <c r="HH40" s="3694" t="s">
        <v>509</v>
      </c>
      <c r="HI40" s="3695">
        <v>0</v>
      </c>
      <c r="HJ40" s="3695">
        <v>1</v>
      </c>
      <c r="HK40" s="3695">
        <v>0</v>
      </c>
      <c r="HL40" s="3695">
        <v>0</v>
      </c>
      <c r="HM40" s="3695">
        <v>0</v>
      </c>
      <c r="HN40" s="3695">
        <v>0</v>
      </c>
      <c r="HO40" s="3695">
        <v>0</v>
      </c>
      <c r="HP40" s="3695">
        <v>0</v>
      </c>
      <c r="HQ40" s="3695">
        <v>0</v>
      </c>
      <c r="HR40" s="3695">
        <v>0</v>
      </c>
      <c r="HS40" s="3695">
        <v>1</v>
      </c>
      <c r="HT40" s="3695">
        <v>0</v>
      </c>
      <c r="HU40" s="3695">
        <v>0</v>
      </c>
      <c r="HV40" s="3695">
        <v>0</v>
      </c>
      <c r="HW40" s="3695">
        <v>0</v>
      </c>
      <c r="HX40" s="3695">
        <v>0</v>
      </c>
      <c r="HY40" s="3695">
        <v>0</v>
      </c>
      <c r="HZ40" s="3696">
        <v>0</v>
      </c>
      <c r="IA40" s="183"/>
      <c r="IB40" s="183"/>
      <c r="IC40" s="183"/>
      <c r="ID40" s="183"/>
      <c r="IE40" s="183"/>
      <c r="IF40" s="183"/>
      <c r="IH40" s="1761">
        <v>3</v>
      </c>
      <c r="II40" s="1762" t="e">
        <f t="shared" si="28"/>
        <v>#N/A</v>
      </c>
      <c r="IJ40" s="1762" t="e">
        <f>IF(checks_justeringer[[#This Row],[metode_check]]&lt;&gt;2,1,1)</f>
        <v>#N/A</v>
      </c>
      <c r="IK40" s="2637" t="e">
        <f>IF(AND(checks_justeringer[[#This Row],[metode_check]]=2,IJ20=FALSE,IL20=TRUE),0,1)</f>
        <v>#N/A</v>
      </c>
      <c r="IL40" s="1758"/>
      <c r="IM40" s="1758"/>
      <c r="IN40" s="1758"/>
      <c r="IO40" s="199">
        <f t="shared" si="4"/>
        <v>0</v>
      </c>
      <c r="IP40" s="3834">
        <f t="shared" si="5"/>
        <v>1</v>
      </c>
      <c r="IQ40" s="3834">
        <f t="shared" si="5"/>
        <v>1</v>
      </c>
      <c r="IR40" s="3834">
        <f t="shared" si="6"/>
        <v>1</v>
      </c>
      <c r="IS40" s="3834">
        <f t="shared" si="7"/>
        <v>1</v>
      </c>
      <c r="IT40" s="3834">
        <f t="shared" si="8"/>
        <v>1</v>
      </c>
      <c r="IU40" s="3834">
        <f t="shared" si="9"/>
        <v>1</v>
      </c>
      <c r="IV40" s="3834">
        <f t="shared" si="10"/>
        <v>1</v>
      </c>
      <c r="IW40" s="3834">
        <f t="shared" si="11"/>
        <v>1</v>
      </c>
      <c r="IX40" s="3834">
        <f t="shared" si="12"/>
        <v>1</v>
      </c>
      <c r="IY40" s="3834">
        <f t="shared" si="13"/>
        <v>1</v>
      </c>
      <c r="IZ40" s="3834">
        <f t="shared" si="14"/>
        <v>1</v>
      </c>
      <c r="JA40" s="3834">
        <f t="shared" si="15"/>
        <v>1</v>
      </c>
      <c r="JB40" s="3834">
        <f t="shared" si="16"/>
        <v>1</v>
      </c>
      <c r="JC40" s="3834">
        <f t="shared" si="17"/>
        <v>1</v>
      </c>
      <c r="JD40" s="3834">
        <f t="shared" si="18"/>
        <v>1</v>
      </c>
      <c r="JE40" s="3834">
        <f t="shared" si="19"/>
        <v>1</v>
      </c>
      <c r="JF40" s="3834">
        <f t="shared" si="20"/>
        <v>1</v>
      </c>
      <c r="JG40" s="3834">
        <f t="shared" si="21"/>
        <v>1</v>
      </c>
      <c r="JH40" s="3834">
        <f t="shared" si="22"/>
        <v>1</v>
      </c>
      <c r="JI40" s="3834">
        <f t="shared" si="23"/>
        <v>1</v>
      </c>
      <c r="JJ40" s="3834">
        <f t="shared" si="24"/>
        <v>1</v>
      </c>
      <c r="JK40" s="3834">
        <f t="shared" si="25"/>
        <v>1</v>
      </c>
      <c r="JL40" s="3834">
        <f t="shared" si="26"/>
        <v>1</v>
      </c>
      <c r="JM40" s="3834">
        <f>IF(COUNTIF(checks_justeringer[[#This Row],[vek_faktor_bruker]:[vek_faktor_beg]],0)&gt;0,0,1)</f>
        <v>1</v>
      </c>
      <c r="JN40" s="199">
        <f>IF(COUNTIF(checks_justeringer[[#This Row],[general_svar]:[general_beg]],0)&gt;0,0,1)</f>
        <v>0</v>
      </c>
      <c r="JO40" s="199">
        <f>IF(COUNTIF(checks_justeringer[[#This Row],[geo_svar]:[geo_beg]],0)&gt;0,0,1)</f>
        <v>1</v>
      </c>
      <c r="JP40" s="199">
        <f>IF(COUNTIF(checks_justeringer[[#This Row],[stig_svar]:[stig_beg]],0)&gt;0,0,1)</f>
        <v>1</v>
      </c>
      <c r="JQ40" s="199">
        <f>IF(COUNTIF(checks_justeringer[[#This Row],[arb_svar]:[arb_beg]],0)&gt;0,0,1)</f>
        <v>1</v>
      </c>
      <c r="JR40" s="199">
        <f>IF(COUNTIF(checks_justeringer[[#This Row],[spreng_svar]:[spreng_beg]],0)&gt;0,0,1)</f>
        <v>1</v>
      </c>
      <c r="JS40" s="199">
        <f>IF(COUNTIF(checks_justeringer[[#This Row],[skyte_svar]:[skyte_beg]],0)&gt;0,0,1)</f>
        <v>1</v>
      </c>
      <c r="JT40" s="199">
        <f>IF(COUNTIF(checks_justeringer[[#This Row],[støy_svar]:[støy_beg]],0)&gt;0,0,1)</f>
        <v>1</v>
      </c>
      <c r="JU40" s="199">
        <f>IF(COUNTIF(checks_justeringer[[#This Row],[ann_svar]:[ann_beg]],0)&gt;0,0,1)</f>
        <v>1</v>
      </c>
      <c r="JV40" s="193">
        <f>COUNTIF(checks_justeringer[[#This Row],[vek_faktor_final]:[ann_final]],0)</f>
        <v>1</v>
      </c>
      <c r="JW40" s="248">
        <f t="shared" si="27"/>
        <v>1</v>
      </c>
      <c r="JX40" s="199"/>
      <c r="JY40" s="199"/>
      <c r="JZ40" s="199"/>
      <c r="KA40" s="199"/>
      <c r="KB40" s="199"/>
      <c r="KC40" s="199"/>
      <c r="KD40" s="184"/>
      <c r="KE40" s="183"/>
      <c r="KF40" s="183"/>
      <c r="KH40" s="184"/>
      <c r="KI40" s="184"/>
      <c r="KJ40" s="184"/>
      <c r="KK40" s="184"/>
      <c r="KL40" s="184"/>
      <c r="KM40" s="184"/>
      <c r="KN40" s="184"/>
      <c r="KO40" s="5245">
        <v>26</v>
      </c>
      <c r="KP40" s="5235">
        <v>1</v>
      </c>
      <c r="KQ40" s="5235">
        <v>1</v>
      </c>
      <c r="KR40" s="5235">
        <v>1</v>
      </c>
      <c r="KS40" s="5235">
        <v>0</v>
      </c>
      <c r="KT40" s="5235">
        <v>1</v>
      </c>
      <c r="KU40" s="5235">
        <v>1</v>
      </c>
      <c r="KV40" s="5235">
        <v>1</v>
      </c>
      <c r="KW40" s="5236">
        <v>0</v>
      </c>
      <c r="KX40" s="184"/>
      <c r="KY40" s="184"/>
      <c r="KZ40" s="184"/>
      <c r="LA40" s="184"/>
      <c r="LB40" s="184"/>
      <c r="LC40" s="184"/>
      <c r="LD40" s="184"/>
      <c r="NI40" s="3690"/>
      <c r="NN40" s="410" t="s">
        <v>436</v>
      </c>
      <c r="NO40" s="409">
        <f>VALUE(NO38&amp;NO39)</f>
        <v>12</v>
      </c>
      <c r="NP40" s="409" t="e">
        <f t="shared" ref="NP40:NW40" si="30">VALUE(NP38&amp;NP39)</f>
        <v>#N/A</v>
      </c>
      <c r="NQ40" s="409" t="e">
        <f t="shared" si="30"/>
        <v>#N/A</v>
      </c>
      <c r="NR40" s="409" t="e">
        <f t="shared" si="30"/>
        <v>#N/A</v>
      </c>
      <c r="NS40" s="409" t="e">
        <f t="shared" si="30"/>
        <v>#N/A</v>
      </c>
      <c r="NT40" s="409" t="e">
        <f t="shared" si="30"/>
        <v>#N/A</v>
      </c>
      <c r="NU40" s="409" t="e">
        <f t="shared" si="30"/>
        <v>#N/A</v>
      </c>
      <c r="NV40" s="409" t="e">
        <f t="shared" si="30"/>
        <v>#N/A</v>
      </c>
      <c r="NW40" s="409" t="e">
        <f t="shared" si="30"/>
        <v>#N/A</v>
      </c>
      <c r="OE40" s="239"/>
      <c r="OF40" s="239"/>
      <c r="OG40" s="239"/>
      <c r="OH40" s="239"/>
      <c r="OI40" s="239"/>
      <c r="OJ40" s="239"/>
      <c r="OK40" s="239"/>
      <c r="OL40" s="239"/>
      <c r="OM40" s="239"/>
      <c r="ON40" s="239"/>
      <c r="OO40" s="239"/>
      <c r="OP40" s="239"/>
      <c r="OQ40" s="239"/>
      <c r="OR40" s="239"/>
      <c r="OS40" s="239"/>
      <c r="OT40" s="239"/>
      <c r="OU40" s="239"/>
      <c r="OV40" s="239"/>
      <c r="OW40" s="239"/>
      <c r="OX40" s="239"/>
      <c r="OY40" s="239"/>
      <c r="OZ40" s="239"/>
      <c r="PA40" s="239"/>
      <c r="PB40" s="239"/>
      <c r="PC40" s="239"/>
      <c r="PD40" s="239"/>
      <c r="PE40" s="239"/>
      <c r="PF40" s="239"/>
      <c r="PG40" s="239"/>
      <c r="PH40" s="239"/>
      <c r="PI40" s="239"/>
      <c r="PJ40" s="239"/>
      <c r="PK40" s="239"/>
      <c r="PL40" s="239"/>
      <c r="PM40" s="239"/>
      <c r="PN40" s="239"/>
      <c r="PO40" s="842"/>
      <c r="PP40" s="842"/>
      <c r="PQ40" s="842"/>
      <c r="PR40" s="842"/>
      <c r="PS40" s="842"/>
      <c r="PT40" s="842"/>
      <c r="PU40" s="842"/>
      <c r="PV40" s="239"/>
      <c r="PW40" s="239"/>
      <c r="PX40" s="239"/>
      <c r="PY40" s="239"/>
      <c r="PZ40" s="239"/>
      <c r="QA40" s="239"/>
      <c r="QB40" s="239"/>
      <c r="QC40" s="239"/>
      <c r="QD40" s="239"/>
      <c r="QE40" s="239"/>
      <c r="QF40" s="239"/>
      <c r="QG40" s="239"/>
      <c r="QH40" s="239"/>
      <c r="QI40" s="239"/>
      <c r="QJ40" s="239"/>
      <c r="QK40" s="239"/>
      <c r="QL40" s="239"/>
      <c r="QM40" s="239"/>
      <c r="QV40" s="183"/>
      <c r="QW40" s="183"/>
      <c r="QX40" s="183"/>
      <c r="QY40" s="183"/>
      <c r="QZ40" s="183"/>
      <c r="RA40" s="183"/>
      <c r="RB40" s="183"/>
      <c r="RC40" s="183"/>
      <c r="RD40" s="183"/>
      <c r="RE40" s="183"/>
      <c r="RF40" s="183"/>
      <c r="RG40" s="183"/>
      <c r="RH40" s="183"/>
      <c r="RI40" s="183"/>
      <c r="RJ40" s="183"/>
      <c r="RK40" s="183"/>
      <c r="RL40" s="183"/>
      <c r="RM40" s="183"/>
      <c r="RN40" s="183"/>
      <c r="RO40" s="183"/>
      <c r="RP40" s="183"/>
      <c r="RQ40" s="183"/>
      <c r="RR40" s="183"/>
      <c r="RS40" s="183"/>
      <c r="RT40" s="210"/>
      <c r="RU40" s="183"/>
      <c r="RV40" s="210"/>
      <c r="RW40" s="183"/>
      <c r="RX40" s="183"/>
      <c r="RY40" s="183"/>
      <c r="RZ40" s="183"/>
      <c r="SZ40" s="435"/>
      <c r="UG40" s="183"/>
      <c r="VL40" s="183"/>
      <c r="VN40" s="183"/>
      <c r="VO40" s="183"/>
      <c r="VP40" s="183"/>
      <c r="VQ40" s="265"/>
    </row>
    <row r="41" spans="2:604" s="2617" customFormat="1" ht="30" customHeight="1" thickBot="1" x14ac:dyDescent="0.25">
      <c r="B41" s="2981"/>
      <c r="C41" s="2981"/>
      <c r="D41" s="2981"/>
      <c r="E41" s="2981"/>
      <c r="I41" s="5565"/>
      <c r="J41" s="372"/>
      <c r="K41" s="372"/>
      <c r="L41" s="372"/>
      <c r="M41" s="372"/>
      <c r="N41" s="372" t="s">
        <v>122</v>
      </c>
      <c r="O41" s="185"/>
      <c r="R41" s="2686"/>
      <c r="S41" s="6009"/>
      <c r="T41" s="2686"/>
      <c r="AH41" s="183"/>
      <c r="AI41" s="3852">
        <v>8</v>
      </c>
      <c r="AJ41" s="3853">
        <f>IF($AI$15&lt;&gt;"",AL28/$AI$44,0)</f>
        <v>0</v>
      </c>
      <c r="AK41" s="183"/>
      <c r="AL41" s="183"/>
      <c r="BA41" s="183"/>
      <c r="BB41" s="273" t="s">
        <v>334</v>
      </c>
      <c r="BC41" s="383" t="str">
        <f>BC33&amp;BC39</f>
        <v>112</v>
      </c>
      <c r="BE41" s="5291" t="s">
        <v>2255</v>
      </c>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5372"/>
      <c r="CN41" s="5372"/>
      <c r="CO41" s="5372"/>
      <c r="CP41" s="5372"/>
      <c r="CQ41" s="5373"/>
      <c r="CR41" s="5373"/>
      <c r="CS41" s="5373"/>
      <c r="CT41" s="3436"/>
      <c r="CU41" s="3436"/>
      <c r="CV41" s="3436"/>
      <c r="CW41" s="3436"/>
      <c r="CX41" s="3436"/>
      <c r="CY41" s="3436"/>
      <c r="CZ41" s="3436"/>
      <c r="DA41" s="3436"/>
      <c r="DB41" s="3436"/>
      <c r="DC41" s="3436"/>
      <c r="DD41" s="3436"/>
      <c r="DE41" s="3436"/>
      <c r="DF41" s="3436"/>
      <c r="DG41" s="3436"/>
      <c r="DH41" s="3436"/>
      <c r="DI41" s="3436"/>
      <c r="DJ41" s="3436"/>
      <c r="DK41" s="3436"/>
      <c r="DL41" s="3436"/>
      <c r="DM41" s="3436"/>
      <c r="DN41" s="3436"/>
      <c r="DO41" s="3436"/>
      <c r="DP41" s="3436"/>
      <c r="DQ41" s="183"/>
      <c r="DR41" s="183"/>
      <c r="DS41" s="183"/>
      <c r="DT41" s="183"/>
      <c r="DU41" s="183"/>
      <c r="DV41" s="183"/>
      <c r="DW41" s="183"/>
      <c r="DX41" s="183"/>
      <c r="DY41" s="183"/>
      <c r="DZ41" s="183"/>
      <c r="EA41" s="183"/>
      <c r="EB41" s="183"/>
      <c r="EC41" s="183"/>
      <c r="ED41" s="183"/>
      <c r="EE41" s="183"/>
      <c r="EF41" s="183"/>
      <c r="EG41" s="183"/>
      <c r="EH41" s="183"/>
      <c r="EI41" s="183"/>
      <c r="EJ41" s="183"/>
      <c r="EK41" s="183"/>
      <c r="EL41" s="183"/>
      <c r="EM41" s="183"/>
      <c r="EN41" s="183"/>
      <c r="EO41" s="239"/>
      <c r="EP41" s="239"/>
      <c r="ER41" s="185"/>
      <c r="ES41" s="199" t="s">
        <v>170</v>
      </c>
      <c r="ET41" s="199" t="s">
        <v>171</v>
      </c>
      <c r="EU41" s="199" t="s">
        <v>172</v>
      </c>
      <c r="EV41" s="199" t="s">
        <v>173</v>
      </c>
      <c r="EW41" s="199" t="s">
        <v>183</v>
      </c>
      <c r="EX41" s="199" t="s">
        <v>184</v>
      </c>
      <c r="EY41" s="199" t="s">
        <v>185</v>
      </c>
      <c r="EZ41" s="199" t="s">
        <v>186</v>
      </c>
      <c r="FA41" s="199" t="s">
        <v>320</v>
      </c>
      <c r="FB41" s="183"/>
      <c r="FC41" s="183"/>
      <c r="FD41" s="183"/>
      <c r="FE41" s="183"/>
      <c r="FF41" s="183"/>
      <c r="FG41" s="183"/>
      <c r="FH41" s="183"/>
      <c r="FI41" s="183"/>
      <c r="FJ41" s="183"/>
      <c r="FK41" s="183"/>
      <c r="FL41" s="183"/>
      <c r="FM41" s="183"/>
      <c r="FN41" s="183"/>
      <c r="GH41" s="3689"/>
      <c r="GJ41" s="439" t="str">
        <f>$NO$72</f>
        <v>Stuff 2-2</v>
      </c>
      <c r="GK41" s="241">
        <f t="shared" si="2"/>
        <v>0</v>
      </c>
      <c r="GL41" s="185">
        <f>IF(AND($GN$12=1,control_forbe[[#This Row],[Tverrslag_status]]&lt;&gt;1),1,0)</f>
        <v>0</v>
      </c>
      <c r="GM41" s="185">
        <f>IFERROR(INDEX(inputs_forbe[blank_for],MATCH(control_forbe[[#This Row],[position_forb]],inputs_forbe[Position],0)),0)</f>
        <v>0</v>
      </c>
      <c r="GN41" s="185">
        <f>IFERROR(INDEX(inputs_forbe[blank_forsk],MATCH(control_forbe[[#This Row],[position_forb]],inputs_forbe[Position],0)),0)</f>
        <v>0</v>
      </c>
      <c r="GO41" s="185"/>
      <c r="GP41" s="185">
        <f>IF(AND($GN$12=1,control_forbe[[#This Row],[blank_for]]+control_forbe[[#This Row],[blank_forsk]]&gt;0),1,0)</f>
        <v>0</v>
      </c>
      <c r="GQ41" s="193">
        <f t="shared" si="3"/>
        <v>0</v>
      </c>
      <c r="HH41" s="3694" t="s">
        <v>605</v>
      </c>
      <c r="HI41" s="3695">
        <v>0</v>
      </c>
      <c r="HJ41" s="3695">
        <v>1</v>
      </c>
      <c r="HK41" s="3695">
        <v>1</v>
      </c>
      <c r="HL41" s="3695">
        <v>0</v>
      </c>
      <c r="HM41" s="3695">
        <v>0</v>
      </c>
      <c r="HN41" s="3695">
        <v>0</v>
      </c>
      <c r="HO41" s="3695">
        <v>0</v>
      </c>
      <c r="HP41" s="3695">
        <v>0</v>
      </c>
      <c r="HQ41" s="3695">
        <v>0</v>
      </c>
      <c r="HR41" s="3695">
        <v>0</v>
      </c>
      <c r="HS41" s="3695">
        <v>1</v>
      </c>
      <c r="HT41" s="3695">
        <v>1</v>
      </c>
      <c r="HU41" s="3695">
        <v>0</v>
      </c>
      <c r="HV41" s="3695">
        <v>0</v>
      </c>
      <c r="HW41" s="3695">
        <v>0</v>
      </c>
      <c r="HX41" s="3695">
        <v>0</v>
      </c>
      <c r="HY41" s="3695">
        <v>0</v>
      </c>
      <c r="HZ41" s="3696">
        <v>0</v>
      </c>
      <c r="IA41" s="183"/>
      <c r="IB41" s="183"/>
      <c r="IC41" s="183"/>
      <c r="ID41" s="183"/>
      <c r="IE41" s="183"/>
      <c r="IF41" s="183"/>
      <c r="IH41" s="1761">
        <v>4</v>
      </c>
      <c r="II41" s="1762" t="e">
        <f t="shared" si="28"/>
        <v>#N/A</v>
      </c>
      <c r="IJ41" s="1762" t="e">
        <f>IJ40</f>
        <v>#N/A</v>
      </c>
      <c r="IK41" s="2637" t="e">
        <f>IK40</f>
        <v>#N/A</v>
      </c>
      <c r="IL41" s="1758"/>
      <c r="IM41" s="1758"/>
      <c r="IN41" s="1758"/>
      <c r="IO41" s="199">
        <f t="shared" si="4"/>
        <v>0</v>
      </c>
      <c r="IP41" s="3834">
        <f t="shared" si="5"/>
        <v>1</v>
      </c>
      <c r="IQ41" s="3834">
        <f t="shared" si="5"/>
        <v>1</v>
      </c>
      <c r="IR41" s="3834">
        <f t="shared" si="6"/>
        <v>1</v>
      </c>
      <c r="IS41" s="3834">
        <f t="shared" si="7"/>
        <v>1</v>
      </c>
      <c r="IT41" s="3834">
        <f t="shared" si="8"/>
        <v>1</v>
      </c>
      <c r="IU41" s="3834">
        <f t="shared" si="9"/>
        <v>1</v>
      </c>
      <c r="IV41" s="3834">
        <f t="shared" si="10"/>
        <v>1</v>
      </c>
      <c r="IW41" s="3834">
        <f t="shared" si="11"/>
        <v>1</v>
      </c>
      <c r="IX41" s="3834">
        <f t="shared" si="12"/>
        <v>1</v>
      </c>
      <c r="IY41" s="3834">
        <f t="shared" si="13"/>
        <v>1</v>
      </c>
      <c r="IZ41" s="3834">
        <f t="shared" si="14"/>
        <v>1</v>
      </c>
      <c r="JA41" s="3834">
        <f t="shared" si="15"/>
        <v>1</v>
      </c>
      <c r="JB41" s="3834">
        <f t="shared" si="16"/>
        <v>1</v>
      </c>
      <c r="JC41" s="3834">
        <f t="shared" si="17"/>
        <v>1</v>
      </c>
      <c r="JD41" s="3834">
        <f t="shared" si="18"/>
        <v>1</v>
      </c>
      <c r="JE41" s="3834">
        <f t="shared" si="19"/>
        <v>1</v>
      </c>
      <c r="JF41" s="3834">
        <f t="shared" si="20"/>
        <v>1</v>
      </c>
      <c r="JG41" s="3834">
        <f t="shared" si="21"/>
        <v>1</v>
      </c>
      <c r="JH41" s="3834">
        <f t="shared" si="22"/>
        <v>1</v>
      </c>
      <c r="JI41" s="3834">
        <f t="shared" si="23"/>
        <v>1</v>
      </c>
      <c r="JJ41" s="3834">
        <f t="shared" si="24"/>
        <v>1</v>
      </c>
      <c r="JK41" s="3834">
        <f t="shared" si="25"/>
        <v>1</v>
      </c>
      <c r="JL41" s="3834">
        <f t="shared" si="26"/>
        <v>1</v>
      </c>
      <c r="JM41" s="3834">
        <f>IF(COUNTIF(checks_justeringer[[#This Row],[vek_faktor_bruker]:[vek_faktor_beg]],0)&gt;0,0,1)</f>
        <v>1</v>
      </c>
      <c r="JN41" s="199">
        <f>IF(COUNTIF(checks_justeringer[[#This Row],[general_svar]:[general_beg]],0)&gt;0,0,1)</f>
        <v>0</v>
      </c>
      <c r="JO41" s="199">
        <f>IF(COUNTIF(checks_justeringer[[#This Row],[geo_svar]:[geo_beg]],0)&gt;0,0,1)</f>
        <v>1</v>
      </c>
      <c r="JP41" s="199">
        <f>IF(COUNTIF(checks_justeringer[[#This Row],[stig_svar]:[stig_beg]],0)&gt;0,0,1)</f>
        <v>1</v>
      </c>
      <c r="JQ41" s="199">
        <f>IF(COUNTIF(checks_justeringer[[#This Row],[arb_svar]:[arb_beg]],0)&gt;0,0,1)</f>
        <v>1</v>
      </c>
      <c r="JR41" s="199">
        <f>IF(COUNTIF(checks_justeringer[[#This Row],[spreng_svar]:[spreng_beg]],0)&gt;0,0,1)</f>
        <v>1</v>
      </c>
      <c r="JS41" s="199">
        <f>IF(COUNTIF(checks_justeringer[[#This Row],[skyte_svar]:[skyte_beg]],0)&gt;0,0,1)</f>
        <v>1</v>
      </c>
      <c r="JT41" s="199">
        <f>IF(COUNTIF(checks_justeringer[[#This Row],[støy_svar]:[støy_beg]],0)&gt;0,0,1)</f>
        <v>1</v>
      </c>
      <c r="JU41" s="199">
        <f>IF(COUNTIF(checks_justeringer[[#This Row],[ann_svar]:[ann_beg]],0)&gt;0,0,1)</f>
        <v>1</v>
      </c>
      <c r="JV41" s="193">
        <f>COUNTIF(checks_justeringer[[#This Row],[vek_faktor_final]:[ann_final]],0)</f>
        <v>1</v>
      </c>
      <c r="JW41" s="248">
        <f t="shared" si="27"/>
        <v>1</v>
      </c>
      <c r="JX41" s="199"/>
      <c r="JY41" s="199"/>
      <c r="JZ41" s="199"/>
      <c r="KA41" s="199"/>
      <c r="KB41" s="199"/>
      <c r="KC41" s="199"/>
      <c r="KD41" s="184"/>
      <c r="KE41" s="183"/>
      <c r="KF41" s="183"/>
      <c r="KH41" s="184"/>
      <c r="KI41" s="184"/>
      <c r="KJ41" s="184"/>
      <c r="KK41" s="184"/>
      <c r="KL41" s="184"/>
      <c r="KM41" s="184"/>
      <c r="KN41" s="184"/>
      <c r="KO41" s="5246">
        <v>28</v>
      </c>
      <c r="KP41" s="5237">
        <v>1</v>
      </c>
      <c r="KQ41" s="5237">
        <v>1</v>
      </c>
      <c r="KR41" s="5237">
        <v>1</v>
      </c>
      <c r="KS41" s="5237">
        <v>1</v>
      </c>
      <c r="KT41" s="5237">
        <v>1</v>
      </c>
      <c r="KU41" s="5237">
        <v>1</v>
      </c>
      <c r="KV41" s="5237">
        <v>1</v>
      </c>
      <c r="KW41" s="5238">
        <v>1</v>
      </c>
      <c r="KX41" s="184"/>
      <c r="KY41" s="184"/>
      <c r="KZ41" s="184"/>
      <c r="LA41" s="184"/>
      <c r="LB41" s="184"/>
      <c r="LC41" s="184"/>
      <c r="LD41" s="184"/>
      <c r="LJ41" s="185" t="s">
        <v>2333</v>
      </c>
      <c r="LK41" s="185">
        <f>IF(AND($LK$33=1,$LK$32=TRUE),1,0)</f>
        <v>1</v>
      </c>
      <c r="LL41" s="185">
        <f t="shared" ref="LL41:LS41" si="31">IF(AND($LK$33=1,$LK$32=TRUE),1,0)</f>
        <v>1</v>
      </c>
      <c r="LM41" s="185">
        <f t="shared" si="31"/>
        <v>1</v>
      </c>
      <c r="LN41" s="185">
        <f t="shared" si="31"/>
        <v>1</v>
      </c>
      <c r="LO41" s="185">
        <f t="shared" si="31"/>
        <v>1</v>
      </c>
      <c r="LP41" s="185">
        <f t="shared" si="31"/>
        <v>1</v>
      </c>
      <c r="LQ41" s="185">
        <f t="shared" si="31"/>
        <v>1</v>
      </c>
      <c r="LR41" s="185">
        <f t="shared" si="31"/>
        <v>1</v>
      </c>
      <c r="LS41" s="185">
        <f t="shared" si="31"/>
        <v>1</v>
      </c>
      <c r="NI41" s="3690"/>
      <c r="NN41" s="185" t="s">
        <v>1153</v>
      </c>
      <c r="NO41" s="185">
        <f>IF(_Calcs_Klasse!$AI$27=2,_Calcs!NO40,IF(_Calcs_Klasse!$AI$27=1,_Calcs_Klasse!AV147,""))</f>
        <v>12</v>
      </c>
      <c r="NP41" s="185" t="e">
        <f>IF(_Calcs_Klasse!$AI$27=2,_Calcs!NP40,IF(_Calcs_Klasse!$AI$27=1,_Calcs_Klasse!AW147,""))</f>
        <v>#N/A</v>
      </c>
      <c r="NQ41" s="185" t="e">
        <f>IF(_Calcs_Klasse!$AI$27=2,_Calcs!NQ40,IF(_Calcs_Klasse!$AI$27=1,_Calcs_Klasse!AX147,""))</f>
        <v>#N/A</v>
      </c>
      <c r="NR41" s="185" t="e">
        <f>IF(_Calcs_Klasse!$AI$27=2,_Calcs!NR40,IF(_Calcs_Klasse!$AI$27=1,_Calcs_Klasse!AY147,""))</f>
        <v>#N/A</v>
      </c>
      <c r="NS41" s="185" t="e">
        <f>IF(_Calcs_Klasse!$AI$27=2,_Calcs!NS40,IF(_Calcs_Klasse!$AI$27=1,_Calcs_Klasse!AZ147,""))</f>
        <v>#N/A</v>
      </c>
      <c r="NT41" s="185" t="e">
        <f>IF(_Calcs_Klasse!$AI$27=2,_Calcs!NT40,IF(_Calcs_Klasse!$AI$27=1,_Calcs_Klasse!BA147,""))</f>
        <v>#N/A</v>
      </c>
      <c r="NU41" s="185" t="e">
        <f>IF(_Calcs_Klasse!$AI$27=2,_Calcs!NU40,IF(_Calcs_Klasse!$AI$27=1,_Calcs_Klasse!BB147,""))</f>
        <v>#N/A</v>
      </c>
      <c r="NV41" s="185" t="e">
        <f>IF(_Calcs_Klasse!$AI$27=2,_Calcs!NV40,IF(_Calcs_Klasse!$AI$27=1,_Calcs_Klasse!BC147,""))</f>
        <v>#N/A</v>
      </c>
      <c r="NW41" s="185" t="e">
        <f>IF(_Calcs_Klasse!$AI$27=2,_Calcs!NW40,IF(_Calcs_Klasse!$AI$27=1,_Calcs_Klasse!BD147,""))</f>
        <v>#N/A</v>
      </c>
      <c r="OE41" s="239"/>
      <c r="OF41" s="239"/>
      <c r="OG41" s="239"/>
      <c r="OH41" s="239"/>
      <c r="OI41" s="239"/>
      <c r="OJ41" s="239"/>
      <c r="OK41" s="239"/>
      <c r="OL41" s="239"/>
      <c r="OM41" s="239"/>
      <c r="ON41" s="239"/>
      <c r="OO41" s="239"/>
      <c r="OP41" s="239"/>
      <c r="OQ41" s="239"/>
      <c r="OR41" s="239"/>
      <c r="OS41" s="239"/>
      <c r="OT41" s="239"/>
      <c r="OU41" s="239"/>
      <c r="OV41" s="239"/>
      <c r="OW41" s="239"/>
      <c r="OX41" s="239"/>
      <c r="OY41" s="239"/>
      <c r="OZ41" s="239"/>
      <c r="PA41" s="239"/>
      <c r="PB41" s="239"/>
      <c r="PC41" s="239"/>
      <c r="PD41" s="239"/>
      <c r="PE41" s="239"/>
      <c r="PF41" s="239"/>
      <c r="PG41" s="239"/>
      <c r="PH41" s="239"/>
      <c r="PI41" s="239"/>
      <c r="PJ41" s="239"/>
      <c r="PK41" s="239"/>
      <c r="PL41" s="239"/>
      <c r="PM41" s="239"/>
      <c r="PN41" s="239"/>
      <c r="PO41" s="842"/>
      <c r="PP41" s="842"/>
      <c r="PQ41" s="842"/>
      <c r="PR41" s="842"/>
      <c r="PS41" s="842"/>
      <c r="PT41" s="842"/>
      <c r="PU41" s="842"/>
      <c r="PV41" s="239"/>
      <c r="PW41" s="239"/>
      <c r="PX41" s="239"/>
      <c r="PY41" s="239"/>
      <c r="PZ41" s="239"/>
      <c r="QA41" s="239"/>
      <c r="QB41" s="239"/>
      <c r="QC41" s="239"/>
      <c r="QD41" s="239"/>
      <c r="QE41" s="239"/>
      <c r="QF41" s="239"/>
      <c r="QG41" s="239"/>
      <c r="QH41" s="239"/>
      <c r="QI41" s="239"/>
      <c r="QJ41" s="239"/>
      <c r="QK41" s="239"/>
      <c r="QL41" s="239"/>
      <c r="QM41" s="239"/>
      <c r="QV41" s="183"/>
      <c r="QW41" s="183"/>
      <c r="QX41" s="183"/>
      <c r="QY41" s="183"/>
      <c r="QZ41" s="183"/>
      <c r="RA41" s="183"/>
      <c r="RB41" s="183"/>
      <c r="RC41" s="183"/>
      <c r="RD41" s="183"/>
      <c r="RE41" s="183"/>
      <c r="RF41" s="183"/>
      <c r="RG41" s="183"/>
      <c r="RH41" s="183"/>
      <c r="RI41" s="183"/>
      <c r="RJ41" s="183"/>
      <c r="RK41" s="183"/>
      <c r="RL41" s="183"/>
      <c r="RM41" s="183"/>
      <c r="RN41" s="183"/>
      <c r="RO41" s="183"/>
      <c r="RP41" s="183"/>
      <c r="RQ41" s="183"/>
      <c r="RR41" s="183"/>
      <c r="RS41" s="183"/>
      <c r="RT41" s="210"/>
      <c r="RU41" s="183"/>
      <c r="RV41" s="210"/>
      <c r="RW41" s="183"/>
      <c r="RX41" s="183"/>
      <c r="RY41" s="183"/>
      <c r="RZ41" s="183"/>
      <c r="SZ41" s="435"/>
      <c r="UG41" s="183"/>
      <c r="VL41" s="183"/>
      <c r="VN41" s="183"/>
      <c r="VO41" s="183"/>
      <c r="VP41" s="183"/>
      <c r="VQ41" s="265"/>
    </row>
    <row r="42" spans="2:604" s="2617" customFormat="1" ht="30" customHeight="1" x14ac:dyDescent="0.35">
      <c r="B42" s="2981"/>
      <c r="C42" s="2981"/>
      <c r="D42" s="2981"/>
      <c r="E42" s="2981"/>
      <c r="I42" s="5564"/>
      <c r="J42" s="185"/>
      <c r="K42" s="185"/>
      <c r="L42" s="185"/>
      <c r="M42" s="185"/>
      <c r="N42" s="372" t="s">
        <v>145</v>
      </c>
      <c r="O42" s="185"/>
      <c r="R42" s="2686"/>
      <c r="S42" s="2686"/>
      <c r="T42" s="2686"/>
      <c r="AH42" s="183"/>
      <c r="AI42" s="183"/>
      <c r="AJ42" s="183"/>
      <c r="AK42" s="183"/>
      <c r="AL42" s="183"/>
      <c r="AM42" s="183"/>
      <c r="AN42" s="183"/>
      <c r="BA42" s="183"/>
      <c r="BB42" s="185" t="s">
        <v>2263</v>
      </c>
      <c r="BC42" s="185">
        <f>Tunneldrift!$F$13</f>
        <v>1</v>
      </c>
      <c r="BN42" s="183"/>
      <c r="BO42" s="21"/>
      <c r="BP42" s="21"/>
      <c r="BQ42" s="21"/>
      <c r="BR42" s="21"/>
      <c r="BS42" s="21"/>
      <c r="BT42" s="21"/>
      <c r="BU42" s="21"/>
      <c r="BV42" s="183"/>
      <c r="BW42" s="183"/>
      <c r="BX42" s="183"/>
      <c r="BY42" s="183"/>
      <c r="BZ42" s="183"/>
      <c r="CA42" s="183"/>
      <c r="CB42" s="183"/>
      <c r="CC42" s="183"/>
      <c r="CD42" s="183"/>
      <c r="CE42" s="183"/>
      <c r="CF42" s="183"/>
      <c r="CG42" s="183"/>
      <c r="CH42" s="183"/>
      <c r="CI42" s="183"/>
      <c r="CJ42" s="183"/>
      <c r="CK42" s="183"/>
      <c r="CL42" s="183"/>
      <c r="CM42" s="5372"/>
      <c r="CN42" s="5372"/>
      <c r="CO42" s="5372"/>
      <c r="CP42" s="5372"/>
      <c r="CQ42" s="3432"/>
      <c r="CR42" s="3432"/>
      <c r="CS42" s="3432"/>
      <c r="CT42" s="3437"/>
      <c r="CU42" s="3437"/>
      <c r="CV42" s="3437"/>
      <c r="CW42" s="3437"/>
      <c r="CX42" s="3437"/>
      <c r="CY42" s="3437"/>
      <c r="CZ42" s="3437"/>
      <c r="DA42" s="3437"/>
      <c r="DB42" s="3437"/>
      <c r="DC42" s="3437"/>
      <c r="DD42" s="3437"/>
      <c r="DE42" s="3437"/>
      <c r="DF42" s="3437"/>
      <c r="DG42" s="3437"/>
      <c r="DH42" s="3437"/>
      <c r="DI42" s="3437"/>
      <c r="DJ42" s="3437"/>
      <c r="DK42" s="3437"/>
      <c r="DL42" s="3437"/>
      <c r="DM42" s="3437"/>
      <c r="DN42" s="3437"/>
      <c r="DO42" s="3437"/>
      <c r="DP42" s="3437"/>
      <c r="DQ42" s="183"/>
      <c r="DR42" s="183"/>
      <c r="DS42" s="183"/>
      <c r="DT42" s="183"/>
      <c r="DU42" s="183"/>
      <c r="DV42" s="183"/>
      <c r="DW42" s="183"/>
      <c r="DX42" s="183"/>
      <c r="DY42" s="183"/>
      <c r="DZ42" s="183"/>
      <c r="EA42" s="183"/>
      <c r="EB42" s="183"/>
      <c r="EC42" s="183"/>
      <c r="ED42" s="183"/>
      <c r="EE42" s="183"/>
      <c r="EF42" s="183"/>
      <c r="EG42" s="183"/>
      <c r="EH42" s="183"/>
      <c r="EI42" s="183"/>
      <c r="EJ42" s="183"/>
      <c r="EK42" s="183"/>
      <c r="EL42" s="183"/>
      <c r="EM42" s="183"/>
      <c r="EN42" s="183"/>
      <c r="EO42" s="239"/>
      <c r="EP42" s="239"/>
      <c r="ER42" s="185" t="s">
        <v>373</v>
      </c>
      <c r="ES42" s="211">
        <f>FL119</f>
        <v>0</v>
      </c>
      <c r="ET42" s="211">
        <f>FL120</f>
        <v>0</v>
      </c>
      <c r="EU42" s="211">
        <f>FL121</f>
        <v>0</v>
      </c>
      <c r="EV42" s="211">
        <f>FL122</f>
        <v>0</v>
      </c>
      <c r="EW42" s="211">
        <f>FL123</f>
        <v>0</v>
      </c>
      <c r="EX42" s="211">
        <f>FL124</f>
        <v>0</v>
      </c>
      <c r="EY42" s="211">
        <f>FL125</f>
        <v>0</v>
      </c>
      <c r="EZ42" s="211">
        <f>FL126</f>
        <v>0</v>
      </c>
      <c r="FA42" s="211">
        <f>FL127</f>
        <v>0</v>
      </c>
      <c r="FB42" s="21"/>
      <c r="FC42" s="21"/>
      <c r="FD42" s="21"/>
      <c r="FE42" s="21"/>
      <c r="FF42" s="21"/>
      <c r="FG42" s="21"/>
      <c r="FH42" s="21"/>
      <c r="FI42" s="21"/>
      <c r="FJ42" s="21"/>
      <c r="FK42" s="21"/>
      <c r="FL42" s="21"/>
      <c r="FM42" s="21"/>
      <c r="FN42" s="21"/>
      <c r="GH42" s="3689"/>
      <c r="GJ42" s="439" t="str">
        <f>$NO$73</f>
        <v>Stuff 2-3</v>
      </c>
      <c r="GK42" s="241">
        <f t="shared" si="2"/>
        <v>0</v>
      </c>
      <c r="GL42" s="185">
        <f>IF(AND($GN$12=1,control_forbe[[#This Row],[Tverrslag_status]]&lt;&gt;1),1,0)</f>
        <v>0</v>
      </c>
      <c r="GM42" s="185">
        <f>IFERROR(INDEX(inputs_forbe[blank_for],MATCH(control_forbe[[#This Row],[position_forb]],inputs_forbe[Position],0)),0)</f>
        <v>0</v>
      </c>
      <c r="GN42" s="185">
        <f>IFERROR(INDEX(inputs_forbe[blank_forsk],MATCH(control_forbe[[#This Row],[position_forb]],inputs_forbe[Position],0)),0)</f>
        <v>0</v>
      </c>
      <c r="GO42" s="185"/>
      <c r="GP42" s="185">
        <f>IF(AND($GN$12=1,control_forbe[[#This Row],[blank_for]]+control_forbe[[#This Row],[blank_forsk]]&gt;0),1,0)</f>
        <v>0</v>
      </c>
      <c r="GQ42" s="193">
        <f t="shared" si="3"/>
        <v>0</v>
      </c>
      <c r="HH42" s="3694" t="s">
        <v>606</v>
      </c>
      <c r="HI42" s="3695">
        <v>1</v>
      </c>
      <c r="HJ42" s="3695">
        <v>1</v>
      </c>
      <c r="HK42" s="3695">
        <v>0</v>
      </c>
      <c r="HL42" s="3695">
        <v>0</v>
      </c>
      <c r="HM42" s="3695">
        <v>0</v>
      </c>
      <c r="HN42" s="3695">
        <v>0</v>
      </c>
      <c r="HO42" s="3695">
        <v>0</v>
      </c>
      <c r="HP42" s="3695">
        <v>0</v>
      </c>
      <c r="HQ42" s="3695">
        <v>0</v>
      </c>
      <c r="HR42" s="3695">
        <v>1</v>
      </c>
      <c r="HS42" s="3695">
        <v>1</v>
      </c>
      <c r="HT42" s="3695">
        <v>0</v>
      </c>
      <c r="HU42" s="3695">
        <v>0</v>
      </c>
      <c r="HV42" s="3695">
        <v>0</v>
      </c>
      <c r="HW42" s="3695">
        <v>0</v>
      </c>
      <c r="HX42" s="3695">
        <v>0</v>
      </c>
      <c r="HY42" s="3695">
        <v>0</v>
      </c>
      <c r="HZ42" s="3696">
        <v>0</v>
      </c>
      <c r="IA42" s="183"/>
      <c r="IB42" s="183"/>
      <c r="IC42" s="183"/>
      <c r="ID42" s="183"/>
      <c r="IE42" s="183"/>
      <c r="IF42" s="183"/>
      <c r="IH42" s="1761">
        <v>5</v>
      </c>
      <c r="II42" s="1762" t="e">
        <f t="shared" si="28"/>
        <v>#N/A</v>
      </c>
      <c r="IJ42" s="1762" t="e">
        <f>IF(checks_justeringer[[#This Row],[metode_check]]&lt;&gt;2,1,1)</f>
        <v>#N/A</v>
      </c>
      <c r="IK42" s="2637" t="e">
        <f>IF(AND(checks_justeringer[[#This Row],[metode_check]]=2,IJ22=FALSE,IL22=TRUE),0,1)</f>
        <v>#N/A</v>
      </c>
      <c r="IL42" s="1758"/>
      <c r="IM42" s="1758"/>
      <c r="IN42" s="1758"/>
      <c r="IO42" s="199">
        <f t="shared" si="4"/>
        <v>0</v>
      </c>
      <c r="IP42" s="3834">
        <f t="shared" si="5"/>
        <v>1</v>
      </c>
      <c r="IQ42" s="3834">
        <f t="shared" si="5"/>
        <v>1</v>
      </c>
      <c r="IR42" s="3834">
        <f t="shared" si="6"/>
        <v>1</v>
      </c>
      <c r="IS42" s="3834">
        <f t="shared" si="7"/>
        <v>1</v>
      </c>
      <c r="IT42" s="3834">
        <f t="shared" si="8"/>
        <v>1</v>
      </c>
      <c r="IU42" s="3834">
        <f t="shared" si="9"/>
        <v>1</v>
      </c>
      <c r="IV42" s="3834">
        <f t="shared" si="10"/>
        <v>1</v>
      </c>
      <c r="IW42" s="3834">
        <f t="shared" si="11"/>
        <v>1</v>
      </c>
      <c r="IX42" s="3834">
        <f t="shared" si="12"/>
        <v>1</v>
      </c>
      <c r="IY42" s="3834">
        <f t="shared" si="13"/>
        <v>1</v>
      </c>
      <c r="IZ42" s="3834">
        <f t="shared" si="14"/>
        <v>1</v>
      </c>
      <c r="JA42" s="3834">
        <f t="shared" si="15"/>
        <v>1</v>
      </c>
      <c r="JB42" s="3834">
        <f t="shared" si="16"/>
        <v>1</v>
      </c>
      <c r="JC42" s="3834">
        <f t="shared" si="17"/>
        <v>1</v>
      </c>
      <c r="JD42" s="3834">
        <f t="shared" si="18"/>
        <v>1</v>
      </c>
      <c r="JE42" s="3834">
        <f t="shared" si="19"/>
        <v>1</v>
      </c>
      <c r="JF42" s="3834">
        <f t="shared" si="20"/>
        <v>1</v>
      </c>
      <c r="JG42" s="3834">
        <f t="shared" si="21"/>
        <v>1</v>
      </c>
      <c r="JH42" s="3834">
        <f t="shared" si="22"/>
        <v>1</v>
      </c>
      <c r="JI42" s="3834">
        <f t="shared" si="23"/>
        <v>1</v>
      </c>
      <c r="JJ42" s="3834">
        <f t="shared" si="24"/>
        <v>1</v>
      </c>
      <c r="JK42" s="3834">
        <f t="shared" si="25"/>
        <v>1</v>
      </c>
      <c r="JL42" s="3834">
        <f t="shared" si="26"/>
        <v>1</v>
      </c>
      <c r="JM42" s="3834">
        <f>IF(COUNTIF(checks_justeringer[[#This Row],[vek_faktor_bruker]:[vek_faktor_beg]],0)&gt;0,0,1)</f>
        <v>1</v>
      </c>
      <c r="JN42" s="199">
        <f>IF(COUNTIF(checks_justeringer[[#This Row],[general_svar]:[general_beg]],0)&gt;0,0,1)</f>
        <v>0</v>
      </c>
      <c r="JO42" s="199">
        <f>IF(COUNTIF(checks_justeringer[[#This Row],[geo_svar]:[geo_beg]],0)&gt;0,0,1)</f>
        <v>1</v>
      </c>
      <c r="JP42" s="199">
        <f>IF(COUNTIF(checks_justeringer[[#This Row],[stig_svar]:[stig_beg]],0)&gt;0,0,1)</f>
        <v>1</v>
      </c>
      <c r="JQ42" s="199">
        <f>IF(COUNTIF(checks_justeringer[[#This Row],[arb_svar]:[arb_beg]],0)&gt;0,0,1)</f>
        <v>1</v>
      </c>
      <c r="JR42" s="199">
        <f>IF(COUNTIF(checks_justeringer[[#This Row],[spreng_svar]:[spreng_beg]],0)&gt;0,0,1)</f>
        <v>1</v>
      </c>
      <c r="JS42" s="199">
        <f>IF(COUNTIF(checks_justeringer[[#This Row],[skyte_svar]:[skyte_beg]],0)&gt;0,0,1)</f>
        <v>1</v>
      </c>
      <c r="JT42" s="199">
        <f>IF(COUNTIF(checks_justeringer[[#This Row],[støy_svar]:[støy_beg]],0)&gt;0,0,1)</f>
        <v>1</v>
      </c>
      <c r="JU42" s="199">
        <f>IF(COUNTIF(checks_justeringer[[#This Row],[ann_svar]:[ann_beg]],0)&gt;0,0,1)</f>
        <v>1</v>
      </c>
      <c r="JV42" s="193">
        <f>COUNTIF(checks_justeringer[[#This Row],[vek_faktor_final]:[ann_final]],0)</f>
        <v>1</v>
      </c>
      <c r="JW42" s="248">
        <f t="shared" si="27"/>
        <v>1</v>
      </c>
      <c r="JX42" s="199"/>
      <c r="JY42" s="199"/>
      <c r="JZ42" s="199"/>
      <c r="KA42" s="199"/>
      <c r="KB42" s="199"/>
      <c r="KC42" s="199"/>
      <c r="KD42" s="184"/>
      <c r="KE42" s="183"/>
      <c r="KF42" s="183"/>
      <c r="KH42" s="184"/>
      <c r="KI42" s="184"/>
      <c r="KJ42" s="184"/>
      <c r="KK42" s="184"/>
      <c r="KL42" s="184"/>
      <c r="KM42" s="184"/>
      <c r="KN42" s="184"/>
      <c r="KX42" s="184"/>
      <c r="KY42" s="184"/>
      <c r="KZ42" s="184"/>
      <c r="LA42" s="184"/>
      <c r="LB42" s="184"/>
      <c r="LC42" s="184"/>
      <c r="LD42" s="184"/>
      <c r="LJ42" s="1172" t="s">
        <v>2334</v>
      </c>
      <c r="LK42" s="185">
        <f>IF(AND($LK$33=2,$LK$32=TRUE),1,0)</f>
        <v>0</v>
      </c>
      <c r="LL42" s="185">
        <f t="shared" ref="LL42:LS42" si="32">IF(AND($LK$33=2,$LK$32=TRUE),1,0)</f>
        <v>0</v>
      </c>
      <c r="LM42" s="185">
        <f t="shared" si="32"/>
        <v>0</v>
      </c>
      <c r="LN42" s="185">
        <f t="shared" si="32"/>
        <v>0</v>
      </c>
      <c r="LO42" s="185">
        <f t="shared" si="32"/>
        <v>0</v>
      </c>
      <c r="LP42" s="185">
        <f t="shared" si="32"/>
        <v>0</v>
      </c>
      <c r="LQ42" s="185">
        <f t="shared" si="32"/>
        <v>0</v>
      </c>
      <c r="LR42" s="185">
        <f t="shared" si="32"/>
        <v>0</v>
      </c>
      <c r="LS42" s="185">
        <f t="shared" si="32"/>
        <v>0</v>
      </c>
      <c r="LT42" s="183"/>
      <c r="NI42" s="3690"/>
      <c r="NM42" s="5284" t="s">
        <v>2317</v>
      </c>
      <c r="NN42" s="5232" t="s">
        <v>2316</v>
      </c>
      <c r="OE42" s="239"/>
      <c r="OF42" s="239"/>
      <c r="OG42" s="239"/>
      <c r="OH42" s="239"/>
      <c r="OI42" s="239"/>
      <c r="OJ42" s="239"/>
      <c r="OK42" s="239"/>
      <c r="OL42" s="239"/>
      <c r="OM42" s="239"/>
      <c r="ON42" s="239"/>
      <c r="OO42" s="239"/>
      <c r="OP42" s="239"/>
      <c r="OQ42" s="239"/>
      <c r="OR42" s="239"/>
      <c r="OS42" s="239"/>
      <c r="OT42" s="239"/>
      <c r="OU42" s="239"/>
      <c r="OV42" s="239"/>
      <c r="OW42" s="239"/>
      <c r="OX42" s="239"/>
      <c r="OY42" s="239"/>
      <c r="OZ42" s="239"/>
      <c r="PA42" s="239"/>
      <c r="PB42" s="239"/>
      <c r="PC42" s="239"/>
      <c r="PD42" s="239"/>
      <c r="PE42" s="239"/>
      <c r="PF42" s="239"/>
      <c r="PG42" s="239"/>
      <c r="PH42" s="239"/>
      <c r="PI42" s="239"/>
      <c r="PJ42" s="239"/>
      <c r="PK42" s="239"/>
      <c r="PL42" s="239"/>
      <c r="PM42" s="239"/>
      <c r="PN42" s="239"/>
      <c r="PO42" s="842"/>
      <c r="PP42" s="842"/>
      <c r="PQ42" s="842"/>
      <c r="PR42" s="842"/>
      <c r="PS42" s="842"/>
      <c r="PT42" s="842"/>
      <c r="PU42" s="842"/>
      <c r="PV42" s="239"/>
      <c r="PW42" s="239"/>
      <c r="PX42" s="239"/>
      <c r="PY42" s="239"/>
      <c r="PZ42" s="239"/>
      <c r="QA42" s="239"/>
      <c r="QB42" s="239"/>
      <c r="QC42" s="239"/>
      <c r="QD42" s="239"/>
      <c r="QE42" s="239"/>
      <c r="QF42" s="239"/>
      <c r="QG42" s="239"/>
      <c r="QH42" s="239"/>
      <c r="QI42" s="239"/>
      <c r="QJ42" s="239"/>
      <c r="QK42" s="239"/>
      <c r="QL42" s="239"/>
      <c r="QM42" s="239"/>
      <c r="QU42" s="183"/>
      <c r="QV42" s="183"/>
      <c r="QW42" s="183"/>
      <c r="QX42" s="183"/>
      <c r="QY42" s="183"/>
      <c r="QZ42" s="183"/>
      <c r="RA42" s="183"/>
      <c r="RB42" s="183"/>
      <c r="RC42" s="183"/>
      <c r="RD42" s="183"/>
      <c r="RE42" s="183"/>
      <c r="RF42" s="183"/>
      <c r="RG42" s="183"/>
      <c r="RH42" s="183"/>
      <c r="RI42" s="183"/>
      <c r="RJ42" s="183"/>
      <c r="RK42" s="183"/>
      <c r="RL42" s="183"/>
      <c r="RM42" s="183"/>
      <c r="RN42" s="183"/>
      <c r="RO42" s="183"/>
      <c r="RP42" s="183"/>
      <c r="RQ42" s="183"/>
      <c r="RR42" s="183"/>
      <c r="RS42" s="183"/>
      <c r="RT42" s="210"/>
      <c r="RU42" s="183"/>
      <c r="RV42" s="210"/>
      <c r="RW42" s="183"/>
      <c r="RX42" s="183"/>
      <c r="RY42" s="183"/>
      <c r="RZ42" s="183"/>
      <c r="SZ42" s="435"/>
      <c r="UG42" s="183"/>
      <c r="VL42" s="183"/>
      <c r="VN42" s="183"/>
      <c r="VO42" s="183"/>
      <c r="VP42" s="183"/>
    </row>
    <row r="43" spans="2:604" s="2617" customFormat="1" ht="30" customHeight="1" thickBot="1" x14ac:dyDescent="0.25">
      <c r="B43" s="2981"/>
      <c r="C43" s="2981"/>
      <c r="D43" s="2981"/>
      <c r="E43" s="2981"/>
      <c r="I43" s="5566" t="s">
        <v>647</v>
      </c>
      <c r="J43" s="372"/>
      <c r="K43" s="372" t="s">
        <v>1207</v>
      </c>
      <c r="L43" s="372"/>
      <c r="M43" s="372" t="s">
        <v>1583</v>
      </c>
      <c r="N43" s="372"/>
      <c r="O43" s="185"/>
      <c r="R43" s="2686"/>
      <c r="S43" s="6009"/>
      <c r="T43" s="2686"/>
      <c r="AH43" s="183"/>
      <c r="AI43" s="183"/>
      <c r="AJ43" s="183"/>
      <c r="AK43" s="183"/>
      <c r="AL43" s="183"/>
      <c r="AM43" s="183"/>
      <c r="AN43" s="183"/>
      <c r="BA43" s="183"/>
      <c r="BB43" s="275"/>
      <c r="BC43" s="275"/>
      <c r="BD43" s="275"/>
      <c r="BE43" s="275"/>
      <c r="BF43" s="275"/>
      <c r="BG43" s="275"/>
      <c r="BH43" s="275"/>
      <c r="BI43" s="275"/>
      <c r="BJ43" s="275"/>
      <c r="BK43" s="275"/>
      <c r="BL43" s="275"/>
      <c r="BM43" s="275"/>
      <c r="BN43" s="183"/>
      <c r="BO43" s="183"/>
      <c r="BP43" s="183"/>
      <c r="BQ43" s="21"/>
      <c r="BR43" s="21"/>
      <c r="BS43" s="21"/>
      <c r="BT43" s="21"/>
      <c r="BU43" s="21"/>
      <c r="BV43" s="183"/>
      <c r="BW43" s="183"/>
      <c r="BX43" s="183"/>
      <c r="BY43" s="183"/>
      <c r="BZ43" s="183"/>
      <c r="CA43" s="183"/>
      <c r="CB43" s="183"/>
      <c r="CC43" s="183"/>
      <c r="CD43" s="183"/>
      <c r="CE43" s="183"/>
      <c r="CF43" s="183"/>
      <c r="CG43" s="183"/>
      <c r="CH43" s="183"/>
      <c r="CI43" s="183"/>
      <c r="CJ43" s="183"/>
      <c r="CK43" s="183"/>
      <c r="CL43" s="183"/>
      <c r="CM43" s="5372"/>
      <c r="CN43" s="5372"/>
      <c r="CO43" s="5372"/>
      <c r="CP43" s="5372"/>
      <c r="CQ43" s="5373"/>
      <c r="CR43" s="5373"/>
      <c r="CS43" s="5373"/>
      <c r="CT43" s="3434"/>
      <c r="CU43" s="3434"/>
      <c r="CV43" s="3434"/>
      <c r="CW43" s="3434"/>
      <c r="CX43" s="3434"/>
      <c r="CY43" s="3434"/>
      <c r="CZ43" s="3434"/>
      <c r="DA43" s="3434"/>
      <c r="DB43" s="3434"/>
      <c r="DC43" s="3434"/>
      <c r="DD43" s="3434"/>
      <c r="DE43" s="3434"/>
      <c r="DF43" s="3434"/>
      <c r="DG43" s="3434"/>
      <c r="DH43" s="3434"/>
      <c r="DI43" s="3434"/>
      <c r="DJ43" s="3434"/>
      <c r="DK43" s="3434"/>
      <c r="DL43" s="3434"/>
      <c r="DM43" s="3434"/>
      <c r="DN43" s="3434"/>
      <c r="DO43" s="3434"/>
      <c r="DP43" s="3434"/>
      <c r="DQ43" s="183"/>
      <c r="DR43" s="183"/>
      <c r="DS43" s="183"/>
      <c r="DT43" s="183"/>
      <c r="DU43" s="183"/>
      <c r="DV43" s="183"/>
      <c r="DW43" s="183"/>
      <c r="DX43" s="183"/>
      <c r="DY43" s="183"/>
      <c r="DZ43" s="183"/>
      <c r="EA43" s="183"/>
      <c r="EB43" s="183"/>
      <c r="EC43" s="183"/>
      <c r="ED43" s="183"/>
      <c r="EE43" s="183"/>
      <c r="EF43" s="183"/>
      <c r="EG43" s="183"/>
      <c r="EH43" s="183"/>
      <c r="EI43" s="183"/>
      <c r="EJ43" s="183"/>
      <c r="EK43" s="183"/>
      <c r="EL43" s="183"/>
      <c r="EM43" s="183"/>
      <c r="EN43" s="183"/>
      <c r="EO43" s="239"/>
      <c r="EP43" s="239"/>
      <c r="ER43" s="265"/>
      <c r="ES43" s="183"/>
      <c r="ET43" s="183"/>
      <c r="EU43" s="183"/>
      <c r="EV43" s="183"/>
      <c r="EW43" s="183"/>
      <c r="EX43" s="183"/>
      <c r="EY43" s="183"/>
      <c r="EZ43" s="183"/>
      <c r="FA43" s="183"/>
      <c r="FB43" s="21"/>
      <c r="FC43" s="21"/>
      <c r="FD43" s="21"/>
      <c r="FE43" s="21"/>
      <c r="FF43" s="21"/>
      <c r="FG43" s="21"/>
      <c r="FH43" s="21"/>
      <c r="FI43" s="21"/>
      <c r="FJ43" s="21"/>
      <c r="FK43" s="21"/>
      <c r="FL43" s="21"/>
      <c r="FM43" s="21"/>
      <c r="FN43" s="21"/>
      <c r="GH43" s="3689"/>
      <c r="GJ43" s="439" t="str">
        <f>$NO$74</f>
        <v>Stuff 2-4</v>
      </c>
      <c r="GK43" s="241">
        <f t="shared" si="2"/>
        <v>0</v>
      </c>
      <c r="GL43" s="185">
        <f>IF(AND($GN$12=1,control_forbe[[#This Row],[Tverrslag_status]]&lt;&gt;1),1,0)</f>
        <v>0</v>
      </c>
      <c r="GM43" s="185">
        <f>IFERROR(INDEX(inputs_forbe[blank_for],MATCH(control_forbe[[#This Row],[position_forb]],inputs_forbe[Position],0)),0)</f>
        <v>0</v>
      </c>
      <c r="GN43" s="185">
        <f>IFERROR(INDEX(inputs_forbe[blank_forsk],MATCH(control_forbe[[#This Row],[position_forb]],inputs_forbe[Position],0)),0)</f>
        <v>0</v>
      </c>
      <c r="GO43" s="185"/>
      <c r="GP43" s="185">
        <f>IF(AND($GN$12=1,control_forbe[[#This Row],[blank_for]]+control_forbe[[#This Row],[blank_forsk]]&gt;0),1,0)</f>
        <v>0</v>
      </c>
      <c r="GQ43" s="193">
        <f t="shared" si="3"/>
        <v>0</v>
      </c>
      <c r="HH43" s="3694" t="s">
        <v>510</v>
      </c>
      <c r="HI43" s="3695">
        <v>0</v>
      </c>
      <c r="HJ43" s="3695">
        <v>1</v>
      </c>
      <c r="HK43" s="3695">
        <v>1</v>
      </c>
      <c r="HL43" s="3695">
        <v>0</v>
      </c>
      <c r="HM43" s="3695">
        <v>0</v>
      </c>
      <c r="HN43" s="3695">
        <v>0</v>
      </c>
      <c r="HO43" s="3695">
        <v>0</v>
      </c>
      <c r="HP43" s="3695">
        <v>0</v>
      </c>
      <c r="HQ43" s="3695">
        <v>0</v>
      </c>
      <c r="HR43" s="3695">
        <v>0</v>
      </c>
      <c r="HS43" s="3695">
        <v>1</v>
      </c>
      <c r="HT43" s="3695">
        <v>1</v>
      </c>
      <c r="HU43" s="3695">
        <v>0</v>
      </c>
      <c r="HV43" s="3695">
        <v>0</v>
      </c>
      <c r="HW43" s="3695">
        <v>0</v>
      </c>
      <c r="HX43" s="3695">
        <v>0</v>
      </c>
      <c r="HY43" s="3695">
        <v>0</v>
      </c>
      <c r="HZ43" s="3696">
        <v>0</v>
      </c>
      <c r="IA43" s="183"/>
      <c r="IB43" s="183"/>
      <c r="IC43" s="183"/>
      <c r="ID43" s="183"/>
      <c r="IE43" s="183"/>
      <c r="IF43" s="183"/>
      <c r="IH43" s="1761">
        <v>6</v>
      </c>
      <c r="II43" s="1762" t="e">
        <f t="shared" si="28"/>
        <v>#N/A</v>
      </c>
      <c r="IJ43" s="1762" t="e">
        <f>IJ42</f>
        <v>#N/A</v>
      </c>
      <c r="IK43" s="2637" t="e">
        <f>IK42</f>
        <v>#N/A</v>
      </c>
      <c r="IL43" s="1758"/>
      <c r="IM43" s="1758"/>
      <c r="IN43" s="1758"/>
      <c r="IO43" s="199">
        <f t="shared" si="4"/>
        <v>0</v>
      </c>
      <c r="IP43" s="3834">
        <f t="shared" si="5"/>
        <v>1</v>
      </c>
      <c r="IQ43" s="3834">
        <f t="shared" si="5"/>
        <v>1</v>
      </c>
      <c r="IR43" s="3834">
        <f t="shared" si="6"/>
        <v>1</v>
      </c>
      <c r="IS43" s="3834">
        <f t="shared" si="7"/>
        <v>1</v>
      </c>
      <c r="IT43" s="3834">
        <f t="shared" si="8"/>
        <v>1</v>
      </c>
      <c r="IU43" s="3834">
        <f t="shared" si="9"/>
        <v>1</v>
      </c>
      <c r="IV43" s="3834">
        <f t="shared" si="10"/>
        <v>1</v>
      </c>
      <c r="IW43" s="3834">
        <f t="shared" si="11"/>
        <v>1</v>
      </c>
      <c r="IX43" s="3834">
        <f t="shared" si="12"/>
        <v>1</v>
      </c>
      <c r="IY43" s="3834">
        <f t="shared" si="13"/>
        <v>1</v>
      </c>
      <c r="IZ43" s="3834">
        <f t="shared" si="14"/>
        <v>1</v>
      </c>
      <c r="JA43" s="3834">
        <f t="shared" si="15"/>
        <v>1</v>
      </c>
      <c r="JB43" s="3834">
        <f t="shared" si="16"/>
        <v>1</v>
      </c>
      <c r="JC43" s="3834">
        <f t="shared" si="17"/>
        <v>1</v>
      </c>
      <c r="JD43" s="3834">
        <f t="shared" si="18"/>
        <v>1</v>
      </c>
      <c r="JE43" s="3834">
        <f t="shared" si="19"/>
        <v>1</v>
      </c>
      <c r="JF43" s="3834">
        <f t="shared" si="20"/>
        <v>1</v>
      </c>
      <c r="JG43" s="3834">
        <f t="shared" si="21"/>
        <v>1</v>
      </c>
      <c r="JH43" s="3834">
        <f t="shared" si="22"/>
        <v>1</v>
      </c>
      <c r="JI43" s="3834">
        <f t="shared" si="23"/>
        <v>1</v>
      </c>
      <c r="JJ43" s="3834">
        <f t="shared" si="24"/>
        <v>1</v>
      </c>
      <c r="JK43" s="3834">
        <f t="shared" si="25"/>
        <v>1</v>
      </c>
      <c r="JL43" s="3834">
        <f t="shared" si="26"/>
        <v>1</v>
      </c>
      <c r="JM43" s="3834">
        <f>IF(COUNTIF(checks_justeringer[[#This Row],[vek_faktor_bruker]:[vek_faktor_beg]],0)&gt;0,0,1)</f>
        <v>1</v>
      </c>
      <c r="JN43" s="199">
        <f>IF(COUNTIF(checks_justeringer[[#This Row],[general_svar]:[general_beg]],0)&gt;0,0,1)</f>
        <v>0</v>
      </c>
      <c r="JO43" s="199">
        <f>IF(COUNTIF(checks_justeringer[[#This Row],[geo_svar]:[geo_beg]],0)&gt;0,0,1)</f>
        <v>1</v>
      </c>
      <c r="JP43" s="199">
        <f>IF(COUNTIF(checks_justeringer[[#This Row],[stig_svar]:[stig_beg]],0)&gt;0,0,1)</f>
        <v>1</v>
      </c>
      <c r="JQ43" s="199">
        <f>IF(COUNTIF(checks_justeringer[[#This Row],[arb_svar]:[arb_beg]],0)&gt;0,0,1)</f>
        <v>1</v>
      </c>
      <c r="JR43" s="199">
        <f>IF(COUNTIF(checks_justeringer[[#This Row],[spreng_svar]:[spreng_beg]],0)&gt;0,0,1)</f>
        <v>1</v>
      </c>
      <c r="JS43" s="199">
        <f>IF(COUNTIF(checks_justeringer[[#This Row],[skyte_svar]:[skyte_beg]],0)&gt;0,0,1)</f>
        <v>1</v>
      </c>
      <c r="JT43" s="199">
        <f>IF(COUNTIF(checks_justeringer[[#This Row],[støy_svar]:[støy_beg]],0)&gt;0,0,1)</f>
        <v>1</v>
      </c>
      <c r="JU43" s="199">
        <f>IF(COUNTIF(checks_justeringer[[#This Row],[ann_svar]:[ann_beg]],0)&gt;0,0,1)</f>
        <v>1</v>
      </c>
      <c r="JV43" s="193">
        <f>COUNTIF(checks_justeringer[[#This Row],[vek_faktor_final]:[ann_final]],0)</f>
        <v>1</v>
      </c>
      <c r="JW43" s="248">
        <f t="shared" si="27"/>
        <v>1</v>
      </c>
      <c r="JX43" s="199"/>
      <c r="JY43" s="199"/>
      <c r="JZ43" s="199"/>
      <c r="KA43" s="199"/>
      <c r="KB43" s="199"/>
      <c r="KC43" s="199"/>
      <c r="KD43" s="184"/>
      <c r="KE43" s="183"/>
      <c r="KF43" s="183"/>
      <c r="KH43" s="184"/>
      <c r="KI43" s="184"/>
      <c r="KJ43" s="184"/>
      <c r="KK43" s="184"/>
      <c r="KL43" s="184"/>
      <c r="KM43" s="184"/>
      <c r="KN43" s="184"/>
      <c r="KX43" s="184"/>
      <c r="KY43" s="184"/>
      <c r="KZ43" s="184"/>
      <c r="LA43" s="184"/>
      <c r="LB43" s="184"/>
      <c r="LC43" s="184"/>
      <c r="LD43" s="184"/>
      <c r="LJ43" s="185" t="s">
        <v>2332</v>
      </c>
      <c r="LK43" s="185">
        <f>IF(AND($LK$33=3,LK36=TRUE),1,0)</f>
        <v>0</v>
      </c>
      <c r="LL43" s="185">
        <f>IF(AND($LK$33=3,LL36=TRUE),1,0)</f>
        <v>0</v>
      </c>
      <c r="LM43" s="185">
        <f t="shared" ref="LM43:LS43" si="33">IF(AND($LK$33=3,LM36=TRUE),1,0)</f>
        <v>0</v>
      </c>
      <c r="LN43" s="185">
        <f t="shared" si="33"/>
        <v>0</v>
      </c>
      <c r="LO43" s="185">
        <f t="shared" si="33"/>
        <v>0</v>
      </c>
      <c r="LP43" s="185">
        <f t="shared" si="33"/>
        <v>0</v>
      </c>
      <c r="LQ43" s="185">
        <f t="shared" si="33"/>
        <v>0</v>
      </c>
      <c r="LR43" s="185">
        <f t="shared" si="33"/>
        <v>0</v>
      </c>
      <c r="LS43" s="185">
        <f t="shared" si="33"/>
        <v>0</v>
      </c>
      <c r="LT43" s="183"/>
      <c r="NI43" s="3690"/>
      <c r="NS43" s="183"/>
      <c r="NT43" s="183"/>
      <c r="NU43" s="183"/>
      <c r="NV43" s="183"/>
      <c r="NW43" s="183"/>
      <c r="NX43" s="183"/>
      <c r="NY43" s="183"/>
      <c r="NZ43" s="183"/>
      <c r="OA43" s="183"/>
      <c r="OB43" s="183"/>
      <c r="OC43" s="183"/>
      <c r="OD43" s="183"/>
      <c r="OE43" s="183"/>
      <c r="OF43" s="183"/>
      <c r="OG43" s="183"/>
      <c r="OH43" s="183"/>
      <c r="OI43" s="183"/>
      <c r="OJ43" s="183"/>
      <c r="OK43" s="183"/>
      <c r="OL43" s="183"/>
      <c r="OM43" s="183"/>
      <c r="ON43" s="183"/>
      <c r="OO43" s="183"/>
      <c r="OP43" s="183"/>
      <c r="OQ43" s="183"/>
      <c r="OR43" s="183"/>
      <c r="OS43" s="183"/>
      <c r="OT43" s="183"/>
      <c r="OU43" s="183"/>
      <c r="OV43" s="183"/>
      <c r="OW43" s="183"/>
      <c r="OX43" s="183"/>
      <c r="OY43" s="183"/>
      <c r="OZ43" s="183"/>
      <c r="PA43" s="184"/>
      <c r="PB43" s="184"/>
      <c r="PC43" s="184"/>
      <c r="PD43" s="184"/>
      <c r="PE43" s="184"/>
      <c r="PF43" s="184"/>
      <c r="PG43" s="184"/>
      <c r="PH43" s="184"/>
      <c r="PI43" s="239"/>
      <c r="PJ43" s="239"/>
      <c r="PK43" s="239"/>
      <c r="PL43" s="239"/>
      <c r="PM43" s="239"/>
      <c r="PN43" s="239"/>
      <c r="PO43" s="842"/>
      <c r="PP43" s="842"/>
      <c r="PQ43" s="842"/>
      <c r="PR43" s="842"/>
      <c r="PS43" s="842"/>
      <c r="PT43" s="842"/>
      <c r="PU43" s="842"/>
      <c r="PV43" s="239"/>
      <c r="PW43" s="239"/>
      <c r="PX43" s="239"/>
      <c r="PY43" s="239"/>
      <c r="PZ43" s="239"/>
      <c r="QA43" s="239"/>
      <c r="QB43" s="239"/>
      <c r="QC43" s="239"/>
      <c r="QD43" s="239"/>
      <c r="QE43" s="239"/>
      <c r="QF43" s="239"/>
      <c r="QG43" s="239"/>
      <c r="QH43" s="239"/>
      <c r="QI43" s="239"/>
      <c r="QJ43" s="239"/>
      <c r="QK43" s="239"/>
      <c r="QL43" s="239"/>
      <c r="QM43" s="239"/>
      <c r="QU43" s="183"/>
      <c r="QV43" s="183"/>
      <c r="QW43" s="183"/>
      <c r="QX43" s="183"/>
      <c r="QY43" s="183"/>
      <c r="QZ43" s="183"/>
      <c r="RA43" s="183"/>
      <c r="RB43" s="183"/>
      <c r="RC43" s="183"/>
      <c r="RD43" s="183"/>
      <c r="RE43" s="183"/>
      <c r="RF43" s="183"/>
      <c r="RG43" s="183"/>
      <c r="RH43" s="183"/>
      <c r="RI43" s="183"/>
      <c r="RJ43" s="183"/>
      <c r="RK43" s="183"/>
      <c r="RL43" s="183"/>
      <c r="RM43" s="183"/>
      <c r="RN43" s="183"/>
      <c r="RO43" s="183"/>
      <c r="RP43" s="183"/>
      <c r="RQ43" s="183"/>
      <c r="RR43" s="183"/>
      <c r="RS43" s="183"/>
      <c r="RT43" s="210"/>
      <c r="RU43" s="183"/>
      <c r="RV43" s="210"/>
      <c r="RW43" s="183"/>
      <c r="RX43" s="183"/>
      <c r="RY43" s="183"/>
      <c r="RZ43" s="183"/>
      <c r="SZ43" s="435"/>
      <c r="UG43" s="183"/>
      <c r="VL43" s="183"/>
      <c r="VN43" s="183"/>
      <c r="VO43" s="183"/>
      <c r="VP43" s="183"/>
    </row>
    <row r="44" spans="2:604" ht="15.75" thickBot="1" x14ac:dyDescent="0.25">
      <c r="I44" s="5565"/>
      <c r="J44" s="372"/>
      <c r="K44" s="372"/>
      <c r="L44" s="372"/>
      <c r="M44" s="372" t="s">
        <v>1</v>
      </c>
      <c r="N44" s="372"/>
      <c r="O44" s="372"/>
      <c r="AI44" s="192">
        <f>IF(NR413=1,AI14+AJ44,0)</f>
        <v>0</v>
      </c>
      <c r="AJ44" s="192" t="b">
        <f>IF(BC33=2,$AI$15)</f>
        <v>0</v>
      </c>
      <c r="AO44" s="2617"/>
      <c r="AP44" s="2617"/>
      <c r="AQ44" s="2617"/>
      <c r="AR44" s="2617"/>
      <c r="AS44" s="2617"/>
      <c r="AT44" s="2617"/>
      <c r="AU44" s="2617"/>
      <c r="BB44" s="2617"/>
      <c r="BC44" s="2617"/>
      <c r="BD44" s="2617"/>
      <c r="BE44" s="2617"/>
      <c r="BF44" s="2617"/>
      <c r="BG44" s="2617"/>
      <c r="BH44" s="2617"/>
      <c r="BI44" s="2617"/>
      <c r="BJ44" s="2617"/>
      <c r="BK44" s="2617"/>
      <c r="BL44" s="2617"/>
      <c r="BM44" s="2617"/>
      <c r="CQ44" s="5373"/>
      <c r="CR44" s="5373"/>
      <c r="CS44" s="5373"/>
      <c r="CT44" s="3434"/>
      <c r="CU44" s="3434"/>
      <c r="CV44" s="3434"/>
      <c r="CW44" s="3434"/>
      <c r="CX44" s="3434"/>
      <c r="CY44" s="3434"/>
      <c r="CZ44" s="3434"/>
      <c r="DA44" s="3434"/>
      <c r="DB44" s="3434"/>
      <c r="DC44" s="3434"/>
      <c r="DD44" s="3434"/>
      <c r="DE44" s="3434"/>
      <c r="DF44" s="3434"/>
      <c r="DG44" s="3434"/>
      <c r="DH44" s="3434"/>
      <c r="DI44" s="3434"/>
      <c r="DJ44" s="3434"/>
      <c r="DK44" s="3434"/>
      <c r="DL44" s="3434"/>
      <c r="DM44" s="3434"/>
      <c r="DN44" s="3434"/>
      <c r="DO44" s="3434"/>
      <c r="DP44" s="3434"/>
      <c r="EO44" s="239"/>
      <c r="EP44" s="239"/>
      <c r="EQ44" s="2617"/>
      <c r="ER44" s="275"/>
      <c r="ES44" s="275"/>
      <c r="ET44" s="275"/>
      <c r="EU44" s="275"/>
      <c r="EV44" s="275"/>
      <c r="EW44" s="275"/>
      <c r="EX44" s="275"/>
      <c r="EY44" s="275"/>
      <c r="EZ44" s="275"/>
      <c r="FA44" s="275"/>
      <c r="GH44" s="3689"/>
      <c r="GI44" s="2617"/>
      <c r="GJ44" s="3523" t="s">
        <v>258</v>
      </c>
      <c r="GK44" s="324">
        <f t="shared" si="2"/>
        <v>0</v>
      </c>
      <c r="GL44" s="246">
        <f>IF(AND($GN$12=1,control_forbe[[#This Row],[Tverrslag_status]]&lt;&gt;1),1,0)</f>
        <v>0</v>
      </c>
      <c r="GM44" s="185">
        <f>IFERROR(INDEX(inputs_forbe[blank_for],MATCH(control_forbe[[#This Row],[position_forb]],inputs_forbe[Position],0)),0)</f>
        <v>0</v>
      </c>
      <c r="GN44" s="185">
        <f>IFERROR(INDEX(inputs_forbe[blank_forsk],MATCH(control_forbe[[#This Row],[position_forb]],inputs_forbe[Position],0)),0)</f>
        <v>0</v>
      </c>
      <c r="GO44" s="185"/>
      <c r="GP44" s="185">
        <f>IF(AND($GN$12=1,control_forbe[[#This Row],[blank_for]]+control_forbe[[#This Row],[blank_forsk]]&gt;0),1,0)</f>
        <v>0</v>
      </c>
      <c r="GQ44" s="304">
        <f t="shared" si="3"/>
        <v>0</v>
      </c>
      <c r="HD44" s="2617"/>
      <c r="HE44" s="2617"/>
      <c r="HF44" s="2617"/>
      <c r="HG44" s="2617"/>
      <c r="HH44" s="3694" t="s">
        <v>607</v>
      </c>
      <c r="HI44" s="3695">
        <v>0</v>
      </c>
      <c r="HJ44" s="3695">
        <v>0</v>
      </c>
      <c r="HK44" s="3695">
        <v>0</v>
      </c>
      <c r="HL44" s="3695">
        <v>0</v>
      </c>
      <c r="HM44" s="3695">
        <v>0</v>
      </c>
      <c r="HN44" s="3695">
        <v>0</v>
      </c>
      <c r="HO44" s="3695">
        <v>0</v>
      </c>
      <c r="HP44" s="3695">
        <v>0</v>
      </c>
      <c r="HQ44" s="3695">
        <v>0</v>
      </c>
      <c r="HR44" s="3695">
        <v>0</v>
      </c>
      <c r="HS44" s="3695">
        <v>0</v>
      </c>
      <c r="HT44" s="3695">
        <v>0</v>
      </c>
      <c r="HU44" s="3695">
        <v>0</v>
      </c>
      <c r="HV44" s="3695">
        <v>0</v>
      </c>
      <c r="HW44" s="3695">
        <v>0</v>
      </c>
      <c r="HX44" s="3695">
        <v>0</v>
      </c>
      <c r="HY44" s="3695">
        <v>0</v>
      </c>
      <c r="HZ44" s="3696">
        <v>0</v>
      </c>
      <c r="IG44" s="2617"/>
      <c r="IH44" s="1761">
        <v>7</v>
      </c>
      <c r="II44" s="1762" t="e">
        <f t="shared" si="28"/>
        <v>#N/A</v>
      </c>
      <c r="IJ44" s="1762" t="e">
        <f>IF(checks_justeringer[[#This Row],[metode_check]]&lt;&gt;2,1,1)</f>
        <v>#N/A</v>
      </c>
      <c r="IK44" s="2637" t="e">
        <f>IF(AND(checks_justeringer[[#This Row],[metode_check]]=2,IJ24=FALSE,IL24=TRUE),0,1)</f>
        <v>#N/A</v>
      </c>
      <c r="IL44" s="1758"/>
      <c r="IM44" s="1758"/>
      <c r="IN44" s="1758"/>
      <c r="IO44" s="199">
        <f t="shared" si="4"/>
        <v>0</v>
      </c>
      <c r="IP44" s="3834">
        <f t="shared" si="5"/>
        <v>1</v>
      </c>
      <c r="IQ44" s="3834">
        <f t="shared" si="5"/>
        <v>1</v>
      </c>
      <c r="IR44" s="3834">
        <f t="shared" si="6"/>
        <v>1</v>
      </c>
      <c r="IS44" s="3834">
        <f t="shared" si="7"/>
        <v>1</v>
      </c>
      <c r="IT44" s="3834">
        <f t="shared" si="8"/>
        <v>1</v>
      </c>
      <c r="IU44" s="3834">
        <f t="shared" si="9"/>
        <v>1</v>
      </c>
      <c r="IV44" s="3834">
        <f t="shared" si="10"/>
        <v>1</v>
      </c>
      <c r="IW44" s="3834">
        <f t="shared" si="11"/>
        <v>1</v>
      </c>
      <c r="IX44" s="3834">
        <f t="shared" si="12"/>
        <v>1</v>
      </c>
      <c r="IY44" s="3834">
        <f t="shared" si="13"/>
        <v>1</v>
      </c>
      <c r="IZ44" s="3834">
        <f t="shared" si="14"/>
        <v>1</v>
      </c>
      <c r="JA44" s="3834">
        <f t="shared" si="15"/>
        <v>1</v>
      </c>
      <c r="JB44" s="3834">
        <f t="shared" si="16"/>
        <v>1</v>
      </c>
      <c r="JC44" s="3834">
        <f t="shared" si="17"/>
        <v>1</v>
      </c>
      <c r="JD44" s="3834">
        <f t="shared" si="18"/>
        <v>1</v>
      </c>
      <c r="JE44" s="3834">
        <f t="shared" si="19"/>
        <v>1</v>
      </c>
      <c r="JF44" s="3834">
        <f t="shared" si="20"/>
        <v>1</v>
      </c>
      <c r="JG44" s="3834">
        <f t="shared" si="21"/>
        <v>1</v>
      </c>
      <c r="JH44" s="3834">
        <f t="shared" si="22"/>
        <v>1</v>
      </c>
      <c r="JI44" s="3834">
        <f t="shared" si="23"/>
        <v>1</v>
      </c>
      <c r="JJ44" s="3834">
        <f t="shared" si="24"/>
        <v>1</v>
      </c>
      <c r="JK44" s="3834">
        <f t="shared" si="25"/>
        <v>1</v>
      </c>
      <c r="JL44" s="3834">
        <f t="shared" si="26"/>
        <v>1</v>
      </c>
      <c r="JM44" s="3834">
        <f>IF(COUNTIF(checks_justeringer[[#This Row],[vek_faktor_bruker]:[vek_faktor_beg]],0)&gt;0,0,1)</f>
        <v>1</v>
      </c>
      <c r="JN44" s="199">
        <f>IF(COUNTIF(checks_justeringer[[#This Row],[general_svar]:[general_beg]],0)&gt;0,0,1)</f>
        <v>0</v>
      </c>
      <c r="JO44" s="199">
        <f>IF(COUNTIF(checks_justeringer[[#This Row],[geo_svar]:[geo_beg]],0)&gt;0,0,1)</f>
        <v>1</v>
      </c>
      <c r="JP44" s="199">
        <f>IF(COUNTIF(checks_justeringer[[#This Row],[stig_svar]:[stig_beg]],0)&gt;0,0,1)</f>
        <v>1</v>
      </c>
      <c r="JQ44" s="199">
        <f>IF(COUNTIF(checks_justeringer[[#This Row],[arb_svar]:[arb_beg]],0)&gt;0,0,1)</f>
        <v>1</v>
      </c>
      <c r="JR44" s="199">
        <f>IF(COUNTIF(checks_justeringer[[#This Row],[spreng_svar]:[spreng_beg]],0)&gt;0,0,1)</f>
        <v>1</v>
      </c>
      <c r="JS44" s="199">
        <f>IF(COUNTIF(checks_justeringer[[#This Row],[skyte_svar]:[skyte_beg]],0)&gt;0,0,1)</f>
        <v>1</v>
      </c>
      <c r="JT44" s="199">
        <f>IF(COUNTIF(checks_justeringer[[#This Row],[støy_svar]:[støy_beg]],0)&gt;0,0,1)</f>
        <v>1</v>
      </c>
      <c r="JU44" s="199">
        <f>IF(COUNTIF(checks_justeringer[[#This Row],[ann_svar]:[ann_beg]],0)&gt;0,0,1)</f>
        <v>1</v>
      </c>
      <c r="JV44" s="193">
        <f>COUNTIF(checks_justeringer[[#This Row],[vek_faktor_final]:[ann_final]],0)</f>
        <v>1</v>
      </c>
      <c r="JW44" s="248">
        <f t="shared" si="27"/>
        <v>1</v>
      </c>
      <c r="JX44" s="199"/>
      <c r="JY44" s="199"/>
      <c r="JZ44" s="199"/>
      <c r="KA44" s="199"/>
      <c r="KB44" s="199"/>
      <c r="KC44" s="199"/>
      <c r="KD44" s="184"/>
      <c r="KH44" s="2617"/>
      <c r="KI44" s="2617"/>
      <c r="KJ44" s="2617"/>
      <c r="KK44" s="2617"/>
      <c r="KL44" s="2617"/>
      <c r="KM44" s="2617"/>
      <c r="KN44" s="2617"/>
      <c r="KO44" s="2617"/>
      <c r="KP44" s="2617"/>
      <c r="KQ44" s="2617"/>
      <c r="KR44" s="2617"/>
      <c r="KS44" s="2617"/>
      <c r="KT44" s="2617"/>
      <c r="KU44" s="2617"/>
      <c r="KV44" s="2617"/>
      <c r="KW44" s="2617"/>
      <c r="KX44" s="2617"/>
      <c r="KY44" s="2617"/>
      <c r="KZ44" s="2617"/>
      <c r="LA44" s="2617"/>
      <c r="LB44" s="2617"/>
      <c r="LC44" s="2617"/>
      <c r="LD44" s="2617"/>
      <c r="LE44" s="2617"/>
      <c r="LF44" s="2617"/>
      <c r="LG44" s="2617"/>
      <c r="LH44" s="2617"/>
      <c r="LI44" s="2617"/>
      <c r="LJ44" s="230" t="s">
        <v>2335</v>
      </c>
      <c r="LK44" s="230">
        <f>SUM(LK41:LK43)</f>
        <v>1</v>
      </c>
      <c r="LL44" s="230">
        <f t="shared" ref="LL44:LS44" si="34">SUM(LL41:LL43)</f>
        <v>1</v>
      </c>
      <c r="LM44" s="230">
        <f t="shared" si="34"/>
        <v>1</v>
      </c>
      <c r="LN44" s="230">
        <f t="shared" si="34"/>
        <v>1</v>
      </c>
      <c r="LO44" s="230">
        <f t="shared" si="34"/>
        <v>1</v>
      </c>
      <c r="LP44" s="230">
        <f t="shared" si="34"/>
        <v>1</v>
      </c>
      <c r="LQ44" s="230">
        <f t="shared" si="34"/>
        <v>1</v>
      </c>
      <c r="LR44" s="230">
        <f t="shared" si="34"/>
        <v>1</v>
      </c>
      <c r="LS44" s="230">
        <f t="shared" si="34"/>
        <v>1</v>
      </c>
      <c r="LU44" s="2617"/>
      <c r="LV44" s="2617"/>
      <c r="LW44" s="2617"/>
      <c r="LX44" s="2617"/>
      <c r="LY44" s="2617"/>
      <c r="LZ44" s="2617"/>
      <c r="MA44" s="2617"/>
      <c r="MB44" s="2617"/>
      <c r="MC44" s="2617"/>
      <c r="MD44" s="2617"/>
      <c r="ME44" s="2617"/>
      <c r="MF44" s="2617"/>
      <c r="MG44" s="2617"/>
      <c r="MH44" s="2617"/>
      <c r="MI44" s="2617"/>
      <c r="MJ44" s="2617"/>
      <c r="MK44" s="2617"/>
      <c r="ML44" s="2617"/>
      <c r="MM44" s="2617"/>
      <c r="MN44" s="2617"/>
      <c r="MO44" s="2617"/>
      <c r="MP44" s="2617"/>
      <c r="MQ44" s="2617"/>
      <c r="MR44" s="2617"/>
      <c r="MS44" s="2617"/>
      <c r="MT44" s="2617"/>
      <c r="MU44" s="2617"/>
      <c r="MV44" s="2617"/>
      <c r="MW44" s="2617"/>
      <c r="MX44" s="2617"/>
      <c r="MY44" s="2617"/>
      <c r="MZ44" s="2617"/>
      <c r="NA44" s="2617"/>
      <c r="NB44" s="2617"/>
      <c r="NC44" s="2617"/>
      <c r="ND44" s="2617"/>
      <c r="NE44" s="2617"/>
      <c r="NF44" s="2617"/>
      <c r="NG44" s="2617"/>
      <c r="NH44" s="2617"/>
      <c r="NI44" s="1567"/>
      <c r="NJ44" s="2617"/>
      <c r="NK44" s="2617"/>
      <c r="NL44" s="2617"/>
      <c r="NM44" s="2617"/>
      <c r="NN44" s="199" t="s">
        <v>2004</v>
      </c>
      <c r="NO44" s="185">
        <f>BC38</f>
        <v>2</v>
      </c>
      <c r="NP44" s="5293" t="s">
        <v>2005</v>
      </c>
      <c r="PD44" s="239"/>
      <c r="PE44" s="239"/>
      <c r="PF44" s="239"/>
      <c r="PG44" s="239"/>
      <c r="PH44" s="239"/>
      <c r="PI44" s="239"/>
      <c r="PJ44" s="842"/>
      <c r="PK44" s="842"/>
      <c r="PL44" s="842"/>
      <c r="PM44" s="842"/>
      <c r="PN44" s="842"/>
      <c r="PO44" s="842"/>
      <c r="PP44" s="842"/>
      <c r="PQ44" s="239"/>
      <c r="PR44" s="239"/>
      <c r="PS44" s="239"/>
      <c r="PT44" s="239"/>
      <c r="PU44" s="239"/>
      <c r="PV44" s="239"/>
      <c r="PW44" s="239"/>
      <c r="PX44" s="239"/>
      <c r="PY44" s="239"/>
      <c r="PZ44" s="239"/>
      <c r="QA44" s="239"/>
      <c r="QB44" s="239"/>
      <c r="QC44" s="239"/>
      <c r="QD44" s="239"/>
      <c r="QE44" s="239"/>
      <c r="QF44" s="239"/>
      <c r="QG44" s="239"/>
      <c r="QH44" s="239"/>
      <c r="SB44" s="2617"/>
      <c r="SC44" s="2617"/>
      <c r="SD44" s="2617"/>
      <c r="SE44" s="2617"/>
      <c r="SF44" s="2617"/>
      <c r="SG44" s="2617"/>
      <c r="SH44" s="2617"/>
      <c r="SI44" s="2617"/>
      <c r="SJ44" s="2617"/>
      <c r="SK44" s="2617"/>
      <c r="SL44" s="2617"/>
      <c r="SM44" s="2617"/>
      <c r="SN44" s="2617"/>
      <c r="SO44" s="2617"/>
      <c r="SP44" s="2617"/>
      <c r="SQ44" s="2617"/>
      <c r="SR44" s="2617"/>
      <c r="SS44" s="2617"/>
      <c r="ST44" s="2617"/>
      <c r="SU44" s="2617"/>
      <c r="SV44" s="2617"/>
      <c r="SW44" s="2617"/>
      <c r="SX44" s="2617"/>
      <c r="SY44" s="2617"/>
      <c r="VL44" s="183"/>
      <c r="VN44" s="183"/>
      <c r="VO44" s="183"/>
      <c r="VP44" s="183"/>
      <c r="VQ44" s="2617"/>
      <c r="WA44" s="183"/>
      <c r="WB44" s="183"/>
      <c r="WC44" s="183"/>
      <c r="WD44" s="183"/>
      <c r="WE44" s="183"/>
      <c r="WF44" s="183"/>
    </row>
    <row r="45" spans="2:604" ht="30.75" x14ac:dyDescent="0.35">
      <c r="I45" s="5565"/>
      <c r="J45" s="372"/>
      <c r="K45" s="372"/>
      <c r="L45" s="372"/>
      <c r="M45" s="372" t="s">
        <v>2</v>
      </c>
      <c r="N45" s="372"/>
      <c r="O45" s="372"/>
      <c r="AH45" s="283" t="s">
        <v>384</v>
      </c>
      <c r="AO45" s="2617"/>
      <c r="AP45" s="2617"/>
      <c r="AQ45" s="2617"/>
      <c r="AR45" s="2617"/>
      <c r="AS45" s="2617"/>
      <c r="AT45" s="2617"/>
      <c r="AU45" s="2617"/>
      <c r="CQ45" s="5373"/>
      <c r="CR45" s="5373"/>
      <c r="CS45" s="5373"/>
      <c r="CT45" s="3436"/>
      <c r="CU45" s="3436"/>
      <c r="CV45" s="3436"/>
      <c r="CW45" s="3436"/>
      <c r="CX45" s="3436"/>
      <c r="CY45" s="3436"/>
      <c r="CZ45" s="3436"/>
      <c r="DA45" s="3436"/>
      <c r="DB45" s="3436"/>
      <c r="DC45" s="3436"/>
      <c r="DD45" s="3436"/>
      <c r="DE45" s="3436"/>
      <c r="DF45" s="3436"/>
      <c r="DG45" s="3436"/>
      <c r="DH45" s="3436"/>
      <c r="DI45" s="3436"/>
      <c r="DJ45" s="3436"/>
      <c r="DK45" s="3436"/>
      <c r="DL45" s="3436"/>
      <c r="DM45" s="3436"/>
      <c r="DN45" s="3436"/>
      <c r="DO45" s="3436"/>
      <c r="DP45" s="3436"/>
      <c r="DR45" s="474" t="s">
        <v>563</v>
      </c>
      <c r="DS45" s="464"/>
      <c r="DT45" s="464"/>
      <c r="DU45" s="464"/>
      <c r="EO45" s="239"/>
      <c r="EP45" s="239"/>
      <c r="EQ45" s="2617"/>
      <c r="EX45" s="191"/>
      <c r="EY45" s="191"/>
      <c r="EZ45" s="191"/>
      <c r="FA45" s="191"/>
      <c r="FB45" s="191"/>
      <c r="FC45" s="191"/>
      <c r="FD45" s="191"/>
      <c r="FE45" s="191"/>
      <c r="FF45" s="191"/>
      <c r="FG45" s="191"/>
      <c r="FH45" s="191"/>
      <c r="FI45" s="191"/>
      <c r="FJ45" s="191"/>
      <c r="FK45" s="191"/>
      <c r="FL45" s="191"/>
      <c r="FM45" s="191"/>
      <c r="FN45" s="191"/>
      <c r="GH45" s="3689"/>
      <c r="GI45" s="2617"/>
      <c r="HD45" s="2617"/>
      <c r="HE45" s="2617"/>
      <c r="HF45" s="2617"/>
      <c r="HG45" s="2617"/>
      <c r="HH45" s="3694" t="s">
        <v>608</v>
      </c>
      <c r="HI45" s="3695">
        <v>0</v>
      </c>
      <c r="HJ45" s="3695">
        <v>0</v>
      </c>
      <c r="HK45" s="3695">
        <v>0</v>
      </c>
      <c r="HL45" s="3695">
        <v>0</v>
      </c>
      <c r="HM45" s="3695">
        <v>0</v>
      </c>
      <c r="HN45" s="3695">
        <v>0</v>
      </c>
      <c r="HO45" s="3695">
        <v>0</v>
      </c>
      <c r="HP45" s="3695">
        <v>0</v>
      </c>
      <c r="HQ45" s="3695">
        <v>0</v>
      </c>
      <c r="HR45" s="3695">
        <v>0</v>
      </c>
      <c r="HS45" s="3695">
        <v>0</v>
      </c>
      <c r="HT45" s="3695">
        <v>0</v>
      </c>
      <c r="HU45" s="3695">
        <v>0</v>
      </c>
      <c r="HV45" s="3695">
        <v>0</v>
      </c>
      <c r="HW45" s="3695">
        <v>0</v>
      </c>
      <c r="HX45" s="3695">
        <v>0</v>
      </c>
      <c r="HY45" s="3695">
        <v>0</v>
      </c>
      <c r="HZ45" s="3696">
        <v>0</v>
      </c>
      <c r="IG45" s="2617"/>
      <c r="IH45" s="1761">
        <v>8</v>
      </c>
      <c r="II45" s="1762" t="e">
        <f t="shared" si="28"/>
        <v>#N/A</v>
      </c>
      <c r="IJ45" s="1762" t="e">
        <f>IJ44</f>
        <v>#N/A</v>
      </c>
      <c r="IK45" s="2637" t="e">
        <f>IK44</f>
        <v>#N/A</v>
      </c>
      <c r="IL45" s="1758"/>
      <c r="IM45" s="1758"/>
      <c r="IN45" s="1758"/>
      <c r="IO45" s="199">
        <f t="shared" si="4"/>
        <v>0</v>
      </c>
      <c r="IP45" s="3834">
        <f t="shared" si="5"/>
        <v>1</v>
      </c>
      <c r="IQ45" s="3834">
        <f t="shared" si="5"/>
        <v>1</v>
      </c>
      <c r="IR45" s="3834">
        <f t="shared" si="6"/>
        <v>1</v>
      </c>
      <c r="IS45" s="3834">
        <f t="shared" si="7"/>
        <v>1</v>
      </c>
      <c r="IT45" s="3834">
        <f t="shared" si="8"/>
        <v>1</v>
      </c>
      <c r="IU45" s="3834">
        <f t="shared" si="9"/>
        <v>1</v>
      </c>
      <c r="IV45" s="3834">
        <f t="shared" si="10"/>
        <v>1</v>
      </c>
      <c r="IW45" s="3834">
        <f t="shared" si="11"/>
        <v>1</v>
      </c>
      <c r="IX45" s="3834">
        <f t="shared" si="12"/>
        <v>1</v>
      </c>
      <c r="IY45" s="3834">
        <f t="shared" si="13"/>
        <v>1</v>
      </c>
      <c r="IZ45" s="3834">
        <f t="shared" si="14"/>
        <v>1</v>
      </c>
      <c r="JA45" s="3834">
        <f t="shared" si="15"/>
        <v>1</v>
      </c>
      <c r="JB45" s="3834">
        <f t="shared" si="16"/>
        <v>1</v>
      </c>
      <c r="JC45" s="3834">
        <f t="shared" si="17"/>
        <v>1</v>
      </c>
      <c r="JD45" s="3834">
        <f t="shared" si="18"/>
        <v>1</v>
      </c>
      <c r="JE45" s="3834">
        <f t="shared" si="19"/>
        <v>1</v>
      </c>
      <c r="JF45" s="3834">
        <f t="shared" si="20"/>
        <v>1</v>
      </c>
      <c r="JG45" s="3834">
        <f t="shared" si="21"/>
        <v>1</v>
      </c>
      <c r="JH45" s="3834">
        <f t="shared" si="22"/>
        <v>1</v>
      </c>
      <c r="JI45" s="3834">
        <f t="shared" si="23"/>
        <v>1</v>
      </c>
      <c r="JJ45" s="3834">
        <f t="shared" si="24"/>
        <v>1</v>
      </c>
      <c r="JK45" s="3834">
        <f t="shared" si="25"/>
        <v>1</v>
      </c>
      <c r="JL45" s="3834">
        <f t="shared" si="26"/>
        <v>1</v>
      </c>
      <c r="JM45" s="3834">
        <f>IF(COUNTIF(checks_justeringer[[#This Row],[vek_faktor_bruker]:[vek_faktor_beg]],0)&gt;0,0,1)</f>
        <v>1</v>
      </c>
      <c r="JN45" s="199">
        <f>IF(COUNTIF(checks_justeringer[[#This Row],[general_svar]:[general_beg]],0)&gt;0,0,1)</f>
        <v>0</v>
      </c>
      <c r="JO45" s="199">
        <f>IF(COUNTIF(checks_justeringer[[#This Row],[geo_svar]:[geo_beg]],0)&gt;0,0,1)</f>
        <v>1</v>
      </c>
      <c r="JP45" s="199">
        <f>IF(COUNTIF(checks_justeringer[[#This Row],[stig_svar]:[stig_beg]],0)&gt;0,0,1)</f>
        <v>1</v>
      </c>
      <c r="JQ45" s="199">
        <f>IF(COUNTIF(checks_justeringer[[#This Row],[arb_svar]:[arb_beg]],0)&gt;0,0,1)</f>
        <v>1</v>
      </c>
      <c r="JR45" s="199">
        <f>IF(COUNTIF(checks_justeringer[[#This Row],[spreng_svar]:[spreng_beg]],0)&gt;0,0,1)</f>
        <v>1</v>
      </c>
      <c r="JS45" s="199">
        <f>IF(COUNTIF(checks_justeringer[[#This Row],[skyte_svar]:[skyte_beg]],0)&gt;0,0,1)</f>
        <v>1</v>
      </c>
      <c r="JT45" s="199">
        <f>IF(COUNTIF(checks_justeringer[[#This Row],[støy_svar]:[støy_beg]],0)&gt;0,0,1)</f>
        <v>1</v>
      </c>
      <c r="JU45" s="199">
        <f>IF(COUNTIF(checks_justeringer[[#This Row],[ann_svar]:[ann_beg]],0)&gt;0,0,1)</f>
        <v>1</v>
      </c>
      <c r="JV45" s="193">
        <f>COUNTIF(checks_justeringer[[#This Row],[vek_faktor_final]:[ann_final]],0)</f>
        <v>1</v>
      </c>
      <c r="JW45" s="248">
        <f t="shared" si="27"/>
        <v>1</v>
      </c>
      <c r="JX45" s="199"/>
      <c r="JY45" s="199"/>
      <c r="JZ45" s="199"/>
      <c r="KA45" s="199"/>
      <c r="KB45" s="199"/>
      <c r="KC45" s="199"/>
      <c r="KD45" s="184"/>
      <c r="KH45" s="2617"/>
      <c r="KI45" s="2617"/>
      <c r="KJ45" s="2617"/>
      <c r="KK45" s="2617"/>
      <c r="KL45" s="2617"/>
      <c r="KM45" s="2617"/>
      <c r="KN45" s="2617"/>
      <c r="KO45" s="5277" t="s">
        <v>2312</v>
      </c>
      <c r="KP45" s="5278"/>
      <c r="KQ45" s="2617"/>
      <c r="KR45" s="2617"/>
      <c r="KS45" s="2617"/>
      <c r="KT45" s="2617"/>
      <c r="KU45" s="2617"/>
      <c r="KV45" s="2617"/>
      <c r="KW45" s="2617"/>
      <c r="KX45" s="2617"/>
      <c r="KY45" s="2617"/>
      <c r="KZ45" s="2617"/>
      <c r="LA45" s="2617"/>
      <c r="LB45" s="2617"/>
      <c r="LC45" s="2617"/>
      <c r="LD45" s="2617"/>
      <c r="LE45" s="2617"/>
      <c r="LF45" s="2617"/>
      <c r="LG45" s="2617"/>
      <c r="LH45" s="2617"/>
      <c r="LI45" s="2617"/>
      <c r="LU45" s="2617"/>
      <c r="LV45" s="2617"/>
      <c r="LW45" s="2617"/>
      <c r="LX45" s="2617"/>
      <c r="LY45" s="2617"/>
      <c r="LZ45" s="2617"/>
      <c r="MA45" s="2617"/>
      <c r="MB45" s="2617"/>
      <c r="MC45" s="2617"/>
      <c r="MD45" s="2617"/>
      <c r="ME45" s="2617"/>
      <c r="MF45" s="2617"/>
      <c r="MG45" s="2617"/>
      <c r="MH45" s="2617"/>
      <c r="MI45" s="2617"/>
      <c r="MJ45" s="2617"/>
      <c r="MK45" s="2617"/>
      <c r="ML45" s="2617"/>
      <c r="MM45" s="2617"/>
      <c r="MN45" s="2617"/>
      <c r="MO45" s="2617"/>
      <c r="MP45" s="2617"/>
      <c r="MQ45" s="2617"/>
      <c r="MR45" s="2617"/>
      <c r="MS45" s="2617"/>
      <c r="MT45" s="2617"/>
      <c r="MU45" s="2617"/>
      <c r="MV45" s="2617"/>
      <c r="MW45" s="2617"/>
      <c r="MX45" s="2617"/>
      <c r="MY45" s="2617"/>
      <c r="MZ45" s="2617"/>
      <c r="NA45" s="2617"/>
      <c r="NB45" s="2617"/>
      <c r="NC45" s="2617"/>
      <c r="ND45" s="2617"/>
      <c r="NE45" s="2617"/>
      <c r="NF45" s="2617"/>
      <c r="NG45" s="2617"/>
      <c r="NH45" s="2617"/>
      <c r="NI45" s="1567"/>
      <c r="NJ45" s="2617"/>
      <c r="NK45" s="2617"/>
      <c r="NL45" s="2617"/>
      <c r="NM45" s="2617"/>
      <c r="NN45" s="283" t="s">
        <v>455</v>
      </c>
      <c r="PD45" s="239"/>
      <c r="PE45" s="239"/>
      <c r="PF45" s="239"/>
      <c r="PG45" s="239"/>
      <c r="PH45" s="239"/>
      <c r="PI45" s="239"/>
      <c r="PJ45" s="842"/>
      <c r="PK45" s="842"/>
      <c r="PL45" s="842"/>
      <c r="PM45" s="842"/>
      <c r="PN45" s="842"/>
      <c r="PO45" s="842"/>
      <c r="PP45" s="842"/>
      <c r="PQ45" s="239"/>
      <c r="PR45" s="239"/>
      <c r="PS45" s="239"/>
      <c r="PT45" s="239"/>
      <c r="PU45" s="239"/>
      <c r="PV45" s="239"/>
      <c r="PW45" s="239"/>
      <c r="PX45" s="239"/>
      <c r="PY45" s="239"/>
      <c r="PZ45" s="239"/>
      <c r="QA45" s="239"/>
      <c r="QB45" s="239"/>
      <c r="QC45" s="239"/>
      <c r="QD45" s="239"/>
      <c r="QE45" s="239"/>
      <c r="QF45" s="239"/>
      <c r="QG45" s="239"/>
      <c r="QH45" s="239"/>
      <c r="SB45" s="2617"/>
      <c r="SC45" s="2617"/>
      <c r="SD45" s="2617"/>
      <c r="SE45" s="2617"/>
      <c r="SF45" s="2617"/>
      <c r="SG45" s="2617"/>
      <c r="SH45" s="2617"/>
      <c r="SI45" s="2617"/>
      <c r="SJ45" s="2617"/>
      <c r="SK45" s="2617"/>
      <c r="SL45" s="2617"/>
      <c r="SM45" s="2617"/>
      <c r="SN45" s="2617"/>
      <c r="SO45" s="2617"/>
      <c r="SP45" s="2617"/>
      <c r="SQ45" s="2617"/>
      <c r="SR45" s="2617"/>
      <c r="SS45" s="2617"/>
      <c r="ST45" s="2617"/>
      <c r="SU45" s="2617"/>
      <c r="SV45" s="2617"/>
      <c r="SW45" s="2617"/>
      <c r="SX45" s="2617"/>
      <c r="SY45" s="2617"/>
      <c r="VL45" s="183"/>
      <c r="VN45" s="183"/>
      <c r="VO45" s="183"/>
      <c r="VP45" s="183"/>
      <c r="VQ45" s="2617"/>
      <c r="WA45" s="183"/>
      <c r="WB45" s="183"/>
      <c r="WC45" s="183"/>
      <c r="WD45" s="183"/>
      <c r="WE45" s="183"/>
      <c r="WF45" s="183"/>
    </row>
    <row r="46" spans="2:604" ht="22.5" x14ac:dyDescent="0.35">
      <c r="I46" s="5565"/>
      <c r="J46" s="372"/>
      <c r="K46" s="372" t="s">
        <v>5</v>
      </c>
      <c r="L46" s="372" t="s">
        <v>2643</v>
      </c>
      <c r="M46" s="372" t="s">
        <v>76</v>
      </c>
      <c r="N46" s="372" t="s">
        <v>2764</v>
      </c>
      <c r="O46" s="372"/>
      <c r="AO46" s="2617"/>
      <c r="AP46" s="2617"/>
      <c r="AQ46" s="2617"/>
      <c r="AR46" s="2617"/>
      <c r="AS46" s="2617"/>
      <c r="AT46" s="2617"/>
      <c r="AU46" s="2617"/>
      <c r="BB46" s="433" t="s">
        <v>2279</v>
      </c>
      <c r="CQ46" s="5373"/>
      <c r="CR46" s="5373"/>
      <c r="CS46" s="5373"/>
      <c r="CT46" s="3436"/>
      <c r="CU46" s="3436"/>
      <c r="CV46" s="3436"/>
      <c r="CW46" s="3436"/>
      <c r="CX46" s="3436"/>
      <c r="CY46" s="3436"/>
      <c r="CZ46" s="3436"/>
      <c r="DA46" s="3436"/>
      <c r="DB46" s="3436"/>
      <c r="DC46" s="3436"/>
      <c r="DD46" s="3436"/>
      <c r="DE46" s="3436"/>
      <c r="DF46" s="3436"/>
      <c r="DG46" s="3436"/>
      <c r="DH46" s="3436"/>
      <c r="DI46" s="3436"/>
      <c r="DJ46" s="3436"/>
      <c r="DK46" s="3436"/>
      <c r="DL46" s="3436"/>
      <c r="DM46" s="3436"/>
      <c r="DN46" s="3436"/>
      <c r="DO46" s="3436"/>
      <c r="DP46" s="3436"/>
      <c r="EO46" s="239"/>
      <c r="EP46" s="239"/>
      <c r="EQ46" s="2617"/>
      <c r="GH46" s="3689"/>
      <c r="GI46" s="2617"/>
      <c r="GJ46" s="2970" t="s">
        <v>1253</v>
      </c>
      <c r="HD46" s="2617"/>
      <c r="HE46" s="2617"/>
      <c r="HF46" s="2617"/>
      <c r="HG46" s="2617"/>
      <c r="HH46" s="3694" t="s">
        <v>511</v>
      </c>
      <c r="HI46" s="3695">
        <v>0</v>
      </c>
      <c r="HJ46" s="3695">
        <v>1</v>
      </c>
      <c r="HK46" s="3695">
        <v>0</v>
      </c>
      <c r="HL46" s="3695">
        <v>0</v>
      </c>
      <c r="HM46" s="3695">
        <v>0</v>
      </c>
      <c r="HN46" s="3695">
        <v>1</v>
      </c>
      <c r="HO46" s="3695">
        <v>0</v>
      </c>
      <c r="HP46" s="3695">
        <v>0</v>
      </c>
      <c r="HQ46" s="3695">
        <v>0</v>
      </c>
      <c r="HR46" s="3695">
        <v>0</v>
      </c>
      <c r="HS46" s="3695">
        <v>1</v>
      </c>
      <c r="HT46" s="3695">
        <v>0</v>
      </c>
      <c r="HU46" s="3695">
        <v>0</v>
      </c>
      <c r="HV46" s="3695">
        <v>0</v>
      </c>
      <c r="HW46" s="3695">
        <v>1</v>
      </c>
      <c r="HX46" s="3695">
        <v>0</v>
      </c>
      <c r="HY46" s="3695">
        <v>0</v>
      </c>
      <c r="HZ46" s="3696">
        <v>0</v>
      </c>
      <c r="IG46" s="2617"/>
      <c r="IH46" s="1763">
        <v>9</v>
      </c>
      <c r="II46" s="1762" t="e">
        <f t="shared" si="28"/>
        <v>#N/A</v>
      </c>
      <c r="IJ46" s="1762" t="e">
        <f>IF(checks_justeringer[[#This Row],[metode_check]]&lt;&gt;2,1,1)</f>
        <v>#N/A</v>
      </c>
      <c r="IK46" s="2637" t="e">
        <f>IF(AND(checks_justeringer[[#This Row],[metode_check]]=2,IJ26=FALSE,IL26=TRUE),0,1)</f>
        <v>#N/A</v>
      </c>
      <c r="IL46" s="3833"/>
      <c r="IM46" s="3833"/>
      <c r="IN46" s="3833"/>
      <c r="IO46" s="199">
        <f t="shared" si="4"/>
        <v>0</v>
      </c>
      <c r="IP46" s="3834">
        <f t="shared" si="5"/>
        <v>1</v>
      </c>
      <c r="IQ46" s="3834">
        <f t="shared" si="5"/>
        <v>1</v>
      </c>
      <c r="IR46" s="3834">
        <f t="shared" si="6"/>
        <v>1</v>
      </c>
      <c r="IS46" s="3834">
        <f t="shared" si="7"/>
        <v>1</v>
      </c>
      <c r="IT46" s="3834">
        <f t="shared" si="8"/>
        <v>1</v>
      </c>
      <c r="IU46" s="3834">
        <f t="shared" si="9"/>
        <v>1</v>
      </c>
      <c r="IV46" s="3834">
        <f t="shared" si="10"/>
        <v>1</v>
      </c>
      <c r="IW46" s="3834">
        <f t="shared" si="11"/>
        <v>1</v>
      </c>
      <c r="IX46" s="3834">
        <f t="shared" si="12"/>
        <v>1</v>
      </c>
      <c r="IY46" s="3834">
        <f t="shared" si="13"/>
        <v>1</v>
      </c>
      <c r="IZ46" s="3834">
        <f t="shared" si="14"/>
        <v>1</v>
      </c>
      <c r="JA46" s="3834">
        <f t="shared" si="15"/>
        <v>1</v>
      </c>
      <c r="JB46" s="3834">
        <f t="shared" si="16"/>
        <v>1</v>
      </c>
      <c r="JC46" s="3834">
        <f t="shared" si="17"/>
        <v>1</v>
      </c>
      <c r="JD46" s="3834">
        <f t="shared" si="18"/>
        <v>1</v>
      </c>
      <c r="JE46" s="3834">
        <f t="shared" si="19"/>
        <v>1</v>
      </c>
      <c r="JF46" s="3834">
        <f t="shared" si="20"/>
        <v>1</v>
      </c>
      <c r="JG46" s="3834">
        <f t="shared" si="21"/>
        <v>1</v>
      </c>
      <c r="JH46" s="3834">
        <f t="shared" si="22"/>
        <v>1</v>
      </c>
      <c r="JI46" s="3834">
        <f t="shared" si="23"/>
        <v>1</v>
      </c>
      <c r="JJ46" s="3834">
        <f t="shared" si="24"/>
        <v>1</v>
      </c>
      <c r="JK46" s="3834">
        <f t="shared" si="25"/>
        <v>1</v>
      </c>
      <c r="JL46" s="3834">
        <f t="shared" si="26"/>
        <v>1</v>
      </c>
      <c r="JM46" s="3834">
        <f>IF(COUNTIF(checks_justeringer[[#This Row],[vek_faktor_bruker]:[vek_faktor_beg]],0)&gt;0,0,1)</f>
        <v>1</v>
      </c>
      <c r="JN46" s="199">
        <f>IF(COUNTIF(checks_justeringer[[#This Row],[general_svar]:[general_beg]],0)&gt;0,0,1)</f>
        <v>0</v>
      </c>
      <c r="JO46" s="199">
        <f>IF(COUNTIF(checks_justeringer[[#This Row],[geo_svar]:[geo_beg]],0)&gt;0,0,1)</f>
        <v>1</v>
      </c>
      <c r="JP46" s="199">
        <f>IF(COUNTIF(checks_justeringer[[#This Row],[stig_svar]:[stig_beg]],0)&gt;0,0,1)</f>
        <v>1</v>
      </c>
      <c r="JQ46" s="199">
        <f>IF(COUNTIF(checks_justeringer[[#This Row],[arb_svar]:[arb_beg]],0)&gt;0,0,1)</f>
        <v>1</v>
      </c>
      <c r="JR46" s="199">
        <f>IF(COUNTIF(checks_justeringer[[#This Row],[spreng_svar]:[spreng_beg]],0)&gt;0,0,1)</f>
        <v>1</v>
      </c>
      <c r="JS46" s="199">
        <f>IF(COUNTIF(checks_justeringer[[#This Row],[skyte_svar]:[skyte_beg]],0)&gt;0,0,1)</f>
        <v>1</v>
      </c>
      <c r="JT46" s="199">
        <f>IF(COUNTIF(checks_justeringer[[#This Row],[støy_svar]:[støy_beg]],0)&gt;0,0,1)</f>
        <v>1</v>
      </c>
      <c r="JU46" s="199">
        <f>IF(COUNTIF(checks_justeringer[[#This Row],[ann_svar]:[ann_beg]],0)&gt;0,0,1)</f>
        <v>1</v>
      </c>
      <c r="JV46" s="193">
        <f>COUNTIF(checks_justeringer[[#This Row],[vek_faktor_final]:[ann_final]],0)</f>
        <v>1</v>
      </c>
      <c r="JW46" s="248">
        <f t="shared" si="27"/>
        <v>1</v>
      </c>
      <c r="JX46" s="1574"/>
      <c r="JY46" s="1574"/>
      <c r="JZ46" s="1574"/>
      <c r="KA46" s="1574"/>
      <c r="KB46" s="1574"/>
      <c r="KC46" s="1574"/>
      <c r="KD46" s="184"/>
      <c r="KH46" s="2617"/>
      <c r="KI46" s="2617"/>
      <c r="KJ46" s="2617"/>
      <c r="KK46" s="2617"/>
      <c r="KL46" s="2617"/>
      <c r="KM46" s="2617"/>
      <c r="KN46" s="2617"/>
      <c r="KO46" s="5241"/>
      <c r="KP46" s="2617"/>
      <c r="KQ46" s="2617"/>
      <c r="KR46" s="2617"/>
      <c r="KS46" s="2617"/>
      <c r="KT46" s="2617"/>
      <c r="KU46" s="2617"/>
      <c r="KV46" s="2617"/>
      <c r="KW46" s="2617"/>
      <c r="KX46" s="340"/>
      <c r="KY46" s="208"/>
      <c r="KZ46" s="208"/>
      <c r="LA46" s="2617"/>
      <c r="LB46" s="2617"/>
      <c r="LC46" s="2617"/>
      <c r="LD46" s="2617"/>
      <c r="LE46" s="2617"/>
      <c r="LF46" s="2617"/>
      <c r="LG46" s="2617"/>
      <c r="LH46" s="2617"/>
      <c r="LI46" s="2617"/>
      <c r="LX46" s="2617"/>
      <c r="LY46" s="2617"/>
      <c r="LZ46" s="2617"/>
      <c r="MA46" s="2617"/>
      <c r="MB46" s="2617"/>
      <c r="MC46" s="2617"/>
      <c r="MD46" s="2617"/>
      <c r="ME46" s="2617"/>
      <c r="MF46" s="2617"/>
      <c r="MG46" s="2617"/>
      <c r="MH46" s="2617"/>
      <c r="MI46" s="2617"/>
      <c r="MJ46" s="2617"/>
      <c r="MK46" s="2617"/>
      <c r="ML46" s="2617"/>
      <c r="MM46" s="2617"/>
      <c r="MN46" s="2617"/>
      <c r="MO46" s="2617"/>
      <c r="MP46" s="2617"/>
      <c r="MQ46" s="2617"/>
      <c r="MR46" s="2617"/>
      <c r="MS46" s="2617"/>
      <c r="MT46" s="2617"/>
      <c r="MU46" s="2617"/>
      <c r="MV46" s="2617"/>
      <c r="MW46" s="2617"/>
      <c r="MX46" s="2617"/>
      <c r="MY46" s="2617"/>
      <c r="MZ46" s="2617"/>
      <c r="NA46" s="2617"/>
      <c r="NB46" s="2617"/>
      <c r="NC46" s="2617"/>
      <c r="ND46" s="2617"/>
      <c r="NE46" s="2617"/>
      <c r="NF46" s="2617"/>
      <c r="NG46" s="2617"/>
      <c r="NH46" s="2617"/>
      <c r="NI46" s="1567"/>
      <c r="NJ46" s="2617"/>
      <c r="NK46" s="2617"/>
      <c r="NL46" s="2617"/>
      <c r="NM46" s="2617"/>
      <c r="PD46" s="239"/>
      <c r="PE46" s="239"/>
      <c r="PF46" s="239"/>
      <c r="PG46" s="239"/>
      <c r="PH46" s="239"/>
      <c r="PI46" s="239"/>
      <c r="PJ46" s="842"/>
      <c r="PK46" s="842"/>
      <c r="PL46" s="842"/>
      <c r="PM46" s="842"/>
      <c r="PN46" s="842"/>
      <c r="PO46" s="842"/>
      <c r="PP46" s="842"/>
      <c r="PQ46" s="239"/>
      <c r="PR46" s="239"/>
      <c r="PS46" s="239"/>
      <c r="PT46" s="239"/>
      <c r="PU46" s="239"/>
      <c r="PV46" s="239"/>
      <c r="PW46" s="239"/>
      <c r="PX46" s="239"/>
      <c r="PY46" s="239"/>
      <c r="PZ46" s="239"/>
      <c r="QA46" s="239"/>
      <c r="QB46" s="239"/>
      <c r="QC46" s="239"/>
      <c r="QD46" s="239"/>
      <c r="QE46" s="239"/>
      <c r="QF46" s="239"/>
      <c r="QG46" s="239"/>
      <c r="QH46" s="239"/>
      <c r="SB46" s="2617"/>
      <c r="SC46" s="2617"/>
      <c r="SD46" s="2617"/>
      <c r="SE46" s="2617"/>
      <c r="SF46" s="2617"/>
      <c r="SG46" s="2617"/>
      <c r="SH46" s="2617"/>
      <c r="SI46" s="2617"/>
      <c r="SJ46" s="2617"/>
      <c r="SK46" s="2617"/>
      <c r="SL46" s="2617"/>
      <c r="SM46" s="2617"/>
      <c r="SN46" s="2617"/>
      <c r="SO46" s="2617"/>
      <c r="SP46" s="2617"/>
      <c r="SQ46" s="2617"/>
      <c r="SR46" s="2617"/>
      <c r="SS46" s="2617"/>
      <c r="ST46" s="2617"/>
      <c r="SU46" s="2617"/>
      <c r="SV46" s="2617"/>
      <c r="SW46" s="2617"/>
      <c r="SX46" s="2617"/>
      <c r="SY46" s="2617"/>
      <c r="VL46" s="183"/>
      <c r="VM46" s="183"/>
      <c r="VN46" s="183"/>
      <c r="VO46" s="183"/>
      <c r="VP46" s="183"/>
      <c r="VQ46" s="183"/>
      <c r="VR46" s="183"/>
      <c r="VS46" s="2617"/>
    </row>
    <row r="47" spans="2:604" ht="30.75" x14ac:dyDescent="0.4">
      <c r="I47" s="372"/>
      <c r="J47" s="372"/>
      <c r="K47" s="372"/>
      <c r="L47" s="372"/>
      <c r="M47" s="372"/>
      <c r="N47" s="372" t="s">
        <v>4</v>
      </c>
      <c r="O47" s="372"/>
      <c r="AJ47" s="183" t="s">
        <v>240</v>
      </c>
      <c r="AO47" s="2617"/>
      <c r="AP47" s="2617"/>
      <c r="AQ47" s="2617"/>
      <c r="AR47" s="2617"/>
      <c r="AS47" s="2617"/>
      <c r="AT47" s="2617"/>
      <c r="AU47" s="2617"/>
      <c r="BA47" s="2617"/>
      <c r="BB47" s="433" t="s">
        <v>2280</v>
      </c>
      <c r="CQ47" s="5373"/>
      <c r="CR47" s="5373"/>
      <c r="CS47" s="5373"/>
      <c r="CT47" s="3436"/>
      <c r="CU47" s="3436"/>
      <c r="CV47" s="3436"/>
      <c r="CW47" s="3436"/>
      <c r="CX47" s="3436"/>
      <c r="CY47" s="3436"/>
      <c r="CZ47" s="3436"/>
      <c r="DA47" s="3436"/>
      <c r="DB47" s="3436"/>
      <c r="DC47" s="3436"/>
      <c r="DD47" s="3436"/>
      <c r="DE47" s="3436"/>
      <c r="DF47" s="3436"/>
      <c r="DG47" s="3436"/>
      <c r="DH47" s="3436"/>
      <c r="DI47" s="3436"/>
      <c r="DJ47" s="3436"/>
      <c r="DK47" s="3436"/>
      <c r="DL47" s="3436"/>
      <c r="DM47" s="3436"/>
      <c r="DN47" s="3436"/>
      <c r="DO47" s="3436"/>
      <c r="DP47" s="3436"/>
      <c r="EO47" s="239"/>
      <c r="EP47" s="239"/>
      <c r="EQ47" s="239"/>
      <c r="ER47" s="350" t="s">
        <v>289</v>
      </c>
      <c r="ES47" s="350"/>
      <c r="EY47" s="184"/>
      <c r="GH47" s="3689"/>
      <c r="GI47" s="2617"/>
      <c r="GJ47" s="183" t="s">
        <v>2780</v>
      </c>
      <c r="HD47" s="2617"/>
      <c r="HE47" s="2617"/>
      <c r="HF47" s="2617"/>
      <c r="HG47" s="2617"/>
      <c r="HH47" s="3694" t="s">
        <v>512</v>
      </c>
      <c r="HI47" s="3695">
        <v>1</v>
      </c>
      <c r="HJ47" s="3695">
        <v>0</v>
      </c>
      <c r="HK47" s="3695">
        <v>0</v>
      </c>
      <c r="HL47" s="3695">
        <v>0</v>
      </c>
      <c r="HM47" s="3695">
        <v>1</v>
      </c>
      <c r="HN47" s="3695">
        <v>0</v>
      </c>
      <c r="HO47" s="3695">
        <v>0</v>
      </c>
      <c r="HP47" s="3695">
        <v>0</v>
      </c>
      <c r="HQ47" s="3695">
        <v>0</v>
      </c>
      <c r="HR47" s="3695">
        <v>1</v>
      </c>
      <c r="HS47" s="3695">
        <v>0</v>
      </c>
      <c r="HT47" s="3695">
        <v>0</v>
      </c>
      <c r="HU47" s="3695">
        <v>0</v>
      </c>
      <c r="HV47" s="3695">
        <v>1</v>
      </c>
      <c r="HW47" s="3695">
        <v>0</v>
      </c>
      <c r="HX47" s="3695">
        <v>0</v>
      </c>
      <c r="HY47" s="3695">
        <v>0</v>
      </c>
      <c r="HZ47" s="3696">
        <v>0</v>
      </c>
      <c r="IG47" s="2617"/>
      <c r="IH47" s="2617"/>
      <c r="II47" s="2617"/>
      <c r="IJ47" s="2617"/>
      <c r="IK47" s="2617"/>
      <c r="IL47" s="2617"/>
      <c r="IM47" s="2617"/>
      <c r="IN47" s="2617"/>
      <c r="IO47" s="2617"/>
      <c r="IP47" s="2617"/>
      <c r="IQ47" s="2617"/>
      <c r="IR47" s="2617"/>
      <c r="IS47" s="2617"/>
      <c r="IT47" s="2617"/>
      <c r="IU47" s="2617"/>
      <c r="IV47" s="2617"/>
      <c r="IW47" s="2617"/>
      <c r="IX47" s="2617"/>
      <c r="IY47" s="2617"/>
      <c r="IZ47" s="2617"/>
      <c r="JA47" s="2617"/>
      <c r="JB47" s="2617"/>
      <c r="JC47" s="2617"/>
      <c r="JD47" s="2617"/>
      <c r="JE47" s="2617"/>
      <c r="JF47" s="2617"/>
      <c r="JG47" s="2617"/>
      <c r="JH47" s="2617"/>
      <c r="JI47" s="2617"/>
      <c r="JJ47" s="2617"/>
      <c r="JK47" s="2617"/>
      <c r="JL47" s="2617"/>
      <c r="JM47" s="2617"/>
      <c r="JN47" s="2617"/>
      <c r="JO47" s="2617"/>
      <c r="JP47" s="2617"/>
      <c r="JQ47" s="2617"/>
      <c r="JR47" s="2617"/>
      <c r="JS47" s="2617"/>
      <c r="JT47" s="2617"/>
      <c r="JU47" s="2617"/>
      <c r="JV47" s="2617"/>
      <c r="JW47" s="2617"/>
      <c r="JX47" s="2617"/>
      <c r="KH47" s="2617"/>
      <c r="KI47" s="2617"/>
      <c r="KJ47" s="2617"/>
      <c r="KK47" s="2617"/>
      <c r="KL47" s="2617"/>
      <c r="KM47" s="2617"/>
      <c r="KN47" s="2617"/>
      <c r="KO47" s="433" t="s">
        <v>2328</v>
      </c>
      <c r="KP47" s="2617"/>
      <c r="KQ47" s="2617"/>
      <c r="KR47" s="2617"/>
      <c r="KS47" s="2617"/>
      <c r="KT47" s="2617"/>
      <c r="KU47" s="2617"/>
      <c r="KV47" s="2617"/>
      <c r="KW47" s="2617"/>
      <c r="KX47" s="2617"/>
      <c r="KY47" s="2617"/>
      <c r="KZ47" s="2617"/>
      <c r="LA47" s="2617"/>
      <c r="LB47" s="2617"/>
      <c r="LC47" s="2617"/>
      <c r="LD47" s="2617"/>
      <c r="LE47" s="2617"/>
      <c r="LF47" s="2617"/>
      <c r="LG47" s="2617"/>
      <c r="LH47" s="2617"/>
      <c r="LI47" s="2617"/>
      <c r="LX47" s="2617"/>
      <c r="LY47" s="2617"/>
      <c r="LZ47" s="2617"/>
      <c r="MA47" s="2617"/>
      <c r="MB47" s="2617"/>
      <c r="MC47" s="2617"/>
      <c r="MD47" s="2617"/>
      <c r="ME47" s="2617"/>
      <c r="MF47" s="2617"/>
      <c r="MG47" s="2617"/>
      <c r="MH47" s="2617"/>
      <c r="MI47" s="2617"/>
      <c r="MJ47" s="2617"/>
      <c r="MK47" s="2617"/>
      <c r="ML47" s="2617"/>
      <c r="MM47" s="2617"/>
      <c r="MN47" s="2617"/>
      <c r="MO47" s="2617"/>
      <c r="MP47" s="2617"/>
      <c r="MQ47" s="2617"/>
      <c r="MR47" s="2617"/>
      <c r="MS47" s="2617"/>
      <c r="MT47" s="2617"/>
      <c r="MU47" s="2617"/>
      <c r="MV47" s="2617"/>
      <c r="MW47" s="2617"/>
      <c r="MX47" s="2617"/>
      <c r="MY47" s="2617"/>
      <c r="MZ47" s="2617"/>
      <c r="NA47" s="2617"/>
      <c r="NB47" s="2617"/>
      <c r="NC47" s="2617"/>
      <c r="ND47" s="2617"/>
      <c r="NE47" s="2617"/>
      <c r="NF47" s="2617"/>
      <c r="NG47" s="2617"/>
      <c r="NH47" s="2617"/>
      <c r="NI47" s="1567"/>
      <c r="NJ47" s="2617"/>
      <c r="NK47" s="2617"/>
      <c r="NL47" s="2617"/>
      <c r="NM47" s="2617"/>
      <c r="NO47" s="429" t="s">
        <v>456</v>
      </c>
      <c r="PE47" s="239"/>
      <c r="PF47" s="239"/>
      <c r="PG47" s="239"/>
      <c r="PH47" s="239"/>
      <c r="PI47" s="239"/>
      <c r="PJ47" s="842"/>
      <c r="PK47" s="842"/>
      <c r="PL47" s="842"/>
      <c r="PM47" s="842"/>
      <c r="PN47" s="842"/>
      <c r="PO47" s="842"/>
      <c r="PP47" s="842"/>
      <c r="PQ47" s="239"/>
      <c r="PR47" s="239"/>
      <c r="PS47" s="239"/>
      <c r="PT47" s="239"/>
      <c r="PU47" s="239"/>
      <c r="PV47" s="239"/>
      <c r="PW47" s="239"/>
      <c r="PX47" s="239"/>
      <c r="PY47" s="239"/>
      <c r="PZ47" s="239"/>
      <c r="QA47" s="239"/>
      <c r="QB47" s="239"/>
      <c r="QC47" s="239"/>
      <c r="QD47" s="239"/>
      <c r="QE47" s="239"/>
      <c r="QF47" s="239"/>
      <c r="QG47" s="239"/>
      <c r="QH47" s="239"/>
      <c r="SB47" s="2617"/>
      <c r="SC47" s="2617"/>
      <c r="SD47" s="2617"/>
      <c r="SE47" s="2617"/>
      <c r="SF47" s="2617"/>
      <c r="SG47" s="2617"/>
      <c r="SH47" s="2617"/>
      <c r="SI47" s="2617"/>
      <c r="SJ47" s="2617"/>
      <c r="SK47" s="2617"/>
      <c r="SL47" s="2617"/>
      <c r="SM47" s="2617"/>
      <c r="SN47" s="2617"/>
      <c r="SO47" s="2617"/>
      <c r="SP47" s="2617"/>
      <c r="SQ47" s="2617"/>
      <c r="SR47" s="2617"/>
      <c r="SS47" s="2617"/>
      <c r="ST47" s="2617"/>
      <c r="SU47" s="2617"/>
      <c r="SV47" s="2617"/>
      <c r="SW47" s="2617"/>
      <c r="SX47" s="2617"/>
      <c r="SY47" s="2617"/>
      <c r="VL47" s="183"/>
      <c r="VM47" s="2617"/>
      <c r="VN47" s="2617"/>
      <c r="VO47" s="2617"/>
      <c r="VP47" s="2617"/>
      <c r="VQ47" s="2617"/>
      <c r="VR47" s="2617"/>
      <c r="VS47" s="2617"/>
    </row>
    <row r="48" spans="2:604" ht="15" x14ac:dyDescent="0.2">
      <c r="I48" s="372"/>
      <c r="J48" s="372"/>
      <c r="K48" s="372"/>
      <c r="L48" s="372"/>
      <c r="M48" s="372"/>
      <c r="N48" s="372" t="s">
        <v>5</v>
      </c>
      <c r="O48" s="372"/>
      <c r="AH48" s="185" t="s">
        <v>222</v>
      </c>
      <c r="AI48" s="194" t="s">
        <v>199</v>
      </c>
      <c r="AJ48" s="194" t="s">
        <v>198</v>
      </c>
      <c r="AK48" s="194" t="s">
        <v>199</v>
      </c>
      <c r="AL48" s="194" t="s">
        <v>198</v>
      </c>
      <c r="AO48" s="2617"/>
      <c r="AP48" s="2617"/>
      <c r="AQ48" s="2617"/>
      <c r="AR48" s="2617"/>
      <c r="AS48" s="2617"/>
      <c r="AT48" s="2617"/>
      <c r="AU48" s="2617"/>
      <c r="BA48" s="2617"/>
      <c r="BQ48" s="191"/>
      <c r="BR48" s="191"/>
      <c r="BS48" s="191"/>
      <c r="BT48" s="191"/>
      <c r="BV48" s="181"/>
      <c r="BW48" s="181"/>
      <c r="CM48" s="2622"/>
      <c r="CN48" s="5373"/>
      <c r="CO48" s="5373"/>
      <c r="CP48" s="5373"/>
      <c r="CQ48" s="5373"/>
      <c r="CR48" s="5373"/>
      <c r="CS48" s="5373"/>
      <c r="CT48" s="3436"/>
      <c r="CU48" s="3436"/>
      <c r="CV48" s="3436"/>
      <c r="CW48" s="3436"/>
      <c r="CX48" s="3436"/>
      <c r="CY48" s="3436"/>
      <c r="CZ48" s="3436"/>
      <c r="DA48" s="3436"/>
      <c r="DB48" s="3436"/>
      <c r="DC48" s="3436"/>
      <c r="DD48" s="3436"/>
      <c r="DE48" s="3436"/>
      <c r="DF48" s="3436"/>
      <c r="DG48" s="3436"/>
      <c r="DH48" s="3436"/>
      <c r="DI48" s="3436"/>
      <c r="DJ48" s="3436"/>
      <c r="DK48" s="3436"/>
      <c r="DL48" s="3436"/>
      <c r="DM48" s="3436"/>
      <c r="DN48" s="3436"/>
      <c r="DO48" s="3436"/>
      <c r="DP48" s="3436"/>
      <c r="DR48" s="283" t="s">
        <v>350</v>
      </c>
      <c r="GH48" s="3689"/>
      <c r="GI48" s="2617"/>
      <c r="GJ48" s="185" t="s">
        <v>285</v>
      </c>
      <c r="GK48" s="199" t="s">
        <v>620</v>
      </c>
      <c r="GL48" s="199" t="s">
        <v>1254</v>
      </c>
      <c r="GM48" s="199" t="s">
        <v>1255</v>
      </c>
      <c r="GN48" s="199" t="s">
        <v>1256</v>
      </c>
      <c r="GO48" s="199" t="s">
        <v>1258</v>
      </c>
      <c r="HD48" s="2617"/>
      <c r="HE48" s="2617"/>
      <c r="HF48" s="2617"/>
      <c r="HG48" s="2617"/>
      <c r="HH48" s="3694" t="s">
        <v>513</v>
      </c>
      <c r="HI48" s="3695">
        <v>0</v>
      </c>
      <c r="HJ48" s="3695">
        <v>1</v>
      </c>
      <c r="HK48" s="3695">
        <v>0</v>
      </c>
      <c r="HL48" s="3695">
        <v>0</v>
      </c>
      <c r="HM48" s="3695">
        <v>0</v>
      </c>
      <c r="HN48" s="3695">
        <v>1</v>
      </c>
      <c r="HO48" s="3695">
        <v>0</v>
      </c>
      <c r="HP48" s="3695">
        <v>0</v>
      </c>
      <c r="HQ48" s="3695">
        <v>0</v>
      </c>
      <c r="HR48" s="3695">
        <v>0</v>
      </c>
      <c r="HS48" s="3695">
        <v>1</v>
      </c>
      <c r="HT48" s="3695">
        <v>0</v>
      </c>
      <c r="HU48" s="3695">
        <v>0</v>
      </c>
      <c r="HV48" s="3695">
        <v>0</v>
      </c>
      <c r="HW48" s="3695">
        <v>1</v>
      </c>
      <c r="HX48" s="3695">
        <v>0</v>
      </c>
      <c r="HY48" s="3695">
        <v>0</v>
      </c>
      <c r="HZ48" s="3696">
        <v>0</v>
      </c>
      <c r="IG48" s="2617"/>
      <c r="IH48" s="2617"/>
      <c r="II48" s="2617"/>
      <c r="IJ48" s="2617"/>
      <c r="IK48" s="2617"/>
      <c r="IL48" s="2617"/>
      <c r="IM48" s="2617"/>
      <c r="IN48" s="2617"/>
      <c r="IO48" s="2617"/>
      <c r="IP48" s="2617"/>
      <c r="IQ48" s="2617"/>
      <c r="IR48" s="2617"/>
      <c r="IS48" s="2617"/>
      <c r="IT48" s="2617"/>
      <c r="IU48" s="2617"/>
      <c r="IV48" s="2617"/>
      <c r="IW48" s="2617"/>
      <c r="IX48" s="2617"/>
      <c r="IY48" s="2617"/>
      <c r="IZ48" s="2617"/>
      <c r="JA48" s="2617"/>
      <c r="JB48" s="2617"/>
      <c r="JC48" s="2617"/>
      <c r="JD48" s="2617"/>
      <c r="JE48" s="2617"/>
      <c r="JF48" s="2617"/>
      <c r="JG48" s="2617"/>
      <c r="JH48" s="2617"/>
      <c r="JI48" s="2617"/>
      <c r="JJ48" s="2617"/>
      <c r="JK48" s="2617"/>
      <c r="JL48" s="2617"/>
      <c r="JM48" s="2617"/>
      <c r="JN48" s="2617"/>
      <c r="JO48" s="2617"/>
      <c r="JP48" s="2617"/>
      <c r="JQ48" s="2617"/>
      <c r="JR48" s="2617"/>
      <c r="JS48" s="2617"/>
      <c r="JT48" s="2617"/>
      <c r="JU48" s="2617"/>
      <c r="JV48" s="2617"/>
      <c r="JW48" s="2617"/>
      <c r="JX48" s="2617"/>
      <c r="KH48" s="2617"/>
      <c r="KI48" s="2617"/>
      <c r="KJ48" s="2617"/>
      <c r="KK48" s="2617"/>
      <c r="KL48" s="2617"/>
      <c r="KM48" s="2617"/>
      <c r="KN48" s="2617"/>
      <c r="KO48" s="2617"/>
      <c r="KP48" s="2617"/>
      <c r="KQ48" s="2617"/>
      <c r="KR48" s="2617"/>
      <c r="KS48" s="2617"/>
      <c r="KT48" s="2617"/>
      <c r="KU48" s="2617"/>
      <c r="KV48" s="2617"/>
      <c r="KW48" s="2617"/>
      <c r="KX48" s="2617"/>
      <c r="KY48" s="2617"/>
      <c r="KZ48" s="2617"/>
      <c r="LA48" s="2617"/>
      <c r="LB48" s="2617"/>
      <c r="LC48" s="2617"/>
      <c r="LD48" s="2617"/>
      <c r="LE48" s="2617"/>
      <c r="LF48" s="2617"/>
      <c r="LG48" s="2617"/>
      <c r="LH48" s="2617"/>
      <c r="LI48" s="2617"/>
      <c r="LX48" s="2617"/>
      <c r="LY48" s="2617"/>
      <c r="LZ48" s="2617"/>
      <c r="MA48" s="2617"/>
      <c r="MB48" s="2617"/>
      <c r="MC48" s="2617"/>
      <c r="MD48" s="2617"/>
      <c r="ME48" s="2617"/>
      <c r="MF48" s="2617"/>
      <c r="MG48" s="2617"/>
      <c r="MH48" s="2617"/>
      <c r="MI48" s="2617"/>
      <c r="MJ48" s="2617"/>
      <c r="MK48" s="2617"/>
      <c r="ML48" s="2617"/>
      <c r="MM48" s="2617"/>
      <c r="MN48" s="2617"/>
      <c r="MO48" s="2617"/>
      <c r="MP48" s="2617"/>
      <c r="MQ48" s="2617"/>
      <c r="MR48" s="2617"/>
      <c r="MS48" s="2617"/>
      <c r="MT48" s="2617"/>
      <c r="MU48" s="2617"/>
      <c r="MV48" s="2617"/>
      <c r="MW48" s="2617"/>
      <c r="MX48" s="2617"/>
      <c r="MY48" s="2617"/>
      <c r="MZ48" s="2617"/>
      <c r="NA48" s="2617"/>
      <c r="NB48" s="2617"/>
      <c r="NC48" s="2617"/>
      <c r="ND48" s="2617"/>
      <c r="NE48" s="2617"/>
      <c r="NF48" s="2617"/>
      <c r="NG48" s="2617"/>
      <c r="NH48" s="2617"/>
      <c r="NI48" s="1567"/>
      <c r="NJ48" s="2617"/>
      <c r="NK48" s="2617"/>
      <c r="NL48" s="2617"/>
      <c r="NM48" s="2617"/>
      <c r="NN48" s="185" t="s">
        <v>661</v>
      </c>
      <c r="NO48" s="430">
        <f>9-(COUNTIF(NO36:NW36,""))</f>
        <v>1</v>
      </c>
      <c r="SB48" s="2617"/>
      <c r="SC48" s="2617"/>
      <c r="SD48" s="2617"/>
      <c r="SE48" s="2617"/>
      <c r="SF48" s="2617"/>
      <c r="SG48" s="2617"/>
      <c r="SH48" s="2617"/>
      <c r="SI48" s="2617"/>
      <c r="SJ48" s="2617"/>
      <c r="SK48" s="2617"/>
      <c r="SL48" s="2617"/>
      <c r="SM48" s="2617"/>
      <c r="SN48" s="2617"/>
      <c r="SO48" s="2617"/>
      <c r="SP48" s="2617"/>
      <c r="SQ48" s="2617"/>
      <c r="SR48" s="2617"/>
      <c r="SS48" s="2617"/>
      <c r="ST48" s="2617"/>
      <c r="SU48" s="2617"/>
      <c r="SV48" s="2617"/>
      <c r="SW48" s="2617"/>
      <c r="SX48" s="2617"/>
      <c r="SY48" s="2617"/>
      <c r="VL48" s="183"/>
      <c r="VM48" s="2617"/>
      <c r="VN48" s="2617"/>
      <c r="VO48" s="2617"/>
      <c r="VP48" s="2617"/>
      <c r="VQ48" s="2617"/>
      <c r="VR48" s="2617"/>
      <c r="VS48" s="2617"/>
    </row>
    <row r="49" spans="9:608" ht="15" x14ac:dyDescent="0.2">
      <c r="I49" s="372"/>
      <c r="J49" s="372"/>
      <c r="K49" s="372"/>
      <c r="L49" s="372"/>
      <c r="M49" s="372"/>
      <c r="N49" s="372"/>
      <c r="O49" s="372"/>
      <c r="AI49" s="197" t="s">
        <v>224</v>
      </c>
      <c r="AJ49" s="205">
        <f>IF(AND(Tunneldrift!$AD$25=1,Tunneldrift!$F$18=1),Tunneldrift!$AD$139,IF(AND(Tunneldrift!$AD$25=2,Tunneldrift!$F$18=2),Tunneldrift!$AD$139,0))</f>
        <v>0</v>
      </c>
      <c r="AK49" s="198" t="s">
        <v>229</v>
      </c>
      <c r="AL49" s="205">
        <f>IF(AND(Tunneldrift!$AD$25=2,Tunneldrift!$F$18=2),Tunneldrift!$AD$171,0)</f>
        <v>0</v>
      </c>
      <c r="AO49" s="2617"/>
      <c r="AP49" s="2617"/>
      <c r="AQ49" s="2617"/>
      <c r="AR49" s="2617"/>
      <c r="AS49" s="2617"/>
      <c r="AT49" s="2617"/>
      <c r="AU49" s="2617"/>
      <c r="BA49" s="2617"/>
      <c r="BB49" s="340" t="str">
        <f t="shared" ref="BB49:BB57" si="35">BB158</f>
        <v>Stuff 1-1</v>
      </c>
      <c r="BC49" s="241">
        <f>Tunneldrift!B150</f>
        <v>0</v>
      </c>
      <c r="BV49" s="181"/>
      <c r="BW49" s="181"/>
      <c r="CM49" s="2622"/>
      <c r="CN49" s="5373"/>
      <c r="CO49" s="5373"/>
      <c r="CP49" s="5373"/>
      <c r="CQ49" s="5373"/>
      <c r="CR49" s="5373"/>
      <c r="CS49" s="5373"/>
      <c r="CT49" s="3436"/>
      <c r="CU49" s="3436"/>
      <c r="CV49" s="3436"/>
      <c r="CW49" s="3436"/>
      <c r="CX49" s="3436"/>
      <c r="CY49" s="3436"/>
      <c r="CZ49" s="3436"/>
      <c r="DA49" s="3436"/>
      <c r="DB49" s="3436"/>
      <c r="DC49" s="3436"/>
      <c r="DD49" s="3436"/>
      <c r="DE49" s="3436"/>
      <c r="DF49" s="3436"/>
      <c r="DG49" s="3436"/>
      <c r="DH49" s="3436"/>
      <c r="DI49" s="3436"/>
      <c r="DJ49" s="3436"/>
      <c r="DK49" s="3436"/>
      <c r="DL49" s="3436"/>
      <c r="DM49" s="3436"/>
      <c r="DN49" s="3436"/>
      <c r="DO49" s="3436"/>
      <c r="DP49" s="3436"/>
      <c r="ER49" s="283" t="s">
        <v>356</v>
      </c>
      <c r="GH49" s="3689"/>
      <c r="GI49" s="2617"/>
      <c r="GJ49" s="185">
        <v>1</v>
      </c>
      <c r="GK49" s="199">
        <f>IFERROR(INDEX(control_forbe[Status],MATCH(GJ49,control_forbe[position_forb],0)),0)</f>
        <v>0</v>
      </c>
      <c r="GL49" s="199">
        <f>IF(GK49=1,INDEX(control_forbe[blank_for],MATCH(GJ49,control_forbe[position_forb],0)),IF(GK49=0,0))</f>
        <v>0</v>
      </c>
      <c r="GM49" s="199">
        <f>IF(GK49=1,INDEX(control_forbe[blank_forsk],MATCH(GJ49,control_forbe[position_forb],0)),IF(GK49=0,0))</f>
        <v>0</v>
      </c>
      <c r="GN49" s="199">
        <f>IF(GK49=1,(GL49+GM49),IF(GK49=0,0))</f>
        <v>0</v>
      </c>
      <c r="GO49" s="199"/>
      <c r="HD49" s="2617"/>
      <c r="HE49" s="2617"/>
      <c r="HF49" s="2617"/>
      <c r="HG49" s="2617"/>
      <c r="HH49" s="3694" t="s">
        <v>514</v>
      </c>
      <c r="HI49" s="3695">
        <v>0</v>
      </c>
      <c r="HJ49" s="3695">
        <v>1</v>
      </c>
      <c r="HK49" s="3695">
        <v>0</v>
      </c>
      <c r="HL49" s="3695">
        <v>0</v>
      </c>
      <c r="HM49" s="3695">
        <v>0</v>
      </c>
      <c r="HN49" s="3695">
        <v>1</v>
      </c>
      <c r="HO49" s="3695">
        <v>0</v>
      </c>
      <c r="HP49" s="3695">
        <v>0</v>
      </c>
      <c r="HQ49" s="3695">
        <v>0</v>
      </c>
      <c r="HR49" s="3695">
        <v>0</v>
      </c>
      <c r="HS49" s="3695">
        <v>1</v>
      </c>
      <c r="HT49" s="3695">
        <v>0</v>
      </c>
      <c r="HU49" s="3695">
        <v>0</v>
      </c>
      <c r="HV49" s="3695">
        <v>0</v>
      </c>
      <c r="HW49" s="3695">
        <v>1</v>
      </c>
      <c r="HX49" s="3695">
        <v>0</v>
      </c>
      <c r="HY49" s="3695">
        <v>0</v>
      </c>
      <c r="HZ49" s="3696">
        <v>0</v>
      </c>
      <c r="IG49" s="2617"/>
      <c r="IH49" s="2617"/>
      <c r="II49" s="2617"/>
      <c r="IJ49" s="2617"/>
      <c r="IK49" s="2617"/>
      <c r="IL49" s="2617"/>
      <c r="IM49" s="2617"/>
      <c r="IN49" s="2617"/>
      <c r="IO49" s="2617"/>
      <c r="IP49" s="2617"/>
      <c r="IQ49" s="2617"/>
      <c r="IR49" s="2617"/>
      <c r="IS49" s="2617"/>
      <c r="IT49" s="2617"/>
      <c r="IU49" s="2617"/>
      <c r="IV49" s="2617"/>
      <c r="IW49" s="2617"/>
      <c r="IX49" s="2617"/>
      <c r="IY49" s="2617"/>
      <c r="IZ49" s="2617"/>
      <c r="JA49" s="2617"/>
      <c r="JB49" s="2617"/>
      <c r="JC49" s="2617"/>
      <c r="JD49" s="2617"/>
      <c r="JE49" s="2617"/>
      <c r="JF49" s="2617"/>
      <c r="JG49" s="2617"/>
      <c r="JH49" s="2617"/>
      <c r="JI49" s="2617"/>
      <c r="JJ49" s="2617"/>
      <c r="JK49" s="2617"/>
      <c r="JL49" s="2617"/>
      <c r="JM49" s="2617"/>
      <c r="JN49" s="2617"/>
      <c r="JO49" s="2617"/>
      <c r="JP49" s="2617"/>
      <c r="JQ49" s="2617"/>
      <c r="JR49" s="2617"/>
      <c r="JS49" s="2617"/>
      <c r="JT49" s="2617"/>
      <c r="JU49" s="2617"/>
      <c r="JV49" s="2617"/>
      <c r="JW49" s="2617"/>
      <c r="JX49" s="2617"/>
      <c r="KH49" s="2617"/>
      <c r="KI49" s="2617"/>
      <c r="KJ49" s="2617"/>
      <c r="KK49" s="2617"/>
      <c r="KL49" s="2617"/>
      <c r="KM49" s="2617"/>
      <c r="KN49" s="2617"/>
      <c r="KO49" s="2617"/>
      <c r="KQ49" s="2617"/>
      <c r="KR49" s="2617"/>
      <c r="KS49" s="2617"/>
      <c r="KT49" s="2617"/>
      <c r="KU49" s="2617"/>
      <c r="KV49" s="2617"/>
      <c r="KW49" s="2617"/>
      <c r="KX49" s="2617"/>
      <c r="KY49" s="2617"/>
      <c r="KZ49" s="2617"/>
      <c r="LA49" s="2617"/>
      <c r="LB49" s="2617"/>
      <c r="LC49" s="2617"/>
      <c r="LD49" s="2617"/>
      <c r="LE49" s="2617"/>
      <c r="LF49" s="2617"/>
      <c r="LG49" s="2617"/>
      <c r="LH49" s="2617"/>
      <c r="LI49" s="2617"/>
      <c r="LX49" s="2617"/>
      <c r="LY49" s="2617"/>
      <c r="LZ49" s="2617"/>
      <c r="MA49" s="2617"/>
      <c r="MB49" s="2617"/>
      <c r="MC49" s="2617"/>
      <c r="MD49" s="2617"/>
      <c r="ME49" s="2617"/>
      <c r="MF49" s="2617"/>
      <c r="MG49" s="2617"/>
      <c r="MH49" s="2617"/>
      <c r="MI49" s="2617"/>
      <c r="MJ49" s="2617"/>
      <c r="MK49" s="2617"/>
      <c r="ML49" s="2617"/>
      <c r="MM49" s="2617"/>
      <c r="MN49" s="2617"/>
      <c r="MO49" s="2617"/>
      <c r="MP49" s="2617"/>
      <c r="MQ49" s="2617"/>
      <c r="MR49" s="2617"/>
      <c r="MS49" s="2617"/>
      <c r="MT49" s="2617"/>
      <c r="MU49" s="2617"/>
      <c r="MV49" s="2617"/>
      <c r="MW49" s="2617"/>
      <c r="MX49" s="2617"/>
      <c r="MY49" s="2617"/>
      <c r="MZ49" s="2617"/>
      <c r="NA49" s="2617"/>
      <c r="NB49" s="2617"/>
      <c r="NC49" s="2617"/>
      <c r="ND49" s="2617"/>
      <c r="NE49" s="2617"/>
      <c r="NF49" s="2617"/>
      <c r="NG49" s="2617"/>
      <c r="NH49" s="2617"/>
      <c r="NI49" s="1567"/>
      <c r="NJ49" s="2617"/>
      <c r="NK49" s="2617"/>
      <c r="NL49" s="2617"/>
      <c r="NM49" s="2617"/>
      <c r="SB49" s="2617"/>
      <c r="SC49" s="2617"/>
      <c r="SD49" s="2617"/>
      <c r="SE49" s="2617"/>
      <c r="SF49" s="2617"/>
      <c r="SG49" s="2617"/>
      <c r="SH49" s="2617"/>
      <c r="SI49" s="2617"/>
      <c r="SJ49" s="2617"/>
      <c r="SK49" s="2617"/>
      <c r="SL49" s="2617"/>
      <c r="SM49" s="2617"/>
      <c r="SN49" s="2617"/>
      <c r="SO49" s="2617"/>
      <c r="SP49" s="2617"/>
      <c r="SQ49" s="2617"/>
      <c r="SR49" s="2617"/>
      <c r="SS49" s="2617"/>
      <c r="ST49" s="2617"/>
      <c r="SU49" s="2617"/>
      <c r="SV49" s="2617"/>
      <c r="SW49" s="2617"/>
      <c r="SX49" s="2617"/>
      <c r="SY49" s="2617"/>
      <c r="VL49" s="183"/>
      <c r="VM49" s="2617"/>
      <c r="VN49" s="2617"/>
      <c r="VO49" s="2617"/>
      <c r="VP49" s="2617"/>
      <c r="VQ49" s="2617"/>
      <c r="VR49" s="2617"/>
      <c r="VS49" s="2617"/>
    </row>
    <row r="50" spans="9:608" ht="15" x14ac:dyDescent="0.2">
      <c r="I50" s="372"/>
      <c r="J50" s="372"/>
      <c r="K50" s="372"/>
      <c r="L50" s="372"/>
      <c r="M50" s="372"/>
      <c r="N50" s="372"/>
      <c r="O50" s="372"/>
      <c r="AI50" s="197" t="s">
        <v>225</v>
      </c>
      <c r="AJ50" s="205">
        <f>IF(AND(Tunneldrift!$AD$25=1,Tunneldrift!$F$18=2),Tunneldrift!$AD$139+Tunneldrift!$AO$139,IF(AND(Tunneldrift!$AD$25=2,Tunneldrift!$F$18=4),Tunneldrift!$AD$139+Tunneldrift!$AO$139,0))</f>
        <v>0</v>
      </c>
      <c r="AK50" s="197" t="s">
        <v>227</v>
      </c>
      <c r="AL50" s="205">
        <f>IF(AND(Tunneldrift!$AD$25=2,Tunneldrift!$F$18=4),Tunneldrift!$AD$171+Tunneldrift!$AO$171,0)</f>
        <v>0</v>
      </c>
      <c r="AO50" s="2617"/>
      <c r="AP50" s="2617"/>
      <c r="AQ50" s="2617"/>
      <c r="AR50" s="2617"/>
      <c r="AS50" s="2617"/>
      <c r="AT50" s="2617"/>
      <c r="AU50" s="2617"/>
      <c r="BB50" s="340" t="str">
        <f t="shared" si="35"/>
        <v>Stuff 1-2</v>
      </c>
      <c r="BC50" s="241">
        <f>Tunneldrift!D150</f>
        <v>0</v>
      </c>
      <c r="BV50" s="181"/>
      <c r="BW50" s="181"/>
      <c r="CM50" s="2622"/>
      <c r="CN50" s="5373"/>
      <c r="CO50" s="5373"/>
      <c r="CP50" s="5373"/>
      <c r="CQ50" s="5373"/>
      <c r="CR50" s="5373"/>
      <c r="CS50" s="5373"/>
      <c r="CT50" s="3436"/>
      <c r="CU50" s="3436"/>
      <c r="CV50" s="3436"/>
      <c r="CW50" s="3436"/>
      <c r="CX50" s="3436"/>
      <c r="CY50" s="3436"/>
      <c r="CZ50" s="3436"/>
      <c r="DA50" s="3436"/>
      <c r="DB50" s="3436"/>
      <c r="DC50" s="3436"/>
      <c r="DD50" s="3436"/>
      <c r="DE50" s="3436"/>
      <c r="DF50" s="3436"/>
      <c r="DG50" s="3436"/>
      <c r="DH50" s="3436"/>
      <c r="DI50" s="3436"/>
      <c r="DJ50" s="3436"/>
      <c r="DK50" s="3436"/>
      <c r="DL50" s="3436"/>
      <c r="DM50" s="3436"/>
      <c r="DN50" s="3436"/>
      <c r="DO50" s="3436"/>
      <c r="DP50" s="3436"/>
      <c r="DR50" s="237" t="s">
        <v>257</v>
      </c>
      <c r="DS50" s="237" t="s">
        <v>283</v>
      </c>
      <c r="DT50" s="237" t="s">
        <v>284</v>
      </c>
      <c r="DU50" s="238" t="s">
        <v>285</v>
      </c>
      <c r="DV50" s="238" t="s">
        <v>48</v>
      </c>
      <c r="DW50" s="238" t="s">
        <v>74</v>
      </c>
      <c r="DX50" s="238" t="s">
        <v>1</v>
      </c>
      <c r="DY50" s="238" t="s">
        <v>2</v>
      </c>
      <c r="DZ50" s="238" t="s">
        <v>300</v>
      </c>
      <c r="EA50" s="238" t="s">
        <v>301</v>
      </c>
      <c r="EB50" s="238" t="s">
        <v>302</v>
      </c>
      <c r="EC50" s="238" t="s">
        <v>303</v>
      </c>
      <c r="ED50" s="238" t="s">
        <v>304</v>
      </c>
      <c r="EE50" s="238" t="s">
        <v>305</v>
      </c>
      <c r="EF50" s="238" t="s">
        <v>306</v>
      </c>
      <c r="EG50" s="238" t="s">
        <v>307</v>
      </c>
      <c r="GH50" s="3689"/>
      <c r="GI50" s="2617"/>
      <c r="GJ50" s="185">
        <v>2</v>
      </c>
      <c r="GK50" s="199">
        <f>IFERROR(INDEX(control_forbe[Status],MATCH(GJ50,control_forbe[position_forb],0)),0)</f>
        <v>0</v>
      </c>
      <c r="GL50" s="199">
        <f>IF(GK50=1,INDEX(control_forbe[blank_for],MATCH(GJ50,control_forbe[position_forb],0)),IF(GK50=0,0))</f>
        <v>0</v>
      </c>
      <c r="GM50" s="199">
        <f>IF(GK50=1,INDEX(control_forbe[blank_forsk],MATCH(GJ50,control_forbe[position_forb],0)),IF(GK50=0,0))</f>
        <v>0</v>
      </c>
      <c r="GN50" s="199">
        <f t="shared" ref="GN50:GN58" si="36">IF(GK50=1,(GL50+GM50),IF(GK50=0,0))</f>
        <v>0</v>
      </c>
      <c r="GO50" s="199"/>
      <c r="HD50" s="2617"/>
      <c r="HE50" s="2617"/>
      <c r="HF50" s="2617"/>
      <c r="HG50" s="2617"/>
      <c r="HH50" s="3694" t="s">
        <v>609</v>
      </c>
      <c r="HI50" s="3695">
        <v>0</v>
      </c>
      <c r="HJ50" s="3695">
        <v>1</v>
      </c>
      <c r="HK50" s="3695">
        <v>1</v>
      </c>
      <c r="HL50" s="3695">
        <v>0</v>
      </c>
      <c r="HM50" s="3695">
        <v>0</v>
      </c>
      <c r="HN50" s="3695">
        <v>1</v>
      </c>
      <c r="HO50" s="3695">
        <v>1</v>
      </c>
      <c r="HP50" s="3695">
        <v>0</v>
      </c>
      <c r="HQ50" s="3695">
        <v>0</v>
      </c>
      <c r="HR50" s="3695">
        <v>0</v>
      </c>
      <c r="HS50" s="3695">
        <v>1</v>
      </c>
      <c r="HT50" s="3695">
        <v>1</v>
      </c>
      <c r="HU50" s="3695">
        <v>0</v>
      </c>
      <c r="HV50" s="3695">
        <v>0</v>
      </c>
      <c r="HW50" s="3695">
        <v>1</v>
      </c>
      <c r="HX50" s="3695">
        <v>1</v>
      </c>
      <c r="HY50" s="3695">
        <v>0</v>
      </c>
      <c r="HZ50" s="3696">
        <v>0</v>
      </c>
      <c r="IG50" s="2617"/>
      <c r="IH50" s="2617"/>
      <c r="II50" s="2617"/>
      <c r="IJ50" s="2617"/>
      <c r="IK50" s="2617"/>
      <c r="IL50" s="2617"/>
      <c r="IM50" s="2617"/>
      <c r="IN50" s="2617"/>
      <c r="IO50" s="2617"/>
      <c r="IP50" s="2617"/>
      <c r="IQ50" s="2617"/>
      <c r="IR50" s="2617"/>
      <c r="IS50" s="2617"/>
      <c r="IT50" s="2617"/>
      <c r="IU50" s="2617"/>
      <c r="IV50" s="2617"/>
      <c r="IW50" s="2617"/>
      <c r="IX50" s="2617"/>
      <c r="IY50" s="2617"/>
      <c r="IZ50" s="2617"/>
      <c r="JA50" s="2617"/>
      <c r="JB50" s="2617"/>
      <c r="JC50" s="2617"/>
      <c r="JD50" s="2617"/>
      <c r="JE50" s="2617"/>
      <c r="JF50" s="2617"/>
      <c r="JG50" s="2617"/>
      <c r="JH50" s="2617"/>
      <c r="JI50" s="2617"/>
      <c r="JJ50" s="2617"/>
      <c r="JK50" s="2617"/>
      <c r="JL50" s="2617"/>
      <c r="JM50" s="2617"/>
      <c r="JN50" s="2617"/>
      <c r="JO50" s="2617"/>
      <c r="JP50" s="2617"/>
      <c r="JQ50" s="2617"/>
      <c r="JR50" s="2617"/>
      <c r="JS50" s="2617"/>
      <c r="JT50" s="2617"/>
      <c r="JU50" s="2617"/>
      <c r="JV50" s="2617"/>
      <c r="JW50" s="2617"/>
      <c r="JX50" s="2617"/>
      <c r="KH50" s="2617"/>
      <c r="KI50" s="2617"/>
      <c r="KJ50" s="2617"/>
      <c r="KK50" s="2617"/>
      <c r="KL50" s="2617"/>
      <c r="KM50" s="2617"/>
      <c r="KN50" s="2617"/>
      <c r="KO50" s="2617"/>
      <c r="KP50" s="2617"/>
      <c r="KQ50" s="2617"/>
      <c r="KR50" s="2617"/>
      <c r="KS50" s="2617"/>
      <c r="KT50" s="2617"/>
      <c r="KU50" s="2617"/>
      <c r="KV50" s="2617"/>
      <c r="KW50" s="2617"/>
      <c r="KX50" s="2617"/>
      <c r="KY50" s="2617"/>
      <c r="KZ50" s="2617"/>
      <c r="LA50" s="2617"/>
      <c r="LB50" s="2617"/>
      <c r="LC50" s="2617"/>
      <c r="LD50" s="2617"/>
      <c r="LE50" s="2617"/>
      <c r="LF50" s="2617"/>
      <c r="LG50" s="2617"/>
      <c r="LH50" s="2617"/>
      <c r="LI50" s="2617"/>
      <c r="LX50" s="2617"/>
      <c r="LY50" s="2617"/>
      <c r="LZ50" s="2617"/>
      <c r="MA50" s="2617"/>
      <c r="MB50" s="2617"/>
      <c r="MC50" s="2617"/>
      <c r="MD50" s="2617"/>
      <c r="ME50" s="2617"/>
      <c r="MF50" s="2617"/>
      <c r="MG50" s="2617"/>
      <c r="MH50" s="2617"/>
      <c r="MI50" s="2617"/>
      <c r="MJ50" s="2617"/>
      <c r="MK50" s="2617"/>
      <c r="ML50" s="2617"/>
      <c r="MM50" s="2617"/>
      <c r="MN50" s="2617"/>
      <c r="MO50" s="2617"/>
      <c r="MP50" s="2617"/>
      <c r="MQ50" s="2617"/>
      <c r="MR50" s="2617"/>
      <c r="MS50" s="2617"/>
      <c r="MT50" s="2617"/>
      <c r="MU50" s="2617"/>
      <c r="MV50" s="2617"/>
      <c r="MW50" s="2617"/>
      <c r="MX50" s="2617"/>
      <c r="MY50" s="2617"/>
      <c r="MZ50" s="2617"/>
      <c r="NA50" s="2617"/>
      <c r="NB50" s="2617"/>
      <c r="NC50" s="2617"/>
      <c r="ND50" s="2617"/>
      <c r="NE50" s="2617"/>
      <c r="NF50" s="2617"/>
      <c r="NG50" s="2617"/>
      <c r="NH50" s="2617"/>
      <c r="NI50" s="1567"/>
      <c r="NJ50" s="2617"/>
      <c r="NK50" s="2617"/>
      <c r="NL50" s="2617"/>
      <c r="NM50" s="2617"/>
      <c r="SB50" s="2617"/>
      <c r="SC50" s="2617"/>
      <c r="SD50" s="2617"/>
      <c r="SE50" s="2617"/>
      <c r="SF50" s="2617"/>
      <c r="SG50" s="2617"/>
      <c r="SH50" s="2617"/>
      <c r="SI50" s="2617"/>
      <c r="SJ50" s="2617"/>
      <c r="SK50" s="2617"/>
      <c r="SL50" s="2617"/>
      <c r="SM50" s="2617"/>
      <c r="SN50" s="2617"/>
      <c r="SO50" s="2617"/>
      <c r="SP50" s="2617"/>
      <c r="SQ50" s="2617"/>
      <c r="SR50" s="2617"/>
      <c r="SS50" s="2617"/>
      <c r="ST50" s="2617"/>
      <c r="SU50" s="2617"/>
      <c r="SV50" s="2617"/>
      <c r="SW50" s="2617"/>
      <c r="SX50" s="2617"/>
      <c r="SY50" s="2617"/>
      <c r="VL50" s="183"/>
    </row>
    <row r="51" spans="9:608" ht="15" x14ac:dyDescent="0.2">
      <c r="I51" s="372"/>
      <c r="J51" s="372"/>
      <c r="K51" s="372"/>
      <c r="L51" s="372"/>
      <c r="M51" s="372"/>
      <c r="N51" s="372"/>
      <c r="O51" s="372"/>
      <c r="AI51" s="197" t="s">
        <v>226</v>
      </c>
      <c r="AJ51" s="205">
        <f>IF(AND(Tunneldrift!$AD$25=1,Tunneldrift!$F$18=3),Tunneldrift!$AD$139+Tunneldrift!$AO$139+Tunneldrift!$AZ$139,IF(AND(Tunneldrift!$AD$25=2,Tunneldrift!$F$18=6),Tunneldrift!$AD$139+Tunneldrift!$AO$139+Tunneldrift!$AZ$139,0))</f>
        <v>0</v>
      </c>
      <c r="AK51" s="198" t="s">
        <v>230</v>
      </c>
      <c r="AL51" s="205">
        <f>IF(AND(Tunneldrift!$AD$25=2,Tunneldrift!$F$18=6),Tunneldrift!$AD$171+Tunneldrift!$AO$171+Tunneldrift!$AZ$171,0)</f>
        <v>0</v>
      </c>
      <c r="AO51" s="2617"/>
      <c r="AP51" s="2617"/>
      <c r="AQ51" s="2617"/>
      <c r="AR51" s="2617"/>
      <c r="AS51" s="2617"/>
      <c r="AT51" s="2617"/>
      <c r="AU51" s="2617"/>
      <c r="BB51" s="340" t="str">
        <f t="shared" si="35"/>
        <v>Stuff 1-3</v>
      </c>
      <c r="BC51" s="241">
        <f>Tunneldrift!E150</f>
        <v>0</v>
      </c>
      <c r="BV51" s="181"/>
      <c r="BW51" s="181"/>
      <c r="CM51" s="2622"/>
      <c r="CN51" s="5373"/>
      <c r="CO51" s="5373"/>
      <c r="CP51" s="5373"/>
      <c r="CQ51" s="5373"/>
      <c r="CR51" s="5373"/>
      <c r="CS51" s="5373"/>
      <c r="CT51" s="3436"/>
      <c r="CU51" s="3436"/>
      <c r="CV51" s="3436"/>
      <c r="CW51" s="3436"/>
      <c r="CX51" s="3436"/>
      <c r="CY51" s="3436"/>
      <c r="CZ51" s="3436"/>
      <c r="DA51" s="3436"/>
      <c r="DB51" s="3436"/>
      <c r="DC51" s="3436"/>
      <c r="DD51" s="3436"/>
      <c r="DE51" s="3436"/>
      <c r="DF51" s="3436"/>
      <c r="DG51" s="3436"/>
      <c r="DH51" s="3436"/>
      <c r="DI51" s="3436"/>
      <c r="DJ51" s="3436"/>
      <c r="DK51" s="3436"/>
      <c r="DL51" s="3436"/>
      <c r="DM51" s="3436"/>
      <c r="DN51" s="3436"/>
      <c r="DO51" s="3436"/>
      <c r="DP51" s="3436"/>
      <c r="DR51" s="185" t="str">
        <f>$K$89</f>
        <v>Hele tunnelen</v>
      </c>
      <c r="DS51" s="188">
        <f>IF($BC$38=1,1,0)</f>
        <v>0</v>
      </c>
      <c r="DT51" s="185">
        <f>IF($BC$38=1,1,0)</f>
        <v>0</v>
      </c>
      <c r="DU51" s="194">
        <f>IF(DT51=1,DS51,IF(DT51=0,0))</f>
        <v>0</v>
      </c>
      <c r="DV51" s="238" t="str">
        <f>DR51</f>
        <v>Hele tunnelen</v>
      </c>
      <c r="DW51" s="238">
        <f>IFERROR((INDEX(inputs_foran[Sonderboring],MATCH($DU51,inputs_foran[Position],0))),0)</f>
        <v>0</v>
      </c>
      <c r="DX51" s="238">
        <f>IFERROR((INDEX(inputs_foran[Kjerneboring],MATCH($DU51,inputs_foran[Position],0))),0)</f>
        <v>0</v>
      </c>
      <c r="DY51" s="238">
        <f>IFERROR((INDEX(inputs_foran[Seismikk],MATCH($DU51,inputs_foran[Position],0))),0)</f>
        <v>0</v>
      </c>
      <c r="DZ51" s="238">
        <f>IFERROR((INDEX(inputs_foran[sp_Rigg],MATCH($DU51,inputs_foran[Position],0))),0)</f>
        <v>0</v>
      </c>
      <c r="EA51" s="238">
        <f>IFERROR((INDEX(inputs_foran[sp_Boring],MATCH($DU51,inputs_foran[Position],0))),0)</f>
        <v>0</v>
      </c>
      <c r="EB51" s="238">
        <f>IFERROR((INDEX(inputs_foran[Sp_Injeksjon],MATCH($DU51,inputs_foran[Position],0))),0)</f>
        <v>0</v>
      </c>
      <c r="EC51" s="238"/>
      <c r="ED51" s="238">
        <f>IFERROR((INDEX(inputs_foran[sy_Rigg],MATCH($DU51,inputs_foran[Position],0))),0)</f>
        <v>0</v>
      </c>
      <c r="EE51" s="238">
        <f>IFERROR((INDEX(inputs_foran[sy_Boring],MATCH($DU51,inputs_foran[Position],0))),0)</f>
        <v>0</v>
      </c>
      <c r="EF51" s="238">
        <f>IFERROR((INDEX(inputs_foran[sy_Injeksjon],MATCH($DU51,inputs_foran[Position],0))),0)</f>
        <v>0</v>
      </c>
      <c r="EG51" s="238"/>
      <c r="ER51" s="283" t="s">
        <v>349</v>
      </c>
      <c r="GH51" s="3689"/>
      <c r="GI51" s="2617"/>
      <c r="GJ51" s="185">
        <v>3</v>
      </c>
      <c r="GK51" s="199">
        <f>IFERROR(INDEX(control_forbe[Status],MATCH(GJ51,control_forbe[position_forb],0)),0)</f>
        <v>0</v>
      </c>
      <c r="GL51" s="199">
        <f>IF(GK51=1,INDEX(control_forbe[blank_for],MATCH(GJ51,control_forbe[position_forb],0)),IF(GK51=0,0))</f>
        <v>0</v>
      </c>
      <c r="GM51" s="199">
        <f>IF(GK51=1,INDEX(control_forbe[blank_forsk],MATCH(GJ51,control_forbe[position_forb],0)),IF(GK51=0,0))</f>
        <v>0</v>
      </c>
      <c r="GN51" s="199">
        <f t="shared" si="36"/>
        <v>0</v>
      </c>
      <c r="GO51" s="199"/>
      <c r="HD51" s="2617"/>
      <c r="HE51" s="2617"/>
      <c r="HF51" s="2617"/>
      <c r="HG51" s="2617"/>
      <c r="HH51" s="3694" t="s">
        <v>610</v>
      </c>
      <c r="HI51" s="3695">
        <v>1</v>
      </c>
      <c r="HJ51" s="3695">
        <v>1</v>
      </c>
      <c r="HK51" s="3695">
        <v>0</v>
      </c>
      <c r="HL51" s="3695">
        <v>0</v>
      </c>
      <c r="HM51" s="3695">
        <v>1</v>
      </c>
      <c r="HN51" s="3695">
        <v>1</v>
      </c>
      <c r="HO51" s="3695">
        <v>0</v>
      </c>
      <c r="HP51" s="3695">
        <v>0</v>
      </c>
      <c r="HQ51" s="3695">
        <v>0</v>
      </c>
      <c r="HR51" s="3695">
        <v>1</v>
      </c>
      <c r="HS51" s="3695">
        <v>1</v>
      </c>
      <c r="HT51" s="3695">
        <v>0</v>
      </c>
      <c r="HU51" s="3695">
        <v>0</v>
      </c>
      <c r="HV51" s="3695">
        <v>1</v>
      </c>
      <c r="HW51" s="3695">
        <v>1</v>
      </c>
      <c r="HX51" s="3695">
        <v>0</v>
      </c>
      <c r="HY51" s="3695">
        <v>0</v>
      </c>
      <c r="HZ51" s="3696">
        <v>0</v>
      </c>
      <c r="IG51" s="2617"/>
      <c r="IH51" s="2617"/>
      <c r="II51" s="2617"/>
      <c r="IJ51" s="2617"/>
      <c r="IK51" s="2617"/>
      <c r="IL51" s="2617"/>
      <c r="IM51" s="2617"/>
      <c r="IN51" s="2617"/>
      <c r="IO51" s="2617"/>
      <c r="IP51" s="2617"/>
      <c r="IQ51" s="2617"/>
      <c r="IR51" s="2617"/>
      <c r="IS51" s="2617"/>
      <c r="IT51" s="2617"/>
      <c r="IU51" s="2617"/>
      <c r="IV51" s="2617"/>
      <c r="IW51" s="2617"/>
      <c r="IX51" s="2617"/>
      <c r="IY51" s="2617"/>
      <c r="IZ51" s="2617"/>
      <c r="JA51" s="2617"/>
      <c r="JB51" s="2617"/>
      <c r="JC51" s="2617"/>
      <c r="JD51" s="2617"/>
      <c r="JE51" s="2617"/>
      <c r="JF51" s="2617"/>
      <c r="JG51" s="2617"/>
      <c r="JH51" s="2617"/>
      <c r="JI51" s="2617"/>
      <c r="JJ51" s="2617"/>
      <c r="JK51" s="2617"/>
      <c r="JL51" s="2617"/>
      <c r="JM51" s="2617"/>
      <c r="JN51" s="2617"/>
      <c r="JO51" s="2617"/>
      <c r="JP51" s="2617"/>
      <c r="JQ51" s="2617"/>
      <c r="JR51" s="2617"/>
      <c r="JS51" s="2617"/>
      <c r="JT51" s="2617"/>
      <c r="JU51" s="2617"/>
      <c r="JV51" s="2617"/>
      <c r="JW51" s="2617"/>
      <c r="JX51" s="2617"/>
      <c r="KH51" s="2617"/>
      <c r="KI51" s="2617"/>
      <c r="KJ51" s="2617"/>
      <c r="KK51" s="2617"/>
      <c r="KL51" s="2617"/>
      <c r="KM51" s="2617"/>
      <c r="KN51" s="2617"/>
      <c r="KO51" s="2617"/>
      <c r="KP51" s="2617"/>
      <c r="KQ51" s="2617"/>
      <c r="KR51" s="2617"/>
      <c r="KS51" s="2617"/>
      <c r="KT51" s="2617"/>
      <c r="KU51" s="2617"/>
      <c r="KV51" s="2617"/>
      <c r="KW51" s="2617"/>
      <c r="KX51" s="2617"/>
      <c r="KY51" s="2617"/>
      <c r="KZ51" s="2617"/>
      <c r="LA51" s="2617"/>
      <c r="LB51" s="2617"/>
      <c r="LC51" s="2617"/>
      <c r="LD51" s="2617"/>
      <c r="LE51" s="2617"/>
      <c r="LF51" s="2617"/>
      <c r="LG51" s="2617"/>
      <c r="LH51" s="2617"/>
      <c r="LI51" s="2617"/>
      <c r="LX51" s="2617"/>
      <c r="LY51" s="2617"/>
      <c r="LZ51" s="2617"/>
      <c r="MA51" s="2617"/>
      <c r="MB51" s="2617"/>
      <c r="MC51" s="2617"/>
      <c r="MD51" s="2617"/>
      <c r="ME51" s="2617"/>
      <c r="MF51" s="2617"/>
      <c r="MG51" s="2617"/>
      <c r="MH51" s="2617"/>
      <c r="MI51" s="2617"/>
      <c r="MJ51" s="2617"/>
      <c r="MK51" s="2617"/>
      <c r="ML51" s="2617"/>
      <c r="MM51" s="2617"/>
      <c r="MN51" s="2617"/>
      <c r="MO51" s="2617"/>
      <c r="MP51" s="2617"/>
      <c r="MQ51" s="2617"/>
      <c r="MR51" s="2617"/>
      <c r="MS51" s="2617"/>
      <c r="MT51" s="2617"/>
      <c r="MU51" s="2617"/>
      <c r="MV51" s="2617"/>
      <c r="MW51" s="2617"/>
      <c r="MX51" s="2617"/>
      <c r="MY51" s="2617"/>
      <c r="MZ51" s="2617"/>
      <c r="NA51" s="2617"/>
      <c r="NB51" s="2617"/>
      <c r="NC51" s="2617"/>
      <c r="ND51" s="2617"/>
      <c r="NE51" s="2617"/>
      <c r="NF51" s="2617"/>
      <c r="NG51" s="2617"/>
      <c r="NH51" s="2617"/>
      <c r="NI51" s="1567"/>
      <c r="NJ51" s="2617"/>
      <c r="NK51" s="2617"/>
      <c r="NL51" s="2617"/>
      <c r="NM51" s="2617"/>
      <c r="NN51" s="283" t="s">
        <v>686</v>
      </c>
      <c r="SB51" s="2617"/>
      <c r="SC51" s="2617"/>
      <c r="SD51" s="2617"/>
      <c r="SE51" s="2617"/>
      <c r="SF51" s="2617"/>
      <c r="SG51" s="2617"/>
      <c r="SH51" s="2617"/>
      <c r="SI51" s="2617"/>
      <c r="SJ51" s="2617"/>
      <c r="SK51" s="2617"/>
      <c r="SL51" s="2617"/>
      <c r="SM51" s="2617"/>
      <c r="SN51" s="2617"/>
      <c r="SO51" s="2617"/>
      <c r="SP51" s="2617"/>
      <c r="SQ51" s="2617"/>
      <c r="SR51" s="2617"/>
      <c r="SS51" s="2617"/>
      <c r="ST51" s="2617"/>
      <c r="SU51" s="2617"/>
      <c r="SV51" s="2617"/>
      <c r="SW51" s="2617"/>
      <c r="SX51" s="2617"/>
      <c r="SY51" s="2617"/>
    </row>
    <row r="52" spans="9:608" ht="31.5" thickBot="1" x14ac:dyDescent="0.25">
      <c r="I52" s="5565"/>
      <c r="J52" s="372"/>
      <c r="K52" s="372"/>
      <c r="L52" s="372"/>
      <c r="M52" s="372"/>
      <c r="N52" s="372"/>
      <c r="O52" s="372"/>
      <c r="AI52" s="198" t="s">
        <v>223</v>
      </c>
      <c r="AJ52" s="205">
        <f>IF(AND(Tunneldrift!$AD$25=1,Tunneldrift!$F$18=4),Tunneldrift!$AD$139+Tunneldrift!$AO$139+Tunneldrift!$AZ$139+Tunneldrift!$BO$139,IF(AND(Tunneldrift!$AD$25=2,Tunneldrift!$F$18=8),Tunneldrift!$AD$139+Tunneldrift!$AO$139+Tunneldrift!$AZ$139+Tunneldrift!$BO$139,0))</f>
        <v>0</v>
      </c>
      <c r="AK52" s="197" t="s">
        <v>228</v>
      </c>
      <c r="AL52" s="205">
        <f>IF(AND(Tunneldrift!$AD$25=2,Tunneldrift!$F$18=8),Tunneldrift!$AD$171+Tunneldrift!$AO$171+Tunneldrift!$AZ$171+Tunneldrift!$BO$171,0)</f>
        <v>0</v>
      </c>
      <c r="AO52" s="2617"/>
      <c r="AP52" s="2617"/>
      <c r="AQ52" s="2617"/>
      <c r="AR52" s="2617"/>
      <c r="AS52" s="2617"/>
      <c r="AT52" s="2617"/>
      <c r="AU52" s="2617"/>
      <c r="BB52" s="340" t="str">
        <f t="shared" si="35"/>
        <v>Stuff 1-4</v>
      </c>
      <c r="BC52" s="241">
        <f>Tunneldrift!F150</f>
        <v>0</v>
      </c>
      <c r="BV52" s="181"/>
      <c r="BW52" s="181"/>
      <c r="CM52" s="2622"/>
      <c r="CN52" s="5373"/>
      <c r="CO52" s="5373"/>
      <c r="CP52" s="5373"/>
      <c r="CQ52" s="5373"/>
      <c r="CR52" s="5373"/>
      <c r="CS52" s="5373"/>
      <c r="CT52" s="3434"/>
      <c r="CU52" s="3434"/>
      <c r="CV52" s="3434"/>
      <c r="CW52" s="3434"/>
      <c r="CX52" s="3434"/>
      <c r="CY52" s="3434"/>
      <c r="CZ52" s="3434"/>
      <c r="DA52" s="3434"/>
      <c r="DB52" s="3434"/>
      <c r="DC52" s="3434"/>
      <c r="DD52" s="3434"/>
      <c r="DE52" s="3434"/>
      <c r="DF52" s="3434"/>
      <c r="DG52" s="3434"/>
      <c r="DH52" s="3434"/>
      <c r="DI52" s="3434"/>
      <c r="DJ52" s="3434"/>
      <c r="DK52" s="3434"/>
      <c r="DL52" s="3434"/>
      <c r="DM52" s="3434"/>
      <c r="DN52" s="3434"/>
      <c r="DO52" s="3434"/>
      <c r="DP52" s="3434"/>
      <c r="DR52" s="185"/>
      <c r="DS52" s="188"/>
      <c r="DT52" s="185"/>
      <c r="DU52" s="194"/>
      <c r="DV52" s="194"/>
      <c r="DW52" s="238"/>
      <c r="DX52" s="238"/>
      <c r="DY52" s="238"/>
      <c r="DZ52" s="238"/>
      <c r="EA52" s="238"/>
      <c r="EB52" s="238"/>
      <c r="EC52" s="238"/>
      <c r="ED52" s="238"/>
      <c r="EE52" s="238"/>
      <c r="EF52" s="238"/>
      <c r="EG52" s="238"/>
      <c r="EH52" s="239"/>
      <c r="EI52" s="239"/>
      <c r="EJ52" s="239"/>
      <c r="EK52" s="239"/>
      <c r="EL52" s="239"/>
      <c r="EM52" s="239"/>
      <c r="EN52" s="239"/>
      <c r="FC52" s="433" t="s">
        <v>2761</v>
      </c>
      <c r="GH52" s="3689"/>
      <c r="GI52" s="2617"/>
      <c r="GJ52" s="185">
        <v>4</v>
      </c>
      <c r="GK52" s="199">
        <f>IFERROR(INDEX(control_forbe[Status],MATCH(GJ52,control_forbe[position_forb],0)),0)</f>
        <v>0</v>
      </c>
      <c r="GL52" s="199">
        <f>IF(GK52=1,INDEX(control_forbe[blank_for],MATCH(GJ52,control_forbe[position_forb],0)),IF(GK52=0,0))</f>
        <v>0</v>
      </c>
      <c r="GM52" s="199">
        <f>IF(GK52=1,INDEX(control_forbe[blank_forsk],MATCH(GJ52,control_forbe[position_forb],0)),IF(GK52=0,0))</f>
        <v>0</v>
      </c>
      <c r="GN52" s="199">
        <f t="shared" si="36"/>
        <v>0</v>
      </c>
      <c r="GO52" s="199"/>
      <c r="HD52" s="2617"/>
      <c r="HE52" s="2617"/>
      <c r="HF52" s="2617"/>
      <c r="HG52" s="2617"/>
      <c r="HH52" s="3697" t="s">
        <v>515</v>
      </c>
      <c r="HI52" s="3698">
        <v>0</v>
      </c>
      <c r="HJ52" s="3698">
        <v>1</v>
      </c>
      <c r="HK52" s="3698">
        <v>1</v>
      </c>
      <c r="HL52" s="3698">
        <v>0</v>
      </c>
      <c r="HM52" s="3698">
        <v>0</v>
      </c>
      <c r="HN52" s="3698">
        <v>1</v>
      </c>
      <c r="HO52" s="3698">
        <v>1</v>
      </c>
      <c r="HP52" s="3698">
        <v>0</v>
      </c>
      <c r="HQ52" s="3698">
        <v>0</v>
      </c>
      <c r="HR52" s="3698">
        <v>0</v>
      </c>
      <c r="HS52" s="3698">
        <v>1</v>
      </c>
      <c r="HT52" s="3698">
        <v>1</v>
      </c>
      <c r="HU52" s="3698">
        <v>0</v>
      </c>
      <c r="HV52" s="3698">
        <v>0</v>
      </c>
      <c r="HW52" s="3698">
        <v>1</v>
      </c>
      <c r="HX52" s="3698">
        <v>1</v>
      </c>
      <c r="HY52" s="3698">
        <v>0</v>
      </c>
      <c r="HZ52" s="3699">
        <v>0</v>
      </c>
      <c r="IG52" s="2617"/>
      <c r="IH52" s="1765" t="s">
        <v>772</v>
      </c>
      <c r="II52" s="3402"/>
      <c r="IJ52" s="3402"/>
      <c r="IK52" s="3402"/>
      <c r="IL52" s="2617"/>
      <c r="IM52" s="2617"/>
      <c r="IN52" s="2617"/>
      <c r="IO52" s="2617"/>
      <c r="IP52" s="2617"/>
      <c r="IQ52" s="2617"/>
      <c r="IR52" s="2617"/>
      <c r="IS52" s="2617"/>
      <c r="IT52" s="2617"/>
      <c r="IU52" s="2617"/>
      <c r="IV52" s="2617"/>
      <c r="IW52" s="2617"/>
      <c r="IX52" s="2617"/>
      <c r="IY52" s="2617"/>
      <c r="IZ52" s="2617"/>
      <c r="JA52" s="2617"/>
      <c r="JB52" s="2617"/>
      <c r="JC52" s="2617"/>
      <c r="JD52" s="2617"/>
      <c r="JE52" s="2617"/>
      <c r="JF52" s="2617"/>
      <c r="JG52" s="2617"/>
      <c r="JH52" s="2617"/>
      <c r="JI52" s="2617"/>
      <c r="JJ52" s="2617"/>
      <c r="JK52" s="2617"/>
      <c r="JL52" s="2617"/>
      <c r="JM52" s="2617"/>
      <c r="JN52" s="2617"/>
      <c r="JO52" s="2617"/>
      <c r="JP52" s="2617"/>
      <c r="JQ52" s="2617"/>
      <c r="JR52" s="2617"/>
      <c r="JS52" s="2617"/>
      <c r="JT52" s="2617"/>
      <c r="JU52" s="2617"/>
      <c r="JV52" s="2617"/>
      <c r="JW52" s="2617"/>
      <c r="JX52" s="2617"/>
      <c r="KH52" s="2617"/>
      <c r="KI52" s="2617"/>
      <c r="KJ52" s="2617"/>
      <c r="KK52" s="2617"/>
      <c r="KL52" s="2617"/>
      <c r="KM52" s="2617"/>
      <c r="LE52" s="2617"/>
      <c r="LF52" s="2617"/>
      <c r="LG52" s="2617"/>
      <c r="LH52" s="2617"/>
      <c r="LI52" s="2617"/>
      <c r="LX52" s="2617"/>
      <c r="LY52" s="2617"/>
      <c r="LZ52" s="2617"/>
      <c r="MA52" s="2617"/>
      <c r="MB52" s="2617"/>
      <c r="MC52" s="2617"/>
      <c r="MD52" s="2617"/>
      <c r="ME52" s="2617"/>
      <c r="MF52" s="2617"/>
      <c r="MG52" s="2617"/>
      <c r="MH52" s="2617"/>
      <c r="MI52" s="2617"/>
      <c r="MJ52" s="2617"/>
      <c r="MK52" s="2617"/>
      <c r="ML52" s="2617"/>
      <c r="MM52" s="2617"/>
      <c r="MN52" s="2617"/>
      <c r="MO52" s="2617"/>
      <c r="MP52" s="2617"/>
      <c r="MQ52" s="2617"/>
      <c r="MR52" s="2617"/>
      <c r="MS52" s="2617"/>
      <c r="MT52" s="2617"/>
      <c r="MU52" s="2617"/>
      <c r="MV52" s="2617"/>
      <c r="MW52" s="2617"/>
      <c r="MX52" s="2617"/>
      <c r="MY52" s="2617"/>
      <c r="MZ52" s="2617"/>
      <c r="NA52" s="2617"/>
      <c r="NB52" s="2617"/>
      <c r="NC52" s="2617"/>
      <c r="ND52" s="2617"/>
      <c r="NE52" s="2617"/>
      <c r="NF52" s="2617"/>
      <c r="NG52" s="2617"/>
      <c r="NH52" s="2617"/>
      <c r="NI52" s="1567"/>
      <c r="NJ52" s="2617"/>
      <c r="NK52" s="2617"/>
      <c r="NL52" s="2617"/>
      <c r="NM52" s="2617"/>
      <c r="SB52" s="2617"/>
      <c r="SC52" s="2617"/>
      <c r="SD52" s="2617"/>
      <c r="SE52" s="2617"/>
      <c r="SF52" s="2617"/>
      <c r="SG52" s="2617"/>
      <c r="SH52" s="2617"/>
      <c r="SI52" s="2617"/>
      <c r="SJ52" s="2617"/>
      <c r="SK52" s="2617"/>
      <c r="SL52" s="2617"/>
      <c r="SM52" s="2617"/>
      <c r="SN52" s="2617"/>
      <c r="SO52" s="2617"/>
      <c r="SP52" s="2617"/>
      <c r="SQ52" s="2617"/>
      <c r="SR52" s="2617"/>
      <c r="SS52" s="2617"/>
      <c r="ST52" s="2617"/>
      <c r="SU52" s="2617"/>
      <c r="SV52" s="2617"/>
      <c r="SW52" s="2617"/>
      <c r="SX52" s="2617"/>
      <c r="SY52" s="2617"/>
    </row>
    <row r="53" spans="9:608" ht="24.95" customHeight="1" thickBot="1" x14ac:dyDescent="0.25">
      <c r="I53" s="5565" t="s">
        <v>648</v>
      </c>
      <c r="J53" s="372" t="s">
        <v>2401</v>
      </c>
      <c r="K53" s="372" t="s">
        <v>2402</v>
      </c>
      <c r="L53" s="372"/>
      <c r="M53" s="372"/>
      <c r="N53" s="372"/>
      <c r="O53" s="185"/>
      <c r="AL53" s="192" t="s">
        <v>234</v>
      </c>
      <c r="AO53" s="2617"/>
      <c r="AP53" s="2617"/>
      <c r="AQ53" s="2617"/>
      <c r="AR53" s="2617"/>
      <c r="AS53" s="2617"/>
      <c r="AT53" s="2617"/>
      <c r="AU53" s="2617"/>
      <c r="BB53" s="340" t="str">
        <f t="shared" si="35"/>
        <v>Stuff 2-1</v>
      </c>
      <c r="BC53" s="241">
        <f>Tunneldrift!B176</f>
        <v>0</v>
      </c>
      <c r="BV53" s="181"/>
      <c r="BW53" s="181"/>
      <c r="CM53" s="2622"/>
      <c r="CN53" s="5372"/>
      <c r="CO53" s="5372"/>
      <c r="CP53" s="5372"/>
      <c r="CQ53" s="5372"/>
      <c r="CR53" s="5372"/>
      <c r="CS53" s="5372"/>
      <c r="CT53" s="2617"/>
      <c r="CU53" s="2617"/>
      <c r="CV53" s="2617"/>
      <c r="CW53" s="2617"/>
      <c r="CX53" s="2617"/>
      <c r="CY53" s="2617"/>
      <c r="CZ53" s="2617"/>
      <c r="DA53" s="2617"/>
      <c r="DB53" s="2617"/>
      <c r="DC53" s="2617"/>
      <c r="DD53" s="2617"/>
      <c r="DE53" s="2617"/>
      <c r="DF53" s="2617"/>
      <c r="DG53" s="2617"/>
      <c r="DH53" s="2617"/>
      <c r="DI53" s="2617"/>
      <c r="DJ53" s="2617"/>
      <c r="DK53" s="2617"/>
      <c r="DL53" s="2617"/>
      <c r="DM53" s="2617"/>
      <c r="DN53" s="2617"/>
      <c r="DO53" s="2617"/>
      <c r="DP53" s="2617"/>
      <c r="DR53" s="340" t="str">
        <f>$QO$135</f>
        <v>Stuff 1-1</v>
      </c>
      <c r="DS53" s="188">
        <f>IF($BC$38=1,0,IF($BC$38=2,1,0))</f>
        <v>1</v>
      </c>
      <c r="DT53" s="185">
        <f>IF($BC$34&gt;0,1,0)</f>
        <v>1</v>
      </c>
      <c r="DU53" s="194">
        <f>IF($BC$38=2,INDEX(outputs_position[11],MATCH($BC$35,outputs_position[lopstuff],0)),0)</f>
        <v>1</v>
      </c>
      <c r="DV53" s="473" t="str">
        <f t="shared" ref="DV53:DV61" si="37">DR53</f>
        <v>Stuff 1-1</v>
      </c>
      <c r="DW53" s="238">
        <f>IFERROR((INDEX(inputs_foran[Sonderboring],MATCH($DU53,inputs_foran[Position],0))),0)</f>
        <v>0</v>
      </c>
      <c r="DX53" s="238">
        <f>IFERROR((INDEX(inputs_foran[Kjerneboring],MATCH($DU53,inputs_foran[Position],0))),0)</f>
        <v>0</v>
      </c>
      <c r="DY53" s="238">
        <f>IFERROR((INDEX(inputs_foran[Seismikk],MATCH($DU53,inputs_foran[Position],0))),0)</f>
        <v>0</v>
      </c>
      <c r="DZ53" s="238">
        <f>IFERROR((INDEX(inputs_foran[sp_Rigg],MATCH($DU53,inputs_foran[Position],0))),0)</f>
        <v>0</v>
      </c>
      <c r="EA53" s="238">
        <f>IFERROR((INDEX(inputs_foran[sp_Boring],MATCH($DU53,inputs_foran[Position],0))),0)</f>
        <v>0</v>
      </c>
      <c r="EB53" s="238">
        <f>IFERROR((INDEX(inputs_foran[Sp_Injeksjon],MATCH($DU53,inputs_foran[Position],0))),0)</f>
        <v>0</v>
      </c>
      <c r="EC53" s="238"/>
      <c r="ED53" s="238">
        <f>IFERROR((INDEX(inputs_foran[sy_Rigg],MATCH($DU53,inputs_foran[Position],0))),0)</f>
        <v>0</v>
      </c>
      <c r="EE53" s="238">
        <f>IFERROR((INDEX(inputs_foran[sy_Boring],MATCH($DU53,inputs_foran[Position],0))),0)</f>
        <v>0</v>
      </c>
      <c r="EF53" s="238">
        <f>IFERROR((INDEX(inputs_foran[sy_Injeksjon],MATCH($DU53,inputs_foran[Position],0))),0)</f>
        <v>0</v>
      </c>
      <c r="EG53" s="238"/>
      <c r="EH53" s="239"/>
      <c r="EI53" s="239"/>
      <c r="EJ53" s="239"/>
      <c r="EK53" s="239"/>
      <c r="EL53" s="239"/>
      <c r="EM53" s="239"/>
      <c r="EN53" s="239"/>
      <c r="ER53" s="330" t="s">
        <v>449</v>
      </c>
      <c r="ES53" s="331"/>
      <c r="ET53" s="331"/>
      <c r="EU53" s="331"/>
      <c r="FC53" s="6204" t="s">
        <v>2759</v>
      </c>
      <c r="FD53" s="6203">
        <v>10</v>
      </c>
      <c r="GH53" s="414"/>
      <c r="GJ53" s="185">
        <v>5</v>
      </c>
      <c r="GK53" s="199">
        <f>IFERROR(INDEX(control_forbe[Status],MATCH(GJ53,control_forbe[position_forb],0)),0)</f>
        <v>0</v>
      </c>
      <c r="GL53" s="199">
        <f>IF(GK53=1,INDEX(control_forbe[blank_for],MATCH(GJ53,control_forbe[position_forb],0)),IF(GK53=0,0))</f>
        <v>0</v>
      </c>
      <c r="GM53" s="199">
        <f>IF(GK53=1,INDEX(control_forbe[blank_forsk],MATCH(GJ53,control_forbe[position_forb],0)),IF(GK53=0,0))</f>
        <v>0</v>
      </c>
      <c r="GN53" s="199">
        <f t="shared" si="36"/>
        <v>0</v>
      </c>
      <c r="GO53" s="199"/>
      <c r="IH53" s="2617"/>
      <c r="II53" s="2617"/>
      <c r="IJ53" s="2617"/>
      <c r="IK53" s="2617"/>
      <c r="IL53" s="2617"/>
      <c r="IM53" s="2617"/>
      <c r="IN53" s="2617"/>
      <c r="IO53" s="2617"/>
      <c r="IP53" s="2617"/>
      <c r="IQ53" s="2617"/>
      <c r="IR53" s="2617"/>
      <c r="IS53" s="2617"/>
      <c r="IT53" s="2617"/>
      <c r="IU53" s="2617"/>
      <c r="IV53" s="2617"/>
      <c r="IW53" s="2617"/>
      <c r="IX53" s="2617"/>
      <c r="IY53" s="2617"/>
      <c r="IZ53" s="2617"/>
      <c r="JA53" s="2617"/>
      <c r="JB53" s="2617"/>
      <c r="JC53" s="2617"/>
      <c r="JD53" s="2617"/>
      <c r="JE53" s="2617"/>
      <c r="JF53" s="2617"/>
      <c r="JG53" s="2617"/>
      <c r="JH53" s="2617"/>
      <c r="JI53" s="2617"/>
      <c r="JJ53" s="2617"/>
      <c r="JK53" s="2617"/>
      <c r="JL53" s="2617"/>
      <c r="JM53" s="2617"/>
      <c r="JN53" s="2617"/>
      <c r="JO53" s="2617"/>
      <c r="JP53" s="2617"/>
      <c r="JQ53" s="2617"/>
      <c r="JR53" s="2617"/>
      <c r="JS53" s="2617"/>
      <c r="JT53" s="2617"/>
      <c r="JU53" s="2617"/>
      <c r="JV53" s="2617"/>
      <c r="JW53" s="2617"/>
      <c r="JX53" s="2617"/>
      <c r="KP53" s="5292" t="s">
        <v>2313</v>
      </c>
      <c r="KT53" s="5292" t="s">
        <v>2274</v>
      </c>
      <c r="LC53" s="5292" t="s">
        <v>2350</v>
      </c>
      <c r="LG53" s="5389"/>
      <c r="NI53" s="1567"/>
      <c r="NO53" s="429" t="s">
        <v>456</v>
      </c>
      <c r="OV53" s="183"/>
      <c r="OW53" s="183"/>
      <c r="OX53" s="183"/>
      <c r="OY53" s="183"/>
      <c r="PG53" s="184"/>
      <c r="PH53" s="184"/>
      <c r="PI53" s="184"/>
      <c r="PJ53" s="184"/>
      <c r="PK53" s="183"/>
      <c r="PL53" s="183"/>
      <c r="PM53" s="183"/>
      <c r="PQ53" s="265"/>
      <c r="PR53" s="265"/>
      <c r="PS53" s="265"/>
      <c r="PT53" s="265"/>
      <c r="QE53" s="2617"/>
      <c r="QF53" s="2617"/>
      <c r="QG53" s="2617"/>
      <c r="RO53" s="183"/>
      <c r="RQ53" s="183"/>
      <c r="RS53" s="210"/>
      <c r="RU53" s="210"/>
      <c r="SF53" s="2617"/>
      <c r="SG53" s="2617"/>
      <c r="SH53" s="2617"/>
      <c r="SI53" s="2617"/>
      <c r="SJ53" s="2617"/>
      <c r="SK53" s="2617"/>
      <c r="SL53" s="2617"/>
      <c r="SM53" s="2617"/>
      <c r="SN53" s="2617"/>
      <c r="SO53" s="2617"/>
      <c r="SP53" s="2617"/>
      <c r="SQ53" s="2617"/>
      <c r="SR53" s="2617"/>
      <c r="SS53" s="2617"/>
      <c r="ST53" s="2617"/>
      <c r="SU53" s="2617"/>
      <c r="SV53" s="2617"/>
      <c r="SW53" s="2617"/>
      <c r="SX53" s="2617"/>
      <c r="SY53" s="2617"/>
      <c r="WG53" s="265"/>
      <c r="WH53" s="265"/>
      <c r="WI53" s="265"/>
      <c r="WJ53" s="265"/>
    </row>
    <row r="54" spans="9:608" x14ac:dyDescent="0.2">
      <c r="I54" s="5564"/>
      <c r="J54" s="372"/>
      <c r="K54" s="274" t="s">
        <v>1513</v>
      </c>
      <c r="L54" s="274"/>
      <c r="M54" s="372" t="s">
        <v>30</v>
      </c>
      <c r="N54" s="372"/>
      <c r="O54" s="185"/>
      <c r="AO54" s="2617"/>
      <c r="AP54" s="2617"/>
      <c r="AQ54" s="2617"/>
      <c r="AR54" s="2617"/>
      <c r="AS54" s="2617"/>
      <c r="AT54" s="2617"/>
      <c r="AU54" s="2617"/>
      <c r="BB54" s="340" t="str">
        <f t="shared" si="35"/>
        <v>Stuff 2-2</v>
      </c>
      <c r="BC54" s="241">
        <f>Tunneldrift!D176</f>
        <v>0</v>
      </c>
      <c r="BV54" s="181"/>
      <c r="BW54" s="181"/>
      <c r="CM54" s="2622"/>
      <c r="CN54" s="5372"/>
      <c r="CO54" s="5372"/>
      <c r="CP54" s="5372"/>
      <c r="CQ54" s="5372"/>
      <c r="CR54" s="5372"/>
      <c r="CS54" s="5372"/>
      <c r="CT54" s="2617"/>
      <c r="CU54" s="2617"/>
      <c r="CV54" s="2617"/>
      <c r="CW54" s="2617"/>
      <c r="CX54" s="2617"/>
      <c r="CY54" s="2617"/>
      <c r="CZ54" s="2617"/>
      <c r="DA54" s="2617"/>
      <c r="DB54" s="2617"/>
      <c r="DC54" s="2617"/>
      <c r="DD54" s="2617"/>
      <c r="DE54" s="2617"/>
      <c r="DF54" s="2617"/>
      <c r="DG54" s="2617"/>
      <c r="DH54" s="2617"/>
      <c r="DI54" s="2617"/>
      <c r="DJ54" s="2617"/>
      <c r="DK54" s="2617"/>
      <c r="DL54" s="2617"/>
      <c r="DM54" s="2617"/>
      <c r="DN54" s="2617"/>
      <c r="DO54" s="2617"/>
      <c r="DP54" s="2617"/>
      <c r="DR54" s="340" t="str">
        <f>$QP$135</f>
        <v>Stuff 1-2</v>
      </c>
      <c r="DS54" s="188">
        <f>IF($BC$38=1,0,IF($BC$38=2,2,0))</f>
        <v>2</v>
      </c>
      <c r="DT54" s="185">
        <f>IF($BC$34&gt;1,1,0)</f>
        <v>0</v>
      </c>
      <c r="DU54" s="194">
        <f>IF($BC$38=2,INDEX(outputs_position[12],MATCH($BC$35,outputs_position[lopstuff],0)),0)</f>
        <v>0</v>
      </c>
      <c r="DV54" s="473" t="str">
        <f t="shared" si="37"/>
        <v>Stuff 1-2</v>
      </c>
      <c r="DW54" s="238">
        <f>IFERROR((INDEX(inputs_foran[Sonderboring],MATCH($DU54,inputs_foran[Position],0))),0)</f>
        <v>0</v>
      </c>
      <c r="DX54" s="238">
        <f>IFERROR((INDEX(inputs_foran[Kjerneboring],MATCH($DU54,inputs_foran[Position],0))),0)</f>
        <v>0</v>
      </c>
      <c r="DY54" s="238">
        <f>IFERROR((INDEX(inputs_foran[Seismikk],MATCH($DU54,inputs_foran[Position],0))),0)</f>
        <v>0</v>
      </c>
      <c r="DZ54" s="238">
        <f>IFERROR((INDEX(inputs_foran[sp_Rigg],MATCH($DU54,inputs_foran[Position],0))),0)</f>
        <v>0</v>
      </c>
      <c r="EA54" s="238">
        <f>IFERROR((INDEX(inputs_foran[sp_Boring],MATCH($DU54,inputs_foran[Position],0))),0)</f>
        <v>0</v>
      </c>
      <c r="EB54" s="238">
        <f>IFERROR((INDEX(inputs_foran[Sp_Injeksjon],MATCH($DU54,inputs_foran[Position],0))),0)</f>
        <v>0</v>
      </c>
      <c r="EC54" s="238"/>
      <c r="ED54" s="238">
        <f>IFERROR((INDEX(inputs_foran[sy_Rigg],MATCH($DU54,inputs_foran[Position],0))),0)</f>
        <v>0</v>
      </c>
      <c r="EE54" s="238">
        <f>IFERROR((INDEX(inputs_foran[sy_Boring],MATCH($DU54,inputs_foran[Position],0))),0)</f>
        <v>0</v>
      </c>
      <c r="EF54" s="238">
        <f>IFERROR((INDEX(inputs_foran[sy_Injeksjon],MATCH($DU54,inputs_foran[Position],0))),0)</f>
        <v>0</v>
      </c>
      <c r="EG54" s="238"/>
      <c r="EH54" s="239"/>
      <c r="EI54" s="239"/>
      <c r="EJ54" s="239"/>
      <c r="EK54" s="239"/>
      <c r="EL54" s="239"/>
      <c r="EM54" s="239"/>
      <c r="EN54" s="239"/>
      <c r="FM54" s="2617"/>
      <c r="FN54" s="2617"/>
      <c r="GH54" s="414"/>
      <c r="GJ54" s="185">
        <v>6</v>
      </c>
      <c r="GK54" s="199">
        <f>IFERROR(INDEX(control_forbe[Status],MATCH(GJ54,control_forbe[position_forb],0)),0)</f>
        <v>0</v>
      </c>
      <c r="GL54" s="199">
        <f>IF(GK54=1,INDEX(control_forbe[blank_for],MATCH(GJ54,control_forbe[position_forb],0)),IF(GK54=0,0))</f>
        <v>0</v>
      </c>
      <c r="GM54" s="199">
        <f>IF(GK54=1,INDEX(control_forbe[blank_forsk],MATCH(GJ54,control_forbe[position_forb],0)),IF(GK54=0,0))</f>
        <v>0</v>
      </c>
      <c r="GN54" s="199">
        <f t="shared" si="36"/>
        <v>0</v>
      </c>
      <c r="GO54" s="199"/>
      <c r="HH54" s="185">
        <v>0</v>
      </c>
      <c r="HI54" s="6245" t="s">
        <v>709</v>
      </c>
      <c r="IH54" s="2617"/>
      <c r="II54" s="2617"/>
      <c r="IJ54" s="2617"/>
      <c r="IK54" s="2617"/>
      <c r="IL54" s="2617"/>
      <c r="IM54" s="2617"/>
      <c r="IN54" s="2617"/>
      <c r="IO54" s="2617"/>
      <c r="IP54" s="2617"/>
      <c r="IQ54" s="2617"/>
      <c r="IR54" s="2617"/>
      <c r="IS54" s="2617"/>
      <c r="IT54" s="2617"/>
      <c r="IU54" s="2617"/>
      <c r="IV54" s="2617"/>
      <c r="IW54" s="2617"/>
      <c r="IX54" s="2617"/>
      <c r="IY54" s="2617"/>
      <c r="IZ54" s="2617"/>
      <c r="JA54" s="2617"/>
      <c r="JB54" s="2617"/>
      <c r="JC54" s="2617"/>
      <c r="JD54" s="2617"/>
      <c r="JE54" s="2617"/>
      <c r="JF54" s="2617"/>
      <c r="JG54" s="2617"/>
      <c r="JH54" s="2617"/>
      <c r="JI54" s="2617"/>
      <c r="JJ54" s="2617"/>
      <c r="JK54" s="2617"/>
      <c r="JL54" s="2617"/>
      <c r="JM54" s="2617"/>
      <c r="JN54" s="2617"/>
      <c r="JO54" s="2617"/>
      <c r="JP54" s="2617"/>
      <c r="JQ54" s="2617"/>
      <c r="JR54" s="2617"/>
      <c r="JS54" s="2617"/>
      <c r="JT54" s="2617"/>
      <c r="JU54" s="2617"/>
      <c r="JV54" s="2617"/>
      <c r="JW54" s="2617"/>
      <c r="JX54" s="2617"/>
      <c r="LX54" s="5268"/>
      <c r="NI54" s="1567"/>
      <c r="NN54" s="185" t="s">
        <v>661</v>
      </c>
      <c r="NO54" s="430">
        <f>10-(COUNTIF(position_stuff[Position],0))</f>
        <v>1</v>
      </c>
      <c r="OV54" s="183"/>
      <c r="OW54" s="183"/>
      <c r="OX54" s="183"/>
      <c r="OY54" s="183"/>
      <c r="PG54" s="184"/>
      <c r="PH54" s="184"/>
      <c r="PI54" s="184"/>
      <c r="PJ54" s="184"/>
      <c r="PK54" s="183"/>
      <c r="PL54" s="183"/>
      <c r="PM54" s="183"/>
      <c r="PO54" s="2617"/>
      <c r="PP54" s="2617"/>
      <c r="PQ54" s="2617"/>
      <c r="PR54" s="2617"/>
      <c r="PS54" s="2617"/>
      <c r="PT54" s="2617"/>
      <c r="PU54" s="2617"/>
      <c r="PV54" s="2617"/>
      <c r="PW54" s="2617"/>
      <c r="PX54" s="2617"/>
      <c r="PY54" s="2617"/>
      <c r="PZ54" s="2617"/>
      <c r="QA54" s="2617"/>
      <c r="QB54" s="2617"/>
      <c r="QC54" s="2617"/>
      <c r="QD54" s="2617"/>
      <c r="QE54" s="2617"/>
      <c r="QF54" s="2617"/>
      <c r="QG54" s="2617"/>
      <c r="RO54" s="183"/>
      <c r="RQ54" s="183"/>
      <c r="RS54" s="210"/>
      <c r="RU54" s="210"/>
      <c r="SF54" s="2617"/>
      <c r="SG54" s="2617"/>
      <c r="SH54" s="2617"/>
      <c r="SI54" s="2617"/>
      <c r="SJ54" s="2617"/>
      <c r="SK54" s="2617"/>
      <c r="SL54" s="2617"/>
      <c r="SM54" s="2617"/>
      <c r="SN54" s="2617"/>
      <c r="SO54" s="2617"/>
      <c r="SP54" s="2617"/>
      <c r="SQ54" s="2617"/>
      <c r="SR54" s="2617"/>
      <c r="SS54" s="2617"/>
      <c r="ST54" s="2617"/>
      <c r="SU54" s="2617"/>
      <c r="SV54" s="2617"/>
      <c r="SW54" s="2617"/>
      <c r="SX54" s="2617"/>
      <c r="SY54" s="2617"/>
      <c r="WG54" s="265"/>
      <c r="WH54" s="265"/>
      <c r="WI54" s="265"/>
      <c r="WJ54" s="265"/>
    </row>
    <row r="55" spans="9:608" x14ac:dyDescent="0.2">
      <c r="I55" s="5565"/>
      <c r="J55" s="372"/>
      <c r="K55" s="372"/>
      <c r="L55" s="372"/>
      <c r="M55" s="372" t="s">
        <v>2783</v>
      </c>
      <c r="N55" s="372"/>
      <c r="O55" s="185"/>
      <c r="AH55" s="2617"/>
      <c r="AI55" s="2617"/>
      <c r="AJ55" s="2617"/>
      <c r="AK55" s="2617"/>
      <c r="AL55" s="2617"/>
      <c r="AM55" s="2617"/>
      <c r="AN55" s="2617"/>
      <c r="AO55" s="2617"/>
      <c r="AP55" s="2617"/>
      <c r="AQ55" s="2617"/>
      <c r="AR55" s="2617"/>
      <c r="AS55" s="2617"/>
      <c r="AT55" s="2617"/>
      <c r="AU55" s="2617"/>
      <c r="BB55" s="340" t="str">
        <f t="shared" si="35"/>
        <v>Stuff 2-3</v>
      </c>
      <c r="BC55" s="241">
        <f>Tunneldrift!E176</f>
        <v>0</v>
      </c>
      <c r="BV55" s="181"/>
      <c r="BW55" s="181"/>
      <c r="CM55" s="2622"/>
      <c r="CN55" s="5372"/>
      <c r="CO55" s="5372"/>
      <c r="CP55" s="5372"/>
      <c r="CQ55" s="5372"/>
      <c r="CR55" s="5372"/>
      <c r="CS55" s="5372"/>
      <c r="CT55" s="2617"/>
      <c r="CU55" s="2617"/>
      <c r="CV55" s="2617"/>
      <c r="CW55" s="2617"/>
      <c r="CX55" s="2617"/>
      <c r="CY55" s="2617"/>
      <c r="CZ55" s="2617"/>
      <c r="DA55" s="2617"/>
      <c r="DB55" s="2617"/>
      <c r="DC55" s="2617"/>
      <c r="DD55" s="2617"/>
      <c r="DE55" s="2617"/>
      <c r="DF55" s="2617"/>
      <c r="DG55" s="2617"/>
      <c r="DH55" s="2617"/>
      <c r="DI55" s="2617"/>
      <c r="DJ55" s="2617"/>
      <c r="DK55" s="2617"/>
      <c r="DL55" s="2617"/>
      <c r="DM55" s="2617"/>
      <c r="DN55" s="2617"/>
      <c r="DO55" s="2617"/>
      <c r="DP55" s="2617"/>
      <c r="DR55" s="340" t="str">
        <f>$QQ$135</f>
        <v>Stuff 1-3</v>
      </c>
      <c r="DS55" s="188">
        <f>IF($BC$38=1,0,IF($BC$38=2,3,0))</f>
        <v>3</v>
      </c>
      <c r="DT55" s="185">
        <f>IF($BC$34&gt;2,1,0)</f>
        <v>0</v>
      </c>
      <c r="DU55" s="194">
        <f>IF($BC$38=2,INDEX(outputs_position[13],MATCH($BC$35,outputs_position[lopstuff],0)),0)</f>
        <v>0</v>
      </c>
      <c r="DV55" s="473" t="str">
        <f t="shared" si="37"/>
        <v>Stuff 1-3</v>
      </c>
      <c r="DW55" s="238">
        <f>IFERROR((INDEX(inputs_foran[Sonderboring],MATCH($DU55,inputs_foran[Position],0))),0)</f>
        <v>0</v>
      </c>
      <c r="DX55" s="238">
        <f>IFERROR((INDEX(inputs_foran[Kjerneboring],MATCH($DU55,inputs_foran[Position],0))),0)</f>
        <v>0</v>
      </c>
      <c r="DY55" s="238">
        <f>IFERROR((INDEX(inputs_foran[Seismikk],MATCH($DU55,inputs_foran[Position],0))),0)</f>
        <v>0</v>
      </c>
      <c r="DZ55" s="238">
        <f>IFERROR((INDEX(inputs_foran[sp_Rigg],MATCH($DU55,inputs_foran[Position],0))),0)</f>
        <v>0</v>
      </c>
      <c r="EA55" s="238">
        <f>IFERROR((INDEX(inputs_foran[sp_Boring],MATCH($DU55,inputs_foran[Position],0))),0)</f>
        <v>0</v>
      </c>
      <c r="EB55" s="238">
        <f>IFERROR((INDEX(inputs_foran[Sp_Injeksjon],MATCH($DU55,inputs_foran[Position],0))),0)</f>
        <v>0</v>
      </c>
      <c r="EC55" s="238"/>
      <c r="ED55" s="238">
        <f>IFERROR((INDEX(inputs_foran[sy_Rigg],MATCH($DU55,inputs_foran[Position],0))),0)</f>
        <v>0</v>
      </c>
      <c r="EE55" s="238">
        <f>IFERROR((INDEX(inputs_foran[sy_Boring],MATCH($DU55,inputs_foran[Position],0))),0)</f>
        <v>0</v>
      </c>
      <c r="EF55" s="238">
        <f>IFERROR((INDEX(inputs_foran[sy_Injeksjon],MATCH($DU55,inputs_foran[Position],0))),0)</f>
        <v>0</v>
      </c>
      <c r="EG55" s="238"/>
      <c r="EH55" s="239"/>
      <c r="EI55" s="239"/>
      <c r="EJ55" s="239"/>
      <c r="EK55" s="239"/>
      <c r="EL55" s="239"/>
      <c r="EM55" s="239"/>
      <c r="EN55" s="239"/>
      <c r="ES55" s="2617" t="s">
        <v>289</v>
      </c>
      <c r="FM55" s="2617"/>
      <c r="FN55" s="2617"/>
      <c r="GH55" s="414"/>
      <c r="GJ55" s="185">
        <v>7</v>
      </c>
      <c r="GK55" s="199">
        <f>IFERROR(INDEX(control_forbe[Status],MATCH(GJ55,control_forbe[position_forb],0)),0)</f>
        <v>0</v>
      </c>
      <c r="GL55" s="199">
        <f>IF(GK55=1,INDEX(control_forbe[blank_for],MATCH(GJ55,control_forbe[position_forb],0)),IF(GK55=0,0))</f>
        <v>0</v>
      </c>
      <c r="GM55" s="199">
        <f>IF(GK55=1,INDEX(control_forbe[blank_forsk],MATCH(GJ55,control_forbe[position_forb],0)),IF(GK55=0,0))</f>
        <v>0</v>
      </c>
      <c r="GN55" s="199">
        <f t="shared" si="36"/>
        <v>0</v>
      </c>
      <c r="GO55" s="199"/>
      <c r="HH55" s="185">
        <v>1</v>
      </c>
      <c r="HI55" s="372" t="s">
        <v>2786</v>
      </c>
      <c r="IH55" s="2617"/>
      <c r="II55" s="2617"/>
      <c r="IJ55" s="2617"/>
      <c r="IK55" s="2617"/>
      <c r="IL55" s="2617"/>
      <c r="IM55" s="2617"/>
      <c r="IN55" s="2617"/>
      <c r="IO55" s="2617"/>
      <c r="IP55" s="2617"/>
      <c r="IQ55" s="2617"/>
      <c r="IR55" s="2617"/>
      <c r="IS55" s="2617"/>
      <c r="IT55" s="2617"/>
      <c r="IU55" s="2617"/>
      <c r="IV55" s="2617"/>
      <c r="IW55" s="2617"/>
      <c r="IX55" s="2617"/>
      <c r="IY55" s="2617"/>
      <c r="IZ55" s="2617"/>
      <c r="JA55" s="2617"/>
      <c r="JB55" s="2617"/>
      <c r="JC55" s="2617"/>
      <c r="JD55" s="2617"/>
      <c r="JE55" s="2617"/>
      <c r="JF55" s="2617"/>
      <c r="JG55" s="2617"/>
      <c r="JH55" s="2617"/>
      <c r="JI55" s="2617"/>
      <c r="JJ55" s="2617"/>
      <c r="JK55" s="2617"/>
      <c r="JL55" s="2617"/>
      <c r="JM55" s="2617"/>
      <c r="JN55" s="2617"/>
      <c r="JO55" s="2617"/>
      <c r="JP55" s="2617"/>
      <c r="JQ55" s="2617"/>
      <c r="JR55" s="2617"/>
      <c r="JS55" s="2617"/>
      <c r="JT55" s="2617"/>
      <c r="JU55" s="2617"/>
      <c r="JV55" s="2617"/>
      <c r="JW55" s="2617"/>
      <c r="JX55" s="2617"/>
      <c r="LX55" s="5268"/>
      <c r="NI55" s="1567"/>
      <c r="OV55" s="183"/>
      <c r="OW55" s="183"/>
      <c r="OX55" s="183"/>
      <c r="OY55" s="183"/>
      <c r="PG55" s="184"/>
      <c r="PH55" s="184"/>
      <c r="PI55" s="184"/>
      <c r="PJ55" s="184"/>
      <c r="PK55" s="183"/>
      <c r="PL55" s="183"/>
      <c r="PM55" s="183"/>
      <c r="PO55" s="2617"/>
      <c r="PP55" s="2617"/>
      <c r="PQ55" s="2617"/>
      <c r="PR55" s="2617"/>
      <c r="PS55" s="2617"/>
      <c r="PT55" s="2617"/>
      <c r="PU55" s="2617"/>
      <c r="PV55" s="2617"/>
      <c r="PW55" s="2617"/>
      <c r="PX55" s="2617"/>
      <c r="PY55" s="2617"/>
      <c r="PZ55" s="2617"/>
      <c r="QA55" s="2617"/>
      <c r="QB55" s="2617"/>
      <c r="QC55" s="2617"/>
      <c r="QD55" s="2617"/>
      <c r="QE55" s="2617"/>
      <c r="QF55" s="2617"/>
      <c r="QG55" s="2617"/>
      <c r="RO55" s="183"/>
      <c r="RQ55" s="183"/>
      <c r="RS55" s="210"/>
      <c r="RU55" s="210"/>
      <c r="SF55" s="2617"/>
      <c r="SG55" s="2617"/>
      <c r="SH55" s="2617"/>
      <c r="SI55" s="2617"/>
      <c r="SJ55" s="2617"/>
      <c r="SK55" s="2617"/>
      <c r="SL55" s="2617"/>
      <c r="SM55" s="2617"/>
      <c r="SN55" s="2617"/>
      <c r="SO55" s="2617"/>
      <c r="SP55" s="2617"/>
      <c r="SQ55" s="2617"/>
      <c r="SR55" s="2617"/>
      <c r="SS55" s="2617"/>
      <c r="ST55" s="2617"/>
      <c r="SU55" s="2617"/>
      <c r="SV55" s="2617"/>
      <c r="SW55" s="2617"/>
      <c r="SX55" s="2617"/>
      <c r="SY55" s="2617"/>
      <c r="WG55" s="265"/>
      <c r="WH55" s="265"/>
      <c r="WI55" s="265"/>
      <c r="WJ55" s="265"/>
    </row>
    <row r="56" spans="9:608" ht="15.75" customHeight="1" x14ac:dyDescent="0.2">
      <c r="I56" s="5565"/>
      <c r="J56" s="372"/>
      <c r="K56" s="372" t="s">
        <v>2459</v>
      </c>
      <c r="L56" s="372"/>
      <c r="M56" s="372" t="s">
        <v>1210</v>
      </c>
      <c r="N56" s="372"/>
      <c r="O56" s="185"/>
      <c r="AH56" s="2617"/>
      <c r="AI56" s="2617"/>
      <c r="AJ56" s="2617"/>
      <c r="AK56" s="2617"/>
      <c r="AL56" s="2617"/>
      <c r="AM56" s="2617"/>
      <c r="AN56" s="2617"/>
      <c r="AO56" s="2617"/>
      <c r="AP56" s="2617"/>
      <c r="AQ56" s="2617"/>
      <c r="AR56" s="2617"/>
      <c r="AS56" s="2617"/>
      <c r="AT56" s="2617"/>
      <c r="AU56" s="2617"/>
      <c r="BB56" s="340" t="str">
        <f t="shared" si="35"/>
        <v>Stuff 2-4</v>
      </c>
      <c r="BC56" s="241">
        <f>Tunneldrift!F176</f>
        <v>0</v>
      </c>
      <c r="BV56" s="181"/>
      <c r="BW56" s="181"/>
      <c r="CM56" s="2622"/>
      <c r="CN56" s="5372"/>
      <c r="CO56" s="5372"/>
      <c r="CP56" s="5372"/>
      <c r="CQ56" s="5372"/>
      <c r="CR56" s="5372"/>
      <c r="CS56" s="5372"/>
      <c r="CT56" s="2617"/>
      <c r="CU56" s="2617"/>
      <c r="CV56" s="2617"/>
      <c r="CW56" s="2617"/>
      <c r="CX56" s="2617"/>
      <c r="CY56" s="2617"/>
      <c r="CZ56" s="2617"/>
      <c r="DA56" s="2617"/>
      <c r="DB56" s="2617"/>
      <c r="DC56" s="2617"/>
      <c r="DD56" s="2617"/>
      <c r="DE56" s="2617"/>
      <c r="DF56" s="2617"/>
      <c r="DG56" s="2617"/>
      <c r="DH56" s="2617"/>
      <c r="DI56" s="2617"/>
      <c r="DJ56" s="2617"/>
      <c r="DK56" s="2617"/>
      <c r="DL56" s="2617"/>
      <c r="DM56" s="2617"/>
      <c r="DN56" s="2617"/>
      <c r="DO56" s="2617"/>
      <c r="DP56" s="2617"/>
      <c r="DR56" s="340" t="str">
        <f>$QR$135</f>
        <v>Stuff 1-4</v>
      </c>
      <c r="DS56" s="188">
        <f>IF($BC$38=1,0,IF($BC$38=2,4,0))</f>
        <v>4</v>
      </c>
      <c r="DT56" s="185">
        <f>IF($BC$34&gt;3,1,0)</f>
        <v>0</v>
      </c>
      <c r="DU56" s="194">
        <f>IF($BC$38=2,INDEX(outputs_position[14],MATCH($BC$35,outputs_position[lopstuff],0)),0)</f>
        <v>0</v>
      </c>
      <c r="DV56" s="473" t="str">
        <f t="shared" si="37"/>
        <v>Stuff 1-4</v>
      </c>
      <c r="DW56" s="238">
        <f>IFERROR((INDEX(inputs_foran[Sonderboring],MATCH($DU56,inputs_foran[Position],0))),0)</f>
        <v>0</v>
      </c>
      <c r="DX56" s="238">
        <f>IFERROR((INDEX(inputs_foran[Kjerneboring],MATCH($DU56,inputs_foran[Position],0))),0)</f>
        <v>0</v>
      </c>
      <c r="DY56" s="238">
        <f>IFERROR((INDEX(inputs_foran[Seismikk],MATCH($DU56,inputs_foran[Position],0))),0)</f>
        <v>0</v>
      </c>
      <c r="DZ56" s="238">
        <f>IFERROR((INDEX(inputs_foran[sp_Rigg],MATCH($DU56,inputs_foran[Position],0))),0)</f>
        <v>0</v>
      </c>
      <c r="EA56" s="238">
        <f>IFERROR((INDEX(inputs_foran[sp_Boring],MATCH($DU56,inputs_foran[Position],0))),0)</f>
        <v>0</v>
      </c>
      <c r="EB56" s="238">
        <f>IFERROR((INDEX(inputs_foran[Sp_Injeksjon],MATCH($DU56,inputs_foran[Position],0))),0)</f>
        <v>0</v>
      </c>
      <c r="EC56" s="238"/>
      <c r="ED56" s="238">
        <f>IFERROR((INDEX(inputs_foran[sy_Rigg],MATCH($DU56,inputs_foran[Position],0))),0)</f>
        <v>0</v>
      </c>
      <c r="EE56" s="238">
        <f>IFERROR((INDEX(inputs_foran[sy_Boring],MATCH($DU56,inputs_foran[Position],0))),0)</f>
        <v>0</v>
      </c>
      <c r="EF56" s="238">
        <f>IFERROR((INDEX(inputs_foran[sy_Injeksjon],MATCH($DU56,inputs_foran[Position],0))),0)</f>
        <v>0</v>
      </c>
      <c r="EG56" s="238"/>
      <c r="EH56" s="239"/>
      <c r="EI56" s="239"/>
      <c r="EJ56" s="239"/>
      <c r="EK56" s="239"/>
      <c r="EL56" s="239"/>
      <c r="EM56" s="239"/>
      <c r="EN56" s="239"/>
      <c r="ES56" s="2617"/>
      <c r="FM56" s="2617"/>
      <c r="FN56" s="2617"/>
      <c r="GH56" s="414"/>
      <c r="GJ56" s="185">
        <v>8</v>
      </c>
      <c r="GK56" s="199">
        <f>IFERROR(INDEX(control_forbe[Status],MATCH(GJ56,control_forbe[position_forb],0)),0)</f>
        <v>0</v>
      </c>
      <c r="GL56" s="199">
        <f>IF(GK56=1,INDEX(control_forbe[blank_for],MATCH(GJ56,control_forbe[position_forb],0)),IF(GK56=0,0))</f>
        <v>0</v>
      </c>
      <c r="GM56" s="199">
        <f>IF(GK56=1,INDEX(control_forbe[blank_forsk],MATCH(GJ56,control_forbe[position_forb],0)),IF(GK56=0,0))</f>
        <v>0</v>
      </c>
      <c r="GN56" s="199">
        <f t="shared" si="36"/>
        <v>0</v>
      </c>
      <c r="GO56" s="199"/>
      <c r="IH56" s="1762" t="s">
        <v>408</v>
      </c>
      <c r="II56" s="1762" t="s">
        <v>618</v>
      </c>
      <c r="IJ56" s="1762" t="s">
        <v>2671</v>
      </c>
      <c r="IK56" s="1762" t="s">
        <v>2665</v>
      </c>
      <c r="IL56" s="1762" t="s">
        <v>2455</v>
      </c>
      <c r="IM56" s="1762" t="s">
        <v>1241</v>
      </c>
      <c r="IN56" s="1762" t="s">
        <v>999</v>
      </c>
      <c r="IO56" s="2637" t="s">
        <v>1586</v>
      </c>
      <c r="IP56" s="2637" t="s">
        <v>1587</v>
      </c>
      <c r="IQ56" s="2637" t="s">
        <v>1588</v>
      </c>
      <c r="IR56" s="2637" t="s">
        <v>739</v>
      </c>
      <c r="IS56" s="2637" t="s">
        <v>740</v>
      </c>
      <c r="IT56" s="2637" t="s">
        <v>741</v>
      </c>
      <c r="IU56" s="2637" t="s">
        <v>742</v>
      </c>
      <c r="IV56" s="2637" t="s">
        <v>743</v>
      </c>
      <c r="IW56" s="2637" t="s">
        <v>744</v>
      </c>
      <c r="IX56" s="2637" t="s">
        <v>745</v>
      </c>
      <c r="IY56" s="2637" t="s">
        <v>746</v>
      </c>
      <c r="IZ56" s="2637" t="s">
        <v>747</v>
      </c>
      <c r="JA56" s="2637" t="s">
        <v>748</v>
      </c>
      <c r="JB56" s="2637" t="s">
        <v>749</v>
      </c>
      <c r="JC56" s="2637" t="s">
        <v>750</v>
      </c>
      <c r="JD56" s="2637" t="s">
        <v>751</v>
      </c>
      <c r="JE56" s="2637" t="s">
        <v>752</v>
      </c>
      <c r="JF56" s="2637" t="s">
        <v>753</v>
      </c>
      <c r="JG56" s="2637" t="s">
        <v>754</v>
      </c>
      <c r="JH56" s="2637" t="s">
        <v>755</v>
      </c>
      <c r="JI56" s="2637" t="s">
        <v>756</v>
      </c>
      <c r="JJ56" s="2637" t="s">
        <v>757</v>
      </c>
      <c r="JK56" s="2637" t="s">
        <v>758</v>
      </c>
      <c r="JL56" s="2637" t="s">
        <v>759</v>
      </c>
      <c r="JM56" s="2638" t="s">
        <v>762</v>
      </c>
      <c r="JN56" s="2637" t="s">
        <v>257</v>
      </c>
      <c r="JO56" s="2637" t="s">
        <v>283</v>
      </c>
      <c r="JP56" s="2637" t="s">
        <v>284</v>
      </c>
      <c r="JQ56" s="2637" t="s">
        <v>804</v>
      </c>
      <c r="KO56" s="2617"/>
      <c r="KP56" s="2617"/>
      <c r="KQ56" s="2617"/>
      <c r="KR56" s="2617"/>
      <c r="KS56" s="2617"/>
      <c r="KT56" s="2617"/>
      <c r="KU56" s="2617"/>
      <c r="KV56" s="2617"/>
      <c r="KW56" s="2617"/>
      <c r="KX56" s="2617"/>
      <c r="KY56" s="2617"/>
      <c r="KZ56" s="2617"/>
      <c r="LA56" s="2617"/>
      <c r="LB56" s="2617"/>
      <c r="LC56" s="2617"/>
      <c r="LD56" s="2617"/>
      <c r="LX56" s="5268"/>
      <c r="NI56" s="1567"/>
      <c r="OQ56" s="183" t="s">
        <v>1151</v>
      </c>
      <c r="OV56" s="183"/>
      <c r="OW56" s="183"/>
      <c r="OX56" s="183"/>
      <c r="OY56" s="183"/>
      <c r="PG56" s="184"/>
      <c r="PH56" s="184"/>
      <c r="PI56" s="184"/>
      <c r="PJ56" s="184"/>
      <c r="PK56" s="183"/>
      <c r="PL56" s="183"/>
      <c r="PM56" s="183"/>
      <c r="PO56" s="2617"/>
      <c r="PP56" s="2617"/>
      <c r="PQ56" s="2617"/>
      <c r="PR56" s="2617"/>
      <c r="PS56" s="2617"/>
      <c r="PT56" s="2617"/>
      <c r="PU56" s="2617"/>
      <c r="PV56" s="2617"/>
      <c r="PW56" s="2617"/>
      <c r="PX56" s="2617"/>
      <c r="PY56" s="2617"/>
      <c r="PZ56" s="2617"/>
      <c r="QA56" s="2617"/>
      <c r="QB56" s="2617"/>
      <c r="QC56" s="2617"/>
      <c r="QD56" s="2617"/>
      <c r="QE56" s="2617"/>
      <c r="QF56" s="2617"/>
      <c r="QG56" s="2617"/>
      <c r="RO56" s="183"/>
      <c r="RQ56" s="183"/>
      <c r="RS56" s="210"/>
      <c r="RU56" s="210"/>
      <c r="SF56" s="2617"/>
      <c r="SG56" s="2617"/>
      <c r="SH56" s="2617"/>
      <c r="SI56" s="2617"/>
      <c r="SJ56" s="2617"/>
      <c r="SK56" s="2617"/>
      <c r="SL56" s="2617"/>
      <c r="SM56" s="2617"/>
      <c r="SN56" s="2617"/>
      <c r="SO56" s="2617"/>
      <c r="SP56" s="2617"/>
      <c r="SQ56" s="2617"/>
      <c r="SR56" s="2617"/>
      <c r="SS56" s="2617"/>
      <c r="ST56" s="2617"/>
      <c r="SU56" s="2617"/>
      <c r="SV56" s="2617"/>
      <c r="SW56" s="2617"/>
      <c r="SX56" s="2617"/>
      <c r="SY56" s="2617"/>
      <c r="WG56" s="265"/>
      <c r="WH56" s="265"/>
      <c r="WI56" s="265"/>
      <c r="WJ56" s="265"/>
    </row>
    <row r="57" spans="9:608" ht="15" customHeight="1" x14ac:dyDescent="0.2">
      <c r="I57" s="5565"/>
      <c r="J57" s="372"/>
      <c r="K57" s="372"/>
      <c r="L57" s="372"/>
      <c r="M57" s="372" t="s">
        <v>1211</v>
      </c>
      <c r="N57" s="372"/>
      <c r="O57" s="185"/>
      <c r="AH57" s="2617"/>
      <c r="AI57" s="2617"/>
      <c r="AJ57" s="2617"/>
      <c r="AK57" s="2617"/>
      <c r="AL57" s="2617"/>
      <c r="AM57" s="2617"/>
      <c r="AN57" s="2617"/>
      <c r="AO57" s="2617"/>
      <c r="AP57" s="2617"/>
      <c r="AQ57" s="2617"/>
      <c r="AR57" s="2617"/>
      <c r="AS57" s="2617"/>
      <c r="AT57" s="2617"/>
      <c r="AU57" s="2617"/>
      <c r="BB57" s="340" t="str">
        <f t="shared" si="35"/>
        <v>Tverrslag</v>
      </c>
      <c r="BC57" s="241">
        <f>Tunneldrift!AD95</f>
        <v>0</v>
      </c>
      <c r="CM57" s="2622"/>
      <c r="CN57" s="5372"/>
      <c r="CO57" s="5372"/>
      <c r="CP57" s="5372"/>
      <c r="CQ57" s="5372"/>
      <c r="CR57" s="5372"/>
      <c r="CS57" s="5372"/>
      <c r="CT57" s="2617"/>
      <c r="CU57" s="2617"/>
      <c r="CV57" s="2617"/>
      <c r="CW57" s="2617"/>
      <c r="CX57" s="2617"/>
      <c r="CY57" s="2617"/>
      <c r="CZ57" s="2617"/>
      <c r="DA57" s="2617"/>
      <c r="DB57" s="2617"/>
      <c r="DC57" s="2617"/>
      <c r="DD57" s="2617"/>
      <c r="DE57" s="2617"/>
      <c r="DF57" s="2617"/>
      <c r="DG57" s="2617"/>
      <c r="DH57" s="2617"/>
      <c r="DI57" s="2617"/>
      <c r="DJ57" s="2617"/>
      <c r="DK57" s="2617"/>
      <c r="DL57" s="2617"/>
      <c r="DM57" s="2617"/>
      <c r="DN57" s="2617"/>
      <c r="DO57" s="2617"/>
      <c r="DP57" s="2617"/>
      <c r="DR57" s="340" t="str">
        <f>$QS$135</f>
        <v>Stuff 2-1</v>
      </c>
      <c r="DS57" s="188">
        <f>IF($BC$38=1,0,IF($BC$38=2,5,0))</f>
        <v>5</v>
      </c>
      <c r="DT57" s="185">
        <f>IF($BC$34&gt;4,1,0)</f>
        <v>0</v>
      </c>
      <c r="DU57" s="194">
        <f>IF($BC$38=2,INDEX(outputs_position[21],MATCH($BC$35,outputs_position[lopstuff],0)),0)</f>
        <v>0</v>
      </c>
      <c r="DV57" s="473" t="str">
        <f t="shared" si="37"/>
        <v>Stuff 2-1</v>
      </c>
      <c r="DW57" s="238">
        <f>IFERROR((INDEX(inputs_foran[Sonderboring],MATCH($DU57,inputs_foran[Position],0))),0)</f>
        <v>0</v>
      </c>
      <c r="DX57" s="238">
        <f>IFERROR((INDEX(inputs_foran[Kjerneboring],MATCH($DU57,inputs_foran[Position],0))),0)</f>
        <v>0</v>
      </c>
      <c r="DY57" s="238">
        <f>IFERROR((INDEX(inputs_foran[Seismikk],MATCH($DU57,inputs_foran[Position],0))),0)</f>
        <v>0</v>
      </c>
      <c r="DZ57" s="238">
        <f>IFERROR((INDEX(inputs_foran[sp_Rigg],MATCH($DU57,inputs_foran[Position],0))),0)</f>
        <v>0</v>
      </c>
      <c r="EA57" s="238">
        <f>IFERROR((INDEX(inputs_foran[sp_Boring],MATCH($DU57,inputs_foran[Position],0))),0)</f>
        <v>0</v>
      </c>
      <c r="EB57" s="238">
        <f>IFERROR((INDEX(inputs_foran[Sp_Injeksjon],MATCH($DU57,inputs_foran[Position],0))),0)</f>
        <v>0</v>
      </c>
      <c r="EC57" s="238"/>
      <c r="ED57" s="238">
        <f>IFERROR((INDEX(inputs_foran[sy_Rigg],MATCH($DU57,inputs_foran[Position],0))),0)</f>
        <v>0</v>
      </c>
      <c r="EE57" s="238">
        <f>IFERROR((INDEX(inputs_foran[sy_Boring],MATCH($DU57,inputs_foran[Position],0))),0)</f>
        <v>0</v>
      </c>
      <c r="EF57" s="238">
        <f>IFERROR((INDEX(inputs_foran[sy_Injeksjon],MATCH($DU57,inputs_foran[Position],0))),0)</f>
        <v>0</v>
      </c>
      <c r="EG57" s="238"/>
      <c r="EH57" s="239"/>
      <c r="EI57" s="239"/>
      <c r="EJ57" s="239"/>
      <c r="EK57" s="239"/>
      <c r="EL57" s="239"/>
      <c r="EM57" s="239"/>
      <c r="EN57" s="239"/>
      <c r="ER57" s="249" t="s">
        <v>285</v>
      </c>
      <c r="ES57" s="247" t="s">
        <v>101</v>
      </c>
      <c r="ET57" s="247" t="s">
        <v>363</v>
      </c>
      <c r="EU57" s="247" t="s">
        <v>364</v>
      </c>
      <c r="EV57" s="247" t="s">
        <v>365</v>
      </c>
      <c r="EW57" s="247" t="s">
        <v>366</v>
      </c>
      <c r="EX57" s="247" t="s">
        <v>367</v>
      </c>
      <c r="EY57" s="247" t="s">
        <v>368</v>
      </c>
      <c r="EZ57" s="247" t="s">
        <v>2760</v>
      </c>
      <c r="FA57" s="315" t="s">
        <v>2762</v>
      </c>
      <c r="FB57" s="247" t="s">
        <v>1598</v>
      </c>
      <c r="FC57" s="247" t="s">
        <v>1602</v>
      </c>
      <c r="FD57" s="247" t="s">
        <v>2757</v>
      </c>
      <c r="FE57" s="247" t="s">
        <v>2758</v>
      </c>
      <c r="FM57" s="2617"/>
      <c r="FN57" s="2617"/>
      <c r="GH57" s="414"/>
      <c r="GJ57" s="185">
        <v>9</v>
      </c>
      <c r="GK57" s="199">
        <f>IFERROR(INDEX(control_forbe[Status],MATCH(GJ57,control_forbe[position_forb],0)),0)</f>
        <v>0</v>
      </c>
      <c r="GL57" s="199">
        <f>IF(GK57=1,INDEX(control_forbe[blank_for],MATCH(GJ57,control_forbe[position_forb],0)),IF(GK57=0,0))</f>
        <v>0</v>
      </c>
      <c r="GM57" s="199">
        <f>IF(GK57=1,INDEX(control_forbe[blank_forsk],MATCH(GJ57,control_forbe[position_forb],0)),IF(GK57=0,0))</f>
        <v>0</v>
      </c>
      <c r="GN57" s="199">
        <f t="shared" si="36"/>
        <v>0</v>
      </c>
      <c r="GO57" s="199"/>
      <c r="IH57" s="1761">
        <v>1</v>
      </c>
      <c r="II57" s="1761"/>
      <c r="IJ57" s="1761" t="b">
        <f>IJ18</f>
        <v>1</v>
      </c>
      <c r="IK57" s="5944" t="b">
        <f>IF(AND(II18=2,IJ18=FALSE),IK18)</f>
        <v>0</v>
      </c>
      <c r="IL57" s="1761"/>
      <c r="IM57" s="1761"/>
      <c r="IN57" s="1761"/>
      <c r="IO57" s="1811" t="b">
        <f t="shared" ref="IO57:IO65" si="38">IF(IN18="Ja",IO18)</f>
        <v>0</v>
      </c>
      <c r="IP57" s="3700" t="b">
        <f>IF(IO18=1,IP18,IF(IO18=3,_List!$EG$7))</f>
        <v>0</v>
      </c>
      <c r="IQ57" s="1811" t="b">
        <f t="shared" ref="IQ57:IQ65" si="39">IF(IP18="Ja",IQ18)</f>
        <v>0</v>
      </c>
      <c r="IR57" s="1811"/>
      <c r="IS57" s="3700" t="b">
        <f t="shared" ref="IS57:IS65" si="40">IF(AND($IO18=2,IR18="Ja"),IS18)</f>
        <v>0</v>
      </c>
      <c r="IT57" s="1811" t="b">
        <f t="shared" ref="IT57:IU65" si="41">IF(IS18="Ja",IT18)</f>
        <v>0</v>
      </c>
      <c r="IU57" s="1811" t="b">
        <f t="shared" si="41"/>
        <v>0</v>
      </c>
      <c r="IV57" s="3700" t="b">
        <f t="shared" ref="IV57:IV65" si="42">IF(AND($IO18=2,IU18="Ja"),IV18)</f>
        <v>0</v>
      </c>
      <c r="IW57" s="1811" t="b">
        <f t="shared" ref="IW57:IX65" si="43">IF(IV18="Ja",IW18)</f>
        <v>0</v>
      </c>
      <c r="IX57" s="1811" t="b">
        <f t="shared" si="43"/>
        <v>0</v>
      </c>
      <c r="IY57" s="3700" t="b">
        <f t="shared" ref="IY57:IY65" si="44">IF(AND($IO18=2,IX18="Ja"),IY18)</f>
        <v>0</v>
      </c>
      <c r="IZ57" s="1811" t="b">
        <f t="shared" ref="IZ57:JA65" si="45">IF(IY18="Ja",IZ18)</f>
        <v>0</v>
      </c>
      <c r="JA57" s="1811" t="b">
        <f t="shared" si="45"/>
        <v>0</v>
      </c>
      <c r="JB57" s="3700" t="b">
        <f t="shared" ref="JB57:JB65" si="46">IF(AND($IO18=2,JA18="Ja"),JB18)</f>
        <v>0</v>
      </c>
      <c r="JC57" s="1811" t="b">
        <f t="shared" ref="JC57:JD65" si="47">IF(JB18="Ja",JC18)</f>
        <v>0</v>
      </c>
      <c r="JD57" s="1811" t="b">
        <f t="shared" si="47"/>
        <v>0</v>
      </c>
      <c r="JE57" s="3700" t="b">
        <f t="shared" ref="JE57:JE65" si="48">IF(AND($IO18=2,JD18="Ja"),JE18)</f>
        <v>0</v>
      </c>
      <c r="JF57" s="1811" t="b">
        <f t="shared" ref="JF57:JG65" si="49">IF(JE18="Ja",JF18)</f>
        <v>0</v>
      </c>
      <c r="JG57" s="1811" t="b">
        <f t="shared" si="49"/>
        <v>0</v>
      </c>
      <c r="JH57" s="3700" t="b">
        <f t="shared" ref="JH57:JH65" si="50">IF(AND($IO18=2,JG18="Ja"),JH18)</f>
        <v>0</v>
      </c>
      <c r="JI57" s="1811" t="b">
        <f t="shared" ref="JI57:JJ65" si="51">IF(JH18="Ja",JI18)</f>
        <v>0</v>
      </c>
      <c r="JJ57" s="1811" t="b">
        <f t="shared" si="51"/>
        <v>0</v>
      </c>
      <c r="JK57" s="3700" t="b">
        <f t="shared" ref="JK57:JK65" si="52">IF(AND($IO18=2,JJ18="Ja"),JK18)</f>
        <v>0</v>
      </c>
      <c r="JL57" s="1811" t="b">
        <f t="shared" ref="JL57:JL65" si="53">IF(JK18="Ja",JL18)</f>
        <v>0</v>
      </c>
      <c r="JM57" s="2633" t="str">
        <f>IF(JW38=1,_List!$EG$7,IFERROR(outputs_just[[#This Row],[general_tid]]+outputs_just[[#This Row],[geo_tid]]+outputs_just[[#This Row],[stig_tid]]+outputs_just[[#This Row],[arb_tid]]+outputs_just[[#This Row],[spreng_tid]]+outputs_just[[#This Row],[skyte_tid]]+outputs_just[[#This Row],[støy_tid]]+outputs_just[[#This Row],[ann_tid]],0))</f>
        <v>Ingen</v>
      </c>
      <c r="JN57" s="1812" t="str">
        <f>IFERROR((INDEX(oppsum_position[Name],MATCH(outputs_just[[#This Row],[position]],oppsum_position[Position],0))),"")</f>
        <v>Stuff 1-1</v>
      </c>
      <c r="JO57" s="1813">
        <v>1</v>
      </c>
      <c r="JP57" s="1813">
        <f>IF($BC$34&gt;0,1,0)</f>
        <v>1</v>
      </c>
      <c r="JQ57" s="1813">
        <f>INDEX(outputs_position[11],MATCH($BC$35,outputs_position[lopstuff],0))</f>
        <v>1</v>
      </c>
      <c r="KO57" s="443" t="s">
        <v>2271</v>
      </c>
      <c r="KP57" s="443" t="s">
        <v>2314</v>
      </c>
      <c r="KQ57" s="447" t="s">
        <v>2285</v>
      </c>
      <c r="KR57" s="447" t="s">
        <v>2321</v>
      </c>
      <c r="KS57" s="447" t="s">
        <v>2283</v>
      </c>
      <c r="KT57" s="447" t="s">
        <v>2284</v>
      </c>
      <c r="KU57" s="447" t="s">
        <v>2277</v>
      </c>
      <c r="KV57" s="447" t="s">
        <v>2351</v>
      </c>
      <c r="KW57" s="447" t="s">
        <v>2272</v>
      </c>
      <c r="KX57" s="447" t="s">
        <v>2289</v>
      </c>
      <c r="KY57" s="447" t="s">
        <v>2281</v>
      </c>
      <c r="KZ57" s="447" t="s">
        <v>2387</v>
      </c>
      <c r="LA57" s="447" t="s">
        <v>2320</v>
      </c>
      <c r="LB57" s="447" t="s">
        <v>2322</v>
      </c>
      <c r="LC57" s="5286" t="s">
        <v>2282</v>
      </c>
      <c r="LD57" s="447" t="s">
        <v>2286</v>
      </c>
      <c r="LE57" s="3836" t="s">
        <v>2287</v>
      </c>
      <c r="LF57" s="1578" t="s">
        <v>2288</v>
      </c>
      <c r="LG57" s="206" t="s">
        <v>2349</v>
      </c>
      <c r="LX57" s="5268"/>
      <c r="NI57" s="1567"/>
      <c r="OV57" s="183"/>
      <c r="OW57" s="183"/>
      <c r="OX57" s="183"/>
      <c r="OY57" s="183"/>
      <c r="OZ57" s="183"/>
      <c r="PA57" s="183"/>
      <c r="PB57" s="183"/>
      <c r="PC57" s="183"/>
      <c r="PD57" s="183"/>
      <c r="PE57" s="183"/>
      <c r="PF57" s="183"/>
      <c r="PH57" s="184"/>
      <c r="PI57" s="184"/>
      <c r="PJ57" s="184"/>
      <c r="PK57" s="183"/>
      <c r="PL57" s="183"/>
      <c r="PM57" s="183"/>
      <c r="PO57" s="2617"/>
      <c r="PP57" s="2617"/>
      <c r="PQ57" s="2617"/>
      <c r="PR57" s="2617"/>
      <c r="PS57" s="2617"/>
      <c r="PT57" s="2617"/>
      <c r="PU57" s="2617"/>
      <c r="PV57" s="2617"/>
      <c r="PW57" s="2617"/>
      <c r="PX57" s="2617"/>
      <c r="PY57" s="2617"/>
      <c r="PZ57" s="2617"/>
      <c r="QA57" s="2617"/>
      <c r="QB57" s="2617"/>
      <c r="QC57" s="2617"/>
      <c r="QD57" s="2617"/>
      <c r="QE57" s="2617"/>
      <c r="QF57" s="2617"/>
      <c r="QG57" s="2617"/>
      <c r="RO57" s="183"/>
      <c r="RQ57" s="183"/>
      <c r="RS57" s="210"/>
      <c r="RU57" s="210"/>
      <c r="SF57" s="2617"/>
      <c r="SG57" s="2617"/>
      <c r="SH57" s="2617"/>
      <c r="SI57" s="2617"/>
      <c r="SJ57" s="2617"/>
      <c r="SK57" s="2617"/>
      <c r="SL57" s="2617"/>
      <c r="SM57" s="2617"/>
      <c r="SN57" s="2617"/>
      <c r="SO57" s="2617"/>
      <c r="SP57" s="2617"/>
      <c r="SQ57" s="2617"/>
      <c r="SR57" s="2617"/>
      <c r="SS57" s="2617"/>
      <c r="ST57" s="2617"/>
      <c r="SU57" s="2617"/>
      <c r="SV57" s="2617"/>
      <c r="SW57" s="2617"/>
      <c r="SX57" s="2617"/>
      <c r="SY57" s="2617"/>
      <c r="UK57" s="183"/>
      <c r="UL57" s="183"/>
      <c r="UM57" s="183"/>
      <c r="UN57" s="183"/>
      <c r="UO57" s="183"/>
      <c r="UP57" s="2617"/>
      <c r="UQ57" s="183"/>
      <c r="WG57" s="265"/>
      <c r="WH57" s="265"/>
      <c r="WI57" s="265"/>
      <c r="WJ57" s="265"/>
    </row>
    <row r="58" spans="9:608" x14ac:dyDescent="0.2">
      <c r="I58" s="5565"/>
      <c r="J58" s="185"/>
      <c r="K58" s="185"/>
      <c r="L58" s="372"/>
      <c r="M58" s="372" t="s">
        <v>2495</v>
      </c>
      <c r="N58" s="372"/>
      <c r="O58" s="185"/>
      <c r="AH58" s="2617"/>
      <c r="AI58" s="2617"/>
      <c r="AJ58" s="2617"/>
      <c r="AK58" s="2617"/>
      <c r="AL58" s="2617"/>
      <c r="AM58" s="2617"/>
      <c r="AN58" s="2617"/>
      <c r="AO58" s="2617"/>
      <c r="AP58" s="2617"/>
      <c r="AQ58" s="2617"/>
      <c r="AR58" s="2617"/>
      <c r="AS58" s="2617"/>
      <c r="AT58" s="2617"/>
      <c r="AU58" s="2617"/>
      <c r="CM58" s="2622"/>
      <c r="CN58" s="5372"/>
      <c r="CO58" s="5372"/>
      <c r="CP58" s="5372"/>
      <c r="CQ58" s="5372"/>
      <c r="CR58" s="5372"/>
      <c r="CS58" s="5372"/>
      <c r="CT58" s="2617"/>
      <c r="CU58" s="2617"/>
      <c r="CV58" s="2617"/>
      <c r="CW58" s="2617"/>
      <c r="CX58" s="2617"/>
      <c r="CY58" s="2617"/>
      <c r="CZ58" s="2617"/>
      <c r="DA58" s="2617"/>
      <c r="DB58" s="2617"/>
      <c r="DC58" s="2617"/>
      <c r="DD58" s="2617"/>
      <c r="DE58" s="2617"/>
      <c r="DF58" s="2617"/>
      <c r="DG58" s="2617"/>
      <c r="DH58" s="2617"/>
      <c r="DI58" s="2617"/>
      <c r="DJ58" s="2617"/>
      <c r="DK58" s="2617"/>
      <c r="DL58" s="2617"/>
      <c r="DM58" s="2617"/>
      <c r="DN58" s="2617"/>
      <c r="DO58" s="2617"/>
      <c r="DP58" s="2617"/>
      <c r="DR58" s="340" t="str">
        <f>$QT$135</f>
        <v>Stuff 2-2</v>
      </c>
      <c r="DS58" s="188">
        <f>IF($BC$38=1,0,IF($BC$38=2,6,0))</f>
        <v>6</v>
      </c>
      <c r="DT58" s="185">
        <f>IF($BC$34&gt;5,1,0)</f>
        <v>0</v>
      </c>
      <c r="DU58" s="194">
        <f>IF($BC$38=2,INDEX(outputs_position[22],MATCH($BC$35,outputs_position[lopstuff],0)),0)</f>
        <v>0</v>
      </c>
      <c r="DV58" s="473" t="str">
        <f t="shared" si="37"/>
        <v>Stuff 2-2</v>
      </c>
      <c r="DW58" s="238">
        <f>IFERROR((INDEX(inputs_foran[Sonderboring],MATCH($DU58,inputs_foran[Position],0))),0)</f>
        <v>0</v>
      </c>
      <c r="DX58" s="238">
        <f>IFERROR((INDEX(inputs_foran[Kjerneboring],MATCH($DU58,inputs_foran[Position],0))),0)</f>
        <v>0</v>
      </c>
      <c r="DY58" s="238">
        <f>IFERROR((INDEX(inputs_foran[Seismikk],MATCH($DU58,inputs_foran[Position],0))),0)</f>
        <v>0</v>
      </c>
      <c r="DZ58" s="238">
        <f>IFERROR((INDEX(inputs_foran[sp_Rigg],MATCH($DU58,inputs_foran[Position],0))),0)</f>
        <v>0</v>
      </c>
      <c r="EA58" s="238">
        <f>IFERROR((INDEX(inputs_foran[sp_Boring],MATCH($DU58,inputs_foran[Position],0))),0)</f>
        <v>0</v>
      </c>
      <c r="EB58" s="238">
        <f>IFERROR((INDEX(inputs_foran[Sp_Injeksjon],MATCH($DU58,inputs_foran[Position],0))),0)</f>
        <v>0</v>
      </c>
      <c r="EC58" s="238"/>
      <c r="ED58" s="238">
        <f>IFERROR((INDEX(inputs_foran[sy_Rigg],MATCH($DU58,inputs_foran[Position],0))),0)</f>
        <v>0</v>
      </c>
      <c r="EE58" s="238">
        <f>IFERROR((INDEX(inputs_foran[sy_Boring],MATCH($DU58,inputs_foran[Position],0))),0)</f>
        <v>0</v>
      </c>
      <c r="EF58" s="238">
        <f>IFERROR((INDEX(inputs_foran[sy_Injeksjon],MATCH($DU58,inputs_foran[Position],0))),0)</f>
        <v>0</v>
      </c>
      <c r="EG58" s="238"/>
      <c r="EH58" s="239"/>
      <c r="EI58" s="239"/>
      <c r="EJ58" s="239"/>
      <c r="EK58" s="239"/>
      <c r="EL58" s="239"/>
      <c r="EM58" s="239"/>
      <c r="EN58" s="239"/>
      <c r="ER58" s="235">
        <v>1</v>
      </c>
      <c r="ES58" s="185">
        <f>'Inn stabilitet'!$X$34</f>
        <v>0</v>
      </c>
      <c r="ET58" s="185">
        <f>'Inn stabilitet'!$X$43</f>
        <v>0</v>
      </c>
      <c r="EU58" s="185">
        <f>'Inn stabilitet'!$X$45</f>
        <v>0</v>
      </c>
      <c r="EV58" s="185">
        <f>'Inn stabilitet'!$X$52</f>
        <v>0</v>
      </c>
      <c r="EW58" s="185">
        <f>'Inn stabilitet'!$X$54</f>
        <v>0</v>
      </c>
      <c r="EX58" s="185">
        <f>'Inn stabilitet'!$X$65</f>
        <v>0</v>
      </c>
      <c r="EY58" s="185">
        <f>'Inn stabilitet'!$X$72</f>
        <v>0</v>
      </c>
      <c r="EZ58" s="185">
        <f>'Inn stabilitet'!$X$79</f>
        <v>0</v>
      </c>
      <c r="FA58" s="193"/>
      <c r="FB58" s="185">
        <f>'Inn stabilitet'!$X$36</f>
        <v>0</v>
      </c>
      <c r="FC58" s="247">
        <f>'Inn stabilitet'!$X$56</f>
        <v>0</v>
      </c>
      <c r="FD58" s="247">
        <f>IF(inputs_stab[[#This Row],[sik_samlet]]&gt;$FD$53,$FD$53,IF(inputs_stab[[#This Row],[sik_samlet]]&lt;=$FD$53,inputs_stab[[#This Row],[sik_samlet]],0))</f>
        <v>0</v>
      </c>
      <c r="FE58" s="247">
        <f>IF(inputs_stab[[#This Row],[sik_samlet]]&gt;$FD$53,inputs_stab[[#This Row],[sik_samlet]]-$FD$53,0)</f>
        <v>0</v>
      </c>
      <c r="FM58" s="2617"/>
      <c r="FN58" s="2617"/>
      <c r="GH58" s="414"/>
      <c r="GJ58" s="185">
        <v>10</v>
      </c>
      <c r="GK58" s="199">
        <f>IFERROR(INDEX(control_forbe[Status],MATCH(GJ58,control_forbe[position_forb],0)),0)</f>
        <v>0</v>
      </c>
      <c r="GL58" s="199">
        <f>IF(GK58=1,INDEX(control_forbe[blank_for],MATCH(GJ58,control_forbe[position_forb],0)),IF(GK58=0,0))</f>
        <v>0</v>
      </c>
      <c r="GM58" s="199">
        <f>IF(GK58=1,INDEX(control_forbe[blank_forsk],MATCH(GJ58,control_forbe[position_forb],0)),IF(GK58=0,0))</f>
        <v>0</v>
      </c>
      <c r="GN58" s="199">
        <f t="shared" si="36"/>
        <v>0</v>
      </c>
      <c r="GO58" s="199"/>
      <c r="IH58" s="1761">
        <v>2</v>
      </c>
      <c r="II58" s="1761"/>
      <c r="IJ58" s="1761" t="b">
        <f t="shared" ref="IJ58:IJ65" si="54">IJ19</f>
        <v>1</v>
      </c>
      <c r="IK58" s="5944" t="e">
        <f t="shared" ref="IK58:IK65" si="55">IF(AND(II19=2,IJ19=FALSE),IK19)</f>
        <v>#N/A</v>
      </c>
      <c r="IL58" s="1761"/>
      <c r="IM58" s="1761"/>
      <c r="IN58" s="1761"/>
      <c r="IO58" s="1811" t="b">
        <f t="shared" si="38"/>
        <v>0</v>
      </c>
      <c r="IP58" s="3700" t="b">
        <f>IF(IO19=1,IP19,IF(IO19=3,_List!$EG$7))</f>
        <v>0</v>
      </c>
      <c r="IQ58" s="1811" t="b">
        <f t="shared" si="39"/>
        <v>0</v>
      </c>
      <c r="IR58" s="1811"/>
      <c r="IS58" s="3700" t="b">
        <f t="shared" si="40"/>
        <v>0</v>
      </c>
      <c r="IT58" s="1811" t="b">
        <f t="shared" si="41"/>
        <v>0</v>
      </c>
      <c r="IU58" s="1811" t="b">
        <f t="shared" si="41"/>
        <v>0</v>
      </c>
      <c r="IV58" s="3700" t="b">
        <f t="shared" si="42"/>
        <v>0</v>
      </c>
      <c r="IW58" s="1811" t="b">
        <f t="shared" si="43"/>
        <v>0</v>
      </c>
      <c r="IX58" s="1811" t="b">
        <f t="shared" si="43"/>
        <v>0</v>
      </c>
      <c r="IY58" s="3700" t="b">
        <f t="shared" si="44"/>
        <v>0</v>
      </c>
      <c r="IZ58" s="1811" t="b">
        <f t="shared" si="45"/>
        <v>0</v>
      </c>
      <c r="JA58" s="1811" t="b">
        <f t="shared" si="45"/>
        <v>0</v>
      </c>
      <c r="JB58" s="3700" t="b">
        <f t="shared" si="46"/>
        <v>0</v>
      </c>
      <c r="JC58" s="1811" t="b">
        <f t="shared" si="47"/>
        <v>0</v>
      </c>
      <c r="JD58" s="1811" t="b">
        <f t="shared" si="47"/>
        <v>0</v>
      </c>
      <c r="JE58" s="3700" t="b">
        <f t="shared" si="48"/>
        <v>0</v>
      </c>
      <c r="JF58" s="1811" t="b">
        <f t="shared" si="49"/>
        <v>0</v>
      </c>
      <c r="JG58" s="1811" t="b">
        <f t="shared" si="49"/>
        <v>0</v>
      </c>
      <c r="JH58" s="3700" t="b">
        <f t="shared" si="50"/>
        <v>0</v>
      </c>
      <c r="JI58" s="1811" t="b">
        <f t="shared" si="51"/>
        <v>0</v>
      </c>
      <c r="JJ58" s="1811" t="b">
        <f t="shared" si="51"/>
        <v>0</v>
      </c>
      <c r="JK58" s="3700" t="b">
        <f t="shared" si="52"/>
        <v>0</v>
      </c>
      <c r="JL58" s="1811" t="b">
        <f t="shared" si="53"/>
        <v>0</v>
      </c>
      <c r="JM58" s="2633" t="str">
        <f>IF(JW39=1,_List!$EG$7,IFERROR(outputs_just[[#This Row],[general_tid]]+outputs_just[[#This Row],[geo_tid]]+outputs_just[[#This Row],[stig_tid]]+outputs_just[[#This Row],[arb_tid]]+outputs_just[[#This Row],[spreng_tid]]+outputs_just[[#This Row],[skyte_tid]]+outputs_just[[#This Row],[støy_tid]]+outputs_just[[#This Row],[ann_tid]],0))</f>
        <v>Ingen</v>
      </c>
      <c r="JN58" s="1812" t="str">
        <f>IFERROR((INDEX(oppsum_position[Name],MATCH(outputs_just[[#This Row],[position]],oppsum_position[Position],0))),"")</f>
        <v/>
      </c>
      <c r="JO58" s="1811">
        <v>2</v>
      </c>
      <c r="JP58" s="1811">
        <f>IF($BC$34&gt;1,1,0)</f>
        <v>0</v>
      </c>
      <c r="JQ58" s="1811">
        <f>INDEX(outputs_position[12],MATCH($BC$35,outputs_position[lopstuff],0))</f>
        <v>0</v>
      </c>
      <c r="KO58" s="439" t="str">
        <f>$BB$49</f>
        <v>Stuff 1-1</v>
      </c>
      <c r="KP58" s="5281">
        <f>$LK$38</f>
        <v>1</v>
      </c>
      <c r="KQ58" s="185" t="b">
        <f>ISBLANK(Prosjektinfo!$Q$83)</f>
        <v>1</v>
      </c>
      <c r="KR58" s="843">
        <f>$BH$32</f>
        <v>0</v>
      </c>
      <c r="KS58" s="5205" t="b">
        <f>ISBLANK(Tunneldrift!$AD$139)</f>
        <v>0</v>
      </c>
      <c r="KT58" s="211">
        <f t="shared" ref="KT58:KT66" si="56">BC49</f>
        <v>0</v>
      </c>
      <c r="KU58" s="199">
        <f>INDEX(tunneldrift_stuffcontrol[1],MATCH($BC$35,tunneldrift_stuffcontrol[løp_stuff],0))</f>
        <v>1</v>
      </c>
      <c r="KV58" s="199" t="b">
        <f>IF(tunneldrift_vekseldrift[[#This Row],[metode]]=2,ISBLANK(Tunneldrift!$AD$155))</f>
        <v>0</v>
      </c>
      <c r="KW58" s="211">
        <f>IFERROR(VALUE(Tunneldrift!$AD$155),0)</f>
        <v>0</v>
      </c>
      <c r="KX58" s="211">
        <f>IF(tunneldrift_vekseldrift[[#This Row],[Stuff_control]]=1,tunneldrift_vekseldrift[[#This Row],[En_stuff_input]])</f>
        <v>0</v>
      </c>
      <c r="KY58" s="211">
        <f>IF(AND(tunneldrift_vekseldrift[[#This Row],[En_stuff_input]]&lt;=tunneldrift_vekseldrift[[#This Row],[Input_stuff_lengde]],tunneldrift_vekseldrift[[#This Row],[Stuff_control]]=1),tunneldrift_vekseldrift[[#This Row],[Input_stuff_lengde]]-tunneldrift_vekseldrift[[#This Row],[en_stuff_lengde]],tunneldrift_vekseldrift[[#This Row],[Input_stuff_lengde]])</f>
        <v>0</v>
      </c>
      <c r="KZ58" s="5362" t="b">
        <f>ISBLANK(Tunneldrift!$AD$150)</f>
        <v>1</v>
      </c>
      <c r="LA58" s="234">
        <f>IF(AND(tunneldrift_vekseldrift[[#This Row],[CHECK_løp_lengde]]=FALSE,tunneldrift_vekseldrift[[#This Row],[CHECK_Stuff_lengde]]=FALSE,tunneldrift_vekseldrift[[#This Row],[Input_stuff_lengde]]&lt;=tunneldrift_vekseldrift[[#This Row],[løp_lengde]],tunneldrift_vekseldrift[[#This Row],[Input_stuff_lengde]]&gt;0),1,0)</f>
        <v>0</v>
      </c>
      <c r="LB58" s="199">
        <f>IF(AND(tunneldrift_vekseldrift[[#This Row],[Enstuff_andel_CHECK_blank]]=FALSE,tunneldrift_vekseldrift[[#This Row],[En_stuff_input]]&gt;=0,tunneldrift_vekseldrift[[#This Row],[en_stuff_lengde]]&lt;tunneldrift_vekseldrift[[#This Row],[Input_stuff_lengde]],tunneldrift_vekseldrift[[#This Row],[gjenværende_lengde]]&lt;=KY62),1,0)</f>
        <v>0</v>
      </c>
      <c r="LC58" s="5287">
        <f>IF(tunneldrift_vekseldrift[[#This Row],[CHECK_løp_lengde]]=TRUE,0,IF(tunneldrift_vekseldrift[[#This Row],[metode]]=1,tunneldrift_vekseldrift[[#This Row],[CHECK_enstuff]],IF(tunneldrift_vekseldrift[[#This Row],[metode]]=2,tunneldrift_vekseldrift[[#This Row],[CHECK_veksel_nullsum]])))</f>
        <v>0</v>
      </c>
      <c r="LD58"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58"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58"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58" s="199">
        <f>IFERROR(tunneldrift_vekseldrift[[#This Row],[en_stuff_lengde_final]],"!")</f>
        <v>0</v>
      </c>
      <c r="LX58" s="5268"/>
      <c r="NI58" s="1567"/>
      <c r="OV58" s="183"/>
      <c r="OW58" s="183"/>
      <c r="OX58" s="183"/>
      <c r="OY58" s="183"/>
      <c r="PG58" s="184"/>
      <c r="PH58" s="184"/>
      <c r="PI58" s="184"/>
      <c r="PJ58" s="184"/>
      <c r="PK58" s="183"/>
      <c r="PL58" s="183"/>
      <c r="PM58" s="183"/>
      <c r="PO58" s="2617"/>
      <c r="PP58" s="2617"/>
      <c r="PQ58" s="2617"/>
      <c r="PR58" s="2617"/>
      <c r="PS58" s="2617"/>
      <c r="PT58" s="2617"/>
      <c r="PU58" s="2617"/>
      <c r="PV58" s="2617"/>
      <c r="PW58" s="2617"/>
      <c r="PX58" s="2617"/>
      <c r="PY58" s="2617"/>
      <c r="PZ58" s="2617"/>
      <c r="QA58" s="2617"/>
      <c r="QB58" s="2617"/>
      <c r="QC58" s="2617"/>
      <c r="QD58" s="2617"/>
      <c r="RO58" s="183"/>
      <c r="RQ58" s="183"/>
      <c r="RS58" s="210"/>
      <c r="RU58" s="210"/>
      <c r="SF58" s="2617"/>
      <c r="SG58" s="2617"/>
      <c r="SH58" s="2617"/>
      <c r="SI58" s="2617"/>
      <c r="SJ58" s="2617"/>
      <c r="SK58" s="2617"/>
      <c r="SL58" s="2617"/>
      <c r="SM58" s="2617"/>
      <c r="SN58" s="2617"/>
      <c r="SO58" s="2617"/>
      <c r="SP58" s="2617"/>
      <c r="SQ58" s="2617"/>
      <c r="SR58" s="2617"/>
      <c r="SS58" s="2617"/>
      <c r="ST58" s="2617"/>
      <c r="SU58" s="2617"/>
      <c r="SV58" s="2617"/>
      <c r="SW58" s="2617"/>
      <c r="SX58" s="2617"/>
      <c r="SY58" s="2617"/>
      <c r="UK58" s="183"/>
      <c r="UL58" s="183"/>
      <c r="UM58" s="183"/>
      <c r="UN58" s="183"/>
      <c r="UO58" s="183"/>
      <c r="UP58" s="2617"/>
      <c r="UQ58" s="183"/>
      <c r="WG58" s="265"/>
      <c r="WH58" s="265"/>
      <c r="WI58" s="265"/>
      <c r="WJ58" s="265"/>
    </row>
    <row r="59" spans="9:608" ht="23.25" x14ac:dyDescent="0.35">
      <c r="I59" s="5565"/>
      <c r="J59" s="372"/>
      <c r="K59" s="372" t="s">
        <v>1212</v>
      </c>
      <c r="L59" s="372" t="s">
        <v>36</v>
      </c>
      <c r="M59" s="372" t="s">
        <v>2186</v>
      </c>
      <c r="N59" s="372"/>
      <c r="O59" s="185"/>
      <c r="AH59" s="2617"/>
      <c r="AI59" s="2617"/>
      <c r="AJ59" s="2617"/>
      <c r="AK59" s="2617"/>
      <c r="AL59" s="2617"/>
      <c r="AM59" s="2617"/>
      <c r="AN59" s="2617"/>
      <c r="AO59" s="2617"/>
      <c r="AP59" s="2617"/>
      <c r="AQ59" s="2617"/>
      <c r="AR59" s="2617"/>
      <c r="AS59" s="2617"/>
      <c r="AT59" s="2617"/>
      <c r="AU59" s="2617"/>
      <c r="CM59" s="3441"/>
      <c r="CN59" s="5374"/>
      <c r="CO59" s="5374"/>
      <c r="CP59" s="5374"/>
      <c r="CQ59" s="5374"/>
      <c r="CR59" s="5374"/>
      <c r="CS59" s="5374"/>
      <c r="CT59" s="3442"/>
      <c r="CU59" s="3442"/>
      <c r="CV59" s="3442"/>
      <c r="CW59" s="3442"/>
      <c r="CX59" s="3442"/>
      <c r="CY59" s="3442"/>
      <c r="CZ59" s="3442"/>
      <c r="DA59" s="3442"/>
      <c r="DB59" s="3442"/>
      <c r="DC59" s="3442"/>
      <c r="DD59" s="3442"/>
      <c r="DE59" s="3442"/>
      <c r="DF59" s="3442"/>
      <c r="DG59" s="3442"/>
      <c r="DH59" s="3442"/>
      <c r="DI59" s="3442"/>
      <c r="DJ59" s="3442"/>
      <c r="DK59" s="3442"/>
      <c r="DL59" s="3442"/>
      <c r="DM59" s="3442"/>
      <c r="DN59" s="3442"/>
      <c r="DO59" s="3442"/>
      <c r="DP59" s="3442"/>
      <c r="DR59" s="340" t="str">
        <f>$QU$135</f>
        <v>Stuff 2-3</v>
      </c>
      <c r="DS59" s="188">
        <f>IF($BC$38=1,0,IF($BC$38=2,7,0))</f>
        <v>7</v>
      </c>
      <c r="DT59" s="185">
        <f>IF($BC$34&gt;6,1,0)</f>
        <v>0</v>
      </c>
      <c r="DU59" s="194">
        <f>IF($BC$38=2,INDEX(outputs_position[23],MATCH($BC$35,outputs_position[lopstuff],0)),0)</f>
        <v>0</v>
      </c>
      <c r="DV59" s="473" t="str">
        <f t="shared" si="37"/>
        <v>Stuff 2-3</v>
      </c>
      <c r="DW59" s="238">
        <f>IFERROR((INDEX(inputs_foran[Sonderboring],MATCH($DU59,inputs_foran[Position],0))),0)</f>
        <v>0</v>
      </c>
      <c r="DX59" s="238">
        <f>IFERROR((INDEX(inputs_foran[Kjerneboring],MATCH($DU59,inputs_foran[Position],0))),0)</f>
        <v>0</v>
      </c>
      <c r="DY59" s="238">
        <f>IFERROR((INDEX(inputs_foran[Seismikk],MATCH($DU59,inputs_foran[Position],0))),0)</f>
        <v>0</v>
      </c>
      <c r="DZ59" s="238">
        <f>IFERROR((INDEX(inputs_foran[sp_Rigg],MATCH($DU59,inputs_foran[Position],0))),0)</f>
        <v>0</v>
      </c>
      <c r="EA59" s="238">
        <f>IFERROR((INDEX(inputs_foran[sp_Boring],MATCH($DU59,inputs_foran[Position],0))),0)</f>
        <v>0</v>
      </c>
      <c r="EB59" s="238">
        <f>IFERROR((INDEX(inputs_foran[Sp_Injeksjon],MATCH($DU59,inputs_foran[Position],0))),0)</f>
        <v>0</v>
      </c>
      <c r="EC59" s="238"/>
      <c r="ED59" s="238">
        <f>IFERROR((INDEX(inputs_foran[sy_Rigg],MATCH($DU59,inputs_foran[Position],0))),0)</f>
        <v>0</v>
      </c>
      <c r="EE59" s="238">
        <f>IFERROR((INDEX(inputs_foran[sy_Boring],MATCH($DU59,inputs_foran[Position],0))),0)</f>
        <v>0</v>
      </c>
      <c r="EF59" s="238">
        <f>IFERROR((INDEX(inputs_foran[sy_Injeksjon],MATCH($DU59,inputs_foran[Position],0))),0)</f>
        <v>0</v>
      </c>
      <c r="EG59" s="238"/>
      <c r="EH59" s="239"/>
      <c r="EI59" s="239"/>
      <c r="EJ59" s="239"/>
      <c r="EK59" s="239"/>
      <c r="EL59" s="239"/>
      <c r="EM59" s="239"/>
      <c r="EN59" s="239"/>
      <c r="ER59" s="235">
        <v>2</v>
      </c>
      <c r="ES59" s="185">
        <f>'Inn stabilitet'!$AF$34</f>
        <v>0</v>
      </c>
      <c r="ET59" s="185">
        <f>'Inn stabilitet'!$AF$43</f>
        <v>0</v>
      </c>
      <c r="EU59" s="185">
        <f>'Inn stabilitet'!$AF$45</f>
        <v>0</v>
      </c>
      <c r="EV59" s="185">
        <f>'Inn stabilitet'!$AF$52</f>
        <v>0</v>
      </c>
      <c r="EW59" s="185">
        <f>'Inn stabilitet'!$AF$54</f>
        <v>0</v>
      </c>
      <c r="EX59" s="185">
        <f>'Inn stabilitet'!$AF$65</f>
        <v>0</v>
      </c>
      <c r="EY59" s="185">
        <f>'Inn stabilitet'!$AF$72</f>
        <v>0</v>
      </c>
      <c r="EZ59" s="185">
        <f>'Inn stabilitet'!$AF$79</f>
        <v>0</v>
      </c>
      <c r="FA59" s="193"/>
      <c r="FB59" s="185">
        <f>'Inn stabilitet'!$AF$36</f>
        <v>0</v>
      </c>
      <c r="FC59" s="185">
        <f>'Inn stabilitet'!$AF$56</f>
        <v>0</v>
      </c>
      <c r="FD59" s="247">
        <f>IF(inputs_stab[[#This Row],[sik_samlet]]&gt;$FD$53,$FD$53,IF(inputs_stab[[#This Row],[sik_samlet]]&lt;=$FD$53,inputs_stab[[#This Row],[sik_samlet]],0))</f>
        <v>0</v>
      </c>
      <c r="FE59" s="247">
        <f>IF(inputs_stab[[#This Row],[sik_samlet]]&gt;$FD$53,inputs_stab[[#This Row],[sik_samlet]]-$FD$53,0)</f>
        <v>0</v>
      </c>
      <c r="FM59" s="2617"/>
      <c r="FN59" s="2617"/>
      <c r="GH59" s="414"/>
      <c r="GP59" s="2617"/>
      <c r="GQ59" s="2617"/>
      <c r="GR59" s="2617"/>
      <c r="GS59" s="2617"/>
      <c r="GT59" s="2617"/>
      <c r="GU59" s="2617"/>
      <c r="GV59" s="2617"/>
      <c r="GW59" s="2617"/>
      <c r="GX59" s="2617"/>
      <c r="GY59" s="2617"/>
      <c r="GZ59" s="2617"/>
      <c r="HA59" s="2617"/>
      <c r="HB59" s="2617"/>
      <c r="HC59" s="2617"/>
      <c r="IH59" s="1761">
        <v>3</v>
      </c>
      <c r="II59" s="1761"/>
      <c r="IJ59" s="1761" t="b">
        <f t="shared" si="54"/>
        <v>1</v>
      </c>
      <c r="IK59" s="5944" t="e">
        <f t="shared" si="55"/>
        <v>#N/A</v>
      </c>
      <c r="IL59" s="1761"/>
      <c r="IM59" s="1761"/>
      <c r="IN59" s="1761"/>
      <c r="IO59" s="1811" t="b">
        <f t="shared" si="38"/>
        <v>0</v>
      </c>
      <c r="IP59" s="3700" t="b">
        <f>IF(IO20=1,IP20,IF(IO20=3,_List!$EG$7))</f>
        <v>0</v>
      </c>
      <c r="IQ59" s="1811" t="b">
        <f t="shared" si="39"/>
        <v>0</v>
      </c>
      <c r="IR59" s="1811"/>
      <c r="IS59" s="3700" t="b">
        <f t="shared" si="40"/>
        <v>0</v>
      </c>
      <c r="IT59" s="1811" t="b">
        <f t="shared" si="41"/>
        <v>0</v>
      </c>
      <c r="IU59" s="1811" t="b">
        <f t="shared" si="41"/>
        <v>0</v>
      </c>
      <c r="IV59" s="3700" t="b">
        <f t="shared" si="42"/>
        <v>0</v>
      </c>
      <c r="IW59" s="1811" t="b">
        <f t="shared" si="43"/>
        <v>0</v>
      </c>
      <c r="IX59" s="1811" t="b">
        <f t="shared" si="43"/>
        <v>0</v>
      </c>
      <c r="IY59" s="3700" t="b">
        <f t="shared" si="44"/>
        <v>0</v>
      </c>
      <c r="IZ59" s="1811" t="b">
        <f t="shared" si="45"/>
        <v>0</v>
      </c>
      <c r="JA59" s="1811" t="b">
        <f t="shared" si="45"/>
        <v>0</v>
      </c>
      <c r="JB59" s="3700" t="b">
        <f t="shared" si="46"/>
        <v>0</v>
      </c>
      <c r="JC59" s="1811" t="b">
        <f t="shared" si="47"/>
        <v>0</v>
      </c>
      <c r="JD59" s="1811" t="b">
        <f t="shared" si="47"/>
        <v>0</v>
      </c>
      <c r="JE59" s="3700" t="b">
        <f t="shared" si="48"/>
        <v>0</v>
      </c>
      <c r="JF59" s="1811" t="b">
        <f t="shared" si="49"/>
        <v>0</v>
      </c>
      <c r="JG59" s="1811" t="b">
        <f t="shared" si="49"/>
        <v>0</v>
      </c>
      <c r="JH59" s="3700" t="b">
        <f t="shared" si="50"/>
        <v>0</v>
      </c>
      <c r="JI59" s="1811" t="b">
        <f t="shared" si="51"/>
        <v>0</v>
      </c>
      <c r="JJ59" s="1811" t="b">
        <f t="shared" si="51"/>
        <v>0</v>
      </c>
      <c r="JK59" s="3700" t="b">
        <f t="shared" si="52"/>
        <v>0</v>
      </c>
      <c r="JL59" s="1811" t="b">
        <f t="shared" si="53"/>
        <v>0</v>
      </c>
      <c r="JM59" s="2633" t="str">
        <f>IF(JW40=1,_List!$EG$7,IFERROR(outputs_just[[#This Row],[general_tid]]+outputs_just[[#This Row],[geo_tid]]+outputs_just[[#This Row],[stig_tid]]+outputs_just[[#This Row],[arb_tid]]+outputs_just[[#This Row],[spreng_tid]]+outputs_just[[#This Row],[skyte_tid]]+outputs_just[[#This Row],[støy_tid]]+outputs_just[[#This Row],[ann_tid]],0))</f>
        <v>Ingen</v>
      </c>
      <c r="JN59" s="1812" t="str">
        <f>IFERROR((INDEX(oppsum_position[Name],MATCH(outputs_just[[#This Row],[position]],oppsum_position[Position],0))),"")</f>
        <v/>
      </c>
      <c r="JO59" s="1811">
        <v>3</v>
      </c>
      <c r="JP59" s="1811">
        <f>IF($BC$34&gt;2,1,0)</f>
        <v>0</v>
      </c>
      <c r="JQ59" s="1811">
        <f>INDEX(outputs_position[13],MATCH($BC$35,outputs_position[lopstuff],0))</f>
        <v>0</v>
      </c>
      <c r="KO59" s="439" t="str">
        <f>$BB$50</f>
        <v>Stuff 1-2</v>
      </c>
      <c r="KP59" s="5281">
        <f>$LL$38</f>
        <v>1</v>
      </c>
      <c r="KQ59" s="185" t="b">
        <f>ISBLANK(Prosjektinfo!$Q$83)</f>
        <v>1</v>
      </c>
      <c r="KR59" s="843">
        <f>$BH$32</f>
        <v>0</v>
      </c>
      <c r="KS59" s="5205" t="b">
        <f>ISBLANK(Tunneldrift!$AO$139)</f>
        <v>1</v>
      </c>
      <c r="KT59" s="211">
        <f t="shared" si="56"/>
        <v>0</v>
      </c>
      <c r="KU59" s="199">
        <f>INDEX(tunneldrift_stuffcontrol[2],MATCH($BC$35,tunneldrift_stuffcontrol[løp_stuff],0))</f>
        <v>0</v>
      </c>
      <c r="KV59" s="199" t="b">
        <f>IF(tunneldrift_vekseldrift[[#This Row],[metode]]=2,ISBLANK(Tunneldrift!$AO$155))</f>
        <v>0</v>
      </c>
      <c r="KW59" s="211">
        <f>IFERROR(VALUE(Tunneldrift!$AO$155),0)</f>
        <v>0</v>
      </c>
      <c r="KX59" s="211" t="b">
        <f>IF(tunneldrift_vekseldrift[[#This Row],[Stuff_control]]=1,tunneldrift_vekseldrift[[#This Row],[En_stuff_input]])</f>
        <v>0</v>
      </c>
      <c r="KY59" s="211">
        <f>IF(AND(tunneldrift_vekseldrift[[#This Row],[En_stuff_input]]&lt;=tunneldrift_vekseldrift[[#This Row],[Input_stuff_lengde]],tunneldrift_vekseldrift[[#This Row],[Stuff_control]]=1),tunneldrift_vekseldrift[[#This Row],[Input_stuff_lengde]]-tunneldrift_vekseldrift[[#This Row],[en_stuff_lengde]],tunneldrift_vekseldrift[[#This Row],[Input_stuff_lengde]])</f>
        <v>0</v>
      </c>
      <c r="KZ59" s="5362" t="b">
        <f>ISBLANK(Tunneldrift!$AO$150)</f>
        <v>1</v>
      </c>
      <c r="LA59" s="234">
        <f>IF(AND(tunneldrift_vekseldrift[[#This Row],[CHECK_løp_lengde]]=FALSE,tunneldrift_vekseldrift[[#This Row],[CHECK_Stuff_lengde]]=FALSE,tunneldrift_vekseldrift[[#This Row],[Input_stuff_lengde]]&lt;=tunneldrift_vekseldrift[[#This Row],[løp_lengde]],tunneldrift_vekseldrift[[#This Row],[Input_stuff_lengde]]&gt;0),1,0)</f>
        <v>0</v>
      </c>
      <c r="LB59" s="199">
        <f>IF(AND(tunneldrift_vekseldrift[[#This Row],[Enstuff_andel_CHECK_blank]]=FALSE,tunneldrift_vekseldrift[[#This Row],[En_stuff_input]]&gt;=0,tunneldrift_vekseldrift[[#This Row],[en_stuff_lengde]]&lt;tunneldrift_vekseldrift[[#This Row],[Input_stuff_lengde]],tunneldrift_vekseldrift[[#This Row],[gjenværende_lengde]]&lt;=KY63),1,0)</f>
        <v>0</v>
      </c>
      <c r="LC59" s="5287">
        <f>IF(tunneldrift_vekseldrift[[#This Row],[CHECK_løp_lengde]]=TRUE,0,IF(tunneldrift_vekseldrift[[#This Row],[metode]]=1,tunneldrift_vekseldrift[[#This Row],[CHECK_enstuff]],IF(tunneldrift_vekseldrift[[#This Row],[metode]]=2,tunneldrift_vekseldrift[[#This Row],[CHECK_veksel_nullsum]])))</f>
        <v>0</v>
      </c>
      <c r="LD59"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59"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59"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59" s="199">
        <f>IFERROR(tunneldrift_vekseldrift[[#This Row],[en_stuff_lengde_final]],"!")</f>
        <v>0</v>
      </c>
      <c r="LX59" s="5268"/>
      <c r="NI59" s="1567"/>
      <c r="OV59" s="183"/>
      <c r="OW59" s="183"/>
      <c r="OX59" s="183"/>
      <c r="OY59" s="183"/>
      <c r="PG59" s="184"/>
      <c r="PH59" s="184"/>
      <c r="PI59" s="184"/>
      <c r="PJ59" s="184"/>
      <c r="PK59" s="183"/>
      <c r="PL59" s="183"/>
      <c r="PM59" s="183"/>
      <c r="PO59" s="2617"/>
      <c r="PP59" s="2617"/>
      <c r="PQ59" s="2617"/>
      <c r="PR59" s="2617"/>
      <c r="PS59" s="2617"/>
      <c r="PT59" s="2617"/>
      <c r="PU59" s="2617"/>
      <c r="PV59" s="2617"/>
      <c r="PW59" s="2617"/>
      <c r="PX59" s="2617"/>
      <c r="PY59" s="2617"/>
      <c r="PZ59" s="2617"/>
      <c r="QA59" s="2617"/>
      <c r="QB59" s="2617"/>
      <c r="QC59" s="2617"/>
      <c r="QD59" s="2617"/>
      <c r="RO59" s="183"/>
      <c r="RQ59" s="183"/>
      <c r="RS59" s="210"/>
      <c r="RU59" s="210"/>
      <c r="SF59" s="2617"/>
      <c r="SG59" s="2617"/>
      <c r="SH59" s="2617"/>
      <c r="SI59" s="2617"/>
      <c r="SJ59" s="2617"/>
      <c r="SK59" s="2617"/>
      <c r="SL59" s="2617"/>
      <c r="SM59" s="2617"/>
      <c r="SN59" s="2617"/>
      <c r="SO59" s="2617"/>
      <c r="SP59" s="2617"/>
      <c r="SQ59" s="2617"/>
      <c r="SR59" s="2617"/>
      <c r="SS59" s="2617"/>
      <c r="ST59" s="2617"/>
      <c r="SU59" s="2617"/>
      <c r="SV59" s="2617"/>
      <c r="SW59" s="2617"/>
      <c r="SX59" s="2617"/>
      <c r="SY59" s="2617"/>
      <c r="UK59" s="183"/>
      <c r="UL59" s="183"/>
      <c r="UM59" s="183"/>
      <c r="UN59" s="183"/>
      <c r="UO59" s="183"/>
      <c r="UP59" s="2617"/>
      <c r="UQ59" s="183"/>
      <c r="WG59" s="265"/>
      <c r="WH59" s="265"/>
      <c r="WI59" s="265"/>
      <c r="WJ59" s="265"/>
    </row>
    <row r="60" spans="9:608" ht="30.75" x14ac:dyDescent="0.2">
      <c r="I60" s="5564"/>
      <c r="J60" s="372"/>
      <c r="K60" s="372"/>
      <c r="L60" s="372"/>
      <c r="M60" s="372" t="s">
        <v>2190</v>
      </c>
      <c r="N60" s="372" t="s">
        <v>2191</v>
      </c>
      <c r="O60" s="185" t="s">
        <v>2189</v>
      </c>
      <c r="AH60" s="2617"/>
      <c r="AI60" s="2617"/>
      <c r="AJ60" s="2617"/>
      <c r="AK60" s="2617"/>
      <c r="AL60" s="2617"/>
      <c r="AM60" s="2617"/>
      <c r="AN60" s="2617"/>
      <c r="AO60" s="2617"/>
      <c r="AP60" s="2617"/>
      <c r="AQ60" s="2617"/>
      <c r="AR60" s="2617"/>
      <c r="AS60" s="2617"/>
      <c r="AT60" s="2617"/>
      <c r="AU60" s="2617"/>
      <c r="CM60" s="2622"/>
      <c r="CN60" s="5373"/>
      <c r="CO60" s="5373"/>
      <c r="CP60" s="5373"/>
      <c r="CQ60" s="5373"/>
      <c r="CR60" s="5373"/>
      <c r="CS60" s="5373"/>
      <c r="CT60" s="3434"/>
      <c r="CU60" s="3434"/>
      <c r="CV60" s="3434"/>
      <c r="CW60" s="3434"/>
      <c r="CX60" s="3434"/>
      <c r="CY60" s="3434"/>
      <c r="CZ60" s="3434"/>
      <c r="DA60" s="3434"/>
      <c r="DB60" s="3434"/>
      <c r="DC60" s="3434"/>
      <c r="DD60" s="3434"/>
      <c r="DE60" s="3434"/>
      <c r="DF60" s="3434"/>
      <c r="DG60" s="3434"/>
      <c r="DH60" s="3434"/>
      <c r="DI60" s="3434"/>
      <c r="DJ60" s="3434"/>
      <c r="DK60" s="3434"/>
      <c r="DL60" s="3434"/>
      <c r="DM60" s="3434"/>
      <c r="DN60" s="3434"/>
      <c r="DO60" s="3434"/>
      <c r="DP60" s="3434"/>
      <c r="DR60" s="340" t="str">
        <f>$QV$135</f>
        <v>Stuff 2-4</v>
      </c>
      <c r="DS60" s="188">
        <f>IF($BC$38=1,0,IF($BC$38=2,8,0))</f>
        <v>8</v>
      </c>
      <c r="DT60" s="185">
        <f>IF($BC$34&gt;7,1,0)</f>
        <v>0</v>
      </c>
      <c r="DU60" s="194">
        <f>IF($BC$38=2,INDEX(outputs_position[24],MATCH($BC$35,outputs_position[lopstuff],0)),0)</f>
        <v>0</v>
      </c>
      <c r="DV60" s="473" t="str">
        <f t="shared" si="37"/>
        <v>Stuff 2-4</v>
      </c>
      <c r="DW60" s="238">
        <f>IFERROR((INDEX(inputs_foran[Sonderboring],MATCH($DU60,inputs_foran[Position],0))),0)</f>
        <v>0</v>
      </c>
      <c r="DX60" s="238">
        <f>IFERROR((INDEX(inputs_foran[Kjerneboring],MATCH($DU60,inputs_foran[Position],0))),0)</f>
        <v>0</v>
      </c>
      <c r="DY60" s="238">
        <f>IFERROR((INDEX(inputs_foran[Seismikk],MATCH($DU60,inputs_foran[Position],0))),0)</f>
        <v>0</v>
      </c>
      <c r="DZ60" s="238">
        <f>IFERROR((INDEX(inputs_foran[sp_Rigg],MATCH($DU60,inputs_foran[Position],0))),0)</f>
        <v>0</v>
      </c>
      <c r="EA60" s="238">
        <f>IFERROR((INDEX(inputs_foran[sp_Boring],MATCH($DU60,inputs_foran[Position],0))),0)</f>
        <v>0</v>
      </c>
      <c r="EB60" s="238">
        <f>IFERROR((INDEX(inputs_foran[Sp_Injeksjon],MATCH($DU60,inputs_foran[Position],0))),0)</f>
        <v>0</v>
      </c>
      <c r="EC60" s="238"/>
      <c r="ED60" s="238">
        <f>IFERROR((INDEX(inputs_foran[sy_Rigg],MATCH($DU60,inputs_foran[Position],0))),0)</f>
        <v>0</v>
      </c>
      <c r="EE60" s="238">
        <f>IFERROR((INDEX(inputs_foran[sy_Boring],MATCH($DU60,inputs_foran[Position],0))),0)</f>
        <v>0</v>
      </c>
      <c r="EF60" s="238">
        <f>IFERROR((INDEX(inputs_foran[sy_Injeksjon],MATCH($DU60,inputs_foran[Position],0))),0)</f>
        <v>0</v>
      </c>
      <c r="EG60" s="238"/>
      <c r="EH60" s="239"/>
      <c r="EI60" s="239"/>
      <c r="EJ60" s="239"/>
      <c r="EK60" s="239"/>
      <c r="EL60" s="239"/>
      <c r="EM60" s="239"/>
      <c r="EN60" s="239"/>
      <c r="ER60" s="235">
        <v>3</v>
      </c>
      <c r="ES60" s="185">
        <f>'Inn stabilitet'!$AN$34</f>
        <v>0</v>
      </c>
      <c r="ET60" s="185">
        <f>'Inn stabilitet'!$AN$43</f>
        <v>0</v>
      </c>
      <c r="EU60" s="185">
        <f>'Inn stabilitet'!$AN$45</f>
        <v>0</v>
      </c>
      <c r="EV60" s="185">
        <f>'Inn stabilitet'!$AN$52</f>
        <v>0</v>
      </c>
      <c r="EW60" s="185">
        <f>'Inn stabilitet'!$AN$54</f>
        <v>0</v>
      </c>
      <c r="EX60" s="185">
        <f>'Inn stabilitet'!$AN$65</f>
        <v>0</v>
      </c>
      <c r="EY60" s="185">
        <f>'Inn stabilitet'!$AN$72</f>
        <v>0</v>
      </c>
      <c r="EZ60" s="185">
        <f>'Inn stabilitet'!$AN$79</f>
        <v>0</v>
      </c>
      <c r="FA60" s="193"/>
      <c r="FB60" s="185">
        <f>'Inn stabilitet'!$AN$36</f>
        <v>0</v>
      </c>
      <c r="FC60" s="185">
        <f>'Inn stabilitet'!$AN$56</f>
        <v>0</v>
      </c>
      <c r="FD60" s="247">
        <f>IF(inputs_stab[[#This Row],[sik_samlet]]&gt;$FD$53,$FD$53,IF(inputs_stab[[#This Row],[sik_samlet]]&lt;=$FD$53,inputs_stab[[#This Row],[sik_samlet]],0))</f>
        <v>0</v>
      </c>
      <c r="FE60" s="247">
        <f>IF(inputs_stab[[#This Row],[sik_samlet]]&gt;$FD$53,inputs_stab[[#This Row],[sik_samlet]]-$FD$53,0)</f>
        <v>0</v>
      </c>
      <c r="FM60" s="2617"/>
      <c r="FN60" s="2617"/>
      <c r="GH60" s="414"/>
      <c r="GJ60" s="2617"/>
      <c r="GK60" s="2617"/>
      <c r="GL60" s="2617"/>
      <c r="GM60" s="2617"/>
      <c r="GN60" s="2617"/>
      <c r="GO60" s="2617"/>
      <c r="GP60" s="2617"/>
      <c r="GQ60" s="2617"/>
      <c r="GR60" s="2617"/>
      <c r="GS60" s="2617"/>
      <c r="GT60" s="2617"/>
      <c r="GU60" s="2617"/>
      <c r="GV60" s="2617"/>
      <c r="GW60" s="2617"/>
      <c r="GX60" s="2617"/>
      <c r="GY60" s="2617"/>
      <c r="GZ60" s="2617"/>
      <c r="HA60" s="2617"/>
      <c r="HB60" s="2617"/>
      <c r="HC60" s="2617"/>
      <c r="IH60" s="1761">
        <v>4</v>
      </c>
      <c r="II60" s="1761"/>
      <c r="IJ60" s="1761" t="b">
        <f t="shared" si="54"/>
        <v>1</v>
      </c>
      <c r="IK60" s="5944" t="e">
        <f t="shared" si="55"/>
        <v>#N/A</v>
      </c>
      <c r="IL60" s="1761"/>
      <c r="IM60" s="1761"/>
      <c r="IN60" s="1761"/>
      <c r="IO60" s="1811" t="b">
        <f t="shared" si="38"/>
        <v>0</v>
      </c>
      <c r="IP60" s="3700" t="b">
        <f>IF(IO21=1,IP21,IF(IO21=3,_List!$EG$7))</f>
        <v>0</v>
      </c>
      <c r="IQ60" s="1811" t="b">
        <f t="shared" si="39"/>
        <v>0</v>
      </c>
      <c r="IR60" s="1811"/>
      <c r="IS60" s="3700" t="b">
        <f t="shared" si="40"/>
        <v>0</v>
      </c>
      <c r="IT60" s="1811" t="b">
        <f t="shared" si="41"/>
        <v>0</v>
      </c>
      <c r="IU60" s="1811" t="b">
        <f t="shared" si="41"/>
        <v>0</v>
      </c>
      <c r="IV60" s="3700" t="b">
        <f t="shared" si="42"/>
        <v>0</v>
      </c>
      <c r="IW60" s="1811" t="b">
        <f t="shared" si="43"/>
        <v>0</v>
      </c>
      <c r="IX60" s="1811" t="b">
        <f t="shared" si="43"/>
        <v>0</v>
      </c>
      <c r="IY60" s="3700" t="b">
        <f t="shared" si="44"/>
        <v>0</v>
      </c>
      <c r="IZ60" s="1811" t="b">
        <f t="shared" si="45"/>
        <v>0</v>
      </c>
      <c r="JA60" s="1811" t="b">
        <f t="shared" si="45"/>
        <v>0</v>
      </c>
      <c r="JB60" s="3700" t="b">
        <f t="shared" si="46"/>
        <v>0</v>
      </c>
      <c r="JC60" s="1811" t="b">
        <f t="shared" si="47"/>
        <v>0</v>
      </c>
      <c r="JD60" s="1811" t="b">
        <f t="shared" si="47"/>
        <v>0</v>
      </c>
      <c r="JE60" s="3700" t="b">
        <f t="shared" si="48"/>
        <v>0</v>
      </c>
      <c r="JF60" s="1811" t="b">
        <f t="shared" si="49"/>
        <v>0</v>
      </c>
      <c r="JG60" s="1811" t="b">
        <f t="shared" si="49"/>
        <v>0</v>
      </c>
      <c r="JH60" s="3700" t="b">
        <f t="shared" si="50"/>
        <v>0</v>
      </c>
      <c r="JI60" s="1811" t="b">
        <f t="shared" si="51"/>
        <v>0</v>
      </c>
      <c r="JJ60" s="1811" t="b">
        <f t="shared" si="51"/>
        <v>0</v>
      </c>
      <c r="JK60" s="3700" t="b">
        <f t="shared" si="52"/>
        <v>0</v>
      </c>
      <c r="JL60" s="1811" t="b">
        <f t="shared" si="53"/>
        <v>0</v>
      </c>
      <c r="JM60" s="2633" t="str">
        <f>IF(JW41=1,_List!$EG$7,IFERROR(outputs_just[[#This Row],[general_tid]]+outputs_just[[#This Row],[geo_tid]]+outputs_just[[#This Row],[stig_tid]]+outputs_just[[#This Row],[arb_tid]]+outputs_just[[#This Row],[spreng_tid]]+outputs_just[[#This Row],[skyte_tid]]+outputs_just[[#This Row],[støy_tid]]+outputs_just[[#This Row],[ann_tid]],0))</f>
        <v>Ingen</v>
      </c>
      <c r="JN60" s="1812" t="str">
        <f>IFERROR((INDEX(oppsum_position[Name],MATCH(outputs_just[[#This Row],[position]],oppsum_position[Position],0))),"")</f>
        <v/>
      </c>
      <c r="JO60" s="1811">
        <v>4</v>
      </c>
      <c r="JP60" s="1811">
        <f>IF($BC$34&gt;3,1,0)</f>
        <v>0</v>
      </c>
      <c r="JQ60" s="1811">
        <f>INDEX(outputs_position[14],MATCH($BC$35,outputs_position[lopstuff],0))</f>
        <v>0</v>
      </c>
      <c r="KO60" s="439" t="str">
        <f>$BB$51</f>
        <v>Stuff 1-3</v>
      </c>
      <c r="KP60" s="5281">
        <f>$LM$38</f>
        <v>1</v>
      </c>
      <c r="KQ60" s="185" t="b">
        <f>ISBLANK(Prosjektinfo!$Q$83)</f>
        <v>1</v>
      </c>
      <c r="KR60" s="843">
        <f>$BH$32</f>
        <v>0</v>
      </c>
      <c r="KS60" s="5205" t="b">
        <f>ISBLANK(Tunneldrift!$AZ$139)</f>
        <v>1</v>
      </c>
      <c r="KT60" s="211">
        <f t="shared" si="56"/>
        <v>0</v>
      </c>
      <c r="KU60" s="199">
        <f>INDEX(tunneldrift_stuffcontrol[3],MATCH($BC$35,tunneldrift_stuffcontrol[løp_stuff],0))</f>
        <v>0</v>
      </c>
      <c r="KV60" s="199" t="b">
        <f>IF(tunneldrift_vekseldrift[[#This Row],[metode]]=2,ISBLANK(Tunneldrift!$AZ$155))</f>
        <v>0</v>
      </c>
      <c r="KW60" s="211">
        <f>IFERROR(VALUE(Tunneldrift!$AZ$155),0)</f>
        <v>0</v>
      </c>
      <c r="KX60" s="211" t="b">
        <f>IF(tunneldrift_vekseldrift[[#This Row],[Stuff_control]]=1,tunneldrift_vekseldrift[[#This Row],[En_stuff_input]])</f>
        <v>0</v>
      </c>
      <c r="KY60" s="211">
        <f>IF(AND(tunneldrift_vekseldrift[[#This Row],[En_stuff_input]]&lt;=tunneldrift_vekseldrift[[#This Row],[Input_stuff_lengde]],tunneldrift_vekseldrift[[#This Row],[Stuff_control]]=1),tunneldrift_vekseldrift[[#This Row],[Input_stuff_lengde]]-tunneldrift_vekseldrift[[#This Row],[en_stuff_lengde]],tunneldrift_vekseldrift[[#This Row],[Input_stuff_lengde]])</f>
        <v>0</v>
      </c>
      <c r="KZ60" s="5362" t="b">
        <f>ISBLANK(Tunneldrift!$AZ$150)</f>
        <v>1</v>
      </c>
      <c r="LA60"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0" s="199">
        <f>IF(AND(tunneldrift_vekseldrift[[#This Row],[Enstuff_andel_CHECK_blank]]=FALSE,tunneldrift_vekseldrift[[#This Row],[En_stuff_input]]&gt;=0,tunneldrift_vekseldrift[[#This Row],[en_stuff_lengde]]&lt;tunneldrift_vekseldrift[[#This Row],[Input_stuff_lengde]],tunneldrift_vekseldrift[[#This Row],[gjenværende_lengde]]&lt;=KY64),1,0)</f>
        <v>0</v>
      </c>
      <c r="LC60" s="5287">
        <f>IF(tunneldrift_vekseldrift[[#This Row],[CHECK_løp_lengde]]=TRUE,0,IF(tunneldrift_vekseldrift[[#This Row],[metode]]=1,tunneldrift_vekseldrift[[#This Row],[CHECK_enstuff]],IF(tunneldrift_vekseldrift[[#This Row],[metode]]=2,tunneldrift_vekseldrift[[#This Row],[CHECK_veksel_nullsum]])))</f>
        <v>0</v>
      </c>
      <c r="LD60"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0"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0"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0" s="199">
        <f>IFERROR(tunneldrift_vekseldrift[[#This Row],[en_stuff_lengde_final]],"!")</f>
        <v>0</v>
      </c>
      <c r="LX60" s="5268"/>
      <c r="NI60" s="1567"/>
      <c r="NN60" s="428" t="s">
        <v>454</v>
      </c>
      <c r="NO60" s="427"/>
      <c r="NP60" s="427"/>
      <c r="OV60" s="183"/>
      <c r="OW60" s="183"/>
      <c r="OX60" s="183"/>
      <c r="OY60" s="183"/>
      <c r="PG60" s="184"/>
      <c r="PH60" s="239"/>
      <c r="PI60" s="184"/>
      <c r="PJ60" s="184"/>
      <c r="PK60" s="183"/>
      <c r="PL60" s="183"/>
      <c r="PM60" s="183"/>
      <c r="PO60" s="2617"/>
      <c r="PP60" s="2617"/>
      <c r="PQ60" s="2617"/>
      <c r="PR60" s="2617"/>
      <c r="PS60" s="2617"/>
      <c r="PT60" s="2617"/>
      <c r="PU60" s="2617"/>
      <c r="PV60" s="2617"/>
      <c r="PW60" s="2617"/>
      <c r="PX60" s="2617"/>
      <c r="PY60" s="2617"/>
      <c r="PZ60" s="2617"/>
      <c r="QA60" s="2617"/>
      <c r="QB60" s="2617"/>
      <c r="QC60" s="2617"/>
      <c r="QD60" s="2617"/>
      <c r="RO60" s="183"/>
      <c r="RQ60" s="183"/>
      <c r="RS60" s="210"/>
      <c r="RU60" s="210"/>
      <c r="SF60" s="2617"/>
      <c r="SG60" s="2617"/>
      <c r="SH60" s="2617"/>
      <c r="SI60" s="2617"/>
      <c r="SJ60" s="2617"/>
      <c r="SK60" s="2617"/>
      <c r="SL60" s="2617"/>
      <c r="SM60" s="2617"/>
      <c r="SN60" s="2617"/>
      <c r="SO60" s="2617"/>
      <c r="SP60" s="2617"/>
      <c r="SQ60" s="2617"/>
      <c r="SR60" s="2617"/>
      <c r="SS60" s="2617"/>
      <c r="ST60" s="2617"/>
      <c r="SU60" s="2617"/>
      <c r="SV60" s="2617"/>
      <c r="SW60" s="2617"/>
      <c r="SX60" s="2617"/>
      <c r="SY60" s="2617"/>
      <c r="UK60" s="183"/>
      <c r="UL60" s="183"/>
      <c r="UM60" s="183"/>
      <c r="UN60" s="183"/>
      <c r="UO60" s="183"/>
      <c r="UP60" s="2617"/>
      <c r="UQ60" s="183"/>
      <c r="WG60" s="265"/>
      <c r="WH60" s="265"/>
      <c r="WI60" s="265"/>
      <c r="WJ60" s="265"/>
    </row>
    <row r="61" spans="9:608" ht="15" x14ac:dyDescent="0.2">
      <c r="I61" s="5565"/>
      <c r="J61" s="372"/>
      <c r="K61" s="372"/>
      <c r="L61" s="372"/>
      <c r="M61" s="372" t="s">
        <v>1213</v>
      </c>
      <c r="N61" s="372"/>
      <c r="O61" s="185" t="s">
        <v>2525</v>
      </c>
      <c r="AH61" s="2617"/>
      <c r="AI61" s="2617"/>
      <c r="AJ61" s="2617"/>
      <c r="AK61" s="2617"/>
      <c r="AL61" s="2617"/>
      <c r="AM61" s="2617"/>
      <c r="AN61" s="2617"/>
      <c r="AO61" s="2617"/>
      <c r="AP61" s="2617"/>
      <c r="AQ61" s="2617"/>
      <c r="AR61" s="2617"/>
      <c r="AS61" s="2617"/>
      <c r="AT61" s="2617"/>
      <c r="AU61" s="2617"/>
      <c r="CM61" s="3432"/>
      <c r="CN61" s="5373"/>
      <c r="CO61" s="5373"/>
      <c r="CP61" s="5373"/>
      <c r="CQ61" s="5373"/>
      <c r="CR61" s="5373"/>
      <c r="CS61" s="5373"/>
      <c r="CT61" s="3436"/>
      <c r="CU61" s="3436"/>
      <c r="CV61" s="3436"/>
      <c r="CW61" s="3436"/>
      <c r="CX61" s="3436"/>
      <c r="CY61" s="3436"/>
      <c r="CZ61" s="3436"/>
      <c r="DA61" s="3436"/>
      <c r="DB61" s="3436"/>
      <c r="DC61" s="3436"/>
      <c r="DD61" s="3436"/>
      <c r="DE61" s="3436"/>
      <c r="DF61" s="3436"/>
      <c r="DG61" s="3436"/>
      <c r="DH61" s="3436"/>
      <c r="DI61" s="3436"/>
      <c r="DJ61" s="3436"/>
      <c r="DK61" s="3436"/>
      <c r="DL61" s="3436"/>
      <c r="DM61" s="3436"/>
      <c r="DN61" s="3436"/>
      <c r="DO61" s="3436"/>
      <c r="DP61" s="3436"/>
      <c r="DR61" s="453" t="str">
        <f>$QW$135</f>
        <v>Tverrslag</v>
      </c>
      <c r="DS61" s="185"/>
      <c r="DT61" s="185">
        <f>$BC$36</f>
        <v>0</v>
      </c>
      <c r="DU61" s="194">
        <f>IF($BC$38=2,INDEX(outputs_position[Tverrslag],MATCH($BC$35,outputs_position[lopstuff],0)),IF($BC$36=1,$BE$156+1,0))</f>
        <v>0</v>
      </c>
      <c r="DV61" s="473" t="str">
        <f t="shared" si="37"/>
        <v>Tverrslag</v>
      </c>
      <c r="DW61" s="238">
        <f>IFERROR((INDEX(inputs_foran[Sonderboring],MATCH($DU61,inputs_foran[Position],0))),0)</f>
        <v>0</v>
      </c>
      <c r="DX61" s="238">
        <f>IFERROR((INDEX(inputs_foran[Kjerneboring],MATCH($DU61,inputs_foran[Position],0))),0)</f>
        <v>0</v>
      </c>
      <c r="DY61" s="238">
        <f>IFERROR((INDEX(inputs_foran[Seismikk],MATCH($DU61,inputs_foran[Position],0))),0)</f>
        <v>0</v>
      </c>
      <c r="DZ61" s="238">
        <f>IFERROR((INDEX(inputs_foran[sp_Rigg],MATCH($DU61,inputs_foran[Position],0))),0)</f>
        <v>0</v>
      </c>
      <c r="EA61" s="238">
        <f>IFERROR((INDEX(inputs_foran[sp_Boring],MATCH($DU61,inputs_foran[Position],0))),0)</f>
        <v>0</v>
      </c>
      <c r="EB61" s="238">
        <f>IFERROR((INDEX(inputs_foran[Sp_Injeksjon],MATCH($DU61,inputs_foran[Position],0))),0)</f>
        <v>0</v>
      </c>
      <c r="EC61" s="238"/>
      <c r="ED61" s="238">
        <f>IFERROR((INDEX(inputs_foran[sy_Rigg],MATCH($DU61,inputs_foran[Position],0))),0)</f>
        <v>0</v>
      </c>
      <c r="EE61" s="238">
        <f>IFERROR((INDEX(inputs_foran[sy_Boring],MATCH($DU61,inputs_foran[Position],0))),0)</f>
        <v>0</v>
      </c>
      <c r="EF61" s="238">
        <f>IFERROR((INDEX(inputs_foran[sy_Injeksjon],MATCH($DU61,inputs_foran[Position],0))),0)</f>
        <v>0</v>
      </c>
      <c r="EG61" s="238"/>
      <c r="EH61" s="239"/>
      <c r="EI61" s="239"/>
      <c r="EJ61" s="239"/>
      <c r="EK61" s="239"/>
      <c r="EL61" s="239"/>
      <c r="EM61" s="239"/>
      <c r="EN61" s="239"/>
      <c r="ER61" s="235">
        <v>4</v>
      </c>
      <c r="ES61" s="185">
        <f>'Inn stabilitet'!$AV$34</f>
        <v>0</v>
      </c>
      <c r="ET61" s="185">
        <f>'Inn stabilitet'!$AV$43</f>
        <v>0</v>
      </c>
      <c r="EU61" s="185">
        <f>'Inn stabilitet'!$AV$45</f>
        <v>0</v>
      </c>
      <c r="EV61" s="185">
        <f>'Inn stabilitet'!$AV$52</f>
        <v>0</v>
      </c>
      <c r="EW61" s="185">
        <f>'Inn stabilitet'!$AV$54</f>
        <v>0</v>
      </c>
      <c r="EX61" s="185">
        <f>'Inn stabilitet'!$AV$65</f>
        <v>0</v>
      </c>
      <c r="EY61" s="185">
        <f>'Inn stabilitet'!$AV$72</f>
        <v>0</v>
      </c>
      <c r="EZ61" s="185">
        <f>'Inn stabilitet'!$AV$79</f>
        <v>0</v>
      </c>
      <c r="FA61" s="193"/>
      <c r="FB61" s="185">
        <f>'Inn stabilitet'!$AV$36</f>
        <v>0</v>
      </c>
      <c r="FC61" s="185">
        <f>'Inn stabilitet'!$AV$56</f>
        <v>0</v>
      </c>
      <c r="FD61" s="247">
        <f>IF(inputs_stab[[#This Row],[sik_samlet]]&gt;$FD$53,$FD$53,IF(inputs_stab[[#This Row],[sik_samlet]]&lt;=$FD$53,inputs_stab[[#This Row],[sik_samlet]],0))</f>
        <v>0</v>
      </c>
      <c r="FE61" s="247">
        <f>IF(inputs_stab[[#This Row],[sik_samlet]]&gt;$FD$53,inputs_stab[[#This Row],[sik_samlet]]-$FD$53,0)</f>
        <v>0</v>
      </c>
      <c r="FM61" s="2617"/>
      <c r="FN61" s="2617"/>
      <c r="GH61" s="414"/>
      <c r="GJ61" s="2617"/>
      <c r="GK61" s="2617"/>
      <c r="GL61" s="2617"/>
      <c r="GM61" s="2617"/>
      <c r="GN61" s="2617"/>
      <c r="GO61" s="2617"/>
      <c r="GP61" s="2617"/>
      <c r="GQ61" s="2617"/>
      <c r="GR61" s="2617"/>
      <c r="GS61" s="2617"/>
      <c r="GT61" s="2617"/>
      <c r="GU61" s="2617"/>
      <c r="GV61" s="2617"/>
      <c r="GW61" s="2617"/>
      <c r="GX61" s="2617"/>
      <c r="GY61" s="2617"/>
      <c r="GZ61" s="2617"/>
      <c r="HA61" s="2617"/>
      <c r="HB61" s="2617"/>
      <c r="HC61" s="2617"/>
      <c r="IH61" s="1761">
        <v>5</v>
      </c>
      <c r="II61" s="1761"/>
      <c r="IJ61" s="1761" t="b">
        <f t="shared" si="54"/>
        <v>1</v>
      </c>
      <c r="IK61" s="5944" t="e">
        <f t="shared" si="55"/>
        <v>#N/A</v>
      </c>
      <c r="IL61" s="1761"/>
      <c r="IM61" s="1761"/>
      <c r="IN61" s="1761"/>
      <c r="IO61" s="1811" t="b">
        <f t="shared" si="38"/>
        <v>0</v>
      </c>
      <c r="IP61" s="3700" t="b">
        <f>IF(IO22=1,IP22,IF(IO22=3,_List!$EG$7))</f>
        <v>0</v>
      </c>
      <c r="IQ61" s="1811" t="b">
        <f t="shared" si="39"/>
        <v>0</v>
      </c>
      <c r="IR61" s="1811"/>
      <c r="IS61" s="3700" t="b">
        <f t="shared" si="40"/>
        <v>0</v>
      </c>
      <c r="IT61" s="1811" t="b">
        <f t="shared" si="41"/>
        <v>0</v>
      </c>
      <c r="IU61" s="1811" t="b">
        <f t="shared" si="41"/>
        <v>0</v>
      </c>
      <c r="IV61" s="3700" t="b">
        <f t="shared" si="42"/>
        <v>0</v>
      </c>
      <c r="IW61" s="1811" t="b">
        <f t="shared" si="43"/>
        <v>0</v>
      </c>
      <c r="IX61" s="1811" t="b">
        <f t="shared" si="43"/>
        <v>0</v>
      </c>
      <c r="IY61" s="3700" t="b">
        <f t="shared" si="44"/>
        <v>0</v>
      </c>
      <c r="IZ61" s="1811" t="b">
        <f t="shared" si="45"/>
        <v>0</v>
      </c>
      <c r="JA61" s="1811" t="b">
        <f t="shared" si="45"/>
        <v>0</v>
      </c>
      <c r="JB61" s="3700" t="b">
        <f t="shared" si="46"/>
        <v>0</v>
      </c>
      <c r="JC61" s="1811" t="b">
        <f t="shared" si="47"/>
        <v>0</v>
      </c>
      <c r="JD61" s="1811" t="b">
        <f t="shared" si="47"/>
        <v>0</v>
      </c>
      <c r="JE61" s="3700" t="b">
        <f t="shared" si="48"/>
        <v>0</v>
      </c>
      <c r="JF61" s="1811" t="b">
        <f t="shared" si="49"/>
        <v>0</v>
      </c>
      <c r="JG61" s="1811" t="b">
        <f t="shared" si="49"/>
        <v>0</v>
      </c>
      <c r="JH61" s="3700" t="b">
        <f t="shared" si="50"/>
        <v>0</v>
      </c>
      <c r="JI61" s="1811" t="b">
        <f t="shared" si="51"/>
        <v>0</v>
      </c>
      <c r="JJ61" s="1811" t="b">
        <f t="shared" si="51"/>
        <v>0</v>
      </c>
      <c r="JK61" s="3700" t="b">
        <f t="shared" si="52"/>
        <v>0</v>
      </c>
      <c r="JL61" s="1811" t="b">
        <f t="shared" si="53"/>
        <v>0</v>
      </c>
      <c r="JM61" s="2633" t="str">
        <f>IF(JW42=1,_List!$EG$7,IFERROR(outputs_just[[#This Row],[general_tid]]+outputs_just[[#This Row],[geo_tid]]+outputs_just[[#This Row],[stig_tid]]+outputs_just[[#This Row],[arb_tid]]+outputs_just[[#This Row],[spreng_tid]]+outputs_just[[#This Row],[skyte_tid]]+outputs_just[[#This Row],[støy_tid]]+outputs_just[[#This Row],[ann_tid]],0))</f>
        <v>Ingen</v>
      </c>
      <c r="JN61" s="1812" t="str">
        <f>IFERROR((INDEX(oppsum_position[Name],MATCH(outputs_just[[#This Row],[position]],oppsum_position[Position],0))),"")</f>
        <v/>
      </c>
      <c r="JO61" s="1811">
        <v>5</v>
      </c>
      <c r="JP61" s="1811">
        <f>IF($BC$34&gt;4,1,0)</f>
        <v>0</v>
      </c>
      <c r="JQ61" s="1811">
        <f>INDEX(outputs_position[21],MATCH($BC$35,outputs_position[lopstuff],0))</f>
        <v>0</v>
      </c>
      <c r="KO61" s="439" t="str">
        <f>$BB$52</f>
        <v>Stuff 1-4</v>
      </c>
      <c r="KP61" s="5281">
        <f>$LN$38</f>
        <v>1</v>
      </c>
      <c r="KQ61" s="185" t="b">
        <f>ISBLANK(Prosjektinfo!$Q$83)</f>
        <v>1</v>
      </c>
      <c r="KR61" s="843">
        <f>$BH$32</f>
        <v>0</v>
      </c>
      <c r="KS61" s="5205" t="b">
        <f>ISBLANK(Tunneldrift!$BO$139)</f>
        <v>1</v>
      </c>
      <c r="KT61" s="211">
        <f t="shared" si="56"/>
        <v>0</v>
      </c>
      <c r="KU61" s="199">
        <f>INDEX(tunneldrift_stuffcontrol[4],MATCH($BC$35,tunneldrift_stuffcontrol[løp_stuff],0))</f>
        <v>0</v>
      </c>
      <c r="KV61" s="199" t="b">
        <f>IF(tunneldrift_vekseldrift[[#This Row],[metode]]=2,ISBLANK(Tunneldrift!$BO$155))</f>
        <v>0</v>
      </c>
      <c r="KW61" s="211">
        <f>IFERROR(VALUE(Tunneldrift!$BO$155),0)</f>
        <v>0</v>
      </c>
      <c r="KX61" s="211" t="b">
        <f>IF(tunneldrift_vekseldrift[[#This Row],[Stuff_control]]=1,tunneldrift_vekseldrift[[#This Row],[En_stuff_input]])</f>
        <v>0</v>
      </c>
      <c r="KY61" s="211">
        <f>IF(AND(tunneldrift_vekseldrift[[#This Row],[En_stuff_input]]&lt;=tunneldrift_vekseldrift[[#This Row],[Input_stuff_lengde]],tunneldrift_vekseldrift[[#This Row],[Stuff_control]]=1),tunneldrift_vekseldrift[[#This Row],[Input_stuff_lengde]]-tunneldrift_vekseldrift[[#This Row],[en_stuff_lengde]],tunneldrift_vekseldrift[[#This Row],[Input_stuff_lengde]])</f>
        <v>0</v>
      </c>
      <c r="KZ61" s="5362" t="b">
        <f>ISBLANK(Tunneldrift!$BO$150)</f>
        <v>1</v>
      </c>
      <c r="LA61"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1" s="199">
        <f>IF(AND(tunneldrift_vekseldrift[[#This Row],[Enstuff_andel_CHECK_blank]]=FALSE,tunneldrift_vekseldrift[[#This Row],[En_stuff_input]]&gt;=0,tunneldrift_vekseldrift[[#This Row],[en_stuff_lengde]]&lt;tunneldrift_vekseldrift[[#This Row],[Input_stuff_lengde]],tunneldrift_vekseldrift[[#This Row],[gjenværende_lengde]]&lt;=KY65),1,0)</f>
        <v>0</v>
      </c>
      <c r="LC61" s="5287">
        <f>IF(tunneldrift_vekseldrift[[#This Row],[CHECK_løp_lengde]]=TRUE,0,IF(tunneldrift_vekseldrift[[#This Row],[metode]]=1,tunneldrift_vekseldrift[[#This Row],[CHECK_enstuff]],IF(tunneldrift_vekseldrift[[#This Row],[metode]]=2,tunneldrift_vekseldrift[[#This Row],[CHECK_veksel_nullsum]])))</f>
        <v>0</v>
      </c>
      <c r="LD61"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1"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1"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1" s="199">
        <f>IFERROR(tunneldrift_vekseldrift[[#This Row],[en_stuff_lengde_final]],"!")</f>
        <v>0</v>
      </c>
      <c r="LX61" s="5268"/>
      <c r="NI61" s="1567"/>
      <c r="OV61" s="183"/>
      <c r="OW61" s="183"/>
      <c r="OX61" s="183"/>
      <c r="OY61" s="183"/>
      <c r="PG61" s="184"/>
      <c r="PH61" s="184"/>
      <c r="PI61" s="184"/>
      <c r="PJ61" s="184"/>
      <c r="PK61" s="183"/>
      <c r="PL61" s="183"/>
      <c r="PM61" s="183"/>
      <c r="PO61" s="2617"/>
      <c r="PP61" s="2617"/>
      <c r="PQ61" s="2617"/>
      <c r="PR61" s="2617"/>
      <c r="PS61" s="2617"/>
      <c r="PT61" s="2617"/>
      <c r="PU61" s="2617"/>
      <c r="PV61" s="2617"/>
      <c r="PW61" s="2617"/>
      <c r="PX61" s="2617"/>
      <c r="PY61" s="2617"/>
      <c r="PZ61" s="2617"/>
      <c r="QA61" s="2617"/>
      <c r="QB61" s="2617"/>
      <c r="QC61" s="2617"/>
      <c r="QD61" s="2617"/>
      <c r="RO61" s="183"/>
      <c r="RQ61" s="183"/>
      <c r="RS61" s="210"/>
      <c r="RU61" s="210"/>
      <c r="RY61" s="433" t="s">
        <v>2746</v>
      </c>
      <c r="SF61" s="2617"/>
      <c r="SG61" s="2617"/>
      <c r="SH61" s="2617"/>
      <c r="SI61" s="2617"/>
      <c r="SJ61" s="2617"/>
      <c r="SK61" s="2617"/>
      <c r="SL61" s="2617"/>
      <c r="SM61" s="2617"/>
      <c r="SN61" s="2617"/>
      <c r="SO61" s="2617"/>
      <c r="SP61" s="2617"/>
      <c r="SQ61" s="2617"/>
      <c r="SR61" s="2617"/>
      <c r="SS61" s="2617"/>
      <c r="ST61" s="2617"/>
      <c r="SU61" s="2617"/>
      <c r="SV61" s="2617"/>
      <c r="SW61" s="2617"/>
      <c r="SX61" s="2617"/>
      <c r="SY61" s="2617"/>
      <c r="UK61" s="183"/>
      <c r="UL61" s="183"/>
      <c r="UM61" s="183"/>
      <c r="UN61" s="183"/>
      <c r="UO61" s="183"/>
      <c r="UP61" s="2617"/>
      <c r="UQ61" s="183"/>
      <c r="WG61" s="265"/>
      <c r="WH61" s="265"/>
      <c r="WI61" s="265"/>
      <c r="WJ61" s="265"/>
    </row>
    <row r="62" spans="9:608" ht="19.5" x14ac:dyDescent="0.3">
      <c r="I62" s="5565"/>
      <c r="J62" s="372"/>
      <c r="K62" s="372" t="s">
        <v>38</v>
      </c>
      <c r="L62" s="372" t="s">
        <v>38</v>
      </c>
      <c r="M62" s="372" t="s">
        <v>2416</v>
      </c>
      <c r="N62" s="372"/>
      <c r="O62" s="185"/>
      <c r="AH62" s="2617"/>
      <c r="AI62" s="2617"/>
      <c r="AJ62" s="2617"/>
      <c r="AK62" s="2617"/>
      <c r="AL62" s="2617"/>
      <c r="AM62" s="2617"/>
      <c r="AN62" s="2617"/>
      <c r="AO62" s="2617"/>
      <c r="AP62" s="2617"/>
      <c r="AQ62" s="2617"/>
      <c r="AR62" s="2617"/>
      <c r="AS62" s="2617"/>
      <c r="AT62" s="2617"/>
      <c r="AU62" s="2617"/>
      <c r="BB62" s="276" t="s">
        <v>324</v>
      </c>
      <c r="BC62" s="281"/>
      <c r="BO62" s="21"/>
      <c r="BP62" s="21"/>
      <c r="CM62" s="3432"/>
      <c r="CN62" s="5373"/>
      <c r="CO62" s="5373"/>
      <c r="CP62" s="5373"/>
      <c r="CQ62" s="5373"/>
      <c r="CR62" s="5373"/>
      <c r="CS62" s="5373"/>
      <c r="CT62" s="3434"/>
      <c r="CU62" s="3434"/>
      <c r="CV62" s="3434"/>
      <c r="CW62" s="3434"/>
      <c r="CX62" s="3434"/>
      <c r="CY62" s="3434"/>
      <c r="CZ62" s="3434"/>
      <c r="DA62" s="3434"/>
      <c r="DB62" s="3434"/>
      <c r="DC62" s="3434"/>
      <c r="DD62" s="3434"/>
      <c r="DE62" s="3434"/>
      <c r="DF62" s="3434"/>
      <c r="DG62" s="3434"/>
      <c r="DH62" s="3434"/>
      <c r="DI62" s="3434"/>
      <c r="DJ62" s="3434"/>
      <c r="DK62" s="3434"/>
      <c r="DL62" s="3434"/>
      <c r="DM62" s="3434"/>
      <c r="DN62" s="3434"/>
      <c r="DO62" s="3434"/>
      <c r="DP62" s="3434"/>
      <c r="EH62" s="239"/>
      <c r="EI62" s="239"/>
      <c r="EJ62" s="239"/>
      <c r="EK62" s="239"/>
      <c r="EL62" s="239"/>
      <c r="EM62" s="239"/>
      <c r="EN62" s="239"/>
      <c r="ER62" s="235">
        <v>5</v>
      </c>
      <c r="ES62" s="185">
        <f>'Inn stabilitet'!$BD$34</f>
        <v>0</v>
      </c>
      <c r="ET62" s="185">
        <f>'Inn stabilitet'!$BD$43</f>
        <v>0</v>
      </c>
      <c r="EU62" s="185">
        <f>'Inn stabilitet'!$BD$45</f>
        <v>0</v>
      </c>
      <c r="EV62" s="185">
        <f>'Inn stabilitet'!$BD$52</f>
        <v>0</v>
      </c>
      <c r="EW62" s="185">
        <f>'Inn stabilitet'!$BD$54</f>
        <v>0</v>
      </c>
      <c r="EX62" s="185">
        <f>'Inn stabilitet'!$BD$65</f>
        <v>0</v>
      </c>
      <c r="EY62" s="185">
        <f>'Inn stabilitet'!$BD$72</f>
        <v>0</v>
      </c>
      <c r="EZ62" s="185">
        <f>'Inn stabilitet'!$BD$79</f>
        <v>0</v>
      </c>
      <c r="FA62" s="193"/>
      <c r="FB62" s="185">
        <f>'Inn stabilitet'!$BD$36</f>
        <v>0</v>
      </c>
      <c r="FC62" s="185">
        <f>'Inn stabilitet'!$BD$56</f>
        <v>0</v>
      </c>
      <c r="FD62" s="247">
        <f>IF(inputs_stab[[#This Row],[sik_samlet]]&gt;$FD$53,$FD$53,IF(inputs_stab[[#This Row],[sik_samlet]]&lt;=$FD$53,inputs_stab[[#This Row],[sik_samlet]],0))</f>
        <v>0</v>
      </c>
      <c r="FE62" s="247">
        <f>IF(inputs_stab[[#This Row],[sik_samlet]]&gt;$FD$53,inputs_stab[[#This Row],[sik_samlet]]-$FD$53,0)</f>
        <v>0</v>
      </c>
      <c r="FM62" s="2617"/>
      <c r="FN62" s="2617"/>
      <c r="GH62" s="414"/>
      <c r="GJ62" s="2617"/>
      <c r="GK62" s="2617"/>
      <c r="GL62" s="2617"/>
      <c r="GM62" s="2617"/>
      <c r="GN62" s="2617"/>
      <c r="GO62" s="2617"/>
      <c r="GP62" s="2617"/>
      <c r="GQ62" s="2617"/>
      <c r="GR62" s="2617"/>
      <c r="GS62" s="2617"/>
      <c r="GT62" s="2617"/>
      <c r="GU62" s="2617"/>
      <c r="GV62" s="2617"/>
      <c r="GW62" s="2617"/>
      <c r="GX62" s="2617"/>
      <c r="GY62" s="2617"/>
      <c r="GZ62" s="2617"/>
      <c r="HA62" s="2617"/>
      <c r="HB62" s="2617"/>
      <c r="HC62" s="2617"/>
      <c r="IH62" s="1761">
        <v>6</v>
      </c>
      <c r="II62" s="1761"/>
      <c r="IJ62" s="1761" t="b">
        <f t="shared" si="54"/>
        <v>1</v>
      </c>
      <c r="IK62" s="5944" t="e">
        <f t="shared" si="55"/>
        <v>#N/A</v>
      </c>
      <c r="IL62" s="1761"/>
      <c r="IM62" s="1761"/>
      <c r="IN62" s="1761"/>
      <c r="IO62" s="1811" t="b">
        <f t="shared" si="38"/>
        <v>0</v>
      </c>
      <c r="IP62" s="3700" t="b">
        <f>IF(IO23=1,IP23,IF(IO23=3,_List!$EG$7))</f>
        <v>0</v>
      </c>
      <c r="IQ62" s="1811" t="b">
        <f t="shared" si="39"/>
        <v>0</v>
      </c>
      <c r="IR62" s="1811"/>
      <c r="IS62" s="3700" t="b">
        <f t="shared" si="40"/>
        <v>0</v>
      </c>
      <c r="IT62" s="1811" t="b">
        <f t="shared" si="41"/>
        <v>0</v>
      </c>
      <c r="IU62" s="1811" t="b">
        <f t="shared" si="41"/>
        <v>0</v>
      </c>
      <c r="IV62" s="3700" t="b">
        <f t="shared" si="42"/>
        <v>0</v>
      </c>
      <c r="IW62" s="1811" t="b">
        <f t="shared" si="43"/>
        <v>0</v>
      </c>
      <c r="IX62" s="1811" t="b">
        <f t="shared" si="43"/>
        <v>0</v>
      </c>
      <c r="IY62" s="3700" t="b">
        <f t="shared" si="44"/>
        <v>0</v>
      </c>
      <c r="IZ62" s="1811" t="b">
        <f t="shared" si="45"/>
        <v>0</v>
      </c>
      <c r="JA62" s="1811" t="b">
        <f t="shared" si="45"/>
        <v>0</v>
      </c>
      <c r="JB62" s="3700" t="b">
        <f t="shared" si="46"/>
        <v>0</v>
      </c>
      <c r="JC62" s="1811" t="b">
        <f t="shared" si="47"/>
        <v>0</v>
      </c>
      <c r="JD62" s="1811" t="b">
        <f t="shared" si="47"/>
        <v>0</v>
      </c>
      <c r="JE62" s="3700" t="b">
        <f t="shared" si="48"/>
        <v>0</v>
      </c>
      <c r="JF62" s="1811" t="b">
        <f t="shared" si="49"/>
        <v>0</v>
      </c>
      <c r="JG62" s="1811" t="b">
        <f t="shared" si="49"/>
        <v>0</v>
      </c>
      <c r="JH62" s="3700" t="b">
        <f t="shared" si="50"/>
        <v>0</v>
      </c>
      <c r="JI62" s="1811" t="b">
        <f t="shared" si="51"/>
        <v>0</v>
      </c>
      <c r="JJ62" s="1811" t="b">
        <f t="shared" si="51"/>
        <v>0</v>
      </c>
      <c r="JK62" s="3700" t="b">
        <f t="shared" si="52"/>
        <v>0</v>
      </c>
      <c r="JL62" s="1811" t="b">
        <f t="shared" si="53"/>
        <v>0</v>
      </c>
      <c r="JM62" s="2633" t="str">
        <f>IF(JW43=1,_List!$EG$7,IFERROR(outputs_just[[#This Row],[general_tid]]+outputs_just[[#This Row],[geo_tid]]+outputs_just[[#This Row],[stig_tid]]+outputs_just[[#This Row],[arb_tid]]+outputs_just[[#This Row],[spreng_tid]]+outputs_just[[#This Row],[skyte_tid]]+outputs_just[[#This Row],[støy_tid]]+outputs_just[[#This Row],[ann_tid]],0))</f>
        <v>Ingen</v>
      </c>
      <c r="JN62" s="1812" t="str">
        <f>IFERROR((INDEX(oppsum_position[Name],MATCH(outputs_just[[#This Row],[position]],oppsum_position[Position],0))),"")</f>
        <v/>
      </c>
      <c r="JO62" s="1811">
        <v>6</v>
      </c>
      <c r="JP62" s="1811">
        <f>IF($BC$34&gt;5,1,0)</f>
        <v>0</v>
      </c>
      <c r="JQ62" s="1811">
        <f>INDEX(outputs_position[22],MATCH($BC$35,outputs_position[lopstuff],0))</f>
        <v>0</v>
      </c>
      <c r="KO62" s="439" t="str">
        <f>$BB$53</f>
        <v>Stuff 2-1</v>
      </c>
      <c r="KP62" s="5281">
        <f>$LO$38</f>
        <v>1</v>
      </c>
      <c r="KQ62" s="185" t="b">
        <f>ISBLANK(Prosjektinfo!$Q$90)</f>
        <v>1</v>
      </c>
      <c r="KR62" s="843">
        <f>$BH$33</f>
        <v>0</v>
      </c>
      <c r="KS62" s="5205" t="b">
        <f>ISBLANK(Tunneldrift!$AD$171)</f>
        <v>0</v>
      </c>
      <c r="KT62" s="211">
        <f t="shared" si="56"/>
        <v>0</v>
      </c>
      <c r="KU62" s="199">
        <f>INDEX(tunneldrift_stuffcontrol[5],MATCH($BC$35,tunneldrift_stuffcontrol[løp_stuff],0))</f>
        <v>0</v>
      </c>
      <c r="KV62" s="199" t="b">
        <f>IF(tunneldrift_vekseldrift[[#This Row],[metode]]=2,ISBLANK(Tunneldrift!$AD$182))</f>
        <v>0</v>
      </c>
      <c r="KW62" s="211">
        <f>IFERROR(VALUE(Tunneldrift!$AD$182),0)</f>
        <v>0</v>
      </c>
      <c r="KX62" s="211" t="b">
        <f>IF(tunneldrift_vekseldrift[[#This Row],[Stuff_control]]=1,tunneldrift_vekseldrift[[#This Row],[Input_stuff_lengde]]-tunneldrift_vekseldrift[[#This Row],[gjenværende_lengde]])</f>
        <v>0</v>
      </c>
      <c r="KY62" s="211" t="str">
        <f>IF(AND(tunneldrift_vekseldrift[[#This Row],[Stuff_control]]=1,KY58&lt;=tunneldrift_vekseldrift[[#This Row],[Input_stuff_lengde]]),KY58,IF(AND(tunneldrift_vekseldrift[[#This Row],[Stuff_control]]=1,KY58&gt;tunneldrift_vekseldrift[[#This Row],[Input_stuff_lengde]]),tunneldrift_vekseldrift[[#This Row],[Input_stuff_lengde]],"!"))</f>
        <v>!</v>
      </c>
      <c r="KZ62" s="5362" t="b">
        <f>ISBLANK(Tunneldrift!$AD$171)</f>
        <v>0</v>
      </c>
      <c r="LA62"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2" s="199">
        <f>IF(AND(tunneldrift_vekseldrift[[#This Row],[Enstuff_andel_CHECK_blank]]=FALSE,tunneldrift_vekseldrift[[#This Row],[En_stuff_input]]&gt;=0,tunneldrift_vekseldrift[[#This Row],[en_stuff_lengde]]&lt;tunneldrift_vekseldrift[[#This Row],[Input_stuff_lengde]]),1,0)</f>
        <v>0</v>
      </c>
      <c r="LC62" s="5287">
        <f>IF(tunneldrift_vekseldrift[[#This Row],[CHECK_løp_lengde]]=TRUE,0,IF(tunneldrift_vekseldrift[[#This Row],[metode]]=1,tunneldrift_vekseldrift[[#This Row],[CHECK_enstuff]],IF(tunneldrift_vekseldrift[[#This Row],[metode]]=2,tunneldrift_vekseldrift[[#This Row],[CHECK_veksel_nullsum]])))</f>
        <v>0</v>
      </c>
      <c r="LD62"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2"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2"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2" s="199">
        <f>IFERROR(tunneldrift_vekseldrift[[#This Row],[en_stuff_lengde_final]],"!")</f>
        <v>0</v>
      </c>
      <c r="LX62" s="5268"/>
      <c r="NI62" s="1567"/>
      <c r="OV62" s="183"/>
      <c r="OW62" s="183"/>
      <c r="OX62" s="183"/>
      <c r="OY62" s="183"/>
      <c r="PG62" s="184"/>
      <c r="PH62" s="184"/>
      <c r="PI62" s="184"/>
      <c r="PJ62" s="184"/>
      <c r="PK62" s="183"/>
      <c r="PL62" s="183"/>
      <c r="PM62" s="183"/>
      <c r="PO62" s="2617"/>
      <c r="PP62" s="2617"/>
      <c r="PQ62" s="2617"/>
      <c r="PR62" s="2617"/>
      <c r="PS62" s="2617"/>
      <c r="PT62" s="2617"/>
      <c r="PU62" s="2617"/>
      <c r="PV62" s="2617"/>
      <c r="PW62" s="2617"/>
      <c r="PX62" s="2617"/>
      <c r="PY62" s="2617"/>
      <c r="PZ62" s="2617"/>
      <c r="QA62" s="2617"/>
      <c r="QB62" s="2617"/>
      <c r="QC62" s="2617"/>
      <c r="QD62" s="2617"/>
      <c r="RO62" s="183"/>
      <c r="RQ62" s="183"/>
      <c r="RS62" s="210"/>
      <c r="RU62" s="210"/>
      <c r="SF62" s="2617"/>
      <c r="SG62" s="2617"/>
      <c r="SH62" s="2617"/>
      <c r="SI62" s="2617"/>
      <c r="SJ62" s="2617"/>
      <c r="SK62" s="2617"/>
      <c r="SL62" s="2617"/>
      <c r="SM62" s="2617"/>
      <c r="SN62" s="2617"/>
      <c r="SO62" s="2617"/>
      <c r="SP62" s="2617"/>
      <c r="SQ62" s="2617"/>
      <c r="SR62" s="2617"/>
      <c r="SS62" s="2617"/>
      <c r="ST62" s="2617"/>
      <c r="SU62" s="2617"/>
      <c r="SV62" s="2617"/>
      <c r="SW62" s="2617"/>
      <c r="SX62" s="2617"/>
      <c r="SY62" s="2617"/>
      <c r="UK62" s="183"/>
      <c r="UL62" s="183"/>
      <c r="UM62" s="183"/>
      <c r="UN62" s="183"/>
      <c r="UO62" s="183"/>
      <c r="UP62" s="2617"/>
      <c r="UQ62" s="183"/>
      <c r="WG62" s="265"/>
      <c r="WH62" s="265"/>
      <c r="WI62" s="265"/>
      <c r="WJ62" s="265"/>
    </row>
    <row r="63" spans="9:608" ht="30.75" x14ac:dyDescent="0.3">
      <c r="I63" s="5565"/>
      <c r="J63" s="372"/>
      <c r="K63" s="372"/>
      <c r="L63" s="372" t="s">
        <v>2497</v>
      </c>
      <c r="M63" s="372" t="s">
        <v>2415</v>
      </c>
      <c r="N63" s="372"/>
      <c r="O63" s="185"/>
      <c r="AT63" s="2617"/>
      <c r="AU63" s="2617"/>
      <c r="AV63" s="2617"/>
      <c r="BB63" s="240"/>
      <c r="CM63" s="3432"/>
      <c r="CN63" s="5373"/>
      <c r="CO63" s="5373"/>
      <c r="CP63" s="5373"/>
      <c r="CQ63" s="5373"/>
      <c r="CR63" s="5373"/>
      <c r="CS63" s="5373"/>
      <c r="CT63" s="3434"/>
      <c r="CU63" s="3434"/>
      <c r="CV63" s="3434"/>
      <c r="CW63" s="3434"/>
      <c r="CX63" s="3434"/>
      <c r="CY63" s="3434"/>
      <c r="CZ63" s="3434"/>
      <c r="DA63" s="3434"/>
      <c r="DB63" s="3434"/>
      <c r="DC63" s="3434"/>
      <c r="DD63" s="3434"/>
      <c r="DE63" s="3434"/>
      <c r="DF63" s="3434"/>
      <c r="DG63" s="3434"/>
      <c r="DH63" s="3434"/>
      <c r="DI63" s="3434"/>
      <c r="DJ63" s="3434"/>
      <c r="DK63" s="3434"/>
      <c r="DL63" s="3434"/>
      <c r="DM63" s="3434"/>
      <c r="DN63" s="3434"/>
      <c r="DO63" s="3434"/>
      <c r="DP63" s="3434"/>
      <c r="ER63" s="235">
        <v>6</v>
      </c>
      <c r="ES63" s="185">
        <f>'Inn stabilitet'!$BL$34</f>
        <v>0</v>
      </c>
      <c r="ET63" s="185">
        <f>'Inn stabilitet'!$BL$43</f>
        <v>0</v>
      </c>
      <c r="EU63" s="185">
        <f>'Inn stabilitet'!$BL$45</f>
        <v>0</v>
      </c>
      <c r="EV63" s="185">
        <f>'Inn stabilitet'!$BL$52</f>
        <v>0</v>
      </c>
      <c r="EW63" s="185">
        <f>'Inn stabilitet'!$BL$54</f>
        <v>0</v>
      </c>
      <c r="EX63" s="185">
        <f>'Inn stabilitet'!$BL$65</f>
        <v>0</v>
      </c>
      <c r="EY63" s="185">
        <f>'Inn stabilitet'!$BL$72</f>
        <v>0</v>
      </c>
      <c r="EZ63" s="185">
        <f>'Inn stabilitet'!$BL$79</f>
        <v>0</v>
      </c>
      <c r="FA63" s="193"/>
      <c r="FB63" s="185">
        <f>'Inn stabilitet'!$BL$36</f>
        <v>0</v>
      </c>
      <c r="FC63" s="185">
        <f>'Inn stabilitet'!$BL$56</f>
        <v>0</v>
      </c>
      <c r="FD63" s="247">
        <f>IF(inputs_stab[[#This Row],[sik_samlet]]&gt;$FD$53,$FD$53,IF(inputs_stab[[#This Row],[sik_samlet]]&lt;=$FD$53,inputs_stab[[#This Row],[sik_samlet]],0))</f>
        <v>0</v>
      </c>
      <c r="FE63" s="247">
        <f>IF(inputs_stab[[#This Row],[sik_samlet]]&gt;$FD$53,inputs_stab[[#This Row],[sik_samlet]]-$FD$53,0)</f>
        <v>0</v>
      </c>
      <c r="FF63" s="239"/>
      <c r="FG63" s="239"/>
      <c r="FH63" s="239"/>
      <c r="FI63" s="239"/>
      <c r="FJ63" s="239"/>
      <c r="FK63" s="239"/>
      <c r="FL63" s="239"/>
      <c r="FM63" s="2617"/>
      <c r="FN63" s="2617"/>
      <c r="GH63" s="414"/>
      <c r="GJ63" s="419" t="s">
        <v>450</v>
      </c>
      <c r="GK63" s="417"/>
      <c r="GL63" s="417"/>
      <c r="GM63" s="417"/>
      <c r="GN63" s="3701"/>
      <c r="GO63" s="3701"/>
      <c r="GP63" s="2617"/>
      <c r="GQ63" s="2617"/>
      <c r="GR63" s="2617"/>
      <c r="GS63" s="2617"/>
      <c r="GT63" s="2617"/>
      <c r="GU63" s="2617"/>
      <c r="GV63" s="2617"/>
      <c r="GW63" s="2617"/>
      <c r="GX63" s="2617"/>
      <c r="GY63" s="2617"/>
      <c r="GZ63" s="2617"/>
      <c r="HA63" s="2617"/>
      <c r="HB63" s="2617"/>
      <c r="HC63" s="2617"/>
      <c r="IH63" s="1761">
        <v>7</v>
      </c>
      <c r="II63" s="1761"/>
      <c r="IJ63" s="1761" t="b">
        <f t="shared" si="54"/>
        <v>1</v>
      </c>
      <c r="IK63" s="5944" t="e">
        <f t="shared" si="55"/>
        <v>#N/A</v>
      </c>
      <c r="IL63" s="1761"/>
      <c r="IM63" s="1761"/>
      <c r="IN63" s="1761"/>
      <c r="IO63" s="1811" t="b">
        <f t="shared" si="38"/>
        <v>0</v>
      </c>
      <c r="IP63" s="3700" t="b">
        <f>IF(IO24=1,IP24,IF(IO24=3,_List!$EG$7))</f>
        <v>0</v>
      </c>
      <c r="IQ63" s="1811" t="b">
        <f t="shared" si="39"/>
        <v>0</v>
      </c>
      <c r="IR63" s="1811"/>
      <c r="IS63" s="3700" t="b">
        <f t="shared" si="40"/>
        <v>0</v>
      </c>
      <c r="IT63" s="1811" t="b">
        <f t="shared" si="41"/>
        <v>0</v>
      </c>
      <c r="IU63" s="1811" t="b">
        <f t="shared" si="41"/>
        <v>0</v>
      </c>
      <c r="IV63" s="3700" t="b">
        <f t="shared" si="42"/>
        <v>0</v>
      </c>
      <c r="IW63" s="1811" t="b">
        <f t="shared" si="43"/>
        <v>0</v>
      </c>
      <c r="IX63" s="1811" t="b">
        <f t="shared" si="43"/>
        <v>0</v>
      </c>
      <c r="IY63" s="3700" t="b">
        <f t="shared" si="44"/>
        <v>0</v>
      </c>
      <c r="IZ63" s="1811" t="b">
        <f t="shared" si="45"/>
        <v>0</v>
      </c>
      <c r="JA63" s="1811" t="b">
        <f t="shared" si="45"/>
        <v>0</v>
      </c>
      <c r="JB63" s="3700" t="b">
        <f t="shared" si="46"/>
        <v>0</v>
      </c>
      <c r="JC63" s="1811" t="b">
        <f t="shared" si="47"/>
        <v>0</v>
      </c>
      <c r="JD63" s="1811" t="b">
        <f t="shared" si="47"/>
        <v>0</v>
      </c>
      <c r="JE63" s="3700" t="b">
        <f t="shared" si="48"/>
        <v>0</v>
      </c>
      <c r="JF63" s="1811" t="b">
        <f t="shared" si="49"/>
        <v>0</v>
      </c>
      <c r="JG63" s="1811" t="b">
        <f t="shared" si="49"/>
        <v>0</v>
      </c>
      <c r="JH63" s="3700" t="b">
        <f t="shared" si="50"/>
        <v>0</v>
      </c>
      <c r="JI63" s="1811" t="b">
        <f t="shared" si="51"/>
        <v>0</v>
      </c>
      <c r="JJ63" s="1811" t="b">
        <f t="shared" si="51"/>
        <v>0</v>
      </c>
      <c r="JK63" s="3700" t="b">
        <f t="shared" si="52"/>
        <v>0</v>
      </c>
      <c r="JL63" s="1811" t="b">
        <f t="shared" si="53"/>
        <v>0</v>
      </c>
      <c r="JM63" s="2633" t="str">
        <f>IF(JW44=1,_List!$EG$7,IFERROR(outputs_just[[#This Row],[general_tid]]+outputs_just[[#This Row],[geo_tid]]+outputs_just[[#This Row],[stig_tid]]+outputs_just[[#This Row],[arb_tid]]+outputs_just[[#This Row],[spreng_tid]]+outputs_just[[#This Row],[skyte_tid]]+outputs_just[[#This Row],[støy_tid]]+outputs_just[[#This Row],[ann_tid]],0))</f>
        <v>Ingen</v>
      </c>
      <c r="JN63" s="1812" t="str">
        <f>IFERROR((INDEX(oppsum_position[Name],MATCH(outputs_just[[#This Row],[position]],oppsum_position[Position],0))),"")</f>
        <v/>
      </c>
      <c r="JO63" s="1811">
        <v>7</v>
      </c>
      <c r="JP63" s="1811">
        <f>IF($BC$34&gt;6,1,0)</f>
        <v>0</v>
      </c>
      <c r="JQ63" s="1811">
        <f>INDEX(outputs_position[23],MATCH($BC$35,outputs_position[lopstuff],0))</f>
        <v>0</v>
      </c>
      <c r="KO63" s="439" t="str">
        <f>$BB$54</f>
        <v>Stuff 2-2</v>
      </c>
      <c r="KP63" s="5281">
        <f>$LP$38</f>
        <v>1</v>
      </c>
      <c r="KQ63" s="185" t="b">
        <f>ISBLANK(Prosjektinfo!$Q$90)</f>
        <v>1</v>
      </c>
      <c r="KR63" s="843">
        <f>$BH$33</f>
        <v>0</v>
      </c>
      <c r="KS63" s="5205" t="b">
        <f>ISBLANK(Tunneldrift!$AO$171)</f>
        <v>1</v>
      </c>
      <c r="KT63" s="211">
        <f t="shared" si="56"/>
        <v>0</v>
      </c>
      <c r="KU63" s="199">
        <f>INDEX(tunneldrift_stuffcontrol[6],MATCH($BC$35,tunneldrift_stuffcontrol[løp_stuff],0))</f>
        <v>0</v>
      </c>
      <c r="KV63" s="199" t="b">
        <f>IF(tunneldrift_vekseldrift[[#This Row],[metode]]=2,ISBLANK(Tunneldrift!$AO$182))</f>
        <v>0</v>
      </c>
      <c r="KW63" s="211">
        <f>IFERROR(VALUE(Tunneldrift!$AO$182),0)</f>
        <v>0</v>
      </c>
      <c r="KX63" s="211" t="b">
        <f>IF(tunneldrift_vekseldrift[[#This Row],[Stuff_control]]=1,tunneldrift_vekseldrift[[#This Row],[Input_stuff_lengde]]-tunneldrift_vekseldrift[[#This Row],[gjenværende_lengde]])</f>
        <v>0</v>
      </c>
      <c r="KY63" s="211" t="str">
        <f>IF(AND(tunneldrift_vekseldrift[[#This Row],[Stuff_control]]=1,KY59&lt;=tunneldrift_vekseldrift[[#This Row],[Input_stuff_lengde]]),KY59,IF(AND(tunneldrift_vekseldrift[[#This Row],[Stuff_control]]=1,KY59&gt;tunneldrift_vekseldrift[[#This Row],[Input_stuff_lengde]]),tunneldrift_vekseldrift[[#This Row],[Input_stuff_lengde]],"!"))</f>
        <v>!</v>
      </c>
      <c r="KZ63" s="5362" t="b">
        <f>ISBLANK(Tunneldrift!$AO$171)</f>
        <v>1</v>
      </c>
      <c r="LA63"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3" s="199">
        <f>IF(AND(tunneldrift_vekseldrift[[#This Row],[Enstuff_andel_CHECK_blank]]=FALSE,tunneldrift_vekseldrift[[#This Row],[En_stuff_input]]&gt;=0,tunneldrift_vekseldrift[[#This Row],[en_stuff_lengde]]&lt;tunneldrift_vekseldrift[[#This Row],[Input_stuff_lengde]]),1,0)</f>
        <v>0</v>
      </c>
      <c r="LC63" s="5287">
        <f>IF(tunneldrift_vekseldrift[[#This Row],[CHECK_løp_lengde]]=TRUE,0,IF(tunneldrift_vekseldrift[[#This Row],[metode]]=1,tunneldrift_vekseldrift[[#This Row],[CHECK_enstuff]],IF(tunneldrift_vekseldrift[[#This Row],[metode]]=2,tunneldrift_vekseldrift[[#This Row],[CHECK_veksel_nullsum]])))</f>
        <v>0</v>
      </c>
      <c r="LD63"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3"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3"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3" s="199">
        <f>IFERROR(tunneldrift_vekseldrift[[#This Row],[en_stuff_lengde_final]],"!")</f>
        <v>0</v>
      </c>
      <c r="LX63" s="5268"/>
      <c r="NI63" s="1567"/>
      <c r="NN63" s="433" t="s">
        <v>2008</v>
      </c>
      <c r="PH63" s="184"/>
      <c r="PJ63" s="183"/>
      <c r="PK63" s="183"/>
      <c r="PR63" s="2617"/>
      <c r="PS63" s="2617"/>
      <c r="PT63" s="2617"/>
      <c r="PU63" s="2617"/>
      <c r="PV63" s="2617"/>
      <c r="PW63" s="2617"/>
      <c r="PX63" s="2617"/>
      <c r="PY63" s="2617"/>
      <c r="PZ63" s="2617"/>
      <c r="QA63" s="2617"/>
      <c r="QB63" s="2617"/>
      <c r="QC63" s="2617"/>
      <c r="QD63" s="2617"/>
      <c r="QE63" s="2617"/>
      <c r="QF63" s="2617"/>
      <c r="RY63" s="372" t="s">
        <v>2745</v>
      </c>
      <c r="RZ63" s="372" t="s">
        <v>2744</v>
      </c>
      <c r="SB63" s="2617"/>
      <c r="SC63" s="2617"/>
      <c r="SD63" s="2617"/>
      <c r="SE63" s="2617"/>
      <c r="SF63" s="2617"/>
      <c r="SG63" s="2617"/>
      <c r="SH63" s="2617"/>
      <c r="SI63" s="2617"/>
      <c r="SJ63" s="2617"/>
      <c r="SK63" s="2617"/>
      <c r="SL63" s="2617"/>
      <c r="SM63" s="2617"/>
      <c r="SN63" s="2617"/>
      <c r="SO63" s="2617"/>
      <c r="SP63" s="2617"/>
      <c r="SQ63" s="2617"/>
      <c r="SR63" s="2617"/>
      <c r="SS63" s="2617"/>
      <c r="ST63" s="2617"/>
      <c r="SU63" s="2617"/>
      <c r="SV63" s="2617"/>
      <c r="SW63" s="2617"/>
      <c r="SX63" s="2617"/>
      <c r="SY63" s="2617"/>
      <c r="UK63" s="183"/>
      <c r="UL63" s="183"/>
      <c r="UM63" s="183"/>
      <c r="UN63" s="183"/>
      <c r="UO63" s="183"/>
      <c r="UP63" s="2617"/>
      <c r="UQ63" s="183"/>
    </row>
    <row r="64" spans="9:608" ht="30.75" x14ac:dyDescent="0.2">
      <c r="I64" s="5564"/>
      <c r="J64" s="185"/>
      <c r="K64" s="185"/>
      <c r="L64" s="185" t="s">
        <v>2496</v>
      </c>
      <c r="M64" s="185" t="s">
        <v>2524</v>
      </c>
      <c r="N64" s="185" t="s">
        <v>1213</v>
      </c>
      <c r="O64" s="185"/>
      <c r="AH64" s="385" t="s">
        <v>847</v>
      </c>
      <c r="AI64" s="385"/>
      <c r="AJ64" s="385"/>
      <c r="AK64" s="5202"/>
      <c r="AL64" s="5202"/>
      <c r="AM64" s="5202"/>
      <c r="AN64" s="5202"/>
      <c r="AO64" s="5202"/>
      <c r="AP64" s="5256"/>
      <c r="AQ64" s="5202"/>
      <c r="AR64" s="5256"/>
      <c r="AS64" s="5202"/>
      <c r="AT64" s="2617"/>
      <c r="AU64" s="2617"/>
      <c r="AV64" s="2617"/>
      <c r="BB64" s="283" t="s">
        <v>329</v>
      </c>
      <c r="CM64" s="3432"/>
      <c r="CN64" s="5373"/>
      <c r="CO64" s="5373"/>
      <c r="CP64" s="5373"/>
      <c r="CQ64" s="5373"/>
      <c r="CR64" s="5373"/>
      <c r="CS64" s="5373"/>
      <c r="CT64" s="3434"/>
      <c r="CU64" s="3434"/>
      <c r="CV64" s="3434"/>
      <c r="CW64" s="3434"/>
      <c r="CX64" s="3434"/>
      <c r="CY64" s="3434"/>
      <c r="CZ64" s="3434"/>
      <c r="DA64" s="3434"/>
      <c r="DB64" s="3434"/>
      <c r="DC64" s="3434"/>
      <c r="DD64" s="3434"/>
      <c r="DE64" s="3434"/>
      <c r="DF64" s="3434"/>
      <c r="DG64" s="3434"/>
      <c r="DH64" s="3434"/>
      <c r="DI64" s="3434"/>
      <c r="DJ64" s="3434"/>
      <c r="DK64" s="3434"/>
      <c r="DL64" s="3434"/>
      <c r="DM64" s="3434"/>
      <c r="DN64" s="3434"/>
      <c r="DO64" s="3434"/>
      <c r="DP64" s="3434"/>
      <c r="DT64" s="357" t="s">
        <v>208</v>
      </c>
      <c r="DU64" s="185" t="s">
        <v>293</v>
      </c>
      <c r="DV64" s="185"/>
      <c r="DW64" s="241">
        <f t="shared" ref="DW64:EF64" si="57">DW51+DW61</f>
        <v>0</v>
      </c>
      <c r="DX64" s="241">
        <f t="shared" si="57"/>
        <v>0</v>
      </c>
      <c r="DY64" s="241">
        <f t="shared" si="57"/>
        <v>0</v>
      </c>
      <c r="DZ64" s="241">
        <f t="shared" si="57"/>
        <v>0</v>
      </c>
      <c r="EA64" s="241">
        <f t="shared" si="57"/>
        <v>0</v>
      </c>
      <c r="EB64" s="241">
        <f t="shared" si="57"/>
        <v>0</v>
      </c>
      <c r="EC64" s="241"/>
      <c r="ED64" s="241">
        <f t="shared" si="57"/>
        <v>0</v>
      </c>
      <c r="EE64" s="241">
        <f t="shared" si="57"/>
        <v>0</v>
      </c>
      <c r="EF64" s="241">
        <f t="shared" si="57"/>
        <v>0</v>
      </c>
      <c r="EG64" s="241"/>
      <c r="EH64" s="241"/>
      <c r="EI64" s="241"/>
      <c r="EJ64" s="241"/>
      <c r="EK64" s="241"/>
      <c r="ER64" s="235">
        <v>7</v>
      </c>
      <c r="ES64" s="185">
        <f>'Inn stabilitet'!$BT$34</f>
        <v>0</v>
      </c>
      <c r="ET64" s="185">
        <f>'Inn stabilitet'!$BT$43</f>
        <v>0</v>
      </c>
      <c r="EU64" s="185">
        <f>'Inn stabilitet'!$BT$45</f>
        <v>0</v>
      </c>
      <c r="EV64" s="185">
        <f>'Inn stabilitet'!$BT$52</f>
        <v>0</v>
      </c>
      <c r="EW64" s="185">
        <f>'Inn stabilitet'!$BT$54</f>
        <v>0</v>
      </c>
      <c r="EX64" s="185">
        <f>'Inn stabilitet'!$BT$65</f>
        <v>0</v>
      </c>
      <c r="EY64" s="185">
        <f>'Inn stabilitet'!$BT$72</f>
        <v>0</v>
      </c>
      <c r="EZ64" s="185">
        <f>'Inn stabilitet'!$BT$79</f>
        <v>0</v>
      </c>
      <c r="FA64" s="193"/>
      <c r="FB64" s="185">
        <f>'Inn stabilitet'!$BT$36</f>
        <v>0</v>
      </c>
      <c r="FC64" s="185">
        <f>'Inn stabilitet'!$BT$56</f>
        <v>0</v>
      </c>
      <c r="FD64" s="247">
        <f>IF(inputs_stab[[#This Row],[sik_samlet]]&gt;$FD$53,$FD$53,IF(inputs_stab[[#This Row],[sik_samlet]]&lt;=$FD$53,inputs_stab[[#This Row],[sik_samlet]],0))</f>
        <v>0</v>
      </c>
      <c r="FE64" s="247">
        <f>IF(inputs_stab[[#This Row],[sik_samlet]]&gt;$FD$53,inputs_stab[[#This Row],[sik_samlet]]-$FD$53,0)</f>
        <v>0</v>
      </c>
      <c r="FF64" s="239"/>
      <c r="FG64" s="239"/>
      <c r="FH64" s="239"/>
      <c r="FI64" s="239"/>
      <c r="FJ64" s="239"/>
      <c r="FK64" s="239"/>
      <c r="FL64" s="239"/>
      <c r="FM64" s="2617"/>
      <c r="FN64" s="2617"/>
      <c r="GH64" s="414"/>
      <c r="GJ64" s="2617"/>
      <c r="GK64" s="2617"/>
      <c r="GL64" s="2617"/>
      <c r="GM64" s="2617"/>
      <c r="GN64" s="2617"/>
      <c r="GO64" s="2617"/>
      <c r="GP64" s="2617"/>
      <c r="GQ64" s="2617"/>
      <c r="GR64" s="2617"/>
      <c r="GS64" s="2617"/>
      <c r="GT64" s="2617"/>
      <c r="GU64" s="2617"/>
      <c r="GV64" s="2617"/>
      <c r="GW64" s="2617"/>
      <c r="GX64" s="2617"/>
      <c r="GY64" s="2617"/>
      <c r="GZ64" s="2617"/>
      <c r="HA64" s="2617"/>
      <c r="HB64" s="2617"/>
      <c r="HC64" s="2617"/>
      <c r="HM64" s="207"/>
      <c r="HN64" s="207"/>
      <c r="HO64" s="207"/>
      <c r="HP64" s="207"/>
      <c r="HQ64" s="207"/>
      <c r="HR64" s="207"/>
      <c r="IH64" s="1761">
        <v>8</v>
      </c>
      <c r="II64" s="1761"/>
      <c r="IJ64" s="1761" t="b">
        <f t="shared" si="54"/>
        <v>1</v>
      </c>
      <c r="IK64" s="5944" t="e">
        <f t="shared" si="55"/>
        <v>#N/A</v>
      </c>
      <c r="IL64" s="1761"/>
      <c r="IM64" s="1761"/>
      <c r="IN64" s="1761"/>
      <c r="IO64" s="1811" t="b">
        <f t="shared" si="38"/>
        <v>0</v>
      </c>
      <c r="IP64" s="3700" t="b">
        <f>IF(IO25=1,IP25,IF(IO25=3,_List!$EG$7))</f>
        <v>0</v>
      </c>
      <c r="IQ64" s="1811" t="b">
        <f t="shared" si="39"/>
        <v>0</v>
      </c>
      <c r="IR64" s="1811"/>
      <c r="IS64" s="3700" t="b">
        <f t="shared" si="40"/>
        <v>0</v>
      </c>
      <c r="IT64" s="1811" t="b">
        <f t="shared" si="41"/>
        <v>0</v>
      </c>
      <c r="IU64" s="1811" t="b">
        <f t="shared" si="41"/>
        <v>0</v>
      </c>
      <c r="IV64" s="3700" t="b">
        <f t="shared" si="42"/>
        <v>0</v>
      </c>
      <c r="IW64" s="1811" t="b">
        <f t="shared" si="43"/>
        <v>0</v>
      </c>
      <c r="IX64" s="1811" t="b">
        <f t="shared" si="43"/>
        <v>0</v>
      </c>
      <c r="IY64" s="3700" t="b">
        <f t="shared" si="44"/>
        <v>0</v>
      </c>
      <c r="IZ64" s="1811" t="b">
        <f t="shared" si="45"/>
        <v>0</v>
      </c>
      <c r="JA64" s="1811" t="b">
        <f t="shared" si="45"/>
        <v>0</v>
      </c>
      <c r="JB64" s="3700" t="b">
        <f t="shared" si="46"/>
        <v>0</v>
      </c>
      <c r="JC64" s="1811" t="b">
        <f t="shared" si="47"/>
        <v>0</v>
      </c>
      <c r="JD64" s="1811" t="b">
        <f t="shared" si="47"/>
        <v>0</v>
      </c>
      <c r="JE64" s="3700" t="b">
        <f t="shared" si="48"/>
        <v>0</v>
      </c>
      <c r="JF64" s="1811" t="b">
        <f t="shared" si="49"/>
        <v>0</v>
      </c>
      <c r="JG64" s="1811" t="b">
        <f t="shared" si="49"/>
        <v>0</v>
      </c>
      <c r="JH64" s="3700" t="b">
        <f t="shared" si="50"/>
        <v>0</v>
      </c>
      <c r="JI64" s="1811" t="b">
        <f t="shared" si="51"/>
        <v>0</v>
      </c>
      <c r="JJ64" s="1811" t="b">
        <f t="shared" si="51"/>
        <v>0</v>
      </c>
      <c r="JK64" s="3700" t="b">
        <f t="shared" si="52"/>
        <v>0</v>
      </c>
      <c r="JL64" s="1811" t="b">
        <f t="shared" si="53"/>
        <v>0</v>
      </c>
      <c r="JM64" s="2633" t="str">
        <f>IF(JW45=1,_List!$EG$7,IFERROR(outputs_just[[#This Row],[general_tid]]+outputs_just[[#This Row],[geo_tid]]+outputs_just[[#This Row],[stig_tid]]+outputs_just[[#This Row],[arb_tid]]+outputs_just[[#This Row],[spreng_tid]]+outputs_just[[#This Row],[skyte_tid]]+outputs_just[[#This Row],[støy_tid]]+outputs_just[[#This Row],[ann_tid]],0))</f>
        <v>Ingen</v>
      </c>
      <c r="JN64" s="1812" t="str">
        <f>IFERROR((INDEX(oppsum_position[Name],MATCH(outputs_just[[#This Row],[position]],oppsum_position[Position],0))),"")</f>
        <v/>
      </c>
      <c r="JO64" s="1811">
        <v>8</v>
      </c>
      <c r="JP64" s="1811">
        <f>IF($BC$34&gt;7,1,0)</f>
        <v>0</v>
      </c>
      <c r="JQ64" s="1811">
        <f>INDEX(outputs_position[24],MATCH($BC$35,outputs_position[lopstuff],0))</f>
        <v>0</v>
      </c>
      <c r="KO64" s="439" t="str">
        <f>$BB$55</f>
        <v>Stuff 2-3</v>
      </c>
      <c r="KP64" s="5281">
        <f>$LQ$38</f>
        <v>1</v>
      </c>
      <c r="KQ64" s="185" t="b">
        <f>ISBLANK(Prosjektinfo!$Q$90)</f>
        <v>1</v>
      </c>
      <c r="KR64" s="843">
        <f>$BH$33</f>
        <v>0</v>
      </c>
      <c r="KS64" s="6111" t="b">
        <f>ISBLANK(Tunneldrift!$AZ$171)</f>
        <v>1</v>
      </c>
      <c r="KT64" s="211">
        <f t="shared" si="56"/>
        <v>0</v>
      </c>
      <c r="KU64" s="199">
        <f>INDEX(tunneldrift_stuffcontrol[7],MATCH($BC$35,tunneldrift_stuffcontrol[løp_stuff],0))</f>
        <v>0</v>
      </c>
      <c r="KV64" s="199" t="b">
        <f>IF(tunneldrift_vekseldrift[[#This Row],[metode]]=2,ISBLANK(Tunneldrift!$AZ$182))</f>
        <v>0</v>
      </c>
      <c r="KW64" s="211">
        <f>IFERROR(VALUE(Tunneldrift!$AZ$182),0)</f>
        <v>0</v>
      </c>
      <c r="KX64" s="211" t="b">
        <f>IF(tunneldrift_vekseldrift[[#This Row],[Stuff_control]]=1,tunneldrift_vekseldrift[[#This Row],[Input_stuff_lengde]]-tunneldrift_vekseldrift[[#This Row],[gjenværende_lengde]])</f>
        <v>0</v>
      </c>
      <c r="KY64" s="211" t="str">
        <f>IF(AND(tunneldrift_vekseldrift[[#This Row],[Stuff_control]]=1,KY60&lt;=tunneldrift_vekseldrift[[#This Row],[Input_stuff_lengde]]),KY60,IF(AND(tunneldrift_vekseldrift[[#This Row],[Stuff_control]]=1,KY60&gt;tunneldrift_vekseldrift[[#This Row],[Input_stuff_lengde]]),tunneldrift_vekseldrift[[#This Row],[Input_stuff_lengde]],"!"))</f>
        <v>!</v>
      </c>
      <c r="KZ64" s="6111" t="b">
        <f>ISBLANK(Tunneldrift!$AZ$171)</f>
        <v>1</v>
      </c>
      <c r="LA64"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4" s="199">
        <f>IF(AND(tunneldrift_vekseldrift[[#This Row],[Enstuff_andel_CHECK_blank]]=FALSE,tunneldrift_vekseldrift[[#This Row],[En_stuff_input]]&gt;=0,tunneldrift_vekseldrift[[#This Row],[en_stuff_lengde]]&lt;tunneldrift_vekseldrift[[#This Row],[Input_stuff_lengde]]),1,0)</f>
        <v>0</v>
      </c>
      <c r="LC64" s="5287">
        <f>IF(tunneldrift_vekseldrift[[#This Row],[CHECK_løp_lengde]]=TRUE,0,IF(tunneldrift_vekseldrift[[#This Row],[metode]]=1,tunneldrift_vekseldrift[[#This Row],[CHECK_enstuff]],IF(tunneldrift_vekseldrift[[#This Row],[metode]]=2,tunneldrift_vekseldrift[[#This Row],[CHECK_veksel_nullsum]])))</f>
        <v>0</v>
      </c>
      <c r="LD64"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4"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4"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4" s="199">
        <f>IFERROR(tunneldrift_vekseldrift[[#This Row],[en_stuff_lengde_final]],"!")</f>
        <v>0</v>
      </c>
      <c r="LX64" s="5268"/>
      <c r="NI64" s="1567"/>
      <c r="NN64" s="2617"/>
      <c r="NO64" s="2617"/>
      <c r="NP64" s="6119" t="s">
        <v>81</v>
      </c>
      <c r="NQ64" s="3702"/>
      <c r="NR64" s="3702"/>
      <c r="NS64" s="3702"/>
      <c r="NT64" s="3702"/>
      <c r="NU64" s="3702"/>
      <c r="NV64" s="3702"/>
      <c r="NW64" s="3702"/>
      <c r="NX64" s="6120" t="s">
        <v>2743</v>
      </c>
      <c r="NY64" s="6118"/>
      <c r="NZ64" s="6118"/>
      <c r="OA64" s="6118"/>
      <c r="OB64" s="6118"/>
      <c r="OC64" s="6118"/>
      <c r="OD64" s="6118"/>
      <c r="OE64" s="6118"/>
      <c r="OF64" s="6118"/>
      <c r="OG64" s="6118"/>
      <c r="OH64" s="6118"/>
      <c r="OI64" s="6118"/>
      <c r="OJ64" s="6118"/>
      <c r="OK64" s="6118"/>
      <c r="OL64" s="6118"/>
      <c r="OM64" s="6117" t="s">
        <v>322</v>
      </c>
      <c r="ON64" s="6115"/>
      <c r="OO64" s="6115"/>
      <c r="OP64" s="6115"/>
      <c r="OQ64" s="6115"/>
      <c r="OR64" s="6115"/>
      <c r="OS64" s="6115"/>
      <c r="OT64" s="6115"/>
      <c r="OU64" s="6115"/>
      <c r="OV64" s="6116"/>
      <c r="OW64" s="6116"/>
      <c r="OX64" s="6116"/>
      <c r="OY64" s="6116"/>
      <c r="OZ64" s="6116"/>
      <c r="PA64" s="6116"/>
      <c r="PB64" s="6116"/>
      <c r="PC64" s="6116"/>
      <c r="PD64" s="6116"/>
      <c r="PE64" s="6116"/>
      <c r="PF64" s="6115"/>
      <c r="PG64" s="6115"/>
      <c r="PH64" s="6115"/>
      <c r="PI64" s="6115"/>
      <c r="PJ64" s="6112" t="s">
        <v>2742</v>
      </c>
      <c r="PK64" s="6113"/>
      <c r="PL64" s="6113"/>
      <c r="PM64" s="6113"/>
      <c r="PN64" s="6113"/>
      <c r="PO64" s="6113"/>
      <c r="PP64" s="6113"/>
      <c r="PQ64" s="6113"/>
      <c r="PR64" s="6113"/>
      <c r="PS64" s="6113"/>
      <c r="PT64" s="6113"/>
      <c r="PU64" s="3445" t="s">
        <v>633</v>
      </c>
      <c r="PV64" s="2625"/>
      <c r="PW64" s="402"/>
      <c r="PX64" s="6124" t="s">
        <v>258</v>
      </c>
      <c r="PY64" s="6121"/>
      <c r="PZ64" s="6121"/>
      <c r="QA64" s="6121"/>
      <c r="QB64" s="6121"/>
      <c r="QC64" s="6121"/>
      <c r="QD64" s="6121"/>
      <c r="QE64" s="6121"/>
      <c r="QF64" s="6121"/>
      <c r="QG64" s="6121"/>
      <c r="QH64" s="6121"/>
      <c r="QI64" s="6121"/>
      <c r="QJ64" s="6121"/>
      <c r="QK64" s="6121"/>
      <c r="QL64" s="6121"/>
      <c r="QM64" s="6121"/>
      <c r="QN64" s="6121"/>
      <c r="QO64" s="207"/>
      <c r="QP64" s="207"/>
      <c r="QQ64" s="207"/>
      <c r="QR64" s="207"/>
      <c r="QS64" s="207"/>
      <c r="QT64" s="207"/>
      <c r="QU64" s="207"/>
      <c r="QV64" s="207"/>
      <c r="QW64" s="6122" t="s">
        <v>634</v>
      </c>
      <c r="QX64" s="207"/>
      <c r="QY64" s="207"/>
      <c r="QZ64" s="207"/>
      <c r="RA64" s="207"/>
      <c r="RB64" s="6123" t="s">
        <v>1610</v>
      </c>
      <c r="RC64" s="6123"/>
      <c r="RD64" s="207"/>
      <c r="RE64" s="207"/>
      <c r="RF64" s="207"/>
      <c r="RG64" s="207"/>
      <c r="RH64" s="207"/>
      <c r="RI64" s="207"/>
      <c r="RJ64" s="207"/>
      <c r="RK64" s="207"/>
      <c r="RL64" s="207"/>
      <c r="RM64" s="207"/>
      <c r="SB64" s="2617"/>
      <c r="SC64" s="2617"/>
      <c r="SD64" s="2617"/>
      <c r="SE64" s="2617"/>
      <c r="SF64" s="2617"/>
      <c r="SG64" s="2617"/>
      <c r="SH64" s="2617"/>
      <c r="SI64" s="2617"/>
      <c r="SJ64" s="2617"/>
      <c r="SK64" s="2617"/>
      <c r="SL64" s="2617"/>
      <c r="SM64" s="2617"/>
      <c r="SN64" s="2617"/>
      <c r="SO64" s="2617"/>
      <c r="SP64" s="2617"/>
      <c r="SQ64" s="2617"/>
      <c r="SR64" s="2617"/>
      <c r="SS64" s="2617"/>
      <c r="ST64" s="2617"/>
      <c r="SU64" s="2617"/>
      <c r="SV64" s="2617"/>
      <c r="SW64" s="2617"/>
      <c r="SX64" s="2617"/>
      <c r="SY64" s="2617"/>
      <c r="UK64" s="183"/>
      <c r="UL64" s="183"/>
      <c r="UM64" s="183"/>
      <c r="UN64" s="183"/>
      <c r="UO64" s="183"/>
      <c r="UP64" s="2617"/>
      <c r="UQ64" s="183"/>
      <c r="VA64" s="4"/>
    </row>
    <row r="65" spans="9:645" ht="30.75" x14ac:dyDescent="0.2">
      <c r="I65" s="5565"/>
      <c r="J65" s="372"/>
      <c r="K65" s="372" t="s">
        <v>105</v>
      </c>
      <c r="L65" s="372"/>
      <c r="M65" s="372" t="s">
        <v>40</v>
      </c>
      <c r="N65" s="372"/>
      <c r="O65" s="185"/>
      <c r="AP65" s="210"/>
      <c r="AR65" s="210"/>
      <c r="AT65" s="5252"/>
      <c r="AU65" s="5252"/>
      <c r="AV65" s="5252"/>
      <c r="CM65" s="3432"/>
      <c r="CN65" s="5373"/>
      <c r="CO65" s="5373"/>
      <c r="CP65" s="5373"/>
      <c r="CQ65" s="5373"/>
      <c r="CR65" s="5373"/>
      <c r="CS65" s="5373"/>
      <c r="CT65" s="3434"/>
      <c r="CU65" s="3434"/>
      <c r="CV65" s="3434"/>
      <c r="CW65" s="3434"/>
      <c r="CX65" s="3434"/>
      <c r="CY65" s="3434"/>
      <c r="CZ65" s="3434"/>
      <c r="DA65" s="3434"/>
      <c r="DB65" s="3434"/>
      <c r="DC65" s="3434"/>
      <c r="DD65" s="3434"/>
      <c r="DE65" s="3434"/>
      <c r="DF65" s="3434"/>
      <c r="DG65" s="3434"/>
      <c r="DH65" s="3434"/>
      <c r="DI65" s="3434"/>
      <c r="DJ65" s="3434"/>
      <c r="DK65" s="3434"/>
      <c r="DL65" s="3434"/>
      <c r="DM65" s="3434"/>
      <c r="DN65" s="3434"/>
      <c r="DO65" s="3434"/>
      <c r="DP65" s="3434"/>
      <c r="DT65" s="357" t="s">
        <v>208</v>
      </c>
      <c r="DU65" s="185" t="s">
        <v>294</v>
      </c>
      <c r="DV65" s="185"/>
      <c r="DW65" s="241">
        <f t="shared" ref="DW65:EF65" si="58">DW53+DW54+DW55+DW56+DW57+DW58+DW59+DW60+DW61</f>
        <v>0</v>
      </c>
      <c r="DX65" s="241">
        <f t="shared" si="58"/>
        <v>0</v>
      </c>
      <c r="DY65" s="241">
        <f t="shared" si="58"/>
        <v>0</v>
      </c>
      <c r="DZ65" s="241">
        <f t="shared" si="58"/>
        <v>0</v>
      </c>
      <c r="EA65" s="241">
        <f t="shared" si="58"/>
        <v>0</v>
      </c>
      <c r="EB65" s="241">
        <f t="shared" si="58"/>
        <v>0</v>
      </c>
      <c r="EC65" s="241"/>
      <c r="ED65" s="241">
        <f t="shared" si="58"/>
        <v>0</v>
      </c>
      <c r="EE65" s="241">
        <f t="shared" si="58"/>
        <v>0</v>
      </c>
      <c r="EF65" s="241">
        <f t="shared" si="58"/>
        <v>0</v>
      </c>
      <c r="EG65" s="241"/>
      <c r="EH65" s="241"/>
      <c r="EI65" s="241"/>
      <c r="EJ65" s="241"/>
      <c r="EK65" s="241"/>
      <c r="ER65" s="235">
        <v>8</v>
      </c>
      <c r="ES65" s="185">
        <f>'Inn stabilitet'!$CB$34</f>
        <v>0</v>
      </c>
      <c r="ET65" s="185">
        <f>'Inn stabilitet'!$CB$43</f>
        <v>0</v>
      </c>
      <c r="EU65" s="185">
        <f>'Inn stabilitet'!$CB$45</f>
        <v>0</v>
      </c>
      <c r="EV65" s="185">
        <f>'Inn stabilitet'!$CB$52</f>
        <v>0</v>
      </c>
      <c r="EW65" s="185">
        <f>'Inn stabilitet'!$CB$54</f>
        <v>0</v>
      </c>
      <c r="EX65" s="185">
        <f>'Inn stabilitet'!$CB$65</f>
        <v>0</v>
      </c>
      <c r="EY65" s="185">
        <f>'Inn stabilitet'!$CB$72</f>
        <v>0</v>
      </c>
      <c r="EZ65" s="185">
        <f>'Inn stabilitet'!$CB$79</f>
        <v>0</v>
      </c>
      <c r="FA65" s="193"/>
      <c r="FB65" s="185">
        <f>'Inn stabilitet'!$CB$36</f>
        <v>0</v>
      </c>
      <c r="FC65" s="185">
        <f>'Inn stabilitet'!$CB$56</f>
        <v>0</v>
      </c>
      <c r="FD65" s="247">
        <f>IF(inputs_stab[[#This Row],[sik_samlet]]&gt;$FD$53,$FD$53,IF(inputs_stab[[#This Row],[sik_samlet]]&lt;=$FD$53,inputs_stab[[#This Row],[sik_samlet]],0))</f>
        <v>0</v>
      </c>
      <c r="FE65" s="247">
        <f>IF(inputs_stab[[#This Row],[sik_samlet]]&gt;$FD$53,inputs_stab[[#This Row],[sik_samlet]]-$FD$53,0)</f>
        <v>0</v>
      </c>
      <c r="FF65" s="239"/>
      <c r="FG65" s="239"/>
      <c r="FH65" s="239"/>
      <c r="FI65" s="239"/>
      <c r="FJ65" s="239"/>
      <c r="FK65" s="239"/>
      <c r="FL65" s="239"/>
      <c r="FM65" s="2617"/>
      <c r="FN65" s="2617"/>
      <c r="GH65" s="414"/>
      <c r="GJ65" s="420" t="s">
        <v>353</v>
      </c>
      <c r="GK65" s="421"/>
      <c r="GL65" s="421"/>
      <c r="GM65" s="421"/>
      <c r="GN65" s="421"/>
      <c r="GO65" s="422" t="s">
        <v>443</v>
      </c>
      <c r="GP65" s="422"/>
      <c r="GQ65" s="422"/>
      <c r="GR65" s="422"/>
      <c r="GS65" s="2617"/>
      <c r="GT65" s="2617"/>
      <c r="GU65" s="2617"/>
      <c r="GV65" s="2617"/>
      <c r="GW65" s="2617"/>
      <c r="GX65" s="2617"/>
      <c r="GY65" s="2617"/>
      <c r="GZ65" s="2617"/>
      <c r="HA65" s="2617"/>
      <c r="HB65" s="2617"/>
      <c r="HC65" s="2617"/>
      <c r="IH65" s="1763">
        <v>9</v>
      </c>
      <c r="II65" s="1763"/>
      <c r="IJ65" s="1761" t="b">
        <f t="shared" si="54"/>
        <v>1</v>
      </c>
      <c r="IK65" s="5944" t="e">
        <f t="shared" si="55"/>
        <v>#N/A</v>
      </c>
      <c r="IL65" s="1763"/>
      <c r="IM65" s="1763"/>
      <c r="IN65" s="1763"/>
      <c r="IO65" s="1814" t="b">
        <f t="shared" si="38"/>
        <v>0</v>
      </c>
      <c r="IP65" s="3700" t="b">
        <f>IF(IO26=1,IP26,IF(IO26=3,_List!$EG$7))</f>
        <v>0</v>
      </c>
      <c r="IQ65" s="1814" t="b">
        <f t="shared" si="39"/>
        <v>0</v>
      </c>
      <c r="IR65" s="1814"/>
      <c r="IS65" s="3700" t="b">
        <f t="shared" si="40"/>
        <v>0</v>
      </c>
      <c r="IT65" s="1814" t="b">
        <f t="shared" si="41"/>
        <v>0</v>
      </c>
      <c r="IU65" s="1814" t="b">
        <f t="shared" si="41"/>
        <v>0</v>
      </c>
      <c r="IV65" s="3700" t="b">
        <f t="shared" si="42"/>
        <v>0</v>
      </c>
      <c r="IW65" s="1814" t="b">
        <f t="shared" si="43"/>
        <v>0</v>
      </c>
      <c r="IX65" s="1814" t="b">
        <f t="shared" si="43"/>
        <v>0</v>
      </c>
      <c r="IY65" s="3700" t="b">
        <f t="shared" si="44"/>
        <v>0</v>
      </c>
      <c r="IZ65" s="1814" t="b">
        <f t="shared" si="45"/>
        <v>0</v>
      </c>
      <c r="JA65" s="1814" t="b">
        <f t="shared" si="45"/>
        <v>0</v>
      </c>
      <c r="JB65" s="3700" t="b">
        <f t="shared" si="46"/>
        <v>0</v>
      </c>
      <c r="JC65" s="1814" t="b">
        <f t="shared" si="47"/>
        <v>0</v>
      </c>
      <c r="JD65" s="1814" t="b">
        <f t="shared" si="47"/>
        <v>0</v>
      </c>
      <c r="JE65" s="3700" t="b">
        <f t="shared" si="48"/>
        <v>0</v>
      </c>
      <c r="JF65" s="1814" t="b">
        <f t="shared" si="49"/>
        <v>0</v>
      </c>
      <c r="JG65" s="1814" t="b">
        <f t="shared" si="49"/>
        <v>0</v>
      </c>
      <c r="JH65" s="3700" t="b">
        <f t="shared" si="50"/>
        <v>0</v>
      </c>
      <c r="JI65" s="1814" t="b">
        <f t="shared" si="51"/>
        <v>0</v>
      </c>
      <c r="JJ65" s="1814" t="b">
        <f t="shared" si="51"/>
        <v>0</v>
      </c>
      <c r="JK65" s="3700" t="b">
        <f t="shared" si="52"/>
        <v>0</v>
      </c>
      <c r="JL65" s="1814" t="b">
        <f t="shared" si="53"/>
        <v>0</v>
      </c>
      <c r="JM65" s="2633" t="str">
        <f>IF(JW46=1,_List!$EG$7,IFERROR(outputs_just[[#This Row],[general_tid]]+outputs_just[[#This Row],[geo_tid]]+outputs_just[[#This Row],[stig_tid]]+outputs_just[[#This Row],[arb_tid]]+outputs_just[[#This Row],[spreng_tid]]+outputs_just[[#This Row],[skyte_tid]]+outputs_just[[#This Row],[støy_tid]]+outputs_just[[#This Row],[ann_tid]],0))</f>
        <v>Ingen</v>
      </c>
      <c r="JN65" s="1812" t="str">
        <f>IFERROR((INDEX(oppsum_position[Name],MATCH(outputs_just[[#This Row],[position]],oppsum_position[Position],0))),"")</f>
        <v/>
      </c>
      <c r="JO65" s="1814">
        <v>9</v>
      </c>
      <c r="JP65" s="1814">
        <f>$BC$36</f>
        <v>0</v>
      </c>
      <c r="JQ65" s="1814">
        <f>INDEX(outputs_position[Tverrslag],MATCH($BC$35,outputs_position[lopstuff],0))</f>
        <v>0</v>
      </c>
      <c r="KO65" s="465" t="str">
        <f>$BB$56</f>
        <v>Stuff 2-4</v>
      </c>
      <c r="KP65" s="5282">
        <f>$LR$38</f>
        <v>1</v>
      </c>
      <c r="KQ65" s="246" t="b">
        <f>ISBLANK(Prosjektinfo!$Q$90)</f>
        <v>1</v>
      </c>
      <c r="KR65" s="843">
        <f>$BH$33</f>
        <v>0</v>
      </c>
      <c r="KS65" s="5280" t="b">
        <f>ISBLANK(Tunneldrift!$BO$171)</f>
        <v>1</v>
      </c>
      <c r="KT65" s="412">
        <f t="shared" si="56"/>
        <v>0</v>
      </c>
      <c r="KU65" s="1574">
        <f>INDEX(tunneldrift_stuffcontrol[8],MATCH($BC$35,tunneldrift_stuffcontrol[løp_stuff],0))</f>
        <v>0</v>
      </c>
      <c r="KV65" s="1574" t="b">
        <f>IF(tunneldrift_vekseldrift[[#This Row],[metode]]=2,ISBLANK(Tunneldrift!$BO$182))</f>
        <v>0</v>
      </c>
      <c r="KW65" s="412">
        <f>IFERROR(VALUE(Tunneldrift!$BO$182),0)</f>
        <v>0</v>
      </c>
      <c r="KX65" s="211" t="b">
        <f>IF(tunneldrift_vekseldrift[[#This Row],[Stuff_control]]=1,tunneldrift_vekseldrift[[#This Row],[Input_stuff_lengde]]-tunneldrift_vekseldrift[[#This Row],[gjenværende_lengde]])</f>
        <v>0</v>
      </c>
      <c r="KY65" s="211" t="str">
        <f>IF(AND(tunneldrift_vekseldrift[[#This Row],[Stuff_control]]=1,KY61&lt;=tunneldrift_vekseldrift[[#This Row],[Input_stuff_lengde]]),KY61,IF(AND(tunneldrift_vekseldrift[[#This Row],[Stuff_control]]=1,KY61&gt;tunneldrift_vekseldrift[[#This Row],[Input_stuff_lengde]]),tunneldrift_vekseldrift[[#This Row],[Input_stuff_lengde]],"!"))</f>
        <v>!</v>
      </c>
      <c r="KZ65" s="5280" t="b">
        <f>ISBLANK(Tunneldrift!$BO$171)</f>
        <v>1</v>
      </c>
      <c r="LA65"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5" s="199">
        <f>IF(AND(tunneldrift_vekseldrift[[#This Row],[Enstuff_andel_CHECK_blank]]=FALSE,tunneldrift_vekseldrift[[#This Row],[En_stuff_input]]&gt;=0,tunneldrift_vekseldrift[[#This Row],[en_stuff_lengde]]&lt;tunneldrift_vekseldrift[[#This Row],[Input_stuff_lengde]]),1,0)</f>
        <v>0</v>
      </c>
      <c r="LC65" s="5287">
        <f>IF(tunneldrift_vekseldrift[[#This Row],[CHECK_løp_lengde]]=TRUE,0,IF(tunneldrift_vekseldrift[[#This Row],[metode]]=1,tunneldrift_vekseldrift[[#This Row],[CHECK_enstuff]],IF(tunneldrift_vekseldrift[[#This Row],[metode]]=2,tunneldrift_vekseldrift[[#This Row],[CHECK_veksel_nullsum]])))</f>
        <v>0</v>
      </c>
      <c r="LD65"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5"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5"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5" s="199">
        <f>IFERROR(tunneldrift_vekseldrift[[#This Row],[en_stuff_lengde_final]],"!")</f>
        <v>0</v>
      </c>
      <c r="LX65" s="5268"/>
      <c r="NI65" s="1567"/>
      <c r="PT65" s="6114"/>
      <c r="PV65" s="6114"/>
      <c r="QO65" s="190" t="s">
        <v>467</v>
      </c>
      <c r="QP65" s="190"/>
      <c r="QQ65" s="190"/>
      <c r="QR65" s="190"/>
      <c r="QS65" s="190"/>
      <c r="QT65" s="190"/>
      <c r="QU65" s="190"/>
      <c r="QV65" s="190"/>
      <c r="QW65" s="190"/>
      <c r="QX65" s="190"/>
      <c r="QY65" s="1804" t="s">
        <v>789</v>
      </c>
      <c r="QZ65" s="2970" t="s">
        <v>792</v>
      </c>
      <c r="RA65" s="2617"/>
      <c r="SB65" s="2617"/>
      <c r="SC65" s="2617"/>
      <c r="SD65" s="2617"/>
      <c r="SE65" s="2617"/>
      <c r="SF65" s="2617"/>
      <c r="SG65" s="2617"/>
      <c r="SH65" s="2617"/>
      <c r="SI65" s="2617"/>
      <c r="SJ65" s="2617"/>
      <c r="SK65" s="2617"/>
      <c r="SL65" s="2617"/>
      <c r="SM65" s="2617"/>
      <c r="SN65" s="2617"/>
      <c r="SO65" s="2617"/>
      <c r="SP65" s="2617"/>
      <c r="SQ65" s="2617"/>
      <c r="SR65" s="2617"/>
      <c r="SS65" s="2617"/>
      <c r="ST65" s="2617"/>
      <c r="SU65" s="2617"/>
      <c r="SV65" s="2617"/>
      <c r="SW65" s="2617"/>
      <c r="SX65" s="2617"/>
      <c r="SY65" s="2617"/>
      <c r="UN65" s="183"/>
      <c r="UO65" s="183"/>
      <c r="UP65" s="2617"/>
      <c r="UQ65" s="183"/>
    </row>
    <row r="66" spans="9:645" ht="15" x14ac:dyDescent="0.2">
      <c r="I66" s="5565"/>
      <c r="J66" s="372"/>
      <c r="K66" s="372" t="s">
        <v>2690</v>
      </c>
      <c r="L66" s="372"/>
      <c r="M66" s="372" t="s">
        <v>935</v>
      </c>
      <c r="N66" s="372"/>
      <c r="O66" s="185"/>
      <c r="AP66" s="210"/>
      <c r="AR66" s="210"/>
      <c r="AT66" s="2617"/>
      <c r="AU66" s="2617"/>
      <c r="AV66" s="2617"/>
      <c r="CM66" s="3432"/>
      <c r="CN66" s="5373"/>
      <c r="CO66" s="5373"/>
      <c r="CP66" s="5373"/>
      <c r="CQ66" s="5373"/>
      <c r="CR66" s="5373"/>
      <c r="CS66" s="5373"/>
      <c r="CT66" s="3434"/>
      <c r="CU66" s="3434"/>
      <c r="CV66" s="3434"/>
      <c r="CW66" s="3434"/>
      <c r="CX66" s="3434"/>
      <c r="CY66" s="3434"/>
      <c r="CZ66" s="3434"/>
      <c r="DA66" s="3434"/>
      <c r="DB66" s="3434"/>
      <c r="DC66" s="3434"/>
      <c r="DD66" s="3434"/>
      <c r="DE66" s="3434"/>
      <c r="DF66" s="3434"/>
      <c r="DG66" s="3434"/>
      <c r="DH66" s="3434"/>
      <c r="DI66" s="3434"/>
      <c r="DJ66" s="3434"/>
      <c r="DK66" s="3434"/>
      <c r="DL66" s="3434"/>
      <c r="DM66" s="3434"/>
      <c r="DN66" s="3434"/>
      <c r="DO66" s="3434"/>
      <c r="DP66" s="3434"/>
      <c r="ER66" s="303">
        <v>9</v>
      </c>
      <c r="ES66" s="246">
        <f>'Inn stabilitet'!$CJ$34</f>
        <v>0</v>
      </c>
      <c r="ET66" s="246">
        <f>'Inn stabilitet'!$CJ$43</f>
        <v>0</v>
      </c>
      <c r="EU66" s="246">
        <f>'Inn stabilitet'!$CJ$45</f>
        <v>0</v>
      </c>
      <c r="EV66" s="246">
        <f>'Inn stabilitet'!$CJ$52</f>
        <v>0</v>
      </c>
      <c r="EW66" s="246">
        <f>'Inn stabilitet'!$CJ$54</f>
        <v>0</v>
      </c>
      <c r="EX66" s="246">
        <f>'Inn stabilitet'!$CJ$65</f>
        <v>0</v>
      </c>
      <c r="EY66" s="246">
        <f>'Inn stabilitet'!$CJ$72</f>
        <v>0</v>
      </c>
      <c r="EZ66" s="246">
        <f>'Inn stabilitet'!$CJ$79</f>
        <v>0</v>
      </c>
      <c r="FA66" s="304"/>
      <c r="FB66" s="246">
        <f>'Inn stabilitet'!$CJ$36</f>
        <v>0</v>
      </c>
      <c r="FC66" s="246">
        <f>'Inn stabilitet'!$CJ$56</f>
        <v>0</v>
      </c>
      <c r="FD66" s="247">
        <f>IF(inputs_stab[[#This Row],[sik_samlet]]&gt;$FD$53,$FD$53,IF(inputs_stab[[#This Row],[sik_samlet]]&lt;=$FD$53,inputs_stab[[#This Row],[sik_samlet]],0))</f>
        <v>0</v>
      </c>
      <c r="FE66" s="247">
        <f>IF(inputs_stab[[#This Row],[sik_samlet]]&gt;$FD$53,inputs_stab[[#This Row],[sik_samlet]]-$FD$53,0)</f>
        <v>0</v>
      </c>
      <c r="FF66" s="239"/>
      <c r="FG66" s="239"/>
      <c r="FH66" s="239"/>
      <c r="FI66" s="239"/>
      <c r="FJ66" s="239"/>
      <c r="FK66" s="239"/>
      <c r="FL66" s="239"/>
      <c r="FM66" s="2617"/>
      <c r="FN66" s="2617"/>
      <c r="GH66" s="414"/>
      <c r="GJ66" s="249" t="s">
        <v>257</v>
      </c>
      <c r="GK66" s="247" t="s">
        <v>283</v>
      </c>
      <c r="GL66" s="247" t="s">
        <v>284</v>
      </c>
      <c r="GM66" s="221" t="s">
        <v>285</v>
      </c>
      <c r="GN66" s="254" t="s">
        <v>48</v>
      </c>
      <c r="GO66" s="247" t="s">
        <v>440</v>
      </c>
      <c r="GP66" s="247" t="s">
        <v>147</v>
      </c>
      <c r="GQ66" s="248" t="s">
        <v>441</v>
      </c>
      <c r="GR66" s="247" t="s">
        <v>442</v>
      </c>
      <c r="GS66" s="2617"/>
      <c r="GT66" s="2617"/>
      <c r="GU66" s="2617"/>
      <c r="GV66" s="2617"/>
      <c r="GW66" s="2617"/>
      <c r="GX66" s="2617"/>
      <c r="GY66" s="2617"/>
      <c r="GZ66" s="2617"/>
      <c r="HA66" s="2617"/>
      <c r="HB66" s="2617"/>
      <c r="HC66" s="2617"/>
      <c r="HH66" s="185" t="s">
        <v>477</v>
      </c>
      <c r="HI66" s="185">
        <f>Tunneldrift!$F$74</f>
        <v>0</v>
      </c>
      <c r="HJ66" s="207"/>
      <c r="HK66" s="207"/>
      <c r="HL66" s="207"/>
      <c r="KO66" s="5279" t="str">
        <f>$BB$57</f>
        <v>Tverrslag</v>
      </c>
      <c r="KP66" s="5282">
        <f>$LS$38</f>
        <v>1</v>
      </c>
      <c r="KQ66" s="5280" t="b">
        <f>ISBLANK(Prosjektinfo!$Q$90)</f>
        <v>1</v>
      </c>
      <c r="KR66" s="5285">
        <f>BC57</f>
        <v>0</v>
      </c>
      <c r="KS66" s="5280" t="b">
        <f>ISBLANK(Tunneldrift!$AD$95)</f>
        <v>1</v>
      </c>
      <c r="KT66" s="412">
        <f t="shared" si="56"/>
        <v>0</v>
      </c>
      <c r="KU66" s="1574" t="b">
        <f>IF(BC36=1,1)</f>
        <v>0</v>
      </c>
      <c r="KV66" s="1574" t="b">
        <f>IF(tunneldrift_vekseldrift[[#This Row],[metode]]=2,ISBLANK(Tunneldrift!$AD$95))</f>
        <v>0</v>
      </c>
      <c r="KW66" s="412">
        <f>tunneldrift_vekseldrift[[#This Row],[Input_stuff_lengde]]</f>
        <v>0</v>
      </c>
      <c r="KX66" s="412" t="b">
        <f>IF(tunneldrift_vekseldrift[[#This Row],[Stuff_control]]=1,tunneldrift_vekseldrift[[#This Row],[En_stuff_input]])</f>
        <v>0</v>
      </c>
      <c r="KY66" s="412" t="b">
        <f>IF(tunneldrift_vekseldrift[[#This Row],[Stuff_control]]=1,tunneldrift_vekseldrift[[#This Row],[Input_stuff_lengde]]-tunneldrift_vekseldrift[[#This Row],[en_stuff_lengde]])</f>
        <v>0</v>
      </c>
      <c r="KZ66" s="412"/>
      <c r="LA66" s="234">
        <f>IF(AND(tunneldrift_vekseldrift[[#This Row],[CHECK_løp_lengde]]=FALSE,tunneldrift_vekseldrift[[#This Row],[CHECK_Stuff_lengde]]=FALSE,tunneldrift_vekseldrift[[#This Row],[Input_stuff_lengde]]&lt;=tunneldrift_vekseldrift[[#This Row],[løp_lengde]],tunneldrift_vekseldrift[[#This Row],[Input_stuff_lengde]]&gt;0),1,0)</f>
        <v>0</v>
      </c>
      <c r="LB66" s="199">
        <f>IF(AND(tunneldrift_vekseldrift[[#This Row],[Enstuff_andel_CHECK_blank]]=FALSE,tunneldrift_vekseldrift[[#This Row],[En_stuff_input]]&gt;=0,tunneldrift_vekseldrift[[#This Row],[en_stuff_lengde]]&lt;tunneldrift_vekseldrift[[#This Row],[Input_stuff_lengde]]),1,0)</f>
        <v>0</v>
      </c>
      <c r="LC66" s="5287">
        <f>IF(tunneldrift_vekseldrift[[#This Row],[CHECK_løp_lengde]]=TRUE,0,IF(tunneldrift_vekseldrift[[#This Row],[metode]]=1,tunneldrift_vekseldrift[[#This Row],[CHECK_enstuff]],IF(tunneldrift_vekseldrift[[#This Row],[metode]]=2,tunneldrift_vekseldrift[[#This Row],[CHECK_veksel_nullsum]])))</f>
        <v>0</v>
      </c>
      <c r="LD66" s="431" t="str">
        <f>IF(AND(tunneldrift_vekseldrift[[#This Row],[CHECK_løp_lengde]]=FALSE,tunneldrift_vekseldrift[[#This Row],[CHECK_Stuff_lengde]]=FALSE,tunneldrift_vekseldrift[[#This Row],[Input_stuff_lengde]]&gt;=tunneldrift_vekseldrift[[#This Row],[En_stuff_input]]),tunneldrift_vekseldrift[[#This Row],[gjenværende_lengde]],"!")</f>
        <v>!</v>
      </c>
      <c r="LE66" s="476">
        <f>IF(tunneldrift_vekseldrift[[#This Row],[metode]]=1,tunneldrift_vekseldrift[[#This Row],[Input_stuff_lengde]],IF(AND(tunneldrift_vekseldrift[[#This Row],[metode]]=2,tunneldrift_vekseldrift[[#This Row],[CHECK_veksel_nullsum]]=1),tunneldrift_vekseldrift[[#This Row],[en_stuff_lengde]],IF(AND(tunneldrift_vekseldrift[[#This Row],[metode]]=2,tunneldrift_vekseldrift[[#This Row],[Enstuff_andel_CHECK_blank]]=FALSE),tunneldrift_vekseldrift[[#This Row],[En_stuff_input]],"!")))</f>
        <v>0</v>
      </c>
      <c r="LF66" s="5288" t="str">
        <f>IF(tunneldrift_vekseldrift[[#This Row],[metode]]=1,"-",IF(AND(tunneldrift_vekseldrift[[#This Row],[metode]]=2,tunneldrift_vekseldrift[[#This Row],[CHECK_veksel_nullsum]]=1),tunneldrift_vekseldrift[[#This Row],[vekseldrift_lengde]],IF(AND(tunneldrift_vekseldrift[[#This Row],[metode]]=2,tunneldrift_vekseldrift[[#This Row],[Enstuff_andel_CHECK_blank]]=TRUE),tunneldrift_vekseldrift[[#This Row],[Input_stuff_lengde]],IF(AND(tunneldrift_vekseldrift[[#This Row],[metode]]=2,tunneldrift_vekseldrift[[#This Row],[CHECK_løp_lengde]]=FALSE,tunneldrift_vekseldrift[[#This Row],[CHECK_Stuff_lengde]]=FALSE,tunneldrift_vekseldrift[[#This Row],[CHECK_enstuff]]=0),tunneldrift_vekseldrift[[#This Row],[gjenværende_lengde]],IF(AND(tunneldrift_vekseldrift[[#This Row],[metode]]=2,tunneldrift_vekseldrift[[#This Row],[CHECK_veksel_nullsum]]=0),tunneldrift_vekseldrift[[#This Row],[vekseldrift_lengde]],"!")))))</f>
        <v>-</v>
      </c>
      <c r="LG66" s="199">
        <f>IFERROR(tunneldrift_vekseldrift[[#This Row],[en_stuff_lengde_final]],"!")</f>
        <v>0</v>
      </c>
      <c r="LX66" s="5268"/>
      <c r="NI66" s="1567"/>
      <c r="NL66" s="4200" t="s">
        <v>2006</v>
      </c>
      <c r="NN66" s="443" t="s">
        <v>658</v>
      </c>
      <c r="NO66" s="447" t="s">
        <v>2292</v>
      </c>
      <c r="NP66" s="447" t="s">
        <v>432</v>
      </c>
      <c r="NQ66" s="447" t="s">
        <v>310</v>
      </c>
      <c r="NR66" s="447" t="s">
        <v>311</v>
      </c>
      <c r="NS66" s="447" t="s">
        <v>313</v>
      </c>
      <c r="NT66" s="3836" t="s">
        <v>433</v>
      </c>
      <c r="NU66" s="3836" t="s">
        <v>430</v>
      </c>
      <c r="NV66" s="3836" t="s">
        <v>652</v>
      </c>
      <c r="NW66" s="3836" t="s">
        <v>653</v>
      </c>
      <c r="NX66" s="447" t="s">
        <v>0</v>
      </c>
      <c r="NY66" s="447" t="s">
        <v>1</v>
      </c>
      <c r="NZ66" s="447" t="s">
        <v>2</v>
      </c>
      <c r="OA66" s="447" t="s">
        <v>300</v>
      </c>
      <c r="OB66" s="447" t="s">
        <v>301</v>
      </c>
      <c r="OC66" s="1806" t="s">
        <v>302</v>
      </c>
      <c r="OD66" s="1806" t="s">
        <v>303</v>
      </c>
      <c r="OE66" s="1806" t="s">
        <v>304</v>
      </c>
      <c r="OF66" s="1806" t="s">
        <v>305</v>
      </c>
      <c r="OG66" s="1806" t="s">
        <v>306</v>
      </c>
      <c r="OH66" s="1806" t="s">
        <v>307</v>
      </c>
      <c r="OI66" s="3837" t="s">
        <v>655</v>
      </c>
      <c r="OJ66" s="3837" t="s">
        <v>654</v>
      </c>
      <c r="OK66" s="3837" t="s">
        <v>423</v>
      </c>
      <c r="OL66" s="3837" t="s">
        <v>424</v>
      </c>
      <c r="OM66" s="1806" t="s">
        <v>2025</v>
      </c>
      <c r="ON66" s="3848" t="s">
        <v>1598</v>
      </c>
      <c r="OO66" s="1806" t="s">
        <v>363</v>
      </c>
      <c r="OP66" s="1806" t="s">
        <v>364</v>
      </c>
      <c r="OQ66" s="1806" t="s">
        <v>927</v>
      </c>
      <c r="OR66" s="1806" t="s">
        <v>2620</v>
      </c>
      <c r="OS66" s="1806" t="s">
        <v>2621</v>
      </c>
      <c r="OT66" s="1806" t="s">
        <v>1044</v>
      </c>
      <c r="OU66" s="1806" t="s">
        <v>2630</v>
      </c>
      <c r="OV66" s="1806" t="s">
        <v>2629</v>
      </c>
      <c r="OW66" s="1806" t="s">
        <v>2631</v>
      </c>
      <c r="OX66" s="1806" t="s">
        <v>2024</v>
      </c>
      <c r="OY66" s="1806" t="s">
        <v>368</v>
      </c>
      <c r="OZ66" s="1806" t="s">
        <v>369</v>
      </c>
      <c r="PA66" s="1806" t="s">
        <v>370</v>
      </c>
      <c r="PB66" s="3838" t="s">
        <v>374</v>
      </c>
      <c r="PC66" s="3838" t="s">
        <v>375</v>
      </c>
      <c r="PD66" s="3838" t="s">
        <v>2039</v>
      </c>
      <c r="PE66" s="3838" t="s">
        <v>377</v>
      </c>
      <c r="PF66" s="3838" t="s">
        <v>378</v>
      </c>
      <c r="PG66" s="3838" t="s">
        <v>379</v>
      </c>
      <c r="PH66" s="3839" t="s">
        <v>656</v>
      </c>
      <c r="PI66" s="3839" t="s">
        <v>657</v>
      </c>
      <c r="PJ66" s="1806" t="s">
        <v>1243</v>
      </c>
      <c r="PK66" s="1806" t="s">
        <v>1260</v>
      </c>
      <c r="PL66" s="1806" t="s">
        <v>440</v>
      </c>
      <c r="PM66" s="1806" t="s">
        <v>147</v>
      </c>
      <c r="PN66" s="1806" t="s">
        <v>441</v>
      </c>
      <c r="PO66" s="3840" t="s">
        <v>442</v>
      </c>
      <c r="PP66" s="1806" t="s">
        <v>463</v>
      </c>
      <c r="PQ66" s="1806" t="s">
        <v>464</v>
      </c>
      <c r="PR66" s="1806" t="s">
        <v>465</v>
      </c>
      <c r="PS66" s="1806" t="s">
        <v>466</v>
      </c>
      <c r="PT66" s="1806" t="s">
        <v>1629</v>
      </c>
      <c r="PU66" s="1806" t="s">
        <v>638</v>
      </c>
      <c r="PV66" s="1661" t="s">
        <v>637</v>
      </c>
      <c r="PW66" s="1806" t="s">
        <v>651</v>
      </c>
      <c r="PX66" s="1657" t="s">
        <v>621</v>
      </c>
      <c r="PY66" s="1661" t="s">
        <v>1600</v>
      </c>
      <c r="PZ66" s="1659" t="s">
        <v>622</v>
      </c>
      <c r="QA66" s="1657" t="s">
        <v>710</v>
      </c>
      <c r="QB66" s="1661" t="s">
        <v>627</v>
      </c>
      <c r="QC66" s="1661" t="s">
        <v>629</v>
      </c>
      <c r="QD66" s="1667" t="s">
        <v>631</v>
      </c>
      <c r="QE66" s="1665" t="s">
        <v>628</v>
      </c>
      <c r="QF66" s="1665" t="s">
        <v>1628</v>
      </c>
      <c r="QG66" s="1665" t="s">
        <v>630</v>
      </c>
      <c r="QH66" s="3841" t="s">
        <v>636</v>
      </c>
      <c r="QI66" s="3842" t="s">
        <v>1634</v>
      </c>
      <c r="QJ66" s="3842" t="s">
        <v>1635</v>
      </c>
      <c r="QK66" s="3842" t="s">
        <v>800</v>
      </c>
      <c r="QL66" s="3843" t="s">
        <v>801</v>
      </c>
      <c r="QM66" s="3842" t="s">
        <v>802</v>
      </c>
      <c r="QN66" s="3843" t="s">
        <v>803</v>
      </c>
      <c r="QO66" s="3842" t="s">
        <v>793</v>
      </c>
      <c r="QP66" s="3843" t="s">
        <v>794</v>
      </c>
      <c r="QQ66" s="3843" t="s">
        <v>1627</v>
      </c>
      <c r="QR66" s="3844" t="s">
        <v>1609</v>
      </c>
      <c r="QS66" s="1657" t="s">
        <v>1596</v>
      </c>
      <c r="QT66" s="1657" t="s">
        <v>773</v>
      </c>
      <c r="QU66" s="1657" t="s">
        <v>774</v>
      </c>
      <c r="QV66" s="1657" t="s">
        <v>775</v>
      </c>
      <c r="QW66" s="1657" t="s">
        <v>776</v>
      </c>
      <c r="QX66" s="1657" t="s">
        <v>777</v>
      </c>
      <c r="QY66" s="1657" t="s">
        <v>778</v>
      </c>
      <c r="QZ66" s="1657" t="s">
        <v>779</v>
      </c>
      <c r="RA66" s="1657" t="s">
        <v>780</v>
      </c>
      <c r="RB66" s="1657" t="s">
        <v>781</v>
      </c>
      <c r="RC66" s="1806" t="s">
        <v>790</v>
      </c>
      <c r="RD66" s="3845" t="s">
        <v>791</v>
      </c>
      <c r="RE66" s="1806" t="s">
        <v>503</v>
      </c>
      <c r="RF66" s="1806" t="s">
        <v>502</v>
      </c>
      <c r="RG66" s="1806" t="s">
        <v>2361</v>
      </c>
      <c r="RH66" s="1806" t="s">
        <v>2339</v>
      </c>
      <c r="RI66" s="1806" t="s">
        <v>2670</v>
      </c>
      <c r="RJ66" s="1806" t="s">
        <v>2340</v>
      </c>
      <c r="RK66" s="1806" t="s">
        <v>2341</v>
      </c>
      <c r="RL66" s="1806" t="s">
        <v>2262</v>
      </c>
      <c r="RM66" s="1806" t="s">
        <v>2359</v>
      </c>
      <c r="RN66" s="1806" t="s">
        <v>2358</v>
      </c>
      <c r="RO66" s="1806" t="s">
        <v>635</v>
      </c>
      <c r="RP66" s="1806" t="s">
        <v>2386</v>
      </c>
      <c r="RQ66" s="1806" t="s">
        <v>2310</v>
      </c>
      <c r="RR66" s="1806" t="s">
        <v>2311</v>
      </c>
      <c r="RS66" s="1806" t="s">
        <v>1661</v>
      </c>
      <c r="RT66" s="1806" t="s">
        <v>1063</v>
      </c>
      <c r="RU66" s="1806" t="s">
        <v>1064</v>
      </c>
      <c r="RV66" s="1806" t="s">
        <v>618</v>
      </c>
      <c r="RW66" s="3865" t="s">
        <v>567</v>
      </c>
      <c r="RX66" s="3865" t="s">
        <v>568</v>
      </c>
      <c r="RY66" s="1806" t="s">
        <v>827</v>
      </c>
      <c r="RZ66" s="1806" t="s">
        <v>828</v>
      </c>
      <c r="SA66" s="1806" t="s">
        <v>1000</v>
      </c>
      <c r="SB66" s="1806" t="s">
        <v>999</v>
      </c>
      <c r="SC66" s="1806" t="s">
        <v>187</v>
      </c>
      <c r="SD66" s="1806" t="s">
        <v>1240</v>
      </c>
      <c r="SE66" s="1806" t="s">
        <v>1241</v>
      </c>
      <c r="SF66" s="1806" t="s">
        <v>1242</v>
      </c>
      <c r="SG66" s="2617"/>
      <c r="SH66" s="2617"/>
      <c r="SI66" s="2617"/>
      <c r="SJ66" s="2617"/>
      <c r="SR66" s="2617"/>
      <c r="SS66" s="2617"/>
      <c r="ST66" s="2617"/>
      <c r="SU66" s="2617"/>
      <c r="SV66" s="2617"/>
      <c r="SW66" s="2617"/>
      <c r="SX66" s="2617"/>
      <c r="SY66" s="2617"/>
      <c r="SZ66" s="2617"/>
      <c r="TA66" s="2617"/>
      <c r="TB66" s="2617"/>
      <c r="TC66" s="2617"/>
      <c r="TD66" s="2617"/>
      <c r="TR66" s="183"/>
      <c r="TW66" s="181"/>
      <c r="TX66" s="183"/>
      <c r="TY66" s="183"/>
      <c r="TZ66" s="183"/>
      <c r="UA66" s="183"/>
      <c r="UC66" s="181"/>
      <c r="UD66" s="181"/>
      <c r="UE66" s="181"/>
      <c r="UF66" s="181"/>
      <c r="UK66" s="183"/>
      <c r="UL66" s="183"/>
      <c r="UM66" s="183"/>
      <c r="UN66" s="183"/>
      <c r="UO66" s="183"/>
      <c r="UQ66" s="184"/>
      <c r="US66" s="183"/>
      <c r="UT66" s="183"/>
      <c r="UU66" s="2617"/>
      <c r="UV66" s="183"/>
      <c r="UX66" s="265"/>
      <c r="VA66" s="265"/>
      <c r="VC66" s="402"/>
      <c r="VF66"/>
      <c r="WG66" s="2617"/>
      <c r="WH66" s="2617"/>
      <c r="WI66" s="2617"/>
      <c r="WJ66" s="2617"/>
      <c r="WK66" s="2617"/>
      <c r="WL66" s="2617"/>
      <c r="WM66" s="2617"/>
      <c r="WN66" s="2617"/>
      <c r="WO66" s="2617"/>
      <c r="WP66" s="2617"/>
      <c r="WQ66" s="2617"/>
      <c r="WR66" s="2617"/>
      <c r="WS66" s="2617"/>
      <c r="WT66" s="2617"/>
      <c r="WU66" s="2617"/>
      <c r="WV66" s="2617"/>
      <c r="WW66" s="2617"/>
      <c r="WX66" s="2617"/>
      <c r="WY66" s="265"/>
      <c r="WZ66" s="265"/>
      <c r="XA66" s="265"/>
      <c r="XB66" s="265"/>
      <c r="XC66" s="265"/>
      <c r="XD66" s="265"/>
      <c r="XE66" s="265"/>
      <c r="XF66" s="265"/>
      <c r="XG66" s="265"/>
      <c r="XH66" s="265"/>
      <c r="XI66" s="265"/>
      <c r="XJ66" s="265"/>
      <c r="XK66" s="265"/>
      <c r="XL66" s="265"/>
      <c r="XM66" s="265"/>
      <c r="XN66" s="265"/>
      <c r="XO66" s="265"/>
      <c r="XP66" s="265"/>
      <c r="XQ66" s="265"/>
      <c r="XR66" s="265"/>
      <c r="XS66" s="265"/>
      <c r="XT66" s="265"/>
      <c r="XU66" s="265"/>
    </row>
    <row r="67" spans="9:645" ht="15" x14ac:dyDescent="0.2">
      <c r="I67" s="5565"/>
      <c r="J67" s="372"/>
      <c r="K67" s="372" t="s">
        <v>2691</v>
      </c>
      <c r="L67" s="372"/>
      <c r="M67" s="372" t="s">
        <v>1648</v>
      </c>
      <c r="N67" s="372"/>
      <c r="O67" s="185"/>
      <c r="AP67" s="210"/>
      <c r="AR67" s="210"/>
      <c r="AT67" s="2617"/>
      <c r="AU67" s="2617"/>
      <c r="AV67" s="2617"/>
      <c r="BC67" s="222"/>
      <c r="BD67" s="222" t="str">
        <f>$K$89</f>
        <v>Hele tunnelen</v>
      </c>
      <c r="BE67" s="222" t="s">
        <v>170</v>
      </c>
      <c r="BF67" s="222" t="s">
        <v>171</v>
      </c>
      <c r="BG67" s="222" t="s">
        <v>172</v>
      </c>
      <c r="BH67" s="222" t="s">
        <v>173</v>
      </c>
      <c r="BI67" s="194" t="s">
        <v>332</v>
      </c>
      <c r="BJ67" s="222" t="s">
        <v>183</v>
      </c>
      <c r="BK67" s="222" t="s">
        <v>184</v>
      </c>
      <c r="BL67" s="222" t="s">
        <v>185</v>
      </c>
      <c r="BM67" s="222" t="s">
        <v>186</v>
      </c>
      <c r="BN67" s="222" t="s">
        <v>279</v>
      </c>
      <c r="BO67" s="2614" t="str">
        <f>$QW$135</f>
        <v>Tverrslag</v>
      </c>
      <c r="BP67" s="191"/>
      <c r="CM67" s="5373"/>
      <c r="CN67" s="5373"/>
      <c r="CO67" s="5373"/>
      <c r="CP67" s="5373"/>
      <c r="CQ67" s="5373"/>
      <c r="CR67" s="5373"/>
      <c r="CS67" s="5373"/>
      <c r="CT67" s="3436"/>
      <c r="CU67" s="3436"/>
      <c r="CV67" s="3436"/>
      <c r="CW67" s="3436"/>
      <c r="CX67" s="3436"/>
      <c r="CY67" s="3436"/>
      <c r="CZ67" s="3436"/>
      <c r="DA67" s="3436"/>
      <c r="DB67" s="3436"/>
      <c r="DC67" s="3436"/>
      <c r="DD67" s="3436"/>
      <c r="DE67" s="3436"/>
      <c r="DF67" s="3436"/>
      <c r="DG67" s="3436"/>
      <c r="DH67" s="3436"/>
      <c r="DI67" s="3436"/>
      <c r="DJ67" s="3436"/>
      <c r="DK67" s="3436"/>
      <c r="DL67" s="3436"/>
      <c r="DM67" s="3436"/>
      <c r="DN67" s="3436"/>
      <c r="DO67" s="3436"/>
      <c r="DP67" s="3436"/>
      <c r="ER67" s="2617"/>
      <c r="ES67" s="2617"/>
      <c r="ET67" s="239"/>
      <c r="EU67" s="239"/>
      <c r="EV67" s="239"/>
      <c r="EW67" s="239"/>
      <c r="EX67" s="239"/>
      <c r="EY67" s="239"/>
      <c r="EZ67" s="239"/>
      <c r="FA67" s="239"/>
      <c r="FB67" s="239"/>
      <c r="FC67" s="239"/>
      <c r="FD67" s="239"/>
      <c r="FE67" s="239"/>
      <c r="FF67" s="239"/>
      <c r="FG67" s="239"/>
      <c r="FH67" s="239"/>
      <c r="FI67" s="239"/>
      <c r="FJ67" s="239"/>
      <c r="FK67" s="239"/>
      <c r="FL67" s="239"/>
      <c r="FM67" s="2617"/>
      <c r="FN67" s="2617"/>
      <c r="GH67" s="414"/>
      <c r="GJ67" s="475">
        <f>GJ19</f>
        <v>1</v>
      </c>
      <c r="GK67" s="247"/>
      <c r="GL67" s="247"/>
      <c r="GM67" s="221">
        <f>GQ35</f>
        <v>1</v>
      </c>
      <c r="GN67" s="438">
        <f>outputs_forbe[[#This Row],[Navn]]</f>
        <v>1</v>
      </c>
      <c r="GO67" s="261" t="b">
        <f>IF(GL35=1,INDEX(inputs_forbe[Forberedende],MATCH(GM67,inputs_forbe[Position],0)))</f>
        <v>0</v>
      </c>
      <c r="GP67" s="261">
        <v>0</v>
      </c>
      <c r="GQ67" s="211" t="b">
        <f>IF(GL35=1,INDEX(inputs_forbe[Andrearbeider],MATCH(outputs_forbe[[#This Row],[Position]],inputs_forbe[Position],0)))</f>
        <v>0</v>
      </c>
      <c r="GR67" s="241" t="str">
        <f>IF(GL35=1,SUM(outputs_forbe[[#This Row],[Forberedende]:[Andrearbeider]]),$GK$11)</f>
        <v>Ikke relevant</v>
      </c>
      <c r="GS67" s="2617"/>
      <c r="GT67" s="2617"/>
      <c r="GU67" s="2617"/>
      <c r="GV67" s="2617"/>
      <c r="GW67" s="2617"/>
      <c r="GX67" s="2617"/>
      <c r="GY67" s="2617"/>
      <c r="GZ67" s="2617"/>
      <c r="HA67" s="2617"/>
      <c r="HB67" s="2617"/>
      <c r="HC67" s="2617"/>
      <c r="LX67" s="5268"/>
      <c r="NI67" s="1567"/>
      <c r="NL67" s="4200" t="s">
        <v>2005</v>
      </c>
      <c r="NN67" s="407">
        <v>11</v>
      </c>
      <c r="NO67" s="340" t="str">
        <f>$QO$135</f>
        <v>Stuff 1-1</v>
      </c>
      <c r="NP67" s="211" t="str">
        <f t="shared" ref="NP67:NP74" si="59">IFERROR($BK$225*$AJ34,"-")</f>
        <v>-</v>
      </c>
      <c r="NQ67" s="211" t="str">
        <f t="shared" ref="NQ67:NS74" si="60">IFERROR(BH$225*$AJ34,"-")</f>
        <v>-</v>
      </c>
      <c r="NR67" s="211" t="str">
        <f t="shared" si="60"/>
        <v>-</v>
      </c>
      <c r="NS67" s="211" t="str">
        <f t="shared" si="60"/>
        <v>-</v>
      </c>
      <c r="NT67" s="411" t="str">
        <f t="shared" ref="NT67:NT74" si="61">IFERROR(BL$225*$AJ34,"-")</f>
        <v>-</v>
      </c>
      <c r="NU67" s="411" t="str">
        <f t="shared" ref="NU67:NU74" si="62">IFERROR(BN$225*$AJ34,"-")</f>
        <v>-</v>
      </c>
      <c r="NV67" s="411" t="str">
        <f>IFERROR(outputs_oppsum[[#This Row],[total_lop]]+outputs_oppsum[[#This Row],[total_nisj]],"-")</f>
        <v>-</v>
      </c>
      <c r="NW67" s="411" t="str">
        <f>IFERROR(outputs_oppsum[[#This Row],[total_spreng_hr]]/$AI$80,"-")</f>
        <v>-</v>
      </c>
      <c r="NX67" s="211" t="str">
        <f t="shared" ref="NX67:OI74" si="63">IFERROR(DW$103*$AJ34,"-")</f>
        <v>-</v>
      </c>
      <c r="NY67" s="211" t="str">
        <f t="shared" si="63"/>
        <v>-</v>
      </c>
      <c r="NZ67" s="211" t="str">
        <f t="shared" si="63"/>
        <v>-</v>
      </c>
      <c r="OA67" s="211" t="str">
        <f t="shared" si="63"/>
        <v>-</v>
      </c>
      <c r="OB67" s="211" t="str">
        <f t="shared" si="63"/>
        <v>-</v>
      </c>
      <c r="OC67" s="211" t="str">
        <f t="shared" si="63"/>
        <v>-</v>
      </c>
      <c r="OD67" s="211" t="str">
        <f t="shared" si="63"/>
        <v>-</v>
      </c>
      <c r="OE67" s="211" t="str">
        <f t="shared" si="63"/>
        <v>-</v>
      </c>
      <c r="OF67" s="211" t="str">
        <f t="shared" si="63"/>
        <v>-</v>
      </c>
      <c r="OG67" s="211" t="str">
        <f t="shared" si="63"/>
        <v>-</v>
      </c>
      <c r="OH67" s="211" t="str">
        <f t="shared" si="63"/>
        <v>-</v>
      </c>
      <c r="OI67" s="3703" t="str">
        <f t="shared" si="63"/>
        <v>-</v>
      </c>
      <c r="OJ67" s="3703" t="str">
        <f>IFERROR(outputs_oppsum[[#This Row],[total_foran_hr]]/$AI$80,"-")</f>
        <v>-</v>
      </c>
      <c r="OK67" s="3703" t="str">
        <f t="shared" ref="OK67:OL74" si="64">IFERROR(EI$103*$AJ34,"-")</f>
        <v>-</v>
      </c>
      <c r="OL67" s="3703" t="str">
        <f t="shared" si="64"/>
        <v>-</v>
      </c>
      <c r="OM67" s="406" t="str">
        <f t="shared" ref="OM67:OM74" si="65">IFERROR(EW$117*$AJ34,"-")</f>
        <v>-</v>
      </c>
      <c r="ON67" s="406" t="str">
        <f t="shared" ref="ON67:ON74" si="66">IFERROR(FN$117*$AJ34,"-")</f>
        <v>-</v>
      </c>
      <c r="OO67" s="406" t="str">
        <f t="shared" ref="OO67:OQ74" si="67">IFERROR(EX$117*$AJ34,"-")</f>
        <v>-</v>
      </c>
      <c r="OP67" s="406" t="str">
        <f t="shared" si="67"/>
        <v>-</v>
      </c>
      <c r="OQ67" s="406" t="str">
        <f t="shared" si="67"/>
        <v>-</v>
      </c>
      <c r="OR67" s="406"/>
      <c r="OS67" s="406"/>
      <c r="OT67" s="406" t="str">
        <f t="shared" ref="OT67:OT74" si="68">IFERROR(FA$117*$AJ34,"-")</f>
        <v>-</v>
      </c>
      <c r="OU67" s="406"/>
      <c r="OV67" s="406"/>
      <c r="OW67" s="406" t="str">
        <f>IFERROR(FO$117*$AJ34,"-")</f>
        <v>-</v>
      </c>
      <c r="OX67" s="406" t="str">
        <f t="shared" ref="OX67:PH74" si="69">IFERROR(FB$117*$AJ34,"-")</f>
        <v>-</v>
      </c>
      <c r="OY67" s="406" t="str">
        <f t="shared" si="69"/>
        <v>-</v>
      </c>
      <c r="OZ67" s="406" t="str">
        <f t="shared" si="69"/>
        <v>-</v>
      </c>
      <c r="PA67" s="406" t="str">
        <f t="shared" si="69"/>
        <v>-</v>
      </c>
      <c r="PB67" s="413" t="str">
        <f t="shared" si="69"/>
        <v>-</v>
      </c>
      <c r="PC67" s="413" t="str">
        <f t="shared" si="69"/>
        <v>-</v>
      </c>
      <c r="PD67" s="413" t="str">
        <f t="shared" si="69"/>
        <v>-</v>
      </c>
      <c r="PE67" s="413" t="str">
        <f t="shared" si="69"/>
        <v>-</v>
      </c>
      <c r="PF67" s="413" t="str">
        <f t="shared" si="69"/>
        <v>-</v>
      </c>
      <c r="PG67" s="413" t="str">
        <f t="shared" si="69"/>
        <v>-</v>
      </c>
      <c r="PH67" s="839" t="str">
        <f t="shared" si="69"/>
        <v>-</v>
      </c>
      <c r="PI67" s="1277" t="str">
        <f>IFERROR(outputs_oppsum[[#This Row],[total_stab_hr]]/$AI$80,"-")</f>
        <v>-</v>
      </c>
      <c r="PJ67" s="211" t="str">
        <f>IF(AND($GL$35=1,outputs_oppsum[[#This Row],[tverrslag_status]]&lt;&gt;1),$GR$67,$GK$11)</f>
        <v>Ikke relevant</v>
      </c>
      <c r="PK67" s="211">
        <f>IFERROR(outputs_oppsum[[#This Row],[prosjekt_forbe]]*$AI$80,0)</f>
        <v>0</v>
      </c>
      <c r="PL67" s="261" t="b">
        <f t="shared" ref="PL67:PL75" si="70">GO68</f>
        <v>0</v>
      </c>
      <c r="PM67" s="261" t="b">
        <f t="shared" ref="PM67:PM75" si="71">GP68</f>
        <v>0</v>
      </c>
      <c r="PN67" s="261" t="b">
        <f t="shared" ref="PN67:PN75" si="72">GQ68</f>
        <v>0</v>
      </c>
      <c r="PO67" s="423" t="str">
        <f t="shared" ref="PO67:PO75" si="73">GR68</f>
        <v>Ikke relevant</v>
      </c>
      <c r="PP67" s="431">
        <f>outputs_oppsum[[#This Row],[Forberedende]]*$AI$80</f>
        <v>0</v>
      </c>
      <c r="PQ67" s="431">
        <f>outputs_oppsum[[#This Row],[Portaler]]*$AI$80</f>
        <v>0</v>
      </c>
      <c r="PR67" s="431">
        <f>outputs_oppsum[[#This Row],[Andrearbeider]]*$AI$80</f>
        <v>0</v>
      </c>
      <c r="PS67" s="431">
        <f>IFERROR(outputs_oppsum[[#This Row],[total_forbe]]*$AI$80,0)</f>
        <v>0</v>
      </c>
      <c r="PT67" s="431" t="e">
        <f>outputs_forbe[[#This Row],[total_forbe]]*$AI$80</f>
        <v>#VALUE!</v>
      </c>
      <c r="PU67" s="845" t="str">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v>
      </c>
      <c r="PV67" s="1656" t="str">
        <f>IFERROR(outputs_oppsum[[#This Row],[oppsum_drivetid_hr]]/$AI$80,"-")</f>
        <v>-</v>
      </c>
      <c r="PW67" s="1663"/>
      <c r="PX67" s="1658">
        <f>INDEX(tverr_connection_2[11],MATCH($BC$28,tverr_connection_2[config],0))</f>
        <v>0</v>
      </c>
      <c r="PY67" s="1662" t="str">
        <f>IF(outputs_oppsum[[#This Row],[tverrslag_status]]=0,$HI$54,IF(outputs_oppsum[[#This Row],[tverrslag_status]]=1,$HI$55,"-"))</f>
        <v>Ikke påvirket</v>
      </c>
      <c r="PZ67" s="1663" t="str">
        <f>IFERROR(INDEX(outputs_tverrslag[Tverrslag construction time],MATCH(outputs_oppsum[[#This Row],[stuff_navn]],outputs_tverrslag[name],0)),"-")</f>
        <v>-</v>
      </c>
      <c r="QA67" s="1658" t="str">
        <f>IF(outputs_oppsum[[#This Row],[tverrslag_status_oppsum]]=$HI$55,$PU$84,"-")</f>
        <v>-</v>
      </c>
      <c r="QB67" s="1662" t="str">
        <f>IF(outputs_oppsum[[#This Row],[tverrslag_status_oppsum]]=$HI$55,$HI$66,"-")</f>
        <v>-</v>
      </c>
      <c r="QC67" s="1662" t="str">
        <f>IF(outputs_oppsum[[#This Row],[tverrslag_status_oppsum]]=$HI$55,$HJ$14,"-")</f>
        <v>-</v>
      </c>
      <c r="QD67" s="1668" t="str">
        <f>IFERROR(INDEX(outputs_tverrslag[forsink_perstuff_uker],MATCH(outputs_oppsum[[#This Row],[stuff_navn]],outputs_tverrslag[name],0)),"-")</f>
        <v>-</v>
      </c>
      <c r="QE67" s="843" t="str">
        <f>IFERROR(INDEX(outputs_tverrslag[forsink_total_uker],MATCH(outputs_oppsum[[#This Row],[stuff_navn]],outputs_tverrslag[name],0)),"-")</f>
        <v>-</v>
      </c>
      <c r="QF67" s="843" t="str">
        <f>IFERROR(INDEX(outputs_tverrslag[Kryssområdet_hr],MATCH(outputs_oppsum[[#This Row],[stuff_navn]],outputs_tverrslag[name],0)),"-")</f>
        <v>-</v>
      </c>
      <c r="QG67" s="843" t="str">
        <f>IFERROR(INDEX(outputs_tverrslag[forsink_total_hr],MATCH(outputs_oppsum[[#This Row],[stuff_navn]],outputs_tverrslag[name],0)),"-")</f>
        <v>-</v>
      </c>
      <c r="QH67" s="334">
        <f>SUMIF(outputs_oppsum[[#This Row],[kryssområdet_forberedende_hr2]:[extra_forsink_etter_tverrslag_total_hr]],"&lt;&gt;-")+SUMIF(outputs_oppsum[[#This Row],[tverrslag_tid]],"&lt;&gt;-")</f>
        <v>0</v>
      </c>
      <c r="QI67" s="334" t="str">
        <f>IF(OR(outputs_oppsum[[#This Row],[tverrslag_status_oppsum]]=$HI$55,outputs_oppsum[[#This Row],[tverrslag_status_oppsum]]=$I$90),$GR$67,"-")</f>
        <v>-</v>
      </c>
      <c r="QJ67" s="334">
        <f>IFERROR(outputs_oppsum[[#This Row],[extra_tverrslag_prosjekt_forarb_uke]]*$AI$80,0)</f>
        <v>0</v>
      </c>
      <c r="QK67" s="334" t="str">
        <f>IF(outputs_oppsum[[#This Row],[tverrslag_status_oppsum]]=$HI$55,$PO$75,"-")</f>
        <v>-</v>
      </c>
      <c r="QL67" s="1827">
        <f>IFERROR(outputs_oppsum[[#This Row],[extra_tverrslag_forarb_uke]]*$AI$80,0)</f>
        <v>0</v>
      </c>
      <c r="QM67" s="334" t="str">
        <f>IF(outputs_oppsum[[#This Row],[tverrslag_status_oppsum]]=$HI$55,$RA$75,"-")</f>
        <v>-</v>
      </c>
      <c r="QN67" s="1827">
        <f>IFERROR(outputs_oppsum[[#This Row],[extra_tverrslag_just_uke]]*$AI$80,0)</f>
        <v>0</v>
      </c>
      <c r="QO67" s="211" t="str">
        <f>IF(outputs_oppsum[[#This Row],[tverrslag_status_oppsum]]=$HI$55,$GK$96,"-")</f>
        <v>-</v>
      </c>
      <c r="QP67" s="1828">
        <f>IFERROR(outputs_oppsum[[#This Row],[tverrslag_forsinkt_uke]]*$AI$80,0)</f>
        <v>0</v>
      </c>
      <c r="QQ67"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67" s="1809">
        <f>IFERROR(IF(outputs_oppsum[[#This Row],[tverrslag_status_oppsum]]=$I$90,outputs_oppsum[[#This Row],[kryssområdet_forberedende_hr]],IF(outputs_oppsum[[#This Row],[tverrslag_status]]=1,outputs_oppsum[[#This Row],[tverrslag_total_hr]],0)),0)</f>
        <v>0</v>
      </c>
      <c r="QS67" s="1666" t="b">
        <f>INDEX(outputs_just[general_tid],MATCH(outputs_oppsum[[#This Row],[stuff_navn]],outputs_just[Navn],0))</f>
        <v>0</v>
      </c>
      <c r="QT67" s="1666" t="b">
        <f>INDEX(outputs_just[geo_tid],MATCH(outputs_oppsum[[#This Row],[stuff_navn]],outputs_just[Navn],0))</f>
        <v>0</v>
      </c>
      <c r="QU67" s="1666" t="b">
        <f>INDEX(outputs_just[stig_tid],MATCH(outputs_oppsum[[#This Row],[stuff_navn]],outputs_just[Navn],0))</f>
        <v>0</v>
      </c>
      <c r="QV67" s="1666" t="b">
        <f>INDEX(outputs_just[arb_tid],MATCH(outputs_oppsum[[#This Row],[stuff_navn]],outputs_just[Navn],0))</f>
        <v>0</v>
      </c>
      <c r="QW67" s="1666" t="b">
        <f>INDEX(outputs_just[spreng_tid],MATCH(outputs_oppsum[[#This Row],[stuff_navn]],outputs_just[Navn],0))</f>
        <v>0</v>
      </c>
      <c r="QX67" s="1666" t="b">
        <f>INDEX(outputs_just[skyte_tid],MATCH(outputs_oppsum[[#This Row],[stuff_navn]],outputs_just[Navn],0))</f>
        <v>0</v>
      </c>
      <c r="QY67" s="1666" t="b">
        <f>INDEX(outputs_just[støy_tid],MATCH(outputs_oppsum[[#This Row],[stuff_navn]],outputs_just[Navn],0))</f>
        <v>0</v>
      </c>
      <c r="QZ67" s="1666" t="b">
        <f>INDEX(outputs_just[ann_tid],MATCH(outputs_oppsum[[#This Row],[stuff_navn]],outputs_just[Navn],0))</f>
        <v>0</v>
      </c>
      <c r="RA67" s="1666">
        <f>SUM(outputs_oppsum[[#This Row],[just_generell]:[just_ann]])</f>
        <v>0</v>
      </c>
      <c r="RB67" s="1666">
        <f>outputs_oppsum[[#This Row],[just_total_uke]]*$AI$80</f>
        <v>0</v>
      </c>
      <c r="RC67" s="211">
        <f>INDEX(inputs_forsinket[tid_uke],MATCH(outputs_oppsum[[#This Row],[stuff_navn]],inputs_forsinket[name],0))</f>
        <v>0</v>
      </c>
      <c r="RD67" s="1805">
        <f>outputs_oppsum[[#This Row],[forsinket_uke]]*$AI$80</f>
        <v>0</v>
      </c>
      <c r="RE67" s="488">
        <f>LK38</f>
        <v>1</v>
      </c>
      <c r="RF67" s="431" t="str">
        <f>IF(RE67=1,_List!$AW$7,IF(RE67=2,_List!$AW$8,""))</f>
        <v>Enstuffs drift</v>
      </c>
      <c r="RG67" s="431" t="str">
        <f>IF(outputs_oppsum[[#This Row],[kon_metod_no]]=2,INDEX(framdriftfaktor[stab-foran_spreng_ratio],MATCH(outputs_oppsum[[#This Row],[stuff_id]],framdriftfaktor[stuff_id],0)),"-")</f>
        <v>-</v>
      </c>
      <c r="RH67" s="5269">
        <f>IF(outputs_oppsum[[#This Row],[kon_metod_no]]=2,INDEX(framdriftfaktor[beregnet_faktor_final],MATCH(outputs_oppsum[[#This Row],[stuff_id]],framdriftfaktor[stuff_id],0)),1)</f>
        <v>1</v>
      </c>
      <c r="RI67" s="5269" t="str">
        <f>IF(outputs_oppsum[[#This Row],[kon_metod]]=_List!$AW$8,INDEX(outputs_just[vek_faktor_bruker_definert_status],MATCH(outputs_oppsum[[#This Row],[stuff_navn]],outputs_just[Navn],0)),"")</f>
        <v/>
      </c>
      <c r="RJ67" s="5269" t="str">
        <f>IF(AND(outputs_oppsum[[#This Row],[kon_metod_no]]&lt;&gt;1,LP121=FALSE),LO121,"-")</f>
        <v>-</v>
      </c>
      <c r="RK67" s="5269">
        <f>IF(AND(outputs_oppsum[[#This Row],[kon_metod_no]]=2,outputs_oppsum[[#This Row],[tverrslag_status_oppsum]]&lt;&gt;$I$90,outputs_oppsum[[#This Row],[faktor_bruker_definert]]=FALSE),outputs_oppsum[[#This Row],[faktor_user]],outputs_oppsum[[#This Row],[faktor_beregnet]])</f>
        <v>1</v>
      </c>
      <c r="RL67" s="1807" t="str">
        <f>IFERROR((outputs_oppsum[[#This Row],[faktor_final]]-1)*outputs_oppsum[[#This Row],[oppsum_drivetid_hr]]*outputs_oppsum[[#This Row],[veksel_prosent]],"-")</f>
        <v>-</v>
      </c>
      <c r="RM67" s="1807" t="str">
        <f>IF(outputs_oppsum[[#This Row],[kon_metod_no]]=2,outputs_oppsum[[#This Row],[ekstra_framdrift_tid_oppsum_hr]]/$AI$80,"-")</f>
        <v>-</v>
      </c>
      <c r="RN67" s="431" t="str">
        <f>IF(outputs_oppsum[[#This Row],[kon_metod_no]]=2,outputs_oppsum[[#This Row],[ekstra_drivetid_pga_faktor]],"-")</f>
        <v>-</v>
      </c>
      <c r="RO67" s="431" t="str">
        <f>IFERROR(outputs_oppsum[[#This Row],[oppsum_drivetid_hr]]+outputs_oppsum[[#This Row],[ekstra_drivetid_pga_faktor]],"-")</f>
        <v>-</v>
      </c>
      <c r="RP67"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67" s="5276">
        <f>IF(outputs_oppsum[[#This Row],[enstuff_prosent_input]]&gt;1,1,outputs_oppsum[[#This Row],[enstuff_prosent_input]])</f>
        <v>1</v>
      </c>
      <c r="RR67"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67" s="431"/>
      <c r="RT67" s="431"/>
      <c r="RU67" s="431"/>
      <c r="RV67" s="431"/>
      <c r="RW67" s="431" t="str">
        <f>IFERROR(outputs_oppsum[[#This Row],[drivetid_with_faktor]]+outputs_oppsum[[#This Row],[prosjekt_forbe_hr]]+outputs_oppsum[[#This Row],[total_forbe_hr]]+outputs_oppsum[[#This Row],[extra_for_tverrslag_sum]]+outputs_oppsum[[#This Row],[just_total_hr]]+outputs_oppsum[[#This Row],[forsinket_hr]],"!")</f>
        <v>!</v>
      </c>
      <c r="RX67" s="431" t="str">
        <f>IFERROR(outputs_oppsum[[#This Row],[oppsum_total_hr]]/$AI$80,"!")</f>
        <v>!</v>
      </c>
      <c r="RY67" s="431" t="str">
        <f>IF(MAX($RX$67:$RX$75)=outputs_oppsum[[#This Row],[oppsum_total_uke]],MAX($RX$67:$RX$75),"-")</f>
        <v>-</v>
      </c>
      <c r="RZ67" s="431" t="str">
        <f>IF(AND(ISNUMBER(outputs_oppsum[[#This Row],[Criticalstuff]]),$BC$34&lt;&gt;1,outputs_oppsum[[#This Row],[Criticalstuff]]&gt;0),$RZ$63,"")</f>
        <v/>
      </c>
      <c r="SA67" s="837"/>
      <c r="SB67" s="837"/>
      <c r="SC67" s="837"/>
      <c r="SD67" s="837"/>
      <c r="SE67" s="3521"/>
      <c r="SF67" s="3521"/>
      <c r="SG67" s="2617"/>
      <c r="SH67" s="3886"/>
      <c r="SI67" s="3886"/>
      <c r="SJ67" s="3886"/>
      <c r="SK67" s="3886"/>
      <c r="SL67" s="3886"/>
      <c r="SR67" s="2617"/>
      <c r="SS67" s="2617"/>
      <c r="ST67" s="2617"/>
      <c r="SU67" s="2617"/>
      <c r="SV67" s="2617"/>
      <c r="SW67" s="2617"/>
      <c r="SX67" s="2617"/>
      <c r="SY67" s="2617"/>
      <c r="SZ67" s="2617"/>
      <c r="TA67" s="2617"/>
      <c r="TB67" s="2617"/>
      <c r="TC67" s="2617"/>
      <c r="TD67" s="2617"/>
      <c r="TR67" s="183"/>
      <c r="TW67" s="181"/>
      <c r="TX67" s="183"/>
      <c r="TY67" s="183"/>
      <c r="TZ67" s="183"/>
      <c r="UA67" s="183"/>
      <c r="UC67" s="181"/>
      <c r="UD67" s="181"/>
      <c r="UE67" s="181"/>
      <c r="UF67" s="181"/>
      <c r="UK67" s="183"/>
      <c r="UL67" s="183"/>
      <c r="UM67" s="183"/>
      <c r="UN67" s="183"/>
      <c r="UO67" s="183"/>
      <c r="UQ67" s="184"/>
      <c r="US67" s="183"/>
      <c r="UT67" s="183"/>
      <c r="UU67" s="2617"/>
      <c r="UV67" s="183"/>
      <c r="UX67" s="265"/>
      <c r="VA67" s="265"/>
      <c r="VC67" s="402"/>
      <c r="VF67"/>
      <c r="WG67" s="2617"/>
      <c r="WH67" s="2617"/>
      <c r="WI67" s="2617"/>
      <c r="WJ67" s="2617"/>
      <c r="WK67" s="2617"/>
      <c r="WL67" s="2617"/>
      <c r="WM67" s="2617"/>
      <c r="WN67" s="2617"/>
      <c r="WO67" s="2617"/>
      <c r="WP67" s="2617"/>
      <c r="WQ67" s="2617"/>
      <c r="WR67" s="2617"/>
      <c r="WS67" s="2617"/>
      <c r="WT67" s="2617"/>
      <c r="WU67" s="2617"/>
      <c r="WV67" s="2617"/>
      <c r="WW67" s="2617"/>
      <c r="WX67" s="2617"/>
      <c r="WY67" s="265"/>
      <c r="WZ67" s="265"/>
      <c r="XA67" s="265"/>
      <c r="XB67" s="265"/>
      <c r="XC67" s="265"/>
      <c r="XD67" s="265"/>
      <c r="XE67" s="265"/>
      <c r="XF67" s="265"/>
      <c r="XG67" s="265"/>
      <c r="XH67" s="265"/>
      <c r="XI67" s="265"/>
      <c r="XJ67" s="265"/>
      <c r="XK67" s="265"/>
      <c r="XL67" s="265"/>
      <c r="XM67" s="265"/>
      <c r="XN67" s="265"/>
      <c r="XO67" s="265"/>
      <c r="XP67" s="265"/>
      <c r="XQ67" s="265"/>
      <c r="XR67" s="265"/>
      <c r="XS67" s="265"/>
      <c r="XT67" s="265"/>
      <c r="XU67" s="265"/>
    </row>
    <row r="68" spans="9:645" ht="23.25" x14ac:dyDescent="0.2">
      <c r="I68" s="5565"/>
      <c r="J68" s="372"/>
      <c r="K68" s="372"/>
      <c r="L68" s="372"/>
      <c r="M68" s="372" t="s">
        <v>1534</v>
      </c>
      <c r="N68" s="372"/>
      <c r="O68" s="185"/>
      <c r="AP68" s="210"/>
      <c r="AR68" s="210"/>
      <c r="AT68" s="2617"/>
      <c r="AU68" s="2617"/>
      <c r="AV68" s="2617"/>
      <c r="BB68" s="435" t="s">
        <v>576</v>
      </c>
      <c r="BC68" s="274" t="s">
        <v>272</v>
      </c>
      <c r="BD68" s="5224">
        <f>BH36</f>
        <v>0</v>
      </c>
      <c r="BE68" s="5224"/>
      <c r="BF68" s="5224"/>
      <c r="BG68" s="5224"/>
      <c r="BH68" s="5224"/>
      <c r="BI68" s="212"/>
      <c r="BJ68" s="5224"/>
      <c r="BK68" s="5224"/>
      <c r="BL68" s="5224"/>
      <c r="BM68" s="5224"/>
      <c r="BN68" s="5224"/>
      <c r="BO68" s="5224"/>
      <c r="DR68" s="2617"/>
      <c r="DS68" s="2617"/>
      <c r="DT68" s="2617"/>
      <c r="DU68" s="2617"/>
      <c r="ER68" s="239"/>
      <c r="ES68" s="239"/>
      <c r="ET68" s="239"/>
      <c r="EU68" s="239"/>
      <c r="EV68" s="239"/>
      <c r="EW68" s="239"/>
      <c r="FB68" s="239"/>
      <c r="FC68" s="239"/>
      <c r="FD68" s="239"/>
      <c r="FE68" s="239"/>
      <c r="FF68" s="239"/>
      <c r="FG68" s="239"/>
      <c r="FH68" s="239"/>
      <c r="FI68" s="239"/>
      <c r="FJ68" s="239"/>
      <c r="FK68" s="239"/>
      <c r="FL68" s="239"/>
      <c r="FM68" s="2617"/>
      <c r="FN68" s="2617"/>
      <c r="GH68" s="414"/>
      <c r="GJ68" s="340" t="str">
        <f>$NO$67</f>
        <v>Stuff 1-1</v>
      </c>
      <c r="GK68" s="185">
        <v>1</v>
      </c>
      <c r="GL68" s="185">
        <f>IF($BC$34&gt;0,1,0)</f>
        <v>1</v>
      </c>
      <c r="GM68" s="221">
        <f t="shared" ref="GM68:GM76" si="74">GQ36</f>
        <v>2</v>
      </c>
      <c r="GN68" s="438" t="str">
        <f t="shared" ref="GN68:GN76" si="75">NO67</f>
        <v>Stuff 1-1</v>
      </c>
      <c r="GO68" s="261" t="b">
        <f>IF(GL36=1,INDEX(inputs_forbe[Forberedende],MATCH(GM68,inputs_forbe[Position],0)))</f>
        <v>0</v>
      </c>
      <c r="GP68" s="261" t="b">
        <f>IF(GL36=1,INDEX(inputs_forbe[Portaler],MATCH(outputs_forbe[[#This Row],[Position]],inputs_forbe[Position],0)))</f>
        <v>0</v>
      </c>
      <c r="GQ68" s="211" t="b">
        <f>IF(GL36=1,INDEX(inputs_forbe[Andrearbeider],MATCH(outputs_forbe[[#This Row],[Position]],inputs_forbe[Position],0)))</f>
        <v>0</v>
      </c>
      <c r="GR68" s="241" t="str">
        <f>IF(GL36=1,SUM(outputs_forbe[[#This Row],[Forberedende]:[Andrearbeider]]),$GK$11)</f>
        <v>Ikke relevant</v>
      </c>
      <c r="GS68" s="2617"/>
      <c r="GT68" s="2617"/>
      <c r="GU68" s="2617"/>
      <c r="GV68" s="2617"/>
      <c r="GW68" s="2617"/>
      <c r="GX68" s="2617"/>
      <c r="GY68" s="2617"/>
      <c r="GZ68" s="2617"/>
      <c r="HA68" s="2617"/>
      <c r="HB68" s="2617"/>
      <c r="HC68" s="2617"/>
      <c r="HH68" s="838" t="s">
        <v>619</v>
      </c>
      <c r="HI68" s="838"/>
      <c r="HJ68" s="838"/>
      <c r="LX68" s="5268"/>
      <c r="NI68" s="1567"/>
      <c r="NN68" s="407">
        <v>21</v>
      </c>
      <c r="NO68" s="340" t="str">
        <f>$QP$135</f>
        <v>Stuff 1-2</v>
      </c>
      <c r="NP68" s="211" t="str">
        <f t="shared" si="59"/>
        <v>-</v>
      </c>
      <c r="NQ68" s="211" t="str">
        <f t="shared" si="60"/>
        <v>-</v>
      </c>
      <c r="NR68" s="211" t="str">
        <f t="shared" si="60"/>
        <v>-</v>
      </c>
      <c r="NS68" s="211" t="str">
        <f t="shared" si="60"/>
        <v>-</v>
      </c>
      <c r="NT68" s="411" t="str">
        <f t="shared" si="61"/>
        <v>-</v>
      </c>
      <c r="NU68" s="411" t="str">
        <f t="shared" si="62"/>
        <v>-</v>
      </c>
      <c r="NV68" s="411" t="str">
        <f>IFERROR(outputs_oppsum[[#This Row],[total_lop]]+outputs_oppsum[[#This Row],[total_nisj]],"-")</f>
        <v>-</v>
      </c>
      <c r="NW68" s="411" t="str">
        <f>IFERROR(outputs_oppsum[[#This Row],[total_spreng_hr]]/$AI$80,"-")</f>
        <v>-</v>
      </c>
      <c r="NX68" s="211" t="str">
        <f t="shared" si="63"/>
        <v>-</v>
      </c>
      <c r="NY68" s="211" t="str">
        <f t="shared" si="63"/>
        <v>-</v>
      </c>
      <c r="NZ68" s="211" t="str">
        <f t="shared" si="63"/>
        <v>-</v>
      </c>
      <c r="OA68" s="211" t="str">
        <f t="shared" si="63"/>
        <v>-</v>
      </c>
      <c r="OB68" s="211" t="str">
        <f t="shared" si="63"/>
        <v>-</v>
      </c>
      <c r="OC68" s="211" t="str">
        <f t="shared" si="63"/>
        <v>-</v>
      </c>
      <c r="OD68" s="211" t="str">
        <f t="shared" si="63"/>
        <v>-</v>
      </c>
      <c r="OE68" s="211" t="str">
        <f t="shared" si="63"/>
        <v>-</v>
      </c>
      <c r="OF68" s="211" t="str">
        <f t="shared" si="63"/>
        <v>-</v>
      </c>
      <c r="OG68" s="211" t="str">
        <f t="shared" si="63"/>
        <v>-</v>
      </c>
      <c r="OH68" s="211" t="str">
        <f t="shared" si="63"/>
        <v>-</v>
      </c>
      <c r="OI68" s="3703" t="str">
        <f t="shared" si="63"/>
        <v>-</v>
      </c>
      <c r="OJ68" s="3703" t="str">
        <f>IFERROR(outputs_oppsum[[#This Row],[total_foran_hr]]/$AI$80,"-")</f>
        <v>-</v>
      </c>
      <c r="OK68" s="3703" t="str">
        <f t="shared" si="64"/>
        <v>-</v>
      </c>
      <c r="OL68" s="3703" t="str">
        <f t="shared" si="64"/>
        <v>-</v>
      </c>
      <c r="OM68" s="406" t="str">
        <f t="shared" si="65"/>
        <v>-</v>
      </c>
      <c r="ON68" s="406" t="str">
        <f t="shared" si="66"/>
        <v>-</v>
      </c>
      <c r="OO68" s="406" t="str">
        <f t="shared" si="67"/>
        <v>-</v>
      </c>
      <c r="OP68" s="406" t="str">
        <f t="shared" si="67"/>
        <v>-</v>
      </c>
      <c r="OQ68" s="406" t="str">
        <f t="shared" si="67"/>
        <v>-</v>
      </c>
      <c r="OR68" s="406"/>
      <c r="OS68" s="406"/>
      <c r="OT68" s="406" t="str">
        <f t="shared" si="68"/>
        <v>-</v>
      </c>
      <c r="OU68" s="406"/>
      <c r="OV68" s="406"/>
      <c r="OW68" s="406" t="str">
        <f t="shared" ref="OW68:OW74" si="76">IFERROR(FO$117*$AJ35,"-")</f>
        <v>-</v>
      </c>
      <c r="OX68" s="406" t="str">
        <f t="shared" si="69"/>
        <v>-</v>
      </c>
      <c r="OY68" s="406" t="str">
        <f t="shared" si="69"/>
        <v>-</v>
      </c>
      <c r="OZ68" s="406" t="str">
        <f t="shared" si="69"/>
        <v>-</v>
      </c>
      <c r="PA68" s="406" t="str">
        <f t="shared" si="69"/>
        <v>-</v>
      </c>
      <c r="PB68" s="413" t="str">
        <f t="shared" si="69"/>
        <v>-</v>
      </c>
      <c r="PC68" s="413" t="str">
        <f t="shared" si="69"/>
        <v>-</v>
      </c>
      <c r="PD68" s="413" t="str">
        <f t="shared" si="69"/>
        <v>-</v>
      </c>
      <c r="PE68" s="413" t="str">
        <f t="shared" si="69"/>
        <v>-</v>
      </c>
      <c r="PF68" s="413" t="str">
        <f t="shared" si="69"/>
        <v>-</v>
      </c>
      <c r="PG68" s="413" t="str">
        <f t="shared" si="69"/>
        <v>-</v>
      </c>
      <c r="PH68" s="839" t="str">
        <f t="shared" si="69"/>
        <v>-</v>
      </c>
      <c r="PI68" s="1277" t="str">
        <f>IFERROR(outputs_oppsum[[#This Row],[total_stab_hr]]/$AI$80,"-")</f>
        <v>-</v>
      </c>
      <c r="PJ68" s="211" t="str">
        <f>IF(AND($GL$35=1,outputs_oppsum[[#This Row],[tverrslag_status]]&lt;&gt;1),$GR$67,$GK$11)</f>
        <v>Ikke relevant</v>
      </c>
      <c r="PK68" s="211">
        <f>IFERROR(outputs_oppsum[[#This Row],[prosjekt_forbe]]*$AI$80,0)</f>
        <v>0</v>
      </c>
      <c r="PL68" s="212" t="b">
        <f t="shared" si="70"/>
        <v>0</v>
      </c>
      <c r="PM68" s="212" t="b">
        <f t="shared" si="71"/>
        <v>0</v>
      </c>
      <c r="PN68" s="212" t="b">
        <f t="shared" si="72"/>
        <v>0</v>
      </c>
      <c r="PO68" s="424" t="str">
        <f t="shared" si="73"/>
        <v>Ikke relevant</v>
      </c>
      <c r="PP68" s="431">
        <f>outputs_oppsum[[#This Row],[Forberedende]]*$AI$80</f>
        <v>0</v>
      </c>
      <c r="PQ68" s="431">
        <f>outputs_oppsum[[#This Row],[Portaler]]*$AI$80</f>
        <v>0</v>
      </c>
      <c r="PR68" s="431">
        <f>outputs_oppsum[[#This Row],[Andrearbeider]]*$AI$80</f>
        <v>0</v>
      </c>
      <c r="PS68" s="431">
        <f>IFERROR(outputs_oppsum[[#This Row],[total_forbe]]*$AI$80,0)</f>
        <v>0</v>
      </c>
      <c r="PT68" s="431" t="e">
        <f t="shared" ref="PT68:PT84" si="77">$PT$67</f>
        <v>#VALUE!</v>
      </c>
      <c r="PU68" s="845" t="str">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v>
      </c>
      <c r="PV68" s="1656" t="str">
        <f>IFERROR(outputs_oppsum[[#This Row],[oppsum_drivetid_hr]]/$AI$80,"-")</f>
        <v>-</v>
      </c>
      <c r="PW68" s="1660"/>
      <c r="PX68" s="1658">
        <f>INDEX(tverr_connection_2[21],MATCH($BC$28,tverr_connection_2[config],0))</f>
        <v>0</v>
      </c>
      <c r="PY68" s="1662" t="str">
        <f>IF(outputs_oppsum[[#This Row],[tverrslag_status]]=0,$HI$54,IF(outputs_oppsum[[#This Row],[tverrslag_status]]=1,$HI$55,"-"))</f>
        <v>Ikke påvirket</v>
      </c>
      <c r="PZ68" s="1663" t="str">
        <f>IFERROR(INDEX(outputs_tverrslag[Tverrslag construction time],MATCH(outputs_oppsum[[#This Row],[stuff_navn]],outputs_tverrslag[name],0)),"-")</f>
        <v>-</v>
      </c>
      <c r="QA68" s="1658" t="str">
        <f>IF(outputs_oppsum[[#This Row],[tverrslag_status_oppsum]]=$HI$55,$PU$84,"-")</f>
        <v>-</v>
      </c>
      <c r="QB68" s="1662" t="str">
        <f>IF(outputs_oppsum[[#This Row],[tverrslag_status_oppsum]]=$HI$55,$HI$66,"-")</f>
        <v>-</v>
      </c>
      <c r="QC68" s="1662" t="str">
        <f>IF(outputs_oppsum[[#This Row],[tverrslag_status_oppsum]]=$HI$55,$HJ$14,"-")</f>
        <v>-</v>
      </c>
      <c r="QD68" s="1668" t="str">
        <f>IFERROR(INDEX(outputs_tverrslag[forsink_perstuff_uker],MATCH(outputs_oppsum[[#This Row],[stuff_navn]],outputs_tverrslag[name],0)),"-")</f>
        <v>-</v>
      </c>
      <c r="QE68" s="843" t="str">
        <f>IFERROR(INDEX(outputs_tverrslag[forsink_total_uker],MATCH(outputs_oppsum[[#This Row],[stuff_navn]],outputs_tverrslag[name],0)),"-")</f>
        <v>-</v>
      </c>
      <c r="QF68" s="843" t="str">
        <f>IFERROR(INDEX(outputs_tverrslag[Kryssområdet_hr],MATCH(outputs_oppsum[[#This Row],[stuff_navn]],outputs_tverrslag[name],0)),"-")</f>
        <v>-</v>
      </c>
      <c r="QG68" s="843" t="str">
        <f>IFERROR(INDEX(outputs_tverrslag[forsink_total_hr],MATCH(outputs_oppsum[[#This Row],[stuff_navn]],outputs_tverrslag[name],0)),"-")</f>
        <v>-</v>
      </c>
      <c r="QH68" s="334">
        <f>SUMIF(outputs_oppsum[[#This Row],[kryssområdet_forberedende_hr2]:[extra_forsink_etter_tverrslag_total_hr]],"&lt;&gt;-")+SUMIF(outputs_oppsum[[#This Row],[tverrslag_tid]],"&lt;&gt;-")</f>
        <v>0</v>
      </c>
      <c r="QI68" s="334" t="str">
        <f>IF(OR(outputs_oppsum[[#This Row],[tverrslag_status_oppsum]]=$HI$55,outputs_oppsum[[#This Row],[tverrslag_status_oppsum]]=$I$90),$GR$67,"-")</f>
        <v>-</v>
      </c>
      <c r="QJ68" s="334">
        <f>IFERROR(outputs_oppsum[[#This Row],[extra_tverrslag_prosjekt_forarb_uke]]*$AI$80,0)</f>
        <v>0</v>
      </c>
      <c r="QK68" s="334" t="str">
        <f>IF(outputs_oppsum[[#This Row],[tverrslag_status_oppsum]]=$HI$55,$PO$75,"-")</f>
        <v>-</v>
      </c>
      <c r="QL68" s="1827">
        <f>IFERROR(outputs_oppsum[[#This Row],[extra_tverrslag_forarb_uke]]*$AI$80,0)</f>
        <v>0</v>
      </c>
      <c r="QM68" s="334" t="str">
        <f>IF(outputs_oppsum[[#This Row],[tverrslag_status_oppsum]]=$HI$55,$RA$75,"-")</f>
        <v>-</v>
      </c>
      <c r="QN68" s="1827">
        <f>IFERROR(outputs_oppsum[[#This Row],[extra_tverrslag_just_uke]]*$AI$80,0)</f>
        <v>0</v>
      </c>
      <c r="QO68" s="211" t="str">
        <f>IF(outputs_oppsum[[#This Row],[tverrslag_status_oppsum]]=$HI$55,$GK$96,"-")</f>
        <v>-</v>
      </c>
      <c r="QP68" s="1828">
        <f>IFERROR(outputs_oppsum[[#This Row],[tverrslag_forsinkt_uke]]*$AI$80,0)</f>
        <v>0</v>
      </c>
      <c r="QQ68"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68" s="1809">
        <f>IFERROR(IF(outputs_oppsum[[#This Row],[tverrslag_status_oppsum]]=$I$90,outputs_oppsum[[#This Row],[kryssområdet_forberedende_hr]],IF(outputs_oppsum[[#This Row],[tverrslag_status]]=1,outputs_oppsum[[#This Row],[tverrslag_total_hr]],0)),0)</f>
        <v>0</v>
      </c>
      <c r="QS68" s="1666" t="e">
        <f>INDEX(outputs_just[general_tid],MATCH(outputs_oppsum[[#This Row],[stuff_navn]],outputs_just[Navn],0))</f>
        <v>#N/A</v>
      </c>
      <c r="QT68" s="1666" t="e">
        <f>INDEX(outputs_just[geo_tid],MATCH(outputs_oppsum[[#This Row],[stuff_navn]],outputs_just[Navn],0))</f>
        <v>#N/A</v>
      </c>
      <c r="QU68" s="1666" t="e">
        <f>INDEX(outputs_just[stig_tid],MATCH(outputs_oppsum[[#This Row],[stuff_navn]],outputs_just[Navn],0))</f>
        <v>#N/A</v>
      </c>
      <c r="QV68" s="1666" t="e">
        <f>INDEX(outputs_just[arb_tid],MATCH(outputs_oppsum[[#This Row],[stuff_navn]],outputs_just[Navn],0))</f>
        <v>#N/A</v>
      </c>
      <c r="QW68" s="1666" t="e">
        <f>INDEX(outputs_just[spreng_tid],MATCH(outputs_oppsum[[#This Row],[stuff_navn]],outputs_just[Navn],0))</f>
        <v>#N/A</v>
      </c>
      <c r="QX68" s="1666" t="e">
        <f>INDEX(outputs_just[skyte_tid],MATCH(outputs_oppsum[[#This Row],[stuff_navn]],outputs_just[Navn],0))</f>
        <v>#N/A</v>
      </c>
      <c r="QY68" s="1666" t="e">
        <f>INDEX(outputs_just[støy_tid],MATCH(outputs_oppsum[[#This Row],[stuff_navn]],outputs_just[Navn],0))</f>
        <v>#N/A</v>
      </c>
      <c r="QZ68" s="1666" t="e">
        <f>INDEX(outputs_just[ann_tid],MATCH(outputs_oppsum[[#This Row],[stuff_navn]],outputs_just[Navn],0))</f>
        <v>#N/A</v>
      </c>
      <c r="RA68" s="1666" t="e">
        <f>SUM(outputs_oppsum[[#This Row],[just_generell]:[just_ann]])</f>
        <v>#N/A</v>
      </c>
      <c r="RB68" s="1666" t="e">
        <f>outputs_oppsum[[#This Row],[just_total_uke]]*$AI$80</f>
        <v>#N/A</v>
      </c>
      <c r="RC68" s="211">
        <f>INDEX(inputs_forsinket[tid_uke],MATCH(outputs_oppsum[[#This Row],[stuff_navn]],inputs_forsinket[name],0))</f>
        <v>0</v>
      </c>
      <c r="RD68" s="1805">
        <f>outputs_oppsum[[#This Row],[forsinket_uke]]*$AI$80</f>
        <v>0</v>
      </c>
      <c r="RE68" s="234">
        <f>LL38</f>
        <v>1</v>
      </c>
      <c r="RF68" s="211" t="str">
        <f>IF(RE68=1,_List!$AW$7,IF(RE68=2,_List!$AW$8,""))</f>
        <v>Enstuffs drift</v>
      </c>
      <c r="RG68" s="431" t="str">
        <f>IF(outputs_oppsum[[#This Row],[kon_metod_no]]=2,INDEX(framdriftfaktor[stab-foran_spreng_ratio],MATCH(outputs_oppsum[[#This Row],[stuff_id]],framdriftfaktor[stuff_id],0)),"-")</f>
        <v>-</v>
      </c>
      <c r="RH68" s="5269">
        <f>IF(outputs_oppsum[[#This Row],[kon_metod_no]]=2,INDEX(framdriftfaktor[beregnet_faktor_final],MATCH(outputs_oppsum[[#This Row],[stuff_id]],framdriftfaktor[stuff_id],0)),1)</f>
        <v>1</v>
      </c>
      <c r="RI68" s="5269" t="str">
        <f>IF(outputs_oppsum[[#This Row],[kon_metod]]=_List!$AW$8,INDEX(outputs_just[vek_faktor_bruker_definert_status],MATCH(outputs_oppsum[[#This Row],[stuff_navn]],outputs_just[Navn],0)),"")</f>
        <v/>
      </c>
      <c r="RJ68" s="5269" t="e">
        <f>IF(AND(outputs_oppsum[[#This Row],[kon_metod_no]]&lt;&gt;1,LP122=FALSE),LO122,"-")</f>
        <v>#N/A</v>
      </c>
      <c r="RK68" s="5269">
        <f>IF(AND(outputs_oppsum[[#This Row],[kon_metod_no]]=2,outputs_oppsum[[#This Row],[tverrslag_status_oppsum]]&lt;&gt;$I$90,outputs_oppsum[[#This Row],[faktor_bruker_definert]]=FALSE),outputs_oppsum[[#This Row],[faktor_user]],outputs_oppsum[[#This Row],[faktor_beregnet]])</f>
        <v>1</v>
      </c>
      <c r="RL68" s="1807" t="str">
        <f>IFERROR((outputs_oppsum[[#This Row],[faktor_final]]-1)*outputs_oppsum[[#This Row],[oppsum_drivetid_hr]]*outputs_oppsum[[#This Row],[veksel_prosent]],"-")</f>
        <v>-</v>
      </c>
      <c r="RM68" s="1807" t="str">
        <f>IF(outputs_oppsum[[#This Row],[kon_metod_no]]=2,outputs_oppsum[[#This Row],[ekstra_framdrift_tid_oppsum_hr]]/$AI$80,"-")</f>
        <v>-</v>
      </c>
      <c r="RN68" s="431" t="str">
        <f>IF(outputs_oppsum[[#This Row],[kon_metod_no]]=2,outputs_oppsum[[#This Row],[ekstra_drivetid_pga_faktor]],"-")</f>
        <v>-</v>
      </c>
      <c r="RO68" s="431" t="str">
        <f>IFERROR(outputs_oppsum[[#This Row],[oppsum_drivetid_hr]]+outputs_oppsum[[#This Row],[ekstra_drivetid_pga_faktor]],"-")</f>
        <v>-</v>
      </c>
      <c r="RP68"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68" s="5276">
        <f>IF(outputs_oppsum[[#This Row],[enstuff_prosent_input]]&gt;1,1,outputs_oppsum[[#This Row],[enstuff_prosent_input]])</f>
        <v>1</v>
      </c>
      <c r="RR68"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68" s="431"/>
      <c r="RT68" s="431"/>
      <c r="RU68" s="431"/>
      <c r="RV68" s="431"/>
      <c r="RW68" s="431" t="str">
        <f>IFERROR(outputs_oppsum[[#This Row],[drivetid_with_faktor]]+outputs_oppsum[[#This Row],[prosjekt_forbe_hr]]+outputs_oppsum[[#This Row],[total_forbe_hr]]+outputs_oppsum[[#This Row],[extra_for_tverrslag_sum]]+outputs_oppsum[[#This Row],[just_total_hr]]+outputs_oppsum[[#This Row],[forsinket_hr]],"!")</f>
        <v>!</v>
      </c>
      <c r="RX68" s="431" t="str">
        <f>IFERROR(outputs_oppsum[[#This Row],[oppsum_total_hr]]/$AI$80,"!")</f>
        <v>!</v>
      </c>
      <c r="RY68" s="431" t="str">
        <f>IF(MAX($RX$67:$RX$75)=outputs_oppsum[[#This Row],[oppsum_total_uke]],MAX($RX$67:$RX$75),"-")</f>
        <v>-</v>
      </c>
      <c r="RZ68" s="431" t="str">
        <f>IF(AND(ISNUMBER(outputs_oppsum[[#This Row],[Criticalstuff]]),$BC$34&lt;&gt;1,outputs_oppsum[[#This Row],[Criticalstuff]]&gt;0),$RZ$63,"")</f>
        <v/>
      </c>
      <c r="SA68" s="837"/>
      <c r="SB68" s="837"/>
      <c r="SC68" s="837"/>
      <c r="SD68" s="837"/>
      <c r="SE68" s="3521"/>
      <c r="SF68" s="3521"/>
      <c r="SG68" s="2617"/>
      <c r="SH68" s="3886"/>
      <c r="SI68" s="3886"/>
      <c r="SJ68" s="3886"/>
      <c r="SK68" s="3886"/>
      <c r="SL68" s="3886"/>
      <c r="SR68" s="2617"/>
      <c r="SS68" s="2617"/>
      <c r="ST68" s="2617"/>
      <c r="SU68" s="2617"/>
      <c r="SV68" s="2617"/>
      <c r="SW68" s="2617"/>
      <c r="SX68" s="2617"/>
      <c r="SY68" s="2617"/>
      <c r="SZ68" s="2617"/>
      <c r="TA68" s="2617"/>
      <c r="TB68" s="2617"/>
      <c r="TC68" s="2617"/>
      <c r="TD68" s="2617"/>
      <c r="TR68" s="183"/>
      <c r="TW68" s="181"/>
      <c r="TX68" s="183"/>
      <c r="TY68" s="183"/>
      <c r="TZ68" s="183"/>
      <c r="UA68" s="183"/>
      <c r="UC68" s="181"/>
      <c r="UD68" s="181"/>
      <c r="UE68" s="181"/>
      <c r="UF68" s="181"/>
      <c r="UK68" s="183"/>
      <c r="UL68" s="183"/>
      <c r="UM68" s="183"/>
      <c r="UN68" s="183"/>
      <c r="UO68" s="183"/>
      <c r="UQ68" s="184"/>
      <c r="US68" s="183"/>
      <c r="UT68" s="183"/>
      <c r="UU68" s="2617"/>
      <c r="UV68" s="183"/>
      <c r="UX68" s="265"/>
      <c r="VA68" s="265"/>
      <c r="VC68" s="402"/>
      <c r="VF68"/>
      <c r="WG68" s="2617"/>
      <c r="WH68" s="2617"/>
      <c r="WI68" s="2617"/>
      <c r="WJ68" s="2617"/>
      <c r="WK68" s="2617"/>
      <c r="WL68" s="2617"/>
      <c r="WM68" s="2617"/>
      <c r="WN68" s="2617"/>
      <c r="WO68" s="2617"/>
      <c r="WP68" s="2617"/>
      <c r="WQ68" s="2617"/>
      <c r="WR68" s="2617"/>
      <c r="WS68" s="2617"/>
      <c r="WT68" s="2617"/>
      <c r="WU68" s="2617"/>
      <c r="WV68" s="2617"/>
      <c r="WW68" s="2617"/>
      <c r="WX68" s="2617"/>
      <c r="WY68" s="265"/>
      <c r="WZ68" s="265"/>
      <c r="XA68" s="265"/>
      <c r="XB68" s="265"/>
      <c r="XC68" s="265"/>
      <c r="XD68" s="265"/>
      <c r="XE68" s="265"/>
      <c r="XF68" s="265"/>
      <c r="XG68" s="265"/>
      <c r="XH68" s="265"/>
      <c r="XI68" s="265"/>
      <c r="XJ68" s="265"/>
      <c r="XK68" s="265"/>
      <c r="XL68" s="265"/>
      <c r="XM68" s="265"/>
      <c r="XN68" s="265"/>
      <c r="XO68" s="265"/>
      <c r="XP68" s="265"/>
      <c r="XQ68" s="265"/>
      <c r="XR68" s="265"/>
      <c r="XS68" s="265"/>
      <c r="XT68" s="265"/>
      <c r="XU68" s="265"/>
    </row>
    <row r="69" spans="9:645" ht="30.75" x14ac:dyDescent="0.2">
      <c r="I69" s="5565"/>
      <c r="J69" s="372"/>
      <c r="K69" s="372"/>
      <c r="L69" s="372"/>
      <c r="M69" s="372" t="s">
        <v>1649</v>
      </c>
      <c r="N69" s="372"/>
      <c r="O69" s="185" t="s">
        <v>2188</v>
      </c>
      <c r="AP69" s="210"/>
      <c r="AR69" s="210"/>
      <c r="AT69" s="2617"/>
      <c r="AU69" s="2617"/>
      <c r="AV69" s="2617"/>
      <c r="BC69" s="274" t="s">
        <v>272</v>
      </c>
      <c r="BD69" s="5224">
        <f>BD68</f>
        <v>0</v>
      </c>
      <c r="BE69" s="5224" t="e">
        <f>$BC$49*$BH$35</f>
        <v>#VALUE!</v>
      </c>
      <c r="BF69" s="5224">
        <f>IF($BC$50&gt;=$BH$32,0,$BC$50*$BH$35)</f>
        <v>0</v>
      </c>
      <c r="BG69" s="5224">
        <f>IF($BC$51&gt;=$BH$32,0,$BC$51*$BH$35)</f>
        <v>0</v>
      </c>
      <c r="BH69" s="5224">
        <f>IF($BC$52&gt;=$BH$32,0,$BC$52*$BH$35)</f>
        <v>0</v>
      </c>
      <c r="BI69" s="212"/>
      <c r="BJ69" s="5224" t="e">
        <f>$BC$53*$BH$35</f>
        <v>#VALUE!</v>
      </c>
      <c r="BK69" s="5224">
        <f>IF($BC$54&gt;=$BH$33,0,$BC$54*$BH$35)</f>
        <v>0</v>
      </c>
      <c r="BL69" s="5224">
        <f>IF($BC$55&gt;=$BH$33,0,$BC$55*$BH$35)</f>
        <v>0</v>
      </c>
      <c r="BM69" s="5224">
        <f>IF($BC$56&gt;=$BH$33,0,$BC$56*$BH$35)</f>
        <v>0</v>
      </c>
      <c r="BN69" s="5224"/>
      <c r="BO69" s="5224" t="e">
        <f>Tunneldrift!$F$66*Tunneldrift!$AD$95</f>
        <v>#VALUE!</v>
      </c>
      <c r="DR69" s="2617"/>
      <c r="DS69" s="2617"/>
      <c r="DT69" s="2617"/>
      <c r="DU69" s="2617"/>
      <c r="ER69" s="1271" t="s">
        <v>650</v>
      </c>
      <c r="ES69" s="1268"/>
      <c r="ET69" s="1268"/>
      <c r="EU69" s="1268"/>
      <c r="FG69" s="239"/>
      <c r="FH69" s="239"/>
      <c r="FI69" s="239"/>
      <c r="FJ69" s="239"/>
      <c r="FK69" s="239"/>
      <c r="FL69" s="239"/>
      <c r="FM69" s="2617"/>
      <c r="FN69" s="2617"/>
      <c r="GH69" s="414"/>
      <c r="GJ69" s="340" t="str">
        <f>$NO$68</f>
        <v>Stuff 1-2</v>
      </c>
      <c r="GK69" s="185">
        <v>2</v>
      </c>
      <c r="GL69" s="185">
        <f>IF($BC$34&gt;1,1,0)</f>
        <v>0</v>
      </c>
      <c r="GM69" s="221">
        <f t="shared" si="74"/>
        <v>0</v>
      </c>
      <c r="GN69" s="438" t="str">
        <f t="shared" si="75"/>
        <v>Stuff 1-2</v>
      </c>
      <c r="GO69" s="261" t="b">
        <f>IF(GL37=1,INDEX(inputs_forbe[Forberedende],MATCH(GM69,inputs_forbe[Position],0)))</f>
        <v>0</v>
      </c>
      <c r="GP69" s="261" t="b">
        <f>IF(GL37=1,INDEX(inputs_forbe[Portaler],MATCH(outputs_forbe[[#This Row],[Position]],inputs_forbe[Position],0)))</f>
        <v>0</v>
      </c>
      <c r="GQ69" s="211" t="b">
        <f>IF(GL37=1,INDEX(inputs_forbe[Andrearbeider],MATCH(outputs_forbe[[#This Row],[Position]],inputs_forbe[Position],0)))</f>
        <v>0</v>
      </c>
      <c r="GR69" s="241" t="str">
        <f>IF(GL37=1,SUM(outputs_forbe[[#This Row],[Forberedende]:[Andrearbeider]]),$GK$11)</f>
        <v>Ikke relevant</v>
      </c>
      <c r="GS69" s="2617"/>
      <c r="GT69" s="2617"/>
      <c r="GU69" s="2617"/>
      <c r="GV69" s="2617"/>
      <c r="GW69" s="2617"/>
      <c r="GX69" s="2617"/>
      <c r="GY69" s="2617"/>
      <c r="GZ69" s="2617"/>
      <c r="HA69" s="2617"/>
      <c r="HB69" s="2617"/>
      <c r="HC69" s="2617"/>
      <c r="IQ69" s="2617"/>
      <c r="IR69" s="2617"/>
      <c r="IS69" s="2617"/>
      <c r="IT69" s="2617"/>
      <c r="IU69" s="2617"/>
      <c r="IV69" s="2617"/>
      <c r="IW69" s="2617"/>
      <c r="IX69" s="2617"/>
      <c r="IY69" s="2617"/>
      <c r="IZ69" s="2617"/>
      <c r="JA69" s="2617"/>
      <c r="JB69" s="2617"/>
      <c r="JC69" s="2617"/>
      <c r="JD69" s="2617"/>
      <c r="JE69" s="2617"/>
      <c r="JF69" s="2617"/>
      <c r="JG69" s="2617"/>
      <c r="JH69" s="2617"/>
      <c r="JI69" s="2617"/>
      <c r="JJ69" s="2617"/>
      <c r="JK69" s="2617"/>
      <c r="JL69" s="2617"/>
      <c r="JM69" s="2617"/>
      <c r="JN69" s="2617"/>
      <c r="JO69" s="2617"/>
      <c r="KO69" s="183" t="s">
        <v>2260</v>
      </c>
      <c r="LX69" s="5268"/>
      <c r="NI69" s="1567"/>
      <c r="NN69" s="407">
        <v>31</v>
      </c>
      <c r="NO69" s="340" t="str">
        <f>$QQ$135</f>
        <v>Stuff 1-3</v>
      </c>
      <c r="NP69" s="211" t="str">
        <f t="shared" si="59"/>
        <v>-</v>
      </c>
      <c r="NQ69" s="211" t="str">
        <f t="shared" si="60"/>
        <v>-</v>
      </c>
      <c r="NR69" s="211" t="str">
        <f t="shared" si="60"/>
        <v>-</v>
      </c>
      <c r="NS69" s="211" t="str">
        <f t="shared" si="60"/>
        <v>-</v>
      </c>
      <c r="NT69" s="411" t="str">
        <f t="shared" si="61"/>
        <v>-</v>
      </c>
      <c r="NU69" s="411" t="str">
        <f t="shared" si="62"/>
        <v>-</v>
      </c>
      <c r="NV69" s="411" t="str">
        <f>IFERROR(outputs_oppsum[[#This Row],[total_lop]]+outputs_oppsum[[#This Row],[total_nisj]],"-")</f>
        <v>-</v>
      </c>
      <c r="NW69" s="411" t="str">
        <f>IFERROR(outputs_oppsum[[#This Row],[total_spreng_hr]]/$AI$80,"-")</f>
        <v>-</v>
      </c>
      <c r="NX69" s="211" t="str">
        <f t="shared" si="63"/>
        <v>-</v>
      </c>
      <c r="NY69" s="211" t="str">
        <f t="shared" si="63"/>
        <v>-</v>
      </c>
      <c r="NZ69" s="211" t="str">
        <f t="shared" si="63"/>
        <v>-</v>
      </c>
      <c r="OA69" s="211" t="str">
        <f t="shared" si="63"/>
        <v>-</v>
      </c>
      <c r="OB69" s="211" t="str">
        <f t="shared" si="63"/>
        <v>-</v>
      </c>
      <c r="OC69" s="211" t="str">
        <f t="shared" si="63"/>
        <v>-</v>
      </c>
      <c r="OD69" s="211" t="str">
        <f t="shared" si="63"/>
        <v>-</v>
      </c>
      <c r="OE69" s="211" t="str">
        <f t="shared" si="63"/>
        <v>-</v>
      </c>
      <c r="OF69" s="211" t="str">
        <f t="shared" si="63"/>
        <v>-</v>
      </c>
      <c r="OG69" s="211" t="str">
        <f t="shared" si="63"/>
        <v>-</v>
      </c>
      <c r="OH69" s="211" t="str">
        <f t="shared" si="63"/>
        <v>-</v>
      </c>
      <c r="OI69" s="3703" t="str">
        <f t="shared" si="63"/>
        <v>-</v>
      </c>
      <c r="OJ69" s="3703" t="str">
        <f>IFERROR(outputs_oppsum[[#This Row],[total_foran_hr]]/$AI$80,"-")</f>
        <v>-</v>
      </c>
      <c r="OK69" s="3703" t="str">
        <f t="shared" si="64"/>
        <v>-</v>
      </c>
      <c r="OL69" s="3703" t="str">
        <f t="shared" si="64"/>
        <v>-</v>
      </c>
      <c r="OM69" s="406" t="str">
        <f t="shared" si="65"/>
        <v>-</v>
      </c>
      <c r="ON69" s="406" t="str">
        <f t="shared" si="66"/>
        <v>-</v>
      </c>
      <c r="OO69" s="406" t="str">
        <f t="shared" si="67"/>
        <v>-</v>
      </c>
      <c r="OP69" s="406" t="str">
        <f t="shared" si="67"/>
        <v>-</v>
      </c>
      <c r="OQ69" s="406" t="str">
        <f t="shared" si="67"/>
        <v>-</v>
      </c>
      <c r="OR69" s="406"/>
      <c r="OS69" s="406"/>
      <c r="OT69" s="406" t="str">
        <f t="shared" si="68"/>
        <v>-</v>
      </c>
      <c r="OU69" s="406"/>
      <c r="OV69" s="406"/>
      <c r="OW69" s="406" t="str">
        <f t="shared" si="76"/>
        <v>-</v>
      </c>
      <c r="OX69" s="406" t="str">
        <f t="shared" si="69"/>
        <v>-</v>
      </c>
      <c r="OY69" s="406" t="str">
        <f t="shared" si="69"/>
        <v>-</v>
      </c>
      <c r="OZ69" s="406" t="str">
        <f t="shared" si="69"/>
        <v>-</v>
      </c>
      <c r="PA69" s="406" t="str">
        <f t="shared" si="69"/>
        <v>-</v>
      </c>
      <c r="PB69" s="413" t="str">
        <f t="shared" si="69"/>
        <v>-</v>
      </c>
      <c r="PC69" s="413" t="str">
        <f t="shared" si="69"/>
        <v>-</v>
      </c>
      <c r="PD69" s="413" t="str">
        <f t="shared" si="69"/>
        <v>-</v>
      </c>
      <c r="PE69" s="413" t="str">
        <f t="shared" si="69"/>
        <v>-</v>
      </c>
      <c r="PF69" s="413" t="str">
        <f t="shared" si="69"/>
        <v>-</v>
      </c>
      <c r="PG69" s="413" t="str">
        <f t="shared" si="69"/>
        <v>-</v>
      </c>
      <c r="PH69" s="839" t="str">
        <f t="shared" si="69"/>
        <v>-</v>
      </c>
      <c r="PI69" s="1277" t="str">
        <f>IFERROR(outputs_oppsum[[#This Row],[total_stab_hr]]/$AI$80,"-")</f>
        <v>-</v>
      </c>
      <c r="PJ69" s="211" t="str">
        <f>IF(AND($GL$35=1,outputs_oppsum[[#This Row],[tverrslag_status]]&lt;&gt;1),$GR$67,$GK$11)</f>
        <v>Ikke relevant</v>
      </c>
      <c r="PK69" s="211">
        <f>IFERROR(outputs_oppsum[[#This Row],[prosjekt_forbe]]*$AI$80,0)</f>
        <v>0</v>
      </c>
      <c r="PL69" s="212" t="b">
        <f t="shared" si="70"/>
        <v>0</v>
      </c>
      <c r="PM69" s="212" t="b">
        <f t="shared" si="71"/>
        <v>0</v>
      </c>
      <c r="PN69" s="212" t="b">
        <f t="shared" si="72"/>
        <v>0</v>
      </c>
      <c r="PO69" s="424" t="str">
        <f t="shared" si="73"/>
        <v>Ikke relevant</v>
      </c>
      <c r="PP69" s="431">
        <f>outputs_oppsum[[#This Row],[Forberedende]]*$AI$80</f>
        <v>0</v>
      </c>
      <c r="PQ69" s="431">
        <f>outputs_oppsum[[#This Row],[Portaler]]*$AI$80</f>
        <v>0</v>
      </c>
      <c r="PR69" s="431">
        <f>outputs_oppsum[[#This Row],[Andrearbeider]]*$AI$80</f>
        <v>0</v>
      </c>
      <c r="PS69" s="431">
        <f>IFERROR(outputs_oppsum[[#This Row],[total_forbe]]*$AI$80,0)</f>
        <v>0</v>
      </c>
      <c r="PT69" s="431" t="e">
        <f t="shared" si="77"/>
        <v>#VALUE!</v>
      </c>
      <c r="PU69" s="845" t="str">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v>
      </c>
      <c r="PV69" s="1656" t="str">
        <f>IFERROR(outputs_oppsum[[#This Row],[oppsum_drivetid_hr]]/$AI$80,"-")</f>
        <v>-</v>
      </c>
      <c r="PW69" s="1660"/>
      <c r="PX69" s="1658">
        <f>INDEX(tverr_connection_2[31],MATCH($BC$28,tverr_connection_2[config],0))</f>
        <v>0</v>
      </c>
      <c r="PY69" s="1662" t="str">
        <f>IF(outputs_oppsum[[#This Row],[tverrslag_status]]=0,$HI$54,IF(outputs_oppsum[[#This Row],[tverrslag_status]]=1,$HI$55,"-"))</f>
        <v>Ikke påvirket</v>
      </c>
      <c r="PZ69" s="1663" t="str">
        <f>IFERROR(INDEX(outputs_tverrslag[Tverrslag construction time],MATCH(outputs_oppsum[[#This Row],[stuff_navn]],outputs_tverrslag[name],0)),"-")</f>
        <v>-</v>
      </c>
      <c r="QA69" s="1658" t="str">
        <f>IF(outputs_oppsum[[#This Row],[tverrslag_status_oppsum]]=$HI$55,$PU$84,"-")</f>
        <v>-</v>
      </c>
      <c r="QB69" s="1662" t="str">
        <f>IF(outputs_oppsum[[#This Row],[tverrslag_status_oppsum]]=$HI$55,$HI$66,"-")</f>
        <v>-</v>
      </c>
      <c r="QC69" s="1662" t="str">
        <f>IF(outputs_oppsum[[#This Row],[tverrslag_status_oppsum]]=$HI$55,$HJ$14,"-")</f>
        <v>-</v>
      </c>
      <c r="QD69" s="1668" t="str">
        <f>IFERROR(INDEX(outputs_tverrslag[forsink_perstuff_uker],MATCH(outputs_oppsum[[#This Row],[stuff_navn]],outputs_tverrslag[name],0)),"-")</f>
        <v>-</v>
      </c>
      <c r="QE69" s="843" t="str">
        <f>IFERROR(INDEX(outputs_tverrslag[forsink_total_uker],MATCH(outputs_oppsum[[#This Row],[stuff_navn]],outputs_tverrslag[name],0)),"-")</f>
        <v>-</v>
      </c>
      <c r="QF69" s="843" t="str">
        <f>IFERROR(INDEX(outputs_tverrslag[Kryssområdet_hr],MATCH(outputs_oppsum[[#This Row],[stuff_navn]],outputs_tverrslag[name],0)),"-")</f>
        <v>-</v>
      </c>
      <c r="QG69" s="843" t="str">
        <f>IFERROR(INDEX(outputs_tverrslag[forsink_total_hr],MATCH(outputs_oppsum[[#This Row],[stuff_navn]],outputs_tverrslag[name],0)),"-")</f>
        <v>-</v>
      </c>
      <c r="QH69" s="334">
        <f>SUMIF(outputs_oppsum[[#This Row],[kryssområdet_forberedende_hr2]:[extra_forsink_etter_tverrslag_total_hr]],"&lt;&gt;-")+SUMIF(outputs_oppsum[[#This Row],[tverrslag_tid]],"&lt;&gt;-")</f>
        <v>0</v>
      </c>
      <c r="QI69" s="334" t="str">
        <f>IF(OR(outputs_oppsum[[#This Row],[tverrslag_status_oppsum]]=$HI$55,outputs_oppsum[[#This Row],[tverrslag_status_oppsum]]=$I$90),$GR$67,"-")</f>
        <v>-</v>
      </c>
      <c r="QJ69" s="334">
        <f>IFERROR(outputs_oppsum[[#This Row],[extra_tverrslag_prosjekt_forarb_uke]]*$AI$80,0)</f>
        <v>0</v>
      </c>
      <c r="QK69" s="334" t="str">
        <f>IF(outputs_oppsum[[#This Row],[tverrslag_status_oppsum]]=$HI$55,$PO$75,"-")</f>
        <v>-</v>
      </c>
      <c r="QL69" s="1827">
        <f>IFERROR(outputs_oppsum[[#This Row],[extra_tverrslag_forarb_uke]]*$AI$80,0)</f>
        <v>0</v>
      </c>
      <c r="QM69" s="334" t="str">
        <f>IF(outputs_oppsum[[#This Row],[tverrslag_status_oppsum]]=$HI$55,$RA$75,"-")</f>
        <v>-</v>
      </c>
      <c r="QN69" s="1827">
        <f>IFERROR(outputs_oppsum[[#This Row],[extra_tverrslag_just_uke]]*$AI$80,0)</f>
        <v>0</v>
      </c>
      <c r="QO69" s="211" t="str">
        <f>IF(outputs_oppsum[[#This Row],[tverrslag_status_oppsum]]=$HI$55,$GK$96,"-")</f>
        <v>-</v>
      </c>
      <c r="QP69" s="1828">
        <f>IFERROR(outputs_oppsum[[#This Row],[tverrslag_forsinkt_uke]]*$AI$80,0)</f>
        <v>0</v>
      </c>
      <c r="QQ69"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69" s="1809">
        <f>IFERROR(IF(outputs_oppsum[[#This Row],[tverrslag_status_oppsum]]=$I$90,outputs_oppsum[[#This Row],[kryssområdet_forberedende_hr]],IF(outputs_oppsum[[#This Row],[tverrslag_status]]=1,outputs_oppsum[[#This Row],[tverrslag_total_hr]],0)),0)</f>
        <v>0</v>
      </c>
      <c r="QS69" s="1666" t="e">
        <f>INDEX(outputs_just[general_tid],MATCH(outputs_oppsum[[#This Row],[stuff_navn]],outputs_just[Navn],0))</f>
        <v>#N/A</v>
      </c>
      <c r="QT69" s="1666" t="e">
        <f>INDEX(outputs_just[geo_tid],MATCH(outputs_oppsum[[#This Row],[stuff_navn]],outputs_just[Navn],0))</f>
        <v>#N/A</v>
      </c>
      <c r="QU69" s="1666" t="e">
        <f>INDEX(outputs_just[stig_tid],MATCH(outputs_oppsum[[#This Row],[stuff_navn]],outputs_just[Navn],0))</f>
        <v>#N/A</v>
      </c>
      <c r="QV69" s="1666" t="e">
        <f>INDEX(outputs_just[arb_tid],MATCH(outputs_oppsum[[#This Row],[stuff_navn]],outputs_just[Navn],0))</f>
        <v>#N/A</v>
      </c>
      <c r="QW69" s="1666" t="e">
        <f>INDEX(outputs_just[spreng_tid],MATCH(outputs_oppsum[[#This Row],[stuff_navn]],outputs_just[Navn],0))</f>
        <v>#N/A</v>
      </c>
      <c r="QX69" s="1666" t="e">
        <f>INDEX(outputs_just[skyte_tid],MATCH(outputs_oppsum[[#This Row],[stuff_navn]],outputs_just[Navn],0))</f>
        <v>#N/A</v>
      </c>
      <c r="QY69" s="1666" t="e">
        <f>INDEX(outputs_just[støy_tid],MATCH(outputs_oppsum[[#This Row],[stuff_navn]],outputs_just[Navn],0))</f>
        <v>#N/A</v>
      </c>
      <c r="QZ69" s="1666" t="e">
        <f>INDEX(outputs_just[ann_tid],MATCH(outputs_oppsum[[#This Row],[stuff_navn]],outputs_just[Navn],0))</f>
        <v>#N/A</v>
      </c>
      <c r="RA69" s="1666" t="e">
        <f>SUM(outputs_oppsum[[#This Row],[just_generell]:[just_ann]])</f>
        <v>#N/A</v>
      </c>
      <c r="RB69" s="1666" t="e">
        <f>outputs_oppsum[[#This Row],[just_total_uke]]*$AI$80</f>
        <v>#N/A</v>
      </c>
      <c r="RC69" s="211">
        <f>INDEX(inputs_forsinket[tid_uke],MATCH(outputs_oppsum[[#This Row],[stuff_navn]],inputs_forsinket[name],0))</f>
        <v>0</v>
      </c>
      <c r="RD69" s="1805">
        <f>outputs_oppsum[[#This Row],[forsinket_uke]]*$AI$80</f>
        <v>0</v>
      </c>
      <c r="RE69" s="234">
        <f>LM38</f>
        <v>1</v>
      </c>
      <c r="RF69" s="211" t="str">
        <f>IF(RE69=1,_List!$AW$7,IF(RE69=2,_List!$AW$8,""))</f>
        <v>Enstuffs drift</v>
      </c>
      <c r="RG69" s="431" t="str">
        <f>IF(outputs_oppsum[[#This Row],[kon_metod_no]]=2,INDEX(framdriftfaktor[stab-foran_spreng_ratio],MATCH(outputs_oppsum[[#This Row],[stuff_id]],framdriftfaktor[stuff_id],0)),"-")</f>
        <v>-</v>
      </c>
      <c r="RH69" s="5269">
        <f>IF(outputs_oppsum[[#This Row],[kon_metod_no]]=2,INDEX(framdriftfaktor[beregnet_faktor_final],MATCH(outputs_oppsum[[#This Row],[stuff_id]],framdriftfaktor[stuff_id],0)),1)</f>
        <v>1</v>
      </c>
      <c r="RI69" s="5269" t="str">
        <f>IF(outputs_oppsum[[#This Row],[kon_metod]]=_List!$AW$8,INDEX(outputs_just[vek_faktor_bruker_definert_status],MATCH(outputs_oppsum[[#This Row],[stuff_navn]],outputs_just[Navn],0)),"")</f>
        <v/>
      </c>
      <c r="RJ69" s="5269" t="e">
        <f>IF(AND(outputs_oppsum[[#This Row],[kon_metod_no]]&lt;&gt;1,LP123=FALSE),LO123,"-")</f>
        <v>#N/A</v>
      </c>
      <c r="RK69" s="5269">
        <f>IF(AND(outputs_oppsum[[#This Row],[kon_metod_no]]=2,outputs_oppsum[[#This Row],[tverrslag_status_oppsum]]&lt;&gt;$I$90,outputs_oppsum[[#This Row],[faktor_bruker_definert]]=FALSE),outputs_oppsum[[#This Row],[faktor_user]],outputs_oppsum[[#This Row],[faktor_beregnet]])</f>
        <v>1</v>
      </c>
      <c r="RL69" s="1807" t="str">
        <f>IFERROR((outputs_oppsum[[#This Row],[faktor_final]]-1)*outputs_oppsum[[#This Row],[oppsum_drivetid_hr]]*outputs_oppsum[[#This Row],[veksel_prosent]],"-")</f>
        <v>-</v>
      </c>
      <c r="RM69" s="1807" t="str">
        <f>IF(outputs_oppsum[[#This Row],[kon_metod_no]]=2,outputs_oppsum[[#This Row],[ekstra_framdrift_tid_oppsum_hr]]/$AI$80,"-")</f>
        <v>-</v>
      </c>
      <c r="RN69" s="431" t="str">
        <f>IF(outputs_oppsum[[#This Row],[kon_metod_no]]=2,outputs_oppsum[[#This Row],[ekstra_drivetid_pga_faktor]],"-")</f>
        <v>-</v>
      </c>
      <c r="RO69" s="431" t="str">
        <f>IFERROR(outputs_oppsum[[#This Row],[oppsum_drivetid_hr]]+outputs_oppsum[[#This Row],[ekstra_drivetid_pga_faktor]],"-")</f>
        <v>-</v>
      </c>
      <c r="RP69"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69" s="5276">
        <f>IF(outputs_oppsum[[#This Row],[enstuff_prosent_input]]&gt;1,1,outputs_oppsum[[#This Row],[enstuff_prosent_input]])</f>
        <v>1</v>
      </c>
      <c r="RR69"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69" s="431"/>
      <c r="RT69" s="431"/>
      <c r="RU69" s="431"/>
      <c r="RV69" s="431"/>
      <c r="RW69" s="431" t="str">
        <f>IFERROR(outputs_oppsum[[#This Row],[drivetid_with_faktor]]+outputs_oppsum[[#This Row],[prosjekt_forbe_hr]]+outputs_oppsum[[#This Row],[total_forbe_hr]]+outputs_oppsum[[#This Row],[extra_for_tverrslag_sum]]+outputs_oppsum[[#This Row],[just_total_hr]]+outputs_oppsum[[#This Row],[forsinket_hr]],"!")</f>
        <v>!</v>
      </c>
      <c r="RX69" s="431" t="str">
        <f>IFERROR(outputs_oppsum[[#This Row],[oppsum_total_hr]]/$AI$80,"!")</f>
        <v>!</v>
      </c>
      <c r="RY69" s="431" t="str">
        <f>IF(MAX($RX$67:$RX$75)=outputs_oppsum[[#This Row],[oppsum_total_uke]],MAX($RX$67:$RX$75),"-")</f>
        <v>-</v>
      </c>
      <c r="RZ69" s="431" t="str">
        <f>IF(AND(ISNUMBER(outputs_oppsum[[#This Row],[Criticalstuff]]),$BC$34&lt;&gt;1,outputs_oppsum[[#This Row],[Criticalstuff]]&gt;0),$RZ$63,"")</f>
        <v/>
      </c>
      <c r="SA69" s="837"/>
      <c r="SB69" s="837"/>
      <c r="SC69" s="837"/>
      <c r="SD69" s="837"/>
      <c r="SE69" s="3521"/>
      <c r="SF69" s="3521"/>
      <c r="SG69" s="2617"/>
      <c r="SH69" s="3886"/>
      <c r="SI69" s="3886"/>
      <c r="SJ69" s="3886"/>
      <c r="SK69" s="3886"/>
      <c r="SL69" s="3886"/>
      <c r="SR69" s="2617"/>
      <c r="SS69" s="2617"/>
      <c r="ST69" s="2617"/>
      <c r="SU69" s="2617"/>
      <c r="SV69" s="2617"/>
      <c r="SW69" s="2617"/>
      <c r="SX69" s="2617"/>
      <c r="SY69" s="2617"/>
      <c r="SZ69" s="2617"/>
      <c r="TA69" s="2617"/>
      <c r="TB69" s="2617"/>
      <c r="TC69" s="2617"/>
      <c r="TD69" s="2617"/>
      <c r="TR69" s="183"/>
      <c r="TW69" s="181"/>
      <c r="TX69" s="183"/>
      <c r="TY69" s="183"/>
      <c r="TZ69" s="183"/>
      <c r="UA69" s="183"/>
      <c r="UC69" s="181"/>
      <c r="UD69" s="181"/>
      <c r="UE69" s="181"/>
      <c r="UF69" s="181"/>
      <c r="UK69" s="183"/>
      <c r="UL69" s="183"/>
      <c r="UM69" s="183"/>
      <c r="UN69" s="183"/>
      <c r="UO69" s="183"/>
      <c r="UQ69" s="184"/>
      <c r="US69" s="183"/>
      <c r="UT69" s="183"/>
      <c r="UU69" s="2617"/>
      <c r="UV69" s="183"/>
      <c r="UX69" s="265"/>
      <c r="VA69" s="265"/>
      <c r="VC69" s="402"/>
      <c r="VF69"/>
      <c r="WG69" s="2617"/>
      <c r="WH69" s="2617"/>
      <c r="WI69" s="2617"/>
      <c r="WJ69" s="2617"/>
      <c r="WK69" s="2617"/>
      <c r="WL69" s="2617"/>
      <c r="WM69" s="2617"/>
      <c r="WN69" s="2617"/>
      <c r="WO69" s="2617"/>
      <c r="WP69" s="2617"/>
      <c r="WQ69" s="2617"/>
      <c r="WR69" s="2617"/>
      <c r="WS69" s="2617"/>
      <c r="WT69" s="2617"/>
      <c r="WU69" s="2617"/>
      <c r="WV69" s="2617"/>
      <c r="WW69" s="2617"/>
      <c r="WX69" s="2617"/>
      <c r="WY69" s="265"/>
      <c r="WZ69" s="265"/>
      <c r="XA69" s="265"/>
      <c r="XB69" s="265"/>
      <c r="XC69" s="265"/>
      <c r="XD69" s="265"/>
      <c r="XE69" s="265"/>
      <c r="XF69" s="265"/>
      <c r="XG69" s="265"/>
      <c r="XH69" s="265"/>
      <c r="XI69" s="265"/>
      <c r="XJ69" s="265"/>
      <c r="XK69" s="265"/>
      <c r="XL69" s="265"/>
      <c r="XM69" s="265"/>
      <c r="XN69" s="265"/>
      <c r="XO69" s="265"/>
      <c r="XP69" s="265"/>
      <c r="XQ69" s="265"/>
      <c r="XR69" s="265"/>
      <c r="XS69" s="265"/>
      <c r="XT69" s="265"/>
      <c r="XU69" s="265"/>
    </row>
    <row r="70" spans="9:645" ht="31.5" thickBot="1" x14ac:dyDescent="0.25">
      <c r="I70" s="5565"/>
      <c r="J70" s="372"/>
      <c r="K70" s="372" t="s">
        <v>107</v>
      </c>
      <c r="L70" s="372"/>
      <c r="M70" s="372" t="s">
        <v>2644</v>
      </c>
      <c r="N70" s="372"/>
      <c r="O70" s="185"/>
      <c r="AH70" s="283" t="s">
        <v>381</v>
      </c>
      <c r="AP70" s="210"/>
      <c r="AR70" s="210"/>
      <c r="AT70" s="2617"/>
      <c r="AU70" s="2617"/>
      <c r="AV70" s="2617"/>
      <c r="BB70" s="275"/>
      <c r="BC70" s="275"/>
      <c r="BD70" s="275"/>
      <c r="BE70" s="275"/>
      <c r="BF70" s="275"/>
      <c r="BG70" s="275"/>
      <c r="BH70" s="275"/>
      <c r="BI70" s="277"/>
      <c r="BJ70" s="275"/>
      <c r="BK70" s="275"/>
      <c r="BL70" s="275"/>
      <c r="BM70" s="275"/>
      <c r="BN70" s="275"/>
      <c r="DR70" s="1205" t="s">
        <v>646</v>
      </c>
      <c r="DS70" s="836"/>
      <c r="DT70" s="836"/>
      <c r="DU70" s="836"/>
      <c r="DV70" s="836"/>
      <c r="ER70" s="1268"/>
      <c r="ES70" s="1268"/>
      <c r="ET70" s="1268"/>
      <c r="EU70" s="1268"/>
      <c r="FG70" s="239"/>
      <c r="FH70" s="239"/>
      <c r="FI70" s="239"/>
      <c r="FJ70" s="239"/>
      <c r="FK70" s="239"/>
      <c r="FL70" s="239"/>
      <c r="FM70" s="2617"/>
      <c r="FN70" s="2617"/>
      <c r="GH70" s="414"/>
      <c r="GJ70" s="340" t="str">
        <f>$NO$69</f>
        <v>Stuff 1-3</v>
      </c>
      <c r="GK70" s="185">
        <v>3</v>
      </c>
      <c r="GL70" s="185">
        <f>IF($BC$34&gt;2,1,0)</f>
        <v>0</v>
      </c>
      <c r="GM70" s="221">
        <f t="shared" si="74"/>
        <v>0</v>
      </c>
      <c r="GN70" s="438" t="str">
        <f t="shared" si="75"/>
        <v>Stuff 1-3</v>
      </c>
      <c r="GO70" s="261" t="b">
        <f>IF(GL38=1,INDEX(inputs_forbe[Forberedende],MATCH(GM70,inputs_forbe[Position],0)))</f>
        <v>0</v>
      </c>
      <c r="GP70" s="261" t="b">
        <f>IF(GL38=1,INDEX(inputs_forbe[Portaler],MATCH(outputs_forbe[[#This Row],[Position]],inputs_forbe[Position],0)))</f>
        <v>0</v>
      </c>
      <c r="GQ70" s="211" t="b">
        <f>IF(GL38=1,INDEX(inputs_forbe[Andrearbeider],MATCH(outputs_forbe[[#This Row],[Position]],inputs_forbe[Position],0)))</f>
        <v>0</v>
      </c>
      <c r="GR70" s="241" t="str">
        <f>IF(GL38=1,SUM(outputs_forbe[[#This Row],[Forberedende]:[Andrearbeider]]),$GK$11)</f>
        <v>Ikke relevant</v>
      </c>
      <c r="GS70" s="2617"/>
      <c r="GT70" s="2617"/>
      <c r="GU70" s="2617"/>
      <c r="GV70" s="2617"/>
      <c r="GW70" s="2617"/>
      <c r="GX70" s="2617"/>
      <c r="GY70" s="2617"/>
      <c r="GZ70" s="2617"/>
      <c r="HA70" s="2617"/>
      <c r="HB70" s="2617"/>
      <c r="HC70" s="2617"/>
      <c r="HH70" s="3695" t="s">
        <v>620</v>
      </c>
      <c r="HI70" s="3695" t="s">
        <v>428</v>
      </c>
      <c r="HJ70" s="3695" t="s">
        <v>470</v>
      </c>
      <c r="HK70" s="185" t="s">
        <v>632</v>
      </c>
      <c r="HL70" s="3695" t="s">
        <v>623</v>
      </c>
      <c r="HM70" s="185" t="s">
        <v>624</v>
      </c>
      <c r="HN70" s="185" t="s">
        <v>625</v>
      </c>
      <c r="HO70" s="185" t="s">
        <v>626</v>
      </c>
      <c r="IQ70" s="2617"/>
      <c r="IR70" s="2617"/>
      <c r="IS70" s="2617"/>
      <c r="IT70" s="2617"/>
      <c r="IU70" s="2617"/>
      <c r="IV70" s="2617"/>
      <c r="IW70" s="2617"/>
      <c r="IX70" s="2617"/>
      <c r="IY70" s="2617"/>
      <c r="IZ70" s="2617"/>
      <c r="JA70" s="2617"/>
      <c r="JB70" s="2617"/>
      <c r="JC70" s="2617"/>
      <c r="JD70" s="2617"/>
      <c r="JE70" s="2617"/>
      <c r="JF70" s="2617"/>
      <c r="JG70" s="2617"/>
      <c r="JH70" s="2617"/>
      <c r="JI70" s="2617"/>
      <c r="JJ70" s="2617"/>
      <c r="JK70" s="2617"/>
      <c r="JL70" s="2617"/>
      <c r="JM70" s="2617"/>
      <c r="JN70" s="2617"/>
      <c r="JO70" s="2617"/>
      <c r="LX70" s="5268"/>
      <c r="NI70" s="1567"/>
      <c r="NN70" s="407">
        <v>41</v>
      </c>
      <c r="NO70" s="340" t="str">
        <f>$QR$135</f>
        <v>Stuff 1-4</v>
      </c>
      <c r="NP70" s="211" t="str">
        <f t="shared" si="59"/>
        <v>-</v>
      </c>
      <c r="NQ70" s="211" t="str">
        <f t="shared" si="60"/>
        <v>-</v>
      </c>
      <c r="NR70" s="211" t="str">
        <f t="shared" si="60"/>
        <v>-</v>
      </c>
      <c r="NS70" s="211" t="str">
        <f t="shared" si="60"/>
        <v>-</v>
      </c>
      <c r="NT70" s="411" t="str">
        <f t="shared" si="61"/>
        <v>-</v>
      </c>
      <c r="NU70" s="411" t="str">
        <f t="shared" si="62"/>
        <v>-</v>
      </c>
      <c r="NV70" s="411" t="str">
        <f>IFERROR(outputs_oppsum[[#This Row],[total_lop]]+outputs_oppsum[[#This Row],[total_nisj]],"-")</f>
        <v>-</v>
      </c>
      <c r="NW70" s="411" t="str">
        <f>IFERROR(outputs_oppsum[[#This Row],[total_spreng_hr]]/$AI$80,"-")</f>
        <v>-</v>
      </c>
      <c r="NX70" s="211" t="str">
        <f t="shared" si="63"/>
        <v>-</v>
      </c>
      <c r="NY70" s="211" t="str">
        <f t="shared" si="63"/>
        <v>-</v>
      </c>
      <c r="NZ70" s="211" t="str">
        <f t="shared" si="63"/>
        <v>-</v>
      </c>
      <c r="OA70" s="211" t="str">
        <f t="shared" si="63"/>
        <v>-</v>
      </c>
      <c r="OB70" s="211" t="str">
        <f t="shared" si="63"/>
        <v>-</v>
      </c>
      <c r="OC70" s="211" t="str">
        <f t="shared" si="63"/>
        <v>-</v>
      </c>
      <c r="OD70" s="211" t="str">
        <f t="shared" si="63"/>
        <v>-</v>
      </c>
      <c r="OE70" s="211" t="str">
        <f t="shared" si="63"/>
        <v>-</v>
      </c>
      <c r="OF70" s="211" t="str">
        <f t="shared" si="63"/>
        <v>-</v>
      </c>
      <c r="OG70" s="211" t="str">
        <f t="shared" si="63"/>
        <v>-</v>
      </c>
      <c r="OH70" s="211" t="str">
        <f t="shared" si="63"/>
        <v>-</v>
      </c>
      <c r="OI70" s="3703" t="str">
        <f t="shared" si="63"/>
        <v>-</v>
      </c>
      <c r="OJ70" s="3703" t="str">
        <f>IFERROR(outputs_oppsum[[#This Row],[total_foran_hr]]/$AI$80,"-")</f>
        <v>-</v>
      </c>
      <c r="OK70" s="3703" t="str">
        <f t="shared" si="64"/>
        <v>-</v>
      </c>
      <c r="OL70" s="3703" t="str">
        <f t="shared" si="64"/>
        <v>-</v>
      </c>
      <c r="OM70" s="406" t="str">
        <f t="shared" si="65"/>
        <v>-</v>
      </c>
      <c r="ON70" s="406" t="str">
        <f t="shared" si="66"/>
        <v>-</v>
      </c>
      <c r="OO70" s="406" t="str">
        <f t="shared" si="67"/>
        <v>-</v>
      </c>
      <c r="OP70" s="406" t="str">
        <f t="shared" si="67"/>
        <v>-</v>
      </c>
      <c r="OQ70" s="406" t="str">
        <f t="shared" si="67"/>
        <v>-</v>
      </c>
      <c r="OR70" s="406"/>
      <c r="OS70" s="406"/>
      <c r="OT70" s="406" t="str">
        <f t="shared" si="68"/>
        <v>-</v>
      </c>
      <c r="OU70" s="406"/>
      <c r="OV70" s="406"/>
      <c r="OW70" s="406" t="str">
        <f t="shared" si="76"/>
        <v>-</v>
      </c>
      <c r="OX70" s="406" t="str">
        <f t="shared" si="69"/>
        <v>-</v>
      </c>
      <c r="OY70" s="406" t="str">
        <f t="shared" si="69"/>
        <v>-</v>
      </c>
      <c r="OZ70" s="406" t="str">
        <f t="shared" si="69"/>
        <v>-</v>
      </c>
      <c r="PA70" s="406" t="str">
        <f t="shared" si="69"/>
        <v>-</v>
      </c>
      <c r="PB70" s="413" t="str">
        <f t="shared" si="69"/>
        <v>-</v>
      </c>
      <c r="PC70" s="413" t="str">
        <f t="shared" si="69"/>
        <v>-</v>
      </c>
      <c r="PD70" s="413" t="str">
        <f t="shared" si="69"/>
        <v>-</v>
      </c>
      <c r="PE70" s="413" t="str">
        <f t="shared" si="69"/>
        <v>-</v>
      </c>
      <c r="PF70" s="413" t="str">
        <f t="shared" si="69"/>
        <v>-</v>
      </c>
      <c r="PG70" s="413" t="str">
        <f t="shared" si="69"/>
        <v>-</v>
      </c>
      <c r="PH70" s="839" t="str">
        <f t="shared" si="69"/>
        <v>-</v>
      </c>
      <c r="PI70" s="1277" t="str">
        <f>IFERROR(outputs_oppsum[[#This Row],[total_stab_hr]]/$AI$80,"-")</f>
        <v>-</v>
      </c>
      <c r="PJ70" s="211" t="str">
        <f>IF(AND($GL$35=1,outputs_oppsum[[#This Row],[tverrslag_status]]&lt;&gt;1),$GR$67,$GK$11)</f>
        <v>Ikke relevant</v>
      </c>
      <c r="PK70" s="211">
        <f>IFERROR(outputs_oppsum[[#This Row],[prosjekt_forbe]]*$AI$80,0)</f>
        <v>0</v>
      </c>
      <c r="PL70" s="212" t="b">
        <f t="shared" si="70"/>
        <v>0</v>
      </c>
      <c r="PM70" s="212" t="b">
        <f t="shared" si="71"/>
        <v>0</v>
      </c>
      <c r="PN70" s="212" t="b">
        <f t="shared" si="72"/>
        <v>0</v>
      </c>
      <c r="PO70" s="424" t="str">
        <f t="shared" si="73"/>
        <v>Ikke relevant</v>
      </c>
      <c r="PP70" s="431">
        <f>outputs_oppsum[[#This Row],[Forberedende]]*$AI$80</f>
        <v>0</v>
      </c>
      <c r="PQ70" s="431">
        <f>outputs_oppsum[[#This Row],[Portaler]]*$AI$80</f>
        <v>0</v>
      </c>
      <c r="PR70" s="431">
        <f>outputs_oppsum[[#This Row],[Andrearbeider]]*$AI$80</f>
        <v>0</v>
      </c>
      <c r="PS70" s="431">
        <f>IFERROR(outputs_oppsum[[#This Row],[total_forbe]]*$AI$80,0)</f>
        <v>0</v>
      </c>
      <c r="PT70" s="431" t="e">
        <f t="shared" si="77"/>
        <v>#VALUE!</v>
      </c>
      <c r="PU70" s="845" t="str">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v>
      </c>
      <c r="PV70" s="1656" t="str">
        <f>IFERROR(outputs_oppsum[[#This Row],[oppsum_drivetid_hr]]/$AI$80,"-")</f>
        <v>-</v>
      </c>
      <c r="PW70" s="1660"/>
      <c r="PX70" s="1658">
        <f>INDEX(tverr_connection_2[41],MATCH($BC$28,tverr_connection_2[config],0))</f>
        <v>0</v>
      </c>
      <c r="PY70" s="1662" t="str">
        <f>IF(outputs_oppsum[[#This Row],[tverrslag_status]]=0,$HI$54,IF(outputs_oppsum[[#This Row],[tverrslag_status]]=1,$HI$55,"-"))</f>
        <v>Ikke påvirket</v>
      </c>
      <c r="PZ70" s="1663" t="str">
        <f>IFERROR(INDEX(outputs_tverrslag[Tverrslag construction time],MATCH(outputs_oppsum[[#This Row],[stuff_navn]],outputs_tverrslag[name],0)),"-")</f>
        <v>-</v>
      </c>
      <c r="QA70" s="1658" t="str">
        <f>IF(outputs_oppsum[[#This Row],[tverrslag_status_oppsum]]=$HI$55,$PU$84,"-")</f>
        <v>-</v>
      </c>
      <c r="QB70" s="1662" t="str">
        <f>IF(outputs_oppsum[[#This Row],[tverrslag_status_oppsum]]=$HI$55,$HI$66,"-")</f>
        <v>-</v>
      </c>
      <c r="QC70" s="1662" t="str">
        <f>IF(outputs_oppsum[[#This Row],[tverrslag_status_oppsum]]=$HI$55,$HJ$14,"-")</f>
        <v>-</v>
      </c>
      <c r="QD70" s="1668" t="str">
        <f>IFERROR(INDEX(outputs_tverrslag[forsink_perstuff_uker],MATCH(outputs_oppsum[[#This Row],[stuff_navn]],outputs_tverrslag[name],0)),"-")</f>
        <v>-</v>
      </c>
      <c r="QE70" s="843" t="str">
        <f>IFERROR(INDEX(outputs_tverrslag[forsink_total_uker],MATCH(outputs_oppsum[[#This Row],[stuff_navn]],outputs_tverrslag[name],0)),"-")</f>
        <v>-</v>
      </c>
      <c r="QF70" s="843" t="str">
        <f>IFERROR(INDEX(outputs_tverrslag[Kryssområdet_hr],MATCH(outputs_oppsum[[#This Row],[stuff_navn]],outputs_tverrslag[name],0)),"-")</f>
        <v>-</v>
      </c>
      <c r="QG70" s="843" t="str">
        <f>IFERROR(INDEX(outputs_tverrslag[forsink_total_hr],MATCH(outputs_oppsum[[#This Row],[stuff_navn]],outputs_tverrslag[name],0)),"-")</f>
        <v>-</v>
      </c>
      <c r="QH70" s="334">
        <f>SUMIF(outputs_oppsum[[#This Row],[kryssområdet_forberedende_hr2]:[extra_forsink_etter_tverrslag_total_hr]],"&lt;&gt;-")+SUMIF(outputs_oppsum[[#This Row],[tverrslag_tid]],"&lt;&gt;-")</f>
        <v>0</v>
      </c>
      <c r="QI70" s="334" t="str">
        <f>IF(OR(outputs_oppsum[[#This Row],[tverrslag_status_oppsum]]=$HI$55,outputs_oppsum[[#This Row],[tverrslag_status_oppsum]]=$I$90),$GR$67,"-")</f>
        <v>-</v>
      </c>
      <c r="QJ70" s="334">
        <f>IFERROR(outputs_oppsum[[#This Row],[extra_tverrslag_prosjekt_forarb_uke]]*$AI$80,0)</f>
        <v>0</v>
      </c>
      <c r="QK70" s="334" t="str">
        <f>IF(outputs_oppsum[[#This Row],[tverrslag_status_oppsum]]=$HI$55,$PO$75,"-")</f>
        <v>-</v>
      </c>
      <c r="QL70" s="1827">
        <f>IFERROR(outputs_oppsum[[#This Row],[extra_tverrslag_forarb_uke]]*$AI$80,0)</f>
        <v>0</v>
      </c>
      <c r="QM70" s="334" t="str">
        <f>IF(outputs_oppsum[[#This Row],[tverrslag_status_oppsum]]=$HI$55,$RA$75,"-")</f>
        <v>-</v>
      </c>
      <c r="QN70" s="1827">
        <f>IFERROR(outputs_oppsum[[#This Row],[extra_tverrslag_just_uke]]*$AI$80,0)</f>
        <v>0</v>
      </c>
      <c r="QO70" s="211" t="str">
        <f>IF(outputs_oppsum[[#This Row],[tverrslag_status_oppsum]]=$HI$55,$GK$96,"-")</f>
        <v>-</v>
      </c>
      <c r="QP70" s="1828">
        <f>IFERROR(outputs_oppsum[[#This Row],[tverrslag_forsinkt_uke]]*$AI$80,0)</f>
        <v>0</v>
      </c>
      <c r="QQ70"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0" s="1809">
        <f>IFERROR(IF(outputs_oppsum[[#This Row],[tverrslag_status_oppsum]]=$I$90,outputs_oppsum[[#This Row],[kryssområdet_forberedende_hr]],IF(outputs_oppsum[[#This Row],[tverrslag_status]]=1,outputs_oppsum[[#This Row],[tverrslag_total_hr]],0)),0)</f>
        <v>0</v>
      </c>
      <c r="QS70" s="1666" t="e">
        <f>INDEX(outputs_just[general_tid],MATCH(outputs_oppsum[[#This Row],[stuff_navn]],outputs_just[Navn],0))</f>
        <v>#N/A</v>
      </c>
      <c r="QT70" s="1666" t="e">
        <f>INDEX(outputs_just[geo_tid],MATCH(outputs_oppsum[[#This Row],[stuff_navn]],outputs_just[Navn],0))</f>
        <v>#N/A</v>
      </c>
      <c r="QU70" s="1666" t="e">
        <f>INDEX(outputs_just[stig_tid],MATCH(outputs_oppsum[[#This Row],[stuff_navn]],outputs_just[Navn],0))</f>
        <v>#N/A</v>
      </c>
      <c r="QV70" s="1666" t="e">
        <f>INDEX(outputs_just[arb_tid],MATCH(outputs_oppsum[[#This Row],[stuff_navn]],outputs_just[Navn],0))</f>
        <v>#N/A</v>
      </c>
      <c r="QW70" s="1666" t="e">
        <f>INDEX(outputs_just[spreng_tid],MATCH(outputs_oppsum[[#This Row],[stuff_navn]],outputs_just[Navn],0))</f>
        <v>#N/A</v>
      </c>
      <c r="QX70" s="1666" t="e">
        <f>INDEX(outputs_just[skyte_tid],MATCH(outputs_oppsum[[#This Row],[stuff_navn]],outputs_just[Navn],0))</f>
        <v>#N/A</v>
      </c>
      <c r="QY70" s="1666" t="e">
        <f>INDEX(outputs_just[støy_tid],MATCH(outputs_oppsum[[#This Row],[stuff_navn]],outputs_just[Navn],0))</f>
        <v>#N/A</v>
      </c>
      <c r="QZ70" s="1666" t="e">
        <f>INDEX(outputs_just[ann_tid],MATCH(outputs_oppsum[[#This Row],[stuff_navn]],outputs_just[Navn],0))</f>
        <v>#N/A</v>
      </c>
      <c r="RA70" s="1666" t="e">
        <f>SUM(outputs_oppsum[[#This Row],[just_generell]:[just_ann]])</f>
        <v>#N/A</v>
      </c>
      <c r="RB70" s="1666" t="e">
        <f>outputs_oppsum[[#This Row],[just_total_uke]]*$AI$80</f>
        <v>#N/A</v>
      </c>
      <c r="RC70" s="211">
        <f>INDEX(inputs_forsinket[tid_uke],MATCH(outputs_oppsum[[#This Row],[stuff_navn]],inputs_forsinket[name],0))</f>
        <v>0</v>
      </c>
      <c r="RD70" s="1805">
        <f>outputs_oppsum[[#This Row],[forsinket_uke]]*$AI$80</f>
        <v>0</v>
      </c>
      <c r="RE70" s="234">
        <f>LN38</f>
        <v>1</v>
      </c>
      <c r="RF70" s="211" t="str">
        <f>IF(RE70=1,_List!$AW$7,IF(RE70=2,_List!$AW$8,""))</f>
        <v>Enstuffs drift</v>
      </c>
      <c r="RG70" s="431" t="str">
        <f>IF(outputs_oppsum[[#This Row],[kon_metod_no]]=2,INDEX(framdriftfaktor[stab-foran_spreng_ratio],MATCH(outputs_oppsum[[#This Row],[stuff_id]],framdriftfaktor[stuff_id],0)),"-")</f>
        <v>-</v>
      </c>
      <c r="RH70" s="5269">
        <f>IF(outputs_oppsum[[#This Row],[kon_metod_no]]=2,INDEX(framdriftfaktor[beregnet_faktor_final],MATCH(outputs_oppsum[[#This Row],[stuff_id]],framdriftfaktor[stuff_id],0)),1)</f>
        <v>1</v>
      </c>
      <c r="RI70" s="5269" t="str">
        <f>IF(outputs_oppsum[[#This Row],[kon_metod]]=_List!$AW$8,INDEX(outputs_just[vek_faktor_bruker_definert_status],MATCH(outputs_oppsum[[#This Row],[stuff_navn]],outputs_just[Navn],0)),"")</f>
        <v/>
      </c>
      <c r="RJ70" s="5269" t="e">
        <f>IF(AND(outputs_oppsum[[#This Row],[kon_metod_no]]&lt;&gt;1,LP124=FALSE),LO124,"-")</f>
        <v>#N/A</v>
      </c>
      <c r="RK70" s="5269">
        <f>IF(AND(outputs_oppsum[[#This Row],[kon_metod_no]]=2,outputs_oppsum[[#This Row],[tverrslag_status_oppsum]]&lt;&gt;$I$90,outputs_oppsum[[#This Row],[faktor_bruker_definert]]=FALSE),outputs_oppsum[[#This Row],[faktor_user]],outputs_oppsum[[#This Row],[faktor_beregnet]])</f>
        <v>1</v>
      </c>
      <c r="RL70" s="1807" t="str">
        <f>IFERROR((outputs_oppsum[[#This Row],[faktor_final]]-1)*outputs_oppsum[[#This Row],[oppsum_drivetid_hr]]*outputs_oppsum[[#This Row],[veksel_prosent]],"-")</f>
        <v>-</v>
      </c>
      <c r="RM70" s="1807" t="str">
        <f>IF(outputs_oppsum[[#This Row],[kon_metod_no]]=2,outputs_oppsum[[#This Row],[ekstra_framdrift_tid_oppsum_hr]]/$AI$80,"-")</f>
        <v>-</v>
      </c>
      <c r="RN70" s="431" t="str">
        <f>IF(outputs_oppsum[[#This Row],[kon_metod_no]]=2,outputs_oppsum[[#This Row],[ekstra_drivetid_pga_faktor]],"-")</f>
        <v>-</v>
      </c>
      <c r="RO70" s="431" t="str">
        <f>IFERROR(outputs_oppsum[[#This Row],[oppsum_drivetid_hr]]+outputs_oppsum[[#This Row],[ekstra_drivetid_pga_faktor]],"-")</f>
        <v>-</v>
      </c>
      <c r="RP70"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0" s="5276">
        <f>IF(outputs_oppsum[[#This Row],[enstuff_prosent_input]]&gt;1,1,outputs_oppsum[[#This Row],[enstuff_prosent_input]])</f>
        <v>1</v>
      </c>
      <c r="RR70"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0" s="431"/>
      <c r="RT70" s="431"/>
      <c r="RU70" s="431"/>
      <c r="RV70" s="431"/>
      <c r="RW70" s="431" t="str">
        <f>IFERROR(outputs_oppsum[[#This Row],[drivetid_with_faktor]]+outputs_oppsum[[#This Row],[prosjekt_forbe_hr]]+outputs_oppsum[[#This Row],[total_forbe_hr]]+outputs_oppsum[[#This Row],[extra_for_tverrslag_sum]]+outputs_oppsum[[#This Row],[just_total_hr]]+outputs_oppsum[[#This Row],[forsinket_hr]],"!")</f>
        <v>!</v>
      </c>
      <c r="RX70" s="431" t="str">
        <f>IFERROR(outputs_oppsum[[#This Row],[oppsum_total_hr]]/$AI$80,"!")</f>
        <v>!</v>
      </c>
      <c r="RY70" s="431" t="str">
        <f>IF(MAX($RX$67:$RX$75)=outputs_oppsum[[#This Row],[oppsum_total_uke]],MAX($RX$67:$RX$75),"-")</f>
        <v>-</v>
      </c>
      <c r="RZ70" s="431" t="str">
        <f>IF(AND(ISNUMBER(outputs_oppsum[[#This Row],[Criticalstuff]]),$BC$34&lt;&gt;1,outputs_oppsum[[#This Row],[Criticalstuff]]&gt;0),$RZ$63,"")</f>
        <v/>
      </c>
      <c r="SA70" s="837"/>
      <c r="SB70" s="837"/>
      <c r="SC70" s="837"/>
      <c r="SD70" s="837"/>
      <c r="SE70" s="3521"/>
      <c r="SF70" s="3521"/>
      <c r="SG70" s="2617"/>
      <c r="SH70" s="3886"/>
      <c r="SI70" s="3886"/>
      <c r="SJ70" s="3886"/>
      <c r="SK70" s="3886"/>
      <c r="SL70" s="3886"/>
      <c r="SR70" s="2617"/>
      <c r="SS70" s="2617"/>
      <c r="ST70" s="2617"/>
      <c r="SU70" s="2617"/>
      <c r="SV70" s="2617"/>
      <c r="SW70" s="2617"/>
      <c r="SX70" s="2617"/>
      <c r="SY70" s="2617"/>
      <c r="SZ70" s="2617"/>
      <c r="TA70" s="2617"/>
      <c r="TB70" s="2617"/>
      <c r="TC70" s="2617"/>
      <c r="TD70" s="2617"/>
      <c r="TR70" s="183"/>
      <c r="TW70" s="181"/>
      <c r="TX70" s="183"/>
      <c r="TY70" s="183"/>
      <c r="TZ70" s="183"/>
      <c r="UA70" s="183"/>
      <c r="UC70" s="181"/>
      <c r="UD70" s="181"/>
      <c r="UE70" s="181"/>
      <c r="UF70" s="181"/>
      <c r="UK70" s="183"/>
      <c r="UL70" s="183"/>
      <c r="UM70" s="183"/>
      <c r="UN70" s="183"/>
      <c r="UO70" s="183"/>
      <c r="UQ70" s="184"/>
      <c r="US70" s="183"/>
      <c r="UT70" s="183"/>
      <c r="UU70" s="2617"/>
      <c r="UV70" s="183"/>
      <c r="UX70" s="265"/>
      <c r="VA70" s="265"/>
      <c r="VC70" s="402"/>
      <c r="VF70"/>
      <c r="WG70" s="2617"/>
      <c r="WH70" s="2617"/>
      <c r="WI70" s="2617"/>
      <c r="WJ70" s="2617"/>
      <c r="WK70" s="2617"/>
      <c r="WL70" s="2617"/>
      <c r="WM70" s="2617"/>
      <c r="WN70" s="2617"/>
      <c r="WO70" s="2617"/>
      <c r="WP70" s="2617"/>
      <c r="WQ70" s="2617"/>
      <c r="WR70" s="2617"/>
      <c r="WS70" s="2617"/>
      <c r="WT70" s="2617"/>
      <c r="WU70" s="2617"/>
      <c r="WV70" s="2617"/>
      <c r="WW70" s="2617"/>
      <c r="WX70" s="2617"/>
      <c r="WY70" s="265"/>
      <c r="WZ70" s="265"/>
      <c r="XA70" s="265"/>
      <c r="XB70" s="265"/>
      <c r="XC70" s="265"/>
      <c r="XD70" s="265"/>
      <c r="XE70" s="265"/>
      <c r="XF70" s="265"/>
      <c r="XG70" s="265"/>
      <c r="XH70" s="265"/>
      <c r="XI70" s="265"/>
      <c r="XJ70" s="265"/>
      <c r="XK70" s="265"/>
      <c r="XL70" s="265"/>
      <c r="XM70" s="265"/>
      <c r="XN70" s="265"/>
      <c r="XO70" s="265"/>
      <c r="XP70" s="265"/>
      <c r="XQ70" s="265"/>
      <c r="XR70" s="265"/>
      <c r="XS70" s="265"/>
      <c r="XT70" s="265"/>
      <c r="XU70" s="265"/>
    </row>
    <row r="71" spans="9:645" x14ac:dyDescent="0.2">
      <c r="I71" s="5565"/>
      <c r="J71" s="372"/>
      <c r="K71" s="372"/>
      <c r="L71" s="372"/>
      <c r="M71" s="372" t="s">
        <v>2645</v>
      </c>
      <c r="N71" s="372"/>
      <c r="O71" s="185"/>
      <c r="AP71" s="210"/>
      <c r="AR71" s="210"/>
      <c r="AT71" s="2617"/>
      <c r="AU71" s="2617"/>
      <c r="AV71" s="2617"/>
      <c r="DR71" s="2617"/>
      <c r="DS71" s="2617"/>
      <c r="DT71" s="2617"/>
      <c r="DU71" s="2617"/>
      <c r="DW71" s="185" t="str">
        <f>outputs_foran[[#Headers],[Sonderboring]]</f>
        <v>Sonderboring</v>
      </c>
      <c r="DX71" s="185" t="str">
        <f>outputs_foran[[#Headers],[Kjerneboring]]</f>
        <v>Kjerneboring</v>
      </c>
      <c r="DY71" s="185" t="str">
        <f>outputs_foran[[#Headers],[Seismikk]]</f>
        <v>Seismikk</v>
      </c>
      <c r="DZ71" s="185" t="str">
        <f>outputs_foran[[#Headers],[sp_Rigg]]</f>
        <v>sp_Rigg</v>
      </c>
      <c r="EA71" s="185" t="str">
        <f>outputs_foran[[#Headers],[sp_Boring]]</f>
        <v>sp_Boring</v>
      </c>
      <c r="EB71" s="185" t="str">
        <f>outputs_foran[[#Headers],[Sp_Injeksjon]]</f>
        <v>Sp_Injeksjon</v>
      </c>
      <c r="EC71" s="185" t="str">
        <f>outputs_foran[[#Headers],[sp_Kontrollhull]]</f>
        <v>sp_Kontrollhull</v>
      </c>
      <c r="ED71" s="185" t="str">
        <f>outputs_foran[[#Headers],[sy_Rigg]]</f>
        <v>sy_Rigg</v>
      </c>
      <c r="EE71" s="185" t="str">
        <f>outputs_foran[[#Headers],[sy_Boring]]</f>
        <v>sy_Boring</v>
      </c>
      <c r="EF71" s="185" t="str">
        <f>outputs_foran[[#Headers],[sy_Injeksjon]]</f>
        <v>sy_Injeksjon</v>
      </c>
      <c r="EG71" s="185" t="str">
        <f>outputs_foran[[#Headers],[sy_Kontrollhull]]</f>
        <v>sy_Kontrollhull</v>
      </c>
      <c r="EH71" s="185"/>
      <c r="EI71" s="185"/>
      <c r="EJ71" s="185"/>
      <c r="EK71" s="185"/>
      <c r="FD71" s="239"/>
      <c r="FE71" s="239"/>
      <c r="FF71" s="239"/>
      <c r="FG71" s="239"/>
      <c r="FH71" s="239"/>
      <c r="FI71" s="239"/>
      <c r="FJ71" s="239"/>
      <c r="FK71" s="239"/>
      <c r="FL71" s="239"/>
      <c r="FM71" s="2617"/>
      <c r="FN71" s="2617"/>
      <c r="GH71" s="414"/>
      <c r="GJ71" s="340" t="str">
        <f>$NO$70</f>
        <v>Stuff 1-4</v>
      </c>
      <c r="GK71" s="185">
        <v>4</v>
      </c>
      <c r="GL71" s="185">
        <f>IF($BC$34&gt;3,1,0)</f>
        <v>0</v>
      </c>
      <c r="GM71" s="221">
        <f t="shared" si="74"/>
        <v>0</v>
      </c>
      <c r="GN71" s="438" t="str">
        <f t="shared" si="75"/>
        <v>Stuff 1-4</v>
      </c>
      <c r="GO71" s="261" t="b">
        <f>IF(GL39=1,INDEX(inputs_forbe[Forberedende],MATCH(GM71,inputs_forbe[Position],0)))</f>
        <v>0</v>
      </c>
      <c r="GP71" s="261" t="b">
        <f>IF(GL39=1,INDEX(inputs_forbe[Portaler],MATCH(outputs_forbe[[#This Row],[Position]],inputs_forbe[Position],0)))</f>
        <v>0</v>
      </c>
      <c r="GQ71" s="211" t="b">
        <f>IF(GL39=1,INDEX(inputs_forbe[Andrearbeider],MATCH(outputs_forbe[[#This Row],[Position]],inputs_forbe[Position],0)))</f>
        <v>0</v>
      </c>
      <c r="GR71" s="241" t="str">
        <f>IF(GL39=1,SUM(outputs_forbe[[#This Row],[Forberedende]:[Andrearbeider]]),$GK$11)</f>
        <v>Ikke relevant</v>
      </c>
      <c r="GS71" s="2617"/>
      <c r="GT71" s="2617"/>
      <c r="GU71" s="2617"/>
      <c r="GV71" s="2617"/>
      <c r="GW71" s="2617"/>
      <c r="GX71" s="2617"/>
      <c r="GY71" s="2617"/>
      <c r="GZ71" s="2617"/>
      <c r="HA71" s="2617"/>
      <c r="HB71" s="2617"/>
      <c r="HC71" s="2617"/>
      <c r="HH71" s="3695" t="s">
        <v>472</v>
      </c>
      <c r="HI71" s="3695" t="str">
        <f>INDEX(tverr_connection[tverr_1],MATCH($BC$28,tverr_connection[config]))</f>
        <v>None</v>
      </c>
      <c r="HJ71" s="3695">
        <f>$PU$84</f>
        <v>0</v>
      </c>
      <c r="HK71" s="185">
        <f>$HI$19</f>
        <v>0</v>
      </c>
      <c r="HL71" s="3695">
        <f>$HI$22</f>
        <v>0</v>
      </c>
      <c r="HM71" s="185">
        <f>$HJ$22</f>
        <v>0</v>
      </c>
      <c r="HN71" s="185">
        <f>$HI$14</f>
        <v>0</v>
      </c>
      <c r="HO71" s="185">
        <f>$HJ$14</f>
        <v>0</v>
      </c>
      <c r="IQ71" s="2617"/>
      <c r="IR71" s="2617"/>
      <c r="IS71" s="2617"/>
      <c r="IT71" s="2617"/>
      <c r="IU71" s="2617"/>
      <c r="IV71" s="2617"/>
      <c r="IW71" s="2617"/>
      <c r="IX71" s="2617"/>
      <c r="IY71" s="2617"/>
      <c r="IZ71" s="2617"/>
      <c r="JA71" s="2617"/>
      <c r="JB71" s="2617"/>
      <c r="JC71" s="2617"/>
      <c r="JD71" s="2617"/>
      <c r="JE71" s="2617"/>
      <c r="JF71" s="2617"/>
      <c r="JG71" s="2617"/>
      <c r="JH71" s="2617"/>
      <c r="JI71" s="2617"/>
      <c r="JJ71" s="2617"/>
      <c r="JK71" s="2617"/>
      <c r="JL71" s="2617"/>
      <c r="JM71" s="2617"/>
      <c r="JN71" s="2617"/>
      <c r="JO71" s="2617"/>
      <c r="LX71" s="5268"/>
      <c r="NI71" s="1567"/>
      <c r="NN71" s="407">
        <v>51</v>
      </c>
      <c r="NO71" s="340" t="str">
        <f>$QS$135</f>
        <v>Stuff 2-1</v>
      </c>
      <c r="NP71" s="211">
        <f t="shared" si="59"/>
        <v>0</v>
      </c>
      <c r="NQ71" s="211">
        <f t="shared" si="60"/>
        <v>0</v>
      </c>
      <c r="NR71" s="211">
        <f t="shared" si="60"/>
        <v>0</v>
      </c>
      <c r="NS71" s="211">
        <f t="shared" si="60"/>
        <v>0</v>
      </c>
      <c r="NT71" s="411">
        <f t="shared" si="61"/>
        <v>0</v>
      </c>
      <c r="NU71" s="411">
        <f t="shared" si="62"/>
        <v>0</v>
      </c>
      <c r="NV71" s="411">
        <f>IFERROR(outputs_oppsum[[#This Row],[total_lop]]+outputs_oppsum[[#This Row],[total_nisj]],"-")</f>
        <v>0</v>
      </c>
      <c r="NW71" s="411">
        <f>IFERROR(outputs_oppsum[[#This Row],[total_spreng_hr]]/$AI$80,"-")</f>
        <v>0</v>
      </c>
      <c r="NX71" s="211">
        <f t="shared" si="63"/>
        <v>0</v>
      </c>
      <c r="NY71" s="211">
        <f t="shared" si="63"/>
        <v>0</v>
      </c>
      <c r="NZ71" s="211">
        <f t="shared" si="63"/>
        <v>0</v>
      </c>
      <c r="OA71" s="211">
        <f t="shared" si="63"/>
        <v>0</v>
      </c>
      <c r="OB71" s="211">
        <f t="shared" si="63"/>
        <v>0</v>
      </c>
      <c r="OC71" s="211">
        <f t="shared" si="63"/>
        <v>0</v>
      </c>
      <c r="OD71" s="211">
        <f t="shared" si="63"/>
        <v>0</v>
      </c>
      <c r="OE71" s="211">
        <f t="shared" si="63"/>
        <v>0</v>
      </c>
      <c r="OF71" s="211">
        <f t="shared" si="63"/>
        <v>0</v>
      </c>
      <c r="OG71" s="211">
        <f t="shared" si="63"/>
        <v>0</v>
      </c>
      <c r="OH71" s="211">
        <f t="shared" si="63"/>
        <v>0</v>
      </c>
      <c r="OI71" s="3703">
        <f t="shared" si="63"/>
        <v>0</v>
      </c>
      <c r="OJ71" s="3703">
        <f>IFERROR(outputs_oppsum[[#This Row],[total_foran_hr]]/$AI$80,"-")</f>
        <v>0</v>
      </c>
      <c r="OK71" s="3703">
        <f t="shared" si="64"/>
        <v>0</v>
      </c>
      <c r="OL71" s="3703">
        <f t="shared" si="64"/>
        <v>0</v>
      </c>
      <c r="OM71" s="406">
        <f t="shared" si="65"/>
        <v>0</v>
      </c>
      <c r="ON71" s="406">
        <f t="shared" si="66"/>
        <v>0</v>
      </c>
      <c r="OO71" s="406">
        <f t="shared" si="67"/>
        <v>0</v>
      </c>
      <c r="OP71" s="406">
        <f t="shared" si="67"/>
        <v>0</v>
      </c>
      <c r="OQ71" s="406">
        <f t="shared" si="67"/>
        <v>0</v>
      </c>
      <c r="OR71" s="406"/>
      <c r="OS71" s="406"/>
      <c r="OT71" s="406">
        <f t="shared" si="68"/>
        <v>0</v>
      </c>
      <c r="OU71" s="406"/>
      <c r="OV71" s="406"/>
      <c r="OW71" s="406">
        <f t="shared" si="76"/>
        <v>0</v>
      </c>
      <c r="OX71" s="406">
        <f t="shared" si="69"/>
        <v>0</v>
      </c>
      <c r="OY71" s="406">
        <f t="shared" si="69"/>
        <v>0</v>
      </c>
      <c r="OZ71" s="406">
        <f t="shared" si="69"/>
        <v>0</v>
      </c>
      <c r="PA71" s="406">
        <f t="shared" si="69"/>
        <v>0</v>
      </c>
      <c r="PB71" s="413">
        <f t="shared" si="69"/>
        <v>0</v>
      </c>
      <c r="PC71" s="413">
        <f t="shared" si="69"/>
        <v>0</v>
      </c>
      <c r="PD71" s="413">
        <f t="shared" si="69"/>
        <v>0</v>
      </c>
      <c r="PE71" s="413">
        <f t="shared" si="69"/>
        <v>0</v>
      </c>
      <c r="PF71" s="413">
        <f t="shared" si="69"/>
        <v>0</v>
      </c>
      <c r="PG71" s="413">
        <f t="shared" si="69"/>
        <v>0</v>
      </c>
      <c r="PH71" s="839">
        <f t="shared" si="69"/>
        <v>0</v>
      </c>
      <c r="PI71" s="1277">
        <f>IFERROR(outputs_oppsum[[#This Row],[total_stab_hr]]/$AI$80,"-")</f>
        <v>0</v>
      </c>
      <c r="PJ71" s="211" t="str">
        <f>IF(AND($GL$35=1,outputs_oppsum[[#This Row],[tverrslag_status]]&lt;&gt;1),$GR$67,$GK$11)</f>
        <v>Ikke relevant</v>
      </c>
      <c r="PK71" s="211">
        <f>IFERROR(outputs_oppsum[[#This Row],[prosjekt_forbe]]*$AI$80,0)</f>
        <v>0</v>
      </c>
      <c r="PL71" s="212" t="b">
        <f t="shared" si="70"/>
        <v>0</v>
      </c>
      <c r="PM71" s="212" t="b">
        <f t="shared" si="71"/>
        <v>0</v>
      </c>
      <c r="PN71" s="212" t="b">
        <f t="shared" si="72"/>
        <v>0</v>
      </c>
      <c r="PO71" s="424" t="str">
        <f t="shared" si="73"/>
        <v>Ikke relevant</v>
      </c>
      <c r="PP71" s="431">
        <f>outputs_oppsum[[#This Row],[Forberedende]]*$AI$80</f>
        <v>0</v>
      </c>
      <c r="PQ71" s="431">
        <f>outputs_oppsum[[#This Row],[Portaler]]*$AI$80</f>
        <v>0</v>
      </c>
      <c r="PR71" s="431">
        <f>outputs_oppsum[[#This Row],[Andrearbeider]]*$AI$80</f>
        <v>0</v>
      </c>
      <c r="PS71" s="431">
        <f>IFERROR(outputs_oppsum[[#This Row],[total_forbe]]*$AI$80,0)</f>
        <v>0</v>
      </c>
      <c r="PT71" s="431" t="e">
        <f t="shared" si="77"/>
        <v>#VALUE!</v>
      </c>
      <c r="PU71" s="845">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1" s="1656">
        <f>IFERROR(outputs_oppsum[[#This Row],[oppsum_drivetid_hr]]/$AI$80,"-")</f>
        <v>0</v>
      </c>
      <c r="PW71" s="1660"/>
      <c r="PX71" s="1658">
        <f>INDEX(tverr_connection_2[51],MATCH($BC$28,tverr_connection_2[config],0))</f>
        <v>0</v>
      </c>
      <c r="PY71" s="1662" t="str">
        <f>IF(outputs_oppsum[[#This Row],[tverrslag_status]]=0,$HI$54,IF(outputs_oppsum[[#This Row],[tverrslag_status]]=1,$HI$55,"-"))</f>
        <v>Ikke påvirket</v>
      </c>
      <c r="PZ71" s="1663" t="str">
        <f>IFERROR(INDEX(outputs_tverrslag[Tverrslag construction time],MATCH(outputs_oppsum[[#This Row],[stuff_navn]],outputs_tverrslag[name],0)),"-")</f>
        <v>-</v>
      </c>
      <c r="QA71" s="1658" t="str">
        <f>IF(outputs_oppsum[[#This Row],[tverrslag_status_oppsum]]=$HI$55,$PU$84,"-")</f>
        <v>-</v>
      </c>
      <c r="QB71" s="1662" t="str">
        <f>IF(outputs_oppsum[[#This Row],[tverrslag_status_oppsum]]=$HI$55,$HI$66,"-")</f>
        <v>-</v>
      </c>
      <c r="QC71" s="1662" t="str">
        <f>IF(outputs_oppsum[[#This Row],[tverrslag_status_oppsum]]=$HI$55,$HJ$14,"-")</f>
        <v>-</v>
      </c>
      <c r="QD71" s="1668" t="str">
        <f>IFERROR(INDEX(outputs_tverrslag[forsink_perstuff_uker],MATCH(outputs_oppsum[[#This Row],[stuff_navn]],outputs_tverrslag[name],0)),"-")</f>
        <v>-</v>
      </c>
      <c r="QE71" s="843" t="str">
        <f>IFERROR(INDEX(outputs_tverrslag[forsink_total_uker],MATCH(outputs_oppsum[[#This Row],[stuff_navn]],outputs_tverrslag[name],0)),"-")</f>
        <v>-</v>
      </c>
      <c r="QF71" s="843" t="str">
        <f>IFERROR(INDEX(outputs_tverrslag[Kryssområdet_hr],MATCH(outputs_oppsum[[#This Row],[stuff_navn]],outputs_tverrslag[name],0)),"-")</f>
        <v>-</v>
      </c>
      <c r="QG71" s="843" t="str">
        <f>IFERROR(INDEX(outputs_tverrslag[forsink_total_hr],MATCH(outputs_oppsum[[#This Row],[stuff_navn]],outputs_tverrslag[name],0)),"-")</f>
        <v>-</v>
      </c>
      <c r="QH71" s="334">
        <f>SUMIF(outputs_oppsum[[#This Row],[kryssområdet_forberedende_hr2]:[extra_forsink_etter_tverrslag_total_hr]],"&lt;&gt;-")+SUMIF(outputs_oppsum[[#This Row],[tverrslag_tid]],"&lt;&gt;-")</f>
        <v>0</v>
      </c>
      <c r="QI71" s="334" t="str">
        <f>IF(OR(outputs_oppsum[[#This Row],[tverrslag_status_oppsum]]=$HI$55,outputs_oppsum[[#This Row],[tverrslag_status_oppsum]]=$I$90),$GR$67,"-")</f>
        <v>-</v>
      </c>
      <c r="QJ71" s="334">
        <f>IFERROR(outputs_oppsum[[#This Row],[extra_tverrslag_prosjekt_forarb_uke]]*$AI$80,0)</f>
        <v>0</v>
      </c>
      <c r="QK71" s="334" t="str">
        <f>IF(outputs_oppsum[[#This Row],[tverrslag_status_oppsum]]=$HI$55,$PO$75,"-")</f>
        <v>-</v>
      </c>
      <c r="QL71" s="1827">
        <f>IFERROR(outputs_oppsum[[#This Row],[extra_tverrslag_forarb_uke]]*$AI$80,0)</f>
        <v>0</v>
      </c>
      <c r="QM71" s="334" t="str">
        <f>IF(outputs_oppsum[[#This Row],[tverrslag_status_oppsum]]=$HI$55,$RA$75,"-")</f>
        <v>-</v>
      </c>
      <c r="QN71" s="1827">
        <f>IFERROR(outputs_oppsum[[#This Row],[extra_tverrslag_just_uke]]*$AI$80,0)</f>
        <v>0</v>
      </c>
      <c r="QO71" s="211" t="str">
        <f>IF(outputs_oppsum[[#This Row],[tverrslag_status_oppsum]]=$HI$55,$GK$96,"-")</f>
        <v>-</v>
      </c>
      <c r="QP71" s="1828">
        <f>IFERROR(outputs_oppsum[[#This Row],[tverrslag_forsinkt_uke]]*$AI$80,0)</f>
        <v>0</v>
      </c>
      <c r="QQ71"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1" s="1809">
        <f>IFERROR(IF(outputs_oppsum[[#This Row],[tverrslag_status_oppsum]]=$I$90,outputs_oppsum[[#This Row],[kryssområdet_forberedende_hr]],IF(outputs_oppsum[[#This Row],[tverrslag_status]]=1,outputs_oppsum[[#This Row],[tverrslag_total_hr]],0)),0)</f>
        <v>0</v>
      </c>
      <c r="QS71" s="1666" t="e">
        <f>INDEX(outputs_just[general_tid],MATCH(outputs_oppsum[[#This Row],[stuff_navn]],outputs_just[Navn],0))</f>
        <v>#N/A</v>
      </c>
      <c r="QT71" s="1666" t="e">
        <f>INDEX(outputs_just[geo_tid],MATCH(outputs_oppsum[[#This Row],[stuff_navn]],outputs_just[Navn],0))</f>
        <v>#N/A</v>
      </c>
      <c r="QU71" s="1666" t="e">
        <f>INDEX(outputs_just[stig_tid],MATCH(outputs_oppsum[[#This Row],[stuff_navn]],outputs_just[Navn],0))</f>
        <v>#N/A</v>
      </c>
      <c r="QV71" s="1666" t="e">
        <f>INDEX(outputs_just[arb_tid],MATCH(outputs_oppsum[[#This Row],[stuff_navn]],outputs_just[Navn],0))</f>
        <v>#N/A</v>
      </c>
      <c r="QW71" s="1666" t="e">
        <f>INDEX(outputs_just[spreng_tid],MATCH(outputs_oppsum[[#This Row],[stuff_navn]],outputs_just[Navn],0))</f>
        <v>#N/A</v>
      </c>
      <c r="QX71" s="1666" t="e">
        <f>INDEX(outputs_just[skyte_tid],MATCH(outputs_oppsum[[#This Row],[stuff_navn]],outputs_just[Navn],0))</f>
        <v>#N/A</v>
      </c>
      <c r="QY71" s="1666" t="e">
        <f>INDEX(outputs_just[støy_tid],MATCH(outputs_oppsum[[#This Row],[stuff_navn]],outputs_just[Navn],0))</f>
        <v>#N/A</v>
      </c>
      <c r="QZ71" s="1666" t="e">
        <f>INDEX(outputs_just[ann_tid],MATCH(outputs_oppsum[[#This Row],[stuff_navn]],outputs_just[Navn],0))</f>
        <v>#N/A</v>
      </c>
      <c r="RA71" s="1666" t="e">
        <f>SUM(outputs_oppsum[[#This Row],[just_generell]:[just_ann]])</f>
        <v>#N/A</v>
      </c>
      <c r="RB71" s="1666" t="e">
        <f>outputs_oppsum[[#This Row],[just_total_uke]]*$AI$80</f>
        <v>#N/A</v>
      </c>
      <c r="RC71" s="211">
        <f>INDEX(inputs_forsinket[tid_uke],MATCH(outputs_oppsum[[#This Row],[stuff_navn]],inputs_forsinket[name],0))</f>
        <v>0</v>
      </c>
      <c r="RD71" s="1805">
        <f>outputs_oppsum[[#This Row],[forsinket_uke]]*$AI$80</f>
        <v>0</v>
      </c>
      <c r="RE71" s="234">
        <f>LO38</f>
        <v>1</v>
      </c>
      <c r="RF71" s="211" t="str">
        <f>IF(RE71=1,_List!$AW$7,IF(RE71=2,_List!$AW$8,""))</f>
        <v>Enstuffs drift</v>
      </c>
      <c r="RG71" s="431" t="str">
        <f>IF(outputs_oppsum[[#This Row],[kon_metod_no]]=2,INDEX(framdriftfaktor[stab-foran_spreng_ratio],MATCH(outputs_oppsum[[#This Row],[stuff_id]],framdriftfaktor[stuff_id],0)),"-")</f>
        <v>-</v>
      </c>
      <c r="RH71" s="5269">
        <f>IF(outputs_oppsum[[#This Row],[kon_metod_no]]=2,INDEX(framdriftfaktor[beregnet_faktor_final],MATCH(outputs_oppsum[[#This Row],[stuff_id]],framdriftfaktor[stuff_id],0)),1)</f>
        <v>1</v>
      </c>
      <c r="RI71" s="5269" t="str">
        <f>IF(outputs_oppsum[[#This Row],[kon_metod]]=_List!$AW$8,INDEX(outputs_just[vek_faktor_bruker_definert_status],MATCH(outputs_oppsum[[#This Row],[stuff_navn]],outputs_just[Navn],0)),"")</f>
        <v/>
      </c>
      <c r="RJ71" s="5269" t="e">
        <f>IF(AND(outputs_oppsum[[#This Row],[kon_metod_no]]&lt;&gt;1,LP125=FALSE),LO125,"-")</f>
        <v>#N/A</v>
      </c>
      <c r="RK71" s="5269">
        <f>IF(AND(outputs_oppsum[[#This Row],[kon_metod_no]]=2,outputs_oppsum[[#This Row],[tverrslag_status_oppsum]]&lt;&gt;$I$90,outputs_oppsum[[#This Row],[faktor_bruker_definert]]=FALSE),outputs_oppsum[[#This Row],[faktor_user]],outputs_oppsum[[#This Row],[faktor_beregnet]])</f>
        <v>1</v>
      </c>
      <c r="RL71" s="1807">
        <f>IFERROR((outputs_oppsum[[#This Row],[faktor_final]]-1)*outputs_oppsum[[#This Row],[oppsum_drivetid_hr]]*outputs_oppsum[[#This Row],[veksel_prosent]],"-")</f>
        <v>0</v>
      </c>
      <c r="RM71" s="1807" t="str">
        <f>IF(outputs_oppsum[[#This Row],[kon_metod_no]]=2,outputs_oppsum[[#This Row],[ekstra_framdrift_tid_oppsum_hr]]/$AI$80,"-")</f>
        <v>-</v>
      </c>
      <c r="RN71" s="431" t="str">
        <f>IF(outputs_oppsum[[#This Row],[kon_metod_no]]=2,outputs_oppsum[[#This Row],[ekstra_drivetid_pga_faktor]],"-")</f>
        <v>-</v>
      </c>
      <c r="RO71" s="431">
        <f>IFERROR(outputs_oppsum[[#This Row],[oppsum_drivetid_hr]]+outputs_oppsum[[#This Row],[ekstra_drivetid_pga_faktor]],"-")</f>
        <v>0</v>
      </c>
      <c r="RP71"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1" s="5276">
        <f>IF(outputs_oppsum[[#This Row],[enstuff_prosent_input]]&gt;1,1,outputs_oppsum[[#This Row],[enstuff_prosent_input]])</f>
        <v>1</v>
      </c>
      <c r="RR71"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1" s="431"/>
      <c r="RT71" s="431"/>
      <c r="RU71" s="431"/>
      <c r="RV71" s="431"/>
      <c r="RW71" s="431" t="str">
        <f>IFERROR(outputs_oppsum[[#This Row],[drivetid_with_faktor]]+outputs_oppsum[[#This Row],[prosjekt_forbe_hr]]+outputs_oppsum[[#This Row],[total_forbe_hr]]+outputs_oppsum[[#This Row],[extra_for_tverrslag_sum]]+outputs_oppsum[[#This Row],[just_total_hr]]+outputs_oppsum[[#This Row],[forsinket_hr]],"!")</f>
        <v>!</v>
      </c>
      <c r="RX71" s="431" t="str">
        <f>IFERROR(outputs_oppsum[[#This Row],[oppsum_total_hr]]/$AI$80,"!")</f>
        <v>!</v>
      </c>
      <c r="RY71" s="431" t="str">
        <f>IF(MAX($RX$67:$RX$75)=outputs_oppsum[[#This Row],[oppsum_total_uke]],MAX($RX$67:$RX$75),"-")</f>
        <v>-</v>
      </c>
      <c r="RZ71" s="431" t="str">
        <f>IF(AND(ISNUMBER(outputs_oppsum[[#This Row],[Criticalstuff]]),$BC$34&lt;&gt;1,outputs_oppsum[[#This Row],[Criticalstuff]]&gt;0),$RZ$63,"")</f>
        <v/>
      </c>
      <c r="SA71" s="837"/>
      <c r="SB71" s="837"/>
      <c r="SC71" s="837"/>
      <c r="SD71" s="837"/>
      <c r="SE71" s="3521"/>
      <c r="SF71" s="3521"/>
      <c r="SG71" s="2617"/>
      <c r="SH71" s="3886"/>
      <c r="SI71" s="3886"/>
      <c r="SJ71" s="3886"/>
      <c r="SK71" s="3886"/>
      <c r="SL71" s="3886"/>
      <c r="SR71" s="2617"/>
      <c r="SS71" s="2617"/>
      <c r="ST71" s="2617"/>
      <c r="SU71" s="2617"/>
      <c r="SV71" s="2617"/>
      <c r="SW71" s="2617"/>
      <c r="SX71" s="2617"/>
      <c r="SY71" s="2617"/>
      <c r="SZ71" s="2617"/>
      <c r="TA71" s="2617"/>
      <c r="TB71" s="2617"/>
      <c r="TC71" s="2617"/>
      <c r="TD71" s="2617"/>
      <c r="TR71" s="183"/>
      <c r="TW71" s="181"/>
      <c r="TX71" s="183"/>
      <c r="TY71" s="183"/>
      <c r="TZ71" s="183"/>
      <c r="UA71" s="183"/>
      <c r="UC71" s="181"/>
      <c r="UD71" s="181"/>
      <c r="UE71" s="181"/>
      <c r="UF71" s="181"/>
      <c r="UK71" s="183"/>
      <c r="UL71" s="183"/>
      <c r="UM71" s="183"/>
      <c r="UN71" s="183"/>
      <c r="UO71" s="183"/>
      <c r="UQ71" s="184"/>
      <c r="US71" s="183"/>
      <c r="UT71" s="183"/>
      <c r="UU71" s="2617"/>
      <c r="UV71" s="2617"/>
      <c r="UX71" s="265"/>
      <c r="VA71" s="265"/>
      <c r="VC71" s="402"/>
      <c r="VF71"/>
      <c r="WG71" s="2617"/>
      <c r="WH71" s="2617"/>
      <c r="WI71" s="2617"/>
      <c r="WJ71" s="2617"/>
      <c r="WK71" s="2617"/>
      <c r="WL71" s="2617"/>
      <c r="WM71" s="2617"/>
      <c r="WN71" s="2617"/>
      <c r="WO71" s="2617"/>
      <c r="WP71" s="2617"/>
      <c r="WQ71" s="2617"/>
      <c r="WR71" s="2617"/>
      <c r="WS71" s="2617"/>
      <c r="WT71" s="2617"/>
      <c r="WU71" s="2617"/>
      <c r="WV71" s="2617"/>
      <c r="WW71" s="2617"/>
      <c r="WX71" s="2617"/>
      <c r="WY71" s="265"/>
      <c r="WZ71" s="265"/>
      <c r="XA71" s="265"/>
      <c r="XB71" s="265"/>
      <c r="XC71" s="265"/>
      <c r="XD71" s="265"/>
      <c r="XE71" s="265"/>
      <c r="XF71" s="265"/>
      <c r="XG71" s="265"/>
      <c r="XH71" s="265"/>
      <c r="XI71" s="265"/>
      <c r="XJ71" s="265"/>
      <c r="XK71" s="265"/>
      <c r="XL71" s="265"/>
      <c r="XM71" s="265"/>
      <c r="XN71" s="265"/>
      <c r="XO71" s="265"/>
      <c r="XP71" s="265"/>
      <c r="XQ71" s="265"/>
      <c r="XR71" s="265"/>
      <c r="XS71" s="265"/>
      <c r="XT71" s="265"/>
      <c r="XU71" s="265"/>
    </row>
    <row r="72" spans="9:645" ht="30.75" x14ac:dyDescent="0.3">
      <c r="I72" s="5565"/>
      <c r="J72" s="372"/>
      <c r="K72" s="372" t="s">
        <v>1417</v>
      </c>
      <c r="L72" s="372"/>
      <c r="M72" s="372" t="s">
        <v>1554</v>
      </c>
      <c r="N72" s="372"/>
      <c r="O72" s="185"/>
      <c r="AH72" s="386" t="s">
        <v>406</v>
      </c>
      <c r="AI72" s="387"/>
      <c r="AJ72" s="387"/>
      <c r="AK72" s="387"/>
      <c r="AL72" s="387"/>
      <c r="AM72" s="387"/>
      <c r="AN72" s="387"/>
      <c r="AO72" s="387"/>
      <c r="AP72" s="388"/>
      <c r="AQ72" s="387"/>
      <c r="AR72" s="387"/>
      <c r="AT72" s="2617"/>
      <c r="AU72" s="2617"/>
      <c r="AV72" s="2617"/>
      <c r="DR72" s="2617"/>
      <c r="DS72" s="2617"/>
      <c r="DT72" s="2617"/>
      <c r="DU72" s="2617"/>
      <c r="DW72" s="538">
        <f t="shared" ref="DW72:EF72" si="78">IF($BC$38=1,DW64,IF($BC$38=2,DW65))</f>
        <v>0</v>
      </c>
      <c r="DX72" s="538">
        <f t="shared" si="78"/>
        <v>0</v>
      </c>
      <c r="DY72" s="538">
        <f t="shared" si="78"/>
        <v>0</v>
      </c>
      <c r="DZ72" s="538">
        <f t="shared" si="78"/>
        <v>0</v>
      </c>
      <c r="EA72" s="538">
        <f t="shared" si="78"/>
        <v>0</v>
      </c>
      <c r="EB72" s="538">
        <f t="shared" si="78"/>
        <v>0</v>
      </c>
      <c r="EC72" s="538"/>
      <c r="ED72" s="538">
        <f t="shared" si="78"/>
        <v>0</v>
      </c>
      <c r="EE72" s="538">
        <f t="shared" si="78"/>
        <v>0</v>
      </c>
      <c r="EF72" s="538">
        <f t="shared" si="78"/>
        <v>0</v>
      </c>
      <c r="EG72" s="538"/>
      <c r="EH72" s="538"/>
      <c r="EI72" s="538"/>
      <c r="EJ72" s="538"/>
      <c r="EK72" s="538"/>
      <c r="ER72" s="6205" t="s">
        <v>257</v>
      </c>
      <c r="ES72" s="6205" t="s">
        <v>283</v>
      </c>
      <c r="ET72" s="6205" t="s">
        <v>284</v>
      </c>
      <c r="EU72" s="6205" t="s">
        <v>285</v>
      </c>
      <c r="EV72" s="6205" t="s">
        <v>48</v>
      </c>
      <c r="EW72" s="6205" t="s">
        <v>101</v>
      </c>
      <c r="EX72" s="6205" t="s">
        <v>363</v>
      </c>
      <c r="EY72" s="6205" t="s">
        <v>364</v>
      </c>
      <c r="EZ72" s="6205" t="s">
        <v>365</v>
      </c>
      <c r="FA72" s="6205" t="s">
        <v>366</v>
      </c>
      <c r="FB72" s="6205" t="s">
        <v>367</v>
      </c>
      <c r="FC72" s="6205" t="s">
        <v>368</v>
      </c>
      <c r="FD72" s="6205" t="s">
        <v>2757</v>
      </c>
      <c r="FE72" s="6205" t="s">
        <v>2758</v>
      </c>
      <c r="FF72" s="6205" t="s">
        <v>1598</v>
      </c>
      <c r="FG72" s="6205" t="s">
        <v>1602</v>
      </c>
      <c r="FH72" s="239"/>
      <c r="FI72" s="239"/>
      <c r="FJ72" s="239"/>
      <c r="FK72" s="239"/>
      <c r="FL72" s="239"/>
      <c r="FM72" s="2617"/>
      <c r="FN72" s="2617"/>
      <c r="GH72" s="414"/>
      <c r="GJ72" s="340" t="str">
        <f>$NO$71</f>
        <v>Stuff 2-1</v>
      </c>
      <c r="GK72" s="185">
        <v>5</v>
      </c>
      <c r="GL72" s="185">
        <f>IF($BC$34&gt;4,1,0)</f>
        <v>0</v>
      </c>
      <c r="GM72" s="221">
        <f t="shared" si="74"/>
        <v>0</v>
      </c>
      <c r="GN72" s="438" t="str">
        <f t="shared" si="75"/>
        <v>Stuff 2-1</v>
      </c>
      <c r="GO72" s="261" t="b">
        <f>IF(GL40=1,INDEX(inputs_forbe[Forberedende],MATCH(GM72,inputs_forbe[Position],0)))</f>
        <v>0</v>
      </c>
      <c r="GP72" s="261" t="b">
        <f>IF(GL40=1,INDEX(inputs_forbe[Portaler],MATCH(outputs_forbe[[#This Row],[Position]],inputs_forbe[Position],0)))</f>
        <v>0</v>
      </c>
      <c r="GQ72" s="211" t="b">
        <f>IF(GL40=1,INDEX(inputs_forbe[Andrearbeider],MATCH(outputs_forbe[[#This Row],[Position]],inputs_forbe[Position],0)))</f>
        <v>0</v>
      </c>
      <c r="GR72" s="241" t="str">
        <f>IF(GL40=1,SUM(outputs_forbe[[#This Row],[Forberedende]:[Andrearbeider]]),$GK$11)</f>
        <v>Ikke relevant</v>
      </c>
      <c r="GS72" s="2617"/>
      <c r="GT72" s="2617"/>
      <c r="GU72" s="2617"/>
      <c r="GV72" s="2617"/>
      <c r="GW72" s="2617"/>
      <c r="GX72" s="2617"/>
      <c r="GY72" s="2617"/>
      <c r="GZ72" s="2617"/>
      <c r="HA72" s="2617"/>
      <c r="HB72" s="2617"/>
      <c r="HC72" s="2617"/>
      <c r="HH72" s="3695" t="s">
        <v>473</v>
      </c>
      <c r="HI72" s="3695" t="str">
        <f>INDEX(tverr_connection[tverr_2],MATCH($BC$28,tverr_connection[config]))</f>
        <v>None</v>
      </c>
      <c r="HJ72" s="3695">
        <f>$PU$84</f>
        <v>0</v>
      </c>
      <c r="HK72" s="185">
        <f>$HI$19</f>
        <v>0</v>
      </c>
      <c r="HL72" s="3695">
        <f>$HI$22</f>
        <v>0</v>
      </c>
      <c r="HM72" s="185">
        <f>$HJ$22</f>
        <v>0</v>
      </c>
      <c r="HN72" s="185">
        <f>$HI$14</f>
        <v>0</v>
      </c>
      <c r="HO72" s="185">
        <f>$HJ$14</f>
        <v>0</v>
      </c>
      <c r="IH72" s="1765" t="s">
        <v>2678</v>
      </c>
      <c r="II72" s="3402"/>
      <c r="IJ72" s="3402"/>
      <c r="IK72" s="3402"/>
      <c r="IQ72" s="2617"/>
      <c r="IR72" s="2617"/>
      <c r="IS72" s="2617"/>
      <c r="IT72" s="2617"/>
      <c r="IU72" s="2617"/>
      <c r="IV72" s="2617"/>
      <c r="IW72" s="2617"/>
      <c r="IX72" s="2617"/>
      <c r="IY72" s="2617"/>
      <c r="IZ72" s="2617"/>
      <c r="JA72" s="2617"/>
      <c r="JB72" s="2617"/>
      <c r="JC72" s="2617"/>
      <c r="JD72" s="2617"/>
      <c r="JE72" s="2617"/>
      <c r="JF72" s="2617"/>
      <c r="JG72" s="2617"/>
      <c r="JH72" s="2617"/>
      <c r="JI72" s="2617"/>
      <c r="JJ72" s="2617"/>
      <c r="JK72" s="2617"/>
      <c r="JL72" s="2617"/>
      <c r="JM72" s="2617"/>
      <c r="JN72" s="2617"/>
      <c r="JO72" s="2617"/>
      <c r="LX72" s="5268"/>
      <c r="NI72" s="1567"/>
      <c r="NN72" s="407">
        <v>61</v>
      </c>
      <c r="NO72" s="340" t="str">
        <f>$QT$135</f>
        <v>Stuff 2-2</v>
      </c>
      <c r="NP72" s="211">
        <f t="shared" si="59"/>
        <v>0</v>
      </c>
      <c r="NQ72" s="211">
        <f t="shared" si="60"/>
        <v>0</v>
      </c>
      <c r="NR72" s="211">
        <f t="shared" si="60"/>
        <v>0</v>
      </c>
      <c r="NS72" s="211">
        <f t="shared" si="60"/>
        <v>0</v>
      </c>
      <c r="NT72" s="411">
        <f t="shared" si="61"/>
        <v>0</v>
      </c>
      <c r="NU72" s="411">
        <f t="shared" si="62"/>
        <v>0</v>
      </c>
      <c r="NV72" s="411">
        <f>IFERROR(outputs_oppsum[[#This Row],[total_lop]]+outputs_oppsum[[#This Row],[total_nisj]],"-")</f>
        <v>0</v>
      </c>
      <c r="NW72" s="411">
        <f>IFERROR(outputs_oppsum[[#This Row],[total_spreng_hr]]/$AI$80,"-")</f>
        <v>0</v>
      </c>
      <c r="NX72" s="211">
        <f t="shared" si="63"/>
        <v>0</v>
      </c>
      <c r="NY72" s="211">
        <f t="shared" si="63"/>
        <v>0</v>
      </c>
      <c r="NZ72" s="211">
        <f t="shared" si="63"/>
        <v>0</v>
      </c>
      <c r="OA72" s="211">
        <f t="shared" si="63"/>
        <v>0</v>
      </c>
      <c r="OB72" s="211">
        <f t="shared" si="63"/>
        <v>0</v>
      </c>
      <c r="OC72" s="211">
        <f t="shared" si="63"/>
        <v>0</v>
      </c>
      <c r="OD72" s="211">
        <f t="shared" si="63"/>
        <v>0</v>
      </c>
      <c r="OE72" s="211">
        <f t="shared" si="63"/>
        <v>0</v>
      </c>
      <c r="OF72" s="211">
        <f t="shared" si="63"/>
        <v>0</v>
      </c>
      <c r="OG72" s="211">
        <f t="shared" si="63"/>
        <v>0</v>
      </c>
      <c r="OH72" s="211">
        <f t="shared" si="63"/>
        <v>0</v>
      </c>
      <c r="OI72" s="3703">
        <f t="shared" si="63"/>
        <v>0</v>
      </c>
      <c r="OJ72" s="3703">
        <f>IFERROR(outputs_oppsum[[#This Row],[total_foran_hr]]/$AI$80,"-")</f>
        <v>0</v>
      </c>
      <c r="OK72" s="3703">
        <f t="shared" si="64"/>
        <v>0</v>
      </c>
      <c r="OL72" s="3703">
        <f t="shared" si="64"/>
        <v>0</v>
      </c>
      <c r="OM72" s="406">
        <f t="shared" si="65"/>
        <v>0</v>
      </c>
      <c r="ON72" s="406">
        <f t="shared" si="66"/>
        <v>0</v>
      </c>
      <c r="OO72" s="406">
        <f t="shared" si="67"/>
        <v>0</v>
      </c>
      <c r="OP72" s="406">
        <f t="shared" si="67"/>
        <v>0</v>
      </c>
      <c r="OQ72" s="406">
        <f t="shared" si="67"/>
        <v>0</v>
      </c>
      <c r="OR72" s="406"/>
      <c r="OS72" s="406"/>
      <c r="OT72" s="406">
        <f t="shared" si="68"/>
        <v>0</v>
      </c>
      <c r="OU72" s="406"/>
      <c r="OV72" s="406"/>
      <c r="OW72" s="406">
        <f t="shared" si="76"/>
        <v>0</v>
      </c>
      <c r="OX72" s="406">
        <f t="shared" si="69"/>
        <v>0</v>
      </c>
      <c r="OY72" s="406">
        <f t="shared" si="69"/>
        <v>0</v>
      </c>
      <c r="OZ72" s="406">
        <f t="shared" si="69"/>
        <v>0</v>
      </c>
      <c r="PA72" s="406">
        <f t="shared" si="69"/>
        <v>0</v>
      </c>
      <c r="PB72" s="413">
        <f t="shared" si="69"/>
        <v>0</v>
      </c>
      <c r="PC72" s="413">
        <f t="shared" si="69"/>
        <v>0</v>
      </c>
      <c r="PD72" s="413">
        <f t="shared" si="69"/>
        <v>0</v>
      </c>
      <c r="PE72" s="413">
        <f t="shared" si="69"/>
        <v>0</v>
      </c>
      <c r="PF72" s="413">
        <f t="shared" si="69"/>
        <v>0</v>
      </c>
      <c r="PG72" s="413">
        <f t="shared" si="69"/>
        <v>0</v>
      </c>
      <c r="PH72" s="839">
        <f t="shared" si="69"/>
        <v>0</v>
      </c>
      <c r="PI72" s="1277">
        <f>IFERROR(outputs_oppsum[[#This Row],[total_stab_hr]]/$AI$80,"-")</f>
        <v>0</v>
      </c>
      <c r="PJ72" s="211" t="str">
        <f>IF(AND($GL$35=1,outputs_oppsum[[#This Row],[tverrslag_status]]&lt;&gt;1),$GR$67,$GK$11)</f>
        <v>Ikke relevant</v>
      </c>
      <c r="PK72" s="211">
        <f>IFERROR(outputs_oppsum[[#This Row],[prosjekt_forbe]]*$AI$80,0)</f>
        <v>0</v>
      </c>
      <c r="PL72" s="212" t="b">
        <f t="shared" si="70"/>
        <v>0</v>
      </c>
      <c r="PM72" s="212" t="b">
        <f t="shared" si="71"/>
        <v>0</v>
      </c>
      <c r="PN72" s="212" t="b">
        <f t="shared" si="72"/>
        <v>0</v>
      </c>
      <c r="PO72" s="424" t="str">
        <f t="shared" si="73"/>
        <v>Ikke relevant</v>
      </c>
      <c r="PP72" s="431">
        <f>outputs_oppsum[[#This Row],[Forberedende]]*$AI$80</f>
        <v>0</v>
      </c>
      <c r="PQ72" s="431">
        <f>outputs_oppsum[[#This Row],[Portaler]]*$AI$80</f>
        <v>0</v>
      </c>
      <c r="PR72" s="431">
        <f>outputs_oppsum[[#This Row],[Andrearbeider]]*$AI$80</f>
        <v>0</v>
      </c>
      <c r="PS72" s="431">
        <f>IFERROR(outputs_oppsum[[#This Row],[total_forbe]]*$AI$80,0)</f>
        <v>0</v>
      </c>
      <c r="PT72" s="431" t="e">
        <f t="shared" si="77"/>
        <v>#VALUE!</v>
      </c>
      <c r="PU72" s="845">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2" s="1656">
        <f>IFERROR(outputs_oppsum[[#This Row],[oppsum_drivetid_hr]]/$AI$80,"-")</f>
        <v>0</v>
      </c>
      <c r="PW72" s="1660"/>
      <c r="PX72" s="1658">
        <f>INDEX(tverr_connection_2[61],MATCH($BC$28,tverr_connection_2[config],0))</f>
        <v>0</v>
      </c>
      <c r="PY72" s="1662" t="str">
        <f>IF(outputs_oppsum[[#This Row],[tverrslag_status]]=0,$HI$54,IF(outputs_oppsum[[#This Row],[tverrslag_status]]=1,$HI$55,"-"))</f>
        <v>Ikke påvirket</v>
      </c>
      <c r="PZ72" s="1663" t="str">
        <f>IFERROR(INDEX(outputs_tverrslag[Tverrslag construction time],MATCH(outputs_oppsum[[#This Row],[stuff_navn]],outputs_tverrslag[name],0)),"-")</f>
        <v>-</v>
      </c>
      <c r="QA72" s="1658" t="str">
        <f>IF(outputs_oppsum[[#This Row],[tverrslag_status_oppsum]]=$HI$55,$PU$84,"-")</f>
        <v>-</v>
      </c>
      <c r="QB72" s="1662" t="str">
        <f>IF(outputs_oppsum[[#This Row],[tverrslag_status_oppsum]]=$HI$55,$HI$66,"-")</f>
        <v>-</v>
      </c>
      <c r="QC72" s="1662" t="str">
        <f>IF(outputs_oppsum[[#This Row],[tverrslag_status_oppsum]]=$HI$55,$HJ$14,"-")</f>
        <v>-</v>
      </c>
      <c r="QD72" s="1668" t="str">
        <f>IFERROR(INDEX(outputs_tverrslag[forsink_perstuff_uker],MATCH(outputs_oppsum[[#This Row],[stuff_navn]],outputs_tverrslag[name],0)),"-")</f>
        <v>-</v>
      </c>
      <c r="QE72" s="843" t="str">
        <f>IFERROR(INDEX(outputs_tverrslag[forsink_total_uker],MATCH(outputs_oppsum[[#This Row],[stuff_navn]],outputs_tverrslag[name],0)),"-")</f>
        <v>-</v>
      </c>
      <c r="QF72" s="843" t="str">
        <f>IFERROR(INDEX(outputs_tverrslag[Kryssområdet_hr],MATCH(outputs_oppsum[[#This Row],[stuff_navn]],outputs_tverrslag[name],0)),"-")</f>
        <v>-</v>
      </c>
      <c r="QG72" s="843" t="str">
        <f>IFERROR(INDEX(outputs_tverrslag[forsink_total_hr],MATCH(outputs_oppsum[[#This Row],[stuff_navn]],outputs_tverrslag[name],0)),"-")</f>
        <v>-</v>
      </c>
      <c r="QH72" s="334">
        <f>SUMIF(outputs_oppsum[[#This Row],[kryssområdet_forberedende_hr2]:[extra_forsink_etter_tverrslag_total_hr]],"&lt;&gt;-")+SUMIF(outputs_oppsum[[#This Row],[tverrslag_tid]],"&lt;&gt;-")</f>
        <v>0</v>
      </c>
      <c r="QI72" s="334" t="str">
        <f>IF(OR(outputs_oppsum[[#This Row],[tverrslag_status_oppsum]]=$HI$55,outputs_oppsum[[#This Row],[tverrslag_status_oppsum]]=$I$90),$GR$67,"-")</f>
        <v>-</v>
      </c>
      <c r="QJ72" s="334">
        <f>IFERROR(outputs_oppsum[[#This Row],[extra_tverrslag_prosjekt_forarb_uke]]*$AI$80,0)</f>
        <v>0</v>
      </c>
      <c r="QK72" s="334" t="str">
        <f>IF(outputs_oppsum[[#This Row],[tverrslag_status_oppsum]]=$HI$55,$PO$75,"-")</f>
        <v>-</v>
      </c>
      <c r="QL72" s="1827">
        <f>IFERROR(outputs_oppsum[[#This Row],[extra_tverrslag_forarb_uke]]*$AI$80,0)</f>
        <v>0</v>
      </c>
      <c r="QM72" s="334" t="str">
        <f>IF(outputs_oppsum[[#This Row],[tverrslag_status_oppsum]]=$HI$55,$RA$75,"-")</f>
        <v>-</v>
      </c>
      <c r="QN72" s="1827">
        <f>IFERROR(outputs_oppsum[[#This Row],[extra_tverrslag_just_uke]]*$AI$80,0)</f>
        <v>0</v>
      </c>
      <c r="QO72" s="211" t="str">
        <f>IF(outputs_oppsum[[#This Row],[tverrslag_status_oppsum]]=$HI$55,$GK$96,"-")</f>
        <v>-</v>
      </c>
      <c r="QP72" s="1828">
        <f>IFERROR(outputs_oppsum[[#This Row],[tverrslag_forsinkt_uke]]*$AI$80,0)</f>
        <v>0</v>
      </c>
      <c r="QQ72"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2" s="1809">
        <f>IFERROR(IF(outputs_oppsum[[#This Row],[tverrslag_status_oppsum]]=$I$90,outputs_oppsum[[#This Row],[kryssområdet_forberedende_hr]],IF(outputs_oppsum[[#This Row],[tverrslag_status]]=1,outputs_oppsum[[#This Row],[tverrslag_total_hr]],0)),0)</f>
        <v>0</v>
      </c>
      <c r="QS72" s="1666" t="e">
        <f>INDEX(outputs_just[general_tid],MATCH(outputs_oppsum[[#This Row],[stuff_navn]],outputs_just[Navn],0))</f>
        <v>#N/A</v>
      </c>
      <c r="QT72" s="1666" t="e">
        <f>INDEX(outputs_just[geo_tid],MATCH(outputs_oppsum[[#This Row],[stuff_navn]],outputs_just[Navn],0))</f>
        <v>#N/A</v>
      </c>
      <c r="QU72" s="1666" t="e">
        <f>INDEX(outputs_just[stig_tid],MATCH(outputs_oppsum[[#This Row],[stuff_navn]],outputs_just[Navn],0))</f>
        <v>#N/A</v>
      </c>
      <c r="QV72" s="1666" t="e">
        <f>INDEX(outputs_just[arb_tid],MATCH(outputs_oppsum[[#This Row],[stuff_navn]],outputs_just[Navn],0))</f>
        <v>#N/A</v>
      </c>
      <c r="QW72" s="1666" t="e">
        <f>INDEX(outputs_just[spreng_tid],MATCH(outputs_oppsum[[#This Row],[stuff_navn]],outputs_just[Navn],0))</f>
        <v>#N/A</v>
      </c>
      <c r="QX72" s="1666" t="e">
        <f>INDEX(outputs_just[skyte_tid],MATCH(outputs_oppsum[[#This Row],[stuff_navn]],outputs_just[Navn],0))</f>
        <v>#N/A</v>
      </c>
      <c r="QY72" s="1666" t="e">
        <f>INDEX(outputs_just[støy_tid],MATCH(outputs_oppsum[[#This Row],[stuff_navn]],outputs_just[Navn],0))</f>
        <v>#N/A</v>
      </c>
      <c r="QZ72" s="1666" t="e">
        <f>INDEX(outputs_just[ann_tid],MATCH(outputs_oppsum[[#This Row],[stuff_navn]],outputs_just[Navn],0))</f>
        <v>#N/A</v>
      </c>
      <c r="RA72" s="1666" t="e">
        <f>SUM(outputs_oppsum[[#This Row],[just_generell]:[just_ann]])</f>
        <v>#N/A</v>
      </c>
      <c r="RB72" s="1666" t="e">
        <f>outputs_oppsum[[#This Row],[just_total_uke]]*$AI$80</f>
        <v>#N/A</v>
      </c>
      <c r="RC72" s="211">
        <f>INDEX(inputs_forsinket[tid_uke],MATCH(outputs_oppsum[[#This Row],[stuff_navn]],inputs_forsinket[name],0))</f>
        <v>0</v>
      </c>
      <c r="RD72" s="1805">
        <f>outputs_oppsum[[#This Row],[forsinket_uke]]*$AI$80</f>
        <v>0</v>
      </c>
      <c r="RE72" s="234">
        <f>LP38</f>
        <v>1</v>
      </c>
      <c r="RF72" s="211" t="str">
        <f>IF(RE72=1,_List!$AW$7,IF(RE72=2,_List!$AW$8,""))</f>
        <v>Enstuffs drift</v>
      </c>
      <c r="RG72" s="431" t="str">
        <f>IF(outputs_oppsum[[#This Row],[kon_metod_no]]=2,INDEX(framdriftfaktor[stab-foran_spreng_ratio],MATCH(outputs_oppsum[[#This Row],[stuff_id]],framdriftfaktor[stuff_id],0)),"-")</f>
        <v>-</v>
      </c>
      <c r="RH72" s="5269">
        <f>IF(outputs_oppsum[[#This Row],[kon_metod_no]]=2,INDEX(framdriftfaktor[beregnet_faktor_final],MATCH(outputs_oppsum[[#This Row],[stuff_id]],framdriftfaktor[stuff_id],0)),1)</f>
        <v>1</v>
      </c>
      <c r="RI72" s="5269" t="str">
        <f>IF(outputs_oppsum[[#This Row],[kon_metod]]=_List!$AW$8,INDEX(outputs_just[vek_faktor_bruker_definert_status],MATCH(outputs_oppsum[[#This Row],[stuff_navn]],outputs_just[Navn],0)),"")</f>
        <v/>
      </c>
      <c r="RJ72" s="5269" t="e">
        <f>IF(AND(outputs_oppsum[[#This Row],[kon_metod_no]]&lt;&gt;1,LP126=FALSE),LO126,"-")</f>
        <v>#N/A</v>
      </c>
      <c r="RK72" s="5269">
        <f>IF(AND(outputs_oppsum[[#This Row],[kon_metod_no]]=2,outputs_oppsum[[#This Row],[tverrslag_status_oppsum]]&lt;&gt;$I$90,outputs_oppsum[[#This Row],[faktor_bruker_definert]]=FALSE),outputs_oppsum[[#This Row],[faktor_user]],outputs_oppsum[[#This Row],[faktor_beregnet]])</f>
        <v>1</v>
      </c>
      <c r="RL72" s="1807">
        <f>IFERROR((outputs_oppsum[[#This Row],[faktor_final]]-1)*outputs_oppsum[[#This Row],[oppsum_drivetid_hr]]*outputs_oppsum[[#This Row],[veksel_prosent]],"-")</f>
        <v>0</v>
      </c>
      <c r="RM72" s="1807" t="str">
        <f>IF(outputs_oppsum[[#This Row],[kon_metod_no]]=2,outputs_oppsum[[#This Row],[ekstra_framdrift_tid_oppsum_hr]]/$AI$80,"-")</f>
        <v>-</v>
      </c>
      <c r="RN72" s="431" t="str">
        <f>IF(outputs_oppsum[[#This Row],[kon_metod_no]]=2,outputs_oppsum[[#This Row],[ekstra_drivetid_pga_faktor]],"-")</f>
        <v>-</v>
      </c>
      <c r="RO72" s="431">
        <f>IFERROR(outputs_oppsum[[#This Row],[oppsum_drivetid_hr]]+outputs_oppsum[[#This Row],[ekstra_drivetid_pga_faktor]],"-")</f>
        <v>0</v>
      </c>
      <c r="RP72"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2" s="5276">
        <f>IF(outputs_oppsum[[#This Row],[enstuff_prosent_input]]&gt;1,1,outputs_oppsum[[#This Row],[enstuff_prosent_input]])</f>
        <v>1</v>
      </c>
      <c r="RR72"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2" s="431"/>
      <c r="RT72" s="431"/>
      <c r="RU72" s="431"/>
      <c r="RV72" s="431"/>
      <c r="RW72" s="431" t="str">
        <f>IFERROR(outputs_oppsum[[#This Row],[drivetid_with_faktor]]+outputs_oppsum[[#This Row],[prosjekt_forbe_hr]]+outputs_oppsum[[#This Row],[total_forbe_hr]]+outputs_oppsum[[#This Row],[extra_for_tverrslag_sum]]+outputs_oppsum[[#This Row],[just_total_hr]]+outputs_oppsum[[#This Row],[forsinket_hr]],"!")</f>
        <v>!</v>
      </c>
      <c r="RX72" s="431" t="str">
        <f>IFERROR(outputs_oppsum[[#This Row],[oppsum_total_hr]]/$AI$80,"!")</f>
        <v>!</v>
      </c>
      <c r="RY72" s="431" t="str">
        <f>IF(MAX($RX$67:$RX$75)=outputs_oppsum[[#This Row],[oppsum_total_uke]],MAX($RX$67:$RX$75),"-")</f>
        <v>-</v>
      </c>
      <c r="RZ72" s="431" t="str">
        <f>IF(AND(ISNUMBER(outputs_oppsum[[#This Row],[Criticalstuff]]),$BC$34&lt;&gt;1,outputs_oppsum[[#This Row],[Criticalstuff]]&gt;0),$RZ$63,"")</f>
        <v/>
      </c>
      <c r="SA72" s="837"/>
      <c r="SB72" s="837"/>
      <c r="SC72" s="837"/>
      <c r="SD72" s="837"/>
      <c r="SE72" s="3521"/>
      <c r="SF72" s="3521"/>
      <c r="SG72" s="2617"/>
      <c r="SH72" s="3886"/>
      <c r="SI72" s="3886"/>
      <c r="SJ72" s="3886"/>
      <c r="SK72" s="3886"/>
      <c r="SL72" s="3886"/>
      <c r="SR72" s="2617"/>
      <c r="SS72" s="2617"/>
      <c r="ST72" s="2617"/>
      <c r="SU72" s="2617"/>
      <c r="SV72" s="2617"/>
      <c r="SW72" s="2617"/>
      <c r="SX72" s="2617"/>
      <c r="SY72" s="2617"/>
      <c r="SZ72" s="2617"/>
      <c r="TA72" s="2617"/>
      <c r="TB72" s="2617"/>
      <c r="TC72" s="2617"/>
      <c r="TD72" s="2617"/>
      <c r="TR72" s="183"/>
      <c r="TW72" s="181"/>
      <c r="TX72" s="183"/>
      <c r="TY72" s="183"/>
      <c r="TZ72" s="183"/>
      <c r="UA72" s="183"/>
      <c r="UC72" s="181"/>
      <c r="UD72" s="181"/>
      <c r="UE72" s="181"/>
      <c r="UF72" s="181"/>
      <c r="UK72" s="183"/>
      <c r="UL72" s="183"/>
      <c r="UM72" s="183"/>
      <c r="UN72" s="183"/>
      <c r="UO72" s="183"/>
      <c r="UQ72" s="184"/>
      <c r="US72" s="183"/>
      <c r="UT72" s="183"/>
      <c r="UU72" s="2617"/>
      <c r="UV72" s="2617"/>
      <c r="UX72" s="265"/>
      <c r="VA72" s="265"/>
      <c r="VC72" s="402"/>
      <c r="VF72"/>
      <c r="WG72" s="2617"/>
      <c r="WH72" s="2617"/>
      <c r="WI72" s="2617"/>
      <c r="WJ72" s="2617"/>
      <c r="WK72" s="2617"/>
      <c r="WL72" s="2617"/>
      <c r="WM72" s="2617"/>
      <c r="WN72" s="2617"/>
      <c r="WO72" s="2617"/>
      <c r="WP72" s="2617"/>
      <c r="WQ72" s="2617"/>
      <c r="WR72" s="2617"/>
      <c r="WS72" s="2617"/>
      <c r="WT72" s="2617"/>
      <c r="WU72" s="2617"/>
      <c r="WV72" s="2617"/>
      <c r="WW72" s="2617"/>
      <c r="WX72" s="2617"/>
      <c r="WY72" s="265"/>
      <c r="WZ72" s="265"/>
      <c r="XA72" s="265"/>
      <c r="XB72" s="265"/>
      <c r="XC72" s="265"/>
      <c r="XD72" s="265"/>
      <c r="XE72" s="265"/>
      <c r="XF72" s="265"/>
      <c r="XG72" s="265"/>
      <c r="XH72" s="265"/>
      <c r="XI72" s="265"/>
      <c r="XJ72" s="265"/>
      <c r="XK72" s="265"/>
      <c r="XL72" s="265"/>
      <c r="XM72" s="265"/>
      <c r="XN72" s="265"/>
      <c r="XO72" s="265"/>
      <c r="XP72" s="265"/>
      <c r="XQ72" s="265"/>
      <c r="XR72" s="265"/>
      <c r="XS72" s="265"/>
      <c r="XT72" s="265"/>
      <c r="XU72" s="265"/>
    </row>
    <row r="73" spans="9:645" ht="60" x14ac:dyDescent="0.4">
      <c r="I73" s="5565"/>
      <c r="J73" s="372"/>
      <c r="K73" s="372"/>
      <c r="L73" s="372"/>
      <c r="M73" s="372" t="s">
        <v>1418</v>
      </c>
      <c r="N73" s="372" t="s">
        <v>1210</v>
      </c>
      <c r="O73" s="185"/>
      <c r="AH73" s="206"/>
      <c r="AI73" s="185" t="s">
        <v>417</v>
      </c>
      <c r="AJ73" s="384" t="s">
        <v>170</v>
      </c>
      <c r="AK73" s="199" t="s">
        <v>171</v>
      </c>
      <c r="AL73" s="199" t="s">
        <v>172</v>
      </c>
      <c r="AM73" s="199" t="s">
        <v>173</v>
      </c>
      <c r="AN73" s="199" t="s">
        <v>183</v>
      </c>
      <c r="AO73" s="199" t="s">
        <v>184</v>
      </c>
      <c r="AP73" s="199" t="s">
        <v>185</v>
      </c>
      <c r="AQ73" s="199" t="s">
        <v>186</v>
      </c>
      <c r="AR73" s="199" t="s">
        <v>320</v>
      </c>
      <c r="AT73" s="2617"/>
      <c r="AU73" s="2617"/>
      <c r="AV73" s="2617"/>
      <c r="BB73" s="299" t="s">
        <v>289</v>
      </c>
      <c r="BC73" s="281"/>
      <c r="DR73" s="2617"/>
      <c r="DS73" s="2617"/>
      <c r="DT73" s="2617"/>
      <c r="DU73" s="2617"/>
      <c r="ER73" s="235" t="str">
        <f>$K$89</f>
        <v>Hele tunnelen</v>
      </c>
      <c r="ES73" s="188">
        <f>IF($BC$38=1,1,0)</f>
        <v>0</v>
      </c>
      <c r="ET73" s="185">
        <f>IF($BC$38=1,1,0)</f>
        <v>0</v>
      </c>
      <c r="EU73" s="194">
        <f>IF(ET73=1,ES73,IF(ET73=0,0))</f>
        <v>0</v>
      </c>
      <c r="EV73" s="238" t="str">
        <f>ER73</f>
        <v>Hele tunnelen</v>
      </c>
      <c r="EW73" s="238">
        <f>IFERROR(INDEX(inputs_stab[Manuell],MATCH($EU73,inputs_stab[Position],0)),0)</f>
        <v>0</v>
      </c>
      <c r="EX73" s="185">
        <f>IFERROR(INDEX(inputs_stab[lt4m],MATCH($EU73,inputs_stab[Position],0)),0)</f>
        <v>0</v>
      </c>
      <c r="EY73" s="185">
        <f>IFERROR(INDEX(inputs_stab[gt4m],MATCH($EU73,inputs_stab[Position],0)),0)</f>
        <v>0</v>
      </c>
      <c r="EZ73" s="185">
        <f>IFERROR(INDEX(inputs_stab[band],MATCH($EU73,inputs_stab[Position],0)),0)</f>
        <v>0</v>
      </c>
      <c r="FA73" s="185">
        <f>IFERROR(INDEX(inputs_stab[net],MATCH($EU73,inputs_stab[Position],0)),0)</f>
        <v>0</v>
      </c>
      <c r="FB73" s="185">
        <f>IFERROR(INDEX(inputs_stab[shotcrete],MATCH($EU73,inputs_stab[Position],0)),0)</f>
        <v>0</v>
      </c>
      <c r="FC73" s="185">
        <f>IFERROR(INDEX(inputs_stab[buer],MATCH($EU73,inputs_stab[Position],0)),0)</f>
        <v>0</v>
      </c>
      <c r="FD73" s="185">
        <f>IFERROR(INDEX(inputs_stab[sik_12],MATCH($EU73,inputs_stab[Position],0)),0)</f>
        <v>0</v>
      </c>
      <c r="FE73" s="193">
        <f>IFERROR(INDEX(inputs_stab[sik_3],MATCH($EU73,inputs_stab[Position],0)),0)</f>
        <v>0</v>
      </c>
      <c r="FF73" s="193">
        <f>IFERROR(INDEX(inputs_stab[kartlegging],MATCH($EU73,inputs_stab[Position],0)),0)</f>
        <v>0</v>
      </c>
      <c r="FG73" s="247">
        <f>IFERROR(INDEX(inputs_stab[festebolter],MATCH($EU73,inputs_stab[Position],0)),0)</f>
        <v>0</v>
      </c>
      <c r="FH73" s="239"/>
      <c r="FI73" s="239"/>
      <c r="FJ73" s="239"/>
      <c r="FK73" s="239"/>
      <c r="FL73" s="239"/>
      <c r="FM73" s="2617"/>
      <c r="FN73" s="2617"/>
      <c r="GH73" s="414"/>
      <c r="GJ73" s="340" t="str">
        <f>$NO$72</f>
        <v>Stuff 2-2</v>
      </c>
      <c r="GK73" s="185">
        <v>6</v>
      </c>
      <c r="GL73" s="185">
        <f>IF($BC$34&gt;5,1,0)</f>
        <v>0</v>
      </c>
      <c r="GM73" s="221">
        <f t="shared" si="74"/>
        <v>0</v>
      </c>
      <c r="GN73" s="438" t="str">
        <f t="shared" si="75"/>
        <v>Stuff 2-2</v>
      </c>
      <c r="GO73" s="261" t="b">
        <f>IF(GL41=1,INDEX(inputs_forbe[Forberedende],MATCH(GM73,inputs_forbe[Position],0)))</f>
        <v>0</v>
      </c>
      <c r="GP73" s="261" t="b">
        <f>IF(GL41=1,INDEX(inputs_forbe[Portaler],MATCH(outputs_forbe[[#This Row],[Position]],inputs_forbe[Position],0)))</f>
        <v>0</v>
      </c>
      <c r="GQ73" s="211" t="b">
        <f>IF(GL41=1,INDEX(inputs_forbe[Andrearbeider],MATCH(outputs_forbe[[#This Row],[Position]],inputs_forbe[Position],0)))</f>
        <v>0</v>
      </c>
      <c r="GR73" s="241" t="str">
        <f>IF(GL41=1,SUM(outputs_forbe[[#This Row],[Forberedende]:[Andrearbeider]]),$GK$11)</f>
        <v>Ikke relevant</v>
      </c>
      <c r="GS73" s="2617"/>
      <c r="GT73" s="2617"/>
      <c r="GU73" s="2617"/>
      <c r="GV73" s="2617"/>
      <c r="GW73" s="2617"/>
      <c r="GX73" s="2617"/>
      <c r="GY73" s="2617"/>
      <c r="GZ73" s="2617"/>
      <c r="HA73" s="2617"/>
      <c r="HB73" s="2617"/>
      <c r="HC73" s="2617"/>
      <c r="HH73" s="3695" t="s">
        <v>611</v>
      </c>
      <c r="HI73" s="3695" t="str">
        <f>INDEX(tverr_connection[tverr_3],MATCH($BC$28,tverr_connection[config]))</f>
        <v>None</v>
      </c>
      <c r="HJ73" s="3695">
        <f>$PU$84</f>
        <v>0</v>
      </c>
      <c r="HK73" s="185">
        <f>$HI$19</f>
        <v>0</v>
      </c>
      <c r="HL73" s="3695">
        <f>$HI$22</f>
        <v>0</v>
      </c>
      <c r="HM73" s="185">
        <f>$HJ$22</f>
        <v>0</v>
      </c>
      <c r="HN73" s="185">
        <f>$HI$14</f>
        <v>0</v>
      </c>
      <c r="HO73" s="185">
        <f>$HJ$14</f>
        <v>0</v>
      </c>
      <c r="IO73" s="3866" t="s">
        <v>1592</v>
      </c>
      <c r="IQ73" s="2617"/>
      <c r="IR73" s="2617"/>
      <c r="IS73" s="2617"/>
      <c r="IT73" s="2617"/>
      <c r="IU73" s="2617"/>
      <c r="IV73" s="2617"/>
      <c r="IW73" s="2617"/>
      <c r="IX73" s="2617"/>
      <c r="IY73" s="2617"/>
      <c r="IZ73" s="2617"/>
      <c r="JA73" s="2617"/>
      <c r="JB73" s="2617"/>
      <c r="JC73" s="2617"/>
      <c r="JD73" s="2617"/>
      <c r="JE73" s="2617"/>
      <c r="JF73" s="2617"/>
      <c r="JG73" s="2617"/>
      <c r="JH73" s="2617"/>
      <c r="JI73" s="2617"/>
      <c r="JJ73" s="2617"/>
      <c r="JK73" s="2617"/>
      <c r="JL73" s="2617"/>
      <c r="JM73" s="2617"/>
      <c r="JN73" s="2617"/>
      <c r="JO73" s="2617"/>
      <c r="LX73" s="5268"/>
      <c r="NI73" s="1567"/>
      <c r="NN73" s="407">
        <v>71</v>
      </c>
      <c r="NO73" s="340" t="str">
        <f>$QU$135</f>
        <v>Stuff 2-3</v>
      </c>
      <c r="NP73" s="211">
        <f t="shared" si="59"/>
        <v>0</v>
      </c>
      <c r="NQ73" s="211">
        <f t="shared" si="60"/>
        <v>0</v>
      </c>
      <c r="NR73" s="211">
        <f t="shared" si="60"/>
        <v>0</v>
      </c>
      <c r="NS73" s="211">
        <f t="shared" si="60"/>
        <v>0</v>
      </c>
      <c r="NT73" s="411">
        <f t="shared" si="61"/>
        <v>0</v>
      </c>
      <c r="NU73" s="411">
        <f t="shared" si="62"/>
        <v>0</v>
      </c>
      <c r="NV73" s="411">
        <f>IFERROR(outputs_oppsum[[#This Row],[total_lop]]+outputs_oppsum[[#This Row],[total_nisj]],"-")</f>
        <v>0</v>
      </c>
      <c r="NW73" s="411">
        <f>IFERROR(outputs_oppsum[[#This Row],[total_spreng_hr]]/$AI$80,"-")</f>
        <v>0</v>
      </c>
      <c r="NX73" s="211">
        <f t="shared" si="63"/>
        <v>0</v>
      </c>
      <c r="NY73" s="211">
        <f t="shared" si="63"/>
        <v>0</v>
      </c>
      <c r="NZ73" s="211">
        <f t="shared" si="63"/>
        <v>0</v>
      </c>
      <c r="OA73" s="211">
        <f t="shared" si="63"/>
        <v>0</v>
      </c>
      <c r="OB73" s="211">
        <f t="shared" si="63"/>
        <v>0</v>
      </c>
      <c r="OC73" s="211">
        <f t="shared" si="63"/>
        <v>0</v>
      </c>
      <c r="OD73" s="211">
        <f t="shared" si="63"/>
        <v>0</v>
      </c>
      <c r="OE73" s="211">
        <f t="shared" si="63"/>
        <v>0</v>
      </c>
      <c r="OF73" s="211">
        <f t="shared" si="63"/>
        <v>0</v>
      </c>
      <c r="OG73" s="211">
        <f t="shared" si="63"/>
        <v>0</v>
      </c>
      <c r="OH73" s="211">
        <f t="shared" si="63"/>
        <v>0</v>
      </c>
      <c r="OI73" s="3703">
        <f t="shared" si="63"/>
        <v>0</v>
      </c>
      <c r="OJ73" s="3703">
        <f>IFERROR(outputs_oppsum[[#This Row],[total_foran_hr]]/$AI$80,"-")</f>
        <v>0</v>
      </c>
      <c r="OK73" s="3703">
        <f t="shared" si="64"/>
        <v>0</v>
      </c>
      <c r="OL73" s="3703">
        <f t="shared" si="64"/>
        <v>0</v>
      </c>
      <c r="OM73" s="406">
        <f t="shared" si="65"/>
        <v>0</v>
      </c>
      <c r="ON73" s="406">
        <f t="shared" si="66"/>
        <v>0</v>
      </c>
      <c r="OO73" s="406">
        <f t="shared" si="67"/>
        <v>0</v>
      </c>
      <c r="OP73" s="406">
        <f t="shared" si="67"/>
        <v>0</v>
      </c>
      <c r="OQ73" s="406">
        <f t="shared" si="67"/>
        <v>0</v>
      </c>
      <c r="OR73" s="406"/>
      <c r="OS73" s="406"/>
      <c r="OT73" s="406">
        <f t="shared" si="68"/>
        <v>0</v>
      </c>
      <c r="OU73" s="406"/>
      <c r="OV73" s="406"/>
      <c r="OW73" s="406">
        <f t="shared" si="76"/>
        <v>0</v>
      </c>
      <c r="OX73" s="406">
        <f t="shared" si="69"/>
        <v>0</v>
      </c>
      <c r="OY73" s="406">
        <f t="shared" si="69"/>
        <v>0</v>
      </c>
      <c r="OZ73" s="406">
        <f t="shared" si="69"/>
        <v>0</v>
      </c>
      <c r="PA73" s="406">
        <f t="shared" si="69"/>
        <v>0</v>
      </c>
      <c r="PB73" s="413">
        <f t="shared" si="69"/>
        <v>0</v>
      </c>
      <c r="PC73" s="413">
        <f t="shared" si="69"/>
        <v>0</v>
      </c>
      <c r="PD73" s="413">
        <f t="shared" si="69"/>
        <v>0</v>
      </c>
      <c r="PE73" s="413">
        <f t="shared" si="69"/>
        <v>0</v>
      </c>
      <c r="PF73" s="413">
        <f t="shared" si="69"/>
        <v>0</v>
      </c>
      <c r="PG73" s="413">
        <f t="shared" si="69"/>
        <v>0</v>
      </c>
      <c r="PH73" s="839">
        <f t="shared" si="69"/>
        <v>0</v>
      </c>
      <c r="PI73" s="1277">
        <f>IFERROR(outputs_oppsum[[#This Row],[total_stab_hr]]/$AI$80,"-")</f>
        <v>0</v>
      </c>
      <c r="PJ73" s="211" t="str">
        <f>IF(AND($GL$35=1,outputs_oppsum[[#This Row],[tverrslag_status]]&lt;&gt;1),$GR$67,$GK$11)</f>
        <v>Ikke relevant</v>
      </c>
      <c r="PK73" s="211">
        <f>IFERROR(outputs_oppsum[[#This Row],[prosjekt_forbe]]*$AI$80,0)</f>
        <v>0</v>
      </c>
      <c r="PL73" s="212" t="b">
        <f t="shared" si="70"/>
        <v>0</v>
      </c>
      <c r="PM73" s="212" t="b">
        <f t="shared" si="71"/>
        <v>0</v>
      </c>
      <c r="PN73" s="212" t="b">
        <f t="shared" si="72"/>
        <v>0</v>
      </c>
      <c r="PO73" s="424" t="str">
        <f t="shared" si="73"/>
        <v>Ikke relevant</v>
      </c>
      <c r="PP73" s="431">
        <f>outputs_oppsum[[#This Row],[Forberedende]]*$AI$80</f>
        <v>0</v>
      </c>
      <c r="PQ73" s="431">
        <f>outputs_oppsum[[#This Row],[Portaler]]*$AI$80</f>
        <v>0</v>
      </c>
      <c r="PR73" s="431">
        <f>outputs_oppsum[[#This Row],[Andrearbeider]]*$AI$80</f>
        <v>0</v>
      </c>
      <c r="PS73" s="431">
        <f>IFERROR(outputs_oppsum[[#This Row],[total_forbe]]*$AI$80,0)</f>
        <v>0</v>
      </c>
      <c r="PT73" s="431" t="e">
        <f t="shared" si="77"/>
        <v>#VALUE!</v>
      </c>
      <c r="PU73" s="845">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3" s="1656">
        <f>IFERROR(outputs_oppsum[[#This Row],[oppsum_drivetid_hr]]/$AI$80,"-")</f>
        <v>0</v>
      </c>
      <c r="PW73" s="1660"/>
      <c r="PX73" s="1658">
        <f>INDEX(tverr_connection_2[71],MATCH($BC$28,tverr_connection_2[config],0))</f>
        <v>0</v>
      </c>
      <c r="PY73" s="1662" t="str">
        <f>IF(outputs_oppsum[[#This Row],[tverrslag_status]]=0,$HI$54,IF(outputs_oppsum[[#This Row],[tverrslag_status]]=1,$HI$55,"-"))</f>
        <v>Ikke påvirket</v>
      </c>
      <c r="PZ73" s="1663" t="str">
        <f>IFERROR(INDEX(outputs_tverrslag[Tverrslag construction time],MATCH(outputs_oppsum[[#This Row],[stuff_navn]],outputs_tverrslag[name],0)),"-")</f>
        <v>-</v>
      </c>
      <c r="QA73" s="1658" t="str">
        <f>IF(outputs_oppsum[[#This Row],[tverrslag_status_oppsum]]=$HI$55,$PU$84,"-")</f>
        <v>-</v>
      </c>
      <c r="QB73" s="1662" t="str">
        <f>IF(outputs_oppsum[[#This Row],[tverrslag_status_oppsum]]=$HI$55,$HI$66,"-")</f>
        <v>-</v>
      </c>
      <c r="QC73" s="1662" t="str">
        <f>IF(outputs_oppsum[[#This Row],[tverrslag_status_oppsum]]=$HI$55,$HJ$14,"-")</f>
        <v>-</v>
      </c>
      <c r="QD73" s="1668" t="str">
        <f>IFERROR(INDEX(outputs_tverrslag[forsink_perstuff_uker],MATCH(outputs_oppsum[[#This Row],[stuff_navn]],outputs_tverrslag[name],0)),"-")</f>
        <v>-</v>
      </c>
      <c r="QE73" s="843" t="str">
        <f>IFERROR(INDEX(outputs_tverrslag[forsink_total_uker],MATCH(outputs_oppsum[[#This Row],[stuff_navn]],outputs_tverrslag[name],0)),"-")</f>
        <v>-</v>
      </c>
      <c r="QF73" s="843" t="str">
        <f>IFERROR(INDEX(outputs_tverrslag[Kryssområdet_hr],MATCH(outputs_oppsum[[#This Row],[stuff_navn]],outputs_tverrslag[name],0)),"-")</f>
        <v>-</v>
      </c>
      <c r="QG73" s="843" t="str">
        <f>IFERROR(INDEX(outputs_tverrslag[forsink_total_hr],MATCH(outputs_oppsum[[#This Row],[stuff_navn]],outputs_tverrslag[name],0)),"-")</f>
        <v>-</v>
      </c>
      <c r="QH73" s="334">
        <f>SUMIF(outputs_oppsum[[#This Row],[kryssområdet_forberedende_hr2]:[extra_forsink_etter_tverrslag_total_hr]],"&lt;&gt;-")+SUMIF(outputs_oppsum[[#This Row],[tverrslag_tid]],"&lt;&gt;-")</f>
        <v>0</v>
      </c>
      <c r="QI73" s="334" t="str">
        <f>IF(OR(outputs_oppsum[[#This Row],[tverrslag_status_oppsum]]=$HI$55,outputs_oppsum[[#This Row],[tverrslag_status_oppsum]]=$I$90),$GR$67,"-")</f>
        <v>-</v>
      </c>
      <c r="QJ73" s="334">
        <f>IFERROR(outputs_oppsum[[#This Row],[extra_tverrslag_prosjekt_forarb_uke]]*$AI$80,0)</f>
        <v>0</v>
      </c>
      <c r="QK73" s="334" t="str">
        <f>IF(outputs_oppsum[[#This Row],[tverrslag_status_oppsum]]=$HI$55,$PO$75,"-")</f>
        <v>-</v>
      </c>
      <c r="QL73" s="1827">
        <f>IFERROR(outputs_oppsum[[#This Row],[extra_tverrslag_forarb_uke]]*$AI$80,0)</f>
        <v>0</v>
      </c>
      <c r="QM73" s="334" t="str">
        <f>IF(outputs_oppsum[[#This Row],[tverrslag_status_oppsum]]=$HI$55,$RA$75,"-")</f>
        <v>-</v>
      </c>
      <c r="QN73" s="1827">
        <f>IFERROR(outputs_oppsum[[#This Row],[extra_tverrslag_just_uke]]*$AI$80,0)</f>
        <v>0</v>
      </c>
      <c r="QO73" s="211" t="str">
        <f>IF(outputs_oppsum[[#This Row],[tverrslag_status_oppsum]]=$HI$55,$GK$96,"-")</f>
        <v>-</v>
      </c>
      <c r="QP73" s="1828">
        <f>IFERROR(outputs_oppsum[[#This Row],[tverrslag_forsinkt_uke]]*$AI$80,0)</f>
        <v>0</v>
      </c>
      <c r="QQ73"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3" s="1809">
        <f>IFERROR(IF(outputs_oppsum[[#This Row],[tverrslag_status_oppsum]]=$I$90,outputs_oppsum[[#This Row],[kryssområdet_forberedende_hr]],IF(outputs_oppsum[[#This Row],[tverrslag_status]]=1,outputs_oppsum[[#This Row],[tverrslag_total_hr]],0)),0)</f>
        <v>0</v>
      </c>
      <c r="QS73" s="1666" t="e">
        <f>INDEX(outputs_just[general_tid],MATCH(outputs_oppsum[[#This Row],[stuff_navn]],outputs_just[Navn],0))</f>
        <v>#N/A</v>
      </c>
      <c r="QT73" s="1666" t="e">
        <f>INDEX(outputs_just[geo_tid],MATCH(outputs_oppsum[[#This Row],[stuff_navn]],outputs_just[Navn],0))</f>
        <v>#N/A</v>
      </c>
      <c r="QU73" s="1666" t="e">
        <f>INDEX(outputs_just[stig_tid],MATCH(outputs_oppsum[[#This Row],[stuff_navn]],outputs_just[Navn],0))</f>
        <v>#N/A</v>
      </c>
      <c r="QV73" s="1666" t="e">
        <f>INDEX(outputs_just[arb_tid],MATCH(outputs_oppsum[[#This Row],[stuff_navn]],outputs_just[Navn],0))</f>
        <v>#N/A</v>
      </c>
      <c r="QW73" s="1666" t="e">
        <f>INDEX(outputs_just[spreng_tid],MATCH(outputs_oppsum[[#This Row],[stuff_navn]],outputs_just[Navn],0))</f>
        <v>#N/A</v>
      </c>
      <c r="QX73" s="1666" t="e">
        <f>INDEX(outputs_just[skyte_tid],MATCH(outputs_oppsum[[#This Row],[stuff_navn]],outputs_just[Navn],0))</f>
        <v>#N/A</v>
      </c>
      <c r="QY73" s="1666" t="e">
        <f>INDEX(outputs_just[støy_tid],MATCH(outputs_oppsum[[#This Row],[stuff_navn]],outputs_just[Navn],0))</f>
        <v>#N/A</v>
      </c>
      <c r="QZ73" s="1666" t="e">
        <f>INDEX(outputs_just[ann_tid],MATCH(outputs_oppsum[[#This Row],[stuff_navn]],outputs_just[Navn],0))</f>
        <v>#N/A</v>
      </c>
      <c r="RA73" s="1666" t="e">
        <f>SUM(outputs_oppsum[[#This Row],[just_generell]:[just_ann]])</f>
        <v>#N/A</v>
      </c>
      <c r="RB73" s="1666" t="e">
        <f>outputs_oppsum[[#This Row],[just_total_uke]]*$AI$80</f>
        <v>#N/A</v>
      </c>
      <c r="RC73" s="211">
        <f>INDEX(inputs_forsinket[tid_uke],MATCH(outputs_oppsum[[#This Row],[stuff_navn]],inputs_forsinket[name],0))</f>
        <v>0</v>
      </c>
      <c r="RD73" s="1805">
        <f>outputs_oppsum[[#This Row],[forsinket_uke]]*$AI$80</f>
        <v>0</v>
      </c>
      <c r="RE73" s="234">
        <f>LQ38</f>
        <v>1</v>
      </c>
      <c r="RF73" s="211" t="str">
        <f>IF(RE73=1,_List!$AW$7,IF(RE73=2,_List!$AW$8,""))</f>
        <v>Enstuffs drift</v>
      </c>
      <c r="RG73" s="431" t="str">
        <f>IF(outputs_oppsum[[#This Row],[kon_metod_no]]=2,INDEX(framdriftfaktor[stab-foran_spreng_ratio],MATCH(outputs_oppsum[[#This Row],[stuff_id]],framdriftfaktor[stuff_id],0)),"-")</f>
        <v>-</v>
      </c>
      <c r="RH73" s="5269">
        <f>IF(outputs_oppsum[[#This Row],[kon_metod_no]]=2,INDEX(framdriftfaktor[beregnet_faktor_final],MATCH(outputs_oppsum[[#This Row],[stuff_id]],framdriftfaktor[stuff_id],0)),1)</f>
        <v>1</v>
      </c>
      <c r="RI73" s="5269" t="str">
        <f>IF(outputs_oppsum[[#This Row],[kon_metod]]=_List!$AW$8,INDEX(outputs_just[vek_faktor_bruker_definert_status],MATCH(outputs_oppsum[[#This Row],[stuff_navn]],outputs_just[Navn],0)),"")</f>
        <v/>
      </c>
      <c r="RJ73" s="5269" t="e">
        <f>IF(AND(outputs_oppsum[[#This Row],[kon_metod_no]]&lt;&gt;1,LP127=FALSE),LO127,"-")</f>
        <v>#N/A</v>
      </c>
      <c r="RK73" s="5269">
        <f>IF(AND(outputs_oppsum[[#This Row],[kon_metod_no]]=2,outputs_oppsum[[#This Row],[tverrslag_status_oppsum]]&lt;&gt;$I$90,outputs_oppsum[[#This Row],[faktor_bruker_definert]]=FALSE),outputs_oppsum[[#This Row],[faktor_user]],outputs_oppsum[[#This Row],[faktor_beregnet]])</f>
        <v>1</v>
      </c>
      <c r="RL73" s="1807">
        <f>IFERROR((outputs_oppsum[[#This Row],[faktor_final]]-1)*outputs_oppsum[[#This Row],[oppsum_drivetid_hr]]*outputs_oppsum[[#This Row],[veksel_prosent]],"-")</f>
        <v>0</v>
      </c>
      <c r="RM73" s="1807" t="str">
        <f>IF(outputs_oppsum[[#This Row],[kon_metod_no]]=2,outputs_oppsum[[#This Row],[ekstra_framdrift_tid_oppsum_hr]]/$AI$80,"-")</f>
        <v>-</v>
      </c>
      <c r="RN73" s="431" t="str">
        <f>IF(outputs_oppsum[[#This Row],[kon_metod_no]]=2,outputs_oppsum[[#This Row],[ekstra_drivetid_pga_faktor]],"-")</f>
        <v>-</v>
      </c>
      <c r="RO73" s="431">
        <f>IFERROR(outputs_oppsum[[#This Row],[oppsum_drivetid_hr]]+outputs_oppsum[[#This Row],[ekstra_drivetid_pga_faktor]],"-")</f>
        <v>0</v>
      </c>
      <c r="RP73"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3" s="5276">
        <f>IF(outputs_oppsum[[#This Row],[enstuff_prosent_input]]&gt;1,1,outputs_oppsum[[#This Row],[enstuff_prosent_input]])</f>
        <v>1</v>
      </c>
      <c r="RR73"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3" s="431"/>
      <c r="RT73" s="431"/>
      <c r="RU73" s="431"/>
      <c r="RV73" s="431"/>
      <c r="RW73" s="431" t="str">
        <f>IFERROR(outputs_oppsum[[#This Row],[drivetid_with_faktor]]+outputs_oppsum[[#This Row],[prosjekt_forbe_hr]]+outputs_oppsum[[#This Row],[total_forbe_hr]]+outputs_oppsum[[#This Row],[extra_for_tverrslag_sum]]+outputs_oppsum[[#This Row],[just_total_hr]]+outputs_oppsum[[#This Row],[forsinket_hr]],"!")</f>
        <v>!</v>
      </c>
      <c r="RX73" s="431" t="str">
        <f>IFERROR(outputs_oppsum[[#This Row],[oppsum_total_hr]]/$AI$80,"!")</f>
        <v>!</v>
      </c>
      <c r="RY73" s="431" t="str">
        <f>IF(MAX($RX$67:$RX$75)=outputs_oppsum[[#This Row],[oppsum_total_uke]],MAX($RX$67:$RX$75),"-")</f>
        <v>-</v>
      </c>
      <c r="RZ73" s="431" t="str">
        <f>IF(AND(ISNUMBER(outputs_oppsum[[#This Row],[Criticalstuff]]),$BC$34&lt;&gt;1,outputs_oppsum[[#This Row],[Criticalstuff]]&gt;0),$RZ$63,"")</f>
        <v/>
      </c>
      <c r="SA73" s="837"/>
      <c r="SB73" s="837"/>
      <c r="SC73" s="837"/>
      <c r="SD73" s="837"/>
      <c r="SE73" s="3521"/>
      <c r="SF73" s="3521"/>
      <c r="SG73" s="2617"/>
      <c r="SH73" s="3886"/>
      <c r="SI73" s="3886"/>
      <c r="SJ73" s="3886"/>
      <c r="SK73" s="3886"/>
      <c r="SL73" s="3886"/>
      <c r="SR73" s="2617"/>
      <c r="SS73" s="2617"/>
      <c r="ST73" s="2617"/>
      <c r="SU73" s="2617"/>
      <c r="SV73" s="2617"/>
      <c r="SW73" s="2617"/>
      <c r="SX73" s="2617"/>
      <c r="SY73" s="2617"/>
      <c r="SZ73" s="2617"/>
      <c r="TA73" s="2617"/>
      <c r="TB73" s="2617"/>
      <c r="TC73" s="2617"/>
      <c r="TD73" s="2617"/>
      <c r="TR73" s="183"/>
      <c r="TW73" s="181"/>
      <c r="TX73" s="183"/>
      <c r="TY73" s="183"/>
      <c r="TZ73" s="183"/>
      <c r="UA73" s="183"/>
      <c r="UC73" s="181"/>
      <c r="UD73" s="181"/>
      <c r="UE73" s="181"/>
      <c r="UF73" s="181"/>
      <c r="UK73" s="183"/>
      <c r="UL73" s="183"/>
      <c r="UM73" s="183"/>
      <c r="UN73" s="183"/>
      <c r="UO73" s="183"/>
      <c r="UQ73" s="184"/>
      <c r="US73" s="183"/>
      <c r="UT73" s="183"/>
      <c r="UU73" s="2617"/>
      <c r="UV73" s="2617"/>
      <c r="UX73" s="265"/>
      <c r="VA73" s="265"/>
      <c r="VC73" s="402"/>
      <c r="VF73"/>
      <c r="WG73" s="2617"/>
      <c r="WH73" s="2617"/>
      <c r="WI73" s="2617"/>
      <c r="WJ73" s="2617"/>
      <c r="WK73" s="2617"/>
      <c r="WL73" s="2617"/>
      <c r="WM73" s="2617"/>
      <c r="WN73" s="2617"/>
      <c r="WO73" s="2617"/>
      <c r="WP73" s="2617"/>
      <c r="WQ73" s="2617"/>
      <c r="WR73" s="2617"/>
      <c r="WS73" s="2617"/>
      <c r="WT73" s="2617"/>
      <c r="WU73" s="2617"/>
      <c r="WV73" s="2617"/>
      <c r="WW73" s="2617"/>
      <c r="WX73" s="2617"/>
      <c r="WY73" s="265"/>
      <c r="WZ73" s="265"/>
      <c r="XA73" s="265"/>
      <c r="XB73" s="265"/>
      <c r="XC73" s="265"/>
      <c r="XD73" s="265"/>
      <c r="XE73" s="265"/>
      <c r="XF73" s="265"/>
      <c r="XG73" s="265"/>
      <c r="XH73" s="265"/>
      <c r="XI73" s="265"/>
      <c r="XJ73" s="265"/>
      <c r="XK73" s="265"/>
      <c r="XL73" s="265"/>
      <c r="XM73" s="265"/>
      <c r="XN73" s="265"/>
      <c r="XO73" s="265"/>
      <c r="XP73" s="265"/>
      <c r="XQ73" s="265"/>
      <c r="XR73" s="265"/>
      <c r="XS73" s="265"/>
      <c r="XT73" s="265"/>
      <c r="XU73" s="265"/>
    </row>
    <row r="74" spans="9:645" x14ac:dyDescent="0.2">
      <c r="I74" s="5565"/>
      <c r="J74" s="372"/>
      <c r="K74" s="372"/>
      <c r="L74" s="372"/>
      <c r="M74" s="372"/>
      <c r="N74" s="372" t="s">
        <v>1211</v>
      </c>
      <c r="O74" s="185"/>
      <c r="AH74" s="206" t="s">
        <v>386</v>
      </c>
      <c r="AI74" s="243">
        <f>VALUE($BC$41)</f>
        <v>112</v>
      </c>
      <c r="AJ74" s="383">
        <f>INDEX(output_tidstuff[1],MATCH($AI$74,output_tidstuff[lopstuff_distristatus],0))</f>
        <v>0</v>
      </c>
      <c r="AK74" s="383">
        <f>INDEX(output_tidstuff[2],MATCH($AI$74,output_tidstuff[lopstuff_distristatus],0))</f>
        <v>0</v>
      </c>
      <c r="AL74" s="383">
        <f>INDEX(output_tidstuff[3],MATCH($AI$74,output_tidstuff[lopstuff_distristatus],0))</f>
        <v>0</v>
      </c>
      <c r="AM74" s="383">
        <f>INDEX(output_tidstuff[4],MATCH($AI$74,output_tidstuff[lopstuff_distristatus],0))</f>
        <v>0</v>
      </c>
      <c r="AN74" s="383">
        <f>INDEX(output_tidstuff[5],MATCH($AI$74,output_tidstuff[lopstuff_distristatus],0))</f>
        <v>0</v>
      </c>
      <c r="AO74" s="383">
        <f>INDEX(output_tidstuff[6],MATCH($AI$74,output_tidstuff[lopstuff_distristatus],0))</f>
        <v>0</v>
      </c>
      <c r="AP74" s="383">
        <f>INDEX(output_tidstuff[7],MATCH($AI$74,output_tidstuff[lopstuff_distristatus],0))</f>
        <v>0</v>
      </c>
      <c r="AQ74" s="383">
        <f>INDEX(output_tidstuff[8],MATCH($AI$74,output_tidstuff[lopstuff_distristatus],0))</f>
        <v>0</v>
      </c>
      <c r="AR74" s="211">
        <f>QQ254</f>
        <v>0</v>
      </c>
      <c r="AT74" s="2617"/>
      <c r="AU74" s="2617"/>
      <c r="AV74" s="2617"/>
      <c r="EM74" s="210"/>
      <c r="EN74" s="210"/>
      <c r="ER74" s="235"/>
      <c r="ES74" s="188"/>
      <c r="ET74" s="185"/>
      <c r="EU74" s="194"/>
      <c r="EV74" s="194"/>
      <c r="EW74" s="238">
        <f>IFERROR(INDEX(inputs_stab[Manuell],MATCH($EU74,inputs_stab[Position],0)),0)</f>
        <v>0</v>
      </c>
      <c r="EX74" s="185">
        <f>IFERROR(INDEX(inputs_stab[lt4m],MATCH($EU74,inputs_stab[Position],0)),0)</f>
        <v>0</v>
      </c>
      <c r="EY74" s="185">
        <f>IFERROR(INDEX(inputs_stab[gt4m],MATCH($EU74,inputs_stab[Position],0)),0)</f>
        <v>0</v>
      </c>
      <c r="EZ74" s="185">
        <f>IFERROR(INDEX(inputs_stab[band],MATCH($EU74,inputs_stab[Position],0)),0)</f>
        <v>0</v>
      </c>
      <c r="FA74" s="185">
        <f>IFERROR(INDEX(inputs_stab[net],MATCH($EU74,inputs_stab[Position],0)),0)</f>
        <v>0</v>
      </c>
      <c r="FB74" s="185">
        <f>IFERROR(INDEX(inputs_stab[shotcrete],MATCH($EU74,inputs_stab[Position],0)),0)</f>
        <v>0</v>
      </c>
      <c r="FC74" s="185">
        <f>IFERROR(INDEX(inputs_stab[buer],MATCH($EU74,inputs_stab[Position],0)),0)</f>
        <v>0</v>
      </c>
      <c r="FD74" s="185">
        <f>IFERROR(INDEX(inputs_stab[sik_12],MATCH($EU74,inputs_stab[Position],0)),0)</f>
        <v>0</v>
      </c>
      <c r="FE74" s="193">
        <f>IFERROR(INDEX(inputs_stab[sik_3],MATCH($EU74,inputs_stab[Position],0)),0)</f>
        <v>0</v>
      </c>
      <c r="FF74" s="193">
        <f>IFERROR(INDEX(inputs_stab[kartlegging],MATCH($EU74,inputs_stab[Position],0)),0)</f>
        <v>0</v>
      </c>
      <c r="FG74" s="185">
        <f>IFERROR(INDEX(inputs_stab[festebolter],MATCH($EU74,inputs_stab[Position],0)),0)</f>
        <v>0</v>
      </c>
      <c r="FM74" s="2617"/>
      <c r="FN74" s="2617"/>
      <c r="GH74" s="414"/>
      <c r="GJ74" s="340" t="str">
        <f>$NO$73</f>
        <v>Stuff 2-3</v>
      </c>
      <c r="GK74" s="185">
        <v>7</v>
      </c>
      <c r="GL74" s="185">
        <f>IF($BC$34&gt;6,1,0)</f>
        <v>0</v>
      </c>
      <c r="GM74" s="221">
        <f t="shared" si="74"/>
        <v>0</v>
      </c>
      <c r="GN74" s="438" t="str">
        <f t="shared" si="75"/>
        <v>Stuff 2-3</v>
      </c>
      <c r="GO74" s="261" t="b">
        <f>IF(GL42=1,INDEX(inputs_forbe[Forberedende],MATCH(GM74,inputs_forbe[Position],0)))</f>
        <v>0</v>
      </c>
      <c r="GP74" s="261" t="b">
        <f>IF(GL42=1,INDEX(inputs_forbe[Portaler],MATCH(outputs_forbe[[#This Row],[Position]],inputs_forbe[Position],0)))</f>
        <v>0</v>
      </c>
      <c r="GQ74" s="211" t="b">
        <f>IF(GL42=1,INDEX(inputs_forbe[Andrearbeider],MATCH(outputs_forbe[[#This Row],[Position]],inputs_forbe[Position],0)))</f>
        <v>0</v>
      </c>
      <c r="GR74" s="241" t="str">
        <f>IF(GL42=1,SUM(outputs_forbe[[#This Row],[Forberedende]:[Andrearbeider]]),$GK$11)</f>
        <v>Ikke relevant</v>
      </c>
      <c r="GS74" s="2617"/>
      <c r="GT74" s="2617"/>
      <c r="GU74" s="2617"/>
      <c r="GV74" s="2617"/>
      <c r="GW74" s="2617"/>
      <c r="GX74" s="2617"/>
      <c r="GY74" s="2617"/>
      <c r="GZ74" s="2617"/>
      <c r="HA74" s="2617"/>
      <c r="HB74" s="2617"/>
      <c r="HC74" s="2617"/>
      <c r="HH74" s="3695" t="s">
        <v>612</v>
      </c>
      <c r="HI74" s="3695" t="str">
        <f>INDEX(tverr_connection[tverr_4],MATCH($BC$28,tverr_connection[config]))</f>
        <v>None</v>
      </c>
      <c r="HJ74" s="3695">
        <f>$PU$84</f>
        <v>0</v>
      </c>
      <c r="HK74" s="185">
        <f>$HI$19</f>
        <v>0</v>
      </c>
      <c r="HL74" s="3695">
        <f>$HI$22</f>
        <v>0</v>
      </c>
      <c r="HM74" s="185">
        <f>$HJ$22</f>
        <v>0</v>
      </c>
      <c r="HN74" s="185">
        <f>$HI$14</f>
        <v>0</v>
      </c>
      <c r="HO74" s="185">
        <f>$HJ$14</f>
        <v>0</v>
      </c>
      <c r="IO74" s="2617" t="s">
        <v>1553</v>
      </c>
      <c r="IP74" s="2617" t="s">
        <v>1553</v>
      </c>
      <c r="IQ74" s="2617" t="s">
        <v>1553</v>
      </c>
      <c r="IR74" s="2617" t="s">
        <v>1553</v>
      </c>
      <c r="IS74" s="2617" t="s">
        <v>1553</v>
      </c>
      <c r="IT74" s="2617"/>
      <c r="IU74" s="2617"/>
      <c r="IV74" s="2617"/>
      <c r="IW74" s="2617"/>
      <c r="IX74" s="2617"/>
      <c r="IY74" s="2617"/>
      <c r="IZ74" s="2617"/>
      <c r="JA74" s="2617"/>
      <c r="JB74" s="2617"/>
      <c r="JC74" s="2617"/>
      <c r="JD74" s="2617"/>
      <c r="JE74" s="2617"/>
      <c r="JF74" s="2617"/>
      <c r="JG74" s="2617"/>
      <c r="JH74" s="2617"/>
      <c r="JI74" s="2617"/>
      <c r="JJ74" s="2617"/>
      <c r="JK74" s="2617"/>
      <c r="JL74" s="2617"/>
      <c r="JM74" s="2617"/>
      <c r="JN74" s="2617"/>
      <c r="JO74" s="2617"/>
      <c r="LX74" s="5268"/>
      <c r="NI74" s="1567"/>
      <c r="NN74" s="407">
        <v>81</v>
      </c>
      <c r="NO74" s="340" t="str">
        <f>$QV$135</f>
        <v>Stuff 2-4</v>
      </c>
      <c r="NP74" s="211">
        <f t="shared" si="59"/>
        <v>0</v>
      </c>
      <c r="NQ74" s="211">
        <f t="shared" si="60"/>
        <v>0</v>
      </c>
      <c r="NR74" s="211">
        <f t="shared" si="60"/>
        <v>0</v>
      </c>
      <c r="NS74" s="211">
        <f t="shared" si="60"/>
        <v>0</v>
      </c>
      <c r="NT74" s="411">
        <f t="shared" si="61"/>
        <v>0</v>
      </c>
      <c r="NU74" s="411">
        <f t="shared" si="62"/>
        <v>0</v>
      </c>
      <c r="NV74" s="411">
        <f>IFERROR(outputs_oppsum[[#This Row],[total_lop]]+outputs_oppsum[[#This Row],[total_nisj]],"-")</f>
        <v>0</v>
      </c>
      <c r="NW74" s="411">
        <f>IFERROR(outputs_oppsum[[#This Row],[total_spreng_hr]]/$AI$80,"-")</f>
        <v>0</v>
      </c>
      <c r="NX74" s="211">
        <f t="shared" si="63"/>
        <v>0</v>
      </c>
      <c r="NY74" s="211">
        <f t="shared" si="63"/>
        <v>0</v>
      </c>
      <c r="NZ74" s="211">
        <f t="shared" si="63"/>
        <v>0</v>
      </c>
      <c r="OA74" s="211">
        <f t="shared" si="63"/>
        <v>0</v>
      </c>
      <c r="OB74" s="211">
        <f t="shared" si="63"/>
        <v>0</v>
      </c>
      <c r="OC74" s="211">
        <f t="shared" si="63"/>
        <v>0</v>
      </c>
      <c r="OD74" s="211">
        <f t="shared" si="63"/>
        <v>0</v>
      </c>
      <c r="OE74" s="211">
        <f t="shared" si="63"/>
        <v>0</v>
      </c>
      <c r="OF74" s="211">
        <f t="shared" si="63"/>
        <v>0</v>
      </c>
      <c r="OG74" s="211">
        <f t="shared" si="63"/>
        <v>0</v>
      </c>
      <c r="OH74" s="211">
        <f t="shared" si="63"/>
        <v>0</v>
      </c>
      <c r="OI74" s="3703">
        <f t="shared" si="63"/>
        <v>0</v>
      </c>
      <c r="OJ74" s="3703">
        <f>IFERROR(outputs_oppsum[[#This Row],[total_foran_hr]]/$AI$80,"-")</f>
        <v>0</v>
      </c>
      <c r="OK74" s="3703">
        <f t="shared" si="64"/>
        <v>0</v>
      </c>
      <c r="OL74" s="3703">
        <f t="shared" si="64"/>
        <v>0</v>
      </c>
      <c r="OM74" s="406">
        <f t="shared" si="65"/>
        <v>0</v>
      </c>
      <c r="ON74" s="406">
        <f t="shared" si="66"/>
        <v>0</v>
      </c>
      <c r="OO74" s="406">
        <f t="shared" si="67"/>
        <v>0</v>
      </c>
      <c r="OP74" s="406">
        <f t="shared" si="67"/>
        <v>0</v>
      </c>
      <c r="OQ74" s="406">
        <f t="shared" si="67"/>
        <v>0</v>
      </c>
      <c r="OR74" s="406"/>
      <c r="OS74" s="406"/>
      <c r="OT74" s="406">
        <f t="shared" si="68"/>
        <v>0</v>
      </c>
      <c r="OU74" s="406"/>
      <c r="OV74" s="406"/>
      <c r="OW74" s="406">
        <f t="shared" si="76"/>
        <v>0</v>
      </c>
      <c r="OX74" s="406">
        <f t="shared" si="69"/>
        <v>0</v>
      </c>
      <c r="OY74" s="406">
        <f t="shared" si="69"/>
        <v>0</v>
      </c>
      <c r="OZ74" s="406">
        <f t="shared" si="69"/>
        <v>0</v>
      </c>
      <c r="PA74" s="406">
        <f t="shared" si="69"/>
        <v>0</v>
      </c>
      <c r="PB74" s="413">
        <f t="shared" si="69"/>
        <v>0</v>
      </c>
      <c r="PC74" s="413">
        <f t="shared" si="69"/>
        <v>0</v>
      </c>
      <c r="PD74" s="413">
        <f t="shared" si="69"/>
        <v>0</v>
      </c>
      <c r="PE74" s="413">
        <f t="shared" si="69"/>
        <v>0</v>
      </c>
      <c r="PF74" s="413">
        <f t="shared" si="69"/>
        <v>0</v>
      </c>
      <c r="PG74" s="413">
        <f t="shared" si="69"/>
        <v>0</v>
      </c>
      <c r="PH74" s="839">
        <f t="shared" si="69"/>
        <v>0</v>
      </c>
      <c r="PI74" s="1277">
        <f>IFERROR(outputs_oppsum[[#This Row],[total_stab_hr]]/$AI$80,"-")</f>
        <v>0</v>
      </c>
      <c r="PJ74" s="211" t="str">
        <f>IF(AND($GL$35=1,outputs_oppsum[[#This Row],[tverrslag_status]]&lt;&gt;1),$GR$67,$GK$11)</f>
        <v>Ikke relevant</v>
      </c>
      <c r="PK74" s="211">
        <f>IFERROR(outputs_oppsum[[#This Row],[prosjekt_forbe]]*$AI$80,0)</f>
        <v>0</v>
      </c>
      <c r="PL74" s="212" t="b">
        <f t="shared" si="70"/>
        <v>0</v>
      </c>
      <c r="PM74" s="212" t="b">
        <f t="shared" si="71"/>
        <v>0</v>
      </c>
      <c r="PN74" s="212" t="b">
        <f t="shared" si="72"/>
        <v>0</v>
      </c>
      <c r="PO74" s="424" t="str">
        <f t="shared" si="73"/>
        <v>Ikke relevant</v>
      </c>
      <c r="PP74" s="431">
        <f>outputs_oppsum[[#This Row],[Forberedende]]*$AI$80</f>
        <v>0</v>
      </c>
      <c r="PQ74" s="431">
        <f>outputs_oppsum[[#This Row],[Portaler]]*$AI$80</f>
        <v>0</v>
      </c>
      <c r="PR74" s="431">
        <f>outputs_oppsum[[#This Row],[Andrearbeider]]*$AI$80</f>
        <v>0</v>
      </c>
      <c r="PS74" s="431">
        <f>IFERROR(outputs_oppsum[[#This Row],[total_forbe]]*$AI$80,0)</f>
        <v>0</v>
      </c>
      <c r="PT74" s="431" t="e">
        <f t="shared" si="77"/>
        <v>#VALUE!</v>
      </c>
      <c r="PU74" s="845">
        <f>IFERROR(outputs_oppsum[[#This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4" s="1656">
        <f>IFERROR(outputs_oppsum[[#This Row],[oppsum_drivetid_hr]]/$AI$80,"-")</f>
        <v>0</v>
      </c>
      <c r="PW74" s="1660"/>
      <c r="PX74" s="1658">
        <f>INDEX(tverr_connection_2[81],MATCH($BC$28,tverr_connection_2[config],0))</f>
        <v>0</v>
      </c>
      <c r="PY74" s="1662" t="str">
        <f>IF(outputs_oppsum[[#This Row],[tverrslag_status]]=0,$HI$54,IF(outputs_oppsum[[#This Row],[tverrslag_status]]=1,$HI$55,"-"))</f>
        <v>Ikke påvirket</v>
      </c>
      <c r="PZ74" s="1663" t="str">
        <f>IFERROR(INDEX(outputs_tverrslag[Tverrslag construction time],MATCH(outputs_oppsum[[#This Row],[stuff_navn]],outputs_tverrslag[name],0)),"-")</f>
        <v>-</v>
      </c>
      <c r="QA74" s="1658" t="str">
        <f>IF(outputs_oppsum[[#This Row],[tverrslag_status_oppsum]]=$HI$55,$PU$84,"-")</f>
        <v>-</v>
      </c>
      <c r="QB74" s="1662" t="str">
        <f>IF(outputs_oppsum[[#This Row],[tverrslag_status_oppsum]]=$HI$55,$HI$66,"-")</f>
        <v>-</v>
      </c>
      <c r="QC74" s="1662" t="str">
        <f>IF(outputs_oppsum[[#This Row],[tverrslag_status_oppsum]]=$HI$55,$HJ$14,"-")</f>
        <v>-</v>
      </c>
      <c r="QD74" s="1668" t="str">
        <f>IFERROR(INDEX(outputs_tverrslag[forsink_perstuff_uker],MATCH(outputs_oppsum[[#This Row],[stuff_navn]],outputs_tverrslag[name],0)),"-")</f>
        <v>-</v>
      </c>
      <c r="QE74" s="843" t="str">
        <f>IFERROR(INDEX(outputs_tverrslag[forsink_total_uker],MATCH(outputs_oppsum[[#This Row],[stuff_navn]],outputs_tverrslag[name],0)),"-")</f>
        <v>-</v>
      </c>
      <c r="QF74" s="843" t="str">
        <f>IFERROR(INDEX(outputs_tverrslag[Kryssområdet_hr],MATCH(outputs_oppsum[[#This Row],[stuff_navn]],outputs_tverrslag[name],0)),"-")</f>
        <v>-</v>
      </c>
      <c r="QG74" s="843" t="str">
        <f>IFERROR(INDEX(outputs_tverrslag[forsink_total_hr],MATCH(outputs_oppsum[[#This Row],[stuff_navn]],outputs_tverrslag[name],0)),"-")</f>
        <v>-</v>
      </c>
      <c r="QH74" s="334">
        <f>SUMIF(outputs_oppsum[[#This Row],[kryssområdet_forberedende_hr2]:[extra_forsink_etter_tverrslag_total_hr]],"&lt;&gt;-")+SUMIF(outputs_oppsum[[#This Row],[tverrslag_tid]],"&lt;&gt;-")</f>
        <v>0</v>
      </c>
      <c r="QI74" s="334" t="str">
        <f>IF(OR(outputs_oppsum[[#This Row],[tverrslag_status_oppsum]]=$HI$55,outputs_oppsum[[#This Row],[tverrslag_status_oppsum]]=$I$90),$GR$67,"-")</f>
        <v>-</v>
      </c>
      <c r="QJ74" s="334">
        <f>IFERROR(outputs_oppsum[[#This Row],[extra_tverrslag_prosjekt_forarb_uke]]*$AI$80,0)</f>
        <v>0</v>
      </c>
      <c r="QK74" s="334" t="str">
        <f>IF(outputs_oppsum[[#This Row],[tverrslag_status_oppsum]]=$HI$55,$PO$75,"-")</f>
        <v>-</v>
      </c>
      <c r="QL74" s="1827">
        <f>IFERROR(outputs_oppsum[[#This Row],[extra_tverrslag_forarb_uke]]*$AI$80,0)</f>
        <v>0</v>
      </c>
      <c r="QM74" s="334" t="str">
        <f>IF(outputs_oppsum[[#This Row],[tverrslag_status_oppsum]]=$HI$55,$RA$75,"-")</f>
        <v>-</v>
      </c>
      <c r="QN74" s="1827">
        <f>IFERROR(outputs_oppsum[[#This Row],[extra_tverrslag_just_uke]]*$AI$80,0)</f>
        <v>0</v>
      </c>
      <c r="QO74" s="211" t="str">
        <f>IF(outputs_oppsum[[#This Row],[tverrslag_status_oppsum]]=$HI$55,$GK$96,"-")</f>
        <v>-</v>
      </c>
      <c r="QP74" s="1828">
        <f>IFERROR(outputs_oppsum[[#This Row],[tverrslag_forsinkt_uke]]*$AI$80,0)</f>
        <v>0</v>
      </c>
      <c r="QQ74"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4" s="1809">
        <f>IFERROR(IF(outputs_oppsum[[#This Row],[tverrslag_status_oppsum]]=$I$90,outputs_oppsum[[#This Row],[kryssområdet_forberedende_hr]],IF(outputs_oppsum[[#This Row],[tverrslag_status]]=1,outputs_oppsum[[#This Row],[tverrslag_total_hr]],0)),0)</f>
        <v>0</v>
      </c>
      <c r="QS74" s="1666" t="e">
        <f>INDEX(outputs_just[general_tid],MATCH(outputs_oppsum[[#This Row],[stuff_navn]],outputs_just[Navn],0))</f>
        <v>#N/A</v>
      </c>
      <c r="QT74" s="1666" t="e">
        <f>INDEX(outputs_just[geo_tid],MATCH(outputs_oppsum[[#This Row],[stuff_navn]],outputs_just[Navn],0))</f>
        <v>#N/A</v>
      </c>
      <c r="QU74" s="1666" t="e">
        <f>INDEX(outputs_just[stig_tid],MATCH(outputs_oppsum[[#This Row],[stuff_navn]],outputs_just[Navn],0))</f>
        <v>#N/A</v>
      </c>
      <c r="QV74" s="1666" t="e">
        <f>INDEX(outputs_just[arb_tid],MATCH(outputs_oppsum[[#This Row],[stuff_navn]],outputs_just[Navn],0))</f>
        <v>#N/A</v>
      </c>
      <c r="QW74" s="1666" t="e">
        <f>INDEX(outputs_just[spreng_tid],MATCH(outputs_oppsum[[#This Row],[stuff_navn]],outputs_just[Navn],0))</f>
        <v>#N/A</v>
      </c>
      <c r="QX74" s="1666" t="e">
        <f>INDEX(outputs_just[skyte_tid],MATCH(outputs_oppsum[[#This Row],[stuff_navn]],outputs_just[Navn],0))</f>
        <v>#N/A</v>
      </c>
      <c r="QY74" s="1666" t="e">
        <f>INDEX(outputs_just[støy_tid],MATCH(outputs_oppsum[[#This Row],[stuff_navn]],outputs_just[Navn],0))</f>
        <v>#N/A</v>
      </c>
      <c r="QZ74" s="1666" t="e">
        <f>INDEX(outputs_just[ann_tid],MATCH(outputs_oppsum[[#This Row],[stuff_navn]],outputs_just[Navn],0))</f>
        <v>#N/A</v>
      </c>
      <c r="RA74" s="1666" t="e">
        <f>SUM(outputs_oppsum[[#This Row],[just_generell]:[just_ann]])</f>
        <v>#N/A</v>
      </c>
      <c r="RB74" s="1666" t="e">
        <f>outputs_oppsum[[#This Row],[just_total_uke]]*$AI$80</f>
        <v>#N/A</v>
      </c>
      <c r="RC74" s="211">
        <f>INDEX(inputs_forsinket[tid_uke],MATCH(outputs_oppsum[[#This Row],[stuff_navn]],inputs_forsinket[name],0))</f>
        <v>0</v>
      </c>
      <c r="RD74" s="1805">
        <f>outputs_oppsum[[#This Row],[forsinket_uke]]*$AI$80</f>
        <v>0</v>
      </c>
      <c r="RE74" s="234">
        <f>LR38</f>
        <v>1</v>
      </c>
      <c r="RF74" s="211" t="str">
        <f>IF(RE74=1,_List!$AW$7,IF(RE74=2,_List!$AW$8,""))</f>
        <v>Enstuffs drift</v>
      </c>
      <c r="RG74" s="431" t="str">
        <f>IF(outputs_oppsum[[#This Row],[kon_metod_no]]=2,INDEX(framdriftfaktor[stab-foran_spreng_ratio],MATCH(outputs_oppsum[[#This Row],[stuff_id]],framdriftfaktor[stuff_id],0)),"-")</f>
        <v>-</v>
      </c>
      <c r="RH74" s="5269">
        <f>IF(outputs_oppsum[[#This Row],[kon_metod_no]]=2,INDEX(framdriftfaktor[beregnet_faktor_final],MATCH(outputs_oppsum[[#This Row],[stuff_id]],framdriftfaktor[stuff_id],0)),1)</f>
        <v>1</v>
      </c>
      <c r="RI74" s="5269" t="str">
        <f>IF(outputs_oppsum[[#This Row],[kon_metod]]=_List!$AW$8,INDEX(outputs_just[vek_faktor_bruker_definert_status],MATCH(outputs_oppsum[[#This Row],[stuff_navn]],outputs_just[Navn],0)),"")</f>
        <v/>
      </c>
      <c r="RJ74" s="5269" t="e">
        <f>IF(AND(outputs_oppsum[[#This Row],[kon_metod_no]]&lt;&gt;1,LP128=FALSE),LO128,"-")</f>
        <v>#N/A</v>
      </c>
      <c r="RK74" s="5269">
        <f>IF(AND(outputs_oppsum[[#This Row],[kon_metod_no]]=2,outputs_oppsum[[#This Row],[tverrslag_status_oppsum]]&lt;&gt;$I$90,outputs_oppsum[[#This Row],[faktor_bruker_definert]]=FALSE),outputs_oppsum[[#This Row],[faktor_user]],outputs_oppsum[[#This Row],[faktor_beregnet]])</f>
        <v>1</v>
      </c>
      <c r="RL74" s="1807">
        <f>IFERROR((outputs_oppsum[[#This Row],[faktor_final]]-1)*outputs_oppsum[[#This Row],[oppsum_drivetid_hr]]*outputs_oppsum[[#This Row],[veksel_prosent]],"-")</f>
        <v>0</v>
      </c>
      <c r="RM74" s="1807" t="str">
        <f>IF(outputs_oppsum[[#This Row],[kon_metod_no]]=2,outputs_oppsum[[#This Row],[ekstra_framdrift_tid_oppsum_hr]]/$AI$80,"-")</f>
        <v>-</v>
      </c>
      <c r="RN74" s="431" t="str">
        <f>IF(outputs_oppsum[[#This Row],[kon_metod_no]]=2,outputs_oppsum[[#This Row],[ekstra_drivetid_pga_faktor]],"-")</f>
        <v>-</v>
      </c>
      <c r="RO74" s="431">
        <f>IFERROR(outputs_oppsum[[#This Row],[oppsum_drivetid_hr]]+outputs_oppsum[[#This Row],[ekstra_drivetid_pga_faktor]],"-")</f>
        <v>0</v>
      </c>
      <c r="RP74"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4" s="5276">
        <f>IF(outputs_oppsum[[#This Row],[enstuff_prosent_input]]&gt;1,1,outputs_oppsum[[#This Row],[enstuff_prosent_input]])</f>
        <v>1</v>
      </c>
      <c r="RR74"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4" s="431"/>
      <c r="RT74" s="431"/>
      <c r="RU74" s="431"/>
      <c r="RV74" s="431"/>
      <c r="RW74" s="431" t="str">
        <f>IFERROR(outputs_oppsum[[#This Row],[drivetid_with_faktor]]+outputs_oppsum[[#This Row],[prosjekt_forbe_hr]]+outputs_oppsum[[#This Row],[total_forbe_hr]]+outputs_oppsum[[#This Row],[extra_for_tverrslag_sum]]+outputs_oppsum[[#This Row],[just_total_hr]]+outputs_oppsum[[#This Row],[forsinket_hr]],"!")</f>
        <v>!</v>
      </c>
      <c r="RX74" s="431" t="str">
        <f>IFERROR(outputs_oppsum[[#This Row],[oppsum_total_hr]]/$AI$80,"!")</f>
        <v>!</v>
      </c>
      <c r="RY74" s="431" t="str">
        <f>IF(MAX($RX$67:$RX$75)=outputs_oppsum[[#This Row],[oppsum_total_uke]],MAX($RX$67:$RX$75),"-")</f>
        <v>-</v>
      </c>
      <c r="RZ74" s="431" t="str">
        <f>IF(AND(ISNUMBER(outputs_oppsum[[#This Row],[Criticalstuff]]),$BC$34&lt;&gt;1,outputs_oppsum[[#This Row],[Criticalstuff]]&gt;0),$RZ$63,"")</f>
        <v/>
      </c>
      <c r="SA74" s="837"/>
      <c r="SB74" s="837"/>
      <c r="SC74" s="837"/>
      <c r="SD74" s="837"/>
      <c r="SE74" s="3521"/>
      <c r="SF74" s="3521"/>
      <c r="SG74" s="2617"/>
      <c r="SH74" s="3886"/>
      <c r="SI74" s="3886"/>
      <c r="SJ74" s="3886"/>
      <c r="SK74" s="3886"/>
      <c r="SL74" s="3886"/>
      <c r="SR74" s="2617"/>
      <c r="SS74" s="2617"/>
      <c r="ST74" s="2617"/>
      <c r="SU74" s="2617"/>
      <c r="SV74" s="2617"/>
      <c r="SW74" s="2617"/>
      <c r="SX74" s="2617"/>
      <c r="SY74" s="2617"/>
      <c r="SZ74" s="2617"/>
      <c r="TA74" s="2617"/>
      <c r="TB74" s="2617"/>
      <c r="TC74" s="2617"/>
      <c r="TD74" s="2617"/>
      <c r="TR74" s="183"/>
      <c r="TW74" s="181"/>
      <c r="TX74" s="183"/>
      <c r="TY74" s="183"/>
      <c r="TZ74" s="183"/>
      <c r="UA74" s="183"/>
      <c r="UC74" s="181"/>
      <c r="UD74" s="181"/>
      <c r="UE74" s="181"/>
      <c r="UF74" s="181"/>
      <c r="UK74" s="183"/>
      <c r="UL74" s="183"/>
      <c r="UM74" s="183"/>
      <c r="UN74" s="183"/>
      <c r="UO74" s="183"/>
      <c r="UQ74" s="184"/>
      <c r="US74" s="183"/>
      <c r="UT74" s="183"/>
      <c r="UU74" s="2617"/>
      <c r="UV74" s="2617"/>
      <c r="UW74" s="2617"/>
      <c r="UX74" s="2617"/>
      <c r="UY74" s="2617"/>
      <c r="UZ74" s="2617"/>
      <c r="VA74" s="2617"/>
      <c r="VB74" s="2617"/>
      <c r="VC74" s="2617"/>
      <c r="VD74" s="2617"/>
      <c r="VE74" s="2617"/>
      <c r="VF74"/>
      <c r="VG74" s="2617"/>
      <c r="VH74" s="2617"/>
      <c r="VI74" s="2617"/>
      <c r="VJ74" s="2617"/>
      <c r="VK74" s="2617"/>
      <c r="VL74" s="2617"/>
      <c r="VM74" s="2617"/>
      <c r="VN74" s="2617"/>
      <c r="VO74" s="2617"/>
      <c r="VP74" s="2617"/>
      <c r="VQ74" s="2617"/>
      <c r="VR74" s="2617"/>
      <c r="VS74" s="2617"/>
      <c r="VT74" s="2617"/>
      <c r="VU74" s="2617"/>
      <c r="VV74" s="2617"/>
      <c r="VW74" s="2617"/>
      <c r="VX74" s="2617"/>
      <c r="VY74" s="2617"/>
      <c r="VZ74" s="2617"/>
      <c r="WA74" s="2617"/>
      <c r="WB74" s="2617"/>
      <c r="WC74" s="2617"/>
      <c r="WD74" s="2617"/>
      <c r="WE74" s="2617"/>
      <c r="WF74" s="2617"/>
      <c r="WG74" s="2617"/>
      <c r="WH74" s="2617"/>
      <c r="WI74" s="2617"/>
      <c r="WJ74" s="2617"/>
      <c r="WK74" s="2617"/>
      <c r="WL74" s="2617"/>
      <c r="WM74" s="2617"/>
      <c r="WN74" s="2617"/>
      <c r="WO74" s="2617"/>
      <c r="WP74" s="2617"/>
      <c r="WQ74" s="2617"/>
      <c r="WR74" s="2617"/>
      <c r="WS74" s="2617"/>
      <c r="WT74" s="2617"/>
      <c r="WU74" s="2617"/>
      <c r="WV74" s="2617"/>
      <c r="WW74" s="2617"/>
      <c r="WX74" s="2617"/>
      <c r="WY74" s="265"/>
      <c r="WZ74" s="265"/>
      <c r="XA74" s="265"/>
      <c r="XB74" s="265"/>
      <c r="XC74" s="265"/>
      <c r="XD74" s="265"/>
      <c r="XE74" s="265"/>
      <c r="XF74" s="265"/>
      <c r="XG74" s="265"/>
      <c r="XH74" s="265"/>
      <c r="XI74" s="265"/>
      <c r="XJ74" s="265"/>
      <c r="XK74" s="265"/>
      <c r="XL74" s="265"/>
      <c r="XM74" s="265"/>
      <c r="XN74" s="265"/>
      <c r="XO74" s="265"/>
      <c r="XP74" s="265"/>
      <c r="XQ74" s="265"/>
      <c r="XR74" s="265"/>
      <c r="XS74" s="265"/>
      <c r="XT74" s="265"/>
      <c r="XU74" s="265"/>
    </row>
    <row r="75" spans="9:645" ht="15" thickBot="1" x14ac:dyDescent="0.25">
      <c r="I75" s="5565" t="s">
        <v>115</v>
      </c>
      <c r="J75" s="372" t="s">
        <v>2398</v>
      </c>
      <c r="K75" s="185" t="s">
        <v>2677</v>
      </c>
      <c r="L75" s="185"/>
      <c r="M75" s="185"/>
      <c r="N75" s="185"/>
      <c r="O75" s="185"/>
      <c r="AH75" s="185" t="s">
        <v>419</v>
      </c>
      <c r="AI75" s="185" t="s">
        <v>420</v>
      </c>
      <c r="AJ75" s="241">
        <f t="shared" ref="AJ75:AR75" si="79">AJ74/$AI$80</f>
        <v>0</v>
      </c>
      <c r="AK75" s="241">
        <f t="shared" si="79"/>
        <v>0</v>
      </c>
      <c r="AL75" s="241">
        <f t="shared" si="79"/>
        <v>0</v>
      </c>
      <c r="AM75" s="241">
        <f t="shared" si="79"/>
        <v>0</v>
      </c>
      <c r="AN75" s="241">
        <f t="shared" si="79"/>
        <v>0</v>
      </c>
      <c r="AO75" s="241">
        <f t="shared" si="79"/>
        <v>0</v>
      </c>
      <c r="AP75" s="241">
        <f t="shared" si="79"/>
        <v>0</v>
      </c>
      <c r="AQ75" s="241">
        <f t="shared" si="79"/>
        <v>0</v>
      </c>
      <c r="AR75" s="241">
        <f t="shared" si="79"/>
        <v>0</v>
      </c>
      <c r="AT75" s="2617"/>
      <c r="AU75" s="2617"/>
      <c r="AV75" s="2617"/>
      <c r="BB75" s="283" t="s">
        <v>328</v>
      </c>
      <c r="EM75" s="210"/>
      <c r="EN75" s="210"/>
      <c r="ER75" s="439" t="str">
        <f>$QO$135</f>
        <v>Stuff 1-1</v>
      </c>
      <c r="ES75" s="188">
        <f>IF($BC$38=1,0,IF($BC$38=2,1,0))</f>
        <v>1</v>
      </c>
      <c r="ET75" s="185">
        <f>IF($BC$34&gt;0,1,0)</f>
        <v>1</v>
      </c>
      <c r="EU75" s="194">
        <f>IF($BC$38=2,INDEX(outputs_position[11],MATCH($BC$35,outputs_position[lopstuff],0)),0)</f>
        <v>1</v>
      </c>
      <c r="EV75" s="473" t="str">
        <f>ER75</f>
        <v>Stuff 1-1</v>
      </c>
      <c r="EW75" s="238">
        <f>IFERROR(INDEX(inputs_stab[Manuell],MATCH($EU75,inputs_stab[Position],0)),0)</f>
        <v>0</v>
      </c>
      <c r="EX75" s="185">
        <f>IFERROR(INDEX(inputs_stab[lt4m],MATCH($EU75,inputs_stab[Position],0)),0)</f>
        <v>0</v>
      </c>
      <c r="EY75" s="185">
        <f>IFERROR(INDEX(inputs_stab[gt4m],MATCH($EU75,inputs_stab[Position],0)),0)</f>
        <v>0</v>
      </c>
      <c r="EZ75" s="185">
        <f>IFERROR(INDEX(inputs_stab[band],MATCH($EU75,inputs_stab[Position],0)),0)</f>
        <v>0</v>
      </c>
      <c r="FA75" s="185">
        <f>IFERROR(INDEX(inputs_stab[net],MATCH($EU75,inputs_stab[Position],0)),0)</f>
        <v>0</v>
      </c>
      <c r="FB75" s="185">
        <f>IFERROR(INDEX(inputs_stab[shotcrete],MATCH($EU75,inputs_stab[Position],0)),0)</f>
        <v>0</v>
      </c>
      <c r="FC75" s="185">
        <f>IFERROR(INDEX(inputs_stab[buer],MATCH($EU75,inputs_stab[Position],0)),0)</f>
        <v>0</v>
      </c>
      <c r="FD75" s="185">
        <f>IFERROR(INDEX(inputs_stab[sik_12],MATCH($EU75,inputs_stab[Position],0)),0)</f>
        <v>0</v>
      </c>
      <c r="FE75" s="193">
        <f>IFERROR(INDEX(inputs_stab[sik_3],MATCH($EU75,inputs_stab[Position],0)),0)</f>
        <v>0</v>
      </c>
      <c r="FF75" s="193">
        <f>IFERROR(INDEX(inputs_stab[kartlegging],MATCH($EU75,inputs_stab[Position],0)),0)</f>
        <v>0</v>
      </c>
      <c r="FG75" s="185">
        <f>IFERROR(INDEX(inputs_stab[festebolter],MATCH($EU75,inputs_stab[Position],0)),0)</f>
        <v>0</v>
      </c>
      <c r="FM75" s="2617"/>
      <c r="FN75" s="2617"/>
      <c r="GH75" s="414"/>
      <c r="GJ75" s="340" t="str">
        <f>$NO$74</f>
        <v>Stuff 2-4</v>
      </c>
      <c r="GK75" s="185">
        <v>8</v>
      </c>
      <c r="GL75" s="185">
        <f>IF($BC$34&gt;7,1,0)</f>
        <v>0</v>
      </c>
      <c r="GM75" s="221">
        <f t="shared" si="74"/>
        <v>0</v>
      </c>
      <c r="GN75" s="438" t="str">
        <f t="shared" si="75"/>
        <v>Stuff 2-4</v>
      </c>
      <c r="GO75" s="261" t="b">
        <f>IF(GL43=1,INDEX(inputs_forbe[Forberedende],MATCH(GM75,inputs_forbe[Position],0)))</f>
        <v>0</v>
      </c>
      <c r="GP75" s="261" t="b">
        <f>IF(GL43=1,INDEX(inputs_forbe[Portaler],MATCH(outputs_forbe[[#This Row],[Position]],inputs_forbe[Position],0)))</f>
        <v>0</v>
      </c>
      <c r="GQ75" s="211" t="b">
        <f>IF(GL43=1,INDEX(inputs_forbe[Andrearbeider],MATCH(outputs_forbe[[#This Row],[Position]],inputs_forbe[Position],0)))</f>
        <v>0</v>
      </c>
      <c r="GR75" s="241" t="str">
        <f>IF(GL43=1,SUM(outputs_forbe[[#This Row],[Forberedende]:[Andrearbeider]]),$GK$11)</f>
        <v>Ikke relevant</v>
      </c>
      <c r="GS75" s="2617"/>
      <c r="GT75" s="2617"/>
      <c r="GU75" s="2617"/>
      <c r="GV75" s="2617"/>
      <c r="GW75" s="2617"/>
      <c r="GX75" s="2617"/>
      <c r="GY75" s="2617"/>
      <c r="GZ75" s="2617"/>
      <c r="HA75" s="2617"/>
      <c r="HB75" s="2617"/>
      <c r="HC75" s="2617"/>
      <c r="HH75" s="3695" t="s">
        <v>474</v>
      </c>
      <c r="HI75" s="3695"/>
      <c r="HJ75" s="3695"/>
      <c r="HK75" s="3695"/>
      <c r="IQ75" s="2617"/>
      <c r="IR75" s="2617"/>
      <c r="IS75" s="2617"/>
      <c r="IT75" s="2617"/>
      <c r="IU75" s="2617"/>
      <c r="IV75" s="2617"/>
      <c r="IW75" s="2617"/>
      <c r="IX75" s="2617"/>
      <c r="IY75" s="2617"/>
      <c r="IZ75" s="2617"/>
      <c r="JA75" s="2617"/>
      <c r="JB75" s="2617"/>
      <c r="JC75" s="2617"/>
      <c r="JD75" s="2617"/>
      <c r="JE75" s="2617"/>
      <c r="JF75" s="2617"/>
      <c r="JG75" s="2617"/>
      <c r="JH75" s="2617"/>
      <c r="JI75" s="2617"/>
      <c r="JJ75" s="2617"/>
      <c r="JK75" s="2617"/>
      <c r="JL75" s="2617"/>
      <c r="JM75" s="2617"/>
      <c r="JN75" s="2617"/>
      <c r="JO75" s="2617"/>
      <c r="LX75" s="5268"/>
      <c r="NI75" s="1567"/>
      <c r="NN75" s="479">
        <v>91</v>
      </c>
      <c r="NO75" s="480" t="str">
        <f>$QW$135</f>
        <v>Tverrslag</v>
      </c>
      <c r="NP75" s="483">
        <f>NP84</f>
        <v>0</v>
      </c>
      <c r="NQ75" s="483">
        <f t="shared" ref="NQ75:PA75" si="80">NQ84</f>
        <v>0</v>
      </c>
      <c r="NR75" s="483">
        <f t="shared" si="80"/>
        <v>0</v>
      </c>
      <c r="NS75" s="483">
        <f t="shared" si="80"/>
        <v>0</v>
      </c>
      <c r="NT75" s="483">
        <f t="shared" si="80"/>
        <v>0</v>
      </c>
      <c r="NU75" s="483">
        <f t="shared" si="80"/>
        <v>0</v>
      </c>
      <c r="NV75" s="483">
        <f t="shared" si="80"/>
        <v>0</v>
      </c>
      <c r="NW75" s="483">
        <f t="shared" si="80"/>
        <v>0</v>
      </c>
      <c r="NX75" s="483">
        <f t="shared" si="80"/>
        <v>0</v>
      </c>
      <c r="NY75" s="483">
        <f t="shared" si="80"/>
        <v>0</v>
      </c>
      <c r="NZ75" s="483">
        <f t="shared" si="80"/>
        <v>0</v>
      </c>
      <c r="OA75" s="483">
        <f t="shared" si="80"/>
        <v>0</v>
      </c>
      <c r="OB75" s="483">
        <f t="shared" si="80"/>
        <v>0</v>
      </c>
      <c r="OC75" s="483">
        <f t="shared" si="80"/>
        <v>0</v>
      </c>
      <c r="OD75" s="483">
        <f t="shared" si="80"/>
        <v>0</v>
      </c>
      <c r="OE75" s="483">
        <f t="shared" si="80"/>
        <v>0</v>
      </c>
      <c r="OF75" s="483">
        <f t="shared" si="80"/>
        <v>0</v>
      </c>
      <c r="OG75" s="483">
        <f t="shared" si="80"/>
        <v>0</v>
      </c>
      <c r="OH75" s="483">
        <f t="shared" si="80"/>
        <v>0</v>
      </c>
      <c r="OI75" s="483">
        <f t="shared" si="80"/>
        <v>0</v>
      </c>
      <c r="OJ75" s="483">
        <f t="shared" si="80"/>
        <v>0</v>
      </c>
      <c r="OK75" s="483">
        <f t="shared" si="80"/>
        <v>0</v>
      </c>
      <c r="OL75" s="483">
        <f t="shared" si="80"/>
        <v>0</v>
      </c>
      <c r="OM75" s="483">
        <f t="shared" si="80"/>
        <v>0</v>
      </c>
      <c r="ON75" s="483">
        <f>ON84</f>
        <v>0</v>
      </c>
      <c r="OO75" s="483">
        <f t="shared" si="80"/>
        <v>0</v>
      </c>
      <c r="OP75" s="483">
        <f t="shared" si="80"/>
        <v>0</v>
      </c>
      <c r="OQ75" s="483">
        <f t="shared" si="80"/>
        <v>0</v>
      </c>
      <c r="OR75" s="483"/>
      <c r="OS75" s="483"/>
      <c r="OT75" s="483">
        <f t="shared" si="80"/>
        <v>0</v>
      </c>
      <c r="OU75" s="483"/>
      <c r="OV75" s="483"/>
      <c r="OW75" s="483">
        <f>$OW$84</f>
        <v>0</v>
      </c>
      <c r="OX75" s="483">
        <f t="shared" si="80"/>
        <v>0</v>
      </c>
      <c r="OY75" s="483">
        <f t="shared" si="80"/>
        <v>0</v>
      </c>
      <c r="OZ75" s="483">
        <f t="shared" si="80"/>
        <v>0</v>
      </c>
      <c r="PA75" s="483">
        <f t="shared" si="80"/>
        <v>0</v>
      </c>
      <c r="PB75" s="485">
        <f t="shared" ref="PB75:PH75" si="81">PB84</f>
        <v>0</v>
      </c>
      <c r="PC75" s="485">
        <f t="shared" si="81"/>
        <v>0</v>
      </c>
      <c r="PD75" s="485">
        <f t="shared" si="81"/>
        <v>0</v>
      </c>
      <c r="PE75" s="485">
        <f t="shared" si="81"/>
        <v>0</v>
      </c>
      <c r="PF75" s="485">
        <f t="shared" si="81"/>
        <v>0</v>
      </c>
      <c r="PG75" s="485">
        <f t="shared" si="81"/>
        <v>0</v>
      </c>
      <c r="PH75" s="840">
        <f t="shared" si="81"/>
        <v>0</v>
      </c>
      <c r="PI75" s="1277">
        <f>outputs_oppsum[[#This Row],[total_stab_hr]]/$AI$80</f>
        <v>0</v>
      </c>
      <c r="PJ75" s="211" t="str">
        <f>IF(AND($GL$35=1,outputs_oppsum[[#This Row],[tverrslag_status]]&lt;&gt;1),$GR$67,$GK$11)</f>
        <v>Ikke relevant</v>
      </c>
      <c r="PK75" s="211">
        <f>IFERROR(outputs_oppsum[[#This Row],[prosjekt_forbe]]*$AI$80,0)</f>
        <v>0</v>
      </c>
      <c r="PL75" s="481" t="b">
        <f t="shared" si="70"/>
        <v>0</v>
      </c>
      <c r="PM75" s="481" t="b">
        <f t="shared" si="71"/>
        <v>0</v>
      </c>
      <c r="PN75" s="481" t="b">
        <f t="shared" si="72"/>
        <v>0</v>
      </c>
      <c r="PO75" s="482" t="str">
        <f t="shared" si="73"/>
        <v>Ikke relevant</v>
      </c>
      <c r="PP75" s="483">
        <f>outputs_oppsum[[#This Row],[Forberedende]]*$AI$80</f>
        <v>0</v>
      </c>
      <c r="PQ75" s="483">
        <f>outputs_oppsum[[#This Row],[Portaler]]*$AI$80</f>
        <v>0</v>
      </c>
      <c r="PR75" s="483">
        <f>outputs_oppsum[[#This Row],[Andrearbeider]]*$AI$80</f>
        <v>0</v>
      </c>
      <c r="PS75" s="431">
        <f>IFERROR(outputs_oppsum[[#This Row],[total_forbe]]*$AI$80,0)</f>
        <v>0</v>
      </c>
      <c r="PT75" s="431" t="e">
        <f t="shared" si="77"/>
        <v>#VALUE!</v>
      </c>
      <c r="PU75" s="1819">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5" s="1820">
        <f>outputs_oppsum[[#This Row],[oppsum_drivetid_hr]]/$AI$80</f>
        <v>0</v>
      </c>
      <c r="PW75" s="1660"/>
      <c r="PX75" s="1821">
        <f>INDEX(tverr_connection_2[91],MATCH($BC$28,tverr_connection_2[config],0))</f>
        <v>0</v>
      </c>
      <c r="PY75" s="1822" t="str">
        <f>$I$90</f>
        <v>Tverrslaget</v>
      </c>
      <c r="PZ75" s="1664" t="str">
        <f>IFERROR(INDEX(outputs_tverrslag[Tverrslag construction time],MATCH(outputs_oppsum[[#This Row],[stuff_navn]],outputs_tverrslag[name],0)),"-")</f>
        <v>-</v>
      </c>
      <c r="QA75" s="1821">
        <f>$PU$84</f>
        <v>0</v>
      </c>
      <c r="QB75" s="1822">
        <f>$HI$66</f>
        <v>0</v>
      </c>
      <c r="QC75" s="1822">
        <f>$HJ$14</f>
        <v>0</v>
      </c>
      <c r="QD75" s="1823" t="str">
        <f>IFERROR(INDEX(outputs_tverrslag[forsink_perstuff_uker],MATCH(outputs_oppsum[[#This Row],[stuff_navn]],outputs_tverrslag[name],0)),"-")</f>
        <v>-</v>
      </c>
      <c r="QE75" s="1808" t="str">
        <f>IFERROR(INDEX(outputs_tverrslag[forsink_total_uker],MATCH(outputs_oppsum[[#This Row],[stuff_navn]],outputs_tverrslag[name],0)),"-")</f>
        <v>-</v>
      </c>
      <c r="QF75" s="1808" t="str">
        <f>IFERROR(INDEX(outputs_tverrslag[Kryssområdet_hr],MATCH(outputs_oppsum[[#This Row],[stuff_navn]],outputs_tverrslag[name],0)),"-")</f>
        <v>-</v>
      </c>
      <c r="QG75" s="1808" t="str">
        <f>IFERROR(INDEX(outputs_tverrslag[forsink_total_hr],MATCH(outputs_oppsum[[#This Row],[stuff_navn]],outputs_tverrslag[name],0)),"-")</f>
        <v>-</v>
      </c>
      <c r="QH75" s="1824">
        <f>SUMIF(outputs_oppsum[[#This Row],[kryssområdet_forberedende_hr2]:[extra_forsink_etter_tverrslag_total_hr]],"&lt;&gt;-")+SUMIF(outputs_oppsum[[#This Row],[tverrslag_tid]],"&lt;&gt;-")</f>
        <v>0</v>
      </c>
      <c r="QI75" s="334" t="str">
        <f>IF(OR(outputs_oppsum[[#This Row],[tverrslag_status_oppsum]]=$HI$55,outputs_oppsum[[#This Row],[tverrslag_status_oppsum]]=$I$90),$GR$67,"-")</f>
        <v>Ikke relevant</v>
      </c>
      <c r="QJ75" s="334">
        <f>IFERROR(outputs_oppsum[[#This Row],[extra_tverrslag_prosjekt_forarb_uke]]*$AI$80,0)</f>
        <v>0</v>
      </c>
      <c r="QK75" s="1824" t="str">
        <f>$PO$75</f>
        <v>Ikke relevant</v>
      </c>
      <c r="QL75" s="1827">
        <f>IFERROR(outputs_oppsum[[#This Row],[extra_tverrslag_forarb_uke]]*$AI$80,0)</f>
        <v>0</v>
      </c>
      <c r="QM75" s="1824" t="e">
        <f>$RA$75</f>
        <v>#N/A</v>
      </c>
      <c r="QN75" s="1827">
        <f>IFERROR(outputs_oppsum[[#This Row],[extra_tverrslag_just_uke]]*$AI$80,0)</f>
        <v>0</v>
      </c>
      <c r="QO75" s="483">
        <f>$GK$96</f>
        <v>0</v>
      </c>
      <c r="QP75" s="1828">
        <f>IFERROR(outputs_oppsum[[#This Row],[tverrslag_forsinkt_uke]]*$AI$80,0)</f>
        <v>0</v>
      </c>
      <c r="QQ75"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5" s="1809">
        <f>IFERROR(IF(outputs_oppsum[[#This Row],[tverrslag_status_oppsum]]=$I$90,outputs_oppsum[[#This Row],[kryssområdet_forberedende_hr]],IF(outputs_oppsum[[#This Row],[tverrslag_status]]=1,outputs_oppsum[[#This Row],[tverrslag_total_hr]],0)),0)</f>
        <v>0</v>
      </c>
      <c r="QS75" s="1666" t="e">
        <f>INDEX(outputs_just[general_tid],MATCH(outputs_oppsum[[#This Row],[stuff_navn]],outputs_just[Navn],0))</f>
        <v>#N/A</v>
      </c>
      <c r="QT75" s="1825" t="e">
        <f>INDEX(outputs_just[geo_tid],MATCH(outputs_oppsum[[#This Row],[stuff_navn]],outputs_just[Navn],0))</f>
        <v>#N/A</v>
      </c>
      <c r="QU75" s="1825" t="e">
        <f>INDEX(outputs_just[stig_tid],MATCH(outputs_oppsum[[#This Row],[stuff_navn]],outputs_just[Navn],0))</f>
        <v>#N/A</v>
      </c>
      <c r="QV75" s="1825" t="e">
        <f>INDEX(outputs_just[arb_tid],MATCH(outputs_oppsum[[#This Row],[stuff_navn]],outputs_just[Navn],0))</f>
        <v>#N/A</v>
      </c>
      <c r="QW75" s="1825" t="e">
        <f>INDEX(outputs_just[spreng_tid],MATCH(outputs_oppsum[[#This Row],[stuff_navn]],outputs_just[Navn],0))</f>
        <v>#N/A</v>
      </c>
      <c r="QX75" s="1825" t="e">
        <f>INDEX(outputs_just[skyte_tid],MATCH(outputs_oppsum[[#This Row],[stuff_navn]],outputs_just[Navn],0))</f>
        <v>#N/A</v>
      </c>
      <c r="QY75" s="1825" t="e">
        <f>INDEX(outputs_just[støy_tid],MATCH(outputs_oppsum[[#This Row],[stuff_navn]],outputs_just[Navn],0))</f>
        <v>#N/A</v>
      </c>
      <c r="QZ75" s="1825" t="e">
        <f>INDEX(outputs_just[ann_tid],MATCH(outputs_oppsum[[#This Row],[stuff_navn]],outputs_just[Navn],0))</f>
        <v>#N/A</v>
      </c>
      <c r="RA75" s="483" t="e">
        <f>SUM(outputs_oppsum[[#This Row],[just_generell]:[just_ann]])</f>
        <v>#N/A</v>
      </c>
      <c r="RB75" s="1825" t="e">
        <f>outputs_oppsum[[#This Row],[just_total_uke]]*$AI$80</f>
        <v>#N/A</v>
      </c>
      <c r="RC75" s="483">
        <f>INDEX(inputs_forsinket[tid_uke],MATCH(outputs_oppsum[[#This Row],[stuff_navn]],inputs_forsinket[name],0))</f>
        <v>0</v>
      </c>
      <c r="RD75" s="1826">
        <f>outputs_oppsum[[#This Row],[forsinket_uke]]*$AI$80</f>
        <v>0</v>
      </c>
      <c r="RE75" s="489">
        <f>LS38</f>
        <v>1</v>
      </c>
      <c r="RF75" s="483" t="str">
        <f>IF(RE75=1,_List!$AW$7,IF(RE75=2,_List!$AW$8,""))</f>
        <v>Enstuffs drift</v>
      </c>
      <c r="RG75" s="431" t="str">
        <f>IF(outputs_oppsum[[#This Row],[kon_metod_no]]=2,INDEX(framdriftfaktor[stab-foran_spreng_ratio],MATCH(outputs_oppsum[[#This Row],[stuff_id]],framdriftfaktor[stuff_id],0)),"-")</f>
        <v>-</v>
      </c>
      <c r="RH75" s="5283">
        <f>IF(outputs_oppsum[[#This Row],[kon_metod_no]]=2,INDEX(framdriftfaktor[beregnet_faktor_final],MATCH(outputs_oppsum[[#This Row],[stuff_id]],framdriftfaktor[stuff_id],0)),1)</f>
        <v>1</v>
      </c>
      <c r="RI75" s="5269" t="str">
        <f>IF(outputs_oppsum[[#This Row],[kon_metod]]=_List!$AW$8,INDEX(outputs_just[vek_faktor_bruker_definert_status],MATCH(outputs_oppsum[[#This Row],[stuff_navn]],outputs_just[Navn],0)),"")</f>
        <v/>
      </c>
      <c r="RJ75" s="5269" t="e">
        <f>IF(AND(outputs_oppsum[[#This Row],[kon_metod_no]]&lt;&gt;1,LP129=FALSE),LO129,"-")</f>
        <v>#N/A</v>
      </c>
      <c r="RK75" s="5269">
        <f>IF(AND(outputs_oppsum[[#This Row],[kon_metod_no]]=2,outputs_oppsum[[#This Row],[tverrslag_status_oppsum]]&lt;&gt;$I$90,outputs_oppsum[[#This Row],[faktor_bruker_definert]]=FALSE),outputs_oppsum[[#This Row],[faktor_user]],outputs_oppsum[[#This Row],[faktor_beregnet]])</f>
        <v>1</v>
      </c>
      <c r="RL75" s="1807">
        <f>IFERROR((outputs_oppsum[[#This Row],[faktor_final]]-1)*outputs_oppsum[[#This Row],[oppsum_drivetid_hr]]*outputs_oppsum[[#This Row],[veksel_prosent]],"-")</f>
        <v>0</v>
      </c>
      <c r="RM75" s="1807" t="str">
        <f>IF(outputs_oppsum[[#This Row],[kon_metod_no]]=2,outputs_oppsum[[#This Row],[ekstra_framdrift_tid_oppsum_hr]]/$AI$80,"-")</f>
        <v>-</v>
      </c>
      <c r="RN75" s="431" t="str">
        <f>IF(outputs_oppsum[[#This Row],[kon_metod_no]]=2,outputs_oppsum[[#This Row],[ekstra_drivetid_pga_faktor]],"-")</f>
        <v>-</v>
      </c>
      <c r="RO75" s="483">
        <f>IFERROR(outputs_oppsum[[#This Row],[oppsum_drivetid_hr]]+outputs_oppsum[[#This Row],[ekstra_drivetid_pga_faktor]],"-")</f>
        <v>0</v>
      </c>
      <c r="RP75"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5" s="5276">
        <f>IF(outputs_oppsum[[#This Row],[enstuff_prosent_input]]&gt;1,1,outputs_oppsum[[#This Row],[enstuff_prosent_input]])</f>
        <v>1</v>
      </c>
      <c r="RR75"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5" s="844"/>
      <c r="RT75" s="844"/>
      <c r="RU75" s="844"/>
      <c r="RV75" s="844"/>
      <c r="RW75" s="431" t="str">
        <f>IFERROR(outputs_oppsum[[#This Row],[drivetid_with_faktor]]+outputs_oppsum[[#This Row],[prosjekt_forbe_hr]]+outputs_oppsum[[#This Row],[total_forbe_hr]]+outputs_oppsum[[#This Row],[extra_for_tverrslag_sum]]+outputs_oppsum[[#This Row],[just_total_hr]]+outputs_oppsum[[#This Row],[forsinket_hr]],"!")</f>
        <v>!</v>
      </c>
      <c r="RX75" s="431" t="str">
        <f>IFERROR(outputs_oppsum[[#This Row],[oppsum_total_hr]]/$AI$80,"!")</f>
        <v>!</v>
      </c>
      <c r="RY75" s="431" t="str">
        <f>IF(MAX($RX$67:$RX$75)=outputs_oppsum[[#This Row],[oppsum_total_uke]],MAX($RX$67:$RX$75),"-")</f>
        <v>-</v>
      </c>
      <c r="RZ75" s="431" t="str">
        <f>IF(AND(ISNUMBER(outputs_oppsum[[#This Row],[Criticalstuff]]),$BC$34&lt;&gt;1,outputs_oppsum[[#This Row],[Criticalstuff]]&gt;0),$RZ$63,"")</f>
        <v/>
      </c>
      <c r="SA75" s="837"/>
      <c r="SB75" s="837"/>
      <c r="SC75" s="837"/>
      <c r="SD75" s="837"/>
      <c r="SE75" s="3521"/>
      <c r="SF75" s="3521"/>
      <c r="SG75" s="2617"/>
      <c r="SH75" s="3886"/>
      <c r="SI75" s="3886"/>
      <c r="SJ75" s="3886"/>
      <c r="SK75" s="3886"/>
      <c r="SL75" s="3886"/>
      <c r="SR75" s="2617"/>
      <c r="SS75" s="2617"/>
      <c r="ST75" s="2617"/>
      <c r="SU75" s="2617"/>
      <c r="SV75" s="2617"/>
      <c r="SW75" s="2617"/>
      <c r="SX75" s="2617"/>
      <c r="SY75" s="2617"/>
      <c r="SZ75" s="2617"/>
      <c r="TA75" s="2617"/>
      <c r="TB75" s="2617"/>
      <c r="TC75" s="2617"/>
      <c r="TD75" s="2617"/>
      <c r="TR75" s="183"/>
      <c r="TW75" s="181"/>
      <c r="TX75" s="183"/>
      <c r="TY75" s="183"/>
      <c r="TZ75" s="183"/>
      <c r="UA75" s="183"/>
      <c r="UC75" s="181"/>
      <c r="UD75" s="181"/>
      <c r="UE75" s="181"/>
      <c r="UF75" s="181"/>
      <c r="UK75" s="183"/>
      <c r="UL75" s="183"/>
      <c r="UM75" s="183"/>
      <c r="UN75" s="183"/>
      <c r="UO75" s="183"/>
      <c r="UQ75" s="184"/>
      <c r="US75" s="183"/>
      <c r="UT75" s="183"/>
      <c r="UU75" s="2617"/>
      <c r="UV75" s="2617"/>
      <c r="UW75" s="2617"/>
      <c r="UX75" s="2617"/>
      <c r="UY75" s="2617"/>
      <c r="UZ75" s="2617"/>
      <c r="VA75" s="2617"/>
      <c r="VB75" s="2617"/>
      <c r="VC75" s="2617"/>
      <c r="VD75" s="2617"/>
      <c r="VE75" s="2617"/>
      <c r="VF75"/>
      <c r="VG75" s="2617"/>
      <c r="VH75" s="2617"/>
      <c r="VI75" s="2617"/>
      <c r="VJ75" s="2617"/>
      <c r="VK75" s="2617"/>
      <c r="VL75" s="2617"/>
      <c r="VM75" s="2617"/>
      <c r="VN75" s="2617"/>
      <c r="VO75" s="2617"/>
      <c r="VP75" s="2617"/>
      <c r="VQ75" s="2617"/>
      <c r="VR75" s="2617"/>
      <c r="VS75" s="2617"/>
      <c r="VT75" s="2617"/>
      <c r="VU75" s="2617"/>
      <c r="VV75" s="2617"/>
      <c r="VW75" s="2617"/>
      <c r="VX75" s="2617"/>
      <c r="VY75" s="2617"/>
      <c r="VZ75" s="2617"/>
      <c r="WA75" s="2617"/>
      <c r="WB75" s="2617"/>
      <c r="WC75" s="2617"/>
      <c r="WD75" s="2617"/>
      <c r="WE75" s="2617"/>
      <c r="WF75" s="2617"/>
      <c r="WG75" s="2617"/>
      <c r="WH75" s="2617"/>
      <c r="WI75" s="2617"/>
      <c r="WJ75" s="2617"/>
      <c r="WK75" s="2617"/>
      <c r="WL75" s="2617"/>
      <c r="WM75" s="2617"/>
      <c r="WN75" s="2617"/>
      <c r="WO75" s="2617"/>
      <c r="WP75" s="2617"/>
      <c r="WQ75" s="2617"/>
      <c r="WR75" s="2617"/>
      <c r="WS75" s="2617"/>
      <c r="WT75" s="2617"/>
      <c r="WU75" s="2617"/>
      <c r="WV75" s="2617"/>
      <c r="WW75" s="2617"/>
      <c r="WX75" s="2617"/>
      <c r="WY75" s="1754"/>
      <c r="WZ75" s="1754"/>
      <c r="XA75" s="1754"/>
      <c r="XB75" s="1754"/>
      <c r="XC75" s="1754"/>
      <c r="XD75" s="1754"/>
      <c r="XE75" s="1754"/>
      <c r="XF75" s="1754"/>
      <c r="XG75" s="1754"/>
      <c r="XH75" s="1754"/>
      <c r="XI75" s="1754"/>
      <c r="XJ75" s="1754"/>
      <c r="XK75" s="1754"/>
      <c r="XL75" s="265"/>
      <c r="XM75" s="265"/>
      <c r="XN75" s="265"/>
      <c r="XO75" s="265"/>
      <c r="XP75" s="265"/>
      <c r="XQ75" s="265"/>
      <c r="XR75" s="265"/>
      <c r="XS75" s="265"/>
      <c r="XT75" s="265"/>
      <c r="XU75" s="265"/>
    </row>
    <row r="76" spans="9:645" ht="15.75" thickTop="1" thickBot="1" x14ac:dyDescent="0.25">
      <c r="I76" s="5565"/>
      <c r="J76" s="372"/>
      <c r="K76" s="372" t="s">
        <v>2753</v>
      </c>
      <c r="L76" s="372"/>
      <c r="M76" s="372"/>
      <c r="N76" s="372"/>
      <c r="O76" s="185"/>
      <c r="AP76" s="210"/>
      <c r="AR76" s="210"/>
      <c r="AT76" s="2617"/>
      <c r="AU76" s="2617"/>
      <c r="AV76" s="2617"/>
      <c r="EM76" s="210"/>
      <c r="EN76" s="210"/>
      <c r="ER76" s="439" t="str">
        <f>$QP$135</f>
        <v>Stuff 1-2</v>
      </c>
      <c r="ES76" s="188">
        <f>IF($BC$38=1,0,IF($BC$38=2,2,0))</f>
        <v>2</v>
      </c>
      <c r="ET76" s="185">
        <f>IF($BC$34&gt;1,1,0)</f>
        <v>0</v>
      </c>
      <c r="EU76" s="194">
        <f>IF($BC$38=2,INDEX(outputs_position[12],MATCH($BC$35,outputs_position[lopstuff],0)),0)</f>
        <v>0</v>
      </c>
      <c r="EV76" s="473" t="str">
        <f t="shared" ref="EV76:EV83" si="82">ER76</f>
        <v>Stuff 1-2</v>
      </c>
      <c r="EW76" s="238">
        <f>IFERROR(INDEX(inputs_stab[Manuell],MATCH($EU76,inputs_stab[Position],0)),0)</f>
        <v>0</v>
      </c>
      <c r="EX76" s="185">
        <f>IFERROR(INDEX(inputs_stab[lt4m],MATCH($EU76,inputs_stab[Position],0)),0)</f>
        <v>0</v>
      </c>
      <c r="EY76" s="185">
        <f>IFERROR(INDEX(inputs_stab[gt4m],MATCH($EU76,inputs_stab[Position],0)),0)</f>
        <v>0</v>
      </c>
      <c r="EZ76" s="185">
        <f>IFERROR(INDEX(inputs_stab[band],MATCH($EU76,inputs_stab[Position],0)),0)</f>
        <v>0</v>
      </c>
      <c r="FA76" s="185">
        <f>IFERROR(INDEX(inputs_stab[net],MATCH($EU76,inputs_stab[Position],0)),0)</f>
        <v>0</v>
      </c>
      <c r="FB76" s="185">
        <f>IFERROR(INDEX(inputs_stab[shotcrete],MATCH($EU76,inputs_stab[Position],0)),0)</f>
        <v>0</v>
      </c>
      <c r="FC76" s="185">
        <f>IFERROR(INDEX(inputs_stab[buer],MATCH($EU76,inputs_stab[Position],0)),0)</f>
        <v>0</v>
      </c>
      <c r="FD76" s="185">
        <f>IFERROR(INDEX(inputs_stab[sik_12],MATCH($EU76,inputs_stab[Position],0)),0)</f>
        <v>0</v>
      </c>
      <c r="FE76" s="193">
        <f>IFERROR(INDEX(inputs_stab[sik_3],MATCH($EU76,inputs_stab[Position],0)),0)</f>
        <v>0</v>
      </c>
      <c r="FF76" s="193">
        <f>IFERROR(INDEX(inputs_stab[kartlegging],MATCH($EU76,inputs_stab[Position],0)),0)</f>
        <v>0</v>
      </c>
      <c r="FG76" s="185">
        <f>IFERROR(INDEX(inputs_stab[festebolter],MATCH($EU76,inputs_stab[Position],0)),0)</f>
        <v>0</v>
      </c>
      <c r="FM76" s="2617"/>
      <c r="FN76" s="2617"/>
      <c r="GH76" s="414"/>
      <c r="GJ76" s="223" t="s">
        <v>258</v>
      </c>
      <c r="GK76" s="246"/>
      <c r="GL76" s="246">
        <f>$BC$36</f>
        <v>0</v>
      </c>
      <c r="GM76" s="221">
        <f t="shared" si="74"/>
        <v>0</v>
      </c>
      <c r="GN76" s="438" t="str">
        <f t="shared" si="75"/>
        <v>Tverrslag</v>
      </c>
      <c r="GO76" s="261" t="b">
        <f>IF(GL44=1,INDEX(inputs_forbe[Forberedende],MATCH(GM76,inputs_forbe[Position],0)))</f>
        <v>0</v>
      </c>
      <c r="GP76" s="261" t="b">
        <f>IF(GL44=1,INDEX(inputs_forbe[Portaler],MATCH(outputs_forbe[[#This Row],[Position]],inputs_forbe[Position],0)))</f>
        <v>0</v>
      </c>
      <c r="GQ76" s="211" t="b">
        <f>IF(GL44=1,INDEX(inputs_forbe[Andrearbeider],MATCH(outputs_forbe[[#This Row],[Position]],inputs_forbe[Position],0)))</f>
        <v>0</v>
      </c>
      <c r="GR76" s="241" t="str">
        <f>IF(GL44=1,SUM(outputs_forbe[[#This Row],[Forberedende]:[Andrearbeider]]),$GK$11)</f>
        <v>Ikke relevant</v>
      </c>
      <c r="GS76" s="2617"/>
      <c r="IH76" s="1762" t="s">
        <v>408</v>
      </c>
      <c r="II76" s="1762" t="s">
        <v>618</v>
      </c>
      <c r="IJ76" s="1762" t="s">
        <v>2671</v>
      </c>
      <c r="IK76" s="1762" t="s">
        <v>2665</v>
      </c>
      <c r="IL76" s="1762" t="s">
        <v>2661</v>
      </c>
      <c r="IM76" s="1762" t="s">
        <v>1241</v>
      </c>
      <c r="IN76" s="1762" t="s">
        <v>1586</v>
      </c>
      <c r="IO76" s="2637" t="s">
        <v>1590</v>
      </c>
      <c r="IP76" s="2637" t="s">
        <v>1587</v>
      </c>
      <c r="IQ76" s="2637" t="s">
        <v>1588</v>
      </c>
      <c r="IR76" s="2637" t="s">
        <v>739</v>
      </c>
      <c r="IS76" s="2637" t="s">
        <v>740</v>
      </c>
      <c r="IT76" s="2637" t="s">
        <v>741</v>
      </c>
      <c r="IU76" s="2637" t="s">
        <v>742</v>
      </c>
      <c r="IV76" s="2637" t="s">
        <v>743</v>
      </c>
      <c r="IW76" s="2637" t="s">
        <v>744</v>
      </c>
      <c r="IX76" s="2637" t="s">
        <v>745</v>
      </c>
      <c r="IY76" s="2637" t="s">
        <v>746</v>
      </c>
      <c r="IZ76" s="2637" t="s">
        <v>747</v>
      </c>
      <c r="JA76" s="2637" t="s">
        <v>748</v>
      </c>
      <c r="JB76" s="2637" t="s">
        <v>749</v>
      </c>
      <c r="JC76" s="2637" t="s">
        <v>750</v>
      </c>
      <c r="JD76" s="2637" t="s">
        <v>751</v>
      </c>
      <c r="JE76" s="2637" t="s">
        <v>752</v>
      </c>
      <c r="JF76" s="2637" t="s">
        <v>753</v>
      </c>
      <c r="JG76" s="2637" t="s">
        <v>754</v>
      </c>
      <c r="JH76" s="2637" t="s">
        <v>755</v>
      </c>
      <c r="JI76" s="2637" t="s">
        <v>756</v>
      </c>
      <c r="JJ76" s="2637" t="s">
        <v>757</v>
      </c>
      <c r="JK76" s="2637" t="s">
        <v>758</v>
      </c>
      <c r="JL76" s="2637" t="s">
        <v>759</v>
      </c>
      <c r="JM76" s="2638" t="s">
        <v>762</v>
      </c>
      <c r="JN76" s="2637" t="s">
        <v>257</v>
      </c>
      <c r="JO76" s="2637" t="s">
        <v>283</v>
      </c>
      <c r="JP76" s="2637" t="s">
        <v>284</v>
      </c>
      <c r="JQ76" s="2637" t="s">
        <v>804</v>
      </c>
      <c r="LX76" s="5268"/>
      <c r="NI76" s="1567"/>
      <c r="NN76" s="407">
        <v>12</v>
      </c>
      <c r="NO76" s="475" t="str">
        <f>NO67</f>
        <v>Stuff 1-1</v>
      </c>
      <c r="NP76" s="431">
        <f t="shared" ref="NP76:NP84" si="83">BK227</f>
        <v>0</v>
      </c>
      <c r="NQ76" s="431">
        <f t="shared" ref="NQ76:NQ84" si="84">BH227</f>
        <v>0</v>
      </c>
      <c r="NR76" s="431">
        <f t="shared" ref="NR76:NR84" si="85">BI227</f>
        <v>0</v>
      </c>
      <c r="NS76" s="431">
        <f t="shared" ref="NS76:NS84" si="86">BJ227</f>
        <v>0</v>
      </c>
      <c r="NT76" s="476">
        <f t="shared" ref="NT76:NT84" si="87">BL227</f>
        <v>0</v>
      </c>
      <c r="NU76" s="476">
        <f t="shared" ref="NU76:NU84" si="88">BN227</f>
        <v>0</v>
      </c>
      <c r="NV76" s="411">
        <f>outputs_oppsum[[#This Row],[total_lop]]+outputs_oppsum[[#This Row],[total_nisj]]</f>
        <v>0</v>
      </c>
      <c r="NW76" s="411">
        <f>outputs_oppsum[[#This Row],[total_spreng_hr]]/$AI$80</f>
        <v>0</v>
      </c>
      <c r="NX76" s="431">
        <f t="shared" ref="NX76:NX84" si="89">DW105</f>
        <v>0</v>
      </c>
      <c r="NY76" s="431">
        <f t="shared" ref="NY76:NY84" si="90">DX105</f>
        <v>0</v>
      </c>
      <c r="NZ76" s="431">
        <f t="shared" ref="NZ76:NZ84" si="91">DY105</f>
        <v>0</v>
      </c>
      <c r="OA76" s="431">
        <f t="shared" ref="OA76:OA84" si="92">DZ105</f>
        <v>0</v>
      </c>
      <c r="OB76" s="431">
        <f t="shared" ref="OB76:OB84" si="93">EA105</f>
        <v>0</v>
      </c>
      <c r="OC76" s="431">
        <f t="shared" ref="OC76:OC84" si="94">EB105</f>
        <v>0</v>
      </c>
      <c r="OD76" s="431">
        <f t="shared" ref="OD76:OD84" si="95">EC105</f>
        <v>0</v>
      </c>
      <c r="OE76" s="431">
        <f t="shared" ref="OE76:OE84" si="96">ED105</f>
        <v>0</v>
      </c>
      <c r="OF76" s="431">
        <f t="shared" ref="OF76:OF84" si="97">EE105</f>
        <v>0</v>
      </c>
      <c r="OG76" s="431">
        <f t="shared" ref="OG76:OG84" si="98">EF105</f>
        <v>0</v>
      </c>
      <c r="OH76" s="431">
        <f t="shared" ref="OH76:OH84" si="99">EG105</f>
        <v>0</v>
      </c>
      <c r="OI76" s="477">
        <f t="shared" ref="OI76:OI84" si="100">EH105</f>
        <v>0</v>
      </c>
      <c r="OJ76" s="3703">
        <f>outputs_oppsum[[#This Row],[total_foran_hr]]/$AI$80</f>
        <v>0</v>
      </c>
      <c r="OK76" s="477">
        <f t="shared" ref="OK76:OK84" si="101">EI105</f>
        <v>0</v>
      </c>
      <c r="OL76" s="477">
        <f t="shared" ref="OL76:OL84" si="102">EJ105</f>
        <v>0</v>
      </c>
      <c r="OM76" s="431">
        <f t="shared" ref="OM76:OM84" si="103">EW119</f>
        <v>0</v>
      </c>
      <c r="ON76" s="431">
        <f t="shared" ref="ON76:ON84" si="104">FN119</f>
        <v>0</v>
      </c>
      <c r="OO76" s="431">
        <f t="shared" ref="OO76:OO84" si="105">EX119</f>
        <v>0</v>
      </c>
      <c r="OP76" s="431">
        <f t="shared" ref="OP76:OP84" si="106">EY119</f>
        <v>0</v>
      </c>
      <c r="OQ76" s="431">
        <f t="shared" ref="OQ76:OQ84" si="107">EZ119</f>
        <v>0</v>
      </c>
      <c r="OR76" s="431"/>
      <c r="OS76" s="431"/>
      <c r="OT76" s="431">
        <f t="shared" ref="OT76:OT84" si="108">FA119</f>
        <v>0</v>
      </c>
      <c r="OU76" s="431"/>
      <c r="OV76" s="431"/>
      <c r="OW76" s="431">
        <f>FO119</f>
        <v>0</v>
      </c>
      <c r="OX76" s="431">
        <f t="shared" ref="OX76:OX84" si="109">FB119</f>
        <v>0</v>
      </c>
      <c r="OY76" s="431">
        <f t="shared" ref="OY76:OY84" si="110">FC119</f>
        <v>0</v>
      </c>
      <c r="OZ76" s="431">
        <f t="shared" ref="OZ76:OZ84" si="111">FD119</f>
        <v>0</v>
      </c>
      <c r="PA76" s="431">
        <f t="shared" ref="PA76:PA84" si="112">FE119</f>
        <v>0</v>
      </c>
      <c r="PB76" s="478">
        <f>FF119</f>
        <v>0</v>
      </c>
      <c r="PC76" s="478">
        <f>FG119</f>
        <v>0</v>
      </c>
      <c r="PD76" s="478">
        <f t="shared" ref="PD76:PD84" si="113">FH119</f>
        <v>0</v>
      </c>
      <c r="PE76" s="478">
        <f t="shared" ref="PE76:PE84" si="114">FI119</f>
        <v>0</v>
      </c>
      <c r="PF76" s="478">
        <f t="shared" ref="PF76:PF84" si="115">FJ119</f>
        <v>0</v>
      </c>
      <c r="PG76" s="478">
        <f t="shared" ref="PG76:PG84" si="116">FK119</f>
        <v>0</v>
      </c>
      <c r="PH76" s="841">
        <f t="shared" ref="PH76:PH84" si="117">FL119</f>
        <v>0</v>
      </c>
      <c r="PI76" s="1277">
        <f>outputs_oppsum[[#This Row],[total_stab_hr]]/$AI$80</f>
        <v>0</v>
      </c>
      <c r="PJ76" s="211" t="str">
        <f>IF(AND($GL$35=1,outputs_oppsum[[#This Row],[tverrslag_status]]&lt;&gt;1),$GR$67,$GK$11)</f>
        <v>Ikke relevant</v>
      </c>
      <c r="PK76" s="211">
        <f>IFERROR(outputs_oppsum[[#This Row],[prosjekt_forbe]]*$AI$80,0)</f>
        <v>0</v>
      </c>
      <c r="PL76" s="431" t="b">
        <f>PL67</f>
        <v>0</v>
      </c>
      <c r="PM76" s="431" t="b">
        <f t="shared" ref="PL76:PO84" si="118">PM67</f>
        <v>0</v>
      </c>
      <c r="PN76" s="431" t="b">
        <f t="shared" si="118"/>
        <v>0</v>
      </c>
      <c r="PO76" s="484" t="str">
        <f t="shared" si="118"/>
        <v>Ikke relevant</v>
      </c>
      <c r="PP76" s="431">
        <f>outputs_oppsum[[#This Row],[Forberedende]]*$AI$80</f>
        <v>0</v>
      </c>
      <c r="PQ76" s="431">
        <f>outputs_oppsum[[#This Row],[Portaler]]*$AI$80</f>
        <v>0</v>
      </c>
      <c r="PR76" s="431">
        <f>outputs_oppsum[[#This Row],[Andrearbeider]]*$AI$80</f>
        <v>0</v>
      </c>
      <c r="PS76" s="431">
        <f>IFERROR(outputs_oppsum[[#This Row],[total_forbe]]*$AI$80,0)</f>
        <v>0</v>
      </c>
      <c r="PT76" s="431" t="e">
        <f t="shared" si="77"/>
        <v>#VALUE!</v>
      </c>
      <c r="PU76"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6" s="1656">
        <f>outputs_oppsum[[#This Row],[oppsum_drivetid_hr]]/$AI$80</f>
        <v>0</v>
      </c>
      <c r="PW76" s="1660"/>
      <c r="PX76" s="1658">
        <f>INDEX(tverr_connection_2[12],MATCH($BC$28,tverr_connection_2[config],0))</f>
        <v>0</v>
      </c>
      <c r="PY76" s="1662" t="str">
        <f>IF(outputs_oppsum[[#This Row],[tverrslag_status]]=0,$HI$54,IF(outputs_oppsum[[#This Row],[tverrslag_status]]=1,$HI$55,"-"))</f>
        <v>Ikke påvirket</v>
      </c>
      <c r="PZ76" s="1663" t="str">
        <f>IFERROR(INDEX(outputs_tverrslag[Tverrslag construction time],MATCH(outputs_oppsum[[#This Row],[stuff_navn]],outputs_tverrslag[name],0)),"-")</f>
        <v>-</v>
      </c>
      <c r="QA76" s="1658" t="str">
        <f>IF(outputs_oppsum[[#This Row],[tverrslag_status_oppsum]]=$HI$55,$PU$84,"-")</f>
        <v>-</v>
      </c>
      <c r="QB76" s="1662" t="str">
        <f>IF(outputs_oppsum[[#This Row],[tverrslag_status_oppsum]]=$HI$55,$HI$66,"-")</f>
        <v>-</v>
      </c>
      <c r="QC76" s="1662" t="str">
        <f>IF(outputs_oppsum[[#This Row],[tverrslag_status_oppsum]]=$HI$55,$HJ$14,"-")</f>
        <v>-</v>
      </c>
      <c r="QD76" s="1815" t="str">
        <f>IFERROR(INDEX(outputs_tverrslag[forsink_perstuff_uker],MATCH(outputs_oppsum[[#This Row],[stuff_navn]],outputs_tverrslag[name],0)),"-")</f>
        <v>-</v>
      </c>
      <c r="QE76" s="1807" t="str">
        <f>IFERROR(INDEX(outputs_tverrslag[forsink_total_uker],MATCH(outputs_oppsum[[#This Row],[stuff_navn]],outputs_tverrslag[name],0)),"-")</f>
        <v>-</v>
      </c>
      <c r="QF76" s="1807" t="str">
        <f>IFERROR(INDEX(outputs_tverrslag[Kryssområdet_hr],MATCH(outputs_oppsum[[#This Row],[stuff_navn]],outputs_tverrslag[name],0)),"-")</f>
        <v>-</v>
      </c>
      <c r="QG76" s="1807" t="str">
        <f>IFERROR(INDEX(outputs_tverrslag[forsink_total_hr],MATCH(outputs_oppsum[[#This Row],[stuff_navn]],outputs_tverrslag[name],0)),"-")</f>
        <v>-</v>
      </c>
      <c r="QH76" s="1816">
        <f>SUMIF(outputs_oppsum[[#This Row],[kryssområdet_forberedende_hr2]:[extra_forsink_etter_tverrslag_total_hr]],"&lt;&gt;-")+SUMIF(outputs_oppsum[[#This Row],[tverrslag_tid]],"&lt;&gt;-")</f>
        <v>0</v>
      </c>
      <c r="QI76" s="334" t="str">
        <f>IF(OR(outputs_oppsum[[#This Row],[tverrslag_status_oppsum]]=$HI$55,outputs_oppsum[[#This Row],[tverrslag_status_oppsum]]=$I$90),$GR$67,"-")</f>
        <v>-</v>
      </c>
      <c r="QJ76" s="334">
        <f>IFERROR(outputs_oppsum[[#This Row],[extra_tverrslag_prosjekt_forarb_uke]]*$AI$80,0)</f>
        <v>0</v>
      </c>
      <c r="QK76" s="1816" t="str">
        <f>IF(outputs_oppsum[[#This Row],[tverrslag_status_oppsum]]=$HI$55,$PO$75,"-")</f>
        <v>-</v>
      </c>
      <c r="QL76" s="1827">
        <f>IFERROR(outputs_oppsum[[#This Row],[extra_tverrslag_forarb_uke]]*$AI$80,0)</f>
        <v>0</v>
      </c>
      <c r="QM76" s="1816" t="str">
        <f>IF(outputs_oppsum[[#This Row],[tverrslag_status_oppsum]]=$HI$55,$RA$75,"-")</f>
        <v>-</v>
      </c>
      <c r="QN76" s="1827">
        <f>IFERROR(outputs_oppsum[[#This Row],[extra_tverrslag_just_uke]]*$AI$80,0)</f>
        <v>0</v>
      </c>
      <c r="QO76" s="431" t="str">
        <f>IF(outputs_oppsum[[#This Row],[tverrslag_status_oppsum]]=$HI$55,$GK$96,"-")</f>
        <v>-</v>
      </c>
      <c r="QP76" s="1828">
        <f>IFERROR(outputs_oppsum[[#This Row],[tverrslag_forsinkt_uke]]*$AI$80,0)</f>
        <v>0</v>
      </c>
      <c r="QQ76"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6" s="1809">
        <f>IFERROR(IF(outputs_oppsum[[#This Row],[tverrslag_status_oppsum]]=$I$90,outputs_oppsum[[#This Row],[kryssområdet_forberedende_hr]],IF(outputs_oppsum[[#This Row],[tverrslag_status]]=1,outputs_oppsum[[#This Row],[tverrslag_total_hr]],0)),0)</f>
        <v>0</v>
      </c>
      <c r="QS76" s="1666" t="b">
        <f>INDEX(outputs_just[general_tid],MATCH(outputs_oppsum[[#This Row],[stuff_navn]],outputs_just[Navn],0))</f>
        <v>0</v>
      </c>
      <c r="QT76" s="1817" t="b">
        <f>INDEX(outputs_just[geo_tid],MATCH(outputs_oppsum[[#This Row],[stuff_navn]],outputs_just[Navn],0))</f>
        <v>0</v>
      </c>
      <c r="QU76" s="1817" t="b">
        <f>INDEX(outputs_just[stig_tid],MATCH(outputs_oppsum[[#This Row],[stuff_navn]],outputs_just[Navn],0))</f>
        <v>0</v>
      </c>
      <c r="QV76" s="1817" t="b">
        <f>INDEX(outputs_just[arb_tid],MATCH(outputs_oppsum[[#This Row],[stuff_navn]],outputs_just[Navn],0))</f>
        <v>0</v>
      </c>
      <c r="QW76" s="1817" t="b">
        <f>INDEX(outputs_just[spreng_tid],MATCH(outputs_oppsum[[#This Row],[stuff_navn]],outputs_just[Navn],0))</f>
        <v>0</v>
      </c>
      <c r="QX76" s="1817" t="b">
        <f>INDEX(outputs_just[skyte_tid],MATCH(outputs_oppsum[[#This Row],[stuff_navn]],outputs_just[Navn],0))</f>
        <v>0</v>
      </c>
      <c r="QY76" s="1817" t="b">
        <f>INDEX(outputs_just[støy_tid],MATCH(outputs_oppsum[[#This Row],[stuff_navn]],outputs_just[Navn],0))</f>
        <v>0</v>
      </c>
      <c r="QZ76" s="1817" t="b">
        <f>INDEX(outputs_just[ann_tid],MATCH(outputs_oppsum[[#This Row],[stuff_navn]],outputs_just[Navn],0))</f>
        <v>0</v>
      </c>
      <c r="RA76" s="1817">
        <f>SUM(outputs_oppsum[[#This Row],[just_generell]:[just_ann]])</f>
        <v>0</v>
      </c>
      <c r="RB76" s="1817">
        <f>outputs_oppsum[[#This Row],[just_total_uke]]*$AI$80</f>
        <v>0</v>
      </c>
      <c r="RC76" s="431">
        <f>INDEX(inputs_forsinket[tid_uke],MATCH(outputs_oppsum[[#This Row],[stuff_navn]],inputs_forsinket[name],0))</f>
        <v>0</v>
      </c>
      <c r="RD76" s="1818">
        <f>outputs_oppsum[[#This Row],[forsinket_uke]]*$AI$80</f>
        <v>0</v>
      </c>
      <c r="RE76" s="488">
        <f t="shared" ref="RE76:RE84" si="119">RE67</f>
        <v>1</v>
      </c>
      <c r="RF76" s="431" t="str">
        <f>IF(RE76=1,_List!$AW$7,IF(RE76=2,_List!$AW$8,""))</f>
        <v>Enstuffs drift</v>
      </c>
      <c r="RG76" s="431" t="str">
        <f>IF(outputs_oppsum[[#This Row],[kon_metod_no]]=2,INDEX(framdriftfaktor[stab-foran_spreng_ratio],MATCH(outputs_oppsum[[#This Row],[stuff_id]],framdriftfaktor[stuff_id],0)),"-")</f>
        <v>-</v>
      </c>
      <c r="RH76" s="5269">
        <f>IF(outputs_oppsum[[#This Row],[kon_metod_no]]=2,INDEX(framdriftfaktor[beregnet_faktor_final],MATCH(outputs_oppsum[[#This Row],[stuff_id]],framdriftfaktor[stuff_id],0)),1)</f>
        <v>1</v>
      </c>
      <c r="RI76" s="5269" t="str">
        <f>IF(outputs_oppsum[[#This Row],[kon_metod]]=_List!$AW$8,INDEX(outputs_just[vek_faktor_bruker_definert_status],MATCH(outputs_oppsum[[#This Row],[stuff_navn]],outputs_just[Navn],0)),"")</f>
        <v/>
      </c>
      <c r="RJ76" s="5269" t="str">
        <f>IF(AND(outputs_oppsum[[#This Row],[kon_metod_no]]&lt;&gt;1,LP121=FALSE),LO121,"-")</f>
        <v>-</v>
      </c>
      <c r="RK76" s="5269">
        <f>IF(AND(outputs_oppsum[[#This Row],[kon_metod_no]]=2,outputs_oppsum[[#This Row],[tverrslag_status_oppsum]]&lt;&gt;$I$90,outputs_oppsum[[#This Row],[faktor_bruker_definert]]=FALSE),outputs_oppsum[[#This Row],[faktor_user]],outputs_oppsum[[#This Row],[faktor_beregnet]])</f>
        <v>1</v>
      </c>
      <c r="RL76" s="1807">
        <f>IFERROR((outputs_oppsum[[#This Row],[faktor_final]]-1)*outputs_oppsum[[#This Row],[oppsum_drivetid_hr]]*outputs_oppsum[[#This Row],[veksel_prosent]],"-")</f>
        <v>0</v>
      </c>
      <c r="RM76" s="1807" t="str">
        <f>IF(outputs_oppsum[[#This Row],[kon_metod_no]]=2,outputs_oppsum[[#This Row],[ekstra_framdrift_tid_oppsum_hr]]/$AI$80,"-")</f>
        <v>-</v>
      </c>
      <c r="RN76" s="431" t="str">
        <f>IF(outputs_oppsum[[#This Row],[kon_metod_no]]=2,outputs_oppsum[[#This Row],[ekstra_drivetid_pga_faktor]],"-")</f>
        <v>-</v>
      </c>
      <c r="RO76" s="431">
        <f>IFERROR(outputs_oppsum[[#This Row],[oppsum_drivetid_hr]]+outputs_oppsum[[#This Row],[ekstra_drivetid_pga_faktor]],"-")</f>
        <v>0</v>
      </c>
      <c r="RP76"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6" s="5276">
        <f>IF(outputs_oppsum[[#This Row],[enstuff_prosent_input]]&gt;1,1,outputs_oppsum[[#This Row],[enstuff_prosent_input]])</f>
        <v>1</v>
      </c>
      <c r="RR76"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6" s="431"/>
      <c r="RT76" s="431"/>
      <c r="RU76" s="431"/>
      <c r="RV76" s="431"/>
      <c r="RW76" s="431">
        <f>IFERROR(outputs_oppsum[[#This Row],[drivetid_with_faktor]]+outputs_oppsum[[#This Row],[prosjekt_forbe_hr]]+outputs_oppsum[[#This Row],[total_forbe_hr]]+outputs_oppsum[[#This Row],[extra_for_tverrslag_sum]]+outputs_oppsum[[#This Row],[just_total_hr]]+outputs_oppsum[[#This Row],[forsinket_hr]],"!")</f>
        <v>0</v>
      </c>
      <c r="RX76" s="431">
        <f>IFERROR(outputs_oppsum[[#This Row],[oppsum_total_hr]]/$AI$80,"!")</f>
        <v>0</v>
      </c>
      <c r="RY76" s="431">
        <f>IF(MAX($RX$76:$RX$84)=outputs_oppsum[[#This Row],[oppsum_total_uke]],MAX($RX$76:$RX$84),"-")</f>
        <v>0</v>
      </c>
      <c r="RZ76" s="431" t="str">
        <f>IF(AND(ISNUMBER(outputs_oppsum[[#This Row],[Criticalstuff]]),$BC$34&lt;&gt;1,outputs_oppsum[[#This Row],[Criticalstuff]]&gt;0),$RZ$63,"")</f>
        <v/>
      </c>
      <c r="SA76" s="837"/>
      <c r="SB76" s="837"/>
      <c r="SC76" s="837"/>
      <c r="SD76" s="837"/>
      <c r="SE76" s="3521"/>
      <c r="SF76" s="3521"/>
      <c r="SG76" s="2617"/>
      <c r="SH76" s="3886"/>
      <c r="SI76" s="3886"/>
      <c r="SJ76" s="3886"/>
      <c r="SK76" s="3886"/>
      <c r="SL76" s="3886"/>
      <c r="SR76" s="2617"/>
      <c r="SS76" s="2617"/>
      <c r="ST76" s="2617"/>
      <c r="SU76" s="2617"/>
      <c r="SV76" s="2617"/>
      <c r="SW76" s="2617"/>
      <c r="SX76" s="2617"/>
      <c r="SY76" s="2617"/>
      <c r="SZ76" s="2617"/>
      <c r="TA76" s="2617"/>
      <c r="TB76" s="2617"/>
      <c r="TC76" s="2617"/>
      <c r="TD76" s="2617"/>
      <c r="TR76" s="183"/>
      <c r="TW76" s="181"/>
      <c r="TX76" s="183"/>
      <c r="TY76" s="183"/>
      <c r="TZ76" s="183"/>
      <c r="UA76" s="183"/>
      <c r="UC76" s="181"/>
      <c r="UD76" s="181"/>
      <c r="UE76" s="181"/>
      <c r="UF76" s="181"/>
      <c r="UK76" s="183"/>
      <c r="UL76" s="183"/>
      <c r="UM76" s="183"/>
      <c r="UN76" s="183"/>
      <c r="UO76" s="183"/>
      <c r="UQ76" s="184"/>
      <c r="US76" s="183"/>
      <c r="UT76" s="183"/>
      <c r="UU76" s="2617"/>
      <c r="UV76" s="2617"/>
      <c r="UW76" s="2617"/>
      <c r="UX76" s="2617"/>
      <c r="UY76" s="2617"/>
      <c r="UZ76" s="2617"/>
      <c r="VA76" s="2617"/>
      <c r="VB76" s="2617"/>
      <c r="VC76" s="2617"/>
      <c r="VD76" s="2617"/>
      <c r="VE76" s="2617"/>
      <c r="VF76"/>
      <c r="VG76" s="2617"/>
      <c r="VH76" s="2617"/>
      <c r="VI76" s="2617"/>
      <c r="VJ76" s="2617"/>
      <c r="VK76" s="2617"/>
      <c r="VL76" s="2617"/>
      <c r="VM76" s="2617"/>
      <c r="VN76" s="2617"/>
      <c r="VO76" s="2617"/>
      <c r="VP76" s="2617"/>
      <c r="VQ76" s="2617"/>
      <c r="VR76" s="2617"/>
      <c r="VS76" s="2617"/>
      <c r="VT76" s="2617"/>
      <c r="VU76" s="2617"/>
      <c r="VV76" s="2617"/>
      <c r="VW76" s="2617"/>
      <c r="VX76" s="2617"/>
      <c r="VY76" s="2617"/>
      <c r="VZ76" s="2617"/>
      <c r="WA76" s="2617"/>
      <c r="WB76" s="2617"/>
      <c r="WC76" s="2617"/>
      <c r="WD76" s="2617"/>
      <c r="WE76" s="2617"/>
      <c r="WF76" s="2617"/>
      <c r="WG76" s="2617"/>
      <c r="WH76" s="2617"/>
      <c r="WI76" s="2617"/>
      <c r="WJ76" s="2617"/>
      <c r="WK76" s="2617"/>
      <c r="WL76" s="2617"/>
      <c r="WM76" s="2617"/>
      <c r="WN76" s="2617"/>
      <c r="WO76" s="2617"/>
      <c r="WP76" s="2617"/>
      <c r="WQ76" s="2617"/>
      <c r="WR76" s="2617"/>
      <c r="WS76" s="2617"/>
      <c r="WT76" s="2617"/>
      <c r="WU76" s="2617"/>
      <c r="WV76" s="2617"/>
      <c r="WW76" s="2617"/>
      <c r="WX76" s="2617"/>
      <c r="WY76" s="1754"/>
      <c r="WZ76" s="1754"/>
      <c r="XA76" s="1754"/>
      <c r="XB76" s="1754"/>
      <c r="XC76" s="1754"/>
      <c r="XD76" s="1754"/>
      <c r="XE76" s="1754"/>
      <c r="XF76" s="1754"/>
      <c r="XG76" s="1754"/>
      <c r="XH76" s="1754"/>
      <c r="XI76" s="1754"/>
      <c r="XJ76" s="1754"/>
      <c r="XK76" s="1754"/>
      <c r="XL76" s="265"/>
      <c r="XM76" s="265"/>
      <c r="XN76" s="265"/>
      <c r="XO76" s="265"/>
      <c r="XP76" s="265"/>
      <c r="XQ76" s="265"/>
      <c r="XR76" s="265"/>
      <c r="XS76" s="265"/>
      <c r="XT76" s="265"/>
      <c r="XU76" s="265"/>
    </row>
    <row r="77" spans="9:645" ht="24" thickBot="1" x14ac:dyDescent="0.4">
      <c r="I77" s="5565"/>
      <c r="J77" s="372" t="s">
        <v>2754</v>
      </c>
      <c r="K77" s="372" t="s">
        <v>2688</v>
      </c>
      <c r="L77" s="1172" t="s">
        <v>2766</v>
      </c>
      <c r="M77" s="372" t="s">
        <v>2767</v>
      </c>
      <c r="N77" s="372" t="s">
        <v>413</v>
      </c>
      <c r="O77" s="185" t="s">
        <v>1585</v>
      </c>
      <c r="AP77" s="210"/>
      <c r="AR77" s="210"/>
      <c r="AT77" s="2617"/>
      <c r="AU77" s="2617"/>
      <c r="AV77" s="2617"/>
      <c r="BB77" s="284" t="s">
        <v>330</v>
      </c>
      <c r="BC77" s="285"/>
      <c r="BD77" s="285"/>
      <c r="BE77" s="285"/>
      <c r="BF77" s="286"/>
      <c r="EM77" s="210"/>
      <c r="EN77" s="210"/>
      <c r="ER77" s="439" t="str">
        <f>$QQ$135</f>
        <v>Stuff 1-3</v>
      </c>
      <c r="ES77" s="188">
        <f>IF($BC$38=1,0,IF($BC$38=2,3,0))</f>
        <v>3</v>
      </c>
      <c r="ET77" s="185">
        <f>IF($BC$34&gt;2,1,0)</f>
        <v>0</v>
      </c>
      <c r="EU77" s="194">
        <f>IF($BC$38=2,INDEX(outputs_position[13],MATCH($BC$35,outputs_position[lopstuff],0)),0)</f>
        <v>0</v>
      </c>
      <c r="EV77" s="473" t="str">
        <f t="shared" si="82"/>
        <v>Stuff 1-3</v>
      </c>
      <c r="EW77" s="238">
        <f>IFERROR(INDEX(inputs_stab[Manuell],MATCH($EU77,inputs_stab[Position],0)),0)</f>
        <v>0</v>
      </c>
      <c r="EX77" s="185">
        <f>IFERROR(INDEX(inputs_stab[lt4m],MATCH($EU77,inputs_stab[Position],0)),0)</f>
        <v>0</v>
      </c>
      <c r="EY77" s="185">
        <f>IFERROR(INDEX(inputs_stab[gt4m],MATCH($EU77,inputs_stab[Position],0)),0)</f>
        <v>0</v>
      </c>
      <c r="EZ77" s="185">
        <f>IFERROR(INDEX(inputs_stab[band],MATCH($EU77,inputs_stab[Position],0)),0)</f>
        <v>0</v>
      </c>
      <c r="FA77" s="185">
        <f>IFERROR(INDEX(inputs_stab[net],MATCH($EU77,inputs_stab[Position],0)),0)</f>
        <v>0</v>
      </c>
      <c r="FB77" s="185">
        <f>IFERROR(INDEX(inputs_stab[shotcrete],MATCH($EU77,inputs_stab[Position],0)),0)</f>
        <v>0</v>
      </c>
      <c r="FC77" s="185">
        <f>IFERROR(INDEX(inputs_stab[buer],MATCH($EU77,inputs_stab[Position],0)),0)</f>
        <v>0</v>
      </c>
      <c r="FD77" s="185">
        <f>IFERROR(INDEX(inputs_stab[sik_12],MATCH($EU77,inputs_stab[Position],0)),0)</f>
        <v>0</v>
      </c>
      <c r="FE77" s="193">
        <f>IFERROR(INDEX(inputs_stab[sik_3],MATCH($EU77,inputs_stab[Position],0)),0)</f>
        <v>0</v>
      </c>
      <c r="FF77" s="193">
        <f>IFERROR(INDEX(inputs_stab[kartlegging],MATCH($EU77,inputs_stab[Position],0)),0)</f>
        <v>0</v>
      </c>
      <c r="FG77" s="185">
        <f>IFERROR(INDEX(inputs_stab[festebolter],MATCH($EU77,inputs_stab[Position],0)),0)</f>
        <v>0</v>
      </c>
      <c r="FM77" s="2617"/>
      <c r="FN77" s="2617"/>
      <c r="GH77" s="414"/>
      <c r="GJ77" s="2617"/>
      <c r="GK77" s="2617"/>
      <c r="GL77" s="2617"/>
      <c r="GM77" s="2617"/>
      <c r="GN77" s="2617"/>
      <c r="GO77" s="2617"/>
      <c r="GP77" s="2617"/>
      <c r="GQ77" s="2617"/>
      <c r="GR77" s="2617"/>
      <c r="GS77" s="2617"/>
      <c r="HH77" s="275"/>
      <c r="HI77" s="275"/>
      <c r="HJ77" s="275"/>
      <c r="HK77" s="275"/>
      <c r="HL77" s="275"/>
      <c r="HM77" s="275"/>
      <c r="HN77" s="275"/>
      <c r="HO77" s="275"/>
      <c r="HP77" s="275"/>
      <c r="HQ77" s="275"/>
      <c r="IH77" s="1761">
        <v>1</v>
      </c>
      <c r="II77" s="1761">
        <f>II18</f>
        <v>1</v>
      </c>
      <c r="IJ77" s="1761" t="b">
        <f>IJ18</f>
        <v>1</v>
      </c>
      <c r="IK77" s="5944" t="str">
        <f t="shared" ref="IK77:IK85" si="120">IF(AND(II18=2,IJ18=FALSE),IK18,IF(AND(II18=2,IJ18=TRUE),$II$97,""))</f>
        <v/>
      </c>
      <c r="IL77" s="1761" t="str">
        <f>IF(AND(II18=2,IJ18=FALSE),IM18,"")</f>
        <v/>
      </c>
      <c r="IM77" s="1761"/>
      <c r="IN77" s="1761" t="str">
        <f>IF(utskrift_just[[#This Row],[general_svar_id]]=1,"Ja","Nei")</f>
        <v>Nei</v>
      </c>
      <c r="IO77" s="1811">
        <f>IO18</f>
        <v>0</v>
      </c>
      <c r="IP77" s="3700" t="str">
        <f>IF(utskrift_just[[#This Row],[general_svar_id]]=1,IP18,"-")</f>
        <v>-</v>
      </c>
      <c r="IQ77" s="1811" t="str">
        <f>IF(utskrift_just[[#This Row],[general_svar_id]]=1,IQ18,"")</f>
        <v/>
      </c>
      <c r="IR77" s="1811" t="str">
        <f>IF(utskrift_just[[#This Row],[general_svar_id]]=2,IR18,"Nei")</f>
        <v>Nei</v>
      </c>
      <c r="IS77" s="3700" t="str">
        <f>IF(AND(utskrift_just[[#This Row],[general_svar_id]]=2,utskrift_just[[#This Row],[geo_svar]]="Ja"),IS18,"-")</f>
        <v>-</v>
      </c>
      <c r="IT77" s="1811" t="str">
        <f>IF(AND(utskrift_just[[#This Row],[general_svar_id]]=2,utskrift_just[[#This Row],[geo_svar]]="Ja"),IT18,"-")</f>
        <v>-</v>
      </c>
      <c r="IU77" s="1811" t="str">
        <f>IF(utskrift_just[[#This Row],[general_svar_id]]=2,IU18,"Nei")</f>
        <v>Nei</v>
      </c>
      <c r="IV77" s="3700" t="str">
        <f>IF(AND(utskrift_just[[#This Row],[general_svar_id]]=2,utskrift_just[[#This Row],[stig_svar]]="Ja"),IV18,"-")</f>
        <v>-</v>
      </c>
      <c r="IW77" s="1811" t="str">
        <f>IF(AND(utskrift_just[[#This Row],[general_svar_id]]=2,utskrift_just[[#This Row],[stig_svar]]="Ja"),IW18,"-")</f>
        <v>-</v>
      </c>
      <c r="IX77" s="1811" t="str">
        <f>IF(utskrift_just[[#This Row],[general_svar_id]]=2,IX18,"Nei")</f>
        <v>Nei</v>
      </c>
      <c r="IY77" s="3700" t="str">
        <f>IF(AND(utskrift_just[[#This Row],[general_svar_id]]=2,utskrift_just[[#This Row],[arb_svar]]="Ja"),IY18,"-")</f>
        <v>-</v>
      </c>
      <c r="IZ77" s="1811" t="str">
        <f>IF(AND(utskrift_just[[#This Row],[general_svar_id]]=2,utskrift_just[[#This Row],[arb_svar]]="Ja"),IZ18,"-")</f>
        <v>-</v>
      </c>
      <c r="JA77" s="1811" t="str">
        <f>IF(utskrift_just[[#This Row],[general_svar_id]]=2,JA18,"Nei")</f>
        <v>Nei</v>
      </c>
      <c r="JB77" s="3700" t="str">
        <f>IF(AND(utskrift_just[[#This Row],[general_svar_id]]=2,utskrift_just[[#This Row],[spreng_svar]]="Ja"),JB18,"-")</f>
        <v>-</v>
      </c>
      <c r="JC77" s="1811" t="str">
        <f>IF(AND(utskrift_just[[#This Row],[general_svar_id]]=2,utskrift_just[[#This Row],[spreng_svar]]="Ja"),JC18,"-")</f>
        <v>-</v>
      </c>
      <c r="JD77" s="1811" t="str">
        <f>IF(utskrift_just[[#This Row],[general_svar_id]]=2,JD18,"Nei")</f>
        <v>Nei</v>
      </c>
      <c r="JE77" s="3700" t="str">
        <f>IF(AND(utskrift_just[[#This Row],[general_svar_id]]=2,utskrift_just[[#This Row],[skyte_svar]]="Ja"),JE18,"-")</f>
        <v>-</v>
      </c>
      <c r="JF77" s="1811" t="str">
        <f>IF(AND(utskrift_just[[#This Row],[general_svar_id]]=2,utskrift_just[[#This Row],[skyte_svar]]="Ja"),JF18,"-")</f>
        <v>-</v>
      </c>
      <c r="JG77" s="1811" t="str">
        <f>IF(utskrift_just[[#This Row],[general_svar_id]]=2,JG18,"Nei")</f>
        <v>Nei</v>
      </c>
      <c r="JH77" s="3700" t="str">
        <f>IF(AND(utskrift_just[[#This Row],[general_svar_id]]=2,utskrift_just[[#This Row],[støy_svar]]="Ja"),JH18,"-")</f>
        <v>-</v>
      </c>
      <c r="JI77" s="1811" t="str">
        <f>IF(AND(utskrift_just[[#This Row],[general_svar_id]]=2,utskrift_just[[#This Row],[støy_svar]]="Ja"),JI18,"-")</f>
        <v>-</v>
      </c>
      <c r="JJ77" s="1811" t="str">
        <f>IF(utskrift_just[[#This Row],[general_svar_id]]=2,JJ18,"Nei")</f>
        <v>Nei</v>
      </c>
      <c r="JK77" s="3700" t="str">
        <f>IF(AND(utskrift_just[[#This Row],[general_svar_id]]=2,utskrift_just[[#This Row],[ann_svar]]="Ja"),JK18,"-")</f>
        <v>-</v>
      </c>
      <c r="JL77" s="1811" t="str">
        <f>IF(AND(utskrift_just[[#This Row],[general_svar_id]]=2,utskrift_just[[#This Row],[ann_svar]]="Ja"),JL18,"-")</f>
        <v>-</v>
      </c>
      <c r="JM77" s="2633">
        <f>IF(JW58=1,_List!$EG$7,IFERROR(utskrift_just[[#This Row],[general_tid]]+utskrift_just[[#This Row],[geo_tid]]+utskrift_just[[#This Row],[stig_tid]]+utskrift_just[[#This Row],[arb_tid]]+utskrift_just[[#This Row],[spreng_tid]]+utskrift_just[[#This Row],[skyte_tid]]+utskrift_just[[#This Row],[støy_tid]]+utskrift_just[[#This Row],[ann_tid]],0))</f>
        <v>0</v>
      </c>
      <c r="JN77" s="1812" t="str">
        <f>IFERROR((INDEX(oppsum_position[Name],MATCH(utskrift_just[[#This Row],[position]],oppsum_position[Position],0))),"")</f>
        <v>Stuff 1-1</v>
      </c>
      <c r="JO77" s="1813">
        <v>1</v>
      </c>
      <c r="JP77" s="1813">
        <f>IF($BC$34&gt;0,1,0)</f>
        <v>1</v>
      </c>
      <c r="JQ77" s="1813">
        <f>INDEX(outputs_position[11],MATCH($BC$35,outputs_position[lopstuff],0))</f>
        <v>1</v>
      </c>
      <c r="KO77" s="5258" t="s">
        <v>2298</v>
      </c>
      <c r="KP77" s="5258"/>
      <c r="KQ77" s="5260"/>
      <c r="KR77" s="5260"/>
      <c r="KS77" s="5260"/>
      <c r="KZ77" s="2617"/>
      <c r="LA77" s="2617"/>
      <c r="LB77" s="2617"/>
      <c r="LX77" s="5268"/>
      <c r="NI77" s="1567"/>
      <c r="NN77" s="407">
        <v>22</v>
      </c>
      <c r="NO77" s="340" t="str">
        <f t="shared" ref="NO77:NO83" si="121">NO68</f>
        <v>Stuff 1-2</v>
      </c>
      <c r="NP77" s="431">
        <f t="shared" si="83"/>
        <v>0</v>
      </c>
      <c r="NQ77" s="431">
        <f t="shared" si="84"/>
        <v>0</v>
      </c>
      <c r="NR77" s="431">
        <f t="shared" si="85"/>
        <v>0</v>
      </c>
      <c r="NS77" s="431">
        <f t="shared" si="86"/>
        <v>0</v>
      </c>
      <c r="NT77" s="411">
        <f t="shared" si="87"/>
        <v>0</v>
      </c>
      <c r="NU77" s="411">
        <f t="shared" si="88"/>
        <v>0</v>
      </c>
      <c r="NV77" s="411">
        <f>outputs_oppsum[[#This Row],[total_lop]]+outputs_oppsum[[#This Row],[total_nisj]]</f>
        <v>0</v>
      </c>
      <c r="NW77" s="411">
        <f>outputs_oppsum[[#This Row],[total_spreng_hr]]/$AI$80</f>
        <v>0</v>
      </c>
      <c r="NX77" s="431">
        <f t="shared" si="89"/>
        <v>0</v>
      </c>
      <c r="NY77" s="431">
        <f t="shared" si="90"/>
        <v>0</v>
      </c>
      <c r="NZ77" s="431">
        <f t="shared" si="91"/>
        <v>0</v>
      </c>
      <c r="OA77" s="431">
        <f t="shared" si="92"/>
        <v>0</v>
      </c>
      <c r="OB77" s="431">
        <f t="shared" si="93"/>
        <v>0</v>
      </c>
      <c r="OC77" s="431">
        <f t="shared" si="94"/>
        <v>0</v>
      </c>
      <c r="OD77" s="431">
        <f t="shared" si="95"/>
        <v>0</v>
      </c>
      <c r="OE77" s="431">
        <f t="shared" si="96"/>
        <v>0</v>
      </c>
      <c r="OF77" s="431">
        <f t="shared" si="97"/>
        <v>0</v>
      </c>
      <c r="OG77" s="431">
        <f t="shared" si="98"/>
        <v>0</v>
      </c>
      <c r="OH77" s="431">
        <f t="shared" si="99"/>
        <v>0</v>
      </c>
      <c r="OI77" s="477">
        <f t="shared" si="100"/>
        <v>0</v>
      </c>
      <c r="OJ77" s="3703">
        <f>outputs_oppsum[[#This Row],[total_foran_hr]]/$AI$80</f>
        <v>0</v>
      </c>
      <c r="OK77" s="477">
        <f t="shared" si="101"/>
        <v>0</v>
      </c>
      <c r="OL77" s="477">
        <f t="shared" si="102"/>
        <v>0</v>
      </c>
      <c r="OM77" s="431">
        <f t="shared" si="103"/>
        <v>0</v>
      </c>
      <c r="ON77" s="431">
        <f t="shared" si="104"/>
        <v>0</v>
      </c>
      <c r="OO77" s="431">
        <f t="shared" si="105"/>
        <v>0</v>
      </c>
      <c r="OP77" s="431">
        <f t="shared" si="106"/>
        <v>0</v>
      </c>
      <c r="OQ77" s="431">
        <f t="shared" si="107"/>
        <v>0</v>
      </c>
      <c r="OR77" s="431"/>
      <c r="OS77" s="431"/>
      <c r="OT77" s="431">
        <f t="shared" si="108"/>
        <v>0</v>
      </c>
      <c r="OU77" s="431"/>
      <c r="OV77" s="431"/>
      <c r="OW77" s="431">
        <f t="shared" ref="OW77:OW84" si="122">FO120</f>
        <v>0</v>
      </c>
      <c r="OX77" s="431">
        <f t="shared" si="109"/>
        <v>0</v>
      </c>
      <c r="OY77" s="431">
        <f t="shared" si="110"/>
        <v>0</v>
      </c>
      <c r="OZ77" s="431">
        <f t="shared" si="111"/>
        <v>0</v>
      </c>
      <c r="PA77" s="431">
        <f t="shared" si="112"/>
        <v>0</v>
      </c>
      <c r="PB77" s="478">
        <f t="shared" ref="PB77:PB84" si="123">FF120</f>
        <v>0</v>
      </c>
      <c r="PC77" s="478">
        <f t="shared" ref="PC77:PC84" si="124">FG120</f>
        <v>0</v>
      </c>
      <c r="PD77" s="478">
        <f t="shared" si="113"/>
        <v>0</v>
      </c>
      <c r="PE77" s="478">
        <f t="shared" si="114"/>
        <v>0</v>
      </c>
      <c r="PF77" s="478">
        <f t="shared" si="115"/>
        <v>0</v>
      </c>
      <c r="PG77" s="478">
        <f t="shared" si="116"/>
        <v>0</v>
      </c>
      <c r="PH77" s="841">
        <f t="shared" si="117"/>
        <v>0</v>
      </c>
      <c r="PI77" s="1277">
        <f>outputs_oppsum[[#This Row],[total_stab_hr]]/$AI$80</f>
        <v>0</v>
      </c>
      <c r="PJ77" s="211" t="str">
        <f>IF(AND($GL$35=1,outputs_oppsum[[#This Row],[tverrslag_status]]&lt;&gt;1),$GR$67,$GK$11)</f>
        <v>Ikke relevant</v>
      </c>
      <c r="PK77" s="211">
        <f>IFERROR(outputs_oppsum[[#This Row],[prosjekt_forbe]]*$AI$80,0)</f>
        <v>0</v>
      </c>
      <c r="PL77" s="211" t="b">
        <f t="shared" si="118"/>
        <v>0</v>
      </c>
      <c r="PM77" s="211" t="b">
        <f t="shared" si="118"/>
        <v>0</v>
      </c>
      <c r="PN77" s="211" t="b">
        <f t="shared" si="118"/>
        <v>0</v>
      </c>
      <c r="PO77" s="425" t="str">
        <f t="shared" si="118"/>
        <v>Ikke relevant</v>
      </c>
      <c r="PP77" s="431">
        <f>outputs_oppsum[[#This Row],[Forberedende]]*$AI$80</f>
        <v>0</v>
      </c>
      <c r="PQ77" s="431">
        <f>outputs_oppsum[[#This Row],[Portaler]]*$AI$80</f>
        <v>0</v>
      </c>
      <c r="PR77" s="431">
        <f>outputs_oppsum[[#This Row],[Andrearbeider]]*$AI$80</f>
        <v>0</v>
      </c>
      <c r="PS77" s="431">
        <f>IFERROR(outputs_oppsum[[#This Row],[total_forbe]]*$AI$80,0)</f>
        <v>0</v>
      </c>
      <c r="PT77" s="431" t="e">
        <f t="shared" si="77"/>
        <v>#VALUE!</v>
      </c>
      <c r="PU77"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7" s="1656">
        <f>outputs_oppsum[[#This Row],[oppsum_drivetid_hr]]/$AI$80</f>
        <v>0</v>
      </c>
      <c r="PW77" s="1660"/>
      <c r="PX77" s="1658">
        <f>INDEX(tverr_connection_2[22],MATCH($BC$28,tverr_connection_2[config],0))</f>
        <v>0</v>
      </c>
      <c r="PY77" s="1662" t="str">
        <f>IF(outputs_oppsum[[#This Row],[tverrslag_status]]=0,$HI$54,IF(outputs_oppsum[[#This Row],[tverrslag_status]]=1,$HI$55,"-"))</f>
        <v>Ikke påvirket</v>
      </c>
      <c r="PZ77" s="1663" t="str">
        <f>IFERROR(INDEX(outputs_tverrslag[Tverrslag construction time],MATCH(outputs_oppsum[[#This Row],[stuff_navn]],outputs_tverrslag[name],0)),"-")</f>
        <v>-</v>
      </c>
      <c r="QA77" s="1658" t="str">
        <f>IF(outputs_oppsum[[#This Row],[tverrslag_status_oppsum]]=$HI$55,$PU$84,"-")</f>
        <v>-</v>
      </c>
      <c r="QB77" s="1662" t="str">
        <f>IF(outputs_oppsum[[#This Row],[tverrslag_status_oppsum]]=$HI$55,$HI$66,"-")</f>
        <v>-</v>
      </c>
      <c r="QC77" s="1662" t="str">
        <f>IF(outputs_oppsum[[#This Row],[tverrslag_status_oppsum]]=$HI$55,$HJ$14,"-")</f>
        <v>-</v>
      </c>
      <c r="QD77" s="1668" t="str">
        <f>IFERROR(INDEX(outputs_tverrslag[forsink_perstuff_uker],MATCH(outputs_oppsum[[#This Row],[stuff_navn]],outputs_tverrslag[name],0)),"-")</f>
        <v>-</v>
      </c>
      <c r="QE77" s="843" t="str">
        <f>IFERROR(INDEX(outputs_tverrslag[forsink_total_uker],MATCH(outputs_oppsum[[#This Row],[stuff_navn]],outputs_tverrslag[name],0)),"-")</f>
        <v>-</v>
      </c>
      <c r="QF77" s="843" t="str">
        <f>IFERROR(INDEX(outputs_tverrslag[Kryssområdet_hr],MATCH(outputs_oppsum[[#This Row],[stuff_navn]],outputs_tverrslag[name],0)),"-")</f>
        <v>-</v>
      </c>
      <c r="QG77" s="843" t="str">
        <f>IFERROR(INDEX(outputs_tverrslag[forsink_total_hr],MATCH(outputs_oppsum[[#This Row],[stuff_navn]],outputs_tverrslag[name],0)),"-")</f>
        <v>-</v>
      </c>
      <c r="QH77" s="334">
        <f>SUMIF(outputs_oppsum[[#This Row],[kryssområdet_forberedende_hr2]:[extra_forsink_etter_tverrslag_total_hr]],"&lt;&gt;-")+SUMIF(outputs_oppsum[[#This Row],[tverrslag_tid]],"&lt;&gt;-")</f>
        <v>0</v>
      </c>
      <c r="QI77" s="334" t="str">
        <f>IF(OR(outputs_oppsum[[#This Row],[tverrslag_status_oppsum]]=$HI$55,outputs_oppsum[[#This Row],[tverrslag_status_oppsum]]=$I$90),$GR$67,"-")</f>
        <v>-</v>
      </c>
      <c r="QJ77" s="334">
        <f>IFERROR(outputs_oppsum[[#This Row],[extra_tverrslag_prosjekt_forarb_uke]]*$AI$80,0)</f>
        <v>0</v>
      </c>
      <c r="QK77" s="334" t="str">
        <f>IF(outputs_oppsum[[#This Row],[tverrslag_status_oppsum]]=$HI$55,$PO$75,"-")</f>
        <v>-</v>
      </c>
      <c r="QL77" s="1827">
        <f>IFERROR(outputs_oppsum[[#This Row],[extra_tverrslag_forarb_uke]]*$AI$80,0)</f>
        <v>0</v>
      </c>
      <c r="QM77" s="334" t="str">
        <f>IF(outputs_oppsum[[#This Row],[tverrslag_status_oppsum]]=$HI$55,$RA$75,"-")</f>
        <v>-</v>
      </c>
      <c r="QN77" s="1827">
        <f>IFERROR(outputs_oppsum[[#This Row],[extra_tverrslag_just_uke]]*$AI$80,0)</f>
        <v>0</v>
      </c>
      <c r="QO77" s="211" t="str">
        <f>IF(outputs_oppsum[[#This Row],[tverrslag_status_oppsum]]=$HI$55,$GK$96,"-")</f>
        <v>-</v>
      </c>
      <c r="QP77" s="1828">
        <f>IFERROR(outputs_oppsum[[#This Row],[tverrslag_forsinkt_uke]]*$AI$80,0)</f>
        <v>0</v>
      </c>
      <c r="QQ77"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7" s="1809">
        <f>IFERROR(IF(outputs_oppsum[[#This Row],[tverrslag_status_oppsum]]=$I$90,outputs_oppsum[[#This Row],[kryssområdet_forberedende_hr]],IF(outputs_oppsum[[#This Row],[tverrslag_status]]=1,outputs_oppsum[[#This Row],[tverrslag_total_hr]],0)),0)</f>
        <v>0</v>
      </c>
      <c r="QS77" s="1666" t="e">
        <f>INDEX(outputs_just[general_tid],MATCH(outputs_oppsum[[#This Row],[stuff_navn]],outputs_just[Navn],0))</f>
        <v>#N/A</v>
      </c>
      <c r="QT77" s="1666" t="e">
        <f>INDEX(outputs_just[geo_tid],MATCH(outputs_oppsum[[#This Row],[stuff_navn]],outputs_just[Navn],0))</f>
        <v>#N/A</v>
      </c>
      <c r="QU77" s="1666" t="e">
        <f>INDEX(outputs_just[stig_tid],MATCH(outputs_oppsum[[#This Row],[stuff_navn]],outputs_just[Navn],0))</f>
        <v>#N/A</v>
      </c>
      <c r="QV77" s="1666" t="e">
        <f>INDEX(outputs_just[arb_tid],MATCH(outputs_oppsum[[#This Row],[stuff_navn]],outputs_just[Navn],0))</f>
        <v>#N/A</v>
      </c>
      <c r="QW77" s="1666" t="e">
        <f>INDEX(outputs_just[spreng_tid],MATCH(outputs_oppsum[[#This Row],[stuff_navn]],outputs_just[Navn],0))</f>
        <v>#N/A</v>
      </c>
      <c r="QX77" s="1666" t="e">
        <f>INDEX(outputs_just[skyte_tid],MATCH(outputs_oppsum[[#This Row],[stuff_navn]],outputs_just[Navn],0))</f>
        <v>#N/A</v>
      </c>
      <c r="QY77" s="1666" t="e">
        <f>INDEX(outputs_just[støy_tid],MATCH(outputs_oppsum[[#This Row],[stuff_navn]],outputs_just[Navn],0))</f>
        <v>#N/A</v>
      </c>
      <c r="QZ77" s="1666" t="e">
        <f>INDEX(outputs_just[ann_tid],MATCH(outputs_oppsum[[#This Row],[stuff_navn]],outputs_just[Navn],0))</f>
        <v>#N/A</v>
      </c>
      <c r="RA77" s="1666" t="e">
        <f>SUM(outputs_oppsum[[#This Row],[just_generell]:[just_ann]])</f>
        <v>#N/A</v>
      </c>
      <c r="RB77" s="1666" t="e">
        <f>outputs_oppsum[[#This Row],[just_total_uke]]*$AI$80</f>
        <v>#N/A</v>
      </c>
      <c r="RC77" s="211">
        <f>INDEX(inputs_forsinket[tid_uke],MATCH(outputs_oppsum[[#This Row],[stuff_navn]],inputs_forsinket[name],0))</f>
        <v>0</v>
      </c>
      <c r="RD77" s="1805">
        <f>outputs_oppsum[[#This Row],[forsinket_uke]]*$AI$80</f>
        <v>0</v>
      </c>
      <c r="RE77" s="234">
        <f t="shared" si="119"/>
        <v>1</v>
      </c>
      <c r="RF77" s="211" t="str">
        <f>IF(RE77=1,_List!$AW$7,IF(RE77=2,_List!$AW$8,""))</f>
        <v>Enstuffs drift</v>
      </c>
      <c r="RG77" s="431" t="str">
        <f>IF(outputs_oppsum[[#This Row],[kon_metod_no]]=2,INDEX(framdriftfaktor[stab-foran_spreng_ratio],MATCH(outputs_oppsum[[#This Row],[stuff_id]],framdriftfaktor[stuff_id],0)),"-")</f>
        <v>-</v>
      </c>
      <c r="RH77" s="5269">
        <f>IF(outputs_oppsum[[#This Row],[kon_metod_no]]=2,INDEX(framdriftfaktor[beregnet_faktor_final],MATCH(outputs_oppsum[[#This Row],[stuff_id]],framdriftfaktor[stuff_id],0)),1)</f>
        <v>1</v>
      </c>
      <c r="RI77" s="5269" t="str">
        <f>IF(outputs_oppsum[[#This Row],[kon_metod]]=_List!$AW$8,INDEX(outputs_just[vek_faktor_bruker_definert_status],MATCH(outputs_oppsum[[#This Row],[stuff_navn]],outputs_just[Navn],0)),"")</f>
        <v/>
      </c>
      <c r="RJ77" s="5269" t="e">
        <f>IF(AND(outputs_oppsum[[#This Row],[kon_metod_no]]&lt;&gt;1,LP122=FALSE),LO122,"-")</f>
        <v>#N/A</v>
      </c>
      <c r="RK77" s="5269">
        <f>IF(AND(outputs_oppsum[[#This Row],[kon_metod_no]]=2,outputs_oppsum[[#This Row],[tverrslag_status_oppsum]]&lt;&gt;$I$90,outputs_oppsum[[#This Row],[faktor_bruker_definert]]=FALSE),outputs_oppsum[[#This Row],[faktor_user]],outputs_oppsum[[#This Row],[faktor_beregnet]])</f>
        <v>1</v>
      </c>
      <c r="RL77" s="1807">
        <f>IFERROR((outputs_oppsum[[#This Row],[faktor_final]]-1)*outputs_oppsum[[#This Row],[oppsum_drivetid_hr]]*outputs_oppsum[[#This Row],[veksel_prosent]],"-")</f>
        <v>0</v>
      </c>
      <c r="RM77" s="1807" t="str">
        <f>IF(outputs_oppsum[[#This Row],[kon_metod_no]]=2,outputs_oppsum[[#This Row],[ekstra_framdrift_tid_oppsum_hr]]/$AI$80,"-")</f>
        <v>-</v>
      </c>
      <c r="RN77" s="431" t="str">
        <f>IF(outputs_oppsum[[#This Row],[kon_metod_no]]=2,outputs_oppsum[[#This Row],[ekstra_drivetid_pga_faktor]],"-")</f>
        <v>-</v>
      </c>
      <c r="RO77" s="431">
        <f>IFERROR(outputs_oppsum[[#This Row],[oppsum_drivetid_hr]]+outputs_oppsum[[#This Row],[ekstra_drivetid_pga_faktor]],"-")</f>
        <v>0</v>
      </c>
      <c r="RP77"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7" s="5276">
        <f>IF(outputs_oppsum[[#This Row],[enstuff_prosent_input]]&gt;1,1,outputs_oppsum[[#This Row],[enstuff_prosent_input]])</f>
        <v>1</v>
      </c>
      <c r="RR77"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7" s="431"/>
      <c r="RT77" s="431"/>
      <c r="RU77" s="431"/>
      <c r="RV77" s="431"/>
      <c r="RW77" s="431" t="str">
        <f>IFERROR(outputs_oppsum[[#This Row],[drivetid_with_faktor]]+outputs_oppsum[[#This Row],[prosjekt_forbe_hr]]+outputs_oppsum[[#This Row],[total_forbe_hr]]+outputs_oppsum[[#This Row],[extra_for_tverrslag_sum]]+outputs_oppsum[[#This Row],[just_total_hr]]+outputs_oppsum[[#This Row],[forsinket_hr]],"!")</f>
        <v>!</v>
      </c>
      <c r="RX77" s="431" t="str">
        <f>IFERROR(outputs_oppsum[[#This Row],[oppsum_total_hr]]/$AI$80,"!")</f>
        <v>!</v>
      </c>
      <c r="RY77" s="431" t="str">
        <f>IF(MAX($RX$76:$RX$84)=outputs_oppsum[[#This Row],[oppsum_total_uke]],MAX($RX$76:$RX$84),"-")</f>
        <v>-</v>
      </c>
      <c r="RZ77" s="431" t="str">
        <f>IF(AND(ISNUMBER(outputs_oppsum[[#This Row],[Criticalstuff]]),$BC$34&lt;&gt;1,outputs_oppsum[[#This Row],[Criticalstuff]]&gt;0),$RZ$63,"")</f>
        <v/>
      </c>
      <c r="SA77" s="837"/>
      <c r="SB77" s="837"/>
      <c r="SC77" s="837"/>
      <c r="SD77" s="837"/>
      <c r="SE77" s="3521"/>
      <c r="SF77" s="3521"/>
      <c r="SG77" s="2617"/>
      <c r="SH77" s="3886"/>
      <c r="SI77" s="3886"/>
      <c r="SJ77" s="3886"/>
      <c r="SK77" s="3886"/>
      <c r="SL77" s="3886"/>
      <c r="SR77" s="2617"/>
      <c r="SS77" s="2617"/>
      <c r="ST77" s="2617"/>
      <c r="SU77" s="2617"/>
      <c r="SV77" s="2617"/>
      <c r="SW77" s="2617"/>
      <c r="SX77" s="2617"/>
      <c r="SY77" s="2617"/>
      <c r="SZ77" s="2617"/>
      <c r="TA77" s="2617"/>
      <c r="TB77" s="2617"/>
      <c r="TC77" s="2617"/>
      <c r="TD77" s="2617"/>
      <c r="TR77" s="183"/>
      <c r="TW77" s="181"/>
      <c r="TX77" s="183"/>
      <c r="TY77" s="183"/>
      <c r="TZ77" s="183"/>
      <c r="UA77" s="183"/>
      <c r="UC77" s="181"/>
      <c r="UD77" s="181"/>
      <c r="UE77" s="181"/>
      <c r="UF77" s="181"/>
      <c r="UK77" s="183"/>
      <c r="UL77" s="183"/>
      <c r="UM77" s="183"/>
      <c r="UN77" s="183"/>
      <c r="UO77" s="183"/>
      <c r="UQ77" s="184"/>
      <c r="US77" s="183"/>
      <c r="UT77" s="183"/>
      <c r="UU77" s="2617"/>
      <c r="UV77" s="2617"/>
      <c r="UW77" s="2617"/>
      <c r="UX77" s="2617"/>
      <c r="UY77" s="2617"/>
      <c r="UZ77" s="2617"/>
      <c r="VA77" s="2617"/>
      <c r="VB77" s="2617"/>
      <c r="VC77" s="2617"/>
      <c r="VD77" s="2617"/>
      <c r="VE77" s="2617"/>
      <c r="VF77"/>
      <c r="VG77" s="2617"/>
      <c r="VH77" s="2617"/>
      <c r="VI77" s="2617"/>
      <c r="VJ77" s="2617"/>
      <c r="VK77" s="2617"/>
      <c r="VL77" s="2617"/>
      <c r="VM77" s="2617"/>
      <c r="VN77" s="2617"/>
      <c r="VO77" s="2617"/>
      <c r="VP77" s="2617"/>
      <c r="VQ77" s="2617"/>
      <c r="VR77" s="2617"/>
      <c r="VS77" s="2617"/>
      <c r="VT77" s="2617"/>
      <c r="VU77" s="2617"/>
      <c r="VV77" s="2617"/>
      <c r="VW77" s="2617"/>
      <c r="VX77" s="2617"/>
      <c r="VY77" s="2617"/>
      <c r="VZ77" s="2617"/>
      <c r="WA77" s="2617"/>
      <c r="WB77" s="2617"/>
      <c r="WC77" s="2617"/>
      <c r="WD77" s="2617"/>
      <c r="WE77" s="2617"/>
      <c r="WF77" s="2617"/>
      <c r="WG77" s="2617"/>
      <c r="WH77" s="2617"/>
      <c r="WI77" s="2617"/>
      <c r="WJ77" s="2617"/>
      <c r="WK77" s="2617"/>
      <c r="WL77" s="2617"/>
      <c r="WM77" s="2617"/>
      <c r="WN77" s="2617"/>
      <c r="WO77" s="2617"/>
      <c r="WP77" s="2617"/>
      <c r="WQ77" s="2617"/>
      <c r="WR77" s="2617"/>
      <c r="WS77" s="2617"/>
      <c r="WT77" s="2617"/>
      <c r="WU77" s="2617"/>
      <c r="WV77" s="2617"/>
      <c r="WW77" s="2617"/>
      <c r="WX77" s="2617"/>
      <c r="WY77" s="1754"/>
      <c r="WZ77" s="1754"/>
      <c r="XA77" s="1754"/>
      <c r="XB77" s="1754"/>
      <c r="XC77" s="1754"/>
      <c r="XD77" s="1754"/>
      <c r="XE77" s="1754"/>
      <c r="XF77" s="1754"/>
      <c r="XG77" s="1754"/>
      <c r="XH77" s="1754"/>
      <c r="XI77" s="1754"/>
      <c r="XJ77" s="1754"/>
      <c r="XK77" s="1754"/>
      <c r="XL77" s="265"/>
      <c r="XM77" s="265"/>
      <c r="XN77" s="265"/>
      <c r="XO77" s="265"/>
      <c r="XP77" s="265"/>
      <c r="XQ77" s="265"/>
      <c r="XR77" s="265"/>
      <c r="XS77" s="265"/>
      <c r="XT77" s="265"/>
      <c r="XU77" s="265"/>
    </row>
    <row r="78" spans="9:645" ht="31.5" thickBot="1" x14ac:dyDescent="0.25">
      <c r="I78" s="185"/>
      <c r="J78" s="185"/>
      <c r="K78" s="185"/>
      <c r="L78" s="185" t="s">
        <v>2768</v>
      </c>
      <c r="M78" s="185"/>
      <c r="N78" s="185" t="s">
        <v>1502</v>
      </c>
      <c r="O78" s="185" t="s">
        <v>2706</v>
      </c>
      <c r="AH78" s="3462" t="s">
        <v>421</v>
      </c>
      <c r="AL78" s="181"/>
      <c r="AM78" s="181"/>
      <c r="AN78" s="181"/>
      <c r="AO78" s="181"/>
      <c r="AP78" s="181"/>
      <c r="AQ78" s="181"/>
      <c r="AR78" s="181"/>
      <c r="AS78" s="181"/>
      <c r="AT78" s="181"/>
      <c r="AU78" s="2617"/>
      <c r="AV78" s="2617"/>
      <c r="BB78" s="287" t="s">
        <v>331</v>
      </c>
      <c r="BC78" s="275"/>
      <c r="BD78" s="275"/>
      <c r="BE78" s="275"/>
      <c r="BF78" s="288"/>
      <c r="EM78" s="210"/>
      <c r="EN78" s="210"/>
      <c r="ER78" s="439" t="str">
        <f>$QR$135</f>
        <v>Stuff 1-4</v>
      </c>
      <c r="ES78" s="188">
        <f>IF($BC$38=1,0,IF($BC$38=2,4,0))</f>
        <v>4</v>
      </c>
      <c r="ET78" s="185">
        <f>IF($BC$34&gt;3,1,0)</f>
        <v>0</v>
      </c>
      <c r="EU78" s="194">
        <f>IF($BC$38=2,INDEX(outputs_position[14],MATCH($BC$35,outputs_position[lopstuff],0)),0)</f>
        <v>0</v>
      </c>
      <c r="EV78" s="473" t="str">
        <f t="shared" si="82"/>
        <v>Stuff 1-4</v>
      </c>
      <c r="EW78" s="238">
        <f>IFERROR(INDEX(inputs_stab[Manuell],MATCH($EU78,inputs_stab[Position],0)),0)</f>
        <v>0</v>
      </c>
      <c r="EX78" s="185">
        <f>IFERROR(INDEX(inputs_stab[lt4m],MATCH($EU78,inputs_stab[Position],0)),0)</f>
        <v>0</v>
      </c>
      <c r="EY78" s="185">
        <f>IFERROR(INDEX(inputs_stab[gt4m],MATCH($EU78,inputs_stab[Position],0)),0)</f>
        <v>0</v>
      </c>
      <c r="EZ78" s="185">
        <f>IFERROR(INDEX(inputs_stab[band],MATCH($EU78,inputs_stab[Position],0)),0)</f>
        <v>0</v>
      </c>
      <c r="FA78" s="185">
        <f>IFERROR(INDEX(inputs_stab[net],MATCH($EU78,inputs_stab[Position],0)),0)</f>
        <v>0</v>
      </c>
      <c r="FB78" s="185">
        <f>IFERROR(INDEX(inputs_stab[shotcrete],MATCH($EU78,inputs_stab[Position],0)),0)</f>
        <v>0</v>
      </c>
      <c r="FC78" s="185">
        <f>IFERROR(INDEX(inputs_stab[buer],MATCH($EU78,inputs_stab[Position],0)),0)</f>
        <v>0</v>
      </c>
      <c r="FD78" s="185">
        <f>IFERROR(INDEX(inputs_stab[sik_12],MATCH($EU78,inputs_stab[Position],0)),0)</f>
        <v>0</v>
      </c>
      <c r="FE78" s="193">
        <f>IFERROR(INDEX(inputs_stab[sik_3],MATCH($EU78,inputs_stab[Position],0)),0)</f>
        <v>0</v>
      </c>
      <c r="FF78" s="193">
        <f>IFERROR(INDEX(inputs_stab[kartlegging],MATCH($EU78,inputs_stab[Position],0)),0)</f>
        <v>0</v>
      </c>
      <c r="FG78" s="185">
        <f>IFERROR(INDEX(inputs_stab[festebolter],MATCH($EU78,inputs_stab[Position],0)),0)</f>
        <v>0</v>
      </c>
      <c r="FM78" s="2617"/>
      <c r="FN78" s="2617"/>
      <c r="GH78" s="414"/>
      <c r="GJ78" s="2617"/>
      <c r="GK78" s="2617"/>
      <c r="GL78" s="2617"/>
      <c r="GM78" s="2617"/>
      <c r="GN78" s="2617"/>
      <c r="GO78" s="2617"/>
      <c r="GP78" s="2617"/>
      <c r="GQ78" s="2617"/>
      <c r="GR78" s="2617"/>
      <c r="GS78" s="2617"/>
      <c r="IH78" s="1761">
        <v>2</v>
      </c>
      <c r="II78" s="1761" t="e">
        <f t="shared" ref="II78:IJ78" si="125">II19</f>
        <v>#N/A</v>
      </c>
      <c r="IJ78" s="1761" t="b">
        <f t="shared" si="125"/>
        <v>1</v>
      </c>
      <c r="IK78" s="5944" t="e">
        <f t="shared" si="120"/>
        <v>#N/A</v>
      </c>
      <c r="IL78" s="1761" t="e">
        <f t="shared" ref="IL78:IL85" si="126">IF(AND(II19=2,IJ19=FALSE),IM19,"")</f>
        <v>#N/A</v>
      </c>
      <c r="IM78" s="1761"/>
      <c r="IN78" s="1761" t="str">
        <f>IF(utskrift_just[[#This Row],[general_svar_id]]=1,"Ja","Nei")</f>
        <v>Nei</v>
      </c>
      <c r="IO78" s="1811">
        <f t="shared" ref="IO78:IO85" si="127">IO19</f>
        <v>0</v>
      </c>
      <c r="IP78" s="3700" t="str">
        <f>IF(utskrift_just[[#This Row],[general_svar_id]]=1,IP19,"-")</f>
        <v>-</v>
      </c>
      <c r="IQ78" s="1811" t="str">
        <f>IF(utskrift_just[[#This Row],[general_svar_id]]=1,IQ19,"")</f>
        <v/>
      </c>
      <c r="IR78" s="1811" t="str">
        <f>IF(utskrift_just[[#This Row],[general_svar_id]]=2,IR19,"Nei")</f>
        <v>Nei</v>
      </c>
      <c r="IS78" s="3700" t="str">
        <f>IF(AND(utskrift_just[[#This Row],[general_svar_id]]=2,utskrift_just[[#This Row],[geo_svar]]="Ja"),IS19,"-")</f>
        <v>-</v>
      </c>
      <c r="IT78" s="1811" t="str">
        <f>IF(AND(utskrift_just[[#This Row],[general_svar_id]]=2,utskrift_just[[#This Row],[geo_svar]]="Ja"),IT19,"-")</f>
        <v>-</v>
      </c>
      <c r="IU78" s="1811" t="str">
        <f>IF(utskrift_just[[#This Row],[general_svar_id]]=2,IU19,"Nei")</f>
        <v>Nei</v>
      </c>
      <c r="IV78" s="3700" t="str">
        <f>IF(AND(utskrift_just[[#This Row],[general_svar_id]]=2,utskrift_just[[#This Row],[stig_svar]]="Ja"),IV19,"-")</f>
        <v>-</v>
      </c>
      <c r="IW78" s="1811" t="str">
        <f>IF(AND(utskrift_just[[#This Row],[general_svar_id]]=2,utskrift_just[[#This Row],[stig_svar]]="Ja"),IW19,"-")</f>
        <v>-</v>
      </c>
      <c r="IX78" s="1811" t="str">
        <f>IF(utskrift_just[[#This Row],[general_svar_id]]=2,IX19,"Nei")</f>
        <v>Nei</v>
      </c>
      <c r="IY78" s="3700" t="str">
        <f>IF(AND(utskrift_just[[#This Row],[general_svar_id]]=2,utskrift_just[[#This Row],[arb_svar]]="Ja"),IY19,"-")</f>
        <v>-</v>
      </c>
      <c r="IZ78" s="1811" t="str">
        <f>IF(AND(utskrift_just[[#This Row],[general_svar_id]]=2,utskrift_just[[#This Row],[arb_svar]]="Ja"),IZ19,"-")</f>
        <v>-</v>
      </c>
      <c r="JA78" s="1811" t="str">
        <f>IF(utskrift_just[[#This Row],[general_svar_id]]=2,JA19,"Nei")</f>
        <v>Nei</v>
      </c>
      <c r="JB78" s="3700" t="str">
        <f>IF(AND(utskrift_just[[#This Row],[general_svar_id]]=2,utskrift_just[[#This Row],[spreng_svar]]="Ja"),JB19,"-")</f>
        <v>-</v>
      </c>
      <c r="JC78" s="1811" t="str">
        <f>IF(AND(utskrift_just[[#This Row],[general_svar_id]]=2,utskrift_just[[#This Row],[spreng_svar]]="Ja"),JC19,"-")</f>
        <v>-</v>
      </c>
      <c r="JD78" s="1811" t="str">
        <f>IF(utskrift_just[[#This Row],[general_svar_id]]=2,JD19,"Nei")</f>
        <v>Nei</v>
      </c>
      <c r="JE78" s="3700" t="str">
        <f>IF(AND(utskrift_just[[#This Row],[general_svar_id]]=2,utskrift_just[[#This Row],[skyte_svar]]="Ja"),JE19,"-")</f>
        <v>-</v>
      </c>
      <c r="JF78" s="1811" t="str">
        <f>IF(AND(utskrift_just[[#This Row],[general_svar_id]]=2,utskrift_just[[#This Row],[skyte_svar]]="Ja"),JF19,"-")</f>
        <v>-</v>
      </c>
      <c r="JG78" s="1811" t="str">
        <f>IF(utskrift_just[[#This Row],[general_svar_id]]=2,JG19,"Nei")</f>
        <v>Nei</v>
      </c>
      <c r="JH78" s="3700" t="str">
        <f>IF(AND(utskrift_just[[#This Row],[general_svar_id]]=2,utskrift_just[[#This Row],[støy_svar]]="Ja"),JH19,"-")</f>
        <v>-</v>
      </c>
      <c r="JI78" s="1811" t="str">
        <f>IF(AND(utskrift_just[[#This Row],[general_svar_id]]=2,utskrift_just[[#This Row],[støy_svar]]="Ja"),JI19,"-")</f>
        <v>-</v>
      </c>
      <c r="JJ78" s="1811" t="str">
        <f>IF(utskrift_just[[#This Row],[general_svar_id]]=2,JJ19,"Nei")</f>
        <v>Nei</v>
      </c>
      <c r="JK78" s="3700" t="str">
        <f>IF(AND(utskrift_just[[#This Row],[general_svar_id]]=2,utskrift_just[[#This Row],[ann_svar]]="Ja"),JK19,"-")</f>
        <v>-</v>
      </c>
      <c r="JL78" s="1811" t="str">
        <f>IF(AND(utskrift_just[[#This Row],[general_svar_id]]=2,utskrift_just[[#This Row],[ann_svar]]="Ja"),JL19,"-")</f>
        <v>-</v>
      </c>
      <c r="JM78" s="2633">
        <f>IF(JW59=1,_List!$EG$7,IFERROR(utskrift_just[[#This Row],[general_tid]]+utskrift_just[[#This Row],[geo_tid]]+utskrift_just[[#This Row],[stig_tid]]+utskrift_just[[#This Row],[arb_tid]]+utskrift_just[[#This Row],[spreng_tid]]+utskrift_just[[#This Row],[skyte_tid]]+utskrift_just[[#This Row],[støy_tid]]+utskrift_just[[#This Row],[ann_tid]],0))</f>
        <v>0</v>
      </c>
      <c r="JN78" s="1812" t="str">
        <f>IFERROR((INDEX(oppsum_position[Name],MATCH(utskrift_just[[#This Row],[position]],oppsum_position[Position],0))),"")</f>
        <v/>
      </c>
      <c r="JO78" s="1811">
        <v>2</v>
      </c>
      <c r="JP78" s="1811">
        <f>IF($BC$34&gt;1,1,0)</f>
        <v>0</v>
      </c>
      <c r="JQ78" s="1811">
        <f>INDEX(outputs_position[12],MATCH($BC$35,outputs_position[lopstuff],0))</f>
        <v>0</v>
      </c>
      <c r="KL78" s="2617"/>
      <c r="KO78" s="5202"/>
      <c r="KP78" s="5202"/>
      <c r="KZ78" s="2617"/>
      <c r="LA78" s="2617"/>
      <c r="LB78" s="2617"/>
      <c r="LX78" s="5268"/>
      <c r="NI78" s="1567"/>
      <c r="NN78" s="407">
        <v>32</v>
      </c>
      <c r="NO78" s="340" t="str">
        <f t="shared" si="121"/>
        <v>Stuff 1-3</v>
      </c>
      <c r="NP78" s="431">
        <f t="shared" si="83"/>
        <v>0</v>
      </c>
      <c r="NQ78" s="431">
        <f t="shared" si="84"/>
        <v>0</v>
      </c>
      <c r="NR78" s="431">
        <f t="shared" si="85"/>
        <v>0</v>
      </c>
      <c r="NS78" s="431">
        <f t="shared" si="86"/>
        <v>0</v>
      </c>
      <c r="NT78" s="411">
        <f t="shared" si="87"/>
        <v>0</v>
      </c>
      <c r="NU78" s="411">
        <f t="shared" si="88"/>
        <v>0</v>
      </c>
      <c r="NV78" s="411">
        <f>outputs_oppsum[[#This Row],[total_lop]]+outputs_oppsum[[#This Row],[total_nisj]]</f>
        <v>0</v>
      </c>
      <c r="NW78" s="411">
        <f>outputs_oppsum[[#This Row],[total_spreng_hr]]/$AI$80</f>
        <v>0</v>
      </c>
      <c r="NX78" s="431">
        <f t="shared" si="89"/>
        <v>0</v>
      </c>
      <c r="NY78" s="431">
        <f t="shared" si="90"/>
        <v>0</v>
      </c>
      <c r="NZ78" s="431">
        <f t="shared" si="91"/>
        <v>0</v>
      </c>
      <c r="OA78" s="431">
        <f t="shared" si="92"/>
        <v>0</v>
      </c>
      <c r="OB78" s="431">
        <f t="shared" si="93"/>
        <v>0</v>
      </c>
      <c r="OC78" s="431">
        <f t="shared" si="94"/>
        <v>0</v>
      </c>
      <c r="OD78" s="431">
        <f t="shared" si="95"/>
        <v>0</v>
      </c>
      <c r="OE78" s="431">
        <f t="shared" si="96"/>
        <v>0</v>
      </c>
      <c r="OF78" s="431">
        <f t="shared" si="97"/>
        <v>0</v>
      </c>
      <c r="OG78" s="431">
        <f t="shared" si="98"/>
        <v>0</v>
      </c>
      <c r="OH78" s="431">
        <f t="shared" si="99"/>
        <v>0</v>
      </c>
      <c r="OI78" s="477">
        <f t="shared" si="100"/>
        <v>0</v>
      </c>
      <c r="OJ78" s="3703">
        <f>outputs_oppsum[[#This Row],[total_foran_hr]]/$AI$80</f>
        <v>0</v>
      </c>
      <c r="OK78" s="477">
        <f t="shared" si="101"/>
        <v>0</v>
      </c>
      <c r="OL78" s="477">
        <f t="shared" si="102"/>
        <v>0</v>
      </c>
      <c r="OM78" s="431">
        <f t="shared" si="103"/>
        <v>0</v>
      </c>
      <c r="ON78" s="431">
        <f t="shared" si="104"/>
        <v>0</v>
      </c>
      <c r="OO78" s="431">
        <f t="shared" si="105"/>
        <v>0</v>
      </c>
      <c r="OP78" s="431">
        <f t="shared" si="106"/>
        <v>0</v>
      </c>
      <c r="OQ78" s="431">
        <f t="shared" si="107"/>
        <v>0</v>
      </c>
      <c r="OR78" s="431"/>
      <c r="OS78" s="431"/>
      <c r="OT78" s="431">
        <f t="shared" si="108"/>
        <v>0</v>
      </c>
      <c r="OU78" s="431"/>
      <c r="OV78" s="431"/>
      <c r="OW78" s="431">
        <f t="shared" si="122"/>
        <v>0</v>
      </c>
      <c r="OX78" s="431">
        <f t="shared" si="109"/>
        <v>0</v>
      </c>
      <c r="OY78" s="431">
        <f t="shared" si="110"/>
        <v>0</v>
      </c>
      <c r="OZ78" s="431">
        <f t="shared" si="111"/>
        <v>0</v>
      </c>
      <c r="PA78" s="431">
        <f t="shared" si="112"/>
        <v>0</v>
      </c>
      <c r="PB78" s="478">
        <f t="shared" si="123"/>
        <v>0</v>
      </c>
      <c r="PC78" s="478">
        <f t="shared" si="124"/>
        <v>0</v>
      </c>
      <c r="PD78" s="478">
        <f t="shared" si="113"/>
        <v>0</v>
      </c>
      <c r="PE78" s="478">
        <f t="shared" si="114"/>
        <v>0</v>
      </c>
      <c r="PF78" s="478">
        <f t="shared" si="115"/>
        <v>0</v>
      </c>
      <c r="PG78" s="478">
        <f t="shared" si="116"/>
        <v>0</v>
      </c>
      <c r="PH78" s="841">
        <f t="shared" si="117"/>
        <v>0</v>
      </c>
      <c r="PI78" s="1277">
        <f>outputs_oppsum[[#This Row],[total_stab_hr]]/$AI$80</f>
        <v>0</v>
      </c>
      <c r="PJ78" s="211" t="str">
        <f>IF(AND($GL$35=1,outputs_oppsum[[#This Row],[tverrslag_status]]&lt;&gt;1),$GR$67,$GK$11)</f>
        <v>Ikke relevant</v>
      </c>
      <c r="PK78" s="211">
        <f>IFERROR(outputs_oppsum[[#This Row],[prosjekt_forbe]]*$AI$80,0)</f>
        <v>0</v>
      </c>
      <c r="PL78" s="211" t="b">
        <f t="shared" si="118"/>
        <v>0</v>
      </c>
      <c r="PM78" s="211" t="b">
        <f t="shared" si="118"/>
        <v>0</v>
      </c>
      <c r="PN78" s="211" t="b">
        <f t="shared" si="118"/>
        <v>0</v>
      </c>
      <c r="PO78" s="425" t="str">
        <f t="shared" si="118"/>
        <v>Ikke relevant</v>
      </c>
      <c r="PP78" s="431">
        <f>outputs_oppsum[[#This Row],[Forberedende]]*$AI$80</f>
        <v>0</v>
      </c>
      <c r="PQ78" s="431">
        <f>outputs_oppsum[[#This Row],[Portaler]]*$AI$80</f>
        <v>0</v>
      </c>
      <c r="PR78" s="431">
        <f>outputs_oppsum[[#This Row],[Andrearbeider]]*$AI$80</f>
        <v>0</v>
      </c>
      <c r="PS78" s="431">
        <f>IFERROR(outputs_oppsum[[#This Row],[total_forbe]]*$AI$80,0)</f>
        <v>0</v>
      </c>
      <c r="PT78" s="431" t="e">
        <f t="shared" si="77"/>
        <v>#VALUE!</v>
      </c>
      <c r="PU78"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8" s="1656">
        <f>outputs_oppsum[[#This Row],[oppsum_drivetid_hr]]/$AI$80</f>
        <v>0</v>
      </c>
      <c r="PW78" s="1660"/>
      <c r="PX78" s="1658">
        <f>INDEX(tverr_connection_2[32],MATCH($BC$28,tverr_connection_2[config],0))</f>
        <v>0</v>
      </c>
      <c r="PY78" s="1662" t="str">
        <f>IF(outputs_oppsum[[#This Row],[tverrslag_status]]=0,$HI$54,IF(outputs_oppsum[[#This Row],[tverrslag_status]]=1,$HI$55,"-"))</f>
        <v>Ikke påvirket</v>
      </c>
      <c r="PZ78" s="1663" t="str">
        <f>IFERROR(INDEX(outputs_tverrslag[Tverrslag construction time],MATCH(outputs_oppsum[[#This Row],[stuff_navn]],outputs_tverrslag[name],0)),"-")</f>
        <v>-</v>
      </c>
      <c r="QA78" s="1658" t="str">
        <f>IF(outputs_oppsum[[#This Row],[tverrslag_status_oppsum]]=$HI$55,$PU$84,"-")</f>
        <v>-</v>
      </c>
      <c r="QB78" s="1662" t="str">
        <f>IF(outputs_oppsum[[#This Row],[tverrslag_status_oppsum]]=$HI$55,$HI$66,"-")</f>
        <v>-</v>
      </c>
      <c r="QC78" s="1662" t="str">
        <f>IF(outputs_oppsum[[#This Row],[tverrslag_status_oppsum]]=$HI$55,$HJ$14,"-")</f>
        <v>-</v>
      </c>
      <c r="QD78" s="1668" t="str">
        <f>IFERROR(INDEX(outputs_tverrslag[forsink_perstuff_uker],MATCH(outputs_oppsum[[#This Row],[stuff_navn]],outputs_tverrslag[name],0)),"-")</f>
        <v>-</v>
      </c>
      <c r="QE78" s="843" t="str">
        <f>IFERROR(INDEX(outputs_tverrslag[forsink_total_uker],MATCH(outputs_oppsum[[#This Row],[stuff_navn]],outputs_tverrslag[name],0)),"-")</f>
        <v>-</v>
      </c>
      <c r="QF78" s="843" t="str">
        <f>IFERROR(INDEX(outputs_tverrslag[Kryssområdet_hr],MATCH(outputs_oppsum[[#This Row],[stuff_navn]],outputs_tverrslag[name],0)),"-")</f>
        <v>-</v>
      </c>
      <c r="QG78" s="843" t="str">
        <f>IFERROR(INDEX(outputs_tverrslag[forsink_total_hr],MATCH(outputs_oppsum[[#This Row],[stuff_navn]],outputs_tverrslag[name],0)),"-")</f>
        <v>-</v>
      </c>
      <c r="QH78" s="334">
        <f>SUMIF(outputs_oppsum[[#This Row],[kryssområdet_forberedende_hr2]:[extra_forsink_etter_tverrslag_total_hr]],"&lt;&gt;-")+SUMIF(outputs_oppsum[[#This Row],[tverrslag_tid]],"&lt;&gt;-")</f>
        <v>0</v>
      </c>
      <c r="QI78" s="334" t="str">
        <f>IF(OR(outputs_oppsum[[#This Row],[tverrslag_status_oppsum]]=$HI$55,outputs_oppsum[[#This Row],[tverrslag_status_oppsum]]=$I$90),$GR$67,"-")</f>
        <v>-</v>
      </c>
      <c r="QJ78" s="334">
        <f>IFERROR(outputs_oppsum[[#This Row],[extra_tverrslag_prosjekt_forarb_uke]]*$AI$80,0)</f>
        <v>0</v>
      </c>
      <c r="QK78" s="334" t="str">
        <f>IF(outputs_oppsum[[#This Row],[tverrslag_status_oppsum]]=$HI$55,$PO$75,"-")</f>
        <v>-</v>
      </c>
      <c r="QL78" s="1827">
        <f>IFERROR(outputs_oppsum[[#This Row],[extra_tverrslag_forarb_uke]]*$AI$80,0)</f>
        <v>0</v>
      </c>
      <c r="QM78" s="334" t="str">
        <f>IF(outputs_oppsum[[#This Row],[tverrslag_status_oppsum]]=$HI$55,$RA$75,"-")</f>
        <v>-</v>
      </c>
      <c r="QN78" s="1827">
        <f>IFERROR(outputs_oppsum[[#This Row],[extra_tverrslag_just_uke]]*$AI$80,0)</f>
        <v>0</v>
      </c>
      <c r="QO78" s="211" t="str">
        <f>IF(outputs_oppsum[[#This Row],[tverrslag_status_oppsum]]=$HI$55,$GK$96,"-")</f>
        <v>-</v>
      </c>
      <c r="QP78" s="1828">
        <f>IFERROR(outputs_oppsum[[#This Row],[tverrslag_forsinkt_uke]]*$AI$80,0)</f>
        <v>0</v>
      </c>
      <c r="QQ78"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8" s="1809">
        <f>IFERROR(IF(outputs_oppsum[[#This Row],[tverrslag_status_oppsum]]=$I$90,outputs_oppsum[[#This Row],[kryssområdet_forberedende_hr]],IF(outputs_oppsum[[#This Row],[tverrslag_status]]=1,outputs_oppsum[[#This Row],[tverrslag_total_hr]],0)),0)</f>
        <v>0</v>
      </c>
      <c r="QS78" s="1666" t="e">
        <f>INDEX(outputs_just[general_tid],MATCH(outputs_oppsum[[#This Row],[stuff_navn]],outputs_just[Navn],0))</f>
        <v>#N/A</v>
      </c>
      <c r="QT78" s="1666" t="e">
        <f>INDEX(outputs_just[geo_tid],MATCH(outputs_oppsum[[#This Row],[stuff_navn]],outputs_just[Navn],0))</f>
        <v>#N/A</v>
      </c>
      <c r="QU78" s="1666" t="e">
        <f>INDEX(outputs_just[stig_tid],MATCH(outputs_oppsum[[#This Row],[stuff_navn]],outputs_just[Navn],0))</f>
        <v>#N/A</v>
      </c>
      <c r="QV78" s="1666" t="e">
        <f>INDEX(outputs_just[arb_tid],MATCH(outputs_oppsum[[#This Row],[stuff_navn]],outputs_just[Navn],0))</f>
        <v>#N/A</v>
      </c>
      <c r="QW78" s="1666" t="e">
        <f>INDEX(outputs_just[spreng_tid],MATCH(outputs_oppsum[[#This Row],[stuff_navn]],outputs_just[Navn],0))</f>
        <v>#N/A</v>
      </c>
      <c r="QX78" s="1666" t="e">
        <f>INDEX(outputs_just[skyte_tid],MATCH(outputs_oppsum[[#This Row],[stuff_navn]],outputs_just[Navn],0))</f>
        <v>#N/A</v>
      </c>
      <c r="QY78" s="1666" t="e">
        <f>INDEX(outputs_just[støy_tid],MATCH(outputs_oppsum[[#This Row],[stuff_navn]],outputs_just[Navn],0))</f>
        <v>#N/A</v>
      </c>
      <c r="QZ78" s="1666" t="e">
        <f>INDEX(outputs_just[ann_tid],MATCH(outputs_oppsum[[#This Row],[stuff_navn]],outputs_just[Navn],0))</f>
        <v>#N/A</v>
      </c>
      <c r="RA78" s="1666" t="e">
        <f>SUM(outputs_oppsum[[#This Row],[just_generell]:[just_ann]])</f>
        <v>#N/A</v>
      </c>
      <c r="RB78" s="1666" t="e">
        <f>outputs_oppsum[[#This Row],[just_total_uke]]*$AI$80</f>
        <v>#N/A</v>
      </c>
      <c r="RC78" s="211">
        <f>INDEX(inputs_forsinket[tid_uke],MATCH(outputs_oppsum[[#This Row],[stuff_navn]],inputs_forsinket[name],0))</f>
        <v>0</v>
      </c>
      <c r="RD78" s="1805">
        <f>outputs_oppsum[[#This Row],[forsinket_uke]]*$AI$80</f>
        <v>0</v>
      </c>
      <c r="RE78" s="234">
        <f t="shared" si="119"/>
        <v>1</v>
      </c>
      <c r="RF78" s="211" t="str">
        <f>IF(RE78=1,_List!$AW$7,IF(RE78=2,_List!$AW$8,""))</f>
        <v>Enstuffs drift</v>
      </c>
      <c r="RG78" s="431" t="str">
        <f>IF(outputs_oppsum[[#This Row],[kon_metod_no]]=2,INDEX(framdriftfaktor[stab-foran_spreng_ratio],MATCH(outputs_oppsum[[#This Row],[stuff_id]],framdriftfaktor[stuff_id],0)),"-")</f>
        <v>-</v>
      </c>
      <c r="RH78" s="5269">
        <f>IF(outputs_oppsum[[#This Row],[kon_metod_no]]=2,INDEX(framdriftfaktor[beregnet_faktor_final],MATCH(outputs_oppsum[[#This Row],[stuff_id]],framdriftfaktor[stuff_id],0)),1)</f>
        <v>1</v>
      </c>
      <c r="RI78" s="5269" t="str">
        <f>IF(outputs_oppsum[[#This Row],[kon_metod]]=_List!$AW$8,INDEX(outputs_just[vek_faktor_bruker_definert_status],MATCH(outputs_oppsum[[#This Row],[stuff_navn]],outputs_just[Navn],0)),"")</f>
        <v/>
      </c>
      <c r="RJ78" s="5269" t="e">
        <f>IF(AND(outputs_oppsum[[#This Row],[kon_metod_no]]&lt;&gt;1,LP123=FALSE),LO123,"-")</f>
        <v>#N/A</v>
      </c>
      <c r="RK78" s="5269">
        <f>IF(AND(outputs_oppsum[[#This Row],[kon_metod_no]]=2,outputs_oppsum[[#This Row],[tverrslag_status_oppsum]]&lt;&gt;$I$90,outputs_oppsum[[#This Row],[faktor_bruker_definert]]=FALSE),outputs_oppsum[[#This Row],[faktor_user]],outputs_oppsum[[#This Row],[faktor_beregnet]])</f>
        <v>1</v>
      </c>
      <c r="RL78" s="1807">
        <f>IFERROR((outputs_oppsum[[#This Row],[faktor_final]]-1)*outputs_oppsum[[#This Row],[oppsum_drivetid_hr]]*outputs_oppsum[[#This Row],[veksel_prosent]],"-")</f>
        <v>0</v>
      </c>
      <c r="RM78" s="1807" t="str">
        <f>IF(outputs_oppsum[[#This Row],[kon_metod_no]]=2,outputs_oppsum[[#This Row],[ekstra_framdrift_tid_oppsum_hr]]/$AI$80,"-")</f>
        <v>-</v>
      </c>
      <c r="RN78" s="431" t="str">
        <f>IF(outputs_oppsum[[#This Row],[kon_metod_no]]=2,outputs_oppsum[[#This Row],[ekstra_drivetid_pga_faktor]],"-")</f>
        <v>-</v>
      </c>
      <c r="RO78" s="431">
        <f>IFERROR(outputs_oppsum[[#This Row],[oppsum_drivetid_hr]]+outputs_oppsum[[#This Row],[ekstra_drivetid_pga_faktor]],"-")</f>
        <v>0</v>
      </c>
      <c r="RP78"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8" s="5276">
        <f>IF(outputs_oppsum[[#This Row],[enstuff_prosent_input]]&gt;1,1,outputs_oppsum[[#This Row],[enstuff_prosent_input]])</f>
        <v>1</v>
      </c>
      <c r="RR78"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8" s="431"/>
      <c r="RT78" s="431"/>
      <c r="RU78" s="431"/>
      <c r="RV78" s="431"/>
      <c r="RW78" s="431" t="str">
        <f>IFERROR(outputs_oppsum[[#This Row],[drivetid_with_faktor]]+outputs_oppsum[[#This Row],[prosjekt_forbe_hr]]+outputs_oppsum[[#This Row],[total_forbe_hr]]+outputs_oppsum[[#This Row],[extra_for_tverrslag_sum]]+outputs_oppsum[[#This Row],[just_total_hr]]+outputs_oppsum[[#This Row],[forsinket_hr]],"!")</f>
        <v>!</v>
      </c>
      <c r="RX78" s="431" t="str">
        <f>IFERROR(outputs_oppsum[[#This Row],[oppsum_total_hr]]/$AI$80,"!")</f>
        <v>!</v>
      </c>
      <c r="RY78" s="431" t="str">
        <f>IF(MAX($RX$76:$RX$84)=outputs_oppsum[[#This Row],[oppsum_total_uke]],MAX($RX$76:$RX$84),"-")</f>
        <v>-</v>
      </c>
      <c r="RZ78" s="431" t="str">
        <f>IF(AND(ISNUMBER(outputs_oppsum[[#This Row],[Criticalstuff]]),$BC$34&lt;&gt;1,outputs_oppsum[[#This Row],[Criticalstuff]]&gt;0),$RZ$63,"")</f>
        <v/>
      </c>
      <c r="SA78" s="837"/>
      <c r="SB78" s="837"/>
      <c r="SC78" s="837"/>
      <c r="SD78" s="837"/>
      <c r="SE78" s="3521"/>
      <c r="SF78" s="3521"/>
      <c r="SG78" s="2617"/>
      <c r="SH78" s="3886"/>
      <c r="SI78" s="3886"/>
      <c r="SJ78" s="3886"/>
      <c r="SK78" s="3886"/>
      <c r="SL78" s="3886"/>
      <c r="SR78" s="2617"/>
      <c r="SS78" s="2617"/>
      <c r="ST78" s="2617"/>
      <c r="SU78" s="2617"/>
      <c r="SV78" s="2617"/>
      <c r="SW78" s="2617"/>
      <c r="SX78" s="2617"/>
      <c r="SY78" s="2617"/>
      <c r="SZ78" s="2617"/>
      <c r="TA78" s="2617"/>
      <c r="TB78" s="2617"/>
      <c r="TC78" s="2617"/>
      <c r="TD78" s="2617"/>
      <c r="TR78" s="183"/>
      <c r="TW78" s="181"/>
      <c r="TX78" s="183"/>
      <c r="TY78" s="183"/>
      <c r="TZ78" s="183"/>
      <c r="UA78" s="183"/>
      <c r="UC78" s="181"/>
      <c r="UD78" s="181"/>
      <c r="UE78" s="181"/>
      <c r="UF78" s="181"/>
      <c r="UK78" s="183"/>
      <c r="UL78" s="183"/>
      <c r="UM78" s="183"/>
      <c r="UN78" s="183"/>
      <c r="UO78" s="183"/>
      <c r="UQ78" s="184"/>
      <c r="US78" s="183"/>
      <c r="UT78" s="183"/>
      <c r="UU78" s="2617"/>
      <c r="UV78" s="2617"/>
      <c r="UW78" s="2617"/>
      <c r="UX78" s="2617"/>
      <c r="UY78" s="2617"/>
      <c r="UZ78" s="2617"/>
      <c r="VA78" s="2617"/>
      <c r="VB78" s="2617"/>
      <c r="VC78" s="2617"/>
      <c r="VD78" s="2617"/>
      <c r="VE78" s="2617"/>
      <c r="VF78"/>
      <c r="VG78" s="2617"/>
      <c r="VH78" s="2617"/>
      <c r="VI78" s="2617"/>
      <c r="VJ78" s="2617"/>
      <c r="VK78" s="2617"/>
      <c r="VL78" s="2617"/>
      <c r="VM78" s="2617"/>
      <c r="VN78" s="2617"/>
      <c r="VO78" s="2617"/>
      <c r="VP78" s="2617"/>
      <c r="VQ78" s="2617"/>
      <c r="VR78" s="2617"/>
      <c r="VS78" s="2617"/>
      <c r="VT78" s="2617"/>
      <c r="VU78" s="2617"/>
      <c r="VV78" s="2617"/>
      <c r="VW78" s="2617"/>
      <c r="VX78" s="2617"/>
      <c r="VY78" s="2617"/>
      <c r="VZ78" s="2617"/>
      <c r="WA78" s="2617"/>
      <c r="WB78" s="2617"/>
      <c r="WC78" s="2617"/>
      <c r="WD78" s="2617"/>
      <c r="WE78" s="2617"/>
      <c r="WF78" s="2617"/>
      <c r="WG78" s="2617"/>
      <c r="WH78" s="2617"/>
      <c r="WI78" s="2617"/>
      <c r="WJ78" s="2617"/>
      <c r="WK78" s="2617"/>
      <c r="WL78" s="2617"/>
      <c r="WM78" s="2617"/>
      <c r="WN78" s="2617"/>
      <c r="WO78" s="2617"/>
      <c r="WP78" s="2617"/>
      <c r="WQ78" s="2617"/>
      <c r="WR78" s="2617"/>
      <c r="WS78" s="2617"/>
      <c r="WT78" s="2617"/>
      <c r="WU78" s="2617"/>
      <c r="WV78" s="2617"/>
      <c r="WW78" s="2617"/>
      <c r="WX78" s="2617"/>
      <c r="WY78" s="1754"/>
      <c r="WZ78" s="1754"/>
      <c r="XA78" s="1754"/>
      <c r="XB78" s="1754"/>
      <c r="XC78" s="1754"/>
      <c r="XD78" s="1754"/>
      <c r="XE78" s="1754"/>
      <c r="XF78" s="1754"/>
      <c r="XG78" s="1754"/>
      <c r="XH78" s="1754"/>
      <c r="XI78" s="1754"/>
      <c r="XJ78" s="1754"/>
      <c r="XK78" s="1754"/>
      <c r="XL78" s="265"/>
      <c r="XM78" s="265"/>
      <c r="XN78" s="265"/>
      <c r="XO78" s="265"/>
      <c r="XP78" s="265"/>
      <c r="XQ78" s="265"/>
      <c r="XR78" s="265"/>
      <c r="XS78" s="265"/>
      <c r="XT78" s="265"/>
      <c r="XU78" s="265"/>
    </row>
    <row r="79" spans="9:645" x14ac:dyDescent="0.2">
      <c r="I79" s="185"/>
      <c r="J79" s="185"/>
      <c r="K79" s="185"/>
      <c r="L79" s="183" t="s">
        <v>2769</v>
      </c>
      <c r="M79" s="185" t="s">
        <v>2770</v>
      </c>
      <c r="N79" s="185" t="s">
        <v>138</v>
      </c>
      <c r="O79" s="185"/>
      <c r="AL79" s="181"/>
      <c r="AM79" s="181"/>
      <c r="AN79" s="181"/>
      <c r="AO79" s="181"/>
      <c r="AP79" s="181"/>
      <c r="AQ79" s="181"/>
      <c r="AR79" s="181"/>
      <c r="AS79" s="181"/>
      <c r="AT79" s="181"/>
      <c r="AU79" s="2617"/>
      <c r="AV79" s="2617"/>
      <c r="EM79" s="210"/>
      <c r="EN79" s="210"/>
      <c r="ER79" s="439" t="str">
        <f>$QS$135</f>
        <v>Stuff 2-1</v>
      </c>
      <c r="ES79" s="188">
        <f>IF($BC$38=1,0,IF($BC$38=2,5,0))</f>
        <v>5</v>
      </c>
      <c r="ET79" s="185">
        <f>IF($BC$34&gt;4,1,0)</f>
        <v>0</v>
      </c>
      <c r="EU79" s="194">
        <f>IF($BC$38=2,INDEX(outputs_position[21],MATCH($BC$35,outputs_position[lopstuff],0)),0)</f>
        <v>0</v>
      </c>
      <c r="EV79" s="473" t="str">
        <f t="shared" si="82"/>
        <v>Stuff 2-1</v>
      </c>
      <c r="EW79" s="238">
        <f>IFERROR(INDEX(inputs_stab[Manuell],MATCH($EU79,inputs_stab[Position],0)),0)</f>
        <v>0</v>
      </c>
      <c r="EX79" s="185">
        <f>IFERROR(INDEX(inputs_stab[lt4m],MATCH($EU79,inputs_stab[Position],0)),0)</f>
        <v>0</v>
      </c>
      <c r="EY79" s="185">
        <f>IFERROR(INDEX(inputs_stab[gt4m],MATCH($EU79,inputs_stab[Position],0)),0)</f>
        <v>0</v>
      </c>
      <c r="EZ79" s="185">
        <f>IFERROR(INDEX(inputs_stab[band],MATCH($EU79,inputs_stab[Position],0)),0)</f>
        <v>0</v>
      </c>
      <c r="FA79" s="185">
        <f>IFERROR(INDEX(inputs_stab[net],MATCH($EU79,inputs_stab[Position],0)),0)</f>
        <v>0</v>
      </c>
      <c r="FB79" s="185">
        <f>IFERROR(INDEX(inputs_stab[shotcrete],MATCH($EU79,inputs_stab[Position],0)),0)</f>
        <v>0</v>
      </c>
      <c r="FC79" s="185">
        <f>IFERROR(INDEX(inputs_stab[buer],MATCH($EU79,inputs_stab[Position],0)),0)</f>
        <v>0</v>
      </c>
      <c r="FD79" s="185">
        <f>IFERROR(INDEX(inputs_stab[sik_12],MATCH($EU79,inputs_stab[Position],0)),0)</f>
        <v>0</v>
      </c>
      <c r="FE79" s="193">
        <f>IFERROR(INDEX(inputs_stab[sik_3],MATCH($EU79,inputs_stab[Position],0)),0)</f>
        <v>0</v>
      </c>
      <c r="FF79" s="193">
        <f>IFERROR(INDEX(inputs_stab[kartlegging],MATCH($EU79,inputs_stab[Position],0)),0)</f>
        <v>0</v>
      </c>
      <c r="FG79" s="185">
        <f>IFERROR(INDEX(inputs_stab[festebolter],MATCH($EU79,inputs_stab[Position],0)),0)</f>
        <v>0</v>
      </c>
      <c r="GH79" s="414"/>
      <c r="GJ79" s="2617"/>
      <c r="GK79" s="2617"/>
      <c r="GL79" s="2617"/>
      <c r="GM79" s="2617"/>
      <c r="IH79" s="1761">
        <v>3</v>
      </c>
      <c r="II79" s="1761" t="e">
        <f t="shared" ref="II79:IJ79" si="128">II20</f>
        <v>#N/A</v>
      </c>
      <c r="IJ79" s="1761" t="b">
        <f t="shared" si="128"/>
        <v>1</v>
      </c>
      <c r="IK79" s="5944" t="e">
        <f t="shared" si="120"/>
        <v>#N/A</v>
      </c>
      <c r="IL79" s="1761" t="e">
        <f t="shared" si="126"/>
        <v>#N/A</v>
      </c>
      <c r="IM79" s="1761"/>
      <c r="IN79" s="1761" t="str">
        <f>IF(utskrift_just[[#This Row],[general_svar_id]]=1,"Ja","Nei")</f>
        <v>Nei</v>
      </c>
      <c r="IO79" s="1811">
        <f t="shared" si="127"/>
        <v>0</v>
      </c>
      <c r="IP79" s="3700" t="str">
        <f>IF(utskrift_just[[#This Row],[general_svar_id]]=1,IP20,"-")</f>
        <v>-</v>
      </c>
      <c r="IQ79" s="1811" t="str">
        <f>IF(utskrift_just[[#This Row],[general_svar_id]]=1,IQ20,"")</f>
        <v/>
      </c>
      <c r="IR79" s="1811" t="str">
        <f>IF(utskrift_just[[#This Row],[general_svar_id]]=2,IR20,"Nei")</f>
        <v>Nei</v>
      </c>
      <c r="IS79" s="3700" t="str">
        <f>IF(AND(utskrift_just[[#This Row],[general_svar_id]]=2,utskrift_just[[#This Row],[geo_svar]]="Ja"),IS20,"-")</f>
        <v>-</v>
      </c>
      <c r="IT79" s="1811" t="str">
        <f>IF(AND(utskrift_just[[#This Row],[general_svar_id]]=2,utskrift_just[[#This Row],[geo_svar]]="Ja"),IT20,"-")</f>
        <v>-</v>
      </c>
      <c r="IU79" s="1811" t="str">
        <f>IF(utskrift_just[[#This Row],[general_svar_id]]=2,IU20,"Nei")</f>
        <v>Nei</v>
      </c>
      <c r="IV79" s="3700" t="str">
        <f>IF(AND(utskrift_just[[#This Row],[general_svar_id]]=2,utskrift_just[[#This Row],[stig_svar]]="Ja"),IV20,"-")</f>
        <v>-</v>
      </c>
      <c r="IW79" s="1811" t="str">
        <f>IF(AND(utskrift_just[[#This Row],[general_svar_id]]=2,utskrift_just[[#This Row],[stig_svar]]="Ja"),IW20,"-")</f>
        <v>-</v>
      </c>
      <c r="IX79" s="1811" t="str">
        <f>IF(utskrift_just[[#This Row],[general_svar_id]]=2,IX20,"Nei")</f>
        <v>Nei</v>
      </c>
      <c r="IY79" s="3700" t="str">
        <f>IF(AND(utskrift_just[[#This Row],[general_svar_id]]=2,utskrift_just[[#This Row],[arb_svar]]="Ja"),IY20,"-")</f>
        <v>-</v>
      </c>
      <c r="IZ79" s="1811" t="str">
        <f>IF(AND(utskrift_just[[#This Row],[general_svar_id]]=2,utskrift_just[[#This Row],[arb_svar]]="Ja"),IZ20,"-")</f>
        <v>-</v>
      </c>
      <c r="JA79" s="1811" t="str">
        <f>IF(utskrift_just[[#This Row],[general_svar_id]]=2,JA20,"Nei")</f>
        <v>Nei</v>
      </c>
      <c r="JB79" s="3700" t="str">
        <f>IF(AND(utskrift_just[[#This Row],[general_svar_id]]=2,utskrift_just[[#This Row],[spreng_svar]]="Ja"),JB20,"-")</f>
        <v>-</v>
      </c>
      <c r="JC79" s="1811" t="str">
        <f>IF(AND(utskrift_just[[#This Row],[general_svar_id]]=2,utskrift_just[[#This Row],[spreng_svar]]="Ja"),JC20,"-")</f>
        <v>-</v>
      </c>
      <c r="JD79" s="1811" t="str">
        <f>IF(utskrift_just[[#This Row],[general_svar_id]]=2,JD20,"Nei")</f>
        <v>Nei</v>
      </c>
      <c r="JE79" s="3700" t="str">
        <f>IF(AND(utskrift_just[[#This Row],[general_svar_id]]=2,utskrift_just[[#This Row],[skyte_svar]]="Ja"),JE20,"-")</f>
        <v>-</v>
      </c>
      <c r="JF79" s="1811" t="str">
        <f>IF(AND(utskrift_just[[#This Row],[general_svar_id]]=2,utskrift_just[[#This Row],[skyte_svar]]="Ja"),JF20,"-")</f>
        <v>-</v>
      </c>
      <c r="JG79" s="1811" t="str">
        <f>IF(utskrift_just[[#This Row],[general_svar_id]]=2,JG20,"Nei")</f>
        <v>Nei</v>
      </c>
      <c r="JH79" s="3700" t="str">
        <f>IF(AND(utskrift_just[[#This Row],[general_svar_id]]=2,utskrift_just[[#This Row],[støy_svar]]="Ja"),JH20,"-")</f>
        <v>-</v>
      </c>
      <c r="JI79" s="1811" t="str">
        <f>IF(AND(utskrift_just[[#This Row],[general_svar_id]]=2,utskrift_just[[#This Row],[støy_svar]]="Ja"),JI20,"-")</f>
        <v>-</v>
      </c>
      <c r="JJ79" s="1811" t="str">
        <f>IF(utskrift_just[[#This Row],[general_svar_id]]=2,JJ20,"Nei")</f>
        <v>Nei</v>
      </c>
      <c r="JK79" s="3700" t="str">
        <f>IF(AND(utskrift_just[[#This Row],[general_svar_id]]=2,utskrift_just[[#This Row],[ann_svar]]="Ja"),JK20,"-")</f>
        <v>-</v>
      </c>
      <c r="JL79" s="1811" t="str">
        <f>IF(AND(utskrift_just[[#This Row],[general_svar_id]]=2,utskrift_just[[#This Row],[ann_svar]]="Ja"),JL20,"-")</f>
        <v>-</v>
      </c>
      <c r="JM79" s="2633">
        <f>IF(JW60=1,_List!$EG$7,IFERROR(utskrift_just[[#This Row],[general_tid]]+utskrift_just[[#This Row],[geo_tid]]+utskrift_just[[#This Row],[stig_tid]]+utskrift_just[[#This Row],[arb_tid]]+utskrift_just[[#This Row],[spreng_tid]]+utskrift_just[[#This Row],[skyte_tid]]+utskrift_just[[#This Row],[støy_tid]]+utskrift_just[[#This Row],[ann_tid]],0))</f>
        <v>0</v>
      </c>
      <c r="JN79" s="1812" t="str">
        <f>IFERROR((INDEX(oppsum_position[Name],MATCH(utskrift_just[[#This Row],[position]],oppsum_position[Position],0))),"")</f>
        <v/>
      </c>
      <c r="JO79" s="1811">
        <v>3</v>
      </c>
      <c r="JP79" s="1811">
        <f>IF($BC$34&gt;2,1,0)</f>
        <v>0</v>
      </c>
      <c r="JQ79" s="1811">
        <f>INDEX(outputs_position[13],MATCH($BC$35,outputs_position[lopstuff],0))</f>
        <v>0</v>
      </c>
      <c r="KZ79" s="2617"/>
      <c r="LA79" s="2617"/>
      <c r="LB79" s="2617"/>
      <c r="LX79" s="5268"/>
      <c r="NI79" s="1567"/>
      <c r="NN79" s="407">
        <v>42</v>
      </c>
      <c r="NO79" s="340" t="str">
        <f t="shared" si="121"/>
        <v>Stuff 1-4</v>
      </c>
      <c r="NP79" s="431">
        <f t="shared" si="83"/>
        <v>0</v>
      </c>
      <c r="NQ79" s="431">
        <f t="shared" si="84"/>
        <v>0</v>
      </c>
      <c r="NR79" s="431">
        <f t="shared" si="85"/>
        <v>0</v>
      </c>
      <c r="NS79" s="431">
        <f t="shared" si="86"/>
        <v>0</v>
      </c>
      <c r="NT79" s="411">
        <f t="shared" si="87"/>
        <v>0</v>
      </c>
      <c r="NU79" s="411">
        <f t="shared" si="88"/>
        <v>0</v>
      </c>
      <c r="NV79" s="411">
        <f>outputs_oppsum[[#This Row],[total_lop]]+outputs_oppsum[[#This Row],[total_nisj]]</f>
        <v>0</v>
      </c>
      <c r="NW79" s="411">
        <f>outputs_oppsum[[#This Row],[total_spreng_hr]]/$AI$80</f>
        <v>0</v>
      </c>
      <c r="NX79" s="431">
        <f t="shared" si="89"/>
        <v>0</v>
      </c>
      <c r="NY79" s="431">
        <f t="shared" si="90"/>
        <v>0</v>
      </c>
      <c r="NZ79" s="431">
        <f t="shared" si="91"/>
        <v>0</v>
      </c>
      <c r="OA79" s="431">
        <f t="shared" si="92"/>
        <v>0</v>
      </c>
      <c r="OB79" s="431">
        <f t="shared" si="93"/>
        <v>0</v>
      </c>
      <c r="OC79" s="431">
        <f t="shared" si="94"/>
        <v>0</v>
      </c>
      <c r="OD79" s="431">
        <f t="shared" si="95"/>
        <v>0</v>
      </c>
      <c r="OE79" s="431">
        <f t="shared" si="96"/>
        <v>0</v>
      </c>
      <c r="OF79" s="431">
        <f t="shared" si="97"/>
        <v>0</v>
      </c>
      <c r="OG79" s="431">
        <f t="shared" si="98"/>
        <v>0</v>
      </c>
      <c r="OH79" s="431">
        <f t="shared" si="99"/>
        <v>0</v>
      </c>
      <c r="OI79" s="477">
        <f t="shared" si="100"/>
        <v>0</v>
      </c>
      <c r="OJ79" s="3703">
        <f>outputs_oppsum[[#This Row],[total_foran_hr]]/$AI$80</f>
        <v>0</v>
      </c>
      <c r="OK79" s="477">
        <f t="shared" si="101"/>
        <v>0</v>
      </c>
      <c r="OL79" s="477">
        <f t="shared" si="102"/>
        <v>0</v>
      </c>
      <c r="OM79" s="431">
        <f t="shared" si="103"/>
        <v>0</v>
      </c>
      <c r="ON79" s="431">
        <f t="shared" si="104"/>
        <v>0</v>
      </c>
      <c r="OO79" s="431">
        <f t="shared" si="105"/>
        <v>0</v>
      </c>
      <c r="OP79" s="431">
        <f t="shared" si="106"/>
        <v>0</v>
      </c>
      <c r="OQ79" s="431">
        <f t="shared" si="107"/>
        <v>0</v>
      </c>
      <c r="OR79" s="431"/>
      <c r="OS79" s="431"/>
      <c r="OT79" s="431">
        <f t="shared" si="108"/>
        <v>0</v>
      </c>
      <c r="OU79" s="431"/>
      <c r="OV79" s="431"/>
      <c r="OW79" s="431">
        <f t="shared" si="122"/>
        <v>0</v>
      </c>
      <c r="OX79" s="431">
        <f t="shared" si="109"/>
        <v>0</v>
      </c>
      <c r="OY79" s="431">
        <f t="shared" si="110"/>
        <v>0</v>
      </c>
      <c r="OZ79" s="431">
        <f t="shared" si="111"/>
        <v>0</v>
      </c>
      <c r="PA79" s="431">
        <f t="shared" si="112"/>
        <v>0</v>
      </c>
      <c r="PB79" s="478">
        <f t="shared" si="123"/>
        <v>0</v>
      </c>
      <c r="PC79" s="478">
        <f t="shared" si="124"/>
        <v>0</v>
      </c>
      <c r="PD79" s="478">
        <f t="shared" si="113"/>
        <v>0</v>
      </c>
      <c r="PE79" s="478">
        <f t="shared" si="114"/>
        <v>0</v>
      </c>
      <c r="PF79" s="478">
        <f t="shared" si="115"/>
        <v>0</v>
      </c>
      <c r="PG79" s="478">
        <f t="shared" si="116"/>
        <v>0</v>
      </c>
      <c r="PH79" s="841">
        <f t="shared" si="117"/>
        <v>0</v>
      </c>
      <c r="PI79" s="1277">
        <f>outputs_oppsum[[#This Row],[total_stab_hr]]/$AI$80</f>
        <v>0</v>
      </c>
      <c r="PJ79" s="211" t="str">
        <f>IF(AND($GL$35=1,outputs_oppsum[[#This Row],[tverrslag_status]]&lt;&gt;1),$GR$67,$GK$11)</f>
        <v>Ikke relevant</v>
      </c>
      <c r="PK79" s="211">
        <f>IFERROR(outputs_oppsum[[#This Row],[prosjekt_forbe]]*$AI$80,0)</f>
        <v>0</v>
      </c>
      <c r="PL79" s="211" t="b">
        <f t="shared" si="118"/>
        <v>0</v>
      </c>
      <c r="PM79" s="211" t="b">
        <f t="shared" si="118"/>
        <v>0</v>
      </c>
      <c r="PN79" s="211" t="b">
        <f t="shared" si="118"/>
        <v>0</v>
      </c>
      <c r="PO79" s="425" t="str">
        <f t="shared" si="118"/>
        <v>Ikke relevant</v>
      </c>
      <c r="PP79" s="431">
        <f>outputs_oppsum[[#This Row],[Forberedende]]*$AI$80</f>
        <v>0</v>
      </c>
      <c r="PQ79" s="431">
        <f>outputs_oppsum[[#This Row],[Portaler]]*$AI$80</f>
        <v>0</v>
      </c>
      <c r="PR79" s="431">
        <f>outputs_oppsum[[#This Row],[Andrearbeider]]*$AI$80</f>
        <v>0</v>
      </c>
      <c r="PS79" s="431">
        <f>IFERROR(outputs_oppsum[[#This Row],[total_forbe]]*$AI$80,0)</f>
        <v>0</v>
      </c>
      <c r="PT79" s="431" t="e">
        <f t="shared" si="77"/>
        <v>#VALUE!</v>
      </c>
      <c r="PU79"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79" s="1656">
        <f>outputs_oppsum[[#This Row],[oppsum_drivetid_hr]]/$AI$80</f>
        <v>0</v>
      </c>
      <c r="PW79" s="1660"/>
      <c r="PX79" s="1658">
        <f>INDEX(tverr_connection_2[42],MATCH($BC$28,tverr_connection_2[config],0))</f>
        <v>0</v>
      </c>
      <c r="PY79" s="1662" t="str">
        <f>IF(outputs_oppsum[[#This Row],[tverrslag_status]]=0,$HI$54,IF(outputs_oppsum[[#This Row],[tverrslag_status]]=1,$HI$55,"-"))</f>
        <v>Ikke påvirket</v>
      </c>
      <c r="PZ79" s="1663" t="str">
        <f>IFERROR(INDEX(outputs_tverrslag[Tverrslag construction time],MATCH(outputs_oppsum[[#This Row],[stuff_navn]],outputs_tverrslag[name],0)),"-")</f>
        <v>-</v>
      </c>
      <c r="QA79" s="1658" t="str">
        <f>IF(outputs_oppsum[[#This Row],[tverrslag_status_oppsum]]=$HI$55,$PU$84,"-")</f>
        <v>-</v>
      </c>
      <c r="QB79" s="1662" t="str">
        <f>IF(outputs_oppsum[[#This Row],[tverrslag_status_oppsum]]=$HI$55,$HI$66,"-")</f>
        <v>-</v>
      </c>
      <c r="QC79" s="1662" t="str">
        <f>IF(outputs_oppsum[[#This Row],[tverrslag_status_oppsum]]=$HI$55,$HJ$14,"-")</f>
        <v>-</v>
      </c>
      <c r="QD79" s="1668" t="str">
        <f>IFERROR(INDEX(outputs_tverrslag[forsink_perstuff_uker],MATCH(outputs_oppsum[[#This Row],[stuff_navn]],outputs_tverrslag[name],0)),"-")</f>
        <v>-</v>
      </c>
      <c r="QE79" s="843" t="str">
        <f>IFERROR(INDEX(outputs_tverrslag[forsink_total_uker],MATCH(outputs_oppsum[[#This Row],[stuff_navn]],outputs_tverrslag[name],0)),"-")</f>
        <v>-</v>
      </c>
      <c r="QF79" s="843" t="str">
        <f>IFERROR(INDEX(outputs_tverrslag[Kryssområdet_hr],MATCH(outputs_oppsum[[#This Row],[stuff_navn]],outputs_tverrslag[name],0)),"-")</f>
        <v>-</v>
      </c>
      <c r="QG79" s="843" t="str">
        <f>IFERROR(INDEX(outputs_tverrslag[forsink_total_hr],MATCH(outputs_oppsum[[#This Row],[stuff_navn]],outputs_tverrslag[name],0)),"-")</f>
        <v>-</v>
      </c>
      <c r="QH79" s="334">
        <f>SUMIF(outputs_oppsum[[#This Row],[kryssområdet_forberedende_hr2]:[extra_forsink_etter_tverrslag_total_hr]],"&lt;&gt;-")+SUMIF(outputs_oppsum[[#This Row],[tverrslag_tid]],"&lt;&gt;-")</f>
        <v>0</v>
      </c>
      <c r="QI79" s="334" t="str">
        <f>IF(OR(outputs_oppsum[[#This Row],[tverrslag_status_oppsum]]=$HI$55,outputs_oppsum[[#This Row],[tverrslag_status_oppsum]]=$I$90),$GR$67,"-")</f>
        <v>-</v>
      </c>
      <c r="QJ79" s="334">
        <f>IFERROR(outputs_oppsum[[#This Row],[extra_tverrslag_prosjekt_forarb_uke]]*$AI$80,0)</f>
        <v>0</v>
      </c>
      <c r="QK79" s="334" t="str">
        <f>IF(outputs_oppsum[[#This Row],[tverrslag_status_oppsum]]=$HI$55,$PO$75,"-")</f>
        <v>-</v>
      </c>
      <c r="QL79" s="1827">
        <f>IFERROR(outputs_oppsum[[#This Row],[extra_tverrslag_forarb_uke]]*$AI$80,0)</f>
        <v>0</v>
      </c>
      <c r="QM79" s="334" t="str">
        <f>IF(outputs_oppsum[[#This Row],[tverrslag_status_oppsum]]=$HI$55,$RA$75,"-")</f>
        <v>-</v>
      </c>
      <c r="QN79" s="1827">
        <f>IFERROR(outputs_oppsum[[#This Row],[extra_tverrslag_just_uke]]*$AI$80,0)</f>
        <v>0</v>
      </c>
      <c r="QO79" s="211" t="str">
        <f>IF(outputs_oppsum[[#This Row],[tverrslag_status_oppsum]]=$HI$55,$GK$96,"-")</f>
        <v>-</v>
      </c>
      <c r="QP79" s="1828">
        <f>IFERROR(outputs_oppsum[[#This Row],[tverrslag_forsinkt_uke]]*$AI$80,0)</f>
        <v>0</v>
      </c>
      <c r="QQ79"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79" s="1809">
        <f>IFERROR(IF(outputs_oppsum[[#This Row],[tverrslag_status_oppsum]]=$I$90,outputs_oppsum[[#This Row],[kryssområdet_forberedende_hr]],IF(outputs_oppsum[[#This Row],[tverrslag_status]]=1,outputs_oppsum[[#This Row],[tverrslag_total_hr]],0)),0)</f>
        <v>0</v>
      </c>
      <c r="QS79" s="1666" t="e">
        <f>INDEX(outputs_just[general_tid],MATCH(outputs_oppsum[[#This Row],[stuff_navn]],outputs_just[Navn],0))</f>
        <v>#N/A</v>
      </c>
      <c r="QT79" s="1666" t="e">
        <f>INDEX(outputs_just[geo_tid],MATCH(outputs_oppsum[[#This Row],[stuff_navn]],outputs_just[Navn],0))</f>
        <v>#N/A</v>
      </c>
      <c r="QU79" s="1666" t="e">
        <f>INDEX(outputs_just[stig_tid],MATCH(outputs_oppsum[[#This Row],[stuff_navn]],outputs_just[Navn],0))</f>
        <v>#N/A</v>
      </c>
      <c r="QV79" s="1666" t="e">
        <f>INDEX(outputs_just[arb_tid],MATCH(outputs_oppsum[[#This Row],[stuff_navn]],outputs_just[Navn],0))</f>
        <v>#N/A</v>
      </c>
      <c r="QW79" s="1666" t="e">
        <f>INDEX(outputs_just[spreng_tid],MATCH(outputs_oppsum[[#This Row],[stuff_navn]],outputs_just[Navn],0))</f>
        <v>#N/A</v>
      </c>
      <c r="QX79" s="1666" t="e">
        <f>INDEX(outputs_just[skyte_tid],MATCH(outputs_oppsum[[#This Row],[stuff_navn]],outputs_just[Navn],0))</f>
        <v>#N/A</v>
      </c>
      <c r="QY79" s="1666" t="e">
        <f>INDEX(outputs_just[støy_tid],MATCH(outputs_oppsum[[#This Row],[stuff_navn]],outputs_just[Navn],0))</f>
        <v>#N/A</v>
      </c>
      <c r="QZ79" s="1666" t="e">
        <f>INDEX(outputs_just[ann_tid],MATCH(outputs_oppsum[[#This Row],[stuff_navn]],outputs_just[Navn],0))</f>
        <v>#N/A</v>
      </c>
      <c r="RA79" s="1666" t="e">
        <f>SUM(outputs_oppsum[[#This Row],[just_generell]:[just_ann]])</f>
        <v>#N/A</v>
      </c>
      <c r="RB79" s="1666" t="e">
        <f>outputs_oppsum[[#This Row],[just_total_uke]]*$AI$80</f>
        <v>#N/A</v>
      </c>
      <c r="RC79" s="211">
        <f>INDEX(inputs_forsinket[tid_uke],MATCH(outputs_oppsum[[#This Row],[stuff_navn]],inputs_forsinket[name],0))</f>
        <v>0</v>
      </c>
      <c r="RD79" s="1805">
        <f>outputs_oppsum[[#This Row],[forsinket_uke]]*$AI$80</f>
        <v>0</v>
      </c>
      <c r="RE79" s="234">
        <f t="shared" si="119"/>
        <v>1</v>
      </c>
      <c r="RF79" s="211" t="str">
        <f>IF(RE79=1,_List!$AW$7,IF(RE79=2,_List!$AW$8,""))</f>
        <v>Enstuffs drift</v>
      </c>
      <c r="RG79" s="431" t="str">
        <f>IF(outputs_oppsum[[#This Row],[kon_metod_no]]=2,INDEX(framdriftfaktor[stab-foran_spreng_ratio],MATCH(outputs_oppsum[[#This Row],[stuff_id]],framdriftfaktor[stuff_id],0)),"-")</f>
        <v>-</v>
      </c>
      <c r="RH79" s="5269">
        <f>IF(outputs_oppsum[[#This Row],[kon_metod_no]]=2,INDEX(framdriftfaktor[beregnet_faktor_final],MATCH(outputs_oppsum[[#This Row],[stuff_id]],framdriftfaktor[stuff_id],0)),1)</f>
        <v>1</v>
      </c>
      <c r="RI79" s="5269" t="str">
        <f>IF(outputs_oppsum[[#This Row],[kon_metod]]=_List!$AW$8,INDEX(outputs_just[vek_faktor_bruker_definert_status],MATCH(outputs_oppsum[[#This Row],[stuff_navn]],outputs_just[Navn],0)),"")</f>
        <v/>
      </c>
      <c r="RJ79" s="5269" t="e">
        <f>IF(AND(outputs_oppsum[[#This Row],[kon_metod_no]]&lt;&gt;1,LP124=FALSE),LO124,"-")</f>
        <v>#N/A</v>
      </c>
      <c r="RK79" s="5269">
        <f>IF(AND(outputs_oppsum[[#This Row],[kon_metod_no]]=2,outputs_oppsum[[#This Row],[tverrslag_status_oppsum]]&lt;&gt;$I$90,outputs_oppsum[[#This Row],[faktor_bruker_definert]]=FALSE),outputs_oppsum[[#This Row],[faktor_user]],outputs_oppsum[[#This Row],[faktor_beregnet]])</f>
        <v>1</v>
      </c>
      <c r="RL79" s="1807">
        <f>IFERROR((outputs_oppsum[[#This Row],[faktor_final]]-1)*outputs_oppsum[[#This Row],[oppsum_drivetid_hr]]*outputs_oppsum[[#This Row],[veksel_prosent]],"-")</f>
        <v>0</v>
      </c>
      <c r="RM79" s="1807" t="str">
        <f>IF(outputs_oppsum[[#This Row],[kon_metod_no]]=2,outputs_oppsum[[#This Row],[ekstra_framdrift_tid_oppsum_hr]]/$AI$80,"-")</f>
        <v>-</v>
      </c>
      <c r="RN79" s="431" t="str">
        <f>IF(outputs_oppsum[[#This Row],[kon_metod_no]]=2,outputs_oppsum[[#This Row],[ekstra_drivetid_pga_faktor]],"-")</f>
        <v>-</v>
      </c>
      <c r="RO79" s="431">
        <f>IFERROR(outputs_oppsum[[#This Row],[oppsum_drivetid_hr]]+outputs_oppsum[[#This Row],[ekstra_drivetid_pga_faktor]],"-")</f>
        <v>0</v>
      </c>
      <c r="RP79"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79" s="5276">
        <f>IF(outputs_oppsum[[#This Row],[enstuff_prosent_input]]&gt;1,1,outputs_oppsum[[#This Row],[enstuff_prosent_input]])</f>
        <v>1</v>
      </c>
      <c r="RR79"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79" s="431"/>
      <c r="RT79" s="431"/>
      <c r="RU79" s="431"/>
      <c r="RV79" s="431"/>
      <c r="RW79" s="431" t="str">
        <f>IFERROR(outputs_oppsum[[#This Row],[drivetid_with_faktor]]+outputs_oppsum[[#This Row],[prosjekt_forbe_hr]]+outputs_oppsum[[#This Row],[total_forbe_hr]]+outputs_oppsum[[#This Row],[extra_for_tverrslag_sum]]+outputs_oppsum[[#This Row],[just_total_hr]]+outputs_oppsum[[#This Row],[forsinket_hr]],"!")</f>
        <v>!</v>
      </c>
      <c r="RX79" s="431" t="str">
        <f>IFERROR(outputs_oppsum[[#This Row],[oppsum_total_hr]]/$AI$80,"!")</f>
        <v>!</v>
      </c>
      <c r="RY79" s="431" t="str">
        <f>IF(MAX($RX$76:$RX$84)=outputs_oppsum[[#This Row],[oppsum_total_uke]],MAX($RX$76:$RX$84),"-")</f>
        <v>-</v>
      </c>
      <c r="RZ79" s="431" t="str">
        <f>IF(AND(ISNUMBER(outputs_oppsum[[#This Row],[Criticalstuff]]),$BC$34&lt;&gt;1,outputs_oppsum[[#This Row],[Criticalstuff]]&gt;0),$RZ$63,"")</f>
        <v/>
      </c>
      <c r="SA79" s="837"/>
      <c r="SB79" s="837"/>
      <c r="SC79" s="837"/>
      <c r="SD79" s="837"/>
      <c r="SE79" s="3521"/>
      <c r="SF79" s="3521"/>
      <c r="SG79" s="2617"/>
      <c r="SH79" s="3886"/>
      <c r="SI79" s="3886"/>
      <c r="SJ79" s="3886"/>
      <c r="SK79" s="3886"/>
      <c r="SL79" s="3886"/>
      <c r="SR79" s="2617"/>
      <c r="SS79" s="2617"/>
      <c r="ST79" s="2617"/>
      <c r="SU79" s="2617"/>
      <c r="SV79" s="2617"/>
      <c r="SW79" s="2617"/>
      <c r="SX79" s="2617"/>
      <c r="SY79" s="2617"/>
      <c r="SZ79" s="2617"/>
      <c r="TA79" s="2617"/>
      <c r="TB79" s="2617"/>
      <c r="TC79" s="2617"/>
      <c r="TD79" s="2617"/>
      <c r="TR79" s="183"/>
      <c r="TW79" s="181"/>
      <c r="TX79" s="183"/>
      <c r="TY79" s="183"/>
      <c r="TZ79" s="183"/>
      <c r="UA79" s="183"/>
      <c r="UC79" s="181"/>
      <c r="UD79" s="181"/>
      <c r="UE79" s="181"/>
      <c r="UF79" s="181"/>
      <c r="UK79" s="183"/>
      <c r="UL79" s="183"/>
      <c r="UM79" s="183"/>
      <c r="UN79" s="183"/>
      <c r="UO79" s="183"/>
      <c r="UQ79" s="184"/>
      <c r="US79" s="183"/>
      <c r="UT79" s="183"/>
      <c r="UU79" s="2617"/>
      <c r="UV79" s="2617"/>
      <c r="UW79" s="2617"/>
      <c r="UX79" s="2617"/>
      <c r="UY79" s="2617"/>
      <c r="UZ79" s="2617"/>
      <c r="VA79" s="2617"/>
      <c r="VB79" s="2617"/>
      <c r="VC79" s="2617"/>
      <c r="VD79" s="2617"/>
      <c r="VE79" s="2617"/>
      <c r="VF79"/>
      <c r="VG79" s="2617"/>
      <c r="VH79" s="2617"/>
      <c r="VI79" s="2617"/>
      <c r="VJ79" s="2617"/>
      <c r="VK79" s="2617"/>
      <c r="VL79" s="2617"/>
      <c r="VM79" s="2617"/>
      <c r="VN79" s="2617"/>
      <c r="VO79" s="2617"/>
      <c r="VP79" s="2617"/>
      <c r="VQ79" s="2617"/>
      <c r="VR79" s="2617"/>
      <c r="VS79" s="2617"/>
      <c r="VT79" s="2617"/>
      <c r="VU79" s="2617"/>
      <c r="VV79" s="2617"/>
      <c r="VW79" s="2617"/>
      <c r="VX79" s="2617"/>
      <c r="VY79" s="2617"/>
      <c r="VZ79" s="2617"/>
      <c r="WA79" s="2617"/>
      <c r="WB79" s="2617"/>
      <c r="WC79" s="2617"/>
      <c r="WD79" s="2617"/>
      <c r="WE79" s="2617"/>
      <c r="WF79" s="2617"/>
      <c r="WG79" s="2617"/>
      <c r="WH79" s="2617"/>
      <c r="WI79" s="2617"/>
      <c r="WJ79" s="2617"/>
      <c r="WK79" s="2617"/>
      <c r="WL79" s="2617"/>
      <c r="WM79" s="2617"/>
      <c r="WN79" s="2617"/>
      <c r="WO79" s="2617"/>
      <c r="WP79" s="2617"/>
      <c r="WQ79" s="2617"/>
      <c r="WR79" s="2617"/>
      <c r="WS79" s="2617"/>
      <c r="WT79" s="2617"/>
      <c r="WU79" s="2617"/>
      <c r="WV79" s="2617"/>
      <c r="WW79" s="2617"/>
      <c r="WX79" s="2617"/>
      <c r="WY79" s="1754"/>
      <c r="WZ79" s="1754"/>
      <c r="XA79" s="1754"/>
      <c r="XB79" s="1754"/>
      <c r="XC79" s="1754"/>
      <c r="XD79" s="1754"/>
      <c r="XE79" s="1754"/>
      <c r="XF79" s="1754"/>
      <c r="XG79" s="1754"/>
      <c r="XH79" s="1754"/>
      <c r="XI79" s="1754"/>
      <c r="XJ79" s="1754"/>
      <c r="XK79" s="1754"/>
      <c r="XL79" s="265"/>
      <c r="XM79" s="265"/>
      <c r="XN79" s="265"/>
      <c r="XO79" s="265"/>
      <c r="XP79" s="265"/>
      <c r="XQ79" s="265"/>
      <c r="XR79" s="265"/>
      <c r="XS79" s="265"/>
      <c r="XT79" s="265"/>
      <c r="XU79" s="265"/>
    </row>
    <row r="80" spans="9:645" ht="15" x14ac:dyDescent="0.2">
      <c r="I80" s="185"/>
      <c r="J80" s="185"/>
      <c r="K80" s="185"/>
      <c r="L80" s="185" t="s">
        <v>135</v>
      </c>
      <c r="M80" s="185"/>
      <c r="N80" s="185" t="s">
        <v>2679</v>
      </c>
      <c r="O80" s="185"/>
      <c r="AH80" s="5365" t="str">
        <f>$K$16</f>
        <v>Ukentlig arbeidstid</v>
      </c>
      <c r="AI80" s="5366">
        <f>IF($AI$82=FALSE,$AI$83,$AI$85)</f>
        <v>101</v>
      </c>
      <c r="AJ80" s="5363"/>
      <c r="AL80" s="181"/>
      <c r="AM80" s="181"/>
      <c r="AN80" s="181"/>
      <c r="AO80" s="181"/>
      <c r="AP80" s="181"/>
      <c r="AQ80" s="181"/>
      <c r="AR80" s="181"/>
      <c r="AS80" s="181"/>
      <c r="AT80" s="181"/>
      <c r="AU80" s="2617"/>
      <c r="AV80" s="2617"/>
      <c r="EM80" s="210"/>
      <c r="EN80" s="210"/>
      <c r="ER80" s="439" t="str">
        <f>$QT$135</f>
        <v>Stuff 2-2</v>
      </c>
      <c r="ES80" s="188">
        <f>IF($BC$38=1,0,IF($BC$38=2,6,0))</f>
        <v>6</v>
      </c>
      <c r="ET80" s="185">
        <f>IF($BC$34&gt;5,1,0)</f>
        <v>0</v>
      </c>
      <c r="EU80" s="194">
        <f>IF($BC$38=2,INDEX(outputs_position[22],MATCH($BC$35,outputs_position[lopstuff],0)),0)</f>
        <v>0</v>
      </c>
      <c r="EV80" s="473" t="str">
        <f t="shared" si="82"/>
        <v>Stuff 2-2</v>
      </c>
      <c r="EW80" s="238">
        <f>IFERROR(INDEX(inputs_stab[Manuell],MATCH($EU80,inputs_stab[Position],0)),0)</f>
        <v>0</v>
      </c>
      <c r="EX80" s="185">
        <f>IFERROR(INDEX(inputs_stab[lt4m],MATCH($EU80,inputs_stab[Position],0)),0)</f>
        <v>0</v>
      </c>
      <c r="EY80" s="185">
        <f>IFERROR(INDEX(inputs_stab[gt4m],MATCH($EU80,inputs_stab[Position],0)),0)</f>
        <v>0</v>
      </c>
      <c r="EZ80" s="185">
        <f>IFERROR(INDEX(inputs_stab[band],MATCH($EU80,inputs_stab[Position],0)),0)</f>
        <v>0</v>
      </c>
      <c r="FA80" s="185">
        <f>IFERROR(INDEX(inputs_stab[net],MATCH($EU80,inputs_stab[Position],0)),0)</f>
        <v>0</v>
      </c>
      <c r="FB80" s="185">
        <f>IFERROR(INDEX(inputs_stab[shotcrete],MATCH($EU80,inputs_stab[Position],0)),0)</f>
        <v>0</v>
      </c>
      <c r="FC80" s="185">
        <f>IFERROR(INDEX(inputs_stab[buer],MATCH($EU80,inputs_stab[Position],0)),0)</f>
        <v>0</v>
      </c>
      <c r="FD80" s="185">
        <f>IFERROR(INDEX(inputs_stab[sik_12],MATCH($EU80,inputs_stab[Position],0)),0)</f>
        <v>0</v>
      </c>
      <c r="FE80" s="193">
        <f>IFERROR(INDEX(inputs_stab[sik_3],MATCH($EU80,inputs_stab[Position],0)),0)</f>
        <v>0</v>
      </c>
      <c r="FF80" s="193">
        <f>IFERROR(INDEX(inputs_stab[kartlegging],MATCH($EU80,inputs_stab[Position],0)),0)</f>
        <v>0</v>
      </c>
      <c r="FG80" s="185">
        <f>IFERROR(INDEX(inputs_stab[festebolter],MATCH($EU80,inputs_stab[Position],0)),0)</f>
        <v>0</v>
      </c>
      <c r="GH80" s="414"/>
      <c r="GJ80" s="2617"/>
      <c r="GK80" s="2617"/>
      <c r="GL80" s="2617"/>
      <c r="GM80" s="2617"/>
      <c r="IH80" s="1761">
        <v>4</v>
      </c>
      <c r="II80" s="1761" t="e">
        <f t="shared" ref="II80:IJ80" si="129">II21</f>
        <v>#N/A</v>
      </c>
      <c r="IJ80" s="1761" t="b">
        <f t="shared" si="129"/>
        <v>1</v>
      </c>
      <c r="IK80" s="5944" t="e">
        <f t="shared" si="120"/>
        <v>#N/A</v>
      </c>
      <c r="IL80" s="1761" t="e">
        <f t="shared" si="126"/>
        <v>#N/A</v>
      </c>
      <c r="IM80" s="1761"/>
      <c r="IN80" s="1761" t="str">
        <f>IF(utskrift_just[[#This Row],[general_svar_id]]=1,"Ja","Nei")</f>
        <v>Nei</v>
      </c>
      <c r="IO80" s="1811">
        <f t="shared" si="127"/>
        <v>0</v>
      </c>
      <c r="IP80" s="3700" t="str">
        <f>IF(utskrift_just[[#This Row],[general_svar_id]]=1,IP21,"-")</f>
        <v>-</v>
      </c>
      <c r="IQ80" s="1811" t="str">
        <f>IF(utskrift_just[[#This Row],[general_svar_id]]=1,IQ21,"")</f>
        <v/>
      </c>
      <c r="IR80" s="1811" t="str">
        <f>IF(utskrift_just[[#This Row],[general_svar_id]]=2,IR21,"Nei")</f>
        <v>Nei</v>
      </c>
      <c r="IS80" s="3700" t="str">
        <f>IF(AND(utskrift_just[[#This Row],[general_svar_id]]=2,utskrift_just[[#This Row],[geo_svar]]="Ja"),IS21,"-")</f>
        <v>-</v>
      </c>
      <c r="IT80" s="1811" t="str">
        <f>IF(AND(utskrift_just[[#This Row],[general_svar_id]]=2,utskrift_just[[#This Row],[geo_svar]]="Ja"),IT21,"-")</f>
        <v>-</v>
      </c>
      <c r="IU80" s="1811" t="str">
        <f>IF(utskrift_just[[#This Row],[general_svar_id]]=2,IU21,"Nei")</f>
        <v>Nei</v>
      </c>
      <c r="IV80" s="3700" t="str">
        <f>IF(AND(utskrift_just[[#This Row],[general_svar_id]]=2,utskrift_just[[#This Row],[stig_svar]]="Ja"),IV21,"-")</f>
        <v>-</v>
      </c>
      <c r="IW80" s="1811" t="str">
        <f>IF(AND(utskrift_just[[#This Row],[general_svar_id]]=2,utskrift_just[[#This Row],[stig_svar]]="Ja"),IW21,"-")</f>
        <v>-</v>
      </c>
      <c r="IX80" s="1811" t="str">
        <f>IF(utskrift_just[[#This Row],[general_svar_id]]=2,IX21,"Nei")</f>
        <v>Nei</v>
      </c>
      <c r="IY80" s="3700" t="str">
        <f>IF(AND(utskrift_just[[#This Row],[general_svar_id]]=2,utskrift_just[[#This Row],[arb_svar]]="Ja"),IY21,"-")</f>
        <v>-</v>
      </c>
      <c r="IZ80" s="1811" t="str">
        <f>IF(AND(utskrift_just[[#This Row],[general_svar_id]]=2,utskrift_just[[#This Row],[arb_svar]]="Ja"),IZ21,"-")</f>
        <v>-</v>
      </c>
      <c r="JA80" s="1811" t="str">
        <f>IF(utskrift_just[[#This Row],[general_svar_id]]=2,JA21,"Nei")</f>
        <v>Nei</v>
      </c>
      <c r="JB80" s="3700" t="str">
        <f>IF(AND(utskrift_just[[#This Row],[general_svar_id]]=2,utskrift_just[[#This Row],[spreng_svar]]="Ja"),JB21,"-")</f>
        <v>-</v>
      </c>
      <c r="JC80" s="1811" t="str">
        <f>IF(AND(utskrift_just[[#This Row],[general_svar_id]]=2,utskrift_just[[#This Row],[spreng_svar]]="Ja"),JC21,"-")</f>
        <v>-</v>
      </c>
      <c r="JD80" s="1811" t="str">
        <f>IF(utskrift_just[[#This Row],[general_svar_id]]=2,JD21,"Nei")</f>
        <v>Nei</v>
      </c>
      <c r="JE80" s="3700" t="str">
        <f>IF(AND(utskrift_just[[#This Row],[general_svar_id]]=2,utskrift_just[[#This Row],[skyte_svar]]="Ja"),JE21,"-")</f>
        <v>-</v>
      </c>
      <c r="JF80" s="1811" t="str">
        <f>IF(AND(utskrift_just[[#This Row],[general_svar_id]]=2,utskrift_just[[#This Row],[skyte_svar]]="Ja"),JF21,"-")</f>
        <v>-</v>
      </c>
      <c r="JG80" s="1811" t="str">
        <f>IF(utskrift_just[[#This Row],[general_svar_id]]=2,JG21,"Nei")</f>
        <v>Nei</v>
      </c>
      <c r="JH80" s="3700" t="str">
        <f>IF(AND(utskrift_just[[#This Row],[general_svar_id]]=2,utskrift_just[[#This Row],[støy_svar]]="Ja"),JH21,"-")</f>
        <v>-</v>
      </c>
      <c r="JI80" s="1811" t="str">
        <f>IF(AND(utskrift_just[[#This Row],[general_svar_id]]=2,utskrift_just[[#This Row],[støy_svar]]="Ja"),JI21,"-")</f>
        <v>-</v>
      </c>
      <c r="JJ80" s="1811" t="str">
        <f>IF(utskrift_just[[#This Row],[general_svar_id]]=2,JJ21,"Nei")</f>
        <v>Nei</v>
      </c>
      <c r="JK80" s="3700" t="str">
        <f>IF(AND(utskrift_just[[#This Row],[general_svar_id]]=2,utskrift_just[[#This Row],[ann_svar]]="Ja"),JK21,"-")</f>
        <v>-</v>
      </c>
      <c r="JL80" s="1811" t="str">
        <f>IF(AND(utskrift_just[[#This Row],[general_svar_id]]=2,utskrift_just[[#This Row],[ann_svar]]="Ja"),JL21,"-")</f>
        <v>-</v>
      </c>
      <c r="JM80" s="2633">
        <f>IF(JW61=1,_List!$EG$7,IFERROR(utskrift_just[[#This Row],[general_tid]]+utskrift_just[[#This Row],[geo_tid]]+utskrift_just[[#This Row],[stig_tid]]+utskrift_just[[#This Row],[arb_tid]]+utskrift_just[[#This Row],[spreng_tid]]+utskrift_just[[#This Row],[skyte_tid]]+utskrift_just[[#This Row],[støy_tid]]+utskrift_just[[#This Row],[ann_tid]],0))</f>
        <v>0</v>
      </c>
      <c r="JN80" s="1812" t="str">
        <f>IFERROR((INDEX(oppsum_position[Name],MATCH(utskrift_just[[#This Row],[position]],oppsum_position[Position],0))),"")</f>
        <v/>
      </c>
      <c r="JO80" s="1811">
        <v>4</v>
      </c>
      <c r="JP80" s="1811">
        <f>IF($BC$34&gt;3,1,0)</f>
        <v>0</v>
      </c>
      <c r="JQ80" s="1811">
        <f>INDEX(outputs_position[14],MATCH($BC$35,outputs_position[lopstuff],0))</f>
        <v>0</v>
      </c>
      <c r="KO80" s="433" t="s">
        <v>2290</v>
      </c>
      <c r="KZ80" s="2617"/>
      <c r="LA80" s="2617"/>
      <c r="LB80" s="2617"/>
      <c r="LX80" s="5268"/>
      <c r="NI80" s="1567"/>
      <c r="NN80" s="407">
        <v>52</v>
      </c>
      <c r="NO80" s="340" t="str">
        <f t="shared" si="121"/>
        <v>Stuff 2-1</v>
      </c>
      <c r="NP80" s="431">
        <f t="shared" si="83"/>
        <v>0</v>
      </c>
      <c r="NQ80" s="431">
        <f t="shared" si="84"/>
        <v>0</v>
      </c>
      <c r="NR80" s="431">
        <f t="shared" si="85"/>
        <v>0</v>
      </c>
      <c r="NS80" s="431">
        <f t="shared" si="86"/>
        <v>0</v>
      </c>
      <c r="NT80" s="411">
        <f t="shared" si="87"/>
        <v>0</v>
      </c>
      <c r="NU80" s="411">
        <f t="shared" si="88"/>
        <v>0</v>
      </c>
      <c r="NV80" s="411">
        <f>outputs_oppsum[[#This Row],[total_lop]]+outputs_oppsum[[#This Row],[total_nisj]]</f>
        <v>0</v>
      </c>
      <c r="NW80" s="411">
        <f>outputs_oppsum[[#This Row],[total_spreng_hr]]/$AI$80</f>
        <v>0</v>
      </c>
      <c r="NX80" s="431">
        <f t="shared" si="89"/>
        <v>0</v>
      </c>
      <c r="NY80" s="431">
        <f t="shared" si="90"/>
        <v>0</v>
      </c>
      <c r="NZ80" s="431">
        <f t="shared" si="91"/>
        <v>0</v>
      </c>
      <c r="OA80" s="431">
        <f t="shared" si="92"/>
        <v>0</v>
      </c>
      <c r="OB80" s="431">
        <f t="shared" si="93"/>
        <v>0</v>
      </c>
      <c r="OC80" s="431">
        <f t="shared" si="94"/>
        <v>0</v>
      </c>
      <c r="OD80" s="431">
        <f t="shared" si="95"/>
        <v>0</v>
      </c>
      <c r="OE80" s="431">
        <f t="shared" si="96"/>
        <v>0</v>
      </c>
      <c r="OF80" s="431">
        <f t="shared" si="97"/>
        <v>0</v>
      </c>
      <c r="OG80" s="431">
        <f t="shared" si="98"/>
        <v>0</v>
      </c>
      <c r="OH80" s="431">
        <f t="shared" si="99"/>
        <v>0</v>
      </c>
      <c r="OI80" s="477">
        <f t="shared" si="100"/>
        <v>0</v>
      </c>
      <c r="OJ80" s="3703">
        <f>outputs_oppsum[[#This Row],[total_foran_hr]]/$AI$80</f>
        <v>0</v>
      </c>
      <c r="OK80" s="477">
        <f t="shared" si="101"/>
        <v>0</v>
      </c>
      <c r="OL80" s="477">
        <f t="shared" si="102"/>
        <v>0</v>
      </c>
      <c r="OM80" s="431">
        <f t="shared" si="103"/>
        <v>0</v>
      </c>
      <c r="ON80" s="431">
        <f t="shared" si="104"/>
        <v>0</v>
      </c>
      <c r="OO80" s="431">
        <f t="shared" si="105"/>
        <v>0</v>
      </c>
      <c r="OP80" s="431">
        <f t="shared" si="106"/>
        <v>0</v>
      </c>
      <c r="OQ80" s="431">
        <f t="shared" si="107"/>
        <v>0</v>
      </c>
      <c r="OR80" s="431"/>
      <c r="OS80" s="431"/>
      <c r="OT80" s="431">
        <f t="shared" si="108"/>
        <v>0</v>
      </c>
      <c r="OU80" s="431"/>
      <c r="OV80" s="431"/>
      <c r="OW80" s="431">
        <f t="shared" si="122"/>
        <v>0</v>
      </c>
      <c r="OX80" s="431">
        <f t="shared" si="109"/>
        <v>0</v>
      </c>
      <c r="OY80" s="431">
        <f t="shared" si="110"/>
        <v>0</v>
      </c>
      <c r="OZ80" s="431">
        <f t="shared" si="111"/>
        <v>0</v>
      </c>
      <c r="PA80" s="431">
        <f t="shared" si="112"/>
        <v>0</v>
      </c>
      <c r="PB80" s="478">
        <f t="shared" si="123"/>
        <v>0</v>
      </c>
      <c r="PC80" s="478">
        <f t="shared" si="124"/>
        <v>0</v>
      </c>
      <c r="PD80" s="478">
        <f t="shared" si="113"/>
        <v>0</v>
      </c>
      <c r="PE80" s="478">
        <f t="shared" si="114"/>
        <v>0</v>
      </c>
      <c r="PF80" s="478">
        <f t="shared" si="115"/>
        <v>0</v>
      </c>
      <c r="PG80" s="478">
        <f t="shared" si="116"/>
        <v>0</v>
      </c>
      <c r="PH80" s="841">
        <f t="shared" si="117"/>
        <v>0</v>
      </c>
      <c r="PI80" s="1277">
        <f>outputs_oppsum[[#This Row],[total_stab_hr]]/$AI$80</f>
        <v>0</v>
      </c>
      <c r="PJ80" s="211" t="str">
        <f>IF(AND($GL$35=1,outputs_oppsum[[#This Row],[tverrslag_status]]&lt;&gt;1),$GR$67,$GK$11)</f>
        <v>Ikke relevant</v>
      </c>
      <c r="PK80" s="211">
        <f>IFERROR(outputs_oppsum[[#This Row],[prosjekt_forbe]]*$AI$80,0)</f>
        <v>0</v>
      </c>
      <c r="PL80" s="211" t="b">
        <f t="shared" si="118"/>
        <v>0</v>
      </c>
      <c r="PM80" s="211" t="b">
        <f t="shared" si="118"/>
        <v>0</v>
      </c>
      <c r="PN80" s="211" t="b">
        <f t="shared" si="118"/>
        <v>0</v>
      </c>
      <c r="PO80" s="425" t="str">
        <f t="shared" si="118"/>
        <v>Ikke relevant</v>
      </c>
      <c r="PP80" s="431">
        <f>outputs_oppsum[[#This Row],[Forberedende]]*$AI$80</f>
        <v>0</v>
      </c>
      <c r="PQ80" s="431">
        <f>outputs_oppsum[[#This Row],[Portaler]]*$AI$80</f>
        <v>0</v>
      </c>
      <c r="PR80" s="431">
        <f>outputs_oppsum[[#This Row],[Andrearbeider]]*$AI$80</f>
        <v>0</v>
      </c>
      <c r="PS80" s="431">
        <f>IFERROR(outputs_oppsum[[#This Row],[total_forbe]]*$AI$80,0)</f>
        <v>0</v>
      </c>
      <c r="PT80" s="431" t="e">
        <f t="shared" si="77"/>
        <v>#VALUE!</v>
      </c>
      <c r="PU80"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0" s="1656">
        <f>outputs_oppsum[[#This Row],[oppsum_drivetid_hr]]/$AI$80</f>
        <v>0</v>
      </c>
      <c r="PW80" s="1660"/>
      <c r="PX80" s="1658">
        <f>INDEX(tverr_connection_2[52],MATCH($BC$28,tverr_connection_2[config],0))</f>
        <v>0</v>
      </c>
      <c r="PY80" s="1662" t="str">
        <f>IF(outputs_oppsum[[#This Row],[tverrslag_status]]=0,$HI$54,IF(outputs_oppsum[[#This Row],[tverrslag_status]]=1,$HI$55,"-"))</f>
        <v>Ikke påvirket</v>
      </c>
      <c r="PZ80" s="1663" t="str">
        <f>IFERROR(INDEX(outputs_tverrslag[Tverrslag construction time],MATCH(outputs_oppsum[[#This Row],[stuff_navn]],outputs_tverrslag[name],0)),"-")</f>
        <v>-</v>
      </c>
      <c r="QA80" s="1658" t="str">
        <f>IF(outputs_oppsum[[#This Row],[tverrslag_status_oppsum]]=$HI$55,$PU$84,"-")</f>
        <v>-</v>
      </c>
      <c r="QB80" s="1662" t="str">
        <f>IF(outputs_oppsum[[#This Row],[tverrslag_status_oppsum]]=$HI$55,$HI$66,"-")</f>
        <v>-</v>
      </c>
      <c r="QC80" s="1662" t="str">
        <f>IF(outputs_oppsum[[#This Row],[tverrslag_status_oppsum]]=$HI$55,$HJ$14,"-")</f>
        <v>-</v>
      </c>
      <c r="QD80" s="1668" t="str">
        <f>IFERROR(INDEX(outputs_tverrslag[forsink_perstuff_uker],MATCH(outputs_oppsum[[#This Row],[stuff_navn]],outputs_tverrslag[name],0)),"-")</f>
        <v>-</v>
      </c>
      <c r="QE80" s="843" t="str">
        <f>IFERROR(INDEX(outputs_tverrslag[forsink_total_uker],MATCH(outputs_oppsum[[#This Row],[stuff_navn]],outputs_tverrslag[name],0)),"-")</f>
        <v>-</v>
      </c>
      <c r="QF80" s="843" t="str">
        <f>IFERROR(INDEX(outputs_tverrslag[Kryssområdet_hr],MATCH(outputs_oppsum[[#This Row],[stuff_navn]],outputs_tverrslag[name],0)),"-")</f>
        <v>-</v>
      </c>
      <c r="QG80" s="843" t="str">
        <f>IFERROR(INDEX(outputs_tverrslag[forsink_total_hr],MATCH(outputs_oppsum[[#This Row],[stuff_navn]],outputs_tverrslag[name],0)),"-")</f>
        <v>-</v>
      </c>
      <c r="QH80" s="334">
        <f>SUMIF(outputs_oppsum[[#This Row],[kryssområdet_forberedende_hr2]:[extra_forsink_etter_tverrslag_total_hr]],"&lt;&gt;-")+SUMIF(outputs_oppsum[[#This Row],[tverrslag_tid]],"&lt;&gt;-")</f>
        <v>0</v>
      </c>
      <c r="QI80" s="334" t="str">
        <f>IF(OR(outputs_oppsum[[#This Row],[tverrslag_status_oppsum]]=$HI$55,outputs_oppsum[[#This Row],[tverrslag_status_oppsum]]=$I$90),$GR$67,"-")</f>
        <v>-</v>
      </c>
      <c r="QJ80" s="334">
        <f>IFERROR(outputs_oppsum[[#This Row],[extra_tverrslag_prosjekt_forarb_uke]]*$AI$80,0)</f>
        <v>0</v>
      </c>
      <c r="QK80" s="334" t="str">
        <f>IF(outputs_oppsum[[#This Row],[tverrslag_status_oppsum]]=$HI$55,$PO$75,"-")</f>
        <v>-</v>
      </c>
      <c r="QL80" s="1827">
        <f>IFERROR(outputs_oppsum[[#This Row],[extra_tverrslag_forarb_uke]]*$AI$80,0)</f>
        <v>0</v>
      </c>
      <c r="QM80" s="334" t="str">
        <f>IF(outputs_oppsum[[#This Row],[tverrslag_status_oppsum]]=$HI$55,$RA$75,"-")</f>
        <v>-</v>
      </c>
      <c r="QN80" s="1827">
        <f>IFERROR(outputs_oppsum[[#This Row],[extra_tverrslag_just_uke]]*$AI$80,0)</f>
        <v>0</v>
      </c>
      <c r="QO80" s="211" t="str">
        <f>IF(outputs_oppsum[[#This Row],[tverrslag_status_oppsum]]=$HI$55,$GK$96,"-")</f>
        <v>-</v>
      </c>
      <c r="QP80" s="1828">
        <f>IFERROR(outputs_oppsum[[#This Row],[tverrslag_forsinkt_uke]]*$AI$80,0)</f>
        <v>0</v>
      </c>
      <c r="QQ80"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80" s="1809">
        <f>IFERROR(IF(outputs_oppsum[[#This Row],[tverrslag_status_oppsum]]=$I$90,outputs_oppsum[[#This Row],[kryssområdet_forberedende_hr]],IF(outputs_oppsum[[#This Row],[tverrslag_status]]=1,outputs_oppsum[[#This Row],[tverrslag_total_hr]],0)),0)</f>
        <v>0</v>
      </c>
      <c r="QS80" s="1666" t="e">
        <f>INDEX(outputs_just[general_tid],MATCH(outputs_oppsum[[#This Row],[stuff_navn]],outputs_just[Navn],0))</f>
        <v>#N/A</v>
      </c>
      <c r="QT80" s="1666" t="e">
        <f>INDEX(outputs_just[geo_tid],MATCH(outputs_oppsum[[#This Row],[stuff_navn]],outputs_just[Navn],0))</f>
        <v>#N/A</v>
      </c>
      <c r="QU80" s="1666" t="e">
        <f>INDEX(outputs_just[stig_tid],MATCH(outputs_oppsum[[#This Row],[stuff_navn]],outputs_just[Navn],0))</f>
        <v>#N/A</v>
      </c>
      <c r="QV80" s="1666" t="e">
        <f>INDEX(outputs_just[arb_tid],MATCH(outputs_oppsum[[#This Row],[stuff_navn]],outputs_just[Navn],0))</f>
        <v>#N/A</v>
      </c>
      <c r="QW80" s="1666" t="e">
        <f>INDEX(outputs_just[spreng_tid],MATCH(outputs_oppsum[[#This Row],[stuff_navn]],outputs_just[Navn],0))</f>
        <v>#N/A</v>
      </c>
      <c r="QX80" s="1666" t="e">
        <f>INDEX(outputs_just[skyte_tid],MATCH(outputs_oppsum[[#This Row],[stuff_navn]],outputs_just[Navn],0))</f>
        <v>#N/A</v>
      </c>
      <c r="QY80" s="1666" t="e">
        <f>INDEX(outputs_just[støy_tid],MATCH(outputs_oppsum[[#This Row],[stuff_navn]],outputs_just[Navn],0))</f>
        <v>#N/A</v>
      </c>
      <c r="QZ80" s="1666" t="e">
        <f>INDEX(outputs_just[ann_tid],MATCH(outputs_oppsum[[#This Row],[stuff_navn]],outputs_just[Navn],0))</f>
        <v>#N/A</v>
      </c>
      <c r="RA80" s="1666" t="e">
        <f>SUM(outputs_oppsum[[#This Row],[just_generell]:[just_ann]])</f>
        <v>#N/A</v>
      </c>
      <c r="RB80" s="1666" t="e">
        <f>outputs_oppsum[[#This Row],[just_total_uke]]*$AI$80</f>
        <v>#N/A</v>
      </c>
      <c r="RC80" s="211">
        <f>INDEX(inputs_forsinket[tid_uke],MATCH(outputs_oppsum[[#This Row],[stuff_navn]],inputs_forsinket[name],0))</f>
        <v>0</v>
      </c>
      <c r="RD80" s="1805">
        <f>outputs_oppsum[[#This Row],[forsinket_uke]]*$AI$80</f>
        <v>0</v>
      </c>
      <c r="RE80" s="234">
        <f t="shared" si="119"/>
        <v>1</v>
      </c>
      <c r="RF80" s="211" t="str">
        <f>IF(RE80=1,_List!$AW$7,IF(RE80=2,_List!$AW$8,""))</f>
        <v>Enstuffs drift</v>
      </c>
      <c r="RG80" s="431" t="str">
        <f>IF(outputs_oppsum[[#This Row],[kon_metod_no]]=2,INDEX(framdriftfaktor[stab-foran_spreng_ratio],MATCH(outputs_oppsum[[#This Row],[stuff_id]],framdriftfaktor[stuff_id],0)),"-")</f>
        <v>-</v>
      </c>
      <c r="RH80" s="5269">
        <f>IF(outputs_oppsum[[#This Row],[kon_metod_no]]=2,INDEX(framdriftfaktor[beregnet_faktor_final],MATCH(outputs_oppsum[[#This Row],[stuff_id]],framdriftfaktor[stuff_id],0)),1)</f>
        <v>1</v>
      </c>
      <c r="RI80" s="5269" t="str">
        <f>IF(outputs_oppsum[[#This Row],[kon_metod]]=_List!$AW$8,INDEX(outputs_just[vek_faktor_bruker_definert_status],MATCH(outputs_oppsum[[#This Row],[stuff_navn]],outputs_just[Navn],0)),"")</f>
        <v/>
      </c>
      <c r="RJ80" s="5269" t="e">
        <f>IF(AND(outputs_oppsum[[#This Row],[kon_metod_no]]&lt;&gt;1,LP125=FALSE),LO125,"-")</f>
        <v>#N/A</v>
      </c>
      <c r="RK80" s="5269">
        <f>IF(AND(outputs_oppsum[[#This Row],[kon_metod_no]]=2,outputs_oppsum[[#This Row],[tverrslag_status_oppsum]]&lt;&gt;$I$90,outputs_oppsum[[#This Row],[faktor_bruker_definert]]=FALSE),outputs_oppsum[[#This Row],[faktor_user]],outputs_oppsum[[#This Row],[faktor_beregnet]])</f>
        <v>1</v>
      </c>
      <c r="RL80" s="1807">
        <f>IFERROR((outputs_oppsum[[#This Row],[faktor_final]]-1)*outputs_oppsum[[#This Row],[oppsum_drivetid_hr]]*outputs_oppsum[[#This Row],[veksel_prosent]],"-")</f>
        <v>0</v>
      </c>
      <c r="RM80" s="1807" t="str">
        <f>IF(outputs_oppsum[[#This Row],[kon_metod_no]]=2,outputs_oppsum[[#This Row],[ekstra_framdrift_tid_oppsum_hr]]/$AI$80,"-")</f>
        <v>-</v>
      </c>
      <c r="RN80" s="431" t="str">
        <f>IF(outputs_oppsum[[#This Row],[kon_metod_no]]=2,outputs_oppsum[[#This Row],[ekstra_drivetid_pga_faktor]],"-")</f>
        <v>-</v>
      </c>
      <c r="RO80" s="431">
        <f>IFERROR(outputs_oppsum[[#This Row],[oppsum_drivetid_hr]]+outputs_oppsum[[#This Row],[ekstra_drivetid_pga_faktor]],"-")</f>
        <v>0</v>
      </c>
      <c r="RP80"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0" s="5276">
        <f>IF(outputs_oppsum[[#This Row],[enstuff_prosent_input]]&gt;1,1,outputs_oppsum[[#This Row],[enstuff_prosent_input]])</f>
        <v>1</v>
      </c>
      <c r="RR80"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0" s="431"/>
      <c r="RT80" s="431"/>
      <c r="RU80" s="431"/>
      <c r="RV80" s="431"/>
      <c r="RW80" s="431" t="str">
        <f>IFERROR(outputs_oppsum[[#This Row],[drivetid_with_faktor]]+outputs_oppsum[[#This Row],[prosjekt_forbe_hr]]+outputs_oppsum[[#This Row],[total_forbe_hr]]+outputs_oppsum[[#This Row],[extra_for_tverrslag_sum]]+outputs_oppsum[[#This Row],[just_total_hr]]+outputs_oppsum[[#This Row],[forsinket_hr]],"!")</f>
        <v>!</v>
      </c>
      <c r="RX80" s="431" t="str">
        <f>IFERROR(outputs_oppsum[[#This Row],[oppsum_total_hr]]/$AI$80,"!")</f>
        <v>!</v>
      </c>
      <c r="RY80" s="431" t="str">
        <f>IF(MAX($RX$76:$RX$84)=outputs_oppsum[[#This Row],[oppsum_total_uke]],MAX($RX$76:$RX$84),"-")</f>
        <v>-</v>
      </c>
      <c r="RZ80" s="431" t="str">
        <f>IF(AND(ISNUMBER(outputs_oppsum[[#This Row],[Criticalstuff]]),$BC$34&lt;&gt;1,outputs_oppsum[[#This Row],[Criticalstuff]]&gt;0),$RZ$63,"")</f>
        <v/>
      </c>
      <c r="SA80" s="837"/>
      <c r="SB80" s="837"/>
      <c r="SC80" s="837"/>
      <c r="SD80" s="837"/>
      <c r="SE80" s="3521"/>
      <c r="SF80" s="3521"/>
      <c r="SG80" s="2617"/>
      <c r="SH80" s="3886"/>
      <c r="SI80" s="3886"/>
      <c r="SJ80" s="3886"/>
      <c r="SK80" s="3886"/>
      <c r="SL80" s="3886"/>
      <c r="SR80" s="2617"/>
      <c r="SS80" s="2617"/>
      <c r="ST80" s="2617"/>
      <c r="SU80" s="2617"/>
      <c r="SV80" s="2617"/>
      <c r="SW80" s="2617"/>
      <c r="SX80" s="2617"/>
      <c r="SY80" s="2617"/>
      <c r="SZ80" s="2617"/>
      <c r="TA80" s="2617"/>
      <c r="TB80" s="2617"/>
      <c r="TC80" s="2617"/>
      <c r="TD80" s="2617"/>
      <c r="TR80" s="183"/>
      <c r="TW80" s="181"/>
      <c r="TX80" s="183"/>
      <c r="TY80" s="183"/>
      <c r="TZ80" s="183"/>
      <c r="UA80" s="183"/>
      <c r="UC80" s="181"/>
      <c r="UD80" s="181"/>
      <c r="UE80" s="181"/>
      <c r="UF80" s="181"/>
      <c r="UK80" s="183"/>
      <c r="UL80" s="183"/>
      <c r="UM80" s="183"/>
      <c r="UN80" s="183"/>
      <c r="UO80" s="183"/>
      <c r="UQ80" s="184"/>
      <c r="US80" s="183"/>
      <c r="UT80" s="183"/>
      <c r="UU80" s="2617"/>
      <c r="UV80" s="2617"/>
      <c r="UW80" s="2617"/>
      <c r="UX80" s="2617"/>
      <c r="UY80" s="2617"/>
      <c r="UZ80" s="2617"/>
      <c r="VA80" s="2617"/>
      <c r="VB80" s="2617"/>
      <c r="VC80" s="2617"/>
      <c r="VD80" s="2617"/>
      <c r="VE80" s="2617"/>
      <c r="VF80"/>
      <c r="VG80" s="2617"/>
      <c r="VH80" s="2617"/>
      <c r="VI80" s="2617"/>
      <c r="VJ80" s="2617"/>
      <c r="VK80" s="2617"/>
      <c r="VL80" s="2617"/>
      <c r="VM80" s="2617"/>
      <c r="VN80" s="2617"/>
      <c r="VO80" s="2617"/>
      <c r="VP80" s="2617"/>
      <c r="VQ80" s="2617"/>
      <c r="VR80" s="2617"/>
      <c r="VS80" s="2617"/>
      <c r="VT80" s="2617"/>
      <c r="VU80" s="2617"/>
      <c r="VV80" s="2617"/>
      <c r="VW80" s="2617"/>
      <c r="VX80" s="2617"/>
      <c r="VY80" s="2617"/>
      <c r="VZ80" s="2617"/>
      <c r="WA80" s="2617"/>
      <c r="WB80" s="2617"/>
      <c r="WC80" s="2617"/>
      <c r="WD80" s="2617"/>
      <c r="WE80" s="2617"/>
      <c r="WF80" s="2617"/>
      <c r="WG80" s="2617"/>
      <c r="WH80" s="2617"/>
      <c r="WI80" s="2617"/>
      <c r="WJ80" s="2617"/>
      <c r="WK80" s="2617"/>
      <c r="WL80" s="2617"/>
      <c r="WM80" s="2617"/>
      <c r="WN80" s="2617"/>
      <c r="WO80" s="2617"/>
      <c r="WP80" s="2617"/>
      <c r="WQ80" s="2617"/>
      <c r="WR80" s="2617"/>
      <c r="WS80" s="2617"/>
      <c r="WT80" s="2617"/>
      <c r="WU80" s="2617"/>
      <c r="WV80" s="2617"/>
      <c r="WW80" s="2617"/>
      <c r="WX80" s="2617"/>
      <c r="WY80" s="1754"/>
      <c r="WZ80" s="1754"/>
      <c r="XA80" s="1754"/>
      <c r="XB80" s="1754"/>
      <c r="XC80" s="1754"/>
      <c r="XD80" s="1754"/>
      <c r="XE80" s="1754"/>
      <c r="XF80" s="1754"/>
      <c r="XG80" s="1754"/>
      <c r="XH80" s="1754"/>
      <c r="XI80" s="1754"/>
      <c r="XJ80" s="1754"/>
      <c r="XK80" s="1754"/>
      <c r="XL80" s="265"/>
      <c r="XM80" s="265"/>
      <c r="XN80" s="265"/>
      <c r="XO80" s="265"/>
      <c r="XP80" s="265"/>
      <c r="XQ80" s="265"/>
      <c r="XR80" s="265"/>
      <c r="XS80" s="265"/>
      <c r="XT80" s="265"/>
      <c r="XU80" s="265"/>
    </row>
    <row r="81" spans="9:645" ht="19.5" x14ac:dyDescent="0.3">
      <c r="I81" s="185"/>
      <c r="J81" s="185"/>
      <c r="K81" s="185"/>
      <c r="L81" s="185" t="s">
        <v>136</v>
      </c>
      <c r="M81" s="185"/>
      <c r="N81" s="185" t="s">
        <v>2784</v>
      </c>
      <c r="O81" s="185"/>
      <c r="AL81" s="181"/>
      <c r="AM81" s="181"/>
      <c r="AN81" s="181"/>
      <c r="AO81" s="181"/>
      <c r="AP81" s="181"/>
      <c r="AQ81" s="181"/>
      <c r="AR81" s="181"/>
      <c r="AS81" s="181"/>
      <c r="AT81" s="181"/>
      <c r="AU81" s="2617"/>
      <c r="AV81" s="2617"/>
      <c r="BB81" s="289" t="s">
        <v>335</v>
      </c>
      <c r="BC81" s="270"/>
      <c r="BD81" s="270"/>
      <c r="EM81" s="210"/>
      <c r="EN81" s="210"/>
      <c r="ER81" s="439" t="str">
        <f>$QU$135</f>
        <v>Stuff 2-3</v>
      </c>
      <c r="ES81" s="188">
        <f>IF($BC$38=1,0,IF($BC$38=2,7,0))</f>
        <v>7</v>
      </c>
      <c r="ET81" s="185">
        <f>IF($BC$34&gt;6,1,0)</f>
        <v>0</v>
      </c>
      <c r="EU81" s="194">
        <f>IF($BC$38=2,INDEX(outputs_position[23],MATCH($BC$35,outputs_position[lopstuff],0)),0)</f>
        <v>0</v>
      </c>
      <c r="EV81" s="473" t="str">
        <f t="shared" si="82"/>
        <v>Stuff 2-3</v>
      </c>
      <c r="EW81" s="238">
        <f>IFERROR(INDEX(inputs_stab[Manuell],MATCH($EU81,inputs_stab[Position],0)),0)</f>
        <v>0</v>
      </c>
      <c r="EX81" s="185">
        <f>IFERROR(INDEX(inputs_stab[lt4m],MATCH($EU81,inputs_stab[Position],0)),0)</f>
        <v>0</v>
      </c>
      <c r="EY81" s="185">
        <f>IFERROR(INDEX(inputs_stab[gt4m],MATCH($EU81,inputs_stab[Position],0)),0)</f>
        <v>0</v>
      </c>
      <c r="EZ81" s="185">
        <f>IFERROR(INDEX(inputs_stab[band],MATCH($EU81,inputs_stab[Position],0)),0)</f>
        <v>0</v>
      </c>
      <c r="FA81" s="185">
        <f>IFERROR(INDEX(inputs_stab[net],MATCH($EU81,inputs_stab[Position],0)),0)</f>
        <v>0</v>
      </c>
      <c r="FB81" s="185">
        <f>IFERROR(INDEX(inputs_stab[shotcrete],MATCH($EU81,inputs_stab[Position],0)),0)</f>
        <v>0</v>
      </c>
      <c r="FC81" s="185">
        <f>IFERROR(INDEX(inputs_stab[buer],MATCH($EU81,inputs_stab[Position],0)),0)</f>
        <v>0</v>
      </c>
      <c r="FD81" s="185">
        <f>IFERROR(INDEX(inputs_stab[sik_12],MATCH($EU81,inputs_stab[Position],0)),0)</f>
        <v>0</v>
      </c>
      <c r="FE81" s="193">
        <f>IFERROR(INDEX(inputs_stab[sik_3],MATCH($EU81,inputs_stab[Position],0)),0)</f>
        <v>0</v>
      </c>
      <c r="FF81" s="193">
        <f>IFERROR(INDEX(inputs_stab[kartlegging],MATCH($EU81,inputs_stab[Position],0)),0)</f>
        <v>0</v>
      </c>
      <c r="FG81" s="185">
        <f>IFERROR(INDEX(inputs_stab[festebolter],MATCH($EU81,inputs_stab[Position],0)),0)</f>
        <v>0</v>
      </c>
      <c r="GH81" s="414"/>
      <c r="GJ81" s="2617"/>
      <c r="GK81" s="2617"/>
      <c r="GL81" s="2617"/>
      <c r="GM81" s="2617"/>
      <c r="IH81" s="1761">
        <v>5</v>
      </c>
      <c r="II81" s="1761" t="e">
        <f t="shared" ref="II81:IJ81" si="130">II22</f>
        <v>#N/A</v>
      </c>
      <c r="IJ81" s="1761" t="b">
        <f t="shared" si="130"/>
        <v>1</v>
      </c>
      <c r="IK81" s="5944" t="e">
        <f t="shared" si="120"/>
        <v>#N/A</v>
      </c>
      <c r="IL81" s="1761" t="e">
        <f t="shared" si="126"/>
        <v>#N/A</v>
      </c>
      <c r="IM81" s="1761"/>
      <c r="IN81" s="1761" t="str">
        <f>IF(utskrift_just[[#This Row],[general_svar_id]]=1,"Ja","Nei")</f>
        <v>Nei</v>
      </c>
      <c r="IO81" s="1811">
        <f t="shared" si="127"/>
        <v>0</v>
      </c>
      <c r="IP81" s="3700" t="str">
        <f>IF(utskrift_just[[#This Row],[general_svar_id]]=1,IP22,"-")</f>
        <v>-</v>
      </c>
      <c r="IQ81" s="1811" t="str">
        <f>IF(utskrift_just[[#This Row],[general_svar_id]]=1,IQ22,"")</f>
        <v/>
      </c>
      <c r="IR81" s="1811" t="str">
        <f>IF(utskrift_just[[#This Row],[general_svar_id]]=2,IR22,"Nei")</f>
        <v>Nei</v>
      </c>
      <c r="IS81" s="3700" t="str">
        <f>IF(AND(utskrift_just[[#This Row],[general_svar_id]]=2,utskrift_just[[#This Row],[geo_svar]]="Ja"),IS22,"-")</f>
        <v>-</v>
      </c>
      <c r="IT81" s="1811" t="str">
        <f>IF(AND(utskrift_just[[#This Row],[general_svar_id]]=2,utskrift_just[[#This Row],[geo_svar]]="Ja"),IT22,"-")</f>
        <v>-</v>
      </c>
      <c r="IU81" s="1811" t="str">
        <f>IF(utskrift_just[[#This Row],[general_svar_id]]=2,IU22,"Nei")</f>
        <v>Nei</v>
      </c>
      <c r="IV81" s="3700" t="str">
        <f>IF(AND(utskrift_just[[#This Row],[general_svar_id]]=2,utskrift_just[[#This Row],[stig_svar]]="Ja"),IV22,"-")</f>
        <v>-</v>
      </c>
      <c r="IW81" s="1811" t="str">
        <f>IF(AND(utskrift_just[[#This Row],[general_svar_id]]=2,utskrift_just[[#This Row],[stig_svar]]="Ja"),IW22,"-")</f>
        <v>-</v>
      </c>
      <c r="IX81" s="1811" t="str">
        <f>IF(utskrift_just[[#This Row],[general_svar_id]]=2,IX22,"Nei")</f>
        <v>Nei</v>
      </c>
      <c r="IY81" s="3700" t="str">
        <f>IF(AND(utskrift_just[[#This Row],[general_svar_id]]=2,utskrift_just[[#This Row],[arb_svar]]="Ja"),IY22,"-")</f>
        <v>-</v>
      </c>
      <c r="IZ81" s="1811" t="str">
        <f>IF(AND(utskrift_just[[#This Row],[general_svar_id]]=2,utskrift_just[[#This Row],[arb_svar]]="Ja"),IZ22,"-")</f>
        <v>-</v>
      </c>
      <c r="JA81" s="1811" t="str">
        <f>IF(utskrift_just[[#This Row],[general_svar_id]]=2,JA22,"Nei")</f>
        <v>Nei</v>
      </c>
      <c r="JB81" s="3700" t="str">
        <f>IF(AND(utskrift_just[[#This Row],[general_svar_id]]=2,utskrift_just[[#This Row],[spreng_svar]]="Ja"),JB22,"-")</f>
        <v>-</v>
      </c>
      <c r="JC81" s="1811" t="str">
        <f>IF(AND(utskrift_just[[#This Row],[general_svar_id]]=2,utskrift_just[[#This Row],[spreng_svar]]="Ja"),JC22,"-")</f>
        <v>-</v>
      </c>
      <c r="JD81" s="1811" t="str">
        <f>IF(utskrift_just[[#This Row],[general_svar_id]]=2,JD22,"Nei")</f>
        <v>Nei</v>
      </c>
      <c r="JE81" s="3700" t="str">
        <f>IF(AND(utskrift_just[[#This Row],[general_svar_id]]=2,utskrift_just[[#This Row],[skyte_svar]]="Ja"),JE22,"-")</f>
        <v>-</v>
      </c>
      <c r="JF81" s="1811" t="str">
        <f>IF(AND(utskrift_just[[#This Row],[general_svar_id]]=2,utskrift_just[[#This Row],[skyte_svar]]="Ja"),JF22,"-")</f>
        <v>-</v>
      </c>
      <c r="JG81" s="1811" t="str">
        <f>IF(utskrift_just[[#This Row],[general_svar_id]]=2,JG22,"Nei")</f>
        <v>Nei</v>
      </c>
      <c r="JH81" s="3700" t="str">
        <f>IF(AND(utskrift_just[[#This Row],[general_svar_id]]=2,utskrift_just[[#This Row],[støy_svar]]="Ja"),JH22,"-")</f>
        <v>-</v>
      </c>
      <c r="JI81" s="1811" t="str">
        <f>IF(AND(utskrift_just[[#This Row],[general_svar_id]]=2,utskrift_just[[#This Row],[støy_svar]]="Ja"),JI22,"-")</f>
        <v>-</v>
      </c>
      <c r="JJ81" s="1811" t="str">
        <f>IF(utskrift_just[[#This Row],[general_svar_id]]=2,JJ22,"Nei")</f>
        <v>Nei</v>
      </c>
      <c r="JK81" s="3700" t="str">
        <f>IF(AND(utskrift_just[[#This Row],[general_svar_id]]=2,utskrift_just[[#This Row],[ann_svar]]="Ja"),JK22,"-")</f>
        <v>-</v>
      </c>
      <c r="JL81" s="1811" t="str">
        <f>IF(AND(utskrift_just[[#This Row],[general_svar_id]]=2,utskrift_just[[#This Row],[ann_svar]]="Ja"),JL22,"-")</f>
        <v>-</v>
      </c>
      <c r="JM81" s="2633">
        <f>IF(JW62=1,_List!$EG$7,IFERROR(utskrift_just[[#This Row],[general_tid]]+utskrift_just[[#This Row],[geo_tid]]+utskrift_just[[#This Row],[stig_tid]]+utskrift_just[[#This Row],[arb_tid]]+utskrift_just[[#This Row],[spreng_tid]]+utskrift_just[[#This Row],[skyte_tid]]+utskrift_just[[#This Row],[støy_tid]]+utskrift_just[[#This Row],[ann_tid]],0))</f>
        <v>0</v>
      </c>
      <c r="JN81" s="1812" t="str">
        <f>IFERROR((INDEX(oppsum_position[Name],MATCH(utskrift_just[[#This Row],[position]],oppsum_position[Position],0))),"")</f>
        <v/>
      </c>
      <c r="JO81" s="1811">
        <v>5</v>
      </c>
      <c r="JP81" s="1811">
        <f>IF($BC$34&gt;4,1,0)</f>
        <v>0</v>
      </c>
      <c r="JQ81" s="1811">
        <f>INDEX(outputs_position[21],MATCH($BC$35,outputs_position[lopstuff],0))</f>
        <v>0</v>
      </c>
      <c r="KZ81" s="2617"/>
      <c r="LA81" s="2617"/>
      <c r="LB81" s="2617"/>
      <c r="NI81" s="1567"/>
      <c r="NN81" s="407">
        <v>62</v>
      </c>
      <c r="NO81" s="340" t="str">
        <f t="shared" si="121"/>
        <v>Stuff 2-2</v>
      </c>
      <c r="NP81" s="431">
        <f t="shared" si="83"/>
        <v>0</v>
      </c>
      <c r="NQ81" s="431">
        <f t="shared" si="84"/>
        <v>0</v>
      </c>
      <c r="NR81" s="431">
        <f t="shared" si="85"/>
        <v>0</v>
      </c>
      <c r="NS81" s="431">
        <f t="shared" si="86"/>
        <v>0</v>
      </c>
      <c r="NT81" s="411">
        <f t="shared" si="87"/>
        <v>0</v>
      </c>
      <c r="NU81" s="411">
        <f t="shared" si="88"/>
        <v>0</v>
      </c>
      <c r="NV81" s="411">
        <f>outputs_oppsum[[#This Row],[total_lop]]+outputs_oppsum[[#This Row],[total_nisj]]</f>
        <v>0</v>
      </c>
      <c r="NW81" s="411">
        <f>outputs_oppsum[[#This Row],[total_spreng_hr]]/$AI$80</f>
        <v>0</v>
      </c>
      <c r="NX81" s="431">
        <f t="shared" si="89"/>
        <v>0</v>
      </c>
      <c r="NY81" s="431">
        <f t="shared" si="90"/>
        <v>0</v>
      </c>
      <c r="NZ81" s="431">
        <f t="shared" si="91"/>
        <v>0</v>
      </c>
      <c r="OA81" s="431">
        <f t="shared" si="92"/>
        <v>0</v>
      </c>
      <c r="OB81" s="431">
        <f t="shared" si="93"/>
        <v>0</v>
      </c>
      <c r="OC81" s="431">
        <f t="shared" si="94"/>
        <v>0</v>
      </c>
      <c r="OD81" s="431">
        <f t="shared" si="95"/>
        <v>0</v>
      </c>
      <c r="OE81" s="431">
        <f t="shared" si="96"/>
        <v>0</v>
      </c>
      <c r="OF81" s="431">
        <f t="shared" si="97"/>
        <v>0</v>
      </c>
      <c r="OG81" s="431">
        <f t="shared" si="98"/>
        <v>0</v>
      </c>
      <c r="OH81" s="431">
        <f t="shared" si="99"/>
        <v>0</v>
      </c>
      <c r="OI81" s="477">
        <f t="shared" si="100"/>
        <v>0</v>
      </c>
      <c r="OJ81" s="3703">
        <f>outputs_oppsum[[#This Row],[total_foran_hr]]/$AI$80</f>
        <v>0</v>
      </c>
      <c r="OK81" s="477">
        <f t="shared" si="101"/>
        <v>0</v>
      </c>
      <c r="OL81" s="477">
        <f t="shared" si="102"/>
        <v>0</v>
      </c>
      <c r="OM81" s="431">
        <f t="shared" si="103"/>
        <v>0</v>
      </c>
      <c r="ON81" s="431">
        <f t="shared" si="104"/>
        <v>0</v>
      </c>
      <c r="OO81" s="431">
        <f t="shared" si="105"/>
        <v>0</v>
      </c>
      <c r="OP81" s="431">
        <f t="shared" si="106"/>
        <v>0</v>
      </c>
      <c r="OQ81" s="431">
        <f t="shared" si="107"/>
        <v>0</v>
      </c>
      <c r="OR81" s="431"/>
      <c r="OS81" s="431"/>
      <c r="OT81" s="431">
        <f t="shared" si="108"/>
        <v>0</v>
      </c>
      <c r="OU81" s="431"/>
      <c r="OV81" s="431"/>
      <c r="OW81" s="431">
        <f t="shared" si="122"/>
        <v>0</v>
      </c>
      <c r="OX81" s="431">
        <f t="shared" si="109"/>
        <v>0</v>
      </c>
      <c r="OY81" s="431">
        <f t="shared" si="110"/>
        <v>0</v>
      </c>
      <c r="OZ81" s="431">
        <f t="shared" si="111"/>
        <v>0</v>
      </c>
      <c r="PA81" s="431">
        <f t="shared" si="112"/>
        <v>0</v>
      </c>
      <c r="PB81" s="478">
        <f t="shared" si="123"/>
        <v>0</v>
      </c>
      <c r="PC81" s="478">
        <f t="shared" si="124"/>
        <v>0</v>
      </c>
      <c r="PD81" s="478">
        <f t="shared" si="113"/>
        <v>0</v>
      </c>
      <c r="PE81" s="478">
        <f t="shared" si="114"/>
        <v>0</v>
      </c>
      <c r="PF81" s="478">
        <f t="shared" si="115"/>
        <v>0</v>
      </c>
      <c r="PG81" s="478">
        <f t="shared" si="116"/>
        <v>0</v>
      </c>
      <c r="PH81" s="841">
        <f t="shared" si="117"/>
        <v>0</v>
      </c>
      <c r="PI81" s="1277">
        <f>outputs_oppsum[[#This Row],[total_stab_hr]]/$AI$80</f>
        <v>0</v>
      </c>
      <c r="PJ81" s="211" t="str">
        <f>IF(AND($GL$35=1,outputs_oppsum[[#This Row],[tverrslag_status]]&lt;&gt;1),$GR$67,$GK$11)</f>
        <v>Ikke relevant</v>
      </c>
      <c r="PK81" s="211">
        <f>IFERROR(outputs_oppsum[[#This Row],[prosjekt_forbe]]*$AI$80,0)</f>
        <v>0</v>
      </c>
      <c r="PL81" s="211" t="b">
        <f t="shared" si="118"/>
        <v>0</v>
      </c>
      <c r="PM81" s="211" t="b">
        <f t="shared" si="118"/>
        <v>0</v>
      </c>
      <c r="PN81" s="211" t="b">
        <f t="shared" si="118"/>
        <v>0</v>
      </c>
      <c r="PO81" s="425" t="str">
        <f t="shared" si="118"/>
        <v>Ikke relevant</v>
      </c>
      <c r="PP81" s="431">
        <f>outputs_oppsum[[#This Row],[Forberedende]]*$AI$80</f>
        <v>0</v>
      </c>
      <c r="PQ81" s="431">
        <f>outputs_oppsum[[#This Row],[Portaler]]*$AI$80</f>
        <v>0</v>
      </c>
      <c r="PR81" s="431">
        <f>outputs_oppsum[[#This Row],[Andrearbeider]]*$AI$80</f>
        <v>0</v>
      </c>
      <c r="PS81" s="431">
        <f>IFERROR(outputs_oppsum[[#This Row],[total_forbe]]*$AI$80,0)</f>
        <v>0</v>
      </c>
      <c r="PT81" s="431" t="e">
        <f t="shared" si="77"/>
        <v>#VALUE!</v>
      </c>
      <c r="PU81"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1" s="1656">
        <f>outputs_oppsum[[#This Row],[oppsum_drivetid_hr]]/$AI$80</f>
        <v>0</v>
      </c>
      <c r="PW81" s="1660"/>
      <c r="PX81" s="1658">
        <f>INDEX(tverr_connection_2[62],MATCH($BC$28,tverr_connection_2[config],0))</f>
        <v>0</v>
      </c>
      <c r="PY81" s="1662" t="str">
        <f>IF(outputs_oppsum[[#This Row],[tverrslag_status]]=0,$HI$54,IF(outputs_oppsum[[#This Row],[tverrslag_status]]=1,$HI$55,"-"))</f>
        <v>Ikke påvirket</v>
      </c>
      <c r="PZ81" s="1663" t="str">
        <f>IFERROR(INDEX(outputs_tverrslag[Tverrslag construction time],MATCH(outputs_oppsum[[#This Row],[stuff_navn]],outputs_tverrslag[name],0)),"-")</f>
        <v>-</v>
      </c>
      <c r="QA81" s="1658" t="str">
        <f>IF(outputs_oppsum[[#This Row],[tverrslag_status_oppsum]]=$HI$55,$PU$84,"-")</f>
        <v>-</v>
      </c>
      <c r="QB81" s="1662" t="str">
        <f>IF(outputs_oppsum[[#This Row],[tverrslag_status_oppsum]]=$HI$55,$HI$66,"-")</f>
        <v>-</v>
      </c>
      <c r="QC81" s="1662" t="str">
        <f>IF(outputs_oppsum[[#This Row],[tverrslag_status_oppsum]]=$HI$55,$HJ$14,"-")</f>
        <v>-</v>
      </c>
      <c r="QD81" s="1668" t="str">
        <f>IFERROR(INDEX(outputs_tverrslag[forsink_perstuff_uker],MATCH(outputs_oppsum[[#This Row],[stuff_navn]],outputs_tverrslag[name],0)),"-")</f>
        <v>-</v>
      </c>
      <c r="QE81" s="843" t="str">
        <f>IFERROR(INDEX(outputs_tverrslag[forsink_total_uker],MATCH(outputs_oppsum[[#This Row],[stuff_navn]],outputs_tverrslag[name],0)),"-")</f>
        <v>-</v>
      </c>
      <c r="QF81" s="843" t="str">
        <f>IFERROR(INDEX(outputs_tverrslag[Kryssområdet_hr],MATCH(outputs_oppsum[[#This Row],[stuff_navn]],outputs_tverrslag[name],0)),"-")</f>
        <v>-</v>
      </c>
      <c r="QG81" s="843" t="str">
        <f>IFERROR(INDEX(outputs_tverrslag[forsink_total_hr],MATCH(outputs_oppsum[[#This Row],[stuff_navn]],outputs_tverrslag[name],0)),"-")</f>
        <v>-</v>
      </c>
      <c r="QH81" s="334">
        <f>SUMIF(outputs_oppsum[[#This Row],[kryssområdet_forberedende_hr2]:[extra_forsink_etter_tverrslag_total_hr]],"&lt;&gt;-")+SUMIF(outputs_oppsum[[#This Row],[tverrslag_tid]],"&lt;&gt;-")</f>
        <v>0</v>
      </c>
      <c r="QI81" s="334" t="str">
        <f>IF(OR(outputs_oppsum[[#This Row],[tverrslag_status_oppsum]]=$HI$55,outputs_oppsum[[#This Row],[tverrslag_status_oppsum]]=$I$90),$GR$67,"-")</f>
        <v>-</v>
      </c>
      <c r="QJ81" s="334">
        <f>IFERROR(outputs_oppsum[[#This Row],[extra_tverrslag_prosjekt_forarb_uke]]*$AI$80,0)</f>
        <v>0</v>
      </c>
      <c r="QK81" s="334" t="str">
        <f>IF(outputs_oppsum[[#This Row],[tverrslag_status_oppsum]]=$HI$55,$PO$75,"-")</f>
        <v>-</v>
      </c>
      <c r="QL81" s="1827">
        <f>IFERROR(outputs_oppsum[[#This Row],[extra_tverrslag_forarb_uke]]*$AI$80,0)</f>
        <v>0</v>
      </c>
      <c r="QM81" s="334" t="str">
        <f>IF(outputs_oppsum[[#This Row],[tverrslag_status_oppsum]]=$HI$55,$RA$75,"-")</f>
        <v>-</v>
      </c>
      <c r="QN81" s="1827">
        <f>IFERROR(outputs_oppsum[[#This Row],[extra_tverrslag_just_uke]]*$AI$80,0)</f>
        <v>0</v>
      </c>
      <c r="QO81" s="211" t="str">
        <f>IF(outputs_oppsum[[#This Row],[tverrslag_status_oppsum]]=$HI$55,$GK$96,"-")</f>
        <v>-</v>
      </c>
      <c r="QP81" s="1828">
        <f>IFERROR(outputs_oppsum[[#This Row],[tverrslag_forsinkt_uke]]*$AI$80,0)</f>
        <v>0</v>
      </c>
      <c r="QQ81"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81" s="1809">
        <f>IFERROR(IF(outputs_oppsum[[#This Row],[tverrslag_status_oppsum]]=$I$90,outputs_oppsum[[#This Row],[kryssområdet_forberedende_hr]],IF(outputs_oppsum[[#This Row],[tverrslag_status]]=1,outputs_oppsum[[#This Row],[tverrslag_total_hr]],0)),0)</f>
        <v>0</v>
      </c>
      <c r="QS81" s="1666" t="e">
        <f>INDEX(outputs_just[general_tid],MATCH(outputs_oppsum[[#This Row],[stuff_navn]],outputs_just[Navn],0))</f>
        <v>#N/A</v>
      </c>
      <c r="QT81" s="1666" t="e">
        <f>INDEX(outputs_just[geo_tid],MATCH(outputs_oppsum[[#This Row],[stuff_navn]],outputs_just[Navn],0))</f>
        <v>#N/A</v>
      </c>
      <c r="QU81" s="1666" t="e">
        <f>INDEX(outputs_just[stig_tid],MATCH(outputs_oppsum[[#This Row],[stuff_navn]],outputs_just[Navn],0))</f>
        <v>#N/A</v>
      </c>
      <c r="QV81" s="1666" t="e">
        <f>INDEX(outputs_just[arb_tid],MATCH(outputs_oppsum[[#This Row],[stuff_navn]],outputs_just[Navn],0))</f>
        <v>#N/A</v>
      </c>
      <c r="QW81" s="1666" t="e">
        <f>INDEX(outputs_just[spreng_tid],MATCH(outputs_oppsum[[#This Row],[stuff_navn]],outputs_just[Navn],0))</f>
        <v>#N/A</v>
      </c>
      <c r="QX81" s="1666" t="e">
        <f>INDEX(outputs_just[skyte_tid],MATCH(outputs_oppsum[[#This Row],[stuff_navn]],outputs_just[Navn],0))</f>
        <v>#N/A</v>
      </c>
      <c r="QY81" s="1666" t="e">
        <f>INDEX(outputs_just[støy_tid],MATCH(outputs_oppsum[[#This Row],[stuff_navn]],outputs_just[Navn],0))</f>
        <v>#N/A</v>
      </c>
      <c r="QZ81" s="1666" t="e">
        <f>INDEX(outputs_just[ann_tid],MATCH(outputs_oppsum[[#This Row],[stuff_navn]],outputs_just[Navn],0))</f>
        <v>#N/A</v>
      </c>
      <c r="RA81" s="1666" t="e">
        <f>SUM(outputs_oppsum[[#This Row],[just_generell]:[just_ann]])</f>
        <v>#N/A</v>
      </c>
      <c r="RB81" s="1666" t="e">
        <f>outputs_oppsum[[#This Row],[just_total_uke]]*$AI$80</f>
        <v>#N/A</v>
      </c>
      <c r="RC81" s="211">
        <f>INDEX(inputs_forsinket[tid_uke],MATCH(outputs_oppsum[[#This Row],[stuff_navn]],inputs_forsinket[name],0))</f>
        <v>0</v>
      </c>
      <c r="RD81" s="1805">
        <f>outputs_oppsum[[#This Row],[forsinket_uke]]*$AI$80</f>
        <v>0</v>
      </c>
      <c r="RE81" s="234">
        <f t="shared" si="119"/>
        <v>1</v>
      </c>
      <c r="RF81" s="211" t="str">
        <f>IF(RE81=1,_List!$AW$7,IF(RE81=2,_List!$AW$8,""))</f>
        <v>Enstuffs drift</v>
      </c>
      <c r="RG81" s="431" t="str">
        <f>IF(outputs_oppsum[[#This Row],[kon_metod_no]]=2,INDEX(framdriftfaktor[stab-foran_spreng_ratio],MATCH(outputs_oppsum[[#This Row],[stuff_id]],framdriftfaktor[stuff_id],0)),"-")</f>
        <v>-</v>
      </c>
      <c r="RH81" s="5269">
        <f>IF(outputs_oppsum[[#This Row],[kon_metod_no]]=2,INDEX(framdriftfaktor[beregnet_faktor_final],MATCH(outputs_oppsum[[#This Row],[stuff_id]],framdriftfaktor[stuff_id],0)),1)</f>
        <v>1</v>
      </c>
      <c r="RI81" s="5269" t="str">
        <f>IF(outputs_oppsum[[#This Row],[kon_metod]]=_List!$AW$8,INDEX(outputs_just[vek_faktor_bruker_definert_status],MATCH(outputs_oppsum[[#This Row],[stuff_navn]],outputs_just[Navn],0)),"")</f>
        <v/>
      </c>
      <c r="RJ81" s="5269" t="e">
        <f>IF(AND(outputs_oppsum[[#This Row],[kon_metod_no]]&lt;&gt;1,LP126=FALSE),LO126,"-")</f>
        <v>#N/A</v>
      </c>
      <c r="RK81" s="5269">
        <f>IF(AND(outputs_oppsum[[#This Row],[kon_metod_no]]=2,outputs_oppsum[[#This Row],[tverrslag_status_oppsum]]&lt;&gt;$I$90,outputs_oppsum[[#This Row],[faktor_bruker_definert]]=FALSE),outputs_oppsum[[#This Row],[faktor_user]],outputs_oppsum[[#This Row],[faktor_beregnet]])</f>
        <v>1</v>
      </c>
      <c r="RL81" s="1807">
        <f>IFERROR((outputs_oppsum[[#This Row],[faktor_final]]-1)*outputs_oppsum[[#This Row],[oppsum_drivetid_hr]]*outputs_oppsum[[#This Row],[veksel_prosent]],"-")</f>
        <v>0</v>
      </c>
      <c r="RM81" s="1807" t="str">
        <f>IF(outputs_oppsum[[#This Row],[kon_metod_no]]=2,outputs_oppsum[[#This Row],[ekstra_framdrift_tid_oppsum_hr]]/$AI$80,"-")</f>
        <v>-</v>
      </c>
      <c r="RN81" s="431" t="str">
        <f>IF(outputs_oppsum[[#This Row],[kon_metod_no]]=2,outputs_oppsum[[#This Row],[ekstra_drivetid_pga_faktor]],"-")</f>
        <v>-</v>
      </c>
      <c r="RO81" s="431">
        <f>IFERROR(outputs_oppsum[[#This Row],[oppsum_drivetid_hr]]+outputs_oppsum[[#This Row],[ekstra_drivetid_pga_faktor]],"-")</f>
        <v>0</v>
      </c>
      <c r="RP81"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1" s="5276">
        <f>IF(outputs_oppsum[[#This Row],[enstuff_prosent_input]]&gt;1,1,outputs_oppsum[[#This Row],[enstuff_prosent_input]])</f>
        <v>1</v>
      </c>
      <c r="RR81"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1" s="431"/>
      <c r="RT81" s="431"/>
      <c r="RU81" s="431"/>
      <c r="RV81" s="431"/>
      <c r="RW81" s="431" t="str">
        <f>IFERROR(outputs_oppsum[[#This Row],[drivetid_with_faktor]]+outputs_oppsum[[#This Row],[prosjekt_forbe_hr]]+outputs_oppsum[[#This Row],[total_forbe_hr]]+outputs_oppsum[[#This Row],[extra_for_tverrslag_sum]]+outputs_oppsum[[#This Row],[just_total_hr]]+outputs_oppsum[[#This Row],[forsinket_hr]],"!")</f>
        <v>!</v>
      </c>
      <c r="RX81" s="431" t="str">
        <f>IFERROR(outputs_oppsum[[#This Row],[oppsum_total_hr]]/$AI$80,"!")</f>
        <v>!</v>
      </c>
      <c r="RY81" s="431" t="str">
        <f>IF(MAX($RX$76:$RX$84)=outputs_oppsum[[#This Row],[oppsum_total_uke]],MAX($RX$76:$RX$84),"-")</f>
        <v>-</v>
      </c>
      <c r="RZ81" s="431" t="str">
        <f>IF(AND(ISNUMBER(outputs_oppsum[[#This Row],[Criticalstuff]]),$BC$34&lt;&gt;1,outputs_oppsum[[#This Row],[Criticalstuff]]&gt;0),$RZ$63,"")</f>
        <v/>
      </c>
      <c r="SA81" s="837"/>
      <c r="SB81" s="837"/>
      <c r="SC81" s="837"/>
      <c r="SD81" s="837"/>
      <c r="SE81" s="3521"/>
      <c r="SF81" s="3521"/>
      <c r="SG81" s="2617"/>
      <c r="SH81" s="3886"/>
      <c r="SI81" s="3886"/>
      <c r="SJ81" s="3886"/>
      <c r="SK81" s="3886"/>
      <c r="SL81" s="3886"/>
      <c r="SR81" s="2617"/>
      <c r="SS81" s="2617"/>
      <c r="ST81" s="2617"/>
      <c r="SU81" s="2617"/>
      <c r="SV81" s="2617"/>
      <c r="SW81" s="2617"/>
      <c r="SX81" s="2617"/>
      <c r="SY81" s="2617"/>
      <c r="SZ81" s="2617"/>
      <c r="TA81" s="2617"/>
      <c r="TB81" s="2617"/>
      <c r="TC81" s="2617"/>
      <c r="TD81" s="2617"/>
      <c r="TR81" s="183"/>
      <c r="TW81" s="181"/>
      <c r="TX81" s="183"/>
      <c r="TY81" s="183"/>
      <c r="TZ81" s="183"/>
      <c r="UA81" s="183"/>
      <c r="UC81" s="181"/>
      <c r="UD81" s="181"/>
      <c r="UE81" s="181"/>
      <c r="UF81" s="181"/>
      <c r="UK81" s="183"/>
      <c r="UL81" s="183"/>
      <c r="UM81" s="183"/>
      <c r="UN81" s="183"/>
      <c r="UO81" s="183"/>
      <c r="UQ81" s="184"/>
      <c r="US81" s="183"/>
      <c r="UT81" s="183"/>
      <c r="UU81" s="2617"/>
      <c r="UV81" s="2617"/>
      <c r="UW81" s="2617"/>
      <c r="UX81" s="2617"/>
      <c r="UY81" s="2617"/>
      <c r="UZ81" s="2617"/>
      <c r="VA81" s="2617"/>
      <c r="VB81" s="2617"/>
      <c r="VC81" s="2617"/>
      <c r="VD81" s="2617"/>
      <c r="VE81" s="2617"/>
      <c r="VF81"/>
      <c r="VG81" s="2617"/>
      <c r="VH81" s="2617"/>
      <c r="VI81" s="2617"/>
      <c r="VJ81" s="2617"/>
      <c r="VK81" s="2617"/>
      <c r="VL81" s="2617"/>
      <c r="VM81" s="2617"/>
      <c r="VN81" s="2617"/>
      <c r="VO81" s="2617"/>
      <c r="VP81" s="2617"/>
      <c r="VQ81" s="2617"/>
      <c r="VR81" s="2617"/>
      <c r="VS81" s="2617"/>
      <c r="VT81" s="2617"/>
      <c r="VU81" s="2617"/>
      <c r="VV81" s="2617"/>
      <c r="VW81" s="2617"/>
      <c r="VX81" s="2617"/>
      <c r="VY81" s="2617"/>
      <c r="VZ81" s="2617"/>
      <c r="WA81" s="2617"/>
      <c r="WB81" s="2617"/>
      <c r="WC81" s="2617"/>
      <c r="WD81" s="2617"/>
      <c r="WE81" s="2617"/>
      <c r="WF81" s="2617"/>
      <c r="WG81" s="2617"/>
      <c r="WH81" s="2617"/>
      <c r="WI81" s="2617"/>
      <c r="WJ81" s="2617"/>
      <c r="WK81" s="2617"/>
      <c r="WL81" s="2617"/>
      <c r="WM81" s="2617"/>
      <c r="WN81" s="2617"/>
      <c r="WO81" s="2617"/>
      <c r="WP81" s="2617"/>
      <c r="WQ81" s="2617"/>
      <c r="WR81" s="2617"/>
      <c r="WS81" s="2617"/>
      <c r="WT81" s="2617"/>
      <c r="WU81" s="2617"/>
      <c r="WV81" s="2617"/>
      <c r="WW81" s="2617"/>
      <c r="WX81" s="2617"/>
      <c r="WY81" s="1754"/>
      <c r="WZ81" s="1754"/>
      <c r="XA81" s="1754"/>
      <c r="XB81" s="1754"/>
      <c r="XC81" s="1754"/>
      <c r="XD81" s="1754"/>
      <c r="XE81" s="1754"/>
      <c r="XF81" s="1754"/>
      <c r="XG81" s="1754"/>
      <c r="XH81" s="1754"/>
      <c r="XI81" s="1754"/>
      <c r="XJ81" s="1754"/>
      <c r="XK81" s="1754"/>
      <c r="XL81" s="265"/>
      <c r="XM81" s="265"/>
      <c r="XN81" s="265"/>
      <c r="XO81" s="265"/>
      <c r="XP81" s="265"/>
      <c r="XQ81" s="265"/>
      <c r="XR81" s="265"/>
      <c r="XS81" s="265"/>
      <c r="XT81" s="265"/>
      <c r="XU81" s="265"/>
    </row>
    <row r="82" spans="9:645" ht="30.75" x14ac:dyDescent="0.2">
      <c r="I82" s="185"/>
      <c r="J82" s="185"/>
      <c r="K82" s="185"/>
      <c r="L82" s="185" t="s">
        <v>137</v>
      </c>
      <c r="M82" s="372"/>
      <c r="N82" s="372"/>
      <c r="O82" s="185"/>
      <c r="AH82" s="1172" t="s">
        <v>843</v>
      </c>
      <c r="AI82" s="194" t="b">
        <f>ISBLANK('!Egen_Kap'!P27)</f>
        <v>1</v>
      </c>
      <c r="AK82" s="433" t="s">
        <v>2408</v>
      </c>
      <c r="AL82" s="181"/>
      <c r="AM82" s="181"/>
      <c r="AN82" s="181"/>
      <c r="AO82" s="181"/>
      <c r="AP82" s="181"/>
      <c r="AQ82" s="181"/>
      <c r="AR82" s="181"/>
      <c r="AS82" s="181"/>
      <c r="AT82" s="181"/>
      <c r="AU82" s="2617"/>
      <c r="AV82" s="2617"/>
      <c r="EM82" s="210"/>
      <c r="EN82" s="210"/>
      <c r="ER82" s="439" t="str">
        <f>$QV$135</f>
        <v>Stuff 2-4</v>
      </c>
      <c r="ES82" s="188">
        <f>IF($BC$38=1,0,IF($BC$38=2,8,0))</f>
        <v>8</v>
      </c>
      <c r="ET82" s="185">
        <f>IF($BC$34&gt;7,1,0)</f>
        <v>0</v>
      </c>
      <c r="EU82" s="194">
        <f>IF($BC$38=2,INDEX(outputs_position[24],MATCH($BC$35,outputs_position[lopstuff],0)),0)</f>
        <v>0</v>
      </c>
      <c r="EV82" s="473" t="str">
        <f t="shared" si="82"/>
        <v>Stuff 2-4</v>
      </c>
      <c r="EW82" s="238">
        <f>IFERROR(INDEX(inputs_stab[Manuell],MATCH($EU82,inputs_stab[Position],0)),0)</f>
        <v>0</v>
      </c>
      <c r="EX82" s="185">
        <f>IFERROR(INDEX(inputs_stab[lt4m],MATCH($EU82,inputs_stab[Position],0)),0)</f>
        <v>0</v>
      </c>
      <c r="EY82" s="185">
        <f>IFERROR(INDEX(inputs_stab[gt4m],MATCH($EU82,inputs_stab[Position],0)),0)</f>
        <v>0</v>
      </c>
      <c r="EZ82" s="185">
        <f>IFERROR(INDEX(inputs_stab[band],MATCH($EU82,inputs_stab[Position],0)),0)</f>
        <v>0</v>
      </c>
      <c r="FA82" s="185">
        <f>IFERROR(INDEX(inputs_stab[net],MATCH($EU82,inputs_stab[Position],0)),0)</f>
        <v>0</v>
      </c>
      <c r="FB82" s="185">
        <f>IFERROR(INDEX(inputs_stab[shotcrete],MATCH($EU82,inputs_stab[Position],0)),0)</f>
        <v>0</v>
      </c>
      <c r="FC82" s="185">
        <f>IFERROR(INDEX(inputs_stab[buer],MATCH($EU82,inputs_stab[Position],0)),0)</f>
        <v>0</v>
      </c>
      <c r="FD82" s="185">
        <f>IFERROR(INDEX(inputs_stab[sik_12],MATCH($EU82,inputs_stab[Position],0)),0)</f>
        <v>0</v>
      </c>
      <c r="FE82" s="193">
        <f>IFERROR(INDEX(inputs_stab[sik_3],MATCH($EU82,inputs_stab[Position],0)),0)</f>
        <v>0</v>
      </c>
      <c r="FF82" s="193">
        <f>IFERROR(INDEX(inputs_stab[kartlegging],MATCH($EU82,inputs_stab[Position],0)),0)</f>
        <v>0</v>
      </c>
      <c r="FG82" s="185">
        <f>IFERROR(INDEX(inputs_stab[festebolter],MATCH($EU82,inputs_stab[Position],0)),0)</f>
        <v>0</v>
      </c>
      <c r="GH82" s="414"/>
      <c r="GJ82" s="1775" t="str">
        <f>Tunneldrift!$M$141</f>
        <v>Forskjøvet oppstart</v>
      </c>
      <c r="GK82" s="3704"/>
      <c r="GL82" s="3704"/>
      <c r="GM82" s="3704"/>
      <c r="GN82" s="1774"/>
      <c r="GO82" s="1774"/>
      <c r="HH82" s="185" t="str">
        <f>Tunneldrift!M66</f>
        <v xml:space="preserve">Tverrslag </v>
      </c>
      <c r="HI82" s="185" t="str">
        <f>Tunneldrift!AD66</f>
        <v>Nei</v>
      </c>
      <c r="IH82" s="1761">
        <v>6</v>
      </c>
      <c r="II82" s="1761" t="e">
        <f t="shared" ref="II82:IJ82" si="131">II23</f>
        <v>#N/A</v>
      </c>
      <c r="IJ82" s="1761" t="b">
        <f t="shared" si="131"/>
        <v>1</v>
      </c>
      <c r="IK82" s="5944" t="e">
        <f t="shared" si="120"/>
        <v>#N/A</v>
      </c>
      <c r="IL82" s="1761" t="e">
        <f t="shared" si="126"/>
        <v>#N/A</v>
      </c>
      <c r="IM82" s="1761"/>
      <c r="IN82" s="1761" t="str">
        <f>IF(utskrift_just[[#This Row],[general_svar_id]]=1,"Ja","Nei")</f>
        <v>Nei</v>
      </c>
      <c r="IO82" s="1811">
        <f t="shared" si="127"/>
        <v>0</v>
      </c>
      <c r="IP82" s="3700" t="str">
        <f>IF(utskrift_just[[#This Row],[general_svar_id]]=1,IP23,"-")</f>
        <v>-</v>
      </c>
      <c r="IQ82" s="1811" t="str">
        <f>IF(utskrift_just[[#This Row],[general_svar_id]]=1,IQ23,"")</f>
        <v/>
      </c>
      <c r="IR82" s="1811" t="str">
        <f>IF(utskrift_just[[#This Row],[general_svar_id]]=2,IR23,"Nei")</f>
        <v>Nei</v>
      </c>
      <c r="IS82" s="3700" t="str">
        <f>IF(AND(utskrift_just[[#This Row],[general_svar_id]]=2,utskrift_just[[#This Row],[geo_svar]]="Ja"),IS23,"-")</f>
        <v>-</v>
      </c>
      <c r="IT82" s="1811" t="str">
        <f>IF(AND(utskrift_just[[#This Row],[general_svar_id]]=2,utskrift_just[[#This Row],[geo_svar]]="Ja"),IT23,"-")</f>
        <v>-</v>
      </c>
      <c r="IU82" s="1811" t="str">
        <f>IF(utskrift_just[[#This Row],[general_svar_id]]=2,IU23,"Nei")</f>
        <v>Nei</v>
      </c>
      <c r="IV82" s="3700" t="str">
        <f>IF(AND(utskrift_just[[#This Row],[general_svar_id]]=2,utskrift_just[[#This Row],[stig_svar]]="Ja"),IV23,"-")</f>
        <v>-</v>
      </c>
      <c r="IW82" s="1811" t="str">
        <f>IF(AND(utskrift_just[[#This Row],[general_svar_id]]=2,utskrift_just[[#This Row],[stig_svar]]="Ja"),IW23,"-")</f>
        <v>-</v>
      </c>
      <c r="IX82" s="1811" t="str">
        <f>IF(utskrift_just[[#This Row],[general_svar_id]]=2,IX23,"Nei")</f>
        <v>Nei</v>
      </c>
      <c r="IY82" s="3700" t="str">
        <f>IF(AND(utskrift_just[[#This Row],[general_svar_id]]=2,utskrift_just[[#This Row],[arb_svar]]="Ja"),IY23,"-")</f>
        <v>-</v>
      </c>
      <c r="IZ82" s="1811" t="str">
        <f>IF(AND(utskrift_just[[#This Row],[general_svar_id]]=2,utskrift_just[[#This Row],[arb_svar]]="Ja"),IZ23,"-")</f>
        <v>-</v>
      </c>
      <c r="JA82" s="1811" t="str">
        <f>IF(utskrift_just[[#This Row],[general_svar_id]]=2,JA23,"Nei")</f>
        <v>Nei</v>
      </c>
      <c r="JB82" s="3700" t="str">
        <f>IF(AND(utskrift_just[[#This Row],[general_svar_id]]=2,utskrift_just[[#This Row],[spreng_svar]]="Ja"),JB23,"-")</f>
        <v>-</v>
      </c>
      <c r="JC82" s="1811" t="str">
        <f>IF(AND(utskrift_just[[#This Row],[general_svar_id]]=2,utskrift_just[[#This Row],[spreng_svar]]="Ja"),JC23,"-")</f>
        <v>-</v>
      </c>
      <c r="JD82" s="1811" t="str">
        <f>IF(utskrift_just[[#This Row],[general_svar_id]]=2,JD23,"Nei")</f>
        <v>Nei</v>
      </c>
      <c r="JE82" s="3700" t="str">
        <f>IF(AND(utskrift_just[[#This Row],[general_svar_id]]=2,utskrift_just[[#This Row],[skyte_svar]]="Ja"),JE23,"-")</f>
        <v>-</v>
      </c>
      <c r="JF82" s="1811" t="str">
        <f>IF(AND(utskrift_just[[#This Row],[general_svar_id]]=2,utskrift_just[[#This Row],[skyte_svar]]="Ja"),JF23,"-")</f>
        <v>-</v>
      </c>
      <c r="JG82" s="1811" t="str">
        <f>IF(utskrift_just[[#This Row],[general_svar_id]]=2,JG23,"Nei")</f>
        <v>Nei</v>
      </c>
      <c r="JH82" s="3700" t="str">
        <f>IF(AND(utskrift_just[[#This Row],[general_svar_id]]=2,utskrift_just[[#This Row],[støy_svar]]="Ja"),JH23,"-")</f>
        <v>-</v>
      </c>
      <c r="JI82" s="1811" t="str">
        <f>IF(AND(utskrift_just[[#This Row],[general_svar_id]]=2,utskrift_just[[#This Row],[støy_svar]]="Ja"),JI23,"-")</f>
        <v>-</v>
      </c>
      <c r="JJ82" s="1811" t="str">
        <f>IF(utskrift_just[[#This Row],[general_svar_id]]=2,JJ23,"Nei")</f>
        <v>Nei</v>
      </c>
      <c r="JK82" s="3700" t="str">
        <f>IF(AND(utskrift_just[[#This Row],[general_svar_id]]=2,utskrift_just[[#This Row],[ann_svar]]="Ja"),JK23,"-")</f>
        <v>-</v>
      </c>
      <c r="JL82" s="1811" t="str">
        <f>IF(AND(utskrift_just[[#This Row],[general_svar_id]]=2,utskrift_just[[#This Row],[ann_svar]]="Ja"),JL23,"-")</f>
        <v>-</v>
      </c>
      <c r="JM82" s="2633">
        <f>IF(JW63=1,_List!$EG$7,IFERROR(utskrift_just[[#This Row],[general_tid]]+utskrift_just[[#This Row],[geo_tid]]+utskrift_just[[#This Row],[stig_tid]]+utskrift_just[[#This Row],[arb_tid]]+utskrift_just[[#This Row],[spreng_tid]]+utskrift_just[[#This Row],[skyte_tid]]+utskrift_just[[#This Row],[støy_tid]]+utskrift_just[[#This Row],[ann_tid]],0))</f>
        <v>0</v>
      </c>
      <c r="JN82" s="1812" t="str">
        <f>IFERROR((INDEX(oppsum_position[Name],MATCH(utskrift_just[[#This Row],[position]],oppsum_position[Position],0))),"")</f>
        <v/>
      </c>
      <c r="JO82" s="1811">
        <v>6</v>
      </c>
      <c r="JP82" s="1811">
        <f>IF($BC$34&gt;5,1,0)</f>
        <v>0</v>
      </c>
      <c r="JQ82" s="1811">
        <f>INDEX(outputs_position[22],MATCH($BC$35,outputs_position[lopstuff],0))</f>
        <v>0</v>
      </c>
      <c r="KZ82" s="2617"/>
      <c r="LA82" s="2617"/>
      <c r="LB82" s="2617"/>
      <c r="LJ82" s="433" t="s">
        <v>2307</v>
      </c>
      <c r="NI82" s="1567"/>
      <c r="NN82" s="407">
        <v>72</v>
      </c>
      <c r="NO82" s="340" t="str">
        <f t="shared" si="121"/>
        <v>Stuff 2-3</v>
      </c>
      <c r="NP82" s="431">
        <f t="shared" si="83"/>
        <v>0</v>
      </c>
      <c r="NQ82" s="431">
        <f t="shared" si="84"/>
        <v>0</v>
      </c>
      <c r="NR82" s="431">
        <f t="shared" si="85"/>
        <v>0</v>
      </c>
      <c r="NS82" s="431">
        <f t="shared" si="86"/>
        <v>0</v>
      </c>
      <c r="NT82" s="411">
        <f t="shared" si="87"/>
        <v>0</v>
      </c>
      <c r="NU82" s="411">
        <f t="shared" si="88"/>
        <v>0</v>
      </c>
      <c r="NV82" s="411">
        <f>outputs_oppsum[[#This Row],[total_lop]]+outputs_oppsum[[#This Row],[total_nisj]]</f>
        <v>0</v>
      </c>
      <c r="NW82" s="411">
        <f>outputs_oppsum[[#This Row],[total_spreng_hr]]/$AI$80</f>
        <v>0</v>
      </c>
      <c r="NX82" s="431">
        <f t="shared" si="89"/>
        <v>0</v>
      </c>
      <c r="NY82" s="431">
        <f t="shared" si="90"/>
        <v>0</v>
      </c>
      <c r="NZ82" s="431">
        <f t="shared" si="91"/>
        <v>0</v>
      </c>
      <c r="OA82" s="431">
        <f t="shared" si="92"/>
        <v>0</v>
      </c>
      <c r="OB82" s="431">
        <f t="shared" si="93"/>
        <v>0</v>
      </c>
      <c r="OC82" s="431">
        <f t="shared" si="94"/>
        <v>0</v>
      </c>
      <c r="OD82" s="431">
        <f t="shared" si="95"/>
        <v>0</v>
      </c>
      <c r="OE82" s="431">
        <f t="shared" si="96"/>
        <v>0</v>
      </c>
      <c r="OF82" s="431">
        <f t="shared" si="97"/>
        <v>0</v>
      </c>
      <c r="OG82" s="431">
        <f t="shared" si="98"/>
        <v>0</v>
      </c>
      <c r="OH82" s="431">
        <f t="shared" si="99"/>
        <v>0</v>
      </c>
      <c r="OI82" s="477">
        <f t="shared" si="100"/>
        <v>0</v>
      </c>
      <c r="OJ82" s="3703">
        <f>outputs_oppsum[[#This Row],[total_foran_hr]]/$AI$80</f>
        <v>0</v>
      </c>
      <c r="OK82" s="477">
        <f t="shared" si="101"/>
        <v>0</v>
      </c>
      <c r="OL82" s="477">
        <f t="shared" si="102"/>
        <v>0</v>
      </c>
      <c r="OM82" s="431">
        <f t="shared" si="103"/>
        <v>0</v>
      </c>
      <c r="ON82" s="431">
        <f t="shared" si="104"/>
        <v>0</v>
      </c>
      <c r="OO82" s="431">
        <f t="shared" si="105"/>
        <v>0</v>
      </c>
      <c r="OP82" s="431">
        <f t="shared" si="106"/>
        <v>0</v>
      </c>
      <c r="OQ82" s="431">
        <f t="shared" si="107"/>
        <v>0</v>
      </c>
      <c r="OR82" s="431"/>
      <c r="OS82" s="431"/>
      <c r="OT82" s="431">
        <f t="shared" si="108"/>
        <v>0</v>
      </c>
      <c r="OU82" s="431"/>
      <c r="OV82" s="431"/>
      <c r="OW82" s="431">
        <f t="shared" si="122"/>
        <v>0</v>
      </c>
      <c r="OX82" s="431">
        <f t="shared" si="109"/>
        <v>0</v>
      </c>
      <c r="OY82" s="431">
        <f t="shared" si="110"/>
        <v>0</v>
      </c>
      <c r="OZ82" s="431">
        <f t="shared" si="111"/>
        <v>0</v>
      </c>
      <c r="PA82" s="431">
        <f t="shared" si="112"/>
        <v>0</v>
      </c>
      <c r="PB82" s="478">
        <f t="shared" si="123"/>
        <v>0</v>
      </c>
      <c r="PC82" s="478">
        <f t="shared" si="124"/>
        <v>0</v>
      </c>
      <c r="PD82" s="478">
        <f t="shared" si="113"/>
        <v>0</v>
      </c>
      <c r="PE82" s="478">
        <f t="shared" si="114"/>
        <v>0</v>
      </c>
      <c r="PF82" s="478">
        <f t="shared" si="115"/>
        <v>0</v>
      </c>
      <c r="PG82" s="478">
        <f t="shared" si="116"/>
        <v>0</v>
      </c>
      <c r="PH82" s="841">
        <f t="shared" si="117"/>
        <v>0</v>
      </c>
      <c r="PI82" s="1277">
        <f>outputs_oppsum[[#This Row],[total_stab_hr]]/$AI$80</f>
        <v>0</v>
      </c>
      <c r="PJ82" s="211" t="str">
        <f>IF(AND($GL$35=1,outputs_oppsum[[#This Row],[tverrslag_status]]&lt;&gt;1),$GR$67,$GK$11)</f>
        <v>Ikke relevant</v>
      </c>
      <c r="PK82" s="211">
        <f>IFERROR(outputs_oppsum[[#This Row],[prosjekt_forbe]]*$AI$80,0)</f>
        <v>0</v>
      </c>
      <c r="PL82" s="211" t="b">
        <f t="shared" si="118"/>
        <v>0</v>
      </c>
      <c r="PM82" s="211" t="b">
        <f t="shared" si="118"/>
        <v>0</v>
      </c>
      <c r="PN82" s="211" t="b">
        <f t="shared" si="118"/>
        <v>0</v>
      </c>
      <c r="PO82" s="425" t="str">
        <f t="shared" si="118"/>
        <v>Ikke relevant</v>
      </c>
      <c r="PP82" s="431">
        <f>outputs_oppsum[[#This Row],[Forberedende]]*$AI$80</f>
        <v>0</v>
      </c>
      <c r="PQ82" s="431">
        <f>outputs_oppsum[[#This Row],[Portaler]]*$AI$80</f>
        <v>0</v>
      </c>
      <c r="PR82" s="431">
        <f>outputs_oppsum[[#This Row],[Andrearbeider]]*$AI$80</f>
        <v>0</v>
      </c>
      <c r="PS82" s="431">
        <f>IFERROR(outputs_oppsum[[#This Row],[total_forbe]]*$AI$80,0)</f>
        <v>0</v>
      </c>
      <c r="PT82" s="431" t="e">
        <f t="shared" si="77"/>
        <v>#VALUE!</v>
      </c>
      <c r="PU82"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2" s="1656">
        <f>outputs_oppsum[[#This Row],[oppsum_drivetid_hr]]/$AI$80</f>
        <v>0</v>
      </c>
      <c r="PW82" s="1660"/>
      <c r="PX82" s="1658">
        <f>INDEX(tverr_connection_2[72],MATCH($BC$28,tverr_connection_2[config],0))</f>
        <v>0</v>
      </c>
      <c r="PY82" s="1662" t="str">
        <f>IF(outputs_oppsum[[#This Row],[tverrslag_status]]=0,$HI$54,IF(outputs_oppsum[[#This Row],[tverrslag_status]]=1,$HI$55,"-"))</f>
        <v>Ikke påvirket</v>
      </c>
      <c r="PZ82" s="1663" t="str">
        <f>IFERROR(INDEX(outputs_tverrslag[Tverrslag construction time],MATCH(outputs_oppsum[[#This Row],[stuff_navn]],outputs_tverrslag[name],0)),"-")</f>
        <v>-</v>
      </c>
      <c r="QA82" s="1658" t="str">
        <f>IF(outputs_oppsum[[#This Row],[tverrslag_status_oppsum]]=$HI$55,$PU$84,"-")</f>
        <v>-</v>
      </c>
      <c r="QB82" s="1662" t="str">
        <f>IF(outputs_oppsum[[#This Row],[tverrslag_status_oppsum]]=$HI$55,$HI$66,"-")</f>
        <v>-</v>
      </c>
      <c r="QC82" s="1662" t="str">
        <f>IF(outputs_oppsum[[#This Row],[tverrslag_status_oppsum]]=$HI$55,$HJ$14,"-")</f>
        <v>-</v>
      </c>
      <c r="QD82" s="1668" t="str">
        <f>IFERROR(INDEX(outputs_tverrslag[forsink_perstuff_uker],MATCH(outputs_oppsum[[#This Row],[stuff_navn]],outputs_tverrslag[name],0)),"-")</f>
        <v>-</v>
      </c>
      <c r="QE82" s="843" t="str">
        <f>IFERROR(INDEX(outputs_tverrslag[forsink_total_uker],MATCH(outputs_oppsum[[#This Row],[stuff_navn]],outputs_tverrslag[name],0)),"-")</f>
        <v>-</v>
      </c>
      <c r="QF82" s="843" t="str">
        <f>IFERROR(INDEX(outputs_tverrslag[Kryssområdet_hr],MATCH(outputs_oppsum[[#This Row],[stuff_navn]],outputs_tverrslag[name],0)),"-")</f>
        <v>-</v>
      </c>
      <c r="QG82" s="843" t="str">
        <f>IFERROR(INDEX(outputs_tverrslag[forsink_total_hr],MATCH(outputs_oppsum[[#This Row],[stuff_navn]],outputs_tverrslag[name],0)),"-")</f>
        <v>-</v>
      </c>
      <c r="QH82" s="334">
        <f>SUMIF(outputs_oppsum[[#This Row],[kryssområdet_forberedende_hr2]:[extra_forsink_etter_tverrslag_total_hr]],"&lt;&gt;-")+SUMIF(outputs_oppsum[[#This Row],[tverrslag_tid]],"&lt;&gt;-")</f>
        <v>0</v>
      </c>
      <c r="QI82" s="334" t="str">
        <f>IF(OR(outputs_oppsum[[#This Row],[tverrslag_status_oppsum]]=$HI$55,outputs_oppsum[[#This Row],[tverrslag_status_oppsum]]=$I$90),$GR$67,"-")</f>
        <v>-</v>
      </c>
      <c r="QJ82" s="334">
        <f>IFERROR(outputs_oppsum[[#This Row],[extra_tverrslag_prosjekt_forarb_uke]]*$AI$80,0)</f>
        <v>0</v>
      </c>
      <c r="QK82" s="334" t="str">
        <f>IF(outputs_oppsum[[#This Row],[tverrslag_status_oppsum]]=$HI$55,$PO$75,"-")</f>
        <v>-</v>
      </c>
      <c r="QL82" s="1827">
        <f>IFERROR(outputs_oppsum[[#This Row],[extra_tverrslag_forarb_uke]]*$AI$80,0)</f>
        <v>0</v>
      </c>
      <c r="QM82" s="334" t="str">
        <f>IF(outputs_oppsum[[#This Row],[tverrslag_status_oppsum]]=$HI$55,$RA$75,"-")</f>
        <v>-</v>
      </c>
      <c r="QN82" s="1827">
        <f>IFERROR(outputs_oppsum[[#This Row],[extra_tverrslag_just_uke]]*$AI$80,0)</f>
        <v>0</v>
      </c>
      <c r="QO82" s="211" t="str">
        <f>IF(outputs_oppsum[[#This Row],[tverrslag_status_oppsum]]=$HI$55,$GK$96,"-")</f>
        <v>-</v>
      </c>
      <c r="QP82" s="1828">
        <f>IFERROR(outputs_oppsum[[#This Row],[tverrslag_forsinkt_uke]]*$AI$80,0)</f>
        <v>0</v>
      </c>
      <c r="QQ82"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82" s="1809">
        <f>IFERROR(IF(outputs_oppsum[[#This Row],[tverrslag_status_oppsum]]=$I$90,outputs_oppsum[[#This Row],[kryssområdet_forberedende_hr]],IF(outputs_oppsum[[#This Row],[tverrslag_status]]=1,outputs_oppsum[[#This Row],[tverrslag_total_hr]],0)),0)</f>
        <v>0</v>
      </c>
      <c r="QS82" s="1666" t="e">
        <f>INDEX(outputs_just[general_tid],MATCH(outputs_oppsum[[#This Row],[stuff_navn]],outputs_just[Navn],0))</f>
        <v>#N/A</v>
      </c>
      <c r="QT82" s="1666" t="e">
        <f>INDEX(outputs_just[geo_tid],MATCH(outputs_oppsum[[#This Row],[stuff_navn]],outputs_just[Navn],0))</f>
        <v>#N/A</v>
      </c>
      <c r="QU82" s="1666" t="e">
        <f>INDEX(outputs_just[stig_tid],MATCH(outputs_oppsum[[#This Row],[stuff_navn]],outputs_just[Navn],0))</f>
        <v>#N/A</v>
      </c>
      <c r="QV82" s="1666" t="e">
        <f>INDEX(outputs_just[arb_tid],MATCH(outputs_oppsum[[#This Row],[stuff_navn]],outputs_just[Navn],0))</f>
        <v>#N/A</v>
      </c>
      <c r="QW82" s="1666" t="e">
        <f>INDEX(outputs_just[spreng_tid],MATCH(outputs_oppsum[[#This Row],[stuff_navn]],outputs_just[Navn],0))</f>
        <v>#N/A</v>
      </c>
      <c r="QX82" s="1666" t="e">
        <f>INDEX(outputs_just[skyte_tid],MATCH(outputs_oppsum[[#This Row],[stuff_navn]],outputs_just[Navn],0))</f>
        <v>#N/A</v>
      </c>
      <c r="QY82" s="1666" t="e">
        <f>INDEX(outputs_just[støy_tid],MATCH(outputs_oppsum[[#This Row],[stuff_navn]],outputs_just[Navn],0))</f>
        <v>#N/A</v>
      </c>
      <c r="QZ82" s="1666" t="e">
        <f>INDEX(outputs_just[ann_tid],MATCH(outputs_oppsum[[#This Row],[stuff_navn]],outputs_just[Navn],0))</f>
        <v>#N/A</v>
      </c>
      <c r="RA82" s="1666" t="e">
        <f>SUM(outputs_oppsum[[#This Row],[just_generell]:[just_ann]])</f>
        <v>#N/A</v>
      </c>
      <c r="RB82" s="1666" t="e">
        <f>outputs_oppsum[[#This Row],[just_total_uke]]*$AI$80</f>
        <v>#N/A</v>
      </c>
      <c r="RC82" s="211">
        <f>INDEX(inputs_forsinket[tid_uke],MATCH(outputs_oppsum[[#This Row],[stuff_navn]],inputs_forsinket[name],0))</f>
        <v>0</v>
      </c>
      <c r="RD82" s="1805">
        <f>outputs_oppsum[[#This Row],[forsinket_uke]]*$AI$80</f>
        <v>0</v>
      </c>
      <c r="RE82" s="234">
        <f t="shared" si="119"/>
        <v>1</v>
      </c>
      <c r="RF82" s="211" t="str">
        <f>IF(RE82=1,_List!$AW$7,IF(RE82=2,_List!$AW$8,""))</f>
        <v>Enstuffs drift</v>
      </c>
      <c r="RG82" s="431" t="str">
        <f>IF(outputs_oppsum[[#This Row],[kon_metod_no]]=2,INDEX(framdriftfaktor[stab-foran_spreng_ratio],MATCH(outputs_oppsum[[#This Row],[stuff_id]],framdriftfaktor[stuff_id],0)),"-")</f>
        <v>-</v>
      </c>
      <c r="RH82" s="5269">
        <f>IF(outputs_oppsum[[#This Row],[kon_metod_no]]=2,INDEX(framdriftfaktor[beregnet_faktor_final],MATCH(outputs_oppsum[[#This Row],[stuff_id]],framdriftfaktor[stuff_id],0)),1)</f>
        <v>1</v>
      </c>
      <c r="RI82" s="5269" t="str">
        <f>IF(outputs_oppsum[[#This Row],[kon_metod]]=_List!$AW$8,INDEX(outputs_just[vek_faktor_bruker_definert_status],MATCH(outputs_oppsum[[#This Row],[stuff_navn]],outputs_just[Navn],0)),"")</f>
        <v/>
      </c>
      <c r="RJ82" s="5269" t="e">
        <f>IF(AND(outputs_oppsum[[#This Row],[kon_metod_no]]&lt;&gt;1,LP127=FALSE),LO127,"-")</f>
        <v>#N/A</v>
      </c>
      <c r="RK82" s="5269">
        <f>IF(AND(outputs_oppsum[[#This Row],[kon_metod_no]]=2,outputs_oppsum[[#This Row],[tverrslag_status_oppsum]]&lt;&gt;$I$90,outputs_oppsum[[#This Row],[faktor_bruker_definert]]=FALSE),outputs_oppsum[[#This Row],[faktor_user]],outputs_oppsum[[#This Row],[faktor_beregnet]])</f>
        <v>1</v>
      </c>
      <c r="RL82" s="1807">
        <f>IFERROR((outputs_oppsum[[#This Row],[faktor_final]]-1)*outputs_oppsum[[#This Row],[oppsum_drivetid_hr]]*outputs_oppsum[[#This Row],[veksel_prosent]],"-")</f>
        <v>0</v>
      </c>
      <c r="RM82" s="1807" t="str">
        <f>IF(outputs_oppsum[[#This Row],[kon_metod_no]]=2,outputs_oppsum[[#This Row],[ekstra_framdrift_tid_oppsum_hr]]/$AI$80,"-")</f>
        <v>-</v>
      </c>
      <c r="RN82" s="431" t="str">
        <f>IF(outputs_oppsum[[#This Row],[kon_metod_no]]=2,outputs_oppsum[[#This Row],[ekstra_drivetid_pga_faktor]],"-")</f>
        <v>-</v>
      </c>
      <c r="RO82" s="431">
        <f>IFERROR(outputs_oppsum[[#This Row],[oppsum_drivetid_hr]]+outputs_oppsum[[#This Row],[ekstra_drivetid_pga_faktor]],"-")</f>
        <v>0</v>
      </c>
      <c r="RP82"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2" s="5276">
        <f>IF(outputs_oppsum[[#This Row],[enstuff_prosent_input]]&gt;1,1,outputs_oppsum[[#This Row],[enstuff_prosent_input]])</f>
        <v>1</v>
      </c>
      <c r="RR82"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2" s="431"/>
      <c r="RT82" s="431"/>
      <c r="RU82" s="431"/>
      <c r="RV82" s="431"/>
      <c r="RW82" s="431" t="str">
        <f>IFERROR(outputs_oppsum[[#This Row],[drivetid_with_faktor]]+outputs_oppsum[[#This Row],[prosjekt_forbe_hr]]+outputs_oppsum[[#This Row],[total_forbe_hr]]+outputs_oppsum[[#This Row],[extra_for_tverrslag_sum]]+outputs_oppsum[[#This Row],[just_total_hr]]+outputs_oppsum[[#This Row],[forsinket_hr]],"!")</f>
        <v>!</v>
      </c>
      <c r="RX82" s="431" t="str">
        <f>IFERROR(outputs_oppsum[[#This Row],[oppsum_total_hr]]/$AI$80,"!")</f>
        <v>!</v>
      </c>
      <c r="RY82" s="431" t="str">
        <f>IF(MAX($RX$76:$RX$84)=outputs_oppsum[[#This Row],[oppsum_total_uke]],MAX($RX$76:$RX$84),"-")</f>
        <v>-</v>
      </c>
      <c r="RZ82" s="431" t="str">
        <f>IF(AND(ISNUMBER(outputs_oppsum[[#This Row],[Criticalstuff]]),$BC$34&lt;&gt;1,outputs_oppsum[[#This Row],[Criticalstuff]]&gt;0),$RZ$63,"")</f>
        <v/>
      </c>
      <c r="SA82" s="837"/>
      <c r="SB82" s="837"/>
      <c r="SC82" s="837"/>
      <c r="SD82" s="837"/>
      <c r="SE82" s="3521"/>
      <c r="SF82" s="3521"/>
      <c r="SG82" s="2617"/>
      <c r="SH82" s="3886"/>
      <c r="SI82" s="3886"/>
      <c r="SJ82" s="3886"/>
      <c r="SK82" s="3886"/>
      <c r="SL82" s="3886"/>
      <c r="SR82" s="2617"/>
      <c r="SS82" s="2617"/>
      <c r="ST82" s="2617"/>
      <c r="SU82" s="2617"/>
      <c r="SV82" s="2617"/>
      <c r="SW82" s="2617"/>
      <c r="SX82" s="2617"/>
      <c r="SY82" s="2617"/>
      <c r="SZ82" s="2617"/>
      <c r="TA82" s="2617"/>
      <c r="TB82" s="2617"/>
      <c r="TC82" s="2617"/>
      <c r="TD82" s="2617"/>
      <c r="TR82" s="183"/>
      <c r="TW82" s="181"/>
      <c r="TX82" s="183"/>
      <c r="TY82" s="183"/>
      <c r="TZ82" s="183"/>
      <c r="UA82" s="183"/>
      <c r="UC82" s="181"/>
      <c r="UD82" s="181"/>
      <c r="UE82" s="181"/>
      <c r="UF82" s="181"/>
      <c r="UK82" s="183"/>
      <c r="UL82" s="183"/>
      <c r="UM82" s="183"/>
      <c r="UN82" s="183"/>
      <c r="UO82" s="183"/>
      <c r="UQ82" s="184"/>
      <c r="US82" s="183"/>
      <c r="UT82" s="183"/>
      <c r="UU82" s="2617"/>
      <c r="UV82" s="2617"/>
      <c r="UW82" s="2617"/>
      <c r="UX82" s="2617"/>
      <c r="UY82" s="2617"/>
      <c r="UZ82" s="2617"/>
      <c r="VA82" s="2617"/>
      <c r="VB82" s="2617"/>
      <c r="VC82" s="2617"/>
      <c r="VD82" s="2617"/>
      <c r="VE82" s="2617"/>
      <c r="VF82"/>
      <c r="VG82" s="2617"/>
      <c r="VH82" s="2617"/>
      <c r="VI82" s="2617"/>
      <c r="VJ82" s="2617"/>
      <c r="VK82" s="2617"/>
      <c r="VL82" s="2617"/>
      <c r="VM82" s="2617"/>
      <c r="VN82" s="2617"/>
      <c r="VO82" s="2617"/>
      <c r="VP82" s="2617"/>
      <c r="VQ82" s="2617"/>
      <c r="VR82" s="2617"/>
      <c r="VS82" s="2617"/>
      <c r="VT82" s="2617"/>
      <c r="VU82" s="2617"/>
      <c r="VV82" s="2617"/>
      <c r="VW82" s="2617"/>
      <c r="VX82" s="2617"/>
      <c r="VY82" s="2617"/>
      <c r="VZ82" s="2617"/>
      <c r="WA82" s="2617"/>
      <c r="WB82" s="2617"/>
      <c r="WC82" s="2617"/>
      <c r="WD82" s="2617"/>
      <c r="WE82" s="2617"/>
      <c r="WF82" s="2617"/>
      <c r="WG82" s="2617"/>
      <c r="WH82" s="2617"/>
      <c r="WI82" s="2617"/>
      <c r="WJ82" s="2617"/>
      <c r="WK82" s="2617"/>
      <c r="WL82" s="2617"/>
      <c r="WM82" s="2617"/>
      <c r="WN82" s="2617"/>
      <c r="WO82" s="2617"/>
      <c r="WP82" s="2617"/>
      <c r="WQ82" s="2617"/>
      <c r="WR82" s="2617"/>
      <c r="WS82" s="2617"/>
      <c r="WT82" s="2617"/>
      <c r="WU82" s="2617"/>
      <c r="WV82" s="2617"/>
      <c r="WW82" s="2617"/>
      <c r="WX82" s="2617"/>
      <c r="WY82" s="1754"/>
      <c r="WZ82" s="1754"/>
      <c r="XA82" s="1754"/>
      <c r="XB82" s="1754"/>
      <c r="XC82" s="1754"/>
      <c r="XD82" s="1754"/>
      <c r="XE82" s="1754"/>
      <c r="XF82" s="1754"/>
      <c r="XG82" s="1754"/>
      <c r="XH82" s="1754"/>
      <c r="XI82" s="1754"/>
      <c r="XJ82" s="1754"/>
      <c r="XK82" s="1754"/>
      <c r="XL82" s="265"/>
      <c r="XM82" s="265"/>
      <c r="XN82" s="265"/>
      <c r="XO82" s="265"/>
      <c r="XP82" s="265"/>
      <c r="XQ82" s="265"/>
      <c r="XR82" s="265"/>
      <c r="XS82" s="265"/>
      <c r="XT82" s="265"/>
      <c r="XU82" s="265"/>
    </row>
    <row r="83" spans="9:645" x14ac:dyDescent="0.2">
      <c r="I83" s="185"/>
      <c r="J83" s="185"/>
      <c r="K83" s="185"/>
      <c r="L83" s="185" t="s">
        <v>2771</v>
      </c>
      <c r="M83" s="372"/>
      <c r="N83" s="372"/>
      <c r="O83" s="185"/>
      <c r="AH83" s="1172" t="s">
        <v>848</v>
      </c>
      <c r="AI83" s="194">
        <f>'!Egen_Kap'!P27</f>
        <v>0</v>
      </c>
      <c r="AL83" s="181"/>
      <c r="AM83" s="181"/>
      <c r="AN83" s="181"/>
      <c r="AO83" s="181"/>
      <c r="AP83" s="181"/>
      <c r="AQ83" s="181"/>
      <c r="AR83" s="181"/>
      <c r="AS83" s="181"/>
      <c r="AT83" s="181"/>
      <c r="AU83" s="2617"/>
      <c r="AV83" s="2617"/>
      <c r="BB83" s="283" t="s">
        <v>337</v>
      </c>
      <c r="EM83" s="210"/>
      <c r="EN83" s="210"/>
      <c r="ER83" s="1269" t="str">
        <f>$QW$135</f>
        <v>Tverrslag</v>
      </c>
      <c r="ES83" s="246"/>
      <c r="ET83" s="246">
        <f>$BC$36</f>
        <v>0</v>
      </c>
      <c r="EU83" s="256">
        <f>IF($BC$38=2,INDEX(outputs_position[Tverrslag],MATCH($BC$35,outputs_position[lopstuff],0)),IF($BC$36=1,$BE$156+1,0))</f>
        <v>0</v>
      </c>
      <c r="EV83" s="1270" t="str">
        <f t="shared" si="82"/>
        <v>Tverrslag</v>
      </c>
      <c r="EW83" s="238">
        <f>IFERROR(INDEX(inputs_stab[Manuell],MATCH($EU83,inputs_stab[Position],0)),0)</f>
        <v>0</v>
      </c>
      <c r="EX83" s="185">
        <f>IFERROR(INDEX(inputs_stab[lt4m],MATCH($EU83,inputs_stab[Position],0)),0)</f>
        <v>0</v>
      </c>
      <c r="EY83" s="185">
        <f>IFERROR(INDEX(inputs_stab[gt4m],MATCH($EU83,inputs_stab[Position],0)),0)</f>
        <v>0</v>
      </c>
      <c r="EZ83" s="185">
        <f>IFERROR(INDEX(inputs_stab[band],MATCH($EU83,inputs_stab[Position],0)),0)</f>
        <v>0</v>
      </c>
      <c r="FA83" s="185">
        <f>IFERROR(INDEX(inputs_stab[net],MATCH($EU83,inputs_stab[Position],0)),0)</f>
        <v>0</v>
      </c>
      <c r="FB83" s="185">
        <f>IFERROR(INDEX(inputs_stab[shotcrete],MATCH($EU83,inputs_stab[Position],0)),0)</f>
        <v>0</v>
      </c>
      <c r="FC83" s="185">
        <f>IFERROR(INDEX(inputs_stab[buer],MATCH($EU83,inputs_stab[Position],0)),0)</f>
        <v>0</v>
      </c>
      <c r="FD83" s="185">
        <f>IFERROR(INDEX(inputs_stab[sik_12],MATCH($EU83,inputs_stab[Position],0)),0)</f>
        <v>0</v>
      </c>
      <c r="FE83" s="193">
        <f>IFERROR(INDEX(inputs_stab[sik_3],MATCH($EU83,inputs_stab[Position],0)),0)</f>
        <v>0</v>
      </c>
      <c r="FF83" s="193">
        <f>IFERROR(INDEX(inputs_stab[kartlegging],MATCH($EU83,inputs_stab[Position],0)),0)</f>
        <v>0</v>
      </c>
      <c r="FG83" s="246">
        <f>IFERROR(INDEX(inputs_stab[festebolter],MATCH($EU83,inputs_stab[Position],0)),0)</f>
        <v>0</v>
      </c>
      <c r="GH83" s="414"/>
      <c r="GJ83" s="2617"/>
      <c r="GK83" s="2617"/>
      <c r="GL83" s="2617"/>
      <c r="GM83" s="2617"/>
      <c r="HH83" s="185">
        <f>Tunneldrift!M67</f>
        <v>0</v>
      </c>
      <c r="HI83" s="185">
        <f>Tunneldrift!AD67</f>
        <v>0</v>
      </c>
      <c r="IH83" s="1761">
        <v>7</v>
      </c>
      <c r="II83" s="1761" t="e">
        <f t="shared" ref="II83:IJ83" si="132">II24</f>
        <v>#N/A</v>
      </c>
      <c r="IJ83" s="1761" t="b">
        <f t="shared" si="132"/>
        <v>1</v>
      </c>
      <c r="IK83" s="5944" t="e">
        <f t="shared" si="120"/>
        <v>#N/A</v>
      </c>
      <c r="IL83" s="1761" t="e">
        <f t="shared" si="126"/>
        <v>#N/A</v>
      </c>
      <c r="IM83" s="1761"/>
      <c r="IN83" s="1761" t="str">
        <f>IF(utskrift_just[[#This Row],[general_svar_id]]=1,"Ja","Nei")</f>
        <v>Nei</v>
      </c>
      <c r="IO83" s="1811">
        <f t="shared" si="127"/>
        <v>0</v>
      </c>
      <c r="IP83" s="3700" t="str">
        <f>IF(utskrift_just[[#This Row],[general_svar_id]]=1,IP24,"-")</f>
        <v>-</v>
      </c>
      <c r="IQ83" s="1811" t="str">
        <f>IF(utskrift_just[[#This Row],[general_svar_id]]=1,IQ24,"")</f>
        <v/>
      </c>
      <c r="IR83" s="1811" t="str">
        <f>IF(utskrift_just[[#This Row],[general_svar_id]]=2,IR24,"Nei")</f>
        <v>Nei</v>
      </c>
      <c r="IS83" s="3700" t="str">
        <f>IF(AND(utskrift_just[[#This Row],[general_svar_id]]=2,utskrift_just[[#This Row],[geo_svar]]="Ja"),IS24,"-")</f>
        <v>-</v>
      </c>
      <c r="IT83" s="1811" t="str">
        <f>IF(AND(utskrift_just[[#This Row],[general_svar_id]]=2,utskrift_just[[#This Row],[geo_svar]]="Ja"),IT24,"-")</f>
        <v>-</v>
      </c>
      <c r="IU83" s="1811" t="str">
        <f>IF(utskrift_just[[#This Row],[general_svar_id]]=2,IU24,"Nei")</f>
        <v>Nei</v>
      </c>
      <c r="IV83" s="3700" t="str">
        <f>IF(AND(utskrift_just[[#This Row],[general_svar_id]]=2,utskrift_just[[#This Row],[stig_svar]]="Ja"),IV24,"-")</f>
        <v>-</v>
      </c>
      <c r="IW83" s="1811" t="str">
        <f>IF(AND(utskrift_just[[#This Row],[general_svar_id]]=2,utskrift_just[[#This Row],[stig_svar]]="Ja"),IW24,"-")</f>
        <v>-</v>
      </c>
      <c r="IX83" s="1811" t="str">
        <f>IF(utskrift_just[[#This Row],[general_svar_id]]=2,IX24,"Nei")</f>
        <v>Nei</v>
      </c>
      <c r="IY83" s="3700" t="str">
        <f>IF(AND(utskrift_just[[#This Row],[general_svar_id]]=2,utskrift_just[[#This Row],[arb_svar]]="Ja"),IY24,"-")</f>
        <v>-</v>
      </c>
      <c r="IZ83" s="1811" t="str">
        <f>IF(AND(utskrift_just[[#This Row],[general_svar_id]]=2,utskrift_just[[#This Row],[arb_svar]]="Ja"),IZ24,"-")</f>
        <v>-</v>
      </c>
      <c r="JA83" s="1811" t="str">
        <f>IF(utskrift_just[[#This Row],[general_svar_id]]=2,JA24,"Nei")</f>
        <v>Nei</v>
      </c>
      <c r="JB83" s="3700" t="str">
        <f>IF(AND(utskrift_just[[#This Row],[general_svar_id]]=2,utskrift_just[[#This Row],[spreng_svar]]="Ja"),JB24,"-")</f>
        <v>-</v>
      </c>
      <c r="JC83" s="1811" t="str">
        <f>IF(AND(utskrift_just[[#This Row],[general_svar_id]]=2,utskrift_just[[#This Row],[spreng_svar]]="Ja"),JC24,"-")</f>
        <v>-</v>
      </c>
      <c r="JD83" s="1811" t="str">
        <f>IF(utskrift_just[[#This Row],[general_svar_id]]=2,JD24,"Nei")</f>
        <v>Nei</v>
      </c>
      <c r="JE83" s="3700" t="str">
        <f>IF(AND(utskrift_just[[#This Row],[general_svar_id]]=2,utskrift_just[[#This Row],[skyte_svar]]="Ja"),JE24,"-")</f>
        <v>-</v>
      </c>
      <c r="JF83" s="1811" t="str">
        <f>IF(AND(utskrift_just[[#This Row],[general_svar_id]]=2,utskrift_just[[#This Row],[skyte_svar]]="Ja"),JF24,"-")</f>
        <v>-</v>
      </c>
      <c r="JG83" s="1811" t="str">
        <f>IF(utskrift_just[[#This Row],[general_svar_id]]=2,JG24,"Nei")</f>
        <v>Nei</v>
      </c>
      <c r="JH83" s="3700" t="str">
        <f>IF(AND(utskrift_just[[#This Row],[general_svar_id]]=2,utskrift_just[[#This Row],[støy_svar]]="Ja"),JH24,"-")</f>
        <v>-</v>
      </c>
      <c r="JI83" s="1811" t="str">
        <f>IF(AND(utskrift_just[[#This Row],[general_svar_id]]=2,utskrift_just[[#This Row],[støy_svar]]="Ja"),JI24,"-")</f>
        <v>-</v>
      </c>
      <c r="JJ83" s="1811" t="str">
        <f>IF(utskrift_just[[#This Row],[general_svar_id]]=2,JJ24,"Nei")</f>
        <v>Nei</v>
      </c>
      <c r="JK83" s="3700" t="str">
        <f>IF(AND(utskrift_just[[#This Row],[general_svar_id]]=2,utskrift_just[[#This Row],[ann_svar]]="Ja"),JK24,"-")</f>
        <v>-</v>
      </c>
      <c r="JL83" s="1811" t="str">
        <f>IF(AND(utskrift_just[[#This Row],[general_svar_id]]=2,utskrift_just[[#This Row],[ann_svar]]="Ja"),JL24,"-")</f>
        <v>-</v>
      </c>
      <c r="JM83" s="2633">
        <f>IF(JW64=1,_List!$EG$7,IFERROR(utskrift_just[[#This Row],[general_tid]]+utskrift_just[[#This Row],[geo_tid]]+utskrift_just[[#This Row],[stig_tid]]+utskrift_just[[#This Row],[arb_tid]]+utskrift_just[[#This Row],[spreng_tid]]+utskrift_just[[#This Row],[skyte_tid]]+utskrift_just[[#This Row],[støy_tid]]+utskrift_just[[#This Row],[ann_tid]],0))</f>
        <v>0</v>
      </c>
      <c r="JN83" s="1812" t="str">
        <f>IFERROR((INDEX(oppsum_position[Name],MATCH(utskrift_just[[#This Row],[position]],oppsum_position[Position],0))),"")</f>
        <v/>
      </c>
      <c r="JO83" s="1811">
        <v>7</v>
      </c>
      <c r="JP83" s="1811">
        <f>IF($BC$34&gt;6,1,0)</f>
        <v>0</v>
      </c>
      <c r="JQ83" s="1811">
        <f>INDEX(outputs_position[23],MATCH($BC$35,outputs_position[lopstuff],0))</f>
        <v>0</v>
      </c>
      <c r="KZ83" s="2617"/>
      <c r="LA83" s="2617"/>
      <c r="LB83" s="2617"/>
      <c r="NI83" s="1567"/>
      <c r="NN83" s="407">
        <v>82</v>
      </c>
      <c r="NO83" s="340" t="str">
        <f t="shared" si="121"/>
        <v>Stuff 2-4</v>
      </c>
      <c r="NP83" s="431">
        <f t="shared" si="83"/>
        <v>0</v>
      </c>
      <c r="NQ83" s="431">
        <f t="shared" si="84"/>
        <v>0</v>
      </c>
      <c r="NR83" s="431">
        <f t="shared" si="85"/>
        <v>0</v>
      </c>
      <c r="NS83" s="431">
        <f t="shared" si="86"/>
        <v>0</v>
      </c>
      <c r="NT83" s="411">
        <f t="shared" si="87"/>
        <v>0</v>
      </c>
      <c r="NU83" s="411">
        <f t="shared" si="88"/>
        <v>0</v>
      </c>
      <c r="NV83" s="411">
        <f>outputs_oppsum[[#This Row],[total_lop]]+outputs_oppsum[[#This Row],[total_nisj]]</f>
        <v>0</v>
      </c>
      <c r="NW83" s="411">
        <f>outputs_oppsum[[#This Row],[total_spreng_hr]]/$AI$80</f>
        <v>0</v>
      </c>
      <c r="NX83" s="431">
        <f t="shared" si="89"/>
        <v>0</v>
      </c>
      <c r="NY83" s="431">
        <f t="shared" si="90"/>
        <v>0</v>
      </c>
      <c r="NZ83" s="431">
        <f t="shared" si="91"/>
        <v>0</v>
      </c>
      <c r="OA83" s="431">
        <f t="shared" si="92"/>
        <v>0</v>
      </c>
      <c r="OB83" s="431">
        <f t="shared" si="93"/>
        <v>0</v>
      </c>
      <c r="OC83" s="431">
        <f t="shared" si="94"/>
        <v>0</v>
      </c>
      <c r="OD83" s="431">
        <f t="shared" si="95"/>
        <v>0</v>
      </c>
      <c r="OE83" s="431">
        <f t="shared" si="96"/>
        <v>0</v>
      </c>
      <c r="OF83" s="431">
        <f t="shared" si="97"/>
        <v>0</v>
      </c>
      <c r="OG83" s="431">
        <f t="shared" si="98"/>
        <v>0</v>
      </c>
      <c r="OH83" s="431">
        <f t="shared" si="99"/>
        <v>0</v>
      </c>
      <c r="OI83" s="477">
        <f t="shared" si="100"/>
        <v>0</v>
      </c>
      <c r="OJ83" s="3703">
        <f>outputs_oppsum[[#This Row],[total_foran_hr]]/$AI$80</f>
        <v>0</v>
      </c>
      <c r="OK83" s="477">
        <f t="shared" si="101"/>
        <v>0</v>
      </c>
      <c r="OL83" s="477">
        <f t="shared" si="102"/>
        <v>0</v>
      </c>
      <c r="OM83" s="431">
        <f t="shared" si="103"/>
        <v>0</v>
      </c>
      <c r="ON83" s="431">
        <f t="shared" si="104"/>
        <v>0</v>
      </c>
      <c r="OO83" s="431">
        <f t="shared" si="105"/>
        <v>0</v>
      </c>
      <c r="OP83" s="431">
        <f t="shared" si="106"/>
        <v>0</v>
      </c>
      <c r="OQ83" s="431">
        <f t="shared" si="107"/>
        <v>0</v>
      </c>
      <c r="OR83" s="431"/>
      <c r="OS83" s="431"/>
      <c r="OT83" s="431">
        <f t="shared" si="108"/>
        <v>0</v>
      </c>
      <c r="OU83" s="431"/>
      <c r="OV83" s="431"/>
      <c r="OW83" s="431">
        <f t="shared" si="122"/>
        <v>0</v>
      </c>
      <c r="OX83" s="431">
        <f t="shared" si="109"/>
        <v>0</v>
      </c>
      <c r="OY83" s="431">
        <f t="shared" si="110"/>
        <v>0</v>
      </c>
      <c r="OZ83" s="431">
        <f t="shared" si="111"/>
        <v>0</v>
      </c>
      <c r="PA83" s="431">
        <f t="shared" si="112"/>
        <v>0</v>
      </c>
      <c r="PB83" s="478">
        <f t="shared" si="123"/>
        <v>0</v>
      </c>
      <c r="PC83" s="478">
        <f t="shared" si="124"/>
        <v>0</v>
      </c>
      <c r="PD83" s="478">
        <f t="shared" si="113"/>
        <v>0</v>
      </c>
      <c r="PE83" s="478">
        <f t="shared" si="114"/>
        <v>0</v>
      </c>
      <c r="PF83" s="478">
        <f t="shared" si="115"/>
        <v>0</v>
      </c>
      <c r="PG83" s="478">
        <f t="shared" si="116"/>
        <v>0</v>
      </c>
      <c r="PH83" s="841">
        <f t="shared" si="117"/>
        <v>0</v>
      </c>
      <c r="PI83" s="1277">
        <f>outputs_oppsum[[#This Row],[total_stab_hr]]/$AI$80</f>
        <v>0</v>
      </c>
      <c r="PJ83" s="211" t="str">
        <f>IF(AND($GL$35=1,outputs_oppsum[[#This Row],[tverrslag_status]]&lt;&gt;1),$GR$67,$GK$11)</f>
        <v>Ikke relevant</v>
      </c>
      <c r="PK83" s="211">
        <f>IFERROR(outputs_oppsum[[#This Row],[prosjekt_forbe]]*$AI$80,0)</f>
        <v>0</v>
      </c>
      <c r="PL83" s="211" t="b">
        <f t="shared" si="118"/>
        <v>0</v>
      </c>
      <c r="PM83" s="211" t="b">
        <f t="shared" si="118"/>
        <v>0</v>
      </c>
      <c r="PN83" s="211" t="b">
        <f t="shared" si="118"/>
        <v>0</v>
      </c>
      <c r="PO83" s="425" t="str">
        <f t="shared" si="118"/>
        <v>Ikke relevant</v>
      </c>
      <c r="PP83" s="431">
        <f>outputs_oppsum[[#This Row],[Forberedende]]*$AI$80</f>
        <v>0</v>
      </c>
      <c r="PQ83" s="431">
        <f>outputs_oppsum[[#This Row],[Portaler]]*$AI$80</f>
        <v>0</v>
      </c>
      <c r="PR83" s="431">
        <f>outputs_oppsum[[#This Row],[Andrearbeider]]*$AI$80</f>
        <v>0</v>
      </c>
      <c r="PS83" s="431">
        <f>IFERROR(outputs_oppsum[[#This Row],[total_forbe]]*$AI$80,0)</f>
        <v>0</v>
      </c>
      <c r="PT83" s="431" t="e">
        <f t="shared" si="77"/>
        <v>#VALUE!</v>
      </c>
      <c r="PU83"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3" s="1656">
        <f>outputs_oppsum[[#This Row],[oppsum_drivetid_hr]]/$AI$80</f>
        <v>0</v>
      </c>
      <c r="PW83" s="1660"/>
      <c r="PX83" s="1658">
        <f>INDEX(tverr_connection_2[82],MATCH($BC$28,tverr_connection_2[config],0))</f>
        <v>0</v>
      </c>
      <c r="PY83" s="1662" t="str">
        <f>IF(outputs_oppsum[[#This Row],[tverrslag_status]]=0,$HI$54,IF(outputs_oppsum[[#This Row],[tverrslag_status]]=1,$HI$55,"-"))</f>
        <v>Ikke påvirket</v>
      </c>
      <c r="PZ83" s="1663" t="str">
        <f>IFERROR(INDEX(outputs_tverrslag[Tverrslag construction time],MATCH(outputs_oppsum[[#This Row],[stuff_navn]],outputs_tverrslag[name],0)),"-")</f>
        <v>-</v>
      </c>
      <c r="QA83" s="1658" t="str">
        <f>IF(outputs_oppsum[[#This Row],[tverrslag_status_oppsum]]=$HI$55,$PU$84,"-")</f>
        <v>-</v>
      </c>
      <c r="QB83" s="1662" t="str">
        <f>IF(outputs_oppsum[[#This Row],[tverrslag_status_oppsum]]=$HI$55,$HI$66,"-")</f>
        <v>-</v>
      </c>
      <c r="QC83" s="1662" t="str">
        <f>IF(outputs_oppsum[[#This Row],[tverrslag_status_oppsum]]=$HI$55,$HJ$14,"-")</f>
        <v>-</v>
      </c>
      <c r="QD83" s="1668" t="str">
        <f>IFERROR(INDEX(outputs_tverrslag[forsink_perstuff_uker],MATCH(outputs_oppsum[[#This Row],[stuff_navn]],outputs_tverrslag[name],0)),"-")</f>
        <v>-</v>
      </c>
      <c r="QE83" s="843" t="str">
        <f>IFERROR(INDEX(outputs_tverrslag[forsink_total_uker],MATCH(outputs_oppsum[[#This Row],[stuff_navn]],outputs_tverrslag[name],0)),"-")</f>
        <v>-</v>
      </c>
      <c r="QF83" s="843" t="str">
        <f>IFERROR(INDEX(outputs_tverrslag[Kryssområdet_hr],MATCH(outputs_oppsum[[#This Row],[stuff_navn]],outputs_tverrslag[name],0)),"-")</f>
        <v>-</v>
      </c>
      <c r="QG83" s="843" t="str">
        <f>IFERROR(INDEX(outputs_tverrslag[forsink_total_hr],MATCH(outputs_oppsum[[#This Row],[stuff_navn]],outputs_tverrslag[name],0)),"-")</f>
        <v>-</v>
      </c>
      <c r="QH83" s="334">
        <f>SUMIF(outputs_oppsum[[#This Row],[kryssområdet_forberedende_hr2]:[extra_forsink_etter_tverrslag_total_hr]],"&lt;&gt;-")+SUMIF(outputs_oppsum[[#This Row],[tverrslag_tid]],"&lt;&gt;-")</f>
        <v>0</v>
      </c>
      <c r="QI83" s="334" t="str">
        <f>IF(OR(outputs_oppsum[[#This Row],[tverrslag_status_oppsum]]=$HI$55,outputs_oppsum[[#This Row],[tverrslag_status_oppsum]]=$I$90),$GR$67,"-")</f>
        <v>-</v>
      </c>
      <c r="QJ83" s="334">
        <f>IFERROR(outputs_oppsum[[#This Row],[extra_tverrslag_prosjekt_forarb_uke]]*$AI$80,0)</f>
        <v>0</v>
      </c>
      <c r="QK83" s="334" t="str">
        <f>IF(outputs_oppsum[[#This Row],[tverrslag_status_oppsum]]=$HI$55,$PO$75,"-")</f>
        <v>-</v>
      </c>
      <c r="QL83" s="1827">
        <f>IFERROR(outputs_oppsum[[#This Row],[extra_tverrslag_forarb_uke]]*$AI$80,0)</f>
        <v>0</v>
      </c>
      <c r="QM83" s="334" t="str">
        <f>IF(outputs_oppsum[[#This Row],[tverrslag_status_oppsum]]=$HI$55,$RA$75,"-")</f>
        <v>-</v>
      </c>
      <c r="QN83" s="1827">
        <f>IFERROR(outputs_oppsum[[#This Row],[extra_tverrslag_just_uke]]*$AI$80,0)</f>
        <v>0</v>
      </c>
      <c r="QO83" s="211" t="str">
        <f>IF(outputs_oppsum[[#This Row],[tverrslag_status_oppsum]]=$HI$55,$GK$96,"-")</f>
        <v>-</v>
      </c>
      <c r="QP83" s="1828">
        <f>IFERROR(outputs_oppsum[[#This Row],[tverrslag_forsinkt_uke]]*$AI$80,0)</f>
        <v>0</v>
      </c>
      <c r="QQ83"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83" s="1809">
        <f>IFERROR(IF(outputs_oppsum[[#This Row],[tverrslag_status_oppsum]]=$I$90,outputs_oppsum[[#This Row],[kryssområdet_forberedende_hr]],IF(outputs_oppsum[[#This Row],[tverrslag_status]]=1,outputs_oppsum[[#This Row],[tverrslag_total_hr]],0)),0)</f>
        <v>0</v>
      </c>
      <c r="QS83" s="1666" t="e">
        <f>INDEX(outputs_just[general_tid],MATCH(outputs_oppsum[[#This Row],[stuff_navn]],outputs_just[Navn],0))</f>
        <v>#N/A</v>
      </c>
      <c r="QT83" s="1666" t="e">
        <f>INDEX(outputs_just[geo_tid],MATCH(outputs_oppsum[[#This Row],[stuff_navn]],outputs_just[Navn],0))</f>
        <v>#N/A</v>
      </c>
      <c r="QU83" s="1666" t="e">
        <f>INDEX(outputs_just[stig_tid],MATCH(outputs_oppsum[[#This Row],[stuff_navn]],outputs_just[Navn],0))</f>
        <v>#N/A</v>
      </c>
      <c r="QV83" s="1666" t="e">
        <f>INDEX(outputs_just[arb_tid],MATCH(outputs_oppsum[[#This Row],[stuff_navn]],outputs_just[Navn],0))</f>
        <v>#N/A</v>
      </c>
      <c r="QW83" s="1666" t="e">
        <f>INDEX(outputs_just[spreng_tid],MATCH(outputs_oppsum[[#This Row],[stuff_navn]],outputs_just[Navn],0))</f>
        <v>#N/A</v>
      </c>
      <c r="QX83" s="1666" t="e">
        <f>INDEX(outputs_just[skyte_tid],MATCH(outputs_oppsum[[#This Row],[stuff_navn]],outputs_just[Navn],0))</f>
        <v>#N/A</v>
      </c>
      <c r="QY83" s="1666" t="e">
        <f>INDEX(outputs_just[støy_tid],MATCH(outputs_oppsum[[#This Row],[stuff_navn]],outputs_just[Navn],0))</f>
        <v>#N/A</v>
      </c>
      <c r="QZ83" s="1666" t="e">
        <f>INDEX(outputs_just[ann_tid],MATCH(outputs_oppsum[[#This Row],[stuff_navn]],outputs_just[Navn],0))</f>
        <v>#N/A</v>
      </c>
      <c r="RA83" s="1666" t="e">
        <f>SUM(outputs_oppsum[[#This Row],[just_generell]:[just_ann]])</f>
        <v>#N/A</v>
      </c>
      <c r="RB83" s="1666" t="e">
        <f>outputs_oppsum[[#This Row],[just_total_uke]]*$AI$80</f>
        <v>#N/A</v>
      </c>
      <c r="RC83" s="211">
        <f>INDEX(inputs_forsinket[tid_uke],MATCH(outputs_oppsum[[#This Row],[stuff_navn]],inputs_forsinket[name],0))</f>
        <v>0</v>
      </c>
      <c r="RD83" s="1805">
        <f>outputs_oppsum[[#This Row],[forsinket_uke]]*$AI$80</f>
        <v>0</v>
      </c>
      <c r="RE83" s="234">
        <f t="shared" si="119"/>
        <v>1</v>
      </c>
      <c r="RF83" s="211" t="str">
        <f>IF(RE83=1,_List!$AW$7,IF(RE83=2,_List!$AW$8,""))</f>
        <v>Enstuffs drift</v>
      </c>
      <c r="RG83" s="431" t="str">
        <f>IF(outputs_oppsum[[#This Row],[kon_metod_no]]=2,INDEX(framdriftfaktor[stab-foran_spreng_ratio],MATCH(outputs_oppsum[[#This Row],[stuff_id]],framdriftfaktor[stuff_id],0)),"-")</f>
        <v>-</v>
      </c>
      <c r="RH83" s="5269">
        <f>IF(outputs_oppsum[[#This Row],[kon_metod_no]]=2,INDEX(framdriftfaktor[beregnet_faktor_final],MATCH(outputs_oppsum[[#This Row],[stuff_id]],framdriftfaktor[stuff_id],0)),1)</f>
        <v>1</v>
      </c>
      <c r="RI83" s="5269" t="str">
        <f>IF(outputs_oppsum[[#This Row],[kon_metod]]=_List!$AW$8,INDEX(outputs_just[vek_faktor_bruker_definert_status],MATCH(outputs_oppsum[[#This Row],[stuff_navn]],outputs_just[Navn],0)),"")</f>
        <v/>
      </c>
      <c r="RJ83" s="5269" t="e">
        <f>IF(AND(outputs_oppsum[[#This Row],[kon_metod_no]]&lt;&gt;1,LP128=FALSE),LO128,"-")</f>
        <v>#N/A</v>
      </c>
      <c r="RK83" s="5269">
        <f>IF(AND(outputs_oppsum[[#This Row],[kon_metod_no]]=2,outputs_oppsum[[#This Row],[tverrslag_status_oppsum]]&lt;&gt;$I$90,outputs_oppsum[[#This Row],[faktor_bruker_definert]]=FALSE),outputs_oppsum[[#This Row],[faktor_user]],outputs_oppsum[[#This Row],[faktor_beregnet]])</f>
        <v>1</v>
      </c>
      <c r="RL83" s="1807">
        <f>IFERROR((outputs_oppsum[[#This Row],[faktor_final]]-1)*outputs_oppsum[[#This Row],[oppsum_drivetid_hr]]*outputs_oppsum[[#This Row],[veksel_prosent]],"-")</f>
        <v>0</v>
      </c>
      <c r="RM83" s="1807" t="str">
        <f>IF(outputs_oppsum[[#This Row],[kon_metod_no]]=2,outputs_oppsum[[#This Row],[ekstra_framdrift_tid_oppsum_hr]]/$AI$80,"-")</f>
        <v>-</v>
      </c>
      <c r="RN83" s="431" t="str">
        <f>IF(outputs_oppsum[[#This Row],[kon_metod_no]]=2,outputs_oppsum[[#This Row],[ekstra_drivetid_pga_faktor]],"-")</f>
        <v>-</v>
      </c>
      <c r="RO83" s="431">
        <f>IFERROR(outputs_oppsum[[#This Row],[oppsum_drivetid_hr]]+outputs_oppsum[[#This Row],[ekstra_drivetid_pga_faktor]],"-")</f>
        <v>0</v>
      </c>
      <c r="RP83"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3" s="5276">
        <f>IF(outputs_oppsum[[#This Row],[enstuff_prosent_input]]&gt;1,1,outputs_oppsum[[#This Row],[enstuff_prosent_input]])</f>
        <v>1</v>
      </c>
      <c r="RR83"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3" s="431"/>
      <c r="RT83" s="431"/>
      <c r="RU83" s="431"/>
      <c r="RV83" s="431"/>
      <c r="RW83" s="431" t="str">
        <f>IFERROR(outputs_oppsum[[#This Row],[drivetid_with_faktor]]+outputs_oppsum[[#This Row],[prosjekt_forbe_hr]]+outputs_oppsum[[#This Row],[total_forbe_hr]]+outputs_oppsum[[#This Row],[extra_for_tverrslag_sum]]+outputs_oppsum[[#This Row],[just_total_hr]]+outputs_oppsum[[#This Row],[forsinket_hr]],"!")</f>
        <v>!</v>
      </c>
      <c r="RX83" s="431" t="str">
        <f>IFERROR(outputs_oppsum[[#This Row],[oppsum_total_hr]]/$AI$80,"!")</f>
        <v>!</v>
      </c>
      <c r="RY83" s="431" t="str">
        <f>IF(MAX($RX$76:$RX$84)=outputs_oppsum[[#This Row],[oppsum_total_uke]],MAX($RX$76:$RX$84),"-")</f>
        <v>-</v>
      </c>
      <c r="RZ83" s="431" t="str">
        <f>IF(AND(ISNUMBER(outputs_oppsum[[#This Row],[Criticalstuff]]),$BC$34&lt;&gt;1,outputs_oppsum[[#This Row],[Criticalstuff]]&gt;0),$RZ$63,"")</f>
        <v/>
      </c>
      <c r="SA83" s="837"/>
      <c r="SB83" s="837"/>
      <c r="SC83" s="837"/>
      <c r="SD83" s="837"/>
      <c r="SE83" s="3521"/>
      <c r="SF83" s="3521"/>
      <c r="SG83" s="2617"/>
      <c r="SH83" s="3886"/>
      <c r="SI83" s="3886"/>
      <c r="SJ83" s="3886"/>
      <c r="SK83" s="3886"/>
      <c r="SL83" s="3886"/>
      <c r="SR83" s="2617"/>
      <c r="SS83" s="2617"/>
      <c r="ST83" s="2617"/>
      <c r="SU83" s="2617"/>
      <c r="SV83" s="2617"/>
      <c r="SW83" s="2617"/>
      <c r="SX83" s="2617"/>
      <c r="SY83" s="2617"/>
      <c r="SZ83" s="2617"/>
      <c r="TA83" s="2617"/>
      <c r="TB83" s="2617"/>
      <c r="TC83" s="2617"/>
      <c r="TD83" s="2617"/>
      <c r="TR83" s="183"/>
      <c r="TW83" s="181"/>
      <c r="TX83" s="183"/>
      <c r="TY83" s="183"/>
      <c r="TZ83" s="183"/>
      <c r="UA83" s="183"/>
      <c r="UC83" s="181"/>
      <c r="UD83" s="181"/>
      <c r="UE83" s="181"/>
      <c r="UF83" s="181"/>
      <c r="UK83" s="183"/>
      <c r="UL83" s="183"/>
      <c r="UM83" s="183"/>
      <c r="UN83" s="183"/>
      <c r="UO83" s="183"/>
      <c r="UQ83" s="184"/>
      <c r="US83" s="183"/>
      <c r="UT83" s="183"/>
      <c r="UU83" s="2617"/>
      <c r="UV83" s="2617"/>
      <c r="UW83" s="2617"/>
      <c r="UX83" s="2617"/>
      <c r="UY83" s="2617"/>
      <c r="UZ83" s="2617"/>
      <c r="VA83" s="2617"/>
      <c r="VB83" s="2617"/>
      <c r="VC83" s="2617"/>
      <c r="VD83" s="2617"/>
      <c r="VE83" s="2617"/>
      <c r="VF83"/>
      <c r="VG83" s="2617"/>
      <c r="VH83" s="2617"/>
      <c r="VI83" s="2617"/>
      <c r="VJ83" s="2617"/>
      <c r="VK83" s="2617"/>
      <c r="VL83" s="2617"/>
      <c r="VM83" s="2617"/>
      <c r="VN83" s="2617"/>
      <c r="VO83" s="2617"/>
      <c r="VP83" s="2617"/>
      <c r="VQ83" s="2617"/>
      <c r="VR83" s="2617"/>
      <c r="VS83" s="2617"/>
      <c r="VT83" s="2617"/>
      <c r="VU83" s="2617"/>
      <c r="VV83" s="2617"/>
      <c r="VW83" s="2617"/>
      <c r="VX83" s="2617"/>
      <c r="VY83" s="2617"/>
      <c r="VZ83" s="2617"/>
      <c r="WA83" s="2617"/>
      <c r="WB83" s="2617"/>
      <c r="WC83" s="2617"/>
      <c r="WD83" s="2617"/>
      <c r="WE83" s="2617"/>
      <c r="WF83" s="2617"/>
      <c r="WG83" s="2617"/>
      <c r="WH83" s="2617"/>
      <c r="WI83" s="2617"/>
      <c r="WJ83" s="2617"/>
      <c r="WK83" s="2617"/>
      <c r="WL83" s="2617"/>
      <c r="WM83" s="2617"/>
      <c r="WN83" s="2617"/>
      <c r="WO83" s="2617"/>
      <c r="WP83" s="2617"/>
      <c r="WQ83" s="2617"/>
      <c r="WR83" s="2617"/>
      <c r="WS83" s="2617"/>
      <c r="WT83" s="2617"/>
      <c r="WU83" s="2617"/>
      <c r="WV83" s="2617"/>
      <c r="WW83" s="2617"/>
      <c r="WX83" s="2617"/>
      <c r="WY83" s="1754"/>
      <c r="WZ83" s="1754"/>
      <c r="XA83" s="1754"/>
      <c r="XB83" s="1754"/>
      <c r="XC83" s="1754"/>
      <c r="XD83" s="1754"/>
      <c r="XE83" s="1754"/>
      <c r="XF83" s="1754"/>
      <c r="XG83" s="1754"/>
      <c r="XH83" s="1754"/>
      <c r="XI83" s="1754"/>
      <c r="XJ83" s="1754"/>
      <c r="XK83" s="1754"/>
      <c r="XL83" s="265"/>
      <c r="XM83" s="265"/>
      <c r="XN83" s="265"/>
      <c r="XO83" s="265"/>
      <c r="XP83" s="265"/>
      <c r="XQ83" s="265"/>
      <c r="XR83" s="265"/>
      <c r="XS83" s="265"/>
      <c r="XT83" s="265"/>
      <c r="XU83" s="265"/>
    </row>
    <row r="84" spans="9:645" ht="15" thickBot="1" x14ac:dyDescent="0.25">
      <c r="I84" s="5565" t="s">
        <v>2776</v>
      </c>
      <c r="J84" s="185"/>
      <c r="K84" s="185" t="s">
        <v>2775</v>
      </c>
      <c r="L84" s="185"/>
      <c r="M84" s="185"/>
      <c r="N84" s="185"/>
      <c r="O84" s="185"/>
      <c r="AH84" s="1172"/>
      <c r="AI84" s="194"/>
      <c r="AL84" s="181"/>
      <c r="AM84" s="181"/>
      <c r="AN84" s="181"/>
      <c r="AO84" s="181"/>
      <c r="AP84" s="181"/>
      <c r="AQ84" s="181"/>
      <c r="AR84" s="181"/>
      <c r="AS84" s="181"/>
      <c r="AT84" s="181"/>
      <c r="AU84" s="2617"/>
      <c r="AV84" s="2617"/>
      <c r="EM84" s="210"/>
      <c r="EN84" s="210"/>
      <c r="EW84" s="239"/>
      <c r="GH84" s="414"/>
      <c r="GL84" s="2617"/>
      <c r="GM84" s="2617"/>
      <c r="HH84" s="185">
        <f>Tunneldrift!M68</f>
        <v>0</v>
      </c>
      <c r="HI84" s="185">
        <f>Tunneldrift!AD68</f>
        <v>0</v>
      </c>
      <c r="IH84" s="1761">
        <v>8</v>
      </c>
      <c r="II84" s="1761" t="e">
        <f t="shared" ref="II84:IJ84" si="133">II25</f>
        <v>#N/A</v>
      </c>
      <c r="IJ84" s="1761" t="b">
        <f t="shared" si="133"/>
        <v>1</v>
      </c>
      <c r="IK84" s="5944" t="e">
        <f t="shared" si="120"/>
        <v>#N/A</v>
      </c>
      <c r="IL84" s="1761" t="e">
        <f t="shared" si="126"/>
        <v>#N/A</v>
      </c>
      <c r="IM84" s="1761"/>
      <c r="IN84" s="1761" t="str">
        <f>IF(utskrift_just[[#This Row],[general_svar_id]]=1,"Ja","Nei")</f>
        <v>Nei</v>
      </c>
      <c r="IO84" s="1811">
        <f t="shared" si="127"/>
        <v>0</v>
      </c>
      <c r="IP84" s="3700" t="str">
        <f>IF(utskrift_just[[#This Row],[general_svar_id]]=1,IP25,"-")</f>
        <v>-</v>
      </c>
      <c r="IQ84" s="1811" t="str">
        <f>IF(utskrift_just[[#This Row],[general_svar_id]]=1,IQ25,"")</f>
        <v/>
      </c>
      <c r="IR84" s="1811" t="str">
        <f>IF(utskrift_just[[#This Row],[general_svar_id]]=2,IR25,"Nei")</f>
        <v>Nei</v>
      </c>
      <c r="IS84" s="3700" t="str">
        <f>IF(AND(utskrift_just[[#This Row],[general_svar_id]]=2,utskrift_just[[#This Row],[geo_svar]]="Ja"),IS25,"-")</f>
        <v>-</v>
      </c>
      <c r="IT84" s="1811" t="str">
        <f>IF(AND(utskrift_just[[#This Row],[general_svar_id]]=2,utskrift_just[[#This Row],[geo_svar]]="Ja"),IT25,"-")</f>
        <v>-</v>
      </c>
      <c r="IU84" s="1811" t="str">
        <f>IF(utskrift_just[[#This Row],[general_svar_id]]=2,IU25,"Nei")</f>
        <v>Nei</v>
      </c>
      <c r="IV84" s="3700" t="str">
        <f>IF(AND(utskrift_just[[#This Row],[general_svar_id]]=2,utskrift_just[[#This Row],[stig_svar]]="Ja"),IV25,"-")</f>
        <v>-</v>
      </c>
      <c r="IW84" s="1811" t="str">
        <f>IF(AND(utskrift_just[[#This Row],[general_svar_id]]=2,utskrift_just[[#This Row],[stig_svar]]="Ja"),IW25,"-")</f>
        <v>-</v>
      </c>
      <c r="IX84" s="1811" t="str">
        <f>IF(utskrift_just[[#This Row],[general_svar_id]]=2,IX25,"Nei")</f>
        <v>Nei</v>
      </c>
      <c r="IY84" s="3700" t="str">
        <f>IF(AND(utskrift_just[[#This Row],[general_svar_id]]=2,utskrift_just[[#This Row],[arb_svar]]="Ja"),IY25,"-")</f>
        <v>-</v>
      </c>
      <c r="IZ84" s="1811" t="str">
        <f>IF(AND(utskrift_just[[#This Row],[general_svar_id]]=2,utskrift_just[[#This Row],[arb_svar]]="Ja"),IZ25,"-")</f>
        <v>-</v>
      </c>
      <c r="JA84" s="1811" t="str">
        <f>IF(utskrift_just[[#This Row],[general_svar_id]]=2,JA25,"Nei")</f>
        <v>Nei</v>
      </c>
      <c r="JB84" s="3700" t="str">
        <f>IF(AND(utskrift_just[[#This Row],[general_svar_id]]=2,utskrift_just[[#This Row],[spreng_svar]]="Ja"),JB25,"-")</f>
        <v>-</v>
      </c>
      <c r="JC84" s="1811" t="str">
        <f>IF(AND(utskrift_just[[#This Row],[general_svar_id]]=2,utskrift_just[[#This Row],[spreng_svar]]="Ja"),JC25,"-")</f>
        <v>-</v>
      </c>
      <c r="JD84" s="1811" t="str">
        <f>IF(utskrift_just[[#This Row],[general_svar_id]]=2,JD25,"Nei")</f>
        <v>Nei</v>
      </c>
      <c r="JE84" s="3700" t="str">
        <f>IF(AND(utskrift_just[[#This Row],[general_svar_id]]=2,utskrift_just[[#This Row],[skyte_svar]]="Ja"),JE25,"-")</f>
        <v>-</v>
      </c>
      <c r="JF84" s="1811" t="str">
        <f>IF(AND(utskrift_just[[#This Row],[general_svar_id]]=2,utskrift_just[[#This Row],[skyte_svar]]="Ja"),JF25,"-")</f>
        <v>-</v>
      </c>
      <c r="JG84" s="1811" t="str">
        <f>IF(utskrift_just[[#This Row],[general_svar_id]]=2,JG25,"Nei")</f>
        <v>Nei</v>
      </c>
      <c r="JH84" s="3700" t="str">
        <f>IF(AND(utskrift_just[[#This Row],[general_svar_id]]=2,utskrift_just[[#This Row],[støy_svar]]="Ja"),JH25,"-")</f>
        <v>-</v>
      </c>
      <c r="JI84" s="1811" t="str">
        <f>IF(AND(utskrift_just[[#This Row],[general_svar_id]]=2,utskrift_just[[#This Row],[støy_svar]]="Ja"),JI25,"-")</f>
        <v>-</v>
      </c>
      <c r="JJ84" s="1811" t="str">
        <f>IF(utskrift_just[[#This Row],[general_svar_id]]=2,JJ25,"Nei")</f>
        <v>Nei</v>
      </c>
      <c r="JK84" s="3700" t="str">
        <f>IF(AND(utskrift_just[[#This Row],[general_svar_id]]=2,utskrift_just[[#This Row],[ann_svar]]="Ja"),JK25,"-")</f>
        <v>-</v>
      </c>
      <c r="JL84" s="1811" t="str">
        <f>IF(AND(utskrift_just[[#This Row],[general_svar_id]]=2,utskrift_just[[#This Row],[ann_svar]]="Ja"),JL25,"-")</f>
        <v>-</v>
      </c>
      <c r="JM84" s="2633">
        <f>IF(JW65=1,_List!$EG$7,IFERROR(utskrift_just[[#This Row],[general_tid]]+utskrift_just[[#This Row],[geo_tid]]+utskrift_just[[#This Row],[stig_tid]]+utskrift_just[[#This Row],[arb_tid]]+utskrift_just[[#This Row],[spreng_tid]]+utskrift_just[[#This Row],[skyte_tid]]+utskrift_just[[#This Row],[støy_tid]]+utskrift_just[[#This Row],[ann_tid]],0))</f>
        <v>0</v>
      </c>
      <c r="JN84" s="1812" t="str">
        <f>IFERROR((INDEX(oppsum_position[Name],MATCH(utskrift_just[[#This Row],[position]],oppsum_position[Position],0))),"")</f>
        <v/>
      </c>
      <c r="JO84" s="1811">
        <v>8</v>
      </c>
      <c r="JP84" s="1811">
        <f>IF($BC$34&gt;7,1,0)</f>
        <v>0</v>
      </c>
      <c r="JQ84" s="1811">
        <f>INDEX(outputs_position[24],MATCH($BC$35,outputs_position[lopstuff],0))</f>
        <v>0</v>
      </c>
      <c r="KO84" s="249" t="s">
        <v>658</v>
      </c>
      <c r="KP84" s="247" t="s">
        <v>2292</v>
      </c>
      <c r="KQ84" s="247" t="s">
        <v>2311</v>
      </c>
      <c r="KR84" s="247" t="s">
        <v>1000</v>
      </c>
      <c r="KS84" s="247" t="s">
        <v>2293</v>
      </c>
      <c r="KT84" s="247" t="s">
        <v>2294</v>
      </c>
      <c r="KU84" s="247" t="s">
        <v>2295</v>
      </c>
      <c r="KV84" s="247" t="s">
        <v>2674</v>
      </c>
      <c r="KW84" s="247" t="s">
        <v>2676</v>
      </c>
      <c r="KX84" s="247" t="s">
        <v>2675</v>
      </c>
      <c r="KY84" s="5267" t="s">
        <v>2355</v>
      </c>
      <c r="KZ84" s="247" t="s">
        <v>2296</v>
      </c>
      <c r="LA84" s="247" t="s">
        <v>2356</v>
      </c>
      <c r="LB84" s="247" t="s">
        <v>2357</v>
      </c>
      <c r="LC84" s="247" t="s">
        <v>2297</v>
      </c>
      <c r="LD84" s="315" t="s">
        <v>187</v>
      </c>
      <c r="LE84" s="247" t="s">
        <v>618</v>
      </c>
      <c r="LF84" s="247" t="s">
        <v>651</v>
      </c>
      <c r="LG84" s="247" t="s">
        <v>999</v>
      </c>
      <c r="NI84" s="1567"/>
      <c r="NN84" s="479">
        <v>92</v>
      </c>
      <c r="NO84" s="480" t="str">
        <f>NO75</f>
        <v>Tverrslag</v>
      </c>
      <c r="NP84" s="844">
        <f t="shared" si="83"/>
        <v>0</v>
      </c>
      <c r="NQ84" s="844">
        <f t="shared" si="84"/>
        <v>0</v>
      </c>
      <c r="NR84" s="844">
        <f t="shared" si="85"/>
        <v>0</v>
      </c>
      <c r="NS84" s="844">
        <f t="shared" si="86"/>
        <v>0</v>
      </c>
      <c r="NT84" s="3342">
        <f t="shared" si="87"/>
        <v>0</v>
      </c>
      <c r="NU84" s="3342">
        <f t="shared" si="88"/>
        <v>0</v>
      </c>
      <c r="NV84" s="3342">
        <f>outputs_oppsum[[#This Row],[total_lop]]+outputs_oppsum[[#This Row],[total_nisj]]</f>
        <v>0</v>
      </c>
      <c r="NW84" s="3342">
        <f>outputs_oppsum[[#This Row],[total_spreng_hr]]/$AI$80</f>
        <v>0</v>
      </c>
      <c r="NX84" s="844">
        <f t="shared" si="89"/>
        <v>0</v>
      </c>
      <c r="NY84" s="844">
        <f t="shared" si="90"/>
        <v>0</v>
      </c>
      <c r="NZ84" s="844">
        <f t="shared" si="91"/>
        <v>0</v>
      </c>
      <c r="OA84" s="844">
        <f t="shared" si="92"/>
        <v>0</v>
      </c>
      <c r="OB84" s="844">
        <f t="shared" si="93"/>
        <v>0</v>
      </c>
      <c r="OC84" s="844">
        <f t="shared" si="94"/>
        <v>0</v>
      </c>
      <c r="OD84" s="844">
        <f t="shared" si="95"/>
        <v>0</v>
      </c>
      <c r="OE84" s="844">
        <f t="shared" si="96"/>
        <v>0</v>
      </c>
      <c r="OF84" s="844">
        <f t="shared" si="97"/>
        <v>0</v>
      </c>
      <c r="OG84" s="844">
        <f t="shared" si="98"/>
        <v>0</v>
      </c>
      <c r="OH84" s="844">
        <f t="shared" si="99"/>
        <v>0</v>
      </c>
      <c r="OI84" s="3343">
        <f t="shared" si="100"/>
        <v>0</v>
      </c>
      <c r="OJ84" s="3705">
        <f>outputs_oppsum[[#This Row],[total_foran_hr]]/$AI$80</f>
        <v>0</v>
      </c>
      <c r="OK84" s="3343">
        <f t="shared" si="101"/>
        <v>0</v>
      </c>
      <c r="OL84" s="3343">
        <f t="shared" si="102"/>
        <v>0</v>
      </c>
      <c r="OM84" s="844">
        <f t="shared" si="103"/>
        <v>0</v>
      </c>
      <c r="ON84" s="844">
        <f t="shared" si="104"/>
        <v>0</v>
      </c>
      <c r="OO84" s="844">
        <f t="shared" si="105"/>
        <v>0</v>
      </c>
      <c r="OP84" s="844">
        <f t="shared" si="106"/>
        <v>0</v>
      </c>
      <c r="OQ84" s="844">
        <f t="shared" si="107"/>
        <v>0</v>
      </c>
      <c r="OR84" s="844"/>
      <c r="OS84" s="844"/>
      <c r="OT84" s="844">
        <f t="shared" si="108"/>
        <v>0</v>
      </c>
      <c r="OU84" s="844"/>
      <c r="OV84" s="844"/>
      <c r="OW84" s="844">
        <f t="shared" si="122"/>
        <v>0</v>
      </c>
      <c r="OX84" s="844">
        <f t="shared" si="109"/>
        <v>0</v>
      </c>
      <c r="OY84" s="844">
        <f t="shared" si="110"/>
        <v>0</v>
      </c>
      <c r="OZ84" s="844">
        <f t="shared" si="111"/>
        <v>0</v>
      </c>
      <c r="PA84" s="844">
        <f t="shared" si="112"/>
        <v>0</v>
      </c>
      <c r="PB84" s="3344">
        <f t="shared" si="123"/>
        <v>0</v>
      </c>
      <c r="PC84" s="3344">
        <f t="shared" si="124"/>
        <v>0</v>
      </c>
      <c r="PD84" s="3344">
        <f t="shared" si="113"/>
        <v>0</v>
      </c>
      <c r="PE84" s="3344">
        <f t="shared" si="114"/>
        <v>0</v>
      </c>
      <c r="PF84" s="3344">
        <f t="shared" si="115"/>
        <v>0</v>
      </c>
      <c r="PG84" s="3344">
        <f t="shared" si="116"/>
        <v>0</v>
      </c>
      <c r="PH84" s="3345">
        <f t="shared" si="117"/>
        <v>0</v>
      </c>
      <c r="PI84" s="3346">
        <f>outputs_oppsum[[#This Row],[total_stab_hr]]/$AI$80</f>
        <v>0</v>
      </c>
      <c r="PJ84" s="211" t="str">
        <f>IF(AND($GL$35=1,outputs_oppsum[[#This Row],[tverrslag_status]]&lt;&gt;1),$GR$67,$GK$11)</f>
        <v>Ikke relevant</v>
      </c>
      <c r="PK84" s="211">
        <f>IFERROR(outputs_oppsum[[#This Row],[prosjekt_forbe]]*$AI$80,0)</f>
        <v>0</v>
      </c>
      <c r="PL84" s="483" t="b">
        <f t="shared" si="118"/>
        <v>0</v>
      </c>
      <c r="PM84" s="483" t="b">
        <f t="shared" si="118"/>
        <v>0</v>
      </c>
      <c r="PN84" s="483" t="b">
        <f t="shared" si="118"/>
        <v>0</v>
      </c>
      <c r="PO84" s="3347" t="str">
        <f t="shared" si="118"/>
        <v>Ikke relevant</v>
      </c>
      <c r="PP84" s="844">
        <f>outputs_oppsum[[#This Row],[Forberedende]]*$AI$80</f>
        <v>0</v>
      </c>
      <c r="PQ84" s="844">
        <f>outputs_oppsum[[#This Row],[Portaler]]*$AI$80</f>
        <v>0</v>
      </c>
      <c r="PR84" s="483">
        <f>outputs_oppsum[[#This Row],[Andrearbeider]]*$AI$80</f>
        <v>0</v>
      </c>
      <c r="PS84" s="483">
        <f>IFERROR(outputs_oppsum[[#This Row],[total_forbe]]*$AI$80,0)</f>
        <v>0</v>
      </c>
      <c r="PT84" s="483" t="e">
        <f t="shared" si="77"/>
        <v>#VALUE!</v>
      </c>
      <c r="PU84" s="4230">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4" s="1820">
        <f>outputs_oppsum[[#This Row],[oppsum_drivetid_hr]]/$AI$80</f>
        <v>0</v>
      </c>
      <c r="PW84" s="1660"/>
      <c r="PX84" s="1821">
        <f>INDEX(tverr_connection_2[92],MATCH($BC$28,tverr_connection_2[config],0))</f>
        <v>0</v>
      </c>
      <c r="PY84" s="1822" t="str">
        <f>$I$90</f>
        <v>Tverrslaget</v>
      </c>
      <c r="PZ84" s="1664" t="str">
        <f>IFERROR(INDEX(outputs_tverrslag[Tverrslag construction time],MATCH(outputs_oppsum[[#This Row],[stuff_navn]],outputs_tverrslag[name],0)),"-")</f>
        <v>-</v>
      </c>
      <c r="QA84" s="1821">
        <f>$PU$84</f>
        <v>0</v>
      </c>
      <c r="QB84" s="1822">
        <f>$HI$66</f>
        <v>0</v>
      </c>
      <c r="QC84" s="1822">
        <f>$HJ$14</f>
        <v>0</v>
      </c>
      <c r="QD84" s="1823" t="str">
        <f>IFERROR(INDEX(outputs_tverrslag[forsink_perstuff_uker],MATCH(outputs_oppsum[[#This Row],[stuff_navn]],outputs_tverrslag[name],0)),"-")</f>
        <v>-</v>
      </c>
      <c r="QE84" s="1808" t="str">
        <f>IFERROR(INDEX(outputs_tverrslag[forsink_total_uker],MATCH(outputs_oppsum[[#This Row],[stuff_navn]],outputs_tverrslag[name],0)),"-")</f>
        <v>-</v>
      </c>
      <c r="QF84" s="1808" t="str">
        <f>IFERROR(INDEX(outputs_tverrslag[Kryssområdet_hr],MATCH(outputs_oppsum[[#This Row],[stuff_navn]],outputs_tverrslag[name],0)),"-")</f>
        <v>-</v>
      </c>
      <c r="QG84" s="1808" t="str">
        <f>IFERROR(INDEX(outputs_tverrslag[forsink_total_hr],MATCH(outputs_oppsum[[#This Row],[stuff_navn]],outputs_tverrslag[name],0)),"-")</f>
        <v>-</v>
      </c>
      <c r="QH84" s="1824">
        <f>SUMIF(outputs_oppsum[[#This Row],[kryssområdet_forberedende_hr2]:[extra_forsink_etter_tverrslag_total_hr]],"&lt;&gt;-")+SUMIF(outputs_oppsum[[#This Row],[tverrslag_tid]],"&lt;&gt;-")</f>
        <v>0</v>
      </c>
      <c r="QI84" s="334" t="str">
        <f>IF(OR(outputs_oppsum[[#This Row],[tverrslag_status_oppsum]]=$HI$55,outputs_oppsum[[#This Row],[tverrslag_status_oppsum]]=$I$90),$GR$67,"-")</f>
        <v>Ikke relevant</v>
      </c>
      <c r="QJ84" s="334">
        <f>IFERROR(outputs_oppsum[[#This Row],[extra_tverrslag_prosjekt_forarb_uke]]*$AI$80,0)</f>
        <v>0</v>
      </c>
      <c r="QK84" s="1824" t="str">
        <f>$PO$75</f>
        <v>Ikke relevant</v>
      </c>
      <c r="QL84" s="1827">
        <f>IFERROR(outputs_oppsum[[#This Row],[extra_tverrslag_forarb_uke]]*$AI$80,0)</f>
        <v>0</v>
      </c>
      <c r="QM84" s="1824" t="e">
        <f>$RA$75</f>
        <v>#N/A</v>
      </c>
      <c r="QN84" s="1827">
        <f>IFERROR(outputs_oppsum[[#This Row],[extra_tverrslag_just_uke]]*$AI$80,0)</f>
        <v>0</v>
      </c>
      <c r="QO84" s="483">
        <f>$GK$96</f>
        <v>0</v>
      </c>
      <c r="QP84" s="1828">
        <f>IFERROR(outputs_oppsum[[#This Row],[tverrslag_forsinkt_uke]]*$AI$80,0)</f>
        <v>0</v>
      </c>
      <c r="QQ84" s="3887">
        <f>IFERROR(outputs_oppsum[[#This Row],[tverrslag_tid_new]]+outputs_oppsum[[#This Row],[kryssområdet_forberedende_hr]]+outputs_oppsum[[#This Row],[total_prosjekt_uke]]+outputs_oppsum[[#This Row],[extra_tverrslag_forarb_hr]]++outputs_oppsum[[#This Row],[extra_tverrslag_just_hr]]+outputs_oppsum[[#This Row],[tverrslag_forsinkt_hr]],0)</f>
        <v>0</v>
      </c>
      <c r="QR84" s="1809">
        <f>IFERROR(IF(outputs_oppsum[[#This Row],[tverrslag_status_oppsum]]=$I$90,outputs_oppsum[[#This Row],[kryssområdet_forberedende_hr]],IF(outputs_oppsum[[#This Row],[tverrslag_status]]=1,outputs_oppsum[[#This Row],[tverrslag_total_hr]],0)),0)</f>
        <v>0</v>
      </c>
      <c r="QS84" s="1666" t="e">
        <f>INDEX(outputs_just[general_tid],MATCH(outputs_oppsum[[#This Row],[stuff_navn]],outputs_just[Navn],0))</f>
        <v>#N/A</v>
      </c>
      <c r="QT84" s="1825" t="e">
        <f>INDEX(outputs_just[geo_tid],MATCH(outputs_oppsum[[#This Row],[stuff_navn]],outputs_just[Navn],0))</f>
        <v>#N/A</v>
      </c>
      <c r="QU84" s="1825" t="e">
        <f>INDEX(outputs_just[stig_tid],MATCH(outputs_oppsum[[#This Row],[stuff_navn]],outputs_just[Navn],0))</f>
        <v>#N/A</v>
      </c>
      <c r="QV84" s="1825" t="e">
        <f>INDEX(outputs_just[arb_tid],MATCH(outputs_oppsum[[#This Row],[stuff_navn]],outputs_just[Navn],0))</f>
        <v>#N/A</v>
      </c>
      <c r="QW84" s="1825" t="e">
        <f>INDEX(outputs_just[spreng_tid],MATCH(outputs_oppsum[[#This Row],[stuff_navn]],outputs_just[Navn],0))</f>
        <v>#N/A</v>
      </c>
      <c r="QX84" s="1825" t="e">
        <f>INDEX(outputs_just[skyte_tid],MATCH(outputs_oppsum[[#This Row],[stuff_navn]],outputs_just[Navn],0))</f>
        <v>#N/A</v>
      </c>
      <c r="QY84" s="1825" t="e">
        <f>INDEX(outputs_just[støy_tid],MATCH(outputs_oppsum[[#This Row],[stuff_navn]],outputs_just[Navn],0))</f>
        <v>#N/A</v>
      </c>
      <c r="QZ84" s="1825" t="e">
        <f>INDEX(outputs_just[ann_tid],MATCH(outputs_oppsum[[#This Row],[stuff_navn]],outputs_just[Navn],0))</f>
        <v>#N/A</v>
      </c>
      <c r="RA84" s="483" t="e">
        <f>SUM(outputs_oppsum[[#This Row],[just_generell]:[just_ann]])</f>
        <v>#N/A</v>
      </c>
      <c r="RB84" s="1825" t="e">
        <f>outputs_oppsum[[#This Row],[just_total_uke]]*$AI$80</f>
        <v>#N/A</v>
      </c>
      <c r="RC84" s="483">
        <f>INDEX(inputs_forsinket[tid_uke],MATCH(outputs_oppsum[[#This Row],[stuff_navn]],inputs_forsinket[name],0))</f>
        <v>0</v>
      </c>
      <c r="RD84" s="1826">
        <f>outputs_oppsum[[#This Row],[forsinket_uke]]*$AI$80</f>
        <v>0</v>
      </c>
      <c r="RE84" s="489">
        <f t="shared" si="119"/>
        <v>1</v>
      </c>
      <c r="RF84" s="483" t="str">
        <f>IF(RE84=1,_List!$AW$7,IF(RE84=2,_List!$AW$8,""))</f>
        <v>Enstuffs drift</v>
      </c>
      <c r="RG84" s="431" t="str">
        <f>IF(outputs_oppsum[[#This Row],[kon_metod_no]]=2,INDEX(framdriftfaktor[stab-foran_spreng_ratio],MATCH(outputs_oppsum[[#This Row],[stuff_id]],framdriftfaktor[stuff_id],0)),"-")</f>
        <v>-</v>
      </c>
      <c r="RH84" s="5283">
        <f>IF(outputs_oppsum[[#This Row],[kon_metod_no]]=2,INDEX(framdriftfaktor[beregnet_faktor_final],MATCH(outputs_oppsum[[#This Row],[stuff_id]],framdriftfaktor[stuff_id],0)),1)</f>
        <v>1</v>
      </c>
      <c r="RI84" s="5269" t="str">
        <f>IF(outputs_oppsum[[#This Row],[kon_metod]]=_List!$AW$8,INDEX(outputs_just[vek_faktor_bruker_definert_status],MATCH(outputs_oppsum[[#This Row],[stuff_navn]],outputs_just[Navn],0)),"")</f>
        <v/>
      </c>
      <c r="RJ84" s="5269" t="e">
        <f>IF(AND(outputs_oppsum[[#This Row],[kon_metod_no]]&lt;&gt;1,LP129=FALSE),LO129,"-")</f>
        <v>#N/A</v>
      </c>
      <c r="RK84" s="5269">
        <f>IF(AND(outputs_oppsum[[#This Row],[kon_metod_no]]=2,outputs_oppsum[[#This Row],[tverrslag_status_oppsum]]&lt;&gt;$I$90,outputs_oppsum[[#This Row],[faktor_bruker_definert]]=FALSE),outputs_oppsum[[#This Row],[faktor_user]],outputs_oppsum[[#This Row],[faktor_beregnet]])</f>
        <v>1</v>
      </c>
      <c r="RL84" s="1807">
        <f>IFERROR((outputs_oppsum[[#This Row],[faktor_final]]-1)*outputs_oppsum[[#This Row],[oppsum_drivetid_hr]]*outputs_oppsum[[#This Row],[veksel_prosent]],"-")</f>
        <v>0</v>
      </c>
      <c r="RM84" s="1807" t="str">
        <f>IF(outputs_oppsum[[#This Row],[kon_metod_no]]=2,outputs_oppsum[[#This Row],[ekstra_framdrift_tid_oppsum_hr]]/$AI$80,"-")</f>
        <v>-</v>
      </c>
      <c r="RN84" s="431" t="str">
        <f>IF(outputs_oppsum[[#This Row],[kon_metod_no]]=2,outputs_oppsum[[#This Row],[ekstra_drivetid_pga_faktor]],"-")</f>
        <v>-</v>
      </c>
      <c r="RO84" s="483">
        <f>IFERROR(outputs_oppsum[[#This Row],[oppsum_drivetid_hr]]+outputs_oppsum[[#This Row],[ekstra_drivetid_pga_faktor]],"-")</f>
        <v>0</v>
      </c>
      <c r="RP84"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4" s="5276">
        <f>IF(outputs_oppsum[[#This Row],[enstuff_prosent_input]]&gt;1,1,outputs_oppsum[[#This Row],[enstuff_prosent_input]])</f>
        <v>1</v>
      </c>
      <c r="RR84"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4" s="844"/>
      <c r="RT84" s="844"/>
      <c r="RU84" s="844"/>
      <c r="RV84" s="844"/>
      <c r="RW84" s="483" t="str">
        <f>IFERROR(outputs_oppsum[[#This Row],[drivetid_with_faktor]]+outputs_oppsum[[#This Row],[prosjekt_forbe_hr]]+outputs_oppsum[[#This Row],[total_forbe_hr]]+outputs_oppsum[[#This Row],[extra_for_tverrslag_sum]]+outputs_oppsum[[#This Row],[just_total_hr]]+outputs_oppsum[[#This Row],[forsinket_hr]],"!")</f>
        <v>!</v>
      </c>
      <c r="RX84" s="483" t="str">
        <f>IFERROR(outputs_oppsum[[#This Row],[oppsum_total_hr]]/$AI$80,"!")</f>
        <v>!</v>
      </c>
      <c r="RY84" s="483" t="str">
        <f>IF(MAX($RX$76:$RX$84)=outputs_oppsum[[#This Row],[oppsum_total_uke]],MAX($RX$76:$RX$84),"-")</f>
        <v>-</v>
      </c>
      <c r="RZ84" s="483" t="str">
        <f>IF(AND(ISNUMBER(outputs_oppsum[[#This Row],[Criticalstuff]]),$BC$34&lt;&gt;1,outputs_oppsum[[#This Row],[Criticalstuff]]&gt;0),$RZ$63,"")</f>
        <v/>
      </c>
      <c r="SA84" s="837"/>
      <c r="SB84" s="837"/>
      <c r="SC84" s="837"/>
      <c r="SD84" s="837"/>
      <c r="SE84" s="3521"/>
      <c r="SF84" s="3521"/>
      <c r="SG84" s="2617"/>
      <c r="SH84" s="3886"/>
      <c r="SI84" s="3886"/>
      <c r="SJ84" s="3886"/>
      <c r="SK84" s="3886"/>
      <c r="SL84" s="3886"/>
      <c r="SR84" s="2617"/>
      <c r="SS84" s="2617"/>
      <c r="ST84" s="2617"/>
      <c r="SU84" s="2617"/>
      <c r="SV84" s="2617"/>
      <c r="SW84" s="2617"/>
      <c r="SX84" s="2617"/>
      <c r="SY84" s="2617"/>
      <c r="SZ84" s="2617"/>
      <c r="TA84" s="2617"/>
      <c r="TB84" s="2617"/>
      <c r="TC84" s="2617"/>
      <c r="TD84" s="2617"/>
      <c r="TR84" s="183"/>
      <c r="TW84" s="181"/>
      <c r="TX84" s="183"/>
      <c r="TY84" s="183"/>
      <c r="TZ84" s="183"/>
      <c r="UA84" s="183"/>
      <c r="UC84" s="181"/>
      <c r="UD84" s="181"/>
      <c r="UE84" s="181"/>
      <c r="UF84" s="181"/>
      <c r="UK84" s="183"/>
      <c r="UL84" s="183"/>
      <c r="UM84" s="183"/>
      <c r="UN84" s="183"/>
      <c r="UO84" s="183"/>
      <c r="UQ84" s="184"/>
      <c r="US84" s="183"/>
      <c r="UT84" s="183"/>
      <c r="UU84" s="2617"/>
      <c r="UV84" s="2617"/>
      <c r="UW84" s="2617"/>
      <c r="UX84" s="2617"/>
      <c r="UY84" s="2617"/>
      <c r="UZ84" s="2617"/>
      <c r="VA84" s="2617"/>
      <c r="VB84" s="2617"/>
      <c r="VC84" s="2617"/>
      <c r="VD84" s="2617"/>
      <c r="VE84" s="2617"/>
      <c r="VF84"/>
      <c r="VG84" s="2617"/>
      <c r="VH84" s="2617"/>
      <c r="VI84" s="2617"/>
      <c r="VJ84" s="2617"/>
      <c r="VK84" s="2617"/>
      <c r="VL84" s="2617"/>
      <c r="VM84" s="2617"/>
      <c r="VN84" s="2617"/>
      <c r="VO84" s="2617"/>
      <c r="VP84" s="2617"/>
      <c r="VQ84" s="2617"/>
      <c r="VR84" s="2617"/>
      <c r="VS84" s="2617"/>
      <c r="VT84" s="2617"/>
      <c r="VU84" s="2617"/>
      <c r="VV84" s="2617"/>
      <c r="VW84" s="2617"/>
      <c r="VX84" s="2617"/>
      <c r="VY84" s="2617"/>
      <c r="VZ84" s="2617"/>
      <c r="WA84" s="2617"/>
      <c r="WB84" s="2617"/>
      <c r="WC84" s="2617"/>
      <c r="WD84" s="2617"/>
      <c r="WE84" s="2617"/>
      <c r="WF84" s="2617"/>
      <c r="WG84" s="2617"/>
      <c r="WH84" s="2617"/>
      <c r="WI84" s="2617"/>
      <c r="WJ84" s="2617"/>
      <c r="WK84" s="2617"/>
      <c r="WL84" s="2617"/>
      <c r="WM84" s="2617"/>
      <c r="WN84" s="2617"/>
      <c r="WO84" s="2617"/>
      <c r="WP84" s="2617"/>
      <c r="WQ84" s="2617"/>
      <c r="WR84" s="2617"/>
      <c r="WS84" s="2617"/>
      <c r="WT84" s="2617"/>
      <c r="WU84" s="2617"/>
      <c r="WV84" s="2617"/>
      <c r="WW84" s="2617"/>
      <c r="WX84" s="2617"/>
      <c r="WY84" s="1754"/>
      <c r="WZ84" s="1754"/>
      <c r="XA84" s="1754"/>
      <c r="XB84" s="1754"/>
      <c r="XC84" s="1754"/>
      <c r="XD84" s="1754"/>
      <c r="XE84" s="1754"/>
      <c r="XF84" s="1754"/>
      <c r="XG84" s="1754"/>
      <c r="XH84" s="1754"/>
      <c r="XI84" s="1754"/>
      <c r="XJ84" s="1754"/>
      <c r="XK84" s="1754"/>
      <c r="XL84" s="265"/>
      <c r="XM84" s="265"/>
      <c r="XN84" s="265"/>
      <c r="XO84" s="265"/>
      <c r="XP84" s="265"/>
      <c r="XQ84" s="265"/>
      <c r="XR84" s="265"/>
      <c r="XS84" s="265"/>
      <c r="XT84" s="265"/>
      <c r="XU84" s="265"/>
    </row>
    <row r="85" spans="9:645" ht="15.75" thickTop="1" thickBot="1" x14ac:dyDescent="0.25">
      <c r="I85" s="185"/>
      <c r="J85" s="185"/>
      <c r="K85" s="185"/>
      <c r="L85" s="185"/>
      <c r="M85" s="185"/>
      <c r="N85" s="185"/>
      <c r="O85" s="185"/>
      <c r="AH85" s="1172" t="s">
        <v>151</v>
      </c>
      <c r="AI85" s="194">
        <v>101</v>
      </c>
      <c r="AL85" s="181"/>
      <c r="AM85" s="181"/>
      <c r="AN85" s="181"/>
      <c r="AO85" s="181"/>
      <c r="AP85" s="181"/>
      <c r="AQ85" s="181"/>
      <c r="AR85" s="181"/>
      <c r="AS85" s="181"/>
      <c r="AT85" s="181"/>
      <c r="AU85" s="2617"/>
      <c r="AV85" s="2617"/>
      <c r="BB85" s="292" t="s">
        <v>344</v>
      </c>
      <c r="BC85" s="278"/>
      <c r="BD85" s="278"/>
      <c r="BE85" s="278"/>
      <c r="BF85" s="293"/>
      <c r="GH85" s="414"/>
      <c r="GL85" s="2617"/>
      <c r="GM85" s="2617"/>
      <c r="HH85" s="185">
        <f>Tunneldrift!M69</f>
        <v>0</v>
      </c>
      <c r="HI85" s="185">
        <f>Tunneldrift!AD69</f>
        <v>0</v>
      </c>
      <c r="IH85" s="1763">
        <v>9</v>
      </c>
      <c r="II85" s="1761" t="e">
        <f t="shared" ref="II85:IJ85" si="134">II26</f>
        <v>#N/A</v>
      </c>
      <c r="IJ85" s="1761" t="b">
        <f t="shared" si="134"/>
        <v>1</v>
      </c>
      <c r="IK85" s="5944" t="e">
        <f t="shared" si="120"/>
        <v>#N/A</v>
      </c>
      <c r="IL85" s="1761" t="e">
        <f t="shared" si="126"/>
        <v>#N/A</v>
      </c>
      <c r="IM85" s="1763"/>
      <c r="IN85" s="1761" t="str">
        <f>IF(utskrift_just[[#This Row],[general_svar_id]]=1,"Ja","Nei")</f>
        <v>Nei</v>
      </c>
      <c r="IO85" s="1811">
        <f t="shared" si="127"/>
        <v>0</v>
      </c>
      <c r="IP85" s="3700" t="str">
        <f>IF(utskrift_just[[#This Row],[general_svar_id]]=1,IP26,"-")</f>
        <v>-</v>
      </c>
      <c r="IQ85" s="1811" t="str">
        <f>IF(utskrift_just[[#This Row],[general_svar_id]]=1,IQ26,"")</f>
        <v/>
      </c>
      <c r="IR85" s="1811" t="str">
        <f>IF(utskrift_just[[#This Row],[general_svar_id]]=2,IR26,"Nei")</f>
        <v>Nei</v>
      </c>
      <c r="IS85" s="3700" t="str">
        <f>IF(AND(utskrift_just[[#This Row],[general_svar_id]]=2,utskrift_just[[#This Row],[geo_svar]]="Ja"),IS26,"-")</f>
        <v>-</v>
      </c>
      <c r="IT85" s="1811" t="str">
        <f>IF(AND(utskrift_just[[#This Row],[general_svar_id]]=2,utskrift_just[[#This Row],[geo_svar]]="Ja"),IT26,"-")</f>
        <v>-</v>
      </c>
      <c r="IU85" s="1811" t="str">
        <f>IF(utskrift_just[[#This Row],[general_svar_id]]=2,IU26,"Nei")</f>
        <v>Nei</v>
      </c>
      <c r="IV85" s="3700" t="str">
        <f>IF(AND(utskrift_just[[#This Row],[general_svar_id]]=2,utskrift_just[[#This Row],[stig_svar]]="Ja"),IV26,"-")</f>
        <v>-</v>
      </c>
      <c r="IW85" s="1811" t="str">
        <f>IF(AND(utskrift_just[[#This Row],[general_svar_id]]=2,utskrift_just[[#This Row],[stig_svar]]="Ja"),IW26,"-")</f>
        <v>-</v>
      </c>
      <c r="IX85" s="1811" t="str">
        <f>IF(utskrift_just[[#This Row],[general_svar_id]]=2,IX26,"Nei")</f>
        <v>Nei</v>
      </c>
      <c r="IY85" s="3700" t="str">
        <f>IF(AND(utskrift_just[[#This Row],[general_svar_id]]=2,utskrift_just[[#This Row],[arb_svar]]="Ja"),IY26,"-")</f>
        <v>-</v>
      </c>
      <c r="IZ85" s="1811" t="str">
        <f>IF(AND(utskrift_just[[#This Row],[general_svar_id]]=2,utskrift_just[[#This Row],[arb_svar]]="Ja"),IZ26,"-")</f>
        <v>-</v>
      </c>
      <c r="JA85" s="1811" t="str">
        <f>IF(utskrift_just[[#This Row],[general_svar_id]]=2,JA26,"Nei")</f>
        <v>Nei</v>
      </c>
      <c r="JB85" s="3700" t="str">
        <f>IF(AND(utskrift_just[[#This Row],[general_svar_id]]=2,utskrift_just[[#This Row],[spreng_svar]]="Ja"),JB26,"-")</f>
        <v>-</v>
      </c>
      <c r="JC85" s="1811" t="str">
        <f>IF(AND(utskrift_just[[#This Row],[general_svar_id]]=2,utskrift_just[[#This Row],[spreng_svar]]="Ja"),JC26,"-")</f>
        <v>-</v>
      </c>
      <c r="JD85" s="1811" t="str">
        <f>IF(utskrift_just[[#This Row],[general_svar_id]]=2,JD26,"Nei")</f>
        <v>Nei</v>
      </c>
      <c r="JE85" s="3700" t="str">
        <f>IF(AND(utskrift_just[[#This Row],[general_svar_id]]=2,utskrift_just[[#This Row],[skyte_svar]]="Ja"),JE26,"-")</f>
        <v>-</v>
      </c>
      <c r="JF85" s="1811" t="str">
        <f>IF(AND(utskrift_just[[#This Row],[general_svar_id]]=2,utskrift_just[[#This Row],[skyte_svar]]="Ja"),JF26,"-")</f>
        <v>-</v>
      </c>
      <c r="JG85" s="1811" t="str">
        <f>IF(utskrift_just[[#This Row],[general_svar_id]]=2,JG26,"Nei")</f>
        <v>Nei</v>
      </c>
      <c r="JH85" s="3700" t="str">
        <f>IF(AND(utskrift_just[[#This Row],[general_svar_id]]=2,utskrift_just[[#This Row],[støy_svar]]="Ja"),JH26,"-")</f>
        <v>-</v>
      </c>
      <c r="JI85" s="1811" t="str">
        <f>IF(AND(utskrift_just[[#This Row],[general_svar_id]]=2,utskrift_just[[#This Row],[støy_svar]]="Ja"),JI26,"-")</f>
        <v>-</v>
      </c>
      <c r="JJ85" s="1811" t="str">
        <f>IF(utskrift_just[[#This Row],[general_svar_id]]=2,JJ26,"Nei")</f>
        <v>Nei</v>
      </c>
      <c r="JK85" s="3700" t="str">
        <f>IF(AND(utskrift_just[[#This Row],[general_svar_id]]=2,utskrift_just[[#This Row],[ann_svar]]="Ja"),JK26,"-")</f>
        <v>-</v>
      </c>
      <c r="JL85" s="1811" t="str">
        <f>IF(AND(utskrift_just[[#This Row],[general_svar_id]]=2,utskrift_just[[#This Row],[ann_svar]]="Ja"),JL26,"-")</f>
        <v>-</v>
      </c>
      <c r="JM85" s="2633">
        <f>IF(JW66=1,_List!$EG$7,IFERROR(utskrift_just[[#This Row],[general_tid]]+utskrift_just[[#This Row],[geo_tid]]+utskrift_just[[#This Row],[stig_tid]]+utskrift_just[[#This Row],[arb_tid]]+utskrift_just[[#This Row],[spreng_tid]]+utskrift_just[[#This Row],[skyte_tid]]+utskrift_just[[#This Row],[støy_tid]]+utskrift_just[[#This Row],[ann_tid]],0))</f>
        <v>0</v>
      </c>
      <c r="JN85" s="1812" t="str">
        <f>IFERROR((INDEX(oppsum_position[Name],MATCH(utskrift_just[[#This Row],[position]],oppsum_position[Position],0))),"")</f>
        <v/>
      </c>
      <c r="JO85" s="1814">
        <v>9</v>
      </c>
      <c r="JP85" s="1814">
        <f>$BC$36</f>
        <v>0</v>
      </c>
      <c r="JQ85" s="1814">
        <f>INDEX(outputs_position[Tverrslag],MATCH($BC$35,outputs_position[lopstuff],0))</f>
        <v>0</v>
      </c>
      <c r="KO85" s="407">
        <f t="shared" ref="KO85:KO111" si="135">NN67</f>
        <v>11</v>
      </c>
      <c r="KP85" s="340" t="str">
        <f>$QO$135</f>
        <v>Stuff 1-1</v>
      </c>
      <c r="KQ85" s="5948" t="str">
        <f>IFERROR(INDEX(tunneldrift_vekseldrift[vekseldrift_lengde_final],MATCH(framdriftfaktor[[#This Row],[stuff_navn]],tunneldrift_vekseldrift[Stuff_navn],0))/INDEX(tunneldrift_vekseldrift[Input_stuff_lengde],MATCH(framdriftfaktor[[#This Row],[stuff_navn]],tunneldrift_vekseldrift[Stuff_navn],0)),"-")</f>
        <v>-</v>
      </c>
      <c r="KR85" s="340"/>
      <c r="KS85" s="241" t="str">
        <f t="shared" ref="KS85:KS111" si="136">NV67</f>
        <v>-</v>
      </c>
      <c r="KT85" s="241" t="str">
        <f t="shared" ref="KT85:KT111" si="137">PH67</f>
        <v>-</v>
      </c>
      <c r="KU85" s="241" t="str">
        <f t="shared" ref="KU85:KU111" si="138">OI67</f>
        <v>-</v>
      </c>
      <c r="KV85" s="211" t="str">
        <f>IFERROR(framdriftfaktor[[#This Row],[sprengning_tid_hr]]*framdriftfaktor[[#This Row],[veksel_prosent]],"-")</f>
        <v>-</v>
      </c>
      <c r="KW85" s="211" t="str">
        <f>IFERROR(framdriftfaktor[[#This Row],[stabilitets_tid_hr]]*framdriftfaktor[[#This Row],[veksel_prosent]],"-")</f>
        <v>-</v>
      </c>
      <c r="KX85" s="211" t="str">
        <f>IFERROR(framdriftfaktor[[#This Row],[foran_tid_hr]]*framdriftfaktor[[#This Row],[veksel_prosent]],"-")</f>
        <v>-</v>
      </c>
      <c r="KY85" s="5346">
        <f>IFERROR((framdriftfaktor[[#This Row],[stabilitets_tid_hr_veksel_del]]+framdriftfaktor[[#This Row],[foran_tid_hr_veksel_del]]+KW89+KX89)/(framdriftfaktor[[#This Row],[sprengning_tid_hr_veksel_del]]+KV89),0)</f>
        <v>0</v>
      </c>
      <c r="KZ85" s="5346"/>
      <c r="LA85" s="5345" t="str">
        <f>IF(framdriftfaktor[[#This Row],[stab-foran_spreng_ratio]]&lt;$LL$90,$LJ$90,IF(AND(framdriftfaktor[[#This Row],[stab-foran_spreng_ratio]]&gt;=$LK$91,framdriftfaktor[[#This Row],[stab-foran_spreng_ratio]]&lt;$LL$91),$LJ$91,IF(framdriftfaktor[[#This Row],[stab-foran_spreng_ratio]]&gt;=$LK$92,$LJ$92,"!")))</f>
        <v>Lite</v>
      </c>
      <c r="LB85" s="5346">
        <f>IF(framdriftfaktor[[#This Row],[rating_stab-foran]]=$LJ$90,$LM$90+$LO$90*framdriftfaktor[[#This Row],[stab-foran_spreng_ratio]],IF(framdriftfaktor[[#This Row],[rating_stab-foran]]=$LJ$91,$LM$91+((framdriftfaktor[[#This Row],[stab-foran_spreng_ratio]]-$LK$91)*$LO$91),IF(framdriftfaktor[[#This Row],[rating_stab-foran]]=$LJ$92,$LM$92)))</f>
        <v>1.3</v>
      </c>
      <c r="LC85" s="5345">
        <f>framdriftfaktor[[#This Row],[beregnet_faktor_stab-foran]]</f>
        <v>1.3</v>
      </c>
      <c r="LD85" s="5347"/>
      <c r="LJ85" s="433" t="s">
        <v>2309</v>
      </c>
      <c r="NI85" s="1567"/>
      <c r="NN85" s="443" t="s">
        <v>1154</v>
      </c>
      <c r="NO85" s="475" t="str">
        <f>$QO$135</f>
        <v>Stuff 1-1</v>
      </c>
      <c r="NP85" s="431">
        <f t="shared" ref="NP85:OL85" si="139">IF($BC$38=1,NP67,IF($BC$38=2,NP76))</f>
        <v>0</v>
      </c>
      <c r="NQ85" s="431">
        <f t="shared" si="139"/>
        <v>0</v>
      </c>
      <c r="NR85" s="431">
        <f t="shared" si="139"/>
        <v>0</v>
      </c>
      <c r="NS85" s="431">
        <f t="shared" si="139"/>
        <v>0</v>
      </c>
      <c r="NT85" s="431">
        <f t="shared" si="139"/>
        <v>0</v>
      </c>
      <c r="NU85" s="431">
        <f t="shared" si="139"/>
        <v>0</v>
      </c>
      <c r="NV85" s="431">
        <f t="shared" si="139"/>
        <v>0</v>
      </c>
      <c r="NW85" s="431">
        <f t="shared" si="139"/>
        <v>0</v>
      </c>
      <c r="NX85" s="431">
        <f t="shared" si="139"/>
        <v>0</v>
      </c>
      <c r="NY85" s="431">
        <f t="shared" si="139"/>
        <v>0</v>
      </c>
      <c r="NZ85" s="431">
        <f t="shared" si="139"/>
        <v>0</v>
      </c>
      <c r="OA85" s="431">
        <f t="shared" si="139"/>
        <v>0</v>
      </c>
      <c r="OB85" s="431">
        <f t="shared" si="139"/>
        <v>0</v>
      </c>
      <c r="OC85" s="431">
        <f t="shared" si="139"/>
        <v>0</v>
      </c>
      <c r="OD85" s="431">
        <f t="shared" si="139"/>
        <v>0</v>
      </c>
      <c r="OE85" s="431">
        <f t="shared" si="139"/>
        <v>0</v>
      </c>
      <c r="OF85" s="431">
        <f t="shared" si="139"/>
        <v>0</v>
      </c>
      <c r="OG85" s="431">
        <f t="shared" si="139"/>
        <v>0</v>
      </c>
      <c r="OH85" s="431">
        <f t="shared" si="139"/>
        <v>0</v>
      </c>
      <c r="OI85" s="431">
        <f t="shared" si="139"/>
        <v>0</v>
      </c>
      <c r="OJ85" s="431">
        <f t="shared" si="139"/>
        <v>0</v>
      </c>
      <c r="OK85" s="431">
        <f t="shared" si="139"/>
        <v>0</v>
      </c>
      <c r="OL85" s="431">
        <f t="shared" si="139"/>
        <v>0</v>
      </c>
      <c r="OM85" s="431">
        <f t="shared" ref="OM85:OM93" si="140">EX185</f>
        <v>0</v>
      </c>
      <c r="ON85" s="431">
        <f t="shared" ref="ON85:ON93" si="141">EY185</f>
        <v>0</v>
      </c>
      <c r="OO85" s="431">
        <f t="shared" ref="OO85:OO93" si="142">EZ185+FH185+FJ185+FO185+FR185</f>
        <v>0</v>
      </c>
      <c r="OP85" s="431">
        <f t="shared" ref="OP85:OP93" si="143">FA185+FI185+FK185+FP185+FS185</f>
        <v>0</v>
      </c>
      <c r="OQ85" s="431">
        <f>FB185</f>
        <v>0</v>
      </c>
      <c r="OR85" s="431">
        <f>FC185</f>
        <v>0</v>
      </c>
      <c r="OS85" s="431">
        <f>FD185</f>
        <v>0</v>
      </c>
      <c r="OT85" s="431">
        <f>FE185</f>
        <v>0</v>
      </c>
      <c r="OU85" s="431">
        <f t="shared" ref="OU85:OV85" si="144">FF185</f>
        <v>0</v>
      </c>
      <c r="OV85" s="431">
        <f t="shared" si="144"/>
        <v>0</v>
      </c>
      <c r="OW85" s="431"/>
      <c r="OX85" s="431">
        <f t="shared" ref="OX85:OX93" si="145">FL185+FQ185</f>
        <v>0</v>
      </c>
      <c r="OY85" s="431">
        <f t="shared" ref="OY85:OY93" si="146">FM185+FN185</f>
        <v>0</v>
      </c>
      <c r="OZ85" s="431">
        <f t="shared" ref="OZ85:OZ93" si="147">FT185</f>
        <v>0</v>
      </c>
      <c r="PA85" s="431">
        <f t="shared" ref="PA85:PA93" si="148">FU185</f>
        <v>0</v>
      </c>
      <c r="PB85" s="3349">
        <f>outputs_oppsum[[#This Row],[manuell]]+outputs_oppsum[[#This Row],[kartlegging]]</f>
        <v>0</v>
      </c>
      <c r="PC85" s="3349">
        <f>outputs_oppsum[[#This Row],[lt4m]]+outputs_oppsum[[#This Row],[gt4m]]</f>
        <v>0</v>
      </c>
      <c r="PD85" s="3349">
        <f>outputs_oppsum[[#This Row],[bergbånd]]+outputs_oppsum[[#This Row],[nett]]+outputs_oppsum[[#This Row],[bergbånd_ekstra]]+outputs_oppsum[[#This Row],[festebolter_for_bergbånd]]+outputs_oppsum[[#This Row],[festebolter_for_nett]]+outputs_oppsum[[#This Row],[sprøytebetong_ved_nett]]</f>
        <v>0</v>
      </c>
      <c r="PE85" s="3349">
        <f>outputs_oppsum[[#This Row],[sprøytebetong]]</f>
        <v>0</v>
      </c>
      <c r="PF85" s="3349">
        <f>outputs_oppsum[[#This Row],[buer]]</f>
        <v>0</v>
      </c>
      <c r="PG85" s="3349">
        <f>outputs_oppsum[[#This Row],[sik123]]+outputs_oppsum[[#This Row],[sik4]]</f>
        <v>0</v>
      </c>
      <c r="PH85" s="3349">
        <f>outputs_oppsum[[#This Row],[total_man]]+outputs_oppsum[[#This Row],[total_bolt]]+outputs_oppsum[[#This Row],[total_bånd_og_nett]]+outputs_oppsum[[#This Row],[total_shot]]+outputs_oppsum[[#This Row],[total_buer]]+outputs_oppsum[[#This Row],[total_sik]]</f>
        <v>0</v>
      </c>
      <c r="PI85" s="3349">
        <f>outputs_oppsum[[#This Row],[total_stab_hr]]/$AI$80</f>
        <v>0</v>
      </c>
      <c r="PJ85" s="431" t="str">
        <f t="shared" ref="PJ85:PT85" si="149">IF($BC$38=1,PJ67,IF($BC$38=2,PJ76))</f>
        <v>Ikke relevant</v>
      </c>
      <c r="PK85" s="431">
        <f t="shared" si="149"/>
        <v>0</v>
      </c>
      <c r="PL85" s="431" t="b">
        <f t="shared" si="149"/>
        <v>0</v>
      </c>
      <c r="PM85" s="431" t="b">
        <f t="shared" si="149"/>
        <v>0</v>
      </c>
      <c r="PN85" s="431" t="b">
        <f t="shared" si="149"/>
        <v>0</v>
      </c>
      <c r="PO85" s="431" t="str">
        <f t="shared" si="149"/>
        <v>Ikke relevant</v>
      </c>
      <c r="PP85" s="431">
        <f t="shared" si="149"/>
        <v>0</v>
      </c>
      <c r="PQ85" s="431">
        <f t="shared" si="149"/>
        <v>0</v>
      </c>
      <c r="PR85" s="431">
        <f t="shared" si="149"/>
        <v>0</v>
      </c>
      <c r="PS85" s="431">
        <f t="shared" si="149"/>
        <v>0</v>
      </c>
      <c r="PT85" s="431" t="e">
        <f t="shared" si="149"/>
        <v>#VALUE!</v>
      </c>
      <c r="PU85" s="845">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5" s="1656">
        <f>outputs_oppsum[[#This Row],[oppsum_drivetid_hr]]/$AI$80</f>
        <v>0</v>
      </c>
      <c r="PW85" s="1807"/>
      <c r="PX85" s="431">
        <f t="shared" ref="PX85:RF85" si="150">IF($BC$38=1,PX67,IF($BC$38=2,PX76))</f>
        <v>0</v>
      </c>
      <c r="PY85" s="431" t="str">
        <f t="shared" si="150"/>
        <v>Ikke påvirket</v>
      </c>
      <c r="PZ85" s="431" t="str">
        <f t="shared" si="150"/>
        <v>-</v>
      </c>
      <c r="QA85" s="431" t="str">
        <f t="shared" si="150"/>
        <v>-</v>
      </c>
      <c r="QB85" s="431" t="str">
        <f t="shared" si="150"/>
        <v>-</v>
      </c>
      <c r="QC85" s="431" t="str">
        <f t="shared" si="150"/>
        <v>-</v>
      </c>
      <c r="QD85" s="431" t="str">
        <f t="shared" si="150"/>
        <v>-</v>
      </c>
      <c r="QE85" s="431" t="str">
        <f t="shared" si="150"/>
        <v>-</v>
      </c>
      <c r="QF85" s="431" t="str">
        <f t="shared" si="150"/>
        <v>-</v>
      </c>
      <c r="QG85" s="431" t="str">
        <f t="shared" si="150"/>
        <v>-</v>
      </c>
      <c r="QH85" s="431">
        <f t="shared" si="150"/>
        <v>0</v>
      </c>
      <c r="QI85" s="431" t="str">
        <f t="shared" si="150"/>
        <v>-</v>
      </c>
      <c r="QJ85" s="431">
        <f t="shared" si="150"/>
        <v>0</v>
      </c>
      <c r="QK85" s="431" t="str">
        <f t="shared" si="150"/>
        <v>-</v>
      </c>
      <c r="QL85" s="431">
        <f t="shared" si="150"/>
        <v>0</v>
      </c>
      <c r="QM85" s="431" t="str">
        <f t="shared" si="150"/>
        <v>-</v>
      </c>
      <c r="QN85" s="431">
        <f t="shared" si="150"/>
        <v>0</v>
      </c>
      <c r="QO85" s="431" t="str">
        <f t="shared" si="150"/>
        <v>-</v>
      </c>
      <c r="QP85" s="431">
        <f t="shared" si="150"/>
        <v>0</v>
      </c>
      <c r="QQ85" s="431">
        <f t="shared" si="150"/>
        <v>0</v>
      </c>
      <c r="QR85" s="431">
        <f t="shared" si="150"/>
        <v>0</v>
      </c>
      <c r="QS85" s="431" t="b">
        <f t="shared" si="150"/>
        <v>0</v>
      </c>
      <c r="QT85" s="431" t="b">
        <f t="shared" si="150"/>
        <v>0</v>
      </c>
      <c r="QU85" s="431" t="b">
        <f t="shared" si="150"/>
        <v>0</v>
      </c>
      <c r="QV85" s="431" t="b">
        <f t="shared" si="150"/>
        <v>0</v>
      </c>
      <c r="QW85" s="431" t="b">
        <f t="shared" si="150"/>
        <v>0</v>
      </c>
      <c r="QX85" s="431" t="b">
        <f t="shared" si="150"/>
        <v>0</v>
      </c>
      <c r="QY85" s="431" t="b">
        <f t="shared" si="150"/>
        <v>0</v>
      </c>
      <c r="QZ85" s="431" t="b">
        <f t="shared" si="150"/>
        <v>0</v>
      </c>
      <c r="RA85" s="431">
        <f t="shared" si="150"/>
        <v>0</v>
      </c>
      <c r="RB85" s="431">
        <f t="shared" si="150"/>
        <v>0</v>
      </c>
      <c r="RC85" s="431">
        <f t="shared" si="150"/>
        <v>0</v>
      </c>
      <c r="RD85" s="431">
        <f t="shared" si="150"/>
        <v>0</v>
      </c>
      <c r="RE85" s="431">
        <f t="shared" si="150"/>
        <v>1</v>
      </c>
      <c r="RF85" s="431" t="str">
        <f t="shared" si="150"/>
        <v>Enstuffs drift</v>
      </c>
      <c r="RG85" s="431" t="str">
        <f>IF(outputs_oppsum[[#This Row],[kon_metod_no]]=2,INDEX(framdriftfaktor[stab-foran_spreng_ratio],MATCH(outputs_oppsum[[#This Row],[stuff_id]],framdriftfaktor[stuff_id],0)),"-")</f>
        <v>-</v>
      </c>
      <c r="RH85" s="5269">
        <f>IF(outputs_oppsum[[#This Row],[kon_metod_no]]=2,INDEX(framdriftfaktor[beregnet_faktor_final],MATCH(outputs_oppsum[[#This Row],[stuff_id]],framdriftfaktor[stuff_id],0)),1)</f>
        <v>1</v>
      </c>
      <c r="RI85" s="5269" t="str">
        <f>IF(outputs_oppsum[[#This Row],[kon_metod]]=_List!$AW$8,INDEX(outputs_just[vek_faktor_bruker_definert_status],MATCH(outputs_oppsum[[#This Row],[stuff_navn]],outputs_just[Navn],0)),"")</f>
        <v/>
      </c>
      <c r="RJ85" s="5269" t="str">
        <f>IF(AND(outputs_oppsum[[#This Row],[kon_metod_no]]&lt;&gt;1,LP121=FALSE),LO121,"-")</f>
        <v>-</v>
      </c>
      <c r="RK85" s="5269">
        <f>IF(AND(outputs_oppsum[[#This Row],[kon_metod_no]]=2,outputs_oppsum[[#This Row],[tverrslag_status_oppsum]]&lt;&gt;$I$90,outputs_oppsum[[#This Row],[faktor_bruker_definert]]=FALSE),outputs_oppsum[[#This Row],[faktor_user]],outputs_oppsum[[#This Row],[faktor_beregnet]])</f>
        <v>1</v>
      </c>
      <c r="RL85" s="1807">
        <f>IFERROR((outputs_oppsum[[#This Row],[faktor_final]]-1)*outputs_oppsum[[#This Row],[oppsum_drivetid_hr]]*outputs_oppsum[[#This Row],[veksel_prosent]],"-")</f>
        <v>0</v>
      </c>
      <c r="RM85" s="1807" t="str">
        <f>IF(outputs_oppsum[[#This Row],[kon_metod_no]]=2,outputs_oppsum[[#This Row],[ekstra_framdrift_tid_oppsum_hr]]/$AI$80,"-")</f>
        <v>-</v>
      </c>
      <c r="RN85" s="431" t="str">
        <f>IF(outputs_oppsum[[#This Row],[kon_metod_no]]=2,outputs_oppsum[[#This Row],[ekstra_drivetid_pga_faktor]],"-")</f>
        <v>-</v>
      </c>
      <c r="RO85" s="431">
        <f>IFERROR(outputs_oppsum[[#This Row],[oppsum_drivetid_hr]]+outputs_oppsum[[#This Row],[ekstra_drivetid_pga_faktor]],"-")</f>
        <v>0</v>
      </c>
      <c r="RP85"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5" s="5276">
        <f>IF(outputs_oppsum[[#This Row],[enstuff_prosent_input]]&gt;1,1,outputs_oppsum[[#This Row],[enstuff_prosent_input]])</f>
        <v>1</v>
      </c>
      <c r="RR85"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5" s="431"/>
      <c r="RT85" s="431"/>
      <c r="RU85" s="431"/>
      <c r="RV85" s="431"/>
      <c r="RW85" s="431">
        <f>IFERROR(outputs_oppsum[[#This Row],[drivetid_with_faktor]]+outputs_oppsum[[#This Row],[prosjekt_forbe_hr]]+outputs_oppsum[[#This Row],[total_forbe_hr]]+outputs_oppsum[[#This Row],[extra_for_tverrslag_sum]]+outputs_oppsum[[#This Row],[just_total_hr]]+outputs_oppsum[[#This Row],[forsinket_hr]],"!")</f>
        <v>0</v>
      </c>
      <c r="RX85" s="4232">
        <f>IFERROR(outputs_oppsum[[#This Row],[oppsum_total_hr]]/$AI$80,"!")</f>
        <v>0</v>
      </c>
      <c r="RY85" s="431">
        <f>IF(MAX($RX$85:$RX$93)=outputs_oppsum[[#This Row],[oppsum_total_uke]],MAX($RX$85:$RX$93),"-")</f>
        <v>0</v>
      </c>
      <c r="RZ85" s="431" t="str">
        <f>IF(AND(ISNUMBER(outputs_oppsum[[#This Row],[Criticalstuff]]),$BC$34&lt;&gt;1,outputs_oppsum[[#This Row],[Criticalstuff]]&gt;0),$RZ$63,"")</f>
        <v/>
      </c>
      <c r="SA85" s="837"/>
      <c r="SB85" s="837"/>
      <c r="SC85" s="837"/>
      <c r="SD85" s="837"/>
      <c r="SE85" s="837"/>
      <c r="SF85" s="837"/>
      <c r="SO85" s="210"/>
      <c r="SP85" s="2617"/>
      <c r="SQ85" s="2617"/>
      <c r="SR85" s="2617"/>
      <c r="SS85" s="2617"/>
      <c r="ST85" s="2617"/>
      <c r="SU85" s="2617"/>
      <c r="SV85" s="2617"/>
      <c r="SW85" s="2617"/>
      <c r="SX85" s="2617"/>
      <c r="SY85" s="2617"/>
      <c r="SZ85" s="2617"/>
      <c r="TA85" s="2617"/>
      <c r="TB85" s="2617"/>
      <c r="TC85" s="2617"/>
      <c r="TD85" s="2617"/>
      <c r="TG85" s="435"/>
      <c r="TH85" s="435"/>
      <c r="TI85" s="435"/>
      <c r="TJ85" s="435"/>
      <c r="TK85" s="435"/>
      <c r="TL85" s="435"/>
      <c r="TM85" s="435"/>
      <c r="TN85" s="435"/>
      <c r="TO85" s="435"/>
      <c r="TP85" s="435"/>
      <c r="TQ85" s="435"/>
      <c r="TR85" s="435"/>
      <c r="TS85" s="435"/>
      <c r="TT85" s="435"/>
      <c r="TU85" s="435"/>
      <c r="TV85" s="435"/>
      <c r="TW85" s="181"/>
      <c r="TX85" s="435"/>
      <c r="TY85" s="435"/>
      <c r="TZ85" s="435"/>
      <c r="UA85" s="435"/>
      <c r="UB85" s="435"/>
      <c r="UC85" s="181"/>
      <c r="UD85" s="181"/>
      <c r="UE85" s="181"/>
      <c r="UF85" s="181"/>
      <c r="UG85" s="435"/>
      <c r="UH85" s="435"/>
      <c r="UI85" s="435"/>
      <c r="UJ85" s="435"/>
      <c r="UK85" s="435"/>
      <c r="UL85" s="183"/>
      <c r="UM85" s="183"/>
      <c r="UN85" s="183"/>
      <c r="UO85" s="183"/>
      <c r="UP85" s="183"/>
      <c r="UQ85" s="183"/>
      <c r="UR85" s="183"/>
      <c r="US85" s="183"/>
      <c r="UT85" s="183"/>
      <c r="UU85" s="2617"/>
      <c r="UV85" s="2617"/>
      <c r="UW85" s="2617"/>
      <c r="UX85" s="2617"/>
      <c r="UY85" s="2617"/>
      <c r="UZ85" s="2617"/>
      <c r="VA85" s="2617"/>
      <c r="VB85" s="2617"/>
      <c r="VC85" s="2617"/>
      <c r="VD85" s="2617"/>
      <c r="VE85" s="2617"/>
      <c r="VF85"/>
      <c r="VG85" s="2617"/>
      <c r="VH85" s="2617"/>
      <c r="VI85" s="2617"/>
      <c r="VJ85" s="2617"/>
      <c r="VK85" s="2617"/>
      <c r="VL85" s="2617"/>
      <c r="VM85" s="2617"/>
      <c r="VN85" s="2617"/>
      <c r="VO85" s="2617"/>
      <c r="VP85" s="2617"/>
      <c r="VQ85" s="2617"/>
      <c r="VR85" s="2617"/>
      <c r="VS85" s="2617"/>
      <c r="VT85" s="2617"/>
      <c r="VU85" s="2617"/>
      <c r="VV85" s="2617"/>
      <c r="VW85" s="2617"/>
      <c r="VX85" s="2617"/>
      <c r="VY85" s="2617"/>
      <c r="VZ85" s="2617"/>
      <c r="WA85" s="2617"/>
      <c r="WB85" s="2617"/>
      <c r="WC85" s="2617"/>
      <c r="WD85" s="2617"/>
      <c r="WE85" s="2617"/>
      <c r="WF85" s="2617"/>
      <c r="WG85" s="2617"/>
      <c r="WH85" s="2617"/>
      <c r="WI85" s="2617"/>
      <c r="WJ85" s="2617"/>
      <c r="WK85" s="2617"/>
      <c r="WL85" s="2617"/>
      <c r="WM85" s="2617"/>
      <c r="WN85" s="2617"/>
      <c r="WO85" s="2617"/>
      <c r="WP85" s="2617"/>
      <c r="WQ85" s="2617"/>
      <c r="WR85" s="2617"/>
      <c r="WS85" s="2617"/>
      <c r="WT85" s="2617"/>
      <c r="WU85" s="265"/>
      <c r="WV85" s="265"/>
      <c r="WW85" s="265"/>
      <c r="WX85" s="265"/>
      <c r="WY85" s="265"/>
      <c r="WZ85" s="265"/>
      <c r="XA85" s="265"/>
      <c r="XB85" s="265"/>
      <c r="XC85" s="265"/>
      <c r="XD85" s="265"/>
      <c r="XE85" s="265"/>
      <c r="XF85" s="265"/>
    </row>
    <row r="86" spans="9:645" x14ac:dyDescent="0.2">
      <c r="I86" s="5565" t="s">
        <v>2680</v>
      </c>
      <c r="J86" s="372"/>
      <c r="K86" s="372" t="s">
        <v>2681</v>
      </c>
      <c r="L86" s="372"/>
      <c r="M86" s="372"/>
      <c r="N86" s="372"/>
      <c r="O86" s="185"/>
      <c r="AL86" s="181"/>
      <c r="AM86" s="181"/>
      <c r="AN86" s="181"/>
      <c r="AO86" s="181"/>
      <c r="AP86" s="181"/>
      <c r="AQ86" s="181"/>
      <c r="AR86" s="181"/>
      <c r="AS86" s="181"/>
      <c r="AT86" s="181"/>
      <c r="AU86" s="2617"/>
      <c r="AV86" s="2617"/>
      <c r="ET86" s="349" t="s">
        <v>208</v>
      </c>
      <c r="EU86" s="185" t="s">
        <v>293</v>
      </c>
      <c r="EV86" s="185"/>
      <c r="EW86" s="241">
        <f>EW73+EW83</f>
        <v>0</v>
      </c>
      <c r="EX86" s="241">
        <f t="shared" ref="EX86:FD86" si="151">EX73+EX83</f>
        <v>0</v>
      </c>
      <c r="EY86" s="241">
        <f t="shared" si="151"/>
        <v>0</v>
      </c>
      <c r="EZ86" s="241">
        <f t="shared" si="151"/>
        <v>0</v>
      </c>
      <c r="FA86" s="241">
        <f t="shared" si="151"/>
        <v>0</v>
      </c>
      <c r="FB86" s="241">
        <f t="shared" si="151"/>
        <v>0</v>
      </c>
      <c r="FC86" s="241">
        <f t="shared" si="151"/>
        <v>0</v>
      </c>
      <c r="FD86" s="241">
        <f t="shared" si="151"/>
        <v>0</v>
      </c>
      <c r="FE86" s="241">
        <f t="shared" ref="FE86" si="152">FE73+FE83</f>
        <v>0</v>
      </c>
      <c r="FF86" s="241">
        <f>FF73+FF83</f>
        <v>0</v>
      </c>
      <c r="FG86" s="241">
        <f>FG73+FG83</f>
        <v>0</v>
      </c>
      <c r="GH86" s="414"/>
      <c r="GJ86" s="183" t="s">
        <v>787</v>
      </c>
      <c r="GL86" s="2617"/>
      <c r="GM86" s="2617"/>
      <c r="HH86" s="185">
        <f>Tunneldrift!M71</f>
        <v>0</v>
      </c>
      <c r="HI86" s="185">
        <f>Tunneldrift!AD71</f>
        <v>0</v>
      </c>
      <c r="KO86" s="407">
        <f t="shared" si="135"/>
        <v>21</v>
      </c>
      <c r="KP86" s="340" t="str">
        <f>$QP$135</f>
        <v>Stuff 1-2</v>
      </c>
      <c r="KQ86" s="5948" t="str">
        <f>IFERROR(INDEX(tunneldrift_vekseldrift[vekseldrift_lengde_final],MATCH(framdriftfaktor[[#This Row],[stuff_navn]],tunneldrift_vekseldrift[Stuff_navn],0))/INDEX(tunneldrift_vekseldrift[Input_stuff_lengde],MATCH(framdriftfaktor[[#This Row],[stuff_navn]],tunneldrift_vekseldrift[Stuff_navn],0)),"-")</f>
        <v>-</v>
      </c>
      <c r="KR86" s="340"/>
      <c r="KS86" s="241" t="str">
        <f t="shared" si="136"/>
        <v>-</v>
      </c>
      <c r="KT86" s="241" t="str">
        <f t="shared" si="137"/>
        <v>-</v>
      </c>
      <c r="KU86" s="241" t="str">
        <f t="shared" si="138"/>
        <v>-</v>
      </c>
      <c r="KV86" s="211" t="str">
        <f>IFERROR(framdriftfaktor[[#This Row],[sprengning_tid_hr]]*framdriftfaktor[[#This Row],[veksel_prosent]],"-")</f>
        <v>-</v>
      </c>
      <c r="KW86" s="211" t="str">
        <f>IFERROR(framdriftfaktor[[#This Row],[stabilitets_tid_hr]]*framdriftfaktor[[#This Row],[veksel_prosent]],"-")</f>
        <v>-</v>
      </c>
      <c r="KX86" s="211" t="str">
        <f>IFERROR(framdriftfaktor[[#This Row],[foran_tid_hr]]*framdriftfaktor[[#This Row],[veksel_prosent]],"-")</f>
        <v>-</v>
      </c>
      <c r="KY86" s="5346">
        <f>IFERROR((framdriftfaktor[[#This Row],[stabilitets_tid_hr_veksel_del]]+framdriftfaktor[[#This Row],[foran_tid_hr_veksel_del]]+KW90+KX90)/(framdriftfaktor[[#This Row],[sprengning_tid_hr_veksel_del]]+KV90),0)</f>
        <v>0</v>
      </c>
      <c r="KZ86" s="5346"/>
      <c r="LA86" s="5345" t="str">
        <f>IF(framdriftfaktor[[#This Row],[stab-foran_spreng_ratio]]&lt;$LL$90,$LJ$90,IF(AND(framdriftfaktor[[#This Row],[stab-foran_spreng_ratio]]&gt;=$LK$91,framdriftfaktor[[#This Row],[stab-foran_spreng_ratio]]&lt;$LL$91),$LJ$91,IF(framdriftfaktor[[#This Row],[stab-foran_spreng_ratio]]&gt;=$LK$92,$LJ$92,"!")))</f>
        <v>Lite</v>
      </c>
      <c r="LB86" s="5346">
        <f>IF(framdriftfaktor[[#This Row],[rating_stab-foran]]=$LJ$90,$LM$90+$LO$90*framdriftfaktor[[#This Row],[stab-foran_spreng_ratio]],IF(framdriftfaktor[[#This Row],[rating_stab-foran]]=$LJ$91,$LM$91+((framdriftfaktor[[#This Row],[stab-foran_spreng_ratio]]-$LK$91)*$LO$91),IF(framdriftfaktor[[#This Row],[rating_stab-foran]]=$LJ$92,$LM$92)))</f>
        <v>1.3</v>
      </c>
      <c r="LC86" s="5345">
        <f>framdriftfaktor[[#This Row],[beregnet_faktor_stab-foran]]</f>
        <v>1.3</v>
      </c>
      <c r="LD86" s="5347"/>
      <c r="NI86" s="1567"/>
      <c r="NN86" s="407" t="s">
        <v>1155</v>
      </c>
      <c r="NO86" s="340" t="str">
        <f>$QP$135</f>
        <v>Stuff 1-2</v>
      </c>
      <c r="NP86" s="431">
        <f t="shared" ref="NP86:OL86" si="153">IF($BC$38=1,NP68,IF($BC$38=2,NP77))</f>
        <v>0</v>
      </c>
      <c r="NQ86" s="431">
        <f t="shared" si="153"/>
        <v>0</v>
      </c>
      <c r="NR86" s="431">
        <f t="shared" si="153"/>
        <v>0</v>
      </c>
      <c r="NS86" s="431">
        <f t="shared" si="153"/>
        <v>0</v>
      </c>
      <c r="NT86" s="431">
        <f t="shared" si="153"/>
        <v>0</v>
      </c>
      <c r="NU86" s="431">
        <f t="shared" si="153"/>
        <v>0</v>
      </c>
      <c r="NV86" s="431">
        <f t="shared" si="153"/>
        <v>0</v>
      </c>
      <c r="NW86" s="431">
        <f t="shared" si="153"/>
        <v>0</v>
      </c>
      <c r="NX86" s="431">
        <f t="shared" si="153"/>
        <v>0</v>
      </c>
      <c r="NY86" s="431">
        <f t="shared" si="153"/>
        <v>0</v>
      </c>
      <c r="NZ86" s="431">
        <f t="shared" si="153"/>
        <v>0</v>
      </c>
      <c r="OA86" s="431">
        <f t="shared" si="153"/>
        <v>0</v>
      </c>
      <c r="OB86" s="431">
        <f t="shared" si="153"/>
        <v>0</v>
      </c>
      <c r="OC86" s="431">
        <f t="shared" si="153"/>
        <v>0</v>
      </c>
      <c r="OD86" s="431">
        <f t="shared" si="153"/>
        <v>0</v>
      </c>
      <c r="OE86" s="431">
        <f t="shared" si="153"/>
        <v>0</v>
      </c>
      <c r="OF86" s="431">
        <f t="shared" si="153"/>
        <v>0</v>
      </c>
      <c r="OG86" s="431">
        <f t="shared" si="153"/>
        <v>0</v>
      </c>
      <c r="OH86" s="431">
        <f t="shared" si="153"/>
        <v>0</v>
      </c>
      <c r="OI86" s="431">
        <f t="shared" si="153"/>
        <v>0</v>
      </c>
      <c r="OJ86" s="431">
        <f t="shared" si="153"/>
        <v>0</v>
      </c>
      <c r="OK86" s="431">
        <f t="shared" si="153"/>
        <v>0</v>
      </c>
      <c r="OL86" s="431">
        <f t="shared" si="153"/>
        <v>0</v>
      </c>
      <c r="OM86" s="431">
        <f t="shared" si="140"/>
        <v>0</v>
      </c>
      <c r="ON86" s="431">
        <f t="shared" si="141"/>
        <v>0</v>
      </c>
      <c r="OO86" s="431">
        <f t="shared" si="142"/>
        <v>0</v>
      </c>
      <c r="OP86" s="431">
        <f t="shared" si="143"/>
        <v>0</v>
      </c>
      <c r="OQ86" s="431">
        <f t="shared" ref="OQ86:OQ93" si="154">FB186</f>
        <v>0</v>
      </c>
      <c r="OR86" s="431">
        <f t="shared" ref="OR86:OT86" si="155">FC186</f>
        <v>0</v>
      </c>
      <c r="OS86" s="431">
        <f t="shared" si="155"/>
        <v>0</v>
      </c>
      <c r="OT86" s="431">
        <f t="shared" si="155"/>
        <v>0</v>
      </c>
      <c r="OU86" s="431">
        <f t="shared" ref="OU86:OU93" si="156">FF186</f>
        <v>0</v>
      </c>
      <c r="OV86" s="431">
        <f t="shared" ref="OV86:OV93" si="157">FG186</f>
        <v>0</v>
      </c>
      <c r="OW86" s="431"/>
      <c r="OX86" s="431">
        <f t="shared" si="145"/>
        <v>0</v>
      </c>
      <c r="OY86" s="431">
        <f t="shared" si="146"/>
        <v>0</v>
      </c>
      <c r="OZ86" s="431">
        <f t="shared" si="147"/>
        <v>0</v>
      </c>
      <c r="PA86" s="431">
        <f t="shared" si="148"/>
        <v>0</v>
      </c>
      <c r="PB86" s="3349">
        <f>outputs_oppsum[[#This Row],[manuell]]+outputs_oppsum[[#This Row],[kartlegging]]</f>
        <v>0</v>
      </c>
      <c r="PC86" s="3349">
        <f>outputs_oppsum[[#This Row],[lt4m]]+outputs_oppsum[[#This Row],[gt4m]]</f>
        <v>0</v>
      </c>
      <c r="PD86" s="3349">
        <f>outputs_oppsum[[#This Row],[bergbånd]]+outputs_oppsum[[#This Row],[nett]]+outputs_oppsum[[#This Row],[bergbånd_ekstra]]+outputs_oppsum[[#This Row],[festebolter_for_bergbånd]]+outputs_oppsum[[#This Row],[festebolter_for_nett]]+outputs_oppsum[[#This Row],[sprøytebetong_ved_nett]]</f>
        <v>0</v>
      </c>
      <c r="PE86" s="3349">
        <f>outputs_oppsum[[#This Row],[sprøytebetong]]</f>
        <v>0</v>
      </c>
      <c r="PF86" s="3349">
        <f>outputs_oppsum[[#This Row],[buer]]</f>
        <v>0</v>
      </c>
      <c r="PG86" s="3349">
        <f>outputs_oppsum[[#This Row],[sik123]]+outputs_oppsum[[#This Row],[sik4]]</f>
        <v>0</v>
      </c>
      <c r="PH86" s="3349">
        <f>outputs_oppsum[[#This Row],[total_man]]+outputs_oppsum[[#This Row],[total_bolt]]+outputs_oppsum[[#This Row],[total_bånd_og_nett]]+outputs_oppsum[[#This Row],[total_shot]]+outputs_oppsum[[#This Row],[total_buer]]+outputs_oppsum[[#This Row],[total_sik]]</f>
        <v>0</v>
      </c>
      <c r="PI86" s="3349">
        <f>outputs_oppsum[[#This Row],[total_stab_hr]]/$AI$80</f>
        <v>0</v>
      </c>
      <c r="PJ86" s="431" t="str">
        <f t="shared" ref="PJ86:PT86" si="158">IF($BC$38=1,PJ68,IF($BC$38=2,PJ77))</f>
        <v>Ikke relevant</v>
      </c>
      <c r="PK86" s="431">
        <f t="shared" si="158"/>
        <v>0</v>
      </c>
      <c r="PL86" s="431" t="b">
        <f t="shared" si="158"/>
        <v>0</v>
      </c>
      <c r="PM86" s="431" t="b">
        <f t="shared" si="158"/>
        <v>0</v>
      </c>
      <c r="PN86" s="431" t="b">
        <f t="shared" si="158"/>
        <v>0</v>
      </c>
      <c r="PO86" s="431" t="str">
        <f t="shared" si="158"/>
        <v>Ikke relevant</v>
      </c>
      <c r="PP86" s="431">
        <f t="shared" si="158"/>
        <v>0</v>
      </c>
      <c r="PQ86" s="431">
        <f t="shared" si="158"/>
        <v>0</v>
      </c>
      <c r="PR86" s="431">
        <f t="shared" si="158"/>
        <v>0</v>
      </c>
      <c r="PS86" s="431">
        <f t="shared" si="158"/>
        <v>0</v>
      </c>
      <c r="PT86" s="431" t="e">
        <f t="shared" si="158"/>
        <v>#VALUE!</v>
      </c>
      <c r="PU86"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6" s="1656">
        <f>outputs_oppsum[[#This Row],[oppsum_drivetid_hr]]/$AI$80</f>
        <v>0</v>
      </c>
      <c r="PW86" s="843"/>
      <c r="PX86" s="431">
        <f t="shared" ref="PX86:RF86" si="159">IF($BC$38=1,PX68,IF($BC$38=2,PX77))</f>
        <v>0</v>
      </c>
      <c r="PY86" s="431" t="str">
        <f t="shared" si="159"/>
        <v>Ikke påvirket</v>
      </c>
      <c r="PZ86" s="431" t="str">
        <f t="shared" si="159"/>
        <v>-</v>
      </c>
      <c r="QA86" s="431" t="str">
        <f t="shared" si="159"/>
        <v>-</v>
      </c>
      <c r="QB86" s="431" t="str">
        <f t="shared" si="159"/>
        <v>-</v>
      </c>
      <c r="QC86" s="431" t="str">
        <f t="shared" si="159"/>
        <v>-</v>
      </c>
      <c r="QD86" s="431" t="str">
        <f t="shared" si="159"/>
        <v>-</v>
      </c>
      <c r="QE86" s="431" t="str">
        <f t="shared" si="159"/>
        <v>-</v>
      </c>
      <c r="QF86" s="431" t="str">
        <f t="shared" si="159"/>
        <v>-</v>
      </c>
      <c r="QG86" s="431" t="str">
        <f t="shared" si="159"/>
        <v>-</v>
      </c>
      <c r="QH86" s="431">
        <f t="shared" si="159"/>
        <v>0</v>
      </c>
      <c r="QI86" s="431" t="str">
        <f t="shared" si="159"/>
        <v>-</v>
      </c>
      <c r="QJ86" s="431">
        <f t="shared" si="159"/>
        <v>0</v>
      </c>
      <c r="QK86" s="431" t="str">
        <f t="shared" si="159"/>
        <v>-</v>
      </c>
      <c r="QL86" s="431">
        <f t="shared" si="159"/>
        <v>0</v>
      </c>
      <c r="QM86" s="431" t="str">
        <f t="shared" si="159"/>
        <v>-</v>
      </c>
      <c r="QN86" s="431">
        <f t="shared" si="159"/>
        <v>0</v>
      </c>
      <c r="QO86" s="431" t="str">
        <f t="shared" si="159"/>
        <v>-</v>
      </c>
      <c r="QP86" s="431">
        <f t="shared" si="159"/>
        <v>0</v>
      </c>
      <c r="QQ86" s="431">
        <f t="shared" si="159"/>
        <v>0</v>
      </c>
      <c r="QR86" s="431">
        <f t="shared" si="159"/>
        <v>0</v>
      </c>
      <c r="QS86" s="431" t="e">
        <f t="shared" si="159"/>
        <v>#N/A</v>
      </c>
      <c r="QT86" s="431" t="e">
        <f t="shared" si="159"/>
        <v>#N/A</v>
      </c>
      <c r="QU86" s="431" t="e">
        <f t="shared" si="159"/>
        <v>#N/A</v>
      </c>
      <c r="QV86" s="431" t="e">
        <f t="shared" si="159"/>
        <v>#N/A</v>
      </c>
      <c r="QW86" s="431" t="e">
        <f t="shared" si="159"/>
        <v>#N/A</v>
      </c>
      <c r="QX86" s="431" t="e">
        <f t="shared" si="159"/>
        <v>#N/A</v>
      </c>
      <c r="QY86" s="431" t="e">
        <f t="shared" si="159"/>
        <v>#N/A</v>
      </c>
      <c r="QZ86" s="431" t="e">
        <f t="shared" si="159"/>
        <v>#N/A</v>
      </c>
      <c r="RA86" s="431" t="e">
        <f t="shared" si="159"/>
        <v>#N/A</v>
      </c>
      <c r="RB86" s="431" t="e">
        <f t="shared" si="159"/>
        <v>#N/A</v>
      </c>
      <c r="RC86" s="431">
        <f t="shared" si="159"/>
        <v>0</v>
      </c>
      <c r="RD86" s="431">
        <f t="shared" si="159"/>
        <v>0</v>
      </c>
      <c r="RE86" s="431">
        <f t="shared" si="159"/>
        <v>1</v>
      </c>
      <c r="RF86" s="431" t="str">
        <f t="shared" si="159"/>
        <v>Enstuffs drift</v>
      </c>
      <c r="RG86" s="431" t="str">
        <f>IF(outputs_oppsum[[#This Row],[kon_metod_no]]=2,INDEX(framdriftfaktor[stab-foran_spreng_ratio],MATCH(outputs_oppsum[[#This Row],[stuff_id]],framdriftfaktor[stuff_id],0)),"-")</f>
        <v>-</v>
      </c>
      <c r="RH86" s="5269">
        <f>IF(outputs_oppsum[[#This Row],[kon_metod_no]]=2,INDEX(framdriftfaktor[beregnet_faktor_final],MATCH(outputs_oppsum[[#This Row],[stuff_id]],framdriftfaktor[stuff_id],0)),1)</f>
        <v>1</v>
      </c>
      <c r="RI86" s="5269" t="str">
        <f>IF(outputs_oppsum[[#This Row],[kon_metod]]=_List!$AW$8,INDEX(outputs_just[vek_faktor_bruker_definert_status],MATCH(outputs_oppsum[[#This Row],[stuff_navn]],outputs_just[Navn],0)),"")</f>
        <v/>
      </c>
      <c r="RJ86" s="5269" t="e">
        <f>IF(AND(outputs_oppsum[[#This Row],[kon_metod_no]]&lt;&gt;1,LP122=FALSE),LO122,"-")</f>
        <v>#N/A</v>
      </c>
      <c r="RK86" s="5269">
        <f>IF(AND(outputs_oppsum[[#This Row],[kon_metod_no]]=2,outputs_oppsum[[#This Row],[tverrslag_status_oppsum]]&lt;&gt;$I$90,outputs_oppsum[[#This Row],[faktor_bruker_definert]]=FALSE),outputs_oppsum[[#This Row],[faktor_user]],outputs_oppsum[[#This Row],[faktor_beregnet]])</f>
        <v>1</v>
      </c>
      <c r="RL86" s="1807">
        <f>IFERROR((outputs_oppsum[[#This Row],[faktor_final]]-1)*outputs_oppsum[[#This Row],[oppsum_drivetid_hr]]*outputs_oppsum[[#This Row],[veksel_prosent]],"-")</f>
        <v>0</v>
      </c>
      <c r="RM86" s="1807" t="str">
        <f>IF(outputs_oppsum[[#This Row],[kon_metod_no]]=2,outputs_oppsum[[#This Row],[ekstra_framdrift_tid_oppsum_hr]]/$AI$80,"-")</f>
        <v>-</v>
      </c>
      <c r="RN86" s="431" t="str">
        <f>IF(outputs_oppsum[[#This Row],[kon_metod_no]]=2,outputs_oppsum[[#This Row],[ekstra_drivetid_pga_faktor]],"-")</f>
        <v>-</v>
      </c>
      <c r="RO86" s="431">
        <f>IFERROR(outputs_oppsum[[#This Row],[oppsum_drivetid_hr]]+outputs_oppsum[[#This Row],[ekstra_drivetid_pga_faktor]],"-")</f>
        <v>0</v>
      </c>
      <c r="RP86"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6" s="5276">
        <f>IF(outputs_oppsum[[#This Row],[enstuff_prosent_input]]&gt;1,1,outputs_oppsum[[#This Row],[enstuff_prosent_input]])</f>
        <v>1</v>
      </c>
      <c r="RR86"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6" s="431"/>
      <c r="RT86" s="431"/>
      <c r="RU86" s="431"/>
      <c r="RV86" s="211"/>
      <c r="RW86" s="431" t="str">
        <f>IFERROR(outputs_oppsum[[#This Row],[drivetid_with_faktor]]+outputs_oppsum[[#This Row],[prosjekt_forbe_hr]]+outputs_oppsum[[#This Row],[total_forbe_hr]]+outputs_oppsum[[#This Row],[extra_for_tverrslag_sum]]+outputs_oppsum[[#This Row],[just_total_hr]]+outputs_oppsum[[#This Row],[forsinket_hr]],"!")</f>
        <v>!</v>
      </c>
      <c r="RX86" s="211" t="str">
        <f>IFERROR(outputs_oppsum[[#This Row],[oppsum_total_hr]]/$AI$80,"!")</f>
        <v>!</v>
      </c>
      <c r="RY86" s="431" t="str">
        <f>IF(MAX($RX$85:$RX$93)=outputs_oppsum[[#This Row],[oppsum_total_uke]],MAX($RX$85:$RX$93),"-")</f>
        <v>-</v>
      </c>
      <c r="RZ86" s="431" t="str">
        <f>IF(AND(ISNUMBER(outputs_oppsum[[#This Row],[Criticalstuff]]),$BC$34&lt;&gt;1,outputs_oppsum[[#This Row],[Criticalstuff]]&gt;0),$RZ$63,"")</f>
        <v/>
      </c>
      <c r="SA86" s="837"/>
      <c r="SB86" s="837"/>
      <c r="SC86" s="837"/>
      <c r="SD86" s="837"/>
      <c r="SE86" s="837"/>
      <c r="SF86" s="837"/>
      <c r="SO86" s="210"/>
      <c r="SP86" s="2617"/>
      <c r="SQ86" s="2617"/>
      <c r="SR86" s="2617"/>
      <c r="SS86" s="2617"/>
      <c r="ST86" s="2617"/>
      <c r="SU86" s="2617"/>
      <c r="SV86" s="2617"/>
      <c r="SW86" s="2617"/>
      <c r="SX86" s="2617"/>
      <c r="SY86" s="2617"/>
      <c r="SZ86" s="2617"/>
      <c r="TA86" s="2617"/>
      <c r="TB86" s="2617"/>
      <c r="TC86" s="2617"/>
      <c r="TD86" s="2617"/>
      <c r="TG86" s="435"/>
      <c r="TH86" s="435"/>
      <c r="TI86" s="435"/>
      <c r="TJ86" s="435"/>
      <c r="TK86" s="435"/>
      <c r="TL86" s="435"/>
      <c r="TM86" s="435"/>
      <c r="TN86" s="435"/>
      <c r="TO86" s="435"/>
      <c r="TP86" s="435"/>
      <c r="TQ86" s="435"/>
      <c r="TR86" s="435"/>
      <c r="TS86" s="435"/>
      <c r="TT86" s="435"/>
      <c r="TU86" s="435"/>
      <c r="TV86" s="435"/>
      <c r="TW86" s="181"/>
      <c r="TX86" s="435"/>
      <c r="TY86" s="435"/>
      <c r="TZ86" s="435"/>
      <c r="UA86" s="435"/>
      <c r="UB86" s="435"/>
      <c r="UC86" s="181"/>
      <c r="UD86" s="181"/>
      <c r="UE86" s="181"/>
      <c r="UF86" s="181"/>
      <c r="UG86" s="435"/>
      <c r="UH86" s="435"/>
      <c r="UI86" s="435"/>
      <c r="UJ86" s="435"/>
      <c r="UK86" s="435"/>
      <c r="UL86" s="183"/>
      <c r="UM86" s="183"/>
      <c r="UN86" s="183"/>
      <c r="UO86" s="183"/>
      <c r="UP86" s="183"/>
      <c r="UQ86" s="183"/>
      <c r="UR86" s="183"/>
      <c r="US86" s="183"/>
      <c r="UT86" s="183"/>
      <c r="UU86" s="2617"/>
      <c r="UV86" s="2617"/>
      <c r="UW86" s="2617"/>
      <c r="UX86" s="2617"/>
      <c r="UY86" s="2617"/>
      <c r="UZ86" s="2617"/>
      <c r="VA86" s="2617"/>
      <c r="VB86" s="2617"/>
      <c r="VC86" s="2617"/>
      <c r="VD86" s="2617"/>
      <c r="VE86" s="2617"/>
      <c r="VF86"/>
      <c r="VG86" s="2617"/>
      <c r="VH86" s="2617"/>
      <c r="VI86" s="2617"/>
      <c r="VJ86" s="2617"/>
      <c r="VK86" s="2617"/>
      <c r="VL86" s="2617"/>
      <c r="VM86" s="2617"/>
      <c r="VN86" s="2617"/>
      <c r="VO86" s="2617"/>
      <c r="VP86" s="2617"/>
      <c r="VQ86" s="2617"/>
      <c r="VR86" s="2617"/>
      <c r="VS86" s="2617"/>
      <c r="VT86" s="2617"/>
      <c r="VU86" s="2617"/>
      <c r="VV86" s="2617"/>
      <c r="VW86" s="2617"/>
      <c r="VX86" s="2617"/>
      <c r="VY86" s="2617"/>
      <c r="VZ86" s="2617"/>
      <c r="WA86" s="2617"/>
      <c r="WB86" s="2617"/>
      <c r="WC86" s="2617"/>
      <c r="WD86" s="2617"/>
      <c r="WE86" s="2617"/>
      <c r="WF86" s="2617"/>
      <c r="WG86" s="2617"/>
      <c r="WH86" s="2617"/>
      <c r="WI86" s="2617"/>
      <c r="WJ86" s="2617"/>
      <c r="WK86" s="2617"/>
      <c r="WL86" s="2617"/>
      <c r="WM86" s="2617"/>
      <c r="WN86" s="2617"/>
      <c r="WO86" s="2617"/>
      <c r="WP86" s="2617"/>
      <c r="WQ86" s="2617"/>
      <c r="WR86" s="2617"/>
      <c r="WS86" s="2617"/>
      <c r="WT86" s="2617"/>
      <c r="WU86" s="265"/>
      <c r="WV86" s="265"/>
      <c r="WW86" s="265"/>
      <c r="WX86" s="265"/>
      <c r="WY86" s="265"/>
      <c r="WZ86" s="265"/>
      <c r="XA86" s="265"/>
      <c r="XB86" s="265"/>
      <c r="XC86" s="265"/>
      <c r="XD86" s="265"/>
      <c r="XE86" s="265"/>
      <c r="XF86" s="265"/>
    </row>
    <row r="87" spans="9:645" x14ac:dyDescent="0.2">
      <c r="I87" s="5565"/>
      <c r="J87" s="372"/>
      <c r="K87" s="372" t="s">
        <v>115</v>
      </c>
      <c r="L87" s="372"/>
      <c r="M87" s="372"/>
      <c r="N87" s="372"/>
      <c r="O87" s="185"/>
      <c r="AL87" s="181"/>
      <c r="AM87" s="181"/>
      <c r="AN87" s="181"/>
      <c r="AO87" s="181"/>
      <c r="AP87" s="181"/>
      <c r="AQ87" s="181"/>
      <c r="AR87" s="181"/>
      <c r="AS87" s="181"/>
      <c r="AT87" s="181"/>
      <c r="AU87" s="2617"/>
      <c r="AV87" s="2617"/>
      <c r="BB87" s="283" t="s">
        <v>345</v>
      </c>
      <c r="EM87" s="210"/>
      <c r="EN87" s="210"/>
      <c r="ET87" s="349" t="s">
        <v>208</v>
      </c>
      <c r="EU87" s="185" t="s">
        <v>294</v>
      </c>
      <c r="EV87" s="185"/>
      <c r="EW87" s="241">
        <f>EW75+EW76+EW77+EW78+EW79+EW80+EW81+EW82+EW83</f>
        <v>0</v>
      </c>
      <c r="EX87" s="241">
        <f t="shared" ref="EX87:FD87" si="160">EX75+EX76+EX77+EX78+EX79+EX80+EX81+EX82+EX83</f>
        <v>0</v>
      </c>
      <c r="EY87" s="241">
        <f t="shared" si="160"/>
        <v>0</v>
      </c>
      <c r="EZ87" s="241">
        <f t="shared" si="160"/>
        <v>0</v>
      </c>
      <c r="FA87" s="241">
        <f t="shared" si="160"/>
        <v>0</v>
      </c>
      <c r="FB87" s="241">
        <f t="shared" si="160"/>
        <v>0</v>
      </c>
      <c r="FC87" s="241">
        <f t="shared" si="160"/>
        <v>0</v>
      </c>
      <c r="FD87" s="241">
        <f t="shared" si="160"/>
        <v>0</v>
      </c>
      <c r="FE87" s="241">
        <f t="shared" ref="FE87" si="161">FE75+FE76+FE77+FE78+FE79+FE80+FE81+FE82+FE83</f>
        <v>0</v>
      </c>
      <c r="FF87" s="241">
        <f>FF75+FF76+FF77+FF78+FF79+FF80+FF81+FF82+FF83</f>
        <v>0</v>
      </c>
      <c r="FG87" s="241">
        <f>FG75+FG76+FG77+FG78+FG79+FG80+FG81+FG82+FG83</f>
        <v>0</v>
      </c>
      <c r="GH87" s="414"/>
      <c r="GJ87" s="249" t="s">
        <v>428</v>
      </c>
      <c r="GK87" s="315" t="s">
        <v>788</v>
      </c>
      <c r="GL87" s="247" t="s">
        <v>691</v>
      </c>
      <c r="GM87" s="2617"/>
      <c r="HH87" s="185">
        <f>Tunneldrift!M72</f>
        <v>0</v>
      </c>
      <c r="HI87" s="185">
        <f>Tunneldrift!AD72</f>
        <v>0</v>
      </c>
      <c r="KO87" s="407">
        <f t="shared" si="135"/>
        <v>31</v>
      </c>
      <c r="KP87" s="340" t="str">
        <f>$QQ$135</f>
        <v>Stuff 1-3</v>
      </c>
      <c r="KQ87" s="5948" t="str">
        <f>IFERROR(INDEX(tunneldrift_vekseldrift[vekseldrift_lengde_final],MATCH(framdriftfaktor[[#This Row],[stuff_navn]],tunneldrift_vekseldrift[Stuff_navn],0))/INDEX(tunneldrift_vekseldrift[Input_stuff_lengde],MATCH(framdriftfaktor[[#This Row],[stuff_navn]],tunneldrift_vekseldrift[Stuff_navn],0)),"-")</f>
        <v>-</v>
      </c>
      <c r="KR87" s="340"/>
      <c r="KS87" s="241" t="str">
        <f t="shared" si="136"/>
        <v>-</v>
      </c>
      <c r="KT87" s="241" t="str">
        <f t="shared" si="137"/>
        <v>-</v>
      </c>
      <c r="KU87" s="241" t="str">
        <f t="shared" si="138"/>
        <v>-</v>
      </c>
      <c r="KV87" s="211" t="str">
        <f>IFERROR(framdriftfaktor[[#This Row],[sprengning_tid_hr]]*framdriftfaktor[[#This Row],[veksel_prosent]],"-")</f>
        <v>-</v>
      </c>
      <c r="KW87" s="211" t="str">
        <f>IFERROR(framdriftfaktor[[#This Row],[stabilitets_tid_hr]]*framdriftfaktor[[#This Row],[veksel_prosent]],"-")</f>
        <v>-</v>
      </c>
      <c r="KX87" s="211" t="str">
        <f>IFERROR(framdriftfaktor[[#This Row],[foran_tid_hr]]*framdriftfaktor[[#This Row],[veksel_prosent]],"-")</f>
        <v>-</v>
      </c>
      <c r="KY87" s="5346">
        <f>IFERROR((framdriftfaktor[[#This Row],[stabilitets_tid_hr_veksel_del]]+framdriftfaktor[[#This Row],[foran_tid_hr_veksel_del]]+KW91+KX91)/(framdriftfaktor[[#This Row],[sprengning_tid_hr_veksel_del]]+KV91),0)</f>
        <v>0</v>
      </c>
      <c r="KZ87" s="5346"/>
      <c r="LA87" s="5345" t="str">
        <f>IF(framdriftfaktor[[#This Row],[stab-foran_spreng_ratio]]&lt;$LL$90,$LJ$90,IF(AND(framdriftfaktor[[#This Row],[stab-foran_spreng_ratio]]&gt;=$LK$91,framdriftfaktor[[#This Row],[stab-foran_spreng_ratio]]&lt;$LL$91),$LJ$91,IF(framdriftfaktor[[#This Row],[stab-foran_spreng_ratio]]&gt;=$LK$92,$LJ$92,"!")))</f>
        <v>Lite</v>
      </c>
      <c r="LB87" s="5346">
        <f>IF(framdriftfaktor[[#This Row],[rating_stab-foran]]=$LJ$90,$LM$90+$LO$90*framdriftfaktor[[#This Row],[stab-foran_spreng_ratio]],IF(framdriftfaktor[[#This Row],[rating_stab-foran]]=$LJ$91,$LM$91+((framdriftfaktor[[#This Row],[stab-foran_spreng_ratio]]-$LK$91)*$LO$91),IF(framdriftfaktor[[#This Row],[rating_stab-foran]]=$LJ$92,$LM$92)))</f>
        <v>1.3</v>
      </c>
      <c r="LC87" s="5345">
        <f>framdriftfaktor[[#This Row],[beregnet_faktor_stab-foran]]</f>
        <v>1.3</v>
      </c>
      <c r="LD87" s="5347"/>
      <c r="LQ87" s="184" t="s">
        <v>2308</v>
      </c>
      <c r="LR87" s="265">
        <v>1.1000000000000001</v>
      </c>
      <c r="NI87" s="1567"/>
      <c r="NN87" s="407" t="s">
        <v>1156</v>
      </c>
      <c r="NO87" s="340" t="str">
        <f>$QQ$135</f>
        <v>Stuff 1-3</v>
      </c>
      <c r="NP87" s="431">
        <f t="shared" ref="NP87:OL87" si="162">IF($BC$38=1,NP69,IF($BC$38=2,NP78))</f>
        <v>0</v>
      </c>
      <c r="NQ87" s="431">
        <f t="shared" si="162"/>
        <v>0</v>
      </c>
      <c r="NR87" s="431">
        <f t="shared" si="162"/>
        <v>0</v>
      </c>
      <c r="NS87" s="431">
        <f t="shared" si="162"/>
        <v>0</v>
      </c>
      <c r="NT87" s="431">
        <f t="shared" si="162"/>
        <v>0</v>
      </c>
      <c r="NU87" s="431">
        <f t="shared" si="162"/>
        <v>0</v>
      </c>
      <c r="NV87" s="431">
        <f t="shared" si="162"/>
        <v>0</v>
      </c>
      <c r="NW87" s="431">
        <f t="shared" si="162"/>
        <v>0</v>
      </c>
      <c r="NX87" s="431">
        <f t="shared" si="162"/>
        <v>0</v>
      </c>
      <c r="NY87" s="431">
        <f t="shared" si="162"/>
        <v>0</v>
      </c>
      <c r="NZ87" s="431">
        <f t="shared" si="162"/>
        <v>0</v>
      </c>
      <c r="OA87" s="431">
        <f t="shared" si="162"/>
        <v>0</v>
      </c>
      <c r="OB87" s="431">
        <f t="shared" si="162"/>
        <v>0</v>
      </c>
      <c r="OC87" s="431">
        <f t="shared" si="162"/>
        <v>0</v>
      </c>
      <c r="OD87" s="431">
        <f t="shared" si="162"/>
        <v>0</v>
      </c>
      <c r="OE87" s="431">
        <f t="shared" si="162"/>
        <v>0</v>
      </c>
      <c r="OF87" s="431">
        <f t="shared" si="162"/>
        <v>0</v>
      </c>
      <c r="OG87" s="431">
        <f t="shared" si="162"/>
        <v>0</v>
      </c>
      <c r="OH87" s="431">
        <f t="shared" si="162"/>
        <v>0</v>
      </c>
      <c r="OI87" s="431">
        <f t="shared" si="162"/>
        <v>0</v>
      </c>
      <c r="OJ87" s="431">
        <f t="shared" si="162"/>
        <v>0</v>
      </c>
      <c r="OK87" s="431">
        <f t="shared" si="162"/>
        <v>0</v>
      </c>
      <c r="OL87" s="431">
        <f t="shared" si="162"/>
        <v>0</v>
      </c>
      <c r="OM87" s="431">
        <f t="shared" si="140"/>
        <v>0</v>
      </c>
      <c r="ON87" s="431">
        <f t="shared" si="141"/>
        <v>0</v>
      </c>
      <c r="OO87" s="431">
        <f t="shared" si="142"/>
        <v>0</v>
      </c>
      <c r="OP87" s="431">
        <f t="shared" si="143"/>
        <v>0</v>
      </c>
      <c r="OQ87" s="431">
        <f t="shared" si="154"/>
        <v>0</v>
      </c>
      <c r="OR87" s="431">
        <f t="shared" ref="OR87:OT87" si="163">FC187</f>
        <v>0</v>
      </c>
      <c r="OS87" s="431">
        <f t="shared" si="163"/>
        <v>0</v>
      </c>
      <c r="OT87" s="431">
        <f t="shared" si="163"/>
        <v>0</v>
      </c>
      <c r="OU87" s="431">
        <f t="shared" si="156"/>
        <v>0</v>
      </c>
      <c r="OV87" s="431">
        <f t="shared" si="157"/>
        <v>0</v>
      </c>
      <c r="OW87" s="431"/>
      <c r="OX87" s="431">
        <f t="shared" si="145"/>
        <v>0</v>
      </c>
      <c r="OY87" s="431">
        <f t="shared" si="146"/>
        <v>0</v>
      </c>
      <c r="OZ87" s="431">
        <f t="shared" si="147"/>
        <v>0</v>
      </c>
      <c r="PA87" s="431">
        <f t="shared" si="148"/>
        <v>0</v>
      </c>
      <c r="PB87" s="3349">
        <f>outputs_oppsum[[#This Row],[manuell]]+outputs_oppsum[[#This Row],[kartlegging]]</f>
        <v>0</v>
      </c>
      <c r="PC87" s="3349">
        <f>outputs_oppsum[[#This Row],[lt4m]]+outputs_oppsum[[#This Row],[gt4m]]</f>
        <v>0</v>
      </c>
      <c r="PD87" s="3349">
        <f>outputs_oppsum[[#This Row],[bergbånd]]+outputs_oppsum[[#This Row],[nett]]+outputs_oppsum[[#This Row],[bergbånd_ekstra]]+outputs_oppsum[[#This Row],[festebolter_for_bergbånd]]+outputs_oppsum[[#This Row],[festebolter_for_nett]]+outputs_oppsum[[#This Row],[sprøytebetong_ved_nett]]</f>
        <v>0</v>
      </c>
      <c r="PE87" s="3349">
        <f>outputs_oppsum[[#This Row],[sprøytebetong]]</f>
        <v>0</v>
      </c>
      <c r="PF87" s="3349">
        <f>outputs_oppsum[[#This Row],[buer]]</f>
        <v>0</v>
      </c>
      <c r="PG87" s="3349">
        <f>outputs_oppsum[[#This Row],[sik123]]+outputs_oppsum[[#This Row],[sik4]]</f>
        <v>0</v>
      </c>
      <c r="PH87" s="3349">
        <f>outputs_oppsum[[#This Row],[total_man]]+outputs_oppsum[[#This Row],[total_bolt]]+outputs_oppsum[[#This Row],[total_bånd_og_nett]]+outputs_oppsum[[#This Row],[total_shot]]+outputs_oppsum[[#This Row],[total_buer]]+outputs_oppsum[[#This Row],[total_sik]]</f>
        <v>0</v>
      </c>
      <c r="PI87" s="3349">
        <f>outputs_oppsum[[#This Row],[total_stab_hr]]/$AI$80</f>
        <v>0</v>
      </c>
      <c r="PJ87" s="431" t="str">
        <f t="shared" ref="PJ87:PT87" si="164">IF($BC$38=1,PJ69,IF($BC$38=2,PJ78))</f>
        <v>Ikke relevant</v>
      </c>
      <c r="PK87" s="431">
        <f t="shared" si="164"/>
        <v>0</v>
      </c>
      <c r="PL87" s="431" t="b">
        <f t="shared" si="164"/>
        <v>0</v>
      </c>
      <c r="PM87" s="431" t="b">
        <f t="shared" si="164"/>
        <v>0</v>
      </c>
      <c r="PN87" s="431" t="b">
        <f t="shared" si="164"/>
        <v>0</v>
      </c>
      <c r="PO87" s="431" t="str">
        <f t="shared" si="164"/>
        <v>Ikke relevant</v>
      </c>
      <c r="PP87" s="431">
        <f t="shared" si="164"/>
        <v>0</v>
      </c>
      <c r="PQ87" s="431">
        <f t="shared" si="164"/>
        <v>0</v>
      </c>
      <c r="PR87" s="431">
        <f t="shared" si="164"/>
        <v>0</v>
      </c>
      <c r="PS87" s="431">
        <f t="shared" si="164"/>
        <v>0</v>
      </c>
      <c r="PT87" s="431" t="e">
        <f t="shared" si="164"/>
        <v>#VALUE!</v>
      </c>
      <c r="PU87"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7" s="1656">
        <f>outputs_oppsum[[#This Row],[oppsum_drivetid_hr]]/$AI$80</f>
        <v>0</v>
      </c>
      <c r="PW87" s="843"/>
      <c r="PX87" s="431">
        <f t="shared" ref="PX87:RF87" si="165">IF($BC$38=1,PX69,IF($BC$38=2,PX78))</f>
        <v>0</v>
      </c>
      <c r="PY87" s="431" t="str">
        <f t="shared" si="165"/>
        <v>Ikke påvirket</v>
      </c>
      <c r="PZ87" s="431" t="str">
        <f t="shared" si="165"/>
        <v>-</v>
      </c>
      <c r="QA87" s="431" t="str">
        <f t="shared" si="165"/>
        <v>-</v>
      </c>
      <c r="QB87" s="431" t="str">
        <f t="shared" si="165"/>
        <v>-</v>
      </c>
      <c r="QC87" s="431" t="str">
        <f t="shared" si="165"/>
        <v>-</v>
      </c>
      <c r="QD87" s="431" t="str">
        <f t="shared" si="165"/>
        <v>-</v>
      </c>
      <c r="QE87" s="431" t="str">
        <f t="shared" si="165"/>
        <v>-</v>
      </c>
      <c r="QF87" s="431" t="str">
        <f t="shared" si="165"/>
        <v>-</v>
      </c>
      <c r="QG87" s="431" t="str">
        <f t="shared" si="165"/>
        <v>-</v>
      </c>
      <c r="QH87" s="431">
        <f t="shared" si="165"/>
        <v>0</v>
      </c>
      <c r="QI87" s="431" t="str">
        <f t="shared" si="165"/>
        <v>-</v>
      </c>
      <c r="QJ87" s="431">
        <f t="shared" si="165"/>
        <v>0</v>
      </c>
      <c r="QK87" s="431" t="str">
        <f t="shared" si="165"/>
        <v>-</v>
      </c>
      <c r="QL87" s="431">
        <f t="shared" si="165"/>
        <v>0</v>
      </c>
      <c r="QM87" s="431" t="str">
        <f t="shared" si="165"/>
        <v>-</v>
      </c>
      <c r="QN87" s="431">
        <f t="shared" si="165"/>
        <v>0</v>
      </c>
      <c r="QO87" s="431" t="str">
        <f t="shared" si="165"/>
        <v>-</v>
      </c>
      <c r="QP87" s="431">
        <f t="shared" si="165"/>
        <v>0</v>
      </c>
      <c r="QQ87" s="431">
        <f t="shared" si="165"/>
        <v>0</v>
      </c>
      <c r="QR87" s="431">
        <f t="shared" si="165"/>
        <v>0</v>
      </c>
      <c r="QS87" s="431" t="e">
        <f t="shared" si="165"/>
        <v>#N/A</v>
      </c>
      <c r="QT87" s="431" t="e">
        <f t="shared" si="165"/>
        <v>#N/A</v>
      </c>
      <c r="QU87" s="431" t="e">
        <f t="shared" si="165"/>
        <v>#N/A</v>
      </c>
      <c r="QV87" s="431" t="e">
        <f t="shared" si="165"/>
        <v>#N/A</v>
      </c>
      <c r="QW87" s="431" t="e">
        <f t="shared" si="165"/>
        <v>#N/A</v>
      </c>
      <c r="QX87" s="431" t="e">
        <f t="shared" si="165"/>
        <v>#N/A</v>
      </c>
      <c r="QY87" s="431" t="e">
        <f t="shared" si="165"/>
        <v>#N/A</v>
      </c>
      <c r="QZ87" s="431" t="e">
        <f t="shared" si="165"/>
        <v>#N/A</v>
      </c>
      <c r="RA87" s="431" t="e">
        <f t="shared" si="165"/>
        <v>#N/A</v>
      </c>
      <c r="RB87" s="431" t="e">
        <f t="shared" si="165"/>
        <v>#N/A</v>
      </c>
      <c r="RC87" s="431">
        <f t="shared" si="165"/>
        <v>0</v>
      </c>
      <c r="RD87" s="431">
        <f t="shared" si="165"/>
        <v>0</v>
      </c>
      <c r="RE87" s="431">
        <f t="shared" si="165"/>
        <v>1</v>
      </c>
      <c r="RF87" s="431" t="str">
        <f t="shared" si="165"/>
        <v>Enstuffs drift</v>
      </c>
      <c r="RG87" s="431" t="str">
        <f>IF(outputs_oppsum[[#This Row],[kon_metod_no]]=2,INDEX(framdriftfaktor[stab-foran_spreng_ratio],MATCH(outputs_oppsum[[#This Row],[stuff_id]],framdriftfaktor[stuff_id],0)),"-")</f>
        <v>-</v>
      </c>
      <c r="RH87" s="5269">
        <f>IF(outputs_oppsum[[#This Row],[kon_metod_no]]=2,INDEX(framdriftfaktor[beregnet_faktor_final],MATCH(outputs_oppsum[[#This Row],[stuff_id]],framdriftfaktor[stuff_id],0)),1)</f>
        <v>1</v>
      </c>
      <c r="RI87" s="5269" t="str">
        <f>IF(outputs_oppsum[[#This Row],[kon_metod]]=_List!$AW$8,INDEX(outputs_just[vek_faktor_bruker_definert_status],MATCH(outputs_oppsum[[#This Row],[stuff_navn]],outputs_just[Navn],0)),"")</f>
        <v/>
      </c>
      <c r="RJ87" s="5269" t="e">
        <f>IF(AND(outputs_oppsum[[#This Row],[kon_metod_no]]&lt;&gt;1,LP123=FALSE),LO123,"-")</f>
        <v>#N/A</v>
      </c>
      <c r="RK87" s="5269">
        <f>IF(AND(outputs_oppsum[[#This Row],[kon_metod_no]]=2,outputs_oppsum[[#This Row],[tverrslag_status_oppsum]]&lt;&gt;$I$90,outputs_oppsum[[#This Row],[faktor_bruker_definert]]=FALSE),outputs_oppsum[[#This Row],[faktor_user]],outputs_oppsum[[#This Row],[faktor_beregnet]])</f>
        <v>1</v>
      </c>
      <c r="RL87" s="1807">
        <f>IFERROR((outputs_oppsum[[#This Row],[faktor_final]]-1)*outputs_oppsum[[#This Row],[oppsum_drivetid_hr]]*outputs_oppsum[[#This Row],[veksel_prosent]],"-")</f>
        <v>0</v>
      </c>
      <c r="RM87" s="1807" t="str">
        <f>IF(outputs_oppsum[[#This Row],[kon_metod_no]]=2,outputs_oppsum[[#This Row],[ekstra_framdrift_tid_oppsum_hr]]/$AI$80,"-")</f>
        <v>-</v>
      </c>
      <c r="RN87" s="431" t="str">
        <f>IF(outputs_oppsum[[#This Row],[kon_metod_no]]=2,outputs_oppsum[[#This Row],[ekstra_drivetid_pga_faktor]],"-")</f>
        <v>-</v>
      </c>
      <c r="RO87" s="431">
        <f>IFERROR(outputs_oppsum[[#This Row],[oppsum_drivetid_hr]]+outputs_oppsum[[#This Row],[ekstra_drivetid_pga_faktor]],"-")</f>
        <v>0</v>
      </c>
      <c r="RP87"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7" s="5276">
        <f>IF(outputs_oppsum[[#This Row],[enstuff_prosent_input]]&gt;1,1,outputs_oppsum[[#This Row],[enstuff_prosent_input]])</f>
        <v>1</v>
      </c>
      <c r="RR87"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7" s="431"/>
      <c r="RT87" s="431"/>
      <c r="RU87" s="431"/>
      <c r="RV87" s="211"/>
      <c r="RW87" s="431" t="str">
        <f>IFERROR(outputs_oppsum[[#This Row],[drivetid_with_faktor]]+outputs_oppsum[[#This Row],[prosjekt_forbe_hr]]+outputs_oppsum[[#This Row],[total_forbe_hr]]+outputs_oppsum[[#This Row],[extra_for_tverrslag_sum]]+outputs_oppsum[[#This Row],[just_total_hr]]+outputs_oppsum[[#This Row],[forsinket_hr]],"!")</f>
        <v>!</v>
      </c>
      <c r="RX87" s="211" t="str">
        <f>IFERROR(outputs_oppsum[[#This Row],[oppsum_total_hr]]/$AI$80,"!")</f>
        <v>!</v>
      </c>
      <c r="RY87" s="431" t="str">
        <f>IF(MAX($RX$85:$RX$93)=outputs_oppsum[[#This Row],[oppsum_total_uke]],MAX($RX$85:$RX$93),"-")</f>
        <v>-</v>
      </c>
      <c r="RZ87" s="431" t="str">
        <f>IF(AND(ISNUMBER(outputs_oppsum[[#This Row],[Criticalstuff]]),$BC$34&lt;&gt;1,outputs_oppsum[[#This Row],[Criticalstuff]]&gt;0),$RZ$63,"")</f>
        <v/>
      </c>
      <c r="SA87" s="837"/>
      <c r="SB87" s="837"/>
      <c r="SC87" s="837"/>
      <c r="SD87" s="837"/>
      <c r="SE87" s="837"/>
      <c r="SF87" s="837"/>
      <c r="SO87" s="210"/>
      <c r="SP87" s="2617"/>
      <c r="SQ87" s="2617"/>
      <c r="SR87" s="2617"/>
      <c r="SS87" s="2617"/>
      <c r="ST87" s="2617"/>
      <c r="SU87" s="2617"/>
      <c r="SV87" s="2617"/>
      <c r="SW87" s="2617"/>
      <c r="SX87" s="2617"/>
      <c r="SY87" s="2617"/>
      <c r="SZ87" s="2617"/>
      <c r="TA87" s="2617"/>
      <c r="TB87" s="2617"/>
      <c r="TC87" s="2617"/>
      <c r="TD87" s="2617"/>
      <c r="TG87" s="435"/>
      <c r="TH87" s="435"/>
      <c r="TI87" s="435"/>
      <c r="TJ87" s="435"/>
      <c r="TK87" s="435"/>
      <c r="TL87" s="435"/>
      <c r="TM87" s="435"/>
      <c r="TN87" s="435"/>
      <c r="TO87" s="435"/>
      <c r="TP87" s="435"/>
      <c r="TQ87" s="435"/>
      <c r="TR87" s="435"/>
      <c r="TS87" s="435"/>
      <c r="TT87" s="435"/>
      <c r="TU87" s="435"/>
      <c r="TV87" s="435"/>
      <c r="TW87" s="181"/>
      <c r="TX87" s="435"/>
      <c r="TY87" s="435"/>
      <c r="TZ87" s="435"/>
      <c r="UA87" s="435"/>
      <c r="UB87" s="435"/>
      <c r="UC87" s="181"/>
      <c r="UD87" s="181"/>
      <c r="UE87" s="181"/>
      <c r="UF87" s="181"/>
      <c r="UG87" s="435"/>
      <c r="UH87" s="435"/>
      <c r="UI87" s="435"/>
      <c r="UJ87" s="435"/>
      <c r="UK87" s="435"/>
      <c r="UL87" s="183"/>
      <c r="UM87" s="183"/>
      <c r="UN87" s="183"/>
      <c r="UO87" s="183"/>
      <c r="UP87" s="183"/>
      <c r="UQ87" s="183"/>
      <c r="UR87" s="183"/>
      <c r="US87" s="183"/>
      <c r="UT87" s="183"/>
      <c r="UU87" s="2617"/>
      <c r="UV87" s="2617"/>
      <c r="UW87" s="2617"/>
      <c r="UX87" s="2617"/>
      <c r="UY87" s="2617"/>
      <c r="UZ87" s="2617"/>
      <c r="VA87" s="2617"/>
      <c r="VB87" s="2617"/>
      <c r="VC87" s="2617"/>
      <c r="VD87" s="2617"/>
      <c r="VE87" s="2617"/>
      <c r="VF87"/>
      <c r="VG87" s="2617"/>
      <c r="VH87" s="2617"/>
      <c r="VI87" s="2617"/>
      <c r="VJ87" s="2617"/>
      <c r="VK87" s="2617"/>
      <c r="VL87" s="2617"/>
      <c r="VM87" s="2617"/>
      <c r="VN87" s="2617"/>
      <c r="VO87" s="2617"/>
      <c r="VP87" s="2617"/>
      <c r="VQ87" s="2617"/>
      <c r="VR87" s="2617"/>
      <c r="VS87" s="2617"/>
      <c r="VT87" s="2617"/>
      <c r="VU87" s="2617"/>
      <c r="VV87" s="2617"/>
      <c r="VW87" s="2617"/>
      <c r="VX87" s="2617"/>
      <c r="VY87" s="2617"/>
      <c r="VZ87" s="2617"/>
      <c r="WA87" s="2617"/>
      <c r="WB87" s="2617"/>
      <c r="WC87" s="2617"/>
      <c r="WD87" s="2617"/>
      <c r="WE87" s="2617"/>
      <c r="WF87" s="2617"/>
      <c r="WG87" s="2617"/>
      <c r="WH87" s="2617"/>
      <c r="WI87" s="2617"/>
      <c r="WJ87" s="2617"/>
      <c r="WK87" s="2617"/>
      <c r="WL87" s="2617"/>
      <c r="WM87" s="2617"/>
      <c r="WN87" s="2617"/>
      <c r="WO87" s="2617"/>
      <c r="WP87" s="2617"/>
      <c r="WQ87" s="2617"/>
      <c r="WR87" s="2617"/>
      <c r="WS87" s="2617"/>
      <c r="WT87" s="2617"/>
      <c r="WU87" s="265"/>
      <c r="WV87" s="265"/>
      <c r="WW87" s="265"/>
      <c r="WX87" s="265"/>
      <c r="WY87" s="265"/>
      <c r="WZ87" s="265"/>
      <c r="XA87" s="265"/>
      <c r="XB87" s="265"/>
      <c r="XC87" s="265"/>
      <c r="XD87" s="265"/>
      <c r="XE87" s="265"/>
      <c r="XF87" s="265"/>
    </row>
    <row r="88" spans="9:645" ht="24.95" customHeight="1" x14ac:dyDescent="0.2">
      <c r="I88" s="5565"/>
      <c r="J88" s="372"/>
      <c r="K88" s="372"/>
      <c r="L88" s="372"/>
      <c r="M88" s="372"/>
      <c r="N88" s="372"/>
      <c r="O88" s="185"/>
      <c r="AL88" s="181"/>
      <c r="AM88" s="181"/>
      <c r="AN88" s="181"/>
      <c r="AO88" s="181"/>
      <c r="AP88" s="181"/>
      <c r="AQ88" s="181"/>
      <c r="AR88" s="181"/>
      <c r="AS88" s="181"/>
      <c r="AT88" s="181"/>
      <c r="AU88" s="2617"/>
      <c r="AV88" s="2617"/>
      <c r="BG88" s="184"/>
      <c r="BI88" s="183"/>
      <c r="EM88" s="210"/>
      <c r="EN88" s="210"/>
      <c r="EW88" s="210"/>
      <c r="EX88" s="210"/>
      <c r="EY88" s="210"/>
      <c r="EZ88" s="210"/>
      <c r="FA88" s="210"/>
      <c r="FB88" s="210"/>
      <c r="FC88" s="210"/>
      <c r="FD88" s="210"/>
      <c r="FE88" s="210"/>
      <c r="GH88" s="414"/>
      <c r="GJ88" s="439" t="str">
        <f t="shared" ref="GJ88:GJ96" si="166">BB49</f>
        <v>Stuff 1-1</v>
      </c>
      <c r="GK88" s="193">
        <f>Tunneldrift!$AD$141</f>
        <v>0</v>
      </c>
      <c r="GL88" s="185">
        <f>IF(Tunneldrift!$AD$141="",0,1)</f>
        <v>0</v>
      </c>
      <c r="GM88" s="2617"/>
      <c r="HH88" s="185">
        <f>Tunneldrift!M73</f>
        <v>0</v>
      </c>
      <c r="HI88" s="185">
        <f>Tunneldrift!AD73</f>
        <v>0</v>
      </c>
      <c r="KO88" s="407">
        <f t="shared" si="135"/>
        <v>41</v>
      </c>
      <c r="KP88" s="340" t="str">
        <f>$QR$135</f>
        <v>Stuff 1-4</v>
      </c>
      <c r="KQ88" s="5948" t="str">
        <f>IFERROR(INDEX(tunneldrift_vekseldrift[vekseldrift_lengde_final],MATCH(framdriftfaktor[[#This Row],[stuff_navn]],tunneldrift_vekseldrift[Stuff_navn],0))/INDEX(tunneldrift_vekseldrift[Input_stuff_lengde],MATCH(framdriftfaktor[[#This Row],[stuff_navn]],tunneldrift_vekseldrift[Stuff_navn],0)),"-")</f>
        <v>-</v>
      </c>
      <c r="KR88" s="340"/>
      <c r="KS88" s="241" t="str">
        <f t="shared" si="136"/>
        <v>-</v>
      </c>
      <c r="KT88" s="241" t="str">
        <f t="shared" si="137"/>
        <v>-</v>
      </c>
      <c r="KU88" s="241" t="str">
        <f t="shared" si="138"/>
        <v>-</v>
      </c>
      <c r="KV88" s="211" t="str">
        <f>IFERROR(framdriftfaktor[[#This Row],[sprengning_tid_hr]]*framdriftfaktor[[#This Row],[veksel_prosent]],"-")</f>
        <v>-</v>
      </c>
      <c r="KW88" s="211" t="str">
        <f>IFERROR(framdriftfaktor[[#This Row],[stabilitets_tid_hr]]*framdriftfaktor[[#This Row],[veksel_prosent]],"-")</f>
        <v>-</v>
      </c>
      <c r="KX88" s="211" t="str">
        <f>IFERROR(framdriftfaktor[[#This Row],[foran_tid_hr]]*framdriftfaktor[[#This Row],[veksel_prosent]],"-")</f>
        <v>-</v>
      </c>
      <c r="KY88" s="5346">
        <f>IFERROR((framdriftfaktor[[#This Row],[stabilitets_tid_hr_veksel_del]]+framdriftfaktor[[#This Row],[foran_tid_hr_veksel_del]]+KW92+KX92)/(framdriftfaktor[[#This Row],[sprengning_tid_hr_veksel_del]]+KV92),0)</f>
        <v>0</v>
      </c>
      <c r="KZ88" s="5346"/>
      <c r="LA88" s="5345" t="str">
        <f>IF(framdriftfaktor[[#This Row],[stab-foran_spreng_ratio]]&lt;$LL$90,$LJ$90,IF(AND(framdriftfaktor[[#This Row],[stab-foran_spreng_ratio]]&gt;=$LK$91,framdriftfaktor[[#This Row],[stab-foran_spreng_ratio]]&lt;$LL$91),$LJ$91,IF(framdriftfaktor[[#This Row],[stab-foran_spreng_ratio]]&gt;=$LK$92,$LJ$92,"!")))</f>
        <v>Lite</v>
      </c>
      <c r="LB88" s="5346">
        <f>IF(framdriftfaktor[[#This Row],[rating_stab-foran]]=$LJ$90,$LM$90+$LO$90*framdriftfaktor[[#This Row],[stab-foran_spreng_ratio]],IF(framdriftfaktor[[#This Row],[rating_stab-foran]]=$LJ$91,$LM$91+((framdriftfaktor[[#This Row],[stab-foran_spreng_ratio]]-$LK$91)*$LO$91),IF(framdriftfaktor[[#This Row],[rating_stab-foran]]=$LJ$92,$LM$92)))</f>
        <v>1.3</v>
      </c>
      <c r="LC88" s="5345">
        <f>framdriftfaktor[[#This Row],[beregnet_faktor_stab-foran]]</f>
        <v>1.3</v>
      </c>
      <c r="LD88" s="5347"/>
      <c r="LK88" s="5266" t="s">
        <v>2303</v>
      </c>
      <c r="LL88" s="5266"/>
      <c r="LM88" s="5266"/>
      <c r="LN88" s="5266"/>
      <c r="NI88" s="1567"/>
      <c r="NN88" s="407" t="s">
        <v>1157</v>
      </c>
      <c r="NO88" s="340" t="str">
        <f>$QR$135</f>
        <v>Stuff 1-4</v>
      </c>
      <c r="NP88" s="431">
        <f t="shared" ref="NP88:OL88" si="167">IF($BC$38=1,NP70,IF($BC$38=2,NP79))</f>
        <v>0</v>
      </c>
      <c r="NQ88" s="431">
        <f t="shared" si="167"/>
        <v>0</v>
      </c>
      <c r="NR88" s="431">
        <f t="shared" si="167"/>
        <v>0</v>
      </c>
      <c r="NS88" s="431">
        <f t="shared" si="167"/>
        <v>0</v>
      </c>
      <c r="NT88" s="431">
        <f t="shared" si="167"/>
        <v>0</v>
      </c>
      <c r="NU88" s="431">
        <f t="shared" si="167"/>
        <v>0</v>
      </c>
      <c r="NV88" s="431">
        <f t="shared" si="167"/>
        <v>0</v>
      </c>
      <c r="NW88" s="431">
        <f t="shared" si="167"/>
        <v>0</v>
      </c>
      <c r="NX88" s="431">
        <f t="shared" si="167"/>
        <v>0</v>
      </c>
      <c r="NY88" s="431">
        <f t="shared" si="167"/>
        <v>0</v>
      </c>
      <c r="NZ88" s="431">
        <f t="shared" si="167"/>
        <v>0</v>
      </c>
      <c r="OA88" s="431">
        <f t="shared" si="167"/>
        <v>0</v>
      </c>
      <c r="OB88" s="431">
        <f t="shared" si="167"/>
        <v>0</v>
      </c>
      <c r="OC88" s="431">
        <f t="shared" si="167"/>
        <v>0</v>
      </c>
      <c r="OD88" s="431">
        <f t="shared" si="167"/>
        <v>0</v>
      </c>
      <c r="OE88" s="431">
        <f t="shared" si="167"/>
        <v>0</v>
      </c>
      <c r="OF88" s="431">
        <f t="shared" si="167"/>
        <v>0</v>
      </c>
      <c r="OG88" s="431">
        <f t="shared" si="167"/>
        <v>0</v>
      </c>
      <c r="OH88" s="431">
        <f t="shared" si="167"/>
        <v>0</v>
      </c>
      <c r="OI88" s="431">
        <f t="shared" si="167"/>
        <v>0</v>
      </c>
      <c r="OJ88" s="431">
        <f t="shared" si="167"/>
        <v>0</v>
      </c>
      <c r="OK88" s="431">
        <f t="shared" si="167"/>
        <v>0</v>
      </c>
      <c r="OL88" s="431">
        <f t="shared" si="167"/>
        <v>0</v>
      </c>
      <c r="OM88" s="431">
        <f t="shared" si="140"/>
        <v>0</v>
      </c>
      <c r="ON88" s="431">
        <f t="shared" si="141"/>
        <v>0</v>
      </c>
      <c r="OO88" s="431">
        <f t="shared" si="142"/>
        <v>0</v>
      </c>
      <c r="OP88" s="431">
        <f t="shared" si="143"/>
        <v>0</v>
      </c>
      <c r="OQ88" s="431">
        <f t="shared" si="154"/>
        <v>0</v>
      </c>
      <c r="OR88" s="431">
        <f t="shared" ref="OR88:OT88" si="168">FC188</f>
        <v>0</v>
      </c>
      <c r="OS88" s="431">
        <f t="shared" si="168"/>
        <v>0</v>
      </c>
      <c r="OT88" s="431">
        <f t="shared" si="168"/>
        <v>0</v>
      </c>
      <c r="OU88" s="431">
        <f t="shared" si="156"/>
        <v>0</v>
      </c>
      <c r="OV88" s="431">
        <f t="shared" si="157"/>
        <v>0</v>
      </c>
      <c r="OW88" s="431"/>
      <c r="OX88" s="431">
        <f t="shared" si="145"/>
        <v>0</v>
      </c>
      <c r="OY88" s="431">
        <f t="shared" si="146"/>
        <v>0</v>
      </c>
      <c r="OZ88" s="431">
        <f t="shared" si="147"/>
        <v>0</v>
      </c>
      <c r="PA88" s="431">
        <f t="shared" si="148"/>
        <v>0</v>
      </c>
      <c r="PB88" s="3349">
        <f>outputs_oppsum[[#This Row],[manuell]]+outputs_oppsum[[#This Row],[kartlegging]]</f>
        <v>0</v>
      </c>
      <c r="PC88" s="3349">
        <f>outputs_oppsum[[#This Row],[lt4m]]+outputs_oppsum[[#This Row],[gt4m]]</f>
        <v>0</v>
      </c>
      <c r="PD88" s="3349">
        <f>outputs_oppsum[[#This Row],[bergbånd]]+outputs_oppsum[[#This Row],[nett]]+outputs_oppsum[[#This Row],[bergbånd_ekstra]]+outputs_oppsum[[#This Row],[festebolter_for_bergbånd]]+outputs_oppsum[[#This Row],[festebolter_for_nett]]+outputs_oppsum[[#This Row],[sprøytebetong_ved_nett]]</f>
        <v>0</v>
      </c>
      <c r="PE88" s="3349">
        <f>outputs_oppsum[[#This Row],[sprøytebetong]]</f>
        <v>0</v>
      </c>
      <c r="PF88" s="3349">
        <f>outputs_oppsum[[#This Row],[buer]]</f>
        <v>0</v>
      </c>
      <c r="PG88" s="3349">
        <f>outputs_oppsum[[#This Row],[sik123]]+outputs_oppsum[[#This Row],[sik4]]</f>
        <v>0</v>
      </c>
      <c r="PH88" s="3349">
        <f>outputs_oppsum[[#This Row],[total_man]]+outputs_oppsum[[#This Row],[total_bolt]]+outputs_oppsum[[#This Row],[total_bånd_og_nett]]+outputs_oppsum[[#This Row],[total_shot]]+outputs_oppsum[[#This Row],[total_buer]]+outputs_oppsum[[#This Row],[total_sik]]</f>
        <v>0</v>
      </c>
      <c r="PI88" s="3349">
        <f>outputs_oppsum[[#This Row],[total_stab_hr]]/$AI$80</f>
        <v>0</v>
      </c>
      <c r="PJ88" s="431" t="str">
        <f t="shared" ref="PJ88:PT88" si="169">IF($BC$38=1,PJ70,IF($BC$38=2,PJ79))</f>
        <v>Ikke relevant</v>
      </c>
      <c r="PK88" s="431">
        <f t="shared" si="169"/>
        <v>0</v>
      </c>
      <c r="PL88" s="431" t="b">
        <f t="shared" si="169"/>
        <v>0</v>
      </c>
      <c r="PM88" s="431" t="b">
        <f t="shared" si="169"/>
        <v>0</v>
      </c>
      <c r="PN88" s="431" t="b">
        <f t="shared" si="169"/>
        <v>0</v>
      </c>
      <c r="PO88" s="431" t="str">
        <f t="shared" si="169"/>
        <v>Ikke relevant</v>
      </c>
      <c r="PP88" s="431">
        <f t="shared" si="169"/>
        <v>0</v>
      </c>
      <c r="PQ88" s="431">
        <f t="shared" si="169"/>
        <v>0</v>
      </c>
      <c r="PR88" s="431">
        <f t="shared" si="169"/>
        <v>0</v>
      </c>
      <c r="PS88" s="431">
        <f t="shared" si="169"/>
        <v>0</v>
      </c>
      <c r="PT88" s="431" t="e">
        <f t="shared" si="169"/>
        <v>#VALUE!</v>
      </c>
      <c r="PU88"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8" s="1656">
        <f>outputs_oppsum[[#This Row],[oppsum_drivetid_hr]]/$AI$80</f>
        <v>0</v>
      </c>
      <c r="PW88" s="843"/>
      <c r="PX88" s="431">
        <f t="shared" ref="PX88:RF88" si="170">IF($BC$38=1,PX70,IF($BC$38=2,PX79))</f>
        <v>0</v>
      </c>
      <c r="PY88" s="431" t="str">
        <f t="shared" si="170"/>
        <v>Ikke påvirket</v>
      </c>
      <c r="PZ88" s="431" t="str">
        <f t="shared" si="170"/>
        <v>-</v>
      </c>
      <c r="QA88" s="431" t="str">
        <f t="shared" si="170"/>
        <v>-</v>
      </c>
      <c r="QB88" s="431" t="str">
        <f t="shared" si="170"/>
        <v>-</v>
      </c>
      <c r="QC88" s="431" t="str">
        <f t="shared" si="170"/>
        <v>-</v>
      </c>
      <c r="QD88" s="431" t="str">
        <f t="shared" si="170"/>
        <v>-</v>
      </c>
      <c r="QE88" s="431" t="str">
        <f t="shared" si="170"/>
        <v>-</v>
      </c>
      <c r="QF88" s="431" t="str">
        <f t="shared" si="170"/>
        <v>-</v>
      </c>
      <c r="QG88" s="431" t="str">
        <f t="shared" si="170"/>
        <v>-</v>
      </c>
      <c r="QH88" s="431">
        <f t="shared" si="170"/>
        <v>0</v>
      </c>
      <c r="QI88" s="431" t="str">
        <f t="shared" si="170"/>
        <v>-</v>
      </c>
      <c r="QJ88" s="431">
        <f t="shared" si="170"/>
        <v>0</v>
      </c>
      <c r="QK88" s="431" t="str">
        <f t="shared" si="170"/>
        <v>-</v>
      </c>
      <c r="QL88" s="431">
        <f t="shared" si="170"/>
        <v>0</v>
      </c>
      <c r="QM88" s="431" t="str">
        <f t="shared" si="170"/>
        <v>-</v>
      </c>
      <c r="QN88" s="431">
        <f t="shared" si="170"/>
        <v>0</v>
      </c>
      <c r="QO88" s="431" t="str">
        <f t="shared" si="170"/>
        <v>-</v>
      </c>
      <c r="QP88" s="431">
        <f t="shared" si="170"/>
        <v>0</v>
      </c>
      <c r="QQ88" s="431">
        <f t="shared" si="170"/>
        <v>0</v>
      </c>
      <c r="QR88" s="431">
        <f t="shared" si="170"/>
        <v>0</v>
      </c>
      <c r="QS88" s="431" t="e">
        <f t="shared" si="170"/>
        <v>#N/A</v>
      </c>
      <c r="QT88" s="431" t="e">
        <f t="shared" si="170"/>
        <v>#N/A</v>
      </c>
      <c r="QU88" s="431" t="e">
        <f t="shared" si="170"/>
        <v>#N/A</v>
      </c>
      <c r="QV88" s="431" t="e">
        <f t="shared" si="170"/>
        <v>#N/A</v>
      </c>
      <c r="QW88" s="431" t="e">
        <f t="shared" si="170"/>
        <v>#N/A</v>
      </c>
      <c r="QX88" s="431" t="e">
        <f t="shared" si="170"/>
        <v>#N/A</v>
      </c>
      <c r="QY88" s="431" t="e">
        <f t="shared" si="170"/>
        <v>#N/A</v>
      </c>
      <c r="QZ88" s="431" t="e">
        <f t="shared" si="170"/>
        <v>#N/A</v>
      </c>
      <c r="RA88" s="431" t="e">
        <f t="shared" si="170"/>
        <v>#N/A</v>
      </c>
      <c r="RB88" s="431" t="e">
        <f t="shared" si="170"/>
        <v>#N/A</v>
      </c>
      <c r="RC88" s="431">
        <f t="shared" si="170"/>
        <v>0</v>
      </c>
      <c r="RD88" s="431">
        <f t="shared" si="170"/>
        <v>0</v>
      </c>
      <c r="RE88" s="431">
        <f t="shared" si="170"/>
        <v>1</v>
      </c>
      <c r="RF88" s="431" t="str">
        <f t="shared" si="170"/>
        <v>Enstuffs drift</v>
      </c>
      <c r="RG88" s="431" t="str">
        <f>IF(outputs_oppsum[[#This Row],[kon_metod_no]]=2,INDEX(framdriftfaktor[stab-foran_spreng_ratio],MATCH(outputs_oppsum[[#This Row],[stuff_id]],framdriftfaktor[stuff_id],0)),"-")</f>
        <v>-</v>
      </c>
      <c r="RH88" s="5269">
        <f>IF(outputs_oppsum[[#This Row],[kon_metod_no]]=2,INDEX(framdriftfaktor[beregnet_faktor_final],MATCH(outputs_oppsum[[#This Row],[stuff_id]],framdriftfaktor[stuff_id],0)),1)</f>
        <v>1</v>
      </c>
      <c r="RI88" s="5269" t="str">
        <f>IF(outputs_oppsum[[#This Row],[kon_metod]]=_List!$AW$8,INDEX(outputs_just[vek_faktor_bruker_definert_status],MATCH(outputs_oppsum[[#This Row],[stuff_navn]],outputs_just[Navn],0)),"")</f>
        <v/>
      </c>
      <c r="RJ88" s="5269" t="e">
        <f>IF(AND(outputs_oppsum[[#This Row],[kon_metod_no]]&lt;&gt;1,LP124=FALSE),LO124,"-")</f>
        <v>#N/A</v>
      </c>
      <c r="RK88" s="5269">
        <f>IF(AND(outputs_oppsum[[#This Row],[kon_metod_no]]=2,outputs_oppsum[[#This Row],[tverrslag_status_oppsum]]&lt;&gt;$I$90,outputs_oppsum[[#This Row],[faktor_bruker_definert]]=FALSE),outputs_oppsum[[#This Row],[faktor_user]],outputs_oppsum[[#This Row],[faktor_beregnet]])</f>
        <v>1</v>
      </c>
      <c r="RL88" s="1807">
        <f>IFERROR((outputs_oppsum[[#This Row],[faktor_final]]-1)*outputs_oppsum[[#This Row],[oppsum_drivetid_hr]]*outputs_oppsum[[#This Row],[veksel_prosent]],"-")</f>
        <v>0</v>
      </c>
      <c r="RM88" s="1807" t="str">
        <f>IF(outputs_oppsum[[#This Row],[kon_metod_no]]=2,outputs_oppsum[[#This Row],[ekstra_framdrift_tid_oppsum_hr]]/$AI$80,"-")</f>
        <v>-</v>
      </c>
      <c r="RN88" s="431" t="str">
        <f>IF(outputs_oppsum[[#This Row],[kon_metod_no]]=2,outputs_oppsum[[#This Row],[ekstra_drivetid_pga_faktor]],"-")</f>
        <v>-</v>
      </c>
      <c r="RO88" s="431">
        <f>IFERROR(outputs_oppsum[[#This Row],[oppsum_drivetid_hr]]+outputs_oppsum[[#This Row],[ekstra_drivetid_pga_faktor]],"-")</f>
        <v>0</v>
      </c>
      <c r="RP88"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8" s="5276">
        <f>IF(outputs_oppsum[[#This Row],[enstuff_prosent_input]]&gt;1,1,outputs_oppsum[[#This Row],[enstuff_prosent_input]])</f>
        <v>1</v>
      </c>
      <c r="RR88"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8" s="431"/>
      <c r="RT88" s="431"/>
      <c r="RU88" s="431"/>
      <c r="RV88" s="211"/>
      <c r="RW88" s="431" t="str">
        <f>IFERROR(outputs_oppsum[[#This Row],[drivetid_with_faktor]]+outputs_oppsum[[#This Row],[prosjekt_forbe_hr]]+outputs_oppsum[[#This Row],[total_forbe_hr]]+outputs_oppsum[[#This Row],[extra_for_tverrslag_sum]]+outputs_oppsum[[#This Row],[just_total_hr]]+outputs_oppsum[[#This Row],[forsinket_hr]],"!")</f>
        <v>!</v>
      </c>
      <c r="RX88" s="211" t="str">
        <f>IFERROR(outputs_oppsum[[#This Row],[oppsum_total_hr]]/$AI$80,"!")</f>
        <v>!</v>
      </c>
      <c r="RY88" s="431" t="str">
        <f>IF(MAX($RX$85:$RX$93)=outputs_oppsum[[#This Row],[oppsum_total_uke]],MAX($RX$85:$RX$93),"-")</f>
        <v>-</v>
      </c>
      <c r="RZ88" s="431" t="str">
        <f>IF(AND(ISNUMBER(outputs_oppsum[[#This Row],[Criticalstuff]]),$BC$34&lt;&gt;1,outputs_oppsum[[#This Row],[Criticalstuff]]&gt;0),$RZ$63,"")</f>
        <v/>
      </c>
      <c r="SA88" s="837"/>
      <c r="SB88" s="837"/>
      <c r="SC88" s="837"/>
      <c r="SD88" s="837"/>
      <c r="SE88" s="837"/>
      <c r="SF88" s="837"/>
      <c r="SO88" s="210"/>
      <c r="SP88" s="2617"/>
      <c r="SQ88" s="2617"/>
      <c r="SR88" s="2617"/>
      <c r="SS88" s="2617"/>
      <c r="ST88" s="2617"/>
      <c r="SU88" s="2617"/>
      <c r="SV88" s="2617"/>
      <c r="SW88" s="2617"/>
      <c r="SX88" s="2617"/>
      <c r="SY88" s="2617"/>
      <c r="SZ88" s="2617"/>
      <c r="TA88" s="2617"/>
      <c r="TB88" s="2617"/>
      <c r="TC88" s="2617"/>
      <c r="TD88" s="2617"/>
      <c r="TR88" s="183"/>
      <c r="TW88" s="181"/>
      <c r="TX88" s="183"/>
      <c r="TY88" s="183"/>
      <c r="TZ88" s="183"/>
      <c r="UA88" s="183"/>
      <c r="UC88" s="181"/>
      <c r="UD88" s="181"/>
      <c r="UE88" s="181"/>
      <c r="UF88" s="181"/>
      <c r="UK88" s="183"/>
      <c r="UL88" s="183"/>
      <c r="UM88" s="183"/>
      <c r="UN88" s="183"/>
      <c r="UO88" s="183"/>
      <c r="UP88" s="183"/>
      <c r="UQ88" s="183"/>
      <c r="UR88" s="183"/>
      <c r="US88" s="183"/>
      <c r="UT88" s="183"/>
      <c r="UU88" s="2617"/>
      <c r="UV88" s="2617"/>
      <c r="UW88" s="2617"/>
      <c r="UX88" s="2617"/>
      <c r="UY88" s="2617"/>
      <c r="UZ88" s="2617"/>
      <c r="VA88" s="2617"/>
      <c r="VB88" s="2617"/>
      <c r="VC88" s="2617"/>
      <c r="VD88" s="2617"/>
      <c r="VE88" s="2617"/>
      <c r="VF88"/>
      <c r="VG88" s="2617"/>
      <c r="VH88" s="2617"/>
      <c r="VI88" s="2617"/>
      <c r="VJ88" s="2617"/>
      <c r="VK88" s="2617"/>
      <c r="VL88" s="2617"/>
      <c r="VM88" s="2617"/>
      <c r="VN88" s="2617"/>
      <c r="VO88" s="2617"/>
      <c r="VP88" s="2617"/>
      <c r="VQ88" s="2617"/>
      <c r="VR88" s="2617"/>
      <c r="VS88" s="2617"/>
      <c r="VT88" s="2617"/>
      <c r="VU88" s="2617"/>
      <c r="VV88" s="2617"/>
      <c r="VW88" s="2617"/>
      <c r="VX88" s="2617"/>
      <c r="VY88" s="2617"/>
      <c r="VZ88" s="2617"/>
      <c r="WA88" s="2617"/>
      <c r="WB88" s="2617"/>
      <c r="WC88" s="2617"/>
      <c r="WD88" s="2617"/>
      <c r="WE88" s="2617"/>
      <c r="WF88" s="2617"/>
      <c r="WG88" s="2617"/>
      <c r="WH88" s="2617"/>
      <c r="WI88" s="2617"/>
      <c r="WJ88" s="2617"/>
      <c r="WK88" s="2617"/>
      <c r="WL88" s="2617"/>
      <c r="WM88" s="2617"/>
      <c r="WN88" s="2617"/>
      <c r="WO88" s="2617"/>
      <c r="WP88" s="2617"/>
      <c r="WQ88" s="2617"/>
      <c r="WR88" s="2617"/>
      <c r="WS88" s="2617"/>
      <c r="WT88" s="2617"/>
      <c r="WU88" s="265"/>
      <c r="WV88" s="265"/>
      <c r="WW88" s="265"/>
      <c r="WX88" s="265"/>
      <c r="WY88" s="265"/>
      <c r="WZ88" s="265"/>
      <c r="XA88" s="265"/>
      <c r="XB88" s="265"/>
      <c r="XC88" s="265"/>
      <c r="XD88" s="265"/>
      <c r="XE88" s="265"/>
      <c r="XF88" s="265"/>
    </row>
    <row r="89" spans="9:645" x14ac:dyDescent="0.2">
      <c r="I89" s="5565" t="s">
        <v>1009</v>
      </c>
      <c r="J89" s="372"/>
      <c r="K89" s="372" t="s">
        <v>1206</v>
      </c>
      <c r="L89" s="372"/>
      <c r="M89" s="185"/>
      <c r="N89" s="185"/>
      <c r="O89" s="185"/>
      <c r="AL89" s="181"/>
      <c r="AM89" s="181"/>
      <c r="AN89" s="181"/>
      <c r="AO89" s="181"/>
      <c r="AP89" s="181"/>
      <c r="AQ89" s="181"/>
      <c r="AR89" s="181"/>
      <c r="AS89" s="181"/>
      <c r="AT89" s="181"/>
      <c r="AU89" s="2617"/>
      <c r="AV89" s="2617"/>
      <c r="BG89" s="184"/>
      <c r="BI89" s="183"/>
      <c r="ET89" s="354" t="s">
        <v>210</v>
      </c>
      <c r="EU89" s="185" t="s">
        <v>293</v>
      </c>
      <c r="EV89" s="185"/>
      <c r="EW89" s="2617"/>
      <c r="EX89" s="2617"/>
      <c r="EY89" s="2617"/>
      <c r="EZ89" s="2617"/>
      <c r="FA89" s="2617"/>
      <c r="FB89" s="2617"/>
      <c r="FC89" s="2617"/>
      <c r="FD89" s="2617"/>
      <c r="FE89" s="2617"/>
      <c r="GH89" s="414"/>
      <c r="GJ89" s="439" t="str">
        <f t="shared" si="166"/>
        <v>Stuff 1-2</v>
      </c>
      <c r="GK89" s="193">
        <f>Tunneldrift!$AO$141</f>
        <v>0</v>
      </c>
      <c r="GL89" s="185">
        <f>IF(Tunneldrift!$AO$141="",0,1)</f>
        <v>0</v>
      </c>
      <c r="HH89" s="230" t="str">
        <f>Tunneldrift!M78</f>
        <v>Tverrslagskonfigurasjon</v>
      </c>
      <c r="HI89" s="230" t="str">
        <f>Tunneldrift!AD78</f>
        <v>A</v>
      </c>
      <c r="KM89" s="184"/>
      <c r="KO89" s="407">
        <f t="shared" si="135"/>
        <v>51</v>
      </c>
      <c r="KP89" s="340" t="str">
        <f>$QS$135</f>
        <v>Stuff 2-1</v>
      </c>
      <c r="KQ89" s="5948" t="str">
        <f>IFERROR(INDEX(tunneldrift_vekseldrift[vekseldrift_lengde_final],MATCH(framdriftfaktor[[#This Row],[stuff_navn]],tunneldrift_vekseldrift[Stuff_navn],0))/INDEX(tunneldrift_vekseldrift[Input_stuff_lengde],MATCH(framdriftfaktor[[#This Row],[stuff_navn]],tunneldrift_vekseldrift[Stuff_navn],0)),"-")</f>
        <v>-</v>
      </c>
      <c r="KR89" s="340"/>
      <c r="KS89" s="241">
        <f t="shared" si="136"/>
        <v>0</v>
      </c>
      <c r="KT89" s="241">
        <f t="shared" si="137"/>
        <v>0</v>
      </c>
      <c r="KU89" s="241">
        <f t="shared" si="138"/>
        <v>0</v>
      </c>
      <c r="KV89" s="211" t="str">
        <f>IFERROR(framdriftfaktor[[#This Row],[sprengning_tid_hr]]*framdriftfaktor[[#This Row],[veksel_prosent]],"-")</f>
        <v>-</v>
      </c>
      <c r="KW89" s="211" t="str">
        <f>IFERROR(framdriftfaktor[[#This Row],[stabilitets_tid_hr]]*framdriftfaktor[[#This Row],[veksel_prosent]],"-")</f>
        <v>-</v>
      </c>
      <c r="KX89" s="211" t="str">
        <f>IFERROR(framdriftfaktor[[#This Row],[foran_tid_hr]]*framdriftfaktor[[#This Row],[veksel_prosent]],"-")</f>
        <v>-</v>
      </c>
      <c r="KY89" s="5346">
        <f>IFERROR((framdriftfaktor[[#This Row],[stabilitets_tid_hr_veksel_del]]+framdriftfaktor[[#This Row],[foran_tid_hr_veksel_del]]+KW85+KX85)/(framdriftfaktor[[#This Row],[sprengning_tid_hr_veksel_del]]+KV85),0)</f>
        <v>0</v>
      </c>
      <c r="KZ89" s="5346"/>
      <c r="LA89" s="5345" t="str">
        <f>IF(framdriftfaktor[[#This Row],[stab-foran_spreng_ratio]]&lt;$LL$90,$LJ$90,IF(AND(framdriftfaktor[[#This Row],[stab-foran_spreng_ratio]]&gt;=$LK$91,framdriftfaktor[[#This Row],[stab-foran_spreng_ratio]]&lt;$LL$91),$LJ$91,IF(framdriftfaktor[[#This Row],[stab-foran_spreng_ratio]]&gt;=$LK$92,$LJ$92,"!")))</f>
        <v>Lite</v>
      </c>
      <c r="LB89" s="5346">
        <f>IF(framdriftfaktor[[#This Row],[rating_stab-foran]]=$LJ$90,$LM$90+$LO$90*framdriftfaktor[[#This Row],[stab-foran_spreng_ratio]],IF(framdriftfaktor[[#This Row],[rating_stab-foran]]=$LJ$91,$LM$91+((framdriftfaktor[[#This Row],[stab-foran_spreng_ratio]]-$LK$91)*$LO$91),IF(framdriftfaktor[[#This Row],[rating_stab-foran]]=$LJ$92,$LM$92)))</f>
        <v>1.3</v>
      </c>
      <c r="LC89" s="5345">
        <f>framdriftfaktor[[#This Row],[beregnet_faktor_stab-foran]]</f>
        <v>1.3</v>
      </c>
      <c r="LD89" s="5347"/>
      <c r="LJ89" s="185"/>
      <c r="LK89" s="185" t="s">
        <v>2301</v>
      </c>
      <c r="LL89" s="185" t="s">
        <v>2302</v>
      </c>
      <c r="LM89" s="185" t="s">
        <v>2304</v>
      </c>
      <c r="LN89" s="185" t="s">
        <v>2305</v>
      </c>
      <c r="LO89" s="185" t="s">
        <v>2306</v>
      </c>
      <c r="NI89" s="1567"/>
      <c r="NN89" s="407" t="s">
        <v>1158</v>
      </c>
      <c r="NO89" s="340" t="str">
        <f>$QS$135</f>
        <v>Stuff 2-1</v>
      </c>
      <c r="NP89" s="431">
        <f t="shared" ref="NP89:OL89" si="171">IF($BC$38=1,NP71,IF($BC$38=2,NP80))</f>
        <v>0</v>
      </c>
      <c r="NQ89" s="431">
        <f t="shared" si="171"/>
        <v>0</v>
      </c>
      <c r="NR89" s="431">
        <f t="shared" si="171"/>
        <v>0</v>
      </c>
      <c r="NS89" s="431">
        <f t="shared" si="171"/>
        <v>0</v>
      </c>
      <c r="NT89" s="431">
        <f t="shared" si="171"/>
        <v>0</v>
      </c>
      <c r="NU89" s="431">
        <f t="shared" si="171"/>
        <v>0</v>
      </c>
      <c r="NV89" s="431">
        <f t="shared" si="171"/>
        <v>0</v>
      </c>
      <c r="NW89" s="431">
        <f t="shared" si="171"/>
        <v>0</v>
      </c>
      <c r="NX89" s="431">
        <f t="shared" si="171"/>
        <v>0</v>
      </c>
      <c r="NY89" s="431">
        <f t="shared" si="171"/>
        <v>0</v>
      </c>
      <c r="NZ89" s="431">
        <f t="shared" si="171"/>
        <v>0</v>
      </c>
      <c r="OA89" s="431">
        <f t="shared" si="171"/>
        <v>0</v>
      </c>
      <c r="OB89" s="431">
        <f t="shared" si="171"/>
        <v>0</v>
      </c>
      <c r="OC89" s="431">
        <f t="shared" si="171"/>
        <v>0</v>
      </c>
      <c r="OD89" s="431">
        <f t="shared" si="171"/>
        <v>0</v>
      </c>
      <c r="OE89" s="431">
        <f t="shared" si="171"/>
        <v>0</v>
      </c>
      <c r="OF89" s="431">
        <f t="shared" si="171"/>
        <v>0</v>
      </c>
      <c r="OG89" s="431">
        <f t="shared" si="171"/>
        <v>0</v>
      </c>
      <c r="OH89" s="431">
        <f t="shared" si="171"/>
        <v>0</v>
      </c>
      <c r="OI89" s="431">
        <f t="shared" si="171"/>
        <v>0</v>
      </c>
      <c r="OJ89" s="431">
        <f t="shared" si="171"/>
        <v>0</v>
      </c>
      <c r="OK89" s="431">
        <f t="shared" si="171"/>
        <v>0</v>
      </c>
      <c r="OL89" s="431">
        <f t="shared" si="171"/>
        <v>0</v>
      </c>
      <c r="OM89" s="431">
        <f t="shared" si="140"/>
        <v>0</v>
      </c>
      <c r="ON89" s="431">
        <f t="shared" si="141"/>
        <v>0</v>
      </c>
      <c r="OO89" s="431">
        <f t="shared" si="142"/>
        <v>0</v>
      </c>
      <c r="OP89" s="431">
        <f t="shared" si="143"/>
        <v>0</v>
      </c>
      <c r="OQ89" s="431">
        <f t="shared" si="154"/>
        <v>0</v>
      </c>
      <c r="OR89" s="431">
        <f t="shared" ref="OR89:OT89" si="172">FC189</f>
        <v>0</v>
      </c>
      <c r="OS89" s="431">
        <f t="shared" si="172"/>
        <v>0</v>
      </c>
      <c r="OT89" s="431">
        <f t="shared" si="172"/>
        <v>0</v>
      </c>
      <c r="OU89" s="431">
        <f t="shared" si="156"/>
        <v>0</v>
      </c>
      <c r="OV89" s="431">
        <f t="shared" si="157"/>
        <v>0</v>
      </c>
      <c r="OW89" s="431"/>
      <c r="OX89" s="431">
        <f t="shared" si="145"/>
        <v>0</v>
      </c>
      <c r="OY89" s="431">
        <f t="shared" si="146"/>
        <v>0</v>
      </c>
      <c r="OZ89" s="431">
        <f t="shared" si="147"/>
        <v>0</v>
      </c>
      <c r="PA89" s="431">
        <f t="shared" si="148"/>
        <v>0</v>
      </c>
      <c r="PB89" s="3349">
        <f>outputs_oppsum[[#This Row],[manuell]]+outputs_oppsum[[#This Row],[kartlegging]]</f>
        <v>0</v>
      </c>
      <c r="PC89" s="3349">
        <f>outputs_oppsum[[#This Row],[lt4m]]+outputs_oppsum[[#This Row],[gt4m]]</f>
        <v>0</v>
      </c>
      <c r="PD89" s="3349">
        <f>outputs_oppsum[[#This Row],[bergbånd]]+outputs_oppsum[[#This Row],[nett]]+outputs_oppsum[[#This Row],[bergbånd_ekstra]]+outputs_oppsum[[#This Row],[festebolter_for_bergbånd]]+outputs_oppsum[[#This Row],[festebolter_for_nett]]+outputs_oppsum[[#This Row],[sprøytebetong_ved_nett]]</f>
        <v>0</v>
      </c>
      <c r="PE89" s="3349">
        <f>outputs_oppsum[[#This Row],[sprøytebetong]]</f>
        <v>0</v>
      </c>
      <c r="PF89" s="3349">
        <f>outputs_oppsum[[#This Row],[buer]]</f>
        <v>0</v>
      </c>
      <c r="PG89" s="3349">
        <f>outputs_oppsum[[#This Row],[sik123]]+outputs_oppsum[[#This Row],[sik4]]</f>
        <v>0</v>
      </c>
      <c r="PH89" s="3349">
        <f>outputs_oppsum[[#This Row],[total_man]]+outputs_oppsum[[#This Row],[total_bolt]]+outputs_oppsum[[#This Row],[total_bånd_og_nett]]+outputs_oppsum[[#This Row],[total_shot]]+outputs_oppsum[[#This Row],[total_buer]]+outputs_oppsum[[#This Row],[total_sik]]</f>
        <v>0</v>
      </c>
      <c r="PI89" s="3349">
        <f>outputs_oppsum[[#This Row],[total_stab_hr]]/$AI$80</f>
        <v>0</v>
      </c>
      <c r="PJ89" s="431" t="str">
        <f t="shared" ref="PJ89:PT89" si="173">IF($BC$38=1,PJ71,IF($BC$38=2,PJ80))</f>
        <v>Ikke relevant</v>
      </c>
      <c r="PK89" s="431">
        <f t="shared" si="173"/>
        <v>0</v>
      </c>
      <c r="PL89" s="431" t="b">
        <f t="shared" si="173"/>
        <v>0</v>
      </c>
      <c r="PM89" s="431" t="b">
        <f t="shared" si="173"/>
        <v>0</v>
      </c>
      <c r="PN89" s="431" t="b">
        <f t="shared" si="173"/>
        <v>0</v>
      </c>
      <c r="PO89" s="431" t="str">
        <f t="shared" si="173"/>
        <v>Ikke relevant</v>
      </c>
      <c r="PP89" s="431">
        <f t="shared" si="173"/>
        <v>0</v>
      </c>
      <c r="PQ89" s="431">
        <f t="shared" si="173"/>
        <v>0</v>
      </c>
      <c r="PR89" s="431">
        <f t="shared" si="173"/>
        <v>0</v>
      </c>
      <c r="PS89" s="431">
        <f t="shared" si="173"/>
        <v>0</v>
      </c>
      <c r="PT89" s="431" t="e">
        <f t="shared" si="173"/>
        <v>#VALUE!</v>
      </c>
      <c r="PU89"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89" s="1656">
        <f>outputs_oppsum[[#This Row],[oppsum_drivetid_hr]]/$AI$80</f>
        <v>0</v>
      </c>
      <c r="PW89" s="843"/>
      <c r="PX89" s="431">
        <f t="shared" ref="PX89:RF89" si="174">IF($BC$38=1,PX71,IF($BC$38=2,PX80))</f>
        <v>0</v>
      </c>
      <c r="PY89" s="431" t="str">
        <f t="shared" si="174"/>
        <v>Ikke påvirket</v>
      </c>
      <c r="PZ89" s="431" t="str">
        <f t="shared" si="174"/>
        <v>-</v>
      </c>
      <c r="QA89" s="431" t="str">
        <f t="shared" si="174"/>
        <v>-</v>
      </c>
      <c r="QB89" s="431" t="str">
        <f t="shared" si="174"/>
        <v>-</v>
      </c>
      <c r="QC89" s="431" t="str">
        <f t="shared" si="174"/>
        <v>-</v>
      </c>
      <c r="QD89" s="431" t="str">
        <f t="shared" si="174"/>
        <v>-</v>
      </c>
      <c r="QE89" s="431" t="str">
        <f t="shared" si="174"/>
        <v>-</v>
      </c>
      <c r="QF89" s="431" t="str">
        <f t="shared" si="174"/>
        <v>-</v>
      </c>
      <c r="QG89" s="431" t="str">
        <f t="shared" si="174"/>
        <v>-</v>
      </c>
      <c r="QH89" s="431">
        <f t="shared" si="174"/>
        <v>0</v>
      </c>
      <c r="QI89" s="431" t="str">
        <f t="shared" si="174"/>
        <v>-</v>
      </c>
      <c r="QJ89" s="431">
        <f t="shared" si="174"/>
        <v>0</v>
      </c>
      <c r="QK89" s="431" t="str">
        <f t="shared" si="174"/>
        <v>-</v>
      </c>
      <c r="QL89" s="431">
        <f t="shared" si="174"/>
        <v>0</v>
      </c>
      <c r="QM89" s="431" t="str">
        <f t="shared" si="174"/>
        <v>-</v>
      </c>
      <c r="QN89" s="431">
        <f t="shared" si="174"/>
        <v>0</v>
      </c>
      <c r="QO89" s="431" t="str">
        <f t="shared" si="174"/>
        <v>-</v>
      </c>
      <c r="QP89" s="431">
        <f t="shared" si="174"/>
        <v>0</v>
      </c>
      <c r="QQ89" s="431">
        <f t="shared" si="174"/>
        <v>0</v>
      </c>
      <c r="QR89" s="431">
        <f t="shared" si="174"/>
        <v>0</v>
      </c>
      <c r="QS89" s="431" t="e">
        <f t="shared" si="174"/>
        <v>#N/A</v>
      </c>
      <c r="QT89" s="431" t="e">
        <f t="shared" si="174"/>
        <v>#N/A</v>
      </c>
      <c r="QU89" s="431" t="e">
        <f t="shared" si="174"/>
        <v>#N/A</v>
      </c>
      <c r="QV89" s="431" t="e">
        <f t="shared" si="174"/>
        <v>#N/A</v>
      </c>
      <c r="QW89" s="431" t="e">
        <f t="shared" si="174"/>
        <v>#N/A</v>
      </c>
      <c r="QX89" s="431" t="e">
        <f t="shared" si="174"/>
        <v>#N/A</v>
      </c>
      <c r="QY89" s="431" t="e">
        <f t="shared" si="174"/>
        <v>#N/A</v>
      </c>
      <c r="QZ89" s="431" t="e">
        <f t="shared" si="174"/>
        <v>#N/A</v>
      </c>
      <c r="RA89" s="431" t="e">
        <f t="shared" si="174"/>
        <v>#N/A</v>
      </c>
      <c r="RB89" s="431" t="e">
        <f t="shared" si="174"/>
        <v>#N/A</v>
      </c>
      <c r="RC89" s="431">
        <f t="shared" si="174"/>
        <v>0</v>
      </c>
      <c r="RD89" s="431">
        <f t="shared" si="174"/>
        <v>0</v>
      </c>
      <c r="RE89" s="431">
        <f t="shared" si="174"/>
        <v>1</v>
      </c>
      <c r="RF89" s="431" t="str">
        <f t="shared" si="174"/>
        <v>Enstuffs drift</v>
      </c>
      <c r="RG89" s="431" t="str">
        <f>IF(outputs_oppsum[[#This Row],[kon_metod_no]]=2,INDEX(framdriftfaktor[stab-foran_spreng_ratio],MATCH(outputs_oppsum[[#This Row],[stuff_id]],framdriftfaktor[stuff_id],0)),"-")</f>
        <v>-</v>
      </c>
      <c r="RH89" s="5269">
        <f>IF(outputs_oppsum[[#This Row],[kon_metod_no]]=2,INDEX(framdriftfaktor[beregnet_faktor_final],MATCH(outputs_oppsum[[#This Row],[stuff_id]],framdriftfaktor[stuff_id],0)),1)</f>
        <v>1</v>
      </c>
      <c r="RI89" s="5269" t="str">
        <f>IF(outputs_oppsum[[#This Row],[kon_metod]]=_List!$AW$8,INDEX(outputs_just[vek_faktor_bruker_definert_status],MATCH(outputs_oppsum[[#This Row],[stuff_navn]],outputs_just[Navn],0)),"")</f>
        <v/>
      </c>
      <c r="RJ89" s="5269" t="e">
        <f>IF(AND(outputs_oppsum[[#This Row],[kon_metod_no]]&lt;&gt;1,LP125=FALSE),LO125,"-")</f>
        <v>#N/A</v>
      </c>
      <c r="RK89" s="5269">
        <f>IF(AND(outputs_oppsum[[#This Row],[kon_metod_no]]=2,outputs_oppsum[[#This Row],[tverrslag_status_oppsum]]&lt;&gt;$I$90,outputs_oppsum[[#This Row],[faktor_bruker_definert]]=FALSE),outputs_oppsum[[#This Row],[faktor_user]],outputs_oppsum[[#This Row],[faktor_beregnet]])</f>
        <v>1</v>
      </c>
      <c r="RL89" s="1807">
        <f>IFERROR((outputs_oppsum[[#This Row],[faktor_final]]-1)*outputs_oppsum[[#This Row],[oppsum_drivetid_hr]]*outputs_oppsum[[#This Row],[veksel_prosent]],"-")</f>
        <v>0</v>
      </c>
      <c r="RM89" s="1807" t="str">
        <f>IF(outputs_oppsum[[#This Row],[kon_metod_no]]=2,outputs_oppsum[[#This Row],[ekstra_framdrift_tid_oppsum_hr]]/$AI$80,"-")</f>
        <v>-</v>
      </c>
      <c r="RN89" s="431" t="str">
        <f>IF(outputs_oppsum[[#This Row],[kon_metod_no]]=2,outputs_oppsum[[#This Row],[ekstra_drivetid_pga_faktor]],"-")</f>
        <v>-</v>
      </c>
      <c r="RO89" s="431">
        <f>IFERROR(outputs_oppsum[[#This Row],[oppsum_drivetid_hr]]+outputs_oppsum[[#This Row],[ekstra_drivetid_pga_faktor]],"-")</f>
        <v>0</v>
      </c>
      <c r="RP89"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89" s="5276">
        <f>IF(outputs_oppsum[[#This Row],[enstuff_prosent_input]]&gt;1,1,outputs_oppsum[[#This Row],[enstuff_prosent_input]])</f>
        <v>1</v>
      </c>
      <c r="RR89"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89" s="431"/>
      <c r="RT89" s="431"/>
      <c r="RU89" s="431"/>
      <c r="RV89" s="211"/>
      <c r="RW89" s="431" t="str">
        <f>IFERROR(outputs_oppsum[[#This Row],[drivetid_with_faktor]]+outputs_oppsum[[#This Row],[prosjekt_forbe_hr]]+outputs_oppsum[[#This Row],[total_forbe_hr]]+outputs_oppsum[[#This Row],[extra_for_tverrslag_sum]]+outputs_oppsum[[#This Row],[just_total_hr]]+outputs_oppsum[[#This Row],[forsinket_hr]],"!")</f>
        <v>!</v>
      </c>
      <c r="RX89" s="211" t="str">
        <f>IFERROR(outputs_oppsum[[#This Row],[oppsum_total_hr]]/$AI$80,"!")</f>
        <v>!</v>
      </c>
      <c r="RY89" s="431" t="str">
        <f>IF(MAX($RX$85:$RX$93)=outputs_oppsum[[#This Row],[oppsum_total_uke]],MAX($RX$85:$RX$93),"-")</f>
        <v>-</v>
      </c>
      <c r="RZ89" s="431" t="str">
        <f>IF(AND(ISNUMBER(outputs_oppsum[[#This Row],[Criticalstuff]]),$BC$34&lt;&gt;1,outputs_oppsum[[#This Row],[Criticalstuff]]&gt;0),$RZ$63,"")</f>
        <v/>
      </c>
      <c r="SA89" s="837"/>
      <c r="SB89" s="837"/>
      <c r="SC89" s="837"/>
      <c r="SD89" s="837"/>
      <c r="SE89" s="837"/>
      <c r="SF89" s="837"/>
      <c r="SO89" s="210"/>
      <c r="SP89" s="2617"/>
      <c r="SQ89" s="2617"/>
      <c r="SR89" s="2617"/>
      <c r="SS89" s="2617"/>
      <c r="ST89" s="2617"/>
      <c r="SU89" s="2617"/>
      <c r="SV89" s="2617"/>
      <c r="SW89" s="2617"/>
      <c r="SX89" s="2617"/>
      <c r="SY89" s="2617"/>
      <c r="SZ89" s="2617"/>
      <c r="TA89" s="2617"/>
      <c r="TB89" s="2617"/>
      <c r="TC89" s="2617"/>
      <c r="TD89" s="2617"/>
      <c r="TR89" s="183"/>
      <c r="TW89" s="181"/>
      <c r="TX89" s="183"/>
      <c r="TY89" s="183"/>
      <c r="TZ89" s="183"/>
      <c r="UA89" s="183"/>
      <c r="UC89" s="181"/>
      <c r="UD89" s="181"/>
      <c r="UE89" s="181"/>
      <c r="UF89" s="181"/>
      <c r="UK89" s="183"/>
      <c r="UL89" s="183"/>
      <c r="UM89" s="183"/>
      <c r="UN89" s="183"/>
      <c r="UO89" s="183"/>
      <c r="UP89" s="183"/>
      <c r="UQ89" s="183"/>
      <c r="UR89" s="183"/>
      <c r="US89" s="183"/>
      <c r="UT89" s="183"/>
      <c r="UU89" s="2617"/>
      <c r="UV89" s="2617"/>
      <c r="UW89" s="2617"/>
      <c r="UX89" s="2617"/>
      <c r="UY89" s="2617"/>
      <c r="UZ89" s="2617"/>
      <c r="VA89" s="2617"/>
      <c r="VB89" s="2617"/>
      <c r="VC89" s="2617"/>
      <c r="VD89" s="2617"/>
      <c r="VE89" s="2617"/>
      <c r="VF89"/>
      <c r="VG89" s="2617"/>
      <c r="VH89" s="2617"/>
      <c r="VI89" s="2617"/>
      <c r="VJ89" s="2617"/>
      <c r="VK89" s="2617"/>
      <c r="VL89" s="2617"/>
      <c r="VM89" s="2617"/>
      <c r="VN89" s="2617"/>
      <c r="VO89" s="2617"/>
      <c r="VP89" s="2617"/>
      <c r="VQ89" s="2617"/>
      <c r="VR89" s="2617"/>
      <c r="VS89" s="2617"/>
      <c r="VT89" s="2617"/>
      <c r="VU89" s="2617"/>
      <c r="VV89" s="2617"/>
      <c r="VW89" s="2617"/>
      <c r="VX89" s="2617"/>
      <c r="VY89" s="2617"/>
      <c r="VZ89" s="2617"/>
      <c r="WA89" s="2617"/>
      <c r="WB89" s="2617"/>
      <c r="WC89" s="2617"/>
      <c r="WD89" s="2617"/>
      <c r="WE89" s="2617"/>
      <c r="WF89" s="2617"/>
      <c r="WG89" s="2617"/>
      <c r="WH89" s="2617"/>
      <c r="WI89" s="2617"/>
      <c r="WJ89" s="2617"/>
      <c r="WK89" s="2617"/>
      <c r="WL89" s="2617"/>
      <c r="WM89" s="2617"/>
      <c r="WN89" s="2617"/>
      <c r="WO89" s="2617"/>
      <c r="WP89" s="2617"/>
      <c r="WQ89" s="2617"/>
      <c r="WR89" s="2617"/>
      <c r="WS89" s="2617"/>
      <c r="WT89" s="2617"/>
      <c r="WU89" s="265"/>
      <c r="WV89" s="265"/>
      <c r="WW89" s="265"/>
      <c r="WX89" s="265"/>
      <c r="WY89" s="265"/>
      <c r="WZ89" s="265"/>
      <c r="XA89" s="265"/>
      <c r="XB89" s="265"/>
      <c r="XC89" s="265"/>
      <c r="XD89" s="265"/>
      <c r="XE89" s="265"/>
      <c r="XF89" s="265"/>
    </row>
    <row r="90" spans="9:645" ht="27.75" customHeight="1" x14ac:dyDescent="0.2">
      <c r="I90" s="5565" t="s">
        <v>832</v>
      </c>
      <c r="J90" s="372"/>
      <c r="K90" s="372" t="s">
        <v>258</v>
      </c>
      <c r="L90" s="372"/>
      <c r="M90" s="185"/>
      <c r="N90" s="185"/>
      <c r="O90" s="185"/>
      <c r="AL90" s="181"/>
      <c r="AM90" s="181"/>
      <c r="AN90" s="181"/>
      <c r="AO90" s="181"/>
      <c r="AP90" s="181"/>
      <c r="AQ90" s="181"/>
      <c r="AR90" s="181"/>
      <c r="AS90" s="181"/>
      <c r="AT90" s="181"/>
      <c r="AU90" s="2617"/>
      <c r="AV90" s="2617"/>
      <c r="EM90" s="210"/>
      <c r="EN90" s="210"/>
      <c r="ET90" s="354" t="s">
        <v>210</v>
      </c>
      <c r="EU90" s="185" t="s">
        <v>294</v>
      </c>
      <c r="EV90" s="185"/>
      <c r="EW90" s="2617"/>
      <c r="EX90" s="2617"/>
      <c r="EY90" s="2617"/>
      <c r="EZ90" s="2617"/>
      <c r="FA90" s="2617"/>
      <c r="FB90" s="2617"/>
      <c r="FC90" s="2617"/>
      <c r="FD90" s="2617"/>
      <c r="FE90" s="2617"/>
      <c r="GH90" s="414"/>
      <c r="GJ90" s="439" t="str">
        <f t="shared" si="166"/>
        <v>Stuff 1-3</v>
      </c>
      <c r="GK90" s="193">
        <f>Tunneldrift!$AZ$141</f>
        <v>0</v>
      </c>
      <c r="GL90" s="185">
        <f>IF(Tunneldrift!$AZ$141="",0,1)</f>
        <v>0</v>
      </c>
      <c r="HH90" s="185">
        <f>Tunneldrift!M75</f>
        <v>0</v>
      </c>
      <c r="HI90" s="185">
        <f>Tunneldrift!AD75</f>
        <v>0</v>
      </c>
      <c r="IH90" s="1765" t="s">
        <v>2704</v>
      </c>
      <c r="II90" s="3402"/>
      <c r="IJ90" s="3402"/>
      <c r="KO90" s="407">
        <f t="shared" si="135"/>
        <v>61</v>
      </c>
      <c r="KP90" s="340" t="str">
        <f>$QT$135</f>
        <v>Stuff 2-2</v>
      </c>
      <c r="KQ90" s="5948" t="str">
        <f>IFERROR(INDEX(tunneldrift_vekseldrift[vekseldrift_lengde_final],MATCH(framdriftfaktor[[#This Row],[stuff_navn]],tunneldrift_vekseldrift[Stuff_navn],0))/INDEX(tunneldrift_vekseldrift[Input_stuff_lengde],MATCH(framdriftfaktor[[#This Row],[stuff_navn]],tunneldrift_vekseldrift[Stuff_navn],0)),"-")</f>
        <v>-</v>
      </c>
      <c r="KR90" s="340"/>
      <c r="KS90" s="241">
        <f t="shared" si="136"/>
        <v>0</v>
      </c>
      <c r="KT90" s="241">
        <f t="shared" si="137"/>
        <v>0</v>
      </c>
      <c r="KU90" s="241">
        <f t="shared" si="138"/>
        <v>0</v>
      </c>
      <c r="KV90" s="211" t="str">
        <f>IFERROR(framdriftfaktor[[#This Row],[sprengning_tid_hr]]*framdriftfaktor[[#This Row],[veksel_prosent]],"-")</f>
        <v>-</v>
      </c>
      <c r="KW90" s="211" t="str">
        <f>IFERROR(framdriftfaktor[[#This Row],[stabilitets_tid_hr]]*framdriftfaktor[[#This Row],[veksel_prosent]],"-")</f>
        <v>-</v>
      </c>
      <c r="KX90" s="211" t="str">
        <f>IFERROR(framdriftfaktor[[#This Row],[foran_tid_hr]]*framdriftfaktor[[#This Row],[veksel_prosent]],"-")</f>
        <v>-</v>
      </c>
      <c r="KY90" s="5346">
        <f>IFERROR((framdriftfaktor[[#This Row],[stabilitets_tid_hr_veksel_del]]+framdriftfaktor[[#This Row],[foran_tid_hr_veksel_del]]+KW86+KX86)/(framdriftfaktor[[#This Row],[sprengning_tid_hr_veksel_del]]+KV86),0)</f>
        <v>0</v>
      </c>
      <c r="KZ90" s="5346"/>
      <c r="LA90" s="5345" t="str">
        <f>IF(framdriftfaktor[[#This Row],[stab-foran_spreng_ratio]]&lt;$LL$90,$LJ$90,IF(AND(framdriftfaktor[[#This Row],[stab-foran_spreng_ratio]]&gt;=$LK$91,framdriftfaktor[[#This Row],[stab-foran_spreng_ratio]]&lt;$LL$91),$LJ$91,IF(framdriftfaktor[[#This Row],[stab-foran_spreng_ratio]]&gt;=$LK$92,$LJ$92,"!")))</f>
        <v>Lite</v>
      </c>
      <c r="LB90" s="5346">
        <f>IF(framdriftfaktor[[#This Row],[rating_stab-foran]]=$LJ$90,$LM$90+$LO$90*framdriftfaktor[[#This Row],[stab-foran_spreng_ratio]],IF(framdriftfaktor[[#This Row],[rating_stab-foran]]=$LJ$91,$LM$91+((framdriftfaktor[[#This Row],[stab-foran_spreng_ratio]]-$LK$91)*$LO$91),IF(framdriftfaktor[[#This Row],[rating_stab-foran]]=$LJ$92,$LM$92)))</f>
        <v>1.3</v>
      </c>
      <c r="LC90" s="5345">
        <f>framdriftfaktor[[#This Row],[beregnet_faktor_stab-foran]]</f>
        <v>1.3</v>
      </c>
      <c r="LD90" s="5347"/>
      <c r="LJ90" s="185" t="s">
        <v>2300</v>
      </c>
      <c r="LK90" s="2815">
        <v>0</v>
      </c>
      <c r="LL90" s="2815">
        <v>0.3</v>
      </c>
      <c r="LM90" s="2815">
        <v>1.3</v>
      </c>
      <c r="LN90" s="2815">
        <f>LM91</f>
        <v>1.45</v>
      </c>
      <c r="LO90" s="241">
        <f>(LN90-LM90)/(LL90-LK90)</f>
        <v>0.49999999999999972</v>
      </c>
      <c r="LQ90" s="5268">
        <f>LM90+LO90*LR87</f>
        <v>1.8499999999999996</v>
      </c>
      <c r="NI90" s="1567"/>
      <c r="NN90" s="407" t="s">
        <v>1159</v>
      </c>
      <c r="NO90" s="340" t="str">
        <f>$QT$135</f>
        <v>Stuff 2-2</v>
      </c>
      <c r="NP90" s="431">
        <f t="shared" ref="NP90:OL90" si="175">IF($BC$38=1,NP72,IF($BC$38=2,NP81))</f>
        <v>0</v>
      </c>
      <c r="NQ90" s="431">
        <f t="shared" si="175"/>
        <v>0</v>
      </c>
      <c r="NR90" s="431">
        <f t="shared" si="175"/>
        <v>0</v>
      </c>
      <c r="NS90" s="431">
        <f t="shared" si="175"/>
        <v>0</v>
      </c>
      <c r="NT90" s="431">
        <f t="shared" si="175"/>
        <v>0</v>
      </c>
      <c r="NU90" s="431">
        <f t="shared" si="175"/>
        <v>0</v>
      </c>
      <c r="NV90" s="431">
        <f t="shared" si="175"/>
        <v>0</v>
      </c>
      <c r="NW90" s="431">
        <f t="shared" si="175"/>
        <v>0</v>
      </c>
      <c r="NX90" s="431">
        <f t="shared" si="175"/>
        <v>0</v>
      </c>
      <c r="NY90" s="431">
        <f t="shared" si="175"/>
        <v>0</v>
      </c>
      <c r="NZ90" s="431">
        <f t="shared" si="175"/>
        <v>0</v>
      </c>
      <c r="OA90" s="431">
        <f t="shared" si="175"/>
        <v>0</v>
      </c>
      <c r="OB90" s="431">
        <f t="shared" si="175"/>
        <v>0</v>
      </c>
      <c r="OC90" s="431">
        <f t="shared" si="175"/>
        <v>0</v>
      </c>
      <c r="OD90" s="431">
        <f t="shared" si="175"/>
        <v>0</v>
      </c>
      <c r="OE90" s="431">
        <f t="shared" si="175"/>
        <v>0</v>
      </c>
      <c r="OF90" s="431">
        <f t="shared" si="175"/>
        <v>0</v>
      </c>
      <c r="OG90" s="431">
        <f t="shared" si="175"/>
        <v>0</v>
      </c>
      <c r="OH90" s="431">
        <f t="shared" si="175"/>
        <v>0</v>
      </c>
      <c r="OI90" s="431">
        <f t="shared" si="175"/>
        <v>0</v>
      </c>
      <c r="OJ90" s="431">
        <f t="shared" si="175"/>
        <v>0</v>
      </c>
      <c r="OK90" s="431">
        <f t="shared" si="175"/>
        <v>0</v>
      </c>
      <c r="OL90" s="431">
        <f t="shared" si="175"/>
        <v>0</v>
      </c>
      <c r="OM90" s="431">
        <f t="shared" si="140"/>
        <v>0</v>
      </c>
      <c r="ON90" s="431">
        <f t="shared" si="141"/>
        <v>0</v>
      </c>
      <c r="OO90" s="431">
        <f t="shared" si="142"/>
        <v>0</v>
      </c>
      <c r="OP90" s="431">
        <f t="shared" si="143"/>
        <v>0</v>
      </c>
      <c r="OQ90" s="431">
        <f t="shared" si="154"/>
        <v>0</v>
      </c>
      <c r="OR90" s="431">
        <f t="shared" ref="OR90:OT90" si="176">FC190</f>
        <v>0</v>
      </c>
      <c r="OS90" s="431">
        <f t="shared" si="176"/>
        <v>0</v>
      </c>
      <c r="OT90" s="431">
        <f t="shared" si="176"/>
        <v>0</v>
      </c>
      <c r="OU90" s="431">
        <f t="shared" si="156"/>
        <v>0</v>
      </c>
      <c r="OV90" s="431">
        <f t="shared" si="157"/>
        <v>0</v>
      </c>
      <c r="OW90" s="431"/>
      <c r="OX90" s="431">
        <f t="shared" si="145"/>
        <v>0</v>
      </c>
      <c r="OY90" s="431">
        <f t="shared" si="146"/>
        <v>0</v>
      </c>
      <c r="OZ90" s="431">
        <f t="shared" si="147"/>
        <v>0</v>
      </c>
      <c r="PA90" s="431">
        <f t="shared" si="148"/>
        <v>0</v>
      </c>
      <c r="PB90" s="3349">
        <f>outputs_oppsum[[#This Row],[manuell]]+outputs_oppsum[[#This Row],[kartlegging]]</f>
        <v>0</v>
      </c>
      <c r="PC90" s="3349">
        <f>outputs_oppsum[[#This Row],[lt4m]]+outputs_oppsum[[#This Row],[gt4m]]</f>
        <v>0</v>
      </c>
      <c r="PD90" s="3349">
        <f>outputs_oppsum[[#This Row],[bergbånd]]+outputs_oppsum[[#This Row],[nett]]+outputs_oppsum[[#This Row],[bergbånd_ekstra]]+outputs_oppsum[[#This Row],[festebolter_for_bergbånd]]+outputs_oppsum[[#This Row],[festebolter_for_nett]]+outputs_oppsum[[#This Row],[sprøytebetong_ved_nett]]</f>
        <v>0</v>
      </c>
      <c r="PE90" s="3349">
        <f>outputs_oppsum[[#This Row],[sprøytebetong]]</f>
        <v>0</v>
      </c>
      <c r="PF90" s="3349">
        <f>outputs_oppsum[[#This Row],[buer]]</f>
        <v>0</v>
      </c>
      <c r="PG90" s="3349">
        <f>outputs_oppsum[[#This Row],[sik123]]+outputs_oppsum[[#This Row],[sik4]]</f>
        <v>0</v>
      </c>
      <c r="PH90" s="3349">
        <f>outputs_oppsum[[#This Row],[total_man]]+outputs_oppsum[[#This Row],[total_bolt]]+outputs_oppsum[[#This Row],[total_bånd_og_nett]]+outputs_oppsum[[#This Row],[total_shot]]+outputs_oppsum[[#This Row],[total_buer]]+outputs_oppsum[[#This Row],[total_sik]]</f>
        <v>0</v>
      </c>
      <c r="PI90" s="3349">
        <f>outputs_oppsum[[#This Row],[total_stab_hr]]/$AI$80</f>
        <v>0</v>
      </c>
      <c r="PJ90" s="431" t="str">
        <f t="shared" ref="PJ90:PT90" si="177">IF($BC$38=1,PJ72,IF($BC$38=2,PJ81))</f>
        <v>Ikke relevant</v>
      </c>
      <c r="PK90" s="431">
        <f t="shared" si="177"/>
        <v>0</v>
      </c>
      <c r="PL90" s="431" t="b">
        <f t="shared" si="177"/>
        <v>0</v>
      </c>
      <c r="PM90" s="431" t="b">
        <f t="shared" si="177"/>
        <v>0</v>
      </c>
      <c r="PN90" s="431" t="b">
        <f t="shared" si="177"/>
        <v>0</v>
      </c>
      <c r="PO90" s="431" t="str">
        <f t="shared" si="177"/>
        <v>Ikke relevant</v>
      </c>
      <c r="PP90" s="431">
        <f t="shared" si="177"/>
        <v>0</v>
      </c>
      <c r="PQ90" s="431">
        <f t="shared" si="177"/>
        <v>0</v>
      </c>
      <c r="PR90" s="431">
        <f t="shared" si="177"/>
        <v>0</v>
      </c>
      <c r="PS90" s="431">
        <f t="shared" si="177"/>
        <v>0</v>
      </c>
      <c r="PT90" s="431" t="e">
        <f t="shared" si="177"/>
        <v>#VALUE!</v>
      </c>
      <c r="PU90"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90" s="1656">
        <f>outputs_oppsum[[#This Row],[oppsum_drivetid_hr]]/$AI$80</f>
        <v>0</v>
      </c>
      <c r="PW90" s="843"/>
      <c r="PX90" s="431">
        <f t="shared" ref="PX90:RF90" si="178">IF($BC$38=1,PX72,IF($BC$38=2,PX81))</f>
        <v>0</v>
      </c>
      <c r="PY90" s="431" t="str">
        <f t="shared" si="178"/>
        <v>Ikke påvirket</v>
      </c>
      <c r="PZ90" s="431" t="str">
        <f t="shared" si="178"/>
        <v>-</v>
      </c>
      <c r="QA90" s="431" t="str">
        <f t="shared" si="178"/>
        <v>-</v>
      </c>
      <c r="QB90" s="431" t="str">
        <f t="shared" si="178"/>
        <v>-</v>
      </c>
      <c r="QC90" s="431" t="str">
        <f t="shared" si="178"/>
        <v>-</v>
      </c>
      <c r="QD90" s="431" t="str">
        <f t="shared" si="178"/>
        <v>-</v>
      </c>
      <c r="QE90" s="431" t="str">
        <f t="shared" si="178"/>
        <v>-</v>
      </c>
      <c r="QF90" s="431" t="str">
        <f t="shared" si="178"/>
        <v>-</v>
      </c>
      <c r="QG90" s="431" t="str">
        <f t="shared" si="178"/>
        <v>-</v>
      </c>
      <c r="QH90" s="431">
        <f t="shared" si="178"/>
        <v>0</v>
      </c>
      <c r="QI90" s="431" t="str">
        <f t="shared" si="178"/>
        <v>-</v>
      </c>
      <c r="QJ90" s="431">
        <f t="shared" si="178"/>
        <v>0</v>
      </c>
      <c r="QK90" s="431" t="str">
        <f t="shared" si="178"/>
        <v>-</v>
      </c>
      <c r="QL90" s="431">
        <f t="shared" si="178"/>
        <v>0</v>
      </c>
      <c r="QM90" s="431" t="str">
        <f t="shared" si="178"/>
        <v>-</v>
      </c>
      <c r="QN90" s="431">
        <f t="shared" si="178"/>
        <v>0</v>
      </c>
      <c r="QO90" s="431" t="str">
        <f t="shared" si="178"/>
        <v>-</v>
      </c>
      <c r="QP90" s="431">
        <f t="shared" si="178"/>
        <v>0</v>
      </c>
      <c r="QQ90" s="431">
        <f t="shared" si="178"/>
        <v>0</v>
      </c>
      <c r="QR90" s="431">
        <f t="shared" si="178"/>
        <v>0</v>
      </c>
      <c r="QS90" s="431" t="e">
        <f t="shared" si="178"/>
        <v>#N/A</v>
      </c>
      <c r="QT90" s="431" t="e">
        <f t="shared" si="178"/>
        <v>#N/A</v>
      </c>
      <c r="QU90" s="431" t="e">
        <f t="shared" si="178"/>
        <v>#N/A</v>
      </c>
      <c r="QV90" s="431" t="e">
        <f t="shared" si="178"/>
        <v>#N/A</v>
      </c>
      <c r="QW90" s="431" t="e">
        <f t="shared" si="178"/>
        <v>#N/A</v>
      </c>
      <c r="QX90" s="431" t="e">
        <f t="shared" si="178"/>
        <v>#N/A</v>
      </c>
      <c r="QY90" s="431" t="e">
        <f t="shared" si="178"/>
        <v>#N/A</v>
      </c>
      <c r="QZ90" s="431" t="e">
        <f t="shared" si="178"/>
        <v>#N/A</v>
      </c>
      <c r="RA90" s="431" t="e">
        <f t="shared" si="178"/>
        <v>#N/A</v>
      </c>
      <c r="RB90" s="431" t="e">
        <f t="shared" si="178"/>
        <v>#N/A</v>
      </c>
      <c r="RC90" s="431">
        <f t="shared" si="178"/>
        <v>0</v>
      </c>
      <c r="RD90" s="431">
        <f t="shared" si="178"/>
        <v>0</v>
      </c>
      <c r="RE90" s="431">
        <f t="shared" si="178"/>
        <v>1</v>
      </c>
      <c r="RF90" s="431" t="str">
        <f t="shared" si="178"/>
        <v>Enstuffs drift</v>
      </c>
      <c r="RG90" s="431" t="str">
        <f>IF(outputs_oppsum[[#This Row],[kon_metod_no]]=2,INDEX(framdriftfaktor[stab-foran_spreng_ratio],MATCH(outputs_oppsum[[#This Row],[stuff_id]],framdriftfaktor[stuff_id],0)),"-")</f>
        <v>-</v>
      </c>
      <c r="RH90" s="5269">
        <f>IF(outputs_oppsum[[#This Row],[kon_metod_no]]=2,INDEX(framdriftfaktor[beregnet_faktor_final],MATCH(outputs_oppsum[[#This Row],[stuff_id]],framdriftfaktor[stuff_id],0)),1)</f>
        <v>1</v>
      </c>
      <c r="RI90" s="5269" t="str">
        <f>IF(outputs_oppsum[[#This Row],[kon_metod]]=_List!$AW$8,INDEX(outputs_just[vek_faktor_bruker_definert_status],MATCH(outputs_oppsum[[#This Row],[stuff_navn]],outputs_just[Navn],0)),"")</f>
        <v/>
      </c>
      <c r="RJ90" s="5269" t="e">
        <f>IF(AND(outputs_oppsum[[#This Row],[kon_metod_no]]&lt;&gt;1,LP126=FALSE),LO126,"-")</f>
        <v>#N/A</v>
      </c>
      <c r="RK90" s="5269">
        <f>IF(AND(outputs_oppsum[[#This Row],[kon_metod_no]]=2,outputs_oppsum[[#This Row],[tverrslag_status_oppsum]]&lt;&gt;$I$90,outputs_oppsum[[#This Row],[faktor_bruker_definert]]=FALSE),outputs_oppsum[[#This Row],[faktor_user]],outputs_oppsum[[#This Row],[faktor_beregnet]])</f>
        <v>1</v>
      </c>
      <c r="RL90" s="1807">
        <f>IFERROR((outputs_oppsum[[#This Row],[faktor_final]]-1)*outputs_oppsum[[#This Row],[oppsum_drivetid_hr]]*outputs_oppsum[[#This Row],[veksel_prosent]],"-")</f>
        <v>0</v>
      </c>
      <c r="RM90" s="1807" t="str">
        <f>IF(outputs_oppsum[[#This Row],[kon_metod_no]]=2,outputs_oppsum[[#This Row],[ekstra_framdrift_tid_oppsum_hr]]/$AI$80,"-")</f>
        <v>-</v>
      </c>
      <c r="RN90" s="431" t="str">
        <f>IF(outputs_oppsum[[#This Row],[kon_metod_no]]=2,outputs_oppsum[[#This Row],[ekstra_drivetid_pga_faktor]],"-")</f>
        <v>-</v>
      </c>
      <c r="RO90" s="431">
        <f>IFERROR(outputs_oppsum[[#This Row],[oppsum_drivetid_hr]]+outputs_oppsum[[#This Row],[ekstra_drivetid_pga_faktor]],"-")</f>
        <v>0</v>
      </c>
      <c r="RP90"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90" s="5276">
        <f>IF(outputs_oppsum[[#This Row],[enstuff_prosent_input]]&gt;1,1,outputs_oppsum[[#This Row],[enstuff_prosent_input]])</f>
        <v>1</v>
      </c>
      <c r="RR90"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90" s="431"/>
      <c r="RT90" s="431"/>
      <c r="RU90" s="431"/>
      <c r="RV90" s="211"/>
      <c r="RW90" s="431" t="str">
        <f>IFERROR(outputs_oppsum[[#This Row],[drivetid_with_faktor]]+outputs_oppsum[[#This Row],[prosjekt_forbe_hr]]+outputs_oppsum[[#This Row],[total_forbe_hr]]+outputs_oppsum[[#This Row],[extra_for_tverrslag_sum]]+outputs_oppsum[[#This Row],[just_total_hr]]+outputs_oppsum[[#This Row],[forsinket_hr]],"!")</f>
        <v>!</v>
      </c>
      <c r="RX90" s="211" t="str">
        <f>IFERROR(outputs_oppsum[[#This Row],[oppsum_total_hr]]/$AI$80,"!")</f>
        <v>!</v>
      </c>
      <c r="RY90" s="431" t="str">
        <f>IF(MAX($RX$85:$RX$93)=outputs_oppsum[[#This Row],[oppsum_total_uke]],MAX($RX$85:$RX$93),"-")</f>
        <v>-</v>
      </c>
      <c r="RZ90" s="431" t="str">
        <f>IF(AND(ISNUMBER(outputs_oppsum[[#This Row],[Criticalstuff]]),$BC$34&lt;&gt;1,outputs_oppsum[[#This Row],[Criticalstuff]]&gt;0),$RZ$63,"")</f>
        <v/>
      </c>
      <c r="SA90" s="837"/>
      <c r="SB90" s="837"/>
      <c r="SC90" s="837"/>
      <c r="SD90" s="837"/>
      <c r="SE90" s="837"/>
      <c r="SF90" s="837"/>
      <c r="SO90" s="210"/>
      <c r="SP90" s="2617"/>
      <c r="SQ90" s="2617"/>
      <c r="SR90" s="2617"/>
      <c r="SS90" s="2617"/>
      <c r="ST90" s="2617"/>
      <c r="SU90" s="2617"/>
      <c r="SV90" s="2617"/>
      <c r="SW90" s="2617"/>
      <c r="SX90" s="2617"/>
      <c r="SY90" s="2617"/>
      <c r="SZ90" s="2617"/>
      <c r="TA90" s="2617"/>
      <c r="TB90" s="2617"/>
      <c r="TC90" s="2617"/>
      <c r="TD90" s="2617"/>
      <c r="TE90" s="2617"/>
      <c r="TF90" s="2617"/>
      <c r="TG90" s="2617"/>
      <c r="TH90" s="2617"/>
      <c r="TI90" s="2617"/>
      <c r="TJ90" s="2617"/>
      <c r="TK90" s="2617"/>
      <c r="TL90" s="2617"/>
      <c r="TM90" s="2617"/>
      <c r="TN90" s="2617"/>
      <c r="TO90" s="2617"/>
      <c r="TP90" s="2617"/>
      <c r="TQ90" s="2617"/>
      <c r="TR90" s="2617"/>
      <c r="TS90" s="2617"/>
      <c r="TT90" s="2617"/>
      <c r="TU90" s="2617"/>
      <c r="TV90" s="2617"/>
      <c r="TW90" s="181"/>
      <c r="TX90" s="2617"/>
      <c r="TY90" s="2617"/>
      <c r="TZ90" s="2617"/>
      <c r="UA90" s="2617"/>
      <c r="UB90" s="2617"/>
      <c r="UC90" s="181"/>
      <c r="UD90" s="181"/>
      <c r="UE90" s="181"/>
      <c r="UF90" s="181"/>
      <c r="UG90" s="2617"/>
      <c r="UH90" s="2617"/>
      <c r="UI90" s="2617"/>
      <c r="UJ90" s="2617"/>
      <c r="UK90" s="2617"/>
      <c r="UL90" s="2617"/>
      <c r="UM90" s="2617"/>
      <c r="UN90" s="2617"/>
      <c r="UO90" s="2617"/>
      <c r="UP90" s="2617"/>
      <c r="UQ90" s="2617"/>
      <c r="UR90" s="2617"/>
      <c r="US90" s="2617"/>
      <c r="UT90" s="2617"/>
      <c r="UU90" s="2617"/>
      <c r="UV90" s="2617"/>
      <c r="UW90" s="2617"/>
      <c r="UX90" s="2617"/>
      <c r="UY90" s="2617"/>
      <c r="UZ90" s="2617"/>
      <c r="VA90" s="2617"/>
      <c r="VB90" s="2617"/>
      <c r="VC90" s="2617"/>
      <c r="VD90" s="2617"/>
      <c r="VE90" s="2617"/>
      <c r="VF90"/>
      <c r="VG90" s="2617"/>
      <c r="VH90" s="2617"/>
      <c r="VI90" s="2617"/>
      <c r="VJ90" s="2617"/>
      <c r="VK90" s="2617"/>
      <c r="VL90" s="2617"/>
      <c r="VM90" s="2617"/>
      <c r="VN90" s="2617"/>
      <c r="VO90" s="2617"/>
      <c r="VP90" s="2617"/>
      <c r="VQ90" s="2617"/>
      <c r="VR90" s="2617"/>
      <c r="VS90" s="2617"/>
      <c r="VT90" s="2617"/>
      <c r="VU90" s="2617"/>
      <c r="VV90" s="2617"/>
      <c r="VW90" s="2617"/>
      <c r="VX90" s="2617"/>
      <c r="VY90" s="2617"/>
      <c r="VZ90" s="2617"/>
      <c r="WA90" s="2617"/>
      <c r="WB90" s="2617"/>
      <c r="WC90" s="2617"/>
      <c r="WD90" s="2617"/>
      <c r="WE90" s="2617"/>
      <c r="WF90" s="2617"/>
      <c r="WG90" s="2617"/>
      <c r="WH90" s="2617"/>
      <c r="WI90" s="2617"/>
      <c r="WJ90" s="2617"/>
      <c r="WK90" s="2617"/>
      <c r="WL90" s="2617"/>
      <c r="WM90" s="2617"/>
      <c r="WN90" s="2617"/>
      <c r="WO90" s="2617"/>
      <c r="WP90" s="2617"/>
      <c r="WQ90" s="2617"/>
      <c r="WR90" s="2617"/>
      <c r="WS90" s="2617"/>
      <c r="WT90" s="2617"/>
      <c r="WU90" s="265"/>
      <c r="WV90" s="265"/>
      <c r="WW90" s="265"/>
      <c r="WX90" s="265"/>
      <c r="WY90" s="265"/>
      <c r="WZ90" s="265"/>
      <c r="XA90" s="265"/>
      <c r="XB90" s="265"/>
      <c r="XC90" s="265"/>
      <c r="XD90" s="265"/>
      <c r="XE90" s="265"/>
      <c r="XF90" s="265"/>
    </row>
    <row r="91" spans="9:645" ht="30.75" x14ac:dyDescent="0.2">
      <c r="I91" s="5564"/>
      <c r="J91" s="185"/>
      <c r="K91" s="185"/>
      <c r="L91" s="185"/>
      <c r="M91" s="185"/>
      <c r="N91" s="185"/>
      <c r="O91" s="185"/>
      <c r="AL91" s="181"/>
      <c r="AM91" s="181"/>
      <c r="AN91" s="181"/>
      <c r="AO91" s="181"/>
      <c r="AP91" s="181"/>
      <c r="AQ91" s="181"/>
      <c r="AR91" s="181"/>
      <c r="AS91" s="181"/>
      <c r="AT91" s="181"/>
      <c r="AU91" s="2617"/>
      <c r="AV91" s="2617"/>
      <c r="BB91" s="332" t="s">
        <v>445</v>
      </c>
      <c r="BC91" s="333"/>
      <c r="EM91" s="210"/>
      <c r="EN91" s="210"/>
      <c r="EW91" s="2617"/>
      <c r="EX91" s="2617"/>
      <c r="EY91" s="2617"/>
      <c r="EZ91" s="2617"/>
      <c r="FA91" s="2617"/>
      <c r="FB91" s="2617"/>
      <c r="FC91" s="2617"/>
      <c r="FD91" s="2617"/>
      <c r="FE91" s="2617"/>
      <c r="GH91" s="414"/>
      <c r="GJ91" s="439" t="str">
        <f t="shared" si="166"/>
        <v>Stuff 1-4</v>
      </c>
      <c r="GK91" s="193">
        <f>Tunneldrift!$BO$141</f>
        <v>0</v>
      </c>
      <c r="GL91" s="185">
        <f>IF(Tunneldrift!$BO$141="",0,1)</f>
        <v>0</v>
      </c>
      <c r="HH91" s="185">
        <f>Tunneldrift!M76</f>
        <v>0</v>
      </c>
      <c r="HI91" s="185">
        <f>Tunneldrift!AD76</f>
        <v>0</v>
      </c>
      <c r="IH91" s="433" t="s">
        <v>2710</v>
      </c>
      <c r="KO91" s="407">
        <f t="shared" si="135"/>
        <v>71</v>
      </c>
      <c r="KP91" s="340" t="str">
        <f>$QU$135</f>
        <v>Stuff 2-3</v>
      </c>
      <c r="KQ91" s="5948" t="str">
        <f>IFERROR(INDEX(tunneldrift_vekseldrift[vekseldrift_lengde_final],MATCH(framdriftfaktor[[#This Row],[stuff_navn]],tunneldrift_vekseldrift[Stuff_navn],0))/INDEX(tunneldrift_vekseldrift[Input_stuff_lengde],MATCH(framdriftfaktor[[#This Row],[stuff_navn]],tunneldrift_vekseldrift[Stuff_navn],0)),"-")</f>
        <v>-</v>
      </c>
      <c r="KR91" s="340"/>
      <c r="KS91" s="241">
        <f t="shared" si="136"/>
        <v>0</v>
      </c>
      <c r="KT91" s="241">
        <f t="shared" si="137"/>
        <v>0</v>
      </c>
      <c r="KU91" s="241">
        <f t="shared" si="138"/>
        <v>0</v>
      </c>
      <c r="KV91" s="211" t="str">
        <f>IFERROR(framdriftfaktor[[#This Row],[sprengning_tid_hr]]*framdriftfaktor[[#This Row],[veksel_prosent]],"-")</f>
        <v>-</v>
      </c>
      <c r="KW91" s="211" t="str">
        <f>IFERROR(framdriftfaktor[[#This Row],[stabilitets_tid_hr]]*framdriftfaktor[[#This Row],[veksel_prosent]],"-")</f>
        <v>-</v>
      </c>
      <c r="KX91" s="211" t="str">
        <f>IFERROR(framdriftfaktor[[#This Row],[foran_tid_hr]]*framdriftfaktor[[#This Row],[veksel_prosent]],"-")</f>
        <v>-</v>
      </c>
      <c r="KY91" s="5346">
        <f>IFERROR((framdriftfaktor[[#This Row],[stabilitets_tid_hr_veksel_del]]+framdriftfaktor[[#This Row],[foran_tid_hr_veksel_del]]+KW87+KX87)/(framdriftfaktor[[#This Row],[sprengning_tid_hr_veksel_del]]+KV87),0)</f>
        <v>0</v>
      </c>
      <c r="KZ91" s="5346"/>
      <c r="LA91" s="5345" t="str">
        <f>IF(framdriftfaktor[[#This Row],[stab-foran_spreng_ratio]]&lt;$LL$90,$LJ$90,IF(AND(framdriftfaktor[[#This Row],[stab-foran_spreng_ratio]]&gt;=$LK$91,framdriftfaktor[[#This Row],[stab-foran_spreng_ratio]]&lt;$LL$91),$LJ$91,IF(framdriftfaktor[[#This Row],[stab-foran_spreng_ratio]]&gt;=$LK$92,$LJ$92,"!")))</f>
        <v>Lite</v>
      </c>
      <c r="LB91" s="5346">
        <f>IF(framdriftfaktor[[#This Row],[rating_stab-foran]]=$LJ$90,$LM$90+$LO$90*framdriftfaktor[[#This Row],[stab-foran_spreng_ratio]],IF(framdriftfaktor[[#This Row],[rating_stab-foran]]=$LJ$91,$LM$91+((framdriftfaktor[[#This Row],[stab-foran_spreng_ratio]]-$LK$91)*$LO$91),IF(framdriftfaktor[[#This Row],[rating_stab-foran]]=$LJ$92,$LM$92)))</f>
        <v>1.3</v>
      </c>
      <c r="LC91" s="5345">
        <f>framdriftfaktor[[#This Row],[beregnet_faktor_stab-foran]]</f>
        <v>1.3</v>
      </c>
      <c r="LD91" s="5347"/>
      <c r="LJ91" s="185" t="s">
        <v>2257</v>
      </c>
      <c r="LK91" s="2815">
        <v>0.3</v>
      </c>
      <c r="LL91" s="2815">
        <v>1</v>
      </c>
      <c r="LM91" s="2815">
        <v>1.45</v>
      </c>
      <c r="LN91" s="2815">
        <v>1.6</v>
      </c>
      <c r="LO91" s="241">
        <f>(LN91-LM91)/(LL91-LK91)</f>
        <v>0.2142857142857145</v>
      </c>
      <c r="LQ91" s="5268">
        <f>LM91+LO91*(LR87-LK91)</f>
        <v>1.6214285714285714</v>
      </c>
      <c r="NI91" s="1567"/>
      <c r="NN91" s="407" t="s">
        <v>1160</v>
      </c>
      <c r="NO91" s="340" t="str">
        <f>$QU$135</f>
        <v>Stuff 2-3</v>
      </c>
      <c r="NP91" s="431">
        <f t="shared" ref="NP91:OL91" si="179">IF($BC$38=1,NP73,IF($BC$38=2,NP82))</f>
        <v>0</v>
      </c>
      <c r="NQ91" s="431">
        <f t="shared" si="179"/>
        <v>0</v>
      </c>
      <c r="NR91" s="431">
        <f t="shared" si="179"/>
        <v>0</v>
      </c>
      <c r="NS91" s="431">
        <f t="shared" si="179"/>
        <v>0</v>
      </c>
      <c r="NT91" s="431">
        <f t="shared" si="179"/>
        <v>0</v>
      </c>
      <c r="NU91" s="431">
        <f t="shared" si="179"/>
        <v>0</v>
      </c>
      <c r="NV91" s="431">
        <f t="shared" si="179"/>
        <v>0</v>
      </c>
      <c r="NW91" s="431">
        <f t="shared" si="179"/>
        <v>0</v>
      </c>
      <c r="NX91" s="431">
        <f t="shared" si="179"/>
        <v>0</v>
      </c>
      <c r="NY91" s="431">
        <f t="shared" si="179"/>
        <v>0</v>
      </c>
      <c r="NZ91" s="431">
        <f t="shared" si="179"/>
        <v>0</v>
      </c>
      <c r="OA91" s="431">
        <f t="shared" si="179"/>
        <v>0</v>
      </c>
      <c r="OB91" s="431">
        <f t="shared" si="179"/>
        <v>0</v>
      </c>
      <c r="OC91" s="431">
        <f t="shared" si="179"/>
        <v>0</v>
      </c>
      <c r="OD91" s="431">
        <f t="shared" si="179"/>
        <v>0</v>
      </c>
      <c r="OE91" s="431">
        <f t="shared" si="179"/>
        <v>0</v>
      </c>
      <c r="OF91" s="431">
        <f t="shared" si="179"/>
        <v>0</v>
      </c>
      <c r="OG91" s="431">
        <f t="shared" si="179"/>
        <v>0</v>
      </c>
      <c r="OH91" s="431">
        <f t="shared" si="179"/>
        <v>0</v>
      </c>
      <c r="OI91" s="431">
        <f t="shared" si="179"/>
        <v>0</v>
      </c>
      <c r="OJ91" s="431">
        <f t="shared" si="179"/>
        <v>0</v>
      </c>
      <c r="OK91" s="431">
        <f t="shared" si="179"/>
        <v>0</v>
      </c>
      <c r="OL91" s="431">
        <f t="shared" si="179"/>
        <v>0</v>
      </c>
      <c r="OM91" s="431">
        <f t="shared" si="140"/>
        <v>0</v>
      </c>
      <c r="ON91" s="431">
        <f t="shared" si="141"/>
        <v>0</v>
      </c>
      <c r="OO91" s="431">
        <f t="shared" si="142"/>
        <v>0</v>
      </c>
      <c r="OP91" s="431">
        <f t="shared" si="143"/>
        <v>0</v>
      </c>
      <c r="OQ91" s="431">
        <f t="shared" si="154"/>
        <v>0</v>
      </c>
      <c r="OR91" s="431">
        <f t="shared" ref="OR91:OT91" si="180">FC191</f>
        <v>0</v>
      </c>
      <c r="OS91" s="431">
        <f t="shared" si="180"/>
        <v>0</v>
      </c>
      <c r="OT91" s="431">
        <f t="shared" si="180"/>
        <v>0</v>
      </c>
      <c r="OU91" s="431">
        <f t="shared" si="156"/>
        <v>0</v>
      </c>
      <c r="OV91" s="431">
        <f t="shared" si="157"/>
        <v>0</v>
      </c>
      <c r="OW91" s="431"/>
      <c r="OX91" s="431">
        <f t="shared" si="145"/>
        <v>0</v>
      </c>
      <c r="OY91" s="431">
        <f t="shared" si="146"/>
        <v>0</v>
      </c>
      <c r="OZ91" s="431">
        <f t="shared" si="147"/>
        <v>0</v>
      </c>
      <c r="PA91" s="431">
        <f t="shared" si="148"/>
        <v>0</v>
      </c>
      <c r="PB91" s="3349">
        <f>outputs_oppsum[[#This Row],[manuell]]+outputs_oppsum[[#This Row],[kartlegging]]</f>
        <v>0</v>
      </c>
      <c r="PC91" s="3349">
        <f>outputs_oppsum[[#This Row],[lt4m]]+outputs_oppsum[[#This Row],[gt4m]]</f>
        <v>0</v>
      </c>
      <c r="PD91" s="3349">
        <f>outputs_oppsum[[#This Row],[bergbånd]]+outputs_oppsum[[#This Row],[nett]]+outputs_oppsum[[#This Row],[bergbånd_ekstra]]+outputs_oppsum[[#This Row],[festebolter_for_bergbånd]]+outputs_oppsum[[#This Row],[festebolter_for_nett]]+outputs_oppsum[[#This Row],[sprøytebetong_ved_nett]]</f>
        <v>0</v>
      </c>
      <c r="PE91" s="3349">
        <f>outputs_oppsum[[#This Row],[sprøytebetong]]</f>
        <v>0</v>
      </c>
      <c r="PF91" s="3349">
        <f>outputs_oppsum[[#This Row],[buer]]</f>
        <v>0</v>
      </c>
      <c r="PG91" s="3349">
        <f>outputs_oppsum[[#This Row],[sik123]]+outputs_oppsum[[#This Row],[sik4]]</f>
        <v>0</v>
      </c>
      <c r="PH91" s="3349">
        <f>outputs_oppsum[[#This Row],[total_man]]+outputs_oppsum[[#This Row],[total_bolt]]+outputs_oppsum[[#This Row],[total_bånd_og_nett]]+outputs_oppsum[[#This Row],[total_shot]]+outputs_oppsum[[#This Row],[total_buer]]+outputs_oppsum[[#This Row],[total_sik]]</f>
        <v>0</v>
      </c>
      <c r="PI91" s="3349">
        <f>outputs_oppsum[[#This Row],[total_stab_hr]]/$AI$80</f>
        <v>0</v>
      </c>
      <c r="PJ91" s="431" t="str">
        <f t="shared" ref="PJ91:PT91" si="181">IF($BC$38=1,PJ73,IF($BC$38=2,PJ82))</f>
        <v>Ikke relevant</v>
      </c>
      <c r="PK91" s="431">
        <f t="shared" si="181"/>
        <v>0</v>
      </c>
      <c r="PL91" s="431" t="b">
        <f t="shared" si="181"/>
        <v>0</v>
      </c>
      <c r="PM91" s="431" t="b">
        <f t="shared" si="181"/>
        <v>0</v>
      </c>
      <c r="PN91" s="431" t="b">
        <f t="shared" si="181"/>
        <v>0</v>
      </c>
      <c r="PO91" s="431" t="str">
        <f t="shared" si="181"/>
        <v>Ikke relevant</v>
      </c>
      <c r="PP91" s="431">
        <f t="shared" si="181"/>
        <v>0</v>
      </c>
      <c r="PQ91" s="431">
        <f t="shared" si="181"/>
        <v>0</v>
      </c>
      <c r="PR91" s="431">
        <f t="shared" si="181"/>
        <v>0</v>
      </c>
      <c r="PS91" s="431">
        <f t="shared" si="181"/>
        <v>0</v>
      </c>
      <c r="PT91" s="431" t="e">
        <f t="shared" si="181"/>
        <v>#VALUE!</v>
      </c>
      <c r="PU91"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91" s="1656">
        <f>outputs_oppsum[[#This Row],[oppsum_drivetid_hr]]/$AI$80</f>
        <v>0</v>
      </c>
      <c r="PW91" s="843"/>
      <c r="PX91" s="431">
        <f t="shared" ref="PX91:RF91" si="182">IF($BC$38=1,PX73,IF($BC$38=2,PX82))</f>
        <v>0</v>
      </c>
      <c r="PY91" s="431" t="str">
        <f t="shared" si="182"/>
        <v>Ikke påvirket</v>
      </c>
      <c r="PZ91" s="431" t="str">
        <f t="shared" si="182"/>
        <v>-</v>
      </c>
      <c r="QA91" s="431" t="str">
        <f t="shared" si="182"/>
        <v>-</v>
      </c>
      <c r="QB91" s="431" t="str">
        <f t="shared" si="182"/>
        <v>-</v>
      </c>
      <c r="QC91" s="431" t="str">
        <f t="shared" si="182"/>
        <v>-</v>
      </c>
      <c r="QD91" s="431" t="str">
        <f t="shared" si="182"/>
        <v>-</v>
      </c>
      <c r="QE91" s="431" t="str">
        <f t="shared" si="182"/>
        <v>-</v>
      </c>
      <c r="QF91" s="431" t="str">
        <f t="shared" si="182"/>
        <v>-</v>
      </c>
      <c r="QG91" s="431" t="str">
        <f t="shared" si="182"/>
        <v>-</v>
      </c>
      <c r="QH91" s="431">
        <f t="shared" si="182"/>
        <v>0</v>
      </c>
      <c r="QI91" s="431" t="str">
        <f t="shared" si="182"/>
        <v>-</v>
      </c>
      <c r="QJ91" s="431">
        <f t="shared" si="182"/>
        <v>0</v>
      </c>
      <c r="QK91" s="431" t="str">
        <f t="shared" si="182"/>
        <v>-</v>
      </c>
      <c r="QL91" s="431">
        <f t="shared" si="182"/>
        <v>0</v>
      </c>
      <c r="QM91" s="431" t="str">
        <f t="shared" si="182"/>
        <v>-</v>
      </c>
      <c r="QN91" s="431">
        <f t="shared" si="182"/>
        <v>0</v>
      </c>
      <c r="QO91" s="431" t="str">
        <f t="shared" si="182"/>
        <v>-</v>
      </c>
      <c r="QP91" s="431">
        <f t="shared" si="182"/>
        <v>0</v>
      </c>
      <c r="QQ91" s="431">
        <f t="shared" si="182"/>
        <v>0</v>
      </c>
      <c r="QR91" s="431">
        <f t="shared" si="182"/>
        <v>0</v>
      </c>
      <c r="QS91" s="431" t="e">
        <f t="shared" si="182"/>
        <v>#N/A</v>
      </c>
      <c r="QT91" s="431" t="e">
        <f t="shared" si="182"/>
        <v>#N/A</v>
      </c>
      <c r="QU91" s="431" t="e">
        <f t="shared" si="182"/>
        <v>#N/A</v>
      </c>
      <c r="QV91" s="431" t="e">
        <f t="shared" si="182"/>
        <v>#N/A</v>
      </c>
      <c r="QW91" s="431" t="e">
        <f t="shared" si="182"/>
        <v>#N/A</v>
      </c>
      <c r="QX91" s="431" t="e">
        <f t="shared" si="182"/>
        <v>#N/A</v>
      </c>
      <c r="QY91" s="431" t="e">
        <f t="shared" si="182"/>
        <v>#N/A</v>
      </c>
      <c r="QZ91" s="431" t="e">
        <f t="shared" si="182"/>
        <v>#N/A</v>
      </c>
      <c r="RA91" s="431" t="e">
        <f t="shared" si="182"/>
        <v>#N/A</v>
      </c>
      <c r="RB91" s="431" t="e">
        <f t="shared" si="182"/>
        <v>#N/A</v>
      </c>
      <c r="RC91" s="431">
        <f t="shared" si="182"/>
        <v>0</v>
      </c>
      <c r="RD91" s="431">
        <f t="shared" si="182"/>
        <v>0</v>
      </c>
      <c r="RE91" s="431">
        <f t="shared" si="182"/>
        <v>1</v>
      </c>
      <c r="RF91" s="431" t="str">
        <f t="shared" si="182"/>
        <v>Enstuffs drift</v>
      </c>
      <c r="RG91" s="431" t="str">
        <f>IF(outputs_oppsum[[#This Row],[kon_metod_no]]=2,INDEX(framdriftfaktor[stab-foran_spreng_ratio],MATCH(outputs_oppsum[[#This Row],[stuff_id]],framdriftfaktor[stuff_id],0)),"-")</f>
        <v>-</v>
      </c>
      <c r="RH91" s="5269">
        <f>IF(outputs_oppsum[[#This Row],[kon_metod_no]]=2,INDEX(framdriftfaktor[beregnet_faktor_final],MATCH(outputs_oppsum[[#This Row],[stuff_id]],framdriftfaktor[stuff_id],0)),1)</f>
        <v>1</v>
      </c>
      <c r="RI91" s="5269" t="str">
        <f>IF(outputs_oppsum[[#This Row],[kon_metod]]=_List!$AW$8,INDEX(outputs_just[vek_faktor_bruker_definert_status],MATCH(outputs_oppsum[[#This Row],[stuff_navn]],outputs_just[Navn],0)),"")</f>
        <v/>
      </c>
      <c r="RJ91" s="5269" t="e">
        <f>IF(AND(outputs_oppsum[[#This Row],[kon_metod_no]]&lt;&gt;1,LP127=FALSE),LO127,"-")</f>
        <v>#N/A</v>
      </c>
      <c r="RK91" s="5269">
        <f>IF(AND(outputs_oppsum[[#This Row],[kon_metod_no]]=2,outputs_oppsum[[#This Row],[tverrslag_status_oppsum]]&lt;&gt;$I$90,outputs_oppsum[[#This Row],[faktor_bruker_definert]]=FALSE),outputs_oppsum[[#This Row],[faktor_user]],outputs_oppsum[[#This Row],[faktor_beregnet]])</f>
        <v>1</v>
      </c>
      <c r="RL91" s="1807">
        <f>IFERROR((outputs_oppsum[[#This Row],[faktor_final]]-1)*outputs_oppsum[[#This Row],[oppsum_drivetid_hr]]*outputs_oppsum[[#This Row],[veksel_prosent]],"-")</f>
        <v>0</v>
      </c>
      <c r="RM91" s="1807" t="str">
        <f>IF(outputs_oppsum[[#This Row],[kon_metod_no]]=2,outputs_oppsum[[#This Row],[ekstra_framdrift_tid_oppsum_hr]]/$AI$80,"-")</f>
        <v>-</v>
      </c>
      <c r="RN91" s="431" t="str">
        <f>IF(outputs_oppsum[[#This Row],[kon_metod_no]]=2,outputs_oppsum[[#This Row],[ekstra_drivetid_pga_faktor]],"-")</f>
        <v>-</v>
      </c>
      <c r="RO91" s="431">
        <f>IFERROR(outputs_oppsum[[#This Row],[oppsum_drivetid_hr]]+outputs_oppsum[[#This Row],[ekstra_drivetid_pga_faktor]],"-")</f>
        <v>0</v>
      </c>
      <c r="RP91"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91" s="5276">
        <f>IF(outputs_oppsum[[#This Row],[enstuff_prosent_input]]&gt;1,1,outputs_oppsum[[#This Row],[enstuff_prosent_input]])</f>
        <v>1</v>
      </c>
      <c r="RR91"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91" s="431"/>
      <c r="RT91" s="431"/>
      <c r="RU91" s="431"/>
      <c r="RV91" s="211"/>
      <c r="RW91" s="431" t="str">
        <f>IFERROR(outputs_oppsum[[#This Row],[drivetid_with_faktor]]+outputs_oppsum[[#This Row],[prosjekt_forbe_hr]]+outputs_oppsum[[#This Row],[total_forbe_hr]]+outputs_oppsum[[#This Row],[extra_for_tverrslag_sum]]+outputs_oppsum[[#This Row],[just_total_hr]]+outputs_oppsum[[#This Row],[forsinket_hr]],"!")</f>
        <v>!</v>
      </c>
      <c r="RX91" s="211" t="str">
        <f>IFERROR(outputs_oppsum[[#This Row],[oppsum_total_hr]]/$AI$80,"!")</f>
        <v>!</v>
      </c>
      <c r="RY91" s="431" t="str">
        <f>IF(MAX($RX$85:$RX$93)=outputs_oppsum[[#This Row],[oppsum_total_uke]],MAX($RX$85:$RX$93),"-")</f>
        <v>-</v>
      </c>
      <c r="RZ91" s="431" t="str">
        <f>IF(AND(ISNUMBER(outputs_oppsum[[#This Row],[Criticalstuff]]),$BC$34&lt;&gt;1,outputs_oppsum[[#This Row],[Criticalstuff]]&gt;0),$RZ$63,"")</f>
        <v/>
      </c>
      <c r="SA91" s="837"/>
      <c r="SB91" s="837"/>
      <c r="SC91" s="837"/>
      <c r="SD91" s="837"/>
      <c r="SE91" s="837"/>
      <c r="SF91" s="837"/>
      <c r="SO91" s="210"/>
      <c r="SP91" s="2617"/>
      <c r="SQ91" s="2617"/>
      <c r="SR91" s="2617"/>
      <c r="SS91" s="2617"/>
      <c r="ST91" s="2617"/>
      <c r="SU91" s="2617"/>
      <c r="SV91" s="2617"/>
      <c r="SW91" s="2617"/>
      <c r="SX91" s="2617"/>
      <c r="SY91" s="2617"/>
      <c r="SZ91" s="2617"/>
      <c r="TA91" s="2617"/>
      <c r="TB91" s="2617"/>
      <c r="TC91" s="2617"/>
      <c r="TD91" s="2617"/>
      <c r="TE91" s="2617"/>
      <c r="TF91" s="2617"/>
      <c r="TG91" s="2617"/>
      <c r="TH91" s="2617"/>
      <c r="TI91" s="2617"/>
      <c r="TJ91" s="2617"/>
      <c r="TK91" s="2617"/>
      <c r="TL91" s="2617"/>
      <c r="TM91" s="2617"/>
      <c r="TN91" s="2617"/>
      <c r="TO91" s="2617"/>
      <c r="TP91" s="2617"/>
      <c r="TQ91" s="2617"/>
      <c r="TR91" s="2617"/>
      <c r="TS91" s="2617"/>
      <c r="TT91" s="2617"/>
      <c r="TU91" s="2617"/>
      <c r="TV91" s="2617"/>
      <c r="TW91" s="181"/>
      <c r="TX91" s="2617"/>
      <c r="TY91" s="2617"/>
      <c r="TZ91" s="2617"/>
      <c r="UA91" s="2617"/>
      <c r="UB91" s="2617"/>
      <c r="UC91" s="181"/>
      <c r="UD91" s="181"/>
      <c r="UE91" s="181"/>
      <c r="UF91" s="181"/>
      <c r="UG91" s="2617"/>
      <c r="UH91" s="2617"/>
      <c r="UI91" s="2617"/>
      <c r="UJ91" s="2617"/>
      <c r="UK91" s="2617"/>
      <c r="UL91" s="2617"/>
      <c r="UM91" s="2617"/>
      <c r="UN91" s="2617"/>
      <c r="UO91" s="2617"/>
      <c r="UP91" s="2617"/>
      <c r="UQ91" s="2617"/>
      <c r="UR91" s="2617"/>
      <c r="US91" s="2617"/>
      <c r="UT91" s="2617"/>
      <c r="UU91" s="2617"/>
      <c r="UV91" s="2617"/>
      <c r="UW91" s="2617"/>
      <c r="UX91" s="2617"/>
      <c r="UY91" s="2617"/>
      <c r="UZ91" s="2617"/>
      <c r="VA91" s="2617"/>
      <c r="VB91" s="2617"/>
      <c r="VC91" s="2617"/>
      <c r="VD91" s="2617"/>
      <c r="VE91" s="2617"/>
      <c r="VF91"/>
      <c r="VG91" s="2617"/>
      <c r="VH91" s="2617"/>
      <c r="VI91" s="2617"/>
      <c r="VJ91" s="2617"/>
      <c r="VK91" s="2617"/>
      <c r="VL91" s="2617"/>
      <c r="VM91" s="2617"/>
      <c r="VN91" s="2617"/>
      <c r="VO91" s="2617"/>
      <c r="VP91" s="2617"/>
      <c r="VQ91" s="2617"/>
      <c r="VR91" s="2617"/>
      <c r="VS91" s="2617"/>
      <c r="VT91" s="2617"/>
      <c r="VU91" s="2617"/>
      <c r="VV91" s="2617"/>
      <c r="VW91" s="2617"/>
      <c r="VX91" s="2617"/>
      <c r="VY91" s="2617"/>
      <c r="VZ91" s="2617"/>
      <c r="WA91" s="2617"/>
      <c r="WB91" s="2617"/>
      <c r="WC91" s="2617"/>
      <c r="WD91" s="2617"/>
      <c r="WE91" s="2617"/>
      <c r="WF91" s="2617"/>
      <c r="WG91" s="2617"/>
      <c r="WH91" s="2617"/>
      <c r="WI91" s="2617"/>
      <c r="WJ91" s="2617"/>
      <c r="WK91" s="2617"/>
      <c r="WL91" s="2617"/>
      <c r="WM91" s="2617"/>
      <c r="WN91" s="2617"/>
      <c r="WO91" s="2617"/>
      <c r="WP91" s="2617"/>
      <c r="WQ91" s="2617"/>
      <c r="WR91" s="2617"/>
      <c r="WS91" s="2617"/>
      <c r="WT91" s="2617"/>
      <c r="WU91" s="265"/>
      <c r="WV91" s="265"/>
      <c r="WW91" s="265"/>
      <c r="WX91" s="265"/>
      <c r="WY91" s="265"/>
      <c r="WZ91" s="265"/>
      <c r="XA91" s="265"/>
      <c r="XB91" s="265"/>
      <c r="XC91" s="265"/>
      <c r="XD91" s="265"/>
      <c r="XE91" s="265"/>
      <c r="XF91" s="265"/>
    </row>
    <row r="92" spans="9:645" ht="30.75" x14ac:dyDescent="0.2">
      <c r="I92" s="5564" t="s">
        <v>867</v>
      </c>
      <c r="J92" s="185"/>
      <c r="K92" s="185" t="s">
        <v>2138</v>
      </c>
      <c r="L92" s="185"/>
      <c r="M92" s="185"/>
      <c r="N92" s="185"/>
      <c r="O92" s="185"/>
      <c r="AL92" s="181"/>
      <c r="AM92" s="181"/>
      <c r="AN92" s="181"/>
      <c r="AO92" s="181"/>
      <c r="AP92" s="181"/>
      <c r="AQ92" s="181"/>
      <c r="AR92" s="181"/>
      <c r="AS92" s="181"/>
      <c r="AT92" s="181"/>
      <c r="AU92" s="2617"/>
      <c r="AV92" s="2617"/>
      <c r="ER92" s="1267" t="s">
        <v>649</v>
      </c>
      <c r="ES92" s="1268"/>
      <c r="ET92" s="1268"/>
      <c r="EU92" s="1268"/>
      <c r="EV92" s="1268"/>
      <c r="EW92" s="1268"/>
      <c r="GH92" s="414"/>
      <c r="GJ92" s="439" t="str">
        <f t="shared" si="166"/>
        <v>Stuff 2-1</v>
      </c>
      <c r="GK92" s="193">
        <f>Tunneldrift!$AD$173</f>
        <v>0</v>
      </c>
      <c r="GL92" s="185">
        <f>IF(Tunneldrift!$AD$173="",0,1)</f>
        <v>0</v>
      </c>
      <c r="HH92" s="185">
        <f>Tunneldrift!M77</f>
        <v>0</v>
      </c>
      <c r="HI92" s="185">
        <f>Tunneldrift!AD77</f>
        <v>0</v>
      </c>
      <c r="KO92" s="407">
        <f t="shared" si="135"/>
        <v>81</v>
      </c>
      <c r="KP92" s="340" t="str">
        <f>$QV$135</f>
        <v>Stuff 2-4</v>
      </c>
      <c r="KQ92" s="5948" t="str">
        <f>IFERROR(INDEX(tunneldrift_vekseldrift[vekseldrift_lengde_final],MATCH(framdriftfaktor[[#This Row],[stuff_navn]],tunneldrift_vekseldrift[Stuff_navn],0))/INDEX(tunneldrift_vekseldrift[Input_stuff_lengde],MATCH(framdriftfaktor[[#This Row],[stuff_navn]],tunneldrift_vekseldrift[Stuff_navn],0)),"-")</f>
        <v>-</v>
      </c>
      <c r="KR92" s="340"/>
      <c r="KS92" s="241">
        <f t="shared" si="136"/>
        <v>0</v>
      </c>
      <c r="KT92" s="241">
        <f t="shared" si="137"/>
        <v>0</v>
      </c>
      <c r="KU92" s="241">
        <f t="shared" si="138"/>
        <v>0</v>
      </c>
      <c r="KV92" s="211" t="str">
        <f>IFERROR(framdriftfaktor[[#This Row],[sprengning_tid_hr]]*framdriftfaktor[[#This Row],[veksel_prosent]],"-")</f>
        <v>-</v>
      </c>
      <c r="KW92" s="211" t="str">
        <f>IFERROR(framdriftfaktor[[#This Row],[stabilitets_tid_hr]]*framdriftfaktor[[#This Row],[veksel_prosent]],"-")</f>
        <v>-</v>
      </c>
      <c r="KX92" s="211" t="str">
        <f>IFERROR(framdriftfaktor[[#This Row],[foran_tid_hr]]*framdriftfaktor[[#This Row],[veksel_prosent]],"-")</f>
        <v>-</v>
      </c>
      <c r="KY92" s="5346">
        <f>IFERROR((framdriftfaktor[[#This Row],[stabilitets_tid_hr_veksel_del]]+framdriftfaktor[[#This Row],[foran_tid_hr_veksel_del]]+KW88+KX88)/(framdriftfaktor[[#This Row],[sprengning_tid_hr_veksel_del]]+KV88),0)</f>
        <v>0</v>
      </c>
      <c r="KZ92" s="5346"/>
      <c r="LA92" s="5345" t="str">
        <f>IF(framdriftfaktor[[#This Row],[stab-foran_spreng_ratio]]&lt;$LL$90,$LJ$90,IF(AND(framdriftfaktor[[#This Row],[stab-foran_spreng_ratio]]&gt;=$LK$91,framdriftfaktor[[#This Row],[stab-foran_spreng_ratio]]&lt;$LL$91),$LJ$91,IF(framdriftfaktor[[#This Row],[stab-foran_spreng_ratio]]&gt;=$LK$92,$LJ$92,"!")))</f>
        <v>Lite</v>
      </c>
      <c r="LB92" s="5346">
        <f>IF(framdriftfaktor[[#This Row],[rating_stab-foran]]=$LJ$90,$LM$90+$LO$90*framdriftfaktor[[#This Row],[stab-foran_spreng_ratio]],IF(framdriftfaktor[[#This Row],[rating_stab-foran]]=$LJ$91,$LM$91+((framdriftfaktor[[#This Row],[stab-foran_spreng_ratio]]-$LK$91)*$LO$91),IF(framdriftfaktor[[#This Row],[rating_stab-foran]]=$LJ$92,$LM$92)))</f>
        <v>1.3</v>
      </c>
      <c r="LC92" s="5345">
        <f>framdriftfaktor[[#This Row],[beregnet_faktor_stab-foran]]</f>
        <v>1.3</v>
      </c>
      <c r="LD92" s="5347"/>
      <c r="LJ92" s="185" t="s">
        <v>2299</v>
      </c>
      <c r="LK92" s="2815">
        <v>1</v>
      </c>
      <c r="LL92" s="2815"/>
      <c r="LM92" s="2815">
        <v>1.6</v>
      </c>
      <c r="LN92" s="2815"/>
      <c r="LO92" s="185"/>
      <c r="NI92" s="1567"/>
      <c r="NN92" s="407" t="s">
        <v>1161</v>
      </c>
      <c r="NO92" s="340" t="str">
        <f>$QV$135</f>
        <v>Stuff 2-4</v>
      </c>
      <c r="NP92" s="431">
        <f t="shared" ref="NP92:OL92" si="183">IF($BC$38=1,NP74,IF($BC$38=2,NP83))</f>
        <v>0</v>
      </c>
      <c r="NQ92" s="431">
        <f t="shared" si="183"/>
        <v>0</v>
      </c>
      <c r="NR92" s="431">
        <f t="shared" si="183"/>
        <v>0</v>
      </c>
      <c r="NS92" s="431">
        <f t="shared" si="183"/>
        <v>0</v>
      </c>
      <c r="NT92" s="431">
        <f t="shared" si="183"/>
        <v>0</v>
      </c>
      <c r="NU92" s="431">
        <f t="shared" si="183"/>
        <v>0</v>
      </c>
      <c r="NV92" s="431">
        <f t="shared" si="183"/>
        <v>0</v>
      </c>
      <c r="NW92" s="431">
        <f t="shared" si="183"/>
        <v>0</v>
      </c>
      <c r="NX92" s="431">
        <f t="shared" si="183"/>
        <v>0</v>
      </c>
      <c r="NY92" s="431">
        <f t="shared" si="183"/>
        <v>0</v>
      </c>
      <c r="NZ92" s="431">
        <f t="shared" si="183"/>
        <v>0</v>
      </c>
      <c r="OA92" s="431">
        <f t="shared" si="183"/>
        <v>0</v>
      </c>
      <c r="OB92" s="431">
        <f t="shared" si="183"/>
        <v>0</v>
      </c>
      <c r="OC92" s="431">
        <f t="shared" si="183"/>
        <v>0</v>
      </c>
      <c r="OD92" s="431">
        <f t="shared" si="183"/>
        <v>0</v>
      </c>
      <c r="OE92" s="431">
        <f t="shared" si="183"/>
        <v>0</v>
      </c>
      <c r="OF92" s="431">
        <f t="shared" si="183"/>
        <v>0</v>
      </c>
      <c r="OG92" s="431">
        <f t="shared" si="183"/>
        <v>0</v>
      </c>
      <c r="OH92" s="431">
        <f t="shared" si="183"/>
        <v>0</v>
      </c>
      <c r="OI92" s="431">
        <f t="shared" si="183"/>
        <v>0</v>
      </c>
      <c r="OJ92" s="431">
        <f t="shared" si="183"/>
        <v>0</v>
      </c>
      <c r="OK92" s="431">
        <f t="shared" si="183"/>
        <v>0</v>
      </c>
      <c r="OL92" s="431">
        <f t="shared" si="183"/>
        <v>0</v>
      </c>
      <c r="OM92" s="431">
        <f t="shared" si="140"/>
        <v>0</v>
      </c>
      <c r="ON92" s="431">
        <f t="shared" si="141"/>
        <v>0</v>
      </c>
      <c r="OO92" s="431">
        <f t="shared" si="142"/>
        <v>0</v>
      </c>
      <c r="OP92" s="431">
        <f t="shared" si="143"/>
        <v>0</v>
      </c>
      <c r="OQ92" s="431">
        <f t="shared" si="154"/>
        <v>0</v>
      </c>
      <c r="OR92" s="431">
        <f t="shared" ref="OR92:OT92" si="184">FC192</f>
        <v>0</v>
      </c>
      <c r="OS92" s="431">
        <f t="shared" si="184"/>
        <v>0</v>
      </c>
      <c r="OT92" s="431">
        <f t="shared" si="184"/>
        <v>0</v>
      </c>
      <c r="OU92" s="431">
        <f t="shared" si="156"/>
        <v>0</v>
      </c>
      <c r="OV92" s="431">
        <f t="shared" si="157"/>
        <v>0</v>
      </c>
      <c r="OW92" s="431"/>
      <c r="OX92" s="431">
        <f t="shared" si="145"/>
        <v>0</v>
      </c>
      <c r="OY92" s="431">
        <f t="shared" si="146"/>
        <v>0</v>
      </c>
      <c r="OZ92" s="431">
        <f t="shared" si="147"/>
        <v>0</v>
      </c>
      <c r="PA92" s="431">
        <f t="shared" si="148"/>
        <v>0</v>
      </c>
      <c r="PB92" s="3349">
        <f>outputs_oppsum[[#This Row],[manuell]]+outputs_oppsum[[#This Row],[kartlegging]]</f>
        <v>0</v>
      </c>
      <c r="PC92" s="3349">
        <f>outputs_oppsum[[#This Row],[lt4m]]+outputs_oppsum[[#This Row],[gt4m]]</f>
        <v>0</v>
      </c>
      <c r="PD92" s="3349">
        <f>outputs_oppsum[[#This Row],[bergbånd]]+outputs_oppsum[[#This Row],[nett]]+outputs_oppsum[[#This Row],[bergbånd_ekstra]]+outputs_oppsum[[#This Row],[festebolter_for_bergbånd]]+outputs_oppsum[[#This Row],[festebolter_for_nett]]+outputs_oppsum[[#This Row],[sprøytebetong_ved_nett]]</f>
        <v>0</v>
      </c>
      <c r="PE92" s="3349">
        <f>outputs_oppsum[[#This Row],[sprøytebetong]]</f>
        <v>0</v>
      </c>
      <c r="PF92" s="3349">
        <f>outputs_oppsum[[#This Row],[buer]]</f>
        <v>0</v>
      </c>
      <c r="PG92" s="3349">
        <f>outputs_oppsum[[#This Row],[sik123]]+outputs_oppsum[[#This Row],[sik4]]</f>
        <v>0</v>
      </c>
      <c r="PH92" s="3349">
        <f>outputs_oppsum[[#This Row],[total_man]]+outputs_oppsum[[#This Row],[total_bolt]]+outputs_oppsum[[#This Row],[total_bånd_og_nett]]+outputs_oppsum[[#This Row],[total_shot]]+outputs_oppsum[[#This Row],[total_buer]]+outputs_oppsum[[#This Row],[total_sik]]</f>
        <v>0</v>
      </c>
      <c r="PI92" s="3349">
        <f>outputs_oppsum[[#This Row],[total_stab_hr]]/$AI$80</f>
        <v>0</v>
      </c>
      <c r="PJ92" s="431" t="str">
        <f t="shared" ref="PJ92:PT92" si="185">IF($BC$38=1,PJ74,IF($BC$38=2,PJ83))</f>
        <v>Ikke relevant</v>
      </c>
      <c r="PK92" s="431">
        <f t="shared" si="185"/>
        <v>0</v>
      </c>
      <c r="PL92" s="431" t="b">
        <f t="shared" si="185"/>
        <v>0</v>
      </c>
      <c r="PM92" s="431" t="b">
        <f t="shared" si="185"/>
        <v>0</v>
      </c>
      <c r="PN92" s="431" t="b">
        <f t="shared" si="185"/>
        <v>0</v>
      </c>
      <c r="PO92" s="431" t="str">
        <f t="shared" si="185"/>
        <v>Ikke relevant</v>
      </c>
      <c r="PP92" s="431">
        <f t="shared" si="185"/>
        <v>0</v>
      </c>
      <c r="PQ92" s="431">
        <f t="shared" si="185"/>
        <v>0</v>
      </c>
      <c r="PR92" s="431">
        <f t="shared" si="185"/>
        <v>0</v>
      </c>
      <c r="PS92" s="431">
        <f t="shared" si="185"/>
        <v>0</v>
      </c>
      <c r="PT92" s="431" t="e">
        <f t="shared" si="185"/>
        <v>#VALUE!</v>
      </c>
      <c r="PU92"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92" s="1656">
        <f>outputs_oppsum[[#This Row],[oppsum_drivetid_hr]]/$AI$80</f>
        <v>0</v>
      </c>
      <c r="PW92" s="843"/>
      <c r="PX92" s="431">
        <f t="shared" ref="PX92:RF92" si="186">IF($BC$38=1,PX74,IF($BC$38=2,PX83))</f>
        <v>0</v>
      </c>
      <c r="PY92" s="431" t="str">
        <f t="shared" si="186"/>
        <v>Ikke påvirket</v>
      </c>
      <c r="PZ92" s="431" t="str">
        <f t="shared" si="186"/>
        <v>-</v>
      </c>
      <c r="QA92" s="431" t="str">
        <f t="shared" si="186"/>
        <v>-</v>
      </c>
      <c r="QB92" s="431" t="str">
        <f t="shared" si="186"/>
        <v>-</v>
      </c>
      <c r="QC92" s="431" t="str">
        <f t="shared" si="186"/>
        <v>-</v>
      </c>
      <c r="QD92" s="431" t="str">
        <f t="shared" si="186"/>
        <v>-</v>
      </c>
      <c r="QE92" s="431" t="str">
        <f t="shared" si="186"/>
        <v>-</v>
      </c>
      <c r="QF92" s="431" t="str">
        <f t="shared" si="186"/>
        <v>-</v>
      </c>
      <c r="QG92" s="431" t="str">
        <f t="shared" si="186"/>
        <v>-</v>
      </c>
      <c r="QH92" s="431">
        <f t="shared" si="186"/>
        <v>0</v>
      </c>
      <c r="QI92" s="431" t="str">
        <f t="shared" si="186"/>
        <v>-</v>
      </c>
      <c r="QJ92" s="431">
        <f t="shared" si="186"/>
        <v>0</v>
      </c>
      <c r="QK92" s="431" t="str">
        <f t="shared" si="186"/>
        <v>-</v>
      </c>
      <c r="QL92" s="431">
        <f t="shared" si="186"/>
        <v>0</v>
      </c>
      <c r="QM92" s="431" t="str">
        <f t="shared" si="186"/>
        <v>-</v>
      </c>
      <c r="QN92" s="431">
        <f t="shared" si="186"/>
        <v>0</v>
      </c>
      <c r="QO92" s="431" t="str">
        <f t="shared" si="186"/>
        <v>-</v>
      </c>
      <c r="QP92" s="431">
        <f t="shared" si="186"/>
        <v>0</v>
      </c>
      <c r="QQ92" s="431">
        <f t="shared" si="186"/>
        <v>0</v>
      </c>
      <c r="QR92" s="431">
        <f t="shared" si="186"/>
        <v>0</v>
      </c>
      <c r="QS92" s="431" t="e">
        <f t="shared" si="186"/>
        <v>#N/A</v>
      </c>
      <c r="QT92" s="431" t="e">
        <f t="shared" si="186"/>
        <v>#N/A</v>
      </c>
      <c r="QU92" s="431" t="e">
        <f t="shared" si="186"/>
        <v>#N/A</v>
      </c>
      <c r="QV92" s="431" t="e">
        <f t="shared" si="186"/>
        <v>#N/A</v>
      </c>
      <c r="QW92" s="431" t="e">
        <f t="shared" si="186"/>
        <v>#N/A</v>
      </c>
      <c r="QX92" s="431" t="e">
        <f t="shared" si="186"/>
        <v>#N/A</v>
      </c>
      <c r="QY92" s="431" t="e">
        <f t="shared" si="186"/>
        <v>#N/A</v>
      </c>
      <c r="QZ92" s="431" t="e">
        <f t="shared" si="186"/>
        <v>#N/A</v>
      </c>
      <c r="RA92" s="431" t="e">
        <f t="shared" si="186"/>
        <v>#N/A</v>
      </c>
      <c r="RB92" s="431" t="e">
        <f t="shared" si="186"/>
        <v>#N/A</v>
      </c>
      <c r="RC92" s="431">
        <f t="shared" si="186"/>
        <v>0</v>
      </c>
      <c r="RD92" s="431">
        <f t="shared" si="186"/>
        <v>0</v>
      </c>
      <c r="RE92" s="431">
        <f t="shared" si="186"/>
        <v>1</v>
      </c>
      <c r="RF92" s="431" t="str">
        <f t="shared" si="186"/>
        <v>Enstuffs drift</v>
      </c>
      <c r="RG92" s="431" t="str">
        <f>IF(outputs_oppsum[[#This Row],[kon_metod_no]]=2,INDEX(framdriftfaktor[stab-foran_spreng_ratio],MATCH(outputs_oppsum[[#This Row],[stuff_id]],framdriftfaktor[stuff_id],0)),"-")</f>
        <v>-</v>
      </c>
      <c r="RH92" s="5269">
        <f>IF(outputs_oppsum[[#This Row],[kon_metod_no]]=2,INDEX(framdriftfaktor[beregnet_faktor_final],MATCH(outputs_oppsum[[#This Row],[stuff_id]],framdriftfaktor[stuff_id],0)),1)</f>
        <v>1</v>
      </c>
      <c r="RI92" s="5269" t="str">
        <f>IF(outputs_oppsum[[#This Row],[kon_metod]]=_List!$AW$8,INDEX(outputs_just[vek_faktor_bruker_definert_status],MATCH(outputs_oppsum[[#This Row],[stuff_navn]],outputs_just[Navn],0)),"")</f>
        <v/>
      </c>
      <c r="RJ92" s="5269" t="e">
        <f>IF(AND(outputs_oppsum[[#This Row],[kon_metod_no]]&lt;&gt;1,LP128=FALSE),LO128,"-")</f>
        <v>#N/A</v>
      </c>
      <c r="RK92" s="5269">
        <f>IF(AND(outputs_oppsum[[#This Row],[kon_metod_no]]=2,outputs_oppsum[[#This Row],[tverrslag_status_oppsum]]&lt;&gt;$I$90,outputs_oppsum[[#This Row],[faktor_bruker_definert]]=FALSE),outputs_oppsum[[#This Row],[faktor_user]],outputs_oppsum[[#This Row],[faktor_beregnet]])</f>
        <v>1</v>
      </c>
      <c r="RL92" s="1807">
        <f>IFERROR((outputs_oppsum[[#This Row],[faktor_final]]-1)*outputs_oppsum[[#This Row],[oppsum_drivetid_hr]]*outputs_oppsum[[#This Row],[veksel_prosent]],"-")</f>
        <v>0</v>
      </c>
      <c r="RM92" s="1807" t="str">
        <f>IF(outputs_oppsum[[#This Row],[kon_metod_no]]=2,outputs_oppsum[[#This Row],[ekstra_framdrift_tid_oppsum_hr]]/$AI$80,"-")</f>
        <v>-</v>
      </c>
      <c r="RN92" s="431" t="str">
        <f>IF(outputs_oppsum[[#This Row],[kon_metod_no]]=2,outputs_oppsum[[#This Row],[ekstra_drivetid_pga_faktor]],"-")</f>
        <v>-</v>
      </c>
      <c r="RO92" s="431">
        <f>IFERROR(outputs_oppsum[[#This Row],[oppsum_drivetid_hr]]+outputs_oppsum[[#This Row],[ekstra_drivetid_pga_faktor]],"-")</f>
        <v>0</v>
      </c>
      <c r="RP92"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92" s="5276">
        <f>IF(outputs_oppsum[[#This Row],[enstuff_prosent_input]]&gt;1,1,outputs_oppsum[[#This Row],[enstuff_prosent_input]])</f>
        <v>1</v>
      </c>
      <c r="RR92"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92" s="431"/>
      <c r="RT92" s="431"/>
      <c r="RU92" s="431"/>
      <c r="RV92" s="211"/>
      <c r="RW92" s="431" t="str">
        <f>IFERROR(outputs_oppsum[[#This Row],[drivetid_with_faktor]]+outputs_oppsum[[#This Row],[prosjekt_forbe_hr]]+outputs_oppsum[[#This Row],[total_forbe_hr]]+outputs_oppsum[[#This Row],[extra_for_tverrslag_sum]]+outputs_oppsum[[#This Row],[just_total_hr]]+outputs_oppsum[[#This Row],[forsinket_hr]],"!")</f>
        <v>!</v>
      </c>
      <c r="RX92" s="211" t="str">
        <f>IFERROR(outputs_oppsum[[#This Row],[oppsum_total_hr]]/$AI$80,"!")</f>
        <v>!</v>
      </c>
      <c r="RY92" s="431" t="str">
        <f>IF(MAX($RX$85:$RX$93)=outputs_oppsum[[#This Row],[oppsum_total_uke]],MAX($RX$85:$RX$93),"-")</f>
        <v>-</v>
      </c>
      <c r="RZ92" s="431" t="str">
        <f>IF(AND(ISNUMBER(outputs_oppsum[[#This Row],[Criticalstuff]]),$BC$34&lt;&gt;1,outputs_oppsum[[#This Row],[Criticalstuff]]&gt;0),$RZ$63,"")</f>
        <v/>
      </c>
      <c r="SA92" s="837"/>
      <c r="SB92" s="837"/>
      <c r="SC92" s="837"/>
      <c r="SD92" s="837"/>
      <c r="SE92" s="837"/>
      <c r="SF92" s="3521"/>
      <c r="SG92" s="2617"/>
      <c r="SH92" s="2617"/>
      <c r="SI92" s="2617"/>
      <c r="SJ92" s="2617"/>
      <c r="SK92" s="2617"/>
      <c r="SL92" s="2617"/>
      <c r="SM92" s="2617"/>
      <c r="SN92" s="2617"/>
      <c r="SO92" s="2617"/>
      <c r="SP92" s="2617"/>
      <c r="SQ92" s="2617"/>
      <c r="SR92" s="2617"/>
      <c r="SS92" s="2617"/>
      <c r="ST92" s="2617"/>
      <c r="SU92" s="2617"/>
      <c r="SV92" s="2617"/>
      <c r="SW92" s="2617"/>
      <c r="SX92" s="2617"/>
      <c r="SY92" s="2617"/>
      <c r="SZ92" s="2617"/>
      <c r="TA92" s="2617"/>
      <c r="TB92" s="2617"/>
      <c r="TC92" s="2617"/>
      <c r="TD92" s="2617"/>
      <c r="TE92" s="2617"/>
      <c r="TF92" s="2617"/>
      <c r="TG92" s="2617"/>
      <c r="TH92" s="2617"/>
      <c r="TI92" s="2617"/>
      <c r="TJ92" s="2617"/>
      <c r="TK92" s="2617"/>
      <c r="TL92" s="2617"/>
      <c r="TM92" s="2617"/>
      <c r="TN92" s="2617"/>
      <c r="TO92" s="2617"/>
      <c r="TP92" s="2617"/>
      <c r="TQ92" s="2617"/>
      <c r="TR92" s="2617"/>
      <c r="TS92" s="2617"/>
      <c r="TT92" s="2617"/>
      <c r="TU92" s="2617"/>
      <c r="TV92" s="2617"/>
      <c r="TW92" s="181"/>
      <c r="TX92" s="2617"/>
      <c r="TY92" s="2617"/>
      <c r="TZ92" s="2617"/>
      <c r="UA92" s="2617"/>
      <c r="UB92" s="2617"/>
      <c r="UC92" s="181"/>
      <c r="UD92" s="181"/>
      <c r="UE92" s="181"/>
      <c r="UF92" s="181"/>
      <c r="UG92" s="2617"/>
      <c r="UH92" s="2617"/>
      <c r="UI92" s="2617"/>
      <c r="UJ92" s="2617"/>
      <c r="UK92" s="2617"/>
      <c r="UL92" s="2617"/>
      <c r="UM92" s="2617"/>
      <c r="UN92" s="2617"/>
      <c r="UO92" s="2617"/>
      <c r="UP92" s="2617"/>
      <c r="UQ92" s="2617"/>
      <c r="UR92" s="2617"/>
      <c r="US92" s="2617"/>
      <c r="UT92" s="2617"/>
      <c r="UU92" s="2617"/>
      <c r="UV92" s="2617"/>
      <c r="UW92" s="2617"/>
      <c r="UX92" s="2617"/>
      <c r="UY92" s="2617"/>
      <c r="UZ92" s="2617"/>
      <c r="VA92" s="2617"/>
      <c r="VB92" s="2617"/>
      <c r="VC92" s="2617"/>
      <c r="VD92" s="2617"/>
      <c r="VE92" s="2617"/>
      <c r="VF92"/>
      <c r="VG92" s="2617"/>
      <c r="VH92" s="2617"/>
      <c r="VI92" s="2617"/>
      <c r="VJ92" s="2617"/>
      <c r="VK92" s="2617"/>
      <c r="VL92" s="2617"/>
      <c r="VM92" s="2617"/>
      <c r="VN92" s="2617"/>
      <c r="VO92" s="2617"/>
      <c r="VP92" s="2617"/>
      <c r="VQ92" s="2617"/>
      <c r="VR92" s="2617"/>
      <c r="VS92" s="2617"/>
      <c r="VT92" s="2617"/>
      <c r="VU92" s="2617"/>
      <c r="VV92" s="2617"/>
      <c r="VW92" s="2617"/>
      <c r="VX92" s="2617"/>
      <c r="VY92" s="2617"/>
      <c r="VZ92" s="2617"/>
      <c r="WA92" s="2617"/>
      <c r="WB92" s="2617"/>
      <c r="WC92" s="2617"/>
      <c r="WD92" s="2617"/>
      <c r="WE92" s="2617"/>
      <c r="WF92" s="2617"/>
      <c r="WG92" s="2617"/>
      <c r="WH92" s="2617"/>
      <c r="WI92" s="2617"/>
      <c r="WJ92" s="2617"/>
      <c r="WK92" s="2617"/>
      <c r="WL92" s="2617"/>
      <c r="WM92" s="2617"/>
      <c r="WN92" s="2617"/>
      <c r="WO92" s="2617"/>
      <c r="WP92" s="2617"/>
      <c r="WQ92" s="2617"/>
      <c r="WR92" s="2617"/>
      <c r="WS92" s="2617"/>
      <c r="WT92" s="2617"/>
      <c r="WU92" s="265"/>
      <c r="WV92" s="265"/>
      <c r="WW92" s="265"/>
      <c r="WX92" s="265"/>
      <c r="WY92" s="265"/>
      <c r="WZ92" s="265"/>
      <c r="XA92" s="265"/>
      <c r="XB92" s="265"/>
      <c r="XC92" s="265"/>
      <c r="XD92" s="265"/>
      <c r="XE92" s="265"/>
      <c r="XF92" s="265"/>
    </row>
    <row r="93" spans="9:645" ht="15" thickBot="1" x14ac:dyDescent="0.25">
      <c r="I93" s="5567"/>
      <c r="AL93" s="181"/>
      <c r="AM93" s="181"/>
      <c r="AN93" s="181"/>
      <c r="AO93" s="181"/>
      <c r="AP93" s="181"/>
      <c r="AQ93" s="181"/>
      <c r="AR93" s="181"/>
      <c r="AS93" s="181"/>
      <c r="AT93" s="181"/>
      <c r="AU93" s="2617"/>
      <c r="AV93" s="2617"/>
      <c r="GH93" s="414"/>
      <c r="GJ93" s="439" t="str">
        <f t="shared" si="166"/>
        <v>Stuff 2-2</v>
      </c>
      <c r="GK93" s="193">
        <f>Tunneldrift!$AO$173</f>
        <v>0</v>
      </c>
      <c r="GL93" s="185">
        <f>IF(Tunneldrift!$AO$173="",0,1)</f>
        <v>0</v>
      </c>
      <c r="HH93" s="230" t="str">
        <f>Tunneldrift!M82</f>
        <v>Tunnelprofil</v>
      </c>
      <c r="HI93" s="230">
        <f>Tunneldrift!AD82</f>
        <v>0</v>
      </c>
      <c r="IH93" s="5996" t="s">
        <v>2712</v>
      </c>
      <c r="II93" s="325" t="s">
        <v>2711</v>
      </c>
      <c r="KO93" s="5952">
        <f t="shared" si="135"/>
        <v>91</v>
      </c>
      <c r="KP93" s="5953" t="str">
        <f>$QW$135</f>
        <v>Tverrslag</v>
      </c>
      <c r="KQ93" s="5954" t="str">
        <f>IFERROR(INDEX(tunneldrift_vekseldrift[vekseldrift_lengde_final],MATCH(framdriftfaktor[[#This Row],[stuff_navn]],tunneldrift_vekseldrift[Stuff_navn],0))/INDEX(tunneldrift_vekseldrift[Input_stuff_lengde],MATCH(framdriftfaktor[[#This Row],[stuff_navn]],tunneldrift_vekseldrift[Stuff_navn],0)),"-")</f>
        <v>-</v>
      </c>
      <c r="KR93" s="5953"/>
      <c r="KS93" s="5955">
        <f t="shared" si="136"/>
        <v>0</v>
      </c>
      <c r="KT93" s="5955">
        <f t="shared" si="137"/>
        <v>0</v>
      </c>
      <c r="KU93" s="5955">
        <f t="shared" si="138"/>
        <v>0</v>
      </c>
      <c r="KV93" s="5956" t="str">
        <f>IFERROR(framdriftfaktor[[#This Row],[sprengning_tid_hr]]*framdriftfaktor[[#This Row],[veksel_prosent]],"-")</f>
        <v>-</v>
      </c>
      <c r="KW93" s="5956" t="str">
        <f>IFERROR(framdriftfaktor[[#This Row],[stabilitets_tid_hr]]*framdriftfaktor[[#This Row],[veksel_prosent]],"-")</f>
        <v>-</v>
      </c>
      <c r="KX93" s="5956" t="str">
        <f>IFERROR(framdriftfaktor[[#This Row],[foran_tid_hr]]*framdriftfaktor[[#This Row],[veksel_prosent]],"-")</f>
        <v>-</v>
      </c>
      <c r="KY93" s="5957">
        <f>IFERROR((framdriftfaktor[[#This Row],[stabilitets_tid_hr]]+framdriftfaktor[[#This Row],[foran_tid_hr]])/framdriftfaktor[[#This Row],[sprengning_tid_hr]],0)</f>
        <v>0</v>
      </c>
      <c r="KZ93" s="5957"/>
      <c r="LA93" s="5958" t="str">
        <f>IF(framdriftfaktor[[#This Row],[stab-foran_spreng_ratio]]&lt;$LL$90,$LJ$90,IF(AND(framdriftfaktor[[#This Row],[stab-foran_spreng_ratio]]&gt;=$LK$91,framdriftfaktor[[#This Row],[stab-foran_spreng_ratio]]&lt;$LL$91),$LJ$91,IF(framdriftfaktor[[#This Row],[stab-foran_spreng_ratio]]&gt;=$LK$92,$LJ$92,"!")))</f>
        <v>Lite</v>
      </c>
      <c r="LB93" s="5957">
        <f>IF(framdriftfaktor[[#This Row],[rating_stab-foran]]=$LJ$90,$LM$90+$LO$90*framdriftfaktor[[#This Row],[stab-foran_spreng_ratio]],IF(framdriftfaktor[[#This Row],[rating_stab-foran]]=$LJ$91,$LM$91+((framdriftfaktor[[#This Row],[stab-foran_spreng_ratio]]-$LK$91)*$LO$91),IF(framdriftfaktor[[#This Row],[rating_stab-foran]]=$LJ$92,$LM$92)))</f>
        <v>1.3</v>
      </c>
      <c r="LC93" s="5958">
        <f>framdriftfaktor[[#This Row],[beregnet_faktor_stab-foran]]</f>
        <v>1.3</v>
      </c>
      <c r="LD93" s="5959"/>
      <c r="LE93" s="5960"/>
      <c r="LF93" s="5960"/>
      <c r="LG93" s="5960"/>
      <c r="NI93" s="1567"/>
      <c r="NN93" s="407" t="s">
        <v>1162</v>
      </c>
      <c r="NO93" s="480" t="str">
        <f>$QW$135</f>
        <v>Tverrslag</v>
      </c>
      <c r="NP93" s="431">
        <f t="shared" ref="NP93:OL93" si="187">IF($BC$38=1,NP75,IF($BC$38=2,NP84))</f>
        <v>0</v>
      </c>
      <c r="NQ93" s="431">
        <f t="shared" si="187"/>
        <v>0</v>
      </c>
      <c r="NR93" s="431">
        <f t="shared" si="187"/>
        <v>0</v>
      </c>
      <c r="NS93" s="431">
        <f t="shared" si="187"/>
        <v>0</v>
      </c>
      <c r="NT93" s="431">
        <f t="shared" si="187"/>
        <v>0</v>
      </c>
      <c r="NU93" s="431">
        <f t="shared" si="187"/>
        <v>0</v>
      </c>
      <c r="NV93" s="431">
        <f t="shared" si="187"/>
        <v>0</v>
      </c>
      <c r="NW93" s="431">
        <f t="shared" si="187"/>
        <v>0</v>
      </c>
      <c r="NX93" s="431">
        <f t="shared" si="187"/>
        <v>0</v>
      </c>
      <c r="NY93" s="431">
        <f t="shared" si="187"/>
        <v>0</v>
      </c>
      <c r="NZ93" s="431">
        <f t="shared" si="187"/>
        <v>0</v>
      </c>
      <c r="OA93" s="431">
        <f t="shared" si="187"/>
        <v>0</v>
      </c>
      <c r="OB93" s="431">
        <f t="shared" si="187"/>
        <v>0</v>
      </c>
      <c r="OC93" s="431">
        <f t="shared" si="187"/>
        <v>0</v>
      </c>
      <c r="OD93" s="431">
        <f t="shared" si="187"/>
        <v>0</v>
      </c>
      <c r="OE93" s="431">
        <f t="shared" si="187"/>
        <v>0</v>
      </c>
      <c r="OF93" s="431">
        <f t="shared" si="187"/>
        <v>0</v>
      </c>
      <c r="OG93" s="431">
        <f t="shared" si="187"/>
        <v>0</v>
      </c>
      <c r="OH93" s="431">
        <f t="shared" si="187"/>
        <v>0</v>
      </c>
      <c r="OI93" s="431">
        <f t="shared" si="187"/>
        <v>0</v>
      </c>
      <c r="OJ93" s="431">
        <f t="shared" si="187"/>
        <v>0</v>
      </c>
      <c r="OK93" s="431">
        <f t="shared" si="187"/>
        <v>0</v>
      </c>
      <c r="OL93" s="431">
        <f t="shared" si="187"/>
        <v>0</v>
      </c>
      <c r="OM93" s="431">
        <f t="shared" si="140"/>
        <v>0</v>
      </c>
      <c r="ON93" s="431">
        <f t="shared" si="141"/>
        <v>0</v>
      </c>
      <c r="OO93" s="431">
        <f t="shared" si="142"/>
        <v>0</v>
      </c>
      <c r="OP93" s="431">
        <f t="shared" si="143"/>
        <v>0</v>
      </c>
      <c r="OQ93" s="431">
        <f t="shared" si="154"/>
        <v>0</v>
      </c>
      <c r="OR93" s="431">
        <f t="shared" ref="OR93:OT93" si="188">FC193</f>
        <v>0</v>
      </c>
      <c r="OS93" s="431">
        <f t="shared" si="188"/>
        <v>0</v>
      </c>
      <c r="OT93" s="431">
        <f t="shared" si="188"/>
        <v>0</v>
      </c>
      <c r="OU93" s="431">
        <f t="shared" si="156"/>
        <v>0</v>
      </c>
      <c r="OV93" s="431">
        <f t="shared" si="157"/>
        <v>0</v>
      </c>
      <c r="OW93" s="431"/>
      <c r="OX93" s="431">
        <f t="shared" si="145"/>
        <v>0</v>
      </c>
      <c r="OY93" s="431">
        <f t="shared" si="146"/>
        <v>0</v>
      </c>
      <c r="OZ93" s="431">
        <f t="shared" si="147"/>
        <v>0</v>
      </c>
      <c r="PA93" s="431">
        <f t="shared" si="148"/>
        <v>0</v>
      </c>
      <c r="PB93" s="3349">
        <f>outputs_oppsum[[#This Row],[manuell]]+outputs_oppsum[[#This Row],[kartlegging]]</f>
        <v>0</v>
      </c>
      <c r="PC93" s="3349">
        <f>outputs_oppsum[[#This Row],[lt4m]]+outputs_oppsum[[#This Row],[gt4m]]</f>
        <v>0</v>
      </c>
      <c r="PD93" s="3349">
        <f>outputs_oppsum[[#This Row],[bergbånd]]+outputs_oppsum[[#This Row],[nett]]+outputs_oppsum[[#This Row],[bergbånd_ekstra]]+outputs_oppsum[[#This Row],[festebolter_for_bergbånd]]+outputs_oppsum[[#This Row],[festebolter_for_nett]]+outputs_oppsum[[#This Row],[sprøytebetong_ved_nett]]</f>
        <v>0</v>
      </c>
      <c r="PE93" s="3349">
        <f>outputs_oppsum[[#This Row],[sprøytebetong]]</f>
        <v>0</v>
      </c>
      <c r="PF93" s="3349">
        <f>outputs_oppsum[[#This Row],[buer]]</f>
        <v>0</v>
      </c>
      <c r="PG93" s="3349">
        <f>outputs_oppsum[[#This Row],[sik123]]+outputs_oppsum[[#This Row],[sik4]]</f>
        <v>0</v>
      </c>
      <c r="PH93" s="3349">
        <f>outputs_oppsum[[#This Row],[total_man]]+outputs_oppsum[[#This Row],[total_bolt]]+outputs_oppsum[[#This Row],[total_bånd_og_nett]]+outputs_oppsum[[#This Row],[total_shot]]+outputs_oppsum[[#This Row],[total_buer]]+outputs_oppsum[[#This Row],[total_sik]]</f>
        <v>0</v>
      </c>
      <c r="PI93" s="3349">
        <f>outputs_oppsum[[#This Row],[total_stab_hr]]/$AI$80</f>
        <v>0</v>
      </c>
      <c r="PJ93" s="431" t="str">
        <f t="shared" ref="PJ93:PT93" si="189">IF($BC$38=1,PJ75,IF($BC$38=2,PJ84))</f>
        <v>Ikke relevant</v>
      </c>
      <c r="PK93" s="431">
        <f t="shared" si="189"/>
        <v>0</v>
      </c>
      <c r="PL93" s="431" t="b">
        <f t="shared" si="189"/>
        <v>0</v>
      </c>
      <c r="PM93" s="431" t="b">
        <f t="shared" si="189"/>
        <v>0</v>
      </c>
      <c r="PN93" s="431" t="b">
        <f t="shared" si="189"/>
        <v>0</v>
      </c>
      <c r="PO93" s="431" t="str">
        <f t="shared" si="189"/>
        <v>Ikke relevant</v>
      </c>
      <c r="PP93" s="431">
        <f t="shared" si="189"/>
        <v>0</v>
      </c>
      <c r="PQ93" s="431">
        <f t="shared" si="189"/>
        <v>0</v>
      </c>
      <c r="PR93" s="431">
        <f t="shared" si="189"/>
        <v>0</v>
      </c>
      <c r="PS93" s="431">
        <f t="shared" si="189"/>
        <v>0</v>
      </c>
      <c r="PT93" s="431" t="e">
        <f t="shared" si="189"/>
        <v>#VALUE!</v>
      </c>
      <c r="PU93" s="4226">
        <f>outputs_oppsum[[#This Row],[total_nisj]]+outputs_oppsum[[#This Row],[total_lop]]+outputs_oppsum[[#This Row],[total_sonder]]+outputs_oppsum[[#This Row],[total_inj]]+outputs_oppsum[[#This Row],[total_man]]+outputs_oppsum[[#This Row],[total_bolt]]+outputs_oppsum[[#This Row],[total_bånd_og_nett]]+outputs_oppsum[[#This Row],[total_shot]]+outputs_oppsum[[#This Row],[total_buer]]+outputs_oppsum[[#This Row],[total_sik]]</f>
        <v>0</v>
      </c>
      <c r="PV93" s="1656">
        <f>outputs_oppsum[[#This Row],[oppsum_drivetid_hr]]/$AI$80</f>
        <v>0</v>
      </c>
      <c r="PW93" s="843"/>
      <c r="PX93" s="431">
        <f t="shared" ref="PX93:RF93" si="190">IF($BC$38=1,PX75,IF($BC$38=2,PX84))</f>
        <v>0</v>
      </c>
      <c r="PY93" s="431" t="str">
        <f t="shared" si="190"/>
        <v>Tverrslaget</v>
      </c>
      <c r="PZ93" s="431" t="str">
        <f t="shared" si="190"/>
        <v>-</v>
      </c>
      <c r="QA93" s="431">
        <f t="shared" si="190"/>
        <v>0</v>
      </c>
      <c r="QB93" s="431">
        <f t="shared" si="190"/>
        <v>0</v>
      </c>
      <c r="QC93" s="431">
        <f t="shared" si="190"/>
        <v>0</v>
      </c>
      <c r="QD93" s="431" t="str">
        <f t="shared" si="190"/>
        <v>-</v>
      </c>
      <c r="QE93" s="431" t="str">
        <f t="shared" si="190"/>
        <v>-</v>
      </c>
      <c r="QF93" s="431" t="str">
        <f t="shared" si="190"/>
        <v>-</v>
      </c>
      <c r="QG93" s="431" t="str">
        <f t="shared" si="190"/>
        <v>-</v>
      </c>
      <c r="QH93" s="431">
        <f t="shared" si="190"/>
        <v>0</v>
      </c>
      <c r="QI93" s="431" t="str">
        <f t="shared" si="190"/>
        <v>Ikke relevant</v>
      </c>
      <c r="QJ93" s="431">
        <f t="shared" si="190"/>
        <v>0</v>
      </c>
      <c r="QK93" s="431" t="str">
        <f t="shared" si="190"/>
        <v>Ikke relevant</v>
      </c>
      <c r="QL93" s="431">
        <f t="shared" si="190"/>
        <v>0</v>
      </c>
      <c r="QM93" s="431" t="e">
        <f t="shared" si="190"/>
        <v>#N/A</v>
      </c>
      <c r="QN93" s="431">
        <f t="shared" si="190"/>
        <v>0</v>
      </c>
      <c r="QO93" s="431">
        <f t="shared" si="190"/>
        <v>0</v>
      </c>
      <c r="QP93" s="431">
        <f t="shared" si="190"/>
        <v>0</v>
      </c>
      <c r="QQ93" s="431">
        <f t="shared" si="190"/>
        <v>0</v>
      </c>
      <c r="QR93" s="431">
        <f t="shared" si="190"/>
        <v>0</v>
      </c>
      <c r="QS93" s="431" t="e">
        <f t="shared" si="190"/>
        <v>#N/A</v>
      </c>
      <c r="QT93" s="431" t="e">
        <f t="shared" si="190"/>
        <v>#N/A</v>
      </c>
      <c r="QU93" s="431" t="e">
        <f t="shared" si="190"/>
        <v>#N/A</v>
      </c>
      <c r="QV93" s="431" t="e">
        <f t="shared" si="190"/>
        <v>#N/A</v>
      </c>
      <c r="QW93" s="431" t="e">
        <f t="shared" si="190"/>
        <v>#N/A</v>
      </c>
      <c r="QX93" s="431" t="e">
        <f t="shared" si="190"/>
        <v>#N/A</v>
      </c>
      <c r="QY93" s="431" t="e">
        <f t="shared" si="190"/>
        <v>#N/A</v>
      </c>
      <c r="QZ93" s="431" t="e">
        <f t="shared" si="190"/>
        <v>#N/A</v>
      </c>
      <c r="RA93" s="431" t="e">
        <f t="shared" si="190"/>
        <v>#N/A</v>
      </c>
      <c r="RB93" s="431" t="e">
        <f t="shared" si="190"/>
        <v>#N/A</v>
      </c>
      <c r="RC93" s="431">
        <f t="shared" si="190"/>
        <v>0</v>
      </c>
      <c r="RD93" s="431">
        <f t="shared" si="190"/>
        <v>0</v>
      </c>
      <c r="RE93" s="431">
        <f t="shared" si="190"/>
        <v>1</v>
      </c>
      <c r="RF93" s="431" t="str">
        <f t="shared" si="190"/>
        <v>Enstuffs drift</v>
      </c>
      <c r="RG93" s="431" t="str">
        <f>IF(outputs_oppsum[[#This Row],[kon_metod_no]]=2,INDEX(framdriftfaktor[stab-foran_spreng_ratio],MATCH(outputs_oppsum[[#This Row],[stuff_id]],framdriftfaktor[stuff_id],0)),"-")</f>
        <v>-</v>
      </c>
      <c r="RH93" s="5269">
        <f>IF(outputs_oppsum[[#This Row],[kon_metod_no]]=2,INDEX(framdriftfaktor[beregnet_faktor_final],MATCH(outputs_oppsum[[#This Row],[stuff_id]],framdriftfaktor[stuff_id],0)),1)</f>
        <v>1</v>
      </c>
      <c r="RI93" s="5269" t="str">
        <f>IF(outputs_oppsum[[#This Row],[kon_metod]]=_List!$AW$8,INDEX(outputs_just[vek_faktor_bruker_definert_status],MATCH(outputs_oppsum[[#This Row],[stuff_navn]],outputs_just[Navn],0)),"")</f>
        <v/>
      </c>
      <c r="RJ93" s="5269" t="e">
        <f>IF(AND(outputs_oppsum[[#This Row],[kon_metod_no]]&lt;&gt;1,LP129=FALSE),LO129,"-")</f>
        <v>#N/A</v>
      </c>
      <c r="RK93" s="5269">
        <f>IF(AND(outputs_oppsum[[#This Row],[kon_metod_no]]=2,outputs_oppsum[[#This Row],[tverrslag_status_oppsum]]&lt;&gt;$I$90,outputs_oppsum[[#This Row],[faktor_bruker_definert]]=FALSE),outputs_oppsum[[#This Row],[faktor_user]],outputs_oppsum[[#This Row],[faktor_beregnet]])</f>
        <v>1</v>
      </c>
      <c r="RL93" s="1807">
        <f>IFERROR((outputs_oppsum[[#This Row],[faktor_final]]-1)*outputs_oppsum[[#This Row],[oppsum_drivetid_hr]]*outputs_oppsum[[#This Row],[veksel_prosent]],"-")</f>
        <v>0</v>
      </c>
      <c r="RM93" s="1807" t="str">
        <f>IF(outputs_oppsum[[#This Row],[kon_metod_no]]=2,outputs_oppsum[[#This Row],[ekstra_framdrift_tid_oppsum_hr]]/$AI$80,"-")</f>
        <v>-</v>
      </c>
      <c r="RN93" s="431" t="str">
        <f>IF(outputs_oppsum[[#This Row],[kon_metod_no]]=2,outputs_oppsum[[#This Row],[ekstra_drivetid_pga_faktor]],"-")</f>
        <v>-</v>
      </c>
      <c r="RO93" s="431">
        <f>IFERROR(outputs_oppsum[[#This Row],[oppsum_drivetid_hr]]+outputs_oppsum[[#This Row],[ekstra_drivetid_pga_faktor]],"-")</f>
        <v>0</v>
      </c>
      <c r="RP93" s="5276">
        <f>IF(outputs_oppsum[[#This Row],[kon_metod_no]]=2,INDEX(tunneldrift_vekseldrift[en_stuff_lengde_final],MATCH(outputs_oppsum[[#This Row],[stuff_navn]],tunneldrift_vekseldrift[Stuff_navn],0))/INDEX(tunneldrift_vekseldrift[Input_stuff_lengde],MATCH(outputs_oppsum[[#This Row],[stuff_navn]],tunneldrift_vekseldrift[Stuff_navn],0)),1)</f>
        <v>1</v>
      </c>
      <c r="RQ93" s="5276">
        <f>IF(outputs_oppsum[[#This Row],[enstuff_prosent_input]]&gt;1,1,outputs_oppsum[[#This Row],[enstuff_prosent_input]])</f>
        <v>1</v>
      </c>
      <c r="RR93" s="5276">
        <f>IFERROR(IF(outputs_oppsum[[#This Row],[kon_metod_no]]=2,INDEX(tunneldrift_vekseldrift[vekseldrift_lengde_final],MATCH(outputs_oppsum[[#This Row],[stuff_navn]],tunneldrift_vekseldrift[Stuff_navn],0))/INDEX(tunneldrift_vekseldrift[Input_stuff_lengde],MATCH(outputs_oppsum[[#This Row],[stuff_navn]],tunneldrift_vekseldrift[Stuff_navn],0)),0),0)</f>
        <v>0</v>
      </c>
      <c r="RS93" s="431"/>
      <c r="RT93" s="431"/>
      <c r="RU93" s="431"/>
      <c r="RV93" s="211"/>
      <c r="RW93" s="431" t="str">
        <f>IFERROR(outputs_oppsum[[#This Row],[drivetid_with_faktor]]+outputs_oppsum[[#This Row],[prosjekt_forbe_hr]]+outputs_oppsum[[#This Row],[total_forbe_hr]]+outputs_oppsum[[#This Row],[extra_for_tverrslag_sum]]+outputs_oppsum[[#This Row],[just_total_hr]]+outputs_oppsum[[#This Row],[forsinket_hr]],"!")</f>
        <v>!</v>
      </c>
      <c r="RX93" s="211" t="str">
        <f>IFERROR(outputs_oppsum[[#This Row],[oppsum_total_hr]]/$AI$80,"!")</f>
        <v>!</v>
      </c>
      <c r="RY93" s="431" t="str">
        <f>IF(MAX($RX$85:$RX$93)=outputs_oppsum[[#This Row],[oppsum_total_uke]],MAX($RX$85:$RX$93),"-")</f>
        <v>-</v>
      </c>
      <c r="RZ93" s="431" t="str">
        <f>IF(AND(ISNUMBER(outputs_oppsum[[#This Row],[Criticalstuff]]),$BC$34&lt;&gt;1,outputs_oppsum[[#This Row],[Criticalstuff]]&gt;0),$RZ$63,"")</f>
        <v/>
      </c>
      <c r="SA93" s="837"/>
      <c r="SB93" s="837"/>
      <c r="SC93" s="837"/>
      <c r="SD93" s="837"/>
      <c r="SE93" s="837"/>
      <c r="SF93" s="3521"/>
      <c r="SG93" s="2617"/>
      <c r="SH93" s="2617"/>
      <c r="SI93" s="2617"/>
      <c r="SJ93" s="2617"/>
      <c r="SK93" s="2617"/>
      <c r="SL93" s="2617"/>
      <c r="SM93" s="2617"/>
      <c r="SN93" s="2617"/>
      <c r="SO93" s="2617"/>
      <c r="SP93" s="2617"/>
      <c r="SQ93" s="2617"/>
      <c r="SR93" s="2617"/>
      <c r="SS93" s="2617"/>
      <c r="ST93" s="2617"/>
      <c r="SU93" s="2617"/>
      <c r="SV93" s="2617"/>
      <c r="SW93" s="2617"/>
      <c r="SX93" s="2617"/>
      <c r="SY93" s="2617"/>
      <c r="SZ93" s="2617"/>
      <c r="TA93" s="2617"/>
      <c r="TB93" s="2617"/>
      <c r="TC93" s="2617"/>
      <c r="TD93" s="2617"/>
      <c r="TE93" s="2617"/>
      <c r="TF93" s="2617"/>
      <c r="TG93" s="2617"/>
      <c r="TH93" s="2617"/>
      <c r="TI93" s="2617"/>
      <c r="TJ93" s="2617"/>
      <c r="TK93" s="2617"/>
      <c r="TL93" s="2617"/>
      <c r="TM93" s="2617"/>
      <c r="TN93" s="2617"/>
      <c r="TO93" s="2617"/>
      <c r="TP93" s="2617"/>
      <c r="TQ93" s="2617"/>
      <c r="TR93" s="2617"/>
      <c r="TS93" s="2617"/>
      <c r="TT93" s="2617"/>
      <c r="TU93" s="2617"/>
      <c r="TV93" s="2617"/>
      <c r="TW93" s="181"/>
      <c r="TX93" s="2617"/>
      <c r="TY93" s="2617"/>
      <c r="TZ93" s="2617"/>
      <c r="UA93" s="2617"/>
      <c r="UB93" s="2617"/>
      <c r="UC93" s="181"/>
      <c r="UD93" s="181"/>
      <c r="UE93" s="181"/>
      <c r="UF93" s="181"/>
      <c r="UG93" s="2617"/>
      <c r="UH93" s="2617"/>
      <c r="UI93" s="2617"/>
      <c r="UJ93" s="2617"/>
      <c r="UK93" s="2617"/>
      <c r="UL93" s="2617"/>
      <c r="UM93" s="2617"/>
      <c r="UN93" s="2617"/>
      <c r="UO93" s="2617"/>
      <c r="UP93" s="2617"/>
      <c r="UQ93" s="2617"/>
      <c r="UR93" s="2617"/>
      <c r="US93" s="2617"/>
      <c r="UT93" s="2617"/>
      <c r="UU93" s="2617"/>
      <c r="UV93" s="2617"/>
      <c r="UW93" s="2617"/>
      <c r="UX93" s="2617"/>
      <c r="UY93" s="2617"/>
      <c r="UZ93" s="2617"/>
      <c r="VA93" s="2617"/>
      <c r="VB93" s="2617"/>
      <c r="VC93" s="2617"/>
      <c r="VD93" s="2617"/>
      <c r="VE93" s="2617"/>
      <c r="VF93"/>
      <c r="VG93" s="2617"/>
      <c r="VH93" s="2617"/>
      <c r="VI93" s="2617"/>
      <c r="VJ93" s="2617"/>
      <c r="VK93" s="2617"/>
      <c r="VL93" s="2617"/>
      <c r="VM93" s="2617"/>
      <c r="VN93" s="2617"/>
      <c r="VO93" s="2617"/>
      <c r="VP93" s="2617"/>
      <c r="VQ93" s="2617"/>
      <c r="VR93" s="2617"/>
      <c r="VS93" s="2617"/>
      <c r="VT93" s="2617"/>
      <c r="VU93" s="2617"/>
      <c r="VV93" s="2617"/>
      <c r="VW93" s="2617"/>
      <c r="VX93" s="2617"/>
      <c r="VY93" s="2617"/>
      <c r="VZ93" s="2617"/>
      <c r="WA93" s="2617"/>
      <c r="WB93" s="2617"/>
      <c r="WC93" s="2617"/>
      <c r="WD93" s="2617"/>
      <c r="WE93" s="2617"/>
      <c r="WF93" s="2617"/>
      <c r="WG93" s="2617"/>
      <c r="WH93" s="2617"/>
      <c r="WI93" s="2617"/>
      <c r="WJ93" s="2617"/>
      <c r="WK93" s="2617"/>
      <c r="WL93" s="2617"/>
      <c r="WM93" s="2617"/>
      <c r="WN93" s="2617"/>
      <c r="WO93" s="2617"/>
      <c r="WP93" s="2617"/>
      <c r="WQ93" s="2617"/>
      <c r="WR93" s="2617"/>
      <c r="WS93" s="2617"/>
      <c r="WT93" s="2617"/>
      <c r="WU93" s="265"/>
      <c r="WV93" s="265"/>
      <c r="WW93" s="265"/>
      <c r="WX93" s="265"/>
      <c r="WY93" s="265"/>
      <c r="WZ93" s="265"/>
      <c r="XA93" s="265"/>
      <c r="XB93" s="265"/>
      <c r="XC93" s="265"/>
      <c r="XD93" s="265"/>
      <c r="XE93" s="265"/>
      <c r="XF93" s="265"/>
    </row>
    <row r="94" spans="9:645" ht="31.5" thickTop="1" x14ac:dyDescent="0.2">
      <c r="I94" s="5567"/>
      <c r="AL94" s="181"/>
      <c r="AM94" s="181"/>
      <c r="AN94" s="181"/>
      <c r="AO94" s="181"/>
      <c r="AP94" s="181"/>
      <c r="AQ94" s="181"/>
      <c r="AR94" s="181"/>
      <c r="AS94" s="181"/>
      <c r="AT94" s="181"/>
      <c r="AU94" s="2617"/>
      <c r="AV94" s="2617"/>
      <c r="BH94" s="184"/>
      <c r="BI94" s="183"/>
      <c r="DR94" s="341" t="s">
        <v>110</v>
      </c>
      <c r="DS94" s="342"/>
      <c r="DT94" s="342"/>
      <c r="DU94" s="342"/>
      <c r="GH94" s="414"/>
      <c r="GJ94" s="439" t="str">
        <f t="shared" si="166"/>
        <v>Stuff 2-3</v>
      </c>
      <c r="GK94" s="193">
        <f>Tunneldrift!$AZ$173</f>
        <v>0</v>
      </c>
      <c r="GL94" s="185">
        <f>IF(Tunneldrift!$AZ$173="",0,1)</f>
        <v>0</v>
      </c>
      <c r="HH94" s="185">
        <f>Tunneldrift!M86</f>
        <v>0</v>
      </c>
      <c r="HI94" s="185">
        <f>Tunneldrift!AD86</f>
        <v>0</v>
      </c>
      <c r="IH94" s="185" t="s">
        <v>2787</v>
      </c>
      <c r="II94" s="185" t="str">
        <f>IF(AND(Prosjektinfo!$Q$27&lt;&gt;"",Prosjektinfo!$Q$29&lt;&gt;""),_Calcs!$T$10&amp;"  -  "&amp;_Calcs!$T$11,IF(AND(Prosjektinfo!$Q$27&lt;&gt;"",Prosjektinfo!$Q$29=""),_Calcs!$T$10,IF(AND(Prosjektinfo!$Q$27="",Prosjektinfo!$Q$29&lt;&gt;""),_Calcs!$T$11,"")))</f>
        <v/>
      </c>
      <c r="KO94" s="443">
        <f t="shared" si="135"/>
        <v>12</v>
      </c>
      <c r="KP94" s="475" t="str">
        <f>KP85</f>
        <v>Stuff 1-1</v>
      </c>
      <c r="KQ94" s="5276" t="str">
        <f>IFERROR(INDEX(tunneldrift_vekseldrift[vekseldrift_lengde_final],MATCH(framdriftfaktor[[#This Row],[stuff_navn]],tunneldrift_vekseldrift[Stuff_navn],0))/INDEX(tunneldrift_vekseldrift[Input_stuff_lengde],MATCH(framdriftfaktor[[#This Row],[stuff_navn]],tunneldrift_vekseldrift[Stuff_navn],0)),"-")</f>
        <v>-</v>
      </c>
      <c r="KR94" s="475"/>
      <c r="KS94" s="486">
        <f t="shared" si="136"/>
        <v>0</v>
      </c>
      <c r="KT94" s="486">
        <f t="shared" si="137"/>
        <v>0</v>
      </c>
      <c r="KU94" s="486">
        <f t="shared" si="138"/>
        <v>0</v>
      </c>
      <c r="KV94" s="431" t="str">
        <f>IFERROR(framdriftfaktor[[#This Row],[sprengning_tid_hr]]*framdriftfaktor[[#This Row],[veksel_prosent]],"-")</f>
        <v>-</v>
      </c>
      <c r="KW94" s="431" t="str">
        <f>IFERROR(framdriftfaktor[[#This Row],[stabilitets_tid_hr]]*framdriftfaktor[[#This Row],[veksel_prosent]],"-")</f>
        <v>-</v>
      </c>
      <c r="KX94" s="431" t="str">
        <f>IFERROR(framdriftfaktor[[#This Row],[foran_tid_hr]]*framdriftfaktor[[#This Row],[veksel_prosent]],"-")</f>
        <v>-</v>
      </c>
      <c r="KY94" s="5967">
        <f>IFERROR((framdriftfaktor[[#This Row],[stabilitets_tid_hr_veksel_del]]+framdriftfaktor[[#This Row],[foran_tid_hr_veksel_del]]+KW98+KX98)/(framdriftfaktor[[#This Row],[sprengning_tid_hr_veksel_del]]+KV98),0)</f>
        <v>0</v>
      </c>
      <c r="KZ94" s="5949"/>
      <c r="LA94" s="5950" t="str">
        <f>IF(framdriftfaktor[[#This Row],[stab-foran_spreng_ratio]]&lt;$LL$90,$LJ$90,IF(AND(framdriftfaktor[[#This Row],[stab-foran_spreng_ratio]]&gt;=$LK$91,framdriftfaktor[[#This Row],[stab-foran_spreng_ratio]]&lt;$LL$91),$LJ$91,IF(framdriftfaktor[[#This Row],[stab-foran_spreng_ratio]]&gt;=$LK$92,$LJ$92,"!")))</f>
        <v>Lite</v>
      </c>
      <c r="LB94" s="5949">
        <f>IF(framdriftfaktor[[#This Row],[rating_stab-foran]]=$LJ$90,$LM$90+$LO$90*framdriftfaktor[[#This Row],[stab-foran_spreng_ratio]],IF(framdriftfaktor[[#This Row],[rating_stab-foran]]=$LJ$91,$LM$91+((framdriftfaktor[[#This Row],[stab-foran_spreng_ratio]]-$LK$91)*$LO$91),IF(framdriftfaktor[[#This Row],[rating_stab-foran]]=$LJ$92,$LM$92)))</f>
        <v>1.3</v>
      </c>
      <c r="LC94" s="5950">
        <f>framdriftfaktor[[#This Row],[beregnet_faktor_stab-foran]]</f>
        <v>1.3</v>
      </c>
      <c r="LD94" s="5951"/>
      <c r="NI94" s="1567"/>
      <c r="NN94" s="407"/>
      <c r="NO94" s="185"/>
      <c r="NP94" s="211"/>
      <c r="NQ94" s="211"/>
      <c r="NR94" s="211"/>
      <c r="NS94" s="211"/>
      <c r="NT94" s="211"/>
      <c r="NU94" s="211"/>
      <c r="NV94" s="211"/>
      <c r="NW94" s="211"/>
      <c r="NX94" s="211"/>
      <c r="NY94" s="211"/>
      <c r="NZ94" s="211"/>
      <c r="OA94" s="211"/>
      <c r="OB94" s="211"/>
      <c r="OC94" s="211"/>
      <c r="OD94" s="211"/>
      <c r="OE94" s="211"/>
      <c r="OF94" s="211"/>
      <c r="OG94" s="211"/>
      <c r="OH94" s="211"/>
      <c r="OI94" s="211"/>
      <c r="OJ94" s="211"/>
      <c r="OK94" s="211"/>
      <c r="OL94" s="211"/>
      <c r="OM94" s="211"/>
      <c r="ON94" s="211"/>
      <c r="OO94" s="211"/>
      <c r="OP94" s="211"/>
      <c r="OQ94" s="211"/>
      <c r="OR94" s="211"/>
      <c r="OS94" s="211"/>
      <c r="OT94" s="211"/>
      <c r="OU94" s="211"/>
      <c r="OV94" s="211"/>
      <c r="OW94" s="211"/>
      <c r="OX94" s="211"/>
      <c r="OY94" s="211"/>
      <c r="OZ94" s="211"/>
      <c r="PA94" s="211"/>
      <c r="PB94" s="431"/>
      <c r="PC94" s="431"/>
      <c r="PD94" s="431"/>
      <c r="PE94" s="431"/>
      <c r="PF94" s="431"/>
      <c r="PG94" s="431"/>
      <c r="PH94" s="431"/>
      <c r="PI94" s="211"/>
      <c r="PJ94" s="211"/>
      <c r="PK94" s="211"/>
      <c r="PL94" s="211"/>
      <c r="PM94" s="211"/>
      <c r="PN94" s="211"/>
      <c r="PO94" s="211"/>
      <c r="PP94" s="211"/>
      <c r="PQ94" s="211"/>
      <c r="PR94" s="211"/>
      <c r="PS94" s="211"/>
      <c r="PT94" s="211"/>
      <c r="PU94" s="431"/>
      <c r="PV94" s="211"/>
      <c r="PW94" s="843"/>
      <c r="PX94" s="843"/>
      <c r="PY94" s="843"/>
      <c r="PZ94" s="843"/>
      <c r="QA94" s="843"/>
      <c r="QB94" s="843"/>
      <c r="QC94" s="843"/>
      <c r="QD94" s="843"/>
      <c r="QE94" s="843"/>
      <c r="QF94" s="843"/>
      <c r="QG94" s="843"/>
      <c r="QH94" s="211"/>
      <c r="QI94" s="211"/>
      <c r="QJ94" s="334"/>
      <c r="QK94" s="211"/>
      <c r="QL94" s="211"/>
      <c r="QM94" s="211"/>
      <c r="QN94" s="211"/>
      <c r="QO94" s="211"/>
      <c r="QP94" s="211"/>
      <c r="QQ94" s="211"/>
      <c r="QR94" s="211"/>
      <c r="QS94" s="211"/>
      <c r="QT94" s="211"/>
      <c r="QU94" s="211"/>
      <c r="QV94" s="211"/>
      <c r="QW94" s="211"/>
      <c r="QX94" s="211"/>
      <c r="QY94" s="211"/>
      <c r="QZ94" s="211"/>
      <c r="RA94" s="211"/>
      <c r="RB94" s="211"/>
      <c r="RC94" s="211"/>
      <c r="RD94" s="211"/>
      <c r="RE94" s="234"/>
      <c r="RF94" s="211"/>
      <c r="RG94" s="211"/>
      <c r="RH94" s="843"/>
      <c r="RI94" s="843"/>
      <c r="RJ94" s="843"/>
      <c r="RK94" s="843"/>
      <c r="RL94" s="843"/>
      <c r="RM94" s="843"/>
      <c r="RN94" s="843"/>
      <c r="RO94" s="211"/>
      <c r="RP94" s="211"/>
      <c r="RQ94" s="211"/>
      <c r="RR94" s="211"/>
      <c r="RS94" s="211"/>
      <c r="RT94" s="211"/>
      <c r="RU94" s="211"/>
      <c r="RV94" s="211"/>
      <c r="RW94" s="211"/>
      <c r="RX94" s="431"/>
      <c r="RY94" s="211"/>
      <c r="RZ94" s="211"/>
      <c r="SA94" s="837"/>
      <c r="SB94" s="837"/>
      <c r="SC94" s="837"/>
      <c r="SD94" s="837"/>
      <c r="SE94" s="837"/>
      <c r="SF94" s="3521"/>
      <c r="SG94" s="2617"/>
      <c r="SH94" s="2617"/>
      <c r="SI94" s="2617"/>
      <c r="SJ94" s="2617"/>
      <c r="SK94" s="2617"/>
      <c r="SL94" s="2617"/>
      <c r="SM94" s="2617"/>
      <c r="SN94" s="2617"/>
      <c r="SO94" s="2617"/>
      <c r="SP94" s="2617"/>
      <c r="SQ94" s="2617"/>
      <c r="SR94" s="2617"/>
      <c r="SS94" s="2617"/>
      <c r="ST94" s="2617"/>
      <c r="SU94" s="2617"/>
      <c r="SV94" s="2617"/>
      <c r="SW94" s="2617"/>
      <c r="SX94" s="2617"/>
      <c r="SY94" s="2617"/>
      <c r="SZ94" s="2617"/>
      <c r="TA94" s="2617"/>
      <c r="TB94" s="2617"/>
      <c r="TC94" s="2617"/>
      <c r="TD94" s="2617"/>
      <c r="TE94" s="2617"/>
      <c r="TF94" s="2617"/>
      <c r="TG94" s="2617"/>
      <c r="TH94" s="2617"/>
      <c r="TI94" s="2617"/>
      <c r="TJ94" s="2617"/>
      <c r="TK94" s="2617"/>
      <c r="TL94" s="2617"/>
      <c r="TM94" s="2617"/>
      <c r="TN94" s="2617"/>
      <c r="TO94" s="2617"/>
      <c r="TP94" s="2617"/>
      <c r="TQ94" s="2617"/>
      <c r="TR94" s="2617"/>
      <c r="TS94" s="2617"/>
      <c r="TT94" s="2617"/>
      <c r="TU94" s="2617"/>
      <c r="TV94" s="2617"/>
      <c r="TW94" s="181"/>
      <c r="TX94" s="2617"/>
      <c r="TY94" s="2617"/>
      <c r="TZ94" s="2617"/>
      <c r="UA94" s="2617"/>
      <c r="UB94" s="2617"/>
      <c r="UC94" s="181"/>
      <c r="UD94" s="181"/>
      <c r="UE94" s="181"/>
      <c r="UF94" s="181"/>
      <c r="UG94" s="2617"/>
      <c r="UH94" s="2617"/>
      <c r="UI94" s="2617"/>
      <c r="UJ94" s="2617"/>
      <c r="UK94" s="2617"/>
      <c r="UL94" s="2617"/>
      <c r="UM94" s="2617"/>
      <c r="UN94" s="2617"/>
      <c r="UO94" s="2617"/>
      <c r="UP94" s="2617"/>
      <c r="UQ94" s="2617"/>
      <c r="UR94" s="2617"/>
      <c r="US94" s="2617"/>
      <c r="UT94" s="2617"/>
      <c r="UU94" s="2617"/>
      <c r="UV94" s="2617"/>
      <c r="UW94" s="2617"/>
      <c r="UX94" s="2617"/>
      <c r="UY94" s="2617"/>
      <c r="UZ94" s="2617"/>
      <c r="VA94" s="2617"/>
      <c r="VB94" s="2617"/>
      <c r="VC94" s="2617"/>
      <c r="VD94" s="2617"/>
      <c r="VE94" s="2617"/>
      <c r="VF94"/>
      <c r="VG94" s="2617"/>
      <c r="VH94" s="2617"/>
      <c r="VI94" s="2617"/>
      <c r="VJ94" s="2617"/>
      <c r="VK94" s="2617"/>
      <c r="VL94" s="2617"/>
      <c r="VM94" s="2617"/>
      <c r="VN94" s="2617"/>
      <c r="VO94" s="2617"/>
      <c r="VP94" s="2617"/>
      <c r="VQ94" s="2617"/>
      <c r="VR94" s="2617"/>
      <c r="VS94" s="2617"/>
      <c r="VT94" s="2617"/>
      <c r="VU94" s="2617"/>
      <c r="VV94" s="2617"/>
      <c r="VW94" s="2617"/>
      <c r="VX94" s="2617"/>
      <c r="VY94" s="2617"/>
      <c r="VZ94" s="2617"/>
      <c r="WA94" s="2617"/>
      <c r="WB94" s="2617"/>
      <c r="WC94" s="2617"/>
      <c r="WD94" s="2617"/>
      <c r="WE94" s="2617"/>
      <c r="WF94" s="2617"/>
      <c r="WG94" s="2617"/>
      <c r="WH94" s="2617"/>
      <c r="WI94" s="2617"/>
      <c r="WJ94" s="2617"/>
      <c r="WK94" s="2617"/>
      <c r="WL94" s="2617"/>
      <c r="WM94" s="2617"/>
      <c r="WN94" s="2617"/>
      <c r="WO94" s="2617"/>
      <c r="WP94" s="2617"/>
      <c r="WQ94" s="2617"/>
      <c r="WR94" s="2617"/>
      <c r="WS94" s="2617"/>
      <c r="WT94" s="2617"/>
      <c r="WU94" s="265"/>
      <c r="WV94" s="265"/>
      <c r="WW94" s="265"/>
      <c r="WX94" s="265"/>
      <c r="WY94" s="265"/>
      <c r="WZ94" s="265"/>
      <c r="XA94" s="265"/>
      <c r="XB94" s="265"/>
      <c r="XC94" s="265"/>
      <c r="XD94" s="265"/>
      <c r="XE94" s="265"/>
      <c r="XF94" s="265"/>
    </row>
    <row r="95" spans="9:645" ht="20.25" customHeight="1" x14ac:dyDescent="0.2">
      <c r="I95" s="5567"/>
      <c r="AL95" s="181"/>
      <c r="AM95" s="181"/>
      <c r="AN95" s="181"/>
      <c r="AO95" s="181"/>
      <c r="AP95" s="181"/>
      <c r="AQ95" s="181"/>
      <c r="AR95" s="181"/>
      <c r="AS95" s="181"/>
      <c r="AT95" s="181"/>
      <c r="AU95" s="2617"/>
      <c r="AV95" s="2617"/>
      <c r="ER95" s="2617"/>
      <c r="ES95" s="2617"/>
      <c r="ET95" s="2617"/>
      <c r="EU95" s="2617"/>
      <c r="EV95" s="2617"/>
      <c r="GH95" s="414"/>
      <c r="GJ95" s="439" t="str">
        <f t="shared" si="166"/>
        <v>Stuff 2-4</v>
      </c>
      <c r="GK95" s="193">
        <f>Tunneldrift!$BO$173</f>
        <v>0</v>
      </c>
      <c r="GL95" s="185">
        <f>IF(Tunneldrift!$BO$173="",0,1)</f>
        <v>0</v>
      </c>
      <c r="HH95" s="185">
        <f>Tunneldrift!M87</f>
        <v>0</v>
      </c>
      <c r="HI95" s="185" t="str">
        <f>Tunneldrift!AD87</f>
        <v>Brukerdefinert</v>
      </c>
      <c r="KO95" s="407">
        <f t="shared" si="135"/>
        <v>22</v>
      </c>
      <c r="KP95" s="340" t="str">
        <f t="shared" ref="KP95:KP101" si="191">KP86</f>
        <v>Stuff 1-2</v>
      </c>
      <c r="KQ95" s="5948" t="str">
        <f>IFERROR(INDEX(tunneldrift_vekseldrift[vekseldrift_lengde_final],MATCH(framdriftfaktor[[#This Row],[stuff_navn]],tunneldrift_vekseldrift[Stuff_navn],0))/INDEX(tunneldrift_vekseldrift[Input_stuff_lengde],MATCH(framdriftfaktor[[#This Row],[stuff_navn]],tunneldrift_vekseldrift[Stuff_navn],0)),"-")</f>
        <v>-</v>
      </c>
      <c r="KR95" s="340"/>
      <c r="KS95" s="241">
        <f t="shared" si="136"/>
        <v>0</v>
      </c>
      <c r="KT95" s="241">
        <f t="shared" si="137"/>
        <v>0</v>
      </c>
      <c r="KU95" s="241">
        <f t="shared" si="138"/>
        <v>0</v>
      </c>
      <c r="KV95" s="211" t="str">
        <f>IFERROR(framdriftfaktor[[#This Row],[sprengning_tid_hr]]*framdriftfaktor[[#This Row],[veksel_prosent]],"-")</f>
        <v>-</v>
      </c>
      <c r="KW95" s="211" t="str">
        <f>IFERROR(framdriftfaktor[[#This Row],[stabilitets_tid_hr]]*framdriftfaktor[[#This Row],[veksel_prosent]],"-")</f>
        <v>-</v>
      </c>
      <c r="KX95" s="211" t="str">
        <f>IFERROR(framdriftfaktor[[#This Row],[foran_tid_hr]]*framdriftfaktor[[#This Row],[veksel_prosent]],"-")</f>
        <v>-</v>
      </c>
      <c r="KY95" s="5968">
        <f>IFERROR((framdriftfaktor[[#This Row],[stabilitets_tid_hr_veksel_del]]+framdriftfaktor[[#This Row],[foran_tid_hr_veksel_del]]+KW99+KX99)/(framdriftfaktor[[#This Row],[sprengning_tid_hr_veksel_del]]+KV99),0)</f>
        <v>0</v>
      </c>
      <c r="KZ95" s="5343"/>
      <c r="LA95" s="5342" t="str">
        <f>IF(framdriftfaktor[[#This Row],[stab-foran_spreng_ratio]]&lt;$LL$90,$LJ$90,IF(AND(framdriftfaktor[[#This Row],[stab-foran_spreng_ratio]]&gt;=$LK$91,framdriftfaktor[[#This Row],[stab-foran_spreng_ratio]]&lt;$LL$91),$LJ$91,IF(framdriftfaktor[[#This Row],[stab-foran_spreng_ratio]]&gt;=$LK$92,$LJ$92,"!")))</f>
        <v>Lite</v>
      </c>
      <c r="LB95" s="5343">
        <f>IF(framdriftfaktor[[#This Row],[rating_stab-foran]]=$LJ$90,$LM$90+$LO$90*framdriftfaktor[[#This Row],[stab-foran_spreng_ratio]],IF(framdriftfaktor[[#This Row],[rating_stab-foran]]=$LJ$91,$LM$91+((framdriftfaktor[[#This Row],[stab-foran_spreng_ratio]]-$LK$91)*$LO$91),IF(framdriftfaktor[[#This Row],[rating_stab-foran]]=$LJ$92,$LM$92)))</f>
        <v>1.3</v>
      </c>
      <c r="LC95" s="5342">
        <f>framdriftfaktor[[#This Row],[beregnet_faktor_stab-foran]]</f>
        <v>1.3</v>
      </c>
      <c r="LD95" s="5344"/>
      <c r="NI95" s="1567"/>
      <c r="NN95" s="407"/>
      <c r="NO95" s="185"/>
      <c r="NP95" s="211"/>
      <c r="NQ95" s="211"/>
      <c r="NR95" s="211"/>
      <c r="NS95" s="211"/>
      <c r="NT95" s="211"/>
      <c r="NU95" s="211"/>
      <c r="NV95" s="211"/>
      <c r="NW95" s="211"/>
      <c r="NX95" s="211"/>
      <c r="NY95" s="211"/>
      <c r="NZ95" s="211"/>
      <c r="OA95" s="211"/>
      <c r="OB95" s="211"/>
      <c r="OC95" s="211"/>
      <c r="OD95" s="211"/>
      <c r="OE95" s="211"/>
      <c r="OF95" s="211"/>
      <c r="OG95" s="211"/>
      <c r="OH95" s="211"/>
      <c r="OI95" s="211"/>
      <c r="OJ95" s="211"/>
      <c r="OK95" s="211"/>
      <c r="OL95" s="211"/>
      <c r="OM95" s="211"/>
      <c r="ON95" s="211"/>
      <c r="OO95" s="211"/>
      <c r="OP95" s="211"/>
      <c r="OQ95" s="211"/>
      <c r="OR95" s="211"/>
      <c r="OS95" s="211"/>
      <c r="OT95" s="211"/>
      <c r="OU95" s="211"/>
      <c r="OV95" s="211"/>
      <c r="OW95" s="211"/>
      <c r="OX95" s="211"/>
      <c r="OY95" s="211"/>
      <c r="OZ95" s="211"/>
      <c r="PA95" s="211"/>
      <c r="PB95" s="431"/>
      <c r="PC95" s="431"/>
      <c r="PD95" s="431"/>
      <c r="PE95" s="431"/>
      <c r="PF95" s="431"/>
      <c r="PG95" s="431"/>
      <c r="PH95" s="431"/>
      <c r="PI95" s="211"/>
      <c r="PJ95" s="211"/>
      <c r="PK95" s="211"/>
      <c r="PL95" s="211"/>
      <c r="PM95" s="211"/>
      <c r="PN95" s="211"/>
      <c r="PO95" s="211"/>
      <c r="PP95" s="211"/>
      <c r="PQ95" s="211"/>
      <c r="PR95" s="211"/>
      <c r="PS95" s="211"/>
      <c r="PT95" s="211"/>
      <c r="PU95" s="211"/>
      <c r="PV95" s="211"/>
      <c r="PW95" s="843"/>
      <c r="PX95" s="843"/>
      <c r="PY95" s="843"/>
      <c r="PZ95" s="843"/>
      <c r="QA95" s="843"/>
      <c r="QB95" s="843"/>
      <c r="QC95" s="843"/>
      <c r="QD95" s="843"/>
      <c r="QE95" s="843"/>
      <c r="QF95" s="843"/>
      <c r="QG95" s="843"/>
      <c r="QH95" s="211"/>
      <c r="QI95" s="211"/>
      <c r="QJ95" s="334"/>
      <c r="QK95" s="211"/>
      <c r="QL95" s="211"/>
      <c r="QM95" s="211"/>
      <c r="QN95" s="211"/>
      <c r="QO95" s="211"/>
      <c r="QP95" s="211"/>
      <c r="QQ95" s="211"/>
      <c r="QR95" s="211"/>
      <c r="QS95" s="211"/>
      <c r="QT95" s="211"/>
      <c r="QU95" s="211"/>
      <c r="QV95" s="211"/>
      <c r="QW95" s="211"/>
      <c r="QX95" s="211"/>
      <c r="QY95" s="211"/>
      <c r="QZ95" s="211"/>
      <c r="RA95" s="211"/>
      <c r="RB95" s="211"/>
      <c r="RC95" s="211"/>
      <c r="RD95" s="211"/>
      <c r="RE95" s="234"/>
      <c r="RF95" s="211"/>
      <c r="RG95" s="211"/>
      <c r="RH95" s="843"/>
      <c r="RI95" s="843"/>
      <c r="RJ95" s="843"/>
      <c r="RK95" s="843"/>
      <c r="RL95" s="843"/>
      <c r="RM95" s="843"/>
      <c r="RN95" s="843"/>
      <c r="RO95" s="211"/>
      <c r="RP95" s="211"/>
      <c r="RQ95" s="211"/>
      <c r="RR95" s="211"/>
      <c r="RS95" s="211"/>
      <c r="RT95" s="211"/>
      <c r="RU95" s="211"/>
      <c r="RV95" s="211"/>
      <c r="RW95" s="211"/>
      <c r="RX95" s="211"/>
      <c r="RY95" s="211"/>
      <c r="RZ95" s="211"/>
      <c r="SA95" s="837"/>
      <c r="SB95" s="837"/>
      <c r="SC95" s="837"/>
      <c r="SD95" s="837"/>
      <c r="SE95" s="837"/>
      <c r="SF95" s="3521"/>
      <c r="SG95" s="2617"/>
      <c r="SH95" s="2617"/>
      <c r="SI95" s="2617"/>
      <c r="SJ95" s="2617"/>
      <c r="SK95" s="2617"/>
      <c r="SL95" s="2617"/>
      <c r="SM95" s="2617"/>
      <c r="SN95" s="2617"/>
      <c r="SO95" s="2617"/>
      <c r="SP95" s="2617"/>
      <c r="SQ95" s="2617"/>
      <c r="SR95" s="2617"/>
      <c r="SS95" s="2617"/>
      <c r="ST95" s="2617"/>
      <c r="SU95" s="2617"/>
      <c r="SV95" s="2617"/>
      <c r="SW95" s="2617"/>
      <c r="SX95" s="2617"/>
      <c r="SY95" s="2617"/>
      <c r="SZ95" s="2617"/>
      <c r="TA95" s="2617"/>
      <c r="TB95" s="2617"/>
      <c r="TC95" s="2617"/>
      <c r="TD95" s="2617"/>
      <c r="TE95" s="2617"/>
      <c r="TF95" s="2617"/>
      <c r="TG95" s="2617"/>
      <c r="TH95" s="2617"/>
      <c r="TI95" s="2617"/>
      <c r="TJ95" s="2617"/>
      <c r="TK95" s="2617"/>
      <c r="TL95" s="2617"/>
      <c r="TM95" s="2617"/>
      <c r="TN95" s="2617"/>
      <c r="TO95" s="2617"/>
      <c r="TP95" s="2617"/>
      <c r="TQ95" s="2617"/>
      <c r="TR95" s="2617"/>
      <c r="TS95" s="2617"/>
      <c r="TT95" s="2617"/>
      <c r="TU95" s="2617"/>
      <c r="TV95" s="2617"/>
      <c r="TW95" s="181"/>
      <c r="TX95" s="2617"/>
      <c r="TY95" s="2617"/>
      <c r="TZ95" s="2617"/>
      <c r="UA95" s="2617"/>
      <c r="UB95" s="2617"/>
      <c r="UC95" s="181"/>
      <c r="UD95" s="181"/>
      <c r="UE95" s="181"/>
      <c r="UF95" s="181"/>
      <c r="UG95" s="2617"/>
      <c r="UH95" s="2617"/>
      <c r="UI95" s="2617"/>
      <c r="UJ95" s="2617"/>
      <c r="UK95" s="2617"/>
      <c r="UL95" s="2617"/>
      <c r="UM95" s="2617"/>
      <c r="UN95" s="2617"/>
      <c r="UO95" s="2617"/>
      <c r="UP95" s="2617"/>
      <c r="UQ95" s="2617"/>
      <c r="UR95" s="2617"/>
      <c r="US95" s="2617"/>
      <c r="UT95" s="2617"/>
      <c r="UU95" s="2617"/>
      <c r="UV95" s="2617"/>
      <c r="UW95" s="2617"/>
      <c r="UX95" s="2617"/>
      <c r="UY95" s="2617"/>
      <c r="UZ95" s="2617"/>
      <c r="VA95" s="2617"/>
      <c r="VB95" s="2617"/>
      <c r="VC95" s="2617"/>
      <c r="VD95" s="2617"/>
      <c r="VE95" s="2617"/>
      <c r="VF95"/>
      <c r="VG95" s="2617"/>
      <c r="VH95" s="2617"/>
      <c r="VI95" s="2617"/>
      <c r="VJ95" s="2617"/>
      <c r="VK95" s="2617"/>
      <c r="VL95" s="2617"/>
      <c r="VM95" s="2617"/>
      <c r="VN95" s="2617"/>
      <c r="VO95" s="2617"/>
      <c r="VP95" s="2617"/>
      <c r="VQ95" s="2617"/>
      <c r="VR95" s="2617"/>
      <c r="VS95" s="2617"/>
      <c r="VT95" s="2617"/>
      <c r="VU95" s="2617"/>
      <c r="VV95" s="2617"/>
      <c r="VW95" s="2617"/>
      <c r="VX95" s="2617"/>
      <c r="VY95" s="2617"/>
      <c r="VZ95" s="2617"/>
      <c r="WA95" s="2617"/>
      <c r="WB95" s="2617"/>
      <c r="WC95" s="2617"/>
      <c r="WD95" s="2617"/>
      <c r="WE95" s="2617"/>
      <c r="WF95" s="2617"/>
      <c r="WG95" s="2617"/>
      <c r="WH95" s="2617"/>
      <c r="WI95" s="2617"/>
      <c r="WJ95" s="2617"/>
      <c r="WK95" s="2617"/>
      <c r="WL95" s="2617"/>
      <c r="WM95" s="2617"/>
      <c r="WN95" s="2617"/>
      <c r="WO95" s="2617"/>
      <c r="WP95" s="2617"/>
      <c r="WQ95" s="2617"/>
      <c r="WR95" s="2617"/>
      <c r="WS95" s="2617"/>
      <c r="WT95" s="2617"/>
      <c r="WU95" s="265"/>
      <c r="WV95" s="265"/>
      <c r="WW95" s="265"/>
      <c r="WX95" s="265"/>
      <c r="WY95" s="265"/>
      <c r="WZ95" s="265"/>
      <c r="XA95" s="265"/>
      <c r="XB95" s="265"/>
      <c r="XC95" s="265"/>
      <c r="XD95" s="265"/>
      <c r="XE95" s="265"/>
      <c r="XF95" s="265"/>
    </row>
    <row r="96" spans="9:645" ht="23.25" x14ac:dyDescent="0.2">
      <c r="I96" s="5567"/>
      <c r="AT96" s="2617"/>
      <c r="AU96" s="2617"/>
      <c r="AV96" s="2617"/>
      <c r="BC96" s="308" t="s">
        <v>357</v>
      </c>
      <c r="BD96" s="244"/>
      <c r="BH96" s="184"/>
      <c r="BI96" s="183"/>
      <c r="DR96" s="283" t="s">
        <v>343</v>
      </c>
      <c r="ER96" s="2617"/>
      <c r="ES96" s="2617"/>
      <c r="ET96" s="2617"/>
      <c r="EU96" s="2617"/>
      <c r="EV96" s="2617"/>
      <c r="EW96" s="199" t="str">
        <f>position_stab[[#Headers],[Manuell]]</f>
        <v>Manuell</v>
      </c>
      <c r="EX96" s="199" t="str">
        <f>position_stab[[#Headers],[lt4m]]</f>
        <v>lt4m</v>
      </c>
      <c r="EY96" s="199" t="str">
        <f>position_stab[[#Headers],[gt4m]]</f>
        <v>gt4m</v>
      </c>
      <c r="EZ96" s="199" t="str">
        <f>position_stab[[#Headers],[band]]</f>
        <v>band</v>
      </c>
      <c r="FA96" s="199" t="str">
        <f>position_stab[[#Headers],[net]]</f>
        <v>net</v>
      </c>
      <c r="FB96" s="199" t="str">
        <f>position_stab[[#Headers],[shotcrete]]</f>
        <v>shotcrete</v>
      </c>
      <c r="FC96" s="199" t="str">
        <f>position_stab[[#Headers],[buer]]</f>
        <v>buer</v>
      </c>
      <c r="FD96" s="199" t="str">
        <f>position_stab[[#Headers],[sik_12]]</f>
        <v>sik_12</v>
      </c>
      <c r="FE96" s="199" t="str">
        <f>position_stab[[#Headers],[sik_3]]</f>
        <v>sik_3</v>
      </c>
      <c r="FF96" s="199" t="str">
        <f>position_stab[[#Headers],[kartlegging]]</f>
        <v>kartlegging</v>
      </c>
      <c r="FG96" s="199" t="str">
        <f>position_stab[[#Headers],[festebolter]]</f>
        <v>festebolter</v>
      </c>
      <c r="GH96" s="414"/>
      <c r="GJ96" s="465" t="str">
        <f t="shared" si="166"/>
        <v>Tverrslag</v>
      </c>
      <c r="GK96" s="304">
        <f>Tunneldrift!$AD$100</f>
        <v>0</v>
      </c>
      <c r="GL96" s="185">
        <f>IF(Tunneldrift!$AD$100="",0,1)</f>
        <v>0</v>
      </c>
      <c r="HH96" s="185">
        <f>Tunneldrift!M88</f>
        <v>0</v>
      </c>
      <c r="HI96" s="185">
        <f>Tunneldrift!AD88</f>
        <v>0</v>
      </c>
      <c r="IH96" s="185" t="s">
        <v>923</v>
      </c>
      <c r="II96" s="199" t="s">
        <v>2772</v>
      </c>
      <c r="KO96" s="407">
        <f t="shared" si="135"/>
        <v>32</v>
      </c>
      <c r="KP96" s="340" t="str">
        <f t="shared" si="191"/>
        <v>Stuff 1-3</v>
      </c>
      <c r="KQ96" s="5948" t="str">
        <f>IFERROR(INDEX(tunneldrift_vekseldrift[vekseldrift_lengde_final],MATCH(framdriftfaktor[[#This Row],[stuff_navn]],tunneldrift_vekseldrift[Stuff_navn],0))/INDEX(tunneldrift_vekseldrift[Input_stuff_lengde],MATCH(framdriftfaktor[[#This Row],[stuff_navn]],tunneldrift_vekseldrift[Stuff_navn],0)),"-")</f>
        <v>-</v>
      </c>
      <c r="KR96" s="340"/>
      <c r="KS96" s="241">
        <f t="shared" si="136"/>
        <v>0</v>
      </c>
      <c r="KT96" s="241">
        <f t="shared" si="137"/>
        <v>0</v>
      </c>
      <c r="KU96" s="241">
        <f t="shared" si="138"/>
        <v>0</v>
      </c>
      <c r="KV96" s="211" t="str">
        <f>IFERROR(framdriftfaktor[[#This Row],[sprengning_tid_hr]]*framdriftfaktor[[#This Row],[veksel_prosent]],"-")</f>
        <v>-</v>
      </c>
      <c r="KW96" s="211" t="str">
        <f>IFERROR(framdriftfaktor[[#This Row],[stabilitets_tid_hr]]*framdriftfaktor[[#This Row],[veksel_prosent]],"-")</f>
        <v>-</v>
      </c>
      <c r="KX96" s="211" t="str">
        <f>IFERROR(framdriftfaktor[[#This Row],[foran_tid_hr]]*framdriftfaktor[[#This Row],[veksel_prosent]],"-")</f>
        <v>-</v>
      </c>
      <c r="KY96" s="5968">
        <f>IFERROR((framdriftfaktor[[#This Row],[stabilitets_tid_hr_veksel_del]]+framdriftfaktor[[#This Row],[foran_tid_hr_veksel_del]]+KW100+KX100)/(framdriftfaktor[[#This Row],[sprengning_tid_hr_veksel_del]]+KV100),0)</f>
        <v>0</v>
      </c>
      <c r="KZ96" s="5343"/>
      <c r="LA96" s="5342" t="str">
        <f>IF(framdriftfaktor[[#This Row],[stab-foran_spreng_ratio]]&lt;$LL$90,$LJ$90,IF(AND(framdriftfaktor[[#This Row],[stab-foran_spreng_ratio]]&gt;=$LK$91,framdriftfaktor[[#This Row],[stab-foran_spreng_ratio]]&lt;$LL$91),$LJ$91,IF(framdriftfaktor[[#This Row],[stab-foran_spreng_ratio]]&gt;=$LK$92,$LJ$92,"!")))</f>
        <v>Lite</v>
      </c>
      <c r="LB96" s="5343">
        <f>IF(framdriftfaktor[[#This Row],[rating_stab-foran]]=$LJ$90,$LM$90+$LO$90*framdriftfaktor[[#This Row],[stab-foran_spreng_ratio]],IF(framdriftfaktor[[#This Row],[rating_stab-foran]]=$LJ$91,$LM$91+((framdriftfaktor[[#This Row],[stab-foran_spreng_ratio]]-$LK$91)*$LO$91),IF(framdriftfaktor[[#This Row],[rating_stab-foran]]=$LJ$92,$LM$92)))</f>
        <v>1.3</v>
      </c>
      <c r="LC96" s="5342">
        <f>framdriftfaktor[[#This Row],[beregnet_faktor_stab-foran]]</f>
        <v>1.3</v>
      </c>
      <c r="LD96" s="5344"/>
      <c r="LJ96" s="5258" t="s">
        <v>2342</v>
      </c>
      <c r="LK96" s="5258"/>
      <c r="NI96" s="1567"/>
      <c r="NN96" s="407"/>
      <c r="NO96" s="185"/>
      <c r="NP96" s="211"/>
      <c r="NQ96" s="211"/>
      <c r="NR96" s="211"/>
      <c r="NS96" s="211"/>
      <c r="NT96" s="211"/>
      <c r="NU96" s="211"/>
      <c r="NV96" s="211"/>
      <c r="NW96" s="211"/>
      <c r="NX96" s="211"/>
      <c r="NY96" s="211"/>
      <c r="NZ96" s="211"/>
      <c r="OA96" s="211"/>
      <c r="OB96" s="211"/>
      <c r="OC96" s="211"/>
      <c r="OD96" s="211"/>
      <c r="OE96" s="211"/>
      <c r="OF96" s="211"/>
      <c r="OG96" s="211"/>
      <c r="OH96" s="211"/>
      <c r="OI96" s="211"/>
      <c r="OJ96" s="211"/>
      <c r="OK96" s="211"/>
      <c r="OL96" s="211"/>
      <c r="OM96" s="211"/>
      <c r="ON96" s="211"/>
      <c r="OO96" s="211"/>
      <c r="OP96" s="211"/>
      <c r="OQ96" s="211"/>
      <c r="OR96" s="211"/>
      <c r="OS96" s="211"/>
      <c r="OT96" s="211"/>
      <c r="OU96" s="211"/>
      <c r="OV96" s="211"/>
      <c r="OW96" s="211"/>
      <c r="OX96" s="211"/>
      <c r="OY96" s="211"/>
      <c r="OZ96" s="211"/>
      <c r="PA96" s="211"/>
      <c r="PB96" s="211"/>
      <c r="PC96" s="211"/>
      <c r="PD96" s="211"/>
      <c r="PE96" s="211"/>
      <c r="PF96" s="211"/>
      <c r="PG96" s="211"/>
      <c r="PH96" s="211"/>
      <c r="PI96" s="211"/>
      <c r="PJ96" s="211"/>
      <c r="PK96" s="211"/>
      <c r="PL96" s="211"/>
      <c r="PM96" s="211"/>
      <c r="PN96" s="211"/>
      <c r="PO96" s="211"/>
      <c r="PP96" s="211"/>
      <c r="PQ96" s="211"/>
      <c r="PR96" s="211"/>
      <c r="PS96" s="211"/>
      <c r="PT96" s="211"/>
      <c r="PU96" s="211"/>
      <c r="PV96" s="211"/>
      <c r="PW96" s="843"/>
      <c r="PX96" s="843"/>
      <c r="PY96" s="843"/>
      <c r="PZ96" s="843"/>
      <c r="QA96" s="843"/>
      <c r="QB96" s="843"/>
      <c r="QC96" s="843"/>
      <c r="QD96" s="843"/>
      <c r="QE96" s="843"/>
      <c r="QF96" s="843"/>
      <c r="QG96" s="843"/>
      <c r="QH96" s="211"/>
      <c r="QI96" s="211"/>
      <c r="QJ96" s="334"/>
      <c r="QK96" s="211"/>
      <c r="QL96" s="211"/>
      <c r="QM96" s="211"/>
      <c r="QN96" s="211"/>
      <c r="QO96" s="211"/>
      <c r="QP96" s="211"/>
      <c r="QQ96" s="211"/>
      <c r="QR96" s="211"/>
      <c r="QS96" s="211"/>
      <c r="QT96" s="211"/>
      <c r="QU96" s="211"/>
      <c r="QV96" s="211"/>
      <c r="QW96" s="211"/>
      <c r="QX96" s="211"/>
      <c r="QY96" s="211"/>
      <c r="QZ96" s="211"/>
      <c r="RA96" s="211"/>
      <c r="RB96" s="211"/>
      <c r="RC96" s="211"/>
      <c r="RD96" s="211"/>
      <c r="RE96" s="234"/>
      <c r="RF96" s="211"/>
      <c r="RG96" s="211"/>
      <c r="RH96" s="843"/>
      <c r="RI96" s="843"/>
      <c r="RJ96" s="843"/>
      <c r="RK96" s="843"/>
      <c r="RL96" s="843"/>
      <c r="RM96" s="843"/>
      <c r="RN96" s="843"/>
      <c r="RO96" s="211"/>
      <c r="RP96" s="211"/>
      <c r="RQ96" s="211"/>
      <c r="RR96" s="211"/>
      <c r="RS96" s="211"/>
      <c r="RT96" s="211"/>
      <c r="RU96" s="211"/>
      <c r="RV96" s="211"/>
      <c r="RW96" s="211"/>
      <c r="RX96" s="211"/>
      <c r="RY96" s="211"/>
      <c r="RZ96" s="211"/>
      <c r="SA96" s="837"/>
      <c r="SB96" s="837"/>
      <c r="SC96" s="837"/>
      <c r="SD96" s="837"/>
      <c r="SE96" s="837"/>
      <c r="SF96" s="3521"/>
      <c r="SG96" s="2617"/>
      <c r="SH96" s="2617"/>
      <c r="SI96" s="2617"/>
      <c r="SJ96" s="2617"/>
      <c r="SK96" s="2617"/>
      <c r="SL96" s="2617"/>
      <c r="SM96" s="2617"/>
      <c r="SN96" s="2617"/>
      <c r="SO96" s="2617"/>
      <c r="SP96" s="2617"/>
      <c r="SQ96" s="2617"/>
      <c r="SR96" s="2617"/>
      <c r="SS96" s="2617"/>
      <c r="ST96" s="2617"/>
      <c r="SU96" s="2617"/>
      <c r="SV96" s="2617"/>
      <c r="SW96" s="2617"/>
      <c r="SX96" s="2617"/>
      <c r="SY96" s="2617"/>
      <c r="SZ96" s="2617"/>
      <c r="TA96" s="2617"/>
      <c r="TB96" s="2617"/>
      <c r="TC96" s="2617"/>
      <c r="TD96" s="2617"/>
      <c r="TE96" s="2617"/>
      <c r="TF96" s="2617"/>
      <c r="TG96" s="2617"/>
      <c r="TH96" s="2617"/>
      <c r="TI96" s="2617"/>
      <c r="TJ96" s="2617"/>
      <c r="TK96" s="2617"/>
      <c r="TL96" s="2617"/>
      <c r="TM96" s="2617"/>
      <c r="TN96" s="2617"/>
      <c r="TO96" s="2617"/>
      <c r="TP96" s="2617"/>
      <c r="TQ96" s="2617"/>
      <c r="TR96" s="2617"/>
      <c r="TS96" s="2617"/>
      <c r="TT96" s="2617"/>
      <c r="TU96" s="2617"/>
      <c r="TV96" s="2617"/>
      <c r="TW96" s="181"/>
      <c r="TX96" s="2617"/>
      <c r="TY96" s="2617"/>
      <c r="TZ96" s="2617"/>
      <c r="UA96" s="2617"/>
      <c r="UB96" s="2617"/>
      <c r="UC96" s="181"/>
      <c r="UD96" s="181"/>
      <c r="UE96" s="181"/>
      <c r="UF96" s="181"/>
      <c r="UG96" s="2617"/>
      <c r="UH96" s="2617"/>
      <c r="UI96" s="2617"/>
      <c r="UJ96" s="2617"/>
      <c r="UK96" s="2617"/>
      <c r="UL96" s="2617"/>
      <c r="UM96" s="2617"/>
      <c r="UN96" s="2617"/>
      <c r="UO96" s="2617"/>
      <c r="UP96" s="2617"/>
      <c r="UQ96" s="2617"/>
      <c r="UR96" s="2617"/>
      <c r="US96" s="2617"/>
      <c r="UT96" s="2617"/>
      <c r="UU96" s="2617"/>
      <c r="UV96" s="2617"/>
      <c r="UW96" s="2617"/>
      <c r="UX96" s="2617"/>
      <c r="UY96" s="2617"/>
      <c r="UZ96" s="2617"/>
      <c r="VA96" s="2617"/>
      <c r="VB96" s="2617"/>
      <c r="VC96" s="2617"/>
      <c r="VD96" s="2617"/>
      <c r="VE96" s="2617"/>
      <c r="VF96"/>
      <c r="VG96" s="2617"/>
      <c r="VH96" s="2617"/>
      <c r="VI96" s="2617"/>
      <c r="VJ96" s="2617"/>
      <c r="VK96" s="2617"/>
      <c r="VL96" s="2617"/>
      <c r="VM96" s="2617"/>
      <c r="VN96" s="2617"/>
      <c r="VO96" s="2617"/>
      <c r="VP96" s="2617"/>
      <c r="VQ96" s="2617"/>
      <c r="VR96" s="2617"/>
      <c r="VS96" s="2617"/>
      <c r="VT96" s="2617"/>
      <c r="VU96" s="2617"/>
      <c r="VV96" s="2617"/>
      <c r="VW96" s="2617"/>
      <c r="VX96" s="2617"/>
      <c r="VY96" s="2617"/>
      <c r="VZ96" s="2617"/>
      <c r="WA96" s="2617"/>
      <c r="WB96" s="2617"/>
      <c r="WC96" s="2617"/>
      <c r="WD96" s="2617"/>
      <c r="WE96" s="2617"/>
      <c r="WF96" s="2617"/>
      <c r="WG96" s="2617"/>
      <c r="WH96" s="2617"/>
      <c r="WI96" s="2617"/>
      <c r="WJ96" s="2617"/>
      <c r="WK96" s="2617"/>
      <c r="WL96" s="2617"/>
      <c r="WM96" s="2617"/>
      <c r="WN96" s="2617"/>
      <c r="WO96" s="2617"/>
      <c r="WP96" s="2617"/>
      <c r="WQ96" s="2617"/>
      <c r="WR96" s="2617"/>
      <c r="WS96" s="2617"/>
      <c r="WT96" s="2617"/>
      <c r="WU96" s="265"/>
      <c r="WV96" s="265"/>
      <c r="WW96" s="265"/>
      <c r="WX96" s="265"/>
      <c r="WY96" s="265"/>
      <c r="WZ96" s="265"/>
      <c r="XA96" s="265"/>
      <c r="XB96" s="265"/>
      <c r="XC96" s="265"/>
      <c r="XD96" s="265"/>
      <c r="XE96" s="265"/>
      <c r="XF96" s="265"/>
    </row>
    <row r="97" spans="2:630" x14ac:dyDescent="0.2">
      <c r="I97" s="5567"/>
      <c r="AH97" s="2617"/>
      <c r="AI97" s="2617"/>
      <c r="AJ97" s="2617"/>
      <c r="AK97" s="2617"/>
      <c r="AL97" s="2617"/>
      <c r="AM97" s="2617"/>
      <c r="AN97" s="2617"/>
      <c r="AO97" s="2617"/>
      <c r="AP97" s="2617"/>
      <c r="AQ97" s="2617"/>
      <c r="AR97" s="2617"/>
      <c r="AS97" s="2617"/>
      <c r="AT97" s="2617"/>
      <c r="AU97" s="2617"/>
      <c r="AV97" s="2617"/>
      <c r="BC97" s="245"/>
      <c r="BD97" s="245"/>
      <c r="BH97" s="184"/>
      <c r="BI97" s="183"/>
      <c r="ER97" s="2617"/>
      <c r="ES97" s="2617"/>
      <c r="ET97" s="2617"/>
      <c r="EU97" s="2617"/>
      <c r="EV97" s="2617"/>
      <c r="EW97" s="199">
        <f t="shared" ref="EW97:FG97" si="192">IF($BC$38=1,EW86,IF($BC$38=2,EW87))</f>
        <v>0</v>
      </c>
      <c r="EX97" s="199">
        <f t="shared" si="192"/>
        <v>0</v>
      </c>
      <c r="EY97" s="199">
        <f t="shared" si="192"/>
        <v>0</v>
      </c>
      <c r="EZ97" s="199">
        <f t="shared" si="192"/>
        <v>0</v>
      </c>
      <c r="FA97" s="199">
        <f t="shared" si="192"/>
        <v>0</v>
      </c>
      <c r="FB97" s="199">
        <f t="shared" si="192"/>
        <v>0</v>
      </c>
      <c r="FC97" s="199">
        <f t="shared" si="192"/>
        <v>0</v>
      </c>
      <c r="FD97" s="199">
        <f t="shared" si="192"/>
        <v>0</v>
      </c>
      <c r="FE97" s="199">
        <f t="shared" si="192"/>
        <v>0</v>
      </c>
      <c r="FF97" s="199">
        <f t="shared" si="192"/>
        <v>0</v>
      </c>
      <c r="FG97" s="199">
        <f t="shared" si="192"/>
        <v>0</v>
      </c>
      <c r="GH97" s="414"/>
      <c r="HH97" s="185" t="str">
        <f>Tunneldrift!M89</f>
        <v>Gjennomgående teoretisk
sprengningsprofil (eks. grøfter)</v>
      </c>
      <c r="HI97" s="185">
        <f>Tunneldrift!AD89</f>
        <v>0</v>
      </c>
      <c r="IH97" s="206" t="s">
        <v>2703</v>
      </c>
      <c r="II97" s="199" t="s">
        <v>821</v>
      </c>
      <c r="KO97" s="407">
        <f t="shared" si="135"/>
        <v>42</v>
      </c>
      <c r="KP97" s="340" t="str">
        <f t="shared" si="191"/>
        <v>Stuff 1-4</v>
      </c>
      <c r="KQ97" s="5948" t="str">
        <f>IFERROR(INDEX(tunneldrift_vekseldrift[vekseldrift_lengde_final],MATCH(framdriftfaktor[[#This Row],[stuff_navn]],tunneldrift_vekseldrift[Stuff_navn],0))/INDEX(tunneldrift_vekseldrift[Input_stuff_lengde],MATCH(framdriftfaktor[[#This Row],[stuff_navn]],tunneldrift_vekseldrift[Stuff_navn],0)),"-")</f>
        <v>-</v>
      </c>
      <c r="KR97" s="340"/>
      <c r="KS97" s="241">
        <f t="shared" si="136"/>
        <v>0</v>
      </c>
      <c r="KT97" s="241">
        <f t="shared" si="137"/>
        <v>0</v>
      </c>
      <c r="KU97" s="241">
        <f t="shared" si="138"/>
        <v>0</v>
      </c>
      <c r="KV97" s="211" t="str">
        <f>IFERROR(framdriftfaktor[[#This Row],[sprengning_tid_hr]]*framdriftfaktor[[#This Row],[veksel_prosent]],"-")</f>
        <v>-</v>
      </c>
      <c r="KW97" s="211" t="str">
        <f>IFERROR(framdriftfaktor[[#This Row],[stabilitets_tid_hr]]*framdriftfaktor[[#This Row],[veksel_prosent]],"-")</f>
        <v>-</v>
      </c>
      <c r="KX97" s="211" t="str">
        <f>IFERROR(framdriftfaktor[[#This Row],[foran_tid_hr]]*framdriftfaktor[[#This Row],[veksel_prosent]],"-")</f>
        <v>-</v>
      </c>
      <c r="KY97" s="5968">
        <f>IFERROR((framdriftfaktor[[#This Row],[stabilitets_tid_hr_veksel_del]]+framdriftfaktor[[#This Row],[foran_tid_hr_veksel_del]]+KW101+KX101)/(framdriftfaktor[[#This Row],[sprengning_tid_hr_veksel_del]]+KV101),0)</f>
        <v>0</v>
      </c>
      <c r="KZ97" s="5343"/>
      <c r="LA97" s="5342" t="str">
        <f>IF(framdriftfaktor[[#This Row],[stab-foran_spreng_ratio]]&lt;$LL$90,$LJ$90,IF(AND(framdriftfaktor[[#This Row],[stab-foran_spreng_ratio]]&gt;=$LK$91,framdriftfaktor[[#This Row],[stab-foran_spreng_ratio]]&lt;$LL$91),$LJ$91,IF(framdriftfaktor[[#This Row],[stab-foran_spreng_ratio]]&gt;=$LK$92,$LJ$92,"!")))</f>
        <v>Lite</v>
      </c>
      <c r="LB97" s="5343">
        <f>IF(framdriftfaktor[[#This Row],[rating_stab-foran]]=$LJ$90,$LM$90+$LO$90*framdriftfaktor[[#This Row],[stab-foran_spreng_ratio]],IF(framdriftfaktor[[#This Row],[rating_stab-foran]]=$LJ$91,$LM$91+((framdriftfaktor[[#This Row],[stab-foran_spreng_ratio]]-$LK$91)*$LO$91),IF(framdriftfaktor[[#This Row],[rating_stab-foran]]=$LJ$92,$LM$92)))</f>
        <v>1.3</v>
      </c>
      <c r="LC97" s="5342">
        <f>framdriftfaktor[[#This Row],[beregnet_faktor_stab-foran]]</f>
        <v>1.3</v>
      </c>
      <c r="LD97" s="5344"/>
      <c r="NI97" s="1567"/>
      <c r="NN97" s="407"/>
      <c r="NO97" s="185"/>
      <c r="NP97" s="211"/>
      <c r="NQ97" s="211"/>
      <c r="NR97" s="211"/>
      <c r="NS97" s="211"/>
      <c r="NT97" s="211"/>
      <c r="NU97" s="211"/>
      <c r="NV97" s="211"/>
      <c r="NW97" s="211"/>
      <c r="NX97" s="211"/>
      <c r="NY97" s="211"/>
      <c r="NZ97" s="211"/>
      <c r="OA97" s="211"/>
      <c r="OB97" s="211"/>
      <c r="OC97" s="211"/>
      <c r="OD97" s="211"/>
      <c r="OE97" s="211"/>
      <c r="OF97" s="211"/>
      <c r="OG97" s="211"/>
      <c r="OH97" s="211"/>
      <c r="OI97" s="211"/>
      <c r="OJ97" s="211"/>
      <c r="OK97" s="211"/>
      <c r="OL97" s="211"/>
      <c r="OM97" s="211"/>
      <c r="ON97" s="211"/>
      <c r="OO97" s="211"/>
      <c r="OP97" s="211"/>
      <c r="OQ97" s="211"/>
      <c r="OR97" s="211"/>
      <c r="OS97" s="211"/>
      <c r="OT97" s="211"/>
      <c r="OU97" s="211"/>
      <c r="OV97" s="211"/>
      <c r="OW97" s="211"/>
      <c r="OX97" s="211"/>
      <c r="OY97" s="211"/>
      <c r="OZ97" s="211"/>
      <c r="PA97" s="211"/>
      <c r="PB97" s="211"/>
      <c r="PC97" s="211"/>
      <c r="PD97" s="211"/>
      <c r="PE97" s="211"/>
      <c r="PF97" s="211"/>
      <c r="PG97" s="211"/>
      <c r="PH97" s="211"/>
      <c r="PI97" s="211"/>
      <c r="PJ97" s="211"/>
      <c r="PK97" s="211"/>
      <c r="PL97" s="211"/>
      <c r="PM97" s="211"/>
      <c r="PN97" s="211"/>
      <c r="PO97" s="211"/>
      <c r="PP97" s="211"/>
      <c r="PQ97" s="211"/>
      <c r="PR97" s="211"/>
      <c r="PS97" s="211"/>
      <c r="PT97" s="211"/>
      <c r="PU97" s="211"/>
      <c r="PV97" s="211"/>
      <c r="PW97" s="843"/>
      <c r="PX97" s="843"/>
      <c r="PY97" s="843"/>
      <c r="PZ97" s="843"/>
      <c r="QA97" s="843"/>
      <c r="QB97" s="843"/>
      <c r="QC97" s="843"/>
      <c r="QD97" s="843"/>
      <c r="QE97" s="843"/>
      <c r="QF97" s="843"/>
      <c r="QG97" s="843"/>
      <c r="QH97" s="211"/>
      <c r="QI97" s="211"/>
      <c r="QJ97" s="334"/>
      <c r="QK97" s="211"/>
      <c r="QL97" s="211"/>
      <c r="QM97" s="211"/>
      <c r="QN97" s="211"/>
      <c r="QO97" s="211"/>
      <c r="QP97" s="211"/>
      <c r="QQ97" s="211"/>
      <c r="QR97" s="211"/>
      <c r="QS97" s="211"/>
      <c r="QT97" s="211"/>
      <c r="QU97" s="211"/>
      <c r="QV97" s="211"/>
      <c r="QW97" s="211"/>
      <c r="QX97" s="211"/>
      <c r="QY97" s="211"/>
      <c r="QZ97" s="211"/>
      <c r="RA97" s="211"/>
      <c r="RB97" s="211"/>
      <c r="RC97" s="211"/>
      <c r="RD97" s="211"/>
      <c r="RE97" s="234"/>
      <c r="RF97" s="211"/>
      <c r="RG97" s="211"/>
      <c r="RH97" s="843"/>
      <c r="RI97" s="843"/>
      <c r="RJ97" s="843"/>
      <c r="RK97" s="843"/>
      <c r="RL97" s="843"/>
      <c r="RM97" s="843"/>
      <c r="RN97" s="843"/>
      <c r="RO97" s="211"/>
      <c r="RP97" s="211"/>
      <c r="RQ97" s="211"/>
      <c r="RR97" s="211"/>
      <c r="RS97" s="211"/>
      <c r="RT97" s="211"/>
      <c r="RU97" s="211"/>
      <c r="RV97" s="211"/>
      <c r="RW97" s="211"/>
      <c r="RX97" s="211"/>
      <c r="RY97" s="211"/>
      <c r="RZ97" s="211"/>
      <c r="SA97" s="837"/>
      <c r="SB97" s="837"/>
      <c r="SC97" s="837"/>
      <c r="SD97" s="837"/>
      <c r="SE97" s="837"/>
      <c r="SF97" s="3521"/>
      <c r="SG97" s="2617"/>
      <c r="SH97" s="2617"/>
      <c r="SI97" s="2617"/>
      <c r="SJ97" s="2617"/>
      <c r="SK97" s="2617"/>
      <c r="SL97" s="2617"/>
      <c r="SM97" s="2617"/>
      <c r="SN97" s="2617"/>
      <c r="SO97" s="2617"/>
      <c r="SP97" s="2617"/>
      <c r="SQ97" s="2617"/>
      <c r="SR97" s="2617"/>
      <c r="SS97" s="2617"/>
      <c r="ST97" s="2617"/>
      <c r="SU97" s="2617"/>
      <c r="SV97" s="2617"/>
      <c r="SW97" s="2617"/>
      <c r="SX97" s="2617"/>
      <c r="SY97" s="2617"/>
      <c r="SZ97" s="2617"/>
      <c r="TA97" s="2617"/>
      <c r="TB97" s="2617"/>
      <c r="TC97" s="2617"/>
      <c r="TD97" s="2617"/>
      <c r="TE97" s="2617"/>
      <c r="TF97" s="2617"/>
      <c r="TG97" s="2617"/>
      <c r="TH97" s="2617"/>
      <c r="TI97" s="2617"/>
      <c r="TJ97" s="2617"/>
      <c r="TK97" s="2617"/>
      <c r="TL97" s="2617"/>
      <c r="TM97" s="2617"/>
      <c r="TN97" s="2617"/>
      <c r="TO97" s="2617"/>
      <c r="TP97" s="2617"/>
      <c r="TQ97" s="2617"/>
      <c r="TR97" s="2617"/>
      <c r="TS97" s="2617"/>
      <c r="TT97" s="2617"/>
      <c r="TU97" s="2617"/>
      <c r="TV97" s="2617"/>
      <c r="TW97" s="181"/>
      <c r="TX97" s="2617"/>
      <c r="TY97" s="2617"/>
      <c r="TZ97" s="2617"/>
      <c r="UA97" s="2617"/>
      <c r="UB97" s="2617"/>
      <c r="UC97" s="181"/>
      <c r="UD97" s="181"/>
      <c r="UE97" s="181"/>
      <c r="UF97" s="181"/>
      <c r="UG97" s="2617"/>
      <c r="UH97" s="2617"/>
      <c r="UI97" s="2617"/>
      <c r="UJ97" s="2617"/>
      <c r="UK97" s="2617"/>
      <c r="UL97" s="2617"/>
      <c r="UM97" s="2617"/>
      <c r="UN97" s="2617"/>
      <c r="UO97" s="2617"/>
      <c r="UP97" s="2617"/>
      <c r="UQ97" s="2617"/>
      <c r="UR97" s="2617"/>
      <c r="US97" s="2617"/>
      <c r="UT97" s="2617"/>
      <c r="UU97" s="2617"/>
      <c r="UV97" s="2617"/>
      <c r="UW97" s="2617"/>
      <c r="UX97" s="2617"/>
      <c r="UY97" s="2617"/>
      <c r="UZ97" s="2617"/>
      <c r="VA97" s="2617"/>
      <c r="VB97" s="2617"/>
      <c r="VC97" s="2617"/>
      <c r="VD97" s="2617"/>
      <c r="VE97" s="2617"/>
      <c r="VF97"/>
      <c r="VG97" s="2617"/>
      <c r="VH97" s="2617"/>
      <c r="VI97" s="2617"/>
      <c r="VJ97" s="2617"/>
      <c r="VK97" s="2617"/>
      <c r="VL97" s="2617"/>
      <c r="VM97" s="2617"/>
      <c r="VN97" s="2617"/>
      <c r="VO97" s="2617"/>
      <c r="VP97" s="2617"/>
      <c r="VQ97" s="2617"/>
      <c r="VR97" s="2617"/>
      <c r="VS97" s="2617"/>
      <c r="VT97" s="2617"/>
      <c r="VU97" s="2617"/>
      <c r="VV97" s="2617"/>
      <c r="VW97" s="2617"/>
      <c r="VX97" s="2617"/>
      <c r="VY97" s="2617"/>
      <c r="VZ97" s="2617"/>
      <c r="WA97" s="2617"/>
      <c r="WB97" s="2617"/>
      <c r="WC97" s="2617"/>
      <c r="WD97" s="2617"/>
      <c r="WE97" s="2617"/>
      <c r="WF97" s="2617"/>
      <c r="WG97" s="2617"/>
      <c r="WH97" s="2617"/>
      <c r="WI97" s="2617"/>
      <c r="WJ97" s="2617"/>
      <c r="WK97" s="2617"/>
      <c r="WL97" s="2617"/>
      <c r="WM97" s="2617"/>
      <c r="WN97" s="2617"/>
      <c r="WO97" s="2617"/>
      <c r="WP97" s="2617"/>
      <c r="WQ97" s="2617"/>
      <c r="WR97" s="2617"/>
      <c r="WS97" s="2617"/>
      <c r="WT97" s="2617"/>
      <c r="WU97" s="265"/>
      <c r="WV97" s="265"/>
      <c r="WW97" s="265"/>
      <c r="WX97" s="265"/>
      <c r="WY97" s="265"/>
      <c r="WZ97" s="265"/>
      <c r="XA97" s="265"/>
      <c r="XB97" s="265"/>
      <c r="XC97" s="265"/>
      <c r="XD97" s="265"/>
      <c r="XE97" s="265"/>
      <c r="XF97" s="265"/>
    </row>
    <row r="98" spans="2:630" ht="42.75" x14ac:dyDescent="0.2">
      <c r="I98" s="5567"/>
      <c r="AH98" s="2617"/>
      <c r="AI98" s="2617"/>
      <c r="AJ98" s="2617"/>
      <c r="AK98" s="2617"/>
      <c r="AL98" s="2617"/>
      <c r="AM98" s="2617"/>
      <c r="AN98" s="2617"/>
      <c r="AO98" s="2617"/>
      <c r="AP98" s="2617"/>
      <c r="AQ98" s="2617"/>
      <c r="AR98" s="2617"/>
      <c r="AS98" s="2617"/>
      <c r="AT98" s="2617"/>
      <c r="AU98" s="2617"/>
      <c r="AV98" s="2617"/>
      <c r="BB98" s="185" t="s">
        <v>285</v>
      </c>
      <c r="BC98" s="211" t="s">
        <v>310</v>
      </c>
      <c r="BD98" s="211" t="s">
        <v>311</v>
      </c>
      <c r="BE98" s="5223" t="s">
        <v>313</v>
      </c>
      <c r="BF98" s="211" t="s">
        <v>2634</v>
      </c>
      <c r="BG98" s="211" t="s">
        <v>116</v>
      </c>
      <c r="BH98" s="211" t="s">
        <v>117</v>
      </c>
      <c r="BI98" s="211" t="s">
        <v>118</v>
      </c>
      <c r="BJ98" s="211" t="s">
        <v>312</v>
      </c>
      <c r="BK98" s="211" t="s">
        <v>120</v>
      </c>
      <c r="BL98" s="211" t="s">
        <v>314</v>
      </c>
      <c r="BM98" s="211" t="s">
        <v>122</v>
      </c>
      <c r="BN98" s="185" t="s">
        <v>187</v>
      </c>
      <c r="BO98" s="211" t="s">
        <v>145</v>
      </c>
      <c r="BP98" s="211" t="s">
        <v>432</v>
      </c>
      <c r="BQ98" s="211" t="s">
        <v>731</v>
      </c>
      <c r="BR98" s="211" t="s">
        <v>732</v>
      </c>
      <c r="BS98" s="211" t="s">
        <v>692</v>
      </c>
      <c r="BT98" s="211" t="s">
        <v>733</v>
      </c>
      <c r="BU98" s="211" t="s">
        <v>734</v>
      </c>
      <c r="BV98" s="211" t="s">
        <v>735</v>
      </c>
      <c r="BW98" s="211" t="s">
        <v>736</v>
      </c>
      <c r="BX98" s="211" t="s">
        <v>737</v>
      </c>
      <c r="BY98" s="211" t="s">
        <v>738</v>
      </c>
      <c r="DR98" s="355" t="s">
        <v>447</v>
      </c>
      <c r="DS98" s="356"/>
      <c r="DT98" s="356"/>
      <c r="ER98" s="2617"/>
      <c r="ES98" s="2617"/>
      <c r="ET98" s="2617"/>
      <c r="EU98" s="2617"/>
      <c r="EV98" s="2617"/>
      <c r="HH98" s="185">
        <f>Tunneldrift!M90</f>
        <v>0</v>
      </c>
      <c r="HI98" s="185">
        <f>Tunneldrift!AD90</f>
        <v>0</v>
      </c>
      <c r="IH98" s="206" t="s">
        <v>2707</v>
      </c>
      <c r="II98" s="199"/>
      <c r="KO98" s="407">
        <f t="shared" si="135"/>
        <v>52</v>
      </c>
      <c r="KP98" s="340" t="str">
        <f t="shared" si="191"/>
        <v>Stuff 2-1</v>
      </c>
      <c r="KQ98" s="5948" t="str">
        <f>IFERROR(INDEX(tunneldrift_vekseldrift[vekseldrift_lengde_final],MATCH(framdriftfaktor[[#This Row],[stuff_navn]],tunneldrift_vekseldrift[Stuff_navn],0))/INDEX(tunneldrift_vekseldrift[Input_stuff_lengde],MATCH(framdriftfaktor[[#This Row],[stuff_navn]],tunneldrift_vekseldrift[Stuff_navn],0)),"-")</f>
        <v>-</v>
      </c>
      <c r="KR98" s="340"/>
      <c r="KS98" s="241">
        <f t="shared" si="136"/>
        <v>0</v>
      </c>
      <c r="KT98" s="241">
        <f t="shared" si="137"/>
        <v>0</v>
      </c>
      <c r="KU98" s="241">
        <f t="shared" si="138"/>
        <v>0</v>
      </c>
      <c r="KV98" s="211" t="str">
        <f>IFERROR(framdriftfaktor[[#This Row],[sprengning_tid_hr]]*framdriftfaktor[[#This Row],[veksel_prosent]],"-")</f>
        <v>-</v>
      </c>
      <c r="KW98" s="211" t="str">
        <f>IFERROR(framdriftfaktor[[#This Row],[stabilitets_tid_hr]]*framdriftfaktor[[#This Row],[veksel_prosent]],"-")</f>
        <v>-</v>
      </c>
      <c r="KX98" s="211" t="str">
        <f>IFERROR(framdriftfaktor[[#This Row],[foran_tid_hr]]*framdriftfaktor[[#This Row],[veksel_prosent]],"-")</f>
        <v>-</v>
      </c>
      <c r="KY98" s="5968">
        <f>IFERROR((framdriftfaktor[[#This Row],[stabilitets_tid_hr_veksel_del]]+framdriftfaktor[[#This Row],[foran_tid_hr_veksel_del]]+KW94+KX94)/(framdriftfaktor[[#This Row],[sprengning_tid_hr_veksel_del]]+KV94),0)</f>
        <v>0</v>
      </c>
      <c r="KZ98" s="5343"/>
      <c r="LA98" s="5342" t="str">
        <f>IF(framdriftfaktor[[#This Row],[stab-foran_spreng_ratio]]&lt;$LL$90,$LJ$90,IF(AND(framdriftfaktor[[#This Row],[stab-foran_spreng_ratio]]&gt;=$LK$91,framdriftfaktor[[#This Row],[stab-foran_spreng_ratio]]&lt;$LL$91),$LJ$91,IF(framdriftfaktor[[#This Row],[stab-foran_spreng_ratio]]&gt;=$LK$92,$LJ$92,"!")))</f>
        <v>Lite</v>
      </c>
      <c r="LB98" s="5343">
        <f>IF(framdriftfaktor[[#This Row],[rating_stab-foran]]=$LJ$90,$LM$90+$LO$90*framdriftfaktor[[#This Row],[stab-foran_spreng_ratio]],IF(framdriftfaktor[[#This Row],[rating_stab-foran]]=$LJ$91,$LM$91+((framdriftfaktor[[#This Row],[stab-foran_spreng_ratio]]-$LK$91)*$LO$91),IF(framdriftfaktor[[#This Row],[rating_stab-foran]]=$LJ$92,$LM$92)))</f>
        <v>1.3</v>
      </c>
      <c r="LC98" s="5342">
        <f>framdriftfaktor[[#This Row],[beregnet_faktor_stab-foran]]</f>
        <v>1.3</v>
      </c>
      <c r="LD98" s="5344"/>
      <c r="LJ98" s="183" t="s">
        <v>2343</v>
      </c>
      <c r="NN98" s="408"/>
      <c r="NO98" s="246"/>
      <c r="NP98" s="412"/>
      <c r="NQ98" s="412"/>
      <c r="NR98" s="412"/>
      <c r="NS98" s="412"/>
      <c r="NT98" s="211"/>
      <c r="NU98" s="211"/>
      <c r="NV98" s="211"/>
      <c r="NW98" s="211"/>
      <c r="NX98" s="211"/>
      <c r="NY98" s="211"/>
      <c r="NZ98" s="211"/>
      <c r="OA98" s="211"/>
      <c r="OB98" s="211"/>
      <c r="OC98" s="211"/>
      <c r="OD98" s="211"/>
      <c r="OE98" s="211"/>
      <c r="OF98" s="211"/>
      <c r="OG98" s="211"/>
      <c r="OH98" s="211"/>
      <c r="OI98" s="211"/>
      <c r="OJ98" s="211"/>
      <c r="OK98" s="211"/>
      <c r="OL98" s="211"/>
      <c r="OM98" s="211"/>
      <c r="ON98" s="211"/>
      <c r="OO98" s="211"/>
      <c r="OP98" s="211"/>
      <c r="OQ98" s="211"/>
      <c r="OR98" s="211"/>
      <c r="OS98" s="211"/>
      <c r="OT98" s="211"/>
      <c r="OU98" s="211"/>
      <c r="OV98" s="211"/>
      <c r="OW98" s="211"/>
      <c r="OX98" s="211"/>
      <c r="OY98" s="211"/>
      <c r="OZ98" s="211"/>
      <c r="PA98" s="211"/>
      <c r="PB98" s="211"/>
      <c r="PC98" s="211"/>
      <c r="PD98" s="211"/>
      <c r="PE98" s="211"/>
      <c r="PF98" s="211"/>
      <c r="PG98" s="211"/>
      <c r="PH98" s="211"/>
      <c r="PI98" s="211"/>
      <c r="PJ98" s="211"/>
      <c r="PK98" s="211"/>
      <c r="PL98" s="211"/>
      <c r="PM98" s="211"/>
      <c r="PN98" s="211"/>
      <c r="PO98" s="211"/>
      <c r="PP98" s="211"/>
      <c r="PQ98" s="211"/>
      <c r="PR98" s="211"/>
      <c r="PS98" s="211"/>
      <c r="PT98" s="211"/>
      <c r="PU98" s="211"/>
      <c r="PV98" s="211"/>
      <c r="PW98" s="843"/>
      <c r="PX98" s="843"/>
      <c r="PY98" s="843"/>
      <c r="PZ98" s="843"/>
      <c r="QA98" s="843"/>
      <c r="QB98" s="843"/>
      <c r="QC98" s="843"/>
      <c r="QD98" s="843"/>
      <c r="QE98" s="843"/>
      <c r="QF98" s="843"/>
      <c r="QG98" s="843"/>
      <c r="QH98" s="211"/>
      <c r="QI98" s="211"/>
      <c r="QJ98" s="334"/>
      <c r="QK98" s="211"/>
      <c r="QL98" s="211"/>
      <c r="QM98" s="211"/>
      <c r="QN98" s="211"/>
      <c r="QO98" s="211"/>
      <c r="QP98" s="211"/>
      <c r="QQ98" s="211"/>
      <c r="QR98" s="211"/>
      <c r="QS98" s="211"/>
      <c r="QT98" s="211"/>
      <c r="QU98" s="211"/>
      <c r="QV98" s="211"/>
      <c r="QW98" s="211"/>
      <c r="QX98" s="211"/>
      <c r="QY98" s="211"/>
      <c r="QZ98" s="211"/>
      <c r="RA98" s="211"/>
      <c r="RB98" s="211"/>
      <c r="RC98" s="211"/>
      <c r="RD98" s="211"/>
      <c r="RE98" s="234"/>
      <c r="RF98" s="211"/>
      <c r="RG98" s="211"/>
      <c r="RH98" s="843"/>
      <c r="RI98" s="843"/>
      <c r="RJ98" s="843"/>
      <c r="RK98" s="843"/>
      <c r="RL98" s="843"/>
      <c r="RM98" s="843"/>
      <c r="RN98" s="843"/>
      <c r="RO98" s="211"/>
      <c r="RP98" s="211"/>
      <c r="RQ98" s="211"/>
      <c r="RR98" s="211"/>
      <c r="RS98" s="211"/>
      <c r="RT98" s="211"/>
      <c r="RU98" s="211"/>
      <c r="RV98" s="211"/>
      <c r="RW98" s="211"/>
      <c r="RX98" s="211"/>
      <c r="RY98" s="211"/>
      <c r="RZ98" s="211"/>
      <c r="SA98" s="837"/>
      <c r="SB98" s="837"/>
      <c r="SC98" s="837"/>
      <c r="SD98" s="837"/>
      <c r="SE98" s="837"/>
      <c r="SF98" s="3521"/>
      <c r="SG98" s="2617"/>
      <c r="SH98" s="2617"/>
      <c r="SI98" s="2617"/>
      <c r="SJ98" s="2617"/>
      <c r="SK98" s="2617"/>
      <c r="SL98" s="2617"/>
      <c r="SM98" s="2617"/>
      <c r="SN98" s="2617"/>
      <c r="SO98" s="2617"/>
      <c r="SP98" s="2617"/>
      <c r="SQ98" s="2617"/>
      <c r="SR98" s="2617"/>
      <c r="SS98" s="2617"/>
      <c r="ST98" s="2617"/>
      <c r="SU98" s="2617"/>
      <c r="SV98" s="2617"/>
      <c r="SW98" s="2617"/>
      <c r="SX98" s="2617"/>
      <c r="SY98" s="2617"/>
      <c r="SZ98" s="2617"/>
      <c r="TA98" s="2617"/>
      <c r="TB98" s="2617"/>
      <c r="TC98" s="2617"/>
      <c r="TD98" s="2617"/>
      <c r="TE98" s="2617"/>
      <c r="TF98" s="2617"/>
      <c r="TG98" s="2617"/>
      <c r="TH98" s="2617"/>
      <c r="TI98" s="2617"/>
      <c r="TJ98" s="2617"/>
      <c r="TK98" s="2617"/>
      <c r="TL98" s="2617"/>
      <c r="TM98" s="2617"/>
      <c r="TN98" s="2617"/>
      <c r="TO98" s="2617"/>
      <c r="TP98" s="2617"/>
      <c r="TQ98" s="2617"/>
      <c r="TR98" s="2617"/>
      <c r="TS98" s="2617"/>
      <c r="TT98" s="2617"/>
      <c r="TU98" s="2617"/>
      <c r="TV98" s="2617"/>
      <c r="TW98" s="181"/>
      <c r="TX98" s="2617"/>
      <c r="TY98" s="2617"/>
      <c r="TZ98" s="2617"/>
      <c r="UA98" s="2617"/>
      <c r="UB98" s="2617"/>
      <c r="UC98" s="181"/>
      <c r="UD98" s="181"/>
      <c r="UE98" s="181"/>
      <c r="UF98" s="181"/>
      <c r="UG98" s="2617"/>
      <c r="UH98" s="2617"/>
      <c r="UI98" s="2617"/>
      <c r="UJ98" s="2617"/>
      <c r="UK98" s="2617"/>
      <c r="UL98" s="2617"/>
      <c r="UM98" s="2617"/>
      <c r="UN98" s="2617"/>
      <c r="UO98" s="2617"/>
      <c r="UP98" s="2617"/>
      <c r="UQ98" s="2617"/>
      <c r="UR98" s="2617"/>
      <c r="US98" s="2617"/>
      <c r="UT98" s="2617"/>
      <c r="UU98" s="2617"/>
      <c r="UV98" s="2617"/>
      <c r="UW98" s="2617"/>
      <c r="UX98" s="2617"/>
      <c r="UY98" s="2617"/>
      <c r="UZ98" s="2617"/>
      <c r="VA98" s="2617"/>
      <c r="VB98" s="2617"/>
      <c r="VC98" s="2617"/>
      <c r="VD98" s="2617"/>
      <c r="VE98" s="2617"/>
      <c r="VF98"/>
      <c r="VG98" s="2617"/>
      <c r="VH98" s="2617"/>
      <c r="VI98" s="2617"/>
      <c r="VJ98" s="2617"/>
      <c r="VK98" s="2617"/>
      <c r="VL98" s="2617"/>
      <c r="VM98" s="2617"/>
      <c r="VN98" s="2617"/>
      <c r="VO98" s="2617"/>
      <c r="VP98" s="2617"/>
      <c r="VQ98" s="2617"/>
      <c r="VR98" s="2617"/>
      <c r="VS98" s="2617"/>
      <c r="VT98" s="2617"/>
      <c r="VU98" s="2617"/>
      <c r="VV98" s="2617"/>
      <c r="VW98" s="2617"/>
      <c r="VX98" s="2617"/>
      <c r="VY98" s="2617"/>
      <c r="VZ98" s="2617"/>
      <c r="WA98" s="2617"/>
      <c r="WB98" s="2617"/>
      <c r="WC98" s="2617"/>
      <c r="WD98" s="2617"/>
      <c r="WE98" s="2617"/>
      <c r="WF98" s="2617"/>
      <c r="WG98" s="2617"/>
      <c r="WH98" s="2617"/>
      <c r="WI98" s="2617"/>
      <c r="WJ98" s="2617"/>
      <c r="WK98" s="2617"/>
      <c r="WL98" s="2617"/>
      <c r="WM98" s="2617"/>
      <c r="WN98" s="2617"/>
      <c r="WO98" s="2617"/>
      <c r="WP98" s="2617"/>
      <c r="WQ98" s="2617"/>
      <c r="WR98" s="2617"/>
      <c r="WS98" s="2617"/>
      <c r="WT98" s="2617"/>
      <c r="WU98" s="265"/>
      <c r="WV98" s="265"/>
      <c r="WW98" s="265"/>
      <c r="WX98" s="265"/>
      <c r="WY98" s="265"/>
      <c r="WZ98" s="265"/>
      <c r="XA98" s="265"/>
      <c r="XB98" s="265"/>
      <c r="XC98" s="265"/>
      <c r="XD98" s="265"/>
      <c r="XE98" s="265"/>
      <c r="XF98" s="265"/>
    </row>
    <row r="99" spans="2:630" x14ac:dyDescent="0.2">
      <c r="I99" s="5567"/>
      <c r="AH99" s="2617"/>
      <c r="AI99" s="2617"/>
      <c r="AJ99" s="2617"/>
      <c r="AK99" s="2617"/>
      <c r="AL99" s="2617"/>
      <c r="AM99" s="2617"/>
      <c r="AN99" s="2617"/>
      <c r="AO99" s="2617"/>
      <c r="AP99" s="2617"/>
      <c r="AQ99" s="2617"/>
      <c r="AR99" s="2617"/>
      <c r="AS99" s="2617"/>
      <c r="AT99" s="2617"/>
      <c r="AU99" s="2617"/>
      <c r="AV99" s="2617"/>
      <c r="BB99" s="5163">
        <v>1</v>
      </c>
      <c r="BC99" s="211">
        <f>'Inn sprengning'!$X$39</f>
        <v>0</v>
      </c>
      <c r="BD99" s="211">
        <f>'Inn sprengning'!$X$41</f>
        <v>0</v>
      </c>
      <c r="BE99" s="211">
        <f>'Inn sprengning'!$X$43</f>
        <v>0</v>
      </c>
      <c r="BF99" s="211">
        <f>'Inn sprengning'!$X$52</f>
        <v>0</v>
      </c>
      <c r="BG99" s="211">
        <f>'Inn sprengning'!$X$54</f>
        <v>0</v>
      </c>
      <c r="BH99" s="211">
        <f>'Inn sprengning'!$X$56</f>
        <v>0</v>
      </c>
      <c r="BI99" s="211">
        <f>'Inn sprengning'!$X$58</f>
        <v>0</v>
      </c>
      <c r="BJ99" s="211">
        <f>'Inn sprengning'!$X$60</f>
        <v>0</v>
      </c>
      <c r="BK99" s="211">
        <f>'Inn sprengning'!$X$62</f>
        <v>0</v>
      </c>
      <c r="BL99" s="211">
        <f>'Inn sprengning'!$X$64</f>
        <v>0</v>
      </c>
      <c r="BM99" s="211">
        <f>'Inn sprengning'!$X$66</f>
        <v>0</v>
      </c>
      <c r="BN99" s="211"/>
      <c r="BO99" s="211">
        <f>'Inn sprengning'!$X$68</f>
        <v>0</v>
      </c>
      <c r="BP99" s="211">
        <f>IFERROR((INDEX(position_stuff[Normal],MATCH(BB99,position_stuff[Position],0))),0)</f>
        <v>0</v>
      </c>
      <c r="BQ99" s="211">
        <f>inputs_spreng[[#This Row],[Redusertsalvelengde]]+inputs_spreng[[#This Row],[Todelttverrsnitt]]+inputs_spreng[[#This Row],[Redusertsalvelengdeogtodelttverrsnitt]]</f>
        <v>0</v>
      </c>
      <c r="BR99" s="211">
        <f>IFERROR((INDEX(position_stuff[Totalvol],MATCH(BB99,position_stuff[Position],0))),0)</f>
        <v>0</v>
      </c>
      <c r="BS99" s="211">
        <f>IF(BQ99&gt;=BR99,0,1)</f>
        <v>0</v>
      </c>
      <c r="BT99" s="211">
        <f>IF('Inn sprengning'!$X$39="",0,1)</f>
        <v>0</v>
      </c>
      <c r="BU99" s="211">
        <f>IF('Inn sprengning'!$X$41="",0,1)</f>
        <v>0</v>
      </c>
      <c r="BV99" s="211">
        <f>IF('Inn sprengning'!$X$43="",0,1)</f>
        <v>0</v>
      </c>
      <c r="BW99" s="211">
        <f>IF(AND(inputs_spreng[[#This Row],[check]]=1,inputs_spreng[[#This Row],[check_red]]=1),1,0)</f>
        <v>0</v>
      </c>
      <c r="BX99" s="211">
        <f>IF(AND(inputs_spreng[[#This Row],[check]]=1,inputs_spreng[[#This Row],[check_todel]]=1),1,0)</f>
        <v>0</v>
      </c>
      <c r="BY99" s="211">
        <f>IF(AND(inputs_spreng[[#This Row],[check]]=1,inputs_spreng[[#This Row],[check_redtodel]]=1),1,0)</f>
        <v>0</v>
      </c>
      <c r="HH99" s="185">
        <f>Tunneldrift!M91</f>
        <v>0</v>
      </c>
      <c r="HI99" s="185">
        <f>Tunneldrift!AD91</f>
        <v>0</v>
      </c>
      <c r="IH99" s="206" t="s">
        <v>2708</v>
      </c>
      <c r="II99" s="199">
        <v>1</v>
      </c>
      <c r="KO99" s="407">
        <f t="shared" si="135"/>
        <v>62</v>
      </c>
      <c r="KP99" s="340" t="str">
        <f t="shared" si="191"/>
        <v>Stuff 2-2</v>
      </c>
      <c r="KQ99" s="5948" t="str">
        <f>IFERROR(INDEX(tunneldrift_vekseldrift[vekseldrift_lengde_final],MATCH(framdriftfaktor[[#This Row],[stuff_navn]],tunneldrift_vekseldrift[Stuff_navn],0))/INDEX(tunneldrift_vekseldrift[Input_stuff_lengde],MATCH(framdriftfaktor[[#This Row],[stuff_navn]],tunneldrift_vekseldrift[Stuff_navn],0)),"-")</f>
        <v>-</v>
      </c>
      <c r="KR99" s="340"/>
      <c r="KS99" s="241">
        <f t="shared" si="136"/>
        <v>0</v>
      </c>
      <c r="KT99" s="241">
        <f t="shared" si="137"/>
        <v>0</v>
      </c>
      <c r="KU99" s="241">
        <f t="shared" si="138"/>
        <v>0</v>
      </c>
      <c r="KV99" s="211" t="str">
        <f>IFERROR(framdriftfaktor[[#This Row],[sprengning_tid_hr]]*framdriftfaktor[[#This Row],[veksel_prosent]],"-")</f>
        <v>-</v>
      </c>
      <c r="KW99" s="211" t="str">
        <f>IFERROR(framdriftfaktor[[#This Row],[stabilitets_tid_hr]]*framdriftfaktor[[#This Row],[veksel_prosent]],"-")</f>
        <v>-</v>
      </c>
      <c r="KX99" s="211" t="str">
        <f>IFERROR(framdriftfaktor[[#This Row],[foran_tid_hr]]*framdriftfaktor[[#This Row],[veksel_prosent]],"-")</f>
        <v>-</v>
      </c>
      <c r="KY99" s="5968">
        <f>IFERROR((framdriftfaktor[[#This Row],[stabilitets_tid_hr_veksel_del]]+framdriftfaktor[[#This Row],[foran_tid_hr_veksel_del]]+KW95+KX95)/(framdriftfaktor[[#This Row],[sprengning_tid_hr_veksel_del]]+KV95),0)</f>
        <v>0</v>
      </c>
      <c r="KZ99" s="5343"/>
      <c r="LA99" s="5342" t="str">
        <f>IF(framdriftfaktor[[#This Row],[stab-foran_spreng_ratio]]&lt;$LL$90,$LJ$90,IF(AND(framdriftfaktor[[#This Row],[stab-foran_spreng_ratio]]&gt;=$LK$91,framdriftfaktor[[#This Row],[stab-foran_spreng_ratio]]&lt;$LL$91),$LJ$91,IF(framdriftfaktor[[#This Row],[stab-foran_spreng_ratio]]&gt;=$LK$92,$LJ$92,"!")))</f>
        <v>Lite</v>
      </c>
      <c r="LB99" s="5343">
        <f>IF(framdriftfaktor[[#This Row],[rating_stab-foran]]=$LJ$90,$LM$90+$LO$90*framdriftfaktor[[#This Row],[stab-foran_spreng_ratio]],IF(framdriftfaktor[[#This Row],[rating_stab-foran]]=$LJ$91,$LM$91+((framdriftfaktor[[#This Row],[stab-foran_spreng_ratio]]-$LK$91)*$LO$91),IF(framdriftfaktor[[#This Row],[rating_stab-foran]]=$LJ$92,$LM$92)))</f>
        <v>1.3</v>
      </c>
      <c r="LC99" s="5342">
        <f>framdriftfaktor[[#This Row],[beregnet_faktor_stab-foran]]</f>
        <v>1.3</v>
      </c>
      <c r="LD99" s="5344"/>
      <c r="RF99" s="2617"/>
      <c r="RG99" s="2617"/>
      <c r="RH99" s="2617"/>
      <c r="RI99" s="2617"/>
      <c r="RJ99" s="2617"/>
      <c r="RK99" s="2617"/>
      <c r="RL99" s="2617"/>
      <c r="RM99" s="2617"/>
      <c r="RN99" s="2617"/>
      <c r="RO99" s="2617"/>
      <c r="RP99" s="2617"/>
      <c r="RQ99" s="2617"/>
      <c r="RR99" s="2617"/>
      <c r="RS99" s="2617"/>
      <c r="RT99" s="2617"/>
      <c r="RU99" s="2617"/>
      <c r="RV99" s="2617"/>
      <c r="RW99" s="2617"/>
      <c r="RX99" s="2617"/>
      <c r="RY99" s="2617"/>
      <c r="RZ99" s="2617"/>
      <c r="SA99" s="2617"/>
      <c r="SB99" s="2617"/>
      <c r="SC99" s="2617"/>
      <c r="SD99" s="2617"/>
      <c r="SE99" s="2617"/>
      <c r="SF99" s="2617"/>
      <c r="SG99" s="2617"/>
      <c r="SH99" s="2617"/>
      <c r="SI99" s="2617"/>
      <c r="SJ99" s="2617"/>
      <c r="SK99" s="2617"/>
      <c r="SL99" s="2617"/>
      <c r="SM99" s="2617"/>
      <c r="SN99" s="2617"/>
      <c r="SO99" s="2617"/>
      <c r="SP99" s="2617"/>
      <c r="SQ99" s="2617"/>
      <c r="SR99" s="2617"/>
      <c r="SS99" s="2617"/>
      <c r="ST99" s="2617"/>
      <c r="SU99" s="2617"/>
      <c r="SV99" s="2617"/>
      <c r="SW99" s="2617"/>
      <c r="SX99" s="2617"/>
      <c r="SY99" s="2617"/>
      <c r="SZ99" s="2617"/>
      <c r="TA99" s="2617"/>
      <c r="TB99" s="2617"/>
      <c r="TC99" s="2617"/>
      <c r="TD99" s="2617"/>
      <c r="TE99" s="2617"/>
      <c r="TF99" s="2617"/>
      <c r="TG99" s="2617"/>
      <c r="TH99" s="2617"/>
      <c r="TI99" s="2617"/>
      <c r="TJ99" s="2617"/>
      <c r="TK99" s="2617"/>
      <c r="TL99" s="2617"/>
      <c r="TM99" s="2617"/>
      <c r="TN99" s="2617"/>
      <c r="TO99" s="2617"/>
      <c r="TP99" s="2617"/>
      <c r="TQ99" s="2617"/>
      <c r="TS99" s="2617"/>
      <c r="TT99" s="2617"/>
      <c r="TU99" s="2617"/>
      <c r="TV99" s="2617"/>
      <c r="TW99" s="2617"/>
      <c r="UB99" s="2617"/>
      <c r="UC99" s="2617"/>
      <c r="UD99" s="2617"/>
      <c r="UE99" s="2617"/>
      <c r="UF99" s="2617"/>
      <c r="UG99" s="2617"/>
      <c r="UH99" s="2617"/>
      <c r="UI99" s="2617"/>
      <c r="UJ99" s="2617"/>
      <c r="UK99" s="2617"/>
      <c r="UL99" s="2617"/>
      <c r="UM99" s="2617"/>
      <c r="UN99" s="2617"/>
      <c r="UO99" s="2617"/>
      <c r="UP99" s="2617"/>
      <c r="UQ99" s="2617"/>
      <c r="UR99" s="2617"/>
      <c r="US99" s="2617"/>
      <c r="UT99" s="2617"/>
      <c r="UU99" s="2617"/>
      <c r="UV99" s="2617"/>
      <c r="UW99" s="2617"/>
      <c r="UX99" s="2617"/>
      <c r="UY99" s="2617"/>
      <c r="UZ99" s="2617"/>
      <c r="VB99" s="2617"/>
      <c r="VC99" s="2617"/>
      <c r="VD99" s="2617"/>
      <c r="VE99" s="2617"/>
      <c r="VF99" s="2617"/>
      <c r="VG99" s="2617"/>
      <c r="VH99" s="2617"/>
      <c r="VI99" s="2617"/>
      <c r="VJ99" s="2617"/>
      <c r="VK99" s="2617"/>
      <c r="VL99" s="2617"/>
      <c r="VM99" s="2617"/>
      <c r="VN99" s="2617"/>
      <c r="VO99" s="2617"/>
      <c r="VP99" s="2617"/>
      <c r="VQ99" s="2617"/>
      <c r="VR99" s="2617"/>
      <c r="VS99" s="2617"/>
      <c r="VT99" s="2617"/>
    </row>
    <row r="100" spans="2:630" x14ac:dyDescent="0.2">
      <c r="I100" s="5567"/>
      <c r="AH100" s="2617"/>
      <c r="AI100" s="2617"/>
      <c r="AJ100" s="2617"/>
      <c r="AK100" s="2617"/>
      <c r="AL100" s="2617"/>
      <c r="AM100" s="2617"/>
      <c r="AN100" s="2617"/>
      <c r="AO100" s="2617"/>
      <c r="AP100" s="2617"/>
      <c r="AQ100" s="2617"/>
      <c r="AR100" s="2617"/>
      <c r="AS100" s="2617"/>
      <c r="AT100" s="2617"/>
      <c r="AU100" s="2617"/>
      <c r="BB100" s="5163">
        <v>2</v>
      </c>
      <c r="BC100" s="211">
        <f>'Inn sprengning'!$AF$39</f>
        <v>0</v>
      </c>
      <c r="BD100" s="211">
        <f>'Inn sprengning'!$AF$41</f>
        <v>0</v>
      </c>
      <c r="BE100" s="211">
        <f>'Inn sprengning'!$AF$43</f>
        <v>0</v>
      </c>
      <c r="BF100" s="211">
        <f>'Inn sprengning'!$AF$52</f>
        <v>0</v>
      </c>
      <c r="BG100" s="211">
        <f>'Inn sprengning'!$AF$54</f>
        <v>0</v>
      </c>
      <c r="BH100" s="211">
        <f>'Inn sprengning'!$AF$56</f>
        <v>0</v>
      </c>
      <c r="BI100" s="211">
        <f>'Inn sprengning'!$AF$58</f>
        <v>0</v>
      </c>
      <c r="BJ100" s="211">
        <f>'Inn sprengning'!$AF$60</f>
        <v>0</v>
      </c>
      <c r="BK100" s="211">
        <f>'Inn sprengning'!$AF$62</f>
        <v>0</v>
      </c>
      <c r="BL100" s="211">
        <f>'Inn sprengning'!$AF$64</f>
        <v>0</v>
      </c>
      <c r="BM100" s="211">
        <f>'Inn sprengning'!$AF$66</f>
        <v>0</v>
      </c>
      <c r="BN100" s="211"/>
      <c r="BO100" s="211">
        <f>'Inn sprengning'!$AF$68</f>
        <v>0</v>
      </c>
      <c r="BP100" s="211">
        <f>IFERROR((INDEX(position_stuff[Normal],MATCH(BB100,position_stuff[Position],0))),0)</f>
        <v>0</v>
      </c>
      <c r="BQ100" s="211">
        <f>inputs_spreng[[#This Row],[Redusertsalvelengde]]+inputs_spreng[[#This Row],[Todelttverrsnitt]]+inputs_spreng[[#This Row],[Redusertsalvelengdeogtodelttverrsnitt]]</f>
        <v>0</v>
      </c>
      <c r="BR100" s="211">
        <f>IFERROR((INDEX(position_stuff[Totalvol],MATCH(BB100,position_stuff[Position],0))),0)</f>
        <v>0</v>
      </c>
      <c r="BS100" s="211">
        <f t="shared" ref="BS100:BS107" si="193">IF(BQ100&gt;=BR100,0,1)</f>
        <v>0</v>
      </c>
      <c r="BT100" s="211">
        <f>IF('Inn sprengning'!$AF$39="",0,1)</f>
        <v>0</v>
      </c>
      <c r="BU100" s="211">
        <f>IF('Inn sprengning'!$AF$41="",0,1)</f>
        <v>0</v>
      </c>
      <c r="BV100" s="211">
        <f>IF('Inn sprengning'!$AF$43="",0,1)</f>
        <v>0</v>
      </c>
      <c r="BW100" s="211">
        <f>IF(AND(inputs_spreng[[#This Row],[check]]=1,inputs_spreng[[#This Row],[check_red]]=1),1,0)</f>
        <v>0</v>
      </c>
      <c r="BX100" s="211">
        <f>IF(AND(inputs_spreng[[#This Row],[check]]=1,inputs_spreng[[#This Row],[check_todel]]=1),1,0)</f>
        <v>0</v>
      </c>
      <c r="BY100" s="211">
        <f>IF(AND(inputs_spreng[[#This Row],[check]]=1,inputs_spreng[[#This Row],[check_redtodel]]=1),1,0)</f>
        <v>0</v>
      </c>
      <c r="DR100" s="183" t="s">
        <v>308</v>
      </c>
      <c r="HH100" s="185">
        <f>Tunneldrift!M94</f>
        <v>0</v>
      </c>
      <c r="HI100" s="185">
        <f>Tunneldrift!AD94</f>
        <v>0</v>
      </c>
      <c r="IH100" s="206" t="s">
        <v>2709</v>
      </c>
      <c r="II100" s="5997">
        <f>MAX(IH112:IH192)</f>
        <v>9</v>
      </c>
      <c r="KO100" s="407">
        <f t="shared" si="135"/>
        <v>72</v>
      </c>
      <c r="KP100" s="340" t="str">
        <f t="shared" si="191"/>
        <v>Stuff 2-3</v>
      </c>
      <c r="KQ100" s="5948" t="str">
        <f>IFERROR(INDEX(tunneldrift_vekseldrift[vekseldrift_lengde_final],MATCH(framdriftfaktor[[#This Row],[stuff_navn]],tunneldrift_vekseldrift[Stuff_navn],0))/INDEX(tunneldrift_vekseldrift[Input_stuff_lengde],MATCH(framdriftfaktor[[#This Row],[stuff_navn]],tunneldrift_vekseldrift[Stuff_navn],0)),"-")</f>
        <v>-</v>
      </c>
      <c r="KR100" s="340"/>
      <c r="KS100" s="241">
        <f t="shared" si="136"/>
        <v>0</v>
      </c>
      <c r="KT100" s="241">
        <f t="shared" si="137"/>
        <v>0</v>
      </c>
      <c r="KU100" s="241">
        <f t="shared" si="138"/>
        <v>0</v>
      </c>
      <c r="KV100" s="211" t="str">
        <f>IFERROR(framdriftfaktor[[#This Row],[sprengning_tid_hr]]*framdriftfaktor[[#This Row],[veksel_prosent]],"-")</f>
        <v>-</v>
      </c>
      <c r="KW100" s="211" t="str">
        <f>IFERROR(framdriftfaktor[[#This Row],[stabilitets_tid_hr]]*framdriftfaktor[[#This Row],[veksel_prosent]],"-")</f>
        <v>-</v>
      </c>
      <c r="KX100" s="211" t="str">
        <f>IFERROR(framdriftfaktor[[#This Row],[foran_tid_hr]]*framdriftfaktor[[#This Row],[veksel_prosent]],"-")</f>
        <v>-</v>
      </c>
      <c r="KY100" s="5968">
        <f>IFERROR((framdriftfaktor[[#This Row],[stabilitets_tid_hr_veksel_del]]+framdriftfaktor[[#This Row],[foran_tid_hr_veksel_del]]+KW96+KX96)/(framdriftfaktor[[#This Row],[sprengning_tid_hr_veksel_del]]+KV96),0)</f>
        <v>0</v>
      </c>
      <c r="KZ100" s="5343"/>
      <c r="LA100" s="5342" t="str">
        <f>IF(framdriftfaktor[[#This Row],[stab-foran_spreng_ratio]]&lt;$LL$90,$LJ$90,IF(AND(framdriftfaktor[[#This Row],[stab-foran_spreng_ratio]]&gt;=$LK$91,framdriftfaktor[[#This Row],[stab-foran_spreng_ratio]]&lt;$LL$91),$LJ$91,IF(framdriftfaktor[[#This Row],[stab-foran_spreng_ratio]]&gt;=$LK$92,$LJ$92,"!")))</f>
        <v>Lite</v>
      </c>
      <c r="LB100" s="5343">
        <f>IF(framdriftfaktor[[#This Row],[rating_stab-foran]]=$LJ$90,$LM$90+$LO$90*framdriftfaktor[[#This Row],[stab-foran_spreng_ratio]],IF(framdriftfaktor[[#This Row],[rating_stab-foran]]=$LJ$91,$LM$91+((framdriftfaktor[[#This Row],[stab-foran_spreng_ratio]]-$LK$91)*$LO$91),IF(framdriftfaktor[[#This Row],[rating_stab-foran]]=$LJ$92,$LM$92)))</f>
        <v>1.3</v>
      </c>
      <c r="LC100" s="5342">
        <f>framdriftfaktor[[#This Row],[beregnet_faktor_stab-foran]]</f>
        <v>1.3</v>
      </c>
      <c r="LD100" s="5344"/>
      <c r="RC100" s="181"/>
      <c r="RD100" s="181"/>
      <c r="RE100" s="181"/>
      <c r="RF100" s="181"/>
      <c r="RG100" s="181"/>
      <c r="RH100" s="181"/>
      <c r="RI100" s="181"/>
      <c r="RJ100" s="181"/>
      <c r="RK100" s="181"/>
      <c r="RL100" s="2617"/>
      <c r="RM100" s="2617"/>
      <c r="RN100" s="2617"/>
      <c r="RO100" s="2617"/>
      <c r="RP100" s="2617"/>
      <c r="RQ100" s="2617"/>
      <c r="RR100" s="2617"/>
      <c r="RS100" s="2617"/>
      <c r="RT100" s="2617"/>
      <c r="RU100" s="2617"/>
      <c r="RV100" s="2617"/>
      <c r="RW100" s="2617"/>
      <c r="RX100" s="2617"/>
      <c r="RY100" s="2617"/>
      <c r="RZ100" s="2617"/>
      <c r="SA100" s="2617"/>
      <c r="SB100" s="2617"/>
      <c r="SC100" s="2617"/>
      <c r="SD100" s="2617"/>
      <c r="SE100" s="2617"/>
      <c r="SF100" s="2617"/>
      <c r="SG100" s="2617"/>
      <c r="SH100" s="2617"/>
      <c r="SI100" s="2617"/>
      <c r="SJ100" s="2617"/>
      <c r="SK100" s="2617"/>
      <c r="SL100" s="2617"/>
      <c r="SM100" s="2617"/>
      <c r="SN100" s="2617"/>
      <c r="SO100" s="2617"/>
      <c r="SP100" s="2617"/>
      <c r="SQ100" s="2617"/>
      <c r="SR100" s="2617"/>
      <c r="SS100" s="2617"/>
      <c r="ST100" s="2617"/>
      <c r="SU100" s="2617"/>
      <c r="SV100" s="2617"/>
      <c r="SW100" s="2617"/>
      <c r="SX100" s="2617"/>
      <c r="SY100" s="2617"/>
      <c r="SZ100" s="2617"/>
      <c r="TA100" s="2617"/>
      <c r="TB100" s="2617"/>
      <c r="TC100" s="2617"/>
      <c r="TD100" s="2617"/>
      <c r="TE100" s="2617"/>
      <c r="TF100" s="2617"/>
      <c r="TG100" s="2617"/>
      <c r="TH100" s="2617"/>
      <c r="TI100" s="2617"/>
      <c r="TJ100" s="2617"/>
      <c r="TK100" s="2617"/>
      <c r="TL100" s="2617"/>
      <c r="TM100" s="2617"/>
      <c r="TN100" s="2617"/>
      <c r="TO100" s="2617"/>
      <c r="TP100" s="2617"/>
      <c r="TQ100" s="2617"/>
      <c r="TS100" s="2617"/>
      <c r="TT100" s="2617"/>
      <c r="TU100" s="2617"/>
      <c r="TV100" s="2617"/>
      <c r="TW100" s="2617"/>
      <c r="UB100" s="2617"/>
      <c r="UC100" s="2617"/>
      <c r="UD100" s="2617"/>
      <c r="UE100" s="2617"/>
      <c r="UF100" s="2617"/>
      <c r="UG100" s="2617"/>
      <c r="UH100" s="2617"/>
      <c r="UI100" s="2617"/>
      <c r="UJ100" s="2617"/>
      <c r="UK100" s="2617"/>
      <c r="UL100" s="2617"/>
      <c r="UM100" s="2617"/>
      <c r="UN100" s="2617"/>
      <c r="UO100" s="2617"/>
      <c r="UP100" s="2617"/>
      <c r="UQ100" s="2617"/>
      <c r="UR100" s="2617"/>
      <c r="US100" s="2617"/>
      <c r="UT100" s="2617"/>
      <c r="UU100" s="2617"/>
      <c r="UV100" s="2617"/>
      <c r="UW100" s="2617"/>
      <c r="UX100" s="2617"/>
      <c r="UY100" s="2617"/>
      <c r="UZ100" s="2617"/>
      <c r="VB100" s="2617"/>
      <c r="VC100" s="2617"/>
      <c r="VD100" s="2617"/>
      <c r="VE100" s="2617"/>
      <c r="VF100" s="2617"/>
      <c r="VG100" s="2617"/>
      <c r="VH100" s="2617"/>
      <c r="VI100" s="2617"/>
      <c r="VJ100" s="2617"/>
      <c r="VK100" s="2617"/>
      <c r="VL100" s="2617"/>
      <c r="VM100" s="2617"/>
      <c r="VN100" s="2617"/>
      <c r="VO100" s="2617"/>
      <c r="VP100" s="2617"/>
      <c r="VQ100" s="2617"/>
      <c r="VR100" s="2617"/>
      <c r="VS100" s="2617"/>
      <c r="VT100" s="2617"/>
    </row>
    <row r="101" spans="2:630" x14ac:dyDescent="0.2">
      <c r="I101" s="5567"/>
      <c r="AH101" s="2617"/>
      <c r="AI101" s="2617"/>
      <c r="AJ101" s="2617"/>
      <c r="AK101" s="2617"/>
      <c r="AL101" s="2617"/>
      <c r="AM101" s="2617"/>
      <c r="AN101" s="2617"/>
      <c r="AO101" s="2617"/>
      <c r="AP101" s="2617"/>
      <c r="AQ101" s="2617"/>
      <c r="AR101" s="2617"/>
      <c r="AS101" s="2617"/>
      <c r="AT101" s="2617"/>
      <c r="AU101" s="2617"/>
      <c r="BB101" s="5163">
        <v>3</v>
      </c>
      <c r="BC101" s="211">
        <f>'Inn sprengning'!$AN$39</f>
        <v>0</v>
      </c>
      <c r="BD101" s="211">
        <f>'Inn sprengning'!$AN$41</f>
        <v>0</v>
      </c>
      <c r="BE101" s="211">
        <f>'Inn sprengning'!$AN$43</f>
        <v>0</v>
      </c>
      <c r="BF101" s="211">
        <f>'Inn sprengning'!$AN$52</f>
        <v>0</v>
      </c>
      <c r="BG101" s="211">
        <f>'Inn sprengning'!$AN$54</f>
        <v>0</v>
      </c>
      <c r="BH101" s="211">
        <f>'Inn sprengning'!$AN$56</f>
        <v>0</v>
      </c>
      <c r="BI101" s="211">
        <f>'Inn sprengning'!$AN$58</f>
        <v>0</v>
      </c>
      <c r="BJ101" s="211">
        <f>'Inn sprengning'!$AN$60</f>
        <v>0</v>
      </c>
      <c r="BK101" s="211">
        <f>'Inn sprengning'!$AN$62</f>
        <v>0</v>
      </c>
      <c r="BL101" s="211">
        <f>'Inn sprengning'!$AN$64</f>
        <v>0</v>
      </c>
      <c r="BM101" s="211">
        <f>'Inn sprengning'!$AN$66</f>
        <v>0</v>
      </c>
      <c r="BN101" s="211"/>
      <c r="BO101" s="211">
        <f>'Inn sprengning'!$AN$68</f>
        <v>0</v>
      </c>
      <c r="BP101" s="211">
        <f>IFERROR((INDEX(position_stuff[Normal],MATCH(BB101,position_stuff[Position],0))),0)</f>
        <v>0</v>
      </c>
      <c r="BQ101" s="211">
        <f>inputs_spreng[[#This Row],[Redusertsalvelengde]]+inputs_spreng[[#This Row],[Todelttverrsnitt]]+inputs_spreng[[#This Row],[Redusertsalvelengdeogtodelttverrsnitt]]</f>
        <v>0</v>
      </c>
      <c r="BR101" s="211">
        <f>IFERROR((INDEX(position_stuff[Totalvol],MATCH(BB101,position_stuff[Position],0))),0)</f>
        <v>0</v>
      </c>
      <c r="BS101" s="211">
        <f t="shared" si="193"/>
        <v>0</v>
      </c>
      <c r="BT101" s="211">
        <f>IF('Inn sprengning'!$AN$39="",0,1)</f>
        <v>0</v>
      </c>
      <c r="BU101" s="211">
        <f>IF('Inn sprengning'!$AN$41="",0,1)</f>
        <v>0</v>
      </c>
      <c r="BV101" s="211">
        <f>IF('Inn sprengning'!$AN$43="",0,1)</f>
        <v>0</v>
      </c>
      <c r="BW101" s="211">
        <f>IF(AND(inputs_spreng[[#This Row],[check]]=1,inputs_spreng[[#This Row],[check_red]]=1),1,0)</f>
        <v>0</v>
      </c>
      <c r="BX101" s="211">
        <f>IF(AND(inputs_spreng[[#This Row],[check]]=1,inputs_spreng[[#This Row],[check_todel]]=1),1,0)</f>
        <v>0</v>
      </c>
      <c r="BY101" s="211">
        <f>IF(AND(inputs_spreng[[#This Row],[check]]=1,inputs_spreng[[#This Row],[check_redtodel]]=1),1,0)</f>
        <v>0</v>
      </c>
      <c r="DV101" s="268" t="s">
        <v>132</v>
      </c>
      <c r="DW101" s="268">
        <f>_Kapasitet!U15</f>
        <v>60</v>
      </c>
      <c r="DX101" s="268">
        <f>_Kapasitet!U16</f>
        <v>1</v>
      </c>
      <c r="DY101" s="268">
        <f>_Kapasitet!U17</f>
        <v>1</v>
      </c>
      <c r="DZ101" s="268">
        <f>_Kapasitet!U19</f>
        <v>1</v>
      </c>
      <c r="EA101" s="268">
        <f>_Kapasitet!U20</f>
        <v>60</v>
      </c>
      <c r="EB101" s="268">
        <f>_Kapasitet!U21</f>
        <v>1500</v>
      </c>
      <c r="EC101" s="268">
        <f>_Kapasitet!U22</f>
        <v>60</v>
      </c>
      <c r="ED101" s="268">
        <f>_Kapasitet!U24</f>
        <v>1</v>
      </c>
      <c r="EE101" s="268">
        <f>_Kapasitet!U25</f>
        <v>90</v>
      </c>
      <c r="EF101" s="268">
        <f>_Kapasitet!U26</f>
        <v>1500</v>
      </c>
      <c r="EG101" s="268">
        <f>_Kapasitet!U27</f>
        <v>60</v>
      </c>
      <c r="EH101" s="389" t="s">
        <v>425</v>
      </c>
      <c r="EI101" s="389"/>
      <c r="EJ101" s="389"/>
      <c r="EK101" s="185"/>
      <c r="HH101" s="185" t="str">
        <f>Tunneldrift!M95</f>
        <v>Lengde tverrslag</v>
      </c>
      <c r="HI101" s="185">
        <f>Tunneldrift!AD95</f>
        <v>0</v>
      </c>
      <c r="IH101" s="183" t="s">
        <v>2730</v>
      </c>
      <c r="KO101" s="407">
        <f t="shared" si="135"/>
        <v>82</v>
      </c>
      <c r="KP101" s="340" t="str">
        <f t="shared" si="191"/>
        <v>Stuff 2-4</v>
      </c>
      <c r="KQ101" s="5948" t="str">
        <f>IFERROR(INDEX(tunneldrift_vekseldrift[vekseldrift_lengde_final],MATCH(framdriftfaktor[[#This Row],[stuff_navn]],tunneldrift_vekseldrift[Stuff_navn],0))/INDEX(tunneldrift_vekseldrift[Input_stuff_lengde],MATCH(framdriftfaktor[[#This Row],[stuff_navn]],tunneldrift_vekseldrift[Stuff_navn],0)),"-")</f>
        <v>-</v>
      </c>
      <c r="KR101" s="340"/>
      <c r="KS101" s="241">
        <f t="shared" si="136"/>
        <v>0</v>
      </c>
      <c r="KT101" s="241">
        <f t="shared" si="137"/>
        <v>0</v>
      </c>
      <c r="KU101" s="241">
        <f t="shared" si="138"/>
        <v>0</v>
      </c>
      <c r="KV101" s="211" t="str">
        <f>IFERROR(framdriftfaktor[[#This Row],[sprengning_tid_hr]]*framdriftfaktor[[#This Row],[veksel_prosent]],"-")</f>
        <v>-</v>
      </c>
      <c r="KW101" s="211" t="str">
        <f>IFERROR(framdriftfaktor[[#This Row],[stabilitets_tid_hr]]*framdriftfaktor[[#This Row],[veksel_prosent]],"-")</f>
        <v>-</v>
      </c>
      <c r="KX101" s="211" t="str">
        <f>IFERROR(framdriftfaktor[[#This Row],[foran_tid_hr]]*framdriftfaktor[[#This Row],[veksel_prosent]],"-")</f>
        <v>-</v>
      </c>
      <c r="KY101" s="5968">
        <f>IFERROR((framdriftfaktor[[#This Row],[stabilitets_tid_hr_veksel_del]]+framdriftfaktor[[#This Row],[foran_tid_hr_veksel_del]]+KW97+KX97)/(framdriftfaktor[[#This Row],[sprengning_tid_hr_veksel_del]]+KV97),0)</f>
        <v>0</v>
      </c>
      <c r="KZ101" s="5343"/>
      <c r="LA101" s="5342" t="str">
        <f>IF(framdriftfaktor[[#This Row],[stab-foran_spreng_ratio]]&lt;$LL$90,$LJ$90,IF(AND(framdriftfaktor[[#This Row],[stab-foran_spreng_ratio]]&gt;=$LK$91,framdriftfaktor[[#This Row],[stab-foran_spreng_ratio]]&lt;$LL$91),$LJ$91,IF(framdriftfaktor[[#This Row],[stab-foran_spreng_ratio]]&gt;=$LK$92,$LJ$92,"!")))</f>
        <v>Lite</v>
      </c>
      <c r="LB101" s="5343">
        <f>IF(framdriftfaktor[[#This Row],[rating_stab-foran]]=$LJ$90,$LM$90+$LO$90*framdriftfaktor[[#This Row],[stab-foran_spreng_ratio]],IF(framdriftfaktor[[#This Row],[rating_stab-foran]]=$LJ$91,$LM$91+((framdriftfaktor[[#This Row],[stab-foran_spreng_ratio]]-$LK$91)*$LO$91),IF(framdriftfaktor[[#This Row],[rating_stab-foran]]=$LJ$92,$LM$92)))</f>
        <v>1.3</v>
      </c>
      <c r="LC101" s="5342">
        <f>framdriftfaktor[[#This Row],[beregnet_faktor_stab-foran]]</f>
        <v>1.3</v>
      </c>
      <c r="LD101" s="5344"/>
      <c r="RC101" s="181"/>
      <c r="RD101" s="181"/>
      <c r="RE101" s="181"/>
      <c r="RF101" s="181"/>
      <c r="RG101" s="181"/>
      <c r="RH101" s="181"/>
      <c r="RI101" s="181"/>
      <c r="RJ101" s="181"/>
      <c r="RK101" s="181"/>
      <c r="RL101" s="2617"/>
      <c r="RM101" s="2617"/>
      <c r="RN101" s="2617"/>
      <c r="RO101" s="2617"/>
      <c r="RP101" s="2617"/>
      <c r="RQ101" s="2617"/>
      <c r="RR101" s="2617"/>
      <c r="RS101" s="2617"/>
      <c r="RT101" s="2617"/>
      <c r="RU101" s="2617"/>
      <c r="RV101" s="2617"/>
      <c r="RW101" s="2617"/>
      <c r="RX101" s="2617"/>
      <c r="RY101" s="2617"/>
      <c r="RZ101" s="2617"/>
      <c r="SA101" s="2617"/>
      <c r="SB101" s="2617"/>
      <c r="SC101" s="2617"/>
      <c r="SD101" s="2617"/>
      <c r="SE101" s="2617"/>
      <c r="SF101" s="2617"/>
      <c r="SG101" s="2617"/>
      <c r="SH101" s="2617"/>
      <c r="SI101" s="2617"/>
      <c r="SJ101" s="2617"/>
      <c r="SK101" s="2617"/>
      <c r="SL101" s="2617"/>
      <c r="SM101" s="2617"/>
      <c r="SN101" s="2617"/>
      <c r="SO101" s="2617"/>
      <c r="SP101" s="2617"/>
      <c r="SQ101" s="2617"/>
      <c r="SR101" s="2617"/>
      <c r="SS101" s="2617"/>
      <c r="ST101" s="2617"/>
      <c r="SU101" s="2617"/>
      <c r="SV101" s="2617"/>
      <c r="SW101" s="2617"/>
      <c r="SX101" s="2617"/>
      <c r="SY101" s="2617"/>
      <c r="SZ101" s="2617"/>
      <c r="TA101" s="2617"/>
      <c r="TB101" s="2617"/>
      <c r="TC101" s="2617"/>
      <c r="TD101" s="2617"/>
      <c r="TE101" s="2617"/>
      <c r="TF101" s="2617"/>
      <c r="TG101" s="2617"/>
      <c r="TH101" s="2617"/>
      <c r="TI101" s="2617"/>
      <c r="TJ101" s="2617"/>
      <c r="TK101" s="2617"/>
      <c r="TL101" s="2617"/>
      <c r="TM101" s="2617"/>
      <c r="TN101" s="2617"/>
      <c r="TO101" s="2617"/>
      <c r="TP101" s="2617"/>
      <c r="TQ101" s="2617"/>
      <c r="TS101" s="2617"/>
      <c r="TT101" s="2617"/>
      <c r="TU101" s="2617"/>
      <c r="TV101" s="2617"/>
      <c r="TW101" s="2617"/>
      <c r="UB101" s="2617"/>
      <c r="UC101" s="2617"/>
      <c r="UD101" s="2617"/>
      <c r="UE101" s="2617"/>
      <c r="UF101" s="2617"/>
      <c r="UG101" s="2617"/>
      <c r="UH101" s="2617"/>
      <c r="UI101" s="2617"/>
      <c r="UJ101" s="2617"/>
      <c r="UK101" s="2617"/>
      <c r="UL101" s="2617"/>
      <c r="UM101" s="2617"/>
      <c r="UN101" s="2617"/>
      <c r="UO101" s="2617"/>
      <c r="UP101" s="2617"/>
      <c r="UQ101" s="2617"/>
      <c r="UR101" s="2617"/>
      <c r="US101" s="2617"/>
      <c r="UT101" s="2617"/>
      <c r="UU101" s="2617"/>
      <c r="UV101" s="2617"/>
      <c r="UW101" s="2617"/>
      <c r="UX101" s="2617"/>
      <c r="UY101" s="2617"/>
      <c r="UZ101" s="2617"/>
      <c r="VB101" s="2617"/>
      <c r="VC101" s="2617"/>
      <c r="VD101" s="2617"/>
      <c r="VE101" s="2617"/>
      <c r="VF101" s="2617"/>
      <c r="VG101" s="2617"/>
      <c r="VH101" s="2617"/>
      <c r="VI101" s="2617"/>
      <c r="VJ101" s="2617"/>
      <c r="VK101" s="2617"/>
      <c r="VL101" s="2617"/>
      <c r="VM101" s="2617"/>
      <c r="VN101" s="2617"/>
      <c r="VO101" s="2617"/>
      <c r="VP101" s="2617"/>
      <c r="VQ101" s="2617"/>
      <c r="VR101" s="2617"/>
      <c r="VS101" s="2617"/>
      <c r="VT101" s="2617"/>
    </row>
    <row r="102" spans="2:630" ht="15" thickBot="1" x14ac:dyDescent="0.25">
      <c r="I102" s="5567"/>
      <c r="AH102" s="2617"/>
      <c r="AI102" s="2617"/>
      <c r="AJ102" s="2617"/>
      <c r="AK102" s="2617"/>
      <c r="AL102" s="2617"/>
      <c r="AM102" s="2617"/>
      <c r="AN102" s="2617"/>
      <c r="AO102" s="2617"/>
      <c r="AP102" s="2617"/>
      <c r="AQ102" s="2617"/>
      <c r="AR102" s="2617"/>
      <c r="AS102" s="2617"/>
      <c r="AT102" s="2617"/>
      <c r="AU102" s="2617"/>
      <c r="BB102" s="5163">
        <v>4</v>
      </c>
      <c r="BC102" s="211">
        <f>'Inn sprengning'!$AV$39</f>
        <v>0</v>
      </c>
      <c r="BD102" s="211">
        <f>'Inn sprengning'!$AV$41</f>
        <v>0</v>
      </c>
      <c r="BE102" s="211">
        <f>'Inn sprengning'!$AV$43</f>
        <v>0</v>
      </c>
      <c r="BF102" s="211">
        <f>'Inn sprengning'!$AV$52</f>
        <v>0</v>
      </c>
      <c r="BG102" s="211">
        <f>'Inn sprengning'!$AV$54</f>
        <v>0</v>
      </c>
      <c r="BH102" s="211">
        <f>'Inn sprengning'!$AV$56</f>
        <v>0</v>
      </c>
      <c r="BI102" s="211">
        <f>'Inn sprengning'!$AV$58</f>
        <v>0</v>
      </c>
      <c r="BJ102" s="211">
        <f>'Inn sprengning'!$AV$60</f>
        <v>0</v>
      </c>
      <c r="BK102" s="211">
        <f>'Inn sprengning'!$AV$62</f>
        <v>0</v>
      </c>
      <c r="BL102" s="211">
        <f>'Inn sprengning'!$AV$64</f>
        <v>0</v>
      </c>
      <c r="BM102" s="211">
        <f>'Inn sprengning'!$AV$66</f>
        <v>0</v>
      </c>
      <c r="BN102" s="211"/>
      <c r="BO102" s="211">
        <f>'Inn sprengning'!$AV$68</f>
        <v>0</v>
      </c>
      <c r="BP102" s="211">
        <f>IFERROR((INDEX(position_stuff[Normal],MATCH(BB102,position_stuff[Position],0))),0)</f>
        <v>0</v>
      </c>
      <c r="BQ102" s="211">
        <f>inputs_spreng[[#This Row],[Redusertsalvelengde]]+inputs_spreng[[#This Row],[Todelttverrsnitt]]+inputs_spreng[[#This Row],[Redusertsalvelengdeogtodelttverrsnitt]]</f>
        <v>0</v>
      </c>
      <c r="BR102" s="211">
        <f>IFERROR((INDEX(position_stuff[Totalvol],MATCH(BB102,position_stuff[Position],0))),0)</f>
        <v>0</v>
      </c>
      <c r="BS102" s="211">
        <f t="shared" si="193"/>
        <v>0</v>
      </c>
      <c r="BT102" s="211">
        <f>IF('Inn sprengning'!$AV$39="",0,1)</f>
        <v>0</v>
      </c>
      <c r="BU102" s="211">
        <f>IF('Inn sprengning'!$AV$41="",0,1)</f>
        <v>0</v>
      </c>
      <c r="BV102" s="211">
        <f>IF('Inn sprengning'!$AV$43="",0,1)</f>
        <v>0</v>
      </c>
      <c r="BW102" s="211">
        <f>IF(AND(inputs_spreng[[#This Row],[check]]=1,inputs_spreng[[#This Row],[check_red]]=1),1,0)</f>
        <v>0</v>
      </c>
      <c r="BX102" s="211">
        <f>IF(AND(inputs_spreng[[#This Row],[check]]=1,inputs_spreng[[#This Row],[check_todel]]=1),1,0)</f>
        <v>0</v>
      </c>
      <c r="BY102" s="211">
        <f>IF(AND(inputs_spreng[[#This Row],[check]]=1,inputs_spreng[[#This Row],[check_redtodel]]=1),1,0)</f>
        <v>0</v>
      </c>
      <c r="DR102" s="237" t="s">
        <v>257</v>
      </c>
      <c r="DS102" s="237" t="s">
        <v>283</v>
      </c>
      <c r="DT102" s="237" t="s">
        <v>284</v>
      </c>
      <c r="DU102" s="269" t="s">
        <v>285</v>
      </c>
      <c r="DV102" s="194" t="s">
        <v>48</v>
      </c>
      <c r="DW102" s="185" t="s">
        <v>0</v>
      </c>
      <c r="DX102" s="185" t="s">
        <v>1</v>
      </c>
      <c r="DY102" s="185" t="s">
        <v>2</v>
      </c>
      <c r="DZ102" s="185" t="s">
        <v>300</v>
      </c>
      <c r="EA102" s="185" t="s">
        <v>301</v>
      </c>
      <c r="EB102" s="185" t="s">
        <v>302</v>
      </c>
      <c r="EC102" s="185" t="s">
        <v>303</v>
      </c>
      <c r="ED102" s="185" t="s">
        <v>304</v>
      </c>
      <c r="EE102" s="185" t="s">
        <v>305</v>
      </c>
      <c r="EF102" s="185" t="s">
        <v>306</v>
      </c>
      <c r="EG102" s="185" t="s">
        <v>307</v>
      </c>
      <c r="EH102" s="390" t="s">
        <v>319</v>
      </c>
      <c r="EI102" s="391" t="s">
        <v>423</v>
      </c>
      <c r="EJ102" s="391" t="s">
        <v>424</v>
      </c>
      <c r="EK102" s="185" t="s">
        <v>564</v>
      </c>
      <c r="IR102" s="251"/>
      <c r="IS102" s="251"/>
      <c r="IT102" s="251"/>
      <c r="IU102" s="251"/>
      <c r="KO102" s="5952">
        <f t="shared" si="135"/>
        <v>92</v>
      </c>
      <c r="KP102" s="5953" t="str">
        <f>KP93</f>
        <v>Tverrslag</v>
      </c>
      <c r="KQ102" s="5954" t="str">
        <f>IFERROR(INDEX(tunneldrift_vekseldrift[vekseldrift_lengde_final],MATCH(framdriftfaktor[[#This Row],[stuff_navn]],tunneldrift_vekseldrift[Stuff_navn],0))/INDEX(tunneldrift_vekseldrift[Input_stuff_lengde],MATCH(framdriftfaktor[[#This Row],[stuff_navn]],tunneldrift_vekseldrift[Stuff_navn],0)),"-")</f>
        <v>-</v>
      </c>
      <c r="KR102" s="5953"/>
      <c r="KS102" s="5955">
        <f t="shared" si="136"/>
        <v>0</v>
      </c>
      <c r="KT102" s="5955">
        <f t="shared" si="137"/>
        <v>0</v>
      </c>
      <c r="KU102" s="5955">
        <f t="shared" si="138"/>
        <v>0</v>
      </c>
      <c r="KV102" s="5956" t="str">
        <f>IFERROR(framdriftfaktor[[#This Row],[sprengning_tid_hr]]*framdriftfaktor[[#This Row],[veksel_prosent]],"-")</f>
        <v>-</v>
      </c>
      <c r="KW102" s="5956" t="str">
        <f>IFERROR(framdriftfaktor[[#This Row],[stabilitets_tid_hr]]*framdriftfaktor[[#This Row],[veksel_prosent]],"-")</f>
        <v>-</v>
      </c>
      <c r="KX102" s="5956" t="str">
        <f>IFERROR(framdriftfaktor[[#This Row],[foran_tid_hr]]*framdriftfaktor[[#This Row],[veksel_prosent]],"-")</f>
        <v>-</v>
      </c>
      <c r="KY102" s="5969">
        <f>IFERROR((framdriftfaktor[[#This Row],[stabilitets_tid_hr]]+framdriftfaktor[[#This Row],[foran_tid_hr]])/framdriftfaktor[[#This Row],[sprengning_tid_hr]],0)</f>
        <v>0</v>
      </c>
      <c r="KZ102" s="5964"/>
      <c r="LA102" s="5965" t="str">
        <f>IF(framdriftfaktor[[#This Row],[stab-foran_spreng_ratio]]&lt;$LL$90,$LJ$90,IF(AND(framdriftfaktor[[#This Row],[stab-foran_spreng_ratio]]&gt;=$LK$91,framdriftfaktor[[#This Row],[stab-foran_spreng_ratio]]&lt;$LL$91),$LJ$91,IF(framdriftfaktor[[#This Row],[stab-foran_spreng_ratio]]&gt;=$LK$92,$LJ$92,"!")))</f>
        <v>Lite</v>
      </c>
      <c r="LB102" s="5964">
        <f>IF(framdriftfaktor[[#This Row],[rating_stab-foran]]=$LJ$90,$LM$90+$LO$90*framdriftfaktor[[#This Row],[stab-foran_spreng_ratio]],IF(framdriftfaktor[[#This Row],[rating_stab-foran]]=$LJ$91,$LM$91+((framdriftfaktor[[#This Row],[stab-foran_spreng_ratio]]-$LK$91)*$LO$91),IF(framdriftfaktor[[#This Row],[rating_stab-foran]]=$LJ$92,$LM$92)))</f>
        <v>1.3</v>
      </c>
      <c r="LC102" s="5965">
        <f>framdriftfaktor[[#This Row],[beregnet_faktor_stab-foran]]</f>
        <v>1.3</v>
      </c>
      <c r="LD102" s="5966"/>
      <c r="LE102" s="5960"/>
      <c r="LF102" s="5960"/>
      <c r="LG102" s="5960"/>
      <c r="OM102" s="435"/>
      <c r="ON102" s="435"/>
      <c r="OO102" s="435"/>
      <c r="OP102" s="435"/>
      <c r="OQ102" s="435"/>
      <c r="OR102" s="435"/>
      <c r="OS102" s="435"/>
      <c r="OT102" s="435"/>
      <c r="OU102" s="435"/>
      <c r="OV102" s="435"/>
      <c r="OW102" s="435"/>
      <c r="OX102" s="435"/>
      <c r="OY102" s="435"/>
      <c r="OZ102" s="435"/>
      <c r="PA102" s="435"/>
      <c r="PB102" s="435"/>
      <c r="PC102" s="435"/>
      <c r="PD102" s="435"/>
      <c r="PE102" s="435"/>
      <c r="PQ102" s="4231" t="s">
        <v>2026</v>
      </c>
      <c r="PR102" s="4231" t="s">
        <v>2026</v>
      </c>
      <c r="RC102" s="181"/>
      <c r="RD102" s="181"/>
      <c r="RE102" s="181"/>
      <c r="RF102" s="181"/>
      <c r="RG102" s="181"/>
      <c r="RH102" s="181"/>
      <c r="RI102" s="181"/>
      <c r="RJ102" s="181"/>
      <c r="RK102" s="181"/>
      <c r="RL102" s="2617"/>
      <c r="RM102" s="2617"/>
      <c r="RN102" s="2617"/>
      <c r="RO102" s="2617"/>
      <c r="RP102" s="2617"/>
      <c r="RQ102" s="2617"/>
      <c r="RR102" s="2617"/>
      <c r="RS102" s="2617"/>
      <c r="RT102" s="2617"/>
      <c r="RU102" s="2617"/>
      <c r="RV102" s="2617"/>
      <c r="RW102" s="2617"/>
      <c r="RX102" s="2617"/>
      <c r="RY102" s="2617"/>
      <c r="RZ102" s="2617"/>
      <c r="SA102" s="2617"/>
      <c r="SB102" s="2617"/>
      <c r="SC102" s="2617"/>
      <c r="SD102" s="2617"/>
      <c r="SE102" s="2617"/>
      <c r="SF102" s="2617"/>
      <c r="SG102" s="2617"/>
      <c r="SH102" s="2617"/>
      <c r="SI102" s="2617"/>
      <c r="SJ102" s="2617"/>
      <c r="SK102" s="2617"/>
      <c r="SL102" s="2617"/>
      <c r="SM102" s="2617"/>
      <c r="SN102" s="2617"/>
      <c r="SO102" s="2617"/>
      <c r="SP102" s="2617"/>
      <c r="SQ102" s="2617"/>
      <c r="SR102" s="2617"/>
      <c r="SS102" s="2617"/>
      <c r="ST102" s="2617"/>
      <c r="SU102" s="2617"/>
      <c r="SV102" s="2617"/>
      <c r="SW102" s="2617"/>
      <c r="SX102" s="2617"/>
      <c r="SY102" s="2617"/>
      <c r="SZ102" s="2617"/>
      <c r="TA102" s="2617"/>
      <c r="TB102" s="2617"/>
      <c r="TC102" s="2617"/>
      <c r="TD102" s="2617"/>
      <c r="TE102" s="2617"/>
      <c r="TF102" s="2617"/>
      <c r="TG102" s="2617"/>
      <c r="TH102" s="2617"/>
      <c r="TI102" s="2617"/>
      <c r="TJ102" s="2617"/>
      <c r="TK102" s="2617"/>
      <c r="TL102" s="2617"/>
      <c r="TM102" s="2617"/>
      <c r="TN102" s="2617"/>
      <c r="TO102" s="2617"/>
      <c r="TP102" s="2617"/>
      <c r="TQ102" s="2617"/>
      <c r="TS102" s="2617"/>
      <c r="TT102" s="2617"/>
      <c r="TU102" s="2617"/>
      <c r="TV102" s="2617"/>
      <c r="TW102" s="2617"/>
      <c r="UB102" s="2617"/>
      <c r="UC102" s="2617"/>
      <c r="UD102" s="2617"/>
      <c r="UE102" s="2617"/>
      <c r="UF102" s="2617"/>
      <c r="UG102" s="2617"/>
      <c r="UH102" s="2617"/>
      <c r="UI102" s="2617"/>
      <c r="UJ102" s="2617"/>
      <c r="UK102" s="2617"/>
      <c r="UL102" s="2617"/>
      <c r="UM102" s="2617"/>
      <c r="UN102" s="2617"/>
      <c r="UO102" s="2617"/>
      <c r="UP102" s="2617"/>
      <c r="UQ102" s="2617"/>
      <c r="UR102" s="2617"/>
      <c r="US102" s="2617"/>
      <c r="UT102" s="2617"/>
      <c r="UU102" s="2617"/>
      <c r="UV102" s="2617"/>
      <c r="UW102" s="2617"/>
      <c r="UX102" s="2617"/>
      <c r="UY102" s="2617"/>
      <c r="UZ102" s="2617"/>
      <c r="VB102" s="2617"/>
      <c r="VC102" s="2617"/>
      <c r="VD102" s="2617"/>
      <c r="VE102" s="2617"/>
      <c r="VF102" s="2617"/>
      <c r="VG102" s="2617"/>
      <c r="VH102" s="2617"/>
      <c r="VI102" s="2617"/>
      <c r="VJ102" s="2617"/>
      <c r="VK102" s="2617"/>
      <c r="VL102" s="2617"/>
      <c r="VM102" s="2617"/>
      <c r="VN102" s="2617"/>
      <c r="VO102" s="2617"/>
      <c r="VP102" s="2617"/>
      <c r="VQ102" s="2617"/>
      <c r="VR102" s="2617"/>
      <c r="VS102" s="2617"/>
      <c r="VT102" s="2617"/>
    </row>
    <row r="103" spans="2:630" ht="31.5" thickTop="1" x14ac:dyDescent="0.2">
      <c r="I103" s="5567"/>
      <c r="AH103" s="2617"/>
      <c r="AI103" s="2617"/>
      <c r="AJ103" s="2617"/>
      <c r="AK103" s="2617"/>
      <c r="AL103" s="2617"/>
      <c r="AM103" s="2617"/>
      <c r="AN103" s="2617"/>
      <c r="AO103" s="2617"/>
      <c r="AP103" s="2617"/>
      <c r="AQ103" s="2617"/>
      <c r="AR103" s="2617"/>
      <c r="AS103" s="2617"/>
      <c r="AT103" s="2617"/>
      <c r="AU103" s="2617"/>
      <c r="BB103" s="5163">
        <v>5</v>
      </c>
      <c r="BC103" s="211">
        <f>'Inn sprengning'!$BD$39</f>
        <v>0</v>
      </c>
      <c r="BD103" s="211">
        <f>'Inn sprengning'!$BD$41</f>
        <v>0</v>
      </c>
      <c r="BE103" s="211">
        <f>'Inn sprengning'!$BD$43</f>
        <v>0</v>
      </c>
      <c r="BF103" s="211">
        <f>'Inn sprengning'!$BD$52</f>
        <v>0</v>
      </c>
      <c r="BG103" s="211">
        <f>'Inn sprengning'!$BD$54</f>
        <v>0</v>
      </c>
      <c r="BH103" s="211">
        <f>'Inn sprengning'!$BD$56</f>
        <v>0</v>
      </c>
      <c r="BI103" s="211">
        <f>'Inn sprengning'!$BD$58</f>
        <v>0</v>
      </c>
      <c r="BJ103" s="211">
        <f>'Inn sprengning'!$BD$60</f>
        <v>0</v>
      </c>
      <c r="BK103" s="211">
        <f>'Inn sprengning'!$BD$62</f>
        <v>0</v>
      </c>
      <c r="BL103" s="211">
        <f>'Inn sprengning'!$BD$64</f>
        <v>0</v>
      </c>
      <c r="BM103" s="211">
        <f>'Inn sprengning'!$BD$66</f>
        <v>0</v>
      </c>
      <c r="BN103" s="211"/>
      <c r="BO103" s="211">
        <f>'Inn sprengning'!$BD$68</f>
        <v>0</v>
      </c>
      <c r="BP103" s="211">
        <f>IFERROR((INDEX(position_stuff[Normal],MATCH(BB103,position_stuff[Position],0))),0)</f>
        <v>0</v>
      </c>
      <c r="BQ103" s="211">
        <f>inputs_spreng[[#This Row],[Redusertsalvelengde]]+inputs_spreng[[#This Row],[Todelttverrsnitt]]+inputs_spreng[[#This Row],[Redusertsalvelengdeogtodelttverrsnitt]]</f>
        <v>0</v>
      </c>
      <c r="BR103" s="211">
        <f>IFERROR((INDEX(position_stuff[Totalvol],MATCH(BB103,position_stuff[Position],0))),0)</f>
        <v>0</v>
      </c>
      <c r="BS103" s="211">
        <f t="shared" si="193"/>
        <v>0</v>
      </c>
      <c r="BT103" s="211">
        <f>IF('Inn sprengning'!$BD$39="",0,1)</f>
        <v>0</v>
      </c>
      <c r="BU103" s="211">
        <f>IF('Inn sprengning'!$BD$41="",0,1)</f>
        <v>0</v>
      </c>
      <c r="BV103" s="211">
        <f>IF('Inn sprengning'!$BD$43="",0,1)</f>
        <v>0</v>
      </c>
      <c r="BW103" s="211">
        <f>IF(AND(inputs_spreng[[#This Row],[check]]=1,inputs_spreng[[#This Row],[check_red]]=1),1,0)</f>
        <v>0</v>
      </c>
      <c r="BX103" s="211">
        <f>IF(AND(inputs_spreng[[#This Row],[check]]=1,inputs_spreng[[#This Row],[check_todel]]=1),1,0)</f>
        <v>0</v>
      </c>
      <c r="BY103" s="211">
        <f>IF(AND(inputs_spreng[[#This Row],[check]]=1,inputs_spreng[[#This Row],[check_redtodel]]=1),1,0)</f>
        <v>0</v>
      </c>
      <c r="DR103" s="185" t="str">
        <f>$K$89</f>
        <v>Hele tunnelen</v>
      </c>
      <c r="DS103" s="188">
        <f>IF($BC$38=1,1,0)</f>
        <v>0</v>
      </c>
      <c r="DT103" s="185">
        <f>IF($BC$38=1,1,0)</f>
        <v>0</v>
      </c>
      <c r="DU103" s="194">
        <f>IF(DT103=1,DS103,IF(DT103=0,0))</f>
        <v>0</v>
      </c>
      <c r="DV103" s="238" t="str">
        <f>DR103</f>
        <v>Hele tunnelen</v>
      </c>
      <c r="DW103" s="241">
        <f>DW51/$DW$101</f>
        <v>0</v>
      </c>
      <c r="DX103" s="241">
        <f>DX51/$DX$101</f>
        <v>0</v>
      </c>
      <c r="DY103" s="241">
        <f>DY51/$DY$101</f>
        <v>0</v>
      </c>
      <c r="DZ103" s="241">
        <f>DZ51/$DZ$101</f>
        <v>0</v>
      </c>
      <c r="EA103" s="241">
        <f>EA51/$EA$101</f>
        <v>0</v>
      </c>
      <c r="EB103" s="241">
        <f>EB51/$EB$101</f>
        <v>0</v>
      </c>
      <c r="EC103" s="241"/>
      <c r="ED103" s="241">
        <f>ED51/$ED$101</f>
        <v>0</v>
      </c>
      <c r="EE103" s="241">
        <f>EE51/$EE$101</f>
        <v>0</v>
      </c>
      <c r="EF103" s="241">
        <f>EF51/$EF$101</f>
        <v>0</v>
      </c>
      <c r="EG103" s="241"/>
      <c r="EH103" s="392">
        <f>DW103+DX103+DY103+DZ103+EA103+EB103+EC103+ED103+EE103+EF103+EG103</f>
        <v>0</v>
      </c>
      <c r="EI103" s="392">
        <f>outputs_foran[[#This Row],[Sonderboring]]+outputs_foran[[#This Row],[Kjerneboring]]+outputs_foran[[#This Row],[Seismikk]]</f>
        <v>0</v>
      </c>
      <c r="EJ103" s="392">
        <f>outputs_foran[[#This Row],[sp_Rigg]]+outputs_foran[[#This Row],[sp_Boring]]+outputs_foran[[#This Row],[Sp_Injeksjon]]+outputs_foran[[#This Row],[sp_Kontrollhull]]+outputs_foran[[#This Row],[sy_Rigg]]+outputs_foran[[#This Row],[sy_Boring]]+outputs_foran[[#This Row],[sy_Injeksjon]]+outputs_foran[[#This Row],[sy_Kontrollhull]]</f>
        <v>0</v>
      </c>
      <c r="EK103" s="241">
        <f>outputs_foran[[#This Row],[total_tid]]/$AI$80</f>
        <v>0</v>
      </c>
      <c r="EL103" s="210"/>
      <c r="ER103" s="326" t="s">
        <v>110</v>
      </c>
      <c r="ES103" s="327"/>
      <c r="ET103" s="327"/>
      <c r="EU103" s="327"/>
      <c r="EV103" s="327"/>
      <c r="EW103" s="327"/>
      <c r="IH103" s="1765" t="s">
        <v>2714</v>
      </c>
      <c r="II103" s="3402"/>
      <c r="IJ103" s="3402"/>
      <c r="IR103" s="251"/>
      <c r="IS103" s="251"/>
      <c r="IT103" s="251"/>
      <c r="IU103" s="251"/>
      <c r="KO103" s="443" t="str">
        <f t="shared" si="135"/>
        <v>klasse_1</v>
      </c>
      <c r="KP103" s="475" t="str">
        <f>$QO$135</f>
        <v>Stuff 1-1</v>
      </c>
      <c r="KQ103" s="5276" t="str">
        <f>IFERROR(INDEX(tunneldrift_vekseldrift[vekseldrift_lengde_final],MATCH(framdriftfaktor[[#This Row],[stuff_navn]],tunneldrift_vekseldrift[Stuff_navn],0))/INDEX(tunneldrift_vekseldrift[Input_stuff_lengde],MATCH(framdriftfaktor[[#This Row],[stuff_navn]],tunneldrift_vekseldrift[Stuff_navn],0)),"-")</f>
        <v>-</v>
      </c>
      <c r="KR103" s="475"/>
      <c r="KS103" s="486">
        <f t="shared" si="136"/>
        <v>0</v>
      </c>
      <c r="KT103" s="486">
        <f t="shared" si="137"/>
        <v>0</v>
      </c>
      <c r="KU103" s="486">
        <f t="shared" si="138"/>
        <v>0</v>
      </c>
      <c r="KV103" s="431" t="str">
        <f>IFERROR(framdriftfaktor[[#This Row],[sprengning_tid_hr]]*framdriftfaktor[[#This Row],[veksel_prosent]],"-")</f>
        <v>-</v>
      </c>
      <c r="KW103" s="431" t="str">
        <f>IFERROR(framdriftfaktor[[#This Row],[stabilitets_tid_hr]]*framdriftfaktor[[#This Row],[veksel_prosent]],"-")</f>
        <v>-</v>
      </c>
      <c r="KX103" s="431" t="str">
        <f>IFERROR(framdriftfaktor[[#This Row],[foran_tid_hr]]*framdriftfaktor[[#This Row],[veksel_prosent]],"-")</f>
        <v>-</v>
      </c>
      <c r="KY103" s="5961">
        <f>IFERROR((framdriftfaktor[[#This Row],[stabilitets_tid_hr_veksel_del]]+framdriftfaktor[[#This Row],[foran_tid_hr_veksel_del]]+KW107+KX107)/(framdriftfaktor[[#This Row],[sprengning_tid_hr_veksel_del]]+KV107),0)</f>
        <v>0</v>
      </c>
      <c r="KZ103" s="5962"/>
      <c r="LA103" s="486" t="str">
        <f>IF(framdriftfaktor[[#This Row],[stab-foran_spreng_ratio]]&lt;$LL$90,$LJ$90,IF(AND(framdriftfaktor[[#This Row],[stab-foran_spreng_ratio]]&gt;=$LK$91,framdriftfaktor[[#This Row],[stab-foran_spreng_ratio]]&lt;$LL$91),$LJ$91,IF(framdriftfaktor[[#This Row],[stab-foran_spreng_ratio]]&gt;=$LK$92,$LJ$92,"!")))</f>
        <v>Lite</v>
      </c>
      <c r="LB103" s="5962">
        <f>IF(framdriftfaktor[[#This Row],[rating_stab-foran]]=$LJ$90,$LM$90+$LO$90*framdriftfaktor[[#This Row],[stab-foran_spreng_ratio]],IF(framdriftfaktor[[#This Row],[rating_stab-foran]]=$LJ$91,$LM$91+((framdriftfaktor[[#This Row],[stab-foran_spreng_ratio]]-$LK$91)*$LO$91),IF(framdriftfaktor[[#This Row],[rating_stab-foran]]=$LJ$92,$LM$92)))</f>
        <v>1.3</v>
      </c>
      <c r="LC103" s="486">
        <f>framdriftfaktor[[#This Row],[beregnet_faktor_stab-foran]]</f>
        <v>1.3</v>
      </c>
      <c r="LD103" s="5963"/>
      <c r="LJ103" s="443" t="s">
        <v>285</v>
      </c>
      <c r="LK103" s="247" t="s">
        <v>2344</v>
      </c>
      <c r="LL103" s="315" t="s">
        <v>2345</v>
      </c>
      <c r="RC103" s="181"/>
      <c r="RD103" s="181"/>
      <c r="RE103" s="181"/>
      <c r="RF103" s="181"/>
      <c r="RG103" s="181"/>
      <c r="RH103" s="181"/>
      <c r="RI103" s="181"/>
      <c r="RJ103" s="181"/>
      <c r="RK103" s="181"/>
      <c r="RL103" s="2617"/>
      <c r="RM103" s="2617"/>
      <c r="RN103" s="2617"/>
      <c r="RO103" s="2617"/>
      <c r="RP103" s="2617"/>
      <c r="RQ103" s="2617"/>
      <c r="RR103" s="2617"/>
      <c r="RS103" s="2617"/>
      <c r="RT103" s="2617"/>
      <c r="RU103" s="2617"/>
      <c r="RV103" s="2617"/>
      <c r="RW103" s="2617"/>
      <c r="RX103" s="2617"/>
      <c r="RY103" s="2617"/>
      <c r="RZ103" s="2617"/>
      <c r="SA103" s="2617"/>
      <c r="SB103" s="2617"/>
      <c r="SC103" s="2617"/>
      <c r="SD103" s="2617"/>
      <c r="SE103" s="2617"/>
      <c r="SF103" s="2617"/>
      <c r="SG103" s="2617"/>
      <c r="SH103" s="2617"/>
      <c r="SI103" s="2617"/>
      <c r="SJ103" s="2617"/>
      <c r="SK103" s="2617"/>
      <c r="SL103" s="2617"/>
      <c r="SM103" s="2617"/>
      <c r="SN103" s="2617"/>
      <c r="SO103" s="2617"/>
      <c r="SP103" s="2617"/>
      <c r="SQ103" s="2617"/>
      <c r="SR103" s="2617"/>
      <c r="SS103" s="2617"/>
      <c r="ST103" s="2617"/>
      <c r="SU103" s="2617"/>
      <c r="SV103" s="2617"/>
      <c r="SW103" s="2617"/>
      <c r="SX103" s="2617"/>
      <c r="SY103" s="2617"/>
      <c r="SZ103" s="2617"/>
      <c r="TA103" s="2617"/>
      <c r="TB103" s="2617"/>
      <c r="TC103" s="2617"/>
      <c r="TD103" s="2617"/>
      <c r="TE103" s="2617"/>
      <c r="TF103" s="2617"/>
      <c r="TG103" s="2617"/>
      <c r="TH103" s="2617"/>
      <c r="TI103" s="2617"/>
      <c r="TJ103" s="2617"/>
      <c r="TK103" s="2617"/>
      <c r="TL103" s="2617"/>
      <c r="TM103" s="2617"/>
      <c r="TN103" s="2617"/>
      <c r="TO103" s="2617"/>
      <c r="TP103" s="2617"/>
      <c r="TQ103" s="2617"/>
      <c r="TS103" s="2617"/>
      <c r="TT103" s="2617"/>
      <c r="TU103" s="2617"/>
      <c r="TV103" s="2617"/>
      <c r="TW103" s="2617"/>
      <c r="UB103" s="2617"/>
      <c r="UC103" s="2617"/>
      <c r="UD103" s="2617"/>
      <c r="UE103" s="2617"/>
      <c r="UF103" s="2617"/>
      <c r="UG103" s="2617"/>
      <c r="UH103" s="2617"/>
      <c r="UI103" s="2617"/>
      <c r="UJ103" s="2617"/>
      <c r="UK103" s="2617"/>
      <c r="UL103" s="2617"/>
      <c r="UM103" s="2617"/>
      <c r="UN103" s="2617"/>
      <c r="UO103" s="2617"/>
      <c r="UP103" s="2617"/>
      <c r="UQ103" s="2617"/>
      <c r="UR103" s="2617"/>
      <c r="US103" s="2617"/>
      <c r="UT103" s="2617"/>
      <c r="UU103" s="2617"/>
      <c r="UV103" s="2617"/>
      <c r="UW103" s="2617"/>
      <c r="UX103" s="2617"/>
      <c r="UY103" s="2617"/>
      <c r="UZ103" s="2617"/>
      <c r="VB103" s="2617"/>
      <c r="VC103" s="2617"/>
      <c r="VD103" s="2617"/>
      <c r="VE103" s="2617"/>
      <c r="VF103" s="2617"/>
      <c r="VG103" s="2617"/>
      <c r="VH103" s="2617"/>
      <c r="VI103" s="2617"/>
      <c r="VJ103" s="2617"/>
      <c r="VK103" s="2617"/>
      <c r="VL103" s="2617"/>
      <c r="VM103" s="2617"/>
      <c r="VN103" s="2617"/>
      <c r="VO103" s="2617"/>
      <c r="VP103" s="2617"/>
      <c r="VQ103" s="2617"/>
      <c r="VR103" s="2617"/>
      <c r="VS103" s="2617"/>
      <c r="VT103" s="2617"/>
    </row>
    <row r="104" spans="2:630" x14ac:dyDescent="0.2">
      <c r="I104" s="5567"/>
      <c r="AH104" s="2617"/>
      <c r="AI104" s="2617"/>
      <c r="AJ104" s="2617"/>
      <c r="AK104" s="2617"/>
      <c r="AL104" s="2617"/>
      <c r="AM104" s="2617"/>
      <c r="AN104" s="2617"/>
      <c r="AO104" s="2617"/>
      <c r="AP104" s="2617"/>
      <c r="AQ104" s="2617"/>
      <c r="AR104" s="2617"/>
      <c r="AS104" s="2617"/>
      <c r="AT104" s="2617"/>
      <c r="AU104" s="2617"/>
      <c r="BA104" s="435"/>
      <c r="BB104" s="5163">
        <v>6</v>
      </c>
      <c r="BC104" s="211">
        <f>'Inn sprengning'!$BL$39</f>
        <v>0</v>
      </c>
      <c r="BD104" s="211">
        <f>'Inn sprengning'!$BL$41</f>
        <v>0</v>
      </c>
      <c r="BE104" s="211">
        <f>'Inn sprengning'!$BL$43</f>
        <v>0</v>
      </c>
      <c r="BF104" s="211">
        <f>'Inn sprengning'!$BL$52</f>
        <v>0</v>
      </c>
      <c r="BG104" s="211">
        <f>'Inn sprengning'!$BL$54</f>
        <v>0</v>
      </c>
      <c r="BH104" s="211">
        <f>'Inn sprengning'!$BL$56</f>
        <v>0</v>
      </c>
      <c r="BI104" s="211">
        <f>'Inn sprengning'!$BL$58</f>
        <v>0</v>
      </c>
      <c r="BJ104" s="211">
        <f>'Inn sprengning'!$BL$60</f>
        <v>0</v>
      </c>
      <c r="BK104" s="211">
        <f>'Inn sprengning'!$BL$62</f>
        <v>0</v>
      </c>
      <c r="BL104" s="211">
        <f>'Inn sprengning'!$BL$64</f>
        <v>0</v>
      </c>
      <c r="BM104" s="211">
        <f>'Inn sprengning'!$BL$66</f>
        <v>0</v>
      </c>
      <c r="BN104" s="211"/>
      <c r="BO104" s="211">
        <f>'Inn sprengning'!$BL$68</f>
        <v>0</v>
      </c>
      <c r="BP104" s="211">
        <f>IFERROR((INDEX(position_stuff[Normal],MATCH(BB104,position_stuff[Position],0))),0)</f>
        <v>0</v>
      </c>
      <c r="BQ104" s="211">
        <f>inputs_spreng[[#This Row],[Redusertsalvelengde]]+inputs_spreng[[#This Row],[Todelttverrsnitt]]+inputs_spreng[[#This Row],[Redusertsalvelengdeogtodelttverrsnitt]]</f>
        <v>0</v>
      </c>
      <c r="BR104" s="211">
        <f>IFERROR((INDEX(position_stuff[Totalvol],MATCH(BB104,position_stuff[Position],0))),0)</f>
        <v>0</v>
      </c>
      <c r="BS104" s="211">
        <f t="shared" si="193"/>
        <v>0</v>
      </c>
      <c r="BT104" s="211">
        <f>IF('Inn sprengning'!$BL$39="",0,1)</f>
        <v>0</v>
      </c>
      <c r="BU104" s="211">
        <f>IF('Inn sprengning'!$BL$41="",0,1)</f>
        <v>0</v>
      </c>
      <c r="BV104" s="211">
        <f>IF('Inn sprengning'!$BL$43="",0,1)</f>
        <v>0</v>
      </c>
      <c r="BW104" s="211">
        <f>IF(AND(inputs_spreng[[#This Row],[check]]=1,inputs_spreng[[#This Row],[check_red]]=1),1,0)</f>
        <v>0</v>
      </c>
      <c r="BX104" s="211">
        <f>IF(AND(inputs_spreng[[#This Row],[check]]=1,inputs_spreng[[#This Row],[check_todel]]=1),1,0)</f>
        <v>0</v>
      </c>
      <c r="BY104" s="211">
        <f>IF(AND(inputs_spreng[[#This Row],[check]]=1,inputs_spreng[[#This Row],[check_redtodel]]=1),1,0)</f>
        <v>0</v>
      </c>
      <c r="DR104" s="185"/>
      <c r="DS104" s="188"/>
      <c r="DT104" s="185"/>
      <c r="DU104" s="194"/>
      <c r="DV104" s="194"/>
      <c r="DW104" s="241"/>
      <c r="DX104" s="241"/>
      <c r="DY104" s="241"/>
      <c r="DZ104" s="241"/>
      <c r="EA104" s="241"/>
      <c r="EB104" s="241"/>
      <c r="EC104" s="241"/>
      <c r="ED104" s="241"/>
      <c r="EE104" s="241"/>
      <c r="EF104" s="241"/>
      <c r="EG104" s="241"/>
      <c r="EH104" s="392"/>
      <c r="EI104" s="392"/>
      <c r="EJ104" s="392"/>
      <c r="EK104" s="241"/>
      <c r="EL104" s="210"/>
      <c r="KO104" s="407" t="str">
        <f t="shared" si="135"/>
        <v>klasse_2</v>
      </c>
      <c r="KP104" s="340" t="str">
        <f>$QP$135</f>
        <v>Stuff 1-2</v>
      </c>
      <c r="KQ104" s="5948" t="str">
        <f>IFERROR(INDEX(tunneldrift_vekseldrift[vekseldrift_lengde_final],MATCH(framdriftfaktor[[#This Row],[stuff_navn]],tunneldrift_vekseldrift[Stuff_navn],0))/INDEX(tunneldrift_vekseldrift[Input_stuff_lengde],MATCH(framdriftfaktor[[#This Row],[stuff_navn]],tunneldrift_vekseldrift[Stuff_navn],0)),"-")</f>
        <v>-</v>
      </c>
      <c r="KR104" s="340"/>
      <c r="KS104" s="241">
        <f t="shared" si="136"/>
        <v>0</v>
      </c>
      <c r="KT104" s="241">
        <f t="shared" si="137"/>
        <v>0</v>
      </c>
      <c r="KU104" s="241">
        <f t="shared" si="138"/>
        <v>0</v>
      </c>
      <c r="KV104" s="211" t="str">
        <f>IFERROR(framdriftfaktor[[#This Row],[sprengning_tid_hr]]*framdriftfaktor[[#This Row],[veksel_prosent]],"-")</f>
        <v>-</v>
      </c>
      <c r="KW104" s="211" t="str">
        <f>IFERROR(framdriftfaktor[[#This Row],[stabilitets_tid_hr]]*framdriftfaktor[[#This Row],[veksel_prosent]],"-")</f>
        <v>-</v>
      </c>
      <c r="KX104" s="211" t="str">
        <f>IFERROR(framdriftfaktor[[#This Row],[foran_tid_hr]]*framdriftfaktor[[#This Row],[veksel_prosent]],"-")</f>
        <v>-</v>
      </c>
      <c r="KY104" s="5348">
        <f>IFERROR((framdriftfaktor[[#This Row],[stabilitets_tid_hr_veksel_del]]+framdriftfaktor[[#This Row],[foran_tid_hr_veksel_del]]+KW108+KX108)/(framdriftfaktor[[#This Row],[sprengning_tid_hr_veksel_del]]+KV108),0)</f>
        <v>0</v>
      </c>
      <c r="KZ104" s="538"/>
      <c r="LA104" s="241" t="str">
        <f>IF(framdriftfaktor[[#This Row],[stab-foran_spreng_ratio]]&lt;$LL$90,$LJ$90,IF(AND(framdriftfaktor[[#This Row],[stab-foran_spreng_ratio]]&gt;=$LK$91,framdriftfaktor[[#This Row],[stab-foran_spreng_ratio]]&lt;$LL$91),$LJ$91,IF(framdriftfaktor[[#This Row],[stab-foran_spreng_ratio]]&gt;=$LK$92,$LJ$92,"!")))</f>
        <v>Lite</v>
      </c>
      <c r="LB104" s="538">
        <f>IF(framdriftfaktor[[#This Row],[rating_stab-foran]]=$LJ$90,$LM$90+$LO$90*framdriftfaktor[[#This Row],[stab-foran_spreng_ratio]],IF(framdriftfaktor[[#This Row],[rating_stab-foran]]=$LJ$91,$LM$91+((framdriftfaktor[[#This Row],[stab-foran_spreng_ratio]]-$LK$91)*$LO$91),IF(framdriftfaktor[[#This Row],[rating_stab-foran]]=$LJ$92,$LM$92)))</f>
        <v>1.3</v>
      </c>
      <c r="LC104" s="241">
        <f>framdriftfaktor[[#This Row],[beregnet_faktor_stab-foran]]</f>
        <v>1.3</v>
      </c>
      <c r="LD104" s="323"/>
      <c r="LJ104" s="5888">
        <v>1</v>
      </c>
      <c r="LK104" s="185" t="b">
        <f>ISBLANK('Inn justeringer'!$Y$30)</f>
        <v>1</v>
      </c>
      <c r="LL104" s="5310">
        <f>('Inn justeringer'!$Y$30)</f>
        <v>0</v>
      </c>
      <c r="RC104" s="181"/>
      <c r="RD104" s="181"/>
      <c r="RE104" s="181"/>
      <c r="RF104" s="181"/>
      <c r="RG104" s="181"/>
      <c r="RH104" s="181"/>
      <c r="RI104" s="181"/>
      <c r="RJ104" s="181"/>
      <c r="RK104" s="181"/>
      <c r="RL104" s="2617"/>
      <c r="RM104" s="2617"/>
      <c r="RN104" s="2617"/>
      <c r="RO104" s="2617"/>
      <c r="RP104" s="2617"/>
      <c r="RQ104" s="2617"/>
      <c r="RR104" s="2617"/>
      <c r="RS104" s="2617"/>
      <c r="RT104" s="2617"/>
      <c r="RU104" s="2617"/>
      <c r="RV104" s="2617"/>
      <c r="RW104" s="2617"/>
      <c r="RX104" s="2617"/>
      <c r="RY104" s="2617"/>
      <c r="RZ104" s="2617"/>
      <c r="SA104" s="2617"/>
      <c r="SB104" s="2617"/>
      <c r="SC104" s="2617"/>
      <c r="SD104" s="2617"/>
      <c r="SE104" s="2617"/>
      <c r="SF104" s="2617"/>
      <c r="SG104" s="2617"/>
      <c r="SH104" s="2617"/>
      <c r="SI104" s="2617"/>
      <c r="SJ104" s="2617"/>
      <c r="SK104" s="2617"/>
      <c r="SL104" s="2617"/>
      <c r="SM104" s="2617"/>
      <c r="SN104" s="2617"/>
      <c r="SO104" s="2617"/>
      <c r="SP104" s="2617"/>
      <c r="SQ104" s="2617"/>
      <c r="SR104" s="2617"/>
      <c r="SS104" s="2617"/>
      <c r="ST104" s="2617"/>
      <c r="SU104" s="2617"/>
      <c r="SV104" s="2617"/>
      <c r="SW104" s="2617"/>
      <c r="SX104" s="2617"/>
      <c r="SY104" s="2617"/>
      <c r="SZ104" s="2617"/>
      <c r="TA104" s="2617"/>
      <c r="TB104" s="2617"/>
      <c r="TC104" s="2617"/>
      <c r="TD104" s="2617"/>
      <c r="TE104" s="2617"/>
      <c r="TF104" s="2617"/>
      <c r="TG104" s="2617"/>
      <c r="TH104" s="2617"/>
      <c r="TI104" s="2617"/>
      <c r="TJ104" s="2617"/>
      <c r="TK104" s="2617"/>
      <c r="TL104" s="2617"/>
      <c r="TM104" s="2617"/>
      <c r="TN104" s="2617"/>
      <c r="TO104" s="2617"/>
      <c r="TP104" s="2617"/>
      <c r="TQ104" s="2617"/>
      <c r="TS104" s="2617"/>
      <c r="TT104" s="2617"/>
      <c r="TU104" s="2617"/>
      <c r="TV104" s="2617"/>
      <c r="TW104" s="2617"/>
      <c r="UB104" s="2617"/>
      <c r="UC104" s="2617"/>
      <c r="UD104" s="2617"/>
      <c r="UE104" s="2617"/>
      <c r="UF104" s="2617"/>
      <c r="UG104" s="2617"/>
      <c r="UH104" s="2617"/>
      <c r="UI104" s="2617"/>
      <c r="UJ104" s="2617"/>
      <c r="UK104" s="2617"/>
      <c r="UL104" s="2617"/>
      <c r="UM104" s="2617"/>
      <c r="UN104" s="2617"/>
      <c r="UO104" s="2617"/>
      <c r="UP104" s="2617"/>
      <c r="UQ104" s="2617"/>
      <c r="UR104" s="2617"/>
      <c r="US104" s="2617"/>
      <c r="UT104" s="2617"/>
      <c r="UU104" s="2617"/>
      <c r="UV104" s="2617"/>
      <c r="UW104" s="2617"/>
      <c r="UX104" s="2617"/>
      <c r="UY104" s="2617"/>
      <c r="UZ104" s="2617"/>
      <c r="VB104" s="2617"/>
      <c r="VC104" s="2617"/>
      <c r="VD104" s="2617"/>
      <c r="VE104" s="2617"/>
      <c r="VF104" s="2617"/>
      <c r="VG104" s="2617"/>
      <c r="VH104" s="2617"/>
      <c r="VI104" s="2617"/>
      <c r="VJ104" s="2617"/>
      <c r="VK104" s="2617"/>
      <c r="VL104" s="2617"/>
      <c r="VM104" s="2617"/>
      <c r="VN104" s="2617"/>
      <c r="VO104" s="2617"/>
      <c r="VP104" s="2617"/>
      <c r="VQ104" s="2617"/>
      <c r="VR104" s="2617"/>
      <c r="VS104" s="2617"/>
      <c r="VT104" s="2617"/>
    </row>
    <row r="105" spans="2:630" x14ac:dyDescent="0.2">
      <c r="I105" s="5567"/>
      <c r="AH105" s="2617"/>
      <c r="AI105" s="2617"/>
      <c r="AJ105" s="2617"/>
      <c r="AK105" s="2617"/>
      <c r="AL105" s="2617"/>
      <c r="AM105" s="2617"/>
      <c r="AN105" s="2617"/>
      <c r="AO105" s="2617"/>
      <c r="AP105" s="2617"/>
      <c r="AQ105" s="2617"/>
      <c r="AR105" s="2617"/>
      <c r="AS105" s="2617"/>
      <c r="AT105" s="2617"/>
      <c r="AU105" s="2617"/>
      <c r="BA105" s="435"/>
      <c r="BB105" s="5163">
        <v>7</v>
      </c>
      <c r="BC105" s="211">
        <f>'Inn sprengning'!$BT$39</f>
        <v>0</v>
      </c>
      <c r="BD105" s="211">
        <f>'Inn sprengning'!$BT$41</f>
        <v>0</v>
      </c>
      <c r="BE105" s="211">
        <f>'Inn sprengning'!$BT$43</f>
        <v>0</v>
      </c>
      <c r="BF105" s="211">
        <f>'Inn sprengning'!$BT$52</f>
        <v>0</v>
      </c>
      <c r="BG105" s="211">
        <f>'Inn sprengning'!$BT$54</f>
        <v>0</v>
      </c>
      <c r="BH105" s="211">
        <f>'Inn sprengning'!$BT$56</f>
        <v>0</v>
      </c>
      <c r="BI105" s="211">
        <f>'Inn sprengning'!$BT$58</f>
        <v>0</v>
      </c>
      <c r="BJ105" s="211">
        <f>'Inn sprengning'!$BT$60</f>
        <v>0</v>
      </c>
      <c r="BK105" s="211">
        <f>'Inn sprengning'!$BT$62</f>
        <v>0</v>
      </c>
      <c r="BL105" s="211">
        <f>'Inn sprengning'!$BT$64</f>
        <v>0</v>
      </c>
      <c r="BM105" s="211">
        <f>'Inn sprengning'!$BT$66</f>
        <v>0</v>
      </c>
      <c r="BN105" s="211"/>
      <c r="BO105" s="211">
        <f>'Inn sprengning'!$BT$68</f>
        <v>0</v>
      </c>
      <c r="BP105" s="211">
        <f>IFERROR((INDEX(position_stuff[Normal],MATCH(BB105,position_stuff[Position],0))),0)</f>
        <v>0</v>
      </c>
      <c r="BQ105" s="211">
        <f>inputs_spreng[[#This Row],[Redusertsalvelengde]]+inputs_spreng[[#This Row],[Todelttverrsnitt]]+inputs_spreng[[#This Row],[Redusertsalvelengdeogtodelttverrsnitt]]</f>
        <v>0</v>
      </c>
      <c r="BR105" s="211">
        <f>IFERROR((INDEX(position_stuff[Totalvol],MATCH(BB105,position_stuff[Position],0))),0)</f>
        <v>0</v>
      </c>
      <c r="BS105" s="211">
        <f t="shared" si="193"/>
        <v>0</v>
      </c>
      <c r="BT105" s="211">
        <f>IF('Inn sprengning'!$BT$39="",0,1)</f>
        <v>0</v>
      </c>
      <c r="BU105" s="211">
        <f>IF('Inn sprengning'!$BT$41="",0,1)</f>
        <v>0</v>
      </c>
      <c r="BV105" s="211">
        <f>IF('Inn sprengning'!$BT$43="",0,1)</f>
        <v>0</v>
      </c>
      <c r="BW105" s="211">
        <f>IF(AND(inputs_spreng[[#This Row],[check]]=1,inputs_spreng[[#This Row],[check_red]]=1),1,0)</f>
        <v>0</v>
      </c>
      <c r="BX105" s="211">
        <f>IF(AND(inputs_spreng[[#This Row],[check]]=1,inputs_spreng[[#This Row],[check_todel]]=1),1,0)</f>
        <v>0</v>
      </c>
      <c r="BY105" s="211">
        <f>IF(AND(inputs_spreng[[#This Row],[check]]=1,inputs_spreng[[#This Row],[check_redtodel]]=1),1,0)</f>
        <v>0</v>
      </c>
      <c r="DR105" s="340" t="str">
        <f>$QO$135</f>
        <v>Stuff 1-1</v>
      </c>
      <c r="DS105" s="188">
        <f>IF($BC$38=1,0,IF($BC$38=2,1,0))</f>
        <v>1</v>
      </c>
      <c r="DT105" s="185">
        <f>IF($BC$34&gt;0,1,0)</f>
        <v>1</v>
      </c>
      <c r="DU105" s="194">
        <f>IF($BC$38=2,INDEX(outputs_position[11],MATCH($BC$35,outputs_position[lopstuff],0)),0)</f>
        <v>1</v>
      </c>
      <c r="DV105" s="194" t="str">
        <f t="shared" ref="DV105:DV113" si="194">DR105</f>
        <v>Stuff 1-1</v>
      </c>
      <c r="DW105" s="241">
        <f t="shared" ref="DW105:DW113" si="195">DW53/$DW$101</f>
        <v>0</v>
      </c>
      <c r="DX105" s="241">
        <f t="shared" ref="DX105:DX113" si="196">DX53/$DX$101</f>
        <v>0</v>
      </c>
      <c r="DY105" s="241">
        <f t="shared" ref="DY105:DY113" si="197">DY53/$DY$101</f>
        <v>0</v>
      </c>
      <c r="DZ105" s="241">
        <f t="shared" ref="DZ105:DZ113" si="198">DZ53/$DZ$101</f>
        <v>0</v>
      </c>
      <c r="EA105" s="241">
        <f t="shared" ref="EA105:EA113" si="199">EA53/$EA$101</f>
        <v>0</v>
      </c>
      <c r="EB105" s="241">
        <f t="shared" ref="EB105:EB113" si="200">EB53/$EB$101</f>
        <v>0</v>
      </c>
      <c r="EC105" s="241"/>
      <c r="ED105" s="241">
        <f t="shared" ref="ED105:ED113" si="201">ED53/$ED$101</f>
        <v>0</v>
      </c>
      <c r="EE105" s="241">
        <f t="shared" ref="EE105:EE113" si="202">EE53/$EE$101</f>
        <v>0</v>
      </c>
      <c r="EF105" s="241">
        <f t="shared" ref="EF105:EF113" si="203">EF53/$EF$101</f>
        <v>0</v>
      </c>
      <c r="EG105" s="241"/>
      <c r="EH105" s="392">
        <f t="shared" ref="EH105:EH113" si="204">DW105+DX105+DY105+DZ105+EA105+EB105+EC105+ED105+EE105+EF105+EG105</f>
        <v>0</v>
      </c>
      <c r="EI105" s="392">
        <f>outputs_foran[[#This Row],[Sonderboring]]+outputs_foran[[#This Row],[Kjerneboring]]+outputs_foran[[#This Row],[Seismikk]]</f>
        <v>0</v>
      </c>
      <c r="EJ105" s="392">
        <f>outputs_foran[[#This Row],[sp_Rigg]]+outputs_foran[[#This Row],[sp_Boring]]+outputs_foran[[#This Row],[Sp_Injeksjon]]+outputs_foran[[#This Row],[sp_Kontrollhull]]+outputs_foran[[#This Row],[sy_Rigg]]+outputs_foran[[#This Row],[sy_Boring]]+outputs_foran[[#This Row],[sy_Injeksjon]]+outputs_foran[[#This Row],[sy_Kontrollhull]]</f>
        <v>0</v>
      </c>
      <c r="EK105" s="241">
        <f>outputs_foran[[#This Row],[total_tid]]/$AI$80</f>
        <v>0</v>
      </c>
      <c r="EL105" s="210"/>
      <c r="ER105" s="283" t="s">
        <v>343</v>
      </c>
      <c r="KO105" s="407" t="str">
        <f t="shared" si="135"/>
        <v>klasse_3</v>
      </c>
      <c r="KP105" s="340" t="str">
        <f>$QQ$135</f>
        <v>Stuff 1-3</v>
      </c>
      <c r="KQ105" s="5948" t="str">
        <f>IFERROR(INDEX(tunneldrift_vekseldrift[vekseldrift_lengde_final],MATCH(framdriftfaktor[[#This Row],[stuff_navn]],tunneldrift_vekseldrift[Stuff_navn],0))/INDEX(tunneldrift_vekseldrift[Input_stuff_lengde],MATCH(framdriftfaktor[[#This Row],[stuff_navn]],tunneldrift_vekseldrift[Stuff_navn],0)),"-")</f>
        <v>-</v>
      </c>
      <c r="KR105" s="340"/>
      <c r="KS105" s="241">
        <f t="shared" si="136"/>
        <v>0</v>
      </c>
      <c r="KT105" s="241">
        <f t="shared" si="137"/>
        <v>0</v>
      </c>
      <c r="KU105" s="241">
        <f t="shared" si="138"/>
        <v>0</v>
      </c>
      <c r="KV105" s="211" t="str">
        <f>IFERROR(framdriftfaktor[[#This Row],[sprengning_tid_hr]]*framdriftfaktor[[#This Row],[veksel_prosent]],"-")</f>
        <v>-</v>
      </c>
      <c r="KW105" s="211" t="str">
        <f>IFERROR(framdriftfaktor[[#This Row],[stabilitets_tid_hr]]*framdriftfaktor[[#This Row],[veksel_prosent]],"-")</f>
        <v>-</v>
      </c>
      <c r="KX105" s="211" t="str">
        <f>IFERROR(framdriftfaktor[[#This Row],[foran_tid_hr]]*framdriftfaktor[[#This Row],[veksel_prosent]],"-")</f>
        <v>-</v>
      </c>
      <c r="KY105" s="5348">
        <f>IFERROR((framdriftfaktor[[#This Row],[stabilitets_tid_hr_veksel_del]]+framdriftfaktor[[#This Row],[foran_tid_hr_veksel_del]]+KW109+KX109)/(framdriftfaktor[[#This Row],[sprengning_tid_hr_veksel_del]]+KV109),0)</f>
        <v>0</v>
      </c>
      <c r="KZ105" s="538"/>
      <c r="LA105" s="241" t="str">
        <f>IF(framdriftfaktor[[#This Row],[stab-foran_spreng_ratio]]&lt;$LL$90,$LJ$90,IF(AND(framdriftfaktor[[#This Row],[stab-foran_spreng_ratio]]&gt;=$LK$91,framdriftfaktor[[#This Row],[stab-foran_spreng_ratio]]&lt;$LL$91),$LJ$91,IF(framdriftfaktor[[#This Row],[stab-foran_spreng_ratio]]&gt;=$LK$92,$LJ$92,"!")))</f>
        <v>Lite</v>
      </c>
      <c r="LB105" s="538">
        <f>IF(framdriftfaktor[[#This Row],[rating_stab-foran]]=$LJ$90,$LM$90+$LO$90*framdriftfaktor[[#This Row],[stab-foran_spreng_ratio]],IF(framdriftfaktor[[#This Row],[rating_stab-foran]]=$LJ$91,$LM$91+((framdriftfaktor[[#This Row],[stab-foran_spreng_ratio]]-$LK$91)*$LO$91),IF(framdriftfaktor[[#This Row],[rating_stab-foran]]=$LJ$92,$LM$92)))</f>
        <v>1.3</v>
      </c>
      <c r="LC105" s="241">
        <f>framdriftfaktor[[#This Row],[beregnet_faktor_stab-foran]]</f>
        <v>1.3</v>
      </c>
      <c r="LD105" s="323"/>
      <c r="LJ105" s="5888">
        <v>2</v>
      </c>
      <c r="LK105" s="5310" t="b">
        <f>LK104</f>
        <v>1</v>
      </c>
      <c r="LL105" s="5310">
        <f>LL104</f>
        <v>0</v>
      </c>
      <c r="RF105" s="2617"/>
      <c r="RG105" s="2617"/>
      <c r="RH105" s="2617"/>
      <c r="RI105" s="2617"/>
      <c r="RJ105" s="2617"/>
      <c r="RK105" s="2617"/>
      <c r="RL105" s="2617"/>
      <c r="RM105" s="2617"/>
      <c r="RN105" s="2617"/>
      <c r="RO105" s="2617"/>
      <c r="RP105" s="2617"/>
      <c r="RQ105" s="2617"/>
      <c r="RR105" s="2617"/>
      <c r="RS105" s="2617"/>
      <c r="RT105" s="2617"/>
      <c r="RU105" s="2617"/>
      <c r="RV105" s="2617"/>
      <c r="RW105" s="2617"/>
      <c r="RX105" s="2617"/>
      <c r="RY105" s="2617"/>
      <c r="RZ105" s="2617"/>
      <c r="SA105" s="2617"/>
      <c r="SB105" s="2617"/>
      <c r="SC105" s="2617"/>
      <c r="SD105" s="2617"/>
      <c r="SE105" s="2617"/>
      <c r="SF105" s="2617"/>
      <c r="SG105" s="2617"/>
      <c r="SH105" s="2617"/>
      <c r="SI105" s="2617"/>
      <c r="SJ105" s="2617"/>
      <c r="SK105" s="2617"/>
      <c r="SL105" s="2617"/>
      <c r="SM105" s="2617"/>
      <c r="SN105" s="2617"/>
      <c r="SO105" s="2617"/>
      <c r="SP105" s="2617"/>
      <c r="SQ105" s="2617"/>
      <c r="SR105" s="2617"/>
      <c r="SS105" s="2617"/>
      <c r="ST105" s="2617"/>
      <c r="SU105" s="2617"/>
      <c r="SV105" s="2617"/>
      <c r="SW105" s="2617"/>
      <c r="SX105" s="2617"/>
      <c r="SY105" s="2617"/>
      <c r="SZ105" s="2617"/>
      <c r="TA105" s="2617"/>
      <c r="TB105" s="2617"/>
      <c r="TC105" s="2617"/>
      <c r="TD105" s="2617"/>
      <c r="TE105" s="2617"/>
      <c r="TF105" s="2617"/>
      <c r="TG105" s="2617"/>
      <c r="TH105" s="2617"/>
      <c r="TI105" s="2617"/>
      <c r="TJ105" s="2617"/>
      <c r="TK105" s="2617"/>
      <c r="TL105" s="2617"/>
      <c r="TM105" s="2617"/>
      <c r="TN105" s="2617"/>
      <c r="TO105" s="2617"/>
      <c r="TP105" s="2617"/>
      <c r="TQ105" s="2617"/>
      <c r="TS105" s="2617"/>
      <c r="TT105" s="2617"/>
      <c r="TU105" s="2617"/>
      <c r="TV105" s="2617"/>
      <c r="TW105" s="2617"/>
      <c r="UB105" s="2617"/>
      <c r="UC105" s="2617"/>
      <c r="UD105" s="2617"/>
      <c r="UE105" s="2617"/>
      <c r="UF105" s="2617"/>
      <c r="UG105" s="2617"/>
      <c r="UH105" s="2617"/>
      <c r="UI105" s="2617"/>
      <c r="UJ105" s="2617"/>
      <c r="UK105" s="2617"/>
      <c r="UL105" s="2617"/>
      <c r="UM105" s="2617"/>
      <c r="UN105" s="2617"/>
      <c r="UO105" s="2617"/>
      <c r="UP105" s="2617"/>
      <c r="UQ105" s="2617"/>
      <c r="UR105" s="2617"/>
      <c r="US105" s="2617"/>
      <c r="UT105" s="2617"/>
      <c r="UU105" s="2617"/>
      <c r="UV105" s="2617"/>
      <c r="UW105" s="2617"/>
      <c r="UX105" s="2617"/>
      <c r="UY105" s="2617"/>
      <c r="UZ105" s="2617"/>
      <c r="VB105" s="2617"/>
      <c r="VC105" s="2617"/>
      <c r="VD105" s="2617"/>
      <c r="VE105" s="2617"/>
      <c r="VF105" s="2617"/>
      <c r="VG105" s="2617"/>
      <c r="VH105" s="2617"/>
      <c r="VI105" s="2617"/>
      <c r="VJ105" s="2617"/>
      <c r="VK105" s="2617"/>
      <c r="VL105" s="2617"/>
      <c r="VM105" s="2617"/>
      <c r="VN105" s="2617"/>
      <c r="VO105" s="2617"/>
      <c r="VP105" s="2617"/>
      <c r="VQ105" s="2617"/>
      <c r="VR105" s="2617"/>
      <c r="VS105" s="2617"/>
      <c r="VT105" s="2617"/>
    </row>
    <row r="106" spans="2:630" x14ac:dyDescent="0.2">
      <c r="I106" s="5567"/>
      <c r="AH106" s="2617"/>
      <c r="AI106" s="2617"/>
      <c r="AJ106" s="2617"/>
      <c r="AK106" s="2617"/>
      <c r="AL106" s="2617"/>
      <c r="AM106" s="2617"/>
      <c r="AN106" s="2617"/>
      <c r="AO106" s="2617"/>
      <c r="AP106" s="2617"/>
      <c r="AQ106" s="2617"/>
      <c r="AR106" s="2617"/>
      <c r="AS106" s="2617"/>
      <c r="AT106" s="2617"/>
      <c r="AU106" s="2617"/>
      <c r="BA106" s="435"/>
      <c r="BB106" s="5163">
        <v>8</v>
      </c>
      <c r="BC106" s="211">
        <f>'Inn sprengning'!$CB$39</f>
        <v>0</v>
      </c>
      <c r="BD106" s="211">
        <f>'Inn sprengning'!$CB$41</f>
        <v>0</v>
      </c>
      <c r="BE106" s="211">
        <f>'Inn sprengning'!$CB$43</f>
        <v>0</v>
      </c>
      <c r="BF106" s="211">
        <f>'Inn sprengning'!$CB$52</f>
        <v>0</v>
      </c>
      <c r="BG106" s="211">
        <f>'Inn sprengning'!$CB$54</f>
        <v>0</v>
      </c>
      <c r="BH106" s="211">
        <f>'Inn sprengning'!$CB$56</f>
        <v>0</v>
      </c>
      <c r="BI106" s="211">
        <f>'Inn sprengning'!$CB$58</f>
        <v>0</v>
      </c>
      <c r="BJ106" s="211">
        <f>'Inn sprengning'!$CB$60</f>
        <v>0</v>
      </c>
      <c r="BK106" s="211">
        <f>'Inn sprengning'!$CB$62</f>
        <v>0</v>
      </c>
      <c r="BL106" s="211">
        <f>'Inn sprengning'!$CB$64</f>
        <v>0</v>
      </c>
      <c r="BM106" s="211">
        <f>'Inn sprengning'!$CB$66</f>
        <v>0</v>
      </c>
      <c r="BN106" s="211"/>
      <c r="BO106" s="211">
        <f>'Inn sprengning'!$CB$68</f>
        <v>0</v>
      </c>
      <c r="BP106" s="211">
        <f>IFERROR((INDEX(position_stuff[Normal],MATCH(BB106,position_stuff[Position],0))),0)</f>
        <v>0</v>
      </c>
      <c r="BQ106" s="211">
        <f>inputs_spreng[[#This Row],[Redusertsalvelengde]]+inputs_spreng[[#This Row],[Todelttverrsnitt]]+inputs_spreng[[#This Row],[Redusertsalvelengdeogtodelttverrsnitt]]</f>
        <v>0</v>
      </c>
      <c r="BR106" s="211">
        <f>IFERROR((INDEX(position_stuff[Totalvol],MATCH(BB106,position_stuff[Position],0))),0)</f>
        <v>0</v>
      </c>
      <c r="BS106" s="211">
        <f t="shared" si="193"/>
        <v>0</v>
      </c>
      <c r="BT106" s="211">
        <f>IF('Inn sprengning'!$CB$39="",0,1)</f>
        <v>0</v>
      </c>
      <c r="BU106" s="211">
        <f>IF('Inn sprengning'!$CB$41="",0,1)</f>
        <v>0</v>
      </c>
      <c r="BV106" s="211">
        <f>IF('Inn sprengning'!$CB$43="",0,1)</f>
        <v>0</v>
      </c>
      <c r="BW106" s="211">
        <f>IF(AND(inputs_spreng[[#This Row],[check]]=1,inputs_spreng[[#This Row],[check_red]]=1),1,0)</f>
        <v>0</v>
      </c>
      <c r="BX106" s="211">
        <f>IF(AND(inputs_spreng[[#This Row],[check]]=1,inputs_spreng[[#This Row],[check_todel]]=1),1,0)</f>
        <v>0</v>
      </c>
      <c r="BY106" s="211">
        <f>IF(AND(inputs_spreng[[#This Row],[check]]=1,inputs_spreng[[#This Row],[check_redtodel]]=1),1,0)</f>
        <v>0</v>
      </c>
      <c r="DR106" s="340" t="str">
        <f>$QP$135</f>
        <v>Stuff 1-2</v>
      </c>
      <c r="DS106" s="188">
        <f>IF($BC$38=1,0,IF($BC$38=2,2,0))</f>
        <v>2</v>
      </c>
      <c r="DT106" s="185">
        <f>IF($BC$34&gt;1,1,0)</f>
        <v>0</v>
      </c>
      <c r="DU106" s="194">
        <f>IF($BC$38=2,INDEX(outputs_position[12],MATCH($BC$35,outputs_position[lopstuff],0)),0)</f>
        <v>0</v>
      </c>
      <c r="DV106" s="194" t="str">
        <f t="shared" si="194"/>
        <v>Stuff 1-2</v>
      </c>
      <c r="DW106" s="241">
        <f t="shared" si="195"/>
        <v>0</v>
      </c>
      <c r="DX106" s="241">
        <f t="shared" si="196"/>
        <v>0</v>
      </c>
      <c r="DY106" s="241">
        <f t="shared" si="197"/>
        <v>0</v>
      </c>
      <c r="DZ106" s="241">
        <f t="shared" si="198"/>
        <v>0</v>
      </c>
      <c r="EA106" s="241">
        <f t="shared" si="199"/>
        <v>0</v>
      </c>
      <c r="EB106" s="241">
        <f t="shared" si="200"/>
        <v>0</v>
      </c>
      <c r="EC106" s="241"/>
      <c r="ED106" s="241">
        <f t="shared" si="201"/>
        <v>0</v>
      </c>
      <c r="EE106" s="241">
        <f t="shared" si="202"/>
        <v>0</v>
      </c>
      <c r="EF106" s="241">
        <f t="shared" si="203"/>
        <v>0</v>
      </c>
      <c r="EG106" s="241"/>
      <c r="EH106" s="392">
        <f t="shared" si="204"/>
        <v>0</v>
      </c>
      <c r="EI106" s="392">
        <f>outputs_foran[[#This Row],[Sonderboring]]+outputs_foran[[#This Row],[Kjerneboring]]+outputs_foran[[#This Row],[Seismikk]]</f>
        <v>0</v>
      </c>
      <c r="EJ106" s="392">
        <f>outputs_foran[[#This Row],[sp_Rigg]]+outputs_foran[[#This Row],[sp_Boring]]+outputs_foran[[#This Row],[Sp_Injeksjon]]+outputs_foran[[#This Row],[sp_Kontrollhull]]+outputs_foran[[#This Row],[sy_Rigg]]+outputs_foran[[#This Row],[sy_Boring]]+outputs_foran[[#This Row],[sy_Injeksjon]]+outputs_foran[[#This Row],[sy_Kontrollhull]]</f>
        <v>0</v>
      </c>
      <c r="EK106" s="241">
        <f>outputs_foran[[#This Row],[total_tid]]/$AI$80</f>
        <v>0</v>
      </c>
      <c r="EL106" s="210"/>
      <c r="IH106" s="433" t="s">
        <v>2720</v>
      </c>
      <c r="KO106" s="407" t="str">
        <f t="shared" si="135"/>
        <v>klasse_4</v>
      </c>
      <c r="KP106" s="340" t="str">
        <f>$QR$135</f>
        <v>Stuff 1-4</v>
      </c>
      <c r="KQ106" s="5948" t="str">
        <f>IFERROR(INDEX(tunneldrift_vekseldrift[vekseldrift_lengde_final],MATCH(framdriftfaktor[[#This Row],[stuff_navn]],tunneldrift_vekseldrift[Stuff_navn],0))/INDEX(tunneldrift_vekseldrift[Input_stuff_lengde],MATCH(framdriftfaktor[[#This Row],[stuff_navn]],tunneldrift_vekseldrift[Stuff_navn],0)),"-")</f>
        <v>-</v>
      </c>
      <c r="KR106" s="340"/>
      <c r="KS106" s="241">
        <f t="shared" si="136"/>
        <v>0</v>
      </c>
      <c r="KT106" s="241">
        <f t="shared" si="137"/>
        <v>0</v>
      </c>
      <c r="KU106" s="241">
        <f t="shared" si="138"/>
        <v>0</v>
      </c>
      <c r="KV106" s="211" t="str">
        <f>IFERROR(framdriftfaktor[[#This Row],[sprengning_tid_hr]]*framdriftfaktor[[#This Row],[veksel_prosent]],"-")</f>
        <v>-</v>
      </c>
      <c r="KW106" s="211" t="str">
        <f>IFERROR(framdriftfaktor[[#This Row],[stabilitets_tid_hr]]*framdriftfaktor[[#This Row],[veksel_prosent]],"-")</f>
        <v>-</v>
      </c>
      <c r="KX106" s="211" t="str">
        <f>IFERROR(framdriftfaktor[[#This Row],[foran_tid_hr]]*framdriftfaktor[[#This Row],[veksel_prosent]],"-")</f>
        <v>-</v>
      </c>
      <c r="KY106" s="5348">
        <f>IFERROR((framdriftfaktor[[#This Row],[stabilitets_tid_hr_veksel_del]]+framdriftfaktor[[#This Row],[foran_tid_hr_veksel_del]]+KW110+KX110)/(framdriftfaktor[[#This Row],[sprengning_tid_hr_veksel_del]]+KV110),0)</f>
        <v>0</v>
      </c>
      <c r="KZ106" s="538"/>
      <c r="LA106" s="241" t="str">
        <f>IF(framdriftfaktor[[#This Row],[stab-foran_spreng_ratio]]&lt;$LL$90,$LJ$90,IF(AND(framdriftfaktor[[#This Row],[stab-foran_spreng_ratio]]&gt;=$LK$91,framdriftfaktor[[#This Row],[stab-foran_spreng_ratio]]&lt;$LL$91),$LJ$91,IF(framdriftfaktor[[#This Row],[stab-foran_spreng_ratio]]&gt;=$LK$92,$LJ$92,"!")))</f>
        <v>Lite</v>
      </c>
      <c r="LB106" s="538">
        <f>IF(framdriftfaktor[[#This Row],[rating_stab-foran]]=$LJ$90,$LM$90+$LO$90*framdriftfaktor[[#This Row],[stab-foran_spreng_ratio]],IF(framdriftfaktor[[#This Row],[rating_stab-foran]]=$LJ$91,$LM$91+((framdriftfaktor[[#This Row],[stab-foran_spreng_ratio]]-$LK$91)*$LO$91),IF(framdriftfaktor[[#This Row],[rating_stab-foran]]=$LJ$92,$LM$92)))</f>
        <v>1.3</v>
      </c>
      <c r="LC106" s="241">
        <f>framdriftfaktor[[#This Row],[beregnet_faktor_stab-foran]]</f>
        <v>1.3</v>
      </c>
      <c r="LD106" s="323"/>
      <c r="LJ106" s="5888">
        <v>3</v>
      </c>
      <c r="LK106" s="185" t="b">
        <f>ISBLANK('Inn justeringer'!$AO$30)</f>
        <v>1</v>
      </c>
      <c r="LL106" s="5310">
        <f>('Inn justeringer'!$AO$30)</f>
        <v>0</v>
      </c>
      <c r="NY106" s="208"/>
      <c r="NZ106" s="208"/>
      <c r="OA106" s="208"/>
      <c r="OB106" s="208"/>
      <c r="OC106" s="208"/>
      <c r="OD106" s="208"/>
      <c r="OE106" s="208"/>
      <c r="OF106" s="208"/>
      <c r="OG106" s="208"/>
      <c r="OH106" s="208"/>
      <c r="OI106" s="208"/>
      <c r="OJ106" s="208"/>
      <c r="OK106" s="208"/>
      <c r="OL106" s="208"/>
      <c r="OM106" s="208"/>
      <c r="ON106" s="208"/>
      <c r="OO106" s="208"/>
      <c r="OP106" s="208"/>
      <c r="OQ106" s="208"/>
      <c r="OR106" s="208"/>
      <c r="OS106" s="208"/>
      <c r="OT106" s="208"/>
      <c r="OU106" s="208"/>
      <c r="OV106" s="186"/>
      <c r="OW106" s="186"/>
      <c r="OX106" s="186"/>
      <c r="OY106" s="186"/>
      <c r="OZ106" s="186"/>
      <c r="PA106" s="186"/>
      <c r="PB106" s="186"/>
      <c r="PC106" s="186"/>
      <c r="PD106" s="186"/>
      <c r="PE106" s="186"/>
      <c r="PF106" s="186"/>
      <c r="PG106" s="208"/>
      <c r="PH106" s="208"/>
      <c r="PI106" s="208"/>
      <c r="PJ106" s="1274"/>
      <c r="PK106" s="1274"/>
      <c r="PL106" s="1274"/>
      <c r="PM106" s="1274"/>
      <c r="PN106" s="1274"/>
      <c r="PO106" s="1274"/>
      <c r="PP106" s="1274"/>
      <c r="PQ106" s="208"/>
      <c r="PR106" s="208"/>
      <c r="PS106" s="208"/>
      <c r="PT106" s="208"/>
      <c r="PU106" s="208"/>
      <c r="PV106" s="208"/>
      <c r="PW106" s="208"/>
      <c r="PX106" s="208"/>
      <c r="PY106" s="208"/>
      <c r="PZ106" s="208"/>
      <c r="QA106" s="208"/>
      <c r="QB106" s="208"/>
      <c r="QC106" s="208"/>
      <c r="QD106" s="208"/>
      <c r="QE106" s="208"/>
      <c r="RF106" s="2617"/>
      <c r="RG106" s="2617"/>
      <c r="RH106" s="2617"/>
      <c r="RI106" s="2617"/>
      <c r="RJ106" s="2617"/>
      <c r="RK106" s="2617"/>
      <c r="RL106" s="2617"/>
      <c r="RM106" s="2617"/>
      <c r="RN106" s="2617"/>
      <c r="RO106" s="2617"/>
      <c r="RP106" s="2617"/>
      <c r="RQ106" s="2617"/>
      <c r="RR106" s="2617"/>
      <c r="RS106" s="2617"/>
      <c r="RT106" s="2617"/>
      <c r="RU106" s="2617"/>
      <c r="RV106" s="2617"/>
      <c r="RW106" s="2617"/>
      <c r="RX106" s="2617"/>
      <c r="RY106" s="2617"/>
      <c r="RZ106" s="2617"/>
      <c r="SA106" s="2617"/>
      <c r="SB106" s="2617"/>
      <c r="SC106" s="2617"/>
      <c r="SD106" s="2617"/>
      <c r="SE106" s="2617"/>
      <c r="SF106" s="2617"/>
      <c r="SG106" s="2617"/>
      <c r="SH106" s="2617"/>
      <c r="SI106" s="2617"/>
      <c r="SJ106" s="2617"/>
      <c r="SK106" s="2617"/>
      <c r="SL106" s="2617"/>
      <c r="SM106" s="2617"/>
      <c r="SN106" s="2617"/>
      <c r="SO106" s="2617"/>
      <c r="SP106" s="2617"/>
      <c r="SQ106" s="2617"/>
      <c r="SR106" s="2617"/>
      <c r="SS106" s="2617"/>
      <c r="ST106" s="2617"/>
      <c r="SU106" s="2617"/>
      <c r="SV106" s="2617"/>
      <c r="SW106" s="2617"/>
      <c r="SX106" s="2617"/>
      <c r="SY106" s="2617"/>
      <c r="SZ106" s="2617"/>
      <c r="TA106" s="2617"/>
      <c r="TB106" s="2617"/>
      <c r="TC106" s="2617"/>
      <c r="TD106" s="2617"/>
      <c r="TE106" s="2617"/>
      <c r="TF106" s="2617"/>
      <c r="TG106" s="2617"/>
      <c r="TH106" s="2617"/>
      <c r="TI106" s="2617"/>
      <c r="TJ106" s="2617"/>
      <c r="TK106" s="2617"/>
      <c r="TL106" s="2617"/>
      <c r="TM106" s="2617"/>
      <c r="TN106" s="2617"/>
      <c r="TO106" s="2617"/>
      <c r="TP106" s="2617"/>
      <c r="TQ106" s="2617"/>
      <c r="TS106" s="2617"/>
      <c r="TT106" s="2617"/>
      <c r="TU106" s="2617"/>
      <c r="TV106" s="2617"/>
      <c r="TW106" s="2617"/>
      <c r="UB106" s="2617"/>
      <c r="UC106" s="2617"/>
      <c r="UD106" s="2617"/>
      <c r="UE106" s="2617"/>
      <c r="UF106" s="2617"/>
      <c r="UG106" s="2617"/>
      <c r="UH106" s="2617"/>
      <c r="UI106" s="2617"/>
      <c r="UJ106" s="2617"/>
      <c r="UK106" s="2617"/>
      <c r="UL106" s="2617"/>
      <c r="UM106" s="2617"/>
      <c r="UN106" s="2617"/>
      <c r="UO106" s="2617"/>
      <c r="UP106" s="2617"/>
      <c r="UQ106" s="2617"/>
      <c r="UR106" s="2617"/>
      <c r="US106" s="2617"/>
      <c r="UT106" s="2617"/>
      <c r="UU106" s="2617"/>
      <c r="UV106" s="2617"/>
      <c r="UW106" s="2617"/>
      <c r="UX106" s="2617"/>
      <c r="UY106" s="2617"/>
      <c r="UZ106" s="2617"/>
      <c r="VB106" s="2617"/>
      <c r="VC106" s="2617"/>
      <c r="VD106" s="2617"/>
      <c r="VE106" s="2617"/>
      <c r="VF106" s="2617"/>
      <c r="VG106" s="2617"/>
      <c r="VH106" s="2617"/>
      <c r="VI106" s="2617"/>
      <c r="VJ106" s="2617"/>
      <c r="VK106" s="2617"/>
      <c r="VL106" s="2617"/>
      <c r="VM106" s="2617"/>
      <c r="VN106" s="2617"/>
      <c r="VO106" s="2617"/>
      <c r="VP106" s="2617"/>
      <c r="VQ106" s="2617"/>
      <c r="VR106" s="2617"/>
      <c r="VS106" s="2617"/>
      <c r="VT106" s="2617"/>
    </row>
    <row r="107" spans="2:630" ht="24.95" customHeight="1" x14ac:dyDescent="0.2">
      <c r="I107" s="5567"/>
      <c r="AH107" s="2617"/>
      <c r="AI107" s="2617"/>
      <c r="AJ107" s="2617"/>
      <c r="AK107" s="2617"/>
      <c r="AL107" s="2617"/>
      <c r="AM107" s="2617"/>
      <c r="AN107" s="2617"/>
      <c r="AO107" s="2617"/>
      <c r="AP107" s="2617"/>
      <c r="AQ107" s="2617"/>
      <c r="AR107" s="2617"/>
      <c r="AS107" s="2617"/>
      <c r="AT107" s="2617"/>
      <c r="AU107" s="2617"/>
      <c r="BA107" s="435"/>
      <c r="BB107" s="5163">
        <v>9</v>
      </c>
      <c r="BC107" s="211">
        <f>'Inn sprengning'!$CJ$39</f>
        <v>0</v>
      </c>
      <c r="BD107" s="211">
        <f>'Inn sprengning'!$CJ$41</f>
        <v>0</v>
      </c>
      <c r="BE107" s="211">
        <f>'Inn sprengning'!$CJ$43</f>
        <v>0</v>
      </c>
      <c r="BF107" s="211">
        <f>'Inn sprengning'!$CJ$52</f>
        <v>0</v>
      </c>
      <c r="BG107" s="211">
        <f>'Inn sprengning'!$CJ$54</f>
        <v>0</v>
      </c>
      <c r="BH107" s="211">
        <f>'Inn sprengning'!$CJ$56</f>
        <v>0</v>
      </c>
      <c r="BI107" s="211">
        <f>'Inn sprengning'!$CJ$58</f>
        <v>0</v>
      </c>
      <c r="BJ107" s="211">
        <f>'Inn sprengning'!$CJ$60</f>
        <v>0</v>
      </c>
      <c r="BK107" s="211">
        <f>'Inn sprengning'!$CJ$62</f>
        <v>0</v>
      </c>
      <c r="BL107" s="211">
        <f>'Inn sprengning'!$CJ$64</f>
        <v>0</v>
      </c>
      <c r="BM107" s="211">
        <f>'Inn sprengning'!$CJ$66</f>
        <v>0</v>
      </c>
      <c r="BN107" s="211"/>
      <c r="BO107" s="211">
        <f>'Inn sprengning'!$CJ$68</f>
        <v>0</v>
      </c>
      <c r="BP107" s="211">
        <f>IFERROR((INDEX(position_stuff[Normal],MATCH(BB107,position_stuff[Position],0))),0)</f>
        <v>0</v>
      </c>
      <c r="BQ107" s="211">
        <f>inputs_spreng[[#This Row],[Redusertsalvelengde]]+inputs_spreng[[#This Row],[Todelttverrsnitt]]+inputs_spreng[[#This Row],[Redusertsalvelengdeogtodelttverrsnitt]]</f>
        <v>0</v>
      </c>
      <c r="BR107" s="211">
        <f>IFERROR((INDEX(position_stuff[Totalvol],MATCH(BB107,position_stuff[Position],0))),0)</f>
        <v>0</v>
      </c>
      <c r="BS107" s="211">
        <f t="shared" si="193"/>
        <v>0</v>
      </c>
      <c r="BT107" s="211">
        <f>IF('Inn sprengning'!$CJ$39="",0,1)</f>
        <v>0</v>
      </c>
      <c r="BU107" s="211">
        <f>IF('Inn sprengning'!$CJ$41="",0,1)</f>
        <v>0</v>
      </c>
      <c r="BV107" s="211">
        <f>IF('Inn sprengning'!$CJ$43="",0,1)</f>
        <v>0</v>
      </c>
      <c r="BW107" s="211">
        <f>IF(AND(inputs_spreng[[#This Row],[check]]=1,inputs_spreng[[#This Row],[check_red]]=1),1,0)</f>
        <v>0</v>
      </c>
      <c r="BX107" s="211">
        <f>IF(AND(inputs_spreng[[#This Row],[check]]=1,inputs_spreng[[#This Row],[check_todel]]=1),1,0)</f>
        <v>0</v>
      </c>
      <c r="BY107" s="211">
        <f>IF(AND(inputs_spreng[[#This Row],[check]]=1,inputs_spreng[[#This Row],[check_redtodel]]=1),1,0)</f>
        <v>0</v>
      </c>
      <c r="DR107" s="340" t="str">
        <f>$QQ$135</f>
        <v>Stuff 1-3</v>
      </c>
      <c r="DS107" s="188">
        <f>IF($BC$38=1,0,IF($BC$38=2,3,0))</f>
        <v>3</v>
      </c>
      <c r="DT107" s="185">
        <f>IF($BC$34&gt;2,1,0)</f>
        <v>0</v>
      </c>
      <c r="DU107" s="194">
        <f>IF($BC$38=2,INDEX(outputs_position[13],MATCH($BC$35,outputs_position[lopstuff],0)),0)</f>
        <v>0</v>
      </c>
      <c r="DV107" s="194" t="str">
        <f t="shared" si="194"/>
        <v>Stuff 1-3</v>
      </c>
      <c r="DW107" s="241">
        <f t="shared" si="195"/>
        <v>0</v>
      </c>
      <c r="DX107" s="241">
        <f t="shared" si="196"/>
        <v>0</v>
      </c>
      <c r="DY107" s="241">
        <f t="shared" si="197"/>
        <v>0</v>
      </c>
      <c r="DZ107" s="241">
        <f t="shared" si="198"/>
        <v>0</v>
      </c>
      <c r="EA107" s="241">
        <f t="shared" si="199"/>
        <v>0</v>
      </c>
      <c r="EB107" s="241">
        <f t="shared" si="200"/>
        <v>0</v>
      </c>
      <c r="EC107" s="241"/>
      <c r="ED107" s="241">
        <f t="shared" si="201"/>
        <v>0</v>
      </c>
      <c r="EE107" s="241">
        <f t="shared" si="202"/>
        <v>0</v>
      </c>
      <c r="EF107" s="241">
        <f t="shared" si="203"/>
        <v>0</v>
      </c>
      <c r="EG107" s="241"/>
      <c r="EH107" s="392">
        <f t="shared" si="204"/>
        <v>0</v>
      </c>
      <c r="EI107" s="392">
        <f>outputs_foran[[#This Row],[Sonderboring]]+outputs_foran[[#This Row],[Kjerneboring]]+outputs_foran[[#This Row],[Seismikk]]</f>
        <v>0</v>
      </c>
      <c r="EJ107" s="392">
        <f>outputs_foran[[#This Row],[sp_Rigg]]+outputs_foran[[#This Row],[sp_Boring]]+outputs_foran[[#This Row],[Sp_Injeksjon]]+outputs_foran[[#This Row],[sp_Kontrollhull]]+outputs_foran[[#This Row],[sy_Rigg]]+outputs_foran[[#This Row],[sy_Boring]]+outputs_foran[[#This Row],[sy_Injeksjon]]+outputs_foran[[#This Row],[sy_Kontrollhull]]</f>
        <v>0</v>
      </c>
      <c r="EK107" s="241">
        <f>outputs_foran[[#This Row],[total_tid]]/$AI$80</f>
        <v>0</v>
      </c>
      <c r="EL107" s="210"/>
      <c r="KO107" s="407" t="str">
        <f t="shared" si="135"/>
        <v>klasse_5</v>
      </c>
      <c r="KP107" s="340" t="str">
        <f>$QS$135</f>
        <v>Stuff 2-1</v>
      </c>
      <c r="KQ107" s="5948" t="str">
        <f>IFERROR(INDEX(tunneldrift_vekseldrift[vekseldrift_lengde_final],MATCH(framdriftfaktor[[#This Row],[stuff_navn]],tunneldrift_vekseldrift[Stuff_navn],0))/INDEX(tunneldrift_vekseldrift[Input_stuff_lengde],MATCH(framdriftfaktor[[#This Row],[stuff_navn]],tunneldrift_vekseldrift[Stuff_navn],0)),"-")</f>
        <v>-</v>
      </c>
      <c r="KR107" s="340"/>
      <c r="KS107" s="241">
        <f t="shared" si="136"/>
        <v>0</v>
      </c>
      <c r="KT107" s="241">
        <f t="shared" si="137"/>
        <v>0</v>
      </c>
      <c r="KU107" s="241">
        <f t="shared" si="138"/>
        <v>0</v>
      </c>
      <c r="KV107" s="211" t="str">
        <f>IFERROR(framdriftfaktor[[#This Row],[sprengning_tid_hr]]*framdriftfaktor[[#This Row],[veksel_prosent]],"-")</f>
        <v>-</v>
      </c>
      <c r="KW107" s="211" t="str">
        <f>IFERROR(framdriftfaktor[[#This Row],[stabilitets_tid_hr]]*framdriftfaktor[[#This Row],[veksel_prosent]],"-")</f>
        <v>-</v>
      </c>
      <c r="KX107" s="211" t="str">
        <f>IFERROR(framdriftfaktor[[#This Row],[foran_tid_hr]]*framdriftfaktor[[#This Row],[veksel_prosent]],"-")</f>
        <v>-</v>
      </c>
      <c r="KY107" s="5348">
        <f>IFERROR((framdriftfaktor[[#This Row],[stabilitets_tid_hr_veksel_del]]+framdriftfaktor[[#This Row],[foran_tid_hr_veksel_del]]+KW103+KX103)/(framdriftfaktor[[#This Row],[sprengning_tid_hr_veksel_del]]+KV103),0)</f>
        <v>0</v>
      </c>
      <c r="KZ107" s="538"/>
      <c r="LA107" s="241" t="str">
        <f>IF(framdriftfaktor[[#This Row],[stab-foran_spreng_ratio]]&lt;$LL$90,$LJ$90,IF(AND(framdriftfaktor[[#This Row],[stab-foran_spreng_ratio]]&gt;=$LK$91,framdriftfaktor[[#This Row],[stab-foran_spreng_ratio]]&lt;$LL$91),$LJ$91,IF(framdriftfaktor[[#This Row],[stab-foran_spreng_ratio]]&gt;=$LK$92,$LJ$92,"!")))</f>
        <v>Lite</v>
      </c>
      <c r="LB107" s="538">
        <f>IF(framdriftfaktor[[#This Row],[rating_stab-foran]]=$LJ$90,$LM$90+$LO$90*framdriftfaktor[[#This Row],[stab-foran_spreng_ratio]],IF(framdriftfaktor[[#This Row],[rating_stab-foran]]=$LJ$91,$LM$91+((framdriftfaktor[[#This Row],[stab-foran_spreng_ratio]]-$LK$91)*$LO$91),IF(framdriftfaktor[[#This Row],[rating_stab-foran]]=$LJ$92,$LM$92)))</f>
        <v>1.3</v>
      </c>
      <c r="LC107" s="241">
        <f>framdriftfaktor[[#This Row],[beregnet_faktor_stab-foran]]</f>
        <v>1.3</v>
      </c>
      <c r="LD107" s="323"/>
      <c r="LJ107" s="5888">
        <v>4</v>
      </c>
      <c r="LK107" s="5310" t="b">
        <f>LK106</f>
        <v>1</v>
      </c>
      <c r="LL107" s="5310">
        <f>LL106</f>
        <v>0</v>
      </c>
      <c r="NY107" s="208"/>
      <c r="NZ107" s="208"/>
      <c r="OA107" s="208"/>
      <c r="OB107" s="208"/>
      <c r="OC107" s="208"/>
      <c r="OD107" s="208"/>
      <c r="OE107" s="208"/>
      <c r="OF107" s="208"/>
      <c r="OG107" s="208"/>
      <c r="OH107" s="208"/>
      <c r="OI107" s="208"/>
      <c r="OJ107" s="208"/>
      <c r="OK107" s="208"/>
      <c r="OL107" s="208"/>
      <c r="OM107" s="208"/>
      <c r="ON107" s="208"/>
      <c r="OO107" s="208"/>
      <c r="OP107" s="208"/>
      <c r="OQ107" s="208"/>
      <c r="OR107" s="208"/>
      <c r="OS107" s="208"/>
      <c r="OT107" s="208"/>
      <c r="OU107" s="208"/>
      <c r="OV107" s="186"/>
      <c r="OW107" s="186"/>
      <c r="OX107" s="186"/>
      <c r="OY107" s="186"/>
      <c r="OZ107" s="186"/>
      <c r="PA107" s="186"/>
      <c r="PB107" s="186"/>
      <c r="PC107" s="186"/>
      <c r="PD107" s="186"/>
      <c r="PE107" s="186"/>
      <c r="PF107" s="186"/>
      <c r="PG107" s="208"/>
      <c r="PH107" s="208"/>
      <c r="PI107" s="208"/>
      <c r="PJ107" s="1274"/>
      <c r="PK107" s="1274"/>
      <c r="PL107" s="1274"/>
      <c r="PM107" s="1274"/>
      <c r="PN107" s="1274"/>
      <c r="PO107" s="1274"/>
      <c r="PP107" s="1274"/>
      <c r="PQ107" s="208"/>
      <c r="PR107" s="208"/>
      <c r="PS107" s="208"/>
      <c r="PT107" s="208"/>
      <c r="PU107" s="208"/>
      <c r="PV107" s="208"/>
      <c r="PW107" s="208"/>
      <c r="PX107" s="208"/>
      <c r="PY107" s="208"/>
      <c r="PZ107" s="208"/>
      <c r="QA107" s="208"/>
      <c r="QB107" s="208"/>
      <c r="QC107" s="208"/>
      <c r="QD107" s="208"/>
      <c r="QE107" s="208"/>
      <c r="RF107" s="2617"/>
      <c r="RG107" s="2617"/>
      <c r="RH107" s="2617"/>
      <c r="RI107" s="2617"/>
      <c r="RJ107" s="2617"/>
      <c r="RK107" s="2617"/>
      <c r="RL107" s="2617"/>
      <c r="RM107" s="2617"/>
      <c r="RN107" s="2617"/>
      <c r="RO107" s="2617"/>
      <c r="RP107" s="2617"/>
      <c r="RQ107" s="2617"/>
      <c r="RR107" s="2617"/>
      <c r="RS107" s="2617"/>
      <c r="RT107" s="2617"/>
      <c r="RU107" s="2617"/>
      <c r="RV107" s="2617"/>
      <c r="RW107" s="2617"/>
      <c r="RX107" s="2617"/>
      <c r="RY107" s="2617"/>
      <c r="RZ107" s="2617"/>
      <c r="SA107" s="2617"/>
      <c r="SB107" s="2617"/>
      <c r="SC107" s="2617"/>
      <c r="SD107" s="2617"/>
      <c r="SE107" s="2617"/>
      <c r="SF107" s="2617"/>
      <c r="SG107" s="2617"/>
      <c r="SH107" s="2617"/>
      <c r="SI107" s="2617"/>
      <c r="SJ107" s="2617"/>
      <c r="SK107" s="2617"/>
      <c r="SL107" s="2617"/>
      <c r="SM107" s="2617"/>
      <c r="SN107" s="2617"/>
      <c r="SO107" s="2617"/>
      <c r="SP107" s="2617"/>
      <c r="SQ107" s="2617"/>
      <c r="SR107" s="2617"/>
      <c r="SS107" s="2617"/>
      <c r="ST107" s="2617"/>
      <c r="SU107" s="2617"/>
      <c r="SV107" s="2617"/>
      <c r="SW107" s="2617"/>
      <c r="SX107" s="2617"/>
      <c r="SY107" s="2617"/>
      <c r="SZ107" s="2617"/>
      <c r="TA107" s="2617"/>
      <c r="TB107" s="2617"/>
      <c r="TC107" s="2617"/>
      <c r="TD107" s="2617"/>
      <c r="TE107" s="2617"/>
      <c r="TF107" s="2617"/>
      <c r="TG107" s="2617"/>
      <c r="TH107" s="2617"/>
      <c r="TI107" s="2617"/>
      <c r="TJ107" s="2617"/>
      <c r="TK107" s="2617"/>
      <c r="TL107" s="2617"/>
      <c r="TM107" s="2617"/>
      <c r="TN107" s="2617"/>
      <c r="TO107" s="2617"/>
      <c r="TP107" s="2617"/>
      <c r="TQ107" s="2617"/>
      <c r="TS107" s="2617"/>
      <c r="TT107" s="2617"/>
      <c r="TU107" s="2617"/>
      <c r="TV107" s="2617"/>
      <c r="TW107" s="2617"/>
      <c r="UB107" s="2617"/>
      <c r="UC107" s="2617"/>
      <c r="UD107" s="2617"/>
      <c r="UE107" s="2617"/>
      <c r="UF107" s="2617"/>
      <c r="UG107" s="2617"/>
      <c r="UH107" s="2617"/>
      <c r="UI107" s="2617"/>
      <c r="UJ107" s="2617"/>
      <c r="UK107" s="2617"/>
      <c r="UL107" s="2617"/>
      <c r="UM107" s="2617"/>
      <c r="UN107" s="2617"/>
      <c r="UO107" s="2617"/>
      <c r="UP107" s="2617"/>
      <c r="UQ107" s="2617"/>
      <c r="UR107" s="2617"/>
      <c r="US107" s="2617"/>
      <c r="UT107" s="2617"/>
      <c r="UU107" s="2617"/>
      <c r="UV107" s="2617"/>
      <c r="UW107" s="2617"/>
      <c r="UX107" s="2617"/>
      <c r="UY107" s="2617"/>
      <c r="UZ107" s="2617"/>
      <c r="VB107" s="2617"/>
      <c r="VC107" s="2617"/>
      <c r="VD107" s="2617"/>
      <c r="VE107" s="2617"/>
      <c r="VF107" s="2617"/>
      <c r="VG107" s="2617"/>
      <c r="VH107" s="2617"/>
      <c r="VI107" s="2617"/>
      <c r="VJ107" s="2617"/>
      <c r="VK107" s="2617"/>
      <c r="VL107" s="2617"/>
      <c r="VM107" s="2617"/>
      <c r="VN107" s="2617"/>
      <c r="VO107" s="2617"/>
      <c r="VP107" s="2617"/>
      <c r="VQ107" s="2617"/>
      <c r="VR107" s="2617"/>
      <c r="VS107" s="2617"/>
      <c r="VT107" s="2617"/>
    </row>
    <row r="108" spans="2:630" ht="20.100000000000001" customHeight="1" x14ac:dyDescent="0.2">
      <c r="I108" s="5567"/>
      <c r="AH108" s="2617"/>
      <c r="AI108" s="2617"/>
      <c r="AJ108" s="2617"/>
      <c r="AK108" s="2617"/>
      <c r="AL108" s="2617"/>
      <c r="AM108" s="2617"/>
      <c r="AN108" s="2617"/>
      <c r="AO108" s="2617"/>
      <c r="AP108" s="2617"/>
      <c r="AQ108" s="2617"/>
      <c r="AR108" s="2617"/>
      <c r="AS108" s="2617"/>
      <c r="AT108" s="2617"/>
      <c r="AU108" s="2617"/>
      <c r="DR108" s="340" t="str">
        <f>$QR$135</f>
        <v>Stuff 1-4</v>
      </c>
      <c r="DS108" s="188">
        <f>IF($BC$38=1,0,IF($BC$38=2,4,0))</f>
        <v>4</v>
      </c>
      <c r="DT108" s="185">
        <f>IF($BC$34&gt;3,1,0)</f>
        <v>0</v>
      </c>
      <c r="DU108" s="194">
        <f>IF($BC$38=2,INDEX(outputs_position[14],MATCH($BC$35,outputs_position[lopstuff],0)),0)</f>
        <v>0</v>
      </c>
      <c r="DV108" s="194" t="str">
        <f t="shared" si="194"/>
        <v>Stuff 1-4</v>
      </c>
      <c r="DW108" s="241">
        <f t="shared" si="195"/>
        <v>0</v>
      </c>
      <c r="DX108" s="241">
        <f t="shared" si="196"/>
        <v>0</v>
      </c>
      <c r="DY108" s="241">
        <f t="shared" si="197"/>
        <v>0</v>
      </c>
      <c r="DZ108" s="241">
        <f t="shared" si="198"/>
        <v>0</v>
      </c>
      <c r="EA108" s="241">
        <f t="shared" si="199"/>
        <v>0</v>
      </c>
      <c r="EB108" s="241">
        <f t="shared" si="200"/>
        <v>0</v>
      </c>
      <c r="EC108" s="241"/>
      <c r="ED108" s="241">
        <f t="shared" si="201"/>
        <v>0</v>
      </c>
      <c r="EE108" s="241">
        <f t="shared" si="202"/>
        <v>0</v>
      </c>
      <c r="EF108" s="241">
        <f t="shared" si="203"/>
        <v>0</v>
      </c>
      <c r="EG108" s="241"/>
      <c r="EH108" s="392">
        <f t="shared" si="204"/>
        <v>0</v>
      </c>
      <c r="EI108" s="392">
        <f>outputs_foran[[#This Row],[Sonderboring]]+outputs_foran[[#This Row],[Kjerneboring]]+outputs_foran[[#This Row],[Seismikk]]</f>
        <v>0</v>
      </c>
      <c r="EJ108" s="392">
        <f>outputs_foran[[#This Row],[sp_Rigg]]+outputs_foran[[#This Row],[sp_Boring]]+outputs_foran[[#This Row],[Sp_Injeksjon]]+outputs_foran[[#This Row],[sp_Kontrollhull]]+outputs_foran[[#This Row],[sy_Rigg]]+outputs_foran[[#This Row],[sy_Boring]]+outputs_foran[[#This Row],[sy_Injeksjon]]+outputs_foran[[#This Row],[sy_Kontrollhull]]</f>
        <v>0</v>
      </c>
      <c r="EK108" s="241">
        <f>outputs_foran[[#This Row],[total_tid]]/$AI$80</f>
        <v>0</v>
      </c>
      <c r="EL108" s="210"/>
      <c r="ER108" s="329" t="s">
        <v>452</v>
      </c>
      <c r="ES108" s="328"/>
      <c r="ET108" s="328"/>
      <c r="EU108" s="328"/>
      <c r="IH108" s="1172"/>
      <c r="II108" s="3454"/>
      <c r="IJ108" s="5999" t="s">
        <v>2715</v>
      </c>
      <c r="IK108" s="194">
        <f t="shared" ref="IK108:IS109" si="205">NO269</f>
        <v>1</v>
      </c>
      <c r="IL108" s="194">
        <f t="shared" si="205"/>
        <v>2</v>
      </c>
      <c r="IM108" s="194">
        <f t="shared" si="205"/>
        <v>3</v>
      </c>
      <c r="IN108" s="194">
        <f t="shared" si="205"/>
        <v>4</v>
      </c>
      <c r="IO108" s="194">
        <f t="shared" si="205"/>
        <v>5</v>
      </c>
      <c r="IP108" s="194">
        <f t="shared" si="205"/>
        <v>6</v>
      </c>
      <c r="IQ108" s="194">
        <f t="shared" si="205"/>
        <v>7</v>
      </c>
      <c r="IR108" s="194">
        <f t="shared" si="205"/>
        <v>8</v>
      </c>
      <c r="IS108" s="194">
        <f t="shared" si="205"/>
        <v>9</v>
      </c>
      <c r="KO108" s="407" t="str">
        <f t="shared" si="135"/>
        <v>klasse_6</v>
      </c>
      <c r="KP108" s="340" t="str">
        <f>$QT$135</f>
        <v>Stuff 2-2</v>
      </c>
      <c r="KQ108" s="5948" t="str">
        <f>IFERROR(INDEX(tunneldrift_vekseldrift[vekseldrift_lengde_final],MATCH(framdriftfaktor[[#This Row],[stuff_navn]],tunneldrift_vekseldrift[Stuff_navn],0))/INDEX(tunneldrift_vekseldrift[Input_stuff_lengde],MATCH(framdriftfaktor[[#This Row],[stuff_navn]],tunneldrift_vekseldrift[Stuff_navn],0)),"-")</f>
        <v>-</v>
      </c>
      <c r="KR108" s="340"/>
      <c r="KS108" s="241">
        <f t="shared" si="136"/>
        <v>0</v>
      </c>
      <c r="KT108" s="241">
        <f t="shared" si="137"/>
        <v>0</v>
      </c>
      <c r="KU108" s="241">
        <f t="shared" si="138"/>
        <v>0</v>
      </c>
      <c r="KV108" s="211" t="str">
        <f>IFERROR(framdriftfaktor[[#This Row],[sprengning_tid_hr]]*framdriftfaktor[[#This Row],[veksel_prosent]],"-")</f>
        <v>-</v>
      </c>
      <c r="KW108" s="211" t="str">
        <f>IFERROR(framdriftfaktor[[#This Row],[stabilitets_tid_hr]]*framdriftfaktor[[#This Row],[veksel_prosent]],"-")</f>
        <v>-</v>
      </c>
      <c r="KX108" s="211" t="str">
        <f>IFERROR(framdriftfaktor[[#This Row],[foran_tid_hr]]*framdriftfaktor[[#This Row],[veksel_prosent]],"-")</f>
        <v>-</v>
      </c>
      <c r="KY108" s="5348">
        <f>IFERROR((framdriftfaktor[[#This Row],[stabilitets_tid_hr_veksel_del]]+framdriftfaktor[[#This Row],[foran_tid_hr_veksel_del]]+KW104+KX104)/(framdriftfaktor[[#This Row],[sprengning_tid_hr_veksel_del]]+KV104),0)</f>
        <v>0</v>
      </c>
      <c r="KZ108" s="538"/>
      <c r="LA108" s="241" t="str">
        <f>IF(framdriftfaktor[[#This Row],[stab-foran_spreng_ratio]]&lt;$LL$90,$LJ$90,IF(AND(framdriftfaktor[[#This Row],[stab-foran_spreng_ratio]]&gt;=$LK$91,framdriftfaktor[[#This Row],[stab-foran_spreng_ratio]]&lt;$LL$91),$LJ$91,IF(framdriftfaktor[[#This Row],[stab-foran_spreng_ratio]]&gt;=$LK$92,$LJ$92,"!")))</f>
        <v>Lite</v>
      </c>
      <c r="LB108" s="538">
        <f>IF(framdriftfaktor[[#This Row],[rating_stab-foran]]=$LJ$90,$LM$90+$LO$90*framdriftfaktor[[#This Row],[stab-foran_spreng_ratio]],IF(framdriftfaktor[[#This Row],[rating_stab-foran]]=$LJ$91,$LM$91+((framdriftfaktor[[#This Row],[stab-foran_spreng_ratio]]-$LK$91)*$LO$91),IF(framdriftfaktor[[#This Row],[rating_stab-foran]]=$LJ$92,$LM$92)))</f>
        <v>1.3</v>
      </c>
      <c r="LC108" s="241">
        <f>framdriftfaktor[[#This Row],[beregnet_faktor_stab-foran]]</f>
        <v>1.3</v>
      </c>
      <c r="LD108" s="323"/>
      <c r="LJ108" s="5888">
        <v>5</v>
      </c>
      <c r="LK108" s="185" t="b">
        <f>ISBLANK('Inn justeringer'!$BE$30)</f>
        <v>1</v>
      </c>
      <c r="LL108" s="5310">
        <f>('Inn justeringer'!$BE$30)</f>
        <v>0</v>
      </c>
      <c r="NN108" s="468" t="s">
        <v>562</v>
      </c>
      <c r="NO108" s="469"/>
      <c r="NY108" s="208"/>
      <c r="NZ108" s="208"/>
      <c r="OA108" s="208"/>
      <c r="OB108" s="208"/>
      <c r="OC108" s="208"/>
      <c r="OD108" s="208"/>
      <c r="OE108" s="208"/>
      <c r="OF108" s="208"/>
      <c r="OG108" s="208"/>
      <c r="OH108" s="208"/>
      <c r="OI108" s="208"/>
      <c r="OJ108" s="208"/>
      <c r="OK108" s="208"/>
      <c r="OL108" s="208"/>
      <c r="OM108" s="208"/>
      <c r="ON108" s="208"/>
      <c r="OO108" s="208"/>
      <c r="OP108" s="208"/>
      <c r="OQ108" s="208"/>
      <c r="OR108" s="208"/>
      <c r="OS108" s="208"/>
      <c r="OT108" s="208"/>
      <c r="OU108" s="208"/>
      <c r="OV108" s="186"/>
      <c r="OW108" s="186"/>
      <c r="OX108" s="186"/>
      <c r="OY108" s="186"/>
      <c r="OZ108" s="186"/>
      <c r="PA108" s="186"/>
      <c r="PB108" s="186"/>
      <c r="PC108" s="186"/>
      <c r="PD108" s="186"/>
      <c r="PE108" s="186"/>
      <c r="PF108" s="186"/>
      <c r="PG108" s="208"/>
      <c r="PH108" s="208"/>
      <c r="PI108" s="208"/>
      <c r="PJ108" s="1274"/>
      <c r="PK108" s="1274"/>
      <c r="PL108" s="1274"/>
      <c r="PM108" s="1274"/>
      <c r="PN108" s="1274"/>
      <c r="PO108" s="1274"/>
      <c r="PP108" s="1274"/>
      <c r="PQ108" s="208"/>
      <c r="PR108" s="208"/>
      <c r="PS108" s="208"/>
      <c r="PT108" s="208"/>
      <c r="PU108" s="208"/>
      <c r="PV108" s="208"/>
      <c r="PW108" s="208"/>
      <c r="PX108" s="208"/>
      <c r="PY108" s="208"/>
      <c r="PZ108" s="208"/>
      <c r="QA108" s="208"/>
      <c r="QB108" s="208"/>
      <c r="QC108" s="208"/>
      <c r="QD108" s="208"/>
      <c r="QE108" s="208"/>
      <c r="RF108" s="2617"/>
      <c r="RG108" s="2617"/>
      <c r="RH108" s="2617"/>
      <c r="RI108" s="2617"/>
      <c r="RJ108" s="2617"/>
      <c r="RK108" s="2617"/>
      <c r="RL108" s="2617"/>
      <c r="RM108" s="2617"/>
      <c r="RN108" s="2617"/>
      <c r="RO108" s="2617"/>
      <c r="RP108" s="2617"/>
      <c r="RQ108" s="2617"/>
      <c r="RR108" s="2617"/>
      <c r="RS108" s="2617"/>
      <c r="RT108" s="2617"/>
      <c r="RU108" s="2617"/>
      <c r="RV108" s="2617"/>
      <c r="RW108" s="2617"/>
      <c r="RX108" s="2617"/>
      <c r="RY108" s="2617"/>
      <c r="RZ108" s="2617"/>
      <c r="SA108" s="2617"/>
      <c r="SB108" s="2617"/>
      <c r="SC108" s="2617"/>
      <c r="SD108" s="2617"/>
      <c r="SE108" s="2617"/>
      <c r="SF108" s="2617"/>
      <c r="SG108" s="2617"/>
      <c r="SH108" s="2617"/>
      <c r="SI108" s="2617"/>
      <c r="SJ108" s="2617"/>
      <c r="SK108" s="2617"/>
      <c r="SL108" s="2617"/>
      <c r="SM108" s="2617"/>
      <c r="SN108" s="2617"/>
      <c r="SO108" s="2617"/>
      <c r="SP108" s="2617"/>
      <c r="SQ108" s="2617"/>
      <c r="SR108" s="2617"/>
      <c r="SS108" s="2617"/>
      <c r="ST108" s="2617"/>
      <c r="SU108" s="2617"/>
      <c r="SV108" s="2617"/>
      <c r="SW108" s="2617"/>
      <c r="SX108" s="2617"/>
      <c r="SY108" s="2617"/>
      <c r="SZ108" s="2617"/>
      <c r="TA108" s="2617"/>
      <c r="TB108" s="2617"/>
      <c r="TC108" s="2617"/>
      <c r="TD108" s="2617"/>
      <c r="TE108" s="2617"/>
      <c r="TF108" s="2617"/>
      <c r="TG108" s="2617"/>
      <c r="TH108" s="2617"/>
      <c r="TI108" s="2617"/>
      <c r="TJ108" s="2617"/>
      <c r="TK108" s="2617"/>
      <c r="TL108" s="2617"/>
      <c r="TM108" s="2617"/>
      <c r="TN108" s="2617"/>
      <c r="TO108" s="2617"/>
      <c r="TP108" s="2617"/>
      <c r="TQ108" s="2617"/>
      <c r="TS108" s="2617"/>
      <c r="TT108" s="2617"/>
      <c r="TU108" s="2617"/>
      <c r="TV108" s="2617"/>
      <c r="TW108" s="2617"/>
      <c r="UB108" s="2617"/>
      <c r="UC108" s="2617"/>
      <c r="UD108" s="2617"/>
      <c r="UE108" s="2617"/>
      <c r="UF108" s="2617"/>
      <c r="UG108" s="2617"/>
      <c r="UH108" s="2617"/>
      <c r="UI108" s="2617"/>
      <c r="UJ108" s="2617"/>
      <c r="UK108" s="2617"/>
      <c r="UL108" s="2617"/>
      <c r="UM108" s="2617"/>
      <c r="UN108" s="2617"/>
      <c r="UO108" s="2617"/>
      <c r="UP108" s="2617"/>
      <c r="UQ108" s="2617"/>
      <c r="UR108" s="2617"/>
      <c r="US108" s="2617"/>
      <c r="UT108" s="2617"/>
      <c r="UU108" s="2617"/>
      <c r="UV108" s="2617"/>
      <c r="UW108" s="2617"/>
      <c r="UX108" s="2617"/>
      <c r="UY108" s="2617"/>
      <c r="UZ108" s="2617"/>
      <c r="VB108" s="2617"/>
      <c r="VC108" s="2617"/>
      <c r="VD108" s="2617"/>
      <c r="VE108" s="2617"/>
      <c r="VF108" s="2617"/>
      <c r="VG108" s="2617"/>
      <c r="VH108" s="2617"/>
      <c r="VI108" s="2617"/>
      <c r="VJ108" s="2617"/>
      <c r="VK108" s="2617"/>
      <c r="VL108" s="2617"/>
      <c r="VM108" s="2617"/>
      <c r="VN108" s="2617"/>
      <c r="VO108" s="2617"/>
      <c r="VP108" s="2617"/>
      <c r="VQ108" s="2617"/>
      <c r="VR108" s="2617"/>
      <c r="VS108" s="2617"/>
      <c r="VT108" s="2617"/>
    </row>
    <row r="109" spans="2:630" ht="20.100000000000001" customHeight="1" thickBot="1" x14ac:dyDescent="0.25">
      <c r="I109" s="5567"/>
      <c r="AH109" s="2617"/>
      <c r="AI109" s="2617"/>
      <c r="AJ109" s="2617"/>
      <c r="AK109" s="2617"/>
      <c r="AL109" s="2617"/>
      <c r="AM109" s="2617"/>
      <c r="AN109" s="2617"/>
      <c r="AO109" s="2617"/>
      <c r="AP109" s="2617"/>
      <c r="AQ109" s="2617"/>
      <c r="AR109" s="2617"/>
      <c r="AS109" s="2617"/>
      <c r="AT109" s="2617"/>
      <c r="AU109" s="2617"/>
      <c r="DR109" s="340" t="str">
        <f>$QS$135</f>
        <v>Stuff 2-1</v>
      </c>
      <c r="DS109" s="188">
        <f>IF($BC$38=1,0,IF($BC$38=2,5,0))</f>
        <v>5</v>
      </c>
      <c r="DT109" s="185">
        <f>IF($BC$34&gt;4,1,0)</f>
        <v>0</v>
      </c>
      <c r="DU109" s="194">
        <f>IF($BC$38=2,INDEX(outputs_position[21],MATCH($BC$35,outputs_position[lopstuff],0)),0)</f>
        <v>0</v>
      </c>
      <c r="DV109" s="194" t="str">
        <f t="shared" si="194"/>
        <v>Stuff 2-1</v>
      </c>
      <c r="DW109" s="241">
        <f t="shared" si="195"/>
        <v>0</v>
      </c>
      <c r="DX109" s="241">
        <f t="shared" si="196"/>
        <v>0</v>
      </c>
      <c r="DY109" s="241">
        <f t="shared" si="197"/>
        <v>0</v>
      </c>
      <c r="DZ109" s="241">
        <f t="shared" si="198"/>
        <v>0</v>
      </c>
      <c r="EA109" s="241">
        <f t="shared" si="199"/>
        <v>0</v>
      </c>
      <c r="EB109" s="241">
        <f t="shared" si="200"/>
        <v>0</v>
      </c>
      <c r="EC109" s="241"/>
      <c r="ED109" s="241">
        <f t="shared" si="201"/>
        <v>0</v>
      </c>
      <c r="EE109" s="241">
        <f t="shared" si="202"/>
        <v>0</v>
      </c>
      <c r="EF109" s="241">
        <f t="shared" si="203"/>
        <v>0</v>
      </c>
      <c r="EG109" s="241"/>
      <c r="EH109" s="392">
        <f t="shared" si="204"/>
        <v>0</v>
      </c>
      <c r="EI109" s="392">
        <f>outputs_foran[[#This Row],[Sonderboring]]+outputs_foran[[#This Row],[Kjerneboring]]+outputs_foran[[#This Row],[Seismikk]]</f>
        <v>0</v>
      </c>
      <c r="EJ109" s="392">
        <f>outputs_foran[[#This Row],[sp_Rigg]]+outputs_foran[[#This Row],[sp_Boring]]+outputs_foran[[#This Row],[Sp_Injeksjon]]+outputs_foran[[#This Row],[sp_Kontrollhull]]+outputs_foran[[#This Row],[sy_Rigg]]+outputs_foran[[#This Row],[sy_Boring]]+outputs_foran[[#This Row],[sy_Injeksjon]]+outputs_foran[[#This Row],[sy_Kontrollhull]]</f>
        <v>0</v>
      </c>
      <c r="EK109" s="241">
        <f>outputs_foran[[#This Row],[total_tid]]/$AI$80</f>
        <v>0</v>
      </c>
      <c r="EL109" s="210"/>
      <c r="IH109" s="6002"/>
      <c r="II109" s="275"/>
      <c r="IJ109" s="6003" t="s">
        <v>2348</v>
      </c>
      <c r="IK109" s="6004" t="str">
        <f t="shared" si="205"/>
        <v>Stuff 1-1</v>
      </c>
      <c r="IL109" s="6004" t="str">
        <f t="shared" si="205"/>
        <v/>
      </c>
      <c r="IM109" s="6004" t="str">
        <f t="shared" si="205"/>
        <v/>
      </c>
      <c r="IN109" s="6004" t="str">
        <f t="shared" si="205"/>
        <v/>
      </c>
      <c r="IO109" s="6004" t="str">
        <f t="shared" si="205"/>
        <v/>
      </c>
      <c r="IP109" s="6004" t="str">
        <f t="shared" si="205"/>
        <v/>
      </c>
      <c r="IQ109" s="6004" t="str">
        <f t="shared" si="205"/>
        <v/>
      </c>
      <c r="IR109" s="6004" t="str">
        <f t="shared" si="205"/>
        <v/>
      </c>
      <c r="IS109" s="6004" t="str">
        <f t="shared" si="205"/>
        <v/>
      </c>
      <c r="KO109" s="407" t="str">
        <f t="shared" si="135"/>
        <v>klasse_7</v>
      </c>
      <c r="KP109" s="340" t="str">
        <f>$QU$135</f>
        <v>Stuff 2-3</v>
      </c>
      <c r="KQ109" s="5948" t="str">
        <f>IFERROR(INDEX(tunneldrift_vekseldrift[vekseldrift_lengde_final],MATCH(framdriftfaktor[[#This Row],[stuff_navn]],tunneldrift_vekseldrift[Stuff_navn],0))/INDEX(tunneldrift_vekseldrift[Input_stuff_lengde],MATCH(framdriftfaktor[[#This Row],[stuff_navn]],tunneldrift_vekseldrift[Stuff_navn],0)),"-")</f>
        <v>-</v>
      </c>
      <c r="KR109" s="340"/>
      <c r="KS109" s="241">
        <f t="shared" si="136"/>
        <v>0</v>
      </c>
      <c r="KT109" s="241">
        <f t="shared" si="137"/>
        <v>0</v>
      </c>
      <c r="KU109" s="241">
        <f t="shared" si="138"/>
        <v>0</v>
      </c>
      <c r="KV109" s="211" t="str">
        <f>IFERROR(framdriftfaktor[[#This Row],[sprengning_tid_hr]]*framdriftfaktor[[#This Row],[veksel_prosent]],"-")</f>
        <v>-</v>
      </c>
      <c r="KW109" s="211" t="str">
        <f>IFERROR(framdriftfaktor[[#This Row],[stabilitets_tid_hr]]*framdriftfaktor[[#This Row],[veksel_prosent]],"-")</f>
        <v>-</v>
      </c>
      <c r="KX109" s="211" t="str">
        <f>IFERROR(framdriftfaktor[[#This Row],[foran_tid_hr]]*framdriftfaktor[[#This Row],[veksel_prosent]],"-")</f>
        <v>-</v>
      </c>
      <c r="KY109" s="5348">
        <f>IFERROR((framdriftfaktor[[#This Row],[stabilitets_tid_hr_veksel_del]]+framdriftfaktor[[#This Row],[foran_tid_hr_veksel_del]]+KW105+KX105)/(framdriftfaktor[[#This Row],[sprengning_tid_hr_veksel_del]]+KV105),0)</f>
        <v>0</v>
      </c>
      <c r="KZ109" s="538"/>
      <c r="LA109" s="241" t="str">
        <f>IF(framdriftfaktor[[#This Row],[stab-foran_spreng_ratio]]&lt;$LL$90,$LJ$90,IF(AND(framdriftfaktor[[#This Row],[stab-foran_spreng_ratio]]&gt;=$LK$91,framdriftfaktor[[#This Row],[stab-foran_spreng_ratio]]&lt;$LL$91),$LJ$91,IF(framdriftfaktor[[#This Row],[stab-foran_spreng_ratio]]&gt;=$LK$92,$LJ$92,"!")))</f>
        <v>Lite</v>
      </c>
      <c r="LB109" s="538">
        <f>IF(framdriftfaktor[[#This Row],[rating_stab-foran]]=$LJ$90,$LM$90+$LO$90*framdriftfaktor[[#This Row],[stab-foran_spreng_ratio]],IF(framdriftfaktor[[#This Row],[rating_stab-foran]]=$LJ$91,$LM$91+((framdriftfaktor[[#This Row],[stab-foran_spreng_ratio]]-$LK$91)*$LO$91),IF(framdriftfaktor[[#This Row],[rating_stab-foran]]=$LJ$92,$LM$92)))</f>
        <v>1.3</v>
      </c>
      <c r="LC109" s="241">
        <f>framdriftfaktor[[#This Row],[beregnet_faktor_stab-foran]]</f>
        <v>1.3</v>
      </c>
      <c r="LD109" s="323"/>
      <c r="LJ109" s="5888">
        <v>6</v>
      </c>
      <c r="LK109" s="5310" t="b">
        <f>LK108</f>
        <v>1</v>
      </c>
      <c r="LL109" s="5310">
        <f>LL108</f>
        <v>0</v>
      </c>
      <c r="NY109" s="208"/>
      <c r="NZ109" s="208"/>
      <c r="OA109" s="208"/>
      <c r="OB109" s="208"/>
      <c r="OC109" s="208"/>
      <c r="OD109" s="208"/>
      <c r="OE109" s="208"/>
      <c r="OF109" s="208"/>
      <c r="OG109" s="208"/>
      <c r="OH109" s="208"/>
      <c r="OI109" s="208"/>
      <c r="OJ109" s="208"/>
      <c r="OK109" s="208"/>
      <c r="OL109" s="208"/>
      <c r="OM109" s="208"/>
      <c r="ON109" s="208"/>
      <c r="OO109" s="208"/>
      <c r="OP109" s="208"/>
      <c r="OQ109" s="208"/>
      <c r="OR109" s="208"/>
      <c r="OS109" s="208"/>
      <c r="OT109" s="208"/>
      <c r="OU109" s="208"/>
      <c r="OV109" s="186"/>
      <c r="OW109" s="186"/>
      <c r="OX109" s="186"/>
      <c r="OY109" s="186"/>
      <c r="OZ109" s="186"/>
      <c r="PA109" s="186"/>
      <c r="PB109" s="186"/>
      <c r="PC109" s="186"/>
      <c r="PD109" s="186"/>
      <c r="PE109" s="186"/>
      <c r="PF109" s="186"/>
      <c r="PG109" s="208"/>
      <c r="PH109" s="208"/>
      <c r="PI109" s="208"/>
      <c r="PJ109" s="1274"/>
      <c r="PK109" s="1274"/>
      <c r="PL109" s="1274"/>
      <c r="PM109" s="1274"/>
      <c r="PN109" s="1274"/>
      <c r="PO109" s="1274"/>
      <c r="PP109" s="1274"/>
      <c r="PQ109" s="208"/>
      <c r="PR109" s="208"/>
      <c r="PS109" s="208"/>
      <c r="PT109" s="208"/>
      <c r="PU109" s="208"/>
      <c r="PV109" s="208"/>
      <c r="PW109" s="208"/>
      <c r="PX109" s="208"/>
      <c r="PY109" s="208"/>
      <c r="PZ109" s="208"/>
      <c r="QA109" s="208"/>
      <c r="QB109" s="208"/>
      <c r="QC109" s="208"/>
      <c r="QD109" s="208"/>
      <c r="QE109" s="208"/>
      <c r="RF109" s="2617"/>
      <c r="RG109" s="2617"/>
      <c r="RH109" s="2617"/>
      <c r="RI109" s="2617"/>
      <c r="RJ109" s="2617"/>
      <c r="RK109" s="2617"/>
      <c r="RL109" s="2617"/>
      <c r="RM109" s="2617"/>
      <c r="RN109" s="2617"/>
      <c r="RO109" s="2617"/>
      <c r="RP109" s="2617"/>
      <c r="RQ109" s="2617"/>
      <c r="RR109" s="2617"/>
      <c r="RS109" s="2617"/>
      <c r="RT109" s="2617"/>
      <c r="RU109" s="2617"/>
      <c r="RV109" s="2617"/>
      <c r="RW109" s="2617"/>
      <c r="RX109" s="2617"/>
      <c r="RY109" s="2617"/>
      <c r="RZ109" s="2617"/>
      <c r="SA109" s="2617"/>
      <c r="SB109" s="2617"/>
      <c r="SC109" s="2617"/>
      <c r="SD109" s="2617"/>
      <c r="SE109" s="2617"/>
      <c r="SF109" s="2617"/>
      <c r="SG109" s="2617"/>
      <c r="SH109" s="2617"/>
      <c r="SI109" s="2617"/>
      <c r="SJ109" s="2617"/>
      <c r="SK109" s="2617"/>
      <c r="SL109" s="2617"/>
      <c r="SM109" s="2617"/>
      <c r="SN109" s="2617"/>
      <c r="SO109" s="2617"/>
      <c r="SP109" s="2617"/>
      <c r="SQ109" s="2617"/>
      <c r="SR109" s="2617"/>
      <c r="SS109" s="2617"/>
      <c r="ST109" s="2617"/>
      <c r="SU109" s="2617"/>
      <c r="SV109" s="2617"/>
      <c r="SW109" s="2617"/>
      <c r="SX109" s="2617"/>
      <c r="SY109" s="2617"/>
      <c r="SZ109" s="2617"/>
      <c r="TA109" s="2617"/>
      <c r="TB109" s="2617"/>
      <c r="TC109" s="2617"/>
      <c r="TD109" s="2617"/>
      <c r="TE109" s="2617"/>
      <c r="TF109" s="2617"/>
      <c r="TG109" s="2617"/>
      <c r="TH109" s="2617"/>
      <c r="TI109" s="2617"/>
      <c r="TJ109" s="2617"/>
      <c r="TK109" s="2617"/>
      <c r="TL109" s="2617"/>
      <c r="TM109" s="2617"/>
      <c r="TN109" s="2617"/>
      <c r="TO109" s="2617"/>
      <c r="TP109" s="2617"/>
      <c r="TQ109" s="2617"/>
      <c r="TS109" s="2617"/>
      <c r="TT109" s="2617"/>
      <c r="TU109" s="2617"/>
      <c r="TV109" s="2617"/>
      <c r="TW109" s="2617"/>
      <c r="UB109" s="2617"/>
      <c r="UC109" s="2617"/>
      <c r="UD109" s="2617"/>
      <c r="UE109" s="2617"/>
      <c r="UF109" s="2617"/>
      <c r="UG109" s="2617"/>
      <c r="UH109" s="2617"/>
      <c r="UI109" s="2617"/>
      <c r="UJ109" s="2617"/>
      <c r="UK109" s="2617"/>
      <c r="UL109" s="2617"/>
      <c r="UM109" s="2617"/>
      <c r="UN109" s="2617"/>
      <c r="UO109" s="2617"/>
      <c r="UP109" s="2617"/>
      <c r="UQ109" s="2617"/>
      <c r="UR109" s="2617"/>
      <c r="US109" s="2617"/>
      <c r="UT109" s="2617"/>
      <c r="UU109" s="2617"/>
      <c r="UV109" s="2617"/>
      <c r="UW109" s="2617"/>
      <c r="UX109" s="2617"/>
      <c r="UY109" s="2617"/>
      <c r="UZ109" s="2617"/>
      <c r="VB109" s="2617"/>
      <c r="VC109" s="2617"/>
      <c r="VD109" s="2617"/>
      <c r="VE109" s="2617"/>
      <c r="VF109" s="2617"/>
      <c r="VG109" s="2617"/>
      <c r="VH109" s="2617"/>
      <c r="VI109" s="2617"/>
      <c r="VJ109" s="2617"/>
      <c r="VK109" s="2617"/>
      <c r="VL109" s="2617"/>
      <c r="VM109" s="2617"/>
      <c r="VN109" s="2617"/>
      <c r="VO109" s="2617"/>
      <c r="VP109" s="2617"/>
      <c r="VQ109" s="2617"/>
      <c r="VR109" s="2617"/>
      <c r="VS109" s="2617"/>
      <c r="VT109" s="2617"/>
    </row>
    <row r="110" spans="2:630" ht="20.100000000000001" customHeight="1" thickBot="1" x14ac:dyDescent="0.25">
      <c r="I110" s="5567"/>
      <c r="AH110" s="2617"/>
      <c r="AI110" s="2617"/>
      <c r="AJ110" s="2617"/>
      <c r="AK110" s="2617"/>
      <c r="AL110" s="2617"/>
      <c r="AM110" s="2617"/>
      <c r="AN110" s="2617"/>
      <c r="AO110" s="2617"/>
      <c r="AP110" s="2617"/>
      <c r="AQ110" s="2617"/>
      <c r="AR110" s="2617"/>
      <c r="AS110" s="2617"/>
      <c r="AT110" s="2617"/>
      <c r="AU110" s="2617"/>
      <c r="BB110" s="275"/>
      <c r="BC110" s="275"/>
      <c r="BD110" s="275"/>
      <c r="BE110" s="275"/>
      <c r="BF110" s="275"/>
      <c r="BG110" s="275"/>
      <c r="BH110" s="275"/>
      <c r="BI110" s="277"/>
      <c r="BJ110" s="275"/>
      <c r="BK110" s="275"/>
      <c r="BL110" s="275"/>
      <c r="BM110" s="275"/>
      <c r="BN110" s="275"/>
      <c r="BO110" s="275"/>
      <c r="BP110" s="275"/>
      <c r="BQ110" s="275"/>
      <c r="BR110" s="275"/>
      <c r="BS110" s="275"/>
      <c r="BT110" s="275"/>
      <c r="BU110" s="275"/>
      <c r="DR110" s="340" t="str">
        <f>$QT$135</f>
        <v>Stuff 2-2</v>
      </c>
      <c r="DS110" s="188">
        <f>IF($BC$38=1,0,IF($BC$38=2,6,0))</f>
        <v>6</v>
      </c>
      <c r="DT110" s="185">
        <f>IF($BC$34&gt;5,1,0)</f>
        <v>0</v>
      </c>
      <c r="DU110" s="194">
        <f>IF($BC$38=2,INDEX(outputs_position[22],MATCH($BC$35,outputs_position[lopstuff],0)),0)</f>
        <v>0</v>
      </c>
      <c r="DV110" s="194" t="str">
        <f t="shared" si="194"/>
        <v>Stuff 2-2</v>
      </c>
      <c r="DW110" s="241">
        <f t="shared" si="195"/>
        <v>0</v>
      </c>
      <c r="DX110" s="241">
        <f t="shared" si="196"/>
        <v>0</v>
      </c>
      <c r="DY110" s="241">
        <f t="shared" si="197"/>
        <v>0</v>
      </c>
      <c r="DZ110" s="241">
        <f t="shared" si="198"/>
        <v>0</v>
      </c>
      <c r="EA110" s="241">
        <f t="shared" si="199"/>
        <v>0</v>
      </c>
      <c r="EB110" s="241">
        <f t="shared" si="200"/>
        <v>0</v>
      </c>
      <c r="EC110" s="241"/>
      <c r="ED110" s="241">
        <f t="shared" si="201"/>
        <v>0</v>
      </c>
      <c r="EE110" s="241">
        <f t="shared" si="202"/>
        <v>0</v>
      </c>
      <c r="EF110" s="241">
        <f t="shared" si="203"/>
        <v>0</v>
      </c>
      <c r="EG110" s="241"/>
      <c r="EH110" s="392">
        <f t="shared" si="204"/>
        <v>0</v>
      </c>
      <c r="EI110" s="392">
        <f>outputs_foran[[#This Row],[Sonderboring]]+outputs_foran[[#This Row],[Kjerneboring]]+outputs_foran[[#This Row],[Seismikk]]</f>
        <v>0</v>
      </c>
      <c r="EJ110" s="392">
        <f>outputs_foran[[#This Row],[sp_Rigg]]+outputs_foran[[#This Row],[sp_Boring]]+outputs_foran[[#This Row],[Sp_Injeksjon]]+outputs_foran[[#This Row],[sp_Kontrollhull]]+outputs_foran[[#This Row],[sy_Rigg]]+outputs_foran[[#This Row],[sy_Boring]]+outputs_foran[[#This Row],[sy_Injeksjon]]+outputs_foran[[#This Row],[sy_Kontrollhull]]</f>
        <v>0</v>
      </c>
      <c r="EK110" s="241">
        <f>outputs_foran[[#This Row],[total_tid]]/$AI$80</f>
        <v>0</v>
      </c>
      <c r="EL110" s="210"/>
      <c r="ER110" s="283" t="s">
        <v>350</v>
      </c>
      <c r="ES110" s="239"/>
      <c r="ET110" s="239"/>
      <c r="EU110" s="239"/>
      <c r="EV110" s="239"/>
      <c r="EW110" s="239"/>
      <c r="FB110" s="239"/>
      <c r="FC110" s="239"/>
      <c r="IH110" s="6001" t="s">
        <v>2713</v>
      </c>
      <c r="II110" s="6001" t="s">
        <v>2719</v>
      </c>
      <c r="IJ110" s="247"/>
      <c r="IK110" s="3408"/>
      <c r="IL110" s="3408"/>
      <c r="IM110" s="3408"/>
      <c r="IN110" s="3408"/>
      <c r="IO110" s="3408"/>
      <c r="IP110" s="3408"/>
      <c r="IQ110" s="3408"/>
      <c r="IR110" s="3408"/>
      <c r="IS110" s="3408"/>
      <c r="KO110" s="407" t="str">
        <f t="shared" si="135"/>
        <v>klasse_8</v>
      </c>
      <c r="KP110" s="340" t="str">
        <f>$QV$135</f>
        <v>Stuff 2-4</v>
      </c>
      <c r="KQ110" s="5948" t="str">
        <f>IFERROR(INDEX(tunneldrift_vekseldrift[vekseldrift_lengde_final],MATCH(framdriftfaktor[[#This Row],[stuff_navn]],tunneldrift_vekseldrift[Stuff_navn],0))/INDEX(tunneldrift_vekseldrift[Input_stuff_lengde],MATCH(framdriftfaktor[[#This Row],[stuff_navn]],tunneldrift_vekseldrift[Stuff_navn],0)),"-")</f>
        <v>-</v>
      </c>
      <c r="KR110" s="340"/>
      <c r="KS110" s="241">
        <f t="shared" si="136"/>
        <v>0</v>
      </c>
      <c r="KT110" s="241">
        <f t="shared" si="137"/>
        <v>0</v>
      </c>
      <c r="KU110" s="241">
        <f t="shared" si="138"/>
        <v>0</v>
      </c>
      <c r="KV110" s="211" t="str">
        <f>IFERROR(framdriftfaktor[[#This Row],[sprengning_tid_hr]]*framdriftfaktor[[#This Row],[veksel_prosent]],"-")</f>
        <v>-</v>
      </c>
      <c r="KW110" s="211" t="str">
        <f>IFERROR(framdriftfaktor[[#This Row],[stabilitets_tid_hr]]*framdriftfaktor[[#This Row],[veksel_prosent]],"-")</f>
        <v>-</v>
      </c>
      <c r="KX110" s="211" t="str">
        <f>IFERROR(framdriftfaktor[[#This Row],[foran_tid_hr]]*framdriftfaktor[[#This Row],[veksel_prosent]],"-")</f>
        <v>-</v>
      </c>
      <c r="KY110" s="5348">
        <f>IFERROR((framdriftfaktor[[#This Row],[stabilitets_tid_hr_veksel_del]]+framdriftfaktor[[#This Row],[foran_tid_hr_veksel_del]]+KW106+KX106)/(framdriftfaktor[[#This Row],[sprengning_tid_hr_veksel_del]]+KV106),0)</f>
        <v>0</v>
      </c>
      <c r="KZ110" s="538"/>
      <c r="LA110" s="241" t="str">
        <f>IF(framdriftfaktor[[#This Row],[stab-foran_spreng_ratio]]&lt;$LL$90,$LJ$90,IF(AND(framdriftfaktor[[#This Row],[stab-foran_spreng_ratio]]&gt;=$LK$91,framdriftfaktor[[#This Row],[stab-foran_spreng_ratio]]&lt;$LL$91),$LJ$91,IF(framdriftfaktor[[#This Row],[stab-foran_spreng_ratio]]&gt;=$LK$92,$LJ$92,"!")))</f>
        <v>Lite</v>
      </c>
      <c r="LB110" s="538">
        <f>IF(framdriftfaktor[[#This Row],[rating_stab-foran]]=$LJ$90,$LM$90+$LO$90*framdriftfaktor[[#This Row],[stab-foran_spreng_ratio]],IF(framdriftfaktor[[#This Row],[rating_stab-foran]]=$LJ$91,$LM$91+((framdriftfaktor[[#This Row],[stab-foran_spreng_ratio]]-$LK$91)*$LO$91),IF(framdriftfaktor[[#This Row],[rating_stab-foran]]=$LJ$92,$LM$92)))</f>
        <v>1.3</v>
      </c>
      <c r="LC110" s="241">
        <f>framdriftfaktor[[#This Row],[beregnet_faktor_stab-foran]]</f>
        <v>1.3</v>
      </c>
      <c r="LD110" s="323"/>
      <c r="LJ110" s="5888">
        <v>7</v>
      </c>
      <c r="LK110" s="185" t="b">
        <f>ISBLANK('Inn justeringer'!$BU$30)</f>
        <v>1</v>
      </c>
      <c r="LL110" s="5310">
        <f>('Inn justeringer'!$BU$30)</f>
        <v>0</v>
      </c>
      <c r="NN110" s="433" t="s">
        <v>2360</v>
      </c>
      <c r="NY110" s="208"/>
      <c r="NZ110" s="208"/>
      <c r="OA110" s="208"/>
      <c r="OB110" s="208"/>
      <c r="OC110" s="208"/>
      <c r="OD110" s="208"/>
      <c r="OE110" s="208"/>
      <c r="OF110" s="208"/>
      <c r="OG110" s="208"/>
      <c r="OH110" s="208"/>
      <c r="OI110" s="208"/>
      <c r="OJ110" s="208"/>
      <c r="OK110" s="208"/>
      <c r="OL110" s="208"/>
      <c r="OM110" s="208"/>
      <c r="ON110" s="208"/>
      <c r="OO110" s="208"/>
      <c r="OP110" s="208"/>
      <c r="OQ110" s="208"/>
      <c r="OR110" s="208"/>
      <c r="OS110" s="208"/>
      <c r="OT110" s="208"/>
      <c r="OU110" s="208"/>
      <c r="OV110" s="186"/>
      <c r="OW110" s="186"/>
      <c r="OX110" s="186"/>
      <c r="OY110" s="186"/>
      <c r="OZ110" s="186"/>
      <c r="PA110" s="186"/>
      <c r="PB110" s="186"/>
      <c r="PC110" s="186"/>
      <c r="PD110" s="186"/>
      <c r="PE110" s="186"/>
      <c r="PF110" s="186"/>
      <c r="PG110" s="208"/>
      <c r="PH110" s="208"/>
      <c r="PI110" s="208"/>
      <c r="PJ110" s="1274"/>
      <c r="PK110" s="1274"/>
      <c r="PL110" s="1274"/>
      <c r="PM110" s="1274"/>
      <c r="PN110" s="1274"/>
      <c r="PO110" s="1274"/>
      <c r="PP110" s="1274"/>
      <c r="PQ110" s="208"/>
      <c r="PR110" s="208"/>
      <c r="PS110" s="208"/>
      <c r="PT110" s="208"/>
      <c r="PU110" s="208"/>
      <c r="PV110" s="208"/>
      <c r="PW110" s="208"/>
      <c r="PX110" s="208"/>
      <c r="PY110" s="208"/>
      <c r="PZ110" s="208"/>
      <c r="QA110" s="208"/>
      <c r="QB110" s="208"/>
      <c r="QC110" s="208"/>
      <c r="QD110" s="208"/>
      <c r="QE110" s="208"/>
      <c r="RF110" s="2617"/>
      <c r="RG110" s="2617"/>
      <c r="RH110" s="2617"/>
      <c r="RI110" s="2617"/>
      <c r="RJ110" s="2617"/>
      <c r="RK110" s="2617"/>
      <c r="RL110" s="2617"/>
      <c r="RM110" s="2617"/>
      <c r="RN110" s="2617"/>
      <c r="RO110" s="2617"/>
      <c r="RP110" s="2617"/>
      <c r="RQ110" s="2617"/>
      <c r="RR110" s="2617"/>
      <c r="RS110" s="2617"/>
      <c r="RT110" s="2617"/>
      <c r="RU110" s="2617"/>
      <c r="RV110" s="2617"/>
      <c r="RW110" s="2617"/>
      <c r="RX110" s="2617"/>
      <c r="RY110" s="2617"/>
      <c r="RZ110" s="2617"/>
      <c r="SA110" s="2617"/>
      <c r="SB110" s="2617"/>
      <c r="SC110" s="2617"/>
      <c r="SD110" s="2617"/>
      <c r="SE110" s="2617"/>
      <c r="SF110" s="2617"/>
      <c r="SG110" s="2617"/>
      <c r="SH110" s="2617"/>
      <c r="SI110" s="2617"/>
      <c r="SJ110" s="2617"/>
      <c r="SK110" s="2617"/>
      <c r="SL110" s="2617"/>
      <c r="SM110" s="2617"/>
      <c r="SN110" s="2617"/>
      <c r="SO110" s="2617"/>
      <c r="SP110" s="2617"/>
      <c r="SQ110" s="2617"/>
      <c r="SR110" s="2617"/>
      <c r="SS110" s="2617"/>
      <c r="ST110" s="2617"/>
      <c r="SU110" s="2617"/>
      <c r="SV110" s="2617"/>
      <c r="SW110" s="2617"/>
      <c r="SX110" s="2617"/>
      <c r="SY110" s="2617"/>
      <c r="SZ110" s="2617"/>
      <c r="TA110" s="2617"/>
      <c r="TB110" s="2617"/>
      <c r="TC110" s="2617"/>
      <c r="TD110" s="2617"/>
      <c r="TE110" s="2617"/>
      <c r="TF110" s="2617"/>
      <c r="TG110" s="2617"/>
      <c r="TH110" s="2617"/>
      <c r="TI110" s="2617"/>
      <c r="TJ110" s="2617"/>
      <c r="TK110" s="2617"/>
      <c r="TL110" s="2617"/>
      <c r="TM110" s="2617"/>
      <c r="TN110" s="2617"/>
      <c r="TO110" s="2617"/>
      <c r="TP110" s="2617"/>
      <c r="TQ110" s="2617"/>
      <c r="TS110" s="2617"/>
      <c r="TT110" s="2617"/>
      <c r="TU110" s="2617"/>
      <c r="TV110" s="2617"/>
      <c r="TW110" s="2617"/>
      <c r="UB110" s="2617"/>
      <c r="UC110" s="2617"/>
      <c r="UD110" s="2617"/>
      <c r="UE110" s="2617"/>
      <c r="UF110" s="2617"/>
      <c r="UG110" s="2617"/>
      <c r="UH110" s="2617"/>
      <c r="UI110" s="2617"/>
      <c r="UJ110" s="2617"/>
      <c r="UK110" s="2617"/>
      <c r="UL110" s="2617"/>
      <c r="UM110" s="2617"/>
      <c r="UN110" s="2617"/>
      <c r="UO110" s="2617"/>
      <c r="UP110" s="2617"/>
      <c r="UQ110" s="2617"/>
      <c r="UR110" s="2617"/>
      <c r="US110" s="2617"/>
      <c r="UT110" s="2617"/>
      <c r="UU110" s="2617"/>
      <c r="UV110" s="2617"/>
      <c r="UW110" s="2617"/>
      <c r="UX110" s="2617"/>
      <c r="UY110" s="2617"/>
      <c r="UZ110" s="2617"/>
      <c r="VB110" s="2617"/>
      <c r="VC110" s="2617"/>
      <c r="VD110" s="2617"/>
      <c r="VE110" s="2617"/>
      <c r="VF110" s="2617"/>
      <c r="VG110" s="2617"/>
      <c r="VH110" s="2617"/>
      <c r="VI110" s="2617"/>
      <c r="VJ110" s="2617"/>
      <c r="VK110" s="2617"/>
      <c r="VL110" s="2617"/>
      <c r="VM110" s="2617"/>
      <c r="VN110" s="2617"/>
      <c r="VO110" s="2617"/>
      <c r="VP110" s="2617"/>
      <c r="VQ110" s="2617"/>
      <c r="VR110" s="2617"/>
      <c r="VS110" s="2617"/>
      <c r="VT110" s="2617"/>
    </row>
    <row r="111" spans="2:630" s="207" customFormat="1" ht="20.100000000000001" customHeight="1" x14ac:dyDescent="0.2">
      <c r="B111" s="402"/>
      <c r="C111" s="402"/>
      <c r="D111" s="402"/>
      <c r="E111" s="402"/>
      <c r="I111" s="5568"/>
      <c r="R111" s="6010"/>
      <c r="S111" s="6010"/>
      <c r="T111" s="6010"/>
      <c r="AH111" s="2617"/>
      <c r="AI111" s="2617"/>
      <c r="AJ111" s="2617"/>
      <c r="AK111" s="2617"/>
      <c r="AL111" s="2617"/>
      <c r="AM111" s="2617"/>
      <c r="AN111" s="2617"/>
      <c r="AO111" s="2617"/>
      <c r="AP111" s="2617"/>
      <c r="AQ111" s="2617"/>
      <c r="AR111" s="2617"/>
      <c r="AS111" s="2617"/>
      <c r="AT111" s="2617"/>
      <c r="AU111" s="2617"/>
      <c r="BB111" s="183"/>
      <c r="BC111" s="183"/>
      <c r="BD111" s="183"/>
      <c r="BE111" s="183"/>
      <c r="BF111" s="183"/>
      <c r="BG111" s="183"/>
      <c r="BH111" s="183"/>
      <c r="BI111" s="184"/>
      <c r="BJ111" s="183"/>
      <c r="BK111" s="183"/>
      <c r="BL111" s="183"/>
      <c r="BM111" s="183"/>
      <c r="BN111" s="183"/>
      <c r="BO111" s="183"/>
      <c r="BP111" s="183"/>
      <c r="BQ111" s="183"/>
      <c r="BR111" s="183"/>
      <c r="BS111" s="183"/>
      <c r="BT111" s="183"/>
      <c r="BU111" s="183"/>
      <c r="BV111" s="183"/>
      <c r="BW111" s="183"/>
      <c r="CM111" s="5370"/>
      <c r="CN111" s="5370"/>
      <c r="CO111" s="5370"/>
      <c r="CP111" s="5370"/>
      <c r="CQ111" s="5370"/>
      <c r="CR111" s="5370"/>
      <c r="CS111" s="5370"/>
      <c r="DQ111" s="183"/>
      <c r="DR111" s="340" t="str">
        <f>$QU$135</f>
        <v>Stuff 2-3</v>
      </c>
      <c r="DS111" s="188">
        <f>IF($BC$38=1,0,IF($BC$38=2,7,0))</f>
        <v>7</v>
      </c>
      <c r="DT111" s="185">
        <f>IF($BC$34&gt;6,1,0)</f>
        <v>0</v>
      </c>
      <c r="DU111" s="194">
        <f>IF($BC$38=2,INDEX(outputs_position[23],MATCH($BC$35,outputs_position[lopstuff],0)),0)</f>
        <v>0</v>
      </c>
      <c r="DV111" s="194" t="str">
        <f t="shared" si="194"/>
        <v>Stuff 2-3</v>
      </c>
      <c r="DW111" s="241">
        <f t="shared" si="195"/>
        <v>0</v>
      </c>
      <c r="DX111" s="241">
        <f t="shared" si="196"/>
        <v>0</v>
      </c>
      <c r="DY111" s="241">
        <f t="shared" si="197"/>
        <v>0</v>
      </c>
      <c r="DZ111" s="241">
        <f t="shared" si="198"/>
        <v>0</v>
      </c>
      <c r="EA111" s="241">
        <f t="shared" si="199"/>
        <v>0</v>
      </c>
      <c r="EB111" s="241">
        <f t="shared" si="200"/>
        <v>0</v>
      </c>
      <c r="EC111" s="241"/>
      <c r="ED111" s="241">
        <f t="shared" si="201"/>
        <v>0</v>
      </c>
      <c r="EE111" s="241">
        <f t="shared" si="202"/>
        <v>0</v>
      </c>
      <c r="EF111" s="241">
        <f t="shared" si="203"/>
        <v>0</v>
      </c>
      <c r="EG111" s="241"/>
      <c r="EH111" s="392">
        <f t="shared" si="204"/>
        <v>0</v>
      </c>
      <c r="EI111" s="392">
        <f>outputs_foran[[#This Row],[Sonderboring]]+outputs_foran[[#This Row],[Kjerneboring]]+outputs_foran[[#This Row],[Seismikk]]</f>
        <v>0</v>
      </c>
      <c r="EJ111" s="392">
        <f>outputs_foran[[#This Row],[sp_Rigg]]+outputs_foran[[#This Row],[sp_Boring]]+outputs_foran[[#This Row],[Sp_Injeksjon]]+outputs_foran[[#This Row],[sp_Kontrollhull]]+outputs_foran[[#This Row],[sy_Rigg]]+outputs_foran[[#This Row],[sy_Boring]]+outputs_foran[[#This Row],[sy_Injeksjon]]+outputs_foran[[#This Row],[sy_Kontrollhull]]</f>
        <v>0</v>
      </c>
      <c r="EK111" s="241">
        <f>outputs_foran[[#This Row],[total_tid]]/$AI$80</f>
        <v>0</v>
      </c>
      <c r="EL111" s="210"/>
      <c r="EM111" s="183"/>
      <c r="EN111" s="183"/>
      <c r="EQ111" s="183"/>
      <c r="ER111" s="183"/>
      <c r="ES111" s="183"/>
      <c r="ET111" s="183"/>
      <c r="EU111" s="183"/>
      <c r="EV111" s="183"/>
      <c r="EW111" s="183"/>
      <c r="EX111" s="183"/>
      <c r="EY111" s="183"/>
      <c r="EZ111" s="183"/>
      <c r="FA111" s="183"/>
      <c r="FB111" s="183"/>
      <c r="FC111" s="183"/>
      <c r="FD111" s="183"/>
      <c r="FE111" s="183"/>
      <c r="FF111" s="183"/>
      <c r="FG111" s="183"/>
      <c r="FH111" s="183"/>
      <c r="FI111" s="183"/>
      <c r="FJ111" s="183"/>
      <c r="FK111" s="183"/>
      <c r="FL111" s="183"/>
      <c r="FM111" s="183"/>
      <c r="FN111" s="183"/>
      <c r="IH111" s="372"/>
      <c r="II111" s="372"/>
      <c r="IJ111" s="372"/>
      <c r="IK111" s="372"/>
      <c r="IL111" s="372"/>
      <c r="IM111" s="372"/>
      <c r="IN111" s="372"/>
      <c r="IO111" s="372"/>
      <c r="IP111" s="372"/>
      <c r="IQ111" s="372"/>
      <c r="IR111" s="372"/>
      <c r="IS111" s="372"/>
      <c r="KO111" s="407" t="str">
        <f t="shared" si="135"/>
        <v>klasse_9</v>
      </c>
      <c r="KP111" s="374" t="str">
        <f>$QW$135</f>
        <v>Tverrslag</v>
      </c>
      <c r="KQ111" s="5948" t="str">
        <f>IFERROR(INDEX(tunneldrift_vekseldrift[vekseldrift_lengde_final],MATCH(framdriftfaktor[[#This Row],[stuff_navn]],tunneldrift_vekseldrift[Stuff_navn],0))/INDEX(tunneldrift_vekseldrift[Input_stuff_lengde],MATCH(framdriftfaktor[[#This Row],[stuff_navn]],tunneldrift_vekseldrift[Stuff_navn],0)),"-")</f>
        <v>-</v>
      </c>
      <c r="KR111" s="374"/>
      <c r="KS111" s="241">
        <f t="shared" si="136"/>
        <v>0</v>
      </c>
      <c r="KT111" s="241">
        <f t="shared" si="137"/>
        <v>0</v>
      </c>
      <c r="KU111" s="241">
        <f t="shared" si="138"/>
        <v>0</v>
      </c>
      <c r="KV111" s="211" t="str">
        <f>IFERROR(framdriftfaktor[[#This Row],[sprengning_tid_hr]]*framdriftfaktor[[#This Row],[veksel_prosent]],"-")</f>
        <v>-</v>
      </c>
      <c r="KW111" s="211" t="str">
        <f>IFERROR(framdriftfaktor[[#This Row],[stabilitets_tid_hr]]*framdriftfaktor[[#This Row],[veksel_prosent]],"-")</f>
        <v>-</v>
      </c>
      <c r="KX111" s="211" t="str">
        <f>IFERROR(framdriftfaktor[[#This Row],[foran_tid_hr]]*framdriftfaktor[[#This Row],[veksel_prosent]],"-")</f>
        <v>-</v>
      </c>
      <c r="KY111" s="5348">
        <f>IFERROR((framdriftfaktor[[#This Row],[stabilitets_tid_hr]]+framdriftfaktor[[#This Row],[foran_tid_hr]])/framdriftfaktor[[#This Row],[sprengning_tid_hr]],0)</f>
        <v>0</v>
      </c>
      <c r="KZ111" s="538"/>
      <c r="LA111" s="241" t="str">
        <f>IF(framdriftfaktor[[#This Row],[stab-foran_spreng_ratio]]&lt;$LL$90,$LJ$90,IF(AND(framdriftfaktor[[#This Row],[stab-foran_spreng_ratio]]&gt;=$LK$91,framdriftfaktor[[#This Row],[stab-foran_spreng_ratio]]&lt;$LL$91),$LJ$91,IF(framdriftfaktor[[#This Row],[stab-foran_spreng_ratio]]&gt;=$LK$92,$LJ$92,"!")))</f>
        <v>Lite</v>
      </c>
      <c r="LB111" s="538">
        <f>IF(framdriftfaktor[[#This Row],[rating_stab-foran]]=$LJ$90,$LM$90+$LO$90*framdriftfaktor[[#This Row],[stab-foran_spreng_ratio]],IF(framdriftfaktor[[#This Row],[rating_stab-foran]]=$LJ$91,$LM$91+((framdriftfaktor[[#This Row],[stab-foran_spreng_ratio]]-$LK$91)*$LO$91),IF(framdriftfaktor[[#This Row],[rating_stab-foran]]=$LJ$92,$LM$92)))</f>
        <v>1.3</v>
      </c>
      <c r="LC111" s="241">
        <f>framdriftfaktor[[#This Row],[beregnet_faktor_stab-foran]]</f>
        <v>1.3</v>
      </c>
      <c r="LD111" s="5265"/>
      <c r="LE111" s="183"/>
      <c r="LF111" s="183"/>
      <c r="LG111" s="183"/>
      <c r="LH111" s="183"/>
      <c r="LJ111" s="5887">
        <v>8</v>
      </c>
      <c r="LK111" s="5310" t="b">
        <f>LK110</f>
        <v>1</v>
      </c>
      <c r="LL111" s="5310">
        <f>LL110</f>
        <v>0</v>
      </c>
      <c r="NL111" s="183"/>
      <c r="NM111" s="183"/>
      <c r="NP111" s="183"/>
      <c r="NQ111" s="183"/>
      <c r="NR111" s="183"/>
      <c r="NS111" s="183"/>
      <c r="NT111" s="183"/>
      <c r="NU111" s="183"/>
      <c r="NV111" s="183"/>
      <c r="NW111" s="183"/>
      <c r="NX111" s="183"/>
      <c r="NY111" s="1275"/>
      <c r="NZ111" s="1275"/>
      <c r="OA111" s="1275"/>
      <c r="OB111" s="1275"/>
      <c r="OC111" s="1275"/>
      <c r="OD111" s="1275"/>
      <c r="OE111" s="1275"/>
      <c r="OF111" s="1275"/>
      <c r="OG111" s="1275"/>
      <c r="OH111" s="1275"/>
      <c r="OI111" s="1275"/>
      <c r="OJ111" s="1275"/>
      <c r="OK111" s="1275"/>
      <c r="OL111" s="1275"/>
      <c r="OM111" s="1275"/>
      <c r="ON111" s="1275"/>
      <c r="OO111" s="1275"/>
      <c r="OP111" s="1275"/>
      <c r="OQ111" s="1275"/>
      <c r="OR111" s="1275"/>
      <c r="OS111" s="1275"/>
      <c r="OT111" s="1275"/>
      <c r="OU111" s="1275"/>
      <c r="OV111" s="1573"/>
      <c r="OW111" s="1573"/>
      <c r="OX111" s="1573"/>
      <c r="OY111" s="1573"/>
      <c r="OZ111" s="1573"/>
      <c r="PA111" s="1573"/>
      <c r="PB111" s="1573"/>
      <c r="PC111" s="1573"/>
      <c r="PD111" s="1573"/>
      <c r="PE111" s="1573"/>
      <c r="PF111" s="1573"/>
      <c r="PG111" s="1275"/>
      <c r="PH111" s="1275"/>
      <c r="PI111" s="1275"/>
      <c r="PJ111" s="1276"/>
      <c r="PK111" s="1276"/>
      <c r="PL111" s="1276"/>
      <c r="PM111" s="1276"/>
      <c r="PN111" s="1276"/>
      <c r="PO111" s="1276"/>
      <c r="PP111" s="1276"/>
      <c r="PQ111" s="1275"/>
      <c r="PR111" s="1275"/>
      <c r="PS111" s="1275"/>
      <c r="PT111" s="1275"/>
      <c r="PU111" s="1275"/>
      <c r="PV111" s="1275"/>
      <c r="PW111" s="1275"/>
      <c r="PX111" s="1275"/>
      <c r="PY111" s="1275"/>
      <c r="PZ111" s="1275"/>
      <c r="QA111" s="1275"/>
      <c r="QB111" s="1275"/>
      <c r="QC111" s="1275"/>
      <c r="QD111" s="1275"/>
      <c r="QE111" s="1275"/>
      <c r="QM111" s="183"/>
      <c r="QZ111" s="183"/>
      <c r="RA111" s="183"/>
      <c r="RF111" s="2617"/>
      <c r="RG111" s="2617"/>
      <c r="RH111" s="2617"/>
      <c r="RI111" s="2617"/>
      <c r="RJ111" s="2617"/>
      <c r="RK111" s="2617"/>
      <c r="RL111" s="2617"/>
      <c r="RM111" s="2617"/>
      <c r="RN111" s="2617"/>
      <c r="RO111" s="2617"/>
      <c r="RP111" s="2617"/>
      <c r="RQ111" s="2617"/>
      <c r="RR111" s="2617"/>
      <c r="RS111" s="2617"/>
      <c r="RT111" s="2617"/>
      <c r="RU111" s="2617"/>
      <c r="RV111" s="2617"/>
      <c r="RW111" s="2617"/>
      <c r="RX111" s="2617"/>
      <c r="RY111" s="2617"/>
      <c r="RZ111" s="2617"/>
      <c r="SA111" s="2617"/>
      <c r="SB111" s="2617"/>
      <c r="SC111" s="2617"/>
      <c r="SD111" s="2617"/>
      <c r="SE111" s="2617"/>
      <c r="SF111" s="2617"/>
      <c r="SG111" s="2617"/>
      <c r="SH111" s="2617"/>
      <c r="SI111" s="2617"/>
      <c r="SJ111" s="2617"/>
      <c r="SK111" s="2617"/>
      <c r="SL111" s="2617"/>
      <c r="SM111" s="2617"/>
      <c r="SN111" s="2617"/>
      <c r="SO111" s="2617"/>
      <c r="SP111" s="2617"/>
      <c r="SQ111" s="2617"/>
      <c r="SR111" s="2617"/>
      <c r="SS111" s="2617"/>
      <c r="ST111" s="2617"/>
      <c r="SU111" s="2617"/>
      <c r="SV111" s="2617"/>
      <c r="SW111" s="2617"/>
      <c r="SX111" s="2617"/>
      <c r="SY111" s="2617"/>
      <c r="SZ111" s="2617"/>
      <c r="TA111" s="2617"/>
      <c r="TB111" s="2617"/>
      <c r="TC111" s="2617"/>
      <c r="TD111" s="2617"/>
      <c r="TE111" s="2617"/>
      <c r="TF111" s="2617"/>
      <c r="TG111" s="2617"/>
      <c r="TH111" s="2617"/>
      <c r="TI111" s="2617"/>
      <c r="TJ111" s="2617"/>
      <c r="TK111" s="2617"/>
      <c r="TL111" s="2617"/>
      <c r="TM111" s="2617"/>
      <c r="TN111" s="2617"/>
      <c r="TO111" s="2617"/>
      <c r="TP111" s="2617"/>
      <c r="TQ111" s="2617"/>
      <c r="TS111" s="2617"/>
      <c r="TT111" s="2617"/>
      <c r="TU111" s="2617"/>
      <c r="TV111" s="2617"/>
      <c r="TW111" s="2617"/>
      <c r="UB111" s="2617"/>
      <c r="UC111" s="2617"/>
      <c r="UD111" s="2617"/>
      <c r="UE111" s="2617"/>
      <c r="UF111" s="2617"/>
      <c r="UG111" s="2617"/>
      <c r="UH111" s="2617"/>
      <c r="UI111" s="2617"/>
      <c r="UJ111" s="2617"/>
      <c r="UK111" s="2617"/>
      <c r="UL111" s="2617"/>
      <c r="UM111" s="2617"/>
      <c r="UN111" s="2617"/>
      <c r="UO111" s="2617"/>
      <c r="UP111" s="2617"/>
      <c r="UQ111" s="2617"/>
      <c r="UR111" s="2617"/>
      <c r="US111" s="2617"/>
      <c r="UT111" s="2617"/>
      <c r="UU111" s="2617"/>
      <c r="UV111" s="2617"/>
      <c r="UW111" s="2617"/>
      <c r="UX111" s="2617"/>
      <c r="UY111" s="2617"/>
      <c r="UZ111" s="2617"/>
      <c r="VB111" s="2617"/>
      <c r="VC111" s="2617"/>
      <c r="VD111" s="2617"/>
      <c r="VE111" s="2617"/>
      <c r="VF111" s="2617"/>
      <c r="VG111" s="2617"/>
      <c r="VH111" s="2617"/>
      <c r="VI111" s="2617"/>
      <c r="VJ111" s="2617"/>
      <c r="VK111" s="2617"/>
      <c r="VL111" s="2617"/>
      <c r="VM111" s="2617"/>
      <c r="VN111" s="2617"/>
      <c r="VO111" s="2617"/>
      <c r="VP111" s="2617"/>
      <c r="VQ111" s="2617"/>
      <c r="VR111" s="2617"/>
      <c r="VS111" s="2617"/>
      <c r="VT111" s="2617"/>
      <c r="VU111" s="402"/>
      <c r="VV111" s="402"/>
      <c r="VW111" s="402"/>
      <c r="VX111" s="402"/>
      <c r="VY111" s="402"/>
      <c r="VZ111" s="402"/>
      <c r="WA111" s="402"/>
      <c r="WB111" s="402"/>
      <c r="WC111" s="402"/>
      <c r="WD111" s="402"/>
      <c r="WE111" s="402"/>
      <c r="WF111" s="402"/>
    </row>
    <row r="112" spans="2:630" ht="20.100000000000001" customHeight="1" x14ac:dyDescent="0.2">
      <c r="I112" s="5567"/>
      <c r="AH112" s="2617"/>
      <c r="AI112" s="2617"/>
      <c r="AJ112" s="2617"/>
      <c r="AK112" s="2617"/>
      <c r="AL112" s="2617"/>
      <c r="AM112" s="2617"/>
      <c r="AN112" s="2617"/>
      <c r="AO112" s="2617"/>
      <c r="AP112" s="2617"/>
      <c r="AQ112" s="2617"/>
      <c r="AR112" s="2617"/>
      <c r="AS112" s="2617"/>
      <c r="AT112" s="2617"/>
      <c r="AU112" s="2617"/>
      <c r="DR112" s="340" t="str">
        <f>$QV$135</f>
        <v>Stuff 2-4</v>
      </c>
      <c r="DS112" s="188">
        <f>IF($BC$38=1,0,IF($BC$38=2,8,0))</f>
        <v>8</v>
      </c>
      <c r="DT112" s="185">
        <f>IF($BC$34&gt;7,1,0)</f>
        <v>0</v>
      </c>
      <c r="DU112" s="194">
        <f>IF($BC$38=2,INDEX(outputs_position[24],MATCH($BC$35,outputs_position[lopstuff],0)),0)</f>
        <v>0</v>
      </c>
      <c r="DV112" s="194" t="str">
        <f t="shared" si="194"/>
        <v>Stuff 2-4</v>
      </c>
      <c r="DW112" s="241">
        <f t="shared" si="195"/>
        <v>0</v>
      </c>
      <c r="DX112" s="241">
        <f t="shared" si="196"/>
        <v>0</v>
      </c>
      <c r="DY112" s="241">
        <f t="shared" si="197"/>
        <v>0</v>
      </c>
      <c r="DZ112" s="241">
        <f t="shared" si="198"/>
        <v>0</v>
      </c>
      <c r="EA112" s="241">
        <f t="shared" si="199"/>
        <v>0</v>
      </c>
      <c r="EB112" s="241">
        <f t="shared" si="200"/>
        <v>0</v>
      </c>
      <c r="EC112" s="241"/>
      <c r="ED112" s="241">
        <f t="shared" si="201"/>
        <v>0</v>
      </c>
      <c r="EE112" s="241">
        <f t="shared" si="202"/>
        <v>0</v>
      </c>
      <c r="EF112" s="241">
        <f t="shared" si="203"/>
        <v>0</v>
      </c>
      <c r="EG112" s="241"/>
      <c r="EH112" s="392">
        <f t="shared" si="204"/>
        <v>0</v>
      </c>
      <c r="EI112" s="392">
        <f>outputs_foran[[#This Row],[Sonderboring]]+outputs_foran[[#This Row],[Kjerneboring]]+outputs_foran[[#This Row],[Seismikk]]</f>
        <v>0</v>
      </c>
      <c r="EJ112" s="392">
        <f>outputs_foran[[#This Row],[sp_Rigg]]+outputs_foran[[#This Row],[sp_Boring]]+outputs_foran[[#This Row],[Sp_Injeksjon]]+outputs_foran[[#This Row],[sp_Kontrollhull]]+outputs_foran[[#This Row],[sy_Rigg]]+outputs_foran[[#This Row],[sy_Boring]]+outputs_foran[[#This Row],[sy_Injeksjon]]+outputs_foran[[#This Row],[sy_Kontrollhull]]</f>
        <v>0</v>
      </c>
      <c r="EK112" s="241">
        <f>outputs_foran[[#This Row],[total_tid]]/$AI$80</f>
        <v>0</v>
      </c>
      <c r="EL112" s="210"/>
      <c r="EM112" s="207"/>
      <c r="EN112" s="207"/>
      <c r="IH112" s="6000">
        <v>1</v>
      </c>
      <c r="II112" s="1172" t="s">
        <v>2716</v>
      </c>
      <c r="IJ112" s="372"/>
      <c r="IK112" s="194" t="str">
        <f>IK$109</f>
        <v>Stuff 1-1</v>
      </c>
      <c r="IL112" s="194" t="str">
        <f t="shared" ref="IL112:IS112" si="206">IL$109</f>
        <v/>
      </c>
      <c r="IM112" s="194" t="str">
        <f t="shared" si="206"/>
        <v/>
      </c>
      <c r="IN112" s="194" t="str">
        <f t="shared" si="206"/>
        <v/>
      </c>
      <c r="IO112" s="194" t="str">
        <f t="shared" si="206"/>
        <v/>
      </c>
      <c r="IP112" s="194" t="str">
        <f t="shared" si="206"/>
        <v/>
      </c>
      <c r="IQ112" s="194" t="str">
        <f t="shared" si="206"/>
        <v/>
      </c>
      <c r="IR112" s="194" t="str">
        <f t="shared" si="206"/>
        <v/>
      </c>
      <c r="IS112" s="194" t="str">
        <f t="shared" si="206"/>
        <v/>
      </c>
      <c r="LJ112" s="5887">
        <v>9</v>
      </c>
      <c r="LK112" s="185" t="b">
        <f>ISBLANK('Inn justeringer'!$CK$30)</f>
        <v>1</v>
      </c>
      <c r="LL112" s="5310">
        <f>('Inn justeringer'!$CK$30)</f>
        <v>0</v>
      </c>
      <c r="NY112" s="208"/>
      <c r="NZ112" s="208"/>
      <c r="OA112" s="208"/>
      <c r="OB112" s="208"/>
      <c r="OC112" s="208"/>
      <c r="OD112" s="208"/>
      <c r="OE112" s="208"/>
      <c r="OF112" s="208"/>
      <c r="OG112" s="208"/>
      <c r="OH112" s="208"/>
      <c r="OI112" s="208"/>
      <c r="OJ112" s="208"/>
      <c r="OK112" s="208"/>
      <c r="OL112" s="208"/>
      <c r="OM112" s="208"/>
      <c r="ON112" s="208"/>
      <c r="OO112" s="208"/>
      <c r="OP112" s="208"/>
      <c r="OQ112" s="208"/>
      <c r="OR112" s="208"/>
      <c r="OS112" s="208"/>
      <c r="OT112" s="208"/>
      <c r="OU112" s="208"/>
      <c r="OV112" s="186"/>
      <c r="OW112" s="186"/>
      <c r="OX112" s="186"/>
      <c r="OY112" s="186"/>
      <c r="OZ112" s="186"/>
      <c r="PA112" s="186"/>
      <c r="PB112" s="186"/>
      <c r="PC112" s="186"/>
      <c r="PD112" s="186"/>
      <c r="PE112" s="186"/>
      <c r="PF112" s="186"/>
      <c r="PG112" s="208"/>
      <c r="PH112" s="208"/>
      <c r="PI112" s="208"/>
      <c r="PJ112" s="1274"/>
      <c r="PK112" s="1274"/>
      <c r="PL112" s="1274"/>
      <c r="PM112" s="1274"/>
      <c r="PN112" s="1274"/>
      <c r="PO112" s="1274"/>
      <c r="PP112" s="1274"/>
      <c r="PQ112" s="208"/>
      <c r="PR112" s="208"/>
      <c r="PS112" s="208"/>
      <c r="PT112" s="208"/>
      <c r="PU112" s="208"/>
      <c r="PV112" s="208"/>
      <c r="PW112" s="208"/>
      <c r="PX112" s="208"/>
      <c r="PY112" s="208"/>
      <c r="PZ112" s="208"/>
      <c r="QA112" s="208"/>
      <c r="QB112" s="208"/>
      <c r="QC112" s="208"/>
      <c r="QD112" s="208"/>
      <c r="QE112" s="208"/>
      <c r="RF112" s="2617"/>
      <c r="RG112" s="2617"/>
      <c r="RH112" s="2617"/>
      <c r="RI112" s="2617"/>
      <c r="RJ112" s="2617"/>
      <c r="RK112" s="2617"/>
      <c r="RL112" s="2617"/>
      <c r="RM112" s="2617"/>
      <c r="RN112" s="2617"/>
      <c r="RO112" s="2617"/>
      <c r="RP112" s="2617"/>
      <c r="RQ112" s="2617"/>
      <c r="RR112" s="2617"/>
      <c r="RS112" s="2617"/>
      <c r="RT112" s="2617"/>
      <c r="RU112" s="2617"/>
      <c r="RV112" s="2617"/>
      <c r="RW112" s="2617"/>
      <c r="RX112" s="2617"/>
      <c r="RY112" s="2617"/>
      <c r="RZ112" s="2617"/>
      <c r="SA112" s="2617"/>
      <c r="SB112" s="2617"/>
      <c r="SC112" s="2617"/>
      <c r="SD112" s="2617"/>
      <c r="SE112" s="2617"/>
      <c r="SF112" s="2617"/>
      <c r="SG112" s="2617"/>
      <c r="SH112" s="2617"/>
      <c r="SI112" s="2617"/>
      <c r="SJ112" s="2617"/>
      <c r="SK112" s="2617"/>
      <c r="SL112" s="2617"/>
      <c r="SM112" s="2617"/>
      <c r="SN112" s="2617"/>
      <c r="SO112" s="2617"/>
      <c r="SP112" s="2617"/>
      <c r="SQ112" s="2617"/>
      <c r="SR112" s="2617"/>
      <c r="SS112" s="2617"/>
      <c r="ST112" s="2617"/>
      <c r="SU112" s="2617"/>
      <c r="SV112" s="2617"/>
      <c r="SW112" s="2617"/>
      <c r="SX112" s="2617"/>
      <c r="SY112" s="2617"/>
      <c r="SZ112" s="2617"/>
      <c r="TA112" s="2617"/>
      <c r="TB112" s="2617"/>
      <c r="TC112" s="2617"/>
      <c r="TD112" s="2617"/>
      <c r="TE112" s="2617"/>
      <c r="TF112" s="2617"/>
      <c r="TG112" s="2617"/>
      <c r="TH112" s="2617"/>
      <c r="TI112" s="2617"/>
      <c r="TJ112" s="2617"/>
      <c r="TK112" s="2617"/>
      <c r="TL112" s="2617"/>
      <c r="TM112" s="2617"/>
      <c r="TN112" s="2617"/>
      <c r="TO112" s="2617"/>
      <c r="TP112" s="2617"/>
      <c r="TQ112" s="2617"/>
      <c r="TS112" s="2617"/>
      <c r="TT112" s="2617"/>
      <c r="TU112" s="2617"/>
      <c r="TV112" s="2617"/>
      <c r="TW112" s="2617"/>
      <c r="UB112" s="2617"/>
      <c r="UC112" s="2617"/>
      <c r="UD112" s="2617"/>
      <c r="UE112" s="2617"/>
      <c r="UF112" s="2617"/>
      <c r="UG112" s="2617"/>
      <c r="UH112" s="2617"/>
      <c r="UI112" s="2617"/>
      <c r="UJ112" s="2617"/>
      <c r="UK112" s="2617"/>
      <c r="UL112" s="2617"/>
      <c r="UM112" s="2617"/>
      <c r="UN112" s="2617"/>
      <c r="UO112" s="2617"/>
      <c r="UP112" s="2617"/>
      <c r="UQ112" s="2617"/>
      <c r="UR112" s="2617"/>
      <c r="US112" s="2617"/>
      <c r="UT112" s="2617"/>
      <c r="UU112" s="2617"/>
      <c r="UV112" s="2617"/>
      <c r="UW112" s="2617"/>
      <c r="UX112" s="2617"/>
      <c r="UY112" s="2617"/>
      <c r="UZ112" s="2617"/>
      <c r="VB112" s="2617"/>
      <c r="VC112" s="2617"/>
      <c r="VD112" s="2617"/>
      <c r="VE112" s="2617"/>
      <c r="VF112" s="2617"/>
      <c r="VG112" s="2617"/>
      <c r="VH112" s="2617"/>
      <c r="VI112" s="2617"/>
      <c r="VJ112" s="2617"/>
      <c r="VK112" s="2617"/>
      <c r="VL112" s="2617"/>
      <c r="VM112" s="2617"/>
      <c r="VN112" s="2617"/>
      <c r="VO112" s="2617"/>
      <c r="VP112" s="2617"/>
      <c r="VQ112" s="2617"/>
      <c r="VR112" s="2617"/>
      <c r="VS112" s="2617"/>
      <c r="VT112" s="2617"/>
    </row>
    <row r="113" spans="9:592" ht="20.100000000000001" customHeight="1" x14ac:dyDescent="0.35">
      <c r="I113" s="5567"/>
      <c r="AH113" s="2617"/>
      <c r="AI113" s="2617"/>
      <c r="AJ113" s="2617"/>
      <c r="AK113" s="2617"/>
      <c r="AL113" s="2617"/>
      <c r="AM113" s="2617"/>
      <c r="AN113" s="2617"/>
      <c r="AO113" s="2617"/>
      <c r="AP113" s="2617"/>
      <c r="AQ113" s="2617"/>
      <c r="AR113" s="2617"/>
      <c r="AS113" s="2617"/>
      <c r="AT113" s="2617"/>
      <c r="AU113" s="2617"/>
      <c r="BB113" s="317" t="s">
        <v>338</v>
      </c>
      <c r="BC113" s="270"/>
      <c r="BL113" s="2617"/>
      <c r="DR113" s="453" t="str">
        <f>$QW$135</f>
        <v>Tverrslag</v>
      </c>
      <c r="DS113" s="185"/>
      <c r="DT113" s="185">
        <f>$BC$36</f>
        <v>0</v>
      </c>
      <c r="DU113" s="194">
        <f>IF($BC$38=2,INDEX(outputs_position[Tverrslag],MATCH($BC$35,outputs_position[lopstuff],0)),IF($BC$36=1,$BE$156+1,0))</f>
        <v>0</v>
      </c>
      <c r="DV113" s="194" t="str">
        <f t="shared" si="194"/>
        <v>Tverrslag</v>
      </c>
      <c r="DW113" s="241">
        <f t="shared" si="195"/>
        <v>0</v>
      </c>
      <c r="DX113" s="241">
        <f t="shared" si="196"/>
        <v>0</v>
      </c>
      <c r="DY113" s="241">
        <f t="shared" si="197"/>
        <v>0</v>
      </c>
      <c r="DZ113" s="241">
        <f t="shared" si="198"/>
        <v>0</v>
      </c>
      <c r="EA113" s="241">
        <f t="shared" si="199"/>
        <v>0</v>
      </c>
      <c r="EB113" s="241">
        <f t="shared" si="200"/>
        <v>0</v>
      </c>
      <c r="EC113" s="241"/>
      <c r="ED113" s="241">
        <f t="shared" si="201"/>
        <v>0</v>
      </c>
      <c r="EE113" s="241">
        <f t="shared" si="202"/>
        <v>0</v>
      </c>
      <c r="EF113" s="241">
        <f t="shared" si="203"/>
        <v>0</v>
      </c>
      <c r="EG113" s="241"/>
      <c r="EH113" s="392">
        <f t="shared" si="204"/>
        <v>0</v>
      </c>
      <c r="EI113" s="392">
        <f>outputs_foran[[#This Row],[Sonderboring]]+outputs_foran[[#This Row],[Kjerneboring]]+outputs_foran[[#This Row],[Seismikk]]</f>
        <v>0</v>
      </c>
      <c r="EJ113" s="392">
        <f>outputs_foran[[#This Row],[sp_Rigg]]+outputs_foran[[#This Row],[sp_Boring]]+outputs_foran[[#This Row],[Sp_Injeksjon]]+outputs_foran[[#This Row],[sp_Kontrollhull]]+outputs_foran[[#This Row],[sy_Rigg]]+outputs_foran[[#This Row],[sy_Boring]]+outputs_foran[[#This Row],[sy_Injeksjon]]+outputs_foran[[#This Row],[sy_Kontrollhull]]</f>
        <v>0</v>
      </c>
      <c r="EK113" s="241">
        <f>outputs_foran[[#This Row],[total_tid]]/$AI$80</f>
        <v>0</v>
      </c>
      <c r="EL113" s="210"/>
      <c r="IH113" s="1172"/>
      <c r="II113" s="1172" t="s">
        <v>2718</v>
      </c>
      <c r="IJ113" s="185"/>
      <c r="IK113" s="194" t="str">
        <f>"Side "&amp;$IH$112&amp;" av "&amp;_Calcs!$II$100</f>
        <v>Side 1 av 9</v>
      </c>
      <c r="IL113" s="194" t="str">
        <f t="shared" ref="IL113:IS113" si="207">$IK113</f>
        <v>Side 1 av 9</v>
      </c>
      <c r="IM113" s="194" t="str">
        <f t="shared" si="207"/>
        <v>Side 1 av 9</v>
      </c>
      <c r="IN113" s="194" t="str">
        <f t="shared" si="207"/>
        <v>Side 1 av 9</v>
      </c>
      <c r="IO113" s="194" t="str">
        <f t="shared" si="207"/>
        <v>Side 1 av 9</v>
      </c>
      <c r="IP113" s="194" t="str">
        <f t="shared" si="207"/>
        <v>Side 1 av 9</v>
      </c>
      <c r="IQ113" s="194" t="str">
        <f t="shared" si="207"/>
        <v>Side 1 av 9</v>
      </c>
      <c r="IR113" s="194" t="str">
        <f t="shared" si="207"/>
        <v>Side 1 av 9</v>
      </c>
      <c r="IS113" s="194" t="str">
        <f t="shared" si="207"/>
        <v>Side 1 av 9</v>
      </c>
      <c r="NH113" s="2617"/>
      <c r="NI113" s="2617"/>
      <c r="NJ113" s="2617"/>
      <c r="NK113" s="2617"/>
      <c r="NL113" s="471"/>
      <c r="NN113" s="206" t="s">
        <v>397</v>
      </c>
      <c r="NO113" s="209" t="str">
        <f>$QO$135</f>
        <v>Stuff 1-1</v>
      </c>
      <c r="NP113" s="209" t="str">
        <f>$QP$135</f>
        <v>Stuff 1-2</v>
      </c>
      <c r="NQ113" s="209" t="str">
        <f>$QQ$135</f>
        <v>Stuff 1-3</v>
      </c>
      <c r="NR113" s="209" t="str">
        <f>$QR$135</f>
        <v>Stuff 1-4</v>
      </c>
      <c r="NS113" s="209" t="str">
        <f>$QS$135</f>
        <v>Stuff 2-1</v>
      </c>
      <c r="NT113" s="209" t="str">
        <f>$QT$135</f>
        <v>Stuff 2-2</v>
      </c>
      <c r="NU113" s="209" t="str">
        <f>$QU$135</f>
        <v>Stuff 2-3</v>
      </c>
      <c r="NV113" s="209" t="str">
        <f>$QV$135</f>
        <v>Stuff 2-4</v>
      </c>
      <c r="NW113" s="209" t="str">
        <f>$QW$135</f>
        <v>Tverrslag</v>
      </c>
      <c r="NY113" s="208"/>
      <c r="NZ113" s="208"/>
      <c r="OA113" s="208"/>
      <c r="OB113" s="208"/>
      <c r="OC113" s="208"/>
      <c r="OD113" s="208"/>
      <c r="OE113" s="208"/>
      <c r="OF113" s="208"/>
      <c r="OG113" s="208"/>
      <c r="OH113" s="208"/>
      <c r="OI113" s="208"/>
      <c r="OJ113" s="208"/>
      <c r="OK113" s="208"/>
      <c r="OL113" s="208"/>
      <c r="OM113" s="208"/>
      <c r="ON113" s="208"/>
      <c r="OO113" s="208"/>
      <c r="OP113" s="208"/>
      <c r="OQ113" s="208"/>
      <c r="OR113" s="208"/>
      <c r="OS113" s="208"/>
      <c r="OT113" s="208"/>
      <c r="OU113" s="208"/>
      <c r="OV113" s="186"/>
      <c r="OW113" s="186"/>
      <c r="OX113" s="186"/>
      <c r="OY113" s="186"/>
      <c r="OZ113" s="186"/>
      <c r="PA113" s="186"/>
      <c r="PB113" s="186"/>
      <c r="PC113" s="186"/>
      <c r="PD113" s="186"/>
      <c r="PE113" s="186"/>
      <c r="PF113" s="186"/>
      <c r="PG113" s="208"/>
      <c r="PH113" s="208"/>
      <c r="PI113" s="208"/>
      <c r="PJ113" s="1274"/>
      <c r="PK113" s="1274"/>
      <c r="PL113" s="1274"/>
      <c r="PM113" s="1274"/>
      <c r="PN113" s="1274"/>
      <c r="PO113" s="1274"/>
      <c r="PP113" s="1274"/>
      <c r="PQ113" s="208"/>
      <c r="PR113" s="208"/>
      <c r="PS113" s="208"/>
      <c r="PT113" s="208"/>
      <c r="PU113" s="208"/>
      <c r="PV113" s="208"/>
      <c r="PW113" s="208"/>
      <c r="PX113" s="208"/>
      <c r="PY113" s="208"/>
      <c r="PZ113" s="208"/>
      <c r="QA113" s="208"/>
      <c r="QB113" s="208"/>
      <c r="QC113" s="208"/>
      <c r="QD113" s="208"/>
      <c r="QE113" s="208"/>
      <c r="RF113" s="2617"/>
      <c r="RG113" s="2617"/>
      <c r="RH113" s="2617"/>
      <c r="RI113" s="2617"/>
      <c r="RJ113" s="2617"/>
      <c r="RK113" s="2617"/>
      <c r="RL113" s="2617"/>
      <c r="RM113" s="2617"/>
      <c r="RN113" s="2617"/>
      <c r="RO113" s="2617"/>
      <c r="RP113" s="2617"/>
      <c r="RQ113" s="2617"/>
      <c r="RR113" s="2617"/>
      <c r="RS113" s="2617"/>
      <c r="RT113" s="2617"/>
      <c r="RU113" s="2617"/>
      <c r="RV113" s="2617"/>
      <c r="RW113" s="2617"/>
      <c r="RX113" s="2617"/>
      <c r="RY113" s="2617"/>
      <c r="RZ113" s="2617"/>
      <c r="SA113" s="2617"/>
      <c r="SB113" s="2617"/>
      <c r="SC113" s="2617"/>
      <c r="SD113" s="2617"/>
      <c r="SE113" s="2617"/>
      <c r="SF113" s="2617"/>
      <c r="SG113" s="2617"/>
      <c r="SH113" s="2617"/>
      <c r="SI113" s="2617"/>
      <c r="SJ113" s="2617"/>
      <c r="SK113" s="2617"/>
      <c r="SL113" s="2617"/>
      <c r="SM113" s="2617"/>
      <c r="SN113" s="2617"/>
      <c r="SO113" s="2617"/>
      <c r="SP113" s="2617"/>
      <c r="SQ113" s="2617"/>
      <c r="SR113" s="2617"/>
      <c r="SS113" s="2617"/>
      <c r="ST113" s="2617"/>
      <c r="SU113" s="2617"/>
      <c r="SV113" s="2617"/>
      <c r="SW113" s="2617"/>
      <c r="SX113" s="2617"/>
      <c r="SY113" s="2617"/>
      <c r="SZ113" s="2617"/>
      <c r="TA113" s="2617"/>
      <c r="TB113" s="2617"/>
      <c r="TC113" s="2617"/>
      <c r="TD113" s="2617"/>
      <c r="TE113" s="2617"/>
      <c r="TF113" s="2617"/>
      <c r="TG113" s="2617"/>
      <c r="TH113" s="2617"/>
      <c r="TI113" s="2617"/>
      <c r="TJ113" s="2617"/>
      <c r="TK113" s="2617"/>
      <c r="TL113" s="2617"/>
      <c r="TM113" s="2617"/>
      <c r="TN113" s="2617"/>
      <c r="TO113" s="2617"/>
      <c r="TP113" s="2617"/>
      <c r="TQ113" s="2617"/>
      <c r="TS113" s="2617"/>
      <c r="TT113" s="2617"/>
      <c r="TU113" s="2617"/>
      <c r="TV113" s="2617"/>
      <c r="TW113" s="2617"/>
      <c r="UB113" s="2617"/>
      <c r="UC113" s="2617"/>
      <c r="UD113" s="2617"/>
      <c r="UE113" s="2617"/>
      <c r="UF113" s="2617"/>
      <c r="UG113" s="2617"/>
      <c r="UH113" s="2617"/>
      <c r="UI113" s="2617"/>
      <c r="UJ113" s="2617"/>
      <c r="UK113" s="2617"/>
      <c r="UL113" s="2617"/>
      <c r="UM113" s="2617"/>
      <c r="UN113" s="2617"/>
      <c r="UO113" s="2617"/>
      <c r="UP113" s="2617"/>
      <c r="UQ113" s="2617"/>
      <c r="UR113" s="2617"/>
      <c r="US113" s="2617"/>
      <c r="UT113" s="2617"/>
      <c r="UU113" s="2617"/>
      <c r="UV113" s="2617"/>
      <c r="UW113" s="2617"/>
      <c r="UX113" s="2617"/>
      <c r="UY113" s="2617"/>
      <c r="UZ113" s="2617"/>
      <c r="VB113" s="2617"/>
      <c r="VC113" s="2617"/>
      <c r="VD113" s="2617"/>
      <c r="VE113" s="2617"/>
      <c r="VF113" s="2617"/>
      <c r="VG113" s="2617"/>
      <c r="VH113" s="2617"/>
      <c r="VI113" s="2617"/>
      <c r="VJ113" s="2617"/>
      <c r="VK113" s="2617"/>
      <c r="VL113" s="2617"/>
      <c r="VM113" s="2617"/>
      <c r="VN113" s="2617"/>
      <c r="VO113" s="2617"/>
      <c r="VP113" s="2617"/>
      <c r="VQ113" s="2617"/>
      <c r="VR113" s="2617"/>
      <c r="VS113" s="2617"/>
      <c r="VT113" s="2617"/>
    </row>
    <row r="114" spans="9:592" ht="20.100000000000001" customHeight="1" x14ac:dyDescent="0.2">
      <c r="I114" s="5567"/>
      <c r="AH114" s="2617"/>
      <c r="AI114" s="2617"/>
      <c r="AJ114" s="2617"/>
      <c r="AK114" s="2617"/>
      <c r="AL114" s="2617"/>
      <c r="AM114" s="2617"/>
      <c r="AN114" s="2617"/>
      <c r="AO114" s="2617"/>
      <c r="AP114" s="2617"/>
      <c r="AQ114" s="2617"/>
      <c r="AR114" s="2617"/>
      <c r="AS114" s="2617"/>
      <c r="AT114" s="2617"/>
      <c r="AU114" s="2617"/>
      <c r="BL114" s="2617"/>
      <c r="BV114" s="207"/>
      <c r="BW114" s="207"/>
      <c r="EQ114" s="2617"/>
      <c r="IH114" s="1172"/>
      <c r="II114" s="1172"/>
      <c r="IJ114" s="185"/>
      <c r="IK114" s="372"/>
      <c r="IL114" s="372"/>
      <c r="IM114" s="372"/>
      <c r="IN114" s="372"/>
      <c r="IO114" s="372"/>
      <c r="IP114" s="372"/>
      <c r="IQ114" s="372"/>
      <c r="IR114" s="372"/>
      <c r="IS114" s="372"/>
      <c r="NH114" s="2617"/>
      <c r="NI114" s="2617"/>
      <c r="NJ114" s="2617"/>
      <c r="NK114" s="2617"/>
      <c r="NL114" s="471"/>
      <c r="NU114" s="184"/>
      <c r="NY114" s="208"/>
      <c r="NZ114" s="208"/>
      <c r="OA114" s="208"/>
      <c r="OB114" s="208"/>
      <c r="OC114" s="208"/>
      <c r="OD114" s="208"/>
      <c r="OE114" s="208"/>
      <c r="OF114" s="208"/>
      <c r="OG114" s="208"/>
      <c r="OH114" s="208"/>
      <c r="OI114" s="208"/>
      <c r="OJ114" s="208"/>
      <c r="OK114" s="208"/>
      <c r="OL114" s="208"/>
      <c r="OM114" s="208"/>
      <c r="ON114" s="208"/>
      <c r="OO114" s="208"/>
      <c r="OP114" s="208"/>
      <c r="OQ114" s="208"/>
      <c r="OR114" s="208"/>
      <c r="OS114" s="208"/>
      <c r="OT114" s="208"/>
      <c r="OU114" s="208"/>
      <c r="OV114" s="186"/>
      <c r="OW114" s="186"/>
      <c r="OX114" s="186"/>
      <c r="OY114" s="186"/>
      <c r="OZ114" s="186"/>
      <c r="PA114" s="186"/>
      <c r="PB114" s="186"/>
      <c r="PC114" s="186"/>
      <c r="PD114" s="186"/>
      <c r="PE114" s="186"/>
      <c r="PF114" s="186"/>
      <c r="PG114" s="208"/>
      <c r="PH114" s="208"/>
      <c r="PI114" s="208"/>
      <c r="PJ114" s="1274"/>
      <c r="PK114" s="1274"/>
      <c r="PL114" s="1274"/>
      <c r="PM114" s="1274"/>
      <c r="PN114" s="1274"/>
      <c r="PO114" s="1274"/>
      <c r="PP114" s="1274"/>
      <c r="PQ114" s="208"/>
      <c r="PR114" s="208"/>
      <c r="PS114" s="208"/>
      <c r="PT114" s="208"/>
      <c r="PU114" s="208"/>
      <c r="PV114" s="208"/>
      <c r="PW114" s="208"/>
      <c r="PX114" s="208"/>
      <c r="PY114" s="208"/>
      <c r="PZ114" s="208"/>
      <c r="QA114" s="208"/>
      <c r="QB114" s="208"/>
      <c r="QC114" s="208"/>
      <c r="QD114" s="208"/>
      <c r="QE114" s="208"/>
      <c r="RF114" s="2617"/>
      <c r="RG114" s="2617"/>
      <c r="RH114" s="2617"/>
      <c r="RI114" s="2617"/>
      <c r="RJ114" s="2617"/>
      <c r="RK114" s="2617"/>
      <c r="RL114" s="2617"/>
      <c r="RM114" s="2617"/>
      <c r="RN114" s="2617"/>
      <c r="RO114" s="2617"/>
      <c r="RP114" s="2617"/>
      <c r="RQ114" s="2617"/>
      <c r="RR114" s="2617"/>
      <c r="RS114" s="2617"/>
      <c r="RT114" s="2617"/>
      <c r="RU114" s="2617"/>
      <c r="RV114" s="2617"/>
      <c r="RW114" s="2617"/>
      <c r="RX114" s="2617"/>
      <c r="RY114" s="2617"/>
      <c r="RZ114" s="2617"/>
      <c r="SA114" s="2617"/>
      <c r="SB114" s="2617"/>
      <c r="SC114" s="2617"/>
      <c r="SD114" s="2617"/>
      <c r="SE114" s="2617"/>
      <c r="SF114" s="2617"/>
      <c r="SG114" s="2617"/>
      <c r="SH114" s="2617"/>
      <c r="SI114" s="2617"/>
      <c r="SJ114" s="2617"/>
      <c r="SK114" s="2617"/>
      <c r="SL114" s="2617"/>
      <c r="SM114" s="2617"/>
      <c r="SN114" s="2617"/>
      <c r="SO114" s="2617"/>
      <c r="SP114" s="2617"/>
      <c r="SQ114" s="2617"/>
      <c r="SR114" s="2617"/>
      <c r="SS114" s="2617"/>
      <c r="ST114" s="2617"/>
      <c r="SU114" s="2617"/>
      <c r="SV114" s="2617"/>
      <c r="SW114" s="2617"/>
      <c r="SX114" s="2617"/>
      <c r="SY114" s="2617"/>
      <c r="SZ114" s="2617"/>
      <c r="TA114" s="2617"/>
      <c r="TB114" s="2617"/>
      <c r="TC114" s="2617"/>
      <c r="TD114" s="2617"/>
      <c r="TE114" s="2617"/>
      <c r="TF114" s="2617"/>
      <c r="TG114" s="2617"/>
      <c r="TH114" s="2617"/>
      <c r="TI114" s="2617"/>
      <c r="TJ114" s="2617"/>
      <c r="TK114" s="2617"/>
      <c r="TL114" s="2617"/>
      <c r="TM114" s="2617"/>
      <c r="TN114" s="2617"/>
      <c r="TO114" s="2617"/>
      <c r="TP114" s="2617"/>
      <c r="TQ114" s="2617"/>
      <c r="TS114" s="2617"/>
      <c r="TT114" s="2617"/>
      <c r="TU114" s="2617"/>
      <c r="TV114" s="2617"/>
      <c r="TW114" s="2617"/>
      <c r="UB114" s="2617"/>
      <c r="UC114" s="2617"/>
      <c r="UD114" s="2617"/>
      <c r="UE114" s="2617"/>
      <c r="UF114" s="2617"/>
      <c r="UG114" s="2617"/>
      <c r="UH114" s="2617"/>
      <c r="UI114" s="2617"/>
      <c r="UJ114" s="2617"/>
      <c r="UK114" s="2617"/>
      <c r="UL114" s="2617"/>
      <c r="UM114" s="2617"/>
      <c r="UN114" s="2617"/>
      <c r="UO114" s="2617"/>
      <c r="UP114" s="2617"/>
      <c r="UQ114" s="2617"/>
      <c r="UR114" s="2617"/>
      <c r="US114" s="2617"/>
      <c r="UT114" s="2617"/>
      <c r="UU114" s="2617"/>
      <c r="UV114" s="2617"/>
      <c r="UW114" s="2617"/>
      <c r="UX114" s="2617"/>
      <c r="UY114" s="2617"/>
      <c r="UZ114" s="2617"/>
      <c r="VB114" s="2617"/>
      <c r="VC114" s="2617"/>
      <c r="VD114" s="2617"/>
      <c r="VE114" s="2617"/>
      <c r="VF114" s="2617"/>
      <c r="VG114" s="2617"/>
      <c r="VH114" s="2617"/>
      <c r="VI114" s="2617"/>
      <c r="VJ114" s="2617"/>
      <c r="VK114" s="2617"/>
      <c r="VL114" s="2617"/>
      <c r="VM114" s="2617"/>
      <c r="VN114" s="2617"/>
      <c r="VO114" s="2617"/>
      <c r="VP114" s="2617"/>
      <c r="VQ114" s="2617"/>
      <c r="VR114" s="2617"/>
      <c r="VS114" s="2617"/>
      <c r="VT114" s="2617"/>
    </row>
    <row r="115" spans="9:592" ht="20.100000000000001" customHeight="1" x14ac:dyDescent="0.3">
      <c r="I115" s="5567"/>
      <c r="AH115" s="2617"/>
      <c r="AI115" s="2617"/>
      <c r="BB115" s="309" t="s">
        <v>361</v>
      </c>
      <c r="BC115" s="281"/>
      <c r="BE115" s="344" t="s">
        <v>362</v>
      </c>
      <c r="BF115" s="345"/>
      <c r="BH115" s="382" t="s">
        <v>412</v>
      </c>
      <c r="EQ115" s="2617"/>
      <c r="EW115" s="325">
        <f>_Kapasitet!$U$61</f>
        <v>1</v>
      </c>
      <c r="EX115" s="325">
        <f>_Kapasitet!$U$69</f>
        <v>15</v>
      </c>
      <c r="EY115" s="325">
        <f>_Kapasitet!$U$71</f>
        <v>7.5</v>
      </c>
      <c r="EZ115" s="325">
        <f>_Kapasitet!$U$74</f>
        <v>25</v>
      </c>
      <c r="FA115" s="325">
        <f>_Kapasitet!$U$75</f>
        <v>10</v>
      </c>
      <c r="FB115" s="325">
        <f>_Kapasitet!$U$78</f>
        <v>8</v>
      </c>
      <c r="FC115" s="325">
        <f>_Kapasitet!$U$80</f>
        <v>4</v>
      </c>
      <c r="FD115" s="325">
        <f>_Kapasitet!$U$82</f>
        <v>0.03</v>
      </c>
      <c r="FE115" s="325">
        <f>_Kapasitet!$U$83</f>
        <v>0.1</v>
      </c>
      <c r="FN115" s="325">
        <f>_Kapasitet!$U$66</f>
        <v>1</v>
      </c>
      <c r="FO115" s="325">
        <f>_Kapasitet!$U$76</f>
        <v>15</v>
      </c>
      <c r="IH115" s="185"/>
      <c r="II115" s="185" t="s">
        <v>2682</v>
      </c>
      <c r="IJ115" s="185"/>
      <c r="IK115" s="199" t="str">
        <f>_Calcs!$J$75</f>
        <v>Framdriftsfaktor</v>
      </c>
      <c r="IL115" s="199" t="str">
        <f t="shared" ref="IL115:IS115" si="208">$IK115</f>
        <v>Framdriftsfaktor</v>
      </c>
      <c r="IM115" s="199" t="str">
        <f t="shared" si="208"/>
        <v>Framdriftsfaktor</v>
      </c>
      <c r="IN115" s="199" t="str">
        <f t="shared" si="208"/>
        <v>Framdriftsfaktor</v>
      </c>
      <c r="IO115" s="199" t="str">
        <f t="shared" si="208"/>
        <v>Framdriftsfaktor</v>
      </c>
      <c r="IP115" s="199" t="str">
        <f t="shared" si="208"/>
        <v>Framdriftsfaktor</v>
      </c>
      <c r="IQ115" s="199" t="str">
        <f t="shared" si="208"/>
        <v>Framdriftsfaktor</v>
      </c>
      <c r="IR115" s="199" t="str">
        <f t="shared" si="208"/>
        <v>Framdriftsfaktor</v>
      </c>
      <c r="IS115" s="199" t="str">
        <f t="shared" si="208"/>
        <v>Framdriftsfaktor</v>
      </c>
      <c r="LJ115" s="5258" t="s">
        <v>2654</v>
      </c>
      <c r="LK115" s="5258"/>
      <c r="LL115" s="181"/>
      <c r="LM115" s="181"/>
      <c r="LN115" s="181"/>
      <c r="LO115" s="181"/>
      <c r="LP115" s="181"/>
      <c r="LQ115" s="181"/>
      <c r="LR115" s="181"/>
      <c r="NH115" s="2617"/>
      <c r="NI115" s="2617"/>
      <c r="NJ115" s="2617"/>
      <c r="NK115" s="2617"/>
      <c r="NL115" s="471"/>
      <c r="NN115" s="443" t="s">
        <v>397</v>
      </c>
      <c r="NO115" s="447" t="s">
        <v>519</v>
      </c>
      <c r="NP115" s="447" t="s">
        <v>520</v>
      </c>
      <c r="NQ115" s="447" t="s">
        <v>521</v>
      </c>
      <c r="NR115" s="447" t="s">
        <v>522</v>
      </c>
      <c r="NS115" s="447" t="s">
        <v>523</v>
      </c>
      <c r="NT115" s="447" t="s">
        <v>524</v>
      </c>
      <c r="NU115" s="447" t="s">
        <v>525</v>
      </c>
      <c r="NV115" s="447" t="s">
        <v>526</v>
      </c>
      <c r="NW115" s="448" t="s">
        <v>258</v>
      </c>
      <c r="NY115" s="208"/>
      <c r="NZ115" s="208"/>
      <c r="OA115" s="208"/>
      <c r="OB115" s="208"/>
      <c r="OC115" s="208"/>
      <c r="OD115" s="208"/>
      <c r="OE115" s="208"/>
      <c r="OF115" s="208"/>
      <c r="OG115" s="208"/>
      <c r="OH115" s="208"/>
      <c r="OI115" s="208"/>
      <c r="OJ115" s="208"/>
      <c r="OK115" s="208"/>
      <c r="OL115" s="208"/>
      <c r="OM115" s="208"/>
      <c r="ON115" s="208"/>
      <c r="OO115" s="208"/>
      <c r="OP115" s="208"/>
      <c r="OQ115" s="208"/>
      <c r="OR115" s="208"/>
      <c r="OS115" s="208"/>
      <c r="OT115" s="208"/>
      <c r="OU115" s="208"/>
      <c r="OV115" s="186"/>
      <c r="OW115" s="186"/>
      <c r="OX115" s="186"/>
      <c r="OY115" s="186"/>
      <c r="OZ115" s="186"/>
      <c r="PA115" s="186"/>
      <c r="PB115" s="186"/>
      <c r="PC115" s="186"/>
      <c r="PD115" s="186"/>
      <c r="PE115" s="186"/>
      <c r="PF115" s="186"/>
      <c r="PG115" s="208"/>
      <c r="PH115" s="208"/>
      <c r="PI115" s="208"/>
      <c r="PJ115" s="1274"/>
      <c r="PK115" s="1274"/>
      <c r="PL115" s="1274"/>
      <c r="PM115" s="1274"/>
      <c r="PN115" s="1274"/>
      <c r="PO115" s="1274"/>
      <c r="PP115" s="1274"/>
      <c r="PQ115" s="208"/>
      <c r="PR115" s="208"/>
      <c r="PS115" s="208"/>
      <c r="PT115" s="208"/>
      <c r="PU115" s="208"/>
      <c r="PV115" s="208"/>
      <c r="PW115" s="208"/>
      <c r="PX115" s="208"/>
      <c r="PY115" s="208"/>
      <c r="PZ115" s="208"/>
      <c r="QA115" s="208"/>
      <c r="QB115" s="208"/>
      <c r="QC115" s="208"/>
      <c r="QD115" s="208"/>
      <c r="QE115" s="208"/>
      <c r="RA115" s="207"/>
      <c r="RF115" s="2617"/>
      <c r="RG115" s="2617"/>
      <c r="RH115" s="2617"/>
      <c r="RI115" s="2617"/>
      <c r="RJ115" s="2617"/>
      <c r="RK115" s="2617"/>
      <c r="RL115" s="2617"/>
      <c r="RM115" s="2617"/>
      <c r="RN115" s="2617"/>
      <c r="RO115" s="2617"/>
      <c r="RP115" s="2617"/>
      <c r="RQ115" s="2617"/>
      <c r="RR115" s="2617"/>
      <c r="RS115" s="2617"/>
      <c r="RT115" s="2617"/>
      <c r="RU115" s="2617"/>
      <c r="RV115" s="2617"/>
      <c r="RW115" s="2617"/>
      <c r="RX115" s="2617"/>
      <c r="RY115" s="2617"/>
      <c r="RZ115" s="2617"/>
      <c r="SA115" s="2617"/>
      <c r="SB115" s="2617"/>
      <c r="SC115" s="2617"/>
      <c r="SD115" s="2617"/>
      <c r="SE115" s="2617"/>
      <c r="SF115" s="2617"/>
      <c r="SG115" s="2617"/>
      <c r="SH115" s="2617"/>
      <c r="SI115" s="2617"/>
      <c r="UL115" s="1755"/>
      <c r="UM115" s="1754"/>
      <c r="UO115" s="1754"/>
      <c r="UP115" s="1754"/>
      <c r="UQ115" s="1754"/>
      <c r="UR115" s="1754"/>
      <c r="US115" s="1754"/>
      <c r="UT115" s="1754"/>
      <c r="UU115" s="1754"/>
      <c r="UV115" s="1754"/>
      <c r="UW115" s="1754"/>
      <c r="UX115" s="1754"/>
      <c r="UY115" s="1754"/>
      <c r="UZ115" s="1754"/>
      <c r="VB115" s="1754"/>
      <c r="VC115" s="1754"/>
      <c r="VD115" s="1754"/>
      <c r="VE115" s="1754"/>
      <c r="VF115" s="1754"/>
      <c r="VG115" s="1754"/>
      <c r="VH115" s="1754"/>
      <c r="VI115" s="1754"/>
      <c r="VJ115" s="1754"/>
      <c r="VK115" s="1754"/>
      <c r="VL115" s="1754"/>
      <c r="VM115" s="1754"/>
      <c r="VN115" s="1754"/>
    </row>
    <row r="116" spans="9:592" ht="20.100000000000001" customHeight="1" x14ac:dyDescent="0.2">
      <c r="I116" s="5567"/>
      <c r="AH116" s="2617"/>
      <c r="AI116" s="2617"/>
      <c r="DT116" s="357" t="s">
        <v>208</v>
      </c>
      <c r="DU116" s="185" t="s">
        <v>293</v>
      </c>
      <c r="DV116" s="185"/>
      <c r="DW116" s="241">
        <f t="shared" ref="DW116:EK116" si="209">DW103+DW113</f>
        <v>0</v>
      </c>
      <c r="DX116" s="241">
        <f t="shared" si="209"/>
        <v>0</v>
      </c>
      <c r="DY116" s="241">
        <f t="shared" si="209"/>
        <v>0</v>
      </c>
      <c r="DZ116" s="241">
        <f t="shared" si="209"/>
        <v>0</v>
      </c>
      <c r="EA116" s="241">
        <f t="shared" si="209"/>
        <v>0</v>
      </c>
      <c r="EB116" s="241">
        <f t="shared" si="209"/>
        <v>0</v>
      </c>
      <c r="EC116" s="241"/>
      <c r="ED116" s="241">
        <f t="shared" si="209"/>
        <v>0</v>
      </c>
      <c r="EE116" s="241">
        <f t="shared" si="209"/>
        <v>0</v>
      </c>
      <c r="EF116" s="241">
        <f t="shared" si="209"/>
        <v>0</v>
      </c>
      <c r="EG116" s="241"/>
      <c r="EH116" s="241">
        <f t="shared" si="209"/>
        <v>0</v>
      </c>
      <c r="EI116" s="241">
        <f t="shared" si="209"/>
        <v>0</v>
      </c>
      <c r="EJ116" s="241">
        <f t="shared" si="209"/>
        <v>0</v>
      </c>
      <c r="EK116" s="241">
        <f t="shared" si="209"/>
        <v>0</v>
      </c>
      <c r="EL116" s="210"/>
      <c r="EQ116" s="2617"/>
      <c r="ER116" s="237" t="s">
        <v>257</v>
      </c>
      <c r="ES116" s="237" t="s">
        <v>283</v>
      </c>
      <c r="ET116" s="237" t="s">
        <v>284</v>
      </c>
      <c r="EU116" s="321" t="s">
        <v>285</v>
      </c>
      <c r="EV116" s="322" t="s">
        <v>48</v>
      </c>
      <c r="EW116" s="248" t="s">
        <v>101</v>
      </c>
      <c r="EX116" s="248" t="s">
        <v>363</v>
      </c>
      <c r="EY116" s="248" t="s">
        <v>364</v>
      </c>
      <c r="EZ116" s="248" t="s">
        <v>365</v>
      </c>
      <c r="FA116" s="248" t="s">
        <v>366</v>
      </c>
      <c r="FB116" s="248" t="s">
        <v>367</v>
      </c>
      <c r="FC116" s="248" t="s">
        <v>368</v>
      </c>
      <c r="FD116" s="248" t="s">
        <v>369</v>
      </c>
      <c r="FE116" s="250" t="s">
        <v>370</v>
      </c>
      <c r="FF116" s="359" t="s">
        <v>374</v>
      </c>
      <c r="FG116" s="359" t="s">
        <v>375</v>
      </c>
      <c r="FH116" s="359" t="s">
        <v>376</v>
      </c>
      <c r="FI116" s="359" t="s">
        <v>377</v>
      </c>
      <c r="FJ116" s="359" t="s">
        <v>378</v>
      </c>
      <c r="FK116" s="359" t="s">
        <v>379</v>
      </c>
      <c r="FL116" s="359" t="s">
        <v>380</v>
      </c>
      <c r="FM116" s="248" t="s">
        <v>564</v>
      </c>
      <c r="FN116" s="250" t="s">
        <v>1598</v>
      </c>
      <c r="FO116" s="248" t="s">
        <v>1602</v>
      </c>
      <c r="IH116" s="1172"/>
      <c r="II116" s="1172" t="s">
        <v>2705</v>
      </c>
      <c r="IJ116" s="185"/>
      <c r="IK116" s="451" t="str">
        <f>_Calcs!$J$75</f>
        <v>Framdriftsfaktor</v>
      </c>
      <c r="IL116" s="451" t="str">
        <f t="shared" ref="IL116:IS116" si="210">$IK116</f>
        <v>Framdriftsfaktor</v>
      </c>
      <c r="IM116" s="451" t="str">
        <f t="shared" si="210"/>
        <v>Framdriftsfaktor</v>
      </c>
      <c r="IN116" s="451" t="str">
        <f t="shared" si="210"/>
        <v>Framdriftsfaktor</v>
      </c>
      <c r="IO116" s="451" t="str">
        <f t="shared" si="210"/>
        <v>Framdriftsfaktor</v>
      </c>
      <c r="IP116" s="451" t="str">
        <f t="shared" si="210"/>
        <v>Framdriftsfaktor</v>
      </c>
      <c r="IQ116" s="451" t="str">
        <f t="shared" si="210"/>
        <v>Framdriftsfaktor</v>
      </c>
      <c r="IR116" s="451" t="str">
        <f t="shared" si="210"/>
        <v>Framdriftsfaktor</v>
      </c>
      <c r="IS116" s="451" t="str">
        <f t="shared" si="210"/>
        <v>Framdriftsfaktor</v>
      </c>
      <c r="NH116" s="2617"/>
      <c r="NI116" s="2617"/>
      <c r="NJ116" s="2617"/>
      <c r="NK116" s="2617"/>
      <c r="NL116" s="471"/>
      <c r="NN116" s="407">
        <v>11</v>
      </c>
      <c r="NO116" s="206">
        <v>1</v>
      </c>
      <c r="NP116" s="206"/>
      <c r="NQ116" s="206"/>
      <c r="NR116" s="206"/>
      <c r="NS116" s="206"/>
      <c r="NT116" s="206"/>
      <c r="NU116" s="206"/>
      <c r="NV116" s="206"/>
      <c r="NW116" s="444">
        <f t="shared" ref="NW116:NW123" si="211">IF($BC$36=1,(MAX(NO116:NV116))+1,0)</f>
        <v>0</v>
      </c>
      <c r="NY116" s="208"/>
      <c r="NZ116" s="208"/>
      <c r="OA116" s="208"/>
      <c r="OB116" s="208"/>
      <c r="OC116" s="208"/>
      <c r="OD116" s="208"/>
      <c r="OE116" s="208"/>
      <c r="OF116" s="208"/>
      <c r="OG116" s="208"/>
      <c r="OH116" s="208"/>
      <c r="OI116" s="208"/>
      <c r="OJ116" s="208"/>
      <c r="OK116" s="208"/>
      <c r="OL116" s="208"/>
      <c r="OM116" s="208"/>
      <c r="ON116" s="208"/>
      <c r="OO116" s="208"/>
      <c r="OP116" s="208"/>
      <c r="OQ116" s="208"/>
      <c r="OR116" s="208"/>
      <c r="OS116" s="208"/>
      <c r="OT116" s="208"/>
      <c r="OU116" s="208"/>
      <c r="OV116" s="186"/>
      <c r="OW116" s="186"/>
      <c r="OX116" s="186"/>
      <c r="OY116" s="186"/>
      <c r="OZ116" s="186"/>
      <c r="PA116" s="186"/>
      <c r="PB116" s="186"/>
      <c r="PC116" s="186"/>
      <c r="PD116" s="186"/>
      <c r="PE116" s="186"/>
      <c r="PF116" s="186"/>
      <c r="PG116" s="208"/>
      <c r="PH116" s="208"/>
      <c r="PI116" s="208"/>
      <c r="PJ116" s="1274"/>
      <c r="PK116" s="1274"/>
      <c r="PL116" s="1274"/>
      <c r="PM116" s="1274"/>
      <c r="PN116" s="1274"/>
      <c r="PO116" s="1274"/>
      <c r="PP116" s="1274"/>
      <c r="PQ116" s="208"/>
      <c r="PR116" s="208"/>
      <c r="PS116" s="208"/>
      <c r="PT116" s="208"/>
      <c r="PU116" s="208"/>
      <c r="PV116" s="208"/>
      <c r="PW116" s="208"/>
      <c r="PX116" s="208"/>
      <c r="PY116" s="208"/>
      <c r="PZ116" s="208"/>
      <c r="QA116" s="208"/>
      <c r="QB116" s="208"/>
      <c r="QC116" s="208"/>
      <c r="QD116" s="208"/>
      <c r="QE116" s="208"/>
      <c r="RF116" s="2617"/>
      <c r="RG116" s="2617"/>
      <c r="RH116" s="2617"/>
      <c r="RI116" s="2617"/>
      <c r="RJ116" s="2617"/>
      <c r="RK116" s="2617"/>
      <c r="RL116" s="2617"/>
      <c r="RM116" s="2617"/>
      <c r="RN116" s="2617"/>
      <c r="RO116" s="2617"/>
      <c r="RP116" s="2617"/>
      <c r="RQ116" s="2617"/>
      <c r="RR116" s="2617"/>
      <c r="RS116" s="2617"/>
      <c r="RT116" s="2617"/>
      <c r="RU116" s="2617"/>
      <c r="RV116" s="2617"/>
      <c r="RW116" s="2617"/>
      <c r="RX116" s="2617"/>
      <c r="RY116" s="2617"/>
      <c r="RZ116" s="2617"/>
      <c r="SA116" s="2617"/>
      <c r="SB116" s="2617"/>
      <c r="SC116" s="2617"/>
      <c r="SD116" s="2617"/>
      <c r="SE116" s="2617"/>
      <c r="SF116" s="2617"/>
      <c r="SG116" s="2617"/>
      <c r="SH116" s="2617"/>
      <c r="SI116" s="2617"/>
      <c r="UL116" s="1755"/>
      <c r="UM116" s="1754"/>
      <c r="UO116" s="1754"/>
      <c r="UP116" s="1754"/>
      <c r="UQ116" s="1754"/>
      <c r="UR116" s="1754"/>
      <c r="US116" s="1754"/>
      <c r="UT116" s="1754"/>
      <c r="UU116" s="1754"/>
      <c r="UV116" s="1754"/>
      <c r="UW116" s="1754"/>
      <c r="UX116" s="1754"/>
      <c r="UY116" s="1754"/>
      <c r="UZ116" s="1754"/>
      <c r="VB116" s="1754"/>
      <c r="VC116" s="1754"/>
      <c r="VD116" s="1754"/>
      <c r="VE116" s="1754"/>
      <c r="VF116" s="1754"/>
      <c r="VG116" s="1754"/>
      <c r="VH116" s="1754"/>
      <c r="VI116" s="1754"/>
      <c r="VJ116" s="1754"/>
      <c r="VK116" s="1754"/>
      <c r="VL116" s="1754"/>
      <c r="VM116" s="1754"/>
      <c r="VN116" s="1754"/>
    </row>
    <row r="117" spans="9:592" ht="20.100000000000001" customHeight="1" x14ac:dyDescent="0.2">
      <c r="I117" s="5567"/>
      <c r="AH117" s="2617"/>
      <c r="AI117" s="2617"/>
      <c r="BB117" s="283" t="s">
        <v>339</v>
      </c>
      <c r="BG117" s="2617"/>
      <c r="BX117" s="207"/>
      <c r="BY117" s="207"/>
      <c r="DT117" s="357" t="s">
        <v>208</v>
      </c>
      <c r="DU117" s="185" t="s">
        <v>294</v>
      </c>
      <c r="DV117" s="185"/>
      <c r="DW117" s="241">
        <f t="shared" ref="DW117:EK117" si="212">DW105+DW106+DW107+DW108+DW109+DW110+DW111+DW112+DW113</f>
        <v>0</v>
      </c>
      <c r="DX117" s="241">
        <f t="shared" si="212"/>
        <v>0</v>
      </c>
      <c r="DY117" s="241">
        <f t="shared" si="212"/>
        <v>0</v>
      </c>
      <c r="DZ117" s="241">
        <f t="shared" si="212"/>
        <v>0</v>
      </c>
      <c r="EA117" s="241">
        <f t="shared" si="212"/>
        <v>0</v>
      </c>
      <c r="EB117" s="241">
        <f t="shared" si="212"/>
        <v>0</v>
      </c>
      <c r="EC117" s="241"/>
      <c r="ED117" s="241">
        <f t="shared" si="212"/>
        <v>0</v>
      </c>
      <c r="EE117" s="241">
        <f t="shared" si="212"/>
        <v>0</v>
      </c>
      <c r="EF117" s="241">
        <f t="shared" si="212"/>
        <v>0</v>
      </c>
      <c r="EG117" s="241"/>
      <c r="EH117" s="241">
        <f t="shared" si="212"/>
        <v>0</v>
      </c>
      <c r="EI117" s="241">
        <f t="shared" si="212"/>
        <v>0</v>
      </c>
      <c r="EJ117" s="241">
        <f t="shared" si="212"/>
        <v>0</v>
      </c>
      <c r="EK117" s="241">
        <f t="shared" si="212"/>
        <v>0</v>
      </c>
      <c r="EL117" s="210"/>
      <c r="EQ117" s="2617"/>
      <c r="ER117" s="237" t="str">
        <f>$K$89</f>
        <v>Hele tunnelen</v>
      </c>
      <c r="ES117" s="349">
        <f>IF($BC$38=1,1,0)</f>
        <v>0</v>
      </c>
      <c r="ET117" s="237">
        <f>IF($BC$38=1,1,0)</f>
        <v>0</v>
      </c>
      <c r="EU117" s="320">
        <f>IF(ET117=1,ES117,IF(ET117=0,0))</f>
        <v>0</v>
      </c>
      <c r="EV117" s="238" t="str">
        <f>ER117</f>
        <v>Hele tunnelen</v>
      </c>
      <c r="EW117" s="241">
        <f t="shared" ref="EW117:FE117" si="213">IFERROR((EW73/EW$115),0)</f>
        <v>0</v>
      </c>
      <c r="EX117" s="241">
        <f t="shared" si="213"/>
        <v>0</v>
      </c>
      <c r="EY117" s="241">
        <f t="shared" si="213"/>
        <v>0</v>
      </c>
      <c r="EZ117" s="241">
        <f t="shared" si="213"/>
        <v>0</v>
      </c>
      <c r="FA117" s="241">
        <f t="shared" si="213"/>
        <v>0</v>
      </c>
      <c r="FB117" s="241">
        <f t="shared" si="213"/>
        <v>0</v>
      </c>
      <c r="FC117" s="241">
        <f t="shared" si="213"/>
        <v>0</v>
      </c>
      <c r="FD117" s="241">
        <f t="shared" si="213"/>
        <v>0</v>
      </c>
      <c r="FE117" s="241">
        <f t="shared" si="213"/>
        <v>0</v>
      </c>
      <c r="FF117" s="360">
        <f>outputs_stab[[#This Row],[Manuell]]+outputs_stab[[#This Row],[kartlegging]]</f>
        <v>0</v>
      </c>
      <c r="FG117" s="360">
        <f>outputs_stab[[#This Row],[lt4m]]+outputs_stab[[#This Row],[gt4m]]</f>
        <v>0</v>
      </c>
      <c r="FH117" s="360">
        <f>outputs_stab[[#This Row],[band]]+outputs_stab[[#This Row],[net]]+outputs_stab[[#This Row],[festebolter]]</f>
        <v>0</v>
      </c>
      <c r="FI117" s="360">
        <f>outputs_stab[[#This Row],[shotcrete]]</f>
        <v>0</v>
      </c>
      <c r="FJ117" s="360">
        <f>outputs_stab[[#This Row],[buer]]</f>
        <v>0</v>
      </c>
      <c r="FK117" s="360">
        <f>outputs_stab[[#This Row],[sik123]]+outputs_stab[[#This Row],[sik4]]</f>
        <v>0</v>
      </c>
      <c r="FL117"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17" s="486">
        <f>outputs_stab[[#This Row],[total_total]]/$AI$80</f>
        <v>0</v>
      </c>
      <c r="FN117" s="323">
        <f>IFERROR((FF73/FN$115),0)</f>
        <v>0</v>
      </c>
      <c r="FO117" s="323">
        <f>IFERROR((FG73/FO$115),0)</f>
        <v>0</v>
      </c>
      <c r="IH117" s="1172"/>
      <c r="II117" s="5998" t="s">
        <v>2655</v>
      </c>
      <c r="IJ117" s="185"/>
      <c r="IK117" s="194" t="str">
        <f>INDEX(outputs_oppsum[kon_metod],MATCH(_Calcs!$NO$41,outputs_oppsum[stuff_id],0))</f>
        <v>Enstuffs drift</v>
      </c>
      <c r="IL117" s="194" t="e">
        <f>INDEX(outputs_oppsum[kon_metod],MATCH(_Calcs!$NP$41,outputs_oppsum[stuff_id],0))</f>
        <v>#N/A</v>
      </c>
      <c r="IM117" s="194" t="e">
        <f>INDEX(outputs_oppsum[kon_metod],MATCH(_Calcs!$NQ$41,outputs_oppsum[stuff_id],0))</f>
        <v>#N/A</v>
      </c>
      <c r="IN117" s="194" t="e">
        <f>INDEX(outputs_oppsum[kon_metod],MATCH(_Calcs!$NR$41,outputs_oppsum[stuff_id],0))</f>
        <v>#N/A</v>
      </c>
      <c r="IO117" s="194" t="e">
        <f>INDEX(outputs_oppsum[kon_metod],MATCH(_Calcs!$NS$41,outputs_oppsum[stuff_id],0))</f>
        <v>#N/A</v>
      </c>
      <c r="IP117" s="194" t="e">
        <f>INDEX(outputs_oppsum[kon_metod],MATCH(_Calcs!$NT$41,outputs_oppsum[stuff_id],0))</f>
        <v>#N/A</v>
      </c>
      <c r="IQ117" s="194" t="e">
        <f>INDEX(outputs_oppsum[kon_metod],MATCH(_Calcs!$NU$41,outputs_oppsum[stuff_id],0))</f>
        <v>#N/A</v>
      </c>
      <c r="IR117" s="194" t="e">
        <f>INDEX(outputs_oppsum[kon_metod],MATCH(_Calcs!$NV$41,outputs_oppsum[stuff_id],0))</f>
        <v>#N/A</v>
      </c>
      <c r="IS117" s="194" t="e">
        <f>INDEX(outputs_oppsum[kon_metod],MATCH(_Calcs!$NW$41,outputs_oppsum[stuff_id],0))</f>
        <v>#N/A</v>
      </c>
      <c r="NH117" s="2617"/>
      <c r="NI117" s="2617"/>
      <c r="NJ117" s="2617"/>
      <c r="NK117" s="2617"/>
      <c r="NL117" s="471"/>
      <c r="NN117" s="407">
        <v>12</v>
      </c>
      <c r="NO117" s="206">
        <v>1</v>
      </c>
      <c r="NP117" s="206">
        <v>2</v>
      </c>
      <c r="NQ117" s="206"/>
      <c r="NR117" s="206"/>
      <c r="NS117" s="206"/>
      <c r="NT117" s="206"/>
      <c r="NU117" s="206"/>
      <c r="NV117" s="206"/>
      <c r="NW117" s="444">
        <f t="shared" si="211"/>
        <v>0</v>
      </c>
      <c r="NY117" s="208"/>
      <c r="NZ117" s="208"/>
      <c r="OA117" s="208"/>
      <c r="OB117" s="208"/>
      <c r="OC117" s="208"/>
      <c r="OD117" s="208"/>
      <c r="OE117" s="208"/>
      <c r="OF117" s="208"/>
      <c r="OG117" s="208"/>
      <c r="OH117" s="208"/>
      <c r="OI117" s="208"/>
      <c r="OJ117" s="208"/>
      <c r="OK117" s="208"/>
      <c r="OL117" s="208"/>
      <c r="OM117" s="208"/>
      <c r="ON117" s="208"/>
      <c r="OO117" s="208"/>
      <c r="OP117" s="208"/>
      <c r="OQ117" s="208"/>
      <c r="OR117" s="208"/>
      <c r="OS117" s="208"/>
      <c r="OT117" s="208"/>
      <c r="OU117" s="208"/>
      <c r="OV117" s="186"/>
      <c r="OW117" s="186"/>
      <c r="OX117" s="186"/>
      <c r="OY117" s="186"/>
      <c r="OZ117" s="186"/>
      <c r="PA117" s="186"/>
      <c r="PB117" s="186"/>
      <c r="PC117" s="186"/>
      <c r="PD117" s="186"/>
      <c r="PE117" s="186"/>
      <c r="PF117" s="186"/>
      <c r="PG117" s="208"/>
      <c r="PH117" s="208"/>
      <c r="PI117" s="208"/>
      <c r="PJ117" s="1274"/>
      <c r="PK117" s="1274"/>
      <c r="PL117" s="1274"/>
      <c r="PM117" s="1274"/>
      <c r="PN117" s="1274"/>
      <c r="PO117" s="1274"/>
      <c r="PP117" s="1274"/>
      <c r="PQ117" s="208"/>
      <c r="PR117" s="208"/>
      <c r="PS117" s="208"/>
      <c r="PT117" s="208"/>
      <c r="PU117" s="208"/>
      <c r="PV117" s="208"/>
      <c r="PW117" s="208"/>
      <c r="PX117" s="208"/>
      <c r="PY117" s="208"/>
      <c r="PZ117" s="208"/>
      <c r="QA117" s="208"/>
      <c r="QB117" s="208"/>
      <c r="QC117" s="208"/>
      <c r="QD117" s="208"/>
      <c r="QE117" s="208"/>
      <c r="RF117" s="2617"/>
      <c r="RG117" s="2617"/>
      <c r="RH117" s="2617"/>
      <c r="RI117" s="2617"/>
      <c r="RJ117" s="2617"/>
      <c r="RK117" s="2617"/>
      <c r="RL117" s="2617"/>
      <c r="RM117" s="2617"/>
      <c r="RN117" s="2617"/>
      <c r="RO117" s="2617"/>
      <c r="RP117" s="2617"/>
      <c r="RQ117" s="2617"/>
      <c r="RR117" s="2617"/>
      <c r="RS117" s="2617"/>
      <c r="RT117" s="2617"/>
      <c r="RU117" s="2617"/>
      <c r="RV117" s="2617"/>
      <c r="RW117" s="2617"/>
      <c r="RX117" s="2617"/>
      <c r="RY117" s="2617"/>
      <c r="RZ117" s="2617"/>
      <c r="SA117" s="2617"/>
      <c r="SB117" s="2617"/>
      <c r="SC117" s="2617"/>
      <c r="SD117" s="2617"/>
      <c r="SE117" s="2617"/>
      <c r="SF117" s="2617"/>
      <c r="SG117" s="2617"/>
      <c r="SH117" s="2617"/>
      <c r="SI117" s="2617"/>
      <c r="UL117" s="1755"/>
      <c r="UM117" s="1754"/>
      <c r="UO117" s="1754"/>
      <c r="UP117" s="1754"/>
      <c r="UQ117" s="1754"/>
      <c r="UR117" s="1754"/>
      <c r="US117" s="1754"/>
      <c r="UT117" s="1754"/>
      <c r="UU117" s="1754"/>
      <c r="UV117" s="1754"/>
      <c r="UW117" s="1754"/>
      <c r="UX117" s="1754"/>
      <c r="UY117" s="1754"/>
      <c r="UZ117" s="1754"/>
      <c r="VB117" s="1754"/>
      <c r="VC117" s="1754"/>
      <c r="VD117" s="1754"/>
      <c r="VE117" s="1754"/>
      <c r="VF117" s="1754"/>
      <c r="VG117" s="1754"/>
      <c r="VH117" s="1754"/>
      <c r="VI117" s="1754"/>
      <c r="VJ117" s="1754"/>
      <c r="VK117" s="1754"/>
      <c r="VL117" s="1754"/>
      <c r="VM117" s="1754"/>
      <c r="VN117" s="1754"/>
    </row>
    <row r="118" spans="9:592" ht="20.100000000000001" customHeight="1" x14ac:dyDescent="0.2">
      <c r="I118" s="5567"/>
      <c r="AH118" s="2617"/>
      <c r="AI118" s="2617"/>
      <c r="BG118" s="2617"/>
      <c r="EQ118" s="2617"/>
      <c r="ER118" s="185"/>
      <c r="ES118" s="354"/>
      <c r="ET118" s="185"/>
      <c r="EU118" s="253"/>
      <c r="EV118" s="194"/>
      <c r="EW118" s="241"/>
      <c r="EX118" s="241"/>
      <c r="EY118" s="241"/>
      <c r="EZ118" s="241"/>
      <c r="FA118" s="241"/>
      <c r="FB118" s="241"/>
      <c r="FC118" s="241"/>
      <c r="FD118" s="241"/>
      <c r="FE118" s="323"/>
      <c r="FF118" s="360"/>
      <c r="FG118" s="360"/>
      <c r="FH118" s="360"/>
      <c r="FI118" s="360"/>
      <c r="FJ118" s="360"/>
      <c r="FK118" s="360"/>
      <c r="FL118"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18" s="241"/>
      <c r="FN118" s="323">
        <f t="shared" ref="FN118:FO127" si="214">IFERROR((FF74/FN$115),0)</f>
        <v>0</v>
      </c>
      <c r="FO118" s="323">
        <f t="shared" si="214"/>
        <v>0</v>
      </c>
      <c r="IH118" s="1172"/>
      <c r="II118" s="5998" t="s">
        <v>1502</v>
      </c>
      <c r="IJ118" s="185"/>
      <c r="IK118" s="3453">
        <f>INDEX(outputs_oppsum[faktor_beregnet],MATCH(_Calcs!$NO$41,outputs_oppsum[stuff_id],0))</f>
        <v>1</v>
      </c>
      <c r="IL118" s="3453" t="e">
        <f>INDEX(outputs_oppsum[faktor_beregnet],MATCH(_Calcs!$NP$41,outputs_oppsum[stuff_id],0))</f>
        <v>#N/A</v>
      </c>
      <c r="IM118" s="3453" t="e">
        <f>INDEX(outputs_oppsum[faktor_beregnet],MATCH(_Calcs!$NQ$41,outputs_oppsum[stuff_id],0))</f>
        <v>#N/A</v>
      </c>
      <c r="IN118" s="3453" t="e">
        <f>INDEX(outputs_oppsum[faktor_beregnet],MATCH(_Calcs!$NR$41,outputs_oppsum[stuff_id],0))</f>
        <v>#N/A</v>
      </c>
      <c r="IO118" s="3453" t="e">
        <f>INDEX(outputs_oppsum[faktor_beregnet],MATCH(_Calcs!$NS$41,outputs_oppsum[stuff_id],0))</f>
        <v>#N/A</v>
      </c>
      <c r="IP118" s="3453" t="e">
        <f>INDEX(outputs_oppsum[faktor_beregnet],MATCH(_Calcs!$NT$41,outputs_oppsum[stuff_id],0))</f>
        <v>#N/A</v>
      </c>
      <c r="IQ118" s="3453" t="e">
        <f>INDEX(outputs_oppsum[faktor_beregnet],MATCH(_Calcs!$NU$41,outputs_oppsum[stuff_id],0))</f>
        <v>#N/A</v>
      </c>
      <c r="IR118" s="3453" t="e">
        <f>INDEX(outputs_oppsum[faktor_beregnet],MATCH(_Calcs!$NV$41,outputs_oppsum[stuff_id],0))</f>
        <v>#N/A</v>
      </c>
      <c r="IS118" s="3453" t="e">
        <f>INDEX(outputs_oppsum[faktor_beregnet],MATCH(_Calcs!$NW$41,outputs_oppsum[stuff_id],0))</f>
        <v>#N/A</v>
      </c>
      <c r="NH118" s="2617"/>
      <c r="NI118" s="2617"/>
      <c r="NJ118" s="2617"/>
      <c r="NK118" s="2617"/>
      <c r="NL118" s="471"/>
      <c r="NN118" s="407">
        <v>13</v>
      </c>
      <c r="NO118" s="206">
        <v>1</v>
      </c>
      <c r="NP118" s="206">
        <v>2</v>
      </c>
      <c r="NQ118" s="206">
        <v>3</v>
      </c>
      <c r="NR118" s="206"/>
      <c r="NS118" s="206"/>
      <c r="NT118" s="206"/>
      <c r="NU118" s="206"/>
      <c r="NV118" s="206"/>
      <c r="NW118" s="444">
        <f t="shared" si="211"/>
        <v>0</v>
      </c>
      <c r="NY118" s="208"/>
      <c r="NZ118" s="208"/>
      <c r="OA118" s="208"/>
      <c r="OB118" s="208"/>
      <c r="OC118" s="208"/>
      <c r="OD118" s="208"/>
      <c r="OE118" s="208"/>
      <c r="OF118" s="208"/>
      <c r="OG118" s="208"/>
      <c r="OH118" s="208"/>
      <c r="OI118" s="208"/>
      <c r="OJ118" s="208"/>
      <c r="OK118" s="208"/>
      <c r="OL118" s="208"/>
      <c r="OM118" s="208"/>
      <c r="ON118" s="208"/>
      <c r="OO118" s="208"/>
      <c r="OP118" s="208"/>
      <c r="OQ118" s="208"/>
      <c r="OR118" s="208"/>
      <c r="OS118" s="208"/>
      <c r="OT118" s="208"/>
      <c r="OU118" s="208"/>
      <c r="OV118" s="186"/>
      <c r="OW118" s="186"/>
      <c r="OX118" s="186"/>
      <c r="OY118" s="186"/>
      <c r="OZ118" s="186"/>
      <c r="PA118" s="186"/>
      <c r="PB118" s="186"/>
      <c r="PC118" s="186"/>
      <c r="PD118" s="186"/>
      <c r="PE118" s="186"/>
      <c r="PF118" s="186"/>
      <c r="PG118" s="208"/>
      <c r="PH118" s="208"/>
      <c r="PI118" s="208"/>
      <c r="PJ118" s="1274"/>
      <c r="PK118" s="1274"/>
      <c r="PL118" s="1274"/>
      <c r="PM118" s="1274"/>
      <c r="PN118" s="1274"/>
      <c r="PO118" s="1274"/>
      <c r="PP118" s="1274"/>
      <c r="PQ118" s="208"/>
      <c r="PR118" s="208"/>
      <c r="PS118" s="208"/>
      <c r="PT118" s="208"/>
      <c r="PU118" s="208"/>
      <c r="PV118" s="208"/>
      <c r="PW118" s="208"/>
      <c r="PX118" s="208"/>
      <c r="PY118" s="208"/>
      <c r="PZ118" s="208"/>
      <c r="QA118" s="208"/>
      <c r="QB118" s="208"/>
      <c r="QC118" s="208"/>
      <c r="QD118" s="208"/>
      <c r="QE118" s="208"/>
      <c r="QN118" s="183" t="s">
        <v>241</v>
      </c>
      <c r="QO118" s="194" t="s">
        <v>199</v>
      </c>
      <c r="QP118" s="194" t="s">
        <v>233</v>
      </c>
      <c r="QQ118" s="194" t="s">
        <v>199</v>
      </c>
      <c r="QR118" s="194" t="s">
        <v>233</v>
      </c>
      <c r="RF118" s="2617"/>
      <c r="RG118" s="2617"/>
      <c r="RH118" s="2617"/>
      <c r="RI118" s="2617"/>
      <c r="RJ118" s="2617"/>
      <c r="RK118" s="2617"/>
      <c r="RL118" s="2617"/>
      <c r="RM118" s="2617"/>
      <c r="RN118" s="2617"/>
      <c r="RO118" s="2617"/>
      <c r="RP118" s="2617"/>
      <c r="RQ118" s="2617"/>
      <c r="RR118" s="2617"/>
      <c r="RS118" s="2617"/>
      <c r="RT118" s="2617"/>
      <c r="RU118" s="2617"/>
      <c r="RV118" s="2617"/>
      <c r="RW118" s="2617"/>
      <c r="RX118" s="2617"/>
      <c r="RY118" s="2617"/>
      <c r="RZ118" s="2617"/>
      <c r="SA118" s="2617"/>
      <c r="SB118" s="2617"/>
      <c r="SC118" s="2617"/>
      <c r="SD118" s="2617"/>
      <c r="SE118" s="2617"/>
      <c r="SF118" s="2617"/>
      <c r="SG118" s="2617"/>
      <c r="SH118" s="2617"/>
      <c r="SI118" s="2617"/>
      <c r="UL118" s="1755"/>
      <c r="UM118" s="1754"/>
      <c r="UO118" s="1754"/>
      <c r="UP118" s="1754"/>
      <c r="UQ118" s="1754"/>
      <c r="UR118" s="1754"/>
      <c r="US118" s="1754"/>
      <c r="UT118" s="1754"/>
      <c r="UU118" s="1754"/>
      <c r="UV118" s="1754"/>
      <c r="UW118" s="1754"/>
      <c r="UX118" s="1754"/>
      <c r="UY118" s="1754"/>
      <c r="UZ118" s="1754"/>
      <c r="VB118" s="1754"/>
      <c r="VC118" s="1754"/>
      <c r="VD118" s="1754"/>
      <c r="VE118" s="1754"/>
      <c r="VF118" s="1754"/>
      <c r="VG118" s="1754"/>
      <c r="VH118" s="1754"/>
      <c r="VI118" s="1754"/>
      <c r="VJ118" s="1754"/>
      <c r="VK118" s="1754"/>
      <c r="VL118" s="1754"/>
      <c r="VM118" s="1754"/>
      <c r="VN118" s="1754"/>
    </row>
    <row r="119" spans="9:592" ht="20.100000000000001" customHeight="1" x14ac:dyDescent="0.2">
      <c r="I119" s="5567"/>
      <c r="AH119" s="2617"/>
      <c r="AI119" s="2617"/>
      <c r="BB119" s="283" t="s">
        <v>341</v>
      </c>
      <c r="DT119" s="358" t="s">
        <v>210</v>
      </c>
      <c r="DU119" s="185" t="s">
        <v>293</v>
      </c>
      <c r="DV119" s="185"/>
      <c r="DW119" s="2617"/>
      <c r="DX119" s="2617"/>
      <c r="DY119" s="2617"/>
      <c r="DZ119" s="2617"/>
      <c r="EA119" s="2617"/>
      <c r="EB119" s="2617"/>
      <c r="EC119" s="2617"/>
      <c r="ED119" s="2617"/>
      <c r="EE119" s="2617"/>
      <c r="EF119" s="2617"/>
      <c r="EG119" s="2617"/>
      <c r="EH119" s="2617"/>
      <c r="EI119" s="210"/>
      <c r="EJ119" s="210"/>
      <c r="EK119" s="210"/>
      <c r="EL119" s="210"/>
      <c r="EQ119" s="2617"/>
      <c r="ER119" s="340" t="str">
        <f>$NO$67</f>
        <v>Stuff 1-1</v>
      </c>
      <c r="ES119" s="349">
        <f>IF($BC$38=1,0,IF($BC$38=2,1,0))</f>
        <v>1</v>
      </c>
      <c r="ET119" s="237">
        <f>IF($BC$34&gt;0,1,0)</f>
        <v>1</v>
      </c>
      <c r="EU119" s="194">
        <f>INDEX(outputs_position[11],MATCH($BC$35,outputs_position[lopstuff],0))</f>
        <v>1</v>
      </c>
      <c r="EV119" s="194" t="str">
        <f t="shared" ref="EV119:EV127" si="215">ER119</f>
        <v>Stuff 1-1</v>
      </c>
      <c r="EW119" s="241">
        <f t="shared" ref="EW119:FE119" si="216">IFERROR((EW75/EW$115),0)</f>
        <v>0</v>
      </c>
      <c r="EX119" s="241">
        <f t="shared" si="216"/>
        <v>0</v>
      </c>
      <c r="EY119" s="241">
        <f t="shared" si="216"/>
        <v>0</v>
      </c>
      <c r="EZ119" s="241">
        <f t="shared" si="216"/>
        <v>0</v>
      </c>
      <c r="FA119" s="241">
        <f t="shared" si="216"/>
        <v>0</v>
      </c>
      <c r="FB119" s="241">
        <f t="shared" si="216"/>
        <v>0</v>
      </c>
      <c r="FC119" s="241">
        <f t="shared" si="216"/>
        <v>0</v>
      </c>
      <c r="FD119" s="241">
        <f t="shared" si="216"/>
        <v>0</v>
      </c>
      <c r="FE119" s="241">
        <f t="shared" si="216"/>
        <v>0</v>
      </c>
      <c r="FF119" s="360">
        <f>outputs_stab[[#This Row],[Manuell]]+outputs_stab[[#This Row],[kartlegging]]</f>
        <v>0</v>
      </c>
      <c r="FG119" s="360">
        <f>outputs_stab[[#This Row],[lt4m]]+outputs_stab[[#This Row],[gt4m]]</f>
        <v>0</v>
      </c>
      <c r="FH119" s="360">
        <f>outputs_stab[[#This Row],[band]]+outputs_stab[[#This Row],[net]]+outputs_stab[[#This Row],[festebolter]]</f>
        <v>0</v>
      </c>
      <c r="FI119" s="360">
        <f>outputs_stab[[#This Row],[shotcrete]]</f>
        <v>0</v>
      </c>
      <c r="FJ119" s="360">
        <f>outputs_stab[[#This Row],[buer]]</f>
        <v>0</v>
      </c>
      <c r="FK119" s="360">
        <f>outputs_stab[[#This Row],[sik123]]+outputs_stab[[#This Row],[sik4]]</f>
        <v>0</v>
      </c>
      <c r="FL119"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19" s="241">
        <f>outputs_stab[[#This Row],[total_total]]/$AI$80</f>
        <v>0</v>
      </c>
      <c r="FN119" s="323">
        <f t="shared" si="214"/>
        <v>0</v>
      </c>
      <c r="FO119" s="323">
        <f t="shared" si="214"/>
        <v>0</v>
      </c>
      <c r="IH119" s="1172"/>
      <c r="II119" s="5998" t="s">
        <v>2706</v>
      </c>
      <c r="IJ119" s="185"/>
      <c r="IK119" s="3453" t="str">
        <f>INDEX(utskrift_just[vek_faktor_bruker_verdi],MATCH(IK108,utskrift_just[position],0))</f>
        <v/>
      </c>
      <c r="IL119" s="3453" t="e">
        <f>INDEX(utskrift_just[vek_faktor_bruker_verdi],MATCH(IL108,utskrift_just[position],0))</f>
        <v>#N/A</v>
      </c>
      <c r="IM119" s="3453" t="e">
        <f>INDEX(utskrift_just[vek_faktor_bruker_verdi],MATCH(IM108,utskrift_just[position],0))</f>
        <v>#N/A</v>
      </c>
      <c r="IN119" s="3453" t="e">
        <f>INDEX(utskrift_just[vek_faktor_bruker_verdi],MATCH(IN108,utskrift_just[position],0))</f>
        <v>#N/A</v>
      </c>
      <c r="IO119" s="3453" t="e">
        <f>INDEX(utskrift_just[vek_faktor_bruker_verdi],MATCH(IO108,utskrift_just[position],0))</f>
        <v>#N/A</v>
      </c>
      <c r="IP119" s="3453" t="e">
        <f>INDEX(utskrift_just[vek_faktor_bruker_verdi],MATCH(IP108,utskrift_just[position],0))</f>
        <v>#N/A</v>
      </c>
      <c r="IQ119" s="3453" t="e">
        <f>INDEX(utskrift_just[vek_faktor_bruker_verdi],MATCH(IQ108,utskrift_just[position],0))</f>
        <v>#N/A</v>
      </c>
      <c r="IR119" s="3453" t="e">
        <f>INDEX(utskrift_just[vek_faktor_bruker_verdi],MATCH(IR108,utskrift_just[position],0))</f>
        <v>#N/A</v>
      </c>
      <c r="IS119" s="3453" t="e">
        <f>INDEX(utskrift_just[vek_faktor_bruker_verdi],MATCH(IS108,utskrift_just[position],0))</f>
        <v>#N/A</v>
      </c>
      <c r="NH119" s="2617"/>
      <c r="NI119" s="2617"/>
      <c r="NJ119" s="2617"/>
      <c r="NK119" s="2617"/>
      <c r="NL119" s="471"/>
      <c r="NN119" s="407">
        <v>14</v>
      </c>
      <c r="NO119" s="206">
        <v>1</v>
      </c>
      <c r="NP119" s="206">
        <v>2</v>
      </c>
      <c r="NQ119" s="206">
        <v>3</v>
      </c>
      <c r="NR119" s="206">
        <v>4</v>
      </c>
      <c r="NS119" s="206"/>
      <c r="NT119" s="206"/>
      <c r="NU119" s="206"/>
      <c r="NV119" s="206"/>
      <c r="NW119" s="444">
        <f t="shared" si="211"/>
        <v>0</v>
      </c>
      <c r="NY119" s="208"/>
      <c r="NZ119" s="208"/>
      <c r="OA119" s="208"/>
      <c r="OB119" s="208"/>
      <c r="OC119" s="208"/>
      <c r="OD119" s="208"/>
      <c r="OE119" s="208"/>
      <c r="OF119" s="208"/>
      <c r="OG119" s="208"/>
      <c r="OH119" s="208"/>
      <c r="OI119" s="208"/>
      <c r="OJ119" s="208"/>
      <c r="OK119" s="208"/>
      <c r="OL119" s="208"/>
      <c r="OM119" s="208"/>
      <c r="ON119" s="208"/>
      <c r="OO119" s="208"/>
      <c r="OP119" s="208"/>
      <c r="OQ119" s="208"/>
      <c r="OR119" s="208"/>
      <c r="OS119" s="208"/>
      <c r="OT119" s="208"/>
      <c r="OU119" s="208"/>
      <c r="OV119" s="186"/>
      <c r="OW119" s="186"/>
      <c r="OX119" s="186"/>
      <c r="OY119" s="186"/>
      <c r="OZ119" s="186"/>
      <c r="PA119" s="186"/>
      <c r="PB119" s="186"/>
      <c r="PC119" s="186"/>
      <c r="PD119" s="186"/>
      <c r="PE119" s="186"/>
      <c r="PF119" s="186"/>
      <c r="PG119" s="208"/>
      <c r="PH119" s="208"/>
      <c r="PI119" s="208"/>
      <c r="PJ119" s="1274"/>
      <c r="PK119" s="1274"/>
      <c r="PL119" s="1274"/>
      <c r="PM119" s="1274"/>
      <c r="PN119" s="1274"/>
      <c r="PO119" s="1274"/>
      <c r="PP119" s="1274"/>
      <c r="PQ119" s="208"/>
      <c r="PR119" s="208"/>
      <c r="PS119" s="208"/>
      <c r="PT119" s="208"/>
      <c r="PU119" s="208"/>
      <c r="PV119" s="208"/>
      <c r="PW119" s="208"/>
      <c r="PX119" s="208"/>
      <c r="PY119" s="208"/>
      <c r="PZ119" s="208"/>
      <c r="QA119" s="208"/>
      <c r="QB119" s="208"/>
      <c r="QC119" s="208"/>
      <c r="QD119" s="208"/>
      <c r="QE119" s="208"/>
      <c r="QO119" s="195" t="s">
        <v>224</v>
      </c>
      <c r="QP119" s="204">
        <v>0</v>
      </c>
      <c r="QQ119" s="196" t="s">
        <v>229</v>
      </c>
      <c r="QR119" s="205"/>
      <c r="RF119" s="2617"/>
      <c r="RG119" s="2617"/>
      <c r="RH119" s="2617"/>
      <c r="RI119" s="2617"/>
      <c r="RJ119" s="2617"/>
      <c r="RK119" s="2617"/>
      <c r="RL119" s="2617"/>
      <c r="RM119" s="2617"/>
      <c r="RN119" s="2617"/>
      <c r="RO119" s="2617"/>
      <c r="RP119" s="2617"/>
      <c r="RQ119" s="2617"/>
      <c r="RR119" s="2617"/>
      <c r="RS119" s="2617"/>
      <c r="RT119" s="2617"/>
      <c r="RU119" s="2617"/>
      <c r="RV119" s="2617"/>
      <c r="RW119" s="2617"/>
      <c r="RX119" s="2617"/>
      <c r="RY119" s="2617"/>
      <c r="RZ119" s="2617"/>
      <c r="SA119" s="2617"/>
      <c r="SB119" s="2617"/>
      <c r="SC119" s="2617"/>
      <c r="SD119" s="2617"/>
      <c r="SE119" s="2617"/>
      <c r="SF119" s="2617"/>
      <c r="SG119" s="2617"/>
      <c r="SH119" s="2617"/>
      <c r="SI119" s="2617"/>
      <c r="UL119" s="1755"/>
      <c r="UM119" s="1754"/>
      <c r="UO119" s="1754"/>
      <c r="UP119" s="1754"/>
      <c r="UQ119" s="1754"/>
      <c r="UR119" s="1754"/>
      <c r="US119" s="1754"/>
      <c r="UT119" s="1754"/>
      <c r="UU119" s="1754"/>
      <c r="UV119" s="1754"/>
      <c r="UW119" s="1754"/>
      <c r="UX119" s="1754"/>
      <c r="UY119" s="1754"/>
      <c r="UZ119" s="1754"/>
      <c r="VB119" s="1754"/>
      <c r="VC119" s="1754"/>
      <c r="VD119" s="1754"/>
      <c r="VE119" s="1754"/>
      <c r="VF119" s="1754"/>
      <c r="VG119" s="1754"/>
      <c r="VH119" s="1754"/>
      <c r="VI119" s="1754"/>
      <c r="VJ119" s="1754"/>
      <c r="VK119" s="1754"/>
      <c r="VL119" s="1754"/>
      <c r="VM119" s="1754"/>
      <c r="VN119" s="1754"/>
    </row>
    <row r="120" spans="9:592" ht="20.100000000000001" customHeight="1" x14ac:dyDescent="0.2">
      <c r="I120" s="5567"/>
      <c r="AH120" s="2617"/>
      <c r="AI120" s="2617"/>
      <c r="BH120" s="2617"/>
      <c r="BI120" s="2617"/>
      <c r="BJ120" s="2617"/>
      <c r="BK120" s="2617"/>
      <c r="BL120" s="2617"/>
      <c r="DT120" s="358" t="s">
        <v>210</v>
      </c>
      <c r="DU120" s="185" t="s">
        <v>294</v>
      </c>
      <c r="DV120" s="185"/>
      <c r="DW120" s="2617"/>
      <c r="DX120" s="2617"/>
      <c r="DY120" s="2617"/>
      <c r="DZ120" s="2617"/>
      <c r="EA120" s="2617"/>
      <c r="EB120" s="2617"/>
      <c r="EC120" s="2617"/>
      <c r="ED120" s="2617"/>
      <c r="EE120" s="2617"/>
      <c r="EF120" s="2617"/>
      <c r="EG120" s="2617"/>
      <c r="EH120" s="2617"/>
      <c r="EI120" s="210"/>
      <c r="EJ120" s="210"/>
      <c r="EK120" s="210"/>
      <c r="EL120" s="210"/>
      <c r="EQ120" s="2617"/>
      <c r="ER120" s="340" t="str">
        <f>$NO$68</f>
        <v>Stuff 1-2</v>
      </c>
      <c r="ES120" s="349">
        <f>IF($BC$38=1,0,IF($BC$38=2,2,0))</f>
        <v>2</v>
      </c>
      <c r="ET120" s="237">
        <f>IF($BC$34&gt;1,1,0)</f>
        <v>0</v>
      </c>
      <c r="EU120" s="194">
        <f>INDEX(outputs_position[12],MATCH($BC$35,outputs_position[lopstuff],0))</f>
        <v>0</v>
      </c>
      <c r="EV120" s="194" t="str">
        <f t="shared" si="215"/>
        <v>Stuff 1-2</v>
      </c>
      <c r="EW120" s="241">
        <f t="shared" ref="EW120:FE120" si="217">IFERROR((EW76/EW$115),0)</f>
        <v>0</v>
      </c>
      <c r="EX120" s="241">
        <f t="shared" si="217"/>
        <v>0</v>
      </c>
      <c r="EY120" s="241">
        <f t="shared" si="217"/>
        <v>0</v>
      </c>
      <c r="EZ120" s="241">
        <f t="shared" si="217"/>
        <v>0</v>
      </c>
      <c r="FA120" s="241">
        <f t="shared" si="217"/>
        <v>0</v>
      </c>
      <c r="FB120" s="241">
        <f t="shared" si="217"/>
        <v>0</v>
      </c>
      <c r="FC120" s="241">
        <f t="shared" si="217"/>
        <v>0</v>
      </c>
      <c r="FD120" s="241">
        <f t="shared" si="217"/>
        <v>0</v>
      </c>
      <c r="FE120" s="241">
        <f t="shared" si="217"/>
        <v>0</v>
      </c>
      <c r="FF120" s="360">
        <f>outputs_stab[[#This Row],[Manuell]]+outputs_stab[[#This Row],[kartlegging]]</f>
        <v>0</v>
      </c>
      <c r="FG120" s="360">
        <f>outputs_stab[[#This Row],[lt4m]]+outputs_stab[[#This Row],[gt4m]]</f>
        <v>0</v>
      </c>
      <c r="FH120" s="360">
        <f>outputs_stab[[#This Row],[band]]+outputs_stab[[#This Row],[net]]+outputs_stab[[#This Row],[festebolter]]</f>
        <v>0</v>
      </c>
      <c r="FI120" s="360">
        <f>outputs_stab[[#This Row],[shotcrete]]</f>
        <v>0</v>
      </c>
      <c r="FJ120" s="360">
        <f>outputs_stab[[#This Row],[buer]]</f>
        <v>0</v>
      </c>
      <c r="FK120" s="360">
        <f>outputs_stab[[#This Row],[sik123]]+outputs_stab[[#This Row],[sik4]]</f>
        <v>0</v>
      </c>
      <c r="FL120"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0" s="241">
        <f>outputs_stab[[#This Row],[total_total]]/$AI$80</f>
        <v>0</v>
      </c>
      <c r="FN120" s="323">
        <f t="shared" si="214"/>
        <v>0</v>
      </c>
      <c r="FO120" s="323">
        <f t="shared" si="214"/>
        <v>0</v>
      </c>
      <c r="IH120" s="1172"/>
      <c r="II120" s="5998" t="s">
        <v>138</v>
      </c>
      <c r="IJ120" s="185"/>
      <c r="IK120" s="290" t="str">
        <f>INDEX(utskrift_just[vek_faktor_beg],MATCH(IK108,utskrift_just[position],0))</f>
        <v/>
      </c>
      <c r="IL120" s="290" t="e">
        <f>INDEX(utskrift_just[vek_faktor_beg],MATCH(IL108,utskrift_just[position],0))</f>
        <v>#N/A</v>
      </c>
      <c r="IM120" s="290" t="e">
        <f>INDEX(utskrift_just[vek_faktor_beg],MATCH(IM108,utskrift_just[position],0))</f>
        <v>#N/A</v>
      </c>
      <c r="IN120" s="290" t="e">
        <f>INDEX(utskrift_just[vek_faktor_beg],MATCH(IN108,utskrift_just[position],0))</f>
        <v>#N/A</v>
      </c>
      <c r="IO120" s="290" t="e">
        <f>INDEX(utskrift_just[vek_faktor_beg],MATCH(IO108,utskrift_just[position],0))</f>
        <v>#N/A</v>
      </c>
      <c r="IP120" s="290" t="e">
        <f>INDEX(utskrift_just[vek_faktor_beg],MATCH(IP108,utskrift_just[position],0))</f>
        <v>#N/A</v>
      </c>
      <c r="IQ120" s="290" t="e">
        <f>INDEX(utskrift_just[vek_faktor_beg],MATCH(IQ108,utskrift_just[position],0))</f>
        <v>#N/A</v>
      </c>
      <c r="IR120" s="290" t="e">
        <f>INDEX(utskrift_just[vek_faktor_beg],MATCH(IR108,utskrift_just[position],0))</f>
        <v>#N/A</v>
      </c>
      <c r="IS120" s="290" t="e">
        <f>INDEX(utskrift_just[vek_faktor_beg],MATCH(IS108,utskrift_just[position],0))</f>
        <v>#N/A</v>
      </c>
      <c r="LJ120" s="249" t="s">
        <v>257</v>
      </c>
      <c r="LK120" s="247" t="s">
        <v>283</v>
      </c>
      <c r="LL120" s="247" t="s">
        <v>284</v>
      </c>
      <c r="LM120" s="221" t="s">
        <v>285</v>
      </c>
      <c r="LN120" s="221" t="s">
        <v>48</v>
      </c>
      <c r="LO120" s="315" t="s">
        <v>2657</v>
      </c>
      <c r="LP120" s="247" t="s">
        <v>2658</v>
      </c>
      <c r="NH120" s="2617"/>
      <c r="NI120" s="2617"/>
      <c r="NJ120" s="2617"/>
      <c r="NK120" s="2617"/>
      <c r="NL120" s="471"/>
      <c r="NN120" s="407">
        <v>22</v>
      </c>
      <c r="NO120" s="206">
        <v>1</v>
      </c>
      <c r="NP120" s="206"/>
      <c r="NQ120" s="206"/>
      <c r="NR120" s="206"/>
      <c r="NS120" s="206">
        <v>2</v>
      </c>
      <c r="NT120" s="206"/>
      <c r="NU120" s="206"/>
      <c r="NV120" s="206"/>
      <c r="NW120" s="444">
        <f t="shared" si="211"/>
        <v>0</v>
      </c>
      <c r="NY120" s="208"/>
      <c r="NZ120" s="208"/>
      <c r="OA120" s="208"/>
      <c r="OB120" s="208"/>
      <c r="OC120" s="208"/>
      <c r="OD120" s="208"/>
      <c r="OE120" s="208"/>
      <c r="OF120" s="208"/>
      <c r="OG120" s="208"/>
      <c r="OH120" s="208"/>
      <c r="OI120" s="208"/>
      <c r="OJ120" s="208"/>
      <c r="OK120" s="208"/>
      <c r="OL120" s="208"/>
      <c r="OM120" s="208"/>
      <c r="ON120" s="208"/>
      <c r="OO120" s="208"/>
      <c r="OP120" s="208"/>
      <c r="OQ120" s="208"/>
      <c r="OR120" s="208"/>
      <c r="OS120" s="208"/>
      <c r="OT120" s="208"/>
      <c r="OU120" s="208"/>
      <c r="OV120" s="186"/>
      <c r="OW120" s="186"/>
      <c r="OX120" s="186"/>
      <c r="OY120" s="186"/>
      <c r="OZ120" s="186"/>
      <c r="PA120" s="186"/>
      <c r="PB120" s="186"/>
      <c r="PC120" s="186"/>
      <c r="PD120" s="186"/>
      <c r="PE120" s="186"/>
      <c r="PF120" s="186"/>
      <c r="PG120" s="208"/>
      <c r="PH120" s="208"/>
      <c r="PI120" s="208"/>
      <c r="PJ120" s="1274"/>
      <c r="PK120" s="1274"/>
      <c r="PL120" s="1274"/>
      <c r="PM120" s="1274"/>
      <c r="PN120" s="1274"/>
      <c r="PO120" s="1274"/>
      <c r="PP120" s="1274"/>
      <c r="PQ120" s="208"/>
      <c r="PR120" s="208"/>
      <c r="PS120" s="208"/>
      <c r="PT120" s="208"/>
      <c r="PU120" s="208"/>
      <c r="PV120" s="208"/>
      <c r="PW120" s="208"/>
      <c r="PX120" s="208"/>
      <c r="PY120" s="208"/>
      <c r="PZ120" s="208"/>
      <c r="QA120" s="208"/>
      <c r="QB120" s="208"/>
      <c r="QC120" s="208"/>
      <c r="QD120" s="208"/>
      <c r="QE120" s="208"/>
      <c r="QO120" s="197" t="s">
        <v>225</v>
      </c>
      <c r="QP120" s="205">
        <v>50</v>
      </c>
      <c r="QQ120" s="197" t="s">
        <v>227</v>
      </c>
      <c r="QR120" s="205"/>
      <c r="RF120" s="2617"/>
      <c r="RG120" s="2617"/>
      <c r="RH120" s="2617"/>
      <c r="RI120" s="2617"/>
      <c r="RJ120" s="2617"/>
      <c r="RK120" s="2617"/>
      <c r="RL120" s="2617"/>
      <c r="RM120" s="2617"/>
      <c r="RN120" s="2617"/>
      <c r="RO120" s="2617"/>
      <c r="RP120" s="2617"/>
      <c r="RQ120" s="2617"/>
      <c r="RR120" s="2617"/>
      <c r="RS120" s="2617"/>
      <c r="RT120" s="2617"/>
      <c r="RU120" s="2617"/>
      <c r="RV120" s="2617"/>
      <c r="RW120" s="2617"/>
      <c r="RX120" s="2617"/>
      <c r="RY120" s="2617"/>
      <c r="RZ120" s="2617"/>
      <c r="SA120" s="2617"/>
      <c r="SB120" s="2617"/>
      <c r="SC120" s="2617"/>
      <c r="SD120" s="2617"/>
      <c r="SE120" s="2617"/>
      <c r="SF120" s="2617"/>
      <c r="SG120" s="2617"/>
      <c r="SH120" s="2617"/>
      <c r="SI120" s="2617"/>
      <c r="UL120" s="1755"/>
      <c r="UM120" s="1754"/>
      <c r="UO120" s="1754"/>
      <c r="UP120" s="1754"/>
      <c r="UQ120" s="1754"/>
      <c r="UR120" s="1754"/>
      <c r="US120" s="1754"/>
      <c r="UT120" s="1754"/>
      <c r="UU120" s="1754"/>
      <c r="UV120" s="1754"/>
      <c r="UW120" s="1754"/>
      <c r="UX120" s="1754"/>
      <c r="UY120" s="1754"/>
      <c r="UZ120" s="1754"/>
      <c r="VB120" s="1754"/>
      <c r="VC120" s="1754"/>
      <c r="VD120" s="1754"/>
      <c r="VE120" s="1754"/>
      <c r="VF120" s="1754"/>
      <c r="VG120" s="1754"/>
      <c r="VH120" s="1754"/>
      <c r="VI120" s="1754"/>
      <c r="VJ120" s="1754"/>
      <c r="VK120" s="1754"/>
      <c r="VL120" s="1754"/>
      <c r="VM120" s="1754"/>
      <c r="VN120" s="1754"/>
    </row>
    <row r="121" spans="9:592" ht="20.100000000000001" customHeight="1" x14ac:dyDescent="0.2">
      <c r="AH121" s="2617"/>
      <c r="AI121" s="2617"/>
      <c r="BB121" s="283" t="s">
        <v>360</v>
      </c>
      <c r="BH121" s="2617"/>
      <c r="BI121" s="2617"/>
      <c r="BJ121" s="2617"/>
      <c r="BK121" s="2617"/>
      <c r="EQ121" s="2617"/>
      <c r="ER121" s="340" t="str">
        <f>$NO$69</f>
        <v>Stuff 1-3</v>
      </c>
      <c r="ES121" s="349">
        <f>IF($BC$38=1,0,IF($BC$38=2,3,0))</f>
        <v>3</v>
      </c>
      <c r="ET121" s="237">
        <f>IF($BC$34&gt;2,1,0)</f>
        <v>0</v>
      </c>
      <c r="EU121" s="194">
        <f>INDEX(outputs_position[13],MATCH($BC$35,outputs_position[lopstuff],0))</f>
        <v>0</v>
      </c>
      <c r="EV121" s="194" t="str">
        <f t="shared" si="215"/>
        <v>Stuff 1-3</v>
      </c>
      <c r="EW121" s="241">
        <f t="shared" ref="EW121:FE121" si="218">IFERROR((EW77/EW$115),0)</f>
        <v>0</v>
      </c>
      <c r="EX121" s="241">
        <f t="shared" si="218"/>
        <v>0</v>
      </c>
      <c r="EY121" s="241">
        <f t="shared" si="218"/>
        <v>0</v>
      </c>
      <c r="EZ121" s="241">
        <f t="shared" si="218"/>
        <v>0</v>
      </c>
      <c r="FA121" s="241">
        <f t="shared" si="218"/>
        <v>0</v>
      </c>
      <c r="FB121" s="241">
        <f t="shared" si="218"/>
        <v>0</v>
      </c>
      <c r="FC121" s="241">
        <f t="shared" si="218"/>
        <v>0</v>
      </c>
      <c r="FD121" s="241">
        <f t="shared" si="218"/>
        <v>0</v>
      </c>
      <c r="FE121" s="241">
        <f t="shared" si="218"/>
        <v>0</v>
      </c>
      <c r="FF121" s="360">
        <f>outputs_stab[[#This Row],[Manuell]]+outputs_stab[[#This Row],[kartlegging]]</f>
        <v>0</v>
      </c>
      <c r="FG121" s="360">
        <f>outputs_stab[[#This Row],[lt4m]]+outputs_stab[[#This Row],[gt4m]]</f>
        <v>0</v>
      </c>
      <c r="FH121" s="360">
        <f>outputs_stab[[#This Row],[band]]+outputs_stab[[#This Row],[net]]+outputs_stab[[#This Row],[festebolter]]</f>
        <v>0</v>
      </c>
      <c r="FI121" s="360">
        <f>outputs_stab[[#This Row],[shotcrete]]</f>
        <v>0</v>
      </c>
      <c r="FJ121" s="360">
        <f>outputs_stab[[#This Row],[buer]]</f>
        <v>0</v>
      </c>
      <c r="FK121" s="360">
        <f>outputs_stab[[#This Row],[sik123]]+outputs_stab[[#This Row],[sik4]]</f>
        <v>0</v>
      </c>
      <c r="FL121"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1" s="241">
        <f>outputs_stab[[#This Row],[total_total]]/$AI$80</f>
        <v>0</v>
      </c>
      <c r="FN121" s="323">
        <f t="shared" si="214"/>
        <v>0</v>
      </c>
      <c r="FO121" s="323">
        <f t="shared" si="214"/>
        <v>0</v>
      </c>
      <c r="IH121" s="1172"/>
      <c r="II121" s="1172"/>
      <c r="IJ121" s="185"/>
      <c r="IK121" s="3408"/>
      <c r="IL121" s="3408"/>
      <c r="IM121" s="3408"/>
      <c r="IN121" s="3408"/>
      <c r="IO121" s="3408"/>
      <c r="IP121" s="3408"/>
      <c r="IQ121" s="3408"/>
      <c r="IR121" s="3408"/>
      <c r="IS121" s="3408"/>
      <c r="LJ121" s="439" t="str">
        <f>$QO$135</f>
        <v>Stuff 1-1</v>
      </c>
      <c r="LK121" s="230">
        <f>IF($BC$38=1,0,IF($BC$38=2,1,0))</f>
        <v>1</v>
      </c>
      <c r="LL121" s="185">
        <f>IF($BC$34&gt;0,1,0)</f>
        <v>1</v>
      </c>
      <c r="LM121" s="194">
        <f>INDEX(outputs_position[11],MATCH($BC$35,outputs_position[lopstuff],0))</f>
        <v>1</v>
      </c>
      <c r="LN121" s="194" t="str">
        <f t="shared" ref="LN121:LN129" si="219">LJ121</f>
        <v>Stuff 1-1</v>
      </c>
      <c r="LO121" s="5310">
        <f>INDEX(inputs_framdriftfaktor[User_input],MATCH(position_framdriftsfaktor[[#This Row],[Position]],inputs_framdriftfaktor[Position],0))</f>
        <v>0</v>
      </c>
      <c r="LP121" s="185" t="b">
        <f>INDEX(inputs_framdriftfaktor[BLANK_check],MATCH(position_framdriftsfaktor[[#This Row],[Position]],inputs_framdriftfaktor[Position],0))</f>
        <v>1</v>
      </c>
      <c r="NH121" s="2617"/>
      <c r="NI121" s="2617"/>
      <c r="NJ121" s="2617"/>
      <c r="NK121" s="2617"/>
      <c r="NL121" s="471"/>
      <c r="NN121" s="407">
        <v>24</v>
      </c>
      <c r="NO121" s="206">
        <v>1</v>
      </c>
      <c r="NP121" s="206">
        <v>3</v>
      </c>
      <c r="NQ121" s="206"/>
      <c r="NR121" s="206"/>
      <c r="NS121" s="206">
        <v>2</v>
      </c>
      <c r="NT121" s="206">
        <v>4</v>
      </c>
      <c r="NU121" s="206"/>
      <c r="NV121" s="206"/>
      <c r="NW121" s="444">
        <f t="shared" si="211"/>
        <v>0</v>
      </c>
      <c r="NY121" s="208"/>
      <c r="NZ121" s="208"/>
      <c r="OA121" s="208"/>
      <c r="OB121" s="208"/>
      <c r="OC121" s="208"/>
      <c r="OD121" s="208"/>
      <c r="OE121" s="208"/>
      <c r="OF121" s="208"/>
      <c r="OG121" s="208"/>
      <c r="OH121" s="208"/>
      <c r="OI121" s="208"/>
      <c r="OJ121" s="208"/>
      <c r="OK121" s="208"/>
      <c r="OL121" s="208"/>
      <c r="OM121" s="208"/>
      <c r="ON121" s="208"/>
      <c r="OO121" s="208"/>
      <c r="OP121" s="208"/>
      <c r="OQ121" s="208"/>
      <c r="OR121" s="208"/>
      <c r="OS121" s="208"/>
      <c r="OT121" s="208"/>
      <c r="OU121" s="208"/>
      <c r="OV121" s="186"/>
      <c r="OW121" s="186"/>
      <c r="OX121" s="186"/>
      <c r="OY121" s="186"/>
      <c r="OZ121" s="186"/>
      <c r="PA121" s="186"/>
      <c r="PB121" s="186"/>
      <c r="PC121" s="186"/>
      <c r="PD121" s="186"/>
      <c r="PE121" s="186"/>
      <c r="PF121" s="186"/>
      <c r="PG121" s="208"/>
      <c r="PH121" s="208"/>
      <c r="PI121" s="208"/>
      <c r="PJ121" s="1274"/>
      <c r="PK121" s="1274"/>
      <c r="PL121" s="1274"/>
      <c r="PM121" s="1274"/>
      <c r="PN121" s="1274"/>
      <c r="PO121" s="1274"/>
      <c r="PP121" s="1274"/>
      <c r="PQ121" s="208"/>
      <c r="PR121" s="208"/>
      <c r="PS121" s="208"/>
      <c r="PT121" s="208"/>
      <c r="PU121" s="208"/>
      <c r="PV121" s="208"/>
      <c r="PW121" s="208"/>
      <c r="PX121" s="208"/>
      <c r="PY121" s="208"/>
      <c r="PZ121" s="208"/>
      <c r="QA121" s="208"/>
      <c r="QB121" s="208"/>
      <c r="QC121" s="208"/>
      <c r="QD121" s="208"/>
      <c r="QE121" s="208"/>
      <c r="QO121" s="197" t="s">
        <v>226</v>
      </c>
      <c r="QP121" s="205"/>
      <c r="QQ121" s="198" t="s">
        <v>230</v>
      </c>
      <c r="QR121" s="205"/>
      <c r="RF121" s="2617"/>
      <c r="RG121" s="2617"/>
      <c r="RH121" s="2617"/>
      <c r="RI121" s="2617"/>
      <c r="RJ121" s="2617"/>
      <c r="RK121" s="2617"/>
      <c r="RL121" s="2617"/>
      <c r="RM121" s="2617"/>
      <c r="RN121" s="2617"/>
      <c r="RO121" s="2617"/>
      <c r="RP121" s="2617"/>
      <c r="RQ121" s="2617"/>
      <c r="RR121" s="2617"/>
      <c r="RS121" s="2617"/>
      <c r="RT121" s="2617"/>
      <c r="RU121" s="2617"/>
      <c r="RV121" s="2617"/>
      <c r="RW121" s="2617"/>
      <c r="RX121" s="2617"/>
      <c r="RY121" s="2617"/>
      <c r="RZ121" s="2617"/>
      <c r="SA121" s="2617"/>
      <c r="SB121" s="2617"/>
      <c r="SC121" s="2617"/>
      <c r="SD121" s="2617"/>
      <c r="SE121" s="2617"/>
      <c r="SF121" s="2617"/>
      <c r="SG121" s="2617"/>
      <c r="SH121" s="2617"/>
      <c r="SI121" s="2617"/>
      <c r="UM121" s="1754"/>
      <c r="UX121" s="265"/>
    </row>
    <row r="122" spans="9:592" ht="20.100000000000001" customHeight="1" x14ac:dyDescent="0.2">
      <c r="AH122" s="2617"/>
      <c r="AI122" s="2617"/>
      <c r="EQ122" s="2617"/>
      <c r="ER122" s="340" t="str">
        <f>$NO$70</f>
        <v>Stuff 1-4</v>
      </c>
      <c r="ES122" s="349">
        <f>IF($BC$38=1,0,IF($BC$38=2,4,0))</f>
        <v>4</v>
      </c>
      <c r="ET122" s="237">
        <f>IF($BC$34&gt;3,1,0)</f>
        <v>0</v>
      </c>
      <c r="EU122" s="194">
        <f>INDEX(outputs_position[14],MATCH($BC$35,outputs_position[lopstuff],0))</f>
        <v>0</v>
      </c>
      <c r="EV122" s="194" t="str">
        <f t="shared" si="215"/>
        <v>Stuff 1-4</v>
      </c>
      <c r="EW122" s="241">
        <f t="shared" ref="EW122:FE122" si="220">IFERROR((EW78/EW$115),0)</f>
        <v>0</v>
      </c>
      <c r="EX122" s="241">
        <f t="shared" si="220"/>
        <v>0</v>
      </c>
      <c r="EY122" s="241">
        <f t="shared" si="220"/>
        <v>0</v>
      </c>
      <c r="EZ122" s="241">
        <f t="shared" si="220"/>
        <v>0</v>
      </c>
      <c r="FA122" s="241">
        <f t="shared" si="220"/>
        <v>0</v>
      </c>
      <c r="FB122" s="241">
        <f t="shared" si="220"/>
        <v>0</v>
      </c>
      <c r="FC122" s="241">
        <f t="shared" si="220"/>
        <v>0</v>
      </c>
      <c r="FD122" s="241">
        <f t="shared" si="220"/>
        <v>0</v>
      </c>
      <c r="FE122" s="241">
        <f t="shared" si="220"/>
        <v>0</v>
      </c>
      <c r="FF122" s="360">
        <f>outputs_stab[[#This Row],[Manuell]]+outputs_stab[[#This Row],[kartlegging]]</f>
        <v>0</v>
      </c>
      <c r="FG122" s="360">
        <f>outputs_stab[[#This Row],[lt4m]]+outputs_stab[[#This Row],[gt4m]]</f>
        <v>0</v>
      </c>
      <c r="FH122" s="360">
        <f>outputs_stab[[#This Row],[band]]+outputs_stab[[#This Row],[net]]+outputs_stab[[#This Row],[festebolter]]</f>
        <v>0</v>
      </c>
      <c r="FI122" s="360">
        <f>outputs_stab[[#This Row],[shotcrete]]</f>
        <v>0</v>
      </c>
      <c r="FJ122" s="360">
        <f>outputs_stab[[#This Row],[buer]]</f>
        <v>0</v>
      </c>
      <c r="FK122" s="360">
        <f>outputs_stab[[#This Row],[sik123]]+outputs_stab[[#This Row],[sik4]]</f>
        <v>0</v>
      </c>
      <c r="FL122"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2" s="241">
        <f>outputs_stab[[#This Row],[total_total]]/$AI$80</f>
        <v>0</v>
      </c>
      <c r="FN122" s="323">
        <f t="shared" si="214"/>
        <v>0</v>
      </c>
      <c r="FO122" s="323">
        <f t="shared" si="214"/>
        <v>0</v>
      </c>
      <c r="IH122" s="6000">
        <v>2</v>
      </c>
      <c r="II122" s="1172" t="str">
        <f>$II$112</f>
        <v>Header: stuff navn</v>
      </c>
      <c r="IJ122" s="185"/>
      <c r="IK122" s="194" t="str">
        <f>IK$109</f>
        <v>Stuff 1-1</v>
      </c>
      <c r="IL122" s="194" t="str">
        <f t="shared" ref="IL122:IS122" si="221">IL$109</f>
        <v/>
      </c>
      <c r="IM122" s="194" t="str">
        <f t="shared" si="221"/>
        <v/>
      </c>
      <c r="IN122" s="194" t="str">
        <f t="shared" si="221"/>
        <v/>
      </c>
      <c r="IO122" s="194" t="str">
        <f t="shared" si="221"/>
        <v/>
      </c>
      <c r="IP122" s="194" t="str">
        <f t="shared" si="221"/>
        <v/>
      </c>
      <c r="IQ122" s="194" t="str">
        <f t="shared" si="221"/>
        <v/>
      </c>
      <c r="IR122" s="194" t="str">
        <f t="shared" si="221"/>
        <v/>
      </c>
      <c r="IS122" s="194" t="str">
        <f t="shared" si="221"/>
        <v/>
      </c>
      <c r="LJ122" s="439" t="str">
        <f>$QP$135</f>
        <v>Stuff 1-2</v>
      </c>
      <c r="LK122" s="230">
        <f>IF($BC$38=1,0,IF($BC$38=2,2,0))</f>
        <v>2</v>
      </c>
      <c r="LL122" s="185">
        <f>IF($BC$34&gt;1,1,0)</f>
        <v>0</v>
      </c>
      <c r="LM122" s="194">
        <f>INDEX(outputs_position[12],MATCH($BC$35,outputs_position[lopstuff],0))</f>
        <v>0</v>
      </c>
      <c r="LN122" s="194" t="str">
        <f t="shared" si="219"/>
        <v>Stuff 1-2</v>
      </c>
      <c r="LO122" s="5310" t="e">
        <f>INDEX(inputs_framdriftfaktor[User_input],MATCH(position_framdriftsfaktor[[#This Row],[Position]],inputs_framdriftfaktor[Position],0))</f>
        <v>#N/A</v>
      </c>
      <c r="LP122" s="185" t="e">
        <f>INDEX(inputs_framdriftfaktor[BLANK_check],MATCH(position_framdriftsfaktor[[#This Row],[Position]],inputs_framdriftfaktor[Position],0))</f>
        <v>#N/A</v>
      </c>
      <c r="NH122" s="2617"/>
      <c r="NI122" s="2617"/>
      <c r="NJ122" s="2617"/>
      <c r="NK122" s="2617"/>
      <c r="NL122" s="471"/>
      <c r="NN122" s="407">
        <v>26</v>
      </c>
      <c r="NO122" s="206">
        <v>1</v>
      </c>
      <c r="NP122" s="206">
        <v>3</v>
      </c>
      <c r="NQ122" s="206">
        <v>5</v>
      </c>
      <c r="NR122" s="206"/>
      <c r="NS122" s="206">
        <v>2</v>
      </c>
      <c r="NT122" s="206">
        <v>4</v>
      </c>
      <c r="NU122" s="206">
        <v>6</v>
      </c>
      <c r="NV122" s="206"/>
      <c r="NW122" s="444">
        <f t="shared" si="211"/>
        <v>0</v>
      </c>
      <c r="NY122" s="208"/>
      <c r="NZ122" s="208"/>
      <c r="OA122" s="208"/>
      <c r="OB122" s="208"/>
      <c r="OC122" s="208"/>
      <c r="OD122" s="208"/>
      <c r="OE122" s="208"/>
      <c r="OF122" s="208"/>
      <c r="OG122" s="208"/>
      <c r="OH122" s="208"/>
      <c r="OI122" s="208"/>
      <c r="OJ122" s="208"/>
      <c r="OK122" s="208"/>
      <c r="OL122" s="208"/>
      <c r="OM122" s="208"/>
      <c r="ON122" s="208"/>
      <c r="OO122" s="208"/>
      <c r="OP122" s="208"/>
      <c r="OQ122" s="208"/>
      <c r="OR122" s="208"/>
      <c r="OS122" s="208"/>
      <c r="OT122" s="208"/>
      <c r="OU122" s="208"/>
      <c r="OV122" s="186"/>
      <c r="OW122" s="186"/>
      <c r="OX122" s="186"/>
      <c r="OY122" s="186"/>
      <c r="OZ122" s="186"/>
      <c r="PA122" s="186"/>
      <c r="PB122" s="186"/>
      <c r="PC122" s="186"/>
      <c r="PD122" s="186"/>
      <c r="PE122" s="186"/>
      <c r="PF122" s="186"/>
      <c r="PG122" s="208"/>
      <c r="PH122" s="208"/>
      <c r="PI122" s="208"/>
      <c r="PJ122" s="1274"/>
      <c r="PK122" s="1274"/>
      <c r="PL122" s="1274"/>
      <c r="PM122" s="1274"/>
      <c r="PN122" s="1274"/>
      <c r="PO122" s="1274"/>
      <c r="PP122" s="1274"/>
      <c r="PQ122" s="208"/>
      <c r="PR122" s="208"/>
      <c r="PS122" s="208"/>
      <c r="PT122" s="208"/>
      <c r="PU122" s="208"/>
      <c r="PV122" s="208"/>
      <c r="PW122" s="208"/>
      <c r="PX122" s="208"/>
      <c r="PY122" s="208"/>
      <c r="PZ122" s="208"/>
      <c r="QA122" s="208"/>
      <c r="QB122" s="208"/>
      <c r="QC122" s="208"/>
      <c r="QD122" s="208"/>
      <c r="QE122" s="208"/>
      <c r="QO122" s="198" t="s">
        <v>223</v>
      </c>
      <c r="QP122" s="205"/>
      <c r="QQ122" s="197" t="s">
        <v>228</v>
      </c>
      <c r="QR122" s="205"/>
      <c r="RF122" s="2617"/>
      <c r="RG122" s="2617"/>
      <c r="RH122" s="2617"/>
      <c r="RI122" s="2617"/>
      <c r="RJ122" s="2617"/>
      <c r="RK122" s="2617"/>
      <c r="RL122" s="2617"/>
      <c r="RM122" s="2617"/>
      <c r="RN122" s="2617"/>
      <c r="RO122" s="2617"/>
      <c r="RP122" s="2617"/>
      <c r="RQ122" s="2617"/>
      <c r="RR122" s="2617"/>
      <c r="RS122" s="2617"/>
      <c r="RT122" s="2617"/>
      <c r="RU122" s="2617"/>
      <c r="RV122" s="2617"/>
      <c r="RW122" s="2617"/>
      <c r="RX122" s="2617"/>
      <c r="RY122" s="2617"/>
      <c r="RZ122" s="2617"/>
      <c r="SA122" s="2617"/>
      <c r="SB122" s="2617"/>
      <c r="SC122" s="2617"/>
      <c r="SD122" s="2617"/>
      <c r="SE122" s="2617"/>
      <c r="SF122" s="2617"/>
      <c r="SG122" s="2617"/>
      <c r="SH122" s="2617"/>
      <c r="SI122" s="2617"/>
      <c r="UM122" s="1754"/>
      <c r="UX122" s="265"/>
    </row>
    <row r="123" spans="9:592" ht="20.100000000000001" customHeight="1" thickBot="1" x14ac:dyDescent="0.25">
      <c r="AH123" s="2617"/>
      <c r="AI123" s="2617"/>
      <c r="BB123" s="3867" t="s">
        <v>371</v>
      </c>
      <c r="BC123" s="3868"/>
      <c r="BD123" s="3868"/>
      <c r="BE123" s="3868"/>
      <c r="BF123" s="3868"/>
      <c r="BG123" s="3868"/>
      <c r="BH123" s="3868"/>
      <c r="BI123" s="3868"/>
      <c r="BJ123" s="3868"/>
      <c r="BK123" s="3868"/>
      <c r="EQ123" s="2617"/>
      <c r="ER123" s="340" t="str">
        <f>$NO$71</f>
        <v>Stuff 2-1</v>
      </c>
      <c r="ES123" s="354">
        <f>IF($BC$38=1,0,IF($BC$38=2,5,0))</f>
        <v>5</v>
      </c>
      <c r="ET123" s="237">
        <f>IF($BC$34&gt;4,1,0)</f>
        <v>0</v>
      </c>
      <c r="EU123" s="194">
        <f>INDEX(outputs_position[21],MATCH($BC$35,outputs_position[lopstuff],0))</f>
        <v>0</v>
      </c>
      <c r="EV123" s="194" t="str">
        <f t="shared" si="215"/>
        <v>Stuff 2-1</v>
      </c>
      <c r="EW123" s="241">
        <f t="shared" ref="EW123:FE123" si="222">IFERROR((EW79/EW$115),0)</f>
        <v>0</v>
      </c>
      <c r="EX123" s="241">
        <f t="shared" si="222"/>
        <v>0</v>
      </c>
      <c r="EY123" s="241">
        <f t="shared" si="222"/>
        <v>0</v>
      </c>
      <c r="EZ123" s="241">
        <f t="shared" si="222"/>
        <v>0</v>
      </c>
      <c r="FA123" s="241">
        <f t="shared" si="222"/>
        <v>0</v>
      </c>
      <c r="FB123" s="241">
        <f t="shared" si="222"/>
        <v>0</v>
      </c>
      <c r="FC123" s="241">
        <f t="shared" si="222"/>
        <v>0</v>
      </c>
      <c r="FD123" s="241">
        <f t="shared" si="222"/>
        <v>0</v>
      </c>
      <c r="FE123" s="241">
        <f t="shared" si="222"/>
        <v>0</v>
      </c>
      <c r="FF123" s="360">
        <f>outputs_stab[[#This Row],[Manuell]]+outputs_stab[[#This Row],[kartlegging]]</f>
        <v>0</v>
      </c>
      <c r="FG123" s="360">
        <f>outputs_stab[[#This Row],[lt4m]]+outputs_stab[[#This Row],[gt4m]]</f>
        <v>0</v>
      </c>
      <c r="FH123" s="360">
        <f>outputs_stab[[#This Row],[band]]+outputs_stab[[#This Row],[net]]+outputs_stab[[#This Row],[festebolter]]</f>
        <v>0</v>
      </c>
      <c r="FI123" s="360">
        <f>outputs_stab[[#This Row],[shotcrete]]</f>
        <v>0</v>
      </c>
      <c r="FJ123" s="360">
        <f>outputs_stab[[#This Row],[buer]]</f>
        <v>0</v>
      </c>
      <c r="FK123" s="360">
        <f>outputs_stab[[#This Row],[sik123]]+outputs_stab[[#This Row],[sik4]]</f>
        <v>0</v>
      </c>
      <c r="FL123"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3" s="241">
        <f>outputs_stab[[#This Row],[total_total]]/$AI$80</f>
        <v>0</v>
      </c>
      <c r="FN123" s="323">
        <f t="shared" si="214"/>
        <v>0</v>
      </c>
      <c r="FO123" s="323">
        <f t="shared" si="214"/>
        <v>0</v>
      </c>
      <c r="IH123" s="1172"/>
      <c r="II123" s="1172" t="str">
        <f>$II$113</f>
        <v>Side nummer</v>
      </c>
      <c r="IJ123" s="185"/>
      <c r="IK123" s="194" t="str">
        <f>"Side "&amp;$IH122&amp;" av "&amp;_Calcs!$II$100</f>
        <v>Side 2 av 9</v>
      </c>
      <c r="IL123" s="194" t="str">
        <f t="shared" ref="IL123:IS123" si="223">$IK123</f>
        <v>Side 2 av 9</v>
      </c>
      <c r="IM123" s="194" t="str">
        <f t="shared" si="223"/>
        <v>Side 2 av 9</v>
      </c>
      <c r="IN123" s="194" t="str">
        <f t="shared" si="223"/>
        <v>Side 2 av 9</v>
      </c>
      <c r="IO123" s="194" t="str">
        <f t="shared" si="223"/>
        <v>Side 2 av 9</v>
      </c>
      <c r="IP123" s="194" t="str">
        <f t="shared" si="223"/>
        <v>Side 2 av 9</v>
      </c>
      <c r="IQ123" s="194" t="str">
        <f t="shared" si="223"/>
        <v>Side 2 av 9</v>
      </c>
      <c r="IR123" s="194" t="str">
        <f t="shared" si="223"/>
        <v>Side 2 av 9</v>
      </c>
      <c r="IS123" s="194" t="str">
        <f t="shared" si="223"/>
        <v>Side 2 av 9</v>
      </c>
      <c r="LJ123" s="439" t="str">
        <f>$QQ$135</f>
        <v>Stuff 1-3</v>
      </c>
      <c r="LK123" s="230">
        <f>IF($BC$38=1,0,IF($BC$38=2,3,0))</f>
        <v>3</v>
      </c>
      <c r="LL123" s="185">
        <f>IF($BC$34&gt;2,1,0)</f>
        <v>0</v>
      </c>
      <c r="LM123" s="194">
        <f>INDEX(outputs_position[13],MATCH($BC$35,outputs_position[lopstuff],0))</f>
        <v>0</v>
      </c>
      <c r="LN123" s="194" t="str">
        <f t="shared" si="219"/>
        <v>Stuff 1-3</v>
      </c>
      <c r="LO123" s="5310" t="e">
        <f>INDEX(inputs_framdriftfaktor[User_input],MATCH(position_framdriftsfaktor[[#This Row],[Position]],inputs_framdriftfaktor[Position],0))</f>
        <v>#N/A</v>
      </c>
      <c r="LP123" s="185" t="e">
        <f>INDEX(inputs_framdriftfaktor[BLANK_check],MATCH(position_framdriftsfaktor[[#This Row],[Position]],inputs_framdriftfaktor[Position],0))</f>
        <v>#N/A</v>
      </c>
      <c r="NH123" s="2617"/>
      <c r="NI123" s="2617"/>
      <c r="NJ123" s="2617"/>
      <c r="NK123" s="2617"/>
      <c r="NL123" s="471"/>
      <c r="NN123" s="408">
        <v>28</v>
      </c>
      <c r="NO123" s="445">
        <v>1</v>
      </c>
      <c r="NP123" s="445">
        <v>3</v>
      </c>
      <c r="NQ123" s="445">
        <v>5</v>
      </c>
      <c r="NR123" s="445">
        <v>7</v>
      </c>
      <c r="NS123" s="445">
        <v>2</v>
      </c>
      <c r="NT123" s="445">
        <v>4</v>
      </c>
      <c r="NU123" s="445">
        <v>6</v>
      </c>
      <c r="NV123" s="445">
        <v>8</v>
      </c>
      <c r="NW123" s="446">
        <f t="shared" si="211"/>
        <v>0</v>
      </c>
      <c r="NY123" s="208"/>
      <c r="NZ123" s="208"/>
      <c r="OA123" s="208"/>
      <c r="OB123" s="208"/>
      <c r="OC123" s="208"/>
      <c r="OD123" s="208"/>
      <c r="OE123" s="208"/>
      <c r="OF123" s="208"/>
      <c r="OG123" s="208"/>
      <c r="OH123" s="208"/>
      <c r="OI123" s="208"/>
      <c r="OJ123" s="208"/>
      <c r="OK123" s="208"/>
      <c r="OL123" s="208"/>
      <c r="OM123" s="208"/>
      <c r="ON123" s="208"/>
      <c r="OO123" s="208"/>
      <c r="OP123" s="208"/>
      <c r="OQ123" s="208"/>
      <c r="OR123" s="208"/>
      <c r="OS123" s="208"/>
      <c r="OT123" s="208"/>
      <c r="OU123" s="208"/>
      <c r="OV123" s="186"/>
      <c r="OW123" s="186"/>
      <c r="OX123" s="186"/>
      <c r="OY123" s="186"/>
      <c r="OZ123" s="186"/>
      <c r="PA123" s="186"/>
      <c r="PB123" s="186"/>
      <c r="PC123" s="186"/>
      <c r="PD123" s="186"/>
      <c r="PE123" s="186"/>
      <c r="PF123" s="186"/>
      <c r="PG123" s="208"/>
      <c r="PH123" s="208"/>
      <c r="PI123" s="208"/>
      <c r="PJ123" s="1274"/>
      <c r="PK123" s="1274"/>
      <c r="PL123" s="1274"/>
      <c r="PM123" s="1274"/>
      <c r="PN123" s="1274"/>
      <c r="PO123" s="1274"/>
      <c r="PP123" s="1274"/>
      <c r="PQ123" s="208"/>
      <c r="PR123" s="208"/>
      <c r="PS123" s="208"/>
      <c r="PT123" s="208"/>
      <c r="PU123" s="208"/>
      <c r="PV123" s="208"/>
      <c r="PW123" s="208"/>
      <c r="PX123" s="208"/>
      <c r="PY123" s="208"/>
      <c r="PZ123" s="208"/>
      <c r="QA123" s="208"/>
      <c r="QB123" s="208"/>
      <c r="QC123" s="208"/>
      <c r="QD123" s="208"/>
      <c r="QE123" s="208"/>
      <c r="QN123" s="275"/>
      <c r="QO123" s="275"/>
      <c r="QP123" s="275"/>
      <c r="QQ123" s="275"/>
      <c r="QR123" s="275"/>
      <c r="QS123" s="275"/>
      <c r="QT123" s="275"/>
      <c r="QU123" s="275"/>
      <c r="QV123" s="275"/>
      <c r="QW123" s="275"/>
      <c r="RA123" s="207"/>
      <c r="RF123" s="2617"/>
      <c r="RG123" s="2617"/>
      <c r="RH123" s="2617"/>
      <c r="RI123" s="2617"/>
      <c r="RJ123" s="2617"/>
      <c r="RK123" s="2617"/>
      <c r="RL123" s="2617"/>
      <c r="RM123" s="2617"/>
      <c r="RN123" s="2617"/>
      <c r="RO123" s="2617"/>
      <c r="RP123" s="2617"/>
      <c r="RQ123" s="2617"/>
      <c r="RR123" s="2617"/>
      <c r="RS123" s="2617"/>
      <c r="RT123" s="2617"/>
      <c r="RU123" s="2617"/>
      <c r="RV123" s="2617"/>
      <c r="RW123" s="2617"/>
      <c r="RX123" s="2617"/>
      <c r="RY123" s="2617"/>
      <c r="RZ123" s="2617"/>
      <c r="SA123" s="2617"/>
      <c r="SB123" s="2617"/>
      <c r="SC123" s="2617"/>
      <c r="SD123" s="2617"/>
      <c r="SE123" s="2617"/>
      <c r="SF123" s="2617"/>
      <c r="SG123" s="2617"/>
      <c r="SH123" s="2617"/>
      <c r="SI123" s="2617"/>
      <c r="UM123" s="1754"/>
      <c r="UX123" s="265"/>
    </row>
    <row r="124" spans="9:592" ht="20.100000000000001" customHeight="1" x14ac:dyDescent="0.2">
      <c r="AH124" s="2617"/>
      <c r="AI124" s="2617"/>
      <c r="BB124" s="3869" t="s">
        <v>340</v>
      </c>
      <c r="BC124" s="295">
        <v>1</v>
      </c>
      <c r="BD124" s="295">
        <v>2</v>
      </c>
      <c r="BE124" s="295">
        <v>3</v>
      </c>
      <c r="BF124" s="295">
        <v>4</v>
      </c>
      <c r="BG124" s="295">
        <v>5</v>
      </c>
      <c r="BH124" s="295">
        <v>6</v>
      </c>
      <c r="BI124" s="295">
        <v>7</v>
      </c>
      <c r="BJ124" s="295">
        <v>8</v>
      </c>
      <c r="BK124" s="295">
        <v>9</v>
      </c>
      <c r="EQ124" s="2617"/>
      <c r="ER124" s="340" t="str">
        <f>$NO$72</f>
        <v>Stuff 2-2</v>
      </c>
      <c r="ES124" s="354">
        <f>IF($BC$38=1,0,IF($BC$38=2,6,0))</f>
        <v>6</v>
      </c>
      <c r="ET124" s="237">
        <f>IF($BC$34&gt;5,1,0)</f>
        <v>0</v>
      </c>
      <c r="EU124" s="194">
        <f>INDEX(outputs_position[22],MATCH($BC$35,outputs_position[lopstuff],0))</f>
        <v>0</v>
      </c>
      <c r="EV124" s="194" t="str">
        <f t="shared" si="215"/>
        <v>Stuff 2-2</v>
      </c>
      <c r="EW124" s="241">
        <f t="shared" ref="EW124:FE124" si="224">IFERROR((EW80/EW$115),0)</f>
        <v>0</v>
      </c>
      <c r="EX124" s="241">
        <f t="shared" si="224"/>
        <v>0</v>
      </c>
      <c r="EY124" s="241">
        <f t="shared" si="224"/>
        <v>0</v>
      </c>
      <c r="EZ124" s="241">
        <f t="shared" si="224"/>
        <v>0</v>
      </c>
      <c r="FA124" s="241">
        <f t="shared" si="224"/>
        <v>0</v>
      </c>
      <c r="FB124" s="241">
        <f t="shared" si="224"/>
        <v>0</v>
      </c>
      <c r="FC124" s="241">
        <f t="shared" si="224"/>
        <v>0</v>
      </c>
      <c r="FD124" s="241">
        <f t="shared" si="224"/>
        <v>0</v>
      </c>
      <c r="FE124" s="241">
        <f t="shared" si="224"/>
        <v>0</v>
      </c>
      <c r="FF124" s="360">
        <f>outputs_stab[[#This Row],[Manuell]]+outputs_stab[[#This Row],[kartlegging]]</f>
        <v>0</v>
      </c>
      <c r="FG124" s="360">
        <f>outputs_stab[[#This Row],[lt4m]]+outputs_stab[[#This Row],[gt4m]]</f>
        <v>0</v>
      </c>
      <c r="FH124" s="360">
        <f>outputs_stab[[#This Row],[band]]+outputs_stab[[#This Row],[net]]+outputs_stab[[#This Row],[festebolter]]</f>
        <v>0</v>
      </c>
      <c r="FI124" s="360">
        <f>outputs_stab[[#This Row],[shotcrete]]</f>
        <v>0</v>
      </c>
      <c r="FJ124" s="360">
        <f>outputs_stab[[#This Row],[buer]]</f>
        <v>0</v>
      </c>
      <c r="FK124" s="360">
        <f>outputs_stab[[#This Row],[sik123]]+outputs_stab[[#This Row],[sik4]]</f>
        <v>0</v>
      </c>
      <c r="FL124"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4" s="241">
        <f>outputs_stab[[#This Row],[total_total]]/$AI$80</f>
        <v>0</v>
      </c>
      <c r="FN124" s="323">
        <f t="shared" si="214"/>
        <v>0</v>
      </c>
      <c r="FO124" s="323">
        <f t="shared" si="214"/>
        <v>0</v>
      </c>
      <c r="IH124" s="1172"/>
      <c r="II124" s="1172"/>
      <c r="IJ124" s="185"/>
      <c r="IK124" s="372"/>
      <c r="IL124" s="372"/>
      <c r="IM124" s="372"/>
      <c r="IN124" s="372"/>
      <c r="IO124" s="372"/>
      <c r="IP124" s="372"/>
      <c r="IQ124" s="372"/>
      <c r="IR124" s="372"/>
      <c r="IS124" s="372"/>
      <c r="LJ124" s="439" t="str">
        <f>$QR$135</f>
        <v>Stuff 1-4</v>
      </c>
      <c r="LK124" s="230">
        <f>IF($BC$38=1,0,IF($BC$38=2,4,0))</f>
        <v>4</v>
      </c>
      <c r="LL124" s="185">
        <f>IF($BC$34&gt;3,1,0)</f>
        <v>0</v>
      </c>
      <c r="LM124" s="194">
        <f>INDEX(outputs_position[14],MATCH($BC$35,outputs_position[lopstuff],0))</f>
        <v>0</v>
      </c>
      <c r="LN124" s="194" t="str">
        <f t="shared" si="219"/>
        <v>Stuff 1-4</v>
      </c>
      <c r="LO124" s="5310" t="e">
        <f>INDEX(inputs_framdriftfaktor[User_input],MATCH(position_framdriftsfaktor[[#This Row],[Position]],inputs_framdriftfaktor[Position],0))</f>
        <v>#N/A</v>
      </c>
      <c r="LP124" s="185" t="e">
        <f>INDEX(inputs_framdriftfaktor[BLANK_check],MATCH(position_framdriftsfaktor[[#This Row],[Position]],inputs_framdriftfaktor[Position],0))</f>
        <v>#N/A</v>
      </c>
      <c r="NH124" s="2617"/>
      <c r="NI124" s="2617"/>
      <c r="NJ124" s="2617"/>
      <c r="NK124" s="2617"/>
      <c r="NY124" s="208"/>
      <c r="NZ124" s="208"/>
      <c r="OA124" s="208"/>
      <c r="OB124" s="208"/>
      <c r="OC124" s="208"/>
      <c r="OD124" s="208"/>
      <c r="OE124" s="208"/>
      <c r="OF124" s="208"/>
      <c r="OG124" s="208"/>
      <c r="OH124" s="208"/>
      <c r="OI124" s="208"/>
      <c r="OJ124" s="208"/>
      <c r="OK124" s="208"/>
      <c r="OL124" s="208"/>
      <c r="OM124" s="208"/>
      <c r="ON124" s="208"/>
      <c r="OO124" s="208"/>
      <c r="OP124" s="208"/>
      <c r="OQ124" s="208"/>
      <c r="OR124" s="208"/>
      <c r="OS124" s="208"/>
      <c r="OT124" s="208"/>
      <c r="OU124" s="208"/>
      <c r="OV124" s="186"/>
      <c r="OW124" s="186"/>
      <c r="OX124" s="186"/>
      <c r="OY124" s="186"/>
      <c r="OZ124" s="186"/>
      <c r="PA124" s="186"/>
      <c r="PB124" s="186"/>
      <c r="PC124" s="186"/>
      <c r="PD124" s="186"/>
      <c r="PE124" s="186"/>
      <c r="PF124" s="186"/>
      <c r="PG124" s="208"/>
      <c r="PH124" s="208"/>
      <c r="PI124" s="208"/>
      <c r="PJ124" s="1274"/>
      <c r="PK124" s="1274"/>
      <c r="PL124" s="1274"/>
      <c r="PM124" s="1274"/>
      <c r="PN124" s="1274"/>
      <c r="PO124" s="1274"/>
      <c r="PP124" s="1274"/>
      <c r="PQ124" s="208"/>
      <c r="PR124" s="208"/>
      <c r="PS124" s="208"/>
      <c r="PT124" s="208"/>
      <c r="PU124" s="208"/>
      <c r="PV124" s="208"/>
      <c r="PW124" s="208"/>
      <c r="PX124" s="208"/>
      <c r="PY124" s="208"/>
      <c r="PZ124" s="208"/>
      <c r="QA124" s="208"/>
      <c r="QB124" s="208"/>
      <c r="QC124" s="208"/>
      <c r="QD124" s="208"/>
      <c r="QE124" s="208"/>
      <c r="RF124" s="2617"/>
      <c r="RG124" s="2617"/>
      <c r="RH124" s="2617"/>
      <c r="RI124" s="2617"/>
      <c r="RJ124" s="2617"/>
      <c r="RK124" s="2617"/>
      <c r="RL124" s="2617"/>
      <c r="RM124" s="2617"/>
      <c r="RN124" s="2617"/>
      <c r="RO124" s="2617"/>
      <c r="RP124" s="2617"/>
      <c r="RQ124" s="2617"/>
      <c r="RR124" s="2617"/>
      <c r="RS124" s="2617"/>
      <c r="RT124" s="2617"/>
      <c r="RU124" s="2617"/>
      <c r="RV124" s="2617"/>
      <c r="RW124" s="2617"/>
      <c r="RX124" s="2617"/>
      <c r="RY124" s="2617"/>
      <c r="RZ124" s="2617"/>
      <c r="SA124" s="2617"/>
      <c r="SB124" s="2617"/>
      <c r="SC124" s="2617"/>
      <c r="SD124" s="2617"/>
      <c r="SE124" s="2617"/>
      <c r="SF124" s="2617"/>
      <c r="SG124" s="2617"/>
      <c r="SH124" s="2617"/>
      <c r="SI124" s="2617"/>
      <c r="UM124" s="1754"/>
      <c r="UX124" s="265"/>
    </row>
    <row r="125" spans="9:592" ht="20.100000000000001" customHeight="1" thickBot="1" x14ac:dyDescent="0.25">
      <c r="AH125" s="2617"/>
      <c r="AI125" s="2617"/>
      <c r="BB125" s="185" t="s">
        <v>48</v>
      </c>
      <c r="BC125" s="199" t="str">
        <f>IFERROR((INDEX(position_stuff[Name],MATCH(BC124,position_stuff[Position],0))),"")</f>
        <v>Stuff 1-1</v>
      </c>
      <c r="BD125" s="199" t="str">
        <f>IFERROR((INDEX(position_stuff[Name],MATCH(BD124,position_stuff[Position],0))),"")</f>
        <v/>
      </c>
      <c r="BE125" s="199" t="str">
        <f>IFERROR((INDEX(position_stuff[Name],MATCH(BE124,position_stuff[Position],0))),"")</f>
        <v/>
      </c>
      <c r="BF125" s="199" t="str">
        <f>IFERROR((INDEX(position_stuff[Name],MATCH(BF124,position_stuff[Position],0))),"")</f>
        <v/>
      </c>
      <c r="BG125" s="199" t="str">
        <f>IFERROR((INDEX(position_stuff[Name],MATCH(BG124,position_stuff[Position],0))),"")</f>
        <v/>
      </c>
      <c r="BH125" s="199" t="str">
        <f>IFERROR((INDEX(position_stuff[Name],MATCH(BH124,position_stuff[Position],0))),"")</f>
        <v/>
      </c>
      <c r="BI125" s="199" t="str">
        <f>IFERROR((INDEX(position_stuff[Name],MATCH(BI124,position_stuff[Position],0))),"")</f>
        <v/>
      </c>
      <c r="BJ125" s="199" t="str">
        <f>IFERROR((INDEX(position_stuff[Name],MATCH(BJ124,position_stuff[Position],0))),"")</f>
        <v/>
      </c>
      <c r="BK125" s="199" t="str">
        <f>IFERROR((INDEX(position_stuff[Name],MATCH(BK124,position_stuff[Position],0))),"")</f>
        <v/>
      </c>
      <c r="ER125" s="340" t="str">
        <f>$NO$73</f>
        <v>Stuff 2-3</v>
      </c>
      <c r="ES125" s="354">
        <f>IF($BC$38=1,0,IF($BC$38=2,7,0))</f>
        <v>7</v>
      </c>
      <c r="ET125" s="237">
        <f>IF($BC$34&gt;6,1,0)</f>
        <v>0</v>
      </c>
      <c r="EU125" s="194">
        <f>INDEX(outputs_position[23],MATCH($BC$35,outputs_position[lopstuff],0))</f>
        <v>0</v>
      </c>
      <c r="EV125" s="194" t="str">
        <f t="shared" si="215"/>
        <v>Stuff 2-3</v>
      </c>
      <c r="EW125" s="241">
        <f t="shared" ref="EW125:FE125" si="225">IFERROR((EW81/EW$115),0)</f>
        <v>0</v>
      </c>
      <c r="EX125" s="241">
        <f t="shared" si="225"/>
        <v>0</v>
      </c>
      <c r="EY125" s="241">
        <f t="shared" si="225"/>
        <v>0</v>
      </c>
      <c r="EZ125" s="241">
        <f t="shared" si="225"/>
        <v>0</v>
      </c>
      <c r="FA125" s="241">
        <f t="shared" si="225"/>
        <v>0</v>
      </c>
      <c r="FB125" s="241">
        <f t="shared" si="225"/>
        <v>0</v>
      </c>
      <c r="FC125" s="241">
        <f t="shared" si="225"/>
        <v>0</v>
      </c>
      <c r="FD125" s="241">
        <f t="shared" si="225"/>
        <v>0</v>
      </c>
      <c r="FE125" s="241">
        <f t="shared" si="225"/>
        <v>0</v>
      </c>
      <c r="FF125" s="360">
        <f>outputs_stab[[#This Row],[Manuell]]+outputs_stab[[#This Row],[kartlegging]]</f>
        <v>0</v>
      </c>
      <c r="FG125" s="360">
        <f>outputs_stab[[#This Row],[lt4m]]+outputs_stab[[#This Row],[gt4m]]</f>
        <v>0</v>
      </c>
      <c r="FH125" s="360">
        <f>outputs_stab[[#This Row],[band]]+outputs_stab[[#This Row],[net]]+outputs_stab[[#This Row],[festebolter]]</f>
        <v>0</v>
      </c>
      <c r="FI125" s="360">
        <f>outputs_stab[[#This Row],[shotcrete]]</f>
        <v>0</v>
      </c>
      <c r="FJ125" s="360">
        <f>outputs_stab[[#This Row],[buer]]</f>
        <v>0</v>
      </c>
      <c r="FK125" s="360">
        <f>outputs_stab[[#This Row],[sik123]]+outputs_stab[[#This Row],[sik4]]</f>
        <v>0</v>
      </c>
      <c r="FL125"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5" s="241">
        <f>outputs_stab[[#This Row],[total_total]]/$AI$80</f>
        <v>0</v>
      </c>
      <c r="FN125" s="323">
        <f t="shared" si="214"/>
        <v>0</v>
      </c>
      <c r="FO125" s="323">
        <f t="shared" si="214"/>
        <v>0</v>
      </c>
      <c r="IH125" s="1172"/>
      <c r="II125" s="1172" t="str">
        <f>$II$116</f>
        <v>Justering</v>
      </c>
      <c r="IJ125" s="185"/>
      <c r="IK125" s="194" t="str">
        <f>_Calcs!$K$87</f>
        <v>Justeringer</v>
      </c>
      <c r="IL125" s="194" t="str">
        <f t="shared" ref="IL125:IS126" si="226">$IK125</f>
        <v>Justeringer</v>
      </c>
      <c r="IM125" s="194" t="str">
        <f t="shared" si="226"/>
        <v>Justeringer</v>
      </c>
      <c r="IN125" s="194" t="str">
        <f t="shared" si="226"/>
        <v>Justeringer</v>
      </c>
      <c r="IO125" s="194" t="str">
        <f t="shared" si="226"/>
        <v>Justeringer</v>
      </c>
      <c r="IP125" s="194" t="str">
        <f t="shared" si="226"/>
        <v>Justeringer</v>
      </c>
      <c r="IQ125" s="194" t="str">
        <f t="shared" si="226"/>
        <v>Justeringer</v>
      </c>
      <c r="IR125" s="194" t="str">
        <f t="shared" si="226"/>
        <v>Justeringer</v>
      </c>
      <c r="IS125" s="194" t="str">
        <f t="shared" si="226"/>
        <v>Justeringer</v>
      </c>
      <c r="LJ125" s="439" t="str">
        <f>$QS$135</f>
        <v>Stuff 2-1</v>
      </c>
      <c r="LK125" s="230">
        <f>IF($BC$38=1,0,IF($BC$38=2,5,0))</f>
        <v>5</v>
      </c>
      <c r="LL125" s="185">
        <f>IF($BC$34&gt;4,1,0)</f>
        <v>0</v>
      </c>
      <c r="LM125" s="194">
        <f>INDEX(outputs_position[21],MATCH($BC$35,outputs_position[lopstuff],0))</f>
        <v>0</v>
      </c>
      <c r="LN125" s="194" t="str">
        <f t="shared" si="219"/>
        <v>Stuff 2-1</v>
      </c>
      <c r="LO125" s="5310" t="e">
        <f>INDEX(inputs_framdriftfaktor[User_input],MATCH(position_framdriftsfaktor[[#This Row],[Position]],inputs_framdriftfaktor[Position],0))</f>
        <v>#N/A</v>
      </c>
      <c r="LP125" s="185" t="e">
        <f>INDEX(inputs_framdriftfaktor[BLANK_check],MATCH(position_framdriftsfaktor[[#This Row],[Position]],inputs_framdriftfaktor[Position],0))</f>
        <v>#N/A</v>
      </c>
      <c r="NH125" s="2617"/>
      <c r="NI125" s="2617"/>
      <c r="NJ125" s="2617"/>
      <c r="NK125" s="2617"/>
      <c r="NN125" s="275"/>
      <c r="NO125" s="275"/>
      <c r="NP125" s="275"/>
      <c r="NQ125" s="275"/>
      <c r="NR125" s="275"/>
      <c r="NS125" s="275"/>
      <c r="NT125" s="275"/>
      <c r="NU125" s="275"/>
      <c r="NV125" s="275"/>
      <c r="NW125" s="275"/>
      <c r="NY125" s="208"/>
      <c r="NZ125" s="208"/>
      <c r="OA125" s="208"/>
      <c r="OB125" s="208"/>
      <c r="OC125" s="208"/>
      <c r="OD125" s="208"/>
      <c r="OE125" s="208"/>
      <c r="OF125" s="208"/>
      <c r="OG125" s="208"/>
      <c r="OH125" s="208"/>
      <c r="OI125" s="208"/>
      <c r="OJ125" s="208"/>
      <c r="OK125" s="208"/>
      <c r="OL125" s="208"/>
      <c r="OM125" s="208"/>
      <c r="ON125" s="208"/>
      <c r="OO125" s="208"/>
      <c r="OP125" s="208"/>
      <c r="OQ125" s="208"/>
      <c r="OR125" s="208"/>
      <c r="OS125" s="208"/>
      <c r="OT125" s="208"/>
      <c r="OU125" s="208"/>
      <c r="OV125" s="186"/>
      <c r="OW125" s="186"/>
      <c r="OX125" s="186"/>
      <c r="OY125" s="186"/>
      <c r="OZ125" s="186"/>
      <c r="PA125" s="186"/>
      <c r="PB125" s="186"/>
      <c r="PC125" s="186"/>
      <c r="PD125" s="186"/>
      <c r="PE125" s="186"/>
      <c r="PF125" s="186"/>
      <c r="PG125" s="208"/>
      <c r="PH125" s="208"/>
      <c r="PI125" s="208"/>
      <c r="PJ125" s="1274"/>
      <c r="PK125" s="1274"/>
      <c r="PL125" s="1274"/>
      <c r="PM125" s="1274"/>
      <c r="PN125" s="1274"/>
      <c r="PO125" s="1274"/>
      <c r="PP125" s="1274"/>
      <c r="PQ125" s="208"/>
      <c r="PR125" s="208"/>
      <c r="PS125" s="208"/>
      <c r="PT125" s="208"/>
      <c r="PU125" s="208"/>
      <c r="PV125" s="208"/>
      <c r="PW125" s="208"/>
      <c r="PX125" s="208"/>
      <c r="PY125" s="208"/>
      <c r="PZ125" s="208"/>
      <c r="QA125" s="208"/>
      <c r="QB125" s="208"/>
      <c r="QC125" s="208"/>
      <c r="QD125" s="208"/>
      <c r="QE125" s="208"/>
      <c r="RF125" s="2617"/>
      <c r="RG125" s="2617"/>
      <c r="RH125" s="2617"/>
      <c r="RI125" s="2617"/>
      <c r="RJ125" s="2617"/>
      <c r="RK125" s="2617"/>
      <c r="RL125" s="2617"/>
      <c r="RM125" s="2617"/>
      <c r="RN125" s="2617"/>
      <c r="RO125" s="2617"/>
      <c r="RP125" s="2617"/>
      <c r="RQ125" s="2617"/>
      <c r="RR125" s="2617"/>
      <c r="RS125" s="2617"/>
      <c r="RT125" s="2617"/>
      <c r="RU125" s="2617"/>
      <c r="RV125" s="2617"/>
      <c r="RW125" s="2617"/>
      <c r="RX125" s="2617"/>
      <c r="RY125" s="2617"/>
      <c r="RZ125" s="2617"/>
      <c r="SA125" s="2617"/>
      <c r="SB125" s="2617"/>
      <c r="SC125" s="2617"/>
      <c r="SD125" s="2617"/>
      <c r="SE125" s="2617"/>
      <c r="SF125" s="2617"/>
      <c r="SG125" s="2617"/>
      <c r="SH125" s="2617"/>
      <c r="SI125" s="2617"/>
      <c r="UM125" s="1754"/>
      <c r="UX125" s="265"/>
    </row>
    <row r="126" spans="9:592" ht="20.100000000000001" customHeight="1" x14ac:dyDescent="0.35">
      <c r="AH126" s="2617"/>
      <c r="AI126" s="2617"/>
      <c r="BB126" s="185" t="s">
        <v>288</v>
      </c>
      <c r="BC126" s="211">
        <f>IFERROR((INDEX(position_stuff[Totalvol],MATCH(BC124,position_stuff[Position],0))),0)</f>
        <v>0</v>
      </c>
      <c r="BD126" s="211">
        <f>IFERROR((INDEX(position_stuff[Totalvol],MATCH(BD124,position_stuff[Position],0))),0)</f>
        <v>0</v>
      </c>
      <c r="BE126" s="211">
        <f>IFERROR((INDEX(position_stuff[Totalvol],MATCH(BE124,position_stuff[Position],0))),0)</f>
        <v>0</v>
      </c>
      <c r="BF126" s="211">
        <f>IFERROR((INDEX(position_stuff[Totalvol],MATCH(BF124,position_stuff[Position],0))),0)</f>
        <v>0</v>
      </c>
      <c r="BG126" s="211">
        <f>IFERROR((INDEX(position_stuff[Totalvol],MATCH(BG124,position_stuff[Position],0))),0)</f>
        <v>0</v>
      </c>
      <c r="BH126" s="211">
        <f>IFERROR((INDEX(position_stuff[Totalvol],MATCH(BH124,position_stuff[Position],0))),0)</f>
        <v>0</v>
      </c>
      <c r="BI126" s="211">
        <f>IFERROR((INDEX(position_stuff[Totalvol],MATCH(BI124,position_stuff[Position],0))),0)</f>
        <v>0</v>
      </c>
      <c r="BJ126" s="211">
        <f>IFERROR((INDEX(position_stuff[Totalvol],MATCH(BJ124,position_stuff[Position],0))),0)</f>
        <v>0</v>
      </c>
      <c r="BK126" s="211">
        <f>IFERROR((INDEX(position_stuff[Totalvol],MATCH(BK124,position_stuff[Position],0))),0)</f>
        <v>0</v>
      </c>
      <c r="CP126" s="183"/>
      <c r="CQ126" s="183"/>
      <c r="CR126" s="183"/>
      <c r="CS126" s="183"/>
      <c r="CT126" s="184"/>
      <c r="ER126" s="340" t="str">
        <f>$NO$74</f>
        <v>Stuff 2-4</v>
      </c>
      <c r="ES126" s="354">
        <f>IF($BC$38=1,0,IF($BC$38=2,8,0))</f>
        <v>8</v>
      </c>
      <c r="ET126" s="237">
        <f>IF($BC$34&gt;7,1,0)</f>
        <v>0</v>
      </c>
      <c r="EU126" s="194">
        <f>INDEX(outputs_position[24],MATCH($BC$35,outputs_position[lopstuff],0))</f>
        <v>0</v>
      </c>
      <c r="EV126" s="194" t="str">
        <f t="shared" si="215"/>
        <v>Stuff 2-4</v>
      </c>
      <c r="EW126" s="241">
        <f t="shared" ref="EW126:FE126" si="227">IFERROR((EW82/EW$115),0)</f>
        <v>0</v>
      </c>
      <c r="EX126" s="241">
        <f t="shared" si="227"/>
        <v>0</v>
      </c>
      <c r="EY126" s="241">
        <f t="shared" si="227"/>
        <v>0</v>
      </c>
      <c r="EZ126" s="241">
        <f t="shared" si="227"/>
        <v>0</v>
      </c>
      <c r="FA126" s="241">
        <f t="shared" si="227"/>
        <v>0</v>
      </c>
      <c r="FB126" s="241">
        <f t="shared" si="227"/>
        <v>0</v>
      </c>
      <c r="FC126" s="241">
        <f t="shared" si="227"/>
        <v>0</v>
      </c>
      <c r="FD126" s="241">
        <f t="shared" si="227"/>
        <v>0</v>
      </c>
      <c r="FE126" s="241">
        <f t="shared" si="227"/>
        <v>0</v>
      </c>
      <c r="FF126" s="360">
        <f>outputs_stab[[#This Row],[Manuell]]+outputs_stab[[#This Row],[kartlegging]]</f>
        <v>0</v>
      </c>
      <c r="FG126" s="360">
        <f>outputs_stab[[#This Row],[lt4m]]+outputs_stab[[#This Row],[gt4m]]</f>
        <v>0</v>
      </c>
      <c r="FH126" s="360">
        <f>outputs_stab[[#This Row],[band]]+outputs_stab[[#This Row],[net]]+outputs_stab[[#This Row],[festebolter]]</f>
        <v>0</v>
      </c>
      <c r="FI126" s="360">
        <f>outputs_stab[[#This Row],[shotcrete]]</f>
        <v>0</v>
      </c>
      <c r="FJ126" s="360">
        <f>outputs_stab[[#This Row],[buer]]</f>
        <v>0</v>
      </c>
      <c r="FK126" s="360">
        <f>outputs_stab[[#This Row],[sik123]]+outputs_stab[[#This Row],[sik4]]</f>
        <v>0</v>
      </c>
      <c r="FL126"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6" s="241">
        <f>outputs_stab[[#This Row],[total_total]]/$AI$80</f>
        <v>0</v>
      </c>
      <c r="FN126" s="323">
        <f t="shared" si="214"/>
        <v>0</v>
      </c>
      <c r="FO126" s="323">
        <f t="shared" si="214"/>
        <v>0</v>
      </c>
      <c r="IH126" s="1172"/>
      <c r="II126" s="1172" t="s">
        <v>2705</v>
      </c>
      <c r="IJ126" s="185"/>
      <c r="IK126" s="451" t="str">
        <f>_Calcs!$K$76</f>
        <v>Samlet justering</v>
      </c>
      <c r="IL126" s="451" t="str">
        <f t="shared" si="226"/>
        <v>Samlet justering</v>
      </c>
      <c r="IM126" s="451" t="str">
        <f t="shared" si="226"/>
        <v>Samlet justering</v>
      </c>
      <c r="IN126" s="451" t="str">
        <f t="shared" si="226"/>
        <v>Samlet justering</v>
      </c>
      <c r="IO126" s="451" t="str">
        <f t="shared" si="226"/>
        <v>Samlet justering</v>
      </c>
      <c r="IP126" s="451" t="str">
        <f t="shared" si="226"/>
        <v>Samlet justering</v>
      </c>
      <c r="IQ126" s="451" t="str">
        <f t="shared" si="226"/>
        <v>Samlet justering</v>
      </c>
      <c r="IR126" s="451" t="str">
        <f t="shared" si="226"/>
        <v>Samlet justering</v>
      </c>
      <c r="IS126" s="451" t="str">
        <f t="shared" si="226"/>
        <v>Samlet justering</v>
      </c>
      <c r="LJ126" s="439" t="str">
        <f>$QT$135</f>
        <v>Stuff 2-2</v>
      </c>
      <c r="LK126" s="230">
        <f>IF($BC$38=1,0,IF($BC$38=2,6,0))</f>
        <v>6</v>
      </c>
      <c r="LL126" s="185">
        <f>IF($BC$34&gt;5,1,0)</f>
        <v>0</v>
      </c>
      <c r="LM126" s="194">
        <f>INDEX(outputs_position[22],MATCH($BC$35,outputs_position[lopstuff],0))</f>
        <v>0</v>
      </c>
      <c r="LN126" s="194" t="str">
        <f t="shared" si="219"/>
        <v>Stuff 2-2</v>
      </c>
      <c r="LO126" s="5310" t="e">
        <f>INDEX(inputs_framdriftfaktor[User_input],MATCH(position_framdriftsfaktor[[#This Row],[Position]],inputs_framdriftfaktor[Position],0))</f>
        <v>#N/A</v>
      </c>
      <c r="LP126" s="185" t="e">
        <f>INDEX(inputs_framdriftfaktor[BLANK_check],MATCH(position_framdriftsfaktor[[#This Row],[Position]],inputs_framdriftfaktor[Position],0))</f>
        <v>#N/A</v>
      </c>
      <c r="NH126" s="2617"/>
      <c r="NI126" s="2617"/>
      <c r="NJ126" s="2617"/>
      <c r="NK126" s="2617"/>
      <c r="QN126" s="370" t="s">
        <v>418</v>
      </c>
      <c r="QO126" s="370"/>
      <c r="QP126" s="370"/>
      <c r="QQ126" s="461" t="s">
        <v>412</v>
      </c>
      <c r="QR126" s="442" t="s">
        <v>1611</v>
      </c>
      <c r="RF126" s="2617"/>
      <c r="RG126" s="2617"/>
      <c r="RH126" s="2617"/>
      <c r="RI126" s="2617"/>
      <c r="RJ126" s="2617"/>
      <c r="RK126" s="2617"/>
      <c r="RL126" s="2617"/>
      <c r="RM126" s="2617"/>
      <c r="RN126" s="2617"/>
      <c r="RO126" s="2617"/>
      <c r="RP126" s="2617"/>
      <c r="RQ126" s="2617"/>
      <c r="RR126" s="2617"/>
      <c r="RS126" s="2617"/>
      <c r="RT126" s="2617"/>
      <c r="RU126" s="2617"/>
      <c r="RV126" s="2617"/>
      <c r="RW126" s="2617"/>
      <c r="RX126" s="2617"/>
      <c r="RY126" s="2617"/>
      <c r="RZ126" s="2617"/>
      <c r="SA126" s="2617"/>
      <c r="SB126" s="2617"/>
      <c r="SC126" s="2617"/>
      <c r="SD126" s="2617"/>
      <c r="SE126" s="2617"/>
      <c r="SF126" s="2617"/>
      <c r="SG126" s="2617"/>
      <c r="SH126" s="2617"/>
      <c r="SI126" s="2617"/>
      <c r="UM126" s="1754"/>
      <c r="UX126" s="265"/>
    </row>
    <row r="127" spans="9:592" ht="20.100000000000001" customHeight="1" x14ac:dyDescent="0.2">
      <c r="AH127" s="2617"/>
      <c r="AI127" s="2617"/>
      <c r="BB127" s="185" t="s">
        <v>290</v>
      </c>
      <c r="BC127" s="211">
        <f>IFERROR((INDEX(position_stuff[Normal],MATCH(BC$124,position_stuff[Position],0))),0)</f>
        <v>0</v>
      </c>
      <c r="BD127" s="211">
        <f>IFERROR((INDEX(position_stuff[Normal],MATCH(BD$124,position_stuff[Position],0))),0)</f>
        <v>0</v>
      </c>
      <c r="BE127" s="211">
        <f>IFERROR((INDEX(position_stuff[Normal],MATCH(BE$124,position_stuff[Position],0))),0)</f>
        <v>0</v>
      </c>
      <c r="BF127" s="211">
        <f>IFERROR((INDEX(position_stuff[Normal],MATCH(BF$124,position_stuff[Position],0))),0)</f>
        <v>0</v>
      </c>
      <c r="BG127" s="211">
        <f>IFERROR((INDEX(position_stuff[Normal],MATCH(BG$124,position_stuff[Position],0))),0)</f>
        <v>0</v>
      </c>
      <c r="BH127" s="211">
        <f>IFERROR((INDEX(position_stuff[Normal],MATCH(BH$124,position_stuff[Position],0))),0)</f>
        <v>0</v>
      </c>
      <c r="BI127" s="211">
        <f>IFERROR((INDEX(position_stuff[Normal],MATCH(BI$124,position_stuff[Position],0))),0)</f>
        <v>0</v>
      </c>
      <c r="BJ127" s="211">
        <f>IFERROR((INDEX(position_stuff[Normal],MATCH(BJ$124,position_stuff[Position],0))),0)</f>
        <v>0</v>
      </c>
      <c r="BK127" s="211">
        <f>IFERROR((INDEX(position_stuff[Normal],MATCH(BK$124,position_stuff[Position],0))),0)</f>
        <v>0</v>
      </c>
      <c r="CM127" s="183"/>
      <c r="CN127" s="183"/>
      <c r="CO127" s="183"/>
      <c r="CP127" s="183"/>
      <c r="CQ127" s="183"/>
      <c r="CR127" s="183"/>
      <c r="CS127" s="183"/>
      <c r="CW127" s="184"/>
      <c r="ER127" s="223" t="s">
        <v>258</v>
      </c>
      <c r="ES127" s="185"/>
      <c r="ET127" s="185">
        <f>$BC$36</f>
        <v>0</v>
      </c>
      <c r="EU127" s="194">
        <f>INDEX(outputs_position[Tverrslag],MATCH($BC$35,outputs_position[lopstuff],0))</f>
        <v>0</v>
      </c>
      <c r="EV127" s="194" t="str">
        <f t="shared" si="215"/>
        <v>Tverrslag</v>
      </c>
      <c r="EW127" s="241">
        <f t="shared" ref="EW127:FE127" si="228">IFERROR((EW83/EW$115),0)</f>
        <v>0</v>
      </c>
      <c r="EX127" s="241">
        <f t="shared" si="228"/>
        <v>0</v>
      </c>
      <c r="EY127" s="241">
        <f t="shared" si="228"/>
        <v>0</v>
      </c>
      <c r="EZ127" s="241">
        <f t="shared" si="228"/>
        <v>0</v>
      </c>
      <c r="FA127" s="241">
        <f t="shared" si="228"/>
        <v>0</v>
      </c>
      <c r="FB127" s="241">
        <f t="shared" si="228"/>
        <v>0</v>
      </c>
      <c r="FC127" s="241">
        <f t="shared" si="228"/>
        <v>0</v>
      </c>
      <c r="FD127" s="241">
        <f t="shared" si="228"/>
        <v>0</v>
      </c>
      <c r="FE127" s="241">
        <f t="shared" si="228"/>
        <v>0</v>
      </c>
      <c r="FF127" s="360">
        <f>outputs_stab[[#This Row],[Manuell]]+outputs_stab[[#This Row],[kartlegging]]</f>
        <v>0</v>
      </c>
      <c r="FG127" s="360">
        <f>outputs_stab[[#This Row],[lt4m]]+outputs_stab[[#This Row],[gt4m]]</f>
        <v>0</v>
      </c>
      <c r="FH127" s="360">
        <f>outputs_stab[[#This Row],[band]]+outputs_stab[[#This Row],[net]]+outputs_stab[[#This Row],[festebolter]]</f>
        <v>0</v>
      </c>
      <c r="FI127" s="360">
        <f>outputs_stab[[#This Row],[shotcrete]]</f>
        <v>0</v>
      </c>
      <c r="FJ127" s="360">
        <f>outputs_stab[[#This Row],[buer]]</f>
        <v>0</v>
      </c>
      <c r="FK127" s="360">
        <f>outputs_stab[[#This Row],[sik123]]+outputs_stab[[#This Row],[sik4]]</f>
        <v>0</v>
      </c>
      <c r="FL127" s="360">
        <f>outputs_stab[[#This Row],[Manuell]]+outputs_stab[[#This Row],[lt4m]]+outputs_stab[[#This Row],[gt4m]]+outputs_stab[[#This Row],[band]]+outputs_stab[[#This Row],[net]]+outputs_stab[[#This Row],[shotcrete]]+outputs_stab[[#This Row],[buer]]+outputs_stab[[#This Row],[sik123]]+outputs_stab[[#This Row],[sik4]]+outputs_stab[[#This Row],[kartlegging]]+outputs_stab[[#This Row],[festebolter]]</f>
        <v>0</v>
      </c>
      <c r="FM127" s="324">
        <f>outputs_stab[[#This Row],[total_total]]/$AI$80</f>
        <v>0</v>
      </c>
      <c r="FN127" s="323">
        <f t="shared" si="214"/>
        <v>0</v>
      </c>
      <c r="FO127" s="323">
        <f t="shared" si="214"/>
        <v>0</v>
      </c>
      <c r="IH127" s="1172"/>
      <c r="II127" s="5998" t="s">
        <v>2717</v>
      </c>
      <c r="IJ127" s="185"/>
      <c r="IK127" s="194" t="str">
        <f>INDEX(utskrift_just[general_svar],MATCH(IK$108,utskrift_just[position],0))</f>
        <v>Nei</v>
      </c>
      <c r="IL127" s="194" t="str">
        <f>INDEX(utskrift_just[general_svar],MATCH(IL$108,utskrift_just[position],0))</f>
        <v>Nei</v>
      </c>
      <c r="IM127" s="194" t="str">
        <f>INDEX(utskrift_just[general_svar],MATCH(IM$108,utskrift_just[position],0))</f>
        <v>Nei</v>
      </c>
      <c r="IN127" s="194" t="str">
        <f>INDEX(utskrift_just[general_svar],MATCH(IN$108,utskrift_just[position],0))</f>
        <v>Nei</v>
      </c>
      <c r="IO127" s="194" t="str">
        <f>INDEX(utskrift_just[general_svar],MATCH(IO$108,utskrift_just[position],0))</f>
        <v>Nei</v>
      </c>
      <c r="IP127" s="194" t="str">
        <f>INDEX(utskrift_just[general_svar],MATCH(IP$108,utskrift_just[position],0))</f>
        <v>Nei</v>
      </c>
      <c r="IQ127" s="194" t="str">
        <f>INDEX(utskrift_just[general_svar],MATCH(IQ$108,utskrift_just[position],0))</f>
        <v>Nei</v>
      </c>
      <c r="IR127" s="194" t="str">
        <f>INDEX(utskrift_just[general_svar],MATCH(IR$108,utskrift_just[position],0))</f>
        <v>Nei</v>
      </c>
      <c r="IS127" s="194" t="str">
        <f>INDEX(utskrift_just[general_svar],MATCH(IS$108,utskrift_just[position],0))</f>
        <v>Nei</v>
      </c>
      <c r="LJ127" s="439" t="str">
        <f>$QU$135</f>
        <v>Stuff 2-3</v>
      </c>
      <c r="LK127" s="230">
        <f>IF($BC$38=1,0,IF($BC$38=2,7,0))</f>
        <v>7</v>
      </c>
      <c r="LL127" s="185">
        <f>IF($BC$34&gt;6,1,0)</f>
        <v>0</v>
      </c>
      <c r="LM127" s="194">
        <f>INDEX(outputs_position[23],MATCH($BC$35,outputs_position[lopstuff],0))</f>
        <v>0</v>
      </c>
      <c r="LN127" s="194" t="str">
        <f t="shared" si="219"/>
        <v>Stuff 2-3</v>
      </c>
      <c r="LO127" s="5310" t="e">
        <f>INDEX(inputs_framdriftfaktor[User_input],MATCH(position_framdriftsfaktor[[#This Row],[Position]],inputs_framdriftfaktor[Position],0))</f>
        <v>#N/A</v>
      </c>
      <c r="LP127" s="185" t="e">
        <f>INDEX(inputs_framdriftfaktor[BLANK_check],MATCH(position_framdriftsfaktor[[#This Row],[Position]],inputs_framdriftfaktor[Position],0))</f>
        <v>#N/A</v>
      </c>
      <c r="NH127" s="2617"/>
      <c r="NI127" s="2617"/>
      <c r="NJ127" s="2617"/>
      <c r="NK127" s="2617"/>
      <c r="RF127" s="2617"/>
      <c r="RG127" s="2617"/>
      <c r="RH127" s="2617"/>
      <c r="RI127" s="2617"/>
      <c r="RJ127" s="2617"/>
      <c r="RK127" s="2617"/>
      <c r="RL127" s="2617"/>
      <c r="RM127" s="2617"/>
      <c r="RN127" s="2617"/>
      <c r="RO127" s="2617"/>
      <c r="RP127" s="2617"/>
      <c r="RQ127" s="2617"/>
      <c r="RR127" s="2617"/>
      <c r="RS127" s="2617"/>
      <c r="RT127" s="2617"/>
      <c r="RU127" s="2617"/>
      <c r="RV127" s="2617"/>
      <c r="RW127" s="2617"/>
      <c r="RX127" s="2617"/>
      <c r="RY127" s="2617"/>
      <c r="RZ127" s="2617"/>
      <c r="SA127" s="2617"/>
      <c r="SB127" s="2617"/>
      <c r="SC127" s="2617"/>
      <c r="SD127" s="2617"/>
      <c r="SE127" s="2617"/>
      <c r="SF127" s="2617"/>
      <c r="SG127" s="2617"/>
      <c r="SH127" s="2617"/>
      <c r="SI127" s="2617"/>
      <c r="UM127" s="1754"/>
      <c r="UX127" s="265"/>
    </row>
    <row r="128" spans="9:592" ht="20.100000000000001" customHeight="1" x14ac:dyDescent="0.2">
      <c r="AH128" s="2617"/>
      <c r="AI128" s="2617"/>
      <c r="BB128" s="185" t="s">
        <v>291</v>
      </c>
      <c r="BC128" s="211">
        <f>IFERROR((INDEX(position_stuff[total_reduced],MATCH(BC124,position_stuff[Position],0))),0)</f>
        <v>0</v>
      </c>
      <c r="BD128" s="211">
        <f>IFERROR((INDEX(position_stuff[total_reduced],MATCH(BD124,position_stuff[Position],0))),0)</f>
        <v>0</v>
      </c>
      <c r="BE128" s="211">
        <f>IFERROR((INDEX(position_stuff[total_reduced],MATCH(BE124,position_stuff[Position],0))),0)</f>
        <v>0</v>
      </c>
      <c r="BF128" s="211">
        <f>IFERROR((INDEX(position_stuff[total_reduced],MATCH(BF124,position_stuff[Position],0))),0)</f>
        <v>0</v>
      </c>
      <c r="BG128" s="211">
        <f>IFERROR((INDEX(position_stuff[total_reduced],MATCH(BG124,position_stuff[Position],0))),0)</f>
        <v>0</v>
      </c>
      <c r="BH128" s="211">
        <f>IFERROR((INDEX(position_stuff[total_reduced],MATCH(BH124,position_stuff[Position],0))),0)</f>
        <v>0</v>
      </c>
      <c r="BI128" s="211">
        <f>IFERROR((INDEX(position_stuff[total_reduced],MATCH(BI124,position_stuff[Position],0))),0)</f>
        <v>0</v>
      </c>
      <c r="BJ128" s="211">
        <f>IFERROR((INDEX(position_stuff[total_reduced],MATCH(BJ124,position_stuff[Position],0))),0)</f>
        <v>0</v>
      </c>
      <c r="BK128" s="211">
        <f>IFERROR((INDEX(position_stuff[total_reduced],MATCH(BK124,position_stuff[Position],0))),0)</f>
        <v>0</v>
      </c>
      <c r="IH128" s="1172"/>
      <c r="II128" s="5998" t="s">
        <v>2679</v>
      </c>
      <c r="IJ128" s="372"/>
      <c r="IK128" s="212" t="str">
        <f>IF(OR(INDEX(utskrift_just[general_tid],MATCH(IK$108,utskrift_just[position],0))=1,INDEX(utskrift_just[general_tid],MATCH(IK$108,utskrift_just[position],0))=-1),INDEX(utskrift_just[general_tid],MATCH(IK$108,utskrift_just[position],0))&amp;" uke",IF(ISNUMBER(INDEX(utskrift_just[general_tid],MATCH(IK$108,utskrift_just[position],0)))=TRUE,INDEX(utskrift_just[general_tid],MATCH(IK$108,utskrift_just[position],0))&amp;" uker",""))</f>
        <v/>
      </c>
      <c r="IL128" s="212" t="str">
        <f>IF(OR(INDEX(utskrift_just[general_tid],MATCH(IL$108,utskrift_just[position],0))=1,INDEX(utskrift_just[general_tid],MATCH(IL$108,utskrift_just[position],0))=-1),INDEX(utskrift_just[general_tid],MATCH(IL$108,utskrift_just[position],0))&amp;" uke",IF(ISNUMBER(INDEX(utskrift_just[general_tid],MATCH(IL$108,utskrift_just[position],0)))=TRUE,INDEX(utskrift_just[general_tid],MATCH(IL$108,utskrift_just[position],0))&amp;" uker",""))</f>
        <v/>
      </c>
      <c r="IM128" s="212" t="str">
        <f>IF(OR(INDEX(utskrift_just[general_tid],MATCH(IM$108,utskrift_just[position],0))=1,INDEX(utskrift_just[general_tid],MATCH(IM$108,utskrift_just[position],0))=-1),INDEX(utskrift_just[general_tid],MATCH(IM$108,utskrift_just[position],0))&amp;" uke",IF(ISNUMBER(INDEX(utskrift_just[general_tid],MATCH(IM$108,utskrift_just[position],0)))=TRUE,INDEX(utskrift_just[general_tid],MATCH(IM$108,utskrift_just[position],0))&amp;" uker",""))</f>
        <v/>
      </c>
      <c r="IN128" s="212" t="str">
        <f>IF(OR(INDEX(utskrift_just[general_tid],MATCH(IN$108,utskrift_just[position],0))=1,INDEX(utskrift_just[general_tid],MATCH(IN$108,utskrift_just[position],0))=-1),INDEX(utskrift_just[general_tid],MATCH(IN$108,utskrift_just[position],0))&amp;" uke",IF(ISNUMBER(INDEX(utskrift_just[general_tid],MATCH(IN$108,utskrift_just[position],0)))=TRUE,INDEX(utskrift_just[general_tid],MATCH(IN$108,utskrift_just[position],0))&amp;" uker",""))</f>
        <v/>
      </c>
      <c r="IO128" s="212" t="str">
        <f>IF(OR(INDEX(utskrift_just[general_tid],MATCH(IO$108,utskrift_just[position],0))=1,INDEX(utskrift_just[general_tid],MATCH(IO$108,utskrift_just[position],0))=-1),INDEX(utskrift_just[general_tid],MATCH(IO$108,utskrift_just[position],0))&amp;" uke",IF(ISNUMBER(INDEX(utskrift_just[general_tid],MATCH(IO$108,utskrift_just[position],0)))=TRUE,INDEX(utskrift_just[general_tid],MATCH(IO$108,utskrift_just[position],0))&amp;" uker",""))</f>
        <v/>
      </c>
      <c r="IP128" s="212" t="str">
        <f>IF(OR(INDEX(utskrift_just[general_tid],MATCH(IP$108,utskrift_just[position],0))=1,INDEX(utskrift_just[general_tid],MATCH(IP$108,utskrift_just[position],0))=-1),INDEX(utskrift_just[general_tid],MATCH(IP$108,utskrift_just[position],0))&amp;" uke",IF(ISNUMBER(INDEX(utskrift_just[general_tid],MATCH(IP$108,utskrift_just[position],0)))=TRUE,INDEX(utskrift_just[general_tid],MATCH(IP$108,utskrift_just[position],0))&amp;" uker",""))</f>
        <v/>
      </c>
      <c r="IQ128" s="212" t="str">
        <f>IF(OR(INDEX(utskrift_just[general_tid],MATCH(IQ$108,utskrift_just[position],0))=1,INDEX(utskrift_just[general_tid],MATCH(IQ$108,utskrift_just[position],0))=-1),INDEX(utskrift_just[general_tid],MATCH(IQ$108,utskrift_just[position],0))&amp;" uke",IF(ISNUMBER(INDEX(utskrift_just[general_tid],MATCH(IQ$108,utskrift_just[position],0)))=TRUE,INDEX(utskrift_just[general_tid],MATCH(IQ$108,utskrift_just[position],0))&amp;" uker",""))</f>
        <v/>
      </c>
      <c r="IR128" s="212" t="str">
        <f>IF(OR(INDEX(utskrift_just[general_tid],MATCH(IR$108,utskrift_just[position],0))=1,INDEX(utskrift_just[general_tid],MATCH(IR$108,utskrift_just[position],0))=-1),INDEX(utskrift_just[general_tid],MATCH(IR$108,utskrift_just[position],0))&amp;" uke",IF(ISNUMBER(INDEX(utskrift_just[general_tid],MATCH(IR$108,utskrift_just[position],0)))=TRUE,INDEX(utskrift_just[general_tid],MATCH(IR$108,utskrift_just[position],0))&amp;" uker",""))</f>
        <v/>
      </c>
      <c r="IS128" s="212" t="str">
        <f>IF(OR(INDEX(utskrift_just[general_tid],MATCH(IS$108,utskrift_just[position],0))=1,INDEX(utskrift_just[general_tid],MATCH(IS$108,utskrift_just[position],0))=-1),INDEX(utskrift_just[general_tid],MATCH(IS$108,utskrift_just[position],0))&amp;" uke",IF(ISNUMBER(INDEX(utskrift_just[general_tid],MATCH(IS$108,utskrift_just[position],0)))=TRUE,INDEX(utskrift_just[general_tid],MATCH(IS$108,utskrift_just[position],0))&amp;" uker",""))</f>
        <v/>
      </c>
      <c r="LJ128" s="439" t="str">
        <f>$QV$135</f>
        <v>Stuff 2-4</v>
      </c>
      <c r="LK128" s="230">
        <f>IF($BC$38=1,0,IF($BC$38=2,8,0))</f>
        <v>8</v>
      </c>
      <c r="LL128" s="185">
        <f>IF($BC$34&gt;7,1,0)</f>
        <v>0</v>
      </c>
      <c r="LM128" s="194">
        <f>INDEX(outputs_position[24],MATCH($BC$35,outputs_position[lopstuff],0))</f>
        <v>0</v>
      </c>
      <c r="LN128" s="194" t="str">
        <f t="shared" si="219"/>
        <v>Stuff 2-4</v>
      </c>
      <c r="LO128" s="5310" t="e">
        <f>INDEX(inputs_framdriftfaktor[User_input],MATCH(position_framdriftsfaktor[[#This Row],[Position]],inputs_framdriftfaktor[Position],0))</f>
        <v>#N/A</v>
      </c>
      <c r="LP128" s="185" t="e">
        <f>INDEX(inputs_framdriftfaktor[BLANK_check],MATCH(position_framdriftsfaktor[[#This Row],[Position]],inputs_framdriftfaktor[Position],0))</f>
        <v>#N/A</v>
      </c>
      <c r="NH128" s="2617"/>
      <c r="NI128" s="2617"/>
      <c r="NJ128" s="2617"/>
      <c r="NK128" s="2617"/>
      <c r="QO128" s="208"/>
      <c r="QP128" s="208"/>
      <c r="QQ128" s="208"/>
      <c r="QR128" s="208"/>
      <c r="QS128" s="208"/>
      <c r="QT128" s="208"/>
      <c r="QU128" s="208"/>
      <c r="QV128" s="208"/>
      <c r="QW128" s="208"/>
      <c r="RF128" s="2617"/>
      <c r="RG128" s="2617"/>
      <c r="RH128" s="2617"/>
      <c r="RI128" s="2617"/>
      <c r="RJ128" s="2617"/>
      <c r="RK128" s="2617"/>
      <c r="RL128" s="2617"/>
      <c r="RM128" s="2617"/>
      <c r="RN128" s="2617"/>
      <c r="RO128" s="2617"/>
      <c r="RP128" s="2617"/>
      <c r="RQ128" s="2617"/>
      <c r="RR128" s="2617"/>
      <c r="RS128" s="2617"/>
      <c r="RT128" s="2617"/>
      <c r="RU128" s="2617"/>
      <c r="RV128" s="2617"/>
      <c r="RW128" s="2617"/>
      <c r="RX128" s="2617"/>
      <c r="RY128" s="2617"/>
      <c r="RZ128" s="2617"/>
      <c r="SA128" s="2617"/>
      <c r="SB128" s="2617"/>
      <c r="SC128" s="2617"/>
      <c r="SD128" s="2617"/>
      <c r="SE128" s="2617"/>
      <c r="SF128" s="2617"/>
      <c r="SG128" s="2617"/>
      <c r="SH128" s="2617"/>
      <c r="SI128" s="2617"/>
      <c r="UM128" s="1754"/>
      <c r="UX128" s="265"/>
    </row>
    <row r="129" spans="34:570" ht="20.100000000000001" customHeight="1" x14ac:dyDescent="0.2">
      <c r="AH129" s="2617"/>
      <c r="AI129" s="2617"/>
      <c r="BB129" s="185" t="s">
        <v>45</v>
      </c>
      <c r="BC129" s="211">
        <f>IFERROR((INDEX(position_stuff[total_nisjer],MATCH(BC124,position_stuff[Position],0))),0)</f>
        <v>0</v>
      </c>
      <c r="BD129" s="211">
        <f>IFERROR((INDEX(position_stuff[total_nisjer],MATCH(BD124,position_stuff[Position],0))),0)</f>
        <v>0</v>
      </c>
      <c r="BE129" s="211">
        <f>IFERROR((INDEX(position_stuff[total_nisjer],MATCH(BE124,position_stuff[Position],0))),0)</f>
        <v>0</v>
      </c>
      <c r="BF129" s="211">
        <f>IFERROR((INDEX(position_stuff[total_nisjer],MATCH(BF124,position_stuff[Position],0))),0)</f>
        <v>0</v>
      </c>
      <c r="BG129" s="211">
        <f>IFERROR((INDEX(position_stuff[total_nisjer],MATCH(BG124,position_stuff[Position],0))),0)</f>
        <v>0</v>
      </c>
      <c r="BH129" s="211">
        <f>IFERROR((INDEX(position_stuff[total_nisjer],MATCH(BH124,position_stuff[Position],0))),0)</f>
        <v>0</v>
      </c>
      <c r="BI129" s="211">
        <f>IFERROR((INDEX(position_stuff[total_nisjer],MATCH(BI124,position_stuff[Position],0))),0)</f>
        <v>0</v>
      </c>
      <c r="BJ129" s="211">
        <f>IFERROR((INDEX(position_stuff[total_nisjer],MATCH(BJ124,position_stuff[Position],0))),0)</f>
        <v>0</v>
      </c>
      <c r="BK129" s="211">
        <f>IFERROR((INDEX(position_stuff[total_nisjer],MATCH(BK124,position_stuff[Position],0))),0)</f>
        <v>0</v>
      </c>
      <c r="IH129" s="1172"/>
      <c r="II129" s="5998" t="s">
        <v>138</v>
      </c>
      <c r="IJ129" s="372"/>
      <c r="IK129" s="194" t="str">
        <f>INDEX(utskrift_just[general_beg],MATCH(IK$108,utskrift_just[position],0))</f>
        <v/>
      </c>
      <c r="IL129" s="194" t="str">
        <f>INDEX(utskrift_just[general_beg],MATCH(IL$108,utskrift_just[position],0))</f>
        <v/>
      </c>
      <c r="IM129" s="194" t="str">
        <f>INDEX(utskrift_just[general_beg],MATCH(IM$108,utskrift_just[position],0))</f>
        <v/>
      </c>
      <c r="IN129" s="194" t="str">
        <f>INDEX(utskrift_just[general_beg],MATCH(IN$108,utskrift_just[position],0))</f>
        <v/>
      </c>
      <c r="IO129" s="194" t="str">
        <f>INDEX(utskrift_just[general_beg],MATCH(IO$108,utskrift_just[position],0))</f>
        <v/>
      </c>
      <c r="IP129" s="194" t="str">
        <f>INDEX(utskrift_just[general_beg],MATCH(IP$108,utskrift_just[position],0))</f>
        <v/>
      </c>
      <c r="IQ129" s="194" t="str">
        <f>INDEX(utskrift_just[general_beg],MATCH(IQ$108,utskrift_just[position],0))</f>
        <v/>
      </c>
      <c r="IR129" s="194" t="str">
        <f>INDEX(utskrift_just[general_beg],MATCH(IR$108,utskrift_just[position],0))</f>
        <v/>
      </c>
      <c r="IS129" s="194" t="str">
        <f>INDEX(utskrift_just[general_beg],MATCH(IS$108,utskrift_just[position],0))</f>
        <v/>
      </c>
      <c r="LJ129" s="1269" t="str">
        <f>$QW$135</f>
        <v>Tverrslag</v>
      </c>
      <c r="LK129" s="246"/>
      <c r="LL129" s="246">
        <f>$BC$36</f>
        <v>0</v>
      </c>
      <c r="LM129" s="194">
        <f>INDEX(outputs_position[Tverrslag],MATCH($BC$35,outputs_position[lopstuff],0))</f>
        <v>0</v>
      </c>
      <c r="LN129" s="256" t="str">
        <f t="shared" si="219"/>
        <v>Tverrslag</v>
      </c>
      <c r="LO129" s="5310" t="e">
        <f>INDEX(inputs_framdriftfaktor[User_input],MATCH(position_framdriftsfaktor[[#This Row],[Position]],inputs_framdriftfaktor[Position],0))</f>
        <v>#N/A</v>
      </c>
      <c r="LP129" s="185" t="e">
        <f>INDEX(inputs_framdriftfaktor[BLANK_check],MATCH(position_framdriftsfaktor[[#This Row],[Position]],inputs_framdriftfaktor[Position],0))</f>
        <v>#N/A</v>
      </c>
      <c r="NH129" s="2617"/>
      <c r="NI129" s="2617"/>
      <c r="NJ129" s="2617"/>
      <c r="NK129" s="2617"/>
      <c r="NN129" s="7226" t="s">
        <v>504</v>
      </c>
      <c r="NO129" s="7226"/>
      <c r="NP129" s="7226"/>
      <c r="NV129" s="208"/>
      <c r="NW129" s="208"/>
      <c r="NX129" s="208"/>
      <c r="QO129" s="208"/>
      <c r="QP129" s="208"/>
      <c r="QQ129" s="208"/>
      <c r="QR129" s="208"/>
      <c r="QS129" s="208"/>
      <c r="QT129" s="208"/>
      <c r="QU129" s="208"/>
      <c r="QV129" s="208"/>
      <c r="QW129" s="208"/>
      <c r="RF129" s="2617"/>
      <c r="RG129" s="2617"/>
      <c r="RH129" s="2617"/>
      <c r="RI129" s="2617"/>
      <c r="RJ129" s="2617"/>
      <c r="RK129" s="2617"/>
      <c r="RL129" s="2617"/>
      <c r="RM129" s="2617"/>
      <c r="RN129" s="2617"/>
      <c r="RO129" s="2617"/>
      <c r="RP129" s="2617"/>
      <c r="RQ129" s="2617"/>
      <c r="RR129" s="2617"/>
      <c r="RS129" s="2617"/>
      <c r="RT129" s="2617"/>
      <c r="RU129" s="2617"/>
      <c r="RV129" s="2617"/>
      <c r="RW129" s="2617"/>
      <c r="RX129" s="2617"/>
      <c r="RY129" s="2617"/>
      <c r="RZ129" s="2617"/>
      <c r="SA129" s="2617"/>
      <c r="SB129" s="2617"/>
      <c r="SC129" s="2617"/>
      <c r="SD129" s="2617"/>
      <c r="SE129" s="2617"/>
      <c r="SF129" s="2617"/>
      <c r="SG129" s="2617"/>
      <c r="SH129" s="2617"/>
      <c r="SI129" s="2617"/>
      <c r="UM129" s="1754"/>
      <c r="UX129" s="265"/>
    </row>
    <row r="130" spans="34:570" ht="20.100000000000001" customHeight="1" x14ac:dyDescent="0.2">
      <c r="AH130" s="2617"/>
      <c r="AI130" s="2617"/>
      <c r="BB130" s="185" t="s">
        <v>297</v>
      </c>
      <c r="BC130" s="241" t="str">
        <f>IF(BC126+BC129&lt;=0,"!",BC126+BC129)</f>
        <v>!</v>
      </c>
      <c r="BD130" s="241" t="str">
        <f t="shared" ref="BD130:BK130" si="229">IF(BD126+BD129&lt;=0,"!",BD126+BD129)</f>
        <v>!</v>
      </c>
      <c r="BE130" s="241" t="str">
        <f t="shared" si="229"/>
        <v>!</v>
      </c>
      <c r="BF130" s="241" t="str">
        <f t="shared" si="229"/>
        <v>!</v>
      </c>
      <c r="BG130" s="241" t="str">
        <f t="shared" si="229"/>
        <v>!</v>
      </c>
      <c r="BH130" s="241" t="str">
        <f t="shared" si="229"/>
        <v>!</v>
      </c>
      <c r="BI130" s="241" t="str">
        <f t="shared" si="229"/>
        <v>!</v>
      </c>
      <c r="BJ130" s="241" t="str">
        <f t="shared" si="229"/>
        <v>!</v>
      </c>
      <c r="BK130" s="241" t="str">
        <f t="shared" si="229"/>
        <v>!</v>
      </c>
      <c r="DR130" s="1205" t="s">
        <v>646</v>
      </c>
      <c r="DS130" s="836"/>
      <c r="DT130" s="836"/>
      <c r="DU130" s="836"/>
      <c r="DV130" s="836"/>
      <c r="IH130" s="1172"/>
      <c r="II130" s="372"/>
      <c r="IJ130" s="372"/>
      <c r="IK130" s="372"/>
      <c r="IL130" s="372"/>
      <c r="IM130" s="372"/>
      <c r="IN130" s="372"/>
      <c r="IO130" s="372"/>
      <c r="IP130" s="372"/>
      <c r="IQ130" s="372"/>
      <c r="IR130" s="372"/>
      <c r="IS130" s="185"/>
      <c r="NH130" s="2617"/>
      <c r="NI130" s="2617"/>
      <c r="NJ130" s="2617"/>
      <c r="NK130" s="2617"/>
      <c r="NV130" s="208"/>
      <c r="NW130" s="208"/>
      <c r="NX130" s="208"/>
      <c r="QN130" s="283" t="s">
        <v>388</v>
      </c>
      <c r="RF130" s="2617"/>
      <c r="RG130" s="2617"/>
      <c r="RH130" s="2617"/>
      <c r="RI130" s="2617"/>
      <c r="RJ130" s="2617"/>
      <c r="RK130" s="2617"/>
      <c r="RL130" s="2617"/>
      <c r="RM130" s="2617"/>
      <c r="RN130" s="2617"/>
      <c r="RO130" s="2617"/>
      <c r="RP130" s="2617"/>
      <c r="RQ130" s="2617"/>
      <c r="RR130" s="2617"/>
      <c r="RS130" s="2617"/>
      <c r="RT130" s="2617"/>
      <c r="RU130" s="2617"/>
      <c r="RV130" s="2617"/>
      <c r="RW130" s="2617"/>
      <c r="RX130" s="2617"/>
      <c r="RY130" s="2617"/>
      <c r="RZ130" s="2617"/>
      <c r="SA130" s="2617"/>
      <c r="SB130" s="2617"/>
      <c r="SC130" s="2617"/>
      <c r="SD130" s="2617"/>
      <c r="SE130" s="2617"/>
      <c r="SF130" s="2617"/>
      <c r="SG130" s="2617"/>
      <c r="SH130" s="2617"/>
      <c r="SI130" s="2617"/>
      <c r="UM130" s="1754"/>
      <c r="UX130" s="265"/>
    </row>
    <row r="131" spans="34:570" ht="20.100000000000001" customHeight="1" x14ac:dyDescent="0.2">
      <c r="AH131" s="2617"/>
      <c r="AI131" s="2617"/>
      <c r="ET131" s="349" t="s">
        <v>208</v>
      </c>
      <c r="EU131" s="185" t="s">
        <v>293</v>
      </c>
      <c r="EV131" s="185"/>
      <c r="EW131" s="241">
        <f>EW117+EW127</f>
        <v>0</v>
      </c>
      <c r="EX131" s="241">
        <f t="shared" ref="EX131:FM131" si="230">EX117+EX127</f>
        <v>0</v>
      </c>
      <c r="EY131" s="241">
        <f t="shared" si="230"/>
        <v>0</v>
      </c>
      <c r="EZ131" s="241">
        <f t="shared" si="230"/>
        <v>0</v>
      </c>
      <c r="FA131" s="241">
        <f t="shared" si="230"/>
        <v>0</v>
      </c>
      <c r="FB131" s="241">
        <f t="shared" si="230"/>
        <v>0</v>
      </c>
      <c r="FC131" s="241">
        <f t="shared" si="230"/>
        <v>0</v>
      </c>
      <c r="FD131" s="241">
        <f t="shared" si="230"/>
        <v>0</v>
      </c>
      <c r="FE131" s="241">
        <f t="shared" si="230"/>
        <v>0</v>
      </c>
      <c r="FF131" s="241">
        <f t="shared" si="230"/>
        <v>0</v>
      </c>
      <c r="FG131" s="241">
        <f t="shared" si="230"/>
        <v>0</v>
      </c>
      <c r="FH131" s="241">
        <f t="shared" si="230"/>
        <v>0</v>
      </c>
      <c r="FI131" s="241">
        <f t="shared" si="230"/>
        <v>0</v>
      </c>
      <c r="FJ131" s="241">
        <f t="shared" si="230"/>
        <v>0</v>
      </c>
      <c r="FK131" s="241">
        <f t="shared" si="230"/>
        <v>0</v>
      </c>
      <c r="FL131" s="241">
        <f t="shared" si="230"/>
        <v>0</v>
      </c>
      <c r="FM131" s="241">
        <f t="shared" si="230"/>
        <v>0</v>
      </c>
      <c r="FN131" s="241">
        <f>FN117+FN127</f>
        <v>0</v>
      </c>
      <c r="FO131" s="241">
        <f>FO117+FO127</f>
        <v>0</v>
      </c>
      <c r="IH131" s="6000">
        <v>3</v>
      </c>
      <c r="II131" s="1172" t="str">
        <f>$II$112</f>
        <v>Header: stuff navn</v>
      </c>
      <c r="IJ131" s="185"/>
      <c r="IK131" s="194" t="str">
        <f>IK$109</f>
        <v>Stuff 1-1</v>
      </c>
      <c r="IL131" s="194" t="str">
        <f t="shared" ref="IL131:IS131" si="231">IL$109</f>
        <v/>
      </c>
      <c r="IM131" s="194" t="str">
        <f t="shared" si="231"/>
        <v/>
      </c>
      <c r="IN131" s="194" t="str">
        <f t="shared" si="231"/>
        <v/>
      </c>
      <c r="IO131" s="194" t="str">
        <f t="shared" si="231"/>
        <v/>
      </c>
      <c r="IP131" s="194" t="str">
        <f t="shared" si="231"/>
        <v/>
      </c>
      <c r="IQ131" s="194" t="str">
        <f t="shared" si="231"/>
        <v/>
      </c>
      <c r="IR131" s="194" t="str">
        <f t="shared" si="231"/>
        <v/>
      </c>
      <c r="IS131" s="194" t="str">
        <f t="shared" si="231"/>
        <v/>
      </c>
      <c r="NH131" s="2617"/>
      <c r="NI131" s="2617"/>
      <c r="NJ131" s="2617"/>
      <c r="NK131" s="2617"/>
      <c r="NV131" s="208"/>
      <c r="NW131" s="208"/>
      <c r="NX131" s="208"/>
      <c r="RF131" s="2617"/>
      <c r="RG131" s="2617"/>
      <c r="RH131" s="2617"/>
      <c r="RI131" s="2617"/>
      <c r="RJ131" s="2617"/>
      <c r="RK131" s="2617"/>
      <c r="RL131" s="2617"/>
      <c r="RM131" s="2617"/>
      <c r="RN131" s="2617"/>
      <c r="RO131" s="2617"/>
      <c r="RP131" s="2617"/>
      <c r="RQ131" s="2617"/>
      <c r="RR131" s="2617"/>
      <c r="RS131" s="2617"/>
      <c r="RT131" s="2617"/>
      <c r="RU131" s="2617"/>
      <c r="RV131" s="2617"/>
      <c r="RW131" s="2617"/>
      <c r="RX131" s="2617"/>
      <c r="RY131" s="2617"/>
      <c r="RZ131" s="2617"/>
      <c r="SA131" s="2617"/>
      <c r="SB131" s="2617"/>
      <c r="SC131" s="2617"/>
      <c r="SD131" s="2617"/>
      <c r="SE131" s="2617"/>
      <c r="SF131" s="2617"/>
      <c r="SG131" s="2617"/>
      <c r="SH131" s="2617"/>
      <c r="SI131" s="2617"/>
      <c r="UM131" s="1754"/>
      <c r="UX131" s="265"/>
    </row>
    <row r="132" spans="34:570" ht="20.100000000000001" customHeight="1" thickBot="1" x14ac:dyDescent="0.25">
      <c r="AH132" s="2617"/>
      <c r="AI132" s="2617"/>
      <c r="BB132" s="275"/>
      <c r="BC132" s="275"/>
      <c r="BD132" s="275"/>
      <c r="BE132" s="275"/>
      <c r="BF132" s="275"/>
      <c r="BG132" s="275"/>
      <c r="BH132" s="275"/>
      <c r="BI132" s="277"/>
      <c r="BJ132" s="275"/>
      <c r="BK132" s="275"/>
      <c r="BP132" s="207"/>
      <c r="BQ132" s="207"/>
      <c r="BR132" s="207"/>
      <c r="BS132" s="207"/>
      <c r="BT132" s="207"/>
      <c r="BU132" s="207"/>
      <c r="DR132" s="2617"/>
      <c r="DS132" s="2617"/>
      <c r="DT132" s="2617"/>
      <c r="DU132" s="2617"/>
      <c r="ET132" s="349" t="s">
        <v>208</v>
      </c>
      <c r="EU132" s="185" t="s">
        <v>294</v>
      </c>
      <c r="EV132" s="185"/>
      <c r="EW132" s="241">
        <f>EW119+EW120+EW121+EW122+EW123+EW124+EW125+EW126+EW127</f>
        <v>0</v>
      </c>
      <c r="EX132" s="241">
        <f t="shared" ref="EX132:FM132" si="232">EX119+EX120+EX121+EX122+EX123+EX124+EX125+EX126+EX127</f>
        <v>0</v>
      </c>
      <c r="EY132" s="241">
        <f t="shared" si="232"/>
        <v>0</v>
      </c>
      <c r="EZ132" s="241">
        <f t="shared" si="232"/>
        <v>0</v>
      </c>
      <c r="FA132" s="241">
        <f t="shared" si="232"/>
        <v>0</v>
      </c>
      <c r="FB132" s="241">
        <f t="shared" si="232"/>
        <v>0</v>
      </c>
      <c r="FC132" s="241">
        <f t="shared" si="232"/>
        <v>0</v>
      </c>
      <c r="FD132" s="241">
        <f t="shared" si="232"/>
        <v>0</v>
      </c>
      <c r="FE132" s="241">
        <f t="shared" si="232"/>
        <v>0</v>
      </c>
      <c r="FF132" s="241">
        <f t="shared" si="232"/>
        <v>0</v>
      </c>
      <c r="FG132" s="241">
        <f t="shared" si="232"/>
        <v>0</v>
      </c>
      <c r="FH132" s="241">
        <f t="shared" si="232"/>
        <v>0</v>
      </c>
      <c r="FI132" s="241">
        <f t="shared" si="232"/>
        <v>0</v>
      </c>
      <c r="FJ132" s="241">
        <f t="shared" si="232"/>
        <v>0</v>
      </c>
      <c r="FK132" s="241">
        <f t="shared" si="232"/>
        <v>0</v>
      </c>
      <c r="FL132" s="241">
        <f t="shared" si="232"/>
        <v>0</v>
      </c>
      <c r="FM132" s="241">
        <f t="shared" si="232"/>
        <v>0</v>
      </c>
      <c r="FN132" s="241">
        <f>FN119+FN120+FN121+FN122+FN123+FN124+FN125+FN126+FN127</f>
        <v>0</v>
      </c>
      <c r="FO132" s="241">
        <f>FO119+FO120+FO121+FO122+FO123+FO124+FO125+FO126+FO127</f>
        <v>0</v>
      </c>
      <c r="IH132" s="1172"/>
      <c r="II132" s="1172" t="str">
        <f>$II$113</f>
        <v>Side nummer</v>
      </c>
      <c r="IJ132" s="185"/>
      <c r="IK132" s="194" t="str">
        <f>"Side "&amp;$IH131&amp;" av "&amp;_Calcs!$II$100</f>
        <v>Side 3 av 9</v>
      </c>
      <c r="IL132" s="194" t="str">
        <f t="shared" ref="IL132:IS132" si="233">$IK132</f>
        <v>Side 3 av 9</v>
      </c>
      <c r="IM132" s="194" t="str">
        <f t="shared" si="233"/>
        <v>Side 3 av 9</v>
      </c>
      <c r="IN132" s="194" t="str">
        <f t="shared" si="233"/>
        <v>Side 3 av 9</v>
      </c>
      <c r="IO132" s="194" t="str">
        <f t="shared" si="233"/>
        <v>Side 3 av 9</v>
      </c>
      <c r="IP132" s="194" t="str">
        <f t="shared" si="233"/>
        <v>Side 3 av 9</v>
      </c>
      <c r="IQ132" s="194" t="str">
        <f t="shared" si="233"/>
        <v>Side 3 av 9</v>
      </c>
      <c r="IR132" s="194" t="str">
        <f t="shared" si="233"/>
        <v>Side 3 av 9</v>
      </c>
      <c r="IS132" s="194" t="str">
        <f t="shared" si="233"/>
        <v>Side 3 av 9</v>
      </c>
      <c r="NH132" s="2617"/>
      <c r="NI132" s="2617"/>
      <c r="NJ132" s="2617"/>
      <c r="NK132" s="2617"/>
      <c r="NN132" s="404" t="s">
        <v>468</v>
      </c>
      <c r="NV132" s="208"/>
      <c r="NW132" s="208"/>
      <c r="NX132" s="208"/>
      <c r="QM132" s="207"/>
      <c r="QN132" s="283" t="s">
        <v>1612</v>
      </c>
      <c r="QO132" s="183">
        <f>COUNTIF($QO$134:$QW$134,QO134)</f>
        <v>1</v>
      </c>
      <c r="QP132" s="183">
        <f t="shared" ref="QP132:QW132" si="234">COUNTIF($QO$134:$QW$134,QP134)</f>
        <v>8</v>
      </c>
      <c r="QQ132" s="183">
        <f t="shared" si="234"/>
        <v>8</v>
      </c>
      <c r="QR132" s="183">
        <f t="shared" si="234"/>
        <v>8</v>
      </c>
      <c r="QS132" s="183">
        <f t="shared" si="234"/>
        <v>8</v>
      </c>
      <c r="QT132" s="183">
        <f t="shared" si="234"/>
        <v>8</v>
      </c>
      <c r="QU132" s="183">
        <f t="shared" si="234"/>
        <v>8</v>
      </c>
      <c r="QV132" s="183">
        <f t="shared" si="234"/>
        <v>8</v>
      </c>
      <c r="QW132" s="183">
        <f t="shared" si="234"/>
        <v>8</v>
      </c>
      <c r="RF132" s="2617"/>
      <c r="RG132" s="2617"/>
      <c r="RH132" s="2617"/>
      <c r="RI132" s="2617"/>
      <c r="RJ132" s="2617"/>
      <c r="RK132" s="2617"/>
      <c r="RL132" s="2617"/>
      <c r="RM132" s="2617"/>
      <c r="RN132" s="2617"/>
      <c r="RO132" s="2617"/>
      <c r="RP132" s="2617"/>
      <c r="RQ132" s="2617"/>
      <c r="RR132" s="2617"/>
      <c r="RS132" s="2617"/>
      <c r="RT132" s="2617"/>
      <c r="RU132" s="2617"/>
      <c r="RV132" s="2617"/>
      <c r="RW132" s="2617"/>
      <c r="RX132" s="2617"/>
      <c r="RY132" s="2617"/>
      <c r="RZ132" s="2617"/>
      <c r="SA132" s="2617"/>
      <c r="SB132" s="2617"/>
      <c r="SC132" s="2617"/>
      <c r="SD132" s="2617"/>
      <c r="SE132" s="2617"/>
      <c r="SF132" s="2617"/>
      <c r="SG132" s="2617"/>
      <c r="SH132" s="2617"/>
      <c r="SI132" s="2617"/>
      <c r="UM132" s="1754"/>
      <c r="UX132" s="265"/>
    </row>
    <row r="133" spans="34:570" ht="20.100000000000001" customHeight="1" x14ac:dyDescent="0.2">
      <c r="AH133" s="2617"/>
      <c r="AI133" s="2617"/>
      <c r="DR133" s="2617"/>
      <c r="DS133" s="2617"/>
      <c r="DT133" s="2617"/>
      <c r="DU133" s="2617"/>
      <c r="EW133" s="210"/>
      <c r="EX133" s="210"/>
      <c r="EY133" s="210"/>
      <c r="EZ133" s="210"/>
      <c r="FA133" s="210"/>
      <c r="FB133" s="210"/>
      <c r="FC133" s="210"/>
      <c r="FD133" s="210"/>
      <c r="FE133" s="210"/>
      <c r="IH133" s="1172"/>
      <c r="II133" s="1172"/>
      <c r="IJ133" s="185"/>
      <c r="IK133" s="372"/>
      <c r="IL133" s="372"/>
      <c r="IM133" s="372"/>
      <c r="IN133" s="372"/>
      <c r="IO133" s="372"/>
      <c r="IP133" s="372"/>
      <c r="IQ133" s="372"/>
      <c r="IR133" s="372"/>
      <c r="IS133" s="372"/>
      <c r="NV133" s="208"/>
      <c r="NW133" s="208"/>
      <c r="NX133" s="208"/>
      <c r="RF133" s="2617"/>
      <c r="RG133" s="2617"/>
      <c r="RH133" s="2617"/>
      <c r="RI133" s="2617"/>
      <c r="RJ133" s="2617"/>
      <c r="RK133" s="2617"/>
      <c r="RL133" s="2617"/>
      <c r="RM133" s="2617"/>
      <c r="RN133" s="2617"/>
      <c r="RO133" s="2617"/>
      <c r="RP133" s="2617"/>
      <c r="RQ133" s="2617"/>
      <c r="RR133" s="2617"/>
      <c r="RS133" s="2617"/>
      <c r="RT133" s="2617"/>
      <c r="RU133" s="2617"/>
      <c r="RV133" s="2617"/>
      <c r="RW133" s="2617"/>
      <c r="RX133" s="2617"/>
      <c r="RY133" s="2617"/>
      <c r="RZ133" s="2617"/>
      <c r="SA133" s="2617"/>
      <c r="SB133" s="2617"/>
      <c r="SC133" s="2617"/>
      <c r="SD133" s="2617"/>
      <c r="SE133" s="2617"/>
      <c r="SF133" s="2617"/>
      <c r="SG133" s="2617"/>
      <c r="SH133" s="2617"/>
      <c r="SI133" s="2617"/>
      <c r="UM133" s="1754"/>
      <c r="UX133" s="265"/>
    </row>
    <row r="134" spans="34:570" ht="20.100000000000001" customHeight="1" x14ac:dyDescent="0.2">
      <c r="AH134" s="2617"/>
      <c r="AI134" s="2617"/>
      <c r="DR134" s="2617"/>
      <c r="DS134" s="2617"/>
      <c r="DT134" s="2617"/>
      <c r="DU134" s="2617"/>
      <c r="ET134" s="354" t="s">
        <v>210</v>
      </c>
      <c r="EU134" s="185" t="s">
        <v>293</v>
      </c>
      <c r="EV134" s="185"/>
      <c r="EW134" s="2617"/>
      <c r="EX134" s="2617"/>
      <c r="EY134" s="2617"/>
      <c r="EZ134" s="2617"/>
      <c r="FA134" s="2617"/>
      <c r="FB134" s="2617"/>
      <c r="FC134" s="2617"/>
      <c r="FD134" s="2617"/>
      <c r="FE134" s="2617"/>
      <c r="FF134" s="2617"/>
      <c r="FG134" s="2617"/>
      <c r="FH134" s="2617"/>
      <c r="FI134" s="2617"/>
      <c r="FJ134" s="2617"/>
      <c r="FK134" s="2617"/>
      <c r="FL134" s="2617"/>
      <c r="FM134" s="2617"/>
      <c r="IH134" s="1172"/>
      <c r="II134" s="1172" t="str">
        <f>$II$116</f>
        <v>Justering</v>
      </c>
      <c r="IJ134" s="185"/>
      <c r="IK134" s="194" t="str">
        <f>_Calcs!$K$87</f>
        <v>Justeringer</v>
      </c>
      <c r="IL134" s="194" t="str">
        <f t="shared" ref="IL134:IS135" si="235">$IK134</f>
        <v>Justeringer</v>
      </c>
      <c r="IM134" s="194" t="str">
        <f t="shared" si="235"/>
        <v>Justeringer</v>
      </c>
      <c r="IN134" s="194" t="str">
        <f t="shared" si="235"/>
        <v>Justeringer</v>
      </c>
      <c r="IO134" s="194" t="str">
        <f t="shared" si="235"/>
        <v>Justeringer</v>
      </c>
      <c r="IP134" s="194" t="str">
        <f t="shared" si="235"/>
        <v>Justeringer</v>
      </c>
      <c r="IQ134" s="194" t="str">
        <f t="shared" si="235"/>
        <v>Justeringer</v>
      </c>
      <c r="IR134" s="194" t="str">
        <f t="shared" si="235"/>
        <v>Justeringer</v>
      </c>
      <c r="IS134" s="194" t="str">
        <f t="shared" si="235"/>
        <v>Justeringer</v>
      </c>
      <c r="NL134" s="207"/>
      <c r="NM134" s="207"/>
      <c r="NN134" s="207"/>
      <c r="NO134" s="207"/>
      <c r="NP134" s="207"/>
      <c r="NQ134" s="207"/>
      <c r="NR134" s="207"/>
      <c r="NS134" s="207"/>
      <c r="NT134" s="207"/>
      <c r="NU134" s="207"/>
      <c r="NV134" s="1275"/>
      <c r="NW134" s="1275"/>
      <c r="NX134" s="1275"/>
      <c r="QO134" s="3519" t="str">
        <f>Tunneldrift!$AD$137</f>
        <v>Stuff 1-1</v>
      </c>
      <c r="QP134" s="3519" t="str">
        <f>IF(OR($BB$28="12",$BB$28="13",$BB$28="14",$BB$28="24",$BB$28="26",$BB$28="28"),Tunneldrift!$AO$137,"")</f>
        <v/>
      </c>
      <c r="QQ134" s="3519" t="str">
        <f>IF(OR($BB$28="13",$BB$28="14",$BB$28="26",$BB$28="28"),Tunneldrift!$AZ$137,"")</f>
        <v/>
      </c>
      <c r="QR134" s="3519" t="str">
        <f>IF(OR($BB$28="14",$BB$28="28"),Tunneldrift!$BO$137,"")</f>
        <v/>
      </c>
      <c r="QS134" s="3519" t="str">
        <f>IF(OR($BB$28="22",$BB$28="24",$BB$28="26",$BB$28="28"),Tunneldrift!$AD$169,"")</f>
        <v/>
      </c>
      <c r="QT134" s="3519" t="str">
        <f>IF(OR($BB$28="24",$BB$28="26",$BB$28="28"),Tunneldrift!$AO$169,"")</f>
        <v/>
      </c>
      <c r="QU134" s="3519" t="str">
        <f>IF(OR($BB$28="26",$BB$28="28"),Tunneldrift!$AZ$169,"")</f>
        <v/>
      </c>
      <c r="QV134" s="3519" t="str">
        <f>IF(OR($BB$28="28"),Tunneldrift!$BO$169,"")</f>
        <v/>
      </c>
      <c r="QW134" s="3433" t="str">
        <f>Tunneldrift!$F$83</f>
        <v/>
      </c>
      <c r="RF134" s="2617"/>
      <c r="RG134" s="2617"/>
      <c r="RH134" s="2617"/>
      <c r="RI134" s="2617"/>
      <c r="RJ134" s="2617"/>
      <c r="RK134" s="2617"/>
      <c r="RL134" s="2617"/>
      <c r="RM134" s="2617"/>
      <c r="RN134" s="2617"/>
      <c r="RO134" s="2617"/>
      <c r="RP134" s="2617"/>
      <c r="RQ134" s="2617"/>
      <c r="RR134" s="2617"/>
      <c r="RS134" s="2617"/>
      <c r="RT134" s="2617"/>
      <c r="RU134" s="2617"/>
      <c r="RV134" s="2617"/>
      <c r="RW134" s="2617"/>
      <c r="RX134" s="2617"/>
      <c r="RY134" s="2617"/>
      <c r="RZ134" s="2617"/>
      <c r="SA134" s="2617"/>
      <c r="SB134" s="2617"/>
      <c r="SC134" s="2617"/>
      <c r="SD134" s="2617"/>
      <c r="SE134" s="2617"/>
      <c r="SF134" s="2617"/>
      <c r="SG134" s="2617"/>
      <c r="SH134" s="2617"/>
      <c r="SI134" s="2617"/>
      <c r="UM134" s="1754"/>
      <c r="UX134" s="265"/>
    </row>
    <row r="135" spans="34:570" ht="20.100000000000001" customHeight="1" x14ac:dyDescent="0.2">
      <c r="AH135" s="2617"/>
      <c r="AI135" s="2617"/>
      <c r="DR135" s="2617"/>
      <c r="DS135" s="2617"/>
      <c r="DT135" s="2617"/>
      <c r="DU135" s="2617"/>
      <c r="DW135" s="185" t="str">
        <f>outputs_foran[[#Headers],[Sonderboring]]</f>
        <v>Sonderboring</v>
      </c>
      <c r="DX135" s="185" t="str">
        <f>outputs_foran[[#Headers],[Kjerneboring]]</f>
        <v>Kjerneboring</v>
      </c>
      <c r="DY135" s="185" t="str">
        <f>outputs_foran[[#Headers],[Seismikk]]</f>
        <v>Seismikk</v>
      </c>
      <c r="DZ135" s="185" t="str">
        <f>outputs_foran[[#Headers],[sp_Rigg]]</f>
        <v>sp_Rigg</v>
      </c>
      <c r="EA135" s="185" t="str">
        <f>outputs_foran[[#Headers],[sp_Boring]]</f>
        <v>sp_Boring</v>
      </c>
      <c r="EB135" s="185" t="str">
        <f>outputs_foran[[#Headers],[Sp_Injeksjon]]</f>
        <v>Sp_Injeksjon</v>
      </c>
      <c r="EC135" s="185" t="str">
        <f>outputs_foran[[#Headers],[sp_Kontrollhull]]</f>
        <v>sp_Kontrollhull</v>
      </c>
      <c r="ED135" s="185" t="str">
        <f>outputs_foran[[#Headers],[sy_Rigg]]</f>
        <v>sy_Rigg</v>
      </c>
      <c r="EE135" s="185" t="str">
        <f>outputs_foran[[#Headers],[sy_Boring]]</f>
        <v>sy_Boring</v>
      </c>
      <c r="EF135" s="185" t="str">
        <f>outputs_foran[[#Headers],[sy_Injeksjon]]</f>
        <v>sy_Injeksjon</v>
      </c>
      <c r="EG135" s="185" t="str">
        <f>outputs_foran[[#Headers],[sy_Kontrollhull]]</f>
        <v>sy_Kontrollhull</v>
      </c>
      <c r="EH135" s="185" t="str">
        <f>outputs_foran[[#Headers],[total_tid]]</f>
        <v>total_tid</v>
      </c>
      <c r="EI135" s="185" t="str">
        <f>outputs_foran[[#Headers],[total_sonder]]</f>
        <v>total_sonder</v>
      </c>
      <c r="EJ135" s="185" t="str">
        <f>outputs_foran[[#Headers],[total_inj]]</f>
        <v>total_inj</v>
      </c>
      <c r="EK135" s="185" t="str">
        <f>outputs_foran[[#Headers],[total_tid_uke]]</f>
        <v>total_tid_uke</v>
      </c>
      <c r="ET135" s="354" t="s">
        <v>210</v>
      </c>
      <c r="EU135" s="185" t="s">
        <v>294</v>
      </c>
      <c r="EV135" s="185"/>
      <c r="EW135" s="2617"/>
      <c r="EX135" s="2617"/>
      <c r="EY135" s="2617"/>
      <c r="EZ135" s="2617"/>
      <c r="FA135" s="2617"/>
      <c r="FB135" s="2617"/>
      <c r="FC135" s="2617"/>
      <c r="FD135" s="2617"/>
      <c r="FE135" s="2617"/>
      <c r="FF135" s="2617"/>
      <c r="FG135" s="2617"/>
      <c r="FH135" s="2617"/>
      <c r="FI135" s="2617"/>
      <c r="FJ135" s="2617"/>
      <c r="FK135" s="2617"/>
      <c r="FL135" s="2617"/>
      <c r="FM135" s="2617"/>
      <c r="IH135" s="1172"/>
      <c r="II135" s="1172" t="s">
        <v>2705</v>
      </c>
      <c r="IJ135" s="185"/>
      <c r="IK135" s="451" t="str">
        <f>$M$77</f>
        <v>Krevende geologi / svakhetssoner</v>
      </c>
      <c r="IL135" s="451" t="str">
        <f t="shared" si="235"/>
        <v>Krevende geologi / svakhetssoner</v>
      </c>
      <c r="IM135" s="451" t="str">
        <f t="shared" si="235"/>
        <v>Krevende geologi / svakhetssoner</v>
      </c>
      <c r="IN135" s="451" t="str">
        <f t="shared" si="235"/>
        <v>Krevende geologi / svakhetssoner</v>
      </c>
      <c r="IO135" s="451" t="str">
        <f t="shared" si="235"/>
        <v>Krevende geologi / svakhetssoner</v>
      </c>
      <c r="IP135" s="451" t="str">
        <f t="shared" si="235"/>
        <v>Krevende geologi / svakhetssoner</v>
      </c>
      <c r="IQ135" s="451" t="str">
        <f t="shared" si="235"/>
        <v>Krevende geologi / svakhetssoner</v>
      </c>
      <c r="IR135" s="451" t="str">
        <f t="shared" si="235"/>
        <v>Krevende geologi / svakhetssoner</v>
      </c>
      <c r="IS135" s="451" t="str">
        <f t="shared" si="235"/>
        <v>Krevende geologi / svakhetssoner</v>
      </c>
      <c r="NN135" s="183" t="s">
        <v>550</v>
      </c>
      <c r="NV135" s="208"/>
      <c r="NW135" s="208"/>
      <c r="NX135" s="208"/>
      <c r="QN135" s="246" t="s">
        <v>387</v>
      </c>
      <c r="QO135" s="3519" t="str">
        <f>IF(OR($QO$132&gt;1,Tunneldrift!$AD$137=""),"Stuff 1-1",Tunneldrift!$AD$137)</f>
        <v>Stuff 1-1</v>
      </c>
      <c r="QP135" s="3519" t="str">
        <f>IF(OR($QP$132&gt;1,Tunneldrift!$AO$137=""),"Stuff 1-2",Tunneldrift!$AO$137)</f>
        <v>Stuff 1-2</v>
      </c>
      <c r="QQ135" s="3519" t="str">
        <f>IF(OR($QQ$132&gt;1,Tunneldrift!$AZ$137=""),"Stuff 1-3",Tunneldrift!$AZ$137)</f>
        <v>Stuff 1-3</v>
      </c>
      <c r="QR135" s="3519" t="str">
        <f>IF(OR($QR$132&gt;1,Tunneldrift!$BO$137=""),"Stuff 1-4",Tunneldrift!$BO$137)</f>
        <v>Stuff 1-4</v>
      </c>
      <c r="QS135" s="3519" t="str">
        <f>IF(OR($QS$132&gt;1,Tunneldrift!$AD$169=""),"Stuff 2-1",Tunneldrift!$AD$169)</f>
        <v>Stuff 2-1</v>
      </c>
      <c r="QT135" s="3519" t="str">
        <f>IF(OR($QT$132&gt;1,Tunneldrift!$AO$169=""),"Stuff 2-2",Tunneldrift!$AO$169)</f>
        <v>Stuff 2-2</v>
      </c>
      <c r="QU135" s="3519" t="str">
        <f>IF(OR($QU$132&gt;1,Tunneldrift!$AZ$169=""),"Stuff 2-3",Tunneldrift!$AZ$169)</f>
        <v>Stuff 2-3</v>
      </c>
      <c r="QV135" s="3519" t="str">
        <f>IF(OR($QV$132&gt;1,Tunneldrift!$BO$169=""),"Stuff 2-4",Tunneldrift!$BO$169)</f>
        <v>Stuff 2-4</v>
      </c>
      <c r="QW135" s="3520" t="str">
        <f>IF(QW132&gt;1,$K$90,QW134)</f>
        <v>Tverrslag</v>
      </c>
      <c r="RF135" s="2617"/>
      <c r="RG135" s="2617"/>
      <c r="RH135" s="2617"/>
      <c r="RI135" s="2617"/>
      <c r="RJ135" s="2617"/>
      <c r="RK135" s="2617"/>
      <c r="RL135" s="2617"/>
      <c r="RM135" s="2617"/>
      <c r="RN135" s="2617"/>
      <c r="RO135" s="2617"/>
      <c r="RP135" s="2617"/>
      <c r="RQ135" s="2617"/>
      <c r="RR135" s="2617"/>
      <c r="RS135" s="2617"/>
      <c r="RT135" s="2617"/>
      <c r="RU135" s="2617"/>
      <c r="RV135" s="2617"/>
      <c r="RW135" s="2617"/>
      <c r="RX135" s="2617"/>
      <c r="RY135" s="2617"/>
      <c r="RZ135" s="2617"/>
      <c r="SA135" s="2617"/>
      <c r="SB135" s="2617"/>
      <c r="SC135" s="2617"/>
      <c r="SD135" s="2617"/>
      <c r="SE135" s="2617"/>
      <c r="SF135" s="2617"/>
      <c r="SG135" s="2617"/>
      <c r="SH135" s="2617"/>
      <c r="SI135" s="2617"/>
      <c r="UM135" s="1754"/>
      <c r="UX135" s="265"/>
    </row>
    <row r="136" spans="34:570" ht="20.100000000000001" customHeight="1" x14ac:dyDescent="0.2">
      <c r="AH136" s="2617"/>
      <c r="AI136" s="2617"/>
      <c r="DR136" s="2617"/>
      <c r="DS136" s="2617"/>
      <c r="DT136" s="2617"/>
      <c r="DU136" s="2617"/>
      <c r="DW136" s="538">
        <f t="shared" ref="DW136:EK136" si="236">IF($BC$38=1,DW116,IF($BC$38=2,DW117))</f>
        <v>0</v>
      </c>
      <c r="DX136" s="538">
        <f t="shared" si="236"/>
        <v>0</v>
      </c>
      <c r="DY136" s="538">
        <f t="shared" si="236"/>
        <v>0</v>
      </c>
      <c r="DZ136" s="538">
        <f t="shared" si="236"/>
        <v>0</v>
      </c>
      <c r="EA136" s="538">
        <f t="shared" si="236"/>
        <v>0</v>
      </c>
      <c r="EB136" s="538">
        <f t="shared" si="236"/>
        <v>0</v>
      </c>
      <c r="EC136" s="538"/>
      <c r="ED136" s="538">
        <f t="shared" si="236"/>
        <v>0</v>
      </c>
      <c r="EE136" s="538">
        <f t="shared" si="236"/>
        <v>0</v>
      </c>
      <c r="EF136" s="538">
        <f t="shared" si="236"/>
        <v>0</v>
      </c>
      <c r="EG136" s="538"/>
      <c r="EH136" s="538">
        <f t="shared" si="236"/>
        <v>0</v>
      </c>
      <c r="EI136" s="538">
        <f t="shared" si="236"/>
        <v>0</v>
      </c>
      <c r="EJ136" s="538">
        <f t="shared" si="236"/>
        <v>0</v>
      </c>
      <c r="EK136" s="538">
        <f t="shared" si="236"/>
        <v>0</v>
      </c>
      <c r="EW136" s="2617"/>
      <c r="EX136" s="2617"/>
      <c r="EY136" s="2617"/>
      <c r="EZ136" s="2617"/>
      <c r="FA136" s="2617"/>
      <c r="FB136" s="2617"/>
      <c r="FC136" s="2617"/>
      <c r="FD136" s="2617"/>
      <c r="FE136" s="2617"/>
      <c r="FF136" s="2617"/>
      <c r="FG136" s="2617"/>
      <c r="FH136" s="2617"/>
      <c r="FI136" s="2617"/>
      <c r="FJ136" s="2617"/>
      <c r="FK136" s="2617"/>
      <c r="FL136" s="2617"/>
      <c r="FM136" s="2617"/>
      <c r="IH136" s="1172"/>
      <c r="II136" s="5998" t="s">
        <v>2717</v>
      </c>
      <c r="IJ136" s="185"/>
      <c r="IK136" s="194" t="str">
        <f>INDEX(utskrift_just[geo_svar],MATCH(IK$108,utskrift_just[position],0))</f>
        <v>Nei</v>
      </c>
      <c r="IL136" s="194" t="str">
        <f>INDEX(utskrift_just[geo_svar],MATCH(IL$108,utskrift_just[position],0))</f>
        <v>Nei</v>
      </c>
      <c r="IM136" s="194" t="str">
        <f>INDEX(utskrift_just[geo_svar],MATCH(IM$108,utskrift_just[position],0))</f>
        <v>Nei</v>
      </c>
      <c r="IN136" s="194" t="str">
        <f>INDEX(utskrift_just[geo_svar],MATCH(IN$108,utskrift_just[position],0))</f>
        <v>Nei</v>
      </c>
      <c r="IO136" s="194" t="str">
        <f>INDEX(utskrift_just[geo_svar],MATCH(IO$108,utskrift_just[position],0))</f>
        <v>Nei</v>
      </c>
      <c r="IP136" s="194" t="str">
        <f>INDEX(utskrift_just[geo_svar],MATCH(IP$108,utskrift_just[position],0))</f>
        <v>Nei</v>
      </c>
      <c r="IQ136" s="194" t="str">
        <f>INDEX(utskrift_just[geo_svar],MATCH(IQ$108,utskrift_just[position],0))</f>
        <v>Nei</v>
      </c>
      <c r="IR136" s="194" t="str">
        <f>INDEX(utskrift_just[geo_svar],MATCH(IR$108,utskrift_just[position],0))</f>
        <v>Nei</v>
      </c>
      <c r="IS136" s="194" t="str">
        <f>INDEX(utskrift_just[geo_svar],MATCH(IS$108,utskrift_just[position],0))</f>
        <v>Nei</v>
      </c>
      <c r="LJ136" s="5258" t="s">
        <v>2659</v>
      </c>
      <c r="LK136" s="5258"/>
      <c r="NL136" s="2617"/>
      <c r="NM136" s="2617"/>
      <c r="NN136" s="2617"/>
      <c r="NO136" s="2617"/>
      <c r="NV136" s="208"/>
      <c r="NW136" s="208"/>
      <c r="NX136" s="208"/>
      <c r="QN136" s="249" t="s">
        <v>416</v>
      </c>
      <c r="QO136" s="247" t="s">
        <v>398</v>
      </c>
      <c r="QP136" s="247" t="s">
        <v>399</v>
      </c>
      <c r="QQ136" s="247" t="s">
        <v>400</v>
      </c>
      <c r="QR136" s="247" t="s">
        <v>401</v>
      </c>
      <c r="QS136" s="247" t="s">
        <v>402</v>
      </c>
      <c r="QT136" s="247" t="s">
        <v>403</v>
      </c>
      <c r="QU136" s="247" t="s">
        <v>404</v>
      </c>
      <c r="QV136" s="315" t="s">
        <v>405</v>
      </c>
      <c r="QW136" s="185"/>
      <c r="RF136" s="2617"/>
      <c r="RG136" s="2617"/>
      <c r="RH136" s="2617"/>
      <c r="RI136" s="2617"/>
      <c r="RJ136" s="2617"/>
      <c r="RK136" s="2617"/>
      <c r="RL136" s="2617"/>
      <c r="RM136" s="2617"/>
      <c r="RN136" s="2617"/>
      <c r="RO136" s="2617"/>
      <c r="RP136" s="2617"/>
      <c r="RQ136" s="2617"/>
      <c r="RR136" s="2617"/>
      <c r="RS136" s="2617"/>
      <c r="RT136" s="2617"/>
      <c r="RU136" s="2617"/>
      <c r="RV136" s="2617"/>
      <c r="RW136" s="2617"/>
      <c r="RX136" s="2617"/>
      <c r="RY136" s="2617"/>
      <c r="RZ136" s="2617"/>
      <c r="SA136" s="2617"/>
      <c r="SB136" s="2617"/>
      <c r="SC136" s="2617"/>
      <c r="SD136" s="2617"/>
      <c r="SE136" s="2617"/>
      <c r="SF136" s="2617"/>
      <c r="SG136" s="2617"/>
      <c r="SH136" s="2617"/>
      <c r="SI136" s="2617"/>
      <c r="UM136" s="1754"/>
      <c r="UX136" s="265"/>
    </row>
    <row r="137" spans="34:570" ht="20.100000000000001" customHeight="1" x14ac:dyDescent="0.2">
      <c r="AH137" s="2617"/>
      <c r="AI137" s="2617"/>
      <c r="BB137" s="318" t="s">
        <v>110</v>
      </c>
      <c r="BC137" s="297"/>
      <c r="BD137" s="207"/>
      <c r="BE137" s="207"/>
      <c r="BF137" s="207"/>
      <c r="BG137" s="207"/>
      <c r="BH137" s="207"/>
      <c r="BI137" s="251"/>
      <c r="BJ137" s="207"/>
      <c r="BK137" s="207"/>
      <c r="BL137" s="207"/>
      <c r="BM137" s="207"/>
      <c r="BN137" s="207"/>
      <c r="BO137" s="207"/>
      <c r="DR137" s="2617"/>
      <c r="DS137" s="2617"/>
      <c r="DT137" s="2617"/>
      <c r="DU137" s="2617"/>
      <c r="ER137" s="1267"/>
      <c r="ES137" s="1268"/>
      <c r="ET137" s="1268"/>
      <c r="EU137" s="1268"/>
      <c r="EV137" s="1268"/>
      <c r="EW137" s="1268"/>
      <c r="IH137" s="1172"/>
      <c r="II137" s="5998" t="s">
        <v>2679</v>
      </c>
      <c r="IJ137" s="372"/>
      <c r="IK137" s="212" t="str">
        <f>IF(OR(INDEX(utskrift_just[geo_tid],MATCH(IK$108,utskrift_just[position],0))=1,INDEX(utskrift_just[geo_tid],MATCH(IK$108,utskrift_just[position],0))=-1),INDEX(utskrift_just[geo_tid],MATCH(IK$108,utskrift_just[position],0))&amp;" uke",IF(ISNUMBER(INDEX(utskrift_just[geo_tid],MATCH(IK$108,utskrift_just[position],0)))=TRUE,INDEX(utskrift_just[geo_tid],MATCH(IK$108,utskrift_just[position],0))&amp;" uker",""))</f>
        <v/>
      </c>
      <c r="IL137" s="212" t="str">
        <f>IF(OR(INDEX(utskrift_just[geo_tid],MATCH(IL$108,utskrift_just[position],0))=1,INDEX(utskrift_just[geo_tid],MATCH(IL$108,utskrift_just[position],0))=-1),INDEX(utskrift_just[geo_tid],MATCH(IL$108,utskrift_just[position],0))&amp;" uke",IF(ISNUMBER(INDEX(utskrift_just[geo_tid],MATCH(IL$108,utskrift_just[position],0)))=TRUE,INDEX(utskrift_just[geo_tid],MATCH(IL$108,utskrift_just[position],0))&amp;" uker",""))</f>
        <v/>
      </c>
      <c r="IM137" s="212" t="str">
        <f>IF(OR(INDEX(utskrift_just[geo_tid],MATCH(IM$108,utskrift_just[position],0))=1,INDEX(utskrift_just[geo_tid],MATCH(IM$108,utskrift_just[position],0))=-1),INDEX(utskrift_just[geo_tid],MATCH(IM$108,utskrift_just[position],0))&amp;" uke",IF(ISNUMBER(INDEX(utskrift_just[geo_tid],MATCH(IM$108,utskrift_just[position],0)))=TRUE,INDEX(utskrift_just[geo_tid],MATCH(IM$108,utskrift_just[position],0))&amp;" uker",""))</f>
        <v/>
      </c>
      <c r="IN137" s="212" t="str">
        <f>IF(OR(INDEX(utskrift_just[geo_tid],MATCH(IN$108,utskrift_just[position],0))=1,INDEX(utskrift_just[geo_tid],MATCH(IN$108,utskrift_just[position],0))=-1),INDEX(utskrift_just[geo_tid],MATCH(IN$108,utskrift_just[position],0))&amp;" uke",IF(ISNUMBER(INDEX(utskrift_just[geo_tid],MATCH(IN$108,utskrift_just[position],0)))=TRUE,INDEX(utskrift_just[geo_tid],MATCH(IN$108,utskrift_just[position],0))&amp;" uker",""))</f>
        <v/>
      </c>
      <c r="IO137" s="212" t="str">
        <f>IF(OR(INDEX(utskrift_just[geo_tid],MATCH(IO$108,utskrift_just[position],0))=1,INDEX(utskrift_just[geo_tid],MATCH(IO$108,utskrift_just[position],0))=-1),INDEX(utskrift_just[geo_tid],MATCH(IO$108,utskrift_just[position],0))&amp;" uke",IF(ISNUMBER(INDEX(utskrift_just[geo_tid],MATCH(IO$108,utskrift_just[position],0)))=TRUE,INDEX(utskrift_just[geo_tid],MATCH(IO$108,utskrift_just[position],0))&amp;" uker",""))</f>
        <v/>
      </c>
      <c r="IP137" s="212" t="str">
        <f>IF(OR(INDEX(utskrift_just[geo_tid],MATCH(IP$108,utskrift_just[position],0))=1,INDEX(utskrift_just[geo_tid],MATCH(IP$108,utskrift_just[position],0))=-1),INDEX(utskrift_just[geo_tid],MATCH(IP$108,utskrift_just[position],0))&amp;" uke",IF(ISNUMBER(INDEX(utskrift_just[geo_tid],MATCH(IP$108,utskrift_just[position],0)))=TRUE,INDEX(utskrift_just[geo_tid],MATCH(IP$108,utskrift_just[position],0))&amp;" uker",""))</f>
        <v/>
      </c>
      <c r="IQ137" s="212" t="str">
        <f>IF(OR(INDEX(utskrift_just[geo_tid],MATCH(IQ$108,utskrift_just[position],0))=1,INDEX(utskrift_just[geo_tid],MATCH(IQ$108,utskrift_just[position],0))=-1),INDEX(utskrift_just[geo_tid],MATCH(IQ$108,utskrift_just[position],0))&amp;" uke",IF(ISNUMBER(INDEX(utskrift_just[geo_tid],MATCH(IQ$108,utskrift_just[position],0)))=TRUE,INDEX(utskrift_just[geo_tid],MATCH(IQ$108,utskrift_just[position],0))&amp;" uker",""))</f>
        <v/>
      </c>
      <c r="IR137" s="212" t="str">
        <f>IF(OR(INDEX(utskrift_just[geo_tid],MATCH(IR$108,utskrift_just[position],0))=1,INDEX(utskrift_just[geo_tid],MATCH(IR$108,utskrift_just[position],0))=-1),INDEX(utskrift_just[geo_tid],MATCH(IR$108,utskrift_just[position],0))&amp;" uke",IF(ISNUMBER(INDEX(utskrift_just[geo_tid],MATCH(IR$108,utskrift_just[position],0)))=TRUE,INDEX(utskrift_just[geo_tid],MATCH(IR$108,utskrift_just[position],0))&amp;" uker",""))</f>
        <v/>
      </c>
      <c r="IS137" s="212" t="str">
        <f>IF(OR(INDEX(utskrift_just[geo_tid],MATCH(IS$108,utskrift_just[position],0))=1,INDEX(utskrift_just[geo_tid],MATCH(IS$108,utskrift_just[position],0))=-1),INDEX(utskrift_just[geo_tid],MATCH(IS$108,utskrift_just[position],0))&amp;" uke",IF(ISNUMBER(INDEX(utskrift_just[geo_tid],MATCH(IS$108,utskrift_just[position],0)))=TRUE,INDEX(utskrift_just[geo_tid],MATCH(IS$108,utskrift_just[position],0))&amp;" uker",""))</f>
        <v/>
      </c>
      <c r="NL137" s="2617"/>
      <c r="NM137" s="2617"/>
      <c r="NN137" s="2617"/>
      <c r="NO137" s="2617"/>
      <c r="NV137" s="208"/>
      <c r="NW137" s="208"/>
      <c r="NX137" s="208"/>
      <c r="QN137" s="235">
        <v>111</v>
      </c>
      <c r="QO137" s="340" t="e">
        <f t="shared" ref="QO137:QO144" si="237">$QO$260*$AJ$34</f>
        <v>#VALUE!</v>
      </c>
      <c r="QP137" s="340"/>
      <c r="QQ137" s="340"/>
      <c r="QR137" s="340"/>
      <c r="QS137" s="340"/>
      <c r="QT137" s="340"/>
      <c r="QU137" s="340"/>
      <c r="QV137" s="375"/>
      <c r="QW137" s="340"/>
      <c r="RF137" s="2617"/>
      <c r="RG137" s="2617"/>
      <c r="RH137" s="2617"/>
      <c r="RI137" s="2617"/>
      <c r="RJ137" s="2617"/>
      <c r="RK137" s="2617"/>
      <c r="RL137" s="2617"/>
      <c r="RM137" s="2617"/>
      <c r="RN137" s="2617"/>
      <c r="RO137" s="2617"/>
      <c r="RP137" s="2617"/>
      <c r="RQ137" s="2617"/>
      <c r="RR137" s="2617"/>
      <c r="RS137" s="2617"/>
      <c r="RT137" s="2617"/>
      <c r="RU137" s="2617"/>
      <c r="RV137" s="2617"/>
      <c r="RW137" s="2617"/>
      <c r="RX137" s="2617"/>
      <c r="RY137" s="2617"/>
      <c r="RZ137" s="2617"/>
      <c r="SA137" s="2617"/>
      <c r="SB137" s="2617"/>
      <c r="SC137" s="2617"/>
      <c r="SD137" s="2617"/>
      <c r="SE137" s="2617"/>
      <c r="SF137" s="2617"/>
      <c r="SG137" s="2617"/>
      <c r="SH137" s="2617"/>
      <c r="SI137" s="2617"/>
      <c r="UM137" s="1754"/>
      <c r="UX137" s="265"/>
    </row>
    <row r="138" spans="34:570" ht="20.100000000000001" customHeight="1" x14ac:dyDescent="0.2">
      <c r="AH138" s="2617"/>
      <c r="AI138" s="2617"/>
      <c r="DR138" s="2617"/>
      <c r="DS138" s="2617"/>
      <c r="DT138" s="2617"/>
      <c r="DU138" s="2617"/>
      <c r="IH138" s="1172"/>
      <c r="II138" s="5998" t="s">
        <v>138</v>
      </c>
      <c r="IJ138" s="372"/>
      <c r="IK138" s="194" t="str">
        <f>INDEX(utskrift_just[geo_beg],MATCH(IK$108,utskrift_just[position],0))</f>
        <v>-</v>
      </c>
      <c r="IL138" s="194" t="str">
        <f>INDEX(utskrift_just[geo_beg],MATCH(IL$108,utskrift_just[position],0))</f>
        <v>-</v>
      </c>
      <c r="IM138" s="194" t="str">
        <f>INDEX(utskrift_just[geo_beg],MATCH(IM$108,utskrift_just[position],0))</f>
        <v>-</v>
      </c>
      <c r="IN138" s="194" t="str">
        <f>INDEX(utskrift_just[geo_beg],MATCH(IN$108,utskrift_just[position],0))</f>
        <v>-</v>
      </c>
      <c r="IO138" s="194" t="str">
        <f>INDEX(utskrift_just[geo_beg],MATCH(IO$108,utskrift_just[position],0))</f>
        <v>-</v>
      </c>
      <c r="IP138" s="194" t="str">
        <f>INDEX(utskrift_just[geo_beg],MATCH(IP$108,utskrift_just[position],0))</f>
        <v>-</v>
      </c>
      <c r="IQ138" s="194" t="str">
        <f>INDEX(utskrift_just[geo_beg],MATCH(IQ$108,utskrift_just[position],0))</f>
        <v>-</v>
      </c>
      <c r="IR138" s="194" t="str">
        <f>INDEX(utskrift_just[geo_beg],MATCH(IR$108,utskrift_just[position],0))</f>
        <v>-</v>
      </c>
      <c r="IS138" s="194" t="str">
        <f>INDEX(utskrift_just[geo_beg],MATCH(IS$108,utskrift_just[position],0))</f>
        <v>-</v>
      </c>
      <c r="LJ138" s="433" t="s">
        <v>2347</v>
      </c>
      <c r="NL138" s="2617"/>
      <c r="NM138" s="2617"/>
      <c r="NN138" s="462" t="s">
        <v>257</v>
      </c>
      <c r="NO138" s="451" t="s">
        <v>283</v>
      </c>
      <c r="NP138" s="451" t="s">
        <v>284</v>
      </c>
      <c r="NQ138" s="194" t="s">
        <v>285</v>
      </c>
      <c r="NR138" s="372" t="s">
        <v>554</v>
      </c>
      <c r="NS138" s="372" t="s">
        <v>548</v>
      </c>
      <c r="NT138" s="372" t="s">
        <v>549</v>
      </c>
      <c r="NV138" s="208"/>
      <c r="NW138" s="208"/>
      <c r="NX138" s="208"/>
      <c r="QN138" s="235">
        <v>121</v>
      </c>
      <c r="QO138" s="340" t="e">
        <f t="shared" si="237"/>
        <v>#VALUE!</v>
      </c>
      <c r="QP138" s="340" t="e">
        <f>$QO$260*$AJ$35</f>
        <v>#VALUE!</v>
      </c>
      <c r="QQ138" s="340"/>
      <c r="QR138" s="340"/>
      <c r="QS138" s="340"/>
      <c r="QT138" s="340"/>
      <c r="QU138" s="340"/>
      <c r="QV138" s="375"/>
      <c r="QW138" s="340"/>
      <c r="RF138" s="2617"/>
      <c r="RG138" s="2617"/>
      <c r="RH138" s="2617"/>
      <c r="RI138" s="2617"/>
      <c r="RJ138" s="2617"/>
      <c r="RK138" s="2617"/>
      <c r="RL138" s="2617"/>
      <c r="RM138" s="2617"/>
      <c r="RN138" s="2617"/>
      <c r="RO138" s="2617"/>
      <c r="RP138" s="2617"/>
      <c r="RQ138" s="2617"/>
      <c r="RR138" s="2617"/>
      <c r="RS138" s="2617"/>
      <c r="RT138" s="2617"/>
      <c r="RU138" s="2617"/>
      <c r="RV138" s="2617"/>
      <c r="RW138" s="2617"/>
      <c r="RX138" s="2617"/>
      <c r="RY138" s="2617"/>
      <c r="RZ138" s="2617"/>
      <c r="SA138" s="2617"/>
      <c r="SB138" s="2617"/>
      <c r="SC138" s="2617"/>
      <c r="SD138" s="2617"/>
      <c r="SE138" s="2617"/>
      <c r="SF138" s="2617"/>
      <c r="SG138" s="2617"/>
      <c r="SH138" s="2617"/>
      <c r="SI138" s="2617"/>
      <c r="UM138" s="1754"/>
      <c r="UX138" s="265"/>
    </row>
    <row r="139" spans="34:570" ht="20.100000000000001" customHeight="1" x14ac:dyDescent="0.2">
      <c r="AH139" s="2617"/>
      <c r="AI139" s="2617"/>
      <c r="BB139" s="283" t="s">
        <v>343</v>
      </c>
      <c r="DR139" s="2617"/>
      <c r="DS139" s="2617"/>
      <c r="DT139" s="2617"/>
      <c r="DU139" s="2617"/>
      <c r="IG139" s="207"/>
      <c r="IH139" s="1172"/>
      <c r="II139" s="372"/>
      <c r="IJ139" s="372"/>
      <c r="IK139" s="372"/>
      <c r="IL139" s="372"/>
      <c r="IM139" s="372"/>
      <c r="IN139" s="372"/>
      <c r="IO139" s="372"/>
      <c r="IP139" s="372"/>
      <c r="IQ139" s="372"/>
      <c r="IR139" s="372"/>
      <c r="IS139" s="185"/>
      <c r="NL139" s="2617"/>
      <c r="NM139" s="2617"/>
      <c r="NN139" s="439" t="str">
        <f>$NO$67</f>
        <v>Stuff 1-1</v>
      </c>
      <c r="NO139" s="451">
        <v>1</v>
      </c>
      <c r="NP139" s="451">
        <f>IF($BC$34&gt;0,1,0)</f>
        <v>1</v>
      </c>
      <c r="NQ139" s="194">
        <f>INDEX(outputs_position[11],MATCH($BC$35,outputs_position[lopstuff],0))</f>
        <v>1</v>
      </c>
      <c r="NR139" s="185">
        <f>INDEX(inputs_checks[oppsum_forbe],MATCH($NQ139,inputs_checks[position],0))</f>
        <v>1</v>
      </c>
      <c r="NS139" s="185">
        <f>INDEX(inputs_checks[Forberedende arbeider],MATCH($NQ139,inputs_checks[position],0))</f>
        <v>1</v>
      </c>
      <c r="NT139" s="185">
        <f>IFERROR(INDEX(inputs_checks[Andre arbeider],MATCH($NQ139,inputs_checks[position],0)),0)</f>
        <v>0</v>
      </c>
      <c r="NV139" s="208"/>
      <c r="NW139" s="208"/>
      <c r="NX139" s="208"/>
      <c r="QN139" s="235">
        <v>131</v>
      </c>
      <c r="QO139" s="340" t="e">
        <f t="shared" si="237"/>
        <v>#VALUE!</v>
      </c>
      <c r="QP139" s="340" t="e">
        <f>$QO$260*$AJ$35</f>
        <v>#VALUE!</v>
      </c>
      <c r="QQ139" s="340" t="e">
        <f>$QO$260*$AJ$36</f>
        <v>#VALUE!</v>
      </c>
      <c r="QR139" s="340"/>
      <c r="QS139" s="340"/>
      <c r="QT139" s="340"/>
      <c r="QU139" s="340"/>
      <c r="QV139" s="375"/>
      <c r="QW139" s="340"/>
      <c r="RF139" s="2617"/>
      <c r="RG139" s="2617"/>
      <c r="RH139" s="2617"/>
      <c r="RI139" s="2617"/>
      <c r="RJ139" s="2617"/>
      <c r="RK139" s="2617"/>
      <c r="RL139" s="2617"/>
      <c r="RM139" s="2617"/>
      <c r="RN139" s="2617"/>
      <c r="RO139" s="2617"/>
      <c r="RP139" s="2617"/>
      <c r="RQ139" s="2617"/>
      <c r="RR139" s="2617"/>
      <c r="RS139" s="2617"/>
      <c r="RT139" s="2617"/>
      <c r="RU139" s="2617"/>
      <c r="RV139" s="2617"/>
      <c r="RW139" s="2617"/>
      <c r="RX139" s="2617"/>
      <c r="RY139" s="2617"/>
      <c r="RZ139" s="2617"/>
      <c r="SA139" s="2617"/>
      <c r="SB139" s="2617"/>
      <c r="SC139" s="2617"/>
      <c r="SD139" s="2617"/>
      <c r="SE139" s="2617"/>
      <c r="SF139" s="2617"/>
      <c r="SG139" s="2617"/>
      <c r="SH139" s="2617"/>
      <c r="SI139" s="2617"/>
      <c r="UM139" s="1754"/>
      <c r="UX139" s="265"/>
    </row>
    <row r="140" spans="34:570" ht="20.100000000000001" customHeight="1" x14ac:dyDescent="0.2">
      <c r="AH140" s="2617"/>
      <c r="AI140" s="2617"/>
      <c r="DQ140" s="207"/>
      <c r="DR140" s="2617"/>
      <c r="DS140" s="2617"/>
      <c r="DT140" s="2617"/>
      <c r="DU140" s="2617"/>
      <c r="ER140" s="2617"/>
      <c r="ES140" s="2617"/>
      <c r="ET140" s="2617"/>
      <c r="EU140" s="2617"/>
      <c r="EV140" s="2617"/>
      <c r="IG140" s="207"/>
      <c r="IH140" s="6000">
        <v>4</v>
      </c>
      <c r="II140" s="1172" t="str">
        <f>$II$112</f>
        <v>Header: stuff navn</v>
      </c>
      <c r="IJ140" s="185"/>
      <c r="IK140" s="194" t="str">
        <f>IK$109</f>
        <v>Stuff 1-1</v>
      </c>
      <c r="IL140" s="194" t="str">
        <f t="shared" ref="IL140:IS140" si="238">IL$109</f>
        <v/>
      </c>
      <c r="IM140" s="194" t="str">
        <f t="shared" si="238"/>
        <v/>
      </c>
      <c r="IN140" s="194" t="str">
        <f t="shared" si="238"/>
        <v/>
      </c>
      <c r="IO140" s="194" t="str">
        <f t="shared" si="238"/>
        <v/>
      </c>
      <c r="IP140" s="194" t="str">
        <f t="shared" si="238"/>
        <v/>
      </c>
      <c r="IQ140" s="194" t="str">
        <f t="shared" si="238"/>
        <v/>
      </c>
      <c r="IR140" s="194" t="str">
        <f t="shared" si="238"/>
        <v/>
      </c>
      <c r="IS140" s="194" t="str">
        <f t="shared" si="238"/>
        <v/>
      </c>
      <c r="LJ140" s="249" t="s">
        <v>2348</v>
      </c>
      <c r="LK140" s="247" t="s">
        <v>2346</v>
      </c>
      <c r="LL140" s="247" t="s">
        <v>2363</v>
      </c>
      <c r="LM140" s="254" t="s">
        <v>285</v>
      </c>
      <c r="NL140" s="2617"/>
      <c r="NM140" s="2617"/>
      <c r="NN140" s="439" t="str">
        <f>$NO$68</f>
        <v>Stuff 1-2</v>
      </c>
      <c r="NO140" s="451">
        <v>2</v>
      </c>
      <c r="NP140" s="451">
        <f>IF($BC$34&gt;1,1,0)</f>
        <v>0</v>
      </c>
      <c r="NQ140" s="194">
        <f>INDEX(outputs_position[12],MATCH($BC$35,outputs_position[lopstuff],0))</f>
        <v>0</v>
      </c>
      <c r="NR140" s="185" t="e">
        <f>INDEX(inputs_checks[oppsum_forbe],MATCH($NQ140,inputs_checks[position],0))</f>
        <v>#N/A</v>
      </c>
      <c r="NS140" s="185" t="e">
        <f>INDEX(inputs_checks[Forberedende arbeider],MATCH($NQ140,inputs_checks[position],0))</f>
        <v>#N/A</v>
      </c>
      <c r="NT140" s="185">
        <f>IFERROR(INDEX(inputs_checks[Andre arbeider],MATCH($NQ140,inputs_checks[position],0)),0)</f>
        <v>0</v>
      </c>
      <c r="NV140" s="208"/>
      <c r="NW140" s="208"/>
      <c r="NX140" s="208"/>
      <c r="QN140" s="235">
        <v>141</v>
      </c>
      <c r="QO140" s="340" t="e">
        <f t="shared" si="237"/>
        <v>#VALUE!</v>
      </c>
      <c r="QP140" s="340" t="e">
        <f>$QO$260*$AJ$35</f>
        <v>#VALUE!</v>
      </c>
      <c r="QQ140" s="340" t="e">
        <f>$QO$260*$AJ$36</f>
        <v>#VALUE!</v>
      </c>
      <c r="QR140" s="340" t="e">
        <f>$QO$260*$AJ$37</f>
        <v>#VALUE!</v>
      </c>
      <c r="QS140" s="340"/>
      <c r="QT140" s="340"/>
      <c r="QU140" s="340"/>
      <c r="QV140" s="375"/>
      <c r="QW140" s="340"/>
      <c r="QZ140" s="207"/>
      <c r="RF140" s="2617"/>
      <c r="RG140" s="2617"/>
      <c r="RH140" s="2617"/>
      <c r="RI140" s="2617"/>
      <c r="RJ140" s="2617"/>
      <c r="RK140" s="2617"/>
      <c r="RL140" s="2617"/>
      <c r="RM140" s="2617"/>
      <c r="RN140" s="2617"/>
      <c r="RO140" s="2617"/>
      <c r="RP140" s="2617"/>
      <c r="RQ140" s="2617"/>
      <c r="RR140" s="2617"/>
      <c r="RS140" s="2617"/>
      <c r="RT140" s="2617"/>
      <c r="RU140" s="2617"/>
      <c r="RV140" s="2617"/>
      <c r="RW140" s="2617"/>
      <c r="RX140" s="2617"/>
      <c r="RY140" s="2617"/>
      <c r="RZ140" s="2617"/>
      <c r="SA140" s="2617"/>
      <c r="SB140" s="2617"/>
      <c r="SC140" s="2617"/>
      <c r="SD140" s="2617"/>
      <c r="SE140" s="2617"/>
      <c r="SF140" s="2617"/>
      <c r="SG140" s="2617"/>
      <c r="SH140" s="2617"/>
      <c r="SI140" s="2617"/>
      <c r="UM140" s="1754"/>
      <c r="UX140" s="265"/>
    </row>
    <row r="141" spans="34:570" ht="20.100000000000001" customHeight="1" x14ac:dyDescent="0.2">
      <c r="AH141" s="2617"/>
      <c r="AI141" s="2617"/>
      <c r="BB141" s="296" t="s">
        <v>342</v>
      </c>
      <c r="DR141" s="2617"/>
      <c r="DS141" s="2617"/>
      <c r="DT141" s="2617"/>
      <c r="DU141" s="2617"/>
      <c r="DX141" s="207"/>
      <c r="DY141" s="207"/>
      <c r="DZ141" s="207"/>
      <c r="EA141" s="207"/>
      <c r="EB141" s="207"/>
      <c r="EC141" s="207"/>
      <c r="ED141" s="207"/>
      <c r="EE141" s="207"/>
      <c r="EF141" s="207"/>
      <c r="EG141" s="207"/>
      <c r="EH141" s="207"/>
      <c r="EI141" s="207"/>
      <c r="EJ141" s="207"/>
      <c r="EK141" s="207"/>
      <c r="EL141" s="207"/>
      <c r="ER141" s="2617"/>
      <c r="ES141" s="2617"/>
      <c r="ET141" s="2617"/>
      <c r="EU141" s="2617"/>
      <c r="EV141" s="2617"/>
      <c r="EW141" s="185" t="s">
        <v>101</v>
      </c>
      <c r="EX141" s="185" t="s">
        <v>363</v>
      </c>
      <c r="EY141" s="185" t="s">
        <v>364</v>
      </c>
      <c r="EZ141" s="185" t="s">
        <v>365</v>
      </c>
      <c r="FA141" s="185" t="s">
        <v>366</v>
      </c>
      <c r="FB141" s="185" t="s">
        <v>367</v>
      </c>
      <c r="FC141" s="185" t="s">
        <v>368</v>
      </c>
      <c r="FD141" s="185" t="s">
        <v>369</v>
      </c>
      <c r="FE141" s="185" t="s">
        <v>370</v>
      </c>
      <c r="FF141" s="185" t="s">
        <v>374</v>
      </c>
      <c r="FG141" s="185" t="s">
        <v>375</v>
      </c>
      <c r="FH141" s="185" t="s">
        <v>376</v>
      </c>
      <c r="FI141" s="185" t="s">
        <v>377</v>
      </c>
      <c r="FJ141" s="185" t="s">
        <v>378</v>
      </c>
      <c r="FK141" s="185" t="s">
        <v>379</v>
      </c>
      <c r="FL141" s="185" t="s">
        <v>380</v>
      </c>
      <c r="FM141" s="185" t="s">
        <v>564</v>
      </c>
      <c r="FN141" s="185" t="s">
        <v>1598</v>
      </c>
      <c r="FO141" s="185" t="str">
        <f>outputs_stab[[#Headers],[festebolter]]</f>
        <v>festebolter</v>
      </c>
      <c r="IH141" s="1172"/>
      <c r="II141" s="1172" t="str">
        <f>$II$113</f>
        <v>Side nummer</v>
      </c>
      <c r="IJ141" s="185"/>
      <c r="IK141" s="194" t="str">
        <f>"Side "&amp;$IH140&amp;" av "&amp;_Calcs!$II$100</f>
        <v>Side 4 av 9</v>
      </c>
      <c r="IL141" s="194" t="str">
        <f t="shared" ref="IL141:IS141" si="239">$IK141</f>
        <v>Side 4 av 9</v>
      </c>
      <c r="IM141" s="194" t="str">
        <f t="shared" si="239"/>
        <v>Side 4 av 9</v>
      </c>
      <c r="IN141" s="194" t="str">
        <f t="shared" si="239"/>
        <v>Side 4 av 9</v>
      </c>
      <c r="IO141" s="194" t="str">
        <f t="shared" si="239"/>
        <v>Side 4 av 9</v>
      </c>
      <c r="IP141" s="194" t="str">
        <f t="shared" si="239"/>
        <v>Side 4 av 9</v>
      </c>
      <c r="IQ141" s="194" t="str">
        <f t="shared" si="239"/>
        <v>Side 4 av 9</v>
      </c>
      <c r="IR141" s="194" t="str">
        <f t="shared" si="239"/>
        <v>Side 4 av 9</v>
      </c>
      <c r="IS141" s="194" t="str">
        <f t="shared" si="239"/>
        <v>Side 4 av 9</v>
      </c>
      <c r="LJ141" s="439" t="str">
        <f t="shared" ref="LJ141:LJ148" si="240">BB49</f>
        <v>Stuff 1-1</v>
      </c>
      <c r="LK141" s="538">
        <f t="shared" ref="LK141:LK148" si="241">IF(AND($D$11=2,$BC$38=1),LC85,IF(AND($D$11=2,$BC$38=2),LC94,IF($D$11=1,LC103)))</f>
        <v>1.3</v>
      </c>
      <c r="LL141" s="1829">
        <f t="shared" ref="LL141:LL148" si="242">IF(AND($D$11=2,$BC$38=1),PV215,IF(AND($D$11=2,$BC$38=2),PV206,IF($D$11=1,PV224)))</f>
        <v>33</v>
      </c>
      <c r="LM141" s="194">
        <f>INDEX(outputs_position[11],MATCH($BC$35,outputs_position[lopstuff],0))</f>
        <v>1</v>
      </c>
      <c r="NL141" s="2617"/>
      <c r="NM141" s="2617"/>
      <c r="NN141" s="439" t="str">
        <f>$NO$69</f>
        <v>Stuff 1-3</v>
      </c>
      <c r="NO141" s="451">
        <v>3</v>
      </c>
      <c r="NP141" s="451">
        <f>IF($BC$34&gt;2,1,0)</f>
        <v>0</v>
      </c>
      <c r="NQ141" s="194">
        <f>INDEX(outputs_position[13],MATCH($BC$35,outputs_position[lopstuff],0))</f>
        <v>0</v>
      </c>
      <c r="NR141" s="185" t="e">
        <f>INDEX(inputs_checks[oppsum_forbe],MATCH($NQ141,inputs_checks[position],0))</f>
        <v>#N/A</v>
      </c>
      <c r="NS141" s="185" t="e">
        <f>INDEX(inputs_checks[Forberedende arbeider],MATCH($NQ141,inputs_checks[position],0))</f>
        <v>#N/A</v>
      </c>
      <c r="NT141" s="185">
        <f>IFERROR(INDEX(inputs_checks[Andre arbeider],MATCH($NQ141,inputs_checks[position],0)),0)</f>
        <v>0</v>
      </c>
      <c r="NV141" s="208"/>
      <c r="NW141" s="208"/>
      <c r="NX141" s="208"/>
      <c r="QN141" s="235">
        <v>221</v>
      </c>
      <c r="QO141" s="340" t="e">
        <f t="shared" si="237"/>
        <v>#VALUE!</v>
      </c>
      <c r="QP141" s="340"/>
      <c r="QQ141" s="340"/>
      <c r="QR141" s="340"/>
      <c r="QS141" s="340" t="e">
        <f>$QP$260*$AJ$38</f>
        <v>#VALUE!</v>
      </c>
      <c r="QT141" s="340"/>
      <c r="QU141" s="340"/>
      <c r="QV141" s="375"/>
      <c r="QW141" s="340"/>
      <c r="RF141" s="2617"/>
      <c r="RG141" s="2617"/>
      <c r="RH141" s="2617"/>
      <c r="RI141" s="2617"/>
      <c r="RJ141" s="2617"/>
      <c r="RK141" s="2617"/>
      <c r="RL141" s="2617"/>
      <c r="RM141" s="2617"/>
      <c r="RN141" s="2617"/>
      <c r="RO141" s="2617"/>
      <c r="RP141" s="2617"/>
      <c r="RQ141" s="2617"/>
      <c r="RR141" s="2617"/>
      <c r="RS141" s="2617"/>
      <c r="RT141" s="2617"/>
      <c r="RU141" s="2617"/>
      <c r="RV141" s="2617"/>
      <c r="RW141" s="2617"/>
      <c r="RX141" s="2617"/>
      <c r="RY141" s="2617"/>
      <c r="RZ141" s="2617"/>
      <c r="SA141" s="2617"/>
      <c r="SB141" s="2617"/>
      <c r="SC141" s="2617"/>
      <c r="SD141" s="2617"/>
      <c r="SE141" s="2617"/>
      <c r="SF141" s="2617"/>
      <c r="SG141" s="2617"/>
      <c r="SH141" s="2617"/>
      <c r="SI141" s="2617"/>
      <c r="UM141" s="1754"/>
      <c r="UX141" s="265"/>
    </row>
    <row r="142" spans="34:570" ht="20.100000000000001" customHeight="1" x14ac:dyDescent="0.2">
      <c r="AH142" s="2617"/>
      <c r="AI142" s="2617"/>
      <c r="BB142" s="295" t="s">
        <v>340</v>
      </c>
      <c r="BC142" s="295">
        <v>1</v>
      </c>
      <c r="BD142" s="295">
        <v>2</v>
      </c>
      <c r="BE142" s="295">
        <v>3</v>
      </c>
      <c r="BF142" s="295">
        <v>4</v>
      </c>
      <c r="BG142" s="295">
        <v>5</v>
      </c>
      <c r="BH142" s="295">
        <v>6</v>
      </c>
      <c r="BI142" s="295">
        <v>7</v>
      </c>
      <c r="BJ142" s="295">
        <v>8</v>
      </c>
      <c r="BK142" s="295">
        <v>9</v>
      </c>
      <c r="DR142" s="2617"/>
      <c r="DS142" s="2617"/>
      <c r="DT142" s="2617"/>
      <c r="DU142" s="2617"/>
      <c r="ER142" s="2617"/>
      <c r="ES142" s="2617"/>
      <c r="ET142" s="2617"/>
      <c r="EU142" s="2617"/>
      <c r="EV142" s="2617"/>
      <c r="EW142" s="241">
        <f t="shared" ref="EW142:FO142" si="243">IF($BC$38=1,EW131,IF($BC$38=2,EW132))</f>
        <v>0</v>
      </c>
      <c r="EX142" s="241">
        <f t="shared" si="243"/>
        <v>0</v>
      </c>
      <c r="EY142" s="241">
        <f t="shared" si="243"/>
        <v>0</v>
      </c>
      <c r="EZ142" s="241">
        <f t="shared" si="243"/>
        <v>0</v>
      </c>
      <c r="FA142" s="241">
        <f t="shared" si="243"/>
        <v>0</v>
      </c>
      <c r="FB142" s="241">
        <f t="shared" si="243"/>
        <v>0</v>
      </c>
      <c r="FC142" s="241">
        <f t="shared" si="243"/>
        <v>0</v>
      </c>
      <c r="FD142" s="241">
        <f t="shared" si="243"/>
        <v>0</v>
      </c>
      <c r="FE142" s="241">
        <f t="shared" si="243"/>
        <v>0</v>
      </c>
      <c r="FF142" s="241">
        <f t="shared" si="243"/>
        <v>0</v>
      </c>
      <c r="FG142" s="241">
        <f t="shared" si="243"/>
        <v>0</v>
      </c>
      <c r="FH142" s="241">
        <f t="shared" si="243"/>
        <v>0</v>
      </c>
      <c r="FI142" s="241">
        <f t="shared" si="243"/>
        <v>0</v>
      </c>
      <c r="FJ142" s="241">
        <f t="shared" si="243"/>
        <v>0</v>
      </c>
      <c r="FK142" s="241">
        <f t="shared" si="243"/>
        <v>0</v>
      </c>
      <c r="FL142" s="241">
        <f t="shared" si="243"/>
        <v>0</v>
      </c>
      <c r="FM142" s="241">
        <f t="shared" si="243"/>
        <v>0</v>
      </c>
      <c r="FN142" s="241">
        <f t="shared" si="243"/>
        <v>0</v>
      </c>
      <c r="FO142" s="241">
        <f t="shared" si="243"/>
        <v>0</v>
      </c>
      <c r="IH142" s="1172"/>
      <c r="II142" s="1172"/>
      <c r="IJ142" s="185"/>
      <c r="IK142" s="372"/>
      <c r="IL142" s="372"/>
      <c r="IM142" s="372"/>
      <c r="IN142" s="372"/>
      <c r="IO142" s="372"/>
      <c r="IP142" s="372"/>
      <c r="IQ142" s="372"/>
      <c r="IR142" s="372"/>
      <c r="IS142" s="372"/>
      <c r="LJ142" s="439" t="str">
        <f t="shared" si="240"/>
        <v>Stuff 1-2</v>
      </c>
      <c r="LK142" s="538">
        <f t="shared" si="241"/>
        <v>1.3</v>
      </c>
      <c r="LL142" s="1829" t="e">
        <f t="shared" si="242"/>
        <v>#N/A</v>
      </c>
      <c r="LM142" s="194">
        <f>INDEX(outputs_position[12],MATCH($BC$35,outputs_position[lopstuff],0))</f>
        <v>0</v>
      </c>
      <c r="NL142" s="2617"/>
      <c r="NM142" s="2617"/>
      <c r="NN142" s="439" t="str">
        <f>$NO$70</f>
        <v>Stuff 1-4</v>
      </c>
      <c r="NO142" s="451">
        <v>4</v>
      </c>
      <c r="NP142" s="451">
        <f>IF($BC$34&gt;3,1,0)</f>
        <v>0</v>
      </c>
      <c r="NQ142" s="194">
        <f>INDEX(outputs_position[14],MATCH($BC$35,outputs_position[lopstuff],0))</f>
        <v>0</v>
      </c>
      <c r="NR142" s="185" t="e">
        <f>INDEX(inputs_checks[oppsum_forbe],MATCH($NQ142,inputs_checks[position],0))</f>
        <v>#N/A</v>
      </c>
      <c r="NS142" s="185" t="e">
        <f>INDEX(inputs_checks[Forberedende arbeider],MATCH($NQ142,inputs_checks[position],0))</f>
        <v>#N/A</v>
      </c>
      <c r="NT142" s="185">
        <f>IFERROR(INDEX(inputs_checks[Andre arbeider],MATCH($NQ142,inputs_checks[position],0)),0)</f>
        <v>0</v>
      </c>
      <c r="NV142" s="208"/>
      <c r="NW142" s="208"/>
      <c r="NX142" s="208"/>
      <c r="QN142" s="235">
        <v>241</v>
      </c>
      <c r="QO142" s="340" t="e">
        <f t="shared" si="237"/>
        <v>#VALUE!</v>
      </c>
      <c r="QP142" s="340" t="e">
        <f>$QO$260*$AJ$35</f>
        <v>#VALUE!</v>
      </c>
      <c r="QQ142" s="340"/>
      <c r="QR142" s="185"/>
      <c r="QS142" s="340" t="e">
        <f>$QP$260*$AJ$38</f>
        <v>#VALUE!</v>
      </c>
      <c r="QT142" s="340" t="e">
        <f>$QP$260*$AJ$39</f>
        <v>#VALUE!</v>
      </c>
      <c r="QU142" s="185"/>
      <c r="QV142" s="193"/>
      <c r="QW142" s="185"/>
      <c r="RB142" s="207"/>
      <c r="RC142" s="207"/>
      <c r="RD142" s="207"/>
      <c r="RE142" s="207"/>
      <c r="RF142" s="2617"/>
      <c r="RG142" s="2617"/>
      <c r="RH142" s="2617"/>
      <c r="RI142" s="2617"/>
      <c r="RJ142" s="2617"/>
      <c r="RK142" s="2617"/>
      <c r="RL142" s="2617"/>
      <c r="RM142" s="2617"/>
      <c r="RN142" s="2617"/>
      <c r="RO142" s="2617"/>
      <c r="RP142" s="2617"/>
      <c r="RQ142" s="2617"/>
      <c r="RR142" s="2617"/>
      <c r="RS142" s="2617"/>
      <c r="RT142" s="2617"/>
      <c r="RU142" s="2617"/>
      <c r="RV142" s="2617"/>
      <c r="RW142" s="2617"/>
      <c r="RX142" s="2617"/>
      <c r="RY142" s="2617"/>
      <c r="RZ142" s="2617"/>
      <c r="SA142" s="2617"/>
      <c r="SB142" s="2617"/>
      <c r="SC142" s="2617"/>
      <c r="SD142" s="2617"/>
      <c r="SE142" s="2617"/>
      <c r="SF142" s="2617"/>
      <c r="SG142" s="2617"/>
      <c r="SH142" s="2617"/>
      <c r="SI142" s="2617"/>
      <c r="UM142" s="1754"/>
      <c r="UX142" s="265"/>
    </row>
    <row r="143" spans="34:570" ht="20.100000000000001" customHeight="1" x14ac:dyDescent="0.2">
      <c r="AH143" s="2617"/>
      <c r="AI143" s="2617"/>
      <c r="BB143" s="206" t="s">
        <v>287</v>
      </c>
      <c r="BC143" s="211">
        <f>IFERROR((INDEX(outputs_spreng[Redusertsalvelengdeogtodelttverrsnitt],MATCH(BC$124,outputs_spreng[Position],0))),0)</f>
        <v>0</v>
      </c>
      <c r="BD143" s="211">
        <f>IFERROR((INDEX(outputs_spreng[Redusertsalvelengdeogtodelttverrsnitt],MATCH(BD$124,outputs_spreng[Position],0))),0)</f>
        <v>0</v>
      </c>
      <c r="BE143" s="211">
        <f>IFERROR((INDEX(outputs_spreng[Redusertsalvelengdeogtodelttverrsnitt],MATCH(BE$124,outputs_spreng[Position],0))),0)</f>
        <v>0</v>
      </c>
      <c r="BF143" s="211">
        <f>IFERROR((INDEX(outputs_spreng[Redusertsalvelengdeogtodelttverrsnitt],MATCH(BF$124,outputs_spreng[Position],0))),0)</f>
        <v>0</v>
      </c>
      <c r="BG143" s="211">
        <f>IFERROR((INDEX(outputs_spreng[Redusertsalvelengdeogtodelttverrsnitt],MATCH(BG$124,outputs_spreng[Position],0))),0)</f>
        <v>0</v>
      </c>
      <c r="BH143" s="211">
        <f>IFERROR((INDEX(outputs_spreng[Redusertsalvelengdeogtodelttverrsnitt],MATCH(BH$124,outputs_spreng[Position],0))),0)</f>
        <v>0</v>
      </c>
      <c r="BI143" s="211">
        <f>IFERROR((INDEX(outputs_spreng[Redusertsalvelengdeogtodelttverrsnitt],MATCH(BI$124,outputs_spreng[Position],0))),0)</f>
        <v>0</v>
      </c>
      <c r="BJ143" s="211">
        <f>IFERROR((INDEX(outputs_spreng[Redusertsalvelengdeogtodelttverrsnitt],MATCH(BJ$124,outputs_spreng[Position],0))),0)</f>
        <v>0</v>
      </c>
      <c r="BK143" s="211">
        <f>IFERROR((INDEX(outputs_spreng[Redusertsalvelengdeogtodelttverrsnitt],MATCH(BK$124,outputs_spreng[Position],0))),0)</f>
        <v>0</v>
      </c>
      <c r="DR143" s="1205" t="s">
        <v>687</v>
      </c>
      <c r="DS143" s="836"/>
      <c r="DT143" s="836"/>
      <c r="DU143" s="836"/>
      <c r="DV143" s="836"/>
      <c r="ER143" s="2617"/>
      <c r="ES143" s="2617"/>
      <c r="ET143" s="2617"/>
      <c r="EU143" s="2617"/>
      <c r="EV143" s="2617"/>
      <c r="IH143" s="1172"/>
      <c r="II143" s="1172" t="str">
        <f>$II$116</f>
        <v>Justering</v>
      </c>
      <c r="IJ143" s="185"/>
      <c r="IK143" s="194" t="str">
        <f>_Calcs!$K$87</f>
        <v>Justeringer</v>
      </c>
      <c r="IL143" s="194" t="str">
        <f t="shared" ref="IL143:IS144" si="244">$IK143</f>
        <v>Justeringer</v>
      </c>
      <c r="IM143" s="194" t="str">
        <f t="shared" si="244"/>
        <v>Justeringer</v>
      </c>
      <c r="IN143" s="194" t="str">
        <f t="shared" si="244"/>
        <v>Justeringer</v>
      </c>
      <c r="IO143" s="194" t="str">
        <f t="shared" si="244"/>
        <v>Justeringer</v>
      </c>
      <c r="IP143" s="194" t="str">
        <f t="shared" si="244"/>
        <v>Justeringer</v>
      </c>
      <c r="IQ143" s="194" t="str">
        <f t="shared" si="244"/>
        <v>Justeringer</v>
      </c>
      <c r="IR143" s="194" t="str">
        <f t="shared" si="244"/>
        <v>Justeringer</v>
      </c>
      <c r="IS143" s="194" t="str">
        <f t="shared" si="244"/>
        <v>Justeringer</v>
      </c>
      <c r="LJ143" s="439" t="str">
        <f t="shared" si="240"/>
        <v>Stuff 1-3</v>
      </c>
      <c r="LK143" s="538">
        <f t="shared" si="241"/>
        <v>1.3</v>
      </c>
      <c r="LL143" s="1829" t="e">
        <f t="shared" si="242"/>
        <v>#N/A</v>
      </c>
      <c r="LM143" s="194">
        <f>INDEX(outputs_position[13],MATCH($BC$35,outputs_position[lopstuff],0))</f>
        <v>0</v>
      </c>
      <c r="NL143" s="2617"/>
      <c r="NM143" s="2617"/>
      <c r="NN143" s="439" t="str">
        <f>$NO$71</f>
        <v>Stuff 2-1</v>
      </c>
      <c r="NO143" s="451">
        <v>5</v>
      </c>
      <c r="NP143" s="451">
        <f>IF($BC$34&gt;4,1,0)</f>
        <v>0</v>
      </c>
      <c r="NQ143" s="194">
        <f>INDEX(outputs_position[21],MATCH($BC$35,outputs_position[lopstuff],0))</f>
        <v>0</v>
      </c>
      <c r="NR143" s="185" t="e">
        <f>INDEX(inputs_checks[oppsum_forbe],MATCH($NQ143,inputs_checks[position],0))</f>
        <v>#N/A</v>
      </c>
      <c r="NS143" s="185" t="e">
        <f>INDEX(inputs_checks[Forberedende arbeider],MATCH($NQ143,inputs_checks[position],0))</f>
        <v>#N/A</v>
      </c>
      <c r="NT143" s="185">
        <f>IFERROR(INDEX(inputs_checks[Andre arbeider],MATCH($NQ143,inputs_checks[position],0)),0)</f>
        <v>0</v>
      </c>
      <c r="NV143" s="208"/>
      <c r="NW143" s="208"/>
      <c r="NX143" s="208"/>
      <c r="QN143" s="235">
        <v>261</v>
      </c>
      <c r="QO143" s="340" t="e">
        <f t="shared" si="237"/>
        <v>#VALUE!</v>
      </c>
      <c r="QP143" s="340" t="e">
        <f>$QO$260*$AJ$35</f>
        <v>#VALUE!</v>
      </c>
      <c r="QQ143" s="340" t="e">
        <f>$QO$260*$AJ$36</f>
        <v>#VALUE!</v>
      </c>
      <c r="QR143" s="185"/>
      <c r="QS143" s="340" t="e">
        <f>$QP$260*$AJ$38</f>
        <v>#VALUE!</v>
      </c>
      <c r="QT143" s="340" t="e">
        <f>$QP$260*$AJ$39</f>
        <v>#VALUE!</v>
      </c>
      <c r="QU143" s="340" t="e">
        <f>$QP$260*$AJ$40</f>
        <v>#VALUE!</v>
      </c>
      <c r="QV143" s="193"/>
      <c r="QW143" s="185"/>
      <c r="RF143" s="2617"/>
      <c r="RG143" s="2617"/>
      <c r="RH143" s="2617"/>
      <c r="RI143" s="2617"/>
      <c r="RJ143" s="2617"/>
      <c r="RK143" s="2617"/>
      <c r="RL143" s="2617"/>
      <c r="RM143" s="2617"/>
      <c r="RN143" s="2617"/>
      <c r="RO143" s="2617"/>
      <c r="RP143" s="2617"/>
      <c r="RQ143" s="2617"/>
      <c r="RR143" s="2617"/>
      <c r="RS143" s="2617"/>
      <c r="RT143" s="2617"/>
      <c r="RU143" s="2617"/>
      <c r="RV143" s="2617"/>
      <c r="RW143" s="2617"/>
      <c r="RX143" s="2617"/>
      <c r="RY143" s="2617"/>
      <c r="RZ143" s="2617"/>
      <c r="SA143" s="2617"/>
      <c r="SB143" s="2617"/>
      <c r="SC143" s="2617"/>
      <c r="SD143" s="2617"/>
      <c r="SE143" s="2617"/>
      <c r="SF143" s="2617"/>
      <c r="SG143" s="2617"/>
      <c r="SH143" s="2617"/>
      <c r="SI143" s="2617"/>
      <c r="UM143" s="1754"/>
      <c r="UX143" s="265"/>
    </row>
    <row r="144" spans="34:570" ht="20.100000000000001" customHeight="1" x14ac:dyDescent="0.2">
      <c r="AH144" s="2617"/>
      <c r="AI144" s="2617"/>
      <c r="BB144" s="206" t="s">
        <v>310</v>
      </c>
      <c r="BC144" s="211" t="str">
        <f>IFERROR((INDEX(outputs_spreng[Name],MATCH(BC$124,outputs_spreng[Position],0))),0)</f>
        <v>Stuff 1-1</v>
      </c>
      <c r="BD144" s="211">
        <f>IFERROR((INDEX(outputs_spreng[Name],MATCH(BD$124,outputs_spreng[Position],0))),0)</f>
        <v>0</v>
      </c>
      <c r="BE144" s="211">
        <f>IFERROR((INDEX(outputs_spreng[Name],MATCH(BE$124,outputs_spreng[Position],0))),0)</f>
        <v>0</v>
      </c>
      <c r="BF144" s="211">
        <f>IFERROR((INDEX(outputs_spreng[Name],MATCH(BF$124,outputs_spreng[Position],0))),0)</f>
        <v>0</v>
      </c>
      <c r="BG144" s="211">
        <f>IFERROR((INDEX(outputs_spreng[Name],MATCH(BG$124,outputs_spreng[Position],0))),0)</f>
        <v>0</v>
      </c>
      <c r="BH144" s="211">
        <f>IFERROR((INDEX(outputs_spreng[Name],MATCH(BH$124,outputs_spreng[Position],0))),0)</f>
        <v>0</v>
      </c>
      <c r="BI144" s="211">
        <f>IFERROR((INDEX(outputs_spreng[Name],MATCH(BI$124,outputs_spreng[Position],0))),0)</f>
        <v>0</v>
      </c>
      <c r="BJ144" s="211">
        <f>IFERROR((INDEX(outputs_spreng[Name],MATCH(BJ$124,outputs_spreng[Position],0))),0)</f>
        <v>0</v>
      </c>
      <c r="BK144" s="211">
        <f>IFERROR((INDEX(outputs_spreng[Name],MATCH(BK$124,outputs_spreng[Position],0))),0)</f>
        <v>0</v>
      </c>
      <c r="ER144" s="2617"/>
      <c r="ES144" s="2617"/>
      <c r="ET144" s="2617"/>
      <c r="EU144" s="2617"/>
      <c r="EV144" s="2617"/>
      <c r="IH144" s="1172"/>
      <c r="II144" s="1172" t="s">
        <v>2705</v>
      </c>
      <c r="IJ144" s="185"/>
      <c r="IK144" s="451" t="str">
        <f>_Calcs!$L$78</f>
        <v>Stor stigning eller synk</v>
      </c>
      <c r="IL144" s="451" t="str">
        <f t="shared" si="244"/>
        <v>Stor stigning eller synk</v>
      </c>
      <c r="IM144" s="451" t="str">
        <f t="shared" si="244"/>
        <v>Stor stigning eller synk</v>
      </c>
      <c r="IN144" s="451" t="str">
        <f t="shared" si="244"/>
        <v>Stor stigning eller synk</v>
      </c>
      <c r="IO144" s="451" t="str">
        <f t="shared" si="244"/>
        <v>Stor stigning eller synk</v>
      </c>
      <c r="IP144" s="451" t="str">
        <f t="shared" si="244"/>
        <v>Stor stigning eller synk</v>
      </c>
      <c r="IQ144" s="451" t="str">
        <f t="shared" si="244"/>
        <v>Stor stigning eller synk</v>
      </c>
      <c r="IR144" s="451" t="str">
        <f t="shared" si="244"/>
        <v>Stor stigning eller synk</v>
      </c>
      <c r="IS144" s="451" t="str">
        <f t="shared" si="244"/>
        <v>Stor stigning eller synk</v>
      </c>
      <c r="LJ144" s="439" t="str">
        <f t="shared" si="240"/>
        <v>Stuff 1-4</v>
      </c>
      <c r="LK144" s="538">
        <f t="shared" si="241"/>
        <v>1.3</v>
      </c>
      <c r="LL144" s="1829" t="e">
        <f t="shared" si="242"/>
        <v>#N/A</v>
      </c>
      <c r="LM144" s="194">
        <f>INDEX(outputs_position[14],MATCH($BC$35,outputs_position[lopstuff],0))</f>
        <v>0</v>
      </c>
      <c r="NL144" s="2617"/>
      <c r="NM144" s="2617"/>
      <c r="NN144" s="439" t="str">
        <f>$NO$72</f>
        <v>Stuff 2-2</v>
      </c>
      <c r="NO144" s="451">
        <v>6</v>
      </c>
      <c r="NP144" s="451">
        <f>IF($BC$34&gt;5,1,0)</f>
        <v>0</v>
      </c>
      <c r="NQ144" s="194">
        <f>INDEX(outputs_position[22],MATCH($BC$35,outputs_position[lopstuff],0))</f>
        <v>0</v>
      </c>
      <c r="NR144" s="185" t="e">
        <f>INDEX(inputs_checks[oppsum_forbe],MATCH($NQ144,inputs_checks[position],0))</f>
        <v>#N/A</v>
      </c>
      <c r="NS144" s="185" t="e">
        <f>INDEX(inputs_checks[Forberedende arbeider],MATCH($NQ144,inputs_checks[position],0))</f>
        <v>#N/A</v>
      </c>
      <c r="NT144" s="185">
        <f>IFERROR(INDEX(inputs_checks[Andre arbeider],MATCH($NQ144,inputs_checks[position],0)),0)</f>
        <v>0</v>
      </c>
      <c r="NV144" s="208"/>
      <c r="NW144" s="208"/>
      <c r="NX144" s="208"/>
      <c r="QN144" s="235">
        <v>281</v>
      </c>
      <c r="QO144" s="374" t="e">
        <f t="shared" si="237"/>
        <v>#VALUE!</v>
      </c>
      <c r="QP144" s="374" t="e">
        <f>$QO$260*$AJ$35</f>
        <v>#VALUE!</v>
      </c>
      <c r="QQ144" s="374" t="e">
        <f>$QO$260*$AJ$36</f>
        <v>#VALUE!</v>
      </c>
      <c r="QR144" s="374" t="e">
        <f>$QO$260*$AJ$37</f>
        <v>#VALUE!</v>
      </c>
      <c r="QS144" s="374" t="e">
        <f>$QP$260*$AJ$38</f>
        <v>#VALUE!</v>
      </c>
      <c r="QT144" s="374" t="e">
        <f>$QP$260*$AJ$39</f>
        <v>#VALUE!</v>
      </c>
      <c r="QU144" s="374" t="e">
        <f>$QP$260*$AJ$40</f>
        <v>#VALUE!</v>
      </c>
      <c r="QV144" s="376" t="e">
        <f>$QP$260*$AJ$41</f>
        <v>#VALUE!</v>
      </c>
      <c r="QW144" s="185"/>
      <c r="RF144" s="2617"/>
      <c r="RG144" s="2617"/>
      <c r="RH144" s="2617"/>
      <c r="RI144" s="2617"/>
      <c r="RJ144" s="2617"/>
      <c r="RK144" s="2617"/>
      <c r="RL144" s="2617"/>
      <c r="RM144" s="2617"/>
      <c r="RN144" s="2617"/>
      <c r="RO144" s="2617"/>
      <c r="RP144" s="2617"/>
      <c r="RQ144" s="2617"/>
      <c r="RR144" s="2617"/>
      <c r="RS144" s="2617"/>
      <c r="RT144" s="2617"/>
      <c r="RU144" s="2617"/>
      <c r="RV144" s="2617"/>
      <c r="RW144" s="2617"/>
      <c r="RX144" s="2617"/>
      <c r="RY144" s="2617"/>
      <c r="RZ144" s="2617"/>
      <c r="SA144" s="2617"/>
      <c r="SB144" s="2617"/>
      <c r="SC144" s="2617"/>
      <c r="SD144" s="2617"/>
      <c r="SE144" s="2617"/>
      <c r="SF144" s="2617"/>
      <c r="SG144" s="2617"/>
      <c r="SH144" s="2617"/>
      <c r="SI144" s="2617"/>
      <c r="UM144" s="1754"/>
    </row>
    <row r="145" spans="34:559" ht="20.100000000000001" customHeight="1" x14ac:dyDescent="0.2">
      <c r="AH145" s="2617"/>
      <c r="AI145" s="2617"/>
      <c r="BB145" s="206" t="s">
        <v>311</v>
      </c>
      <c r="BC145" s="211">
        <f>IFERROR((INDEX(outputs_spreng[Redusertsalvelengde],MATCH(BC$124,outputs_spreng[Position],0))),0)</f>
        <v>0</v>
      </c>
      <c r="BD145" s="211">
        <f>IFERROR((INDEX(outputs_spreng[Redusertsalvelengde],MATCH(BD$124,outputs_spreng[Position],0))),0)</f>
        <v>0</v>
      </c>
      <c r="BE145" s="211">
        <f>IFERROR((INDEX(outputs_spreng[Redusertsalvelengde],MATCH(BE$124,outputs_spreng[Position],0))),0)</f>
        <v>0</v>
      </c>
      <c r="BF145" s="211">
        <f>IFERROR((INDEX(outputs_spreng[Redusertsalvelengde],MATCH(BF$124,outputs_spreng[Position],0))),0)</f>
        <v>0</v>
      </c>
      <c r="BG145" s="211">
        <f>IFERROR((INDEX(outputs_spreng[Redusertsalvelengde],MATCH(BG$124,outputs_spreng[Position],0))),0)</f>
        <v>0</v>
      </c>
      <c r="BH145" s="211">
        <f>IFERROR((INDEX(outputs_spreng[Redusertsalvelengde],MATCH(BH$124,outputs_spreng[Position],0))),0)</f>
        <v>0</v>
      </c>
      <c r="BI145" s="211">
        <f>IFERROR((INDEX(outputs_spreng[Redusertsalvelengde],MATCH(BI$124,outputs_spreng[Position],0))),0)</f>
        <v>0</v>
      </c>
      <c r="BJ145" s="211">
        <f>IFERROR((INDEX(outputs_spreng[Redusertsalvelengde],MATCH(BJ$124,outputs_spreng[Position],0))),0)</f>
        <v>0</v>
      </c>
      <c r="BK145" s="211">
        <f>IFERROR((INDEX(outputs_spreng[Redusertsalvelengde],MATCH(BK$124,outputs_spreng[Position],0))),0)</f>
        <v>0</v>
      </c>
      <c r="IH145" s="1172"/>
      <c r="II145" s="5998" t="s">
        <v>2717</v>
      </c>
      <c r="IJ145" s="185"/>
      <c r="IK145" s="194" t="str">
        <f>INDEX(utskrift_just[stig_svar],MATCH(IK$108,utskrift_just[position],0))</f>
        <v>Nei</v>
      </c>
      <c r="IL145" s="194" t="str">
        <f>INDEX(utskrift_just[stig_svar],MATCH(IL$108,utskrift_just[position],0))</f>
        <v>Nei</v>
      </c>
      <c r="IM145" s="194" t="str">
        <f>INDEX(utskrift_just[stig_svar],MATCH(IM$108,utskrift_just[position],0))</f>
        <v>Nei</v>
      </c>
      <c r="IN145" s="194" t="str">
        <f>INDEX(utskrift_just[stig_svar],MATCH(IN$108,utskrift_just[position],0))</f>
        <v>Nei</v>
      </c>
      <c r="IO145" s="194" t="str">
        <f>INDEX(utskrift_just[stig_svar],MATCH(IO$108,utskrift_just[position],0))</f>
        <v>Nei</v>
      </c>
      <c r="IP145" s="194" t="str">
        <f>INDEX(utskrift_just[stig_svar],MATCH(IP$108,utskrift_just[position],0))</f>
        <v>Nei</v>
      </c>
      <c r="IQ145" s="194" t="str">
        <f>INDEX(utskrift_just[stig_svar],MATCH(IQ$108,utskrift_just[position],0))</f>
        <v>Nei</v>
      </c>
      <c r="IR145" s="194" t="str">
        <f>INDEX(utskrift_just[stig_svar],MATCH(IR$108,utskrift_just[position],0))</f>
        <v>Nei</v>
      </c>
      <c r="IS145" s="194" t="str">
        <f>INDEX(utskrift_just[stig_svar],MATCH(IS$108,utskrift_just[position],0))</f>
        <v>Nei</v>
      </c>
      <c r="LJ145" s="439" t="str">
        <f t="shared" si="240"/>
        <v>Stuff 2-1</v>
      </c>
      <c r="LK145" s="538">
        <f t="shared" si="241"/>
        <v>1.3</v>
      </c>
      <c r="LL145" s="1829" t="e">
        <f t="shared" si="242"/>
        <v>#N/A</v>
      </c>
      <c r="LM145" s="194">
        <f>INDEX(outputs_position[21],MATCH($BC$35,outputs_position[lopstuff],0))</f>
        <v>0</v>
      </c>
      <c r="NL145" s="2617"/>
      <c r="NM145" s="2617"/>
      <c r="NN145" s="439" t="str">
        <f>$NO$73</f>
        <v>Stuff 2-3</v>
      </c>
      <c r="NO145" s="451">
        <v>7</v>
      </c>
      <c r="NP145" s="451">
        <f>IF($BC$34&gt;6,1,0)</f>
        <v>0</v>
      </c>
      <c r="NQ145" s="194">
        <f>INDEX(outputs_position[23],MATCH($BC$35,outputs_position[lopstuff],0))</f>
        <v>0</v>
      </c>
      <c r="NR145" s="185" t="e">
        <f>INDEX(inputs_checks[oppsum_forbe],MATCH($NQ145,inputs_checks[position],0))</f>
        <v>#N/A</v>
      </c>
      <c r="NS145" s="185" t="e">
        <f>INDEX(inputs_checks[Forberedende arbeider],MATCH($NQ145,inputs_checks[position],0))</f>
        <v>#N/A</v>
      </c>
      <c r="NT145" s="185">
        <f>IFERROR(INDEX(inputs_checks[Andre arbeider],MATCH($NQ145,inputs_checks[position],0)),0)</f>
        <v>0</v>
      </c>
      <c r="NV145" s="208"/>
      <c r="NW145" s="208"/>
      <c r="NX145" s="208"/>
      <c r="QN145" s="303">
        <v>112</v>
      </c>
      <c r="QO145" s="374">
        <f t="shared" ref="QO145:QO152" si="245">$QO$272</f>
        <v>0</v>
      </c>
      <c r="QP145" s="374"/>
      <c r="QQ145" s="374"/>
      <c r="QR145" s="374"/>
      <c r="QS145" s="374"/>
      <c r="QT145" s="374"/>
      <c r="QU145" s="374"/>
      <c r="QV145" s="376"/>
      <c r="QW145" s="185"/>
      <c r="RF145" s="2617"/>
      <c r="RG145" s="2617"/>
      <c r="RH145" s="2617"/>
      <c r="RI145" s="2617"/>
      <c r="RJ145" s="2617"/>
      <c r="RK145" s="2617"/>
      <c r="RL145" s="2617"/>
      <c r="RM145" s="2617"/>
      <c r="RN145" s="2617"/>
      <c r="RO145" s="2617"/>
      <c r="RP145" s="2617"/>
      <c r="RQ145" s="2617"/>
      <c r="RR145" s="2617"/>
      <c r="RS145" s="2617"/>
      <c r="RT145" s="2617"/>
      <c r="RU145" s="2617"/>
      <c r="RV145" s="2617"/>
      <c r="RW145" s="2617"/>
      <c r="RX145" s="2617"/>
      <c r="RY145" s="2617"/>
      <c r="RZ145" s="2617"/>
      <c r="SA145" s="2617"/>
      <c r="SB145" s="2617"/>
      <c r="SC145" s="2617"/>
      <c r="SD145" s="2617"/>
      <c r="SE145" s="2617"/>
      <c r="SF145" s="2617"/>
      <c r="SG145" s="2617"/>
      <c r="SH145" s="2617"/>
      <c r="SI145" s="2617"/>
      <c r="UM145" s="1754"/>
    </row>
    <row r="146" spans="34:559" ht="20.100000000000001" customHeight="1" x14ac:dyDescent="0.2">
      <c r="AH146" s="2617"/>
      <c r="AI146" s="2617"/>
      <c r="BB146" s="206" t="s">
        <v>313</v>
      </c>
      <c r="BC146" s="211">
        <f>IFERROR((INDEX(outputs_spreng[Todelttverrsnitt],MATCH(BC$124,outputs_spreng[Position],0))),0)</f>
        <v>0</v>
      </c>
      <c r="BD146" s="211">
        <f>IFERROR((INDEX(outputs_spreng[Todelttverrsnitt],MATCH(BD$124,outputs_spreng[Position],0))),0)</f>
        <v>0</v>
      </c>
      <c r="BE146" s="211">
        <f>IFERROR((INDEX(outputs_spreng[Todelttverrsnitt],MATCH(BE$124,outputs_spreng[Position],0))),0)</f>
        <v>0</v>
      </c>
      <c r="BF146" s="211">
        <f>IFERROR((INDEX(outputs_spreng[Todelttverrsnitt],MATCH(BF$124,outputs_spreng[Position],0))),0)</f>
        <v>0</v>
      </c>
      <c r="BG146" s="211">
        <f>IFERROR((INDEX(outputs_spreng[Todelttverrsnitt],MATCH(BG$124,outputs_spreng[Position],0))),0)</f>
        <v>0</v>
      </c>
      <c r="BH146" s="211">
        <f>IFERROR((INDEX(outputs_spreng[Todelttverrsnitt],MATCH(BH$124,outputs_spreng[Position],0))),0)</f>
        <v>0</v>
      </c>
      <c r="BI146" s="211">
        <f>IFERROR((INDEX(outputs_spreng[Todelttverrsnitt],MATCH(BI$124,outputs_spreng[Position],0))),0)</f>
        <v>0</v>
      </c>
      <c r="BJ146" s="211">
        <f>IFERROR((INDEX(outputs_spreng[Todelttverrsnitt],MATCH(BJ$124,outputs_spreng[Position],0))),0)</f>
        <v>0</v>
      </c>
      <c r="BK146" s="211">
        <f>IFERROR((INDEX(outputs_spreng[Todelttverrsnitt],MATCH(BK$124,outputs_spreng[Position],0))),0)</f>
        <v>0</v>
      </c>
      <c r="IH146" s="1172"/>
      <c r="II146" s="5998" t="s">
        <v>2679</v>
      </c>
      <c r="IJ146" s="372"/>
      <c r="IK146" s="212" t="str">
        <f>IF(OR(INDEX(utskrift_just[stig_tid],MATCH(IK$108,utskrift_just[position],0))=1,INDEX(utskrift_just[stig_tid],MATCH(IK$108,utskrift_just[position],0))=-1),INDEX(utskrift_just[stig_tid],MATCH(IK$108,utskrift_just[position],0))&amp;" uke",IF(ISNUMBER(INDEX(utskrift_just[stig_tid],MATCH(IK$108,utskrift_just[position],0)))=TRUE,INDEX(utskrift_just[stig_tid],MATCH(IK$108,utskrift_just[position],0))&amp;" uker",""))</f>
        <v/>
      </c>
      <c r="IL146" s="212" t="str">
        <f>IF(OR(INDEX(utskrift_just[stig_tid],MATCH(IL$108,utskrift_just[position],0))=1,INDEX(utskrift_just[stig_tid],MATCH(IL$108,utskrift_just[position],0))=-1),INDEX(utskrift_just[stig_tid],MATCH(IL$108,utskrift_just[position],0))&amp;" uke",IF(ISNUMBER(INDEX(utskrift_just[stig_tid],MATCH(IL$108,utskrift_just[position],0)))=TRUE,INDEX(utskrift_just[stig_tid],MATCH(IL$108,utskrift_just[position],0))&amp;" uker",""))</f>
        <v/>
      </c>
      <c r="IM146" s="212" t="str">
        <f>IF(OR(INDEX(utskrift_just[stig_tid],MATCH(IM$108,utskrift_just[position],0))=1,INDEX(utskrift_just[stig_tid],MATCH(IM$108,utskrift_just[position],0))=-1),INDEX(utskrift_just[stig_tid],MATCH(IM$108,utskrift_just[position],0))&amp;" uke",IF(ISNUMBER(INDEX(utskrift_just[stig_tid],MATCH(IM$108,utskrift_just[position],0)))=TRUE,INDEX(utskrift_just[stig_tid],MATCH(IM$108,utskrift_just[position],0))&amp;" uker",""))</f>
        <v/>
      </c>
      <c r="IN146" s="212" t="str">
        <f>IF(OR(INDEX(utskrift_just[stig_tid],MATCH(IN$108,utskrift_just[position],0))=1,INDEX(utskrift_just[stig_tid],MATCH(IN$108,utskrift_just[position],0))=-1),INDEX(utskrift_just[stig_tid],MATCH(IN$108,utskrift_just[position],0))&amp;" uke",IF(ISNUMBER(INDEX(utskrift_just[stig_tid],MATCH(IN$108,utskrift_just[position],0)))=TRUE,INDEX(utskrift_just[stig_tid],MATCH(IN$108,utskrift_just[position],0))&amp;" uker",""))</f>
        <v/>
      </c>
      <c r="IO146" s="212" t="str">
        <f>IF(OR(INDEX(utskrift_just[stig_tid],MATCH(IO$108,utskrift_just[position],0))=1,INDEX(utskrift_just[stig_tid],MATCH(IO$108,utskrift_just[position],0))=-1),INDEX(utskrift_just[stig_tid],MATCH(IO$108,utskrift_just[position],0))&amp;" uke",IF(ISNUMBER(INDEX(utskrift_just[stig_tid],MATCH(IO$108,utskrift_just[position],0)))=TRUE,INDEX(utskrift_just[stig_tid],MATCH(IO$108,utskrift_just[position],0))&amp;" uker",""))</f>
        <v/>
      </c>
      <c r="IP146" s="212" t="str">
        <f>IF(OR(INDEX(utskrift_just[stig_tid],MATCH(IP$108,utskrift_just[position],0))=1,INDEX(utskrift_just[stig_tid],MATCH(IP$108,utskrift_just[position],0))=-1),INDEX(utskrift_just[stig_tid],MATCH(IP$108,utskrift_just[position],0))&amp;" uke",IF(ISNUMBER(INDEX(utskrift_just[stig_tid],MATCH(IP$108,utskrift_just[position],0)))=TRUE,INDEX(utskrift_just[stig_tid],MATCH(IP$108,utskrift_just[position],0))&amp;" uker",""))</f>
        <v/>
      </c>
      <c r="IQ146" s="212" t="str">
        <f>IF(OR(INDEX(utskrift_just[stig_tid],MATCH(IQ$108,utskrift_just[position],0))=1,INDEX(utskrift_just[stig_tid],MATCH(IQ$108,utskrift_just[position],0))=-1),INDEX(utskrift_just[stig_tid],MATCH(IQ$108,utskrift_just[position],0))&amp;" uke",IF(ISNUMBER(INDEX(utskrift_just[stig_tid],MATCH(IQ$108,utskrift_just[position],0)))=TRUE,INDEX(utskrift_just[stig_tid],MATCH(IQ$108,utskrift_just[position],0))&amp;" uker",""))</f>
        <v/>
      </c>
      <c r="IR146" s="212" t="str">
        <f>IF(OR(INDEX(utskrift_just[stig_tid],MATCH(IR$108,utskrift_just[position],0))=1,INDEX(utskrift_just[stig_tid],MATCH(IR$108,utskrift_just[position],0))=-1),INDEX(utskrift_just[stig_tid],MATCH(IR$108,utskrift_just[position],0))&amp;" uke",IF(ISNUMBER(INDEX(utskrift_just[stig_tid],MATCH(IR$108,utskrift_just[position],0)))=TRUE,INDEX(utskrift_just[stig_tid],MATCH(IR$108,utskrift_just[position],0))&amp;" uker",""))</f>
        <v/>
      </c>
      <c r="IS146" s="212" t="str">
        <f>IF(OR(INDEX(utskrift_just[stig_tid],MATCH(IS$108,utskrift_just[position],0))=1,INDEX(utskrift_just[stig_tid],MATCH(IS$108,utskrift_just[position],0))=-1),INDEX(utskrift_just[stig_tid],MATCH(IS$108,utskrift_just[position],0))&amp;" uke",IF(ISNUMBER(INDEX(utskrift_just[stig_tid],MATCH(IS$108,utskrift_just[position],0)))=TRUE,INDEX(utskrift_just[stig_tid],MATCH(IS$108,utskrift_just[position],0))&amp;" uker",""))</f>
        <v/>
      </c>
      <c r="LJ146" s="439" t="str">
        <f t="shared" si="240"/>
        <v>Stuff 2-2</v>
      </c>
      <c r="LK146" s="538">
        <f t="shared" si="241"/>
        <v>1.3</v>
      </c>
      <c r="LL146" s="1829" t="e">
        <f t="shared" si="242"/>
        <v>#N/A</v>
      </c>
      <c r="LM146" s="194">
        <f>INDEX(outputs_position[22],MATCH($BC$35,outputs_position[lopstuff],0))</f>
        <v>0</v>
      </c>
      <c r="NL146" s="2617"/>
      <c r="NM146" s="2617"/>
      <c r="NN146" s="439" t="str">
        <f>$NO$74</f>
        <v>Stuff 2-4</v>
      </c>
      <c r="NO146" s="451">
        <v>8</v>
      </c>
      <c r="NP146" s="451">
        <f>IF($BC$34&gt;7,1,0)</f>
        <v>0</v>
      </c>
      <c r="NQ146" s="194">
        <f>INDEX(outputs_position[24],MATCH($BC$35,outputs_position[lopstuff],0))</f>
        <v>0</v>
      </c>
      <c r="NR146" s="185" t="e">
        <f>INDEX(inputs_checks[oppsum_forbe],MATCH($NQ146,inputs_checks[position],0))</f>
        <v>#N/A</v>
      </c>
      <c r="NS146" s="185" t="e">
        <f>INDEX(inputs_checks[Forberedende arbeider],MATCH($NQ146,inputs_checks[position],0))</f>
        <v>#N/A</v>
      </c>
      <c r="NT146" s="185">
        <f>IFERROR(INDEX(inputs_checks[Andre arbeider],MATCH($NQ146,inputs_checks[position],0)),0)</f>
        <v>0</v>
      </c>
      <c r="NV146" s="208"/>
      <c r="NW146" s="208"/>
      <c r="NX146" s="208"/>
      <c r="QM146" s="2617"/>
      <c r="QN146" s="303">
        <v>122</v>
      </c>
      <c r="QO146" s="374">
        <f t="shared" si="245"/>
        <v>0</v>
      </c>
      <c r="QP146" s="374">
        <f>$QP$272</f>
        <v>0</v>
      </c>
      <c r="QQ146" s="374"/>
      <c r="QR146" s="374"/>
      <c r="QS146" s="374"/>
      <c r="QT146" s="374"/>
      <c r="QU146" s="374"/>
      <c r="QV146" s="376"/>
      <c r="QW146" s="185"/>
      <c r="RF146" s="2617"/>
      <c r="RG146" s="2617"/>
      <c r="RH146" s="2617"/>
      <c r="RI146" s="2617"/>
      <c r="RJ146" s="2617"/>
      <c r="RK146" s="2617"/>
      <c r="RL146" s="2617"/>
      <c r="RM146" s="2617"/>
      <c r="RN146" s="2617"/>
      <c r="RO146" s="2617"/>
      <c r="RP146" s="2617"/>
      <c r="RQ146" s="2617"/>
      <c r="RR146" s="2617"/>
      <c r="RS146" s="2617"/>
      <c r="RT146" s="2617"/>
      <c r="RU146" s="2617"/>
      <c r="RV146" s="2617"/>
      <c r="RW146" s="2617"/>
      <c r="RX146" s="2617"/>
      <c r="RY146" s="2617"/>
      <c r="RZ146" s="2617"/>
      <c r="SA146" s="2617"/>
      <c r="SB146" s="2617"/>
      <c r="SC146" s="2617"/>
      <c r="SD146" s="2617"/>
      <c r="SE146" s="2617"/>
      <c r="SF146" s="2617"/>
      <c r="SG146" s="2617"/>
      <c r="SH146" s="2617"/>
      <c r="SI146" s="2617"/>
      <c r="UM146" s="1754"/>
    </row>
    <row r="147" spans="34:559" ht="20.100000000000001" customHeight="1" x14ac:dyDescent="0.2">
      <c r="AH147" s="2617"/>
      <c r="AI147" s="2617"/>
      <c r="BB147" s="206" t="s">
        <v>45</v>
      </c>
      <c r="BC147" s="211">
        <f>IFERROR((INDEX(outputs_spreng[Normal],MATCH(BC$124,outputs_spreng[Position],0))),0)</f>
        <v>0</v>
      </c>
      <c r="BD147" s="211">
        <f>IFERROR((INDEX(outputs_spreng[Normal],MATCH(BD$124,outputs_spreng[Position],0))),0)</f>
        <v>0</v>
      </c>
      <c r="BE147" s="211">
        <f>IFERROR((INDEX(outputs_spreng[Normal],MATCH(BE$124,outputs_spreng[Position],0))),0)</f>
        <v>0</v>
      </c>
      <c r="BF147" s="211">
        <f>IFERROR((INDEX(outputs_spreng[Normal],MATCH(BF$124,outputs_spreng[Position],0))),0)</f>
        <v>0</v>
      </c>
      <c r="BG147" s="211">
        <f>IFERROR((INDEX(outputs_spreng[Normal],MATCH(BG$124,outputs_spreng[Position],0))),0)</f>
        <v>0</v>
      </c>
      <c r="BH147" s="211">
        <f>IFERROR((INDEX(outputs_spreng[Normal],MATCH(BH$124,outputs_spreng[Position],0))),0)</f>
        <v>0</v>
      </c>
      <c r="BI147" s="211">
        <f>IFERROR((INDEX(outputs_spreng[Normal],MATCH(BI$124,outputs_spreng[Position],0))),0)</f>
        <v>0</v>
      </c>
      <c r="BJ147" s="211">
        <f>IFERROR((INDEX(outputs_spreng[Normal],MATCH(BJ$124,outputs_spreng[Position],0))),0)</f>
        <v>0</v>
      </c>
      <c r="BK147" s="211">
        <f>IFERROR((INDEX(outputs_spreng[Normal],MATCH(BK$124,outputs_spreng[Position],0))),0)</f>
        <v>0</v>
      </c>
      <c r="IH147" s="1172"/>
      <c r="II147" s="5998" t="s">
        <v>138</v>
      </c>
      <c r="IJ147" s="372"/>
      <c r="IK147" s="194" t="str">
        <f>INDEX(utskrift_just[stig_beg],MATCH(IK$108,utskrift_just[position],0))</f>
        <v>-</v>
      </c>
      <c r="IL147" s="194" t="str">
        <f>INDEX(utskrift_just[stig_beg],MATCH(IL$108,utskrift_just[position],0))</f>
        <v>-</v>
      </c>
      <c r="IM147" s="194" t="str">
        <f>INDEX(utskrift_just[stig_beg],MATCH(IM$108,utskrift_just[position],0))</f>
        <v>-</v>
      </c>
      <c r="IN147" s="194" t="str">
        <f>INDEX(utskrift_just[stig_beg],MATCH(IN$108,utskrift_just[position],0))</f>
        <v>-</v>
      </c>
      <c r="IO147" s="194" t="str">
        <f>INDEX(utskrift_just[stig_beg],MATCH(IO$108,utskrift_just[position],0))</f>
        <v>-</v>
      </c>
      <c r="IP147" s="194" t="str">
        <f>INDEX(utskrift_just[stig_beg],MATCH(IP$108,utskrift_just[position],0))</f>
        <v>-</v>
      </c>
      <c r="IQ147" s="194" t="str">
        <f>INDEX(utskrift_just[stig_beg],MATCH(IQ$108,utskrift_just[position],0))</f>
        <v>-</v>
      </c>
      <c r="IR147" s="194" t="str">
        <f>INDEX(utskrift_just[stig_beg],MATCH(IR$108,utskrift_just[position],0))</f>
        <v>-</v>
      </c>
      <c r="IS147" s="194" t="str">
        <f>INDEX(utskrift_just[stig_beg],MATCH(IS$108,utskrift_just[position],0))</f>
        <v>-</v>
      </c>
      <c r="LJ147" s="439" t="str">
        <f t="shared" si="240"/>
        <v>Stuff 2-3</v>
      </c>
      <c r="LK147" s="538">
        <f t="shared" si="241"/>
        <v>1.3</v>
      </c>
      <c r="LL147" s="1829" t="e">
        <f t="shared" si="242"/>
        <v>#N/A</v>
      </c>
      <c r="LM147" s="194">
        <f>INDEX(outputs_position[23],MATCH($BC$35,outputs_position[lopstuff],0))</f>
        <v>0</v>
      </c>
      <c r="NL147" s="2617"/>
      <c r="NM147" s="2617"/>
      <c r="NN147" s="2528" t="str">
        <f>QW135</f>
        <v>Tverrslag</v>
      </c>
      <c r="NO147" s="451"/>
      <c r="NP147" s="451">
        <f>$BC$36</f>
        <v>0</v>
      </c>
      <c r="NQ147" s="194">
        <f>INDEX(outputs_position[Tverrslag],MATCH($BC$35,outputs_position[lopstuff],0))</f>
        <v>0</v>
      </c>
      <c r="NR147" s="185" t="e">
        <f>INDEX(inputs_checks[oppsum_forbe],MATCH($NQ147,inputs_checks[position],0))</f>
        <v>#N/A</v>
      </c>
      <c r="NS147" s="185" t="e">
        <f>INDEX(inputs_checks[Forberedende arbeider],MATCH($NQ147,inputs_checks[position],0))</f>
        <v>#N/A</v>
      </c>
      <c r="NT147" s="185">
        <f>IFERROR(INDEX(inputs_checks[Andre arbeider],MATCH($NQ147,inputs_checks[position],0)),0)</f>
        <v>0</v>
      </c>
      <c r="NV147" s="208"/>
      <c r="NW147" s="208"/>
      <c r="NX147" s="208"/>
      <c r="QM147" s="2617"/>
      <c r="QN147" s="235">
        <v>132</v>
      </c>
      <c r="QO147" s="374">
        <f t="shared" si="245"/>
        <v>0</v>
      </c>
      <c r="QP147" s="374">
        <f>$QP$272</f>
        <v>0</v>
      </c>
      <c r="QQ147" s="340">
        <f>$QQ$272</f>
        <v>0</v>
      </c>
      <c r="QR147" s="340"/>
      <c r="QS147" s="340"/>
      <c r="QT147" s="340"/>
      <c r="QU147" s="340"/>
      <c r="QV147" s="375"/>
      <c r="QW147" s="185"/>
      <c r="RF147" s="2617"/>
      <c r="RG147" s="2617"/>
      <c r="RH147" s="2617"/>
      <c r="RI147" s="2617"/>
      <c r="RJ147" s="2617"/>
      <c r="RK147" s="2617"/>
      <c r="RL147" s="2617"/>
      <c r="RM147" s="2617"/>
      <c r="RN147" s="2617"/>
      <c r="RO147" s="2617"/>
      <c r="RP147" s="2617"/>
      <c r="RQ147" s="2617"/>
      <c r="RR147" s="2617"/>
      <c r="RS147" s="2617"/>
      <c r="RT147" s="2617"/>
      <c r="RU147" s="2617"/>
      <c r="RV147" s="2617"/>
      <c r="RW147" s="2617"/>
      <c r="RX147" s="2617"/>
      <c r="RY147" s="2617"/>
      <c r="RZ147" s="2617"/>
      <c r="SA147" s="2617"/>
      <c r="SB147" s="2617"/>
      <c r="SC147" s="2617"/>
      <c r="SD147" s="2617"/>
      <c r="SE147" s="2617"/>
      <c r="SF147" s="2617"/>
      <c r="SG147" s="2617"/>
      <c r="SH147" s="2617"/>
      <c r="SI147" s="2617"/>
      <c r="UM147" s="1754"/>
    </row>
    <row r="148" spans="34:559" ht="20.100000000000001" customHeight="1" x14ac:dyDescent="0.2">
      <c r="AH148" s="2617"/>
      <c r="AI148" s="2617"/>
      <c r="DU148" s="2617"/>
      <c r="DV148" s="2617"/>
      <c r="DW148" s="2617"/>
      <c r="DX148" s="2617"/>
      <c r="DY148" s="2617"/>
      <c r="DZ148" s="2617"/>
      <c r="EA148" s="2617"/>
      <c r="EB148" s="2617"/>
      <c r="EC148" s="2617"/>
      <c r="ED148" s="2617"/>
      <c r="EE148" s="2617"/>
      <c r="EF148" s="2617"/>
      <c r="EG148" s="2617"/>
      <c r="EH148" s="2617"/>
      <c r="EI148" s="2617"/>
      <c r="IH148" s="1172"/>
      <c r="II148" s="372"/>
      <c r="IJ148" s="372"/>
      <c r="IK148" s="372"/>
      <c r="IL148" s="372"/>
      <c r="IM148" s="372"/>
      <c r="IN148" s="372"/>
      <c r="IO148" s="372"/>
      <c r="IP148" s="372"/>
      <c r="IQ148" s="372"/>
      <c r="IR148" s="372"/>
      <c r="IS148" s="185"/>
      <c r="LJ148" s="439" t="str">
        <f t="shared" si="240"/>
        <v>Stuff 2-4</v>
      </c>
      <c r="LK148" s="538">
        <f t="shared" si="241"/>
        <v>1.3</v>
      </c>
      <c r="LL148" s="1829" t="e">
        <f t="shared" si="242"/>
        <v>#N/A</v>
      </c>
      <c r="LM148" s="194">
        <f>INDEX(outputs_position[24],MATCH($BC$35,outputs_position[lopstuff],0))</f>
        <v>0</v>
      </c>
      <c r="NL148" s="2617"/>
      <c r="NM148" s="2617"/>
      <c r="NN148" s="2617"/>
      <c r="NO148" s="2617"/>
      <c r="NV148" s="208"/>
      <c r="NW148" s="208"/>
      <c r="NX148" s="208"/>
      <c r="QM148" s="2617"/>
      <c r="QN148" s="235">
        <v>142</v>
      </c>
      <c r="QO148" s="374">
        <f t="shared" si="245"/>
        <v>0</v>
      </c>
      <c r="QP148" s="374">
        <f>$QP$272</f>
        <v>0</v>
      </c>
      <c r="QQ148" s="340">
        <f>$QQ$272</f>
        <v>0</v>
      </c>
      <c r="QR148" s="340">
        <f>$QR$272</f>
        <v>0</v>
      </c>
      <c r="QS148" s="340"/>
      <c r="QT148" s="340"/>
      <c r="QU148" s="340"/>
      <c r="QV148" s="375"/>
      <c r="QW148" s="185"/>
      <c r="RF148" s="2617"/>
      <c r="RG148" s="2617"/>
      <c r="RH148" s="2617"/>
      <c r="RI148" s="2617"/>
      <c r="RJ148" s="2617"/>
      <c r="RK148" s="2617"/>
      <c r="RL148" s="2617"/>
      <c r="RM148" s="2617"/>
      <c r="RN148" s="2617"/>
      <c r="RO148" s="2617"/>
      <c r="RP148" s="2617"/>
      <c r="RQ148" s="2617"/>
      <c r="RR148" s="2617"/>
      <c r="RS148" s="2617"/>
      <c r="RT148" s="2617"/>
      <c r="RU148" s="2617"/>
      <c r="RV148" s="2617"/>
      <c r="RW148" s="2617"/>
      <c r="RX148" s="2617"/>
      <c r="RY148" s="2617"/>
      <c r="RZ148" s="2617"/>
      <c r="SA148" s="2617"/>
      <c r="SB148" s="2617"/>
      <c r="SC148" s="2617"/>
      <c r="SD148" s="2617"/>
      <c r="SE148" s="2617"/>
      <c r="SF148" s="2617"/>
      <c r="SG148" s="2617"/>
      <c r="SH148" s="2617"/>
      <c r="SI148" s="2617"/>
      <c r="UM148" s="1754"/>
    </row>
    <row r="149" spans="34:559" ht="20.100000000000001" customHeight="1" x14ac:dyDescent="0.2">
      <c r="AH149" s="2617"/>
      <c r="AI149" s="2617"/>
      <c r="DU149" s="2617"/>
      <c r="DV149" s="2617"/>
      <c r="DW149" s="2617"/>
      <c r="DX149" s="2617"/>
      <c r="DY149" s="2617"/>
      <c r="DZ149" s="2617"/>
      <c r="EA149" s="2617"/>
      <c r="EB149" s="2617"/>
      <c r="EC149" s="2617"/>
      <c r="ED149" s="2617"/>
      <c r="EE149" s="2617"/>
      <c r="EF149" s="2617"/>
      <c r="EG149" s="2617"/>
      <c r="EH149" s="2617"/>
      <c r="EI149" s="2617"/>
      <c r="EJ149" s="1588"/>
      <c r="EK149" s="1588"/>
      <c r="EL149" s="1588"/>
      <c r="EM149" s="1588"/>
      <c r="EN149" s="1588"/>
      <c r="FN149" s="207"/>
      <c r="IH149" s="1172">
        <v>5</v>
      </c>
      <c r="II149" s="1172" t="str">
        <f>$II$112</f>
        <v>Header: stuff navn</v>
      </c>
      <c r="IJ149" s="185"/>
      <c r="IK149" s="194" t="str">
        <f>IK$109</f>
        <v>Stuff 1-1</v>
      </c>
      <c r="IL149" s="194" t="str">
        <f t="shared" ref="IL149:IS149" si="246">IL$109</f>
        <v/>
      </c>
      <c r="IM149" s="194" t="str">
        <f t="shared" si="246"/>
        <v/>
      </c>
      <c r="IN149" s="194" t="str">
        <f t="shared" si="246"/>
        <v/>
      </c>
      <c r="IO149" s="194" t="str">
        <f t="shared" si="246"/>
        <v/>
      </c>
      <c r="IP149" s="194" t="str">
        <f t="shared" si="246"/>
        <v/>
      </c>
      <c r="IQ149" s="194" t="str">
        <f t="shared" si="246"/>
        <v/>
      </c>
      <c r="IR149" s="194" t="str">
        <f t="shared" si="246"/>
        <v/>
      </c>
      <c r="IS149" s="194" t="str">
        <f t="shared" si="246"/>
        <v/>
      </c>
      <c r="LJ149" s="465" t="str">
        <f>$QW$135</f>
        <v>Tverrslag</v>
      </c>
      <c r="LK149" s="246">
        <v>1</v>
      </c>
      <c r="LL149" s="246"/>
      <c r="LM149" s="194">
        <f>INDEX(outputs_position[Tverrslag],MATCH($BC$35,outputs_position[lopstuff],0))</f>
        <v>0</v>
      </c>
      <c r="NL149" s="2617"/>
      <c r="NM149" s="2617"/>
      <c r="NN149" s="2617"/>
      <c r="NO149" s="2617"/>
      <c r="QM149" s="2617"/>
      <c r="QN149" s="235">
        <v>222</v>
      </c>
      <c r="QO149" s="374">
        <f t="shared" si="245"/>
        <v>0</v>
      </c>
      <c r="QP149" s="340"/>
      <c r="QQ149" s="340"/>
      <c r="QR149" s="340"/>
      <c r="QS149" s="340">
        <f>$QS$272</f>
        <v>0</v>
      </c>
      <c r="QT149" s="340"/>
      <c r="QU149" s="340"/>
      <c r="QV149" s="375"/>
      <c r="QW149" s="185"/>
      <c r="RF149" s="2617"/>
      <c r="RG149" s="2617"/>
      <c r="RH149" s="2617"/>
      <c r="RI149" s="2617"/>
      <c r="RJ149" s="2617"/>
      <c r="RK149" s="2617"/>
      <c r="RL149" s="2617"/>
      <c r="RM149" s="2617"/>
      <c r="RN149" s="2617"/>
      <c r="RO149" s="2617"/>
      <c r="RP149" s="2617"/>
      <c r="RQ149" s="2617"/>
      <c r="RR149" s="2617"/>
      <c r="RS149" s="2617"/>
      <c r="RT149" s="2617"/>
      <c r="RU149" s="2617"/>
      <c r="RV149" s="2617"/>
      <c r="RW149" s="2617"/>
      <c r="RX149" s="2617"/>
      <c r="RY149" s="2617"/>
      <c r="RZ149" s="2617"/>
      <c r="SA149" s="2617"/>
      <c r="SB149" s="2617"/>
      <c r="SC149" s="2617"/>
      <c r="SD149" s="2617"/>
      <c r="SE149" s="2617"/>
      <c r="SF149" s="2617"/>
      <c r="SG149" s="2617"/>
      <c r="SH149" s="2617"/>
      <c r="SI149" s="2617"/>
      <c r="UM149" s="1754"/>
    </row>
    <row r="150" spans="34:559" ht="20.100000000000001" customHeight="1" x14ac:dyDescent="0.2">
      <c r="AH150" s="2617"/>
      <c r="AI150" s="2617"/>
      <c r="BB150" s="5370"/>
      <c r="BC150" s="5370"/>
      <c r="BD150" s="5370"/>
      <c r="BI150" s="183"/>
      <c r="BL150" s="184"/>
      <c r="DU150" s="2617"/>
      <c r="DV150" s="2617"/>
      <c r="DW150" s="2617"/>
      <c r="DX150" s="2617"/>
      <c r="DY150" s="2617"/>
      <c r="DZ150" s="2617"/>
      <c r="EA150" s="2617"/>
      <c r="EB150" s="2617"/>
      <c r="EC150" s="2617"/>
      <c r="ED150" s="2617"/>
      <c r="EE150" s="2617"/>
      <c r="EF150" s="2617"/>
      <c r="EG150" s="2617"/>
      <c r="EH150" s="2617"/>
      <c r="EI150" s="2617"/>
      <c r="IH150" s="1172"/>
      <c r="II150" s="1172" t="str">
        <f>$II$113</f>
        <v>Side nummer</v>
      </c>
      <c r="IJ150" s="185"/>
      <c r="IK150" s="194" t="str">
        <f>"Side "&amp;$IH149&amp;" av "&amp;_Calcs!$II$100</f>
        <v>Side 5 av 9</v>
      </c>
      <c r="IL150" s="194" t="str">
        <f t="shared" ref="IL150:IS150" si="247">$IK150</f>
        <v>Side 5 av 9</v>
      </c>
      <c r="IM150" s="194" t="str">
        <f t="shared" si="247"/>
        <v>Side 5 av 9</v>
      </c>
      <c r="IN150" s="194" t="str">
        <f t="shared" si="247"/>
        <v>Side 5 av 9</v>
      </c>
      <c r="IO150" s="194" t="str">
        <f t="shared" si="247"/>
        <v>Side 5 av 9</v>
      </c>
      <c r="IP150" s="194" t="str">
        <f t="shared" si="247"/>
        <v>Side 5 av 9</v>
      </c>
      <c r="IQ150" s="194" t="str">
        <f t="shared" si="247"/>
        <v>Side 5 av 9</v>
      </c>
      <c r="IR150" s="194" t="str">
        <f t="shared" si="247"/>
        <v>Side 5 av 9</v>
      </c>
      <c r="IS150" s="194" t="str">
        <f t="shared" si="247"/>
        <v>Side 5 av 9</v>
      </c>
      <c r="NL150" s="2617"/>
      <c r="NM150" s="2617"/>
      <c r="NN150" s="2617"/>
      <c r="NO150" s="2617"/>
      <c r="QM150" s="2617"/>
      <c r="QN150" s="235">
        <v>242</v>
      </c>
      <c r="QO150" s="374">
        <f t="shared" si="245"/>
        <v>0</v>
      </c>
      <c r="QP150" s="374">
        <f>$QP$272</f>
        <v>0</v>
      </c>
      <c r="QQ150" s="374"/>
      <c r="QR150" s="374"/>
      <c r="QS150" s="340">
        <f>$QS$272</f>
        <v>0</v>
      </c>
      <c r="QT150" s="340">
        <f>$QT$272</f>
        <v>0</v>
      </c>
      <c r="QU150" s="340"/>
      <c r="QV150" s="375"/>
      <c r="QW150" s="185"/>
      <c r="RF150" s="2617"/>
      <c r="RG150" s="2617"/>
      <c r="RH150" s="2617"/>
      <c r="RI150" s="2617"/>
      <c r="RJ150" s="2617"/>
      <c r="RK150" s="2617"/>
      <c r="RL150" s="2617"/>
      <c r="RM150" s="2617"/>
      <c r="RN150" s="2617"/>
      <c r="RO150" s="2617"/>
      <c r="RP150" s="2617"/>
      <c r="RQ150" s="2617"/>
      <c r="RR150" s="2617"/>
      <c r="RS150" s="2617"/>
      <c r="RT150" s="2617"/>
      <c r="RU150" s="2617"/>
      <c r="RV150" s="2617"/>
      <c r="RW150" s="2617"/>
      <c r="RX150" s="2617"/>
      <c r="RY150" s="2617"/>
      <c r="RZ150" s="2617"/>
      <c r="SA150" s="2617"/>
      <c r="SB150" s="2617"/>
      <c r="SC150" s="2617"/>
      <c r="SD150" s="2617"/>
      <c r="SE150" s="2617"/>
      <c r="SF150" s="2617"/>
      <c r="SG150" s="2617"/>
      <c r="SH150" s="2617"/>
      <c r="SI150" s="2617"/>
      <c r="UM150" s="1754"/>
    </row>
    <row r="151" spans="34:559" ht="20.100000000000001" customHeight="1" x14ac:dyDescent="0.2">
      <c r="AH151" s="2617"/>
      <c r="AI151" s="2617"/>
      <c r="BB151" s="332" t="s">
        <v>444</v>
      </c>
      <c r="BC151" s="332"/>
      <c r="BD151" s="332"/>
      <c r="BI151" s="183"/>
      <c r="BL151" s="184"/>
      <c r="DU151" s="2617"/>
      <c r="DV151" s="2617"/>
      <c r="DW151" s="2617"/>
      <c r="DX151" s="2617"/>
      <c r="DY151" s="2617"/>
      <c r="DZ151" s="2617"/>
      <c r="EA151" s="2617"/>
      <c r="EB151" s="2617"/>
      <c r="EC151" s="2617"/>
      <c r="ED151" s="2617"/>
      <c r="EE151" s="2617"/>
      <c r="EF151" s="2617"/>
      <c r="EG151" s="2617"/>
      <c r="EH151" s="2617"/>
      <c r="EI151" s="2617"/>
      <c r="IH151" s="1172"/>
      <c r="II151" s="1172"/>
      <c r="IJ151" s="185"/>
      <c r="IK151" s="372"/>
      <c r="IL151" s="372"/>
      <c r="IM151" s="372"/>
      <c r="IN151" s="372"/>
      <c r="IO151" s="372"/>
      <c r="IP151" s="372"/>
      <c r="IQ151" s="372"/>
      <c r="IR151" s="372"/>
      <c r="IS151" s="372"/>
      <c r="NL151" s="2617"/>
      <c r="NM151" s="2617"/>
      <c r="NN151" s="2617"/>
      <c r="NO151" s="2617"/>
      <c r="QI151" s="2617"/>
      <c r="QJ151" s="2617"/>
      <c r="QK151" s="2617"/>
      <c r="QL151" s="2617"/>
      <c r="QM151" s="2617"/>
      <c r="QN151" s="235">
        <v>262</v>
      </c>
      <c r="QO151" s="374">
        <f t="shared" si="245"/>
        <v>0</v>
      </c>
      <c r="QP151" s="374">
        <f>$QP$272</f>
        <v>0</v>
      </c>
      <c r="QQ151" s="340">
        <f>$QQ$272</f>
        <v>0</v>
      </c>
      <c r="QR151" s="340"/>
      <c r="QS151" s="340">
        <f>$QS$272</f>
        <v>0</v>
      </c>
      <c r="QT151" s="340">
        <f>$QT$272</f>
        <v>0</v>
      </c>
      <c r="QU151" s="340">
        <f>$QU$272</f>
        <v>0</v>
      </c>
      <c r="QV151" s="375"/>
      <c r="QW151" s="185"/>
      <c r="RF151" s="2617"/>
      <c r="RG151" s="2617"/>
      <c r="RH151" s="2617"/>
      <c r="RI151" s="2617"/>
      <c r="RJ151" s="2617"/>
      <c r="RK151" s="2617"/>
      <c r="RL151" s="2617"/>
      <c r="RM151" s="2617"/>
      <c r="RN151" s="2617"/>
      <c r="RO151" s="2617"/>
      <c r="RP151" s="2617"/>
      <c r="RQ151" s="2617"/>
      <c r="RR151" s="2617"/>
      <c r="RS151" s="2617"/>
      <c r="RT151" s="2617"/>
      <c r="RU151" s="2617"/>
      <c r="RV151" s="2617"/>
      <c r="RW151" s="2617"/>
      <c r="RX151" s="2617"/>
      <c r="RY151" s="2617"/>
      <c r="RZ151" s="2617"/>
      <c r="SA151" s="2617"/>
      <c r="SB151" s="2617"/>
      <c r="SC151" s="2617"/>
      <c r="SD151" s="2617"/>
      <c r="SE151" s="2617"/>
      <c r="SF151" s="2617"/>
      <c r="SG151" s="2617"/>
      <c r="SH151" s="2617"/>
      <c r="SI151" s="2617"/>
      <c r="UM151" s="1754"/>
    </row>
    <row r="152" spans="34:559" ht="20.100000000000001" customHeight="1" x14ac:dyDescent="0.2">
      <c r="AH152" s="2617"/>
      <c r="AI152" s="2617"/>
      <c r="BI152" s="183"/>
      <c r="BL152" s="184"/>
      <c r="DU152" s="2617"/>
      <c r="DV152" s="2617"/>
      <c r="DW152" s="2617"/>
      <c r="DX152" s="2617"/>
      <c r="DY152" s="2617"/>
      <c r="DZ152" s="2617"/>
      <c r="EA152" s="2617"/>
      <c r="EB152" s="2617"/>
      <c r="EC152" s="2617"/>
      <c r="ED152" s="2617"/>
      <c r="EE152" s="2617"/>
      <c r="EF152" s="2617"/>
      <c r="EG152" s="2617"/>
      <c r="EH152" s="2617"/>
      <c r="EI152" s="2617"/>
      <c r="IH152" s="1172"/>
      <c r="II152" s="1172" t="str">
        <f>$II$116</f>
        <v>Justering</v>
      </c>
      <c r="IJ152" s="185"/>
      <c r="IK152" s="194" t="str">
        <f>_Calcs!$K$87</f>
        <v>Justeringer</v>
      </c>
      <c r="IL152" s="194" t="str">
        <f t="shared" ref="IL152:IS153" si="248">$IK152</f>
        <v>Justeringer</v>
      </c>
      <c r="IM152" s="194" t="str">
        <f t="shared" si="248"/>
        <v>Justeringer</v>
      </c>
      <c r="IN152" s="194" t="str">
        <f t="shared" si="248"/>
        <v>Justeringer</v>
      </c>
      <c r="IO152" s="194" t="str">
        <f t="shared" si="248"/>
        <v>Justeringer</v>
      </c>
      <c r="IP152" s="194" t="str">
        <f t="shared" si="248"/>
        <v>Justeringer</v>
      </c>
      <c r="IQ152" s="194" t="str">
        <f t="shared" si="248"/>
        <v>Justeringer</v>
      </c>
      <c r="IR152" s="194" t="str">
        <f t="shared" si="248"/>
        <v>Justeringer</v>
      </c>
      <c r="IS152" s="194" t="str">
        <f t="shared" si="248"/>
        <v>Justeringer</v>
      </c>
      <c r="NL152" s="2617"/>
      <c r="NM152" s="2617"/>
      <c r="NN152" s="2617"/>
      <c r="NO152" s="2617"/>
      <c r="QI152" s="2617"/>
      <c r="QJ152" s="2617"/>
      <c r="QK152" s="2617"/>
      <c r="QL152" s="2617"/>
      <c r="QM152" s="2617"/>
      <c r="QN152" s="303">
        <v>282</v>
      </c>
      <c r="QO152" s="374">
        <f t="shared" si="245"/>
        <v>0</v>
      </c>
      <c r="QP152" s="374">
        <f>$QP$272</f>
        <v>0</v>
      </c>
      <c r="QQ152" s="340">
        <f>$QQ$272</f>
        <v>0</v>
      </c>
      <c r="QR152" s="340">
        <f>$QR$272</f>
        <v>0</v>
      </c>
      <c r="QS152" s="340">
        <f>$QS$272</f>
        <v>0</v>
      </c>
      <c r="QT152" s="340">
        <f>$QT$272</f>
        <v>0</v>
      </c>
      <c r="QU152" s="340">
        <f>$QU$272</f>
        <v>0</v>
      </c>
      <c r="QV152" s="375">
        <f>$QV$272</f>
        <v>0</v>
      </c>
      <c r="QW152" s="185"/>
      <c r="RF152" s="2617"/>
      <c r="RG152" s="2617"/>
      <c r="RH152" s="2617"/>
      <c r="RI152" s="2617"/>
      <c r="RJ152" s="2617"/>
      <c r="RK152" s="2617"/>
      <c r="RL152" s="2617"/>
      <c r="RM152" s="2617"/>
      <c r="RN152" s="2617"/>
      <c r="RO152" s="2617"/>
      <c r="RP152" s="2617"/>
      <c r="RQ152" s="2617"/>
      <c r="RR152" s="2617"/>
      <c r="RS152" s="2617"/>
      <c r="RT152" s="2617"/>
      <c r="RU152" s="2617"/>
      <c r="RV152" s="2617"/>
      <c r="RW152" s="2617"/>
      <c r="RX152" s="2617"/>
      <c r="RY152" s="2617"/>
      <c r="RZ152" s="2617"/>
      <c r="SA152" s="2617"/>
      <c r="SB152" s="2617"/>
      <c r="SC152" s="2617"/>
      <c r="SD152" s="2617"/>
      <c r="SE152" s="2617"/>
      <c r="SF152" s="2617"/>
      <c r="SG152" s="2617"/>
      <c r="SH152" s="2617"/>
      <c r="SI152" s="2617"/>
      <c r="UM152" s="1754"/>
    </row>
    <row r="153" spans="34:559" ht="20.100000000000001" customHeight="1" x14ac:dyDescent="0.2">
      <c r="AH153" s="2617"/>
      <c r="AI153" s="2617"/>
      <c r="DU153" s="2617"/>
      <c r="DV153" s="2617"/>
      <c r="DW153" s="2617"/>
      <c r="DX153" s="2617"/>
      <c r="DY153" s="2617"/>
      <c r="DZ153" s="2617"/>
      <c r="EA153" s="2617"/>
      <c r="EB153" s="2617"/>
      <c r="EC153" s="2617"/>
      <c r="ED153" s="2617"/>
      <c r="EE153" s="2617"/>
      <c r="EF153" s="2617"/>
      <c r="EG153" s="2617"/>
      <c r="EH153" s="2617"/>
      <c r="EI153" s="2617"/>
      <c r="IH153" s="1172"/>
      <c r="II153" s="1172" t="s">
        <v>2705</v>
      </c>
      <c r="IJ153" s="185"/>
      <c r="IK153" s="451" t="str">
        <f>_Calcs!$M$79</f>
        <v>Avvikende arbeidstid</v>
      </c>
      <c r="IL153" s="451" t="str">
        <f t="shared" si="248"/>
        <v>Avvikende arbeidstid</v>
      </c>
      <c r="IM153" s="451" t="str">
        <f t="shared" si="248"/>
        <v>Avvikende arbeidstid</v>
      </c>
      <c r="IN153" s="451" t="str">
        <f t="shared" si="248"/>
        <v>Avvikende arbeidstid</v>
      </c>
      <c r="IO153" s="451" t="str">
        <f t="shared" si="248"/>
        <v>Avvikende arbeidstid</v>
      </c>
      <c r="IP153" s="451" t="str">
        <f t="shared" si="248"/>
        <v>Avvikende arbeidstid</v>
      </c>
      <c r="IQ153" s="451" t="str">
        <f t="shared" si="248"/>
        <v>Avvikende arbeidstid</v>
      </c>
      <c r="IR153" s="451" t="str">
        <f t="shared" si="248"/>
        <v>Avvikende arbeidstid</v>
      </c>
      <c r="IS153" s="451" t="str">
        <f t="shared" si="248"/>
        <v>Avvikende arbeidstid</v>
      </c>
      <c r="QI153" s="2617"/>
      <c r="QJ153" s="2617"/>
      <c r="QK153" s="2617"/>
      <c r="QL153" s="2617"/>
      <c r="QM153" s="2617"/>
      <c r="RF153" s="2617"/>
      <c r="RG153" s="2617"/>
      <c r="RH153" s="2617"/>
      <c r="RI153" s="2617"/>
      <c r="RJ153" s="2617"/>
      <c r="RK153" s="2617"/>
      <c r="RL153" s="2617"/>
      <c r="RM153" s="2617"/>
      <c r="RN153" s="2617"/>
      <c r="RO153" s="2617"/>
      <c r="RP153" s="2617"/>
      <c r="RQ153" s="2617"/>
      <c r="RR153" s="2617"/>
      <c r="RS153" s="2617"/>
      <c r="RT153" s="2617"/>
      <c r="RU153" s="2617"/>
      <c r="RV153" s="2617"/>
      <c r="RW153" s="2617"/>
      <c r="RX153" s="2617"/>
      <c r="RY153" s="2617"/>
      <c r="RZ153" s="2617"/>
      <c r="SA153" s="2617"/>
      <c r="SB153" s="2617"/>
      <c r="SC153" s="2617"/>
      <c r="SD153" s="2617"/>
      <c r="SE153" s="2617"/>
      <c r="SF153" s="2617"/>
      <c r="SG153" s="2617"/>
      <c r="SH153" s="2617"/>
      <c r="SI153" s="2617"/>
      <c r="UM153" s="1754"/>
    </row>
    <row r="154" spans="34:559" ht="20.100000000000001" customHeight="1" thickBot="1" x14ac:dyDescent="0.25">
      <c r="AH154" s="2617"/>
      <c r="AI154" s="2617"/>
      <c r="BG154" s="291" t="s">
        <v>81</v>
      </c>
      <c r="BH154" s="291"/>
      <c r="BI154" s="291"/>
      <c r="BJ154" s="291"/>
      <c r="BK154" s="291"/>
      <c r="BL154" s="291"/>
      <c r="BM154" s="291"/>
      <c r="BN154" s="291"/>
      <c r="BO154" s="291"/>
      <c r="BP154" s="291"/>
      <c r="BQ154" s="291"/>
      <c r="BR154" s="291"/>
      <c r="BS154" s="291"/>
      <c r="BT154" s="291"/>
      <c r="BU154" s="291"/>
      <c r="DU154" s="2617"/>
      <c r="DV154" s="2617"/>
      <c r="DW154" s="2617"/>
      <c r="DX154" s="2617"/>
      <c r="DY154" s="2617"/>
      <c r="DZ154" s="2617"/>
      <c r="EA154" s="2617"/>
      <c r="EB154" s="2617"/>
      <c r="EC154" s="2617"/>
      <c r="ED154" s="2617"/>
      <c r="EE154" s="2617"/>
      <c r="EF154" s="2617"/>
      <c r="EG154" s="2617"/>
      <c r="EH154" s="2617"/>
      <c r="EI154" s="2617"/>
      <c r="ER154" s="329" t="s">
        <v>1163</v>
      </c>
      <c r="ES154" s="328"/>
      <c r="ET154" s="328"/>
      <c r="EU154" s="328"/>
      <c r="IH154" s="1172"/>
      <c r="II154" s="5998" t="s">
        <v>2717</v>
      </c>
      <c r="IJ154" s="185"/>
      <c r="IK154" s="194" t="str">
        <f>INDEX(utskrift_just[arb_svar],MATCH(IK$108,utskrift_just[position],0))</f>
        <v>Nei</v>
      </c>
      <c r="IL154" s="194" t="str">
        <f>INDEX(utskrift_just[arb_svar],MATCH(IL$108,utskrift_just[position],0))</f>
        <v>Nei</v>
      </c>
      <c r="IM154" s="194" t="str">
        <f>INDEX(utskrift_just[arb_svar],MATCH(IM$108,utskrift_just[position],0))</f>
        <v>Nei</v>
      </c>
      <c r="IN154" s="194" t="str">
        <f>INDEX(utskrift_just[arb_svar],MATCH(IN$108,utskrift_just[position],0))</f>
        <v>Nei</v>
      </c>
      <c r="IO154" s="194" t="str">
        <f>INDEX(utskrift_just[arb_svar],MATCH(IO$108,utskrift_just[position],0))</f>
        <v>Nei</v>
      </c>
      <c r="IP154" s="194" t="str">
        <f>INDEX(utskrift_just[arb_svar],MATCH(IP$108,utskrift_just[position],0))</f>
        <v>Nei</v>
      </c>
      <c r="IQ154" s="194" t="str">
        <f>INDEX(utskrift_just[arb_svar],MATCH(IQ$108,utskrift_just[position],0))</f>
        <v>Nei</v>
      </c>
      <c r="IR154" s="194" t="str">
        <f>INDEX(utskrift_just[arb_svar],MATCH(IR$108,utskrift_just[position],0))</f>
        <v>Nei</v>
      </c>
      <c r="IS154" s="194" t="str">
        <f>INDEX(utskrift_just[arb_svar],MATCH(IS$108,utskrift_just[position],0))</f>
        <v>Nei</v>
      </c>
      <c r="QI154" s="2617"/>
      <c r="QJ154" s="2617"/>
      <c r="QK154" s="2617"/>
      <c r="QL154" s="2617"/>
      <c r="QM154" s="2617"/>
      <c r="QN154" s="275"/>
      <c r="QO154" s="275"/>
      <c r="QP154" s="275"/>
      <c r="QQ154" s="275"/>
      <c r="QR154" s="275"/>
      <c r="QS154" s="275"/>
      <c r="QT154" s="275"/>
      <c r="QU154" s="275"/>
      <c r="QV154" s="275"/>
      <c r="QW154" s="275"/>
      <c r="RF154" s="2617"/>
      <c r="RG154" s="2617"/>
      <c r="RH154" s="2617"/>
      <c r="RI154" s="2617"/>
      <c r="RJ154" s="2617"/>
      <c r="RK154" s="2617"/>
      <c r="RL154" s="2617"/>
      <c r="RM154" s="2617"/>
      <c r="RN154" s="2617"/>
      <c r="RO154" s="2617"/>
      <c r="RP154" s="2617"/>
      <c r="RQ154" s="2617"/>
      <c r="RR154" s="2617"/>
      <c r="RS154" s="2617"/>
      <c r="RT154" s="2617"/>
      <c r="RU154" s="2617"/>
      <c r="RV154" s="2617"/>
      <c r="RW154" s="2617"/>
      <c r="RX154" s="2617"/>
      <c r="RY154" s="2617"/>
      <c r="RZ154" s="2617"/>
      <c r="SA154" s="2617"/>
      <c r="SB154" s="2617"/>
      <c r="SC154" s="2617"/>
      <c r="SD154" s="2617"/>
      <c r="SE154" s="2617"/>
      <c r="SF154" s="2617"/>
      <c r="SG154" s="2617"/>
      <c r="SH154" s="2617"/>
      <c r="SI154" s="2617"/>
      <c r="UM154" s="1754"/>
    </row>
    <row r="155" spans="34:559" ht="20.100000000000001" customHeight="1" x14ac:dyDescent="0.2">
      <c r="AH155" s="2617"/>
      <c r="AI155" s="2617"/>
      <c r="BB155" s="185" t="s">
        <v>257</v>
      </c>
      <c r="BC155" s="185" t="s">
        <v>283</v>
      </c>
      <c r="BD155" s="185" t="s">
        <v>284</v>
      </c>
      <c r="BE155" s="194" t="s">
        <v>285</v>
      </c>
      <c r="BF155" s="194" t="s">
        <v>48</v>
      </c>
      <c r="BG155" s="194" t="s">
        <v>286</v>
      </c>
      <c r="BH155" s="194" t="s">
        <v>310</v>
      </c>
      <c r="BI155" s="194" t="s">
        <v>311</v>
      </c>
      <c r="BJ155" s="194" t="s">
        <v>313</v>
      </c>
      <c r="BK155" s="194" t="s">
        <v>287</v>
      </c>
      <c r="BL155" s="194" t="s">
        <v>2634</v>
      </c>
      <c r="BM155" s="1172" t="s">
        <v>45</v>
      </c>
      <c r="BN155" s="194" t="s">
        <v>117</v>
      </c>
      <c r="BO155" s="194" t="s">
        <v>118</v>
      </c>
      <c r="BP155" s="194" t="s">
        <v>312</v>
      </c>
      <c r="BQ155" s="194" t="s">
        <v>120</v>
      </c>
      <c r="BR155" s="194" t="s">
        <v>314</v>
      </c>
      <c r="BS155" s="194" t="s">
        <v>122</v>
      </c>
      <c r="BT155" s="194" t="s">
        <v>2635</v>
      </c>
      <c r="BU155" s="194" t="s">
        <v>145</v>
      </c>
      <c r="BV155" s="393" t="s">
        <v>315</v>
      </c>
      <c r="BW155" s="393" t="s">
        <v>316</v>
      </c>
      <c r="BX155" s="221" t="s">
        <v>644</v>
      </c>
      <c r="BY155" s="221" t="s">
        <v>2636</v>
      </c>
      <c r="DU155" s="2617"/>
      <c r="DV155" s="2617"/>
      <c r="DW155" s="2617"/>
      <c r="DX155" s="2617"/>
      <c r="DY155" s="2617"/>
      <c r="DZ155" s="2617"/>
      <c r="EA155" s="2617"/>
      <c r="EB155" s="2617"/>
      <c r="EC155" s="2617"/>
      <c r="ED155" s="2617"/>
      <c r="EE155" s="2617"/>
      <c r="EF155" s="2617"/>
      <c r="EG155" s="2617"/>
      <c r="EH155" s="2617"/>
      <c r="EI155" s="2617"/>
      <c r="IH155" s="1172"/>
      <c r="II155" s="5998" t="s">
        <v>2679</v>
      </c>
      <c r="IJ155" s="372"/>
      <c r="IK155" s="212" t="str">
        <f>IF(OR(INDEX(utskrift_just[arb_tid],MATCH(IK$108,utskrift_just[position],0))=1,INDEX(utskrift_just[arb_tid],MATCH(IK$108,utskrift_just[position],0))=-1),INDEX(utskrift_just[arb_tid],MATCH(IK$108,utskrift_just[position],0))&amp;" uke",IF(ISNUMBER(INDEX(utskrift_just[arb_tid],MATCH(IK$108,utskrift_just[position],0)))=TRUE,INDEX(utskrift_just[arb_tid],MATCH(IK$108,utskrift_just[position],0))&amp;" uker",""))</f>
        <v/>
      </c>
      <c r="IL155" s="212" t="str">
        <f>IF(OR(INDEX(utskrift_just[arb_tid],MATCH(IL$108,utskrift_just[position],0))=1,INDEX(utskrift_just[arb_tid],MATCH(IL$108,utskrift_just[position],0))=-1),INDEX(utskrift_just[arb_tid],MATCH(IL$108,utskrift_just[position],0))&amp;" uke",IF(ISNUMBER(INDEX(utskrift_just[arb_tid],MATCH(IL$108,utskrift_just[position],0)))=TRUE,INDEX(utskrift_just[arb_tid],MATCH(IL$108,utskrift_just[position],0))&amp;" uker",""))</f>
        <v/>
      </c>
      <c r="IM155" s="212" t="str">
        <f>IF(OR(INDEX(utskrift_just[arb_tid],MATCH(IM$108,utskrift_just[position],0))=1,INDEX(utskrift_just[arb_tid],MATCH(IM$108,utskrift_just[position],0))=-1),INDEX(utskrift_just[arb_tid],MATCH(IM$108,utskrift_just[position],0))&amp;" uke",IF(ISNUMBER(INDEX(utskrift_just[arb_tid],MATCH(IM$108,utskrift_just[position],0)))=TRUE,INDEX(utskrift_just[arb_tid],MATCH(IM$108,utskrift_just[position],0))&amp;" uker",""))</f>
        <v/>
      </c>
      <c r="IN155" s="212" t="str">
        <f>IF(OR(INDEX(utskrift_just[arb_tid],MATCH(IN$108,utskrift_just[position],0))=1,INDEX(utskrift_just[arb_tid],MATCH(IN$108,utskrift_just[position],0))=-1),INDEX(utskrift_just[arb_tid],MATCH(IN$108,utskrift_just[position],0))&amp;" uke",IF(ISNUMBER(INDEX(utskrift_just[arb_tid],MATCH(IN$108,utskrift_just[position],0)))=TRUE,INDEX(utskrift_just[arb_tid],MATCH(IN$108,utskrift_just[position],0))&amp;" uker",""))</f>
        <v/>
      </c>
      <c r="IO155" s="212" t="str">
        <f>IF(OR(INDEX(utskrift_just[arb_tid],MATCH(IO$108,utskrift_just[position],0))=1,INDEX(utskrift_just[arb_tid],MATCH(IO$108,utskrift_just[position],0))=-1),INDEX(utskrift_just[arb_tid],MATCH(IO$108,utskrift_just[position],0))&amp;" uke",IF(ISNUMBER(INDEX(utskrift_just[arb_tid],MATCH(IO$108,utskrift_just[position],0)))=TRUE,INDEX(utskrift_just[arb_tid],MATCH(IO$108,utskrift_just[position],0))&amp;" uker",""))</f>
        <v/>
      </c>
      <c r="IP155" s="212" t="str">
        <f>IF(OR(INDEX(utskrift_just[arb_tid],MATCH(IP$108,utskrift_just[position],0))=1,INDEX(utskrift_just[arb_tid],MATCH(IP$108,utskrift_just[position],0))=-1),INDEX(utskrift_just[arb_tid],MATCH(IP$108,utskrift_just[position],0))&amp;" uke",IF(ISNUMBER(INDEX(utskrift_just[arb_tid],MATCH(IP$108,utskrift_just[position],0)))=TRUE,INDEX(utskrift_just[arb_tid],MATCH(IP$108,utskrift_just[position],0))&amp;" uker",""))</f>
        <v/>
      </c>
      <c r="IQ155" s="212" t="str">
        <f>IF(OR(INDEX(utskrift_just[arb_tid],MATCH(IQ$108,utskrift_just[position],0))=1,INDEX(utskrift_just[arb_tid],MATCH(IQ$108,utskrift_just[position],0))=-1),INDEX(utskrift_just[arb_tid],MATCH(IQ$108,utskrift_just[position],0))&amp;" uke",IF(ISNUMBER(INDEX(utskrift_just[arb_tid],MATCH(IQ$108,utskrift_just[position],0)))=TRUE,INDEX(utskrift_just[arb_tid],MATCH(IQ$108,utskrift_just[position],0))&amp;" uker",""))</f>
        <v/>
      </c>
      <c r="IR155" s="212" t="str">
        <f>IF(OR(INDEX(utskrift_just[arb_tid],MATCH(IR$108,utskrift_just[position],0))=1,INDEX(utskrift_just[arb_tid],MATCH(IR$108,utskrift_just[position],0))=-1),INDEX(utskrift_just[arb_tid],MATCH(IR$108,utskrift_just[position],0))&amp;" uke",IF(ISNUMBER(INDEX(utskrift_just[arb_tid],MATCH(IR$108,utskrift_just[position],0)))=TRUE,INDEX(utskrift_just[arb_tid],MATCH(IR$108,utskrift_just[position],0))&amp;" uker",""))</f>
        <v/>
      </c>
      <c r="IS155" s="212" t="str">
        <f>IF(OR(INDEX(utskrift_just[arb_tid],MATCH(IS$108,utskrift_just[position],0))=1,INDEX(utskrift_just[arb_tid],MATCH(IS$108,utskrift_just[position],0))=-1),INDEX(utskrift_just[arb_tid],MATCH(IS$108,utskrift_just[position],0))&amp;" uke",IF(ISNUMBER(INDEX(utskrift_just[arb_tid],MATCH(IS$108,utskrift_just[position],0)))=TRUE,INDEX(utskrift_just[arb_tid],MATCH(IS$108,utskrift_just[position],0))&amp;" uker",""))</f>
        <v/>
      </c>
      <c r="QI155" s="2617"/>
      <c r="QJ155" s="2617"/>
      <c r="QK155" s="2617"/>
      <c r="QL155" s="2617"/>
      <c r="QM155" s="2617"/>
      <c r="RF155" s="2617"/>
      <c r="RG155" s="2617"/>
      <c r="RH155" s="2617"/>
      <c r="RI155" s="2617"/>
      <c r="RJ155" s="2617"/>
      <c r="RK155" s="2617"/>
      <c r="RL155" s="2617"/>
      <c r="RM155" s="2617"/>
      <c r="RN155" s="2617"/>
      <c r="RO155" s="2617"/>
      <c r="RP155" s="2617"/>
      <c r="RQ155" s="2617"/>
      <c r="RR155" s="2617"/>
      <c r="RS155" s="2617"/>
      <c r="RT155" s="2617"/>
      <c r="RU155" s="2617"/>
      <c r="RV155" s="2617"/>
      <c r="RW155" s="2617"/>
      <c r="RX155" s="2617"/>
      <c r="RY155" s="2617"/>
      <c r="RZ155" s="2617"/>
      <c r="SA155" s="2617"/>
      <c r="SB155" s="2617"/>
      <c r="SC155" s="2617"/>
      <c r="SD155" s="2617"/>
      <c r="SE155" s="2617"/>
      <c r="SF155" s="2617"/>
      <c r="SG155" s="2617"/>
      <c r="SH155" s="2617"/>
      <c r="SI155" s="2617"/>
      <c r="UM155" s="1754"/>
    </row>
    <row r="156" spans="34:559" ht="20.100000000000001" customHeight="1" x14ac:dyDescent="0.2">
      <c r="AH156" s="2617"/>
      <c r="AI156" s="2617"/>
      <c r="BB156" s="185" t="str">
        <f>$K$89</f>
        <v>Hele tunnelen</v>
      </c>
      <c r="BC156" s="271">
        <f>IF($BC$38=1,1,0)</f>
        <v>0</v>
      </c>
      <c r="BD156" s="185">
        <f>IF($BC$38=1,1,0)</f>
        <v>0</v>
      </c>
      <c r="BE156" s="194">
        <f>IF(BD156=1,BC156,IF(BD156=0,0))</f>
        <v>0</v>
      </c>
      <c r="BF156" s="194" t="str">
        <f>BB156</f>
        <v>Hele tunnelen</v>
      </c>
      <c r="BG156" s="194">
        <f>IF(position_stuff[[#This Row],[Position]]&lt;&gt;0,$BD$69,0)</f>
        <v>0</v>
      </c>
      <c r="BH156" s="194">
        <f>IFERROR((INDEX(inputs_spreng[Redusertsalvelengde],MATCH($BE156,inputs_spreng[Position],0))),0)</f>
        <v>0</v>
      </c>
      <c r="BI156" s="194">
        <f>IFERROR((INDEX(inputs_spreng[Todelttverrsnitt],MATCH($BE156,inputs_spreng[Position],0))),0)</f>
        <v>0</v>
      </c>
      <c r="BJ156" s="194">
        <f>IFERROR((INDEX(inputs_spreng[Redusertsalvelengdeogtodelttverrsnitt],MATCH($BE156,inputs_spreng[Position],0))),0)</f>
        <v>0</v>
      </c>
      <c r="BK156" s="194">
        <f>IF(AND(position_stuff[[#This Row],[Totalvol]]&gt;=0,position_stuff[[#This Row],[Position]]&lt;&gt;0),position_stuff[[#This Row],[Totalvol]]-position_stuff[[#This Row],[Redusertsalvelengde]]-position_stuff[[#This Row],[Todelttverrsnitt]]-position_stuff[[#This Row],[Redusertsalvelengdeogtodelttverrsnitt]],0)</f>
        <v>0</v>
      </c>
      <c r="BL156" s="194">
        <f>IFERROR((INDEX(inputs_spreng[Grøfter],MATCH(position_stuff[[#This Row],[Position]],inputs_spreng[Position],0))),0)</f>
        <v>0</v>
      </c>
      <c r="BM156" s="194">
        <f>IFERROR((INDEX(inputs_spreng[Nisjer],MATCH($BE156,inputs_spreng[Position],0))),0)</f>
        <v>0</v>
      </c>
      <c r="BN156" s="194">
        <f>IFERROR((INDEX(inputs_spreng[Snunisjer],MATCH($BE156,inputs_spreng[Position],0))),0)</f>
        <v>0</v>
      </c>
      <c r="BO156" s="194">
        <f>IFERROR((INDEX(inputs_spreng[Tverrforbindelser],MATCH($BE156,inputs_spreng[Position],0))),0)</f>
        <v>0</v>
      </c>
      <c r="BP156" s="194">
        <f>IFERROR((INDEX(inputs_spreng[Tekniskerom],MATCH($BE156,inputs_spreng[Position],0))),0)</f>
        <v>0</v>
      </c>
      <c r="BQ156" s="194">
        <f>IFERROR((INDEX(inputs_spreng[Siktutvidelse],MATCH($BE156,inputs_spreng[Position],0))),0)</f>
        <v>0</v>
      </c>
      <c r="BR156" s="194">
        <f>IFERROR((INDEX(inputs_spreng[Utvidelsefortungsikring],MATCH($BE156,inputs_spreng[Position],0))),0)</f>
        <v>0</v>
      </c>
      <c r="BS156" s="194">
        <f>IFERROR((INDEX(inputs_spreng[Pumpesump],MATCH($BE156,inputs_spreng[Position],0))),0)</f>
        <v>0</v>
      </c>
      <c r="BT156" s="194"/>
      <c r="BU156" s="194">
        <f>IFERROR((INDEX(inputs_spreng[Annet],MATCH($BE156,inputs_spreng[Position],0))),0)</f>
        <v>0</v>
      </c>
      <c r="BV156" s="393">
        <f>position_stuff[[#This Row],[Redusertsalvelengde]]+position_stuff[[#This Row],[Todelttverrsnitt]]+position_stuff[[#This Row],[Redusertsalvelengdeogtodelttverrsnitt]]</f>
        <v>0</v>
      </c>
      <c r="BW156"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56" s="194">
        <f>IF(position_stuff[[#This Row],[Totalvol]]&gt;=0,position_stuff[[#This Row],[Totalvol]]+position_stuff[[#This Row],[total_nisjer]],"!")</f>
        <v>0</v>
      </c>
      <c r="BY156" s="221"/>
      <c r="DU156" s="2617"/>
      <c r="DV156" s="2617"/>
      <c r="DW156" s="2617"/>
      <c r="DX156" s="2617"/>
      <c r="DY156" s="2617"/>
      <c r="DZ156" s="2617"/>
      <c r="EA156" s="2617"/>
      <c r="EB156" s="2617"/>
      <c r="EC156" s="2617"/>
      <c r="ED156" s="2617"/>
      <c r="EE156" s="2617"/>
      <c r="EF156" s="2617"/>
      <c r="EG156" s="2617"/>
      <c r="EH156" s="2617"/>
      <c r="EI156" s="2617"/>
      <c r="ER156" s="433" t="s">
        <v>2007</v>
      </c>
      <c r="IH156" s="1172"/>
      <c r="II156" s="5998" t="s">
        <v>138</v>
      </c>
      <c r="IJ156" s="372"/>
      <c r="IK156" s="194" t="str">
        <f>INDEX(utskrift_just[arb_beg],MATCH(IK$108,utskrift_just[position],0))</f>
        <v>-</v>
      </c>
      <c r="IL156" s="194" t="str">
        <f>INDEX(utskrift_just[arb_beg],MATCH(IL$108,utskrift_just[position],0))</f>
        <v>-</v>
      </c>
      <c r="IM156" s="194" t="str">
        <f>INDEX(utskrift_just[arb_beg],MATCH(IM$108,utskrift_just[position],0))</f>
        <v>-</v>
      </c>
      <c r="IN156" s="194" t="str">
        <f>INDEX(utskrift_just[arb_beg],MATCH(IN$108,utskrift_just[position],0))</f>
        <v>-</v>
      </c>
      <c r="IO156" s="194" t="str">
        <f>INDEX(utskrift_just[arb_beg],MATCH(IO$108,utskrift_just[position],0))</f>
        <v>-</v>
      </c>
      <c r="IP156" s="194" t="str">
        <f>INDEX(utskrift_just[arb_beg],MATCH(IP$108,utskrift_just[position],0))</f>
        <v>-</v>
      </c>
      <c r="IQ156" s="194" t="str">
        <f>INDEX(utskrift_just[arb_beg],MATCH(IQ$108,utskrift_just[position],0))</f>
        <v>-</v>
      </c>
      <c r="IR156" s="194" t="str">
        <f>INDEX(utskrift_just[arb_beg],MATCH(IR$108,utskrift_just[position],0))</f>
        <v>-</v>
      </c>
      <c r="IS156" s="194" t="str">
        <f>INDEX(utskrift_just[arb_beg],MATCH(IS$108,utskrift_just[position],0))</f>
        <v>-</v>
      </c>
      <c r="QM156" s="2617"/>
      <c r="RF156" s="2617"/>
      <c r="RG156" s="2617"/>
      <c r="RH156" s="2617"/>
      <c r="RI156" s="2617"/>
      <c r="RJ156" s="2617"/>
      <c r="RK156" s="2617"/>
      <c r="RL156" s="2617"/>
      <c r="RM156" s="2617"/>
      <c r="RN156" s="2617"/>
      <c r="RO156" s="2617"/>
      <c r="RP156" s="2617"/>
      <c r="RQ156" s="2617"/>
      <c r="RR156" s="2617"/>
      <c r="RS156" s="2617"/>
      <c r="RT156" s="2617"/>
      <c r="RU156" s="2617"/>
      <c r="RV156" s="2617"/>
      <c r="RW156" s="2617"/>
      <c r="RX156" s="2617"/>
      <c r="RY156" s="2617"/>
      <c r="RZ156" s="2617"/>
      <c r="SA156" s="2617"/>
      <c r="SB156" s="2617"/>
      <c r="SC156" s="2617"/>
      <c r="SD156" s="2617"/>
      <c r="SE156" s="2617"/>
      <c r="SF156" s="2617"/>
      <c r="SG156" s="2617"/>
      <c r="SH156" s="2617"/>
      <c r="SI156" s="2617"/>
      <c r="UM156" s="1754"/>
    </row>
    <row r="157" spans="34:559" ht="20.100000000000001" customHeight="1" x14ac:dyDescent="0.2">
      <c r="AH157" s="2617"/>
      <c r="AI157" s="2617"/>
      <c r="BB157" s="185"/>
      <c r="BC157" s="294"/>
      <c r="BD157" s="185"/>
      <c r="BE157" s="194"/>
      <c r="BF157" s="194"/>
      <c r="BG157" s="194"/>
      <c r="BH157" s="194"/>
      <c r="BI157" s="194"/>
      <c r="BJ157" s="194"/>
      <c r="BK157" s="194"/>
      <c r="BL157" s="194"/>
      <c r="BM157" s="194"/>
      <c r="BN157" s="194"/>
      <c r="BO157" s="194"/>
      <c r="BP157" s="194"/>
      <c r="BQ157" s="194"/>
      <c r="BR157" s="194"/>
      <c r="BS157" s="194"/>
      <c r="BT157" s="194"/>
      <c r="BU157" s="194"/>
      <c r="BV157" s="393"/>
      <c r="BW157" s="393"/>
      <c r="BX157" s="194">
        <f>IF(position_stuff[[#This Row],[Totalvol]]&gt;=0,position_stuff[[#This Row],[Totalvol]]+position_stuff[[#This Row],[total_nisjer]],"!")</f>
        <v>0</v>
      </c>
      <c r="BY157" s="194"/>
      <c r="DU157" s="2617"/>
      <c r="DV157" s="2617"/>
      <c r="DW157" s="2617"/>
      <c r="DX157" s="2617"/>
      <c r="DY157" s="2617"/>
      <c r="DZ157" s="2617"/>
      <c r="EA157" s="2617"/>
      <c r="EB157" s="2617"/>
      <c r="EC157" s="2617"/>
      <c r="ED157" s="2617"/>
      <c r="EE157" s="2617"/>
      <c r="EF157" s="2617"/>
      <c r="EG157" s="2617"/>
      <c r="EH157" s="2617"/>
      <c r="EI157" s="2617"/>
      <c r="IH157" s="1172"/>
      <c r="II157" s="372"/>
      <c r="IJ157" s="372"/>
      <c r="IK157" s="372"/>
      <c r="IL157" s="372"/>
      <c r="IM157" s="372"/>
      <c r="IN157" s="372"/>
      <c r="IO157" s="372"/>
      <c r="IP157" s="372"/>
      <c r="IQ157" s="372"/>
      <c r="IR157" s="372"/>
      <c r="IS157" s="185"/>
      <c r="QM157" s="2617"/>
      <c r="RF157" s="2617"/>
      <c r="RG157" s="2617"/>
      <c r="RH157" s="2617"/>
      <c r="RI157" s="2617"/>
      <c r="RJ157" s="2617"/>
      <c r="RK157" s="2617"/>
      <c r="RL157" s="2617"/>
      <c r="RM157" s="2617"/>
      <c r="RN157" s="2617"/>
      <c r="RO157" s="2617"/>
      <c r="RP157" s="2617"/>
      <c r="RQ157" s="2617"/>
      <c r="RR157" s="2617"/>
      <c r="RS157" s="2617"/>
      <c r="RT157" s="2617"/>
      <c r="RU157" s="2617"/>
      <c r="RV157" s="2617"/>
      <c r="RW157" s="2617"/>
      <c r="RX157" s="2617"/>
      <c r="RY157" s="2617"/>
      <c r="RZ157" s="2617"/>
      <c r="SA157" s="2617"/>
      <c r="SB157" s="2617"/>
      <c r="SC157" s="2617"/>
      <c r="SD157" s="2617"/>
      <c r="SE157" s="2617"/>
      <c r="SF157" s="2617"/>
      <c r="SG157" s="2617"/>
      <c r="SH157" s="2617"/>
      <c r="SI157" s="2617"/>
      <c r="UM157" s="1754"/>
    </row>
    <row r="158" spans="34:559" ht="20.100000000000001" customHeight="1" x14ac:dyDescent="0.2">
      <c r="AH158" s="2617"/>
      <c r="AI158" s="2617"/>
      <c r="BB158" s="340" t="str">
        <f>$QO$135</f>
        <v>Stuff 1-1</v>
      </c>
      <c r="BC158" s="271">
        <f>IF($BC$38=1,0,IF($BC$38=2,1,0))</f>
        <v>1</v>
      </c>
      <c r="BD158" s="185">
        <f>IF($BC$34&gt;0,1,0)</f>
        <v>1</v>
      </c>
      <c r="BE158" s="194">
        <f>IF($BC$38=2,INDEX(outputs_position[11],MATCH($BC$35,outputs_position[lopstuff],0)),0)</f>
        <v>1</v>
      </c>
      <c r="BF158" s="194" t="str">
        <f t="shared" ref="BF158:BF166" si="249">BB158</f>
        <v>Stuff 1-1</v>
      </c>
      <c r="BG158" s="194" t="e">
        <f>IF(position_stuff[[#This Row],[Position]]&lt;&gt;0,$BE$69,0)</f>
        <v>#VALUE!</v>
      </c>
      <c r="BH158" s="194">
        <f>IFERROR((INDEX(inputs_spreng[Redusertsalvelengde],MATCH($BE158,inputs_spreng[Position],0))),0)</f>
        <v>0</v>
      </c>
      <c r="BI158" s="194">
        <f>IFERROR((INDEX(inputs_spreng[Todelttverrsnitt],MATCH($BE158,inputs_spreng[Position],0))),0)</f>
        <v>0</v>
      </c>
      <c r="BJ158" s="194">
        <f>IFERROR((INDEX(inputs_spreng[Redusertsalvelengdeogtodelttverrsnitt],MATCH($BE158,inputs_spreng[Position],0))),0)</f>
        <v>0</v>
      </c>
      <c r="BK158" s="194" t="e">
        <f>IF(AND(position_stuff[[#This Row],[Totalvol]]&gt;=0,position_stuff[[#This Row],[Position]]&lt;&gt;0),position_stuff[[#This Row],[Totalvol]]-position_stuff[[#This Row],[Redusertsalvelengde]]-position_stuff[[#This Row],[Todelttverrsnitt]]-position_stuff[[#This Row],[Redusertsalvelengdeogtodelttverrsnitt]],0)</f>
        <v>#VALUE!</v>
      </c>
      <c r="BL158" s="194">
        <f>IFERROR((INDEX(inputs_spreng[Grøfter],MATCH(position_stuff[[#This Row],[Position]],inputs_spreng[Position],0))),0)</f>
        <v>0</v>
      </c>
      <c r="BM158" s="194">
        <f>IFERROR((INDEX(inputs_spreng[Nisjer],MATCH($BE158,inputs_spreng[Position],0))),0)</f>
        <v>0</v>
      </c>
      <c r="BN158" s="194">
        <f>IFERROR((INDEX(inputs_spreng[Snunisjer],MATCH($BE158,inputs_spreng[Position],0))),0)</f>
        <v>0</v>
      </c>
      <c r="BO158" s="194">
        <f>IFERROR((INDEX(inputs_spreng[Tverrforbindelser],MATCH($BE158,inputs_spreng[Position],0))),0)</f>
        <v>0</v>
      </c>
      <c r="BP158" s="194">
        <f>IFERROR((INDEX(inputs_spreng[Tekniskerom],MATCH($BE158,inputs_spreng[Position],0))),0)</f>
        <v>0</v>
      </c>
      <c r="BQ158" s="194">
        <f>IFERROR((INDEX(inputs_spreng[Siktutvidelse],MATCH($BE158,inputs_spreng[Position],0))),0)</f>
        <v>0</v>
      </c>
      <c r="BR158" s="194">
        <f>IFERROR((INDEX(inputs_spreng[Utvidelsefortungsikring],MATCH($BE158,inputs_spreng[Position],0))),0)</f>
        <v>0</v>
      </c>
      <c r="BS158" s="194">
        <f>IFERROR((INDEX(inputs_spreng[Pumpesump],MATCH($BE158,inputs_spreng[Position],0))),0)</f>
        <v>0</v>
      </c>
      <c r="BT158" s="194"/>
      <c r="BU158" s="194">
        <f>IFERROR((INDEX(inputs_spreng[Annet],MATCH($BE158,inputs_spreng[Position],0))),0)</f>
        <v>0</v>
      </c>
      <c r="BV158" s="393">
        <f>position_stuff[[#This Row],[Redusertsalvelengde]]+position_stuff[[#This Row],[Todelttverrsnitt]]+position_stuff[[#This Row],[Redusertsalvelengdeogtodelttverrsnitt]]</f>
        <v>0</v>
      </c>
      <c r="BW158"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58" s="194" t="e">
        <f>IF(position_stuff[[#This Row],[Totalvol]]&gt;=0,position_stuff[[#This Row],[Totalvol]]+position_stuff[[#This Row],[total_nisjer]],"!")</f>
        <v>#VALUE!</v>
      </c>
      <c r="BY158" s="194"/>
      <c r="DU158" s="2617"/>
      <c r="DV158" s="2617"/>
      <c r="DW158" s="2617"/>
      <c r="DX158" s="2617"/>
      <c r="DY158" s="2617"/>
      <c r="DZ158" s="2617"/>
      <c r="EA158" s="2617"/>
      <c r="EB158" s="2617"/>
      <c r="EC158" s="2617"/>
      <c r="ED158" s="2617"/>
      <c r="EE158" s="2617"/>
      <c r="EF158" s="2617"/>
      <c r="EG158" s="2617"/>
      <c r="EH158" s="2617"/>
      <c r="EI158" s="2617"/>
      <c r="ER158" s="1762" t="s">
        <v>257</v>
      </c>
      <c r="ES158" s="2637" t="s">
        <v>1153</v>
      </c>
      <c r="ET158" s="2637" t="s">
        <v>284</v>
      </c>
      <c r="EU158" s="2637" t="s">
        <v>285</v>
      </c>
      <c r="EV158" s="2637" t="s">
        <v>48</v>
      </c>
      <c r="EW158" s="3348" t="s">
        <v>658</v>
      </c>
      <c r="EX158" s="3348" t="s">
        <v>2009</v>
      </c>
      <c r="EY158" s="3348" t="s">
        <v>1785</v>
      </c>
      <c r="EZ158" s="3348" t="s">
        <v>2010</v>
      </c>
      <c r="FA158" s="3348" t="s">
        <v>2011</v>
      </c>
      <c r="FB158" s="3348" t="s">
        <v>2485</v>
      </c>
      <c r="FC158" s="3348" t="s">
        <v>2628</v>
      </c>
      <c r="FD158" s="3348" t="s">
        <v>2622</v>
      </c>
      <c r="FE158" s="3348" t="s">
        <v>1062</v>
      </c>
      <c r="FF158" s="3348" t="s">
        <v>2624</v>
      </c>
      <c r="FG158" s="3348" t="s">
        <v>2623</v>
      </c>
      <c r="FH158" s="3348" t="s">
        <v>2013</v>
      </c>
      <c r="FI158" s="3348" t="s">
        <v>2014</v>
      </c>
      <c r="FJ158" s="3348" t="s">
        <v>2015</v>
      </c>
      <c r="FK158" s="3348" t="s">
        <v>2016</v>
      </c>
      <c r="FL158" s="3348" t="s">
        <v>2012</v>
      </c>
      <c r="FM158" s="3348" t="s">
        <v>2017</v>
      </c>
      <c r="FN158" s="3348" t="s">
        <v>2018</v>
      </c>
      <c r="FO158" s="3348" t="s">
        <v>2019</v>
      </c>
      <c r="FP158" s="3348" t="s">
        <v>2020</v>
      </c>
      <c r="FQ158" s="3348" t="s">
        <v>2625</v>
      </c>
      <c r="FR158" s="3348" t="s">
        <v>2022</v>
      </c>
      <c r="FS158" s="3348" t="s">
        <v>2023</v>
      </c>
      <c r="FT158" s="3348" t="s">
        <v>2037</v>
      </c>
      <c r="FU158" s="3348" t="s">
        <v>2038</v>
      </c>
      <c r="IH158" s="1172">
        <v>6</v>
      </c>
      <c r="II158" s="1172" t="str">
        <f>$II$112</f>
        <v>Header: stuff navn</v>
      </c>
      <c r="IJ158" s="185"/>
      <c r="IK158" s="194" t="str">
        <f>IK$109</f>
        <v>Stuff 1-1</v>
      </c>
      <c r="IL158" s="194" t="str">
        <f t="shared" ref="IL158:IS158" si="250">IL$109</f>
        <v/>
      </c>
      <c r="IM158" s="194" t="str">
        <f t="shared" si="250"/>
        <v/>
      </c>
      <c r="IN158" s="194" t="str">
        <f t="shared" si="250"/>
        <v/>
      </c>
      <c r="IO158" s="194" t="str">
        <f t="shared" si="250"/>
        <v/>
      </c>
      <c r="IP158" s="194" t="str">
        <f t="shared" si="250"/>
        <v/>
      </c>
      <c r="IQ158" s="194" t="str">
        <f t="shared" si="250"/>
        <v/>
      </c>
      <c r="IR158" s="194" t="str">
        <f t="shared" si="250"/>
        <v/>
      </c>
      <c r="IS158" s="194" t="str">
        <f t="shared" si="250"/>
        <v/>
      </c>
      <c r="QM158" s="2617"/>
      <c r="RF158" s="2617"/>
      <c r="RG158" s="2617"/>
      <c r="RH158" s="2617"/>
      <c r="RI158" s="2617"/>
      <c r="RJ158" s="2617"/>
      <c r="RK158" s="2617"/>
      <c r="RL158" s="2617"/>
      <c r="RM158" s="2617"/>
      <c r="RN158" s="2617"/>
      <c r="RO158" s="2617"/>
      <c r="RP158" s="2617"/>
      <c r="RQ158" s="2617"/>
      <c r="RR158" s="2617"/>
      <c r="RS158" s="2617"/>
      <c r="RT158" s="2617"/>
      <c r="RU158" s="2617"/>
      <c r="RV158" s="2617"/>
      <c r="RW158" s="2617"/>
      <c r="RX158" s="2617"/>
      <c r="RY158" s="2617"/>
      <c r="RZ158" s="2617"/>
      <c r="SA158" s="2617"/>
      <c r="SB158" s="2617"/>
      <c r="SC158" s="2617"/>
      <c r="SD158" s="2617"/>
      <c r="SE158" s="2617"/>
      <c r="SF158" s="2617"/>
      <c r="SG158" s="2617"/>
      <c r="SH158" s="2617"/>
      <c r="SI158" s="2617"/>
      <c r="UM158" s="1754"/>
    </row>
    <row r="159" spans="34:559" ht="20.100000000000001" customHeight="1" x14ac:dyDescent="0.2">
      <c r="AH159" s="2617"/>
      <c r="AI159" s="2617"/>
      <c r="BB159" s="340" t="str">
        <f>$QP$135</f>
        <v>Stuff 1-2</v>
      </c>
      <c r="BC159" s="271">
        <f>IF($BC$38=1,0,IF($BC$38=2,2,0))</f>
        <v>2</v>
      </c>
      <c r="BD159" s="185">
        <f>IF($BC$34&gt;1,1,0)</f>
        <v>0</v>
      </c>
      <c r="BE159" s="194">
        <f>IF($BC$38=2,INDEX(outputs_position[12],MATCH($BC$35,outputs_position[lopstuff],0)),0)</f>
        <v>0</v>
      </c>
      <c r="BF159" s="194" t="str">
        <f t="shared" si="249"/>
        <v>Stuff 1-2</v>
      </c>
      <c r="BG159" s="194">
        <f>IF(position_stuff[[#This Row],[Position]]&lt;&gt;0,$BF$69,0)</f>
        <v>0</v>
      </c>
      <c r="BH159" s="194">
        <f>IFERROR((INDEX(inputs_spreng[Redusertsalvelengde],MATCH($BE159,inputs_spreng[Position],0))),0)</f>
        <v>0</v>
      </c>
      <c r="BI159" s="194">
        <f>IFERROR((INDEX(inputs_spreng[Todelttverrsnitt],MATCH($BE159,inputs_spreng[Position],0))),0)</f>
        <v>0</v>
      </c>
      <c r="BJ159" s="194">
        <f>IFERROR((INDEX(inputs_spreng[Redusertsalvelengdeogtodelttverrsnitt],MATCH($BE159,inputs_spreng[Position],0))),0)</f>
        <v>0</v>
      </c>
      <c r="BK159" s="194">
        <f>IF(AND(position_stuff[[#This Row],[Totalvol]]&gt;=0,position_stuff[[#This Row],[Position]]&lt;&gt;0),position_stuff[[#This Row],[Totalvol]]-position_stuff[[#This Row],[Redusertsalvelengde]]-position_stuff[[#This Row],[Todelttverrsnitt]]-position_stuff[[#This Row],[Redusertsalvelengdeogtodelttverrsnitt]],0)</f>
        <v>0</v>
      </c>
      <c r="BL159" s="194">
        <f>IFERROR((INDEX(inputs_spreng[Grøfter],MATCH(position_stuff[[#This Row],[Position]],inputs_spreng[Position],0))),0)</f>
        <v>0</v>
      </c>
      <c r="BM159" s="194">
        <f>IFERROR((INDEX(inputs_spreng[Nisjer],MATCH($BE159,inputs_spreng[Position],0))),0)</f>
        <v>0</v>
      </c>
      <c r="BN159" s="194">
        <f>IFERROR((INDEX(inputs_spreng[Snunisjer],MATCH($BE159,inputs_spreng[Position],0))),0)</f>
        <v>0</v>
      </c>
      <c r="BO159" s="194">
        <f>IFERROR((INDEX(inputs_spreng[Tverrforbindelser],MATCH($BE159,inputs_spreng[Position],0))),0)</f>
        <v>0</v>
      </c>
      <c r="BP159" s="194">
        <f>IFERROR((INDEX(inputs_spreng[Tekniskerom],MATCH($BE159,inputs_spreng[Position],0))),0)</f>
        <v>0</v>
      </c>
      <c r="BQ159" s="194">
        <f>IFERROR((INDEX(inputs_spreng[Siktutvidelse],MATCH($BE159,inputs_spreng[Position],0))),0)</f>
        <v>0</v>
      </c>
      <c r="BR159" s="194">
        <f>IFERROR((INDEX(inputs_spreng[Utvidelsefortungsikring],MATCH($BE159,inputs_spreng[Position],0))),0)</f>
        <v>0</v>
      </c>
      <c r="BS159" s="194">
        <f>IFERROR((INDEX(inputs_spreng[Pumpesump],MATCH($BE159,inputs_spreng[Position],0))),0)</f>
        <v>0</v>
      </c>
      <c r="BT159" s="194"/>
      <c r="BU159" s="194">
        <f>IFERROR((INDEX(inputs_spreng[Annet],MATCH($BE159,inputs_spreng[Position],0))),0)</f>
        <v>0</v>
      </c>
      <c r="BV159" s="393">
        <f>position_stuff[[#This Row],[Redusertsalvelengde]]+position_stuff[[#This Row],[Todelttverrsnitt]]+position_stuff[[#This Row],[Redusertsalvelengdeogtodelttverrsnitt]]</f>
        <v>0</v>
      </c>
      <c r="BW159"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59" s="194">
        <f>IF(position_stuff[[#This Row],[Totalvol]]&gt;=0,position_stuff[[#This Row],[Totalvol]]+position_stuff[[#This Row],[total_nisjer]],"!")</f>
        <v>0</v>
      </c>
      <c r="BY159" s="194"/>
      <c r="DU159" s="2617"/>
      <c r="DV159" s="2617"/>
      <c r="DW159" s="2617"/>
      <c r="DX159" s="2617"/>
      <c r="DY159" s="2617"/>
      <c r="DZ159" s="2617"/>
      <c r="EA159" s="2617"/>
      <c r="EB159" s="2617"/>
      <c r="EC159" s="2617"/>
      <c r="ED159" s="2617"/>
      <c r="EE159" s="2617"/>
      <c r="EF159" s="2617"/>
      <c r="EG159" s="2617"/>
      <c r="EH159" s="2617"/>
      <c r="EI159" s="2617"/>
      <c r="EQ159" s="435"/>
      <c r="ER159" s="235" t="str">
        <f>$K$89</f>
        <v>Hele tunnelen</v>
      </c>
      <c r="ES159" s="349">
        <f>IF($BC$38=1,1,0)</f>
        <v>0</v>
      </c>
      <c r="ET159" s="237">
        <f>IF($BC$38=1,1,0)</f>
        <v>0</v>
      </c>
      <c r="EU159" s="238">
        <f>IF(ET159=1,ES159,IF(ET159=0,0))</f>
        <v>0</v>
      </c>
      <c r="EV159" s="238" t="str">
        <f>ER159</f>
        <v>Hele tunnelen</v>
      </c>
      <c r="EW159" s="843"/>
      <c r="EX159" s="486"/>
      <c r="EY159" s="486"/>
      <c r="EZ159" s="486"/>
      <c r="FA159" s="486"/>
      <c r="FB159" s="486"/>
      <c r="FC159" s="486"/>
      <c r="FD159" s="486"/>
      <c r="FE159" s="486"/>
      <c r="FF159" s="486"/>
      <c r="FG159" s="486"/>
      <c r="FH159" s="486">
        <f>IFERROR(IF(_Calcs_Klasse!$AI$27=2,FE73,IF(_Calcs_Klasse!$AI$27=1,"",0)),)</f>
        <v>0</v>
      </c>
      <c r="FI159" s="486"/>
      <c r="FJ159" s="486"/>
      <c r="FK159" s="486"/>
      <c r="FL159" s="486">
        <f>IFERROR(IF(_Calcs_Klasse!$AI$27=2,FD73,IF(_Calcs_Klasse!$AI$27=1,"",0)),)</f>
        <v>0</v>
      </c>
      <c r="FM159" s="486"/>
      <c r="FN159" s="486"/>
      <c r="FO159" s="486"/>
      <c r="FP159" s="241"/>
      <c r="FQ159" s="486"/>
      <c r="FR159" s="4228"/>
      <c r="FS159" s="4228"/>
      <c r="FT159" s="4228"/>
      <c r="FU159" s="4228"/>
      <c r="FV159" s="435"/>
      <c r="IH159" s="1172"/>
      <c r="II159" s="1172" t="str">
        <f>$II$113</f>
        <v>Side nummer</v>
      </c>
      <c r="IJ159" s="185"/>
      <c r="IK159" s="194" t="str">
        <f>"Side "&amp;$IH158&amp;" av "&amp;_Calcs!$II$100</f>
        <v>Side 6 av 9</v>
      </c>
      <c r="IL159" s="194" t="str">
        <f t="shared" ref="IL159:IS159" si="251">$IK159</f>
        <v>Side 6 av 9</v>
      </c>
      <c r="IM159" s="194" t="str">
        <f t="shared" si="251"/>
        <v>Side 6 av 9</v>
      </c>
      <c r="IN159" s="194" t="str">
        <f t="shared" si="251"/>
        <v>Side 6 av 9</v>
      </c>
      <c r="IO159" s="194" t="str">
        <f t="shared" si="251"/>
        <v>Side 6 av 9</v>
      </c>
      <c r="IP159" s="194" t="str">
        <f t="shared" si="251"/>
        <v>Side 6 av 9</v>
      </c>
      <c r="IQ159" s="194" t="str">
        <f t="shared" si="251"/>
        <v>Side 6 av 9</v>
      </c>
      <c r="IR159" s="194" t="str">
        <f t="shared" si="251"/>
        <v>Side 6 av 9</v>
      </c>
      <c r="IS159" s="194" t="str">
        <f t="shared" si="251"/>
        <v>Side 6 av 9</v>
      </c>
      <c r="QM159" s="2617"/>
      <c r="RF159" s="2617"/>
      <c r="RG159" s="2617"/>
      <c r="RH159" s="2617"/>
      <c r="RI159" s="2617"/>
      <c r="RJ159" s="2617"/>
      <c r="RK159" s="2617"/>
      <c r="RL159" s="2617"/>
      <c r="RM159" s="2617"/>
      <c r="RN159" s="2617"/>
      <c r="RO159" s="2617"/>
      <c r="RP159" s="2617"/>
      <c r="RQ159" s="2617"/>
      <c r="RR159" s="2617"/>
      <c r="RS159" s="2617"/>
      <c r="RT159" s="2617"/>
      <c r="RU159" s="2617"/>
      <c r="RV159" s="2617"/>
      <c r="RW159" s="2617"/>
      <c r="RX159" s="2617"/>
      <c r="RY159" s="2617"/>
      <c r="RZ159" s="2617"/>
      <c r="SA159" s="2617"/>
      <c r="SB159" s="2617"/>
      <c r="SC159" s="2617"/>
      <c r="SD159" s="2617"/>
      <c r="SE159" s="2617"/>
      <c r="SF159" s="2617"/>
      <c r="SG159" s="2617"/>
      <c r="SH159" s="2617"/>
      <c r="SI159" s="2617"/>
      <c r="UM159" s="1754"/>
    </row>
    <row r="160" spans="34:559" ht="20.100000000000001" customHeight="1" x14ac:dyDescent="0.2">
      <c r="AH160" s="2617"/>
      <c r="AI160" s="2617"/>
      <c r="BB160" s="340" t="str">
        <f>$QQ$135</f>
        <v>Stuff 1-3</v>
      </c>
      <c r="BC160" s="271">
        <f>IF($BC$38=1,0,IF($BC$38=2,3,0))</f>
        <v>3</v>
      </c>
      <c r="BD160" s="185">
        <f>IF($BC$34&gt;2,1,0)</f>
        <v>0</v>
      </c>
      <c r="BE160" s="194">
        <f>IF($BC$38=2,INDEX(outputs_position[13],MATCH($BC$35,outputs_position[lopstuff],0)),0)</f>
        <v>0</v>
      </c>
      <c r="BF160" s="194" t="str">
        <f t="shared" si="249"/>
        <v>Stuff 1-3</v>
      </c>
      <c r="BG160" s="194">
        <f>IF(position_stuff[[#This Row],[Position]]&lt;&gt;0,$BG$69,0)</f>
        <v>0</v>
      </c>
      <c r="BH160" s="194">
        <f>IFERROR((INDEX(inputs_spreng[Redusertsalvelengde],MATCH($BE160,inputs_spreng[Position],0))),0)</f>
        <v>0</v>
      </c>
      <c r="BI160" s="194">
        <f>IFERROR((INDEX(inputs_spreng[Todelttverrsnitt],MATCH($BE160,inputs_spreng[Position],0))),0)</f>
        <v>0</v>
      </c>
      <c r="BJ160" s="194">
        <f>IFERROR((INDEX(inputs_spreng[Redusertsalvelengdeogtodelttverrsnitt],MATCH($BE160,inputs_spreng[Position],0))),0)</f>
        <v>0</v>
      </c>
      <c r="BK160" s="194">
        <f>IF(AND(position_stuff[[#This Row],[Totalvol]]&gt;=0,position_stuff[[#This Row],[Position]]&lt;&gt;0),position_stuff[[#This Row],[Totalvol]]-position_stuff[[#This Row],[Redusertsalvelengde]]-position_stuff[[#This Row],[Todelttverrsnitt]]-position_stuff[[#This Row],[Redusertsalvelengdeogtodelttverrsnitt]],0)</f>
        <v>0</v>
      </c>
      <c r="BL160" s="194">
        <f>IFERROR((INDEX(inputs_spreng[Grøfter],MATCH(position_stuff[[#This Row],[Position]],inputs_spreng[Position],0))),0)</f>
        <v>0</v>
      </c>
      <c r="BM160" s="194">
        <f>IFERROR((INDEX(inputs_spreng[Nisjer],MATCH($BE160,inputs_spreng[Position],0))),0)</f>
        <v>0</v>
      </c>
      <c r="BN160" s="194">
        <f>IFERROR((INDEX(inputs_spreng[Snunisjer],MATCH($BE160,inputs_spreng[Position],0))),0)</f>
        <v>0</v>
      </c>
      <c r="BO160" s="194">
        <f>IFERROR((INDEX(inputs_spreng[Tverrforbindelser],MATCH($BE160,inputs_spreng[Position],0))),0)</f>
        <v>0</v>
      </c>
      <c r="BP160" s="194">
        <f>IFERROR((INDEX(inputs_spreng[Tekniskerom],MATCH($BE160,inputs_spreng[Position],0))),0)</f>
        <v>0</v>
      </c>
      <c r="BQ160" s="194">
        <f>IFERROR((INDEX(inputs_spreng[Siktutvidelse],MATCH($BE160,inputs_spreng[Position],0))),0)</f>
        <v>0</v>
      </c>
      <c r="BR160" s="194">
        <f>IFERROR((INDEX(inputs_spreng[Utvidelsefortungsikring],MATCH($BE160,inputs_spreng[Position],0))),0)</f>
        <v>0</v>
      </c>
      <c r="BS160" s="194">
        <f>IFERROR((INDEX(inputs_spreng[Pumpesump],MATCH($BE160,inputs_spreng[Position],0))),0)</f>
        <v>0</v>
      </c>
      <c r="BT160" s="194"/>
      <c r="BU160" s="194">
        <f>IFERROR((INDEX(inputs_spreng[Annet],MATCH($BE160,inputs_spreng[Position],0))),0)</f>
        <v>0</v>
      </c>
      <c r="BV160" s="393">
        <f>position_stuff[[#This Row],[Redusertsalvelengde]]+position_stuff[[#This Row],[Todelttverrsnitt]]+position_stuff[[#This Row],[Redusertsalvelengdeogtodelttverrsnitt]]</f>
        <v>0</v>
      </c>
      <c r="BW160"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0" s="194">
        <f>IF(position_stuff[[#This Row],[Totalvol]]&gt;=0,position_stuff[[#This Row],[Totalvol]]+position_stuff[[#This Row],[total_nisjer]],"!")</f>
        <v>0</v>
      </c>
      <c r="BY160" s="194"/>
      <c r="DR160" s="1954" t="s">
        <v>822</v>
      </c>
      <c r="DS160" s="190"/>
      <c r="DT160" s="190"/>
      <c r="DU160" s="3402"/>
      <c r="DV160" s="3402"/>
      <c r="DW160" s="2617"/>
      <c r="DX160" s="2617"/>
      <c r="DY160" s="2617"/>
      <c r="DZ160" s="2617"/>
      <c r="EA160" s="2617"/>
      <c r="EB160" s="2617"/>
      <c r="EC160" s="2617"/>
      <c r="ED160" s="2617"/>
      <c r="EE160" s="2617"/>
      <c r="EF160" s="2617"/>
      <c r="EG160" s="2617"/>
      <c r="EH160" s="2617"/>
      <c r="EI160" s="2617"/>
      <c r="EQ160" s="435"/>
      <c r="ER160" s="235"/>
      <c r="ES160" s="354"/>
      <c r="ET160" s="185"/>
      <c r="EU160" s="194"/>
      <c r="EV160" s="194"/>
      <c r="EW160" s="843"/>
      <c r="EX160" s="241"/>
      <c r="EY160" s="241"/>
      <c r="EZ160" s="241"/>
      <c r="FA160" s="241"/>
      <c r="FB160" s="241"/>
      <c r="FC160" s="241"/>
      <c r="FD160" s="241"/>
      <c r="FE160" s="241"/>
      <c r="FF160" s="241"/>
      <c r="FG160" s="241"/>
      <c r="FH160" s="241"/>
      <c r="FI160" s="241"/>
      <c r="FJ160" s="241"/>
      <c r="FK160" s="241"/>
      <c r="FL160" s="241">
        <f>IFERROR(IF(_Calcs_Klasse!$AI$27=2,FD74,IF(_Calcs_Klasse!$AI$27=1,"",0)),)</f>
        <v>0</v>
      </c>
      <c r="FM160" s="241"/>
      <c r="FN160" s="241"/>
      <c r="FO160" s="241"/>
      <c r="FP160" s="241"/>
      <c r="FQ160" s="241"/>
      <c r="FR160" s="4227"/>
      <c r="FS160" s="4227"/>
      <c r="FT160" s="4227"/>
      <c r="FU160" s="4227"/>
      <c r="FV160" s="435"/>
      <c r="IH160" s="1172"/>
      <c r="II160" s="1172"/>
      <c r="IJ160" s="185"/>
      <c r="IK160" s="372"/>
      <c r="IL160" s="372"/>
      <c r="IM160" s="372"/>
      <c r="IN160" s="372"/>
      <c r="IO160" s="372"/>
      <c r="IP160" s="372"/>
      <c r="IQ160" s="372"/>
      <c r="IR160" s="372"/>
      <c r="IS160" s="372"/>
      <c r="OU160" s="184"/>
      <c r="PF160" s="183"/>
      <c r="PI160" s="265"/>
      <c r="PP160" s="183"/>
      <c r="QM160" s="2617"/>
      <c r="RF160" s="2617"/>
      <c r="RG160" s="2617"/>
      <c r="RH160" s="2617"/>
      <c r="RI160" s="2617"/>
      <c r="RJ160" s="2617"/>
      <c r="RK160" s="2617"/>
      <c r="RL160" s="2617"/>
      <c r="RM160" s="2617"/>
      <c r="RN160" s="2617"/>
      <c r="RO160" s="2617"/>
      <c r="RP160" s="2617"/>
      <c r="RQ160" s="2617"/>
      <c r="RR160" s="2617"/>
      <c r="RS160" s="2617"/>
      <c r="RT160" s="2617"/>
      <c r="RU160" s="2617"/>
      <c r="RV160" s="2617"/>
      <c r="RW160" s="2617"/>
      <c r="RX160" s="2617"/>
      <c r="RY160" s="2617"/>
      <c r="RZ160" s="2617"/>
      <c r="SA160" s="2617"/>
      <c r="SB160" s="2617"/>
      <c r="SC160" s="2617"/>
      <c r="SD160" s="2617"/>
      <c r="SE160" s="2617"/>
      <c r="SF160" s="2617"/>
      <c r="SG160" s="2617"/>
      <c r="SH160" s="2617"/>
      <c r="SI160" s="2617"/>
      <c r="UM160" s="1754"/>
    </row>
    <row r="161" spans="2:605" ht="20.100000000000001" customHeight="1" x14ac:dyDescent="0.2">
      <c r="AH161" s="2617"/>
      <c r="AI161" s="2617"/>
      <c r="BB161" s="340" t="str">
        <f>$QR$135</f>
        <v>Stuff 1-4</v>
      </c>
      <c r="BC161" s="271">
        <f>IF($BC$38=1,0,IF($BC$38=2,4,0))</f>
        <v>4</v>
      </c>
      <c r="BD161" s="185">
        <f>IF($BC$34&gt;3,1,0)</f>
        <v>0</v>
      </c>
      <c r="BE161" s="194">
        <f>IF($BC$38=2,INDEX(outputs_position[14],MATCH($BC$35,outputs_position[lopstuff],0)),0)</f>
        <v>0</v>
      </c>
      <c r="BF161" s="194" t="str">
        <f t="shared" si="249"/>
        <v>Stuff 1-4</v>
      </c>
      <c r="BG161" s="194">
        <f>IF(position_stuff[[#This Row],[Position]]&lt;&gt;0,$BH$69,0)</f>
        <v>0</v>
      </c>
      <c r="BH161" s="194">
        <f>IFERROR((INDEX(inputs_spreng[Redusertsalvelengde],MATCH($BE161,inputs_spreng[Position],0))),0)</f>
        <v>0</v>
      </c>
      <c r="BI161" s="194">
        <f>IFERROR((INDEX(inputs_spreng[Todelttverrsnitt],MATCH($BE161,inputs_spreng[Position],0))),0)</f>
        <v>0</v>
      </c>
      <c r="BJ161" s="194">
        <f>IFERROR((INDEX(inputs_spreng[Redusertsalvelengdeogtodelttverrsnitt],MATCH($BE161,inputs_spreng[Position],0))),0)</f>
        <v>0</v>
      </c>
      <c r="BK161" s="194">
        <f>IF(AND(position_stuff[[#This Row],[Totalvol]]&gt;=0,position_stuff[[#This Row],[Position]]&lt;&gt;0),position_stuff[[#This Row],[Totalvol]]-position_stuff[[#This Row],[Redusertsalvelengde]]-position_stuff[[#This Row],[Todelttverrsnitt]]-position_stuff[[#This Row],[Redusertsalvelengdeogtodelttverrsnitt]],0)</f>
        <v>0</v>
      </c>
      <c r="BL161" s="194">
        <f>IFERROR((INDEX(inputs_spreng[Grøfter],MATCH(position_stuff[[#This Row],[Position]],inputs_spreng[Position],0))),0)</f>
        <v>0</v>
      </c>
      <c r="BM161" s="194">
        <f>IFERROR((INDEX(inputs_spreng[Nisjer],MATCH($BE161,inputs_spreng[Position],0))),0)</f>
        <v>0</v>
      </c>
      <c r="BN161" s="194">
        <f>IFERROR((INDEX(inputs_spreng[Snunisjer],MATCH($BE161,inputs_spreng[Position],0))),0)</f>
        <v>0</v>
      </c>
      <c r="BO161" s="194">
        <f>IFERROR((INDEX(inputs_spreng[Tverrforbindelser],MATCH($BE161,inputs_spreng[Position],0))),0)</f>
        <v>0</v>
      </c>
      <c r="BP161" s="194">
        <f>IFERROR((INDEX(inputs_spreng[Tekniskerom],MATCH($BE161,inputs_spreng[Position],0))),0)</f>
        <v>0</v>
      </c>
      <c r="BQ161" s="194">
        <f>IFERROR((INDEX(inputs_spreng[Siktutvidelse],MATCH($BE161,inputs_spreng[Position],0))),0)</f>
        <v>0</v>
      </c>
      <c r="BR161" s="194">
        <f>IFERROR((INDEX(inputs_spreng[Utvidelsefortungsikring],MATCH($BE161,inputs_spreng[Position],0))),0)</f>
        <v>0</v>
      </c>
      <c r="BS161" s="194">
        <f>IFERROR((INDEX(inputs_spreng[Pumpesump],MATCH($BE161,inputs_spreng[Position],0))),0)</f>
        <v>0</v>
      </c>
      <c r="BT161" s="194"/>
      <c r="BU161" s="194">
        <f>IFERROR((INDEX(inputs_spreng[Annet],MATCH($BE161,inputs_spreng[Position],0))),0)</f>
        <v>0</v>
      </c>
      <c r="BV161" s="393">
        <f>position_stuff[[#This Row],[Redusertsalvelengde]]+position_stuff[[#This Row],[Todelttverrsnitt]]+position_stuff[[#This Row],[Redusertsalvelengdeogtodelttverrsnitt]]</f>
        <v>0</v>
      </c>
      <c r="BW161"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1" s="194">
        <f>IF(position_stuff[[#This Row],[Totalvol]]&gt;=0,position_stuff[[#This Row],[Totalvol]]+position_stuff[[#This Row],[total_nisjer]],"!")</f>
        <v>0</v>
      </c>
      <c r="BY161" s="194"/>
      <c r="EQ161" s="435"/>
      <c r="ER161" s="235" t="s">
        <v>483</v>
      </c>
      <c r="ES161" s="349">
        <f>VALUE(1&amp;_Calcs_Klasse!$AI$31)</f>
        <v>12</v>
      </c>
      <c r="ET161" s="237">
        <f>IF($BC$34&gt;0,1,0)</f>
        <v>1</v>
      </c>
      <c r="EU161" s="194">
        <f>INDEX(outputs_position[11],MATCH($BC$35,outputs_position[lopstuff],0))</f>
        <v>1</v>
      </c>
      <c r="EV161" s="194" t="str">
        <f t="shared" ref="EV161:EV169" si="252">ER161</f>
        <v>Stuff 1-1</v>
      </c>
      <c r="EW161" s="843" t="s">
        <v>1154</v>
      </c>
      <c r="EX161" s="241">
        <f>IFERROR(INDEX(outputs_klasse_qty[man_total_hr],MATCH(inputs_stab_klasse[[#This Row],[klasse_stuff_id]],outputs_klasse_qty[klasse_stuff_id],0)),"")</f>
        <v>0</v>
      </c>
      <c r="EY161" s="241">
        <f>IFERROR(INDEX(outputs_klasse_qty[kartlegg_total_hr],MATCH(inputs_stab_klasse[[#This Row],[klasse_stuff_id]],outputs_klasse_qty[klasse_stuff_id],0)),"")</f>
        <v>0</v>
      </c>
      <c r="EZ161" s="241" t="str">
        <f>IFERROR(INDEX(outputs_klasse_qty[bolt_lt4_sum],MATCH(inputs_stab_klasse[[#This Row],[klasse_stuff_id]],outputs_klasse_qty[klasse_stuff_id],0)),"")</f>
        <v/>
      </c>
      <c r="FA161" s="241" t="str">
        <f>IFERROR(INDEX(outputs_klasse_qty[bolt_gt4_sum],MATCH(inputs_stab_klasse[[#This Row],[klasse_stuff_id]],outputs_klasse_qty[klasse_stuff_id],0)),"")</f>
        <v/>
      </c>
      <c r="FB161" s="241">
        <f>IFERROR(INDEX(outputs_klasse_qty[bergbånd_langs_forbolting_total],MATCH(inputs_stab_klasse[[#This Row],[klasse_stuff_id]],outputs_klasse_qty[klasse_stuff_id],0)),"")</f>
        <v>0</v>
      </c>
      <c r="FC161" s="241">
        <f>IFERROR(INDEX(outputs_klasse_qty[bånd_ekstra_total],MATCH(inputs_stab_klasse[[#This Row],[klasse_stuff_id]],outputs_klasse_qty[klasse_stuff_id],0)),"")</f>
        <v>0</v>
      </c>
      <c r="FD161" s="241">
        <f>IFERROR(INDEX(outputs_klasse_qty[festebolter_for bergbånd_total],MATCH(inputs_stab_klasse[[#This Row],[klasse_stuff_id]],outputs_klasse_qty[klasse_stuff_id],0)),"")</f>
        <v>0</v>
      </c>
      <c r="FE161" s="241">
        <f>IFERROR(INDEX(outputs_klasse_qty[nett_total],MATCH(inputs_stab_klasse[[#This Row],[klasse_stuff_id]],outputs_klasse_qty[klasse_stuff_id],0)),"")</f>
        <v>0</v>
      </c>
      <c r="FF161" s="241">
        <f>IFERROR(INDEX(outputs_klasse_qty[festebolter_for_nett_sum],MATCH(inputs_stab_klasse[[#This Row],[klasse_stuff_id]],outputs_klasse_qty[klasse_stuff_id],0)),"")</f>
        <v>0</v>
      </c>
      <c r="FG161" s="241" t="str">
        <f>IFERROR(INDEX(outputs_klasse_qty[sprøytebetong_ved_nett_sum],MATCH(inputs_stab_klasse[[#This Row],[klasse_stuff_id]],outputs_klasse_qty[klasse_stuff_id],0)),"")</f>
        <v/>
      </c>
      <c r="FH161" s="241">
        <f>IFERROR(INDEX(outputs_klasse_qty[forbolter_lt4_sum],MATCH(inputs_stab_klasse[[#This Row],[klasse_stuff_id]],outputs_klasse_qty[klasse_stuff_id],0)),"")</f>
        <v>0</v>
      </c>
      <c r="FI161" s="241">
        <f>IFERROR(INDEX(outputs_klasse_qty[forbolter_gt4_sum],MATCH(inputs_stab_klasse[[#This Row],[klasse_stuff_id]],outputs_klasse_qty[klasse_stuff_id],0)),"")</f>
        <v>0</v>
      </c>
      <c r="FJ161" s="241">
        <f>IFERROR(INDEX(outputs_klasse_qty[opphengbolter_lt4_sum],MATCH(inputs_stab_klasse[[#This Row],[klasse_stuff_id]],outputs_klasse_qty[klasse_stuff_id],0)),"")</f>
        <v>0</v>
      </c>
      <c r="FK161" s="241">
        <f>IFERROR(INDEX(outputs_klasse_qty[opphengbolter_gt4_sum],MATCH(inputs_stab_klasse[[#This Row],[klasse_stuff_id]],outputs_klasse_qty[klasse_stuff_id],0)),"")</f>
        <v>0</v>
      </c>
      <c r="FL161" s="241">
        <f>IFERROR(INDEX(outputs_klasse_qty[sprøyte_total],MATCH(inputs_stab_klasse[[#This Row],[klasse_stuff_id]],outputs_klasse_qty[klasse_stuff_id],0)),"")</f>
        <v>0</v>
      </c>
      <c r="FM161" s="241" t="str">
        <f>IFERROR(INDEX(outputs_klasse_qty[bue_e30_sum],MATCH(inputs_stab_klasse[[#This Row],[klasse_stuff_id]],outputs_klasse_qty[klasse_stuff_id],0)),"")</f>
        <v/>
      </c>
      <c r="FN161" s="241" t="str">
        <f>IFERROR(INDEX(outputs_klasse_qty[bue_d60_sum],MATCH(inputs_stab_klasse[[#This Row],[klasse_stuff_id]],outputs_klasse_qty[klasse_stuff_id],0)),"")</f>
        <v/>
      </c>
      <c r="FO161" s="241">
        <f>IFERROR(INDEX(outputs_klasse_qty[bue_radielle_lt4_sum],MATCH(inputs_stab_klasse[[#This Row],[klasse_stuff_id]],outputs_klasse_qty[klasse_stuff_id],0)),"")</f>
        <v>0</v>
      </c>
      <c r="FP161" s="241">
        <f>IFERROR(INDEX(outputs_klasse_qty[bue_radielle_gt4_sum],MATCH(inputs_stab_klasse[[#This Row],[klasse_stuff_id]],outputs_klasse_qty[klasse_stuff_id],0)),"")</f>
        <v>0</v>
      </c>
      <c r="FQ161" s="241">
        <f>IFERROR(INDEX(outputs_klasse_qty[sprøytebetong_ved_bue_sum],MATCH(inputs_stab_klasse[[#This Row],[klasse_stuff_id]],outputs_klasse_qty[klasse_stuff_id],0)),"")</f>
        <v>0</v>
      </c>
      <c r="FR161" s="241">
        <f>IFERROR(INDEX(outputs_klasse_qty[forankring_lt4_sum],MATCH(inputs_stab_klasse[[#This Row],[klasse_stuff_id]],outputs_klasse_qty[klasse_stuff_id],0)),"")</f>
        <v>0</v>
      </c>
      <c r="FS161" s="241">
        <f>IFERROR(INDEX(outputs_klasse_qty[forankring_gt4_sum],MATCH(inputs_stab_klasse[[#This Row],[klasse_stuff_id]],outputs_klasse_qty[klasse_stuff_id],0)),"")</f>
        <v>0</v>
      </c>
      <c r="FT161" s="4227"/>
      <c r="FU161" s="4227"/>
      <c r="FV161" s="435"/>
      <c r="IH161" s="1172"/>
      <c r="II161" s="1172" t="str">
        <f>$II$116</f>
        <v>Justering</v>
      </c>
      <c r="IJ161" s="185"/>
      <c r="IK161" s="194" t="str">
        <f>_Calcs!$K$87</f>
        <v>Justeringer</v>
      </c>
      <c r="IL161" s="194" t="str">
        <f t="shared" ref="IL161:IS162" si="253">$IK161</f>
        <v>Justeringer</v>
      </c>
      <c r="IM161" s="194" t="str">
        <f t="shared" si="253"/>
        <v>Justeringer</v>
      </c>
      <c r="IN161" s="194" t="str">
        <f t="shared" si="253"/>
        <v>Justeringer</v>
      </c>
      <c r="IO161" s="194" t="str">
        <f t="shared" si="253"/>
        <v>Justeringer</v>
      </c>
      <c r="IP161" s="194" t="str">
        <f t="shared" si="253"/>
        <v>Justeringer</v>
      </c>
      <c r="IQ161" s="194" t="str">
        <f t="shared" si="253"/>
        <v>Justeringer</v>
      </c>
      <c r="IR161" s="194" t="str">
        <f t="shared" si="253"/>
        <v>Justeringer</v>
      </c>
      <c r="IS161" s="194" t="str">
        <f t="shared" si="253"/>
        <v>Justeringer</v>
      </c>
      <c r="OU161" s="184"/>
      <c r="PF161" s="183"/>
      <c r="PI161" s="265"/>
      <c r="PP161" s="183"/>
      <c r="QM161" s="2617"/>
      <c r="RF161" s="2617"/>
      <c r="RG161" s="2617"/>
      <c r="RH161" s="2617"/>
      <c r="RI161" s="2617"/>
      <c r="RJ161" s="2617"/>
      <c r="RK161" s="2617"/>
      <c r="RL161" s="2617"/>
      <c r="RM161" s="2617"/>
      <c r="RN161" s="2617"/>
      <c r="RO161" s="2617"/>
      <c r="RP161" s="2617"/>
      <c r="RQ161" s="2617"/>
      <c r="RR161" s="2617"/>
      <c r="RS161" s="2617"/>
      <c r="RT161" s="2617"/>
      <c r="RU161" s="2617"/>
      <c r="RV161" s="2617"/>
      <c r="RW161" s="2617"/>
      <c r="RX161" s="2617"/>
      <c r="RY161" s="2617"/>
      <c r="RZ161" s="2617"/>
      <c r="SA161" s="2617"/>
      <c r="SB161" s="2617"/>
      <c r="SC161" s="2617"/>
      <c r="SD161" s="2617"/>
      <c r="SE161" s="2617"/>
      <c r="SF161" s="2617"/>
      <c r="SG161" s="2617"/>
      <c r="SH161" s="2617"/>
      <c r="SI161" s="2617"/>
      <c r="UM161" s="1754"/>
    </row>
    <row r="162" spans="2:605" ht="20.100000000000001" customHeight="1" x14ac:dyDescent="0.2">
      <c r="AH162" s="2617"/>
      <c r="AI162" s="2617"/>
      <c r="BB162" s="340" t="str">
        <f>$QS$135</f>
        <v>Stuff 2-1</v>
      </c>
      <c r="BC162" s="294">
        <f>IF($BC$38=1,0,IF($BC$38=2,5,0))</f>
        <v>5</v>
      </c>
      <c r="BD162" s="185">
        <f>IF($BC$34&gt;4,1,0)</f>
        <v>0</v>
      </c>
      <c r="BE162" s="194">
        <f>IF($BC$38=2,INDEX(outputs_position[21],MATCH($BC$35,outputs_position[lopstuff],0)),0)</f>
        <v>0</v>
      </c>
      <c r="BF162" s="194" t="str">
        <f t="shared" si="249"/>
        <v>Stuff 2-1</v>
      </c>
      <c r="BG162" s="194">
        <f>IF(position_stuff[[#This Row],[Position]]&lt;&gt;0,$BJ$69,0)</f>
        <v>0</v>
      </c>
      <c r="BH162" s="194">
        <f>IFERROR((INDEX(inputs_spreng[Redusertsalvelengde],MATCH($BE162,inputs_spreng[Position],0))),0)</f>
        <v>0</v>
      </c>
      <c r="BI162" s="194">
        <f>IFERROR((INDEX(inputs_spreng[Todelttverrsnitt],MATCH($BE162,inputs_spreng[Position],0))),0)</f>
        <v>0</v>
      </c>
      <c r="BJ162" s="194">
        <f>IFERROR((INDEX(inputs_spreng[Redusertsalvelengdeogtodelttverrsnitt],MATCH($BE162,inputs_spreng[Position],0))),0)</f>
        <v>0</v>
      </c>
      <c r="BK162" s="194">
        <f>IF(AND(position_stuff[[#This Row],[Totalvol]]&gt;=0,position_stuff[[#This Row],[Position]]&lt;&gt;0),position_stuff[[#This Row],[Totalvol]]-position_stuff[[#This Row],[Redusertsalvelengde]]-position_stuff[[#This Row],[Todelttverrsnitt]]-position_stuff[[#This Row],[Redusertsalvelengdeogtodelttverrsnitt]],0)</f>
        <v>0</v>
      </c>
      <c r="BL162" s="194">
        <f>IFERROR((INDEX(inputs_spreng[Grøfter],MATCH(position_stuff[[#This Row],[Position]],inputs_spreng[Position],0))),0)</f>
        <v>0</v>
      </c>
      <c r="BM162" s="194">
        <f>IFERROR((INDEX(inputs_spreng[Nisjer],MATCH($BE162,inputs_spreng[Position],0))),0)</f>
        <v>0</v>
      </c>
      <c r="BN162" s="194">
        <f>IFERROR((INDEX(inputs_spreng[Snunisjer],MATCH($BE162,inputs_spreng[Position],0))),0)</f>
        <v>0</v>
      </c>
      <c r="BO162" s="194">
        <f>IFERROR((INDEX(inputs_spreng[Tverrforbindelser],MATCH($BE162,inputs_spreng[Position],0))),0)</f>
        <v>0</v>
      </c>
      <c r="BP162" s="194">
        <f>IFERROR((INDEX(inputs_spreng[Tekniskerom],MATCH($BE162,inputs_spreng[Position],0))),0)</f>
        <v>0</v>
      </c>
      <c r="BQ162" s="194">
        <f>IFERROR((INDEX(inputs_spreng[Siktutvidelse],MATCH($BE162,inputs_spreng[Position],0))),0)</f>
        <v>0</v>
      </c>
      <c r="BR162" s="194">
        <f>IFERROR((INDEX(inputs_spreng[Utvidelsefortungsikring],MATCH($BE162,inputs_spreng[Position],0))),0)</f>
        <v>0</v>
      </c>
      <c r="BS162" s="194">
        <f>IFERROR((INDEX(inputs_spreng[Pumpesump],MATCH($BE162,inputs_spreng[Position],0))),0)</f>
        <v>0</v>
      </c>
      <c r="BT162" s="194"/>
      <c r="BU162" s="194">
        <f>IFERROR((INDEX(inputs_spreng[Annet],MATCH($BE162,inputs_spreng[Position],0))),0)</f>
        <v>0</v>
      </c>
      <c r="BV162" s="393">
        <f>position_stuff[[#This Row],[Redusertsalvelengde]]+position_stuff[[#This Row],[Todelttverrsnitt]]+position_stuff[[#This Row],[Redusertsalvelengdeogtodelttverrsnitt]]</f>
        <v>0</v>
      </c>
      <c r="BW162"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2" s="194">
        <f>IF(position_stuff[[#This Row],[Totalvol]]&gt;=0,position_stuff[[#This Row],[Totalvol]]+position_stuff[[#This Row],[total_nisjer]],"!")</f>
        <v>0</v>
      </c>
      <c r="BY162" s="194"/>
      <c r="EQ162" s="435"/>
      <c r="ER162" s="235" t="s">
        <v>485</v>
      </c>
      <c r="ES162" s="349">
        <f>VALUE(2&amp;_Calcs_Klasse!$AI$31)</f>
        <v>22</v>
      </c>
      <c r="ET162" s="237">
        <f>IF($BC$34&gt;1,1,0)</f>
        <v>0</v>
      </c>
      <c r="EU162" s="194">
        <f>INDEX(outputs_position[12],MATCH($BC$35,outputs_position[lopstuff],0))</f>
        <v>0</v>
      </c>
      <c r="EV162" s="194" t="str">
        <f t="shared" si="252"/>
        <v>Stuff 1-2</v>
      </c>
      <c r="EW162" s="843" t="s">
        <v>1155</v>
      </c>
      <c r="EX162" s="241">
        <f>IFERROR(INDEX(outputs_klasse_qty[man_total_hr],MATCH(inputs_stab_klasse[[#This Row],[klasse_stuff_id]],outputs_klasse_qty[klasse_stuff_id],0)),"")</f>
        <v>0</v>
      </c>
      <c r="EY162" s="241">
        <f>IFERROR(INDEX(outputs_klasse_qty[kartlegg_total_hr],MATCH(inputs_stab_klasse[[#This Row],[klasse_stuff_id]],outputs_klasse_qty[klasse_stuff_id],0)),"")</f>
        <v>0</v>
      </c>
      <c r="EZ162" s="241" t="str">
        <f>IFERROR(INDEX(outputs_klasse_qty[bolt_lt4_sum],MATCH(inputs_stab_klasse[[#This Row],[klasse_stuff_id]],outputs_klasse_qty[klasse_stuff_id],0)),"")</f>
        <v/>
      </c>
      <c r="FA162" s="241" t="str">
        <f>IFERROR(INDEX(outputs_klasse_qty[bolt_gt4_sum],MATCH(inputs_stab_klasse[[#This Row],[klasse_stuff_id]],outputs_klasse_qty[klasse_stuff_id],0)),"")</f>
        <v/>
      </c>
      <c r="FB162" s="241">
        <f>IFERROR(INDEX(outputs_klasse_qty[bergbånd_langs_forbolting_total],MATCH(inputs_stab_klasse[[#This Row],[klasse_stuff_id]],outputs_klasse_qty[klasse_stuff_id],0)),"")</f>
        <v>0</v>
      </c>
      <c r="FC162" s="241">
        <f>IFERROR(INDEX(outputs_klasse_qty[bånd_ekstra_total],MATCH(inputs_stab_klasse[[#This Row],[klasse_stuff_id]],outputs_klasse_qty[klasse_stuff_id],0)),"")</f>
        <v>0</v>
      </c>
      <c r="FD162" s="241">
        <f>IFERROR(INDEX(outputs_klasse_qty[festebolter_for bergbånd_total],MATCH(inputs_stab_klasse[[#This Row],[klasse_stuff_id]],outputs_klasse_qty[klasse_stuff_id],0)),"")</f>
        <v>0</v>
      </c>
      <c r="FE162" s="241">
        <f>IFERROR(INDEX(outputs_klasse_qty[nett_total],MATCH(inputs_stab_klasse[[#This Row],[klasse_stuff_id]],outputs_klasse_qty[klasse_stuff_id],0)),"")</f>
        <v>0</v>
      </c>
      <c r="FF162" s="241">
        <f>IFERROR(INDEX(outputs_klasse_qty[festebolter_for_nett_sum],MATCH(inputs_stab_klasse[[#This Row],[klasse_stuff_id]],outputs_klasse_qty[klasse_stuff_id],0)),"")</f>
        <v>0</v>
      </c>
      <c r="FG162" s="241" t="str">
        <f>IFERROR(INDEX(outputs_klasse_qty[sprøytebetong_ved_nett_sum],MATCH(inputs_stab_klasse[[#This Row],[klasse_stuff_id]],outputs_klasse_qty[klasse_stuff_id],0)),"")</f>
        <v/>
      </c>
      <c r="FH162" s="241">
        <f>IFERROR(INDEX(outputs_klasse_qty[forbolter_lt4_sum],MATCH(inputs_stab_klasse[[#This Row],[klasse_stuff_id]],outputs_klasse_qty[klasse_stuff_id],0)),"")</f>
        <v>0</v>
      </c>
      <c r="FI162" s="241">
        <f>IFERROR(INDEX(outputs_klasse_qty[forbolter_gt4_sum],MATCH(inputs_stab_klasse[[#This Row],[klasse_stuff_id]],outputs_klasse_qty[klasse_stuff_id],0)),"")</f>
        <v>0</v>
      </c>
      <c r="FJ162" s="241">
        <f>IFERROR(INDEX(outputs_klasse_qty[opphengbolter_lt4_sum],MATCH(inputs_stab_klasse[[#This Row],[klasse_stuff_id]],outputs_klasse_qty[klasse_stuff_id],0)),"")</f>
        <v>0</v>
      </c>
      <c r="FK162" s="241">
        <f>IFERROR(INDEX(outputs_klasse_qty[opphengbolter_gt4_sum],MATCH(inputs_stab_klasse[[#This Row],[klasse_stuff_id]],outputs_klasse_qty[klasse_stuff_id],0)),"")</f>
        <v>0</v>
      </c>
      <c r="FL162" s="241">
        <f>IFERROR(INDEX(outputs_klasse_qty[sprøyte_total],MATCH(inputs_stab_klasse[[#This Row],[klasse_stuff_id]],outputs_klasse_qty[klasse_stuff_id],0)),"")</f>
        <v>0</v>
      </c>
      <c r="FM162" s="241" t="str">
        <f>IFERROR(INDEX(outputs_klasse_qty[bue_e30_sum],MATCH(inputs_stab_klasse[[#This Row],[klasse_stuff_id]],outputs_klasse_qty[klasse_stuff_id],0)),"")</f>
        <v/>
      </c>
      <c r="FN162" s="241" t="str">
        <f>IFERROR(INDEX(outputs_klasse_qty[bue_d60_sum],MATCH(inputs_stab_klasse[[#This Row],[klasse_stuff_id]],outputs_klasse_qty[klasse_stuff_id],0)),"")</f>
        <v/>
      </c>
      <c r="FO162" s="241">
        <f>IFERROR(INDEX(outputs_klasse_qty[bue_radielle_lt4_sum],MATCH(inputs_stab_klasse[[#This Row],[klasse_stuff_id]],outputs_klasse_qty[klasse_stuff_id],0)),"")</f>
        <v>0</v>
      </c>
      <c r="FP162" s="241">
        <f>IFERROR(INDEX(outputs_klasse_qty[bue_radielle_gt4_sum],MATCH(inputs_stab_klasse[[#This Row],[klasse_stuff_id]],outputs_klasse_qty[klasse_stuff_id],0)),"")</f>
        <v>0</v>
      </c>
      <c r="FQ162" s="241">
        <f>IFERROR(INDEX(outputs_klasse_qty[sprøytebetong_ved_bue_sum],MATCH(inputs_stab_klasse[[#This Row],[klasse_stuff_id]],outputs_klasse_qty[klasse_stuff_id],0)),"")</f>
        <v>0</v>
      </c>
      <c r="FR162" s="241">
        <f>IFERROR(INDEX(outputs_klasse_qty[forankring_lt4_sum],MATCH(inputs_stab_klasse[[#This Row],[klasse_stuff_id]],outputs_klasse_qty[klasse_stuff_id],0)),"")</f>
        <v>0</v>
      </c>
      <c r="FS162" s="241">
        <f>IFERROR(INDEX(outputs_klasse_qty[forankring_gt4_sum],MATCH(inputs_stab_klasse[[#This Row],[klasse_stuff_id]],outputs_klasse_qty[klasse_stuff_id],0)),"")</f>
        <v>0</v>
      </c>
      <c r="FT162" s="4227"/>
      <c r="FU162" s="4227"/>
      <c r="FV162" s="435"/>
      <c r="IH162" s="1172"/>
      <c r="II162" s="1172" t="s">
        <v>2705</v>
      </c>
      <c r="IJ162" s="185"/>
      <c r="IK162" s="451" t="str">
        <f>_Calcs!$L$80</f>
        <v>Sprengingsvibrasjoner</v>
      </c>
      <c r="IL162" s="451" t="str">
        <f t="shared" si="253"/>
        <v>Sprengingsvibrasjoner</v>
      </c>
      <c r="IM162" s="451" t="str">
        <f t="shared" si="253"/>
        <v>Sprengingsvibrasjoner</v>
      </c>
      <c r="IN162" s="451" t="str">
        <f t="shared" si="253"/>
        <v>Sprengingsvibrasjoner</v>
      </c>
      <c r="IO162" s="451" t="str">
        <f t="shared" si="253"/>
        <v>Sprengingsvibrasjoner</v>
      </c>
      <c r="IP162" s="451" t="str">
        <f t="shared" si="253"/>
        <v>Sprengingsvibrasjoner</v>
      </c>
      <c r="IQ162" s="451" t="str">
        <f t="shared" si="253"/>
        <v>Sprengingsvibrasjoner</v>
      </c>
      <c r="IR162" s="451" t="str">
        <f t="shared" si="253"/>
        <v>Sprengingsvibrasjoner</v>
      </c>
      <c r="IS162" s="451" t="str">
        <f t="shared" si="253"/>
        <v>Sprengingsvibrasjoner</v>
      </c>
      <c r="OU162" s="184"/>
      <c r="PF162" s="183"/>
      <c r="PI162" s="265"/>
      <c r="PP162" s="183"/>
      <c r="QM162" s="2617"/>
      <c r="QN162" s="2617"/>
      <c r="QO162" s="2617"/>
      <c r="QP162" s="2617"/>
      <c r="QQ162" s="2617"/>
      <c r="QR162" s="2617"/>
      <c r="QS162" s="2617"/>
      <c r="QT162" s="2617"/>
      <c r="QU162" s="2617"/>
      <c r="QV162" s="2617"/>
      <c r="QW162" s="2617"/>
      <c r="QX162" s="2617"/>
      <c r="QY162" s="2617"/>
      <c r="RF162" s="2617"/>
      <c r="RG162" s="2617"/>
      <c r="RH162" s="2617"/>
      <c r="RI162" s="2617"/>
      <c r="RJ162" s="2617"/>
      <c r="RK162" s="2617"/>
      <c r="RL162" s="2617"/>
      <c r="RM162" s="2617"/>
      <c r="RN162" s="2617"/>
      <c r="RO162" s="2617"/>
      <c r="RP162" s="2617"/>
      <c r="RQ162" s="2617"/>
      <c r="RR162" s="2617"/>
      <c r="RS162" s="2617"/>
      <c r="RT162" s="2617"/>
      <c r="RU162" s="2617"/>
      <c r="RV162" s="2617"/>
      <c r="RW162" s="2617"/>
      <c r="RX162" s="2617"/>
      <c r="RY162" s="2617"/>
      <c r="RZ162" s="2617"/>
      <c r="SA162" s="2617"/>
      <c r="SB162" s="2617"/>
      <c r="SC162" s="2617"/>
      <c r="SD162" s="2617"/>
      <c r="SE162" s="2617"/>
      <c r="SF162" s="2617"/>
      <c r="SG162" s="2617"/>
      <c r="SH162" s="2617"/>
      <c r="SI162" s="2617"/>
      <c r="UM162" s="1754"/>
    </row>
    <row r="163" spans="2:605" ht="20.100000000000001" customHeight="1" x14ac:dyDescent="0.2">
      <c r="AH163" s="2617"/>
      <c r="AI163" s="2617"/>
      <c r="BB163" s="340" t="str">
        <f>$QT$135</f>
        <v>Stuff 2-2</v>
      </c>
      <c r="BC163" s="294">
        <f>IF($BC$38=1,0,IF($BC$38=2,6,0))</f>
        <v>6</v>
      </c>
      <c r="BD163" s="185">
        <f>IF($BC$34&gt;5,1,0)</f>
        <v>0</v>
      </c>
      <c r="BE163" s="194">
        <f>IF($BC$38=2,INDEX(outputs_position[22],MATCH($BC$35,outputs_position[lopstuff],0)),0)</f>
        <v>0</v>
      </c>
      <c r="BF163" s="194" t="str">
        <f t="shared" si="249"/>
        <v>Stuff 2-2</v>
      </c>
      <c r="BG163" s="194">
        <f>IF(position_stuff[[#This Row],[Position]]&lt;&gt;0,$BK$69,0)</f>
        <v>0</v>
      </c>
      <c r="BH163" s="194">
        <f>IFERROR((INDEX(inputs_spreng[Redusertsalvelengde],MATCH($BE163,inputs_spreng[Position],0))),0)</f>
        <v>0</v>
      </c>
      <c r="BI163" s="194">
        <f>IFERROR((INDEX(inputs_spreng[Todelttverrsnitt],MATCH($BE163,inputs_spreng[Position],0))),0)</f>
        <v>0</v>
      </c>
      <c r="BJ163" s="194">
        <f>IFERROR((INDEX(inputs_spreng[Redusertsalvelengdeogtodelttverrsnitt],MATCH($BE163,inputs_spreng[Position],0))),0)</f>
        <v>0</v>
      </c>
      <c r="BK163" s="194">
        <f>IF(AND(position_stuff[[#This Row],[Totalvol]]&gt;=0,position_stuff[[#This Row],[Position]]&lt;&gt;0),position_stuff[[#This Row],[Totalvol]]-position_stuff[[#This Row],[Redusertsalvelengde]]-position_stuff[[#This Row],[Todelttverrsnitt]]-position_stuff[[#This Row],[Redusertsalvelengdeogtodelttverrsnitt]],0)</f>
        <v>0</v>
      </c>
      <c r="BL163" s="194">
        <f>IFERROR((INDEX(inputs_spreng[Grøfter],MATCH(position_stuff[[#This Row],[Position]],inputs_spreng[Position],0))),0)</f>
        <v>0</v>
      </c>
      <c r="BM163" s="194">
        <f>IFERROR((INDEX(inputs_spreng[Nisjer],MATCH($BE163,inputs_spreng[Position],0))),0)</f>
        <v>0</v>
      </c>
      <c r="BN163" s="194">
        <f>IFERROR((INDEX(inputs_spreng[Snunisjer],MATCH($BE163,inputs_spreng[Position],0))),0)</f>
        <v>0</v>
      </c>
      <c r="BO163" s="194">
        <f>IFERROR((INDEX(inputs_spreng[Tverrforbindelser],MATCH($BE163,inputs_spreng[Position],0))),0)</f>
        <v>0</v>
      </c>
      <c r="BP163" s="194">
        <f>IFERROR((INDEX(inputs_spreng[Tekniskerom],MATCH($BE163,inputs_spreng[Position],0))),0)</f>
        <v>0</v>
      </c>
      <c r="BQ163" s="194">
        <f>IFERROR((INDEX(inputs_spreng[Siktutvidelse],MATCH($BE163,inputs_spreng[Position],0))),0)</f>
        <v>0</v>
      </c>
      <c r="BR163" s="194">
        <f>IFERROR((INDEX(inputs_spreng[Utvidelsefortungsikring],MATCH($BE163,inputs_spreng[Position],0))),0)</f>
        <v>0</v>
      </c>
      <c r="BS163" s="194">
        <f>IFERROR((INDEX(inputs_spreng[Pumpesump],MATCH($BE163,inputs_spreng[Position],0))),0)</f>
        <v>0</v>
      </c>
      <c r="BT163" s="194"/>
      <c r="BU163" s="194">
        <f>IFERROR((INDEX(inputs_spreng[Annet],MATCH($BE163,inputs_spreng[Position],0))),0)</f>
        <v>0</v>
      </c>
      <c r="BV163" s="393">
        <f>position_stuff[[#This Row],[Redusertsalvelengde]]+position_stuff[[#This Row],[Todelttverrsnitt]]+position_stuff[[#This Row],[Redusertsalvelengdeogtodelttverrsnitt]]</f>
        <v>0</v>
      </c>
      <c r="BW163"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3" s="194">
        <f>IF(position_stuff[[#This Row],[Totalvol]]&gt;=0,position_stuff[[#This Row],[Totalvol]]+position_stuff[[#This Row],[total_nisjer]],"!")</f>
        <v>0</v>
      </c>
      <c r="BY163" s="194"/>
      <c r="DV163" s="2970" t="s">
        <v>689</v>
      </c>
      <c r="DW163" s="2970"/>
      <c r="DX163" s="2970"/>
      <c r="DY163" s="2970"/>
      <c r="DZ163" s="2970"/>
      <c r="EA163" s="2970"/>
      <c r="EQ163" s="435"/>
      <c r="ER163" s="235" t="s">
        <v>486</v>
      </c>
      <c r="ES163" s="349">
        <f>VALUE(3&amp;_Calcs_Klasse!$AI$31)</f>
        <v>32</v>
      </c>
      <c r="ET163" s="237">
        <f>IF($BC$34&gt;2,1,0)</f>
        <v>0</v>
      </c>
      <c r="EU163" s="194">
        <f>INDEX(outputs_position[13],MATCH($BC$35,outputs_position[lopstuff],0))</f>
        <v>0</v>
      </c>
      <c r="EV163" s="194" t="str">
        <f t="shared" si="252"/>
        <v>Stuff 1-3</v>
      </c>
      <c r="EW163" s="843" t="s">
        <v>1156</v>
      </c>
      <c r="EX163" s="241">
        <f>IFERROR(INDEX(outputs_klasse_qty[man_total_hr],MATCH(inputs_stab_klasse[[#This Row],[klasse_stuff_id]],outputs_klasse_qty[klasse_stuff_id],0)),"")</f>
        <v>0</v>
      </c>
      <c r="EY163" s="241">
        <f>IFERROR(INDEX(outputs_klasse_qty[kartlegg_total_hr],MATCH(inputs_stab_klasse[[#This Row],[klasse_stuff_id]],outputs_klasse_qty[klasse_stuff_id],0)),"")</f>
        <v>0</v>
      </c>
      <c r="EZ163" s="241" t="str">
        <f>IFERROR(INDEX(outputs_klasse_qty[bolt_lt4_sum],MATCH(inputs_stab_klasse[[#This Row],[klasse_stuff_id]],outputs_klasse_qty[klasse_stuff_id],0)),"")</f>
        <v/>
      </c>
      <c r="FA163" s="241" t="str">
        <f>IFERROR(INDEX(outputs_klasse_qty[bolt_gt4_sum],MATCH(inputs_stab_klasse[[#This Row],[klasse_stuff_id]],outputs_klasse_qty[klasse_stuff_id],0)),"")</f>
        <v/>
      </c>
      <c r="FB163" s="241">
        <f>IFERROR(INDEX(outputs_klasse_qty[bergbånd_langs_forbolting_total],MATCH(inputs_stab_klasse[[#This Row],[klasse_stuff_id]],outputs_klasse_qty[klasse_stuff_id],0)),"")</f>
        <v>0</v>
      </c>
      <c r="FC163" s="241">
        <f>IFERROR(INDEX(outputs_klasse_qty[bånd_ekstra_total],MATCH(inputs_stab_klasse[[#This Row],[klasse_stuff_id]],outputs_klasse_qty[klasse_stuff_id],0)),"")</f>
        <v>0</v>
      </c>
      <c r="FD163" s="241">
        <f>IFERROR(INDEX(outputs_klasse_qty[festebolter_for bergbånd_total],MATCH(inputs_stab_klasse[[#This Row],[klasse_stuff_id]],outputs_klasse_qty[klasse_stuff_id],0)),"")</f>
        <v>0</v>
      </c>
      <c r="FE163" s="241">
        <f>IFERROR(INDEX(outputs_klasse_qty[nett_total],MATCH(inputs_stab_klasse[[#This Row],[klasse_stuff_id]],outputs_klasse_qty[klasse_stuff_id],0)),"")</f>
        <v>0</v>
      </c>
      <c r="FF163" s="241">
        <f>IFERROR(INDEX(outputs_klasse_qty[festebolter_for_nett_sum],MATCH(inputs_stab_klasse[[#This Row],[klasse_stuff_id]],outputs_klasse_qty[klasse_stuff_id],0)),"")</f>
        <v>0</v>
      </c>
      <c r="FG163" s="241" t="str">
        <f>IFERROR(INDEX(outputs_klasse_qty[sprøytebetong_ved_nett_sum],MATCH(inputs_stab_klasse[[#This Row],[klasse_stuff_id]],outputs_klasse_qty[klasse_stuff_id],0)),"")</f>
        <v/>
      </c>
      <c r="FH163" s="241">
        <f>IFERROR(INDEX(outputs_klasse_qty[forbolter_lt4_sum],MATCH(inputs_stab_klasse[[#This Row],[klasse_stuff_id]],outputs_klasse_qty[klasse_stuff_id],0)),"")</f>
        <v>0</v>
      </c>
      <c r="FI163" s="241">
        <f>IFERROR(INDEX(outputs_klasse_qty[forbolter_gt4_sum],MATCH(inputs_stab_klasse[[#This Row],[klasse_stuff_id]],outputs_klasse_qty[klasse_stuff_id],0)),"")</f>
        <v>0</v>
      </c>
      <c r="FJ163" s="241">
        <f>IFERROR(INDEX(outputs_klasse_qty[opphengbolter_lt4_sum],MATCH(inputs_stab_klasse[[#This Row],[klasse_stuff_id]],outputs_klasse_qty[klasse_stuff_id],0)),"")</f>
        <v>0</v>
      </c>
      <c r="FK163" s="241">
        <f>IFERROR(INDEX(outputs_klasse_qty[opphengbolter_gt4_sum],MATCH(inputs_stab_klasse[[#This Row],[klasse_stuff_id]],outputs_klasse_qty[klasse_stuff_id],0)),"")</f>
        <v>0</v>
      </c>
      <c r="FL163" s="241">
        <f>IFERROR(INDEX(outputs_klasse_qty[sprøyte_total],MATCH(inputs_stab_klasse[[#This Row],[klasse_stuff_id]],outputs_klasse_qty[klasse_stuff_id],0)),"")</f>
        <v>0</v>
      </c>
      <c r="FM163" s="241" t="str">
        <f>IFERROR(INDEX(outputs_klasse_qty[bue_e30_sum],MATCH(inputs_stab_klasse[[#This Row],[klasse_stuff_id]],outputs_klasse_qty[klasse_stuff_id],0)),"")</f>
        <v/>
      </c>
      <c r="FN163" s="241" t="str">
        <f>IFERROR(INDEX(outputs_klasse_qty[bue_d60_sum],MATCH(inputs_stab_klasse[[#This Row],[klasse_stuff_id]],outputs_klasse_qty[klasse_stuff_id],0)),"")</f>
        <v/>
      </c>
      <c r="FO163" s="241">
        <f>IFERROR(INDEX(outputs_klasse_qty[bue_radielle_lt4_sum],MATCH(inputs_stab_klasse[[#This Row],[klasse_stuff_id]],outputs_klasse_qty[klasse_stuff_id],0)),"")</f>
        <v>0</v>
      </c>
      <c r="FP163" s="241">
        <f>IFERROR(INDEX(outputs_klasse_qty[bue_radielle_gt4_sum],MATCH(inputs_stab_klasse[[#This Row],[klasse_stuff_id]],outputs_klasse_qty[klasse_stuff_id],0)),"")</f>
        <v>0</v>
      </c>
      <c r="FQ163" s="241">
        <f>IFERROR(INDEX(outputs_klasse_qty[sprøytebetong_ved_bue_sum],MATCH(inputs_stab_klasse[[#This Row],[klasse_stuff_id]],outputs_klasse_qty[klasse_stuff_id],0)),"")</f>
        <v>0</v>
      </c>
      <c r="FR163" s="241">
        <f>IFERROR(INDEX(outputs_klasse_qty[forankring_lt4_sum],MATCH(inputs_stab_klasse[[#This Row],[klasse_stuff_id]],outputs_klasse_qty[klasse_stuff_id],0)),"")</f>
        <v>0</v>
      </c>
      <c r="FS163" s="241">
        <f>IFERROR(INDEX(outputs_klasse_qty[forankring_gt4_sum],MATCH(inputs_stab_klasse[[#This Row],[klasse_stuff_id]],outputs_klasse_qty[klasse_stuff_id],0)),"")</f>
        <v>0</v>
      </c>
      <c r="FT163" s="4227"/>
      <c r="FU163" s="4227"/>
      <c r="FV163" s="435"/>
      <c r="IH163" s="1172"/>
      <c r="II163" s="5998" t="s">
        <v>2717</v>
      </c>
      <c r="IJ163" s="185"/>
      <c r="IK163" s="194" t="str">
        <f>INDEX(utskrift_just[spreng_svar],MATCH(IK$108,utskrift_just[position],0))</f>
        <v>Nei</v>
      </c>
      <c r="IL163" s="194" t="str">
        <f>INDEX(utskrift_just[spreng_svar],MATCH(IL$108,utskrift_just[position],0))</f>
        <v>Nei</v>
      </c>
      <c r="IM163" s="194" t="str">
        <f>INDEX(utskrift_just[spreng_svar],MATCH(IM$108,utskrift_just[position],0))</f>
        <v>Nei</v>
      </c>
      <c r="IN163" s="194" t="str">
        <f>INDEX(utskrift_just[spreng_svar],MATCH(IN$108,utskrift_just[position],0))</f>
        <v>Nei</v>
      </c>
      <c r="IO163" s="194" t="str">
        <f>INDEX(utskrift_just[spreng_svar],MATCH(IO$108,utskrift_just[position],0))</f>
        <v>Nei</v>
      </c>
      <c r="IP163" s="194" t="str">
        <f>INDEX(utskrift_just[spreng_svar],MATCH(IP$108,utskrift_just[position],0))</f>
        <v>Nei</v>
      </c>
      <c r="IQ163" s="194" t="str">
        <f>INDEX(utskrift_just[spreng_svar],MATCH(IQ$108,utskrift_just[position],0))</f>
        <v>Nei</v>
      </c>
      <c r="IR163" s="194" t="str">
        <f>INDEX(utskrift_just[spreng_svar],MATCH(IR$108,utskrift_just[position],0))</f>
        <v>Nei</v>
      </c>
      <c r="IS163" s="194" t="str">
        <f>INDEX(utskrift_just[spreng_svar],MATCH(IS$108,utskrift_just[position],0))</f>
        <v>Nei</v>
      </c>
      <c r="OU163" s="184"/>
      <c r="PF163" s="183"/>
      <c r="PI163" s="265"/>
      <c r="PP163" s="183"/>
      <c r="QM163" s="2617"/>
      <c r="QY163" s="2617"/>
      <c r="RF163" s="2617"/>
      <c r="RG163" s="2617"/>
      <c r="RH163" s="2617"/>
      <c r="RI163" s="2617"/>
      <c r="RJ163" s="2617"/>
      <c r="RK163" s="2617"/>
      <c r="RL163" s="2617"/>
      <c r="RM163" s="2617"/>
      <c r="RN163" s="2617"/>
      <c r="RO163" s="2617"/>
      <c r="RP163" s="2617"/>
      <c r="RQ163" s="2617"/>
      <c r="RR163" s="2617"/>
      <c r="RS163" s="2617"/>
      <c r="RT163" s="2617"/>
      <c r="RU163" s="2617"/>
      <c r="RV163" s="2617"/>
      <c r="RW163" s="2617"/>
      <c r="RX163" s="2617"/>
      <c r="RY163" s="2617"/>
      <c r="RZ163" s="2617"/>
      <c r="SA163" s="2617"/>
      <c r="SB163" s="2617"/>
      <c r="SC163" s="2617"/>
      <c r="SD163" s="2617"/>
      <c r="SE163" s="2617"/>
      <c r="SF163" s="2617"/>
      <c r="SG163" s="2617"/>
      <c r="SH163" s="2617"/>
      <c r="SI163" s="2617"/>
      <c r="UM163" s="1754"/>
    </row>
    <row r="164" spans="2:605" ht="20.100000000000001" customHeight="1" x14ac:dyDescent="0.2">
      <c r="AH164" s="2617"/>
      <c r="AI164" s="2617"/>
      <c r="BB164" s="340" t="str">
        <f>$QU$135</f>
        <v>Stuff 2-3</v>
      </c>
      <c r="BC164" s="294">
        <f>IF($BC$38=1,0,IF($BC$38=2,7,0))</f>
        <v>7</v>
      </c>
      <c r="BD164" s="185">
        <f>IF($BC$34&gt;6,1,0)</f>
        <v>0</v>
      </c>
      <c r="BE164" s="194">
        <f>IF($BC$38=2,INDEX(outputs_position[23],MATCH($BC$35,outputs_position[lopstuff],0)),0)</f>
        <v>0</v>
      </c>
      <c r="BF164" s="194" t="str">
        <f t="shared" si="249"/>
        <v>Stuff 2-3</v>
      </c>
      <c r="BG164" s="194">
        <f>IF(position_stuff[[#This Row],[Position]]&lt;&gt;0,$BL$69,0)</f>
        <v>0</v>
      </c>
      <c r="BH164" s="194">
        <f>IFERROR((INDEX(inputs_spreng[Redusertsalvelengde],MATCH($BE164,inputs_spreng[Position],0))),0)</f>
        <v>0</v>
      </c>
      <c r="BI164" s="194">
        <f>IFERROR((INDEX(inputs_spreng[Todelttverrsnitt],MATCH($BE164,inputs_spreng[Position],0))),0)</f>
        <v>0</v>
      </c>
      <c r="BJ164" s="194">
        <f>IFERROR((INDEX(inputs_spreng[Redusertsalvelengdeogtodelttverrsnitt],MATCH($BE164,inputs_spreng[Position],0))),0)</f>
        <v>0</v>
      </c>
      <c r="BK164" s="194">
        <f>IF(AND(position_stuff[[#This Row],[Totalvol]]&gt;=0,position_stuff[[#This Row],[Position]]&lt;&gt;0),position_stuff[[#This Row],[Totalvol]]-position_stuff[[#This Row],[Redusertsalvelengde]]-position_stuff[[#This Row],[Todelttverrsnitt]]-position_stuff[[#This Row],[Redusertsalvelengdeogtodelttverrsnitt]],0)</f>
        <v>0</v>
      </c>
      <c r="BL164" s="194">
        <f>IFERROR((INDEX(inputs_spreng[Grøfter],MATCH(position_stuff[[#This Row],[Position]],inputs_spreng[Position],0))),0)</f>
        <v>0</v>
      </c>
      <c r="BM164" s="194">
        <f>IFERROR((INDEX(inputs_spreng[Nisjer],MATCH($BE164,inputs_spreng[Position],0))),0)</f>
        <v>0</v>
      </c>
      <c r="BN164" s="194">
        <f>IFERROR((INDEX(inputs_spreng[Snunisjer],MATCH($BE164,inputs_spreng[Position],0))),0)</f>
        <v>0</v>
      </c>
      <c r="BO164" s="194">
        <f>IFERROR((INDEX(inputs_spreng[Tverrforbindelser],MATCH($BE164,inputs_spreng[Position],0))),0)</f>
        <v>0</v>
      </c>
      <c r="BP164" s="194">
        <f>IFERROR((INDEX(inputs_spreng[Tekniskerom],MATCH($BE164,inputs_spreng[Position],0))),0)</f>
        <v>0</v>
      </c>
      <c r="BQ164" s="194">
        <f>IFERROR((INDEX(inputs_spreng[Siktutvidelse],MATCH($BE164,inputs_spreng[Position],0))),0)</f>
        <v>0</v>
      </c>
      <c r="BR164" s="194">
        <f>IFERROR((INDEX(inputs_spreng[Utvidelsefortungsikring],MATCH($BE164,inputs_spreng[Position],0))),0)</f>
        <v>0</v>
      </c>
      <c r="BS164" s="194">
        <f>IFERROR((INDEX(inputs_spreng[Pumpesump],MATCH($BE164,inputs_spreng[Position],0))),0)</f>
        <v>0</v>
      </c>
      <c r="BT164" s="194"/>
      <c r="BU164" s="194">
        <f>IFERROR((INDEX(inputs_spreng[Annet],MATCH($BE164,inputs_spreng[Position],0))),0)</f>
        <v>0</v>
      </c>
      <c r="BV164" s="393">
        <f>position_stuff[[#This Row],[Redusertsalvelengde]]+position_stuff[[#This Row],[Todelttverrsnitt]]+position_stuff[[#This Row],[Redusertsalvelengdeogtodelttverrsnitt]]</f>
        <v>0</v>
      </c>
      <c r="BW164"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4" s="194">
        <f>IF(position_stuff[[#This Row],[Totalvol]]&gt;=0,position_stuff[[#This Row],[Totalvol]]+position_stuff[[#This Row],[total_nisjer]],"!")</f>
        <v>0</v>
      </c>
      <c r="BY164" s="194"/>
      <c r="DV164" s="2970"/>
      <c r="DW164" s="2970"/>
      <c r="DX164" s="2970"/>
      <c r="DY164" s="2970"/>
      <c r="DZ164" s="2970"/>
      <c r="EA164" s="2970"/>
      <c r="EQ164" s="435"/>
      <c r="ER164" s="235" t="s">
        <v>487</v>
      </c>
      <c r="ES164" s="349">
        <f>VALUE(4&amp;_Calcs_Klasse!$AI$31)</f>
        <v>42</v>
      </c>
      <c r="ET164" s="237">
        <f>IF($BC$34&gt;3,1,0)</f>
        <v>0</v>
      </c>
      <c r="EU164" s="194">
        <f>INDEX(outputs_position[14],MATCH($BC$35,outputs_position[lopstuff],0))</f>
        <v>0</v>
      </c>
      <c r="EV164" s="194" t="str">
        <f t="shared" si="252"/>
        <v>Stuff 1-4</v>
      </c>
      <c r="EW164" s="843" t="s">
        <v>1157</v>
      </c>
      <c r="EX164" s="241">
        <f>IFERROR(INDEX(outputs_klasse_qty[man_total_hr],MATCH(inputs_stab_klasse[[#This Row],[klasse_stuff_id]],outputs_klasse_qty[klasse_stuff_id],0)),"")</f>
        <v>0</v>
      </c>
      <c r="EY164" s="241">
        <f>IFERROR(INDEX(outputs_klasse_qty[kartlegg_total_hr],MATCH(inputs_stab_klasse[[#This Row],[klasse_stuff_id]],outputs_klasse_qty[klasse_stuff_id],0)),"")</f>
        <v>0</v>
      </c>
      <c r="EZ164" s="241" t="str">
        <f>IFERROR(INDEX(outputs_klasse_qty[bolt_lt4_sum],MATCH(inputs_stab_klasse[[#This Row],[klasse_stuff_id]],outputs_klasse_qty[klasse_stuff_id],0)),"")</f>
        <v/>
      </c>
      <c r="FA164" s="241" t="str">
        <f>IFERROR(INDEX(outputs_klasse_qty[bolt_gt4_sum],MATCH(inputs_stab_klasse[[#This Row],[klasse_stuff_id]],outputs_klasse_qty[klasse_stuff_id],0)),"")</f>
        <v/>
      </c>
      <c r="FB164" s="241">
        <f>IFERROR(INDEX(outputs_klasse_qty[bergbånd_langs_forbolting_total],MATCH(inputs_stab_klasse[[#This Row],[klasse_stuff_id]],outputs_klasse_qty[klasse_stuff_id],0)),"")</f>
        <v>0</v>
      </c>
      <c r="FC164" s="241">
        <f>IFERROR(INDEX(outputs_klasse_qty[bånd_ekstra_total],MATCH(inputs_stab_klasse[[#This Row],[klasse_stuff_id]],outputs_klasse_qty[klasse_stuff_id],0)),"")</f>
        <v>0</v>
      </c>
      <c r="FD164" s="241">
        <f>IFERROR(INDEX(outputs_klasse_qty[festebolter_for bergbånd_total],MATCH(inputs_stab_klasse[[#This Row],[klasse_stuff_id]],outputs_klasse_qty[klasse_stuff_id],0)),"")</f>
        <v>0</v>
      </c>
      <c r="FE164" s="241">
        <f>IFERROR(INDEX(outputs_klasse_qty[nett_total],MATCH(inputs_stab_klasse[[#This Row],[klasse_stuff_id]],outputs_klasse_qty[klasse_stuff_id],0)),"")</f>
        <v>0</v>
      </c>
      <c r="FF164" s="241">
        <f>IFERROR(INDEX(outputs_klasse_qty[festebolter_for_nett_sum],MATCH(inputs_stab_klasse[[#This Row],[klasse_stuff_id]],outputs_klasse_qty[klasse_stuff_id],0)),"")</f>
        <v>0</v>
      </c>
      <c r="FG164" s="241" t="str">
        <f>IFERROR(INDEX(outputs_klasse_qty[sprøytebetong_ved_nett_sum],MATCH(inputs_stab_klasse[[#This Row],[klasse_stuff_id]],outputs_klasse_qty[klasse_stuff_id],0)),"")</f>
        <v/>
      </c>
      <c r="FH164" s="241">
        <f>IFERROR(INDEX(outputs_klasse_qty[forbolter_lt4_sum],MATCH(inputs_stab_klasse[[#This Row],[klasse_stuff_id]],outputs_klasse_qty[klasse_stuff_id],0)),"")</f>
        <v>0</v>
      </c>
      <c r="FI164" s="241">
        <f>IFERROR(INDEX(outputs_klasse_qty[forbolter_gt4_sum],MATCH(inputs_stab_klasse[[#This Row],[klasse_stuff_id]],outputs_klasse_qty[klasse_stuff_id],0)),"")</f>
        <v>0</v>
      </c>
      <c r="FJ164" s="241">
        <f>IFERROR(INDEX(outputs_klasse_qty[opphengbolter_lt4_sum],MATCH(inputs_stab_klasse[[#This Row],[klasse_stuff_id]],outputs_klasse_qty[klasse_stuff_id],0)),"")</f>
        <v>0</v>
      </c>
      <c r="FK164" s="241">
        <f>IFERROR(INDEX(outputs_klasse_qty[opphengbolter_gt4_sum],MATCH(inputs_stab_klasse[[#This Row],[klasse_stuff_id]],outputs_klasse_qty[klasse_stuff_id],0)),"")</f>
        <v>0</v>
      </c>
      <c r="FL164" s="241">
        <f>IFERROR(INDEX(outputs_klasse_qty[sprøyte_total],MATCH(inputs_stab_klasse[[#This Row],[klasse_stuff_id]],outputs_klasse_qty[klasse_stuff_id],0)),"")</f>
        <v>0</v>
      </c>
      <c r="FM164" s="241" t="str">
        <f>IFERROR(INDEX(outputs_klasse_qty[bue_e30_sum],MATCH(inputs_stab_klasse[[#This Row],[klasse_stuff_id]],outputs_klasse_qty[klasse_stuff_id],0)),"")</f>
        <v/>
      </c>
      <c r="FN164" s="241" t="str">
        <f>IFERROR(INDEX(outputs_klasse_qty[bue_d60_sum],MATCH(inputs_stab_klasse[[#This Row],[klasse_stuff_id]],outputs_klasse_qty[klasse_stuff_id],0)),"")</f>
        <v/>
      </c>
      <c r="FO164" s="241">
        <f>IFERROR(INDEX(outputs_klasse_qty[bue_radielle_lt4_sum],MATCH(inputs_stab_klasse[[#This Row],[klasse_stuff_id]],outputs_klasse_qty[klasse_stuff_id],0)),"")</f>
        <v>0</v>
      </c>
      <c r="FP164" s="241">
        <f>IFERROR(INDEX(outputs_klasse_qty[bue_radielle_gt4_sum],MATCH(inputs_stab_klasse[[#This Row],[klasse_stuff_id]],outputs_klasse_qty[klasse_stuff_id],0)),"")</f>
        <v>0</v>
      </c>
      <c r="FQ164" s="241">
        <f>IFERROR(INDEX(outputs_klasse_qty[sprøytebetong_ved_bue_sum],MATCH(inputs_stab_klasse[[#This Row],[klasse_stuff_id]],outputs_klasse_qty[klasse_stuff_id],0)),"")</f>
        <v>0</v>
      </c>
      <c r="FR164" s="241">
        <f>IFERROR(INDEX(outputs_klasse_qty[forankring_lt4_sum],MATCH(inputs_stab_klasse[[#This Row],[klasse_stuff_id]],outputs_klasse_qty[klasse_stuff_id],0)),"")</f>
        <v>0</v>
      </c>
      <c r="FS164" s="241">
        <f>IFERROR(INDEX(outputs_klasse_qty[forankring_gt4_sum],MATCH(inputs_stab_klasse[[#This Row],[klasse_stuff_id]],outputs_klasse_qty[klasse_stuff_id],0)),"")</f>
        <v>0</v>
      </c>
      <c r="FT164" s="4227"/>
      <c r="FU164" s="4227"/>
      <c r="FV164" s="435"/>
      <c r="IH164" s="1172"/>
      <c r="II164" s="5998" t="s">
        <v>2679</v>
      </c>
      <c r="IJ164" s="372"/>
      <c r="IK164" s="212" t="str">
        <f>IF(OR(INDEX(utskrift_just[spreng_tid],MATCH(IK$108,utskrift_just[position],0))=1,INDEX(utskrift_just[spreng_tid],MATCH(IK$108,utskrift_just[position],0))=-1),INDEX(utskrift_just[spreng_tid],MATCH(IK$108,utskrift_just[position],0))&amp;" uke",IF(ISNUMBER(INDEX(utskrift_just[spreng_tid],MATCH(IK$108,utskrift_just[position],0)))=TRUE,INDEX(utskrift_just[spreng_tid],MATCH(IK$108,utskrift_just[position],0))&amp;" uker",""))</f>
        <v/>
      </c>
      <c r="IL164" s="212" t="str">
        <f>IF(OR(INDEX(utskrift_just[spreng_tid],MATCH(IL$108,utskrift_just[position],0))=1,INDEX(utskrift_just[spreng_tid],MATCH(IL$108,utskrift_just[position],0))=-1),INDEX(utskrift_just[spreng_tid],MATCH(IL$108,utskrift_just[position],0))&amp;" uke",IF(ISNUMBER(INDEX(utskrift_just[spreng_tid],MATCH(IL$108,utskrift_just[position],0)))=TRUE,INDEX(utskrift_just[spreng_tid],MATCH(IL$108,utskrift_just[position],0))&amp;" uker",""))</f>
        <v/>
      </c>
      <c r="IM164" s="212" t="str">
        <f>IF(OR(INDEX(utskrift_just[spreng_tid],MATCH(IM$108,utskrift_just[position],0))=1,INDEX(utskrift_just[spreng_tid],MATCH(IM$108,utskrift_just[position],0))=-1),INDEX(utskrift_just[spreng_tid],MATCH(IM$108,utskrift_just[position],0))&amp;" uke",IF(ISNUMBER(INDEX(utskrift_just[spreng_tid],MATCH(IM$108,utskrift_just[position],0)))=TRUE,INDEX(utskrift_just[spreng_tid],MATCH(IM$108,utskrift_just[position],0))&amp;" uker",""))</f>
        <v/>
      </c>
      <c r="IN164" s="212" t="str">
        <f>IF(OR(INDEX(utskrift_just[spreng_tid],MATCH(IN$108,utskrift_just[position],0))=1,INDEX(utskrift_just[spreng_tid],MATCH(IN$108,utskrift_just[position],0))=-1),INDEX(utskrift_just[spreng_tid],MATCH(IN$108,utskrift_just[position],0))&amp;" uke",IF(ISNUMBER(INDEX(utskrift_just[spreng_tid],MATCH(IN$108,utskrift_just[position],0)))=TRUE,INDEX(utskrift_just[spreng_tid],MATCH(IN$108,utskrift_just[position],0))&amp;" uker",""))</f>
        <v/>
      </c>
      <c r="IO164" s="212" t="str">
        <f>IF(OR(INDEX(utskrift_just[spreng_tid],MATCH(IO$108,utskrift_just[position],0))=1,INDEX(utskrift_just[spreng_tid],MATCH(IO$108,utskrift_just[position],0))=-1),INDEX(utskrift_just[spreng_tid],MATCH(IO$108,utskrift_just[position],0))&amp;" uke",IF(ISNUMBER(INDEX(utskrift_just[spreng_tid],MATCH(IO$108,utskrift_just[position],0)))=TRUE,INDEX(utskrift_just[spreng_tid],MATCH(IO$108,utskrift_just[position],0))&amp;" uker",""))</f>
        <v/>
      </c>
      <c r="IP164" s="212" t="str">
        <f>IF(OR(INDEX(utskrift_just[spreng_tid],MATCH(IP$108,utskrift_just[position],0))=1,INDEX(utskrift_just[spreng_tid],MATCH(IP$108,utskrift_just[position],0))=-1),INDEX(utskrift_just[spreng_tid],MATCH(IP$108,utskrift_just[position],0))&amp;" uke",IF(ISNUMBER(INDEX(utskrift_just[spreng_tid],MATCH(IP$108,utskrift_just[position],0)))=TRUE,INDEX(utskrift_just[spreng_tid],MATCH(IP$108,utskrift_just[position],0))&amp;" uker",""))</f>
        <v/>
      </c>
      <c r="IQ164" s="212" t="str">
        <f>IF(OR(INDEX(utskrift_just[spreng_tid],MATCH(IQ$108,utskrift_just[position],0))=1,INDEX(utskrift_just[spreng_tid],MATCH(IQ$108,utskrift_just[position],0))=-1),INDEX(utskrift_just[spreng_tid],MATCH(IQ$108,utskrift_just[position],0))&amp;" uke",IF(ISNUMBER(INDEX(utskrift_just[spreng_tid],MATCH(IQ$108,utskrift_just[position],0)))=TRUE,INDEX(utskrift_just[spreng_tid],MATCH(IQ$108,utskrift_just[position],0))&amp;" uker",""))</f>
        <v/>
      </c>
      <c r="IR164" s="212" t="str">
        <f>IF(OR(INDEX(utskrift_just[spreng_tid],MATCH(IR$108,utskrift_just[position],0))=1,INDEX(utskrift_just[spreng_tid],MATCH(IR$108,utskrift_just[position],0))=-1),INDEX(utskrift_just[spreng_tid],MATCH(IR$108,utskrift_just[position],0))&amp;" uke",IF(ISNUMBER(INDEX(utskrift_just[spreng_tid],MATCH(IR$108,utskrift_just[position],0)))=TRUE,INDEX(utskrift_just[spreng_tid],MATCH(IR$108,utskrift_just[position],0))&amp;" uker",""))</f>
        <v/>
      </c>
      <c r="IS164" s="212" t="str">
        <f>IF(OR(INDEX(utskrift_just[spreng_tid],MATCH(IS$108,utskrift_just[position],0))=1,INDEX(utskrift_just[spreng_tid],MATCH(IS$108,utskrift_just[position],0))=-1),INDEX(utskrift_just[spreng_tid],MATCH(IS$108,utskrift_just[position],0))&amp;" uke",IF(ISNUMBER(INDEX(utskrift_just[spreng_tid],MATCH(IS$108,utskrift_just[position],0)))=TRUE,INDEX(utskrift_just[spreng_tid],MATCH(IS$108,utskrift_just[position],0))&amp;" uker",""))</f>
        <v/>
      </c>
      <c r="NM164" s="400" t="s">
        <v>545</v>
      </c>
      <c r="OU164" s="184"/>
      <c r="PF164" s="183"/>
      <c r="PI164" s="265"/>
      <c r="PP164" s="183"/>
      <c r="QM164" s="2617"/>
      <c r="QN164" s="361" t="s">
        <v>389</v>
      </c>
      <c r="QO164" s="362"/>
      <c r="QP164" s="362"/>
      <c r="QY164" s="2617"/>
      <c r="RF164" s="2617"/>
      <c r="RG164" s="2617"/>
      <c r="RH164" s="2617"/>
      <c r="RI164" s="2617"/>
      <c r="RJ164" s="2617"/>
      <c r="RK164" s="2617"/>
      <c r="RL164" s="2617"/>
      <c r="RM164" s="2617"/>
      <c r="RN164" s="2617"/>
      <c r="RO164" s="2617"/>
      <c r="RP164" s="2617"/>
      <c r="RQ164" s="2617"/>
      <c r="RR164" s="2617"/>
      <c r="RS164" s="2617"/>
      <c r="RT164" s="2617"/>
      <c r="RU164" s="2617"/>
      <c r="RV164" s="2617"/>
      <c r="RW164" s="2617"/>
      <c r="RX164" s="2617"/>
      <c r="RY164" s="2617"/>
      <c r="RZ164" s="2617"/>
      <c r="SA164" s="2617"/>
      <c r="SB164" s="2617"/>
      <c r="SC164" s="2617"/>
      <c r="SD164" s="2617"/>
      <c r="SE164" s="2617"/>
      <c r="SF164" s="2617"/>
      <c r="SG164" s="2617"/>
      <c r="SH164" s="2617"/>
      <c r="SI164" s="2617"/>
      <c r="UM164" s="1754"/>
    </row>
    <row r="165" spans="2:605" ht="20.100000000000001" customHeight="1" x14ac:dyDescent="0.2">
      <c r="AH165" s="2617"/>
      <c r="AI165" s="2617"/>
      <c r="BB165" s="340" t="str">
        <f>$QV$135</f>
        <v>Stuff 2-4</v>
      </c>
      <c r="BC165" s="294">
        <f>IF($BC$38=1,0,IF($BC$38=2,8,0))</f>
        <v>8</v>
      </c>
      <c r="BD165" s="185">
        <f>IF($BC$34&gt;7,1,0)</f>
        <v>0</v>
      </c>
      <c r="BE165" s="194">
        <f>IF($BC$38=2,INDEX(outputs_position[24],MATCH($BC$35,outputs_position[lopstuff],0)),0)</f>
        <v>0</v>
      </c>
      <c r="BF165" s="194" t="str">
        <f t="shared" si="249"/>
        <v>Stuff 2-4</v>
      </c>
      <c r="BG165" s="194">
        <f>IF(position_stuff[[#This Row],[Position]]&lt;&gt;0,$BM$69,0)</f>
        <v>0</v>
      </c>
      <c r="BH165" s="194">
        <f>IFERROR((INDEX(inputs_spreng[Redusertsalvelengde],MATCH($BE165,inputs_spreng[Position],0))),0)</f>
        <v>0</v>
      </c>
      <c r="BI165" s="194">
        <f>IFERROR((INDEX(inputs_spreng[Todelttverrsnitt],MATCH($BE165,inputs_spreng[Position],0))),0)</f>
        <v>0</v>
      </c>
      <c r="BJ165" s="194">
        <f>IFERROR((INDEX(inputs_spreng[Redusertsalvelengdeogtodelttverrsnitt],MATCH($BE165,inputs_spreng[Position],0))),0)</f>
        <v>0</v>
      </c>
      <c r="BK165" s="194">
        <f>IF(AND(position_stuff[[#This Row],[Totalvol]]&gt;=0,position_stuff[[#This Row],[Position]]&lt;&gt;0),position_stuff[[#This Row],[Totalvol]]-position_stuff[[#This Row],[Redusertsalvelengde]]-position_stuff[[#This Row],[Todelttverrsnitt]]-position_stuff[[#This Row],[Redusertsalvelengdeogtodelttverrsnitt]],0)</f>
        <v>0</v>
      </c>
      <c r="BL165" s="194">
        <f>IFERROR((INDEX(inputs_spreng[Grøfter],MATCH(position_stuff[[#This Row],[Position]],inputs_spreng[Position],0))),0)</f>
        <v>0</v>
      </c>
      <c r="BM165" s="194">
        <f>IFERROR((INDEX(inputs_spreng[Nisjer],MATCH($BE165,inputs_spreng[Position],0))),0)</f>
        <v>0</v>
      </c>
      <c r="BN165" s="194">
        <f>IFERROR((INDEX(inputs_spreng[Snunisjer],MATCH($BE165,inputs_spreng[Position],0))),0)</f>
        <v>0</v>
      </c>
      <c r="BO165" s="194">
        <f>IFERROR((INDEX(inputs_spreng[Tverrforbindelser],MATCH($BE165,inputs_spreng[Position],0))),0)</f>
        <v>0</v>
      </c>
      <c r="BP165" s="194">
        <f>IFERROR((INDEX(inputs_spreng[Tekniskerom],MATCH($BE165,inputs_spreng[Position],0))),0)</f>
        <v>0</v>
      </c>
      <c r="BQ165" s="194">
        <f>IFERROR((INDEX(inputs_spreng[Siktutvidelse],MATCH($BE165,inputs_spreng[Position],0))),0)</f>
        <v>0</v>
      </c>
      <c r="BR165" s="194">
        <f>IFERROR((INDEX(inputs_spreng[Utvidelsefortungsikring],MATCH($BE165,inputs_spreng[Position],0))),0)</f>
        <v>0</v>
      </c>
      <c r="BS165" s="194">
        <f>IFERROR((INDEX(inputs_spreng[Pumpesump],MATCH($BE165,inputs_spreng[Position],0))),0)</f>
        <v>0</v>
      </c>
      <c r="BT165" s="194"/>
      <c r="BU165" s="194">
        <f>IFERROR((INDEX(inputs_spreng[Annet],MATCH($BE165,inputs_spreng[Position],0))),0)</f>
        <v>0</v>
      </c>
      <c r="BV165" s="393">
        <f>position_stuff[[#This Row],[Redusertsalvelengde]]+position_stuff[[#This Row],[Todelttverrsnitt]]+position_stuff[[#This Row],[Redusertsalvelengdeogtodelttverrsnitt]]</f>
        <v>0</v>
      </c>
      <c r="BW165"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5" s="194">
        <f>IF(position_stuff[[#This Row],[Totalvol]]&gt;=0,position_stuff[[#This Row],[Totalvol]]+position_stuff[[#This Row],[total_nisjer]],"!")</f>
        <v>0</v>
      </c>
      <c r="BY165" s="194"/>
      <c r="DV165" s="2970" t="s">
        <v>688</v>
      </c>
      <c r="DW165" s="2970"/>
      <c r="DX165" s="2970"/>
      <c r="DY165" s="2970"/>
      <c r="DZ165" s="2970"/>
      <c r="EA165" s="2970" t="s">
        <v>688</v>
      </c>
      <c r="EQ165" s="435"/>
      <c r="ER165" s="235" t="s">
        <v>488</v>
      </c>
      <c r="ES165" s="349">
        <f>VALUE(5&amp;_Calcs_Klasse!$AI$31)</f>
        <v>52</v>
      </c>
      <c r="ET165" s="237">
        <f>IF($BC$34&gt;4,1,0)</f>
        <v>0</v>
      </c>
      <c r="EU165" s="194">
        <f>INDEX(outputs_position[21],MATCH($BC$35,outputs_position[lopstuff],0))</f>
        <v>0</v>
      </c>
      <c r="EV165" s="194" t="str">
        <f t="shared" si="252"/>
        <v>Stuff 2-1</v>
      </c>
      <c r="EW165" s="843" t="s">
        <v>1158</v>
      </c>
      <c r="EX165" s="241">
        <f>IFERROR(INDEX(outputs_klasse_qty[man_total_hr],MATCH(inputs_stab_klasse[[#This Row],[klasse_stuff_id]],outputs_klasse_qty[klasse_stuff_id],0)),"")</f>
        <v>0</v>
      </c>
      <c r="EY165" s="241">
        <f>IFERROR(INDEX(outputs_klasse_qty[kartlegg_total_hr],MATCH(inputs_stab_klasse[[#This Row],[klasse_stuff_id]],outputs_klasse_qty[klasse_stuff_id],0)),"")</f>
        <v>0</v>
      </c>
      <c r="EZ165" s="241" t="str">
        <f>IFERROR(INDEX(outputs_klasse_qty[bolt_lt4_sum],MATCH(inputs_stab_klasse[[#This Row],[klasse_stuff_id]],outputs_klasse_qty[klasse_stuff_id],0)),"")</f>
        <v/>
      </c>
      <c r="FA165" s="241" t="str">
        <f>IFERROR(INDEX(outputs_klasse_qty[bolt_gt4_sum],MATCH(inputs_stab_klasse[[#This Row],[klasse_stuff_id]],outputs_klasse_qty[klasse_stuff_id],0)),"")</f>
        <v/>
      </c>
      <c r="FB165" s="241">
        <f>IFERROR(INDEX(outputs_klasse_qty[bergbånd_langs_forbolting_total],MATCH(inputs_stab_klasse[[#This Row],[klasse_stuff_id]],outputs_klasse_qty[klasse_stuff_id],0)),"")</f>
        <v>0</v>
      </c>
      <c r="FC165" s="241">
        <f>IFERROR(INDEX(outputs_klasse_qty[bånd_ekstra_total],MATCH(inputs_stab_klasse[[#This Row],[klasse_stuff_id]],outputs_klasse_qty[klasse_stuff_id],0)),"")</f>
        <v>0</v>
      </c>
      <c r="FD165" s="241">
        <f>IFERROR(INDEX(outputs_klasse_qty[festebolter_for bergbånd_total],MATCH(inputs_stab_klasse[[#This Row],[klasse_stuff_id]],outputs_klasse_qty[klasse_stuff_id],0)),"")</f>
        <v>0</v>
      </c>
      <c r="FE165" s="241">
        <f>IFERROR(INDEX(outputs_klasse_qty[nett_total],MATCH(inputs_stab_klasse[[#This Row],[klasse_stuff_id]],outputs_klasse_qty[klasse_stuff_id],0)),"")</f>
        <v>0</v>
      </c>
      <c r="FF165" s="241">
        <f>IFERROR(INDEX(outputs_klasse_qty[festebolter_for_nett_sum],MATCH(inputs_stab_klasse[[#This Row],[klasse_stuff_id]],outputs_klasse_qty[klasse_stuff_id],0)),"")</f>
        <v>0</v>
      </c>
      <c r="FG165" s="241" t="str">
        <f>IFERROR(INDEX(outputs_klasse_qty[sprøytebetong_ved_nett_sum],MATCH(inputs_stab_klasse[[#This Row],[klasse_stuff_id]],outputs_klasse_qty[klasse_stuff_id],0)),"")</f>
        <v/>
      </c>
      <c r="FH165" s="241">
        <f>IFERROR(INDEX(outputs_klasse_qty[forbolter_lt4_sum],MATCH(inputs_stab_klasse[[#This Row],[klasse_stuff_id]],outputs_klasse_qty[klasse_stuff_id],0)),"")</f>
        <v>0</v>
      </c>
      <c r="FI165" s="241">
        <f>IFERROR(INDEX(outputs_klasse_qty[forbolter_gt4_sum],MATCH(inputs_stab_klasse[[#This Row],[klasse_stuff_id]],outputs_klasse_qty[klasse_stuff_id],0)),"")</f>
        <v>0</v>
      </c>
      <c r="FJ165" s="241">
        <f>IFERROR(INDEX(outputs_klasse_qty[opphengbolter_lt4_sum],MATCH(inputs_stab_klasse[[#This Row],[klasse_stuff_id]],outputs_klasse_qty[klasse_stuff_id],0)),"")</f>
        <v>0</v>
      </c>
      <c r="FK165" s="241">
        <f>IFERROR(INDEX(outputs_klasse_qty[opphengbolter_gt4_sum],MATCH(inputs_stab_klasse[[#This Row],[klasse_stuff_id]],outputs_klasse_qty[klasse_stuff_id],0)),"")</f>
        <v>0</v>
      </c>
      <c r="FL165" s="241">
        <f>IFERROR(INDEX(outputs_klasse_qty[sprøyte_total],MATCH(inputs_stab_klasse[[#This Row],[klasse_stuff_id]],outputs_klasse_qty[klasse_stuff_id],0)),"")</f>
        <v>0</v>
      </c>
      <c r="FM165" s="241" t="str">
        <f>IFERROR(INDEX(outputs_klasse_qty[bue_e30_sum],MATCH(inputs_stab_klasse[[#This Row],[klasse_stuff_id]],outputs_klasse_qty[klasse_stuff_id],0)),"")</f>
        <v/>
      </c>
      <c r="FN165" s="241" t="str">
        <f>IFERROR(INDEX(outputs_klasse_qty[bue_d60_sum],MATCH(inputs_stab_klasse[[#This Row],[klasse_stuff_id]],outputs_klasse_qty[klasse_stuff_id],0)),"")</f>
        <v/>
      </c>
      <c r="FO165" s="241">
        <f>IFERROR(INDEX(outputs_klasse_qty[bue_radielle_lt4_sum],MATCH(inputs_stab_klasse[[#This Row],[klasse_stuff_id]],outputs_klasse_qty[klasse_stuff_id],0)),"")</f>
        <v>0</v>
      </c>
      <c r="FP165" s="241">
        <f>IFERROR(INDEX(outputs_klasse_qty[bue_radielle_gt4_sum],MATCH(inputs_stab_klasse[[#This Row],[klasse_stuff_id]],outputs_klasse_qty[klasse_stuff_id],0)),"")</f>
        <v>0</v>
      </c>
      <c r="FQ165" s="241">
        <f>IFERROR(INDEX(outputs_klasse_qty[sprøytebetong_ved_bue_sum],MATCH(inputs_stab_klasse[[#This Row],[klasse_stuff_id]],outputs_klasse_qty[klasse_stuff_id],0)),"")</f>
        <v>0</v>
      </c>
      <c r="FR165" s="241">
        <f>IFERROR(INDEX(outputs_klasse_qty[forankring_lt4_sum],MATCH(inputs_stab_klasse[[#This Row],[klasse_stuff_id]],outputs_klasse_qty[klasse_stuff_id],0)),"")</f>
        <v>0</v>
      </c>
      <c r="FS165" s="241">
        <f>IFERROR(INDEX(outputs_klasse_qty[forankring_gt4_sum],MATCH(inputs_stab_klasse[[#This Row],[klasse_stuff_id]],outputs_klasse_qty[klasse_stuff_id],0)),"")</f>
        <v>0</v>
      </c>
      <c r="FT165" s="4227"/>
      <c r="FU165" s="4227"/>
      <c r="FV165" s="435"/>
      <c r="IH165" s="1172"/>
      <c r="II165" s="5998" t="s">
        <v>138</v>
      </c>
      <c r="IJ165" s="372"/>
      <c r="IK165" s="194" t="str">
        <f>INDEX(utskrift_just[spreng_beg],MATCH(IK$108,utskrift_just[position],0))</f>
        <v>-</v>
      </c>
      <c r="IL165" s="194" t="str">
        <f>INDEX(utskrift_just[spreng_beg],MATCH(IL$108,utskrift_just[position],0))</f>
        <v>-</v>
      </c>
      <c r="IM165" s="194" t="str">
        <f>INDEX(utskrift_just[spreng_beg],MATCH(IM$108,utskrift_just[position],0))</f>
        <v>-</v>
      </c>
      <c r="IN165" s="194" t="str">
        <f>INDEX(utskrift_just[spreng_beg],MATCH(IN$108,utskrift_just[position],0))</f>
        <v>-</v>
      </c>
      <c r="IO165" s="194" t="str">
        <f>INDEX(utskrift_just[spreng_beg],MATCH(IO$108,utskrift_just[position],0))</f>
        <v>-</v>
      </c>
      <c r="IP165" s="194" t="str">
        <f>INDEX(utskrift_just[spreng_beg],MATCH(IP$108,utskrift_just[position],0))</f>
        <v>-</v>
      </c>
      <c r="IQ165" s="194" t="str">
        <f>INDEX(utskrift_just[spreng_beg],MATCH(IQ$108,utskrift_just[position],0))</f>
        <v>-</v>
      </c>
      <c r="IR165" s="194" t="str">
        <f>INDEX(utskrift_just[spreng_beg],MATCH(IR$108,utskrift_just[position],0))</f>
        <v>-</v>
      </c>
      <c r="IS165" s="194" t="str">
        <f>INDEX(utskrift_just[spreng_beg],MATCH(IS$108,utskrift_just[position],0))</f>
        <v>-</v>
      </c>
      <c r="OU165" s="184"/>
      <c r="PF165" s="183"/>
      <c r="PI165" s="265"/>
      <c r="PP165" s="183"/>
      <c r="QM165" s="2617"/>
      <c r="QY165" s="2617"/>
      <c r="RF165" s="2617"/>
      <c r="RG165" s="2617"/>
      <c r="RH165" s="2617"/>
      <c r="RI165" s="2617"/>
      <c r="RJ165" s="2617"/>
      <c r="RK165" s="2617"/>
      <c r="RL165" s="2617"/>
      <c r="RM165" s="2617"/>
      <c r="RN165" s="2617"/>
      <c r="RO165" s="2617"/>
      <c r="RP165" s="2617"/>
      <c r="RQ165" s="2617"/>
      <c r="RR165" s="2617"/>
      <c r="RS165" s="2617"/>
      <c r="RT165" s="2617"/>
      <c r="RU165" s="2617"/>
      <c r="RV165" s="2617"/>
      <c r="RW165" s="2617"/>
      <c r="RX165" s="2617"/>
      <c r="RY165" s="2617"/>
      <c r="RZ165" s="2617"/>
      <c r="SA165" s="2617"/>
      <c r="SB165" s="2617"/>
      <c r="SC165" s="2617"/>
      <c r="SD165" s="2617"/>
      <c r="SE165" s="2617"/>
      <c r="SF165" s="2617"/>
      <c r="SG165" s="2617"/>
      <c r="SH165" s="2617"/>
      <c r="SI165" s="2617"/>
      <c r="UM165" s="1754"/>
    </row>
    <row r="166" spans="2:605" ht="20.100000000000001" customHeight="1" x14ac:dyDescent="0.2">
      <c r="AH166" s="2617"/>
      <c r="AI166" s="2617"/>
      <c r="BB166" s="453" t="str">
        <f>$QW$135</f>
        <v>Tverrslag</v>
      </c>
      <c r="BC166" s="185"/>
      <c r="BD166" s="185">
        <f>$BC$36</f>
        <v>0</v>
      </c>
      <c r="BE166" s="194">
        <f>IF($BC$38=2,INDEX(outputs_position[Tverrslag],MATCH($BC$35,outputs_position[lopstuff],0)),IF($BC$36=1,$BE$156+1,0))</f>
        <v>0</v>
      </c>
      <c r="BF166" s="256" t="str">
        <f t="shared" si="249"/>
        <v>Tverrslag</v>
      </c>
      <c r="BG166" s="290">
        <f>IF(position_stuff[[#This Row],[Position]]&lt;&gt;0,$BO$69,0)</f>
        <v>0</v>
      </c>
      <c r="BH166" s="194">
        <f>IFERROR((INDEX(inputs_spreng[Redusertsalvelengde],MATCH($BE166,inputs_spreng[Position],0))),0)</f>
        <v>0</v>
      </c>
      <c r="BI166" s="199">
        <f>IFERROR((INDEX(inputs_spreng[Todelttverrsnitt],MATCH($BE166,inputs_spreng[Position],0))),0)</f>
        <v>0</v>
      </c>
      <c r="BJ166" s="194">
        <f>IFERROR((INDEX(inputs_spreng[Redusertsalvelengdeogtodelttverrsnitt],MATCH($BE166,inputs_spreng[Position],0))),0)</f>
        <v>0</v>
      </c>
      <c r="BK166" s="194">
        <f>IF(AND(position_stuff[[#This Row],[Totalvol]]&gt;=0,position_stuff[[#This Row],[Position]]&lt;&gt;0),position_stuff[[#This Row],[Totalvol]]-position_stuff[[#This Row],[Redusertsalvelengde]]-position_stuff[[#This Row],[Todelttverrsnitt]]-position_stuff[[#This Row],[Redusertsalvelengdeogtodelttverrsnitt]],0)</f>
        <v>0</v>
      </c>
      <c r="BL166" s="194">
        <f>IFERROR((INDEX(inputs_spreng[Grøfter],MATCH(position_stuff[[#This Row],[Position]],inputs_spreng[Position],0))),0)</f>
        <v>0</v>
      </c>
      <c r="BM166" s="194">
        <f>IFERROR((INDEX(inputs_spreng[Nisjer],MATCH($BE166,inputs_spreng[Position],0))),0)</f>
        <v>0</v>
      </c>
      <c r="BN166" s="194">
        <f>IFERROR((INDEX(inputs_spreng[Snunisjer],MATCH($BE166,inputs_spreng[Position],0))),0)</f>
        <v>0</v>
      </c>
      <c r="BO166" s="194">
        <f>IFERROR((INDEX(inputs_spreng[Tverrforbindelser],MATCH($BE166,inputs_spreng[Position],0))),0)</f>
        <v>0</v>
      </c>
      <c r="BP166" s="194">
        <f>IFERROR((INDEX(inputs_spreng[Tekniskerom],MATCH($BE166,inputs_spreng[Position],0))),0)</f>
        <v>0</v>
      </c>
      <c r="BQ166" s="194">
        <f>IFERROR((INDEX(inputs_spreng[Siktutvidelse],MATCH($BE166,inputs_spreng[Position],0))),0)</f>
        <v>0</v>
      </c>
      <c r="BR166" s="194">
        <f>IFERROR((INDEX(inputs_spreng[Utvidelsefortungsikring],MATCH($BE166,inputs_spreng[Position],0))),0)</f>
        <v>0</v>
      </c>
      <c r="BS166" s="194">
        <f>IFERROR((INDEX(inputs_spreng[Pumpesump],MATCH($BE166,inputs_spreng[Position],0))),0)</f>
        <v>0</v>
      </c>
      <c r="BT166" s="194"/>
      <c r="BU166" s="194">
        <f>IFERROR((INDEX(inputs_spreng[Annet],MATCH($BE166,inputs_spreng[Position],0))),0)</f>
        <v>0</v>
      </c>
      <c r="BV166" s="393">
        <f>position_stuff[[#This Row],[Redusertsalvelengde]]+position_stuff[[#This Row],[Todelttverrsnitt]]+position_stuff[[#This Row],[Redusertsalvelengdeogtodelttverrsnitt]]</f>
        <v>0</v>
      </c>
      <c r="BW166" s="393">
        <f>position_stuff[[#This Row],[Grøfter]]+position_stuff[[#This Row],[Nisj]]+position_stuff[[#This Row],[Snunisjer]]+position_stuff[[#This Row],[Tverrforbindelser]]+position_stuff[[#This Row],[Tekniskerom]]+position_stuff[[#This Row],[Siktutvidelse]]+position_stuff[[#This Row],[Utvidelsefortungsikring]]+position_stuff[[#This Row],[Pumpesump]]+position_stuff[[#This Row],[Annet]]</f>
        <v>0</v>
      </c>
      <c r="BX166" s="194">
        <f>IF(position_stuff[[#This Row],[Totalvol]]&gt;=0,position_stuff[[#This Row],[Totalvol]]+position_stuff[[#This Row],[total_nisjer]],"!")</f>
        <v>0</v>
      </c>
      <c r="BY166" s="256"/>
      <c r="EQ166" s="435"/>
      <c r="ER166" s="235" t="s">
        <v>484</v>
      </c>
      <c r="ES166" s="349">
        <f>VALUE(6&amp;_Calcs_Klasse!$AI$31)</f>
        <v>62</v>
      </c>
      <c r="ET166" s="237">
        <f>IF($BC$34&gt;5,1,0)</f>
        <v>0</v>
      </c>
      <c r="EU166" s="194">
        <f>INDEX(outputs_position[22],MATCH($BC$35,outputs_position[lopstuff],0))</f>
        <v>0</v>
      </c>
      <c r="EV166" s="194" t="str">
        <f t="shared" si="252"/>
        <v>Stuff 2-2</v>
      </c>
      <c r="EW166" s="843" t="s">
        <v>1159</v>
      </c>
      <c r="EX166" s="241">
        <f>IFERROR(INDEX(outputs_klasse_qty[man_total_hr],MATCH(inputs_stab_klasse[[#This Row],[klasse_stuff_id]],outputs_klasse_qty[klasse_stuff_id],0)),"")</f>
        <v>0</v>
      </c>
      <c r="EY166" s="241">
        <f>IFERROR(INDEX(outputs_klasse_qty[kartlegg_total_hr],MATCH(inputs_stab_klasse[[#This Row],[klasse_stuff_id]],outputs_klasse_qty[klasse_stuff_id],0)),"")</f>
        <v>0</v>
      </c>
      <c r="EZ166" s="241" t="str">
        <f>IFERROR(INDEX(outputs_klasse_qty[bolt_lt4_sum],MATCH(inputs_stab_klasse[[#This Row],[klasse_stuff_id]],outputs_klasse_qty[klasse_stuff_id],0)),"")</f>
        <v/>
      </c>
      <c r="FA166" s="241" t="str">
        <f>IFERROR(INDEX(outputs_klasse_qty[bolt_gt4_sum],MATCH(inputs_stab_klasse[[#This Row],[klasse_stuff_id]],outputs_klasse_qty[klasse_stuff_id],0)),"")</f>
        <v/>
      </c>
      <c r="FB166" s="241">
        <f>IFERROR(INDEX(outputs_klasse_qty[bergbånd_langs_forbolting_total],MATCH(inputs_stab_klasse[[#This Row],[klasse_stuff_id]],outputs_klasse_qty[klasse_stuff_id],0)),"")</f>
        <v>0</v>
      </c>
      <c r="FC166" s="241">
        <f>IFERROR(INDEX(outputs_klasse_qty[bånd_ekstra_total],MATCH(inputs_stab_klasse[[#This Row],[klasse_stuff_id]],outputs_klasse_qty[klasse_stuff_id],0)),"")</f>
        <v>0</v>
      </c>
      <c r="FD166" s="241">
        <f>IFERROR(INDEX(outputs_klasse_qty[festebolter_for bergbånd_total],MATCH(inputs_stab_klasse[[#This Row],[klasse_stuff_id]],outputs_klasse_qty[klasse_stuff_id],0)),"")</f>
        <v>0</v>
      </c>
      <c r="FE166" s="241">
        <f>IFERROR(INDEX(outputs_klasse_qty[nett_total],MATCH(inputs_stab_klasse[[#This Row],[klasse_stuff_id]],outputs_klasse_qty[klasse_stuff_id],0)),"")</f>
        <v>0</v>
      </c>
      <c r="FF166" s="241">
        <f>IFERROR(INDEX(outputs_klasse_qty[festebolter_for_nett_sum],MATCH(inputs_stab_klasse[[#This Row],[klasse_stuff_id]],outputs_klasse_qty[klasse_stuff_id],0)),"")</f>
        <v>0</v>
      </c>
      <c r="FG166" s="241" t="str">
        <f>IFERROR(INDEX(outputs_klasse_qty[sprøytebetong_ved_nett_sum],MATCH(inputs_stab_klasse[[#This Row],[klasse_stuff_id]],outputs_klasse_qty[klasse_stuff_id],0)),"")</f>
        <v/>
      </c>
      <c r="FH166" s="241">
        <f>IFERROR(INDEX(outputs_klasse_qty[forbolter_lt4_sum],MATCH(inputs_stab_klasse[[#This Row],[klasse_stuff_id]],outputs_klasse_qty[klasse_stuff_id],0)),"")</f>
        <v>0</v>
      </c>
      <c r="FI166" s="241">
        <f>IFERROR(INDEX(outputs_klasse_qty[forbolter_gt4_sum],MATCH(inputs_stab_klasse[[#This Row],[klasse_stuff_id]],outputs_klasse_qty[klasse_stuff_id],0)),"")</f>
        <v>0</v>
      </c>
      <c r="FJ166" s="241">
        <f>IFERROR(INDEX(outputs_klasse_qty[opphengbolter_lt4_sum],MATCH(inputs_stab_klasse[[#This Row],[klasse_stuff_id]],outputs_klasse_qty[klasse_stuff_id],0)),"")</f>
        <v>0</v>
      </c>
      <c r="FK166" s="241">
        <f>IFERROR(INDEX(outputs_klasse_qty[opphengbolter_gt4_sum],MATCH(inputs_stab_klasse[[#This Row],[klasse_stuff_id]],outputs_klasse_qty[klasse_stuff_id],0)),"")</f>
        <v>0</v>
      </c>
      <c r="FL166" s="241">
        <f>IFERROR(INDEX(outputs_klasse_qty[sprøyte_total],MATCH(inputs_stab_klasse[[#This Row],[klasse_stuff_id]],outputs_klasse_qty[klasse_stuff_id],0)),"")</f>
        <v>0</v>
      </c>
      <c r="FM166" s="241" t="str">
        <f>IFERROR(INDEX(outputs_klasse_qty[bue_e30_sum],MATCH(inputs_stab_klasse[[#This Row],[klasse_stuff_id]],outputs_klasse_qty[klasse_stuff_id],0)),"")</f>
        <v/>
      </c>
      <c r="FN166" s="241" t="str">
        <f>IFERROR(INDEX(outputs_klasse_qty[bue_d60_sum],MATCH(inputs_stab_klasse[[#This Row],[klasse_stuff_id]],outputs_klasse_qty[klasse_stuff_id],0)),"")</f>
        <v/>
      </c>
      <c r="FO166" s="241">
        <f>IFERROR(INDEX(outputs_klasse_qty[bue_radielle_lt4_sum],MATCH(inputs_stab_klasse[[#This Row],[klasse_stuff_id]],outputs_klasse_qty[klasse_stuff_id],0)),"")</f>
        <v>0</v>
      </c>
      <c r="FP166" s="241">
        <f>IFERROR(INDEX(outputs_klasse_qty[bue_radielle_gt4_sum],MATCH(inputs_stab_klasse[[#This Row],[klasse_stuff_id]],outputs_klasse_qty[klasse_stuff_id],0)),"")</f>
        <v>0</v>
      </c>
      <c r="FQ166" s="241">
        <f>IFERROR(INDEX(outputs_klasse_qty[sprøytebetong_ved_bue_sum],MATCH(inputs_stab_klasse[[#This Row],[klasse_stuff_id]],outputs_klasse_qty[klasse_stuff_id],0)),"")</f>
        <v>0</v>
      </c>
      <c r="FR166" s="241">
        <f>IFERROR(INDEX(outputs_klasse_qty[forankring_lt4_sum],MATCH(inputs_stab_klasse[[#This Row],[klasse_stuff_id]],outputs_klasse_qty[klasse_stuff_id],0)),"")</f>
        <v>0</v>
      </c>
      <c r="FS166" s="241">
        <f>IFERROR(INDEX(outputs_klasse_qty[forankring_gt4_sum],MATCH(inputs_stab_klasse[[#This Row],[klasse_stuff_id]],outputs_klasse_qty[klasse_stuff_id],0)),"")</f>
        <v>0</v>
      </c>
      <c r="FT166" s="4227"/>
      <c r="FU166" s="4227"/>
      <c r="FV166" s="435"/>
      <c r="IH166" s="1172"/>
      <c r="II166" s="372"/>
      <c r="IJ166" s="372"/>
      <c r="IK166" s="372"/>
      <c r="IL166" s="372"/>
      <c r="IM166" s="372"/>
      <c r="IN166" s="372"/>
      <c r="IO166" s="372"/>
      <c r="IP166" s="372"/>
      <c r="IQ166" s="372"/>
      <c r="IR166" s="372"/>
      <c r="IS166" s="185"/>
      <c r="NK166" s="185"/>
      <c r="NL166" s="206">
        <v>0</v>
      </c>
      <c r="NM166" s="206" t="s">
        <v>546</v>
      </c>
      <c r="OU166" s="184"/>
      <c r="PF166" s="183"/>
      <c r="PI166" s="265"/>
      <c r="PP166" s="183"/>
      <c r="QM166" s="2617"/>
      <c r="QY166" s="2617"/>
      <c r="RF166" s="2617"/>
      <c r="RG166" s="2617"/>
      <c r="RH166" s="2617"/>
      <c r="RI166" s="2617"/>
      <c r="RJ166" s="2617"/>
      <c r="RK166" s="2617"/>
      <c r="RL166" s="2617"/>
      <c r="RM166" s="2617"/>
      <c r="RN166" s="2617"/>
      <c r="RO166" s="2617"/>
      <c r="RP166" s="2617"/>
      <c r="RQ166" s="2617"/>
      <c r="RR166" s="2617"/>
      <c r="RS166" s="2617"/>
      <c r="RT166" s="2617"/>
      <c r="RU166" s="2617"/>
      <c r="RV166" s="2617"/>
      <c r="RW166" s="2617"/>
      <c r="RX166" s="2617"/>
      <c r="RY166" s="2617"/>
      <c r="RZ166" s="2617"/>
      <c r="SA166" s="2617"/>
      <c r="SB166" s="2617"/>
      <c r="SC166" s="2617"/>
      <c r="SD166" s="2617"/>
      <c r="SE166" s="2617"/>
      <c r="SF166" s="2617"/>
      <c r="SG166" s="2617"/>
      <c r="SH166" s="2617"/>
      <c r="SI166" s="2617"/>
      <c r="UM166" s="1754"/>
    </row>
    <row r="167" spans="2:605" ht="20.100000000000001" customHeight="1" x14ac:dyDescent="0.2">
      <c r="DR167" s="249" t="s">
        <v>408</v>
      </c>
      <c r="DS167" s="247" t="s">
        <v>300</v>
      </c>
      <c r="DT167" s="247" t="s">
        <v>301</v>
      </c>
      <c r="DU167" s="247" t="s">
        <v>302</v>
      </c>
      <c r="DV167" s="247" t="s">
        <v>303</v>
      </c>
      <c r="DW167" s="247" t="s">
        <v>187</v>
      </c>
      <c r="DX167" s="247" t="s">
        <v>304</v>
      </c>
      <c r="DY167" s="247" t="s">
        <v>305</v>
      </c>
      <c r="DZ167" s="247" t="s">
        <v>306</v>
      </c>
      <c r="EA167" s="315" t="s">
        <v>307</v>
      </c>
      <c r="EQ167" s="435"/>
      <c r="ER167" s="235" t="s">
        <v>489</v>
      </c>
      <c r="ES167" s="349">
        <f>VALUE(7&amp;_Calcs_Klasse!$AI$31)</f>
        <v>72</v>
      </c>
      <c r="ET167" s="237">
        <f>IF($BC$34&gt;6,1,0)</f>
        <v>0</v>
      </c>
      <c r="EU167" s="194">
        <f>INDEX(outputs_position[23],MATCH($BC$35,outputs_position[lopstuff],0))</f>
        <v>0</v>
      </c>
      <c r="EV167" s="194" t="str">
        <f t="shared" si="252"/>
        <v>Stuff 2-3</v>
      </c>
      <c r="EW167" s="843" t="s">
        <v>1160</v>
      </c>
      <c r="EX167" s="241">
        <f>IFERROR(INDEX(outputs_klasse_qty[man_total_hr],MATCH(inputs_stab_klasse[[#This Row],[klasse_stuff_id]],outputs_klasse_qty[klasse_stuff_id],0)),"")</f>
        <v>0</v>
      </c>
      <c r="EY167" s="241">
        <f>IFERROR(INDEX(outputs_klasse_qty[kartlegg_total_hr],MATCH(inputs_stab_klasse[[#This Row],[klasse_stuff_id]],outputs_klasse_qty[klasse_stuff_id],0)),"")</f>
        <v>0</v>
      </c>
      <c r="EZ167" s="241" t="str">
        <f>IFERROR(INDEX(outputs_klasse_qty[bolt_lt4_sum],MATCH(inputs_stab_klasse[[#This Row],[klasse_stuff_id]],outputs_klasse_qty[klasse_stuff_id],0)),"")</f>
        <v/>
      </c>
      <c r="FA167" s="241" t="str">
        <f>IFERROR(INDEX(outputs_klasse_qty[bolt_gt4_sum],MATCH(inputs_stab_klasse[[#This Row],[klasse_stuff_id]],outputs_klasse_qty[klasse_stuff_id],0)),"")</f>
        <v/>
      </c>
      <c r="FB167" s="241">
        <f>IFERROR(INDEX(outputs_klasse_qty[bergbånd_langs_forbolting_total],MATCH(inputs_stab_klasse[[#This Row],[klasse_stuff_id]],outputs_klasse_qty[klasse_stuff_id],0)),"")</f>
        <v>0</v>
      </c>
      <c r="FC167" s="241">
        <f>IFERROR(INDEX(outputs_klasse_qty[bånd_ekstra_total],MATCH(inputs_stab_klasse[[#This Row],[klasse_stuff_id]],outputs_klasse_qty[klasse_stuff_id],0)),"")</f>
        <v>0</v>
      </c>
      <c r="FD167" s="241">
        <f>IFERROR(INDEX(outputs_klasse_qty[festebolter_for bergbånd_total],MATCH(inputs_stab_klasse[[#This Row],[klasse_stuff_id]],outputs_klasse_qty[klasse_stuff_id],0)),"")</f>
        <v>0</v>
      </c>
      <c r="FE167" s="241">
        <f>IFERROR(INDEX(outputs_klasse_qty[nett_total],MATCH(inputs_stab_klasse[[#This Row],[klasse_stuff_id]],outputs_klasse_qty[klasse_stuff_id],0)),"")</f>
        <v>0</v>
      </c>
      <c r="FF167" s="241">
        <f>IFERROR(INDEX(outputs_klasse_qty[festebolter_for_nett_sum],MATCH(inputs_stab_klasse[[#This Row],[klasse_stuff_id]],outputs_klasse_qty[klasse_stuff_id],0)),"")</f>
        <v>0</v>
      </c>
      <c r="FG167" s="241" t="str">
        <f>IFERROR(INDEX(outputs_klasse_qty[sprøytebetong_ved_nett_sum],MATCH(inputs_stab_klasse[[#This Row],[klasse_stuff_id]],outputs_klasse_qty[klasse_stuff_id],0)),"")</f>
        <v/>
      </c>
      <c r="FH167" s="241">
        <f>IFERROR(INDEX(outputs_klasse_qty[forbolter_lt4_sum],MATCH(inputs_stab_klasse[[#This Row],[klasse_stuff_id]],outputs_klasse_qty[klasse_stuff_id],0)),"")</f>
        <v>0</v>
      </c>
      <c r="FI167" s="241">
        <f>IFERROR(INDEX(outputs_klasse_qty[forbolter_gt4_sum],MATCH(inputs_stab_klasse[[#This Row],[klasse_stuff_id]],outputs_klasse_qty[klasse_stuff_id],0)),"")</f>
        <v>0</v>
      </c>
      <c r="FJ167" s="241">
        <f>IFERROR(INDEX(outputs_klasse_qty[opphengbolter_lt4_sum],MATCH(inputs_stab_klasse[[#This Row],[klasse_stuff_id]],outputs_klasse_qty[klasse_stuff_id],0)),"")</f>
        <v>0</v>
      </c>
      <c r="FK167" s="241">
        <f>IFERROR(INDEX(outputs_klasse_qty[opphengbolter_gt4_sum],MATCH(inputs_stab_klasse[[#This Row],[klasse_stuff_id]],outputs_klasse_qty[klasse_stuff_id],0)),"")</f>
        <v>0</v>
      </c>
      <c r="FL167" s="241">
        <f>IFERROR(INDEX(outputs_klasse_qty[sprøyte_total],MATCH(inputs_stab_klasse[[#This Row],[klasse_stuff_id]],outputs_klasse_qty[klasse_stuff_id],0)),"")</f>
        <v>0</v>
      </c>
      <c r="FM167" s="241" t="str">
        <f>IFERROR(INDEX(outputs_klasse_qty[bue_e30_sum],MATCH(inputs_stab_klasse[[#This Row],[klasse_stuff_id]],outputs_klasse_qty[klasse_stuff_id],0)),"")</f>
        <v/>
      </c>
      <c r="FN167" s="241" t="str">
        <f>IFERROR(INDEX(outputs_klasse_qty[bue_d60_sum],MATCH(inputs_stab_klasse[[#This Row],[klasse_stuff_id]],outputs_klasse_qty[klasse_stuff_id],0)),"")</f>
        <v/>
      </c>
      <c r="FO167" s="241">
        <f>IFERROR(INDEX(outputs_klasse_qty[bue_radielle_lt4_sum],MATCH(inputs_stab_klasse[[#This Row],[klasse_stuff_id]],outputs_klasse_qty[klasse_stuff_id],0)),"")</f>
        <v>0</v>
      </c>
      <c r="FP167" s="241">
        <f>IFERROR(INDEX(outputs_klasse_qty[bue_radielle_gt4_sum],MATCH(inputs_stab_klasse[[#This Row],[klasse_stuff_id]],outputs_klasse_qty[klasse_stuff_id],0)),"")</f>
        <v>0</v>
      </c>
      <c r="FQ167" s="241">
        <f>IFERROR(INDEX(outputs_klasse_qty[sprøytebetong_ved_bue_sum],MATCH(inputs_stab_klasse[[#This Row],[klasse_stuff_id]],outputs_klasse_qty[klasse_stuff_id],0)),"")</f>
        <v>0</v>
      </c>
      <c r="FR167" s="241">
        <f>IFERROR(INDEX(outputs_klasse_qty[forankring_lt4_sum],MATCH(inputs_stab_klasse[[#This Row],[klasse_stuff_id]],outputs_klasse_qty[klasse_stuff_id],0)),"")</f>
        <v>0</v>
      </c>
      <c r="FS167" s="241">
        <f>IFERROR(INDEX(outputs_klasse_qty[forankring_gt4_sum],MATCH(inputs_stab_klasse[[#This Row],[klasse_stuff_id]],outputs_klasse_qty[klasse_stuff_id],0)),"")</f>
        <v>0</v>
      </c>
      <c r="FT167" s="4227"/>
      <c r="FU167" s="4227"/>
      <c r="FV167" s="435"/>
      <c r="IH167" s="1172">
        <v>7</v>
      </c>
      <c r="II167" s="1172" t="str">
        <f>$II$112</f>
        <v>Header: stuff navn</v>
      </c>
      <c r="IJ167" s="185"/>
      <c r="IK167" s="194" t="str">
        <f>IK$109</f>
        <v>Stuff 1-1</v>
      </c>
      <c r="IL167" s="194" t="str">
        <f t="shared" ref="IL167:IS167" si="254">IL$109</f>
        <v/>
      </c>
      <c r="IM167" s="194" t="str">
        <f t="shared" si="254"/>
        <v/>
      </c>
      <c r="IN167" s="194" t="str">
        <f t="shared" si="254"/>
        <v/>
      </c>
      <c r="IO167" s="194" t="str">
        <f t="shared" si="254"/>
        <v/>
      </c>
      <c r="IP167" s="194" t="str">
        <f t="shared" si="254"/>
        <v/>
      </c>
      <c r="IQ167" s="194" t="str">
        <f t="shared" si="254"/>
        <v/>
      </c>
      <c r="IR167" s="194" t="str">
        <f t="shared" si="254"/>
        <v/>
      </c>
      <c r="IS167" s="194" t="str">
        <f t="shared" si="254"/>
        <v/>
      </c>
      <c r="NK167" s="185"/>
      <c r="NL167" s="206">
        <v>1</v>
      </c>
      <c r="NM167" s="206" t="s">
        <v>547</v>
      </c>
      <c r="OU167" s="184"/>
      <c r="PF167" s="183"/>
      <c r="PI167" s="265"/>
      <c r="PP167" s="183"/>
      <c r="QM167" s="2617"/>
      <c r="QN167" s="185" t="s">
        <v>387</v>
      </c>
      <c r="QO167" s="185" t="s">
        <v>394</v>
      </c>
      <c r="QP167" s="185" t="s">
        <v>396</v>
      </c>
      <c r="QQ167" s="185" t="s">
        <v>392</v>
      </c>
      <c r="QR167" s="185" t="s">
        <v>393</v>
      </c>
      <c r="QS167" s="185"/>
      <c r="QT167" s="185"/>
      <c r="QU167" s="185"/>
      <c r="QY167" s="2617"/>
      <c r="UM167" s="1754"/>
    </row>
    <row r="168" spans="2:605" s="435" customFormat="1" ht="20.100000000000001" customHeight="1" x14ac:dyDescent="0.2">
      <c r="B168" s="265"/>
      <c r="C168" s="265"/>
      <c r="D168" s="265"/>
      <c r="E168" s="265"/>
      <c r="R168" s="6011"/>
      <c r="S168" s="6011"/>
      <c r="T168" s="6011"/>
      <c r="BB168" s="183"/>
      <c r="BC168" s="183"/>
      <c r="BD168" s="183"/>
      <c r="BE168" s="271" t="s">
        <v>208</v>
      </c>
      <c r="BF168" s="271" t="s">
        <v>293</v>
      </c>
      <c r="BG168" s="271">
        <f t="shared" ref="BG168:BS168" si="255">BG156+BG166</f>
        <v>0</v>
      </c>
      <c r="BH168" s="271">
        <f t="shared" si="255"/>
        <v>0</v>
      </c>
      <c r="BI168" s="271">
        <f t="shared" si="255"/>
        <v>0</v>
      </c>
      <c r="BJ168" s="271">
        <f t="shared" si="255"/>
        <v>0</v>
      </c>
      <c r="BK168" s="271">
        <f t="shared" si="255"/>
        <v>0</v>
      </c>
      <c r="BL168" s="271">
        <f t="shared" si="255"/>
        <v>0</v>
      </c>
      <c r="BM168" s="271">
        <f t="shared" si="255"/>
        <v>0</v>
      </c>
      <c r="BN168" s="271">
        <f t="shared" si="255"/>
        <v>0</v>
      </c>
      <c r="BO168" s="271">
        <f t="shared" si="255"/>
        <v>0</v>
      </c>
      <c r="BP168" s="271">
        <f t="shared" si="255"/>
        <v>0</v>
      </c>
      <c r="BQ168" s="271">
        <f t="shared" si="255"/>
        <v>0</v>
      </c>
      <c r="BR168" s="271">
        <f t="shared" si="255"/>
        <v>0</v>
      </c>
      <c r="BS168" s="271">
        <f t="shared" si="255"/>
        <v>0</v>
      </c>
      <c r="BT168" s="183"/>
      <c r="BU168" s="271">
        <f>BU156+BU166</f>
        <v>0</v>
      </c>
      <c r="BV168" s="271">
        <f>BV156+BV166</f>
        <v>0</v>
      </c>
      <c r="BW168" s="271">
        <f>BW156+BW166</f>
        <v>0</v>
      </c>
      <c r="BX168" s="271">
        <f>BX156+BX166</f>
        <v>0</v>
      </c>
      <c r="BY168" s="183"/>
      <c r="BZ168" s="183"/>
      <c r="DR168" s="1602">
        <v>1</v>
      </c>
      <c r="DS168" s="1600">
        <f>IF(OR($OL$176=0,AND('Inn foran'!$X$42&lt;1,('Inn foran'!$X$44+'Inn foran'!$X$46&gt;0))),0,1)</f>
        <v>0</v>
      </c>
      <c r="DT168" s="1600">
        <f>IF(OR($OM$176=0,AND('Inn foran'!$X$42&gt;0,'Inn foran'!$X$44=0)),0,1)</f>
        <v>0</v>
      </c>
      <c r="DU168" s="1600">
        <f>IF(OR($ON$176=0,AND('Inn foran'!$X$42&gt;0,'Inn foran'!$X$46=0)),0,1)</f>
        <v>0</v>
      </c>
      <c r="DV168" s="1601"/>
      <c r="DW168" s="1601"/>
      <c r="DX168" s="1603">
        <f>IF(OR($OP$176=0,AND('Inn foran'!$X$53&lt;1,('Inn foran'!$X$55+'Inn foran'!$X$57&gt;0))),0,1)</f>
        <v>0</v>
      </c>
      <c r="DY168" s="1603">
        <f>IF(OR($OQ$176=0,AND('Inn foran'!$X$53&gt;0,'Inn foran'!$X$55=0)),0,1)</f>
        <v>0</v>
      </c>
      <c r="DZ168" s="1603">
        <f>IF(OR($OR$176=0,AND('Inn foran'!$X$53&gt;0,'Inn foran'!$X$57=0)),0,1)</f>
        <v>0</v>
      </c>
      <c r="EA168" s="1604"/>
      <c r="EQ168" s="183"/>
      <c r="ER168" s="235" t="s">
        <v>490</v>
      </c>
      <c r="ES168" s="349">
        <f>VALUE(8&amp;_Calcs_Klasse!$AI$31)</f>
        <v>82</v>
      </c>
      <c r="ET168" s="237">
        <f>IF($BC$34&gt;7,1,0)</f>
        <v>0</v>
      </c>
      <c r="EU168" s="194">
        <f>INDEX(outputs_position[24],MATCH($BC$35,outputs_position[lopstuff],0))</f>
        <v>0</v>
      </c>
      <c r="EV168" s="194" t="str">
        <f t="shared" si="252"/>
        <v>Stuff 2-4</v>
      </c>
      <c r="EW168" s="843" t="s">
        <v>1161</v>
      </c>
      <c r="EX168" s="241">
        <f>IFERROR(INDEX(outputs_klasse_qty[man_total_hr],MATCH(inputs_stab_klasse[[#This Row],[klasse_stuff_id]],outputs_klasse_qty[klasse_stuff_id],0)),"")</f>
        <v>0</v>
      </c>
      <c r="EY168" s="241">
        <f>IFERROR(INDEX(outputs_klasse_qty[kartlegg_total_hr],MATCH(inputs_stab_klasse[[#This Row],[klasse_stuff_id]],outputs_klasse_qty[klasse_stuff_id],0)),"")</f>
        <v>0</v>
      </c>
      <c r="EZ168" s="241" t="str">
        <f>IFERROR(INDEX(outputs_klasse_qty[bolt_lt4_sum],MATCH(inputs_stab_klasse[[#This Row],[klasse_stuff_id]],outputs_klasse_qty[klasse_stuff_id],0)),"")</f>
        <v/>
      </c>
      <c r="FA168" s="241" t="str">
        <f>IFERROR(INDEX(outputs_klasse_qty[bolt_gt4_sum],MATCH(inputs_stab_klasse[[#This Row],[klasse_stuff_id]],outputs_klasse_qty[klasse_stuff_id],0)),"")</f>
        <v/>
      </c>
      <c r="FB168" s="241">
        <f>IFERROR(INDEX(outputs_klasse_qty[bergbånd_langs_forbolting_total],MATCH(inputs_stab_klasse[[#This Row],[klasse_stuff_id]],outputs_klasse_qty[klasse_stuff_id],0)),"")</f>
        <v>0</v>
      </c>
      <c r="FC168" s="241">
        <f>IFERROR(INDEX(outputs_klasse_qty[bånd_ekstra_total],MATCH(inputs_stab_klasse[[#This Row],[klasse_stuff_id]],outputs_klasse_qty[klasse_stuff_id],0)),"")</f>
        <v>0</v>
      </c>
      <c r="FD168" s="241">
        <f>IFERROR(INDEX(outputs_klasse_qty[festebolter_for bergbånd_total],MATCH(inputs_stab_klasse[[#This Row],[klasse_stuff_id]],outputs_klasse_qty[klasse_stuff_id],0)),"")</f>
        <v>0</v>
      </c>
      <c r="FE168" s="241">
        <f>IFERROR(INDEX(outputs_klasse_qty[nett_total],MATCH(inputs_stab_klasse[[#This Row],[klasse_stuff_id]],outputs_klasse_qty[klasse_stuff_id],0)),"")</f>
        <v>0</v>
      </c>
      <c r="FF168" s="241">
        <f>IFERROR(INDEX(outputs_klasse_qty[festebolter_for_nett_sum],MATCH(inputs_stab_klasse[[#This Row],[klasse_stuff_id]],outputs_klasse_qty[klasse_stuff_id],0)),"")</f>
        <v>0</v>
      </c>
      <c r="FG168" s="241" t="str">
        <f>IFERROR(INDEX(outputs_klasse_qty[sprøytebetong_ved_nett_sum],MATCH(inputs_stab_klasse[[#This Row],[klasse_stuff_id]],outputs_klasse_qty[klasse_stuff_id],0)),"")</f>
        <v/>
      </c>
      <c r="FH168" s="241">
        <f>IFERROR(INDEX(outputs_klasse_qty[forbolter_lt4_sum],MATCH(inputs_stab_klasse[[#This Row],[klasse_stuff_id]],outputs_klasse_qty[klasse_stuff_id],0)),"")</f>
        <v>0</v>
      </c>
      <c r="FI168" s="241">
        <f>IFERROR(INDEX(outputs_klasse_qty[forbolter_gt4_sum],MATCH(inputs_stab_klasse[[#This Row],[klasse_stuff_id]],outputs_klasse_qty[klasse_stuff_id],0)),"")</f>
        <v>0</v>
      </c>
      <c r="FJ168" s="241">
        <f>IFERROR(INDEX(outputs_klasse_qty[opphengbolter_lt4_sum],MATCH(inputs_stab_klasse[[#This Row],[klasse_stuff_id]],outputs_klasse_qty[klasse_stuff_id],0)),"")</f>
        <v>0</v>
      </c>
      <c r="FK168" s="241">
        <f>IFERROR(INDEX(outputs_klasse_qty[opphengbolter_gt4_sum],MATCH(inputs_stab_klasse[[#This Row],[klasse_stuff_id]],outputs_klasse_qty[klasse_stuff_id],0)),"")</f>
        <v>0</v>
      </c>
      <c r="FL168" s="241">
        <f>IFERROR(INDEX(outputs_klasse_qty[sprøyte_total],MATCH(inputs_stab_klasse[[#This Row],[klasse_stuff_id]],outputs_klasse_qty[klasse_stuff_id],0)),"")</f>
        <v>0</v>
      </c>
      <c r="FM168" s="241" t="str">
        <f>IFERROR(INDEX(outputs_klasse_qty[bue_e30_sum],MATCH(inputs_stab_klasse[[#This Row],[klasse_stuff_id]],outputs_klasse_qty[klasse_stuff_id],0)),"")</f>
        <v/>
      </c>
      <c r="FN168" s="241" t="str">
        <f>IFERROR(INDEX(outputs_klasse_qty[bue_d60_sum],MATCH(inputs_stab_klasse[[#This Row],[klasse_stuff_id]],outputs_klasse_qty[klasse_stuff_id],0)),"")</f>
        <v/>
      </c>
      <c r="FO168" s="241">
        <f>IFERROR(INDEX(outputs_klasse_qty[bue_radielle_lt4_sum],MATCH(inputs_stab_klasse[[#This Row],[klasse_stuff_id]],outputs_klasse_qty[klasse_stuff_id],0)),"")</f>
        <v>0</v>
      </c>
      <c r="FP168" s="241">
        <f>IFERROR(INDEX(outputs_klasse_qty[bue_radielle_gt4_sum],MATCH(inputs_stab_klasse[[#This Row],[klasse_stuff_id]],outputs_klasse_qty[klasse_stuff_id],0)),"")</f>
        <v>0</v>
      </c>
      <c r="FQ168" s="241">
        <f>IFERROR(INDEX(outputs_klasse_qty[sprøytebetong_ved_bue_sum],MATCH(inputs_stab_klasse[[#This Row],[klasse_stuff_id]],outputs_klasse_qty[klasse_stuff_id],0)),"")</f>
        <v>0</v>
      </c>
      <c r="FR168" s="241">
        <f>IFERROR(INDEX(outputs_klasse_qty[forankring_lt4_sum],MATCH(inputs_stab_klasse[[#This Row],[klasse_stuff_id]],outputs_klasse_qty[klasse_stuff_id],0)),"")</f>
        <v>0</v>
      </c>
      <c r="FS168" s="241">
        <f>IFERROR(INDEX(outputs_klasse_qty[forankring_gt4_sum],MATCH(inputs_stab_klasse[[#This Row],[klasse_stuff_id]],outputs_klasse_qty[klasse_stuff_id],0)),"")</f>
        <v>0</v>
      </c>
      <c r="FT168" s="241"/>
      <c r="FU168" s="241"/>
      <c r="FV168" s="183"/>
      <c r="IH168" s="1172"/>
      <c r="II168" s="1172" t="str">
        <f>$II$113</f>
        <v>Side nummer</v>
      </c>
      <c r="IJ168" s="185"/>
      <c r="IK168" s="194" t="str">
        <f>"Side "&amp;$IH167&amp;" av "&amp;_Calcs!$II$100</f>
        <v>Side 7 av 9</v>
      </c>
      <c r="IL168" s="194" t="str">
        <f t="shared" ref="IL168:IS168" si="256">$IK168</f>
        <v>Side 7 av 9</v>
      </c>
      <c r="IM168" s="194" t="str">
        <f t="shared" si="256"/>
        <v>Side 7 av 9</v>
      </c>
      <c r="IN168" s="194" t="str">
        <f t="shared" si="256"/>
        <v>Side 7 av 9</v>
      </c>
      <c r="IO168" s="194" t="str">
        <f t="shared" si="256"/>
        <v>Side 7 av 9</v>
      </c>
      <c r="IP168" s="194" t="str">
        <f t="shared" si="256"/>
        <v>Side 7 av 9</v>
      </c>
      <c r="IQ168" s="194" t="str">
        <f t="shared" si="256"/>
        <v>Side 7 av 9</v>
      </c>
      <c r="IR168" s="194" t="str">
        <f t="shared" si="256"/>
        <v>Side 7 av 9</v>
      </c>
      <c r="IS168" s="194" t="str">
        <f t="shared" si="256"/>
        <v>Side 7 av 9</v>
      </c>
      <c r="IT168" s="183"/>
      <c r="IU168" s="183"/>
      <c r="IV168" s="183"/>
      <c r="IW168" s="183"/>
      <c r="IX168" s="183"/>
      <c r="IY168" s="183"/>
      <c r="IZ168" s="183"/>
      <c r="JA168" s="183"/>
      <c r="JB168" s="183"/>
      <c r="JC168" s="183"/>
      <c r="JD168" s="183"/>
      <c r="JE168" s="183"/>
      <c r="JF168" s="183"/>
      <c r="JG168" s="183"/>
      <c r="JH168" s="183"/>
      <c r="JI168" s="183"/>
      <c r="JJ168" s="183"/>
      <c r="JK168" s="183"/>
      <c r="JL168" s="183"/>
      <c r="JM168" s="183"/>
      <c r="JN168" s="183"/>
      <c r="JO168" s="183"/>
      <c r="JP168" s="183"/>
      <c r="JQ168" s="183"/>
      <c r="JR168" s="183"/>
      <c r="JS168" s="183"/>
      <c r="JT168" s="183"/>
      <c r="JU168" s="183"/>
      <c r="JV168" s="183"/>
      <c r="JW168" s="183"/>
      <c r="JX168" s="183"/>
      <c r="JY168" s="183"/>
      <c r="JZ168" s="183"/>
      <c r="KA168" s="183"/>
      <c r="KB168" s="183"/>
      <c r="KC168" s="183"/>
      <c r="KD168" s="183"/>
      <c r="KE168" s="183"/>
      <c r="KF168" s="183"/>
      <c r="KG168" s="183"/>
      <c r="KH168" s="183"/>
      <c r="KI168" s="183"/>
      <c r="KJ168" s="183"/>
      <c r="KK168" s="183"/>
      <c r="KL168" s="183"/>
      <c r="KM168" s="183"/>
      <c r="KN168" s="183"/>
      <c r="KO168" s="183"/>
      <c r="KP168" s="183"/>
      <c r="KQ168" s="183"/>
      <c r="KR168" s="183"/>
      <c r="KS168" s="183"/>
      <c r="KT168" s="183"/>
      <c r="KU168" s="183"/>
      <c r="KV168" s="183"/>
      <c r="KW168" s="183"/>
      <c r="KX168" s="183"/>
      <c r="KY168" s="183"/>
      <c r="KZ168" s="183"/>
      <c r="LA168" s="183"/>
      <c r="LB168" s="183"/>
      <c r="LC168" s="183"/>
      <c r="LD168" s="183"/>
      <c r="LE168" s="183"/>
      <c r="LF168" s="183"/>
      <c r="LG168" s="183"/>
      <c r="LH168" s="183"/>
      <c r="LI168" s="183"/>
      <c r="LJ168" s="183"/>
      <c r="LK168" s="183"/>
      <c r="LL168" s="183"/>
      <c r="LM168" s="183"/>
      <c r="LN168" s="183"/>
      <c r="LO168" s="183"/>
      <c r="LP168" s="183"/>
      <c r="LQ168" s="183"/>
      <c r="LR168" s="183"/>
      <c r="LS168" s="183"/>
      <c r="LT168" s="183"/>
      <c r="LU168" s="183"/>
      <c r="LV168" s="183"/>
      <c r="LW168" s="183"/>
      <c r="LX168" s="183"/>
      <c r="LY168" s="183"/>
      <c r="LZ168" s="183"/>
      <c r="MA168" s="183"/>
      <c r="MB168" s="183"/>
      <c r="MC168" s="183"/>
      <c r="MD168" s="183"/>
      <c r="ME168" s="183"/>
      <c r="MF168" s="183"/>
      <c r="MG168" s="183"/>
      <c r="MH168" s="183"/>
      <c r="MI168" s="183"/>
      <c r="MJ168" s="183"/>
      <c r="MK168" s="183"/>
      <c r="ML168" s="183"/>
      <c r="MM168" s="183"/>
      <c r="MN168" s="183"/>
      <c r="MO168" s="183"/>
      <c r="MP168" s="183"/>
      <c r="MQ168" s="183"/>
      <c r="MR168" s="183"/>
      <c r="MS168" s="183"/>
      <c r="MT168" s="183"/>
      <c r="MU168" s="183"/>
      <c r="MV168" s="183"/>
      <c r="MW168" s="183"/>
      <c r="MX168" s="183"/>
      <c r="NE168" s="183"/>
      <c r="NF168" s="183"/>
      <c r="NG168" s="183"/>
      <c r="NH168" s="183"/>
      <c r="NI168" s="183"/>
      <c r="NJ168" s="183"/>
      <c r="NK168" s="183"/>
      <c r="NL168" s="183"/>
      <c r="NM168" s="183"/>
      <c r="NN168" s="183"/>
      <c r="NO168" s="183"/>
      <c r="NP168" s="183"/>
      <c r="NQ168" s="183"/>
      <c r="NR168" s="183"/>
      <c r="NS168" s="183"/>
      <c r="NT168" s="183"/>
      <c r="NU168" s="183"/>
      <c r="NV168" s="183"/>
      <c r="NW168" s="183"/>
      <c r="NX168" s="183"/>
      <c r="NY168" s="183"/>
      <c r="NZ168" s="183"/>
      <c r="OA168" s="183"/>
      <c r="OB168" s="183"/>
      <c r="OC168" s="183"/>
      <c r="OD168" s="183"/>
      <c r="OE168" s="183"/>
      <c r="OF168" s="183"/>
      <c r="OG168" s="183"/>
      <c r="OH168" s="183"/>
      <c r="OI168" s="183"/>
      <c r="OJ168" s="183"/>
      <c r="OK168" s="183"/>
      <c r="OL168" s="183"/>
      <c r="OM168" s="183"/>
      <c r="ON168" s="183"/>
      <c r="OO168" s="183"/>
      <c r="OP168" s="183"/>
      <c r="OQ168" s="183"/>
      <c r="OR168" s="183"/>
      <c r="OS168" s="183"/>
      <c r="OT168" s="183"/>
      <c r="OU168" s="184"/>
      <c r="OV168" s="184"/>
      <c r="OW168" s="184"/>
      <c r="OX168" s="184"/>
      <c r="OY168" s="184"/>
      <c r="OZ168" s="184"/>
      <c r="PA168" s="184"/>
      <c r="PB168" s="184"/>
      <c r="PC168" s="184"/>
      <c r="PD168" s="184"/>
      <c r="PE168" s="184"/>
      <c r="PF168" s="183"/>
      <c r="PG168" s="183"/>
      <c r="PH168" s="183"/>
      <c r="PI168" s="265"/>
      <c r="PJ168" s="265"/>
      <c r="PK168" s="265"/>
      <c r="PL168" s="265"/>
      <c r="PM168" s="265"/>
      <c r="PN168" s="265"/>
      <c r="PO168" s="265"/>
      <c r="PP168" s="183"/>
      <c r="PQ168" s="183"/>
      <c r="PR168" s="183"/>
      <c r="PS168" s="183"/>
      <c r="PT168" s="183"/>
      <c r="PU168" s="183"/>
      <c r="PV168" s="183"/>
      <c r="PW168" s="183"/>
      <c r="PX168" s="183"/>
      <c r="QM168" s="2617"/>
      <c r="QN168" s="185" t="s">
        <v>278</v>
      </c>
      <c r="QO168" s="185" t="s">
        <v>199</v>
      </c>
      <c r="QP168" s="185" t="s">
        <v>395</v>
      </c>
      <c r="QQ168" s="185" t="s">
        <v>601</v>
      </c>
      <c r="QR168" s="185" t="s">
        <v>600</v>
      </c>
      <c r="QS168" s="185" t="s">
        <v>602</v>
      </c>
      <c r="QT168" s="185" t="s">
        <v>603</v>
      </c>
      <c r="QU168" s="247" t="s">
        <v>604</v>
      </c>
      <c r="QV168" s="183"/>
      <c r="QW168" s="183"/>
      <c r="QX168" s="183"/>
      <c r="QY168" s="2617"/>
      <c r="RO168" s="1606"/>
      <c r="RQ168" s="1606"/>
      <c r="UK168" s="265"/>
      <c r="UL168" s="184"/>
      <c r="UM168" s="1754"/>
      <c r="UN168" s="265"/>
      <c r="UO168" s="265"/>
      <c r="UP168" s="265"/>
      <c r="UQ168" s="265"/>
      <c r="UR168" s="265"/>
      <c r="US168" s="265"/>
      <c r="UT168" s="265"/>
      <c r="UU168" s="265"/>
      <c r="UV168" s="265"/>
      <c r="UW168" s="265"/>
      <c r="UX168" s="402"/>
      <c r="UY168" s="265"/>
      <c r="UZ168" s="265"/>
      <c r="VB168" s="265"/>
      <c r="VC168" s="265"/>
      <c r="VD168" s="265"/>
      <c r="VE168" s="265"/>
      <c r="VF168" s="265"/>
      <c r="VG168" s="265"/>
      <c r="VH168" s="265"/>
      <c r="VI168" s="265"/>
      <c r="VJ168" s="265"/>
      <c r="VK168" s="265"/>
      <c r="VL168" s="265"/>
      <c r="VM168" s="265"/>
      <c r="VN168" s="265"/>
      <c r="VO168" s="265"/>
      <c r="VP168" s="265"/>
      <c r="VQ168" s="265"/>
      <c r="VR168" s="265"/>
      <c r="VS168" s="265"/>
      <c r="VT168" s="265"/>
      <c r="VU168" s="265"/>
      <c r="VV168" s="265"/>
      <c r="VW168" s="265"/>
      <c r="VX168" s="265"/>
      <c r="VY168" s="265"/>
      <c r="VZ168" s="265"/>
      <c r="WA168" s="265"/>
      <c r="WB168" s="265"/>
      <c r="WC168" s="265"/>
      <c r="WD168" s="265"/>
      <c r="WE168" s="265"/>
      <c r="WF168" s="265"/>
    </row>
    <row r="169" spans="2:605" s="435" customFormat="1" ht="20.100000000000001" customHeight="1" x14ac:dyDescent="0.2">
      <c r="B169" s="265"/>
      <c r="C169" s="265"/>
      <c r="D169" s="265"/>
      <c r="E169" s="265"/>
      <c r="R169" s="6011"/>
      <c r="S169" s="6011"/>
      <c r="T169" s="6011"/>
      <c r="BB169" s="183"/>
      <c r="BC169" s="183"/>
      <c r="BD169" s="183"/>
      <c r="BE169" s="271" t="s">
        <v>208</v>
      </c>
      <c r="BF169" s="271" t="s">
        <v>294</v>
      </c>
      <c r="BG169" s="271" t="e">
        <f t="shared" ref="BG169:BS169" si="257">BG158+BG159+BG160+BG161+BG162+BG163+BG164+BG165+BG166</f>
        <v>#VALUE!</v>
      </c>
      <c r="BH169" s="271">
        <f t="shared" si="257"/>
        <v>0</v>
      </c>
      <c r="BI169" s="271">
        <f t="shared" si="257"/>
        <v>0</v>
      </c>
      <c r="BJ169" s="271">
        <f t="shared" si="257"/>
        <v>0</v>
      </c>
      <c r="BK169" s="271" t="e">
        <f t="shared" si="257"/>
        <v>#VALUE!</v>
      </c>
      <c r="BL169" s="271">
        <f t="shared" si="257"/>
        <v>0</v>
      </c>
      <c r="BM169" s="271">
        <f t="shared" si="257"/>
        <v>0</v>
      </c>
      <c r="BN169" s="271">
        <f t="shared" si="257"/>
        <v>0</v>
      </c>
      <c r="BO169" s="271">
        <f t="shared" si="257"/>
        <v>0</v>
      </c>
      <c r="BP169" s="271">
        <f t="shared" si="257"/>
        <v>0</v>
      </c>
      <c r="BQ169" s="271">
        <f t="shared" si="257"/>
        <v>0</v>
      </c>
      <c r="BR169" s="271">
        <f t="shared" si="257"/>
        <v>0</v>
      </c>
      <c r="BS169" s="271">
        <f t="shared" si="257"/>
        <v>0</v>
      </c>
      <c r="BT169" s="183"/>
      <c r="BU169" s="271">
        <f>BU158+BU159+BU160+BU161+BU162+BU163+BU164+BU165+BU166</f>
        <v>0</v>
      </c>
      <c r="BV169" s="271">
        <f>BV158+BV159+BV160+BV161+BV162+BV163+BV164+BV165+BV166</f>
        <v>0</v>
      </c>
      <c r="BW169" s="271">
        <f>BW158+BW159+BW160+BW161+BW162+BW163+BW164+BW165+BW166</f>
        <v>0</v>
      </c>
      <c r="BX169" s="271" t="e">
        <f>BX158+BX159+BX160+BX161+BX162+BX163+BX164+BX165+BX166</f>
        <v>#VALUE!</v>
      </c>
      <c r="BY169" s="183"/>
      <c r="BZ169" s="183"/>
      <c r="DR169" s="1602">
        <v>2</v>
      </c>
      <c r="DS169" s="1600">
        <f>IF(OR($OL$177=0,AND('Inn foran'!$AF$42&lt;1,('Inn foran'!$AF$44+'Inn foran'!$AF$46&gt;0))),0,1)</f>
        <v>0</v>
      </c>
      <c r="DT169" s="1600">
        <f>IF(OR($OM$177=0,AND('Inn foran'!$AF$42&gt;0,'Inn foran'!$AF$44=0)),0,1)</f>
        <v>0</v>
      </c>
      <c r="DU169" s="1600">
        <f>IF(OR($ON$177=0,AND('Inn foran'!$AF$42&gt;0,'Inn foran'!$AF$46=0)),0,1)</f>
        <v>0</v>
      </c>
      <c r="DV169" s="1601"/>
      <c r="DW169" s="1601"/>
      <c r="DX169" s="1603">
        <f>IF(OR($OP$177=0,AND('Inn foran'!$AF$53&lt;1,('Inn foran'!$AF$55+'Inn foran'!$AF$57&gt;0))),0,1)</f>
        <v>0</v>
      </c>
      <c r="DY169" s="1603">
        <f>IF(OR($OQ$177=0,AND('Inn foran'!$AF$53&gt;0,'Inn foran'!$AF$55=0)),0,1)</f>
        <v>0</v>
      </c>
      <c r="DZ169" s="1603">
        <f>IF(OR($OR$177=0,AND('Inn foran'!$AF$53&gt;0,'Inn foran'!$AF$57=0)),0,1)</f>
        <v>0</v>
      </c>
      <c r="EA169" s="1604"/>
      <c r="EQ169" s="183"/>
      <c r="ER169" s="303" t="s">
        <v>258</v>
      </c>
      <c r="ES169" s="349">
        <f>VALUE(9&amp;_Calcs_Klasse!$AI$31)</f>
        <v>92</v>
      </c>
      <c r="ET169" s="246">
        <f>$BC$36</f>
        <v>0</v>
      </c>
      <c r="EU169" s="256">
        <f>INDEX(outputs_position[Tverrslag],MATCH($BC$35,outputs_position[lopstuff],0))</f>
        <v>0</v>
      </c>
      <c r="EV169" s="256" t="str">
        <f t="shared" si="252"/>
        <v>Tverrslag</v>
      </c>
      <c r="EW169" s="843" t="s">
        <v>1162</v>
      </c>
      <c r="EX169" s="241">
        <f>IFERROR(INDEX(outputs_klasse_qty[man_total_hr],MATCH(inputs_stab_klasse[[#This Row],[klasse_stuff_id]],outputs_klasse_qty[klasse_stuff_id],0)),"")</f>
        <v>0</v>
      </c>
      <c r="EY169" s="241">
        <f>IFERROR(INDEX(outputs_klasse_qty[kartlegg_total_hr],MATCH(inputs_stab_klasse[[#This Row],[klasse_stuff_id]],outputs_klasse_qty[klasse_stuff_id],0)),"")</f>
        <v>0</v>
      </c>
      <c r="EZ169" s="241" t="str">
        <f>IFERROR(INDEX(outputs_klasse_qty[bolt_lt4_sum],MATCH(inputs_stab_klasse[[#This Row],[klasse_stuff_id]],outputs_klasse_qty[klasse_stuff_id],0)),"")</f>
        <v/>
      </c>
      <c r="FA169" s="241" t="str">
        <f>IFERROR(INDEX(outputs_klasse_qty[bolt_gt4_sum],MATCH(inputs_stab_klasse[[#This Row],[klasse_stuff_id]],outputs_klasse_qty[klasse_stuff_id],0)),"")</f>
        <v/>
      </c>
      <c r="FB169" s="241">
        <f>IFERROR(INDEX(outputs_klasse_qty[bergbånd_langs_forbolting_total],MATCH(inputs_stab_klasse[[#This Row],[klasse_stuff_id]],outputs_klasse_qty[klasse_stuff_id],0)),"")</f>
        <v>0</v>
      </c>
      <c r="FC169" s="241">
        <f>IFERROR(INDEX(outputs_klasse_qty[bånd_ekstra_total],MATCH(inputs_stab_klasse[[#This Row],[klasse_stuff_id]],outputs_klasse_qty[klasse_stuff_id],0)),"")</f>
        <v>0</v>
      </c>
      <c r="FD169" s="241">
        <f>IFERROR(INDEX(outputs_klasse_qty[festebolter_for bergbånd_total],MATCH(inputs_stab_klasse[[#This Row],[klasse_stuff_id]],outputs_klasse_qty[klasse_stuff_id],0)),"")</f>
        <v>0</v>
      </c>
      <c r="FE169" s="241">
        <f>IFERROR(INDEX(outputs_klasse_qty[nett_total],MATCH(inputs_stab_klasse[[#This Row],[klasse_stuff_id]],outputs_klasse_qty[klasse_stuff_id],0)),"")</f>
        <v>0</v>
      </c>
      <c r="FF169" s="241">
        <f>IFERROR(INDEX(outputs_klasse_qty[festebolter_for_nett_sum],MATCH(inputs_stab_klasse[[#This Row],[klasse_stuff_id]],outputs_klasse_qty[klasse_stuff_id],0)),"")</f>
        <v>0</v>
      </c>
      <c r="FG169" s="241">
        <f>IFERROR(INDEX(outputs_klasse_qty[sprøytebetong_ved_nett_sum],MATCH(inputs_stab_klasse[[#This Row],[klasse_stuff_id]],outputs_klasse_qty[klasse_stuff_id],0)),"")</f>
        <v>0</v>
      </c>
      <c r="FH169" s="241">
        <f>IFERROR(INDEX(outputs_klasse_qty[forbolter_lt4_sum],MATCH(inputs_stab_klasse[[#This Row],[klasse_stuff_id]],outputs_klasse_qty[klasse_stuff_id],0)),"")</f>
        <v>0</v>
      </c>
      <c r="FI169" s="241">
        <f>IFERROR(INDEX(outputs_klasse_qty[forbolter_gt4_sum],MATCH(inputs_stab_klasse[[#This Row],[klasse_stuff_id]],outputs_klasse_qty[klasse_stuff_id],0)),"")</f>
        <v>0</v>
      </c>
      <c r="FJ169" s="241">
        <f>IFERROR(INDEX(outputs_klasse_qty[opphengbolter_lt4_sum],MATCH(inputs_stab_klasse[[#This Row],[klasse_stuff_id]],outputs_klasse_qty[klasse_stuff_id],0)),"")</f>
        <v>0</v>
      </c>
      <c r="FK169" s="241">
        <f>IFERROR(INDEX(outputs_klasse_qty[opphengbolter_gt4_sum],MATCH(inputs_stab_klasse[[#This Row],[klasse_stuff_id]],outputs_klasse_qty[klasse_stuff_id],0)),"")</f>
        <v>0</v>
      </c>
      <c r="FL169" s="241">
        <f>IFERROR(INDEX(outputs_klasse_qty[sprøyte_total],MATCH(inputs_stab_klasse[[#This Row],[klasse_stuff_id]],outputs_klasse_qty[klasse_stuff_id],0)),"")</f>
        <v>0</v>
      </c>
      <c r="FM169" s="241">
        <f>IFERROR(INDEX(outputs_klasse_qty[bue_e30_sum],MATCH(inputs_stab_klasse[[#This Row],[klasse_stuff_id]],outputs_klasse_qty[klasse_stuff_id],0)),"")</f>
        <v>0</v>
      </c>
      <c r="FN169" s="241">
        <f>IFERROR(INDEX(outputs_klasse_qty[bue_d60_sum],MATCH(inputs_stab_klasse[[#This Row],[klasse_stuff_id]],outputs_klasse_qty[klasse_stuff_id],0)),"")</f>
        <v>0</v>
      </c>
      <c r="FO169" s="241">
        <f>IFERROR(INDEX(outputs_klasse_qty[bue_radielle_lt4_sum],MATCH(inputs_stab_klasse[[#This Row],[klasse_stuff_id]],outputs_klasse_qty[klasse_stuff_id],0)),"")</f>
        <v>0</v>
      </c>
      <c r="FP169" s="241">
        <f>IFERROR(INDEX(outputs_klasse_qty[bue_radielle_gt4_sum],MATCH(inputs_stab_klasse[[#This Row],[klasse_stuff_id]],outputs_klasse_qty[klasse_stuff_id],0)),"")</f>
        <v>0</v>
      </c>
      <c r="FQ169" s="241">
        <f>IFERROR(INDEX(outputs_klasse_qty[sprøytebetong_ved_bue_sum],MATCH(inputs_stab_klasse[[#This Row],[klasse_stuff_id]],outputs_klasse_qty[klasse_stuff_id],0)),"")</f>
        <v>0</v>
      </c>
      <c r="FR169" s="241">
        <f>IFERROR(INDEX(outputs_klasse_qty[forankring_lt4_sum],MATCH(inputs_stab_klasse[[#This Row],[klasse_stuff_id]],outputs_klasse_qty[klasse_stuff_id],0)),"")</f>
        <v>0</v>
      </c>
      <c r="FS169" s="241">
        <f>IFERROR(INDEX(outputs_klasse_qty[forankring_gt4_sum],MATCH(inputs_stab_klasse[[#This Row],[klasse_stuff_id]],outputs_klasse_qty[klasse_stuff_id],0)),"")</f>
        <v>0</v>
      </c>
      <c r="FT169" s="324"/>
      <c r="FU169" s="324"/>
      <c r="FV169" s="183"/>
      <c r="IH169" s="1172"/>
      <c r="II169" s="1172"/>
      <c r="IJ169" s="185"/>
      <c r="IK169" s="372"/>
      <c r="IL169" s="372"/>
      <c r="IM169" s="372"/>
      <c r="IN169" s="372"/>
      <c r="IO169" s="372"/>
      <c r="IP169" s="372"/>
      <c r="IQ169" s="372"/>
      <c r="IR169" s="372"/>
      <c r="IS169" s="372"/>
      <c r="IT169" s="183"/>
      <c r="IU169" s="183"/>
      <c r="IV169" s="183"/>
      <c r="IW169" s="183"/>
      <c r="IX169" s="183"/>
      <c r="IY169" s="183"/>
      <c r="IZ169" s="183"/>
      <c r="JA169" s="183"/>
      <c r="JB169" s="183"/>
      <c r="JC169" s="183"/>
      <c r="JD169" s="183"/>
      <c r="JE169" s="183"/>
      <c r="JF169" s="183"/>
      <c r="JG169" s="183"/>
      <c r="JH169" s="183"/>
      <c r="JI169" s="183"/>
      <c r="JJ169" s="183"/>
      <c r="JK169" s="183"/>
      <c r="JL169" s="183"/>
      <c r="JM169" s="183"/>
      <c r="JN169" s="183"/>
      <c r="JO169" s="183"/>
      <c r="JP169" s="183"/>
      <c r="JQ169" s="183"/>
      <c r="JR169" s="183"/>
      <c r="JS169" s="183"/>
      <c r="JT169" s="183"/>
      <c r="JU169" s="183"/>
      <c r="JV169" s="183"/>
      <c r="JW169" s="183"/>
      <c r="JX169" s="183"/>
      <c r="JY169" s="183"/>
      <c r="JZ169" s="183"/>
      <c r="KA169" s="183"/>
      <c r="KB169" s="183"/>
      <c r="KC169" s="183"/>
      <c r="KD169" s="183"/>
      <c r="KE169" s="183"/>
      <c r="KF169" s="183"/>
      <c r="KG169" s="183"/>
      <c r="KH169" s="183"/>
      <c r="KI169" s="183"/>
      <c r="KJ169" s="183"/>
      <c r="KK169" s="183"/>
      <c r="KL169" s="183"/>
      <c r="KM169" s="183"/>
      <c r="KN169" s="183"/>
      <c r="KO169" s="183"/>
      <c r="KP169" s="183"/>
      <c r="KQ169" s="183"/>
      <c r="KR169" s="183"/>
      <c r="KS169" s="183"/>
      <c r="KT169" s="183"/>
      <c r="KU169" s="183"/>
      <c r="KV169" s="183"/>
      <c r="KW169" s="183"/>
      <c r="KX169" s="183"/>
      <c r="KY169" s="183"/>
      <c r="KZ169" s="183"/>
      <c r="LA169" s="183"/>
      <c r="LB169" s="183"/>
      <c r="LC169" s="183"/>
      <c r="LD169" s="183"/>
      <c r="LE169" s="183"/>
      <c r="LF169" s="183"/>
      <c r="LG169" s="183"/>
      <c r="LH169" s="183"/>
      <c r="LI169" s="183"/>
      <c r="LJ169" s="183"/>
      <c r="LK169" s="183"/>
      <c r="LL169" s="183"/>
      <c r="LM169" s="183"/>
      <c r="LN169" s="183"/>
      <c r="LO169" s="183"/>
      <c r="LP169" s="183"/>
      <c r="LQ169" s="183"/>
      <c r="LR169" s="183"/>
      <c r="LS169" s="183"/>
      <c r="LT169" s="183"/>
      <c r="LU169" s="183"/>
      <c r="LV169" s="183"/>
      <c r="LW169" s="183"/>
      <c r="LX169" s="183"/>
      <c r="LY169" s="183"/>
      <c r="LZ169" s="183"/>
      <c r="MA169" s="183"/>
      <c r="MB169" s="183"/>
      <c r="MC169" s="183"/>
      <c r="MD169" s="183"/>
      <c r="ME169" s="183"/>
      <c r="MF169" s="183"/>
      <c r="MG169" s="183"/>
      <c r="MH169" s="183"/>
      <c r="MI169" s="183"/>
      <c r="MJ169" s="183"/>
      <c r="MK169" s="183"/>
      <c r="ML169" s="183"/>
      <c r="MM169" s="183"/>
      <c r="MN169" s="183"/>
      <c r="MO169" s="183"/>
      <c r="MP169" s="183"/>
      <c r="MQ169" s="183"/>
      <c r="MR169" s="183"/>
      <c r="MS169" s="183"/>
      <c r="MT169" s="183"/>
      <c r="MU169" s="183"/>
      <c r="MV169" s="183"/>
      <c r="MW169" s="183"/>
      <c r="MX169" s="183"/>
      <c r="NE169" s="183"/>
      <c r="NF169" s="183"/>
      <c r="NG169" s="183"/>
      <c r="NH169" s="183"/>
      <c r="NI169" s="183"/>
      <c r="NJ169" s="183"/>
      <c r="NK169" s="183"/>
      <c r="NL169" s="2617"/>
      <c r="NM169" s="2617"/>
      <c r="NN169" s="2617"/>
      <c r="NO169" s="2617"/>
      <c r="NP169" s="2617"/>
      <c r="NQ169" s="2617"/>
      <c r="NR169" s="2617"/>
      <c r="NS169" s="2617"/>
      <c r="NT169" s="2617"/>
      <c r="NU169" s="2617"/>
      <c r="NV169" s="183"/>
      <c r="NW169" s="183"/>
      <c r="NX169" s="183"/>
      <c r="NY169" s="183"/>
      <c r="NZ169" s="183"/>
      <c r="OA169" s="183"/>
      <c r="OB169" s="183"/>
      <c r="OC169" s="183"/>
      <c r="OD169" s="183"/>
      <c r="OE169" s="183"/>
      <c r="OF169" s="183"/>
      <c r="OG169" s="183"/>
      <c r="OH169" s="183"/>
      <c r="OI169" s="183"/>
      <c r="OJ169" s="183"/>
      <c r="OK169" s="183"/>
      <c r="OL169" s="183"/>
      <c r="OM169" s="183"/>
      <c r="ON169" s="183"/>
      <c r="OO169" s="183"/>
      <c r="OP169" s="183"/>
      <c r="OQ169" s="183"/>
      <c r="OR169" s="183"/>
      <c r="OS169" s="183"/>
      <c r="OT169" s="183"/>
      <c r="OU169" s="184"/>
      <c r="OV169" s="184"/>
      <c r="OW169" s="184"/>
      <c r="OX169" s="184"/>
      <c r="OY169" s="184"/>
      <c r="OZ169" s="184"/>
      <c r="PA169" s="184"/>
      <c r="PB169" s="184"/>
      <c r="PC169" s="184"/>
      <c r="PD169" s="184"/>
      <c r="PE169" s="184"/>
      <c r="PF169" s="183"/>
      <c r="PG169" s="183"/>
      <c r="PH169" s="183"/>
      <c r="PI169" s="265"/>
      <c r="PJ169" s="265"/>
      <c r="PK169" s="265"/>
      <c r="PL169" s="265"/>
      <c r="PM169" s="265"/>
      <c r="PN169" s="265"/>
      <c r="PO169" s="265"/>
      <c r="PP169" s="183"/>
      <c r="PQ169" s="183"/>
      <c r="PR169" s="183"/>
      <c r="PS169" s="183"/>
      <c r="PT169" s="183"/>
      <c r="PU169" s="183"/>
      <c r="PX169" s="183"/>
      <c r="QM169" s="183"/>
      <c r="QN169" s="185">
        <v>11</v>
      </c>
      <c r="QO169" s="185" t="s">
        <v>565</v>
      </c>
      <c r="QP169" s="185"/>
      <c r="QQ169" s="185" t="s">
        <v>390</v>
      </c>
      <c r="QR169" s="185" t="s">
        <v>390</v>
      </c>
      <c r="QS169" s="185" t="s">
        <v>390</v>
      </c>
      <c r="QT169" s="185" t="s">
        <v>390</v>
      </c>
      <c r="QU169" s="185">
        <v>0</v>
      </c>
      <c r="QV169" s="183"/>
      <c r="QW169" s="189" t="s">
        <v>613</v>
      </c>
      <c r="QX169" s="183"/>
      <c r="QY169" s="183"/>
      <c r="RO169" s="1606"/>
      <c r="RQ169" s="1606"/>
      <c r="UK169" s="265"/>
      <c r="UL169" s="184"/>
      <c r="UM169" s="1754"/>
      <c r="UN169" s="265"/>
      <c r="UO169" s="265"/>
      <c r="UP169" s="265"/>
      <c r="UQ169" s="265"/>
      <c r="UR169" s="265"/>
      <c r="US169" s="265"/>
      <c r="UT169" s="265"/>
      <c r="UU169" s="265"/>
      <c r="UV169" s="265"/>
      <c r="UW169" s="265"/>
      <c r="UX169" s="402"/>
      <c r="UY169" s="265"/>
      <c r="UZ169" s="265"/>
      <c r="VB169" s="265"/>
      <c r="VC169" s="265"/>
      <c r="VD169" s="265"/>
      <c r="VE169" s="265"/>
      <c r="VF169" s="265"/>
      <c r="VG169" s="265"/>
      <c r="VH169" s="265"/>
      <c r="VI169" s="265"/>
      <c r="VJ169" s="265"/>
      <c r="VK169" s="265"/>
      <c r="VL169" s="265"/>
      <c r="VM169" s="265"/>
      <c r="VN169" s="265"/>
      <c r="VO169" s="265"/>
      <c r="VP169" s="265"/>
      <c r="VQ169" s="265"/>
      <c r="VR169" s="265"/>
      <c r="VS169" s="265"/>
      <c r="VT169" s="265"/>
      <c r="VU169" s="265"/>
      <c r="VV169" s="265"/>
      <c r="VW169" s="265"/>
      <c r="VX169" s="265"/>
      <c r="VY169" s="265"/>
      <c r="VZ169" s="265"/>
      <c r="WA169" s="265"/>
      <c r="WB169" s="265"/>
      <c r="WC169" s="265"/>
      <c r="WD169" s="265"/>
      <c r="WE169" s="265"/>
      <c r="WF169" s="265"/>
    </row>
    <row r="170" spans="2:605" s="435" customFormat="1" ht="20.100000000000001" customHeight="1" x14ac:dyDescent="0.2">
      <c r="B170" s="265"/>
      <c r="C170" s="265"/>
      <c r="D170" s="265"/>
      <c r="E170" s="265"/>
      <c r="R170" s="6011"/>
      <c r="S170" s="6011"/>
      <c r="T170" s="6011"/>
      <c r="DR170" s="1602">
        <v>3</v>
      </c>
      <c r="DS170" s="1600">
        <f>IF(OR($OL$178=0,AND('Inn foran'!$AN$42&lt;1,('Inn foran'!$AN$44+'Inn foran'!$AN$46&gt;0))),0,1)</f>
        <v>0</v>
      </c>
      <c r="DT170" s="1600">
        <f>IF(OR($OM$178=0,AND('Inn foran'!$AN$42&gt;0,'Inn foran'!$AN$44=0)),0,1)</f>
        <v>0</v>
      </c>
      <c r="DU170" s="1600">
        <f>IF(OR($ON$178=0,AND('Inn foran'!$AN$42&gt;0,'Inn foran'!$AN$46=0)),0,1)</f>
        <v>0</v>
      </c>
      <c r="DV170" s="1601"/>
      <c r="DW170" s="1601"/>
      <c r="DX170" s="1603">
        <f>IF(OR($OP$178=0,AND('Inn foran'!$AN$53&lt;1,('Inn foran'!$AN$55+'Inn foran'!$AN$57&gt;0))),0,1)</f>
        <v>0</v>
      </c>
      <c r="DY170" s="1603">
        <f>IF(OR($OQ$178=0,AND('Inn foran'!$AN$53&gt;0,'Inn foran'!$AN$55=0)),0,1)</f>
        <v>0</v>
      </c>
      <c r="DZ170" s="1603">
        <f>IF(OR($OR$178=0,AND('Inn foran'!$AN$53&gt;0,'Inn foran'!$AN$57=0)),0,1)</f>
        <v>0</v>
      </c>
      <c r="EA170" s="1604"/>
      <c r="EQ170" s="183"/>
      <c r="ER170" s="183"/>
      <c r="ES170" s="183"/>
      <c r="ET170" s="183"/>
      <c r="EU170" s="183"/>
      <c r="EV170" s="183"/>
      <c r="EW170" s="183"/>
      <c r="EX170" s="183"/>
      <c r="EY170" s="183"/>
      <c r="EZ170" s="183"/>
      <c r="FA170" s="183"/>
      <c r="FB170" s="183"/>
      <c r="FC170" s="183"/>
      <c r="FD170" s="183"/>
      <c r="FE170" s="183"/>
      <c r="FF170" s="183"/>
      <c r="FG170" s="183"/>
      <c r="FH170" s="181"/>
      <c r="FI170" s="183"/>
      <c r="FJ170" s="183"/>
      <c r="FK170" s="183"/>
      <c r="FL170" s="183"/>
      <c r="FM170" s="183"/>
      <c r="FN170" s="181"/>
      <c r="FO170" s="181"/>
      <c r="FP170" s="181"/>
      <c r="FQ170" s="181"/>
      <c r="FR170" s="183"/>
      <c r="FS170" s="183"/>
      <c r="FT170" s="183"/>
      <c r="FU170" s="183"/>
      <c r="FV170" s="183"/>
      <c r="IH170" s="1172"/>
      <c r="II170" s="1172" t="str">
        <f>$II$116</f>
        <v>Justering</v>
      </c>
      <c r="IJ170" s="185"/>
      <c r="IK170" s="194" t="str">
        <f>_Calcs!$K$87</f>
        <v>Justeringer</v>
      </c>
      <c r="IL170" s="194" t="str">
        <f t="shared" ref="IL170:IS171" si="258">$IK170</f>
        <v>Justeringer</v>
      </c>
      <c r="IM170" s="194" t="str">
        <f t="shared" si="258"/>
        <v>Justeringer</v>
      </c>
      <c r="IN170" s="194" t="str">
        <f t="shared" si="258"/>
        <v>Justeringer</v>
      </c>
      <c r="IO170" s="194" t="str">
        <f t="shared" si="258"/>
        <v>Justeringer</v>
      </c>
      <c r="IP170" s="194" t="str">
        <f t="shared" si="258"/>
        <v>Justeringer</v>
      </c>
      <c r="IQ170" s="194" t="str">
        <f t="shared" si="258"/>
        <v>Justeringer</v>
      </c>
      <c r="IR170" s="194" t="str">
        <f t="shared" si="258"/>
        <v>Justeringer</v>
      </c>
      <c r="IS170" s="194" t="str">
        <f t="shared" si="258"/>
        <v>Justeringer</v>
      </c>
      <c r="IT170" s="183"/>
      <c r="IU170" s="183"/>
      <c r="IV170" s="183"/>
      <c r="IW170" s="183"/>
      <c r="IX170" s="183"/>
      <c r="IY170" s="183"/>
      <c r="IZ170" s="183"/>
      <c r="JA170" s="183"/>
      <c r="JB170" s="183"/>
      <c r="JC170" s="183"/>
      <c r="JD170" s="183"/>
      <c r="JE170" s="183"/>
      <c r="JF170" s="183"/>
      <c r="JG170" s="183"/>
      <c r="JH170" s="183"/>
      <c r="JI170" s="183"/>
      <c r="JJ170" s="183"/>
      <c r="JK170" s="183"/>
      <c r="JL170" s="183"/>
      <c r="JM170" s="183"/>
      <c r="JN170" s="183"/>
      <c r="JO170" s="183"/>
      <c r="JP170" s="183"/>
      <c r="JQ170" s="183"/>
      <c r="JR170" s="183"/>
      <c r="JS170" s="183"/>
      <c r="JT170" s="183"/>
      <c r="JU170" s="183"/>
      <c r="JV170" s="183"/>
      <c r="JW170" s="183"/>
      <c r="JX170" s="183"/>
      <c r="JY170" s="183"/>
      <c r="JZ170" s="183"/>
      <c r="KA170" s="183"/>
      <c r="KB170" s="183"/>
      <c r="KC170" s="183"/>
      <c r="KD170" s="183"/>
      <c r="KE170" s="183"/>
      <c r="KF170" s="183"/>
      <c r="KG170" s="183"/>
      <c r="KH170" s="183"/>
      <c r="KI170" s="183"/>
      <c r="KJ170" s="183"/>
      <c r="KK170" s="183"/>
      <c r="KL170" s="183"/>
      <c r="KM170" s="183"/>
      <c r="KN170" s="183"/>
      <c r="KO170" s="183"/>
      <c r="KP170" s="183"/>
      <c r="KQ170" s="183"/>
      <c r="KR170" s="183"/>
      <c r="KS170" s="183"/>
      <c r="KT170" s="183"/>
      <c r="KU170" s="183"/>
      <c r="KV170" s="183"/>
      <c r="KW170" s="183"/>
      <c r="KX170" s="183"/>
      <c r="KY170" s="183"/>
      <c r="KZ170" s="183"/>
      <c r="LA170" s="183"/>
      <c r="LB170" s="183"/>
      <c r="LC170" s="183"/>
      <c r="LD170" s="183"/>
      <c r="LE170" s="183"/>
      <c r="LF170" s="183"/>
      <c r="LG170" s="183"/>
      <c r="LH170" s="183"/>
      <c r="LI170" s="183"/>
      <c r="LJ170" s="183"/>
      <c r="LK170" s="183"/>
      <c r="LL170" s="183"/>
      <c r="LM170" s="183"/>
      <c r="LN170" s="183"/>
      <c r="LO170" s="183"/>
      <c r="LP170" s="183"/>
      <c r="LQ170" s="183"/>
      <c r="LR170" s="183"/>
      <c r="LS170" s="183"/>
      <c r="LT170" s="183"/>
      <c r="LU170" s="183"/>
      <c r="LV170" s="183"/>
      <c r="LW170" s="183"/>
      <c r="LX170" s="183"/>
      <c r="LY170" s="183"/>
      <c r="LZ170" s="183"/>
      <c r="MA170" s="183"/>
      <c r="MB170" s="183"/>
      <c r="MC170" s="183"/>
      <c r="MD170" s="183"/>
      <c r="ME170" s="183"/>
      <c r="MF170" s="183"/>
      <c r="MG170" s="183"/>
      <c r="MH170" s="183"/>
      <c r="MI170" s="183"/>
      <c r="MJ170" s="183"/>
      <c r="MK170" s="183"/>
      <c r="ML170" s="183"/>
      <c r="MM170" s="183"/>
      <c r="MN170" s="183"/>
      <c r="MO170" s="183"/>
      <c r="MP170" s="183"/>
      <c r="MQ170" s="183"/>
      <c r="MR170" s="183"/>
      <c r="MS170" s="183"/>
      <c r="MT170" s="183"/>
      <c r="MU170" s="183"/>
      <c r="MV170" s="183"/>
      <c r="MW170" s="183"/>
      <c r="MX170" s="183"/>
      <c r="NE170" s="183"/>
      <c r="NF170" s="183"/>
      <c r="NG170" s="183"/>
      <c r="NH170" s="183"/>
      <c r="NI170" s="183"/>
      <c r="NJ170" s="183"/>
      <c r="NK170" s="183"/>
      <c r="NL170" s="2617"/>
      <c r="NM170" s="2617"/>
      <c r="NN170" s="2617"/>
      <c r="NO170" s="2617"/>
      <c r="NP170" s="2617"/>
      <c r="NQ170" s="2617"/>
      <c r="NR170" s="2617"/>
      <c r="NS170" s="2617"/>
      <c r="NT170" s="2617"/>
      <c r="NU170" s="2617"/>
      <c r="NV170" s="183"/>
      <c r="NW170" s="183"/>
      <c r="NX170" s="183"/>
      <c r="NY170" s="183"/>
      <c r="NZ170" s="183"/>
      <c r="OA170" s="183"/>
      <c r="OB170" s="183"/>
      <c r="OC170" s="183"/>
      <c r="OD170" s="183"/>
      <c r="OE170" s="183"/>
      <c r="OF170" s="183"/>
      <c r="OG170" s="183"/>
      <c r="OH170" s="183"/>
      <c r="OI170" s="183"/>
      <c r="OJ170" s="183"/>
      <c r="OK170" s="183"/>
      <c r="OL170" s="183"/>
      <c r="OM170" s="183"/>
      <c r="ON170" s="183"/>
      <c r="OO170" s="183"/>
      <c r="OP170" s="183"/>
      <c r="OQ170" s="183"/>
      <c r="OR170" s="183"/>
      <c r="OS170" s="183"/>
      <c r="OT170" s="183"/>
      <c r="OU170" s="184"/>
      <c r="OV170" s="184"/>
      <c r="OW170" s="184"/>
      <c r="OX170" s="184"/>
      <c r="OY170" s="184"/>
      <c r="OZ170" s="184"/>
      <c r="PA170" s="184"/>
      <c r="PB170" s="184"/>
      <c r="PC170" s="184"/>
      <c r="PD170" s="184"/>
      <c r="PE170" s="184"/>
      <c r="PF170" s="183"/>
      <c r="PG170" s="183"/>
      <c r="PH170" s="183"/>
      <c r="PI170" s="265"/>
      <c r="PJ170" s="265"/>
      <c r="PK170" s="265"/>
      <c r="PL170" s="265"/>
      <c r="PM170" s="265"/>
      <c r="PN170" s="265"/>
      <c r="PO170" s="265"/>
      <c r="PP170" s="183"/>
      <c r="PQ170" s="183"/>
      <c r="PR170" s="183"/>
      <c r="PS170" s="183"/>
      <c r="PT170" s="183"/>
      <c r="PU170" s="183"/>
      <c r="PX170" s="183"/>
      <c r="QM170" s="183"/>
      <c r="QN170" s="185">
        <v>12</v>
      </c>
      <c r="QO170" s="185" t="s">
        <v>566</v>
      </c>
      <c r="QP170" s="185"/>
      <c r="QQ170" s="185" t="s">
        <v>390</v>
      </c>
      <c r="QR170" s="185" t="s">
        <v>390</v>
      </c>
      <c r="QS170" s="185" t="s">
        <v>390</v>
      </c>
      <c r="QT170" s="185" t="s">
        <v>390</v>
      </c>
      <c r="QU170" s="185">
        <v>0</v>
      </c>
      <c r="QV170" s="183"/>
      <c r="QW170" s="836" t="s">
        <v>614</v>
      </c>
      <c r="QX170" s="183"/>
      <c r="QY170" s="183"/>
      <c r="RO170" s="1606"/>
      <c r="RQ170" s="1606"/>
      <c r="UK170" s="265"/>
      <c r="UL170" s="184"/>
      <c r="UM170" s="1754"/>
      <c r="UN170" s="265"/>
      <c r="UO170" s="265"/>
      <c r="UP170" s="265"/>
      <c r="UQ170" s="265"/>
      <c r="UR170" s="265"/>
      <c r="US170" s="265"/>
      <c r="UT170" s="265"/>
      <c r="UU170" s="265"/>
      <c r="UV170" s="265"/>
      <c r="UW170" s="265"/>
      <c r="UX170" s="402"/>
      <c r="UY170" s="265"/>
      <c r="UZ170" s="265"/>
      <c r="VB170" s="265"/>
      <c r="VC170" s="265"/>
      <c r="VD170" s="265"/>
      <c r="VE170" s="265"/>
      <c r="VF170" s="265"/>
      <c r="VG170" s="265"/>
      <c r="VH170" s="265"/>
      <c r="VI170" s="265"/>
      <c r="VJ170" s="265"/>
      <c r="VK170" s="265"/>
      <c r="VL170" s="265"/>
      <c r="VM170" s="265"/>
      <c r="VN170" s="265"/>
      <c r="VO170" s="265"/>
      <c r="VP170" s="265"/>
      <c r="VQ170" s="265"/>
      <c r="VR170" s="265"/>
      <c r="VS170" s="265"/>
      <c r="VT170" s="265"/>
      <c r="VU170" s="265"/>
      <c r="VV170" s="265"/>
      <c r="VW170" s="265"/>
      <c r="VX170" s="265"/>
      <c r="VY170" s="265"/>
      <c r="VZ170" s="265"/>
      <c r="WA170" s="265"/>
      <c r="WB170" s="265"/>
      <c r="WC170" s="265"/>
      <c r="WD170" s="265"/>
      <c r="WE170" s="265"/>
      <c r="WF170" s="265"/>
    </row>
    <row r="171" spans="2:605" s="435" customFormat="1" ht="20.100000000000001" customHeight="1" x14ac:dyDescent="0.2">
      <c r="B171" s="265"/>
      <c r="C171" s="265"/>
      <c r="D171" s="265"/>
      <c r="E171" s="265"/>
      <c r="R171" s="6011"/>
      <c r="S171" s="6011"/>
      <c r="T171" s="6011"/>
      <c r="DR171" s="1602">
        <v>4</v>
      </c>
      <c r="DS171" s="1600">
        <f>IF(OR($OL$179=0,AND('Inn foran'!$AV$42&lt;1,('Inn foran'!$AV$44+'Inn foran'!$AV$46&gt;0))),0,1)</f>
        <v>0</v>
      </c>
      <c r="DT171" s="1600">
        <f>IF(OR($OM$179=0,AND('Inn foran'!$AV$42&gt;0,'Inn foran'!$AV$44=0)),0,1)</f>
        <v>0</v>
      </c>
      <c r="DU171" s="1600">
        <f>IF(OR($ON$179=0,AND('Inn foran'!$AV$42&gt;0,'Inn foran'!$AV$46=0)),0,1)</f>
        <v>0</v>
      </c>
      <c r="DV171" s="1601"/>
      <c r="DW171" s="1601"/>
      <c r="DX171" s="1603">
        <f>IF(OR($OP$179=0,AND('Inn foran'!$AV$53&lt;1,('Inn foran'!$AV$55+'Inn foran'!$AV$57&gt;0))),0,1)</f>
        <v>0</v>
      </c>
      <c r="DY171" s="1603">
        <f>IF(OR($OQ$179=0,AND('Inn foran'!$AV$53&gt;0,'Inn foran'!$AV$55=0)),0,1)</f>
        <v>0</v>
      </c>
      <c r="DZ171" s="1603">
        <f>IF(OR($OR$179=0,AND('Inn foran'!$AV$53&gt;0,'Inn foran'!$AV$57=0)),0,1)</f>
        <v>0</v>
      </c>
      <c r="EA171" s="1604"/>
      <c r="EQ171" s="183"/>
      <c r="ER171" s="183"/>
      <c r="ES171" s="183"/>
      <c r="ET171" s="183"/>
      <c r="EU171" s="183"/>
      <c r="EV171" s="183"/>
      <c r="EW171" s="183"/>
      <c r="EX171" s="183"/>
      <c r="EY171" s="183"/>
      <c r="EZ171" s="183"/>
      <c r="FA171" s="183"/>
      <c r="FB171" s="183"/>
      <c r="FC171" s="183"/>
      <c r="FD171" s="183"/>
      <c r="FE171" s="183"/>
      <c r="FF171" s="183"/>
      <c r="FG171" s="183"/>
      <c r="FH171" s="181"/>
      <c r="FI171" s="183"/>
      <c r="FJ171" s="183"/>
      <c r="FK171" s="183"/>
      <c r="FL171" s="183"/>
      <c r="FM171" s="183"/>
      <c r="FN171" s="181"/>
      <c r="FO171" s="181"/>
      <c r="FP171" s="181"/>
      <c r="FQ171" s="181"/>
      <c r="FR171" s="183"/>
      <c r="FS171" s="183"/>
      <c r="FT171" s="183"/>
      <c r="FU171" s="183"/>
      <c r="FV171" s="183"/>
      <c r="IH171" s="1172"/>
      <c r="II171" s="1172" t="s">
        <v>2705</v>
      </c>
      <c r="IJ171" s="185"/>
      <c r="IK171" s="451" t="str">
        <f>_Calcs!$L$81</f>
        <v>Skytetidspunkt</v>
      </c>
      <c r="IL171" s="451" t="str">
        <f t="shared" si="258"/>
        <v>Skytetidspunkt</v>
      </c>
      <c r="IM171" s="451" t="str">
        <f t="shared" si="258"/>
        <v>Skytetidspunkt</v>
      </c>
      <c r="IN171" s="451" t="str">
        <f t="shared" si="258"/>
        <v>Skytetidspunkt</v>
      </c>
      <c r="IO171" s="451" t="str">
        <f t="shared" si="258"/>
        <v>Skytetidspunkt</v>
      </c>
      <c r="IP171" s="451" t="str">
        <f t="shared" si="258"/>
        <v>Skytetidspunkt</v>
      </c>
      <c r="IQ171" s="451" t="str">
        <f t="shared" si="258"/>
        <v>Skytetidspunkt</v>
      </c>
      <c r="IR171" s="451" t="str">
        <f t="shared" si="258"/>
        <v>Skytetidspunkt</v>
      </c>
      <c r="IS171" s="451" t="str">
        <f t="shared" si="258"/>
        <v>Skytetidspunkt</v>
      </c>
      <c r="IT171" s="183"/>
      <c r="IU171" s="183"/>
      <c r="IV171" s="183"/>
      <c r="IW171" s="183"/>
      <c r="IX171" s="183"/>
      <c r="IY171" s="183"/>
      <c r="IZ171" s="183"/>
      <c r="JA171" s="183"/>
      <c r="JB171" s="183"/>
      <c r="JC171" s="183"/>
      <c r="JD171" s="183"/>
      <c r="JE171" s="183"/>
      <c r="JF171" s="183"/>
      <c r="JG171" s="183"/>
      <c r="JH171" s="183"/>
      <c r="JI171" s="183"/>
      <c r="JJ171" s="183"/>
      <c r="JK171" s="183"/>
      <c r="JL171" s="183"/>
      <c r="JM171" s="183"/>
      <c r="JN171" s="183"/>
      <c r="JO171" s="183"/>
      <c r="JP171" s="183"/>
      <c r="JQ171" s="183"/>
      <c r="JR171" s="183"/>
      <c r="JS171" s="183"/>
      <c r="JT171" s="183"/>
      <c r="JU171" s="183"/>
      <c r="JV171" s="183"/>
      <c r="JW171" s="183"/>
      <c r="JX171" s="183"/>
      <c r="JY171" s="183"/>
      <c r="JZ171" s="183"/>
      <c r="KA171" s="183"/>
      <c r="KB171" s="183"/>
      <c r="KC171" s="183"/>
      <c r="KD171" s="183"/>
      <c r="KE171" s="183"/>
      <c r="KF171" s="183"/>
      <c r="KG171" s="183"/>
      <c r="KH171" s="183"/>
      <c r="KI171" s="183"/>
      <c r="KJ171" s="183"/>
      <c r="KK171" s="183"/>
      <c r="KL171" s="183"/>
      <c r="KM171" s="183"/>
      <c r="KN171" s="183"/>
      <c r="KO171" s="183"/>
      <c r="KP171" s="183"/>
      <c r="KQ171" s="183"/>
      <c r="KR171" s="183"/>
      <c r="KS171" s="183"/>
      <c r="KT171" s="183"/>
      <c r="KU171" s="183"/>
      <c r="KV171" s="183"/>
      <c r="KW171" s="183"/>
      <c r="KX171" s="183"/>
      <c r="KY171" s="183"/>
      <c r="KZ171" s="183"/>
      <c r="LA171" s="183"/>
      <c r="LB171" s="183"/>
      <c r="LC171" s="183"/>
      <c r="LD171" s="183"/>
      <c r="LE171" s="183"/>
      <c r="LF171" s="183"/>
      <c r="LG171" s="183"/>
      <c r="LH171" s="183"/>
      <c r="LI171" s="183"/>
      <c r="LJ171" s="183"/>
      <c r="LK171" s="183"/>
      <c r="LL171" s="183"/>
      <c r="LM171" s="183"/>
      <c r="LN171" s="183"/>
      <c r="LO171" s="183"/>
      <c r="LP171" s="183"/>
      <c r="LQ171" s="183"/>
      <c r="LR171" s="183"/>
      <c r="LS171" s="183"/>
      <c r="LT171" s="183"/>
      <c r="LU171" s="183"/>
      <c r="LV171" s="183"/>
      <c r="LW171" s="183"/>
      <c r="LX171" s="183"/>
      <c r="LY171" s="183"/>
      <c r="LZ171" s="183"/>
      <c r="MA171" s="183"/>
      <c r="MB171" s="183"/>
      <c r="MC171" s="183"/>
      <c r="MD171" s="183"/>
      <c r="ME171" s="183"/>
      <c r="MF171" s="183"/>
      <c r="MG171" s="183"/>
      <c r="MH171" s="183"/>
      <c r="MI171" s="183"/>
      <c r="MJ171" s="183"/>
      <c r="MK171" s="183"/>
      <c r="ML171" s="183"/>
      <c r="MM171" s="183"/>
      <c r="MN171" s="183"/>
      <c r="MO171" s="183"/>
      <c r="MP171" s="183"/>
      <c r="MQ171" s="183"/>
      <c r="MR171" s="183"/>
      <c r="MS171" s="183"/>
      <c r="MT171" s="183"/>
      <c r="MU171" s="183"/>
      <c r="MV171" s="183"/>
      <c r="MW171" s="183"/>
      <c r="MX171" s="183"/>
      <c r="NE171" s="183"/>
      <c r="NF171" s="183"/>
      <c r="NG171" s="183"/>
      <c r="NH171" s="183"/>
      <c r="NI171" s="183"/>
      <c r="NJ171" s="183"/>
      <c r="NK171" s="183"/>
      <c r="NL171" s="2617"/>
      <c r="NM171" s="7211" t="s">
        <v>553</v>
      </c>
      <c r="NN171" s="7211"/>
      <c r="NO171" s="7211"/>
      <c r="NP171" s="2617"/>
      <c r="NQ171" s="2617"/>
      <c r="NR171" s="2617"/>
      <c r="NS171" s="2617"/>
      <c r="NT171" s="2617"/>
      <c r="NU171" s="2617"/>
      <c r="NV171" s="183"/>
      <c r="NW171" s="183"/>
      <c r="NX171" s="183"/>
      <c r="NY171" s="183"/>
      <c r="NZ171" s="183"/>
      <c r="OA171" s="183"/>
      <c r="OB171" s="183"/>
      <c r="OC171" s="183"/>
      <c r="OD171" s="183"/>
      <c r="OE171" s="183"/>
      <c r="OF171" s="183"/>
      <c r="OG171" s="183"/>
      <c r="OH171" s="183"/>
      <c r="OI171" s="183"/>
      <c r="OJ171" s="183"/>
      <c r="OK171" s="183"/>
      <c r="OL171" s="183"/>
      <c r="OM171" s="183"/>
      <c r="ON171" s="183"/>
      <c r="OO171" s="183"/>
      <c r="OP171" s="183"/>
      <c r="OQ171" s="183"/>
      <c r="OR171" s="183"/>
      <c r="OS171" s="183"/>
      <c r="OT171" s="183"/>
      <c r="OU171" s="184"/>
      <c r="OV171" s="184"/>
      <c r="OW171" s="184"/>
      <c r="OX171" s="184"/>
      <c r="OY171" s="184"/>
      <c r="OZ171" s="184"/>
      <c r="PA171" s="184"/>
      <c r="PB171" s="184"/>
      <c r="PC171" s="184"/>
      <c r="PD171" s="184"/>
      <c r="PE171" s="184"/>
      <c r="PF171" s="183"/>
      <c r="PG171" s="183"/>
      <c r="PH171" s="183"/>
      <c r="PI171" s="265"/>
      <c r="PJ171" s="265"/>
      <c r="PK171" s="265"/>
      <c r="PL171" s="265"/>
      <c r="PM171" s="265"/>
      <c r="PN171" s="265"/>
      <c r="PO171" s="265"/>
      <c r="PP171" s="183"/>
      <c r="PQ171" s="183"/>
      <c r="PR171" s="183"/>
      <c r="PS171" s="183"/>
      <c r="PT171" s="183"/>
      <c r="PU171" s="183"/>
      <c r="PX171" s="183"/>
      <c r="QH171" s="2617"/>
      <c r="QI171" s="2617"/>
      <c r="QJ171" s="2617"/>
      <c r="QK171" s="2617"/>
      <c r="QL171" s="2617"/>
      <c r="QM171" s="183"/>
      <c r="QN171" s="185"/>
      <c r="QO171" s="185" t="s">
        <v>507</v>
      </c>
      <c r="QP171" s="185"/>
      <c r="QQ171" s="835" t="str">
        <f>$QP$135</f>
        <v>Stuff 1-2</v>
      </c>
      <c r="QR171" s="185" t="s">
        <v>390</v>
      </c>
      <c r="QS171" s="185" t="s">
        <v>390</v>
      </c>
      <c r="QT171" s="185" t="s">
        <v>390</v>
      </c>
      <c r="QU171" s="185">
        <v>1</v>
      </c>
      <c r="QV171" s="183"/>
      <c r="QW171" s="183"/>
      <c r="QX171" s="183"/>
      <c r="QY171" s="183"/>
      <c r="QZ171" s="2617"/>
      <c r="RA171" s="2617"/>
      <c r="RB171" s="2617"/>
      <c r="RC171" s="2617"/>
      <c r="RD171" s="2617"/>
      <c r="RE171" s="2617"/>
      <c r="RF171" s="2617"/>
      <c r="RG171" s="2617"/>
      <c r="RH171" s="2617"/>
      <c r="RO171" s="1606"/>
      <c r="RQ171" s="1606"/>
      <c r="UK171" s="265"/>
      <c r="UL171" s="184"/>
      <c r="UM171" s="1754"/>
      <c r="UN171" s="265"/>
      <c r="UO171" s="265"/>
      <c r="UP171" s="265"/>
      <c r="UQ171" s="265"/>
      <c r="UR171" s="265"/>
      <c r="US171" s="265"/>
      <c r="UT171" s="265"/>
      <c r="UU171" s="265"/>
      <c r="UV171" s="265"/>
      <c r="UW171" s="265"/>
      <c r="UX171" s="402"/>
      <c r="UY171" s="265"/>
      <c r="UZ171" s="265"/>
      <c r="VB171" s="265"/>
      <c r="VC171" s="265"/>
      <c r="VD171" s="265"/>
      <c r="VE171" s="265"/>
      <c r="VF171" s="265"/>
      <c r="VG171" s="265"/>
      <c r="VH171" s="265"/>
      <c r="VI171" s="265"/>
      <c r="VJ171" s="265"/>
      <c r="VK171" s="265"/>
      <c r="VL171" s="265"/>
      <c r="VM171" s="265"/>
      <c r="VN171" s="265"/>
      <c r="VO171" s="265"/>
      <c r="VP171" s="265"/>
      <c r="VQ171" s="265"/>
      <c r="VR171" s="265"/>
      <c r="VS171" s="265"/>
      <c r="VT171" s="265"/>
      <c r="VU171" s="265"/>
      <c r="VV171" s="265"/>
      <c r="VW171" s="265"/>
      <c r="VX171" s="265"/>
      <c r="VY171" s="265"/>
      <c r="VZ171" s="265"/>
      <c r="WA171" s="265"/>
      <c r="WB171" s="265"/>
      <c r="WC171" s="265"/>
      <c r="WD171" s="265"/>
      <c r="WE171" s="265"/>
      <c r="WF171" s="265"/>
    </row>
    <row r="172" spans="2:605" s="435" customFormat="1" ht="20.100000000000001" customHeight="1" thickBot="1" x14ac:dyDescent="0.25">
      <c r="B172" s="265"/>
      <c r="C172" s="265"/>
      <c r="D172" s="265"/>
      <c r="E172" s="265"/>
      <c r="R172" s="6011"/>
      <c r="S172" s="6011"/>
      <c r="T172" s="6011"/>
      <c r="BB172" s="1607"/>
      <c r="BC172" s="1607"/>
      <c r="BD172" s="1607"/>
      <c r="BE172" s="1607"/>
      <c r="BF172" s="1607"/>
      <c r="BG172" s="1607"/>
      <c r="BH172" s="1607"/>
      <c r="BI172" s="1607"/>
      <c r="BJ172" s="1607"/>
      <c r="BK172" s="1607"/>
      <c r="BL172" s="1607"/>
      <c r="BM172" s="1607"/>
      <c r="DR172" s="1602">
        <v>5</v>
      </c>
      <c r="DS172" s="1600">
        <f>IF(OR($OL$180=0,AND('Inn foran'!$BD$42&lt;1,('Inn foran'!$BD$44+'Inn foran'!$BD$46&gt;0))),0,1)</f>
        <v>0</v>
      </c>
      <c r="DT172" s="1600">
        <f>IF(OR($OM$180=0,AND('Inn foran'!$BD$42&gt;0,'Inn foran'!$BD$44=0)),0,1)</f>
        <v>0</v>
      </c>
      <c r="DU172" s="1600">
        <f>IF(OR($ON$180=0,AND('Inn foran'!$BD$42&gt;0,'Inn foran'!$BD$46=0)),0,1)</f>
        <v>0</v>
      </c>
      <c r="DV172" s="1601"/>
      <c r="DW172" s="1601"/>
      <c r="DX172" s="1603">
        <f>IF(OR($OP$180=0,AND('Inn foran'!$BD$53&lt;1,('Inn foran'!$BD$55+'Inn foran'!$BD$57&gt;0))),0,1)</f>
        <v>0</v>
      </c>
      <c r="DY172" s="1603">
        <f>IF(OR($OQ$180=0,AND('Inn foran'!$BD$53&gt;0,'Inn foran'!$BD$55=0)),0,1)</f>
        <v>0</v>
      </c>
      <c r="DZ172" s="1603">
        <f>IF(OR($OR$180=0,AND('Inn foran'!$BD$53&gt;0,'Inn foran'!$BD$57=0)),0,1)</f>
        <v>0</v>
      </c>
      <c r="EA172" s="1604"/>
      <c r="EQ172" s="183"/>
      <c r="ER172" s="183"/>
      <c r="ES172" s="183"/>
      <c r="ET172" s="183"/>
      <c r="EU172" s="183"/>
      <c r="EV172" s="183"/>
      <c r="EW172" s="183"/>
      <c r="EX172" s="183"/>
      <c r="EY172" s="183"/>
      <c r="EZ172" s="183"/>
      <c r="FA172" s="183"/>
      <c r="FB172" s="183"/>
      <c r="FC172" s="183"/>
      <c r="FD172" s="183"/>
      <c r="FE172" s="183"/>
      <c r="FF172" s="183"/>
      <c r="FG172" s="183"/>
      <c r="FH172" s="181"/>
      <c r="FI172" s="183"/>
      <c r="FJ172" s="183"/>
      <c r="FK172" s="183"/>
      <c r="FL172" s="183"/>
      <c r="FM172" s="183"/>
      <c r="FN172" s="181"/>
      <c r="FO172" s="181"/>
      <c r="FP172" s="181"/>
      <c r="FQ172" s="181"/>
      <c r="FR172" s="183"/>
      <c r="FS172" s="183"/>
      <c r="FT172" s="183"/>
      <c r="FU172" s="183"/>
      <c r="FV172" s="183"/>
      <c r="IH172" s="1172"/>
      <c r="II172" s="5998" t="s">
        <v>2717</v>
      </c>
      <c r="IJ172" s="185"/>
      <c r="IK172" s="194" t="str">
        <f>INDEX(utskrift_just[skyte_svar],MATCH(IK$108,utskrift_just[position],0))</f>
        <v>Nei</v>
      </c>
      <c r="IL172" s="194" t="str">
        <f>INDEX(utskrift_just[skyte_svar],MATCH(IL$108,utskrift_just[position],0))</f>
        <v>Nei</v>
      </c>
      <c r="IM172" s="194" t="str">
        <f>INDEX(utskrift_just[skyte_svar],MATCH(IM$108,utskrift_just[position],0))</f>
        <v>Nei</v>
      </c>
      <c r="IN172" s="194" t="str">
        <f>INDEX(utskrift_just[skyte_svar],MATCH(IN$108,utskrift_just[position],0))</f>
        <v>Nei</v>
      </c>
      <c r="IO172" s="194" t="str">
        <f>INDEX(utskrift_just[skyte_svar],MATCH(IO$108,utskrift_just[position],0))</f>
        <v>Nei</v>
      </c>
      <c r="IP172" s="194" t="str">
        <f>INDEX(utskrift_just[skyte_svar],MATCH(IP$108,utskrift_just[position],0))</f>
        <v>Nei</v>
      </c>
      <c r="IQ172" s="194" t="str">
        <f>INDEX(utskrift_just[skyte_svar],MATCH(IQ$108,utskrift_just[position],0))</f>
        <v>Nei</v>
      </c>
      <c r="IR172" s="194" t="str">
        <f>INDEX(utskrift_just[skyte_svar],MATCH(IR$108,utskrift_just[position],0))</f>
        <v>Nei</v>
      </c>
      <c r="IS172" s="194" t="str">
        <f>INDEX(utskrift_just[skyte_svar],MATCH(IS$108,utskrift_just[position],0))</f>
        <v>Nei</v>
      </c>
      <c r="IT172" s="183"/>
      <c r="IU172" s="183"/>
      <c r="IV172" s="183"/>
      <c r="IW172" s="183"/>
      <c r="IX172" s="183"/>
      <c r="IY172" s="183"/>
      <c r="IZ172" s="183"/>
      <c r="JA172" s="183"/>
      <c r="JB172" s="183"/>
      <c r="JC172" s="183"/>
      <c r="JD172" s="183"/>
      <c r="JE172" s="183"/>
      <c r="JF172" s="183"/>
      <c r="JG172" s="183"/>
      <c r="JH172" s="183"/>
      <c r="JI172" s="183"/>
      <c r="JJ172" s="183"/>
      <c r="JK172" s="183"/>
      <c r="JL172" s="183"/>
      <c r="JM172" s="183"/>
      <c r="JN172" s="183"/>
      <c r="JO172" s="183"/>
      <c r="JP172" s="183"/>
      <c r="JQ172" s="183"/>
      <c r="JR172" s="183"/>
      <c r="JS172" s="183"/>
      <c r="JT172" s="183"/>
      <c r="JU172" s="183"/>
      <c r="JV172" s="183"/>
      <c r="JW172" s="183"/>
      <c r="JX172" s="183"/>
      <c r="JY172" s="183"/>
      <c r="JZ172" s="183"/>
      <c r="KA172" s="183"/>
      <c r="KB172" s="183"/>
      <c r="KC172" s="183"/>
      <c r="KD172" s="183"/>
      <c r="KE172" s="183"/>
      <c r="KF172" s="183"/>
      <c r="KG172" s="183"/>
      <c r="KH172" s="183"/>
      <c r="KI172" s="183"/>
      <c r="KJ172" s="183"/>
      <c r="KK172" s="183"/>
      <c r="KL172" s="183"/>
      <c r="KM172" s="183"/>
      <c r="KN172" s="183"/>
      <c r="KO172" s="183"/>
      <c r="KP172" s="183"/>
      <c r="KQ172" s="183"/>
      <c r="KR172" s="183"/>
      <c r="KS172" s="183"/>
      <c r="KT172" s="183"/>
      <c r="KU172" s="183"/>
      <c r="KV172" s="183"/>
      <c r="KW172" s="183"/>
      <c r="KX172" s="183"/>
      <c r="KY172" s="183"/>
      <c r="KZ172" s="183"/>
      <c r="LA172" s="183"/>
      <c r="LB172" s="183"/>
      <c r="LC172" s="183"/>
      <c r="LD172" s="183"/>
      <c r="LE172" s="183"/>
      <c r="LF172" s="183"/>
      <c r="LG172" s="183"/>
      <c r="LH172" s="183"/>
      <c r="LI172" s="183"/>
      <c r="LJ172" s="183"/>
      <c r="LK172" s="183"/>
      <c r="LL172" s="183"/>
      <c r="LM172" s="183"/>
      <c r="LN172" s="183"/>
      <c r="LO172" s="183"/>
      <c r="LP172" s="183"/>
      <c r="LQ172" s="183"/>
      <c r="LR172" s="183"/>
      <c r="LS172" s="183"/>
      <c r="LT172" s="183"/>
      <c r="LU172" s="183"/>
      <c r="LV172" s="183"/>
      <c r="LW172" s="183"/>
      <c r="LX172" s="183"/>
      <c r="LY172" s="183"/>
      <c r="LZ172" s="183"/>
      <c r="MA172" s="183"/>
      <c r="MB172" s="183"/>
      <c r="MC172" s="183"/>
      <c r="MD172" s="183"/>
      <c r="ME172" s="183"/>
      <c r="MF172" s="183"/>
      <c r="MG172" s="183"/>
      <c r="MH172" s="183"/>
      <c r="MI172" s="183"/>
      <c r="MJ172" s="183"/>
      <c r="MK172" s="183"/>
      <c r="ML172" s="183"/>
      <c r="MM172" s="183"/>
      <c r="MN172" s="183"/>
      <c r="MO172" s="183"/>
      <c r="MP172" s="183"/>
      <c r="MQ172" s="183"/>
      <c r="MR172" s="183"/>
      <c r="MS172" s="183"/>
      <c r="MT172" s="183"/>
      <c r="MU172" s="183"/>
      <c r="MV172" s="183"/>
      <c r="MW172" s="183"/>
      <c r="MX172" s="183"/>
      <c r="NE172" s="183"/>
      <c r="NF172" s="183"/>
      <c r="NG172" s="183"/>
      <c r="NH172" s="183"/>
      <c r="NI172" s="183"/>
      <c r="NJ172" s="183"/>
      <c r="NK172" s="183"/>
      <c r="NL172" s="2617"/>
      <c r="NM172" s="2617"/>
      <c r="NN172" s="2617"/>
      <c r="NO172" s="2617"/>
      <c r="NP172" s="2617"/>
      <c r="NQ172" s="2617"/>
      <c r="NR172" s="2617"/>
      <c r="NS172" s="2617"/>
      <c r="NT172" s="2617"/>
      <c r="NU172" s="2617"/>
      <c r="NV172" s="183"/>
      <c r="NW172" s="183"/>
      <c r="NX172" s="183"/>
      <c r="NY172" s="183"/>
      <c r="NZ172" s="183"/>
      <c r="OA172" s="183"/>
      <c r="OB172" s="183"/>
      <c r="OC172" s="183"/>
      <c r="OD172" s="183"/>
      <c r="OE172" s="183"/>
      <c r="OF172" s="183"/>
      <c r="OG172" s="183"/>
      <c r="OH172" s="183"/>
      <c r="OI172" s="183"/>
      <c r="OJ172" s="183" t="s">
        <v>829</v>
      </c>
      <c r="OK172" s="183"/>
      <c r="OL172" s="183"/>
      <c r="OM172" s="183"/>
      <c r="ON172" s="183"/>
      <c r="OO172" s="183"/>
      <c r="OP172" s="183"/>
      <c r="OQ172" s="183"/>
      <c r="OR172" s="183"/>
      <c r="OS172" s="183"/>
      <c r="OT172" s="183"/>
      <c r="OU172" s="184"/>
      <c r="OV172" s="184"/>
      <c r="OW172" s="184"/>
      <c r="OX172" s="184"/>
      <c r="OY172" s="184"/>
      <c r="OZ172" s="184"/>
      <c r="PA172" s="184"/>
      <c r="PB172" s="184"/>
      <c r="PC172" s="184"/>
      <c r="PD172" s="184"/>
      <c r="PE172" s="184"/>
      <c r="PF172" s="183"/>
      <c r="PG172" s="183"/>
      <c r="PH172" s="183"/>
      <c r="PI172" s="265"/>
      <c r="PJ172" s="265"/>
      <c r="PK172" s="265"/>
      <c r="PL172" s="265"/>
      <c r="PM172" s="265"/>
      <c r="PN172" s="265"/>
      <c r="PO172" s="265"/>
      <c r="PP172" s="183"/>
      <c r="PQ172" s="183"/>
      <c r="PR172" s="183"/>
      <c r="PS172" s="183"/>
      <c r="PT172" s="183"/>
      <c r="PU172" s="183"/>
      <c r="PX172" s="183"/>
      <c r="QH172" s="2617"/>
      <c r="QI172" s="2617"/>
      <c r="QJ172" s="2617"/>
      <c r="QK172" s="2617"/>
      <c r="QL172" s="2617"/>
      <c r="QM172" s="183"/>
      <c r="QN172" s="185"/>
      <c r="QO172" s="185" t="s">
        <v>506</v>
      </c>
      <c r="QP172" s="185"/>
      <c r="QQ172" s="835" t="str">
        <f>$QO$135</f>
        <v>Stuff 1-1</v>
      </c>
      <c r="QR172" s="185" t="s">
        <v>390</v>
      </c>
      <c r="QS172" s="185" t="s">
        <v>390</v>
      </c>
      <c r="QT172" s="185" t="s">
        <v>390</v>
      </c>
      <c r="QU172" s="185">
        <v>1</v>
      </c>
      <c r="QV172" s="183"/>
      <c r="QW172" s="183"/>
      <c r="QX172" s="183"/>
      <c r="QY172" s="183"/>
      <c r="QZ172" s="2617"/>
      <c r="RA172" s="2617"/>
      <c r="RB172" s="2617"/>
      <c r="RC172" s="2617"/>
      <c r="RD172" s="2617"/>
      <c r="RE172" s="2617"/>
      <c r="RF172" s="2617"/>
      <c r="RG172" s="2617"/>
      <c r="RH172" s="2617"/>
      <c r="RO172" s="1606"/>
      <c r="RQ172" s="1606"/>
      <c r="UK172" s="265"/>
      <c r="UL172" s="184"/>
      <c r="UM172" s="1754"/>
      <c r="UN172" s="265"/>
      <c r="UO172" s="265"/>
      <c r="UP172" s="265"/>
      <c r="UQ172" s="265"/>
      <c r="UR172" s="265"/>
      <c r="US172" s="265"/>
      <c r="UT172" s="265"/>
      <c r="UU172" s="265"/>
      <c r="UV172" s="265"/>
      <c r="UW172" s="265"/>
      <c r="UX172" s="402"/>
      <c r="UY172" s="265"/>
      <c r="UZ172" s="265"/>
      <c r="VB172" s="265"/>
      <c r="VC172" s="265"/>
      <c r="VD172" s="265"/>
      <c r="VE172" s="265"/>
      <c r="VF172" s="265"/>
      <c r="VG172" s="265"/>
      <c r="VH172" s="265"/>
      <c r="VI172" s="265"/>
      <c r="VJ172" s="265"/>
      <c r="VK172" s="265"/>
      <c r="VL172" s="265"/>
      <c r="VM172" s="265"/>
      <c r="VN172" s="265"/>
      <c r="VO172" s="265"/>
      <c r="VP172" s="265"/>
      <c r="VQ172" s="265"/>
      <c r="VR172" s="265"/>
      <c r="VS172" s="265"/>
      <c r="VT172" s="265"/>
      <c r="VU172" s="265"/>
      <c r="VV172" s="265"/>
      <c r="VW172" s="265"/>
      <c r="VX172" s="265"/>
      <c r="VY172" s="265"/>
      <c r="VZ172" s="265"/>
      <c r="WA172" s="265"/>
      <c r="WB172" s="265"/>
      <c r="WC172" s="265"/>
      <c r="WD172" s="265"/>
      <c r="WE172" s="265"/>
      <c r="WF172" s="265"/>
    </row>
    <row r="173" spans="2:605" s="435" customFormat="1" ht="20.100000000000001" customHeight="1" x14ac:dyDescent="0.2">
      <c r="B173" s="265"/>
      <c r="C173" s="265"/>
      <c r="D173" s="265"/>
      <c r="E173" s="265"/>
      <c r="R173" s="6011"/>
      <c r="S173" s="6011"/>
      <c r="T173" s="6011"/>
      <c r="DR173" s="1602">
        <v>6</v>
      </c>
      <c r="DS173" s="1600">
        <f>IF(OR($OL$181=0,AND('Inn foran'!$BL$42&lt;1,('Inn foran'!$BL$44+'Inn foran'!$BL$464&gt;0))),0,1)</f>
        <v>0</v>
      </c>
      <c r="DT173" s="1600">
        <f>IF(OR($OM$181=0,AND('Inn foran'!$BL$42&gt;0,'Inn foran'!$BL$44=0)),0,1)</f>
        <v>0</v>
      </c>
      <c r="DU173" s="1600">
        <f>IF(OR($ON$181=0,AND('Inn foran'!$BL$42&gt;0,'Inn foran'!$BL$46=0)),0,1)</f>
        <v>0</v>
      </c>
      <c r="DV173" s="1601"/>
      <c r="DW173" s="1601"/>
      <c r="DX173" s="1603">
        <f>IF(OR($OP$181=0,AND('Inn foran'!$BL$53&lt;1,('Inn foran'!$BL$55+'Inn foran'!$BL$57&gt;0))),0,1)</f>
        <v>0</v>
      </c>
      <c r="DY173" s="1603">
        <f>IF(OR($OQ$181=0,AND('Inn foran'!$BL$53&gt;0,'Inn foran'!$BL$55=0)),0,1)</f>
        <v>0</v>
      </c>
      <c r="DZ173" s="1603">
        <f>IF(OR($OR$181=0,AND('Inn foran'!$BL$53&gt;0,'Inn foran'!$BL$57=0)),0,1)</f>
        <v>0</v>
      </c>
      <c r="EA173" s="1604"/>
      <c r="EQ173" s="183"/>
      <c r="ER173" s="183"/>
      <c r="ES173" s="183"/>
      <c r="ET173" s="183"/>
      <c r="EU173" s="183"/>
      <c r="EV173" s="183"/>
      <c r="EW173" s="183"/>
      <c r="EX173" s="183"/>
      <c r="EY173" s="183"/>
      <c r="EZ173" s="183"/>
      <c r="FA173" s="183"/>
      <c r="FB173" s="183"/>
      <c r="FC173" s="183"/>
      <c r="FD173" s="183"/>
      <c r="FE173" s="183"/>
      <c r="FF173" s="183"/>
      <c r="FG173" s="183"/>
      <c r="FH173" s="181"/>
      <c r="FI173" s="183"/>
      <c r="FJ173" s="183"/>
      <c r="FK173" s="183"/>
      <c r="FL173" s="183"/>
      <c r="FM173" s="183"/>
      <c r="FN173" s="181"/>
      <c r="FO173" s="181"/>
      <c r="FP173" s="181"/>
      <c r="FQ173" s="181"/>
      <c r="FR173" s="183"/>
      <c r="FS173" s="183"/>
      <c r="FT173" s="183"/>
      <c r="FU173" s="183"/>
      <c r="FV173" s="183"/>
      <c r="IH173" s="1172"/>
      <c r="II173" s="5998" t="s">
        <v>2679</v>
      </c>
      <c r="IJ173" s="372"/>
      <c r="IK173" s="212" t="str">
        <f>IF(OR(INDEX(utskrift_just[skyte_tid],MATCH(IK$108,utskrift_just[position],0))=1,INDEX(utskrift_just[skyte_tid],MATCH(IK$108,utskrift_just[position],0))=-1),INDEX(utskrift_just[skyte_tid],MATCH(IK$108,utskrift_just[position],0))&amp;" uke",IF(ISNUMBER(INDEX(utskrift_just[skyte_tid],MATCH(IK$108,utskrift_just[position],0)))=TRUE,INDEX(utskrift_just[skyte_tid],MATCH(IK$108,utskrift_just[position],0))&amp;" uker",""))</f>
        <v/>
      </c>
      <c r="IL173" s="212" t="str">
        <f>IF(OR(INDEX(utskrift_just[skyte_tid],MATCH(IL$108,utskrift_just[position],0))=1,INDEX(utskrift_just[skyte_tid],MATCH(IL$108,utskrift_just[position],0))=-1),INDEX(utskrift_just[skyte_tid],MATCH(IL$108,utskrift_just[position],0))&amp;" uke",IF(ISNUMBER(INDEX(utskrift_just[skyte_tid],MATCH(IL$108,utskrift_just[position],0)))=TRUE,INDEX(utskrift_just[skyte_tid],MATCH(IL$108,utskrift_just[position],0))&amp;" uker",""))</f>
        <v/>
      </c>
      <c r="IM173" s="212" t="str">
        <f>IF(OR(INDEX(utskrift_just[skyte_tid],MATCH(IM$108,utskrift_just[position],0))=1,INDEX(utskrift_just[skyte_tid],MATCH(IM$108,utskrift_just[position],0))=-1),INDEX(utskrift_just[skyte_tid],MATCH(IM$108,utskrift_just[position],0))&amp;" uke",IF(ISNUMBER(INDEX(utskrift_just[skyte_tid],MATCH(IM$108,utskrift_just[position],0)))=TRUE,INDEX(utskrift_just[skyte_tid],MATCH(IM$108,utskrift_just[position],0))&amp;" uker",""))</f>
        <v/>
      </c>
      <c r="IN173" s="212" t="str">
        <f>IF(OR(INDEX(utskrift_just[skyte_tid],MATCH(IN$108,utskrift_just[position],0))=1,INDEX(utskrift_just[skyte_tid],MATCH(IN$108,utskrift_just[position],0))=-1),INDEX(utskrift_just[skyte_tid],MATCH(IN$108,utskrift_just[position],0))&amp;" uke",IF(ISNUMBER(INDEX(utskrift_just[skyte_tid],MATCH(IN$108,utskrift_just[position],0)))=TRUE,INDEX(utskrift_just[skyte_tid],MATCH(IN$108,utskrift_just[position],0))&amp;" uker",""))</f>
        <v/>
      </c>
      <c r="IO173" s="212" t="str">
        <f>IF(OR(INDEX(utskrift_just[skyte_tid],MATCH(IO$108,utskrift_just[position],0))=1,INDEX(utskrift_just[skyte_tid],MATCH(IO$108,utskrift_just[position],0))=-1),INDEX(utskrift_just[skyte_tid],MATCH(IO$108,utskrift_just[position],0))&amp;" uke",IF(ISNUMBER(INDEX(utskrift_just[skyte_tid],MATCH(IO$108,utskrift_just[position],0)))=TRUE,INDEX(utskrift_just[skyte_tid],MATCH(IO$108,utskrift_just[position],0))&amp;" uker",""))</f>
        <v/>
      </c>
      <c r="IP173" s="212" t="str">
        <f>IF(OR(INDEX(utskrift_just[skyte_tid],MATCH(IP$108,utskrift_just[position],0))=1,INDEX(utskrift_just[skyte_tid],MATCH(IP$108,utskrift_just[position],0))=-1),INDEX(utskrift_just[skyte_tid],MATCH(IP$108,utskrift_just[position],0))&amp;" uke",IF(ISNUMBER(INDEX(utskrift_just[skyte_tid],MATCH(IP$108,utskrift_just[position],0)))=TRUE,INDEX(utskrift_just[skyte_tid],MATCH(IP$108,utskrift_just[position],0))&amp;" uker",""))</f>
        <v/>
      </c>
      <c r="IQ173" s="212" t="str">
        <f>IF(OR(INDEX(utskrift_just[skyte_tid],MATCH(IQ$108,utskrift_just[position],0))=1,INDEX(utskrift_just[skyte_tid],MATCH(IQ$108,utskrift_just[position],0))=-1),INDEX(utskrift_just[skyte_tid],MATCH(IQ$108,utskrift_just[position],0))&amp;" uke",IF(ISNUMBER(INDEX(utskrift_just[skyte_tid],MATCH(IQ$108,utskrift_just[position],0)))=TRUE,INDEX(utskrift_just[skyte_tid],MATCH(IQ$108,utskrift_just[position],0))&amp;" uker",""))</f>
        <v/>
      </c>
      <c r="IR173" s="212" t="str">
        <f>IF(OR(INDEX(utskrift_just[skyte_tid],MATCH(IR$108,utskrift_just[position],0))=1,INDEX(utskrift_just[skyte_tid],MATCH(IR$108,utskrift_just[position],0))=-1),INDEX(utskrift_just[skyte_tid],MATCH(IR$108,utskrift_just[position],0))&amp;" uke",IF(ISNUMBER(INDEX(utskrift_just[skyte_tid],MATCH(IR$108,utskrift_just[position],0)))=TRUE,INDEX(utskrift_just[skyte_tid],MATCH(IR$108,utskrift_just[position],0))&amp;" uker",""))</f>
        <v/>
      </c>
      <c r="IS173" s="212" t="str">
        <f>IF(OR(INDEX(utskrift_just[skyte_tid],MATCH(IS$108,utskrift_just[position],0))=1,INDEX(utskrift_just[skyte_tid],MATCH(IS$108,utskrift_just[position],0))=-1),INDEX(utskrift_just[skyte_tid],MATCH(IS$108,utskrift_just[position],0))&amp;" uke",IF(ISNUMBER(INDEX(utskrift_just[skyte_tid],MATCH(IS$108,utskrift_just[position],0)))=TRUE,INDEX(utskrift_just[skyte_tid],MATCH(IS$108,utskrift_just[position],0))&amp;" uker",""))</f>
        <v/>
      </c>
      <c r="IT173" s="183"/>
      <c r="IU173" s="183"/>
      <c r="IV173" s="183"/>
      <c r="IW173" s="183"/>
      <c r="IX173" s="183"/>
      <c r="IY173" s="183"/>
      <c r="IZ173" s="183"/>
      <c r="JA173" s="183"/>
      <c r="JB173" s="183"/>
      <c r="JC173" s="183"/>
      <c r="JD173" s="183"/>
      <c r="JE173" s="183"/>
      <c r="JF173" s="183"/>
      <c r="JG173" s="183"/>
      <c r="JH173" s="183"/>
      <c r="JI173" s="183"/>
      <c r="JJ173" s="183"/>
      <c r="JK173" s="183"/>
      <c r="JL173" s="183"/>
      <c r="JM173" s="183"/>
      <c r="JN173" s="183"/>
      <c r="JO173" s="183"/>
      <c r="JP173" s="183"/>
      <c r="JQ173" s="183"/>
      <c r="JR173" s="183"/>
      <c r="JS173" s="183"/>
      <c r="JT173" s="183"/>
      <c r="JU173" s="183"/>
      <c r="JV173" s="183"/>
      <c r="JW173" s="183"/>
      <c r="JX173" s="183"/>
      <c r="JY173" s="183"/>
      <c r="JZ173" s="183"/>
      <c r="KA173" s="183"/>
      <c r="KB173" s="183"/>
      <c r="KC173" s="183"/>
      <c r="KD173" s="183"/>
      <c r="KE173" s="183"/>
      <c r="KF173" s="183"/>
      <c r="KG173" s="183"/>
      <c r="KH173" s="183"/>
      <c r="KI173" s="183"/>
      <c r="KJ173" s="183"/>
      <c r="KK173" s="183"/>
      <c r="KL173" s="183"/>
      <c r="KM173" s="183"/>
      <c r="KN173" s="183"/>
      <c r="KO173" s="183"/>
      <c r="KP173" s="183"/>
      <c r="KQ173" s="183"/>
      <c r="KR173" s="183"/>
      <c r="KS173" s="183"/>
      <c r="KT173" s="183"/>
      <c r="KU173" s="183"/>
      <c r="KV173" s="183"/>
      <c r="KW173" s="183"/>
      <c r="KX173" s="183"/>
      <c r="KY173" s="183"/>
      <c r="KZ173" s="183"/>
      <c r="LA173" s="183"/>
      <c r="LB173" s="183"/>
      <c r="LC173" s="183"/>
      <c r="LD173" s="183"/>
      <c r="LE173" s="183"/>
      <c r="LF173" s="183"/>
      <c r="LG173" s="183"/>
      <c r="LH173" s="183"/>
      <c r="LI173" s="183"/>
      <c r="LJ173" s="183"/>
      <c r="LK173" s="183"/>
      <c r="LL173" s="183"/>
      <c r="LM173" s="183"/>
      <c r="LN173" s="183"/>
      <c r="LO173" s="183"/>
      <c r="LP173" s="183"/>
      <c r="LQ173" s="183"/>
      <c r="LR173" s="183"/>
      <c r="LS173" s="183"/>
      <c r="LT173" s="183"/>
      <c r="LU173" s="183"/>
      <c r="LV173" s="183"/>
      <c r="LW173" s="183"/>
      <c r="LX173" s="183"/>
      <c r="LY173" s="183"/>
      <c r="LZ173" s="183"/>
      <c r="MA173" s="183"/>
      <c r="MB173" s="183"/>
      <c r="MC173" s="183"/>
      <c r="MD173" s="183"/>
      <c r="ME173" s="183"/>
      <c r="MF173" s="183"/>
      <c r="MG173" s="183"/>
      <c r="MH173" s="183"/>
      <c r="MI173" s="183"/>
      <c r="MJ173" s="183"/>
      <c r="MK173" s="183"/>
      <c r="ML173" s="183"/>
      <c r="MM173" s="183"/>
      <c r="MN173" s="183"/>
      <c r="MO173" s="183"/>
      <c r="MP173" s="183"/>
      <c r="MQ173" s="183"/>
      <c r="MR173" s="183"/>
      <c r="MS173" s="183"/>
      <c r="MT173" s="183"/>
      <c r="MU173" s="183"/>
      <c r="MV173" s="183"/>
      <c r="MW173" s="183"/>
      <c r="MX173" s="183"/>
      <c r="NE173" s="183"/>
      <c r="NF173" s="183"/>
      <c r="NG173" s="183"/>
      <c r="NH173" s="183"/>
      <c r="NI173" s="183"/>
      <c r="NJ173" s="183"/>
      <c r="NK173" s="183"/>
      <c r="NL173" s="2617"/>
      <c r="NM173" s="2617"/>
      <c r="NN173" s="2617"/>
      <c r="NO173" s="2617"/>
      <c r="NP173" s="2617"/>
      <c r="NQ173" s="2617"/>
      <c r="NR173" s="2617"/>
      <c r="NS173" s="2617"/>
      <c r="NT173" s="2617"/>
      <c r="NU173" s="2617"/>
      <c r="NV173" s="183"/>
      <c r="NW173" s="183"/>
      <c r="NX173" s="183"/>
      <c r="NY173" s="183"/>
      <c r="NZ173" s="183"/>
      <c r="OA173" s="183"/>
      <c r="OB173" s="183"/>
      <c r="OC173" s="183"/>
      <c r="OD173" s="183"/>
      <c r="OE173" s="183"/>
      <c r="OF173" s="183"/>
      <c r="OG173" s="183"/>
      <c r="OH173" s="183"/>
      <c r="OI173" s="183"/>
      <c r="OJ173" s="183"/>
      <c r="OK173" s="183"/>
      <c r="OL173" s="183"/>
      <c r="OM173" s="183"/>
      <c r="ON173" s="183"/>
      <c r="OO173" s="183"/>
      <c r="OP173" s="183"/>
      <c r="OQ173" s="183"/>
      <c r="OR173" s="183"/>
      <c r="OS173" s="183"/>
      <c r="OT173" s="183"/>
      <c r="OU173" s="184"/>
      <c r="OV173" s="184"/>
      <c r="OW173" s="184"/>
      <c r="OX173" s="184"/>
      <c r="OY173" s="184"/>
      <c r="OZ173" s="184"/>
      <c r="PA173" s="184"/>
      <c r="PB173" s="184"/>
      <c r="PC173" s="184"/>
      <c r="PD173" s="184"/>
      <c r="PE173" s="184"/>
      <c r="PF173" s="184"/>
      <c r="PG173" s="184"/>
      <c r="PH173" s="184"/>
      <c r="PI173" s="184"/>
      <c r="PJ173" s="265"/>
      <c r="PK173" s="265"/>
      <c r="PL173" s="265"/>
      <c r="PM173" s="265"/>
      <c r="PN173" s="265"/>
      <c r="PO173" s="265"/>
      <c r="PP173" s="183"/>
      <c r="PQ173" s="183"/>
      <c r="PR173" s="183"/>
      <c r="PS173" s="183"/>
      <c r="PT173" s="183"/>
      <c r="PU173" s="183"/>
      <c r="PX173" s="183"/>
      <c r="QH173" s="2617"/>
      <c r="QI173" s="2617"/>
      <c r="QJ173" s="2617"/>
      <c r="QK173" s="2617"/>
      <c r="QL173" s="2617"/>
      <c r="QM173" s="183"/>
      <c r="QN173" s="185">
        <v>13</v>
      </c>
      <c r="QO173" s="185" t="s">
        <v>508</v>
      </c>
      <c r="QP173" s="185"/>
      <c r="QQ173" s="835" t="str">
        <f>$QP$135</f>
        <v>Stuff 1-2</v>
      </c>
      <c r="QR173" s="185" t="s">
        <v>390</v>
      </c>
      <c r="QS173" s="185" t="s">
        <v>390</v>
      </c>
      <c r="QT173" s="185" t="s">
        <v>390</v>
      </c>
      <c r="QU173" s="185">
        <v>1</v>
      </c>
      <c r="QV173" s="183"/>
      <c r="QW173" s="183"/>
      <c r="QX173" s="183"/>
      <c r="QY173" s="183"/>
      <c r="QZ173" s="2617"/>
      <c r="RA173" s="2617"/>
      <c r="RB173" s="2617"/>
      <c r="RC173" s="2617"/>
      <c r="RD173" s="2617"/>
      <c r="RE173" s="2617"/>
      <c r="RF173" s="2617"/>
      <c r="RG173" s="2617"/>
      <c r="RH173" s="2617"/>
      <c r="RO173" s="1606"/>
      <c r="RQ173" s="1606"/>
      <c r="UK173" s="265"/>
      <c r="UL173" s="184"/>
      <c r="UM173" s="1754"/>
      <c r="UN173" s="265"/>
      <c r="UO173" s="265"/>
      <c r="UP173" s="265"/>
      <c r="UQ173" s="265"/>
      <c r="UR173" s="265"/>
      <c r="US173" s="265"/>
      <c r="UT173" s="265"/>
      <c r="UU173" s="265"/>
      <c r="UV173" s="265"/>
      <c r="UW173" s="265"/>
      <c r="UX173" s="402"/>
      <c r="UY173" s="265"/>
      <c r="UZ173" s="265"/>
      <c r="VB173" s="265"/>
      <c r="VC173" s="265"/>
      <c r="VD173" s="265"/>
      <c r="VE173" s="265"/>
      <c r="VF173" s="265"/>
      <c r="VG173" s="265"/>
      <c r="VH173" s="265"/>
      <c r="VI173" s="265"/>
      <c r="VJ173" s="265"/>
      <c r="VK173" s="265"/>
      <c r="VL173" s="265"/>
      <c r="VM173" s="265"/>
      <c r="VN173" s="265"/>
      <c r="VO173" s="265"/>
      <c r="VP173" s="265"/>
      <c r="VQ173" s="265"/>
      <c r="VR173" s="265"/>
      <c r="VS173" s="265"/>
      <c r="VT173" s="265"/>
      <c r="VU173" s="265"/>
      <c r="VV173" s="265"/>
      <c r="VW173" s="265"/>
      <c r="VX173" s="265"/>
      <c r="VY173" s="265"/>
      <c r="VZ173" s="265"/>
      <c r="WA173" s="265"/>
      <c r="WB173" s="265"/>
      <c r="WC173" s="265"/>
      <c r="WD173" s="265"/>
      <c r="WE173" s="265"/>
      <c r="WF173" s="265"/>
    </row>
    <row r="174" spans="2:605" s="435" customFormat="1" ht="20.100000000000001" customHeight="1" x14ac:dyDescent="0.2">
      <c r="B174" s="265"/>
      <c r="C174" s="265"/>
      <c r="D174" s="265"/>
      <c r="E174" s="265"/>
      <c r="R174" s="6011"/>
      <c r="S174" s="6011"/>
      <c r="T174" s="6011"/>
      <c r="DR174" s="1602">
        <v>7</v>
      </c>
      <c r="DS174" s="1600">
        <f>IF(OR($OL$182=0,AND('Inn foran'!$BT$42&lt;1,('Inn foran'!$BT$44+'Inn foran'!$BT$46&gt;0))),0,1)</f>
        <v>0</v>
      </c>
      <c r="DT174" s="1600">
        <f>IF(OR($OM$182=0,AND('Inn foran'!$BT$42&gt;0,'Inn foran'!$BT$44=0)),0,1)</f>
        <v>0</v>
      </c>
      <c r="DU174" s="1600">
        <f>IF(OR($ON$182=0,AND('Inn foran'!$BT$42&gt;0,'Inn foran'!$BT$46=0)),0,1)</f>
        <v>0</v>
      </c>
      <c r="DV174" s="1601"/>
      <c r="DW174" s="1601"/>
      <c r="DX174" s="1603">
        <f>IF(OR($OP$182=0,AND('Inn foran'!$BT$53&lt;1,('Inn foran'!$BT$55+'Inn foran'!$BT$57&gt;0))),0,1)</f>
        <v>0</v>
      </c>
      <c r="DY174" s="1603">
        <f>IF(OR($OQ$182=0,AND('Inn foran'!$BT$53&gt;0,'Inn foran'!$BT$55=0)),0,1)</f>
        <v>0</v>
      </c>
      <c r="DZ174" s="1603">
        <f>IF(OR($OR$182=0,AND('Inn foran'!$BT$53&gt;0,'Inn foran'!$BT$57=0)),0,1)</f>
        <v>0</v>
      </c>
      <c r="EA174" s="1604"/>
      <c r="EQ174" s="183"/>
      <c r="ER174" s="183"/>
      <c r="ES174" s="183"/>
      <c r="ET174" s="183"/>
      <c r="EU174" s="183"/>
      <c r="EV174" s="183"/>
      <c r="EW174" s="183"/>
      <c r="EX174" s="183"/>
      <c r="EY174" s="183"/>
      <c r="EZ174" s="183"/>
      <c r="FA174" s="183"/>
      <c r="FB174" s="183"/>
      <c r="FC174" s="183"/>
      <c r="FD174" s="183"/>
      <c r="FE174" s="183"/>
      <c r="FF174" s="183"/>
      <c r="FG174" s="183"/>
      <c r="FH174" s="181"/>
      <c r="FI174" s="183"/>
      <c r="FJ174" s="183"/>
      <c r="FK174" s="183"/>
      <c r="FL174" s="183"/>
      <c r="FM174" s="183"/>
      <c r="FN174" s="181"/>
      <c r="FO174" s="181"/>
      <c r="FP174" s="181"/>
      <c r="FQ174" s="181"/>
      <c r="FR174" s="183"/>
      <c r="FS174" s="183"/>
      <c r="FT174" s="183"/>
      <c r="FU174" s="183"/>
      <c r="FV174" s="183"/>
      <c r="IH174" s="1172"/>
      <c r="II174" s="5998" t="s">
        <v>138</v>
      </c>
      <c r="IJ174" s="372"/>
      <c r="IK174" s="194" t="str">
        <f>INDEX(utskrift_just[skyte_beg],MATCH(IK$108,utskrift_just[position],0))</f>
        <v>-</v>
      </c>
      <c r="IL174" s="194" t="str">
        <f>INDEX(utskrift_just[skyte_beg],MATCH(IL$108,utskrift_just[position],0))</f>
        <v>-</v>
      </c>
      <c r="IM174" s="194" t="str">
        <f>INDEX(utskrift_just[skyte_beg],MATCH(IM$108,utskrift_just[position],0))</f>
        <v>-</v>
      </c>
      <c r="IN174" s="194" t="str">
        <f>INDEX(utskrift_just[skyte_beg],MATCH(IN$108,utskrift_just[position],0))</f>
        <v>-</v>
      </c>
      <c r="IO174" s="194" t="str">
        <f>INDEX(utskrift_just[skyte_beg],MATCH(IO$108,utskrift_just[position],0))</f>
        <v>-</v>
      </c>
      <c r="IP174" s="194" t="str">
        <f>INDEX(utskrift_just[skyte_beg],MATCH(IP$108,utskrift_just[position],0))</f>
        <v>-</v>
      </c>
      <c r="IQ174" s="194" t="str">
        <f>INDEX(utskrift_just[skyte_beg],MATCH(IQ$108,utskrift_just[position],0))</f>
        <v>-</v>
      </c>
      <c r="IR174" s="194" t="str">
        <f>INDEX(utskrift_just[skyte_beg],MATCH(IR$108,utskrift_just[position],0))</f>
        <v>-</v>
      </c>
      <c r="IS174" s="194" t="str">
        <f>INDEX(utskrift_just[skyte_beg],MATCH(IS$108,utskrift_just[position],0))</f>
        <v>-</v>
      </c>
      <c r="IT174" s="183"/>
      <c r="IU174" s="183"/>
      <c r="IV174" s="183"/>
      <c r="IW174" s="183"/>
      <c r="IX174" s="183"/>
      <c r="IY174" s="183"/>
      <c r="IZ174" s="183"/>
      <c r="JA174" s="183"/>
      <c r="JB174" s="183"/>
      <c r="JC174" s="183"/>
      <c r="JD174" s="183"/>
      <c r="JE174" s="183"/>
      <c r="JF174" s="183"/>
      <c r="JG174" s="183"/>
      <c r="JH174" s="183"/>
      <c r="JI174" s="183"/>
      <c r="JJ174" s="183"/>
      <c r="JK174" s="183"/>
      <c r="JL174" s="183"/>
      <c r="JM174" s="183"/>
      <c r="JN174" s="183"/>
      <c r="JO174" s="183"/>
      <c r="JP174" s="183"/>
      <c r="JQ174" s="183"/>
      <c r="JR174" s="183"/>
      <c r="JS174" s="183"/>
      <c r="JT174" s="183"/>
      <c r="JU174" s="183"/>
      <c r="JV174" s="183"/>
      <c r="JW174" s="183"/>
      <c r="JX174" s="183"/>
      <c r="JY174" s="183"/>
      <c r="JZ174" s="183"/>
      <c r="KA174" s="183"/>
      <c r="KB174" s="183"/>
      <c r="KC174" s="183"/>
      <c r="KD174" s="183"/>
      <c r="KE174" s="183"/>
      <c r="KF174" s="183"/>
      <c r="KG174" s="183"/>
      <c r="KH174" s="183"/>
      <c r="KI174" s="183"/>
      <c r="KJ174" s="183"/>
      <c r="KK174" s="183"/>
      <c r="KL174" s="183"/>
      <c r="KM174" s="183"/>
      <c r="KN174" s="183"/>
      <c r="KO174" s="183"/>
      <c r="KP174" s="183"/>
      <c r="KQ174" s="183"/>
      <c r="KR174" s="183"/>
      <c r="KS174" s="183"/>
      <c r="KT174" s="183"/>
      <c r="KU174" s="183"/>
      <c r="KV174" s="183"/>
      <c r="KW174" s="183"/>
      <c r="KX174" s="183"/>
      <c r="KY174" s="183"/>
      <c r="KZ174" s="183"/>
      <c r="LA174" s="183"/>
      <c r="LB174" s="183"/>
      <c r="LC174" s="183"/>
      <c r="LD174" s="183"/>
      <c r="LE174" s="183"/>
      <c r="LF174" s="183"/>
      <c r="LG174" s="183"/>
      <c r="LH174" s="183"/>
      <c r="LI174" s="183"/>
      <c r="LJ174" s="183"/>
      <c r="LK174" s="183"/>
      <c r="LL174" s="183"/>
      <c r="LM174" s="183"/>
      <c r="LN174" s="183"/>
      <c r="LO174" s="183"/>
      <c r="LP174" s="183"/>
      <c r="LQ174" s="183"/>
      <c r="LR174" s="183"/>
      <c r="LS174" s="183"/>
      <c r="LT174" s="183"/>
      <c r="LU174" s="183"/>
      <c r="LV174" s="183"/>
      <c r="LW174" s="183"/>
      <c r="LX174" s="183"/>
      <c r="LY174" s="183"/>
      <c r="LZ174" s="183"/>
      <c r="MA174" s="183"/>
      <c r="MB174" s="183"/>
      <c r="MC174" s="183"/>
      <c r="MD174" s="183"/>
      <c r="ME174" s="183"/>
      <c r="MF174" s="183"/>
      <c r="MG174" s="183"/>
      <c r="MH174" s="183"/>
      <c r="MI174" s="183"/>
      <c r="MJ174" s="183"/>
      <c r="MK174" s="183"/>
      <c r="ML174" s="183"/>
      <c r="MM174" s="183"/>
      <c r="MN174" s="183"/>
      <c r="MO174" s="183"/>
      <c r="MP174" s="183"/>
      <c r="MQ174" s="183"/>
      <c r="MR174" s="183"/>
      <c r="MS174" s="183"/>
      <c r="MT174" s="183"/>
      <c r="MU174" s="183"/>
      <c r="MV174" s="183"/>
      <c r="MW174" s="183"/>
      <c r="MX174" s="183"/>
      <c r="NE174" s="183"/>
      <c r="NF174" s="183"/>
      <c r="NG174" s="183"/>
      <c r="NH174" s="183"/>
      <c r="NI174" s="183"/>
      <c r="NJ174" s="183"/>
      <c r="NK174" s="183"/>
      <c r="NL174" s="183"/>
      <c r="NM174" s="183"/>
      <c r="NN174" s="183"/>
      <c r="NO174" s="836" t="s">
        <v>1570</v>
      </c>
      <c r="NP174" s="836"/>
      <c r="NQ174" s="836"/>
      <c r="NS174" s="5481" t="s">
        <v>437</v>
      </c>
      <c r="NT174" s="1570"/>
      <c r="NU174" s="1570"/>
      <c r="NV174" s="1570"/>
      <c r="NW174" s="1570"/>
      <c r="NX174" s="1570"/>
      <c r="NY174" s="1570"/>
      <c r="NZ174" s="1570"/>
      <c r="OA174" s="1570"/>
      <c r="OB174" s="1570"/>
      <c r="OC174" s="1570"/>
      <c r="OD174" s="1570"/>
      <c r="OE174" s="1570"/>
      <c r="OF174" s="1570"/>
      <c r="OG174" s="1570"/>
      <c r="OH174" s="5480" t="s">
        <v>438</v>
      </c>
      <c r="OI174" s="1572"/>
      <c r="OJ174" s="1572"/>
      <c r="OK174" s="1572"/>
      <c r="OL174" s="1572"/>
      <c r="OM174" s="1572"/>
      <c r="ON174" s="1572"/>
      <c r="OO174" s="1572"/>
      <c r="OP174" s="1572"/>
      <c r="OQ174" s="1572"/>
      <c r="OR174" s="1572"/>
      <c r="OS174" s="1572"/>
      <c r="OT174" s="1572"/>
      <c r="OU174" s="5479" t="s">
        <v>671</v>
      </c>
      <c r="OV174" s="1575"/>
      <c r="OW174" s="1575"/>
      <c r="OX174" s="1575"/>
      <c r="OY174" s="1575"/>
      <c r="OZ174" s="1575"/>
      <c r="PA174" s="1575"/>
      <c r="PB174" s="1575"/>
      <c r="PC174" s="1575"/>
      <c r="PD174" s="1575"/>
      <c r="PE174" s="1575"/>
      <c r="PF174" s="1575"/>
      <c r="PG174" s="1575"/>
      <c r="PH174" s="1575"/>
      <c r="PI174" s="1575"/>
      <c r="PJ174" s="1575"/>
      <c r="PK174" s="265"/>
      <c r="PL174" s="265"/>
      <c r="PM174" s="265"/>
      <c r="PN174" s="265"/>
      <c r="PO174" s="265"/>
      <c r="PP174" s="183"/>
      <c r="PQ174" s="183"/>
      <c r="PR174" s="183"/>
      <c r="PS174" s="183"/>
      <c r="PT174" s="183"/>
      <c r="PU174" s="183"/>
      <c r="PX174" s="183"/>
      <c r="QI174" s="2617"/>
      <c r="QJ174" s="2617"/>
      <c r="QK174" s="2617"/>
      <c r="QL174" s="2617"/>
      <c r="QM174" s="183"/>
      <c r="QN174" s="185"/>
      <c r="QO174" s="185" t="s">
        <v>509</v>
      </c>
      <c r="QP174" s="185"/>
      <c r="QQ174" s="835" t="str">
        <f>$QP$135</f>
        <v>Stuff 1-2</v>
      </c>
      <c r="QR174" s="185" t="s">
        <v>390</v>
      </c>
      <c r="QS174" s="185" t="s">
        <v>390</v>
      </c>
      <c r="QT174" s="185" t="s">
        <v>390</v>
      </c>
      <c r="QU174" s="185">
        <v>1</v>
      </c>
      <c r="QV174" s="183"/>
      <c r="QW174" s="183"/>
      <c r="QX174" s="183"/>
      <c r="QY174" s="183"/>
      <c r="QZ174" s="183"/>
      <c r="RA174" s="2617"/>
      <c r="RB174" s="2617"/>
      <c r="RC174" s="2617"/>
      <c r="RD174" s="2617"/>
      <c r="RE174" s="2617"/>
      <c r="RF174" s="2617"/>
      <c r="RG174" s="2617"/>
      <c r="RH174" s="2617"/>
      <c r="RI174" s="2617"/>
      <c r="RP174" s="1606"/>
      <c r="RR174" s="1606"/>
      <c r="UL174" s="265"/>
      <c r="UM174" s="184"/>
      <c r="UN174" s="1754"/>
      <c r="UO174" s="265"/>
      <c r="UP174" s="265"/>
      <c r="UQ174" s="265"/>
      <c r="UR174" s="265"/>
      <c r="US174" s="265"/>
      <c r="UT174" s="265"/>
      <c r="UU174" s="265"/>
      <c r="UV174" s="265"/>
      <c r="UW174" s="265"/>
      <c r="UX174" s="265"/>
      <c r="UY174" s="402"/>
      <c r="UZ174" s="402"/>
      <c r="VB174" s="265"/>
      <c r="VC174" s="265"/>
      <c r="VD174" s="265"/>
      <c r="VE174" s="265"/>
      <c r="VF174" s="265"/>
      <c r="VG174" s="265"/>
      <c r="VH174" s="265"/>
      <c r="VI174" s="265"/>
      <c r="VJ174" s="265"/>
      <c r="VK174" s="265"/>
      <c r="VL174" s="265"/>
      <c r="VM174" s="265"/>
      <c r="VN174" s="265"/>
      <c r="VO174" s="265"/>
      <c r="VP174" s="265"/>
      <c r="VQ174" s="265"/>
      <c r="VR174" s="265"/>
      <c r="VS174" s="265"/>
      <c r="VT174" s="265"/>
      <c r="VU174" s="265"/>
      <c r="VV174" s="265"/>
      <c r="VW174" s="265"/>
      <c r="VX174" s="265"/>
      <c r="VY174" s="265"/>
      <c r="VZ174" s="265"/>
      <c r="WA174" s="265"/>
      <c r="WB174" s="265"/>
      <c r="WC174" s="265"/>
      <c r="WD174" s="265"/>
      <c r="WE174" s="265"/>
      <c r="WF174" s="265"/>
      <c r="WG174" s="265"/>
    </row>
    <row r="175" spans="2:605" s="435" customFormat="1" ht="20.100000000000001" customHeight="1" x14ac:dyDescent="0.2">
      <c r="B175" s="265"/>
      <c r="C175" s="265"/>
      <c r="D175" s="265"/>
      <c r="E175" s="265"/>
      <c r="R175" s="6011"/>
      <c r="S175" s="6011"/>
      <c r="T175" s="6011"/>
      <c r="BB175" s="1608" t="s">
        <v>309</v>
      </c>
      <c r="BC175" s="1609"/>
      <c r="BD175" s="1609"/>
      <c r="BE175" s="1609"/>
      <c r="BF175" s="1609"/>
      <c r="BG175" s="1609"/>
      <c r="BH175" s="1609"/>
      <c r="BI175" s="1609"/>
      <c r="BJ175" s="1609"/>
      <c r="BK175" s="1609"/>
      <c r="BL175" s="1609"/>
      <c r="DR175" s="1602">
        <v>8</v>
      </c>
      <c r="DS175" s="1600">
        <f>IF(OR($OL$183=0,AND('Inn foran'!$CB$42&lt;1,('Inn foran'!$CB$44+'Inn foran'!$CB$46&gt;0))),0,1)</f>
        <v>0</v>
      </c>
      <c r="DT175" s="1600">
        <f>IF(OR($OM$183=0,AND('Inn foran'!$CB$42&gt;0,'Inn foran'!$CB$44=0)),0,1)</f>
        <v>0</v>
      </c>
      <c r="DU175" s="1600">
        <f>IF(OR($ON$183=0,AND('Inn foran'!$CB$42&gt;0,'Inn foran'!$CB$46=0)),0,1)</f>
        <v>0</v>
      </c>
      <c r="DV175" s="1601"/>
      <c r="DW175" s="1601"/>
      <c r="DX175" s="1603">
        <f>IF(OR($OP$183=0,AND('Inn foran'!$CB$53&lt;1,('Inn foran'!$CB$55+'Inn foran'!$CB$57&gt;0))),0,1)</f>
        <v>0</v>
      </c>
      <c r="DY175" s="1603">
        <f>IF(OR($OQ$183=0,AND('Inn foran'!$CB$53&gt;0,'Inn foran'!$CB$55=0)),0,1)</f>
        <v>0</v>
      </c>
      <c r="DZ175" s="1603">
        <f>IF(OR($OR$183=0,AND('Inn foran'!$CB$53&gt;0,'Inn foran'!$CB$57=0)),0,1)</f>
        <v>0</v>
      </c>
      <c r="EA175" s="1604"/>
      <c r="EQ175" s="183"/>
      <c r="ER175" s="183"/>
      <c r="ES175" s="183"/>
      <c r="ET175" s="183"/>
      <c r="EU175" s="183"/>
      <c r="EV175" s="183"/>
      <c r="EW175" s="183"/>
      <c r="EX175" s="183"/>
      <c r="EY175" s="183"/>
      <c r="EZ175" s="183"/>
      <c r="FA175" s="183"/>
      <c r="FB175" s="183"/>
      <c r="FC175" s="183"/>
      <c r="FD175" s="183"/>
      <c r="FE175" s="183"/>
      <c r="FF175" s="183"/>
      <c r="FG175" s="183"/>
      <c r="FH175" s="181"/>
      <c r="FI175" s="183"/>
      <c r="FJ175" s="183"/>
      <c r="FK175" s="183"/>
      <c r="FL175" s="183"/>
      <c r="FM175" s="183"/>
      <c r="FN175" s="181"/>
      <c r="FO175" s="181"/>
      <c r="FP175" s="181"/>
      <c r="FQ175" s="181"/>
      <c r="FR175" s="183"/>
      <c r="FS175" s="183"/>
      <c r="FT175" s="183"/>
      <c r="FU175" s="183"/>
      <c r="FV175" s="183"/>
      <c r="IH175" s="1172"/>
      <c r="II175" s="372"/>
      <c r="IJ175" s="372"/>
      <c r="IK175" s="372"/>
      <c r="IL175" s="372"/>
      <c r="IM175" s="372"/>
      <c r="IN175" s="372"/>
      <c r="IO175" s="372"/>
      <c r="IP175" s="372"/>
      <c r="IQ175" s="372"/>
      <c r="IR175" s="372"/>
      <c r="IS175" s="185"/>
      <c r="IT175" s="183"/>
      <c r="IU175" s="183"/>
      <c r="IV175" s="183"/>
      <c r="IW175" s="183"/>
      <c r="IX175" s="183"/>
      <c r="IY175" s="183"/>
      <c r="IZ175" s="183"/>
      <c r="JA175" s="183"/>
      <c r="JB175" s="183"/>
      <c r="JC175" s="183"/>
      <c r="JD175" s="183"/>
      <c r="JE175" s="183"/>
      <c r="JF175" s="183"/>
      <c r="JG175" s="183"/>
      <c r="JH175" s="183"/>
      <c r="JI175" s="183"/>
      <c r="JJ175" s="183"/>
      <c r="JK175" s="183"/>
      <c r="JL175" s="183"/>
      <c r="JM175" s="183"/>
      <c r="JN175" s="183"/>
      <c r="JO175" s="183"/>
      <c r="JP175" s="183"/>
      <c r="JQ175" s="183"/>
      <c r="JR175" s="183"/>
      <c r="JS175" s="183"/>
      <c r="JT175" s="183"/>
      <c r="JU175" s="183"/>
      <c r="JV175" s="183"/>
      <c r="JW175" s="183"/>
      <c r="JX175" s="183"/>
      <c r="JY175" s="183"/>
      <c r="JZ175" s="183"/>
      <c r="KA175" s="183"/>
      <c r="KB175" s="183"/>
      <c r="KC175" s="183"/>
      <c r="KD175" s="183"/>
      <c r="KE175" s="183"/>
      <c r="KF175" s="183"/>
      <c r="KG175" s="183"/>
      <c r="KH175" s="183"/>
      <c r="KI175" s="183"/>
      <c r="KJ175" s="183"/>
      <c r="KK175" s="183"/>
      <c r="KL175" s="183"/>
      <c r="KM175" s="183"/>
      <c r="KN175" s="183"/>
      <c r="KO175" s="183"/>
      <c r="KP175" s="183"/>
      <c r="KQ175" s="183"/>
      <c r="KR175" s="183"/>
      <c r="KS175" s="183"/>
      <c r="KT175" s="183"/>
      <c r="KU175" s="183"/>
      <c r="KV175" s="183"/>
      <c r="KW175" s="183"/>
      <c r="KX175" s="183"/>
      <c r="KY175" s="183"/>
      <c r="KZ175" s="183"/>
      <c r="LA175" s="183"/>
      <c r="LB175" s="183"/>
      <c r="LC175" s="183"/>
      <c r="LD175" s="183"/>
      <c r="LE175" s="183"/>
      <c r="LF175" s="183"/>
      <c r="LG175" s="183"/>
      <c r="LH175" s="183"/>
      <c r="LI175" s="183"/>
      <c r="LJ175" s="183"/>
      <c r="LK175" s="183"/>
      <c r="LL175" s="183"/>
      <c r="LM175" s="183"/>
      <c r="LN175" s="183"/>
      <c r="LO175" s="183"/>
      <c r="LP175" s="183"/>
      <c r="LQ175" s="183"/>
      <c r="LR175" s="183"/>
      <c r="LS175" s="183"/>
      <c r="LT175" s="183"/>
      <c r="LU175" s="183"/>
      <c r="LV175" s="183"/>
      <c r="LW175" s="183"/>
      <c r="LX175" s="183"/>
      <c r="LY175" s="183"/>
      <c r="LZ175" s="183"/>
      <c r="MA175" s="183"/>
      <c r="MB175" s="183"/>
      <c r="MC175" s="183"/>
      <c r="MD175" s="183"/>
      <c r="ME175" s="183"/>
      <c r="MF175" s="183"/>
      <c r="MG175" s="183"/>
      <c r="MH175" s="183"/>
      <c r="MI175" s="183"/>
      <c r="MJ175" s="183"/>
      <c r="MK175" s="183"/>
      <c r="ML175" s="183"/>
      <c r="MM175" s="183"/>
      <c r="MN175" s="183"/>
      <c r="MO175" s="183"/>
      <c r="MP175" s="183"/>
      <c r="MQ175" s="183"/>
      <c r="MR175" s="183"/>
      <c r="MS175" s="183"/>
      <c r="MT175" s="183"/>
      <c r="MU175" s="183"/>
      <c r="MV175" s="183"/>
      <c r="MW175" s="183"/>
      <c r="MX175" s="183"/>
      <c r="NE175" s="183"/>
      <c r="NF175" s="183"/>
      <c r="NG175" s="183"/>
      <c r="NH175" s="183"/>
      <c r="NI175" s="183"/>
      <c r="NJ175" s="183"/>
      <c r="NK175" s="183"/>
      <c r="NL175" s="183"/>
      <c r="NM175" s="443" t="s">
        <v>408</v>
      </c>
      <c r="NN175" s="247" t="s">
        <v>551</v>
      </c>
      <c r="NO175" s="247" t="s">
        <v>111</v>
      </c>
      <c r="NP175" s="247" t="s">
        <v>1198</v>
      </c>
      <c r="NQ175" s="247" t="s">
        <v>148</v>
      </c>
      <c r="NR175" s="463" t="s">
        <v>554</v>
      </c>
      <c r="NS175" s="247" t="s">
        <v>552</v>
      </c>
      <c r="NT175" s="247" t="s">
        <v>271</v>
      </c>
      <c r="NU175" s="247" t="s">
        <v>84</v>
      </c>
      <c r="NV175" s="247" t="s">
        <v>85</v>
      </c>
      <c r="NW175" s="247" t="s">
        <v>87</v>
      </c>
      <c r="NX175" s="247" t="s">
        <v>2748</v>
      </c>
      <c r="NY175" s="247" t="s">
        <v>116</v>
      </c>
      <c r="NZ175" s="247" t="s">
        <v>117</v>
      </c>
      <c r="OA175" s="247" t="s">
        <v>118</v>
      </c>
      <c r="OB175" s="247" t="s">
        <v>119</v>
      </c>
      <c r="OC175" s="247" t="s">
        <v>120</v>
      </c>
      <c r="OD175" s="247" t="s">
        <v>121</v>
      </c>
      <c r="OE175" s="247" t="s">
        <v>122</v>
      </c>
      <c r="OF175" s="247" t="s">
        <v>145</v>
      </c>
      <c r="OG175" s="463" t="s">
        <v>555</v>
      </c>
      <c r="OH175" s="1571" t="s">
        <v>556</v>
      </c>
      <c r="OI175" s="247" t="s">
        <v>0</v>
      </c>
      <c r="OJ175" s="247" t="s">
        <v>1</v>
      </c>
      <c r="OK175" s="247" t="s">
        <v>2</v>
      </c>
      <c r="OL175" s="247" t="s">
        <v>300</v>
      </c>
      <c r="OM175" s="247" t="s">
        <v>301</v>
      </c>
      <c r="ON175" s="247" t="s">
        <v>302</v>
      </c>
      <c r="OO175" s="247" t="s">
        <v>303</v>
      </c>
      <c r="OP175" s="247" t="s">
        <v>304</v>
      </c>
      <c r="OQ175" s="247" t="s">
        <v>305</v>
      </c>
      <c r="OR175" s="247" t="s">
        <v>306</v>
      </c>
      <c r="OS175" s="247" t="s">
        <v>307</v>
      </c>
      <c r="OT175" s="1577" t="s">
        <v>663</v>
      </c>
      <c r="OU175" s="1577" t="s">
        <v>664</v>
      </c>
      <c r="OV175" s="447" t="s">
        <v>2025</v>
      </c>
      <c r="OW175" s="447" t="s">
        <v>1598</v>
      </c>
      <c r="OX175" s="447" t="s">
        <v>363</v>
      </c>
      <c r="OY175" s="447" t="s">
        <v>364</v>
      </c>
      <c r="OZ175" s="447" t="s">
        <v>2040</v>
      </c>
      <c r="PA175" s="447" t="s">
        <v>1044</v>
      </c>
      <c r="PB175" s="447" t="s">
        <v>1602</v>
      </c>
      <c r="PC175" s="447" t="s">
        <v>367</v>
      </c>
      <c r="PD175" s="447" t="s">
        <v>368</v>
      </c>
      <c r="PE175" s="447" t="s">
        <v>369</v>
      </c>
      <c r="PF175" s="447" t="s">
        <v>370</v>
      </c>
      <c r="PG175" s="1578" t="s">
        <v>665</v>
      </c>
      <c r="PH175" s="1578" t="s">
        <v>666</v>
      </c>
      <c r="PI175" s="1578" t="s">
        <v>667</v>
      </c>
      <c r="PJ175" s="1578" t="s">
        <v>668</v>
      </c>
      <c r="PK175" s="1578" t="s">
        <v>670</v>
      </c>
      <c r="PL175" s="1578" t="s">
        <v>669</v>
      </c>
      <c r="PM175" s="447" t="s">
        <v>187</v>
      </c>
      <c r="PN175" s="447" t="s">
        <v>618</v>
      </c>
      <c r="PO175" s="265"/>
      <c r="PP175" s="265"/>
      <c r="PQ175" s="265"/>
      <c r="PR175" s="183"/>
      <c r="PS175" s="183"/>
      <c r="PT175" s="183"/>
      <c r="PU175" s="183"/>
      <c r="PV175" s="183"/>
      <c r="PW175" s="183"/>
      <c r="QI175" s="2617"/>
      <c r="QJ175" s="2617"/>
      <c r="QK175" s="2617"/>
      <c r="QL175" s="2617"/>
      <c r="QM175" s="183"/>
      <c r="QN175" s="185"/>
      <c r="QO175" s="185" t="s">
        <v>605</v>
      </c>
      <c r="QP175" s="185"/>
      <c r="QQ175" s="185" t="str">
        <f>$HI$15</f>
        <v/>
      </c>
      <c r="QR175" s="185" t="str">
        <f>$HI$16</f>
        <v/>
      </c>
      <c r="QS175" s="185" t="s">
        <v>390</v>
      </c>
      <c r="QT175" s="185" t="s">
        <v>390</v>
      </c>
      <c r="QU175" s="185">
        <v>2</v>
      </c>
      <c r="QV175" s="183"/>
      <c r="QW175" s="183"/>
      <c r="QX175" s="183"/>
      <c r="QY175" s="183"/>
      <c r="QZ175" s="183"/>
      <c r="RA175" s="2617"/>
      <c r="RB175" s="2617"/>
      <c r="RC175" s="2617"/>
      <c r="RD175" s="2617"/>
      <c r="RE175" s="2617"/>
      <c r="RF175" s="2617"/>
      <c r="RG175" s="2617"/>
      <c r="RH175" s="2617"/>
      <c r="RI175" s="2617"/>
      <c r="RP175" s="1606"/>
      <c r="RR175" s="1606"/>
      <c r="UL175" s="265"/>
      <c r="UM175" s="184"/>
      <c r="UN175" s="1754"/>
      <c r="UO175" s="265"/>
      <c r="UP175" s="265"/>
      <c r="UQ175" s="265"/>
      <c r="UR175" s="265"/>
      <c r="US175" s="265"/>
      <c r="UT175" s="265"/>
      <c r="UU175" s="265"/>
      <c r="UV175" s="265"/>
      <c r="UW175" s="265"/>
      <c r="UX175" s="265"/>
      <c r="UY175" s="402"/>
      <c r="UZ175" s="402"/>
      <c r="VB175" s="265"/>
      <c r="VC175" s="265"/>
      <c r="VD175" s="265"/>
      <c r="VE175" s="265"/>
      <c r="VF175" s="265"/>
      <c r="VG175" s="265"/>
      <c r="VH175" s="265"/>
      <c r="VI175" s="265"/>
      <c r="VJ175" s="265"/>
      <c r="VK175" s="265"/>
      <c r="VL175" s="265"/>
      <c r="VM175" s="265"/>
      <c r="VN175" s="265"/>
      <c r="VO175" s="265"/>
      <c r="VP175" s="265"/>
      <c r="VQ175" s="265"/>
      <c r="VR175" s="265"/>
      <c r="VS175" s="265"/>
      <c r="VT175" s="265"/>
      <c r="VU175" s="265"/>
      <c r="VV175" s="265"/>
      <c r="VW175" s="265"/>
      <c r="VX175" s="265"/>
      <c r="VY175" s="265"/>
      <c r="VZ175" s="265"/>
      <c r="WA175" s="265"/>
      <c r="WB175" s="265"/>
      <c r="WC175" s="265"/>
      <c r="WD175" s="265"/>
      <c r="WE175" s="265"/>
      <c r="WF175" s="265"/>
      <c r="WG175" s="265"/>
    </row>
    <row r="176" spans="2:605" s="435" customFormat="1" ht="20.100000000000001" customHeight="1" x14ac:dyDescent="0.2">
      <c r="B176" s="265"/>
      <c r="C176" s="265"/>
      <c r="D176" s="265"/>
      <c r="E176" s="265"/>
      <c r="R176" s="6011"/>
      <c r="S176" s="6011"/>
      <c r="T176" s="6011"/>
      <c r="DR176" s="1610">
        <v>9</v>
      </c>
      <c r="DS176" s="1611">
        <f>IF(OR($OL$184=0,AND('Inn foran'!$CJ$42&lt;1,('Inn foran'!$CJ$44+'Inn foran'!$CJ$46&gt;0))),0,1)</f>
        <v>0</v>
      </c>
      <c r="DT176" s="1611">
        <f>IF(OR($OM$184=0,AND('Inn foran'!$CJ$42&gt;0,'Inn foran'!$CJ$44=0)),0,1)</f>
        <v>0</v>
      </c>
      <c r="DU176" s="1611">
        <f>IF(OR($ON$184=0,AND('Inn foran'!$CJ$42&gt;0,'Inn foran'!$CJ$46=0)),0,1)</f>
        <v>0</v>
      </c>
      <c r="DV176" s="1612"/>
      <c r="DW176" s="1612"/>
      <c r="DX176" s="1613">
        <f>IF(OR($OP$184=0,AND('Inn foran'!$CJ$53&lt;1,('Inn foran'!$CJ$55+'Inn foran'!$CJ$57&gt;0))),0,1)</f>
        <v>0</v>
      </c>
      <c r="DY176" s="1613">
        <f>IF(OR($OQ$184=0,AND('Inn foran'!$CJ$53&gt;0,'Inn foran'!$CJ$55=0)),0,1)</f>
        <v>0</v>
      </c>
      <c r="DZ176" s="1613">
        <f>IF(OR($OR$184=0,AND('Inn foran'!$CJ$53&gt;0,'Inn foran'!$CJ$57=0)),0,1)</f>
        <v>0</v>
      </c>
      <c r="EA176" s="1614"/>
      <c r="EQ176" s="183"/>
      <c r="ER176" s="183"/>
      <c r="ES176" s="183"/>
      <c r="ET176" s="183"/>
      <c r="EU176" s="183"/>
      <c r="EV176" s="183"/>
      <c r="EW176" s="183"/>
      <c r="EX176" s="183"/>
      <c r="EY176" s="183"/>
      <c r="EZ176" s="183"/>
      <c r="FA176" s="183"/>
      <c r="FB176" s="183"/>
      <c r="FC176" s="183"/>
      <c r="FD176" s="183"/>
      <c r="FE176" s="183"/>
      <c r="FF176" s="183"/>
      <c r="FG176" s="183"/>
      <c r="FH176" s="181"/>
      <c r="FI176" s="183"/>
      <c r="FJ176" s="183"/>
      <c r="FK176" s="183"/>
      <c r="FL176" s="183"/>
      <c r="FM176" s="183"/>
      <c r="FN176" s="181"/>
      <c r="FO176" s="181"/>
      <c r="FP176" s="181"/>
      <c r="FQ176" s="181"/>
      <c r="FR176" s="183"/>
      <c r="FS176" s="183"/>
      <c r="FT176" s="183"/>
      <c r="FU176" s="183"/>
      <c r="FV176" s="183"/>
      <c r="IH176" s="1172">
        <v>8</v>
      </c>
      <c r="II176" s="1172" t="str">
        <f>$II$112</f>
        <v>Header: stuff navn</v>
      </c>
      <c r="IJ176" s="185"/>
      <c r="IK176" s="194" t="str">
        <f>IK$109</f>
        <v>Stuff 1-1</v>
      </c>
      <c r="IL176" s="194" t="str">
        <f t="shared" ref="IL176:IS176" si="259">IL$109</f>
        <v/>
      </c>
      <c r="IM176" s="194" t="str">
        <f t="shared" si="259"/>
        <v/>
      </c>
      <c r="IN176" s="194" t="str">
        <f t="shared" si="259"/>
        <v/>
      </c>
      <c r="IO176" s="194" t="str">
        <f t="shared" si="259"/>
        <v/>
      </c>
      <c r="IP176" s="194" t="str">
        <f t="shared" si="259"/>
        <v/>
      </c>
      <c r="IQ176" s="194" t="str">
        <f t="shared" si="259"/>
        <v/>
      </c>
      <c r="IR176" s="194" t="str">
        <f t="shared" si="259"/>
        <v/>
      </c>
      <c r="IS176" s="194" t="str">
        <f t="shared" si="259"/>
        <v/>
      </c>
      <c r="IT176" s="183"/>
      <c r="IU176" s="183"/>
      <c r="IV176" s="183"/>
      <c r="IW176" s="183"/>
      <c r="IX176" s="183"/>
      <c r="IY176" s="183"/>
      <c r="IZ176" s="183"/>
      <c r="JA176" s="183"/>
      <c r="JB176" s="183"/>
      <c r="JC176" s="183"/>
      <c r="JD176" s="183"/>
      <c r="JE176" s="183"/>
      <c r="JF176" s="183"/>
      <c r="JG176" s="183"/>
      <c r="JH176" s="183"/>
      <c r="JI176" s="183"/>
      <c r="JJ176" s="183"/>
      <c r="JK176" s="183"/>
      <c r="JL176" s="183"/>
      <c r="JM176" s="183"/>
      <c r="JN176" s="183"/>
      <c r="JO176" s="183"/>
      <c r="JP176" s="183"/>
      <c r="JQ176" s="183"/>
      <c r="JR176" s="183"/>
      <c r="JS176" s="183"/>
      <c r="JT176" s="183"/>
      <c r="JU176" s="183"/>
      <c r="JV176" s="183"/>
      <c r="JW176" s="183"/>
      <c r="JX176" s="183"/>
      <c r="JY176" s="183"/>
      <c r="JZ176" s="183"/>
      <c r="KA176" s="183"/>
      <c r="KB176" s="183"/>
      <c r="KC176" s="183"/>
      <c r="KD176" s="183"/>
      <c r="KE176" s="183"/>
      <c r="KF176" s="183"/>
      <c r="KG176" s="183"/>
      <c r="KH176" s="183"/>
      <c r="KI176" s="183"/>
      <c r="KJ176" s="183"/>
      <c r="KK176" s="183"/>
      <c r="KL176" s="183"/>
      <c r="KM176" s="183"/>
      <c r="KN176" s="183"/>
      <c r="KO176" s="183"/>
      <c r="KP176" s="183"/>
      <c r="KQ176" s="183"/>
      <c r="KR176" s="183"/>
      <c r="KS176" s="183"/>
      <c r="KT176" s="183"/>
      <c r="KU176" s="183"/>
      <c r="KV176" s="183"/>
      <c r="KW176" s="183"/>
      <c r="KX176" s="183"/>
      <c r="KY176" s="183"/>
      <c r="KZ176" s="183"/>
      <c r="LA176" s="183"/>
      <c r="LB176" s="183"/>
      <c r="LC176" s="183"/>
      <c r="LD176" s="183"/>
      <c r="LE176" s="183"/>
      <c r="LF176" s="183"/>
      <c r="LG176" s="183"/>
      <c r="LH176" s="183"/>
      <c r="LI176" s="183"/>
      <c r="LJ176" s="183"/>
      <c r="LK176" s="183"/>
      <c r="LL176" s="183"/>
      <c r="LM176" s="183"/>
      <c r="LN176" s="183"/>
      <c r="LO176" s="183"/>
      <c r="LP176" s="183"/>
      <c r="LQ176" s="183"/>
      <c r="LR176" s="183"/>
      <c r="LS176" s="183"/>
      <c r="LT176" s="183"/>
      <c r="LU176" s="183"/>
      <c r="LV176" s="183"/>
      <c r="LW176" s="183"/>
      <c r="LX176" s="183"/>
      <c r="LY176" s="183"/>
      <c r="LZ176" s="183"/>
      <c r="MA176" s="183"/>
      <c r="MB176" s="183"/>
      <c r="MC176" s="183"/>
      <c r="MD176" s="183"/>
      <c r="ME176" s="183"/>
      <c r="MF176" s="183"/>
      <c r="MG176" s="183"/>
      <c r="MH176" s="183"/>
      <c r="MI176" s="183"/>
      <c r="MJ176" s="183"/>
      <c r="MK176" s="183"/>
      <c r="ML176" s="183"/>
      <c r="MM176" s="183"/>
      <c r="MN176" s="183"/>
      <c r="MO176" s="183"/>
      <c r="MP176" s="183"/>
      <c r="MQ176" s="183"/>
      <c r="MR176" s="183"/>
      <c r="MS176" s="183"/>
      <c r="MT176" s="183"/>
      <c r="MU176" s="183"/>
      <c r="MV176" s="183"/>
      <c r="MW176" s="183"/>
      <c r="MX176" s="183"/>
      <c r="NE176" s="183"/>
      <c r="NF176" s="183"/>
      <c r="NG176" s="183"/>
      <c r="NH176" s="183"/>
      <c r="NI176" s="183"/>
      <c r="NJ176" s="183"/>
      <c r="NK176" s="183"/>
      <c r="NL176" s="183"/>
      <c r="NM176" s="407">
        <v>1</v>
      </c>
      <c r="NN176" s="185"/>
      <c r="NO176" s="185">
        <f>IF($GN$13=TRUE,1,GL50)</f>
        <v>1</v>
      </c>
      <c r="NP176" s="185">
        <f>IF($GN$13=TRUE,1,GM50)</f>
        <v>1</v>
      </c>
      <c r="NQ176" s="185">
        <f>IF('Inn forbered'!$AA$27="",0,1)</f>
        <v>0</v>
      </c>
      <c r="NR176" s="187">
        <f>IF($GN$13=TRUE,1,IF($GN$12=2,0,COUNTIF(inputs_checks[[#This Row],[Forberedende arbeider]:[Forskjæring]],1)))</f>
        <v>1</v>
      </c>
      <c r="NS176" s="185"/>
      <c r="NT176" s="185">
        <f>IF('Inn sprengning'!$X$32&lt;=0,0,1)</f>
        <v>0</v>
      </c>
      <c r="NU176" s="185">
        <f>IF('Inn sprengning'!$X$39="",0,1)</f>
        <v>0</v>
      </c>
      <c r="NV176" s="185">
        <f>IF('Inn sprengning'!$X$41="",0,1)</f>
        <v>0</v>
      </c>
      <c r="NW176" s="185">
        <f>IF('Inn sprengning'!$X$43="",0,1)</f>
        <v>0</v>
      </c>
      <c r="NX176" s="185">
        <f>IF('Inn sprengning'!$X$54="",0,1)</f>
        <v>0</v>
      </c>
      <c r="NY176" s="185">
        <f>IF('Inn sprengning'!$X$52="",0,1)</f>
        <v>0</v>
      </c>
      <c r="NZ176" s="185">
        <f>IF('Inn sprengning'!$X$56="",0,1)</f>
        <v>0</v>
      </c>
      <c r="OA176" s="185">
        <f>IF('Inn sprengning'!$X$58="",0,1)</f>
        <v>0</v>
      </c>
      <c r="OB176" s="185">
        <f>IF('Inn sprengning'!$X$60="",0,1)</f>
        <v>0</v>
      </c>
      <c r="OC176" s="185">
        <f>IF('Inn sprengning'!$X$62="",0,1)</f>
        <v>0</v>
      </c>
      <c r="OD176" s="185">
        <f>IF('Inn sprengning'!$X$64="",0,1)</f>
        <v>0</v>
      </c>
      <c r="OE176" s="185">
        <f>IF('Inn sprengning'!$X$66="",0,1)</f>
        <v>0</v>
      </c>
      <c r="OF176" s="185">
        <f>IF('Inn sprengning'!$X$68="",0,1)</f>
        <v>0</v>
      </c>
      <c r="OG176" s="185">
        <f>COUNTIF(inputs_checks[[#This Row],[Normal salve volum]:[Redusert salvelengde
og todelt tverrsnitt]],0)</f>
        <v>4</v>
      </c>
      <c r="OH176" s="185">
        <f>COUNTIF(inputs_checks[[#This Row],[grøfter]:[Pumpesump]],0)</f>
        <v>8</v>
      </c>
      <c r="OI176" s="247">
        <f>IF('Inn foran'!$X$26="",0,1)</f>
        <v>0</v>
      </c>
      <c r="OJ176" s="247">
        <f>IF('Inn foran'!$X$28="",0,1)</f>
        <v>0</v>
      </c>
      <c r="OK176" s="247">
        <f>IF('Inn foran'!$X$32="",0,1)</f>
        <v>0</v>
      </c>
      <c r="OL176" s="247">
        <f>IF('Inn foran'!$X$42="",0,1)</f>
        <v>0</v>
      </c>
      <c r="OM176" s="247">
        <f>IF('Inn foran'!$X$44="",0,1)</f>
        <v>0</v>
      </c>
      <c r="ON176" s="247">
        <f>IF('Inn foran'!$X$46="",0,1)</f>
        <v>0</v>
      </c>
      <c r="OO176" s="247"/>
      <c r="OP176" s="247">
        <f>IF('Inn foran'!$X$53="",0,1)</f>
        <v>0</v>
      </c>
      <c r="OQ176" s="247">
        <f>IF('Inn foran'!$X$55="",0,1)</f>
        <v>0</v>
      </c>
      <c r="OR176" s="247">
        <f>IF('Inn foran'!$X$57="",0,1)</f>
        <v>0</v>
      </c>
      <c r="OS176" s="247"/>
      <c r="OT176" s="247">
        <f>COUNTIF(OI176:OK176,0)</f>
        <v>3</v>
      </c>
      <c r="OU176" s="247">
        <f t="shared" ref="OU176:OU184" si="260">COUNTIF(OL176:OS176,0)</f>
        <v>6</v>
      </c>
      <c r="OV176" s="248">
        <f>IF('Inn stabilitet'!$X$34="",0,1)</f>
        <v>0</v>
      </c>
      <c r="OW176" s="248">
        <f>IF('Inn stabilitet'!$X$36="",0,1)</f>
        <v>0</v>
      </c>
      <c r="OX176" s="248">
        <f>IF('Inn stabilitet'!$X$43="",0,1)</f>
        <v>0</v>
      </c>
      <c r="OY176" s="248">
        <f>IF('Inn stabilitet'!$X$45="",0,1)</f>
        <v>0</v>
      </c>
      <c r="OZ176" s="248">
        <f>IF('Inn stabilitet'!$X$52="",0,1)</f>
        <v>0</v>
      </c>
      <c r="PA176" s="248">
        <f>IF('Inn stabilitet'!$X$54="",0,1)</f>
        <v>0</v>
      </c>
      <c r="PB176" s="248">
        <f>IF('Inn stabilitet'!$X$56="",0,1)</f>
        <v>0</v>
      </c>
      <c r="PC176" s="248">
        <f>IF('Inn stabilitet'!$X$65="",0,1)</f>
        <v>0</v>
      </c>
      <c r="PD176" s="248">
        <f>IF('Inn stabilitet'!$X$72="",0,1)</f>
        <v>0</v>
      </c>
      <c r="PE176" s="248">
        <f>IF('Inn stabilitet'!$X$79="",0,1)</f>
        <v>0</v>
      </c>
      <c r="PF176" s="248">
        <f>inputs_checks[[#This Row],[sik123]]</f>
        <v>0</v>
      </c>
      <c r="PG176" s="248">
        <f>COUNTIF(inputs_checks[[#This Row],[kartlegging]],0)+COUNTIF(inputs_checks[[#This Row],[manuell]],0)</f>
        <v>2</v>
      </c>
      <c r="PH176" s="248">
        <f t="shared" ref="PH176:PH184" si="261">COUNTIF(OX176:OY176,0)</f>
        <v>2</v>
      </c>
      <c r="PI176" s="248">
        <f t="shared" ref="PI176:PI184" si="262">COUNTIF(OZ176:PB176,0)</f>
        <v>3</v>
      </c>
      <c r="PJ176" s="248">
        <f t="shared" ref="PJ176:PJ184" si="263">COUNTIF(PC176,0)</f>
        <v>1</v>
      </c>
      <c r="PK176" s="248">
        <f t="shared" ref="PK176:PK184" si="264">COUNTIF(PD176,0)</f>
        <v>1</v>
      </c>
      <c r="PL176" s="248">
        <f t="shared" ref="PL176:PL184" si="265">COUNTIF(PE176:PF176,0)</f>
        <v>2</v>
      </c>
      <c r="PM176" s="447"/>
      <c r="PN176" s="447"/>
      <c r="PO176" s="265"/>
      <c r="PP176" s="265"/>
      <c r="PQ176" s="265"/>
      <c r="PR176" s="183"/>
      <c r="PS176" s="183"/>
      <c r="PT176" s="183"/>
      <c r="PU176" s="183"/>
      <c r="PV176" s="183"/>
      <c r="PW176" s="183"/>
      <c r="QI176" s="2617"/>
      <c r="QJ176" s="2617"/>
      <c r="QK176" s="2617"/>
      <c r="QL176" s="2617"/>
      <c r="QM176" s="183"/>
      <c r="QN176" s="185"/>
      <c r="QO176" s="185" t="s">
        <v>606</v>
      </c>
      <c r="QP176" s="185"/>
      <c r="QQ176" s="185" t="str">
        <f>$HI$15</f>
        <v/>
      </c>
      <c r="QR176" s="185" t="str">
        <f>$HI$16</f>
        <v/>
      </c>
      <c r="QS176" s="185" t="s">
        <v>390</v>
      </c>
      <c r="QT176" s="185" t="s">
        <v>390</v>
      </c>
      <c r="QU176" s="185">
        <v>2</v>
      </c>
      <c r="QV176" s="183"/>
      <c r="QW176" s="183"/>
      <c r="QX176" s="183"/>
      <c r="QY176" s="183"/>
      <c r="QZ176" s="183"/>
      <c r="RA176" s="2617"/>
      <c r="RB176" s="2617"/>
      <c r="RC176" s="2617"/>
      <c r="RD176" s="2617"/>
      <c r="RE176" s="2617"/>
      <c r="RF176" s="2617"/>
      <c r="RG176" s="2617"/>
      <c r="RH176" s="2617"/>
      <c r="RI176" s="2617"/>
      <c r="RP176" s="1606"/>
      <c r="RR176" s="1606"/>
      <c r="UL176" s="265"/>
      <c r="UM176" s="184"/>
      <c r="UN176" s="1754"/>
      <c r="UO176" s="265"/>
      <c r="UP176" s="265"/>
      <c r="UQ176" s="265"/>
      <c r="UR176" s="265"/>
      <c r="US176" s="265"/>
      <c r="UT176" s="265"/>
      <c r="UU176" s="265"/>
      <c r="UV176" s="265"/>
      <c r="UW176" s="265"/>
      <c r="UX176" s="265"/>
      <c r="UY176" s="402"/>
      <c r="UZ176" s="402"/>
      <c r="VB176" s="265"/>
      <c r="VC176" s="265"/>
      <c r="VD176" s="265"/>
      <c r="VE176" s="265"/>
      <c r="VF176" s="265"/>
      <c r="VG176" s="265"/>
      <c r="VH176" s="265"/>
      <c r="VI176" s="265"/>
      <c r="VJ176" s="265"/>
      <c r="VK176" s="265"/>
      <c r="VL176" s="265"/>
      <c r="VM176" s="265"/>
      <c r="VN176" s="265"/>
      <c r="VO176" s="265"/>
      <c r="VP176" s="265"/>
      <c r="VQ176" s="265"/>
      <c r="VR176" s="265"/>
      <c r="VS176" s="265"/>
      <c r="VT176" s="265"/>
      <c r="VU176" s="265"/>
      <c r="VV176" s="265"/>
      <c r="VW176" s="265"/>
      <c r="VX176" s="265"/>
      <c r="VY176" s="265"/>
      <c r="VZ176" s="265"/>
      <c r="WA176" s="265"/>
      <c r="WB176" s="265"/>
      <c r="WC176" s="265"/>
      <c r="WD176" s="265"/>
      <c r="WE176" s="265"/>
      <c r="WF176" s="265"/>
      <c r="WG176" s="265"/>
    </row>
    <row r="177" spans="54:605" ht="20.100000000000001" customHeight="1" x14ac:dyDescent="0.2">
      <c r="BB177" s="283" t="s">
        <v>358</v>
      </c>
      <c r="DR177" s="183" t="s">
        <v>692</v>
      </c>
      <c r="DS177" s="183">
        <f>COUNTIF(tickcheck_foran[sp_Rigg],0)</f>
        <v>9</v>
      </c>
      <c r="DT177" s="183">
        <f>COUNTIF(tickcheck_foran[sp_Boring],0)</f>
        <v>9</v>
      </c>
      <c r="DU177" s="183">
        <f>COUNTIF(tickcheck_foran[Sp_Injeksjon],0)</f>
        <v>9</v>
      </c>
      <c r="DV177" s="183">
        <f>COUNTIF(tickcheck_foran[sp_Kontrollhull],0)</f>
        <v>0</v>
      </c>
      <c r="DW177" s="183">
        <f>COUNTIF(tickcheck_foran[Column1],0)</f>
        <v>0</v>
      </c>
      <c r="DX177" s="183">
        <f>COUNTIF(tickcheck_foran[sy_Rigg],0)</f>
        <v>9</v>
      </c>
      <c r="DY177" s="183">
        <f>COUNTIF(tickcheck_foran[sy_Boring],0)</f>
        <v>9</v>
      </c>
      <c r="DZ177" s="183">
        <f>COUNTIF(tickcheck_foran[sy_Injeksjon],0)</f>
        <v>9</v>
      </c>
      <c r="EA177" s="183">
        <f>COUNTIF(tickcheck_foran[sy_Kontrollhull],0)</f>
        <v>0</v>
      </c>
      <c r="FH177" s="181"/>
      <c r="FN177" s="181"/>
      <c r="FO177" s="181"/>
      <c r="FP177" s="181"/>
      <c r="FQ177" s="181"/>
      <c r="IH177" s="1172"/>
      <c r="II177" s="1172" t="str">
        <f>$II$113</f>
        <v>Side nummer</v>
      </c>
      <c r="IJ177" s="185"/>
      <c r="IK177" s="194" t="str">
        <f>"Side "&amp;$IH176&amp;" av "&amp;_Calcs!$II$100</f>
        <v>Side 8 av 9</v>
      </c>
      <c r="IL177" s="194" t="str">
        <f t="shared" ref="IL177:IS177" si="266">$IK177</f>
        <v>Side 8 av 9</v>
      </c>
      <c r="IM177" s="194" t="str">
        <f t="shared" si="266"/>
        <v>Side 8 av 9</v>
      </c>
      <c r="IN177" s="194" t="str">
        <f t="shared" si="266"/>
        <v>Side 8 av 9</v>
      </c>
      <c r="IO177" s="194" t="str">
        <f t="shared" si="266"/>
        <v>Side 8 av 9</v>
      </c>
      <c r="IP177" s="194" t="str">
        <f t="shared" si="266"/>
        <v>Side 8 av 9</v>
      </c>
      <c r="IQ177" s="194" t="str">
        <f t="shared" si="266"/>
        <v>Side 8 av 9</v>
      </c>
      <c r="IR177" s="194" t="str">
        <f t="shared" si="266"/>
        <v>Side 8 av 9</v>
      </c>
      <c r="IS177" s="194" t="str">
        <f t="shared" si="266"/>
        <v>Side 8 av 9</v>
      </c>
      <c r="NM177" s="407">
        <v>2</v>
      </c>
      <c r="NN177" s="185"/>
      <c r="NO177" s="185">
        <f t="shared" ref="NO177:NO184" si="267">IF($GN$13=TRUE,1,GL51)</f>
        <v>1</v>
      </c>
      <c r="NP177" s="185">
        <f t="shared" ref="NP177:NP184" si="268">IF($GN$13=TRUE,1,GM51)</f>
        <v>1</v>
      </c>
      <c r="NQ177" s="185">
        <f>IF('Inn forbered'!$AI$27="",0,1)</f>
        <v>0</v>
      </c>
      <c r="NR177" s="187">
        <f>IF($GN$13=TRUE,1,IF($GN$12=2,0,COUNTIF(inputs_checks[[#This Row],[Forberedende arbeider]:[Forskjæring]],1)))</f>
        <v>1</v>
      </c>
      <c r="NS177" s="185"/>
      <c r="NT177" s="185">
        <f>IF('Inn sprengning'!$AF$32&lt;=0,0,1)</f>
        <v>0</v>
      </c>
      <c r="NU177" s="185">
        <f>IF('Inn sprengning'!$AF$39="",0,1)</f>
        <v>0</v>
      </c>
      <c r="NV177" s="185">
        <f>IF('Inn sprengning'!$AF$41="",0,1)</f>
        <v>0</v>
      </c>
      <c r="NW177" s="185">
        <f>IF('Inn sprengning'!$AF$43="",0,1)</f>
        <v>0</v>
      </c>
      <c r="NX177" s="185">
        <f>IF('Inn sprengning'!$AF$54="",0,1)</f>
        <v>0</v>
      </c>
      <c r="NY177" s="185">
        <f>IF('Inn sprengning'!$AF$52="",0,1)</f>
        <v>0</v>
      </c>
      <c r="NZ177" s="185">
        <f>IF('Inn sprengning'!$AF$56="",0,1)</f>
        <v>0</v>
      </c>
      <c r="OA177" s="185">
        <f>IF('Inn sprengning'!$AF$58="",0,1)</f>
        <v>0</v>
      </c>
      <c r="OB177" s="185">
        <f>IF('Inn sprengning'!$AF$60="",0,1)</f>
        <v>0</v>
      </c>
      <c r="OC177" s="185">
        <f>IF('Inn sprengning'!$AF$62="",0,1)</f>
        <v>0</v>
      </c>
      <c r="OD177" s="185">
        <f>IF('Inn sprengning'!$AF$64="",0,1)</f>
        <v>0</v>
      </c>
      <c r="OE177" s="185">
        <f>IF('Inn sprengning'!$AF$66="",0,1)</f>
        <v>0</v>
      </c>
      <c r="OF177" s="185">
        <f>IF('Inn sprengning'!$AF$68="",0,1)</f>
        <v>0</v>
      </c>
      <c r="OG177" s="185">
        <f>COUNTIF(inputs_checks[[#This Row],[Normal salve volum]:[Redusert salvelengde
og todelt tverrsnitt]],0)</f>
        <v>4</v>
      </c>
      <c r="OH177" s="185">
        <f>COUNTIF(inputs_checks[[#This Row],[grøfter]:[Pumpesump]],0)</f>
        <v>8</v>
      </c>
      <c r="OI177" s="185">
        <f>IF('Inn foran'!$AF$26="",0,1)</f>
        <v>0</v>
      </c>
      <c r="OJ177" s="185">
        <f>IF('Inn foran'!$AF$28="",0,1)</f>
        <v>0</v>
      </c>
      <c r="OK177" s="185">
        <f>IF('Inn foran'!$AF$32="",0,1)</f>
        <v>0</v>
      </c>
      <c r="OL177" s="185">
        <f>IF('Inn foran'!$AF$42="",0,1)</f>
        <v>0</v>
      </c>
      <c r="OM177" s="185">
        <f>IF('Inn foran'!$AF$44="",0,1)</f>
        <v>0</v>
      </c>
      <c r="ON177" s="185">
        <f>IF('Inn foran'!$AF$46="",0,1)</f>
        <v>0</v>
      </c>
      <c r="OO177" s="185"/>
      <c r="OP177" s="185">
        <f>IF('Inn foran'!$AF$53="",0,1)</f>
        <v>0</v>
      </c>
      <c r="OQ177" s="185">
        <f>IF('Inn foran'!$AF$55="",0,1)</f>
        <v>0</v>
      </c>
      <c r="OR177" s="185">
        <f>IF('Inn foran'!$AF$57="",0,1)</f>
        <v>0</v>
      </c>
      <c r="OS177" s="185"/>
      <c r="OT177" s="185">
        <f t="shared" ref="OT177:OT184" si="269">COUNTIF(OI177:OK177,0)</f>
        <v>3</v>
      </c>
      <c r="OU177" s="185">
        <f t="shared" si="260"/>
        <v>6</v>
      </c>
      <c r="OV177" s="199">
        <f>IF('Inn stabilitet'!$AF$34="",0,1)</f>
        <v>0</v>
      </c>
      <c r="OW177" s="199">
        <f>IF('Inn stabilitet'!$AF$36="",0,1)</f>
        <v>0</v>
      </c>
      <c r="OX177" s="199">
        <f>IF('Inn stabilitet'!$AF$43="",0,1)</f>
        <v>0</v>
      </c>
      <c r="OY177" s="199">
        <f>IF('Inn stabilitet'!$AF$45="",0,1)</f>
        <v>0</v>
      </c>
      <c r="OZ177" s="199">
        <f>IF('Inn stabilitet'!$AF$52="",0,1)</f>
        <v>0</v>
      </c>
      <c r="PA177" s="199">
        <f>IF('Inn stabilitet'!$AF$54="",0,1)</f>
        <v>0</v>
      </c>
      <c r="PB177" s="199">
        <f>IF('Inn stabilitet'!$AF$56="",0,1)</f>
        <v>0</v>
      </c>
      <c r="PC177" s="199">
        <f>IF('Inn stabilitet'!$AF$65="",0,1)</f>
        <v>0</v>
      </c>
      <c r="PD177" s="199">
        <f>IF('Inn stabilitet'!$AF$72="",0,1)</f>
        <v>0</v>
      </c>
      <c r="PE177" s="248">
        <f>IF('Inn stabilitet'!$AF$79="",0,1)</f>
        <v>0</v>
      </c>
      <c r="PF177" s="248">
        <f>inputs_checks[[#This Row],[sik123]]</f>
        <v>0</v>
      </c>
      <c r="PG177" s="248">
        <f>COUNTIF(inputs_checks[[#This Row],[kartlegging]],0)+COUNTIF(inputs_checks[[#This Row],[manuell]],0)</f>
        <v>2</v>
      </c>
      <c r="PH177" s="199">
        <f t="shared" si="261"/>
        <v>2</v>
      </c>
      <c r="PI177" s="248">
        <f t="shared" si="262"/>
        <v>3</v>
      </c>
      <c r="PJ177" s="199">
        <f t="shared" si="263"/>
        <v>1</v>
      </c>
      <c r="PK177" s="199">
        <f t="shared" si="264"/>
        <v>1</v>
      </c>
      <c r="PL177" s="199">
        <f t="shared" si="265"/>
        <v>2</v>
      </c>
      <c r="PM177" s="206"/>
      <c r="PN177" s="206"/>
      <c r="PQ177" s="265"/>
      <c r="PX177" s="435"/>
      <c r="QI177" s="2617"/>
      <c r="QJ177" s="2617"/>
      <c r="QK177" s="2617"/>
      <c r="QL177" s="2617"/>
      <c r="QN177" s="185">
        <v>14</v>
      </c>
      <c r="QO177" s="185" t="s">
        <v>510</v>
      </c>
      <c r="QP177" s="185"/>
      <c r="QQ177" s="3695" t="str">
        <f>$HI$15</f>
        <v/>
      </c>
      <c r="QR177" s="340" t="str">
        <f>$HI$16</f>
        <v/>
      </c>
      <c r="QS177" s="185" t="s">
        <v>390</v>
      </c>
      <c r="QT177" s="185" t="s">
        <v>390</v>
      </c>
      <c r="QU177" s="185">
        <v>2</v>
      </c>
      <c r="RA177" s="2617"/>
      <c r="RB177" s="2617"/>
      <c r="RC177" s="2617"/>
      <c r="RD177" s="2617"/>
      <c r="RE177" s="2617"/>
      <c r="RF177" s="2617"/>
      <c r="RG177" s="2617"/>
      <c r="RH177" s="2617"/>
      <c r="RI177" s="2617"/>
      <c r="RO177" s="183"/>
      <c r="RQ177" s="183"/>
      <c r="RS177" s="210"/>
      <c r="RU177" s="210"/>
      <c r="SR177" s="183"/>
      <c r="SS177" s="183"/>
      <c r="SV177" s="184"/>
      <c r="SW177" s="184"/>
      <c r="UK177" s="183"/>
      <c r="UL177" s="265"/>
      <c r="UM177" s="184"/>
      <c r="UN177" s="1754"/>
      <c r="UX177" s="265"/>
      <c r="VC177" s="402"/>
      <c r="WG177" s="265"/>
    </row>
    <row r="178" spans="54:605" ht="20.100000000000001" customHeight="1" x14ac:dyDescent="0.2">
      <c r="ER178" s="329" t="s">
        <v>1144</v>
      </c>
      <c r="ES178" s="328"/>
      <c r="ET178" s="328"/>
      <c r="EU178" s="328"/>
      <c r="IH178" s="1172"/>
      <c r="II178" s="1172"/>
      <c r="IJ178" s="185"/>
      <c r="IK178" s="372"/>
      <c r="IL178" s="372"/>
      <c r="IM178" s="372"/>
      <c r="IN178" s="372"/>
      <c r="IO178" s="372"/>
      <c r="IP178" s="372"/>
      <c r="IQ178" s="372"/>
      <c r="IR178" s="372"/>
      <c r="IS178" s="372"/>
      <c r="NM178" s="407">
        <v>3</v>
      </c>
      <c r="NN178" s="185"/>
      <c r="NO178" s="185">
        <f t="shared" si="267"/>
        <v>1</v>
      </c>
      <c r="NP178" s="185">
        <f t="shared" si="268"/>
        <v>1</v>
      </c>
      <c r="NQ178" s="185">
        <f>IF('Inn forbered'!$AQ$27="",0,1)</f>
        <v>0</v>
      </c>
      <c r="NR178" s="187">
        <f>IF($GN$13=TRUE,1,IF($GN$12=2,0,COUNTIF(inputs_checks[[#This Row],[Forberedende arbeider]:[Forskjæring]],1)))</f>
        <v>1</v>
      </c>
      <c r="NS178" s="185"/>
      <c r="NT178" s="185">
        <f>IF('Inn sprengning'!$AN$32&lt;=0,0,1)</f>
        <v>0</v>
      </c>
      <c r="NU178" s="185">
        <f>IF('Inn sprengning'!$AN$39="",0,1)</f>
        <v>0</v>
      </c>
      <c r="NV178" s="185">
        <f>IF('Inn sprengning'!$AN$41="",0,1)</f>
        <v>0</v>
      </c>
      <c r="NW178" s="185">
        <f>IF('Inn sprengning'!$AN$43="",0,1)</f>
        <v>0</v>
      </c>
      <c r="NX178" s="185">
        <f>IF('Inn sprengning'!$AN$54="",0,1)</f>
        <v>0</v>
      </c>
      <c r="NY178" s="185">
        <f>IF('Inn sprengning'!$AN$52="",0,1)</f>
        <v>0</v>
      </c>
      <c r="NZ178" s="185">
        <f>IF('Inn sprengning'!$AN$56="",0,1)</f>
        <v>0</v>
      </c>
      <c r="OA178" s="185">
        <f>IF('Inn sprengning'!$AN$58="",0,1)</f>
        <v>0</v>
      </c>
      <c r="OB178" s="185">
        <f>IF('Inn sprengning'!$AN$60="",0,1)</f>
        <v>0</v>
      </c>
      <c r="OC178" s="185">
        <f>IF('Inn sprengning'!$AN$62="",0,1)</f>
        <v>0</v>
      </c>
      <c r="OD178" s="185">
        <f>IF('Inn sprengning'!$AN$64="",0,1)</f>
        <v>0</v>
      </c>
      <c r="OE178" s="185">
        <f>IF('Inn sprengning'!$AN$66="",0,1)</f>
        <v>0</v>
      </c>
      <c r="OF178" s="185">
        <f>IF('Inn sprengning'!$AN$68="",0,1)</f>
        <v>0</v>
      </c>
      <c r="OG178" s="185">
        <f>COUNTIF(inputs_checks[[#This Row],[Normal salve volum]:[Redusert salvelengde
og todelt tverrsnitt]],0)</f>
        <v>4</v>
      </c>
      <c r="OH178" s="185">
        <f>COUNTIF(inputs_checks[[#This Row],[grøfter]:[Pumpesump]],0)</f>
        <v>8</v>
      </c>
      <c r="OI178" s="185">
        <f>IF('Inn foran'!$AN$26="",0,1)</f>
        <v>0</v>
      </c>
      <c r="OJ178" s="185">
        <f>IF('Inn foran'!$AN$28="",0,1)</f>
        <v>0</v>
      </c>
      <c r="OK178" s="185">
        <f>IF('Inn foran'!$AN$32="",0,1)</f>
        <v>0</v>
      </c>
      <c r="OL178" s="185">
        <f>IF('Inn foran'!$AN$42="",0,1)</f>
        <v>0</v>
      </c>
      <c r="OM178" s="185">
        <f>IF('Inn foran'!$AN$44="",0,1)</f>
        <v>0</v>
      </c>
      <c r="ON178" s="185">
        <f>IF('Inn foran'!$AN$46="",0,1)</f>
        <v>0</v>
      </c>
      <c r="OO178" s="185"/>
      <c r="OP178" s="185">
        <f>IF('Inn foran'!$AN$53="",0,1)</f>
        <v>0</v>
      </c>
      <c r="OQ178" s="185">
        <f>IF('Inn foran'!$AN$55="",0,1)</f>
        <v>0</v>
      </c>
      <c r="OR178" s="185">
        <f>IF('Inn foran'!$AN$57="",0,1)</f>
        <v>0</v>
      </c>
      <c r="OS178" s="185"/>
      <c r="OT178" s="185">
        <f t="shared" si="269"/>
        <v>3</v>
      </c>
      <c r="OU178" s="185">
        <f t="shared" si="260"/>
        <v>6</v>
      </c>
      <c r="OV178" s="199">
        <f>IF('Inn stabilitet'!$AN$34="",0,1)</f>
        <v>0</v>
      </c>
      <c r="OW178" s="199">
        <f>IF('Inn stabilitet'!$AN$36="",0,1)</f>
        <v>0</v>
      </c>
      <c r="OX178" s="199">
        <f>IF('Inn stabilitet'!$AN$43="",0,1)</f>
        <v>0</v>
      </c>
      <c r="OY178" s="199">
        <f>IF('Inn stabilitet'!$AN$45="",0,1)</f>
        <v>0</v>
      </c>
      <c r="OZ178" s="199">
        <f>IF('Inn stabilitet'!$AN$52="",0,1)</f>
        <v>0</v>
      </c>
      <c r="PA178" s="199">
        <f>IF('Inn stabilitet'!$AN$54="",0,1)</f>
        <v>0</v>
      </c>
      <c r="PB178" s="199">
        <f>IF('Inn stabilitet'!$AN$56="",0,1)</f>
        <v>0</v>
      </c>
      <c r="PC178" s="199">
        <f>IF('Inn stabilitet'!$AN$65="",0,1)</f>
        <v>0</v>
      </c>
      <c r="PD178" s="199">
        <f>IF('Inn stabilitet'!$AN$72="",0,1)</f>
        <v>0</v>
      </c>
      <c r="PE178" s="248">
        <f>IF('Inn stabilitet'!$AN$79="",0,1)</f>
        <v>0</v>
      </c>
      <c r="PF178" s="248">
        <f>inputs_checks[[#This Row],[sik123]]</f>
        <v>0</v>
      </c>
      <c r="PG178" s="248">
        <f>COUNTIF(inputs_checks[[#This Row],[kartlegging]],0)+COUNTIF(inputs_checks[[#This Row],[manuell]],0)</f>
        <v>2</v>
      </c>
      <c r="PH178" s="199">
        <f t="shared" si="261"/>
        <v>2</v>
      </c>
      <c r="PI178" s="248">
        <f t="shared" si="262"/>
        <v>3</v>
      </c>
      <c r="PJ178" s="199">
        <f t="shared" si="263"/>
        <v>1</v>
      </c>
      <c r="PK178" s="199">
        <f t="shared" si="264"/>
        <v>1</v>
      </c>
      <c r="PL178" s="199">
        <f t="shared" si="265"/>
        <v>2</v>
      </c>
      <c r="PM178" s="206"/>
      <c r="PN178" s="206"/>
      <c r="PQ178" s="265"/>
      <c r="QI178" s="2617"/>
      <c r="QJ178" s="2617"/>
      <c r="QK178" s="2617"/>
      <c r="QL178" s="2617"/>
      <c r="QN178" s="185">
        <v>22</v>
      </c>
      <c r="QO178" s="185" t="s">
        <v>607</v>
      </c>
      <c r="QP178" s="185"/>
      <c r="QQ178" s="185" t="s">
        <v>390</v>
      </c>
      <c r="QR178" s="185" t="s">
        <v>390</v>
      </c>
      <c r="QS178" s="185" t="s">
        <v>390</v>
      </c>
      <c r="QT178" s="185" t="s">
        <v>390</v>
      </c>
      <c r="QU178" s="185">
        <v>0</v>
      </c>
      <c r="QZ178" s="2617"/>
      <c r="RA178" s="2617"/>
      <c r="RB178" s="2617"/>
      <c r="RC178" s="2617"/>
      <c r="RD178" s="2617"/>
      <c r="RE178" s="2617"/>
      <c r="RF178" s="2617"/>
      <c r="RG178" s="2617"/>
      <c r="RH178" s="2617"/>
      <c r="RI178" s="2617"/>
      <c r="RO178" s="183"/>
      <c r="RQ178" s="183"/>
      <c r="RS178" s="210"/>
      <c r="RU178" s="210"/>
      <c r="SR178" s="183"/>
      <c r="SS178" s="183"/>
      <c r="SV178" s="184"/>
      <c r="SW178" s="184"/>
      <c r="UK178" s="183"/>
      <c r="UL178" s="265"/>
      <c r="UM178" s="184"/>
      <c r="UN178" s="1754"/>
      <c r="UX178" s="265"/>
      <c r="VC178" s="402"/>
      <c r="WG178" s="265"/>
    </row>
    <row r="179" spans="54:605" ht="20.100000000000001" customHeight="1" x14ac:dyDescent="0.2">
      <c r="IH179" s="1172"/>
      <c r="II179" s="1172" t="str">
        <f>$II$116</f>
        <v>Justering</v>
      </c>
      <c r="IJ179" s="185"/>
      <c r="IK179" s="194" t="str">
        <f>_Calcs!$K$87</f>
        <v>Justeringer</v>
      </c>
      <c r="IL179" s="194" t="str">
        <f t="shared" ref="IL179:IS180" si="270">$IK179</f>
        <v>Justeringer</v>
      </c>
      <c r="IM179" s="194" t="str">
        <f t="shared" si="270"/>
        <v>Justeringer</v>
      </c>
      <c r="IN179" s="194" t="str">
        <f t="shared" si="270"/>
        <v>Justeringer</v>
      </c>
      <c r="IO179" s="194" t="str">
        <f t="shared" si="270"/>
        <v>Justeringer</v>
      </c>
      <c r="IP179" s="194" t="str">
        <f t="shared" si="270"/>
        <v>Justeringer</v>
      </c>
      <c r="IQ179" s="194" t="str">
        <f t="shared" si="270"/>
        <v>Justeringer</v>
      </c>
      <c r="IR179" s="194" t="str">
        <f t="shared" si="270"/>
        <v>Justeringer</v>
      </c>
      <c r="IS179" s="194" t="str">
        <f t="shared" si="270"/>
        <v>Justeringer</v>
      </c>
      <c r="NM179" s="407">
        <v>4</v>
      </c>
      <c r="NN179" s="185"/>
      <c r="NO179" s="185">
        <f t="shared" si="267"/>
        <v>1</v>
      </c>
      <c r="NP179" s="185">
        <f t="shared" si="268"/>
        <v>1</v>
      </c>
      <c r="NQ179" s="185">
        <f>IF('Inn forbered'!$AY$27="",0,1)</f>
        <v>0</v>
      </c>
      <c r="NR179" s="187">
        <f>IF($GN$13=TRUE,1,IF($GN$12=2,0,COUNTIF(inputs_checks[[#This Row],[Forberedende arbeider]:[Forskjæring]],1)))</f>
        <v>1</v>
      </c>
      <c r="NS179" s="185"/>
      <c r="NT179" s="185">
        <f>IF('Inn sprengning'!$AV$32&lt;=0,0,1)</f>
        <v>0</v>
      </c>
      <c r="NU179" s="185">
        <f>IF('Inn sprengning'!$AV$39="",0,1)</f>
        <v>0</v>
      </c>
      <c r="NV179" s="185">
        <f>IF('Inn sprengning'!$AV$41="",0,1)</f>
        <v>0</v>
      </c>
      <c r="NW179" s="185">
        <f>IF('Inn sprengning'!$AV$43="",0,1)</f>
        <v>0</v>
      </c>
      <c r="NX179" s="185">
        <f>IF('Inn sprengning'!$AV$54="",0,1)</f>
        <v>0</v>
      </c>
      <c r="NY179" s="185">
        <f>IF('Inn sprengning'!$AV$52="",0,1)</f>
        <v>0</v>
      </c>
      <c r="NZ179" s="185">
        <f>IF('Inn sprengning'!$AV$56="",0,1)</f>
        <v>0</v>
      </c>
      <c r="OA179" s="185">
        <f>IF('Inn sprengning'!$AV$58="",0,1)</f>
        <v>0</v>
      </c>
      <c r="OB179" s="185">
        <f>IF('Inn sprengning'!$AV$60="",0,1)</f>
        <v>0</v>
      </c>
      <c r="OC179" s="185">
        <f>IF('Inn sprengning'!$AV$62="",0,1)</f>
        <v>0</v>
      </c>
      <c r="OD179" s="185">
        <f>IF('Inn sprengning'!$AV$64="",0,1)</f>
        <v>0</v>
      </c>
      <c r="OE179" s="185">
        <f>IF('Inn sprengning'!$AV$66="",0,1)</f>
        <v>0</v>
      </c>
      <c r="OF179" s="185">
        <f>IF('Inn sprengning'!$AV$68="",0,1)</f>
        <v>0</v>
      </c>
      <c r="OG179" s="185">
        <f>COUNTIF(inputs_checks[[#This Row],[Normal salve volum]:[Redusert salvelengde
og todelt tverrsnitt]],0)</f>
        <v>4</v>
      </c>
      <c r="OH179" s="185">
        <f>COUNTIF(inputs_checks[[#This Row],[grøfter]:[Pumpesump]],0)</f>
        <v>8</v>
      </c>
      <c r="OI179" s="185">
        <f>IF('Inn foran'!$AV$26="",0,1)</f>
        <v>0</v>
      </c>
      <c r="OJ179" s="185">
        <f>IF('Inn foran'!$AV$28="",0,1)</f>
        <v>0</v>
      </c>
      <c r="OK179" s="185">
        <f>IF('Inn foran'!$AV$32="",0,1)</f>
        <v>0</v>
      </c>
      <c r="OL179" s="185">
        <f>IF('Inn foran'!$AV$42="",0,1)</f>
        <v>0</v>
      </c>
      <c r="OM179" s="185">
        <f>IF('Inn foran'!$AV$44="",0,1)</f>
        <v>0</v>
      </c>
      <c r="ON179" s="185">
        <f>IF('Inn foran'!$AV$46="",0,1)</f>
        <v>0</v>
      </c>
      <c r="OO179" s="185"/>
      <c r="OP179" s="185">
        <f>IF('Inn foran'!$AV$53="",0,1)</f>
        <v>0</v>
      </c>
      <c r="OQ179" s="185">
        <f>IF('Inn foran'!$AV$55="",0,1)</f>
        <v>0</v>
      </c>
      <c r="OR179" s="185">
        <f>IF('Inn foran'!$AV$57="",0,1)</f>
        <v>0</v>
      </c>
      <c r="OS179" s="185"/>
      <c r="OT179" s="185">
        <f t="shared" si="269"/>
        <v>3</v>
      </c>
      <c r="OU179" s="185">
        <f t="shared" si="260"/>
        <v>6</v>
      </c>
      <c r="OV179" s="199">
        <f>IF('Inn stabilitet'!$AV$34="",0,1)</f>
        <v>0</v>
      </c>
      <c r="OW179" s="199">
        <f>IF('Inn stabilitet'!$AV$36="",0,1)</f>
        <v>0</v>
      </c>
      <c r="OX179" s="199">
        <f>IF('Inn stabilitet'!$AV$43="",0,1)</f>
        <v>0</v>
      </c>
      <c r="OY179" s="199">
        <f>IF('Inn stabilitet'!$AV$45="",0,1)</f>
        <v>0</v>
      </c>
      <c r="OZ179" s="199">
        <f>IF('Inn stabilitet'!$AV$52="",0,1)</f>
        <v>0</v>
      </c>
      <c r="PA179" s="199">
        <f>IF('Inn stabilitet'!$AV$54="",0,1)</f>
        <v>0</v>
      </c>
      <c r="PB179" s="199">
        <f>IF('Inn stabilitet'!$AV$56="",0,1)</f>
        <v>0</v>
      </c>
      <c r="PC179" s="199">
        <f>IF('Inn stabilitet'!$AV$65="",0,1)</f>
        <v>0</v>
      </c>
      <c r="PD179" s="199">
        <f>IF('Inn stabilitet'!$AV$72="",0,1)</f>
        <v>0</v>
      </c>
      <c r="PE179" s="248">
        <f>IF('Inn stabilitet'!$AV$79="",0,1)</f>
        <v>0</v>
      </c>
      <c r="PF179" s="248">
        <f>inputs_checks[[#This Row],[sik123]]</f>
        <v>0</v>
      </c>
      <c r="PG179" s="248">
        <f>COUNTIF(inputs_checks[[#This Row],[kartlegging]],0)+COUNTIF(inputs_checks[[#This Row],[manuell]],0)</f>
        <v>2</v>
      </c>
      <c r="PH179" s="199">
        <f t="shared" si="261"/>
        <v>2</v>
      </c>
      <c r="PI179" s="248">
        <f t="shared" si="262"/>
        <v>3</v>
      </c>
      <c r="PJ179" s="199">
        <f t="shared" si="263"/>
        <v>1</v>
      </c>
      <c r="PK179" s="199">
        <f t="shared" si="264"/>
        <v>1</v>
      </c>
      <c r="PL179" s="199">
        <f t="shared" si="265"/>
        <v>2</v>
      </c>
      <c r="PM179" s="206"/>
      <c r="PN179" s="206"/>
      <c r="PQ179" s="265"/>
      <c r="QI179" s="2617"/>
      <c r="QJ179" s="2617"/>
      <c r="QK179" s="2617"/>
      <c r="QL179" s="2617"/>
      <c r="QN179" s="185">
        <v>24</v>
      </c>
      <c r="QO179" s="185" t="s">
        <v>608</v>
      </c>
      <c r="QP179" s="185"/>
      <c r="QQ179" s="185" t="s">
        <v>390</v>
      </c>
      <c r="QR179" s="185" t="s">
        <v>390</v>
      </c>
      <c r="QS179" s="185" t="s">
        <v>390</v>
      </c>
      <c r="QT179" s="185" t="s">
        <v>390</v>
      </c>
      <c r="QU179" s="185">
        <v>0</v>
      </c>
      <c r="QZ179" s="2617"/>
      <c r="RA179" s="2617"/>
      <c r="RB179" s="2617"/>
      <c r="RC179" s="2617"/>
      <c r="RD179" s="2617"/>
      <c r="RE179" s="2617"/>
      <c r="RF179" s="2617"/>
      <c r="RG179" s="2617"/>
      <c r="RH179" s="2617"/>
      <c r="RI179" s="2617"/>
      <c r="RO179" s="183"/>
      <c r="RQ179" s="183"/>
      <c r="RS179" s="210"/>
      <c r="RU179" s="210"/>
      <c r="SR179" s="183"/>
      <c r="SS179" s="183"/>
      <c r="SV179" s="184"/>
      <c r="SW179" s="184"/>
      <c r="UK179" s="183"/>
      <c r="UL179" s="265"/>
      <c r="UM179" s="184"/>
      <c r="UN179" s="1754"/>
      <c r="UX179" s="265"/>
      <c r="VC179" s="402"/>
      <c r="WG179" s="265"/>
    </row>
    <row r="180" spans="54:605" ht="20.100000000000001" customHeight="1" x14ac:dyDescent="0.25">
      <c r="BB180" s="312" t="s">
        <v>359</v>
      </c>
      <c r="BC180" s="257"/>
      <c r="BD180" s="257"/>
      <c r="BE180" s="257"/>
      <c r="BF180" s="257"/>
      <c r="BG180" s="257"/>
      <c r="BH180" s="257"/>
      <c r="BI180" s="257"/>
      <c r="BJ180" s="257"/>
      <c r="BK180" s="257"/>
      <c r="IH180" s="1172"/>
      <c r="II180" s="1172" t="s">
        <v>2705</v>
      </c>
      <c r="IJ180" s="185"/>
      <c r="IK180" s="451" t="str">
        <f>_Calcs!$L$82</f>
        <v>Støyende arbeider</v>
      </c>
      <c r="IL180" s="451" t="str">
        <f t="shared" si="270"/>
        <v>Støyende arbeider</v>
      </c>
      <c r="IM180" s="451" t="str">
        <f t="shared" si="270"/>
        <v>Støyende arbeider</v>
      </c>
      <c r="IN180" s="451" t="str">
        <f t="shared" si="270"/>
        <v>Støyende arbeider</v>
      </c>
      <c r="IO180" s="451" t="str">
        <f t="shared" si="270"/>
        <v>Støyende arbeider</v>
      </c>
      <c r="IP180" s="451" t="str">
        <f t="shared" si="270"/>
        <v>Støyende arbeider</v>
      </c>
      <c r="IQ180" s="451" t="str">
        <f t="shared" si="270"/>
        <v>Støyende arbeider</v>
      </c>
      <c r="IR180" s="451" t="str">
        <f t="shared" si="270"/>
        <v>Støyende arbeider</v>
      </c>
      <c r="IS180" s="451" t="str">
        <f t="shared" si="270"/>
        <v>Støyende arbeider</v>
      </c>
      <c r="NM180" s="407">
        <v>5</v>
      </c>
      <c r="NN180" s="185"/>
      <c r="NO180" s="185">
        <f t="shared" si="267"/>
        <v>1</v>
      </c>
      <c r="NP180" s="185">
        <f t="shared" si="268"/>
        <v>1</v>
      </c>
      <c r="NQ180" s="185">
        <f>IF('Inn forbered'!$BG$27="",0,1)</f>
        <v>0</v>
      </c>
      <c r="NR180" s="187">
        <f>IF($GN$13=TRUE,1,IF($GN$12=2,0,COUNTIF(inputs_checks[[#This Row],[Forberedende arbeider]:[Forskjæring]],1)))</f>
        <v>1</v>
      </c>
      <c r="NS180" s="185"/>
      <c r="NT180" s="185">
        <f>IF('Inn sprengning'!$BD$32&lt;=0,0,1)</f>
        <v>0</v>
      </c>
      <c r="NU180" s="185">
        <f>IF('Inn sprengning'!$BD$39="",0,1)</f>
        <v>0</v>
      </c>
      <c r="NV180" s="185">
        <f>IF('Inn sprengning'!$BD$41="",0,1)</f>
        <v>0</v>
      </c>
      <c r="NW180" s="185">
        <f>IF('Inn sprengning'!$BD$43="",0,1)</f>
        <v>0</v>
      </c>
      <c r="NX180" s="185">
        <f>IF('Inn sprengning'!$BD$54="",0,1)</f>
        <v>0</v>
      </c>
      <c r="NY180" s="185">
        <f>IF('Inn sprengning'!$BD$52="",0,1)</f>
        <v>0</v>
      </c>
      <c r="NZ180" s="185">
        <f>IF('Inn sprengning'!$BD$56="",0,1)</f>
        <v>0</v>
      </c>
      <c r="OA180" s="185">
        <f>IF('Inn sprengning'!$BD$58="",0,1)</f>
        <v>0</v>
      </c>
      <c r="OB180" s="185">
        <f>IF('Inn sprengning'!$BD$60="",0,1)</f>
        <v>0</v>
      </c>
      <c r="OC180" s="185">
        <f>IF('Inn sprengning'!$BD$62="",0,1)</f>
        <v>0</v>
      </c>
      <c r="OD180" s="185">
        <f>IF('Inn sprengning'!$BD$64="",0,1)</f>
        <v>0</v>
      </c>
      <c r="OE180" s="185">
        <f>IF('Inn sprengning'!$BD$66="",0,1)</f>
        <v>0</v>
      </c>
      <c r="OF180" s="185">
        <f>IF('Inn sprengning'!$BD$68="",0,1)</f>
        <v>0</v>
      </c>
      <c r="OG180" s="185">
        <f>COUNTIF(inputs_checks[[#This Row],[Normal salve volum]:[Redusert salvelengde
og todelt tverrsnitt]],0)</f>
        <v>4</v>
      </c>
      <c r="OH180" s="185">
        <f>COUNTIF(inputs_checks[[#This Row],[grøfter]:[Pumpesump]],0)</f>
        <v>8</v>
      </c>
      <c r="OI180" s="185">
        <f>IF('Inn foran'!$BD$26="",0,1)</f>
        <v>0</v>
      </c>
      <c r="OJ180" s="185">
        <f>IF('Inn foran'!$BD$28="",0,1)</f>
        <v>0</v>
      </c>
      <c r="OK180" s="185">
        <f>IF('Inn foran'!$BD$32="",0,1)</f>
        <v>0</v>
      </c>
      <c r="OL180" s="185">
        <f>IF('Inn foran'!$BD$42="",0,1)</f>
        <v>0</v>
      </c>
      <c r="OM180" s="185">
        <f>IF('Inn foran'!$BD$44="",0,1)</f>
        <v>0</v>
      </c>
      <c r="ON180" s="185">
        <f>IF('Inn foran'!$BD$46="",0,1)</f>
        <v>0</v>
      </c>
      <c r="OO180" s="185"/>
      <c r="OP180" s="185">
        <f>IF('Inn foran'!$BD$53="",0,1)</f>
        <v>0</v>
      </c>
      <c r="OQ180" s="185">
        <f>IF('Inn foran'!$BD$55="",0,1)</f>
        <v>0</v>
      </c>
      <c r="OR180" s="185">
        <f>IF('Inn foran'!$BD$57="",0,1)</f>
        <v>0</v>
      </c>
      <c r="OS180" s="185"/>
      <c r="OT180" s="185">
        <f t="shared" si="269"/>
        <v>3</v>
      </c>
      <c r="OU180" s="185">
        <f t="shared" si="260"/>
        <v>6</v>
      </c>
      <c r="OV180" s="199">
        <f>IF('Inn stabilitet'!$BD$34="",0,1)</f>
        <v>0</v>
      </c>
      <c r="OW180" s="199">
        <f>IF('Inn stabilitet'!$BD$36="",0,1)</f>
        <v>0</v>
      </c>
      <c r="OX180" s="199">
        <f>IF('Inn stabilitet'!$BD$43="",0,1)</f>
        <v>0</v>
      </c>
      <c r="OY180" s="199">
        <f>IF('Inn stabilitet'!$BD$45="",0,1)</f>
        <v>0</v>
      </c>
      <c r="OZ180" s="199">
        <f>IF('Inn stabilitet'!$BD$52="",0,1)</f>
        <v>0</v>
      </c>
      <c r="PA180" s="199">
        <f>IF('Inn stabilitet'!$BD$54="",0,1)</f>
        <v>0</v>
      </c>
      <c r="PB180" s="199">
        <f>IF('Inn stabilitet'!$BD$56="",0,1)</f>
        <v>0</v>
      </c>
      <c r="PC180" s="199">
        <f>IF('Inn stabilitet'!$BD$65="",0,1)</f>
        <v>0</v>
      </c>
      <c r="PD180" s="199">
        <f>IF('Inn stabilitet'!$BD$72="",0,1)</f>
        <v>0</v>
      </c>
      <c r="PE180" s="248">
        <f>IF('Inn stabilitet'!$BD$79="",0,1)</f>
        <v>0</v>
      </c>
      <c r="PF180" s="248">
        <f>inputs_checks[[#This Row],[sik123]]</f>
        <v>0</v>
      </c>
      <c r="PG180" s="248">
        <f>COUNTIF(inputs_checks[[#This Row],[kartlegging]],0)+COUNTIF(inputs_checks[[#This Row],[manuell]],0)</f>
        <v>2</v>
      </c>
      <c r="PH180" s="199">
        <f t="shared" si="261"/>
        <v>2</v>
      </c>
      <c r="PI180" s="248">
        <f t="shared" si="262"/>
        <v>3</v>
      </c>
      <c r="PJ180" s="199">
        <f t="shared" si="263"/>
        <v>1</v>
      </c>
      <c r="PK180" s="199">
        <f t="shared" si="264"/>
        <v>1</v>
      </c>
      <c r="PL180" s="199">
        <f t="shared" si="265"/>
        <v>2</v>
      </c>
      <c r="PM180" s="206"/>
      <c r="PN180" s="206"/>
      <c r="PQ180" s="265"/>
      <c r="QI180" s="2617"/>
      <c r="QJ180" s="2617"/>
      <c r="QK180" s="2617"/>
      <c r="QL180" s="2617"/>
      <c r="QN180" s="372"/>
      <c r="QO180" s="185" t="s">
        <v>511</v>
      </c>
      <c r="QP180" s="185"/>
      <c r="QQ180" s="185" t="str">
        <f t="shared" ref="QQ180:QQ186" si="271">$HI$15</f>
        <v/>
      </c>
      <c r="QR180" s="185" t="str">
        <f t="shared" ref="QR180:QR186" si="272">$HI$16</f>
        <v/>
      </c>
      <c r="QS180" s="185" t="s">
        <v>390</v>
      </c>
      <c r="QT180" s="185" t="s">
        <v>390</v>
      </c>
      <c r="QU180" s="185">
        <v>2</v>
      </c>
      <c r="QZ180" s="2617"/>
      <c r="RA180" s="2617"/>
      <c r="RB180" s="2617"/>
      <c r="RC180" s="2617"/>
      <c r="RD180" s="2617"/>
      <c r="RE180" s="2617"/>
      <c r="RF180" s="2617"/>
      <c r="RG180" s="2617"/>
      <c r="RH180" s="2617"/>
      <c r="RI180" s="2617"/>
      <c r="RO180" s="183"/>
      <c r="RQ180" s="183"/>
      <c r="RS180" s="210"/>
      <c r="RU180" s="210"/>
      <c r="SR180" s="183"/>
      <c r="SS180" s="183"/>
      <c r="SV180" s="184"/>
      <c r="SW180" s="184"/>
      <c r="UK180" s="183"/>
      <c r="UL180" s="265"/>
      <c r="UM180" s="184"/>
      <c r="UN180" s="1754"/>
      <c r="UX180" s="265"/>
      <c r="VC180" s="402"/>
      <c r="WG180" s="265"/>
    </row>
    <row r="181" spans="54:605" ht="20.100000000000001" customHeight="1" x14ac:dyDescent="0.2">
      <c r="BB181" s="3870" t="s">
        <v>340</v>
      </c>
      <c r="BC181" s="3871">
        <v>1</v>
      </c>
      <c r="BD181" s="3871">
        <v>2</v>
      </c>
      <c r="BE181" s="3871">
        <v>3</v>
      </c>
      <c r="BF181" s="3871">
        <v>4</v>
      </c>
      <c r="BG181" s="3871">
        <v>5</v>
      </c>
      <c r="BH181" s="3871">
        <v>6</v>
      </c>
      <c r="BI181" s="3871">
        <v>7</v>
      </c>
      <c r="BJ181" s="3871">
        <v>8</v>
      </c>
      <c r="BK181" s="3871">
        <v>9</v>
      </c>
      <c r="EX181" s="4233">
        <f>_Kapasitet!$U$61</f>
        <v>1</v>
      </c>
      <c r="EY181" s="4233">
        <f>_Kapasitet!$U$66</f>
        <v>1</v>
      </c>
      <c r="EZ181" s="4233">
        <f>_Kapasitet!$U$69</f>
        <v>15</v>
      </c>
      <c r="FA181" s="4233">
        <f>_Kapasitet!$U$71</f>
        <v>7.5</v>
      </c>
      <c r="FB181" s="4233">
        <f>_Kapasitet!$U$74</f>
        <v>25</v>
      </c>
      <c r="FC181" s="4233">
        <f>_Kapasitet!$U$74</f>
        <v>25</v>
      </c>
      <c r="FD181" s="4233">
        <f>_Kapasitet!$U$76</f>
        <v>15</v>
      </c>
      <c r="FE181" s="4233">
        <f>_Kapasitet!$U$75</f>
        <v>10</v>
      </c>
      <c r="FF181" s="4233">
        <f>_Kapasitet!$U$76</f>
        <v>15</v>
      </c>
      <c r="FG181" s="4233">
        <f>_Kapasitet!$U$78</f>
        <v>8</v>
      </c>
      <c r="FH181" s="4233">
        <f>_Kapasitet!$U$88</f>
        <v>15</v>
      </c>
      <c r="FI181" s="4233">
        <f>_Kapasitet!$U$89</f>
        <v>7.5</v>
      </c>
      <c r="FJ181" s="4233">
        <f>_Kapasitet!$U$92</f>
        <v>15</v>
      </c>
      <c r="FK181" s="4233">
        <f>_Kapasitet!$U$93</f>
        <v>7.5</v>
      </c>
      <c r="FL181" s="4233">
        <f>_Kapasitet!$U$78</f>
        <v>8</v>
      </c>
      <c r="FM181" s="4233">
        <f>_Kapasitet!$U$80</f>
        <v>4</v>
      </c>
      <c r="FN181" s="4233">
        <f>_Kapasitet!$U$80</f>
        <v>4</v>
      </c>
      <c r="FO181" s="4233">
        <f>_Kapasitet!$U$98</f>
        <v>15</v>
      </c>
      <c r="FP181" s="4233">
        <f>_Kapasitet!$U$99</f>
        <v>7.5</v>
      </c>
      <c r="FQ181" s="4233">
        <f>_Kapasitet!$U$102</f>
        <v>8</v>
      </c>
      <c r="FR181" s="4233">
        <f>_Kapasitet!$U$105</f>
        <v>15</v>
      </c>
      <c r="FS181" s="4233">
        <f>_Kapasitet!$U$106</f>
        <v>7.5</v>
      </c>
      <c r="FT181" s="4233">
        <f>_Kapasitet!$U$82</f>
        <v>0.03</v>
      </c>
      <c r="FU181" s="4233">
        <f>_Kapasitet!$U$83</f>
        <v>0.1</v>
      </c>
      <c r="IH181" s="1172"/>
      <c r="II181" s="5998" t="s">
        <v>2717</v>
      </c>
      <c r="IJ181" s="185"/>
      <c r="IK181" s="194" t="str">
        <f>INDEX(utskrift_just[støy_svar],MATCH(IK$108,utskrift_just[position],0))</f>
        <v>Nei</v>
      </c>
      <c r="IL181" s="194" t="str">
        <f>INDEX(utskrift_just[støy_svar],MATCH(IL$108,utskrift_just[position],0))</f>
        <v>Nei</v>
      </c>
      <c r="IM181" s="194" t="str">
        <f>INDEX(utskrift_just[støy_svar],MATCH(IM$108,utskrift_just[position],0))</f>
        <v>Nei</v>
      </c>
      <c r="IN181" s="194" t="str">
        <f>INDEX(utskrift_just[støy_svar],MATCH(IN$108,utskrift_just[position],0))</f>
        <v>Nei</v>
      </c>
      <c r="IO181" s="194" t="str">
        <f>INDEX(utskrift_just[støy_svar],MATCH(IO$108,utskrift_just[position],0))</f>
        <v>Nei</v>
      </c>
      <c r="IP181" s="194" t="str">
        <f>INDEX(utskrift_just[støy_svar],MATCH(IP$108,utskrift_just[position],0))</f>
        <v>Nei</v>
      </c>
      <c r="IQ181" s="194" t="str">
        <f>INDEX(utskrift_just[støy_svar],MATCH(IQ$108,utskrift_just[position],0))</f>
        <v>Nei</v>
      </c>
      <c r="IR181" s="194" t="str">
        <f>INDEX(utskrift_just[støy_svar],MATCH(IR$108,utskrift_just[position],0))</f>
        <v>Nei</v>
      </c>
      <c r="IS181" s="194" t="str">
        <f>INDEX(utskrift_just[støy_svar],MATCH(IS$108,utskrift_just[position],0))</f>
        <v>Nei</v>
      </c>
      <c r="NM181" s="407">
        <v>6</v>
      </c>
      <c r="NN181" s="185"/>
      <c r="NO181" s="185">
        <f t="shared" si="267"/>
        <v>1</v>
      </c>
      <c r="NP181" s="185">
        <f t="shared" si="268"/>
        <v>1</v>
      </c>
      <c r="NQ181" s="185">
        <f>IF('Inn forbered'!$BO$27="",0,1)</f>
        <v>0</v>
      </c>
      <c r="NR181" s="187">
        <f>IF($GN$13=TRUE,1,IF($GN$12=2,0,COUNTIF(inputs_checks[[#This Row],[Forberedende arbeider]:[Forskjæring]],1)))</f>
        <v>1</v>
      </c>
      <c r="NS181" s="185"/>
      <c r="NT181" s="185">
        <f>IF('Inn sprengning'!$BL$32&lt;=0,0,1)</f>
        <v>0</v>
      </c>
      <c r="NU181" s="185">
        <f>IF('Inn sprengning'!$BL$39="",0,1)</f>
        <v>0</v>
      </c>
      <c r="NV181" s="185">
        <f>IF('Inn sprengning'!$BL$41="",0,1)</f>
        <v>0</v>
      </c>
      <c r="NW181" s="185">
        <f>IF('Inn sprengning'!$BL$43="",0,1)</f>
        <v>0</v>
      </c>
      <c r="NX181" s="185">
        <f>IF('Inn sprengning'!$BL$54="",0,1)</f>
        <v>0</v>
      </c>
      <c r="NY181" s="185">
        <f>IF('Inn sprengning'!$BL$52="",0,1)</f>
        <v>0</v>
      </c>
      <c r="NZ181" s="185">
        <f>IF('Inn sprengning'!$BL$56="",0,1)</f>
        <v>0</v>
      </c>
      <c r="OA181" s="185">
        <f>IF('Inn sprengning'!$BL$58="",0,1)</f>
        <v>0</v>
      </c>
      <c r="OB181" s="185">
        <f>IF('Inn sprengning'!$BL$60="",0,1)</f>
        <v>0</v>
      </c>
      <c r="OC181" s="185">
        <f>IF('Inn sprengning'!$BL$62="",0,1)</f>
        <v>0</v>
      </c>
      <c r="OD181" s="185">
        <f>IF('Inn sprengning'!$BL$64="",0,1)</f>
        <v>0</v>
      </c>
      <c r="OE181" s="185">
        <f>IF('Inn sprengning'!$BL$66="",0,1)</f>
        <v>0</v>
      </c>
      <c r="OF181" s="185">
        <f>IF('Inn sprengning'!$BL$68="",0,1)</f>
        <v>0</v>
      </c>
      <c r="OG181" s="185">
        <f>COUNTIF(inputs_checks[[#This Row],[Normal salve volum]:[Redusert salvelengde
og todelt tverrsnitt]],0)</f>
        <v>4</v>
      </c>
      <c r="OH181" s="185">
        <f>COUNTIF(inputs_checks[[#This Row],[grøfter]:[Pumpesump]],0)</f>
        <v>8</v>
      </c>
      <c r="OI181" s="185">
        <f>IF('Inn foran'!$BL$26="",0,1)</f>
        <v>0</v>
      </c>
      <c r="OJ181" s="185">
        <f>IF('Inn foran'!$BL$28="",0,1)</f>
        <v>0</v>
      </c>
      <c r="OK181" s="185">
        <f>IF('Inn foran'!$BL$32="",0,1)</f>
        <v>0</v>
      </c>
      <c r="OL181" s="185">
        <f>IF('Inn foran'!$BL$42="",0,1)</f>
        <v>0</v>
      </c>
      <c r="OM181" s="185">
        <f>IF('Inn foran'!$BL$44="",0,1)</f>
        <v>0</v>
      </c>
      <c r="ON181" s="185">
        <f>IF('Inn foran'!$BL$46="",0,1)</f>
        <v>0</v>
      </c>
      <c r="OO181" s="185"/>
      <c r="OP181" s="185">
        <f>IF('Inn foran'!$BL$53="",0,1)</f>
        <v>0</v>
      </c>
      <c r="OQ181" s="185">
        <f>IF('Inn foran'!$BL$55="",0,1)</f>
        <v>0</v>
      </c>
      <c r="OR181" s="185">
        <f>IF('Inn foran'!$BL$57="",0,1)</f>
        <v>0</v>
      </c>
      <c r="OS181" s="185"/>
      <c r="OT181" s="185">
        <f t="shared" si="269"/>
        <v>3</v>
      </c>
      <c r="OU181" s="185">
        <f t="shared" si="260"/>
        <v>6</v>
      </c>
      <c r="OV181" s="199">
        <f>IF('Inn stabilitet'!$BL$34="",0,1)</f>
        <v>0</v>
      </c>
      <c r="OW181" s="199">
        <f>IF('Inn stabilitet'!$BL$36="",0,1)</f>
        <v>0</v>
      </c>
      <c r="OX181" s="199">
        <f>IF('Inn stabilitet'!$BL$43="",0,1)</f>
        <v>0</v>
      </c>
      <c r="OY181" s="199">
        <f>IF('Inn stabilitet'!$BL$45="",0,1)</f>
        <v>0</v>
      </c>
      <c r="OZ181" s="199">
        <f>IF('Inn stabilitet'!$BL$52="",0,1)</f>
        <v>0</v>
      </c>
      <c r="PA181" s="199">
        <f>IF('Inn stabilitet'!$BL$54="",0,1)</f>
        <v>0</v>
      </c>
      <c r="PB181" s="199">
        <f>IF('Inn stabilitet'!$BL$56="",0,1)</f>
        <v>0</v>
      </c>
      <c r="PC181" s="199">
        <f>IF('Inn stabilitet'!$BL$65="",0,1)</f>
        <v>0</v>
      </c>
      <c r="PD181" s="199">
        <f>IF('Inn stabilitet'!$BL$72="",0,1)</f>
        <v>0</v>
      </c>
      <c r="PE181" s="248">
        <f>IF('Inn stabilitet'!$BL$79="",0,1)</f>
        <v>0</v>
      </c>
      <c r="PF181" s="248">
        <f>inputs_checks[[#This Row],[sik123]]</f>
        <v>0</v>
      </c>
      <c r="PG181" s="248">
        <f>COUNTIF(inputs_checks[[#This Row],[kartlegging]],0)+COUNTIF(inputs_checks[[#This Row],[manuell]],0)</f>
        <v>2</v>
      </c>
      <c r="PH181" s="199">
        <f t="shared" si="261"/>
        <v>2</v>
      </c>
      <c r="PI181" s="248">
        <f t="shared" si="262"/>
        <v>3</v>
      </c>
      <c r="PJ181" s="199">
        <f t="shared" si="263"/>
        <v>1</v>
      </c>
      <c r="PK181" s="199">
        <f t="shared" si="264"/>
        <v>1</v>
      </c>
      <c r="PL181" s="199">
        <f t="shared" si="265"/>
        <v>2</v>
      </c>
      <c r="PM181" s="206"/>
      <c r="PN181" s="206"/>
      <c r="PQ181" s="265"/>
      <c r="QI181" s="2617"/>
      <c r="QJ181" s="2617"/>
      <c r="QK181" s="2617"/>
      <c r="QL181" s="2617"/>
      <c r="QN181" s="185"/>
      <c r="QO181" s="185" t="s">
        <v>512</v>
      </c>
      <c r="QP181" s="185"/>
      <c r="QQ181" s="185" t="str">
        <f t="shared" si="271"/>
        <v/>
      </c>
      <c r="QR181" s="185" t="str">
        <f t="shared" si="272"/>
        <v/>
      </c>
      <c r="QS181" s="185" t="s">
        <v>390</v>
      </c>
      <c r="QT181" s="185" t="s">
        <v>390</v>
      </c>
      <c r="QU181" s="185">
        <v>2</v>
      </c>
      <c r="QZ181" s="2617"/>
      <c r="RA181" s="2617"/>
      <c r="RB181" s="2617"/>
      <c r="RC181" s="2617"/>
      <c r="RD181" s="2617"/>
      <c r="RE181" s="2617"/>
      <c r="RF181" s="2617"/>
      <c r="RG181" s="2617"/>
      <c r="RH181" s="2617"/>
      <c r="RI181" s="2617"/>
      <c r="RO181" s="183"/>
      <c r="RQ181" s="183"/>
      <c r="RS181" s="210"/>
      <c r="RU181" s="210"/>
      <c r="SR181" s="183"/>
      <c r="SS181" s="183"/>
      <c r="SV181" s="184"/>
      <c r="SW181" s="184"/>
      <c r="UK181" s="183"/>
      <c r="UL181" s="265"/>
      <c r="UM181" s="184"/>
      <c r="UN181" s="1754"/>
      <c r="UX181" s="265"/>
      <c r="VC181" s="402"/>
      <c r="WG181" s="265"/>
    </row>
    <row r="182" spans="54:605" ht="20.100000000000001" customHeight="1" x14ac:dyDescent="0.2">
      <c r="BB182" s="185" t="s">
        <v>48</v>
      </c>
      <c r="BC182" s="199" t="str">
        <f>IFERROR((INDEX(oppsum_position[Name],MATCH(BC181,oppsum_position[Position],0))),"")</f>
        <v>Stuff 1-1</v>
      </c>
      <c r="BD182" s="199" t="str">
        <f>IFERROR((INDEX(oppsum_position[Name],MATCH(BD181,oppsum_position[Position],0))),"")</f>
        <v/>
      </c>
      <c r="BE182" s="199" t="str">
        <f>IFERROR((INDEX(oppsum_position[Name],MATCH(BE181,oppsum_position[Position],0))),"")</f>
        <v/>
      </c>
      <c r="BF182" s="199" t="str">
        <f>IFERROR((INDEX(oppsum_position[Name],MATCH(BF181,oppsum_position[Position],0))),"")</f>
        <v/>
      </c>
      <c r="BG182" s="199" t="str">
        <f>IFERROR((INDEX(oppsum_position[Name],MATCH(BG181,oppsum_position[Position],0))),"")</f>
        <v/>
      </c>
      <c r="BH182" s="199" t="str">
        <f>IFERROR((INDEX(oppsum_position[Name],MATCH(BH181,oppsum_position[Position],0))),"")</f>
        <v/>
      </c>
      <c r="BI182" s="199" t="str">
        <f>IFERROR((INDEX(oppsum_position[Name],MATCH(BI181,oppsum_position[Position],0))),"")</f>
        <v/>
      </c>
      <c r="BJ182" s="199" t="str">
        <f>IFERROR((INDEX(oppsum_position[Name],MATCH(BJ181,oppsum_position[Position],0))),"")</f>
        <v/>
      </c>
      <c r="BK182" s="199" t="str">
        <f>IFERROR((INDEX(oppsum_position[Name],MATCH(BK181,oppsum_position[Position],0))),"")</f>
        <v/>
      </c>
      <c r="ER182" s="237" t="s">
        <v>257</v>
      </c>
      <c r="ES182" s="237" t="s">
        <v>283</v>
      </c>
      <c r="ET182" s="237" t="s">
        <v>284</v>
      </c>
      <c r="EU182" s="321" t="s">
        <v>285</v>
      </c>
      <c r="EV182" s="322" t="s">
        <v>48</v>
      </c>
      <c r="EW182" s="4229" t="s">
        <v>658</v>
      </c>
      <c r="EX182" s="4229" t="s">
        <v>2009</v>
      </c>
      <c r="EY182" s="4229" t="s">
        <v>1785</v>
      </c>
      <c r="EZ182" s="4229" t="s">
        <v>2010</v>
      </c>
      <c r="FA182" s="4229" t="s">
        <v>2011</v>
      </c>
      <c r="FB182" s="4229" t="s">
        <v>2485</v>
      </c>
      <c r="FC182" s="4229" t="s">
        <v>2628</v>
      </c>
      <c r="FD182" s="4229" t="s">
        <v>2622</v>
      </c>
      <c r="FE182" s="4229" t="s">
        <v>1062</v>
      </c>
      <c r="FF182" s="4229" t="s">
        <v>2624</v>
      </c>
      <c r="FG182" s="4229" t="s">
        <v>2623</v>
      </c>
      <c r="FH182" s="4229" t="s">
        <v>2013</v>
      </c>
      <c r="FI182" s="4229" t="s">
        <v>2014</v>
      </c>
      <c r="FJ182" s="4229" t="s">
        <v>2015</v>
      </c>
      <c r="FK182" s="4229" t="s">
        <v>2016</v>
      </c>
      <c r="FL182" s="4229" t="s">
        <v>2012</v>
      </c>
      <c r="FM182" s="4229" t="s">
        <v>2017</v>
      </c>
      <c r="FN182" s="4229" t="s">
        <v>2018</v>
      </c>
      <c r="FO182" s="4229" t="s">
        <v>2019</v>
      </c>
      <c r="FP182" s="4229" t="s">
        <v>2020</v>
      </c>
      <c r="FQ182" s="4229" t="s">
        <v>2021</v>
      </c>
      <c r="FR182" s="4229" t="s">
        <v>2022</v>
      </c>
      <c r="FS182" s="4229" t="s">
        <v>2023</v>
      </c>
      <c r="FT182" s="4229" t="s">
        <v>2037</v>
      </c>
      <c r="FU182" s="4229" t="s">
        <v>2038</v>
      </c>
      <c r="IH182" s="1172"/>
      <c r="II182" s="5998" t="s">
        <v>2679</v>
      </c>
      <c r="IJ182" s="372"/>
      <c r="IK182" s="212" t="str">
        <f>IF(OR(INDEX(utskrift_just[støy_tid],MATCH(IK$108,utskrift_just[position],0))=1,INDEX(utskrift_just[støy_tid],MATCH(IK$108,utskrift_just[position],0))=-1),INDEX(utskrift_just[støy_tid],MATCH(IK$108,utskrift_just[position],0))&amp;" uke",IF(ISNUMBER(INDEX(utskrift_just[støy_tid],MATCH(IK$108,utskrift_just[position],0)))=TRUE,INDEX(utskrift_just[støy_tid],MATCH(IK$108,utskrift_just[position],0))&amp;" uker",""))</f>
        <v/>
      </c>
      <c r="IL182" s="212" t="str">
        <f>IF(OR(INDEX(utskrift_just[støy_tid],MATCH(IL$108,utskrift_just[position],0))=1,INDEX(utskrift_just[støy_tid],MATCH(IL$108,utskrift_just[position],0))=-1),INDEX(utskrift_just[støy_tid],MATCH(IL$108,utskrift_just[position],0))&amp;" uke",IF(ISNUMBER(INDEX(utskrift_just[støy_tid],MATCH(IL$108,utskrift_just[position],0)))=TRUE,INDEX(utskrift_just[støy_tid],MATCH(IL$108,utskrift_just[position],0))&amp;" uker",""))</f>
        <v/>
      </c>
      <c r="IM182" s="212" t="str">
        <f>IF(OR(INDEX(utskrift_just[støy_tid],MATCH(IM$108,utskrift_just[position],0))=1,INDEX(utskrift_just[støy_tid],MATCH(IM$108,utskrift_just[position],0))=-1),INDEX(utskrift_just[støy_tid],MATCH(IM$108,utskrift_just[position],0))&amp;" uke",IF(ISNUMBER(INDEX(utskrift_just[støy_tid],MATCH(IM$108,utskrift_just[position],0)))=TRUE,INDEX(utskrift_just[støy_tid],MATCH(IM$108,utskrift_just[position],0))&amp;" uker",""))</f>
        <v/>
      </c>
      <c r="IN182" s="212" t="str">
        <f>IF(OR(INDEX(utskrift_just[støy_tid],MATCH(IN$108,utskrift_just[position],0))=1,INDEX(utskrift_just[støy_tid],MATCH(IN$108,utskrift_just[position],0))=-1),INDEX(utskrift_just[støy_tid],MATCH(IN$108,utskrift_just[position],0))&amp;" uke",IF(ISNUMBER(INDEX(utskrift_just[støy_tid],MATCH(IN$108,utskrift_just[position],0)))=TRUE,INDEX(utskrift_just[støy_tid],MATCH(IN$108,utskrift_just[position],0))&amp;" uker",""))</f>
        <v/>
      </c>
      <c r="IO182" s="212" t="str">
        <f>IF(OR(INDEX(utskrift_just[støy_tid],MATCH(IO$108,utskrift_just[position],0))=1,INDEX(utskrift_just[støy_tid],MATCH(IO$108,utskrift_just[position],0))=-1),INDEX(utskrift_just[støy_tid],MATCH(IO$108,utskrift_just[position],0))&amp;" uke",IF(ISNUMBER(INDEX(utskrift_just[støy_tid],MATCH(IO$108,utskrift_just[position],0)))=TRUE,INDEX(utskrift_just[støy_tid],MATCH(IO$108,utskrift_just[position],0))&amp;" uker",""))</f>
        <v/>
      </c>
      <c r="IP182" s="212" t="str">
        <f>IF(OR(INDEX(utskrift_just[støy_tid],MATCH(IP$108,utskrift_just[position],0))=1,INDEX(utskrift_just[støy_tid],MATCH(IP$108,utskrift_just[position],0))=-1),INDEX(utskrift_just[støy_tid],MATCH(IP$108,utskrift_just[position],0))&amp;" uke",IF(ISNUMBER(INDEX(utskrift_just[støy_tid],MATCH(IP$108,utskrift_just[position],0)))=TRUE,INDEX(utskrift_just[støy_tid],MATCH(IP$108,utskrift_just[position],0))&amp;" uker",""))</f>
        <v/>
      </c>
      <c r="IQ182" s="212" t="str">
        <f>IF(OR(INDEX(utskrift_just[støy_tid],MATCH(IQ$108,utskrift_just[position],0))=1,INDEX(utskrift_just[støy_tid],MATCH(IQ$108,utskrift_just[position],0))=-1),INDEX(utskrift_just[støy_tid],MATCH(IQ$108,utskrift_just[position],0))&amp;" uke",IF(ISNUMBER(INDEX(utskrift_just[støy_tid],MATCH(IQ$108,utskrift_just[position],0)))=TRUE,INDEX(utskrift_just[støy_tid],MATCH(IQ$108,utskrift_just[position],0))&amp;" uker",""))</f>
        <v/>
      </c>
      <c r="IR182" s="212" t="str">
        <f>IF(OR(INDEX(utskrift_just[støy_tid],MATCH(IR$108,utskrift_just[position],0))=1,INDEX(utskrift_just[støy_tid],MATCH(IR$108,utskrift_just[position],0))=-1),INDEX(utskrift_just[støy_tid],MATCH(IR$108,utskrift_just[position],0))&amp;" uke",IF(ISNUMBER(INDEX(utskrift_just[støy_tid],MATCH(IR$108,utskrift_just[position],0)))=TRUE,INDEX(utskrift_just[støy_tid],MATCH(IR$108,utskrift_just[position],0))&amp;" uker",""))</f>
        <v/>
      </c>
      <c r="IS182" s="212" t="str">
        <f>IF(OR(INDEX(utskrift_just[støy_tid],MATCH(IS$108,utskrift_just[position],0))=1,INDEX(utskrift_just[støy_tid],MATCH(IS$108,utskrift_just[position],0))=-1),INDEX(utskrift_just[støy_tid],MATCH(IS$108,utskrift_just[position],0))&amp;" uke",IF(ISNUMBER(INDEX(utskrift_just[støy_tid],MATCH(IS$108,utskrift_just[position],0)))=TRUE,INDEX(utskrift_just[støy_tid],MATCH(IS$108,utskrift_just[position],0))&amp;" uker",""))</f>
        <v/>
      </c>
      <c r="NM182" s="407">
        <v>7</v>
      </c>
      <c r="NN182" s="185"/>
      <c r="NO182" s="185">
        <f t="shared" si="267"/>
        <v>1</v>
      </c>
      <c r="NP182" s="185">
        <f t="shared" si="268"/>
        <v>1</v>
      </c>
      <c r="NQ182" s="185">
        <f>IF('Inn forbered'!$BW$27="",0,1)</f>
        <v>0</v>
      </c>
      <c r="NR182" s="187">
        <f>IF($GN$13=TRUE,1,IF($GN$12=2,0,COUNTIF(inputs_checks[[#This Row],[Forberedende arbeider]:[Forskjæring]],1)))</f>
        <v>1</v>
      </c>
      <c r="NS182" s="185"/>
      <c r="NT182" s="185">
        <f>IF('Inn sprengning'!$BT$32&lt;=0,0,1)</f>
        <v>0</v>
      </c>
      <c r="NU182" s="185">
        <f>IF('Inn sprengning'!$BT$39="",0,1)</f>
        <v>0</v>
      </c>
      <c r="NV182" s="185">
        <f>IF('Inn sprengning'!$BT$41="",0,1)</f>
        <v>0</v>
      </c>
      <c r="NW182" s="185">
        <f>IF('Inn sprengning'!$BT$43="",0,1)</f>
        <v>0</v>
      </c>
      <c r="NX182" s="185">
        <f>IF('Inn sprengning'!$BT$54="",0,1)</f>
        <v>0</v>
      </c>
      <c r="NY182" s="185">
        <f>IF('Inn sprengning'!$BT$52="",0,1)</f>
        <v>0</v>
      </c>
      <c r="NZ182" s="185">
        <f>IF('Inn sprengning'!$BT$56="",0,1)</f>
        <v>0</v>
      </c>
      <c r="OA182" s="185">
        <f>IF('Inn sprengning'!$BT$58="",0,1)</f>
        <v>0</v>
      </c>
      <c r="OB182" s="185">
        <f>IF('Inn sprengning'!$BT$60="",0,1)</f>
        <v>0</v>
      </c>
      <c r="OC182" s="185">
        <f>IF('Inn sprengning'!$BT$62="",0,1)</f>
        <v>0</v>
      </c>
      <c r="OD182" s="185">
        <f>IF('Inn sprengning'!$BT$64="",0,1)</f>
        <v>0</v>
      </c>
      <c r="OE182" s="185">
        <f>IF('Inn sprengning'!$BT$66="",0,1)</f>
        <v>0</v>
      </c>
      <c r="OF182" s="185">
        <f>IF('Inn sprengning'!$BT$68="",0,1)</f>
        <v>0</v>
      </c>
      <c r="OG182" s="185">
        <f>COUNTIF(inputs_checks[[#This Row],[Normal salve volum]:[Redusert salvelengde
og todelt tverrsnitt]],0)</f>
        <v>4</v>
      </c>
      <c r="OH182" s="185">
        <f>COUNTIF(inputs_checks[[#This Row],[grøfter]:[Pumpesump]],0)</f>
        <v>8</v>
      </c>
      <c r="OI182" s="185">
        <f>IF('Inn foran'!$BT$26="",0,1)</f>
        <v>0</v>
      </c>
      <c r="OJ182" s="185">
        <f>IF('Inn foran'!$BT$28="",0,1)</f>
        <v>0</v>
      </c>
      <c r="OK182" s="185">
        <f>IF('Inn foran'!$BT$32="",0,1)</f>
        <v>0</v>
      </c>
      <c r="OL182" s="185">
        <f>IF('Inn foran'!$BT$42="",0,1)</f>
        <v>0</v>
      </c>
      <c r="OM182" s="185">
        <f>IF('Inn foran'!$BT$44="",0,1)</f>
        <v>0</v>
      </c>
      <c r="ON182" s="185">
        <f>IF('Inn foran'!$BT$46="",0,1)</f>
        <v>0</v>
      </c>
      <c r="OO182" s="185"/>
      <c r="OP182" s="185">
        <f>IF('Inn foran'!$BT$53="",0,1)</f>
        <v>0</v>
      </c>
      <c r="OQ182" s="185">
        <f>IF('Inn foran'!$BT$55="",0,1)</f>
        <v>0</v>
      </c>
      <c r="OR182" s="185">
        <f>IF('Inn foran'!$BT$57="",0,1)</f>
        <v>0</v>
      </c>
      <c r="OS182" s="185"/>
      <c r="OT182" s="185">
        <f t="shared" si="269"/>
        <v>3</v>
      </c>
      <c r="OU182" s="185">
        <f t="shared" si="260"/>
        <v>6</v>
      </c>
      <c r="OV182" s="199">
        <f>IF('Inn stabilitet'!$BT$34="",0,1)</f>
        <v>0</v>
      </c>
      <c r="OW182" s="199">
        <f>IF('Inn stabilitet'!$BT$36="",0,1)</f>
        <v>0</v>
      </c>
      <c r="OX182" s="199">
        <f>IF('Inn stabilitet'!$BT$43="",0,1)</f>
        <v>0</v>
      </c>
      <c r="OY182" s="199">
        <f>IF('Inn stabilitet'!$BT$45="",0,1)</f>
        <v>0</v>
      </c>
      <c r="OZ182" s="199">
        <f>IF('Inn stabilitet'!$BT$52="",0,1)</f>
        <v>0</v>
      </c>
      <c r="PA182" s="199">
        <f>IF('Inn stabilitet'!$BT$54="",0,1)</f>
        <v>0</v>
      </c>
      <c r="PB182" s="199">
        <f>IF('Inn stabilitet'!$BT$56="",0,1)</f>
        <v>0</v>
      </c>
      <c r="PC182" s="199">
        <f>IF('Inn stabilitet'!$BT$65="",0,1)</f>
        <v>0</v>
      </c>
      <c r="PD182" s="199">
        <f>IF('Inn stabilitet'!$BT$72="",0,1)</f>
        <v>0</v>
      </c>
      <c r="PE182" s="248">
        <f>IF('Inn stabilitet'!$BT$79="",0,1)</f>
        <v>0</v>
      </c>
      <c r="PF182" s="248">
        <f>inputs_checks[[#This Row],[sik123]]</f>
        <v>0</v>
      </c>
      <c r="PG182" s="248">
        <f>COUNTIF(inputs_checks[[#This Row],[kartlegging]],0)+COUNTIF(inputs_checks[[#This Row],[manuell]],0)</f>
        <v>2</v>
      </c>
      <c r="PH182" s="199">
        <f t="shared" si="261"/>
        <v>2</v>
      </c>
      <c r="PI182" s="248">
        <f t="shared" si="262"/>
        <v>3</v>
      </c>
      <c r="PJ182" s="199">
        <f t="shared" si="263"/>
        <v>1</v>
      </c>
      <c r="PK182" s="199">
        <f t="shared" si="264"/>
        <v>1</v>
      </c>
      <c r="PL182" s="199">
        <f t="shared" si="265"/>
        <v>2</v>
      </c>
      <c r="PM182" s="206"/>
      <c r="PN182" s="206"/>
      <c r="PQ182" s="265"/>
      <c r="QI182" s="2617"/>
      <c r="QJ182" s="2617"/>
      <c r="QK182" s="2617"/>
      <c r="QL182" s="2617"/>
      <c r="QN182" s="185">
        <v>26</v>
      </c>
      <c r="QO182" s="185" t="s">
        <v>513</v>
      </c>
      <c r="QP182" s="185"/>
      <c r="QQ182" s="3695" t="str">
        <f t="shared" si="271"/>
        <v/>
      </c>
      <c r="QR182" s="340" t="str">
        <f t="shared" si="272"/>
        <v/>
      </c>
      <c r="QS182" s="185" t="s">
        <v>390</v>
      </c>
      <c r="QT182" s="185" t="s">
        <v>390</v>
      </c>
      <c r="QU182" s="185">
        <v>2</v>
      </c>
      <c r="QZ182" s="2617"/>
      <c r="RA182" s="2617"/>
      <c r="RB182" s="2617"/>
      <c r="RC182" s="2617"/>
      <c r="RD182" s="2617"/>
      <c r="RE182" s="2617"/>
      <c r="RF182" s="2617"/>
      <c r="RG182" s="2617"/>
      <c r="RH182" s="2617"/>
      <c r="RI182" s="2617"/>
      <c r="RO182" s="183"/>
      <c r="RQ182" s="183"/>
      <c r="RS182" s="210"/>
      <c r="RU182" s="210"/>
      <c r="SR182" s="183"/>
      <c r="SS182" s="183"/>
      <c r="SV182" s="184"/>
      <c r="SW182" s="184"/>
      <c r="UK182" s="183"/>
      <c r="UL182" s="265"/>
      <c r="UM182" s="184"/>
      <c r="UN182" s="1754"/>
      <c r="UX182" s="265"/>
      <c r="VC182" s="402"/>
      <c r="WG182" s="265"/>
    </row>
    <row r="183" spans="54:605" ht="20.100000000000001" customHeight="1" x14ac:dyDescent="0.2">
      <c r="BB183" s="185" t="s">
        <v>288</v>
      </c>
      <c r="BC183" s="199">
        <f>IFERROR((INDEX(position_stuff[Totalvol],MATCH(BC181,position_stuff[Position],0))),0)</f>
        <v>0</v>
      </c>
      <c r="BD183" s="199">
        <f>IFERROR((INDEX(position_stuff[Totalvol],MATCH(BD181,position_stuff[Position],0))),0)</f>
        <v>0</v>
      </c>
      <c r="BE183" s="199">
        <f>IFERROR((INDEX(position_stuff[Totalvol],MATCH(BE181,position_stuff[Position],0))),0)</f>
        <v>0</v>
      </c>
      <c r="BF183" s="199">
        <f>IFERROR((INDEX(position_stuff[Totalvol],MATCH(BF181,position_stuff[Position],0))),0)</f>
        <v>0</v>
      </c>
      <c r="BG183" s="199">
        <f>IFERROR((INDEX(position_stuff[Totalvol],MATCH(BG181,position_stuff[Position],0))),0)</f>
        <v>0</v>
      </c>
      <c r="BH183" s="199">
        <f>IFERROR((INDEX(position_stuff[Totalvol],MATCH(BH181,position_stuff[Position],0))),0)</f>
        <v>0</v>
      </c>
      <c r="BI183" s="199">
        <f>IFERROR((INDEX(position_stuff[Totalvol],MATCH(BI181,position_stuff[Position],0))),0)</f>
        <v>0</v>
      </c>
      <c r="BJ183" s="199">
        <f>IFERROR((INDEX(position_stuff[Totalvol],MATCH(BJ181,position_stuff[Position],0))),0)</f>
        <v>0</v>
      </c>
      <c r="BK183" s="199">
        <f>IFERROR((INDEX(position_stuff[Totalvol],MATCH(BK181,position_stuff[Position],0))),0)</f>
        <v>0</v>
      </c>
      <c r="ER183" s="237" t="str">
        <f>$K$89</f>
        <v>Hele tunnelen</v>
      </c>
      <c r="ES183" s="349">
        <f>IF($BC$38=1,1,0)</f>
        <v>0</v>
      </c>
      <c r="ET183" s="237">
        <f>IF($BC$38=1,1,0)</f>
        <v>0</v>
      </c>
      <c r="EU183" s="320">
        <f>IF(ET183=1,ES183,IF(ET183=0,0))</f>
        <v>0</v>
      </c>
      <c r="EV183" s="238" t="str">
        <f>ER183</f>
        <v>Hele tunnelen</v>
      </c>
      <c r="EW183" s="185"/>
      <c r="EX183" s="316"/>
      <c r="EY183" s="316"/>
      <c r="EZ183" s="316"/>
      <c r="FA183" s="316"/>
      <c r="FB183" s="316"/>
      <c r="FC183" s="316"/>
      <c r="FD183" s="316"/>
      <c r="FE183" s="316"/>
      <c r="FF183" s="316"/>
      <c r="FG183" s="316"/>
      <c r="FH183" s="316"/>
      <c r="FI183" s="316"/>
      <c r="FJ183" s="316"/>
      <c r="FK183" s="316"/>
      <c r="FL183" s="316"/>
      <c r="FM183" s="316"/>
      <c r="FN183" s="316"/>
      <c r="FO183" s="316"/>
      <c r="FP183" s="316"/>
      <c r="FQ183" s="316"/>
      <c r="FR183" s="247"/>
      <c r="FS183" s="247"/>
      <c r="FT183" s="247"/>
      <c r="FU183" s="247"/>
      <c r="IH183" s="1172"/>
      <c r="II183" s="5998" t="s">
        <v>138</v>
      </c>
      <c r="IJ183" s="372"/>
      <c r="IK183" s="194" t="str">
        <f>INDEX(utskrift_just[støy_beg],MATCH(IK$108,utskrift_just[position],0))</f>
        <v>-</v>
      </c>
      <c r="IL183" s="194" t="str">
        <f>INDEX(utskrift_just[støy_beg],MATCH(IL$108,utskrift_just[position],0))</f>
        <v>-</v>
      </c>
      <c r="IM183" s="194" t="str">
        <f>INDEX(utskrift_just[støy_beg],MATCH(IM$108,utskrift_just[position],0))</f>
        <v>-</v>
      </c>
      <c r="IN183" s="194" t="str">
        <f>INDEX(utskrift_just[støy_beg],MATCH(IN$108,utskrift_just[position],0))</f>
        <v>-</v>
      </c>
      <c r="IO183" s="194" t="str">
        <f>INDEX(utskrift_just[støy_beg],MATCH(IO$108,utskrift_just[position],0))</f>
        <v>-</v>
      </c>
      <c r="IP183" s="194" t="str">
        <f>INDEX(utskrift_just[støy_beg],MATCH(IP$108,utskrift_just[position],0))</f>
        <v>-</v>
      </c>
      <c r="IQ183" s="194" t="str">
        <f>INDEX(utskrift_just[støy_beg],MATCH(IQ$108,utskrift_just[position],0))</f>
        <v>-</v>
      </c>
      <c r="IR183" s="194" t="str">
        <f>INDEX(utskrift_just[støy_beg],MATCH(IR$108,utskrift_just[position],0))</f>
        <v>-</v>
      </c>
      <c r="IS183" s="194" t="str">
        <f>INDEX(utskrift_just[støy_beg],MATCH(IS$108,utskrift_just[position],0))</f>
        <v>-</v>
      </c>
      <c r="NM183" s="407">
        <v>8</v>
      </c>
      <c r="NN183" s="185"/>
      <c r="NO183" s="185">
        <f t="shared" si="267"/>
        <v>1</v>
      </c>
      <c r="NP183" s="185">
        <f t="shared" si="268"/>
        <v>1</v>
      </c>
      <c r="NQ183" s="185">
        <f>IF('Inn forbered'!$CE$27="",0,1)</f>
        <v>0</v>
      </c>
      <c r="NR183" s="187">
        <f>IF($GN$13=TRUE,1,IF($GN$12=2,0,COUNTIF(inputs_checks[[#This Row],[Forberedende arbeider]:[Forskjæring]],1)))</f>
        <v>1</v>
      </c>
      <c r="NS183" s="185"/>
      <c r="NT183" s="185">
        <f>IF('Inn sprengning'!$CB$32&lt;=0,0,1)</f>
        <v>0</v>
      </c>
      <c r="NU183" s="185">
        <f>IF('Inn sprengning'!$CB$39="",0,1)</f>
        <v>0</v>
      </c>
      <c r="NV183" s="185">
        <f>IF('Inn sprengning'!$CB$41="",0,1)</f>
        <v>0</v>
      </c>
      <c r="NW183" s="185">
        <f>IF('Inn sprengning'!$CB$43="",0,1)</f>
        <v>0</v>
      </c>
      <c r="NX183" s="185">
        <f>IF('Inn sprengning'!$CB$54="",0,1)</f>
        <v>0</v>
      </c>
      <c r="NY183" s="185">
        <f>IF('Inn sprengning'!$CB$52="",0,1)</f>
        <v>0</v>
      </c>
      <c r="NZ183" s="185">
        <f>IF('Inn sprengning'!$CB$56="",0,1)</f>
        <v>0</v>
      </c>
      <c r="OA183" s="185">
        <f>IF('Inn sprengning'!$CB$58="",0,1)</f>
        <v>0</v>
      </c>
      <c r="OB183" s="185">
        <f>IF('Inn sprengning'!$CB$60="",0,1)</f>
        <v>0</v>
      </c>
      <c r="OC183" s="185">
        <f>IF('Inn sprengning'!$CB$62="",0,1)</f>
        <v>0</v>
      </c>
      <c r="OD183" s="185">
        <f>IF('Inn sprengning'!$CB$64="",0,1)</f>
        <v>0</v>
      </c>
      <c r="OE183" s="185">
        <f>IF('Inn sprengning'!$CB$66="",0,1)</f>
        <v>0</v>
      </c>
      <c r="OF183" s="185">
        <f>IF('Inn sprengning'!$CB$68="",0,1)</f>
        <v>0</v>
      </c>
      <c r="OG183" s="185">
        <f>COUNTIF(inputs_checks[[#This Row],[Normal salve volum]:[Redusert salvelengde
og todelt tverrsnitt]],0)</f>
        <v>4</v>
      </c>
      <c r="OH183" s="185">
        <f>COUNTIF(inputs_checks[[#This Row],[grøfter]:[Pumpesump]],0)</f>
        <v>8</v>
      </c>
      <c r="OI183" s="185">
        <f>IF('Inn foran'!$CB$26="",0,1)</f>
        <v>0</v>
      </c>
      <c r="OJ183" s="185">
        <f>IF('Inn foran'!$CB$28="",0,1)</f>
        <v>0</v>
      </c>
      <c r="OK183" s="185">
        <f>IF('Inn foran'!$CB$32="",0,1)</f>
        <v>0</v>
      </c>
      <c r="OL183" s="185">
        <f>IF('Inn foran'!$CB$42="",0,1)</f>
        <v>0</v>
      </c>
      <c r="OM183" s="185">
        <f>IF('Inn foran'!$CB$44="",0,1)</f>
        <v>0</v>
      </c>
      <c r="ON183" s="185">
        <f>IF('Inn foran'!$CB$46="",0,1)</f>
        <v>0</v>
      </c>
      <c r="OO183" s="185"/>
      <c r="OP183" s="185">
        <f>IF('Inn foran'!$CB$53="",0,1)</f>
        <v>0</v>
      </c>
      <c r="OQ183" s="185">
        <f>IF('Inn foran'!$CB$55="",0,1)</f>
        <v>0</v>
      </c>
      <c r="OR183" s="185">
        <f>IF('Inn foran'!$CB$57="",0,1)</f>
        <v>0</v>
      </c>
      <c r="OS183" s="185"/>
      <c r="OT183" s="185">
        <f t="shared" si="269"/>
        <v>3</v>
      </c>
      <c r="OU183" s="185">
        <f t="shared" si="260"/>
        <v>6</v>
      </c>
      <c r="OV183" s="199">
        <f>IF('Inn stabilitet'!$CB$34="",0,1)</f>
        <v>0</v>
      </c>
      <c r="OW183" s="199">
        <f>IF('Inn stabilitet'!$CB$36="",0,1)</f>
        <v>0</v>
      </c>
      <c r="OX183" s="199">
        <f>IF('Inn stabilitet'!$CB$43="",0,1)</f>
        <v>0</v>
      </c>
      <c r="OY183" s="199">
        <f>IF('Inn stabilitet'!$CB$45="",0,1)</f>
        <v>0</v>
      </c>
      <c r="OZ183" s="199">
        <f>IF('Inn stabilitet'!$CB$52="",0,1)</f>
        <v>0</v>
      </c>
      <c r="PA183" s="199">
        <f>IF('Inn stabilitet'!$CB$54="",0,1)</f>
        <v>0</v>
      </c>
      <c r="PB183" s="199">
        <f>IF('Inn stabilitet'!$CB$56="",0,1)</f>
        <v>0</v>
      </c>
      <c r="PC183" s="199">
        <f>IF('Inn stabilitet'!$CB$65="",0,1)</f>
        <v>0</v>
      </c>
      <c r="PD183" s="199">
        <f>IF('Inn stabilitet'!$CB$72="",0,1)</f>
        <v>0</v>
      </c>
      <c r="PE183" s="248">
        <f>IF('Inn stabilitet'!$CB$79="",0,1)</f>
        <v>0</v>
      </c>
      <c r="PF183" s="248">
        <f>inputs_checks[[#This Row],[sik123]]</f>
        <v>0</v>
      </c>
      <c r="PG183" s="248">
        <f>COUNTIF(inputs_checks[[#This Row],[kartlegging]],0)+COUNTIF(inputs_checks[[#This Row],[manuell]],0)</f>
        <v>2</v>
      </c>
      <c r="PH183" s="199">
        <f t="shared" si="261"/>
        <v>2</v>
      </c>
      <c r="PI183" s="248">
        <f t="shared" si="262"/>
        <v>3</v>
      </c>
      <c r="PJ183" s="199">
        <f t="shared" si="263"/>
        <v>1</v>
      </c>
      <c r="PK183" s="199">
        <f t="shared" si="264"/>
        <v>1</v>
      </c>
      <c r="PL183" s="199">
        <f t="shared" si="265"/>
        <v>2</v>
      </c>
      <c r="PM183" s="206"/>
      <c r="PN183" s="206"/>
      <c r="PQ183" s="265"/>
      <c r="QI183" s="2617"/>
      <c r="QJ183" s="2617"/>
      <c r="QK183" s="2617"/>
      <c r="QL183" s="2617"/>
      <c r="QN183" s="185"/>
      <c r="QO183" s="185" t="s">
        <v>514</v>
      </c>
      <c r="QP183" s="185"/>
      <c r="QQ183" s="185" t="str">
        <f t="shared" si="271"/>
        <v/>
      </c>
      <c r="QR183" s="185" t="str">
        <f t="shared" si="272"/>
        <v/>
      </c>
      <c r="QS183" s="185" t="s">
        <v>390</v>
      </c>
      <c r="QT183" s="185" t="s">
        <v>390</v>
      </c>
      <c r="QU183" s="185">
        <v>2</v>
      </c>
      <c r="QV183" s="207"/>
      <c r="QW183" s="207"/>
      <c r="QX183" s="207"/>
      <c r="QZ183" s="2617"/>
      <c r="RA183" s="2617"/>
      <c r="RB183" s="2617"/>
      <c r="RC183" s="2617"/>
      <c r="RD183" s="2617"/>
      <c r="RE183" s="2617"/>
      <c r="RF183" s="2617"/>
      <c r="RG183" s="2617"/>
      <c r="RH183" s="2617"/>
      <c r="RI183" s="2617"/>
      <c r="RO183" s="183"/>
      <c r="RQ183" s="183"/>
      <c r="RS183" s="210"/>
      <c r="RU183" s="210"/>
      <c r="SR183" s="183"/>
      <c r="SS183" s="183"/>
      <c r="SV183" s="184"/>
      <c r="SW183" s="184"/>
      <c r="UK183" s="183"/>
      <c r="UL183" s="265"/>
      <c r="UM183" s="184"/>
      <c r="UN183" s="1754"/>
      <c r="UX183" s="265"/>
      <c r="VC183" s="402"/>
      <c r="WG183" s="265"/>
    </row>
    <row r="184" spans="54:605" ht="20.100000000000001" customHeight="1" x14ac:dyDescent="0.2">
      <c r="ER184" s="185"/>
      <c r="ES184" s="354"/>
      <c r="ET184" s="185"/>
      <c r="EU184" s="253"/>
      <c r="EV184" s="194"/>
      <c r="EW184" s="185"/>
      <c r="EX184" s="316"/>
      <c r="EY184" s="316"/>
      <c r="EZ184" s="316"/>
      <c r="FA184" s="316"/>
      <c r="FB184" s="316"/>
      <c r="FC184" s="316"/>
      <c r="FD184" s="316"/>
      <c r="FE184" s="316"/>
      <c r="FF184" s="316"/>
      <c r="FG184" s="316"/>
      <c r="FH184" s="316"/>
      <c r="FI184" s="316"/>
      <c r="FJ184" s="316"/>
      <c r="FK184" s="316"/>
      <c r="FL184" s="316"/>
      <c r="FM184" s="316"/>
      <c r="FN184" s="316"/>
      <c r="FO184" s="316"/>
      <c r="FP184" s="316"/>
      <c r="FQ184" s="316"/>
      <c r="FR184" s="185"/>
      <c r="FS184" s="185"/>
      <c r="FT184" s="185"/>
      <c r="FU184" s="185"/>
      <c r="IH184" s="1172"/>
      <c r="II184" s="372"/>
      <c r="IJ184" s="372"/>
      <c r="IK184" s="372"/>
      <c r="IL184" s="372"/>
      <c r="IM184" s="372"/>
      <c r="IN184" s="372"/>
      <c r="IO184" s="372"/>
      <c r="IP184" s="372"/>
      <c r="IQ184" s="372"/>
      <c r="IR184" s="372"/>
      <c r="IS184" s="185"/>
      <c r="NM184" s="408">
        <v>9</v>
      </c>
      <c r="NN184" s="246"/>
      <c r="NO184" s="185">
        <f t="shared" si="267"/>
        <v>1</v>
      </c>
      <c r="NP184" s="185">
        <f t="shared" si="268"/>
        <v>1</v>
      </c>
      <c r="NQ184" s="246">
        <f>IF('Inn forbered'!$CM$27="",0,1)</f>
        <v>0</v>
      </c>
      <c r="NR184" s="187">
        <f>IF($GN$13=TRUE,1,IF($GN$12=2,0,COUNTIF(inputs_checks[[#This Row],[Forberedende arbeider]:[Forskjæring]],1)))</f>
        <v>1</v>
      </c>
      <c r="NS184" s="246"/>
      <c r="NT184" s="246">
        <f>IF('Inn sprengning'!$CJ$32&lt;=0,0,1)</f>
        <v>0</v>
      </c>
      <c r="NU184" s="246">
        <f>IF('Inn sprengning'!$CJ$39="",0,1)</f>
        <v>0</v>
      </c>
      <c r="NV184" s="246">
        <f>IF('Inn sprengning'!$CJ$41="",0,1)</f>
        <v>0</v>
      </c>
      <c r="NW184" s="246">
        <f>IF('Inn sprengning'!$CJ$43="",0,1)</f>
        <v>0</v>
      </c>
      <c r="NX184" s="246">
        <f>IF('Inn sprengning'!$CJ$54="",0,1)</f>
        <v>0</v>
      </c>
      <c r="NY184" s="246">
        <f>IF('Inn sprengning'!$CJ$52="",0,1)</f>
        <v>0</v>
      </c>
      <c r="NZ184" s="246">
        <f>IF('Inn sprengning'!$CJ$56="",0,1)</f>
        <v>0</v>
      </c>
      <c r="OA184" s="246">
        <f>IF('Inn sprengning'!$CJ$58="",0,1)</f>
        <v>0</v>
      </c>
      <c r="OB184" s="246">
        <f>IF('Inn sprengning'!$CJ$60="",0,1)</f>
        <v>0</v>
      </c>
      <c r="OC184" s="246">
        <f>IF('Inn sprengning'!$CJ$62="",0,1)</f>
        <v>0</v>
      </c>
      <c r="OD184" s="246">
        <f>IF('Inn sprengning'!$CJ$64="",0,1)</f>
        <v>0</v>
      </c>
      <c r="OE184" s="246">
        <f>IF('Inn sprengning'!$CJ$66="",0,1)</f>
        <v>0</v>
      </c>
      <c r="OF184" s="246">
        <f>IF('Inn sprengning'!$CJ$68="",0,1)</f>
        <v>0</v>
      </c>
      <c r="OG184" s="185">
        <f>COUNTIF(inputs_checks[[#This Row],[Normal salve volum]:[Redusert salvelengde
og todelt tverrsnitt]],0)</f>
        <v>4</v>
      </c>
      <c r="OH184" s="185">
        <f>COUNTIF(inputs_checks[[#This Row],[grøfter]:[Pumpesump]],0)</f>
        <v>8</v>
      </c>
      <c r="OI184" s="246">
        <f>IF('Inn foran'!$CJ$26="",0,1)</f>
        <v>0</v>
      </c>
      <c r="OJ184" s="246">
        <f>IF('Inn foran'!$CJ$28="",0,1)</f>
        <v>0</v>
      </c>
      <c r="OK184" s="246">
        <f>IF('Inn foran'!$CJ$32="",0,1)</f>
        <v>0</v>
      </c>
      <c r="OL184" s="246">
        <f>IF('Inn foran'!$CJ$42="",0,1)</f>
        <v>0</v>
      </c>
      <c r="OM184" s="246">
        <f>IF('Inn foran'!$CJ$44="",0,1)</f>
        <v>0</v>
      </c>
      <c r="ON184" s="246">
        <f>IF('Inn foran'!$CJ$46="",0,1)</f>
        <v>0</v>
      </c>
      <c r="OO184" s="246"/>
      <c r="OP184" s="246">
        <f>IF('Inn foran'!$CJ$53="",0,1)</f>
        <v>0</v>
      </c>
      <c r="OQ184" s="246">
        <f>IF('Inn foran'!$CJ$55="",0,1)</f>
        <v>0</v>
      </c>
      <c r="OR184" s="246">
        <f>IF('Inn foran'!$CJ$57="",0,1)</f>
        <v>0</v>
      </c>
      <c r="OS184" s="246"/>
      <c r="OT184" s="246">
        <f t="shared" si="269"/>
        <v>3</v>
      </c>
      <c r="OU184" s="246">
        <f t="shared" si="260"/>
        <v>6</v>
      </c>
      <c r="OV184" s="1574">
        <f>IF('Inn stabilitet'!$CJ$34="",0,1)</f>
        <v>0</v>
      </c>
      <c r="OW184" s="1574">
        <f>IF('Inn stabilitet'!$CJ$36="",0,1)</f>
        <v>0</v>
      </c>
      <c r="OX184" s="1574">
        <f>IF('Inn stabilitet'!$CJ$43="",0,1)</f>
        <v>0</v>
      </c>
      <c r="OY184" s="1574">
        <f>IF('Inn stabilitet'!$CJ$45="",0,1)</f>
        <v>0</v>
      </c>
      <c r="OZ184" s="1574">
        <f>IF('Inn stabilitet'!$CJ$52="",0,1)</f>
        <v>0</v>
      </c>
      <c r="PA184" s="1574">
        <f>IF('Inn stabilitet'!$CJ$54="",0,1)</f>
        <v>0</v>
      </c>
      <c r="PB184" s="1574">
        <f>IF('Inn stabilitet'!$CJ$56="",0,1)</f>
        <v>0</v>
      </c>
      <c r="PC184" s="1574">
        <f>IF('Inn stabilitet'!$CJ$65="",0,1)</f>
        <v>0</v>
      </c>
      <c r="PD184" s="1574">
        <f>IF('Inn stabilitet'!$CJ$72="",0,1)</f>
        <v>0</v>
      </c>
      <c r="PE184" s="248">
        <f>IF('Inn stabilitet'!$CJ$79="",0,1)</f>
        <v>0</v>
      </c>
      <c r="PF184" s="248">
        <f>inputs_checks[[#This Row],[sik123]]</f>
        <v>0</v>
      </c>
      <c r="PG184" s="248">
        <f>COUNTIF(inputs_checks[[#This Row],[kartlegging]],0)+COUNTIF(inputs_checks[[#This Row],[manuell]],0)</f>
        <v>2</v>
      </c>
      <c r="PH184" s="1574">
        <f t="shared" si="261"/>
        <v>2</v>
      </c>
      <c r="PI184" s="248">
        <f t="shared" si="262"/>
        <v>3</v>
      </c>
      <c r="PJ184" s="1574">
        <f t="shared" si="263"/>
        <v>1</v>
      </c>
      <c r="PK184" s="1574">
        <f t="shared" si="264"/>
        <v>1</v>
      </c>
      <c r="PL184" s="1574">
        <f t="shared" si="265"/>
        <v>2</v>
      </c>
      <c r="PM184" s="445"/>
      <c r="PN184" s="445"/>
      <c r="PQ184" s="265"/>
      <c r="QH184" s="2617"/>
      <c r="QI184" s="2617"/>
      <c r="QJ184" s="2617"/>
      <c r="QK184" s="2617"/>
      <c r="QL184" s="2617"/>
      <c r="QN184" s="185"/>
      <c r="QO184" s="185" t="s">
        <v>609</v>
      </c>
      <c r="QP184" s="185"/>
      <c r="QQ184" s="185" t="str">
        <f t="shared" si="271"/>
        <v/>
      </c>
      <c r="QR184" s="185" t="str">
        <f t="shared" si="272"/>
        <v/>
      </c>
      <c r="QS184" s="185" t="str">
        <f>$HI$17</f>
        <v/>
      </c>
      <c r="QT184" s="185" t="str">
        <f>$HI$18</f>
        <v/>
      </c>
      <c r="QU184" s="185">
        <v>4</v>
      </c>
      <c r="QZ184" s="2617"/>
      <c r="RA184" s="2617"/>
      <c r="RB184" s="2617"/>
      <c r="RC184" s="2617"/>
      <c r="RD184" s="2617"/>
      <c r="RE184" s="2617"/>
      <c r="RF184" s="2617"/>
      <c r="RG184" s="2617"/>
      <c r="RH184" s="2617"/>
      <c r="RO184" s="183"/>
      <c r="RQ184" s="183"/>
      <c r="RR184" s="210"/>
      <c r="RT184" s="210"/>
      <c r="SR184" s="183"/>
      <c r="SS184" s="183"/>
      <c r="SU184" s="184"/>
      <c r="SV184" s="184"/>
      <c r="UM184" s="1754"/>
      <c r="UX184" s="265"/>
      <c r="VB184" s="402"/>
    </row>
    <row r="185" spans="54:605" ht="20.100000000000001" customHeight="1" x14ac:dyDescent="0.2">
      <c r="ER185" s="340" t="str">
        <f>$NO$67</f>
        <v>Stuff 1-1</v>
      </c>
      <c r="ES185" s="349">
        <f>IF($BC$38=1,0,IF($BC$38=2,1,0))</f>
        <v>1</v>
      </c>
      <c r="ET185" s="237">
        <f>IF($BC$34&gt;0,1,0)</f>
        <v>1</v>
      </c>
      <c r="EU185" s="194">
        <f>INDEX(outputs_position[11],MATCH($BC$35,outputs_position[lopstuff],0))</f>
        <v>1</v>
      </c>
      <c r="EV185" s="194" t="str">
        <f t="shared" ref="EV185:EV193" si="273">ER185</f>
        <v>Stuff 1-1</v>
      </c>
      <c r="EW185" s="185" t="s">
        <v>1154</v>
      </c>
      <c r="EX185" s="4246">
        <f t="shared" ref="EX185:FU185" si="274">IFERROR(EX161/EX$181,0)</f>
        <v>0</v>
      </c>
      <c r="EY185" s="4246">
        <f t="shared" si="274"/>
        <v>0</v>
      </c>
      <c r="EZ185" s="4246">
        <f t="shared" si="274"/>
        <v>0</v>
      </c>
      <c r="FA185" s="4246">
        <f t="shared" si="274"/>
        <v>0</v>
      </c>
      <c r="FB185" s="4246">
        <f t="shared" si="274"/>
        <v>0</v>
      </c>
      <c r="FC185" s="4246">
        <f t="shared" si="274"/>
        <v>0</v>
      </c>
      <c r="FD185" s="4246">
        <f t="shared" si="274"/>
        <v>0</v>
      </c>
      <c r="FE185" s="4246">
        <f t="shared" si="274"/>
        <v>0</v>
      </c>
      <c r="FF185" s="4246">
        <f t="shared" si="274"/>
        <v>0</v>
      </c>
      <c r="FG185" s="4246">
        <f t="shared" si="274"/>
        <v>0</v>
      </c>
      <c r="FH185" s="4246">
        <f t="shared" si="274"/>
        <v>0</v>
      </c>
      <c r="FI185" s="4246">
        <f t="shared" si="274"/>
        <v>0</v>
      </c>
      <c r="FJ185" s="4246">
        <f t="shared" si="274"/>
        <v>0</v>
      </c>
      <c r="FK185" s="4246">
        <f t="shared" si="274"/>
        <v>0</v>
      </c>
      <c r="FL185" s="4246">
        <f t="shared" si="274"/>
        <v>0</v>
      </c>
      <c r="FM185" s="4246">
        <f t="shared" si="274"/>
        <v>0</v>
      </c>
      <c r="FN185" s="4246">
        <f t="shared" si="274"/>
        <v>0</v>
      </c>
      <c r="FO185" s="4246">
        <f t="shared" si="274"/>
        <v>0</v>
      </c>
      <c r="FP185" s="4246">
        <f t="shared" si="274"/>
        <v>0</v>
      </c>
      <c r="FQ185" s="4246">
        <f t="shared" si="274"/>
        <v>0</v>
      </c>
      <c r="FR185" s="4246">
        <f t="shared" si="274"/>
        <v>0</v>
      </c>
      <c r="FS185" s="4246">
        <f t="shared" si="274"/>
        <v>0</v>
      </c>
      <c r="FT185" s="4246">
        <f t="shared" si="274"/>
        <v>0</v>
      </c>
      <c r="FU185" s="4246">
        <f t="shared" si="274"/>
        <v>0</v>
      </c>
      <c r="IH185" s="1172">
        <v>9</v>
      </c>
      <c r="II185" s="1172" t="str">
        <f>$II$112</f>
        <v>Header: stuff navn</v>
      </c>
      <c r="IJ185" s="185"/>
      <c r="IK185" s="194" t="str">
        <f>IK$109</f>
        <v>Stuff 1-1</v>
      </c>
      <c r="IL185" s="194" t="str">
        <f t="shared" ref="IL185:IS185" si="275">IL$109</f>
        <v/>
      </c>
      <c r="IM185" s="194" t="str">
        <f t="shared" si="275"/>
        <v/>
      </c>
      <c r="IN185" s="194" t="str">
        <f t="shared" si="275"/>
        <v/>
      </c>
      <c r="IO185" s="194" t="str">
        <f t="shared" si="275"/>
        <v/>
      </c>
      <c r="IP185" s="194" t="str">
        <f t="shared" si="275"/>
        <v/>
      </c>
      <c r="IQ185" s="194" t="str">
        <f t="shared" si="275"/>
        <v/>
      </c>
      <c r="IR185" s="194" t="str">
        <f t="shared" si="275"/>
        <v/>
      </c>
      <c r="IS185" s="194" t="str">
        <f t="shared" si="275"/>
        <v/>
      </c>
      <c r="NP185" s="2618"/>
      <c r="OU185" s="184"/>
      <c r="PG185" s="184"/>
      <c r="PH185" s="184"/>
      <c r="PI185" s="184"/>
      <c r="PP185" s="183"/>
      <c r="QH185" s="2617"/>
      <c r="QI185" s="2617"/>
      <c r="QJ185" s="2617"/>
      <c r="QK185" s="2617"/>
      <c r="QL185" s="2617"/>
      <c r="QN185" s="372"/>
      <c r="QO185" s="372" t="s">
        <v>610</v>
      </c>
      <c r="QP185" s="372"/>
      <c r="QQ185" s="185" t="str">
        <f t="shared" si="271"/>
        <v/>
      </c>
      <c r="QR185" s="185" t="str">
        <f t="shared" si="272"/>
        <v/>
      </c>
      <c r="QS185" s="185" t="str">
        <f>$HI$17</f>
        <v/>
      </c>
      <c r="QT185" s="185" t="str">
        <f>$HI$18</f>
        <v/>
      </c>
      <c r="QU185" s="185">
        <v>4</v>
      </c>
      <c r="QZ185" s="2617"/>
      <c r="RA185" s="2617"/>
      <c r="RB185" s="2617"/>
      <c r="RC185" s="2617"/>
      <c r="RD185" s="2617"/>
      <c r="RE185" s="2617"/>
      <c r="RF185" s="2617"/>
      <c r="RG185" s="2617"/>
      <c r="RH185" s="2617"/>
      <c r="RO185" s="183"/>
      <c r="RQ185" s="183"/>
      <c r="RR185" s="210"/>
      <c r="RT185" s="210"/>
      <c r="SR185" s="183"/>
      <c r="SS185" s="183"/>
      <c r="SU185" s="184"/>
      <c r="SV185" s="184"/>
      <c r="UM185" s="1754"/>
      <c r="UX185" s="265"/>
      <c r="VB185" s="402"/>
    </row>
    <row r="186" spans="54:605" ht="20.100000000000001" customHeight="1" x14ac:dyDescent="0.2">
      <c r="ER186" s="340" t="str">
        <f>$NO$68</f>
        <v>Stuff 1-2</v>
      </c>
      <c r="ES186" s="349">
        <f>IF($BC$38=1,0,IF($BC$38=2,2,0))</f>
        <v>2</v>
      </c>
      <c r="ET186" s="237">
        <f>IF($BC$34&gt;1,1,0)</f>
        <v>0</v>
      </c>
      <c r="EU186" s="194">
        <f>INDEX(outputs_position[12],MATCH($BC$35,outputs_position[lopstuff],0))</f>
        <v>0</v>
      </c>
      <c r="EV186" s="194" t="str">
        <f t="shared" si="273"/>
        <v>Stuff 1-2</v>
      </c>
      <c r="EW186" s="185" t="s">
        <v>1155</v>
      </c>
      <c r="EX186" s="4246">
        <f t="shared" ref="EX186:FU186" si="276">IFERROR(EX162/EX$181,0)</f>
        <v>0</v>
      </c>
      <c r="EY186" s="4246">
        <f t="shared" si="276"/>
        <v>0</v>
      </c>
      <c r="EZ186" s="4246">
        <f t="shared" si="276"/>
        <v>0</v>
      </c>
      <c r="FA186" s="4246">
        <f t="shared" si="276"/>
        <v>0</v>
      </c>
      <c r="FB186" s="4246">
        <f t="shared" si="276"/>
        <v>0</v>
      </c>
      <c r="FC186" s="4246">
        <f t="shared" si="276"/>
        <v>0</v>
      </c>
      <c r="FD186" s="4246">
        <f t="shared" si="276"/>
        <v>0</v>
      </c>
      <c r="FE186" s="4246">
        <f t="shared" si="276"/>
        <v>0</v>
      </c>
      <c r="FF186" s="4246">
        <f t="shared" si="276"/>
        <v>0</v>
      </c>
      <c r="FG186" s="4246">
        <f t="shared" si="276"/>
        <v>0</v>
      </c>
      <c r="FH186" s="4246">
        <f t="shared" si="276"/>
        <v>0</v>
      </c>
      <c r="FI186" s="4246">
        <f t="shared" si="276"/>
        <v>0</v>
      </c>
      <c r="FJ186" s="4246">
        <f t="shared" si="276"/>
        <v>0</v>
      </c>
      <c r="FK186" s="4246">
        <f t="shared" si="276"/>
        <v>0</v>
      </c>
      <c r="FL186" s="4246">
        <f t="shared" si="276"/>
        <v>0</v>
      </c>
      <c r="FM186" s="4246">
        <f t="shared" si="276"/>
        <v>0</v>
      </c>
      <c r="FN186" s="4246">
        <f t="shared" si="276"/>
        <v>0</v>
      </c>
      <c r="FO186" s="4246">
        <f t="shared" si="276"/>
        <v>0</v>
      </c>
      <c r="FP186" s="4246">
        <f t="shared" si="276"/>
        <v>0</v>
      </c>
      <c r="FQ186" s="4246">
        <f t="shared" si="276"/>
        <v>0</v>
      </c>
      <c r="FR186" s="4246">
        <f t="shared" si="276"/>
        <v>0</v>
      </c>
      <c r="FS186" s="4246">
        <f t="shared" si="276"/>
        <v>0</v>
      </c>
      <c r="FT186" s="4246">
        <f t="shared" si="276"/>
        <v>0</v>
      </c>
      <c r="FU186" s="4246">
        <f t="shared" si="276"/>
        <v>0</v>
      </c>
      <c r="IH186" s="1172"/>
      <c r="II186" s="1172" t="str">
        <f>$II$113</f>
        <v>Side nummer</v>
      </c>
      <c r="IJ186" s="185"/>
      <c r="IK186" s="194" t="str">
        <f>"Side "&amp;$IH185&amp;" av "&amp;_Calcs!$II$100</f>
        <v>Side 9 av 9</v>
      </c>
      <c r="IL186" s="194" t="str">
        <f t="shared" ref="IL186:IS186" si="277">$IK186</f>
        <v>Side 9 av 9</v>
      </c>
      <c r="IM186" s="194" t="str">
        <f t="shared" si="277"/>
        <v>Side 9 av 9</v>
      </c>
      <c r="IN186" s="194" t="str">
        <f t="shared" si="277"/>
        <v>Side 9 av 9</v>
      </c>
      <c r="IO186" s="194" t="str">
        <f t="shared" si="277"/>
        <v>Side 9 av 9</v>
      </c>
      <c r="IP186" s="194" t="str">
        <f t="shared" si="277"/>
        <v>Side 9 av 9</v>
      </c>
      <c r="IQ186" s="194" t="str">
        <f t="shared" si="277"/>
        <v>Side 9 av 9</v>
      </c>
      <c r="IR186" s="194" t="str">
        <f t="shared" si="277"/>
        <v>Side 9 av 9</v>
      </c>
      <c r="IS186" s="194" t="str">
        <f t="shared" si="277"/>
        <v>Side 9 av 9</v>
      </c>
      <c r="OU186" s="184"/>
      <c r="PG186" s="184"/>
      <c r="PH186" s="184"/>
      <c r="PI186" s="184"/>
      <c r="PP186" s="183"/>
      <c r="QH186" s="2617"/>
      <c r="QI186" s="2617"/>
      <c r="QJ186" s="2617"/>
      <c r="QK186" s="2617"/>
      <c r="QL186" s="2617"/>
      <c r="QN186" s="185">
        <v>28</v>
      </c>
      <c r="QO186" s="185" t="s">
        <v>515</v>
      </c>
      <c r="QP186" s="185"/>
      <c r="QQ186" s="3695" t="str">
        <f t="shared" si="271"/>
        <v/>
      </c>
      <c r="QR186" s="340" t="str">
        <f t="shared" si="272"/>
        <v/>
      </c>
      <c r="QS186" s="185" t="str">
        <f>$HI$17</f>
        <v/>
      </c>
      <c r="QT186" s="185" t="str">
        <f>$HI$18</f>
        <v/>
      </c>
      <c r="QU186" s="185">
        <v>4</v>
      </c>
      <c r="QZ186" s="2617"/>
      <c r="RA186" s="2617"/>
      <c r="RB186" s="2617"/>
      <c r="RC186" s="2617"/>
      <c r="RD186" s="2617"/>
      <c r="RE186" s="2617"/>
      <c r="RF186" s="2617"/>
      <c r="RG186" s="2617"/>
      <c r="RH186" s="2617"/>
      <c r="RO186" s="183"/>
      <c r="RQ186" s="183"/>
      <c r="RR186" s="210"/>
      <c r="RT186" s="210"/>
      <c r="SR186" s="183"/>
      <c r="SS186" s="183"/>
      <c r="SU186" s="184"/>
      <c r="SV186" s="184"/>
      <c r="UM186" s="1754"/>
      <c r="UX186" s="265"/>
      <c r="VB186" s="402"/>
    </row>
    <row r="187" spans="54:605" ht="20.100000000000001" customHeight="1" x14ac:dyDescent="0.2">
      <c r="BB187" s="1203" t="s">
        <v>645</v>
      </c>
      <c r="BC187" s="1204"/>
      <c r="BD187" s="1204"/>
      <c r="BE187" s="1204"/>
      <c r="BF187" s="1204"/>
      <c r="ER187" s="340" t="str">
        <f>$NO$69</f>
        <v>Stuff 1-3</v>
      </c>
      <c r="ES187" s="349">
        <f>IF($BC$38=1,0,IF($BC$38=2,3,0))</f>
        <v>3</v>
      </c>
      <c r="ET187" s="237">
        <f>IF($BC$34&gt;2,1,0)</f>
        <v>0</v>
      </c>
      <c r="EU187" s="194">
        <f>INDEX(outputs_position[13],MATCH($BC$35,outputs_position[lopstuff],0))</f>
        <v>0</v>
      </c>
      <c r="EV187" s="194" t="str">
        <f t="shared" si="273"/>
        <v>Stuff 1-3</v>
      </c>
      <c r="EW187" s="185" t="s">
        <v>1156</v>
      </c>
      <c r="EX187" s="4246">
        <f t="shared" ref="EX187:FU187" si="278">IFERROR(EX163/EX$181,0)</f>
        <v>0</v>
      </c>
      <c r="EY187" s="4246">
        <f t="shared" si="278"/>
        <v>0</v>
      </c>
      <c r="EZ187" s="4246">
        <f t="shared" si="278"/>
        <v>0</v>
      </c>
      <c r="FA187" s="4246">
        <f t="shared" si="278"/>
        <v>0</v>
      </c>
      <c r="FB187" s="4246">
        <f t="shared" si="278"/>
        <v>0</v>
      </c>
      <c r="FC187" s="4246">
        <f t="shared" si="278"/>
        <v>0</v>
      </c>
      <c r="FD187" s="4246">
        <f t="shared" si="278"/>
        <v>0</v>
      </c>
      <c r="FE187" s="4246">
        <f t="shared" si="278"/>
        <v>0</v>
      </c>
      <c r="FF187" s="4246">
        <f t="shared" si="278"/>
        <v>0</v>
      </c>
      <c r="FG187" s="4246">
        <f t="shared" si="278"/>
        <v>0</v>
      </c>
      <c r="FH187" s="4246">
        <f t="shared" si="278"/>
        <v>0</v>
      </c>
      <c r="FI187" s="4246">
        <f t="shared" si="278"/>
        <v>0</v>
      </c>
      <c r="FJ187" s="4246">
        <f t="shared" si="278"/>
        <v>0</v>
      </c>
      <c r="FK187" s="4246">
        <f t="shared" si="278"/>
        <v>0</v>
      </c>
      <c r="FL187" s="4246">
        <f t="shared" si="278"/>
        <v>0</v>
      </c>
      <c r="FM187" s="4246">
        <f t="shared" si="278"/>
        <v>0</v>
      </c>
      <c r="FN187" s="4246">
        <f t="shared" si="278"/>
        <v>0</v>
      </c>
      <c r="FO187" s="4246">
        <f t="shared" si="278"/>
        <v>0</v>
      </c>
      <c r="FP187" s="4246">
        <f t="shared" si="278"/>
        <v>0</v>
      </c>
      <c r="FQ187" s="4246">
        <f t="shared" si="278"/>
        <v>0</v>
      </c>
      <c r="FR187" s="4246">
        <f t="shared" si="278"/>
        <v>0</v>
      </c>
      <c r="FS187" s="4246">
        <f t="shared" si="278"/>
        <v>0</v>
      </c>
      <c r="FT187" s="4246">
        <f t="shared" si="278"/>
        <v>0</v>
      </c>
      <c r="FU187" s="4246">
        <f t="shared" si="278"/>
        <v>0</v>
      </c>
      <c r="IH187" s="1172"/>
      <c r="II187" s="1172"/>
      <c r="IJ187" s="185"/>
      <c r="IK187" s="372"/>
      <c r="IL187" s="372"/>
      <c r="IM187" s="372"/>
      <c r="IN187" s="372"/>
      <c r="IO187" s="372"/>
      <c r="IP187" s="372"/>
      <c r="IQ187" s="372"/>
      <c r="IR187" s="372"/>
      <c r="IS187" s="372"/>
      <c r="OU187" s="184"/>
      <c r="PF187" s="183"/>
      <c r="PI187" s="265"/>
      <c r="PP187" s="183"/>
      <c r="QH187" s="2617"/>
      <c r="QI187" s="2617"/>
      <c r="QJ187" s="2617"/>
      <c r="QK187" s="2617"/>
      <c r="QL187" s="2617"/>
      <c r="QZ187" s="2617"/>
      <c r="RA187" s="2617"/>
      <c r="RB187" s="2617"/>
      <c r="RC187" s="2617"/>
      <c r="RD187" s="2617"/>
      <c r="RE187" s="2617"/>
      <c r="RF187" s="2617"/>
      <c r="RG187" s="2617"/>
      <c r="RH187" s="2617"/>
      <c r="RO187" s="183"/>
      <c r="RQ187" s="183"/>
      <c r="RR187" s="210"/>
      <c r="RT187" s="210"/>
      <c r="SR187" s="183"/>
      <c r="SS187" s="183"/>
      <c r="SU187" s="184"/>
      <c r="SV187" s="184"/>
      <c r="UM187" s="1754"/>
      <c r="UX187" s="265"/>
      <c r="VB187" s="402"/>
    </row>
    <row r="188" spans="54:605" ht="20.100000000000001" customHeight="1" x14ac:dyDescent="0.2">
      <c r="ER188" s="340" t="str">
        <f>$NO$70</f>
        <v>Stuff 1-4</v>
      </c>
      <c r="ES188" s="349">
        <f>IF($BC$38=1,0,IF($BC$38=2,4,0))</f>
        <v>4</v>
      </c>
      <c r="ET188" s="237">
        <f>IF($BC$34&gt;3,1,0)</f>
        <v>0</v>
      </c>
      <c r="EU188" s="194">
        <f>INDEX(outputs_position[14],MATCH($BC$35,outputs_position[lopstuff],0))</f>
        <v>0</v>
      </c>
      <c r="EV188" s="194" t="str">
        <f t="shared" si="273"/>
        <v>Stuff 1-4</v>
      </c>
      <c r="EW188" s="185" t="s">
        <v>1157</v>
      </c>
      <c r="EX188" s="4246">
        <f t="shared" ref="EX188:FU188" si="279">IFERROR(EX164/EX$181,0)</f>
        <v>0</v>
      </c>
      <c r="EY188" s="4246">
        <f t="shared" si="279"/>
        <v>0</v>
      </c>
      <c r="EZ188" s="4246">
        <f t="shared" si="279"/>
        <v>0</v>
      </c>
      <c r="FA188" s="4246">
        <f t="shared" si="279"/>
        <v>0</v>
      </c>
      <c r="FB188" s="4246">
        <f t="shared" si="279"/>
        <v>0</v>
      </c>
      <c r="FC188" s="4246">
        <f t="shared" si="279"/>
        <v>0</v>
      </c>
      <c r="FD188" s="4246">
        <f t="shared" si="279"/>
        <v>0</v>
      </c>
      <c r="FE188" s="4246">
        <f t="shared" si="279"/>
        <v>0</v>
      </c>
      <c r="FF188" s="4246">
        <f t="shared" si="279"/>
        <v>0</v>
      </c>
      <c r="FG188" s="4246">
        <f t="shared" si="279"/>
        <v>0</v>
      </c>
      <c r="FH188" s="4246">
        <f t="shared" si="279"/>
        <v>0</v>
      </c>
      <c r="FI188" s="4246">
        <f t="shared" si="279"/>
        <v>0</v>
      </c>
      <c r="FJ188" s="4246">
        <f t="shared" si="279"/>
        <v>0</v>
      </c>
      <c r="FK188" s="4246">
        <f t="shared" si="279"/>
        <v>0</v>
      </c>
      <c r="FL188" s="4246">
        <f t="shared" si="279"/>
        <v>0</v>
      </c>
      <c r="FM188" s="4246">
        <f t="shared" si="279"/>
        <v>0</v>
      </c>
      <c r="FN188" s="4246">
        <f t="shared" si="279"/>
        <v>0</v>
      </c>
      <c r="FO188" s="4246">
        <f t="shared" si="279"/>
        <v>0</v>
      </c>
      <c r="FP188" s="4246">
        <f t="shared" si="279"/>
        <v>0</v>
      </c>
      <c r="FQ188" s="4246">
        <f t="shared" si="279"/>
        <v>0</v>
      </c>
      <c r="FR188" s="4246">
        <f t="shared" si="279"/>
        <v>0</v>
      </c>
      <c r="FS188" s="4246">
        <f t="shared" si="279"/>
        <v>0</v>
      </c>
      <c r="FT188" s="4246">
        <f t="shared" si="279"/>
        <v>0</v>
      </c>
      <c r="FU188" s="4246">
        <f t="shared" si="279"/>
        <v>0</v>
      </c>
      <c r="IH188" s="1172"/>
      <c r="II188" s="1172" t="str">
        <f>$II$116</f>
        <v>Justering</v>
      </c>
      <c r="IJ188" s="185"/>
      <c r="IK188" s="194" t="str">
        <f>_Calcs!$K$87</f>
        <v>Justeringer</v>
      </c>
      <c r="IL188" s="194" t="str">
        <f t="shared" ref="IL188:IS189" si="280">$IK188</f>
        <v>Justeringer</v>
      </c>
      <c r="IM188" s="194" t="str">
        <f t="shared" si="280"/>
        <v>Justeringer</v>
      </c>
      <c r="IN188" s="194" t="str">
        <f t="shared" si="280"/>
        <v>Justeringer</v>
      </c>
      <c r="IO188" s="194" t="str">
        <f t="shared" si="280"/>
        <v>Justeringer</v>
      </c>
      <c r="IP188" s="194" t="str">
        <f t="shared" si="280"/>
        <v>Justeringer</v>
      </c>
      <c r="IQ188" s="194" t="str">
        <f t="shared" si="280"/>
        <v>Justeringer</v>
      </c>
      <c r="IR188" s="194" t="str">
        <f t="shared" si="280"/>
        <v>Justeringer</v>
      </c>
      <c r="IS188" s="194" t="str">
        <f t="shared" si="280"/>
        <v>Justeringer</v>
      </c>
      <c r="OU188" s="184"/>
      <c r="PF188" s="183"/>
      <c r="PI188" s="265"/>
      <c r="PP188" s="183"/>
      <c r="QH188" s="2617"/>
      <c r="QI188" s="2617"/>
      <c r="QJ188" s="2617"/>
      <c r="QK188" s="2617"/>
      <c r="QL188" s="2617"/>
      <c r="QZ188" s="2617"/>
      <c r="RA188" s="2617"/>
      <c r="RB188" s="2617"/>
      <c r="RC188" s="2617"/>
      <c r="RD188" s="2617"/>
      <c r="RE188" s="2617"/>
      <c r="RF188" s="2617"/>
      <c r="RG188" s="2617"/>
      <c r="RH188" s="2617"/>
      <c r="RO188" s="183"/>
      <c r="RQ188" s="183"/>
      <c r="RR188" s="210"/>
      <c r="RT188" s="210"/>
      <c r="SR188" s="183"/>
      <c r="SS188" s="183"/>
      <c r="SU188" s="184"/>
      <c r="SV188" s="184"/>
      <c r="UM188" s="1754"/>
      <c r="UX188" s="265"/>
      <c r="VB188" s="402"/>
    </row>
    <row r="189" spans="54:605" ht="20.100000000000001" customHeight="1" x14ac:dyDescent="0.2">
      <c r="ER189" s="340" t="str">
        <f>$NO$71</f>
        <v>Stuff 2-1</v>
      </c>
      <c r="ES189" s="354">
        <f>IF($BC$38=1,0,IF($BC$38=2,5,0))</f>
        <v>5</v>
      </c>
      <c r="ET189" s="237">
        <f>IF($BC$34&gt;4,1,0)</f>
        <v>0</v>
      </c>
      <c r="EU189" s="194">
        <f>INDEX(outputs_position[21],MATCH($BC$35,outputs_position[lopstuff],0))</f>
        <v>0</v>
      </c>
      <c r="EV189" s="194" t="str">
        <f t="shared" si="273"/>
        <v>Stuff 2-1</v>
      </c>
      <c r="EW189" s="185" t="s">
        <v>1158</v>
      </c>
      <c r="EX189" s="4246">
        <f t="shared" ref="EX189:FU189" si="281">IFERROR(EX165/EX$181,0)</f>
        <v>0</v>
      </c>
      <c r="EY189" s="4246">
        <f t="shared" si="281"/>
        <v>0</v>
      </c>
      <c r="EZ189" s="4246">
        <f t="shared" si="281"/>
        <v>0</v>
      </c>
      <c r="FA189" s="4246">
        <f t="shared" si="281"/>
        <v>0</v>
      </c>
      <c r="FB189" s="4246">
        <f t="shared" si="281"/>
        <v>0</v>
      </c>
      <c r="FC189" s="4246">
        <f t="shared" si="281"/>
        <v>0</v>
      </c>
      <c r="FD189" s="4246">
        <f t="shared" si="281"/>
        <v>0</v>
      </c>
      <c r="FE189" s="4246">
        <f t="shared" si="281"/>
        <v>0</v>
      </c>
      <c r="FF189" s="4246">
        <f t="shared" si="281"/>
        <v>0</v>
      </c>
      <c r="FG189" s="4246">
        <f t="shared" si="281"/>
        <v>0</v>
      </c>
      <c r="FH189" s="4246">
        <f t="shared" si="281"/>
        <v>0</v>
      </c>
      <c r="FI189" s="4246">
        <f t="shared" si="281"/>
        <v>0</v>
      </c>
      <c r="FJ189" s="4246">
        <f t="shared" si="281"/>
        <v>0</v>
      </c>
      <c r="FK189" s="4246">
        <f t="shared" si="281"/>
        <v>0</v>
      </c>
      <c r="FL189" s="4246">
        <f t="shared" si="281"/>
        <v>0</v>
      </c>
      <c r="FM189" s="4246">
        <f t="shared" si="281"/>
        <v>0</v>
      </c>
      <c r="FN189" s="4246">
        <f t="shared" si="281"/>
        <v>0</v>
      </c>
      <c r="FO189" s="4246">
        <f t="shared" si="281"/>
        <v>0</v>
      </c>
      <c r="FP189" s="4246">
        <f t="shared" si="281"/>
        <v>0</v>
      </c>
      <c r="FQ189" s="4246">
        <f t="shared" si="281"/>
        <v>0</v>
      </c>
      <c r="FR189" s="4246">
        <f t="shared" si="281"/>
        <v>0</v>
      </c>
      <c r="FS189" s="4246">
        <f t="shared" si="281"/>
        <v>0</v>
      </c>
      <c r="FT189" s="4246">
        <f t="shared" si="281"/>
        <v>0</v>
      </c>
      <c r="FU189" s="4246">
        <f t="shared" si="281"/>
        <v>0</v>
      </c>
      <c r="IH189" s="1172"/>
      <c r="II189" s="1172" t="s">
        <v>2705</v>
      </c>
      <c r="IJ189" s="185"/>
      <c r="IK189" s="451" t="str">
        <f>_Calcs!$L$83</f>
        <v>Andre faktorer</v>
      </c>
      <c r="IL189" s="451" t="str">
        <f t="shared" si="280"/>
        <v>Andre faktorer</v>
      </c>
      <c r="IM189" s="451" t="str">
        <f t="shared" si="280"/>
        <v>Andre faktorer</v>
      </c>
      <c r="IN189" s="451" t="str">
        <f t="shared" si="280"/>
        <v>Andre faktorer</v>
      </c>
      <c r="IO189" s="451" t="str">
        <f t="shared" si="280"/>
        <v>Andre faktorer</v>
      </c>
      <c r="IP189" s="451" t="str">
        <f t="shared" si="280"/>
        <v>Andre faktorer</v>
      </c>
      <c r="IQ189" s="451" t="str">
        <f t="shared" si="280"/>
        <v>Andre faktorer</v>
      </c>
      <c r="IR189" s="451" t="str">
        <f t="shared" si="280"/>
        <v>Andre faktorer</v>
      </c>
      <c r="IS189" s="451" t="str">
        <f t="shared" si="280"/>
        <v>Andre faktorer</v>
      </c>
      <c r="OU189" s="184"/>
      <c r="PF189" s="183"/>
      <c r="PI189" s="265"/>
      <c r="PP189" s="183"/>
      <c r="QH189" s="2617"/>
      <c r="QI189" s="2617"/>
      <c r="QJ189" s="2617"/>
      <c r="QK189" s="2617"/>
      <c r="QL189" s="2617"/>
      <c r="QZ189" s="2617"/>
      <c r="RA189" s="2617"/>
      <c r="RB189" s="2617"/>
      <c r="RC189" s="2617"/>
      <c r="RD189" s="2617"/>
      <c r="RE189" s="2617"/>
      <c r="RF189" s="2617"/>
      <c r="RG189" s="2617"/>
      <c r="RH189" s="2617"/>
      <c r="RO189" s="183"/>
      <c r="RQ189" s="183"/>
      <c r="RR189" s="210"/>
      <c r="RT189" s="210"/>
      <c r="SR189" s="183"/>
      <c r="SS189" s="183"/>
      <c r="SU189" s="184"/>
      <c r="SV189" s="184"/>
      <c r="UM189" s="1754"/>
      <c r="UX189" s="265"/>
      <c r="VB189" s="402"/>
    </row>
    <row r="190" spans="54:605" ht="20.100000000000001" customHeight="1" x14ac:dyDescent="0.2">
      <c r="ER190" s="340" t="str">
        <f>$NO$72</f>
        <v>Stuff 2-2</v>
      </c>
      <c r="ES190" s="354">
        <f>IF($BC$38=1,0,IF($BC$38=2,6,0))</f>
        <v>6</v>
      </c>
      <c r="ET190" s="237">
        <f>IF($BC$34&gt;5,1,0)</f>
        <v>0</v>
      </c>
      <c r="EU190" s="194">
        <f>INDEX(outputs_position[22],MATCH($BC$35,outputs_position[lopstuff],0))</f>
        <v>0</v>
      </c>
      <c r="EV190" s="194" t="str">
        <f t="shared" si="273"/>
        <v>Stuff 2-2</v>
      </c>
      <c r="EW190" s="185" t="s">
        <v>1159</v>
      </c>
      <c r="EX190" s="4246">
        <f t="shared" ref="EX190:FU190" si="282">IFERROR(EX166/EX$181,0)</f>
        <v>0</v>
      </c>
      <c r="EY190" s="4246">
        <f t="shared" si="282"/>
        <v>0</v>
      </c>
      <c r="EZ190" s="4246">
        <f t="shared" si="282"/>
        <v>0</v>
      </c>
      <c r="FA190" s="4246">
        <f t="shared" si="282"/>
        <v>0</v>
      </c>
      <c r="FB190" s="4246">
        <f t="shared" si="282"/>
        <v>0</v>
      </c>
      <c r="FC190" s="4246">
        <f t="shared" si="282"/>
        <v>0</v>
      </c>
      <c r="FD190" s="4246">
        <f t="shared" si="282"/>
        <v>0</v>
      </c>
      <c r="FE190" s="4246">
        <f t="shared" si="282"/>
        <v>0</v>
      </c>
      <c r="FF190" s="4246">
        <f t="shared" si="282"/>
        <v>0</v>
      </c>
      <c r="FG190" s="4246">
        <f t="shared" si="282"/>
        <v>0</v>
      </c>
      <c r="FH190" s="4246">
        <f t="shared" si="282"/>
        <v>0</v>
      </c>
      <c r="FI190" s="4246">
        <f t="shared" si="282"/>
        <v>0</v>
      </c>
      <c r="FJ190" s="4246">
        <f t="shared" si="282"/>
        <v>0</v>
      </c>
      <c r="FK190" s="4246">
        <f t="shared" si="282"/>
        <v>0</v>
      </c>
      <c r="FL190" s="4246">
        <f t="shared" si="282"/>
        <v>0</v>
      </c>
      <c r="FM190" s="4246">
        <f t="shared" si="282"/>
        <v>0</v>
      </c>
      <c r="FN190" s="4246">
        <f t="shared" si="282"/>
        <v>0</v>
      </c>
      <c r="FO190" s="4246">
        <f t="shared" si="282"/>
        <v>0</v>
      </c>
      <c r="FP190" s="4246">
        <f t="shared" si="282"/>
        <v>0</v>
      </c>
      <c r="FQ190" s="4246">
        <f t="shared" si="282"/>
        <v>0</v>
      </c>
      <c r="FR190" s="4246">
        <f t="shared" si="282"/>
        <v>0</v>
      </c>
      <c r="FS190" s="4246">
        <f t="shared" si="282"/>
        <v>0</v>
      </c>
      <c r="FT190" s="4246">
        <f t="shared" si="282"/>
        <v>0</v>
      </c>
      <c r="FU190" s="4246">
        <f t="shared" si="282"/>
        <v>0</v>
      </c>
      <c r="IH190" s="1172"/>
      <c r="II190" s="5998" t="s">
        <v>2717</v>
      </c>
      <c r="IJ190" s="185"/>
      <c r="IK190" s="194" t="str">
        <f>INDEX(utskrift_just[ann_svar],MATCH(IK$108,utskrift_just[position],0))</f>
        <v>Nei</v>
      </c>
      <c r="IL190" s="194" t="str">
        <f>INDEX(utskrift_just[ann_svar],MATCH(IL$108,utskrift_just[position],0))</f>
        <v>Nei</v>
      </c>
      <c r="IM190" s="194" t="str">
        <f>INDEX(utskrift_just[ann_svar],MATCH(IM$108,utskrift_just[position],0))</f>
        <v>Nei</v>
      </c>
      <c r="IN190" s="194" t="str">
        <f>INDEX(utskrift_just[ann_svar],MATCH(IN$108,utskrift_just[position],0))</f>
        <v>Nei</v>
      </c>
      <c r="IO190" s="194" t="str">
        <f>INDEX(utskrift_just[ann_svar],MATCH(IO$108,utskrift_just[position],0))</f>
        <v>Nei</v>
      </c>
      <c r="IP190" s="194" t="str">
        <f>INDEX(utskrift_just[ann_svar],MATCH(IP$108,utskrift_just[position],0))</f>
        <v>Nei</v>
      </c>
      <c r="IQ190" s="194" t="str">
        <f>INDEX(utskrift_just[ann_svar],MATCH(IQ$108,utskrift_just[position],0))</f>
        <v>Nei</v>
      </c>
      <c r="IR190" s="194" t="str">
        <f>INDEX(utskrift_just[ann_svar],MATCH(IR$108,utskrift_just[position],0))</f>
        <v>Nei</v>
      </c>
      <c r="IS190" s="194" t="str">
        <f>INDEX(utskrift_just[ann_svar],MATCH(IS$108,utskrift_just[position],0))</f>
        <v>Nei</v>
      </c>
      <c r="NM190" s="3862" t="s">
        <v>557</v>
      </c>
      <c r="NN190" s="3862"/>
      <c r="NO190" s="3862"/>
      <c r="OU190" s="184"/>
      <c r="PF190" s="183"/>
      <c r="PI190" s="265"/>
      <c r="PP190" s="183"/>
      <c r="QH190" s="2617"/>
      <c r="QI190" s="2617"/>
      <c r="QJ190" s="2617"/>
      <c r="QK190" s="2617"/>
      <c r="QL190" s="2617"/>
      <c r="QZ190" s="2617"/>
      <c r="RA190" s="2617"/>
      <c r="RB190" s="2617"/>
      <c r="RC190" s="2617"/>
      <c r="RD190" s="2617"/>
      <c r="RE190" s="2617"/>
      <c r="RF190" s="2617"/>
      <c r="RG190" s="2617"/>
      <c r="RH190" s="2617"/>
      <c r="RO190" s="183"/>
      <c r="RQ190" s="183"/>
      <c r="RR190" s="210"/>
      <c r="RT190" s="210"/>
      <c r="SR190" s="183"/>
      <c r="SS190" s="183"/>
      <c r="SU190" s="184"/>
      <c r="SV190" s="184"/>
      <c r="UM190" s="1754"/>
      <c r="UX190" s="265"/>
      <c r="VB190" s="402"/>
    </row>
    <row r="191" spans="54:605" ht="20.100000000000001" customHeight="1" x14ac:dyDescent="0.2">
      <c r="BB191" s="233" t="s">
        <v>643</v>
      </c>
      <c r="BC191" s="185"/>
      <c r="BD191" s="185" t="s">
        <v>425</v>
      </c>
      <c r="ER191" s="340" t="str">
        <f>$NO$73</f>
        <v>Stuff 2-3</v>
      </c>
      <c r="ES191" s="354">
        <f>IF($BC$38=1,0,IF($BC$38=2,7,0))</f>
        <v>7</v>
      </c>
      <c r="ET191" s="237">
        <f>IF($BC$34&gt;6,1,0)</f>
        <v>0</v>
      </c>
      <c r="EU191" s="194">
        <f>INDEX(outputs_position[23],MATCH($BC$35,outputs_position[lopstuff],0))</f>
        <v>0</v>
      </c>
      <c r="EV191" s="194" t="str">
        <f t="shared" si="273"/>
        <v>Stuff 2-3</v>
      </c>
      <c r="EW191" s="185" t="s">
        <v>1160</v>
      </c>
      <c r="EX191" s="4246">
        <f t="shared" ref="EX191:FU191" si="283">IFERROR(EX167/EX$181,0)</f>
        <v>0</v>
      </c>
      <c r="EY191" s="4246">
        <f t="shared" si="283"/>
        <v>0</v>
      </c>
      <c r="EZ191" s="4246">
        <f t="shared" si="283"/>
        <v>0</v>
      </c>
      <c r="FA191" s="4246">
        <f t="shared" si="283"/>
        <v>0</v>
      </c>
      <c r="FB191" s="4246">
        <f t="shared" si="283"/>
        <v>0</v>
      </c>
      <c r="FC191" s="4246">
        <f t="shared" si="283"/>
        <v>0</v>
      </c>
      <c r="FD191" s="4246">
        <f t="shared" si="283"/>
        <v>0</v>
      </c>
      <c r="FE191" s="4246">
        <f t="shared" si="283"/>
        <v>0</v>
      </c>
      <c r="FF191" s="4246">
        <f t="shared" si="283"/>
        <v>0</v>
      </c>
      <c r="FG191" s="4246">
        <f t="shared" si="283"/>
        <v>0</v>
      </c>
      <c r="FH191" s="4246">
        <f t="shared" si="283"/>
        <v>0</v>
      </c>
      <c r="FI191" s="4246">
        <f t="shared" si="283"/>
        <v>0</v>
      </c>
      <c r="FJ191" s="4246">
        <f t="shared" si="283"/>
        <v>0</v>
      </c>
      <c r="FK191" s="4246">
        <f t="shared" si="283"/>
        <v>0</v>
      </c>
      <c r="FL191" s="4246">
        <f t="shared" si="283"/>
        <v>0</v>
      </c>
      <c r="FM191" s="4246">
        <f t="shared" si="283"/>
        <v>0</v>
      </c>
      <c r="FN191" s="4246">
        <f t="shared" si="283"/>
        <v>0</v>
      </c>
      <c r="FO191" s="4246">
        <f t="shared" si="283"/>
        <v>0</v>
      </c>
      <c r="FP191" s="4246">
        <f t="shared" si="283"/>
        <v>0</v>
      </c>
      <c r="FQ191" s="4246">
        <f t="shared" si="283"/>
        <v>0</v>
      </c>
      <c r="FR191" s="4246">
        <f t="shared" si="283"/>
        <v>0</v>
      </c>
      <c r="FS191" s="4246">
        <f t="shared" si="283"/>
        <v>0</v>
      </c>
      <c r="FT191" s="4246">
        <f t="shared" si="283"/>
        <v>0</v>
      </c>
      <c r="FU191" s="4246">
        <f t="shared" si="283"/>
        <v>0</v>
      </c>
      <c r="IH191" s="1172"/>
      <c r="II191" s="5998" t="s">
        <v>2679</v>
      </c>
      <c r="IJ191" s="372"/>
      <c r="IK191" s="212" t="str">
        <f>IF(OR(INDEX(utskrift_just[ann_tid],MATCH(IK$108,utskrift_just[position],0))=1,INDEX(utskrift_just[ann_tid],MATCH(IK$108,utskrift_just[position],0))=-1),INDEX(utskrift_just[ann_tid],MATCH(IK$108,utskrift_just[position],0))&amp;" uke",IF(ISNUMBER(INDEX(utskrift_just[ann_tid],MATCH(IK$108,utskrift_just[position],0)))=TRUE,INDEX(utskrift_just[ann_tid],MATCH(IK$108,utskrift_just[position],0))&amp;" uker",""))</f>
        <v/>
      </c>
      <c r="IL191" s="212" t="str">
        <f>IF(OR(INDEX(utskrift_just[ann_tid],MATCH(IL$108,utskrift_just[position],0))=1,INDEX(utskrift_just[ann_tid],MATCH(IL$108,utskrift_just[position],0))=-1),INDEX(utskrift_just[ann_tid],MATCH(IL$108,utskrift_just[position],0))&amp;" uke",IF(ISNUMBER(INDEX(utskrift_just[ann_tid],MATCH(IL$108,utskrift_just[position],0)))=TRUE,INDEX(utskrift_just[ann_tid],MATCH(IL$108,utskrift_just[position],0))&amp;" uker",""))</f>
        <v/>
      </c>
      <c r="IM191" s="212" t="str">
        <f>IF(OR(INDEX(utskrift_just[ann_tid],MATCH(IM$108,utskrift_just[position],0))=1,INDEX(utskrift_just[ann_tid],MATCH(IM$108,utskrift_just[position],0))=-1),INDEX(utskrift_just[ann_tid],MATCH(IM$108,utskrift_just[position],0))&amp;" uke",IF(ISNUMBER(INDEX(utskrift_just[ann_tid],MATCH(IM$108,utskrift_just[position],0)))=TRUE,INDEX(utskrift_just[ann_tid],MATCH(IM$108,utskrift_just[position],0))&amp;" uker",""))</f>
        <v/>
      </c>
      <c r="IN191" s="212" t="str">
        <f>IF(OR(INDEX(utskrift_just[ann_tid],MATCH(IN$108,utskrift_just[position],0))=1,INDEX(utskrift_just[ann_tid],MATCH(IN$108,utskrift_just[position],0))=-1),INDEX(utskrift_just[ann_tid],MATCH(IN$108,utskrift_just[position],0))&amp;" uke",IF(ISNUMBER(INDEX(utskrift_just[ann_tid],MATCH(IN$108,utskrift_just[position],0)))=TRUE,INDEX(utskrift_just[ann_tid],MATCH(IN$108,utskrift_just[position],0))&amp;" uker",""))</f>
        <v/>
      </c>
      <c r="IO191" s="212" t="str">
        <f>IF(OR(INDEX(utskrift_just[ann_tid],MATCH(IO$108,utskrift_just[position],0))=1,INDEX(utskrift_just[ann_tid],MATCH(IO$108,utskrift_just[position],0))=-1),INDEX(utskrift_just[ann_tid],MATCH(IO$108,utskrift_just[position],0))&amp;" uke",IF(ISNUMBER(INDEX(utskrift_just[ann_tid],MATCH(IO$108,utskrift_just[position],0)))=TRUE,INDEX(utskrift_just[ann_tid],MATCH(IO$108,utskrift_just[position],0))&amp;" uker",""))</f>
        <v/>
      </c>
      <c r="IP191" s="212" t="str">
        <f>IF(OR(INDEX(utskrift_just[ann_tid],MATCH(IP$108,utskrift_just[position],0))=1,INDEX(utskrift_just[ann_tid],MATCH(IP$108,utskrift_just[position],0))=-1),INDEX(utskrift_just[ann_tid],MATCH(IP$108,utskrift_just[position],0))&amp;" uke",IF(ISNUMBER(INDEX(utskrift_just[ann_tid],MATCH(IP$108,utskrift_just[position],0)))=TRUE,INDEX(utskrift_just[ann_tid],MATCH(IP$108,utskrift_just[position],0))&amp;" uker",""))</f>
        <v/>
      </c>
      <c r="IQ191" s="212" t="str">
        <f>IF(OR(INDEX(utskrift_just[ann_tid],MATCH(IQ$108,utskrift_just[position],0))=1,INDEX(utskrift_just[ann_tid],MATCH(IQ$108,utskrift_just[position],0))=-1),INDEX(utskrift_just[ann_tid],MATCH(IQ$108,utskrift_just[position],0))&amp;" uke",IF(ISNUMBER(INDEX(utskrift_just[ann_tid],MATCH(IQ$108,utskrift_just[position],0)))=TRUE,INDEX(utskrift_just[ann_tid],MATCH(IQ$108,utskrift_just[position],0))&amp;" uker",""))</f>
        <v/>
      </c>
      <c r="IR191" s="212" t="str">
        <f>IF(OR(INDEX(utskrift_just[ann_tid],MATCH(IR$108,utskrift_just[position],0))=1,INDEX(utskrift_just[ann_tid],MATCH(IR$108,utskrift_just[position],0))=-1),INDEX(utskrift_just[ann_tid],MATCH(IR$108,utskrift_just[position],0))&amp;" uke",IF(ISNUMBER(INDEX(utskrift_just[ann_tid],MATCH(IR$108,utskrift_just[position],0)))=TRUE,INDEX(utskrift_just[ann_tid],MATCH(IR$108,utskrift_just[position],0))&amp;" uker",""))</f>
        <v/>
      </c>
      <c r="IS191" s="212" t="str">
        <f>IF(OR(INDEX(utskrift_just[ann_tid],MATCH(IS$108,utskrift_just[position],0))=1,INDEX(utskrift_just[ann_tid],MATCH(IS$108,utskrift_just[position],0))=-1),INDEX(utskrift_just[ann_tid],MATCH(IS$108,utskrift_just[position],0))&amp;" uke",IF(ISNUMBER(INDEX(utskrift_just[ann_tid],MATCH(IS$108,utskrift_just[position],0)))=TRUE,INDEX(utskrift_just[ann_tid],MATCH(IS$108,utskrift_just[position],0))&amp;" uker",""))</f>
        <v/>
      </c>
      <c r="OU191" s="184"/>
      <c r="PF191" s="183"/>
      <c r="PI191" s="265"/>
      <c r="PP191" s="183"/>
      <c r="QH191" s="2617"/>
      <c r="QI191" s="2617"/>
      <c r="QJ191" s="2617"/>
      <c r="QK191" s="2617"/>
      <c r="QL191" s="2617"/>
      <c r="QZ191" s="2617"/>
      <c r="RA191" s="2617"/>
      <c r="RB191" s="2617"/>
      <c r="RC191" s="2617"/>
      <c r="RD191" s="2617"/>
      <c r="RE191" s="2617"/>
      <c r="RF191" s="2617"/>
      <c r="RG191" s="2617"/>
      <c r="RH191" s="2617"/>
      <c r="RO191" s="183"/>
      <c r="RQ191" s="183"/>
      <c r="RR191" s="210"/>
      <c r="RT191" s="210"/>
      <c r="SR191" s="183"/>
      <c r="SS191" s="183"/>
      <c r="SU191" s="184"/>
      <c r="SV191" s="184"/>
      <c r="UM191" s="1754"/>
      <c r="UX191" s="265"/>
      <c r="VB191" s="402"/>
    </row>
    <row r="192" spans="54:605" x14ac:dyDescent="0.2">
      <c r="BB192" s="185" t="s">
        <v>642</v>
      </c>
      <c r="BC192" s="185" t="s">
        <v>295</v>
      </c>
      <c r="BD192" s="185">
        <f>IFERROR(IF($BC$38=1,BG168,IF($BC$38=2,BG169)),0)</f>
        <v>0</v>
      </c>
      <c r="ER192" s="340" t="str">
        <f>$NO$74</f>
        <v>Stuff 2-4</v>
      </c>
      <c r="ES192" s="354">
        <f>IF($BC$38=1,0,IF($BC$38=2,8,0))</f>
        <v>8</v>
      </c>
      <c r="ET192" s="237">
        <f>IF($BC$34&gt;7,1,0)</f>
        <v>0</v>
      </c>
      <c r="EU192" s="194">
        <f>INDEX(outputs_position[24],MATCH($BC$35,outputs_position[lopstuff],0))</f>
        <v>0</v>
      </c>
      <c r="EV192" s="194" t="str">
        <f t="shared" si="273"/>
        <v>Stuff 2-4</v>
      </c>
      <c r="EW192" s="185" t="s">
        <v>1161</v>
      </c>
      <c r="EX192" s="4246">
        <f t="shared" ref="EX192:FU192" si="284">IFERROR(EX168/EX$181,0)</f>
        <v>0</v>
      </c>
      <c r="EY192" s="4246">
        <f t="shared" si="284"/>
        <v>0</v>
      </c>
      <c r="EZ192" s="4246">
        <f t="shared" si="284"/>
        <v>0</v>
      </c>
      <c r="FA192" s="4246">
        <f t="shared" si="284"/>
        <v>0</v>
      </c>
      <c r="FB192" s="4246">
        <f t="shared" si="284"/>
        <v>0</v>
      </c>
      <c r="FC192" s="4246">
        <f t="shared" si="284"/>
        <v>0</v>
      </c>
      <c r="FD192" s="4246">
        <f t="shared" si="284"/>
        <v>0</v>
      </c>
      <c r="FE192" s="4246">
        <f t="shared" si="284"/>
        <v>0</v>
      </c>
      <c r="FF192" s="4246">
        <f t="shared" si="284"/>
        <v>0</v>
      </c>
      <c r="FG192" s="4246">
        <f t="shared" si="284"/>
        <v>0</v>
      </c>
      <c r="FH192" s="4246">
        <f t="shared" si="284"/>
        <v>0</v>
      </c>
      <c r="FI192" s="4246">
        <f t="shared" si="284"/>
        <v>0</v>
      </c>
      <c r="FJ192" s="4246">
        <f t="shared" si="284"/>
        <v>0</v>
      </c>
      <c r="FK192" s="4246">
        <f t="shared" si="284"/>
        <v>0</v>
      </c>
      <c r="FL192" s="4246">
        <f t="shared" si="284"/>
        <v>0</v>
      </c>
      <c r="FM192" s="4246">
        <f t="shared" si="284"/>
        <v>0</v>
      </c>
      <c r="FN192" s="4246">
        <f t="shared" si="284"/>
        <v>0</v>
      </c>
      <c r="FO192" s="4246">
        <f t="shared" si="284"/>
        <v>0</v>
      </c>
      <c r="FP192" s="4246">
        <f t="shared" si="284"/>
        <v>0</v>
      </c>
      <c r="FQ192" s="4246">
        <f t="shared" si="284"/>
        <v>0</v>
      </c>
      <c r="FR192" s="4246">
        <f t="shared" si="284"/>
        <v>0</v>
      </c>
      <c r="FS192" s="4246">
        <f t="shared" si="284"/>
        <v>0</v>
      </c>
      <c r="FT192" s="4246">
        <f t="shared" si="284"/>
        <v>0</v>
      </c>
      <c r="FU192" s="4246">
        <f t="shared" si="284"/>
        <v>0</v>
      </c>
      <c r="IH192" s="1172"/>
      <c r="II192" s="5998" t="s">
        <v>138</v>
      </c>
      <c r="IJ192" s="372"/>
      <c r="IK192" s="194" t="str">
        <f>INDEX(utskrift_just[ann_beg],MATCH(IK$108,utskrift_just[position],0))</f>
        <v>-</v>
      </c>
      <c r="IL192" s="194" t="str">
        <f>INDEX(utskrift_just[ann_beg],MATCH(IL$108,utskrift_just[position],0))</f>
        <v>-</v>
      </c>
      <c r="IM192" s="194" t="str">
        <f>INDEX(utskrift_just[ann_beg],MATCH(IM$108,utskrift_just[position],0))</f>
        <v>-</v>
      </c>
      <c r="IN192" s="194" t="str">
        <f>INDEX(utskrift_just[ann_beg],MATCH(IN$108,utskrift_just[position],0))</f>
        <v>-</v>
      </c>
      <c r="IO192" s="194" t="str">
        <f>INDEX(utskrift_just[ann_beg],MATCH(IO$108,utskrift_just[position],0))</f>
        <v>-</v>
      </c>
      <c r="IP192" s="194" t="str">
        <f>INDEX(utskrift_just[ann_beg],MATCH(IP$108,utskrift_just[position],0))</f>
        <v>-</v>
      </c>
      <c r="IQ192" s="194" t="str">
        <f>INDEX(utskrift_just[ann_beg],MATCH(IQ$108,utskrift_just[position],0))</f>
        <v>-</v>
      </c>
      <c r="IR192" s="194" t="str">
        <f>INDEX(utskrift_just[ann_beg],MATCH(IR$108,utskrift_just[position],0))</f>
        <v>-</v>
      </c>
      <c r="IS192" s="194" t="str">
        <f>INDEX(utskrift_just[ann_beg],MATCH(IS$108,utskrift_just[position],0))</f>
        <v>-</v>
      </c>
      <c r="NM192" s="2617"/>
      <c r="NN192" s="2617"/>
      <c r="NO192" s="2617"/>
      <c r="NP192" s="2617"/>
      <c r="NQ192" s="2617"/>
      <c r="NR192" s="2617"/>
      <c r="NS192" s="2617"/>
      <c r="NT192" s="2617"/>
      <c r="NU192" s="2617"/>
      <c r="NV192" s="2617"/>
      <c r="NW192" s="2617"/>
      <c r="OU192" s="184"/>
      <c r="PF192" s="183"/>
      <c r="PI192" s="265"/>
      <c r="PP192" s="183"/>
      <c r="QH192" s="2617"/>
      <c r="QI192" s="2617"/>
      <c r="QJ192" s="2617"/>
      <c r="QK192" s="2617"/>
      <c r="QL192" s="2617"/>
      <c r="QZ192" s="2617"/>
      <c r="RA192" s="2617"/>
      <c r="RB192" s="2617"/>
      <c r="RC192" s="2617"/>
      <c r="RD192" s="2617"/>
      <c r="RE192" s="2617"/>
      <c r="RF192" s="2617"/>
      <c r="RG192" s="2617"/>
      <c r="RH192" s="2617"/>
      <c r="RO192" s="183"/>
      <c r="RQ192" s="183"/>
      <c r="RR192" s="210"/>
      <c r="RT192" s="210"/>
      <c r="SR192" s="183"/>
      <c r="SS192" s="183"/>
      <c r="SU192" s="184"/>
      <c r="SV192" s="184"/>
      <c r="UM192" s="1754"/>
      <c r="UX192" s="265"/>
      <c r="VB192" s="402"/>
    </row>
    <row r="193" spans="54:609" x14ac:dyDescent="0.2">
      <c r="BB193" s="185"/>
      <c r="BC193" s="185" t="s">
        <v>287</v>
      </c>
      <c r="BD193" s="185">
        <f>IFERROR(IF($BC$38=1,BK168,IF($BC$38=2,BK169)),0)</f>
        <v>0</v>
      </c>
      <c r="ER193" s="223" t="s">
        <v>258</v>
      </c>
      <c r="ES193" s="185"/>
      <c r="ET193" s="185">
        <f>$BC$36</f>
        <v>0</v>
      </c>
      <c r="EU193" s="194">
        <f>INDEX(outputs_position[Tverrslag],MATCH($BC$35,outputs_position[lopstuff],0))</f>
        <v>0</v>
      </c>
      <c r="EV193" s="194" t="str">
        <f t="shared" si="273"/>
        <v>Tverrslag</v>
      </c>
      <c r="EW193" s="185" t="s">
        <v>1162</v>
      </c>
      <c r="EX193" s="4246">
        <f t="shared" ref="EX193:FU193" si="285">IFERROR(EX169/EX$181,0)</f>
        <v>0</v>
      </c>
      <c r="EY193" s="4246">
        <f t="shared" si="285"/>
        <v>0</v>
      </c>
      <c r="EZ193" s="4246">
        <f t="shared" si="285"/>
        <v>0</v>
      </c>
      <c r="FA193" s="4246">
        <f t="shared" si="285"/>
        <v>0</v>
      </c>
      <c r="FB193" s="4246">
        <f t="shared" si="285"/>
        <v>0</v>
      </c>
      <c r="FC193" s="4246">
        <f t="shared" si="285"/>
        <v>0</v>
      </c>
      <c r="FD193" s="4246">
        <f t="shared" si="285"/>
        <v>0</v>
      </c>
      <c r="FE193" s="4246">
        <f t="shared" si="285"/>
        <v>0</v>
      </c>
      <c r="FF193" s="4246">
        <f t="shared" si="285"/>
        <v>0</v>
      </c>
      <c r="FG193" s="4246">
        <f t="shared" si="285"/>
        <v>0</v>
      </c>
      <c r="FH193" s="4246">
        <f t="shared" si="285"/>
        <v>0</v>
      </c>
      <c r="FI193" s="4246">
        <f t="shared" si="285"/>
        <v>0</v>
      </c>
      <c r="FJ193" s="4246">
        <f t="shared" si="285"/>
        <v>0</v>
      </c>
      <c r="FK193" s="4246">
        <f t="shared" si="285"/>
        <v>0</v>
      </c>
      <c r="FL193" s="4246">
        <f t="shared" si="285"/>
        <v>0</v>
      </c>
      <c r="FM193" s="4246">
        <f t="shared" si="285"/>
        <v>0</v>
      </c>
      <c r="FN193" s="4246">
        <f t="shared" si="285"/>
        <v>0</v>
      </c>
      <c r="FO193" s="4246">
        <f t="shared" si="285"/>
        <v>0</v>
      </c>
      <c r="FP193" s="4246">
        <f t="shared" si="285"/>
        <v>0</v>
      </c>
      <c r="FQ193" s="4246">
        <f t="shared" si="285"/>
        <v>0</v>
      </c>
      <c r="FR193" s="4246">
        <f t="shared" si="285"/>
        <v>0</v>
      </c>
      <c r="FS193" s="4246">
        <f t="shared" si="285"/>
        <v>0</v>
      </c>
      <c r="FT193" s="4246">
        <f t="shared" si="285"/>
        <v>0</v>
      </c>
      <c r="FU193" s="4246">
        <f t="shared" si="285"/>
        <v>0</v>
      </c>
      <c r="NM193" s="2617"/>
      <c r="NN193" s="2617"/>
      <c r="NO193" s="2617"/>
      <c r="NP193" s="2617"/>
      <c r="NQ193" s="2617"/>
      <c r="NR193" s="2617"/>
      <c r="NS193" s="2617"/>
      <c r="NT193" s="2617"/>
      <c r="NU193" s="2617"/>
      <c r="NV193" s="2617"/>
      <c r="NW193" s="2617"/>
      <c r="OU193" s="184"/>
      <c r="PF193" s="183"/>
      <c r="PI193" s="265"/>
      <c r="PP193" s="183"/>
      <c r="QH193" s="2617"/>
      <c r="QI193" s="2617"/>
      <c r="QJ193" s="2617"/>
      <c r="QK193" s="2617"/>
      <c r="QL193" s="2617"/>
      <c r="QZ193" s="2617"/>
      <c r="RA193" s="2617"/>
      <c r="RB193" s="2617"/>
      <c r="RC193" s="2617"/>
      <c r="RD193" s="2617"/>
      <c r="RE193" s="2617"/>
      <c r="RF193" s="2617"/>
      <c r="RG193" s="2617"/>
      <c r="RH193" s="2617"/>
      <c r="RO193" s="183"/>
      <c r="RQ193" s="183"/>
      <c r="RR193" s="210"/>
      <c r="RT193" s="210"/>
      <c r="SR193" s="183"/>
      <c r="SS193" s="183"/>
      <c r="SU193" s="184"/>
      <c r="SV193" s="184"/>
      <c r="UM193" s="1754"/>
      <c r="UX193" s="265"/>
      <c r="VB193" s="402"/>
    </row>
    <row r="194" spans="54:609" x14ac:dyDescent="0.2">
      <c r="BB194" s="185"/>
      <c r="BC194" s="185" t="s">
        <v>291</v>
      </c>
      <c r="BD194" s="185">
        <f>IF($BC$38=1,$BH$168,IF($BC$38=2,$BH$169))</f>
        <v>0</v>
      </c>
      <c r="FH194" s="181"/>
      <c r="FN194" s="181"/>
      <c r="FO194" s="181"/>
      <c r="FP194" s="181"/>
      <c r="FQ194" s="181"/>
      <c r="NM194" s="2617"/>
      <c r="NN194" s="2617"/>
      <c r="NO194" s="2617"/>
      <c r="NP194" s="2617"/>
      <c r="NQ194" s="2617"/>
      <c r="NR194" s="2617"/>
      <c r="NS194" s="2617"/>
      <c r="NT194" s="2617"/>
      <c r="NU194" s="2617"/>
      <c r="NV194" s="2617"/>
      <c r="NW194" s="2617"/>
      <c r="OU194" s="184"/>
      <c r="PF194" s="183"/>
      <c r="PI194" s="265"/>
      <c r="PP194" s="183"/>
      <c r="RO194" s="183"/>
      <c r="RQ194" s="183"/>
      <c r="RR194" s="210"/>
      <c r="RT194" s="210"/>
      <c r="SR194" s="183"/>
      <c r="SS194" s="183"/>
      <c r="SU194" s="184"/>
      <c r="SV194" s="184"/>
      <c r="UM194" s="1754"/>
      <c r="UX194" s="265"/>
      <c r="VB194" s="402"/>
    </row>
    <row r="195" spans="54:609" x14ac:dyDescent="0.2">
      <c r="BB195" s="185"/>
      <c r="BC195" s="185" t="str">
        <f>'Inn sprengning'!F41</f>
        <v>Todelt tverrsnitt – normal salvelengde</v>
      </c>
      <c r="BD195" s="185">
        <f>IF($BC$38=1,$BI$168,IF($BC$38=2,$BI$169))</f>
        <v>0</v>
      </c>
      <c r="FH195" s="181"/>
      <c r="FN195" s="181"/>
      <c r="FO195" s="181"/>
      <c r="FP195" s="181"/>
      <c r="FQ195" s="181"/>
      <c r="II195" s="435"/>
      <c r="IJ195" s="435"/>
      <c r="IK195" s="435"/>
      <c r="IL195" s="435"/>
      <c r="IM195" s="435"/>
      <c r="IN195" s="435"/>
      <c r="IO195" s="435"/>
      <c r="IP195" s="435"/>
      <c r="IQ195" s="435"/>
      <c r="IR195" s="435"/>
      <c r="IS195" s="435"/>
      <c r="IT195" s="435"/>
      <c r="IU195" s="435"/>
      <c r="IV195" s="435"/>
      <c r="IW195" s="435"/>
      <c r="IX195" s="435"/>
      <c r="IY195" s="435"/>
      <c r="IZ195" s="435"/>
      <c r="JA195" s="435"/>
      <c r="JB195" s="435"/>
      <c r="JC195" s="435"/>
      <c r="JD195" s="435"/>
      <c r="JE195" s="435"/>
      <c r="JF195" s="435"/>
      <c r="JG195" s="435"/>
      <c r="JH195" s="435"/>
      <c r="JI195" s="435"/>
      <c r="JJ195" s="435"/>
      <c r="JK195" s="435"/>
      <c r="JL195" s="435"/>
      <c r="JM195" s="435"/>
      <c r="JN195" s="435"/>
      <c r="JO195" s="435"/>
      <c r="JP195" s="435"/>
      <c r="JQ195" s="435"/>
      <c r="JR195" s="435"/>
      <c r="JS195" s="435"/>
      <c r="JT195" s="435"/>
      <c r="JU195" s="435"/>
      <c r="JV195" s="435"/>
      <c r="JW195" s="435"/>
      <c r="JX195" s="435"/>
      <c r="JY195" s="435"/>
      <c r="JZ195" s="435"/>
      <c r="KA195" s="435"/>
      <c r="KB195" s="435"/>
      <c r="KC195" s="435"/>
      <c r="KD195" s="435"/>
      <c r="KE195" s="435"/>
      <c r="KF195" s="435"/>
      <c r="KG195" s="435"/>
      <c r="KH195" s="435"/>
      <c r="KI195" s="435"/>
      <c r="KJ195" s="435"/>
      <c r="KK195" s="435"/>
      <c r="KL195" s="435"/>
      <c r="KM195" s="435"/>
      <c r="KN195" s="435"/>
      <c r="KO195" s="435"/>
      <c r="KP195" s="435"/>
      <c r="KQ195" s="435"/>
      <c r="KR195" s="435"/>
      <c r="KS195" s="435"/>
      <c r="KT195" s="435"/>
      <c r="KU195" s="435"/>
      <c r="KV195" s="435"/>
      <c r="KW195" s="435"/>
      <c r="KX195" s="435"/>
      <c r="KY195" s="435"/>
      <c r="KZ195" s="435"/>
      <c r="LA195" s="435"/>
      <c r="LB195" s="435"/>
      <c r="LC195" s="435"/>
      <c r="LD195" s="435"/>
      <c r="LE195" s="435"/>
      <c r="LF195" s="435"/>
      <c r="LG195" s="435"/>
      <c r="LH195" s="435"/>
      <c r="LI195" s="435"/>
      <c r="LJ195" s="435"/>
      <c r="LK195" s="435"/>
      <c r="LL195" s="435"/>
      <c r="LM195" s="435"/>
      <c r="LN195" s="435"/>
      <c r="LO195" s="435"/>
      <c r="LP195" s="435"/>
      <c r="LQ195" s="435"/>
      <c r="LR195" s="435"/>
      <c r="LS195" s="435"/>
      <c r="LT195" s="435"/>
      <c r="LU195" s="435"/>
      <c r="LV195" s="435"/>
      <c r="LW195" s="435"/>
      <c r="LX195" s="435"/>
      <c r="LY195" s="435"/>
      <c r="LZ195" s="435"/>
      <c r="MA195" s="435"/>
      <c r="MB195" s="435"/>
      <c r="MC195" s="435"/>
      <c r="MD195" s="435"/>
      <c r="ME195" s="435"/>
      <c r="MF195" s="435"/>
      <c r="MG195" s="435"/>
      <c r="MH195" s="435"/>
      <c r="MI195" s="435"/>
      <c r="MJ195" s="435"/>
      <c r="MK195" s="435"/>
      <c r="ML195" s="435"/>
      <c r="MM195" s="435"/>
      <c r="MN195" s="435"/>
      <c r="MO195" s="435"/>
      <c r="MP195" s="435"/>
      <c r="MQ195" s="435"/>
      <c r="MR195" s="435"/>
      <c r="MS195" s="435"/>
      <c r="MT195" s="435"/>
      <c r="MU195" s="435"/>
      <c r="MV195" s="435"/>
      <c r="MW195" s="435"/>
      <c r="MX195" s="435"/>
      <c r="NM195" s="2617"/>
      <c r="NN195" s="2617"/>
      <c r="NO195" s="2617"/>
      <c r="NP195" s="2617"/>
      <c r="NQ195" s="2617"/>
      <c r="NR195" s="2617"/>
      <c r="NS195" s="2617"/>
      <c r="NT195" s="2617"/>
      <c r="NU195" s="2617"/>
      <c r="NV195" s="2617"/>
      <c r="NW195" s="2617"/>
      <c r="OU195" s="184"/>
      <c r="PF195" s="183"/>
      <c r="PI195" s="265"/>
      <c r="PP195" s="183"/>
      <c r="RO195" s="183"/>
      <c r="RQ195" s="183"/>
      <c r="RR195" s="210"/>
      <c r="RT195" s="210"/>
      <c r="SR195" s="183"/>
      <c r="SS195" s="183"/>
      <c r="SU195" s="184"/>
      <c r="SV195" s="184"/>
      <c r="UM195" s="1754"/>
      <c r="UX195" s="265"/>
      <c r="VB195" s="402"/>
    </row>
    <row r="196" spans="54:609" x14ac:dyDescent="0.2">
      <c r="BB196" s="185"/>
      <c r="BC196" s="185" t="str">
        <f>'Inn sprengning'!F43</f>
        <v>Todelt tverrsnitt – redusert salvelengde</v>
      </c>
      <c r="BD196" s="185">
        <f>IF($BC$38=1,$BJ$168,IF($BC$38=2,$BJ$169))</f>
        <v>0</v>
      </c>
      <c r="FH196" s="181"/>
      <c r="FN196" s="181"/>
      <c r="FO196" s="181"/>
      <c r="FP196" s="181"/>
      <c r="FQ196" s="181"/>
      <c r="II196" s="435"/>
      <c r="IJ196" s="435"/>
      <c r="IK196" s="435"/>
      <c r="IL196" s="435"/>
      <c r="IM196" s="435"/>
      <c r="IN196" s="435"/>
      <c r="IO196" s="435"/>
      <c r="IP196" s="435"/>
      <c r="IQ196" s="435"/>
      <c r="IR196" s="435"/>
      <c r="IS196" s="435"/>
      <c r="IT196" s="435"/>
      <c r="IU196" s="435"/>
      <c r="IV196" s="435"/>
      <c r="IW196" s="435"/>
      <c r="IX196" s="435"/>
      <c r="IY196" s="435"/>
      <c r="IZ196" s="435"/>
      <c r="JA196" s="435"/>
      <c r="JB196" s="435"/>
      <c r="JC196" s="435"/>
      <c r="JD196" s="435"/>
      <c r="JE196" s="435"/>
      <c r="JF196" s="435"/>
      <c r="JG196" s="435"/>
      <c r="JH196" s="435"/>
      <c r="JI196" s="435"/>
      <c r="JJ196" s="435"/>
      <c r="JK196" s="435"/>
      <c r="JL196" s="435"/>
      <c r="JM196" s="435"/>
      <c r="JN196" s="435"/>
      <c r="JO196" s="435"/>
      <c r="JP196" s="435"/>
      <c r="JQ196" s="435"/>
      <c r="JR196" s="435"/>
      <c r="JS196" s="435"/>
      <c r="JT196" s="435"/>
      <c r="JU196" s="435"/>
      <c r="JV196" s="435"/>
      <c r="JW196" s="435"/>
      <c r="JX196" s="435"/>
      <c r="JY196" s="435"/>
      <c r="JZ196" s="435"/>
      <c r="KA196" s="435"/>
      <c r="KB196" s="435"/>
      <c r="KC196" s="435"/>
      <c r="KD196" s="435"/>
      <c r="KE196" s="435"/>
      <c r="KF196" s="435"/>
      <c r="KG196" s="435"/>
      <c r="KH196" s="435"/>
      <c r="KI196" s="435"/>
      <c r="KJ196" s="435"/>
      <c r="KK196" s="435"/>
      <c r="KL196" s="435"/>
      <c r="KM196" s="435"/>
      <c r="KN196" s="435"/>
      <c r="KO196" s="435"/>
      <c r="KP196" s="435"/>
      <c r="KQ196" s="435"/>
      <c r="KR196" s="435"/>
      <c r="KS196" s="435"/>
      <c r="KT196" s="435"/>
      <c r="KU196" s="435"/>
      <c r="KV196" s="435"/>
      <c r="KW196" s="435"/>
      <c r="KX196" s="435"/>
      <c r="KY196" s="435"/>
      <c r="KZ196" s="435"/>
      <c r="LA196" s="435"/>
      <c r="LB196" s="435"/>
      <c r="LC196" s="435"/>
      <c r="LD196" s="435"/>
      <c r="LE196" s="435"/>
      <c r="LF196" s="435"/>
      <c r="LG196" s="435"/>
      <c r="LH196" s="435"/>
      <c r="LI196" s="435"/>
      <c r="LJ196" s="435"/>
      <c r="LK196" s="435"/>
      <c r="LL196" s="435"/>
      <c r="LM196" s="435"/>
      <c r="LN196" s="435"/>
      <c r="LO196" s="435"/>
      <c r="LP196" s="435"/>
      <c r="LQ196" s="435"/>
      <c r="LR196" s="435"/>
      <c r="LS196" s="435"/>
      <c r="LT196" s="435"/>
      <c r="LU196" s="435"/>
      <c r="LV196" s="435"/>
      <c r="LW196" s="435"/>
      <c r="LX196" s="435"/>
      <c r="LY196" s="435"/>
      <c r="LZ196" s="435"/>
      <c r="MA196" s="435"/>
      <c r="MB196" s="435"/>
      <c r="MC196" s="435"/>
      <c r="MD196" s="435"/>
      <c r="ME196" s="435"/>
      <c r="MF196" s="435"/>
      <c r="MG196" s="435"/>
      <c r="MH196" s="435"/>
      <c r="MI196" s="435"/>
      <c r="MJ196" s="435"/>
      <c r="MK196" s="435"/>
      <c r="ML196" s="435"/>
      <c r="MM196" s="435"/>
      <c r="MN196" s="435"/>
      <c r="MO196" s="435"/>
      <c r="MP196" s="435"/>
      <c r="MQ196" s="435"/>
      <c r="MR196" s="435"/>
      <c r="MS196" s="435"/>
      <c r="MT196" s="435"/>
      <c r="MU196" s="435"/>
      <c r="MV196" s="435"/>
      <c r="MW196" s="435"/>
      <c r="MX196" s="435"/>
      <c r="NE196" s="435"/>
      <c r="NF196" s="435"/>
      <c r="NG196" s="435"/>
      <c r="NH196" s="435"/>
      <c r="NI196" s="435"/>
      <c r="NJ196" s="435"/>
      <c r="NK196" s="435"/>
      <c r="NL196" s="435"/>
      <c r="NM196" s="3460"/>
      <c r="NN196" s="3460"/>
      <c r="NO196" s="3460"/>
      <c r="NP196" s="3460"/>
      <c r="NQ196" s="3460"/>
      <c r="NR196" s="3460"/>
      <c r="NS196" s="3460"/>
      <c r="NT196" s="3460"/>
      <c r="NU196" s="3460"/>
      <c r="NV196" s="3460"/>
      <c r="NW196" s="3460"/>
      <c r="NX196" s="435"/>
      <c r="NY196" s="435"/>
      <c r="NZ196" s="435"/>
      <c r="OA196" s="435"/>
      <c r="OB196" s="435"/>
      <c r="OC196" s="435"/>
      <c r="OD196" s="435"/>
      <c r="OE196" s="435"/>
      <c r="OF196" s="435"/>
      <c r="OG196" s="435"/>
      <c r="OH196" s="435"/>
      <c r="OI196" s="435"/>
      <c r="OJ196" s="435"/>
      <c r="OK196" s="435"/>
      <c r="OL196" s="435"/>
      <c r="OM196" s="435"/>
      <c r="ON196" s="435"/>
      <c r="OO196" s="435"/>
      <c r="OP196" s="435"/>
      <c r="OQ196" s="435"/>
      <c r="OR196" s="435"/>
      <c r="OS196" s="435"/>
      <c r="OT196" s="435"/>
      <c r="OU196" s="435"/>
      <c r="OV196" s="435"/>
      <c r="OW196" s="435"/>
      <c r="OX196" s="435"/>
      <c r="OY196" s="435"/>
      <c r="OZ196" s="435"/>
      <c r="PA196" s="435"/>
      <c r="PB196" s="435"/>
      <c r="PC196" s="435"/>
      <c r="PD196" s="435"/>
      <c r="PE196" s="435"/>
      <c r="PF196" s="435"/>
      <c r="PG196" s="435"/>
      <c r="PH196" s="435"/>
      <c r="PI196" s="435"/>
      <c r="PJ196" s="435"/>
      <c r="PK196" s="435"/>
      <c r="PL196" s="435"/>
      <c r="PM196" s="435"/>
      <c r="PN196" s="435"/>
      <c r="PO196" s="435"/>
      <c r="PP196" s="435"/>
      <c r="PQ196" s="435"/>
      <c r="PR196" s="435"/>
      <c r="PS196" s="435"/>
      <c r="PT196" s="435"/>
      <c r="PU196" s="435"/>
      <c r="UM196" s="1754"/>
    </row>
    <row r="197" spans="54:609" x14ac:dyDescent="0.2">
      <c r="BC197" s="185" t="s">
        <v>2634</v>
      </c>
      <c r="BD197" s="185">
        <f>IF($BC$38=1,$BL$168,IF($BC$38=2,$BL$169))</f>
        <v>0</v>
      </c>
      <c r="FH197" s="181"/>
      <c r="FN197" s="181"/>
      <c r="FO197" s="181"/>
      <c r="FP197" s="181"/>
      <c r="FQ197" s="181"/>
      <c r="II197" s="435"/>
      <c r="IJ197" s="435"/>
      <c r="IK197" s="435"/>
      <c r="IL197" s="435"/>
      <c r="IM197" s="435"/>
      <c r="IN197" s="435"/>
      <c r="IO197" s="435"/>
      <c r="IP197" s="435"/>
      <c r="IQ197" s="435"/>
      <c r="IR197" s="435"/>
      <c r="IS197" s="435"/>
      <c r="IT197" s="435"/>
      <c r="IU197" s="435"/>
      <c r="IV197" s="435"/>
      <c r="IW197" s="435"/>
      <c r="IX197" s="435"/>
      <c r="IY197" s="435"/>
      <c r="IZ197" s="435"/>
      <c r="JA197" s="435"/>
      <c r="JB197" s="435"/>
      <c r="JC197" s="435"/>
      <c r="JD197" s="435"/>
      <c r="JE197" s="435"/>
      <c r="JF197" s="435"/>
      <c r="JG197" s="435"/>
      <c r="JH197" s="435"/>
      <c r="JI197" s="435"/>
      <c r="JJ197" s="435"/>
      <c r="JK197" s="435"/>
      <c r="JL197" s="435"/>
      <c r="JM197" s="435"/>
      <c r="JN197" s="435"/>
      <c r="JO197" s="435"/>
      <c r="JP197" s="435"/>
      <c r="JQ197" s="435"/>
      <c r="JR197" s="435"/>
      <c r="JS197" s="435"/>
      <c r="JT197" s="435"/>
      <c r="JU197" s="435"/>
      <c r="JV197" s="435"/>
      <c r="JW197" s="435"/>
      <c r="JX197" s="435"/>
      <c r="JY197" s="435"/>
      <c r="JZ197" s="435"/>
      <c r="KA197" s="435"/>
      <c r="KB197" s="435"/>
      <c r="KC197" s="435"/>
      <c r="KD197" s="435"/>
      <c r="KE197" s="435"/>
      <c r="KF197" s="435"/>
      <c r="KG197" s="435"/>
      <c r="KH197" s="435"/>
      <c r="KI197" s="435"/>
      <c r="KJ197" s="435"/>
      <c r="KK197" s="435"/>
      <c r="KL197" s="435"/>
      <c r="KM197" s="435"/>
      <c r="KN197" s="435"/>
      <c r="KO197" s="435"/>
      <c r="KP197" s="435"/>
      <c r="KQ197" s="435"/>
      <c r="KR197" s="435"/>
      <c r="KS197" s="435"/>
      <c r="KT197" s="435"/>
      <c r="KU197" s="435"/>
      <c r="KV197" s="435"/>
      <c r="KW197" s="435"/>
      <c r="KX197" s="435"/>
      <c r="KY197" s="435"/>
      <c r="KZ197" s="435"/>
      <c r="LA197" s="435"/>
      <c r="LB197" s="435"/>
      <c r="LC197" s="435"/>
      <c r="LD197" s="435"/>
      <c r="LE197" s="435"/>
      <c r="LF197" s="435"/>
      <c r="LG197" s="435"/>
      <c r="LH197" s="435"/>
      <c r="LI197" s="435"/>
      <c r="LJ197" s="435"/>
      <c r="LK197" s="435"/>
      <c r="LL197" s="435"/>
      <c r="LM197" s="435"/>
      <c r="LN197" s="435"/>
      <c r="LO197" s="435"/>
      <c r="LP197" s="435"/>
      <c r="LQ197" s="435"/>
      <c r="LR197" s="435"/>
      <c r="LS197" s="435"/>
      <c r="LT197" s="435"/>
      <c r="LU197" s="435"/>
      <c r="LV197" s="435"/>
      <c r="LW197" s="435"/>
      <c r="LX197" s="435"/>
      <c r="LY197" s="435"/>
      <c r="LZ197" s="435"/>
      <c r="MA197" s="435"/>
      <c r="MB197" s="435"/>
      <c r="MC197" s="435"/>
      <c r="MD197" s="435"/>
      <c r="ME197" s="435"/>
      <c r="MF197" s="435"/>
      <c r="MG197" s="435"/>
      <c r="MH197" s="435"/>
      <c r="MI197" s="435"/>
      <c r="MJ197" s="435"/>
      <c r="MK197" s="435"/>
      <c r="ML197" s="435"/>
      <c r="MM197" s="435"/>
      <c r="MN197" s="435"/>
      <c r="MO197" s="435"/>
      <c r="MP197" s="435"/>
      <c r="MQ197" s="435"/>
      <c r="MR197" s="435"/>
      <c r="MS197" s="435"/>
      <c r="MT197" s="435"/>
      <c r="MU197" s="435"/>
      <c r="MV197" s="435"/>
      <c r="MW197" s="435"/>
      <c r="MX197" s="435"/>
      <c r="NE197" s="435"/>
      <c r="NF197" s="435"/>
      <c r="NG197" s="435"/>
      <c r="NH197" s="435"/>
      <c r="NI197" s="435"/>
      <c r="NJ197" s="435"/>
      <c r="NK197" s="435"/>
      <c r="NL197" s="435"/>
      <c r="NM197" s="3460"/>
      <c r="NN197" s="3460"/>
      <c r="NO197" s="3460"/>
      <c r="NP197" s="3460"/>
      <c r="NQ197" s="3460"/>
      <c r="NR197" s="3460"/>
      <c r="NS197" s="3460"/>
      <c r="NT197" s="3460"/>
      <c r="NU197" s="3460"/>
      <c r="NV197" s="3460"/>
      <c r="NW197" s="3460"/>
      <c r="NX197" s="435"/>
      <c r="NY197" s="435"/>
      <c r="NZ197" s="435"/>
      <c r="OA197" s="435"/>
      <c r="OB197" s="435"/>
      <c r="OC197" s="435"/>
      <c r="OD197" s="435"/>
      <c r="OE197" s="435"/>
      <c r="OF197" s="435"/>
      <c r="OG197" s="435"/>
      <c r="OH197" s="435"/>
      <c r="OI197" s="435"/>
      <c r="OJ197" s="435"/>
      <c r="OK197" s="435"/>
      <c r="OL197" s="435"/>
      <c r="OM197" s="435"/>
      <c r="ON197" s="435"/>
      <c r="OO197" s="435"/>
      <c r="OP197" s="435"/>
      <c r="OQ197" s="435"/>
      <c r="OR197" s="435"/>
      <c r="OS197" s="435"/>
      <c r="OT197" s="435"/>
      <c r="OU197" s="435"/>
      <c r="OV197" s="435"/>
      <c r="OW197" s="435"/>
      <c r="OX197" s="435"/>
      <c r="OY197" s="435"/>
      <c r="OZ197" s="435"/>
      <c r="PA197" s="435"/>
      <c r="PB197" s="435"/>
      <c r="PC197" s="435"/>
      <c r="PD197" s="435"/>
      <c r="PE197" s="435"/>
      <c r="PF197" s="435"/>
      <c r="PG197" s="435"/>
      <c r="PH197" s="435"/>
      <c r="PI197" s="435"/>
      <c r="PJ197" s="435"/>
      <c r="PK197" s="435"/>
      <c r="PL197" s="435"/>
      <c r="PM197" s="435"/>
      <c r="PN197" s="435"/>
      <c r="PO197" s="435"/>
      <c r="PP197" s="435"/>
      <c r="PQ197" s="435"/>
      <c r="PR197" s="435"/>
      <c r="PS197" s="435"/>
      <c r="PT197" s="435"/>
      <c r="PU197" s="435"/>
      <c r="UM197" s="1754"/>
    </row>
    <row r="198" spans="54:609" ht="30.75" x14ac:dyDescent="0.2">
      <c r="BC198" s="185" t="str">
        <f>'Inn sprengning'!F54</f>
        <v>Nisjer</v>
      </c>
      <c r="BD198" s="185">
        <f>IF($BC$38=1,$BM$168,IF($BC$38=2,$BM$169))</f>
        <v>0</v>
      </c>
      <c r="ER198" s="329" t="s">
        <v>2747</v>
      </c>
      <c r="ES198" s="328"/>
      <c r="ET198" s="328"/>
      <c r="EU198" s="328"/>
      <c r="II198" s="435"/>
      <c r="IJ198" s="435"/>
      <c r="IK198" s="435"/>
      <c r="IL198" s="435"/>
      <c r="IM198" s="435"/>
      <c r="IN198" s="435"/>
      <c r="IO198" s="435"/>
      <c r="IP198" s="435"/>
      <c r="IQ198" s="435"/>
      <c r="IR198" s="435"/>
      <c r="IS198" s="435"/>
      <c r="IT198" s="435"/>
      <c r="IU198" s="435"/>
      <c r="IV198" s="435"/>
      <c r="IW198" s="435"/>
      <c r="IX198" s="435"/>
      <c r="IY198" s="435"/>
      <c r="IZ198" s="435"/>
      <c r="JA198" s="435"/>
      <c r="JB198" s="435"/>
      <c r="JC198" s="435"/>
      <c r="JD198" s="435"/>
      <c r="JE198" s="435"/>
      <c r="JF198" s="435"/>
      <c r="JG198" s="435"/>
      <c r="JH198" s="435"/>
      <c r="JI198" s="435"/>
      <c r="JJ198" s="435"/>
      <c r="JK198" s="435"/>
      <c r="JL198" s="435"/>
      <c r="JM198" s="435"/>
      <c r="JN198" s="435"/>
      <c r="JO198" s="435"/>
      <c r="JP198" s="435"/>
      <c r="JQ198" s="435"/>
      <c r="JR198" s="435"/>
      <c r="JS198" s="435"/>
      <c r="JT198" s="435"/>
      <c r="JU198" s="435"/>
      <c r="JV198" s="435"/>
      <c r="JW198" s="435"/>
      <c r="JX198" s="435"/>
      <c r="JY198" s="435"/>
      <c r="JZ198" s="435"/>
      <c r="KA198" s="435"/>
      <c r="KB198" s="435"/>
      <c r="KC198" s="435"/>
      <c r="KD198" s="435"/>
      <c r="KE198" s="435"/>
      <c r="KF198" s="435"/>
      <c r="KG198" s="435"/>
      <c r="KH198" s="435"/>
      <c r="KI198" s="435"/>
      <c r="KJ198" s="435"/>
      <c r="KK198" s="435"/>
      <c r="KL198" s="435"/>
      <c r="KM198" s="435"/>
      <c r="KN198" s="435"/>
      <c r="KO198" s="435"/>
      <c r="KP198" s="435"/>
      <c r="KQ198" s="435"/>
      <c r="KR198" s="435"/>
      <c r="KS198" s="435"/>
      <c r="KT198" s="435"/>
      <c r="KU198" s="435"/>
      <c r="KV198" s="435"/>
      <c r="KW198" s="435"/>
      <c r="KX198" s="435"/>
      <c r="KY198" s="435"/>
      <c r="KZ198" s="435"/>
      <c r="LA198" s="435"/>
      <c r="LB198" s="435"/>
      <c r="LC198" s="435"/>
      <c r="LD198" s="435"/>
      <c r="LE198" s="435"/>
      <c r="LF198" s="435"/>
      <c r="LG198" s="435"/>
      <c r="LH198" s="435"/>
      <c r="LI198" s="435"/>
      <c r="LJ198" s="435"/>
      <c r="LK198" s="435"/>
      <c r="LL198" s="435"/>
      <c r="LM198" s="435"/>
      <c r="LN198" s="435"/>
      <c r="LO198" s="435"/>
      <c r="LP198" s="435"/>
      <c r="LQ198" s="435"/>
      <c r="LR198" s="435"/>
      <c r="LS198" s="435"/>
      <c r="LT198" s="435"/>
      <c r="LU198" s="435"/>
      <c r="LV198" s="435"/>
      <c r="LW198" s="435"/>
      <c r="LX198" s="435"/>
      <c r="LY198" s="435"/>
      <c r="LZ198" s="435"/>
      <c r="MA198" s="435"/>
      <c r="MB198" s="435"/>
      <c r="MC198" s="435"/>
      <c r="MD198" s="435"/>
      <c r="ME198" s="435"/>
      <c r="MF198" s="435"/>
      <c r="MG198" s="435"/>
      <c r="MH198" s="435"/>
      <c r="MI198" s="435"/>
      <c r="MJ198" s="435"/>
      <c r="MK198" s="435"/>
      <c r="ML198" s="435"/>
      <c r="MM198" s="435"/>
      <c r="MN198" s="435"/>
      <c r="MO198" s="435"/>
      <c r="MP198" s="435"/>
      <c r="MQ198" s="435"/>
      <c r="MR198" s="435"/>
      <c r="MS198" s="435"/>
      <c r="MT198" s="435"/>
      <c r="MU198" s="435"/>
      <c r="MV198" s="435"/>
      <c r="MW198" s="435"/>
      <c r="MX198" s="435"/>
      <c r="NE198" s="435"/>
      <c r="NF198" s="435"/>
      <c r="NG198" s="435"/>
      <c r="NH198" s="435"/>
      <c r="NI198" s="435"/>
      <c r="NJ198" s="435"/>
      <c r="NK198" s="435"/>
      <c r="NL198" s="435"/>
      <c r="NM198" s="3460"/>
      <c r="NN198" s="3460"/>
      <c r="NO198" s="3460"/>
      <c r="NP198" s="6243"/>
      <c r="NQ198" s="3460"/>
      <c r="NR198" s="3460"/>
      <c r="NS198" s="3460"/>
      <c r="NT198" s="3460"/>
      <c r="NU198" s="3460"/>
      <c r="NV198" s="3460"/>
      <c r="NW198" s="3460"/>
      <c r="NX198" s="435"/>
      <c r="NY198" s="435"/>
      <c r="NZ198" s="435"/>
      <c r="OA198" s="435"/>
      <c r="OB198" s="435"/>
      <c r="OC198" s="435"/>
      <c r="OD198" s="435"/>
      <c r="OE198" s="435"/>
      <c r="OF198" s="435"/>
      <c r="OG198" s="435"/>
      <c r="OH198" s="435"/>
      <c r="OI198" s="435"/>
      <c r="OJ198" s="435"/>
      <c r="OK198" s="435"/>
      <c r="OL198" s="435"/>
      <c r="OM198" s="435"/>
      <c r="ON198" s="435"/>
      <c r="OO198" s="435"/>
      <c r="OP198" s="435"/>
      <c r="OQ198" s="435"/>
      <c r="OR198" s="435"/>
      <c r="OS198" s="435"/>
      <c r="OT198" s="435"/>
      <c r="OU198" s="435"/>
      <c r="OV198" s="435"/>
      <c r="OW198" s="435"/>
      <c r="OX198" s="435"/>
      <c r="OY198" s="435"/>
      <c r="OZ198" s="435"/>
      <c r="PA198" s="435"/>
      <c r="PB198" s="435"/>
      <c r="PC198" s="435"/>
      <c r="PD198" s="435"/>
      <c r="PE198" s="435"/>
      <c r="PF198" s="435"/>
      <c r="PG198" s="435"/>
      <c r="PH198" s="435"/>
      <c r="PI198" s="435"/>
      <c r="PJ198" s="435"/>
      <c r="PK198" s="435"/>
      <c r="PL198" s="435"/>
      <c r="PM198" s="435"/>
      <c r="PN198" s="435"/>
      <c r="PO198" s="435"/>
      <c r="PP198" s="435"/>
      <c r="PQ198" s="435"/>
      <c r="PR198" s="435"/>
      <c r="PS198" s="435"/>
      <c r="PT198" s="435"/>
      <c r="PU198" s="435"/>
      <c r="UM198" s="1754"/>
    </row>
    <row r="199" spans="54:609" x14ac:dyDescent="0.2">
      <c r="BC199" s="185" t="str">
        <f>'Inn sprengning'!F56</f>
        <v>Snunisjer</v>
      </c>
      <c r="BD199" s="185">
        <f>IF($BC$38=1,$BN$168,IF($BC$38=2,$BN$169))</f>
        <v>0</v>
      </c>
      <c r="II199" s="435"/>
      <c r="IJ199" s="435"/>
      <c r="IK199" s="435"/>
      <c r="IL199" s="435"/>
      <c r="IM199" s="435"/>
      <c r="IN199" s="435"/>
      <c r="IO199" s="435"/>
      <c r="IP199" s="435"/>
      <c r="IQ199" s="435"/>
      <c r="IR199" s="435"/>
      <c r="IS199" s="435"/>
      <c r="IT199" s="435"/>
      <c r="IU199" s="435"/>
      <c r="IV199" s="435"/>
      <c r="IW199" s="435"/>
      <c r="IX199" s="435"/>
      <c r="IY199" s="435"/>
      <c r="IZ199" s="435"/>
      <c r="JA199" s="435"/>
      <c r="JB199" s="435"/>
      <c r="JC199" s="435"/>
      <c r="JD199" s="435"/>
      <c r="JE199" s="435"/>
      <c r="JF199" s="435"/>
      <c r="JG199" s="435"/>
      <c r="JH199" s="435"/>
      <c r="JI199" s="435"/>
      <c r="JJ199" s="435"/>
      <c r="JK199" s="435"/>
      <c r="JL199" s="435"/>
      <c r="JM199" s="435"/>
      <c r="JN199" s="435"/>
      <c r="JO199" s="435"/>
      <c r="JP199" s="435"/>
      <c r="JQ199" s="435"/>
      <c r="JR199" s="435"/>
      <c r="JS199" s="435"/>
      <c r="JT199" s="435"/>
      <c r="JU199" s="435"/>
      <c r="JV199" s="435"/>
      <c r="JW199" s="435"/>
      <c r="JX199" s="435"/>
      <c r="JY199" s="435"/>
      <c r="JZ199" s="435"/>
      <c r="KA199" s="435"/>
      <c r="KB199" s="435"/>
      <c r="KC199" s="435"/>
      <c r="KD199" s="435"/>
      <c r="KE199" s="435"/>
      <c r="KF199" s="435"/>
      <c r="KG199" s="435"/>
      <c r="KH199" s="435"/>
      <c r="KI199" s="435"/>
      <c r="KJ199" s="435"/>
      <c r="KK199" s="435"/>
      <c r="KL199" s="435"/>
      <c r="KM199" s="435"/>
      <c r="KN199" s="435"/>
      <c r="KO199" s="435"/>
      <c r="KP199" s="435"/>
      <c r="KQ199" s="435"/>
      <c r="KR199" s="435"/>
      <c r="KS199" s="435"/>
      <c r="KT199" s="435"/>
      <c r="KU199" s="435"/>
      <c r="KV199" s="435"/>
      <c r="KW199" s="435"/>
      <c r="KX199" s="435"/>
      <c r="KY199" s="435"/>
      <c r="KZ199" s="435"/>
      <c r="LA199" s="435"/>
      <c r="LB199" s="435"/>
      <c r="LC199" s="435"/>
      <c r="LD199" s="435"/>
      <c r="LE199" s="435"/>
      <c r="LF199" s="435"/>
      <c r="LG199" s="435"/>
      <c r="LH199" s="435"/>
      <c r="LI199" s="435"/>
      <c r="LJ199" s="435"/>
      <c r="LK199" s="435"/>
      <c r="LL199" s="435"/>
      <c r="LM199" s="435"/>
      <c r="LN199" s="435"/>
      <c r="LO199" s="435"/>
      <c r="LP199" s="435"/>
      <c r="LQ199" s="435"/>
      <c r="LR199" s="435"/>
      <c r="LS199" s="435"/>
      <c r="LT199" s="435"/>
      <c r="LU199" s="435"/>
      <c r="LV199" s="435"/>
      <c r="LW199" s="435"/>
      <c r="LX199" s="435"/>
      <c r="LY199" s="435"/>
      <c r="LZ199" s="435"/>
      <c r="MA199" s="435"/>
      <c r="MB199" s="435"/>
      <c r="MC199" s="435"/>
      <c r="MD199" s="435"/>
      <c r="ME199" s="435"/>
      <c r="MF199" s="435"/>
      <c r="MG199" s="435"/>
      <c r="MH199" s="435"/>
      <c r="MI199" s="435"/>
      <c r="MJ199" s="435"/>
      <c r="MK199" s="435"/>
      <c r="ML199" s="435"/>
      <c r="MM199" s="435"/>
      <c r="MN199" s="435"/>
      <c r="MO199" s="435"/>
      <c r="MP199" s="435"/>
      <c r="MQ199" s="435"/>
      <c r="MR199" s="435"/>
      <c r="MS199" s="435"/>
      <c r="MT199" s="435"/>
      <c r="MU199" s="435"/>
      <c r="MV199" s="435"/>
      <c r="MW199" s="435"/>
      <c r="MX199" s="435"/>
      <c r="NE199" s="435"/>
      <c r="NF199" s="435"/>
      <c r="NG199" s="435"/>
      <c r="NH199" s="435"/>
      <c r="NI199" s="435"/>
      <c r="NJ199" s="435"/>
      <c r="NK199" s="435"/>
      <c r="NL199" s="435"/>
      <c r="NM199" s="3460"/>
      <c r="NN199" s="3460"/>
      <c r="NO199" s="3460"/>
      <c r="NP199" s="3460"/>
      <c r="NQ199" s="3460"/>
      <c r="NR199" s="3460"/>
      <c r="NS199" s="3460"/>
      <c r="NT199" s="3460"/>
      <c r="NU199" s="3460"/>
      <c r="NV199" s="3460"/>
      <c r="NW199" s="3460"/>
      <c r="NX199" s="435" t="s">
        <v>426</v>
      </c>
      <c r="NY199" s="435" t="s">
        <v>426</v>
      </c>
      <c r="NZ199" s="435" t="s">
        <v>426</v>
      </c>
      <c r="OA199" s="435" t="s">
        <v>426</v>
      </c>
      <c r="OB199" s="435" t="s">
        <v>426</v>
      </c>
      <c r="OC199" s="435" t="s">
        <v>426</v>
      </c>
      <c r="OD199" s="435" t="s">
        <v>426</v>
      </c>
      <c r="OE199" s="435" t="s">
        <v>426</v>
      </c>
      <c r="OF199" s="435" t="s">
        <v>426</v>
      </c>
      <c r="OG199" s="435" t="s">
        <v>426</v>
      </c>
      <c r="OH199" s="435" t="s">
        <v>426</v>
      </c>
      <c r="OI199" s="435"/>
      <c r="OJ199" s="435"/>
      <c r="OK199" s="435"/>
      <c r="OL199" s="435"/>
      <c r="OM199" s="435"/>
      <c r="ON199" s="435"/>
      <c r="OO199" s="435"/>
      <c r="OP199" s="435"/>
      <c r="OQ199" s="435"/>
      <c r="OR199" s="435"/>
      <c r="OS199" s="435"/>
      <c r="OT199" s="435"/>
      <c r="OU199" s="435"/>
      <c r="OV199" s="435"/>
      <c r="OW199" s="435"/>
      <c r="OX199" s="435"/>
      <c r="OY199" s="435"/>
      <c r="OZ199" s="435"/>
      <c r="PA199" s="435"/>
      <c r="PB199" s="435"/>
      <c r="PC199" s="435"/>
      <c r="PD199" s="435"/>
      <c r="PE199" s="435"/>
      <c r="PF199" s="435"/>
      <c r="PG199" s="435"/>
      <c r="PH199" s="435"/>
      <c r="PI199" s="435"/>
      <c r="PJ199" s="435"/>
      <c r="PK199" s="435"/>
      <c r="PL199" s="435"/>
      <c r="PM199" s="435"/>
      <c r="PN199" s="435"/>
      <c r="PO199" s="435"/>
      <c r="PP199" s="435"/>
      <c r="PQ199" s="435"/>
      <c r="PR199" s="435"/>
      <c r="PS199" s="435"/>
      <c r="PT199" s="435"/>
      <c r="PU199" s="435"/>
      <c r="UM199" s="1754"/>
    </row>
    <row r="200" spans="54:609" x14ac:dyDescent="0.2">
      <c r="BC200" s="185" t="str">
        <f>'Inn sprengning'!F58</f>
        <v>Tverrforbindelser</v>
      </c>
      <c r="BD200" s="185">
        <f>IF($BC$38=1,$BO$168,IF($BC$38=2,$BO$169))</f>
        <v>0</v>
      </c>
      <c r="II200" s="435"/>
      <c r="IJ200" s="435"/>
      <c r="IK200" s="435"/>
      <c r="IL200" s="435"/>
      <c r="IM200" s="435"/>
      <c r="IN200" s="435"/>
      <c r="IO200" s="435"/>
      <c r="IP200" s="435"/>
      <c r="IQ200" s="435"/>
      <c r="IR200" s="435"/>
      <c r="IS200" s="435"/>
      <c r="IT200" s="435"/>
      <c r="IU200" s="435"/>
      <c r="IV200" s="435"/>
      <c r="IW200" s="435"/>
      <c r="IX200" s="435"/>
      <c r="IY200" s="435"/>
      <c r="IZ200" s="435"/>
      <c r="JA200" s="435"/>
      <c r="JB200" s="435"/>
      <c r="JC200" s="435"/>
      <c r="JD200" s="435"/>
      <c r="JE200" s="435"/>
      <c r="JF200" s="435"/>
      <c r="JG200" s="435"/>
      <c r="JH200" s="435"/>
      <c r="JI200" s="435"/>
      <c r="JJ200" s="435"/>
      <c r="JK200" s="435"/>
      <c r="JL200" s="435"/>
      <c r="JM200" s="435"/>
      <c r="JN200" s="435"/>
      <c r="JO200" s="435"/>
      <c r="JP200" s="435"/>
      <c r="JQ200" s="435"/>
      <c r="JR200" s="435"/>
      <c r="JS200" s="435"/>
      <c r="JT200" s="435"/>
      <c r="JU200" s="435"/>
      <c r="JV200" s="435"/>
      <c r="JW200" s="435"/>
      <c r="JX200" s="435"/>
      <c r="JY200" s="435"/>
      <c r="JZ200" s="435"/>
      <c r="KA200" s="435"/>
      <c r="KB200" s="435"/>
      <c r="KC200" s="435"/>
      <c r="KD200" s="435"/>
      <c r="KE200" s="435"/>
      <c r="KF200" s="435"/>
      <c r="KG200" s="435"/>
      <c r="KH200" s="435"/>
      <c r="KI200" s="435"/>
      <c r="KJ200" s="435"/>
      <c r="KK200" s="435"/>
      <c r="KL200" s="435"/>
      <c r="KM200" s="435"/>
      <c r="KN200" s="435"/>
      <c r="KO200" s="435"/>
      <c r="KP200" s="435"/>
      <c r="KQ200" s="435"/>
      <c r="KR200" s="435"/>
      <c r="KS200" s="435"/>
      <c r="KT200" s="435"/>
      <c r="KU200" s="435"/>
      <c r="KV200" s="435"/>
      <c r="KW200" s="435"/>
      <c r="KX200" s="435"/>
      <c r="KY200" s="435"/>
      <c r="KZ200" s="435"/>
      <c r="LA200" s="435"/>
      <c r="LB200" s="435"/>
      <c r="LC200" s="435"/>
      <c r="LD200" s="435"/>
      <c r="LE200" s="435"/>
      <c r="LF200" s="435"/>
      <c r="LG200" s="435"/>
      <c r="LH200" s="435"/>
      <c r="LI200" s="435"/>
      <c r="LJ200" s="435"/>
      <c r="LK200" s="435"/>
      <c r="LL200" s="435"/>
      <c r="LM200" s="435"/>
      <c r="LN200" s="435"/>
      <c r="LO200" s="435"/>
      <c r="LP200" s="435"/>
      <c r="LQ200" s="435"/>
      <c r="LR200" s="435"/>
      <c r="LS200" s="435"/>
      <c r="LT200" s="435"/>
      <c r="LU200" s="435"/>
      <c r="LV200" s="435"/>
      <c r="LW200" s="435"/>
      <c r="LX200" s="435"/>
      <c r="LY200" s="435"/>
      <c r="LZ200" s="435"/>
      <c r="MA200" s="435"/>
      <c r="MB200" s="435"/>
      <c r="MC200" s="435"/>
      <c r="MD200" s="435"/>
      <c r="ME200" s="435"/>
      <c r="MF200" s="435"/>
      <c r="MG200" s="435"/>
      <c r="MH200" s="435"/>
      <c r="MI200" s="435"/>
      <c r="MJ200" s="435"/>
      <c r="MK200" s="435"/>
      <c r="ML200" s="435"/>
      <c r="MM200" s="435"/>
      <c r="MN200" s="435"/>
      <c r="MO200" s="435"/>
      <c r="MP200" s="435"/>
      <c r="MQ200" s="435"/>
      <c r="MR200" s="435"/>
      <c r="MS200" s="435"/>
      <c r="MT200" s="435"/>
      <c r="MU200" s="435"/>
      <c r="MV200" s="435"/>
      <c r="MW200" s="435"/>
      <c r="MX200" s="435"/>
      <c r="NE200" s="435"/>
      <c r="NF200" s="435"/>
      <c r="NG200" s="435"/>
      <c r="NH200" s="435"/>
      <c r="NI200" s="435"/>
      <c r="NJ200" s="435"/>
      <c r="NK200" s="435"/>
      <c r="NL200" s="435"/>
      <c r="NM200" s="3460"/>
      <c r="NN200" s="3460"/>
      <c r="NO200" s="3460"/>
      <c r="NP200" s="3460"/>
      <c r="NQ200" s="3460"/>
      <c r="NR200" s="3460"/>
      <c r="NS200" s="3460"/>
      <c r="NT200" s="3460"/>
      <c r="NU200" s="3460"/>
      <c r="NV200" s="3460"/>
      <c r="NW200" s="3460"/>
      <c r="NX200" s="435"/>
      <c r="NY200" s="435"/>
      <c r="NZ200" s="435"/>
      <c r="OA200" s="435"/>
      <c r="OB200" s="435"/>
      <c r="OC200" s="435"/>
      <c r="OD200" s="435"/>
      <c r="OE200" s="435"/>
      <c r="OF200" s="435"/>
      <c r="OG200" s="435"/>
      <c r="OH200" s="435"/>
      <c r="OI200" s="435"/>
      <c r="OJ200" s="435"/>
      <c r="OK200" s="435"/>
      <c r="OL200" s="435"/>
      <c r="OM200" s="435"/>
      <c r="ON200" s="435"/>
      <c r="OO200" s="435"/>
      <c r="OP200" s="435"/>
      <c r="OQ200" s="435"/>
      <c r="OR200" s="435"/>
      <c r="OS200" s="435"/>
      <c r="OT200" s="435"/>
      <c r="OU200" s="435"/>
      <c r="OV200" s="435"/>
      <c r="OW200" s="435"/>
      <c r="OX200" s="435"/>
      <c r="OY200" s="435"/>
      <c r="OZ200" s="435"/>
      <c r="PA200" s="435"/>
      <c r="PB200" s="435"/>
      <c r="PC200" s="435"/>
      <c r="PD200" s="435"/>
      <c r="PE200" s="435"/>
      <c r="PF200" s="435"/>
      <c r="PG200" s="435"/>
      <c r="PH200" s="435"/>
      <c r="PI200" s="435"/>
      <c r="PJ200" s="435"/>
      <c r="PK200" s="435"/>
      <c r="PL200" s="435"/>
      <c r="PM200" s="435"/>
      <c r="PN200" s="435"/>
      <c r="PO200" s="435"/>
      <c r="PP200" s="435"/>
      <c r="PQ200" s="435"/>
      <c r="PR200" s="435"/>
      <c r="PS200" s="435"/>
      <c r="PT200" s="435"/>
      <c r="PU200" s="435"/>
      <c r="UM200" s="1754"/>
    </row>
    <row r="201" spans="54:609" x14ac:dyDescent="0.2">
      <c r="BC201" s="185" t="str">
        <f>'Inn sprengning'!F60</f>
        <v>Tekniske rom</v>
      </c>
      <c r="BD201" s="185">
        <f>IF($BC$38=1,$BP$168,IF($BC$38=2,$BP$169))</f>
        <v>0</v>
      </c>
      <c r="II201" s="435"/>
      <c r="IJ201" s="435"/>
      <c r="IK201" s="435"/>
      <c r="IL201" s="435"/>
      <c r="IM201" s="435"/>
      <c r="IN201" s="435"/>
      <c r="IO201" s="435"/>
      <c r="IP201" s="435"/>
      <c r="IQ201" s="435"/>
      <c r="IR201" s="435"/>
      <c r="IS201" s="435"/>
      <c r="IT201" s="435"/>
      <c r="IU201" s="435"/>
      <c r="IV201" s="435"/>
      <c r="IW201" s="435"/>
      <c r="IX201" s="435"/>
      <c r="IY201" s="435"/>
      <c r="IZ201" s="435"/>
      <c r="JA201" s="435"/>
      <c r="JB201" s="435"/>
      <c r="JC201" s="435"/>
      <c r="JD201" s="435"/>
      <c r="JE201" s="435"/>
      <c r="JF201" s="435"/>
      <c r="JG201" s="435"/>
      <c r="JH201" s="435"/>
      <c r="JI201" s="435"/>
      <c r="JJ201" s="435"/>
      <c r="JK201" s="435"/>
      <c r="JL201" s="435"/>
      <c r="JM201" s="435"/>
      <c r="JN201" s="435"/>
      <c r="JO201" s="435"/>
      <c r="JP201" s="435"/>
      <c r="JQ201" s="435"/>
      <c r="JR201" s="435"/>
      <c r="JS201" s="435"/>
      <c r="JT201" s="435"/>
      <c r="JU201" s="435"/>
      <c r="JV201" s="435"/>
      <c r="JW201" s="435"/>
      <c r="JX201" s="435"/>
      <c r="JY201" s="435"/>
      <c r="JZ201" s="435"/>
      <c r="KA201" s="435"/>
      <c r="KB201" s="435"/>
      <c r="KC201" s="435"/>
      <c r="KD201" s="435"/>
      <c r="KE201" s="435"/>
      <c r="KF201" s="435"/>
      <c r="KG201" s="435"/>
      <c r="KH201" s="435"/>
      <c r="KI201" s="435"/>
      <c r="KJ201" s="435"/>
      <c r="KK201" s="435"/>
      <c r="KL201" s="435"/>
      <c r="KM201" s="435"/>
      <c r="KN201" s="435"/>
      <c r="KO201" s="435"/>
      <c r="KP201" s="435"/>
      <c r="KQ201" s="435"/>
      <c r="KR201" s="435"/>
      <c r="KS201" s="435"/>
      <c r="KT201" s="435"/>
      <c r="KU201" s="435"/>
      <c r="KV201" s="435"/>
      <c r="KW201" s="435"/>
      <c r="KX201" s="435"/>
      <c r="KY201" s="435"/>
      <c r="KZ201" s="435"/>
      <c r="LA201" s="435"/>
      <c r="LB201" s="435"/>
      <c r="LC201" s="435"/>
      <c r="LD201" s="435"/>
      <c r="LE201" s="435"/>
      <c r="LF201" s="435"/>
      <c r="LG201" s="435"/>
      <c r="LH201" s="435"/>
      <c r="LI201" s="435"/>
      <c r="LJ201" s="435"/>
      <c r="LK201" s="435"/>
      <c r="LL201" s="435"/>
      <c r="LM201" s="435"/>
      <c r="LN201" s="435"/>
      <c r="LO201" s="435"/>
      <c r="LP201" s="435"/>
      <c r="LQ201" s="435"/>
      <c r="LR201" s="435"/>
      <c r="LS201" s="435"/>
      <c r="LT201" s="435"/>
      <c r="LU201" s="435"/>
      <c r="LV201" s="435"/>
      <c r="LW201" s="435"/>
      <c r="LX201" s="435"/>
      <c r="LY201" s="435"/>
      <c r="LZ201" s="435"/>
      <c r="MA201" s="435"/>
      <c r="MB201" s="435"/>
      <c r="MC201" s="435"/>
      <c r="MD201" s="435"/>
      <c r="ME201" s="435"/>
      <c r="MF201" s="435"/>
      <c r="MG201" s="435"/>
      <c r="MH201" s="435"/>
      <c r="MI201" s="435"/>
      <c r="MJ201" s="435"/>
      <c r="MK201" s="435"/>
      <c r="ML201" s="435"/>
      <c r="MM201" s="435"/>
      <c r="MN201" s="435"/>
      <c r="MO201" s="435"/>
      <c r="MP201" s="435"/>
      <c r="MQ201" s="435"/>
      <c r="MR201" s="435"/>
      <c r="MS201" s="435"/>
      <c r="MT201" s="435"/>
      <c r="MU201" s="435"/>
      <c r="MV201" s="435"/>
      <c r="MW201" s="435"/>
      <c r="MX201" s="435"/>
      <c r="NE201" s="435"/>
      <c r="NF201" s="435"/>
      <c r="NG201" s="435"/>
      <c r="NH201" s="435"/>
      <c r="NI201" s="435"/>
      <c r="NJ201" s="435"/>
      <c r="NK201" s="433" t="s">
        <v>2008</v>
      </c>
      <c r="NL201" s="435"/>
      <c r="NM201" s="3460"/>
      <c r="NN201" s="3460"/>
      <c r="NO201" s="3460" t="s">
        <v>1638</v>
      </c>
      <c r="NP201" s="3460"/>
      <c r="NQ201" s="3460"/>
      <c r="NR201" s="3460"/>
      <c r="NS201" s="3460"/>
      <c r="NT201" s="3460"/>
      <c r="NU201" s="3460"/>
      <c r="NV201" s="3460"/>
      <c r="NW201" s="3460"/>
      <c r="NX201" s="435"/>
      <c r="NY201" s="435"/>
      <c r="NZ201" s="435"/>
      <c r="OA201" s="435"/>
      <c r="OB201" s="435"/>
      <c r="OC201" s="435"/>
      <c r="OD201" s="435"/>
      <c r="OE201" s="435"/>
      <c r="OF201" s="435"/>
      <c r="OG201" s="435"/>
      <c r="OH201" s="435"/>
      <c r="OI201" s="435"/>
      <c r="OJ201" s="435"/>
      <c r="OK201" s="435"/>
      <c r="OL201" s="435"/>
      <c r="OM201" s="435"/>
      <c r="ON201" s="435"/>
      <c r="OO201" s="435"/>
      <c r="OP201" s="435"/>
      <c r="OQ201" s="435"/>
      <c r="OR201" s="435"/>
      <c r="OS201" s="435"/>
      <c r="OT201" s="435"/>
      <c r="OU201" s="435"/>
      <c r="OV201" s="435"/>
      <c r="OW201" s="435"/>
      <c r="OX201" s="435" t="s">
        <v>2412</v>
      </c>
      <c r="OY201" s="435"/>
      <c r="OZ201" s="435"/>
      <c r="PA201" s="435"/>
      <c r="PB201" s="435"/>
      <c r="PC201" s="435"/>
      <c r="PD201" s="435"/>
      <c r="PE201" s="435"/>
      <c r="PF201" s="435"/>
      <c r="PG201" s="435"/>
      <c r="PH201" s="435"/>
      <c r="PI201" s="435"/>
      <c r="PJ201" s="435"/>
      <c r="PK201" s="435"/>
      <c r="PL201" s="435"/>
      <c r="PM201" s="435"/>
      <c r="PN201" s="435"/>
      <c r="PO201" s="435"/>
      <c r="PP201" s="435"/>
      <c r="PQ201" s="435"/>
      <c r="PR201" s="435"/>
      <c r="PS201" s="435"/>
      <c r="PT201" s="435"/>
      <c r="PU201" s="435"/>
      <c r="UM201" s="1754"/>
    </row>
    <row r="202" spans="54:609" x14ac:dyDescent="0.2">
      <c r="BC202" s="185" t="str">
        <f>'Inn sprengning'!F62</f>
        <v>Siktutvidelse</v>
      </c>
      <c r="BD202" s="185">
        <f>IF($BC$38=1,$BQ$168,IF($BC$38=2,$BQ$169))</f>
        <v>0</v>
      </c>
      <c r="ER202" s="3556" t="s">
        <v>408</v>
      </c>
      <c r="ES202" s="3557" t="s">
        <v>369</v>
      </c>
      <c r="ET202" s="6126" t="s">
        <v>370</v>
      </c>
      <c r="II202" s="435"/>
      <c r="IJ202" s="435"/>
      <c r="IK202" s="435"/>
      <c r="IL202" s="435"/>
      <c r="IM202" s="435"/>
      <c r="IN202" s="435"/>
      <c r="IO202" s="435"/>
      <c r="IP202" s="435"/>
      <c r="IQ202" s="435"/>
      <c r="IR202" s="435"/>
      <c r="IS202" s="435"/>
      <c r="IT202" s="435"/>
      <c r="IU202" s="435"/>
      <c r="IV202" s="435"/>
      <c r="IW202" s="435"/>
      <c r="IX202" s="435"/>
      <c r="IY202" s="435"/>
      <c r="IZ202" s="435"/>
      <c r="JA202" s="435"/>
      <c r="JB202" s="435"/>
      <c r="JC202" s="435"/>
      <c r="JD202" s="435"/>
      <c r="JE202" s="435"/>
      <c r="JF202" s="435"/>
      <c r="JG202" s="435"/>
      <c r="JH202" s="435"/>
      <c r="JI202" s="435"/>
      <c r="JJ202" s="435"/>
      <c r="JK202" s="435"/>
      <c r="JL202" s="435"/>
      <c r="JM202" s="435"/>
      <c r="JN202" s="435"/>
      <c r="JO202" s="435"/>
      <c r="JP202" s="435"/>
      <c r="JQ202" s="435"/>
      <c r="JR202" s="435"/>
      <c r="JS202" s="435"/>
      <c r="JT202" s="435"/>
      <c r="JU202" s="435"/>
      <c r="JV202" s="435"/>
      <c r="JW202" s="435"/>
      <c r="JX202" s="435"/>
      <c r="JY202" s="435"/>
      <c r="JZ202" s="435"/>
      <c r="KA202" s="435"/>
      <c r="KB202" s="435"/>
      <c r="KC202" s="435"/>
      <c r="KD202" s="435"/>
      <c r="KE202" s="435"/>
      <c r="KF202" s="435"/>
      <c r="KG202" s="435"/>
      <c r="KH202" s="435"/>
      <c r="KI202" s="435"/>
      <c r="KJ202" s="435"/>
      <c r="KK202" s="435"/>
      <c r="KL202" s="435"/>
      <c r="KM202" s="435"/>
      <c r="KN202" s="435"/>
      <c r="KO202" s="435"/>
      <c r="KP202" s="435"/>
      <c r="KQ202" s="435"/>
      <c r="KR202" s="435"/>
      <c r="KS202" s="435"/>
      <c r="KT202" s="435"/>
      <c r="KU202" s="435"/>
      <c r="KV202" s="435"/>
      <c r="KW202" s="435"/>
      <c r="KX202" s="435"/>
      <c r="KY202" s="435"/>
      <c r="KZ202" s="435"/>
      <c r="LA202" s="435"/>
      <c r="LB202" s="435"/>
      <c r="LC202" s="435"/>
      <c r="LD202" s="435"/>
      <c r="LE202" s="435"/>
      <c r="LF202" s="435"/>
      <c r="LG202" s="435"/>
      <c r="LH202" s="435"/>
      <c r="LI202" s="435"/>
      <c r="LJ202" s="435"/>
      <c r="LK202" s="435"/>
      <c r="LL202" s="435"/>
      <c r="LM202" s="435"/>
      <c r="LN202" s="435"/>
      <c r="LO202" s="435"/>
      <c r="LP202" s="435"/>
      <c r="LQ202" s="435"/>
      <c r="LR202" s="435"/>
      <c r="LS202" s="435"/>
      <c r="LT202" s="435"/>
      <c r="LU202" s="435"/>
      <c r="LV202" s="435"/>
      <c r="LW202" s="435"/>
      <c r="LX202" s="435"/>
      <c r="LY202" s="435"/>
      <c r="LZ202" s="435"/>
      <c r="MA202" s="435"/>
      <c r="MB202" s="435"/>
      <c r="MC202" s="435"/>
      <c r="MD202" s="435"/>
      <c r="ME202" s="435"/>
      <c r="MF202" s="435"/>
      <c r="MG202" s="435"/>
      <c r="MH202" s="435"/>
      <c r="MI202" s="435"/>
      <c r="MJ202" s="435"/>
      <c r="MK202" s="435"/>
      <c r="ML202" s="435"/>
      <c r="MM202" s="435"/>
      <c r="MN202" s="435"/>
      <c r="MO202" s="435"/>
      <c r="MP202" s="435"/>
      <c r="MQ202" s="435"/>
      <c r="MR202" s="435"/>
      <c r="MS202" s="435"/>
      <c r="MT202" s="435"/>
      <c r="MU202" s="435"/>
      <c r="MV202" s="435"/>
      <c r="MW202" s="435"/>
      <c r="MX202" s="435"/>
      <c r="NE202" s="435"/>
      <c r="NF202" s="435"/>
      <c r="NG202" s="435"/>
      <c r="NH202" s="435"/>
      <c r="NI202" s="435"/>
      <c r="NJ202" s="435"/>
      <c r="NK202" s="435"/>
      <c r="NL202" s="435"/>
      <c r="NM202" s="3460"/>
      <c r="NN202" s="3460"/>
      <c r="NO202" s="3460"/>
      <c r="NP202" s="3460"/>
      <c r="NQ202" s="3460"/>
      <c r="NR202" s="3460"/>
      <c r="NS202" s="3460"/>
      <c r="NT202" s="3460"/>
      <c r="NU202" s="3460"/>
      <c r="NV202" s="3460"/>
      <c r="NW202" s="3460"/>
      <c r="NX202" s="435"/>
      <c r="NY202" s="435"/>
      <c r="NZ202" s="435"/>
      <c r="OA202" s="435"/>
      <c r="OB202" s="435"/>
      <c r="OC202" s="435"/>
      <c r="OD202" s="435"/>
      <c r="OE202" s="435"/>
      <c r="OF202" s="435"/>
      <c r="OG202" s="435"/>
      <c r="OH202" s="435"/>
      <c r="OI202" s="435"/>
      <c r="OJ202" s="435"/>
      <c r="OK202" s="435"/>
      <c r="OL202" s="435"/>
      <c r="OM202" s="435"/>
      <c r="ON202" s="435"/>
      <c r="OO202" s="435"/>
      <c r="OP202" s="435"/>
      <c r="OQ202" s="435"/>
      <c r="OR202" s="435"/>
      <c r="OS202" s="435"/>
      <c r="OT202" s="435"/>
      <c r="OU202" s="435"/>
      <c r="OV202" s="435"/>
      <c r="OW202" s="435"/>
      <c r="OX202" s="435"/>
      <c r="OY202" s="435"/>
      <c r="OZ202" s="435"/>
      <c r="PA202" s="435"/>
      <c r="PB202" s="435"/>
      <c r="PC202" s="435"/>
      <c r="PD202" s="435"/>
      <c r="PE202" s="435"/>
      <c r="PF202" s="435"/>
      <c r="PG202" s="435"/>
      <c r="PH202" s="435"/>
      <c r="PI202" s="435"/>
      <c r="PJ202" s="435"/>
      <c r="PK202" s="435"/>
      <c r="PL202" s="435"/>
      <c r="PM202" s="435"/>
      <c r="PN202" s="435"/>
      <c r="PO202" s="435"/>
      <c r="PP202" s="435"/>
      <c r="PQ202" s="435"/>
      <c r="PR202" s="435"/>
      <c r="PS202" s="435"/>
      <c r="PT202" s="435"/>
      <c r="PU202" s="435"/>
      <c r="UM202" s="1754"/>
    </row>
    <row r="203" spans="54:609" x14ac:dyDescent="0.2">
      <c r="BC203" s="185" t="str">
        <f>'Inn sprengning'!F64</f>
        <v>Utvidelse for tung sikring</v>
      </c>
      <c r="BD203" s="185">
        <f>IF($BC$38=1,$BR$168,IF($BC$38=2,$BR$169))</f>
        <v>0</v>
      </c>
      <c r="ER203" s="6125">
        <v>1</v>
      </c>
      <c r="ES203" s="237">
        <f t="shared" ref="ES203:ES211" si="286">IF(OR($PE176=0,$EZ58&lt;5,$EZ58&gt;10),0,1)</f>
        <v>0</v>
      </c>
      <c r="ET203" s="237">
        <f>tickcheck_stab[[#This Row],[sik123]]</f>
        <v>0</v>
      </c>
      <c r="II203" s="435"/>
      <c r="IJ203" s="435"/>
      <c r="IK203" s="435"/>
      <c r="IL203" s="435"/>
      <c r="IM203" s="435"/>
      <c r="IN203" s="435"/>
      <c r="IO203" s="435"/>
      <c r="IP203" s="435"/>
      <c r="IQ203" s="435"/>
      <c r="IR203" s="435"/>
      <c r="IS203" s="435"/>
      <c r="IT203" s="435"/>
      <c r="IU203" s="435"/>
      <c r="IV203" s="435"/>
      <c r="IW203" s="435"/>
      <c r="IX203" s="435"/>
      <c r="IY203" s="435"/>
      <c r="IZ203" s="435"/>
      <c r="JA203" s="435"/>
      <c r="JB203" s="435"/>
      <c r="JC203" s="435"/>
      <c r="JD203" s="435"/>
      <c r="JE203" s="435"/>
      <c r="JF203" s="435"/>
      <c r="JG203" s="435"/>
      <c r="JH203" s="435"/>
      <c r="JI203" s="435"/>
      <c r="JJ203" s="435"/>
      <c r="JK203" s="435"/>
      <c r="JL203" s="435"/>
      <c r="JM203" s="435"/>
      <c r="JN203" s="435"/>
      <c r="JO203" s="435"/>
      <c r="JP203" s="435"/>
      <c r="JQ203" s="435"/>
      <c r="JR203" s="435"/>
      <c r="JS203" s="435"/>
      <c r="JT203" s="435"/>
      <c r="JU203" s="435"/>
      <c r="JV203" s="435"/>
      <c r="JW203" s="435"/>
      <c r="JX203" s="435"/>
      <c r="JY203" s="435"/>
      <c r="JZ203" s="435"/>
      <c r="KA203" s="435"/>
      <c r="KB203" s="435"/>
      <c r="KC203" s="435"/>
      <c r="KD203" s="435"/>
      <c r="KE203" s="435"/>
      <c r="KF203" s="435"/>
      <c r="KG203" s="435"/>
      <c r="KH203" s="435"/>
      <c r="KI203" s="435"/>
      <c r="KJ203" s="435"/>
      <c r="KK203" s="435"/>
      <c r="KL203" s="435"/>
      <c r="KM203" s="435"/>
      <c r="KN203" s="435"/>
      <c r="KO203" s="435"/>
      <c r="KP203" s="435"/>
      <c r="KQ203" s="435"/>
      <c r="KR203" s="435"/>
      <c r="KS203" s="435"/>
      <c r="KT203" s="435"/>
      <c r="KU203" s="435"/>
      <c r="KV203" s="435"/>
      <c r="KW203" s="435"/>
      <c r="KX203" s="435"/>
      <c r="KY203" s="435"/>
      <c r="KZ203" s="435"/>
      <c r="LA203" s="435"/>
      <c r="LB203" s="435"/>
      <c r="LC203" s="435"/>
      <c r="LD203" s="435"/>
      <c r="LE203" s="435"/>
      <c r="LF203" s="435"/>
      <c r="LG203" s="435"/>
      <c r="LH203" s="435"/>
      <c r="LI203" s="435"/>
      <c r="LJ203" s="435"/>
      <c r="LK203" s="435"/>
      <c r="LL203" s="435"/>
      <c r="LM203" s="435"/>
      <c r="LN203" s="435"/>
      <c r="LO203" s="435"/>
      <c r="LP203" s="435"/>
      <c r="LQ203" s="435"/>
      <c r="LR203" s="435"/>
      <c r="LS203" s="435"/>
      <c r="LT203" s="435"/>
      <c r="LU203" s="435"/>
      <c r="LV203" s="435"/>
      <c r="LW203" s="435"/>
      <c r="LX203" s="435"/>
      <c r="LY203" s="435"/>
      <c r="LZ203" s="435"/>
      <c r="MA203" s="435"/>
      <c r="MB203" s="435"/>
      <c r="MC203" s="435"/>
      <c r="MD203" s="435"/>
      <c r="ME203" s="435"/>
      <c r="MF203" s="435"/>
      <c r="MG203" s="435"/>
      <c r="MH203" s="435"/>
      <c r="MI203" s="435"/>
      <c r="MJ203" s="435"/>
      <c r="MK203" s="435"/>
      <c r="ML203" s="435"/>
      <c r="MM203" s="435"/>
      <c r="MN203" s="435"/>
      <c r="MO203" s="435"/>
      <c r="MP203" s="435"/>
      <c r="MQ203" s="435"/>
      <c r="MR203" s="435"/>
      <c r="MS203" s="435"/>
      <c r="MT203" s="435"/>
      <c r="MU203" s="435"/>
      <c r="MV203" s="435"/>
      <c r="MW203" s="435"/>
      <c r="MX203" s="435"/>
      <c r="NE203" s="435"/>
      <c r="NF203" s="435"/>
      <c r="NG203" s="435"/>
      <c r="NH203" s="435"/>
      <c r="NI203" s="435"/>
      <c r="NJ203" s="435"/>
      <c r="NK203" s="435"/>
      <c r="NL203" s="435"/>
      <c r="NM203" s="435"/>
      <c r="NN203" s="435"/>
      <c r="NO203" s="435"/>
      <c r="NP203" s="435"/>
      <c r="NQ203" s="435"/>
      <c r="NR203" s="435"/>
      <c r="NS203" s="435"/>
      <c r="NT203" s="435"/>
      <c r="NU203" s="435"/>
      <c r="NV203" s="435"/>
      <c r="NW203" s="435"/>
      <c r="NX203" s="435"/>
      <c r="NY203" s="435"/>
      <c r="NZ203" s="435"/>
      <c r="OA203" s="435"/>
      <c r="OB203" s="435"/>
      <c r="OC203" s="435"/>
      <c r="OD203" s="435"/>
      <c r="OE203" s="435"/>
      <c r="OF203" s="435"/>
      <c r="OG203" s="435"/>
      <c r="OH203" s="435"/>
      <c r="OI203" s="435"/>
      <c r="OJ203" s="435"/>
      <c r="OK203" s="435"/>
      <c r="OL203" s="435"/>
      <c r="OM203" s="435"/>
      <c r="ON203" s="435"/>
      <c r="OO203" s="435"/>
      <c r="OP203" s="435"/>
      <c r="OQ203" s="435"/>
      <c r="OR203" s="435"/>
      <c r="OS203" s="435"/>
      <c r="OT203" s="435"/>
      <c r="OU203" s="435"/>
      <c r="OV203" s="435"/>
      <c r="OW203" s="435"/>
      <c r="OX203" s="435"/>
      <c r="OY203" s="435"/>
      <c r="OZ203" s="435"/>
      <c r="PA203" s="435"/>
      <c r="PB203" s="435"/>
      <c r="PC203" s="435"/>
      <c r="PD203" s="435"/>
      <c r="PE203" s="435"/>
      <c r="PF203" s="435"/>
      <c r="PG203" s="435"/>
      <c r="PH203" s="435"/>
      <c r="PI203" s="435"/>
      <c r="PJ203" s="435"/>
      <c r="PK203" s="435"/>
      <c r="PL203" s="435"/>
      <c r="PM203" s="435"/>
      <c r="PN203" s="435"/>
      <c r="PO203" s="435"/>
      <c r="PP203" s="435"/>
      <c r="PQ203" s="435"/>
      <c r="PR203" s="435"/>
      <c r="PS203" s="435"/>
      <c r="PT203" s="435"/>
      <c r="PU203" s="435"/>
      <c r="UM203" s="1754"/>
    </row>
    <row r="204" spans="54:609" ht="16.5" x14ac:dyDescent="0.2">
      <c r="BC204" s="185" t="str">
        <f>'Inn sprengning'!F66</f>
        <v>Pumpesump</v>
      </c>
      <c r="BD204" s="185">
        <f>IF($BC$38=1,$BS$168,IF($BC$38=2,$BS$169))</f>
        <v>0</v>
      </c>
      <c r="ER204" s="6125">
        <v>2</v>
      </c>
      <c r="ES204" s="237">
        <f t="shared" si="286"/>
        <v>0</v>
      </c>
      <c r="ET204" s="237">
        <f>tickcheck_stab[[#This Row],[sik123]]</f>
        <v>0</v>
      </c>
      <c r="NE204" s="435"/>
      <c r="NF204" s="435"/>
      <c r="NG204" s="435"/>
      <c r="NH204" s="435"/>
      <c r="NI204" s="435"/>
      <c r="NJ204" s="435"/>
      <c r="NK204" s="435"/>
      <c r="NL204" s="435"/>
      <c r="NM204" s="435"/>
      <c r="NN204" s="435"/>
      <c r="NO204" s="1615" t="s">
        <v>554</v>
      </c>
      <c r="NP204" s="1615"/>
      <c r="NQ204" s="1615"/>
      <c r="NR204" s="1615"/>
      <c r="NS204" s="5481" t="s">
        <v>437</v>
      </c>
      <c r="NT204" s="1616"/>
      <c r="NU204" s="1616"/>
      <c r="NV204" s="1616"/>
      <c r="NW204" s="1616"/>
      <c r="NX204" s="1616"/>
      <c r="NY204" s="1616"/>
      <c r="NZ204" s="1616"/>
      <c r="OA204" s="1616"/>
      <c r="OB204" s="1616"/>
      <c r="OC204" s="1616"/>
      <c r="OD204" s="1616"/>
      <c r="OE204" s="1616"/>
      <c r="OF204" s="1616"/>
      <c r="OG204" s="1616"/>
      <c r="OH204" s="435"/>
      <c r="OI204" s="5480" t="s">
        <v>438</v>
      </c>
      <c r="OJ204" s="1617"/>
      <c r="OK204" s="1617"/>
      <c r="OL204" s="1617"/>
      <c r="OM204" s="1617"/>
      <c r="ON204" s="1617"/>
      <c r="OO204" s="1617"/>
      <c r="OP204" s="1617"/>
      <c r="OQ204" s="1617"/>
      <c r="OR204" s="1617"/>
      <c r="OS204" s="1617"/>
      <c r="OT204" s="1617"/>
      <c r="OU204" s="1617"/>
      <c r="OV204" s="435"/>
      <c r="OX204" s="5479" t="s">
        <v>671</v>
      </c>
      <c r="OY204" s="1618"/>
      <c r="OZ204" s="1618"/>
      <c r="PA204" s="1618"/>
      <c r="PB204" s="1618"/>
      <c r="PC204" s="1618"/>
      <c r="PD204" s="1618"/>
      <c r="PE204" s="1618"/>
      <c r="PF204" s="1618"/>
      <c r="PG204" s="1618"/>
      <c r="PH204" s="1618"/>
      <c r="PI204" s="1618"/>
      <c r="PJ204" s="1618"/>
      <c r="PK204" s="1618"/>
      <c r="PL204" s="1618"/>
      <c r="PM204" s="435"/>
      <c r="PN204" s="435"/>
      <c r="PO204" s="435"/>
      <c r="PP204" s="435"/>
      <c r="PQ204" s="435"/>
      <c r="PR204" s="435"/>
      <c r="PS204" s="435"/>
      <c r="PT204" s="435"/>
      <c r="PU204" s="435"/>
      <c r="RO204" s="183"/>
      <c r="RQ204" s="183"/>
      <c r="RT204" s="210"/>
      <c r="RV204" s="210"/>
      <c r="SR204" s="183"/>
      <c r="SS204" s="183"/>
      <c r="SW204" s="184"/>
      <c r="SX204" s="184"/>
      <c r="UK204" s="183"/>
      <c r="UL204" s="183"/>
      <c r="UM204" s="183"/>
      <c r="UN204" s="183"/>
      <c r="UO204" s="183"/>
      <c r="UQ204" s="184"/>
      <c r="UR204" s="1754"/>
      <c r="UX204" s="265"/>
      <c r="VD204" s="402"/>
      <c r="WG204" s="265"/>
      <c r="WH204" s="265"/>
      <c r="WI204" s="265"/>
      <c r="WJ204" s="265"/>
      <c r="WK204" s="265"/>
    </row>
    <row r="205" spans="54:609" x14ac:dyDescent="0.2">
      <c r="ER205" s="6125">
        <v>3</v>
      </c>
      <c r="ES205" s="237">
        <f t="shared" si="286"/>
        <v>0</v>
      </c>
      <c r="ET205" s="237">
        <f>tickcheck_stab[[#This Row],[sik123]]</f>
        <v>0</v>
      </c>
      <c r="NK205" s="466" t="s">
        <v>257</v>
      </c>
      <c r="NL205" s="450" t="s">
        <v>658</v>
      </c>
      <c r="NM205" s="450" t="s">
        <v>816</v>
      </c>
      <c r="NN205" s="467" t="s">
        <v>285</v>
      </c>
      <c r="NO205" s="221" t="s">
        <v>1243</v>
      </c>
      <c r="NP205" s="247" t="s">
        <v>125</v>
      </c>
      <c r="NQ205" s="247" t="s">
        <v>147</v>
      </c>
      <c r="NR205" s="247" t="s">
        <v>148</v>
      </c>
      <c r="NS205" s="247" t="s">
        <v>554</v>
      </c>
      <c r="NT205" s="247" t="s">
        <v>552</v>
      </c>
      <c r="NU205" s="247" t="s">
        <v>271</v>
      </c>
      <c r="NV205" s="247" t="s">
        <v>84</v>
      </c>
      <c r="NW205" s="247" t="s">
        <v>85</v>
      </c>
      <c r="NX205" s="247" t="s">
        <v>87</v>
      </c>
      <c r="NY205" s="247" t="s">
        <v>2748</v>
      </c>
      <c r="NZ205" s="247" t="s">
        <v>116</v>
      </c>
      <c r="OA205" s="247" t="s">
        <v>117</v>
      </c>
      <c r="OB205" s="247" t="s">
        <v>118</v>
      </c>
      <c r="OC205" s="247" t="s">
        <v>119</v>
      </c>
      <c r="OD205" s="247" t="s">
        <v>120</v>
      </c>
      <c r="OE205" s="247" t="s">
        <v>121</v>
      </c>
      <c r="OF205" s="247" t="s">
        <v>122</v>
      </c>
      <c r="OG205" s="247" t="s">
        <v>145</v>
      </c>
      <c r="OH205" s="1577" t="s">
        <v>555</v>
      </c>
      <c r="OI205" s="1577" t="s">
        <v>556</v>
      </c>
      <c r="OJ205" s="1577" t="s">
        <v>681</v>
      </c>
      <c r="OK205" s="247" t="s">
        <v>0</v>
      </c>
      <c r="OL205" s="247" t="s">
        <v>1</v>
      </c>
      <c r="OM205" s="247" t="s">
        <v>2</v>
      </c>
      <c r="ON205" s="247" t="s">
        <v>300</v>
      </c>
      <c r="OO205" s="247" t="s">
        <v>301</v>
      </c>
      <c r="OP205" s="247" t="s">
        <v>302</v>
      </c>
      <c r="OQ205" s="247" t="s">
        <v>303</v>
      </c>
      <c r="OR205" s="247" t="s">
        <v>304</v>
      </c>
      <c r="OS205" s="247" t="s">
        <v>305</v>
      </c>
      <c r="OT205" s="247" t="s">
        <v>306</v>
      </c>
      <c r="OU205" s="247" t="s">
        <v>307</v>
      </c>
      <c r="OV205" s="1577" t="s">
        <v>663</v>
      </c>
      <c r="OW205" s="1577" t="s">
        <v>664</v>
      </c>
      <c r="OX205" s="1577" t="s">
        <v>682</v>
      </c>
      <c r="OY205" s="447" t="s">
        <v>2025</v>
      </c>
      <c r="OZ205" s="447" t="s">
        <v>1598</v>
      </c>
      <c r="PA205" s="447" t="s">
        <v>363</v>
      </c>
      <c r="PB205" s="447" t="s">
        <v>364</v>
      </c>
      <c r="PC205" s="447" t="s">
        <v>2040</v>
      </c>
      <c r="PD205" s="447" t="s">
        <v>1044</v>
      </c>
      <c r="PE205" s="447" t="s">
        <v>1602</v>
      </c>
      <c r="PF205" s="447" t="s">
        <v>367</v>
      </c>
      <c r="PG205" s="447" t="s">
        <v>368</v>
      </c>
      <c r="PH205" s="447" t="s">
        <v>369</v>
      </c>
      <c r="PI205" s="447" t="s">
        <v>370</v>
      </c>
      <c r="PJ205" s="1576" t="s">
        <v>665</v>
      </c>
      <c r="PK205" s="1576" t="s">
        <v>666</v>
      </c>
      <c r="PL205" s="1577" t="s">
        <v>667</v>
      </c>
      <c r="PM205" s="1577" t="s">
        <v>668</v>
      </c>
      <c r="PN205" s="1577" t="s">
        <v>670</v>
      </c>
      <c r="PO205" s="1578" t="s">
        <v>669</v>
      </c>
      <c r="PP205" s="1578" t="s">
        <v>683</v>
      </c>
      <c r="PQ205" s="447" t="s">
        <v>678</v>
      </c>
      <c r="PR205" s="447" t="s">
        <v>2338</v>
      </c>
      <c r="PS205" s="447" t="s">
        <v>2336</v>
      </c>
      <c r="PT205" s="447" t="s">
        <v>2337</v>
      </c>
      <c r="PU205" s="447" t="s">
        <v>809</v>
      </c>
      <c r="PV205" s="447" t="s">
        <v>2362</v>
      </c>
      <c r="PW205" s="265"/>
      <c r="PX205" s="265"/>
      <c r="RO205" s="183"/>
      <c r="RQ205" s="183"/>
      <c r="RT205" s="210"/>
      <c r="RV205" s="210"/>
      <c r="SR205" s="183"/>
      <c r="SS205" s="183"/>
      <c r="SW205" s="184"/>
      <c r="SX205" s="184"/>
      <c r="UK205" s="183"/>
      <c r="UL205" s="183"/>
      <c r="UM205" s="183"/>
      <c r="UN205" s="183"/>
      <c r="UO205" s="183"/>
      <c r="UQ205" s="184"/>
      <c r="UR205" s="1754"/>
      <c r="UX205" s="265"/>
      <c r="VD205" s="402"/>
      <c r="WG205" s="265"/>
      <c r="WH205" s="265"/>
      <c r="WI205" s="265"/>
      <c r="WJ205" s="265"/>
      <c r="WK205" s="265"/>
    </row>
    <row r="206" spans="54:609" x14ac:dyDescent="0.2">
      <c r="BC206" s="185" t="str">
        <f>'Inn sprengning'!F68</f>
        <v>Annet</v>
      </c>
      <c r="BD206" s="185">
        <f>IF($BC$38=1,$BU$168,IF($BC$38=2,$BU$169))</f>
        <v>0</v>
      </c>
      <c r="ER206" s="6125">
        <v>4</v>
      </c>
      <c r="ES206" s="237">
        <f t="shared" si="286"/>
        <v>0</v>
      </c>
      <c r="ET206" s="237">
        <f>tickcheck_stab[[#This Row],[sik123]]</f>
        <v>0</v>
      </c>
      <c r="NI206" s="4200" t="s">
        <v>2006</v>
      </c>
      <c r="NK206" s="439" t="str">
        <f>$NO$67</f>
        <v>Stuff 1-1</v>
      </c>
      <c r="NL206" s="451">
        <v>12</v>
      </c>
      <c r="NM206" s="393">
        <f>IF($BC$38=2,INDEX(outputs_position[11],MATCH($BC$35,outputs_position[lopstuff],0)),0)</f>
        <v>1</v>
      </c>
      <c r="NN206" s="393">
        <f>IF($BC$38=2,INDEX(outputs_position[11],MATCH($BC$35,outputs_position[lopstuff],0)),0)</f>
        <v>1</v>
      </c>
      <c r="NO206" s="194">
        <f>IF($GN$13=TRUE,1,IF(GK36=1,0,$GP$35))</f>
        <v>1</v>
      </c>
      <c r="NP206" s="185">
        <f>INDEX(inputs_checks[Forberedende arbeider],MATCH($NN206,inputs_checks[position],0))</f>
        <v>1</v>
      </c>
      <c r="NQ206" s="185">
        <f>INDEX(inputs_checks[Forskjæring],MATCH($NN206,inputs_checks[position],0))</f>
        <v>1</v>
      </c>
      <c r="NR206" s="185">
        <f>INDEX(inputs_checks[Andre arbeider],MATCH($NN206,inputs_checks[position],0))</f>
        <v>0</v>
      </c>
      <c r="NS206" s="185">
        <f>INDEX(inputs_checks[oppsum_forbe],MATCH($NN206,inputs_checks[position],0))</f>
        <v>1</v>
      </c>
      <c r="NT206" s="185">
        <f t="shared" ref="NT206:NT214" si="287">NR425</f>
        <v>0</v>
      </c>
      <c r="NU206" s="185">
        <f>IF(AND(outputs_checks[[#This Row],[Teoretisk volum per hele løp]]=1,INDEX(inputs_checks[Normal salve volum],MATCH(outputs_checks[[#This Row],[position_input]],inputs_checks[position],0))=1),1,0)</f>
        <v>0</v>
      </c>
      <c r="NV206" s="185">
        <f>IF(AND(outputs_checks[[#This Row],[Teoretisk volum per hele løp]]=1,INDEX(inputs_checks[Redusert salvelengde],MATCH(outputs_checks[[#This Row],[position_input]],inputs_checks[position],0))=1),1,0)</f>
        <v>0</v>
      </c>
      <c r="NW206" s="185">
        <f>IF(AND(outputs_checks[[#This Row],[Teoretisk volum per hele løp]]=1,INDEX(inputs_checks[Todelt tverrsnitt],MATCH(outputs_checks[[#This Row],[position_input]],inputs_checks[position],0))=1),1,0)</f>
        <v>0</v>
      </c>
      <c r="NX206" s="185">
        <f>IF(AND(outputs_checks[[#This Row],[Teoretisk volum per hele løp]]=1,INDEX(inputs_checks[Redusert salvelengde
og todelt tverrsnitt],MATCH(outputs_checks[[#This Row],[position_input]],inputs_checks[position],0))=1),1,0)</f>
        <v>0</v>
      </c>
      <c r="NY206" s="247">
        <f>INDEX(inputs_checks[grøfter],MATCH(outputs_checks[[#This Row],[Position]],inputs_checks[position],0))</f>
        <v>0</v>
      </c>
      <c r="NZ206" s="247">
        <f>INDEX(inputs_checks[Nisjer],MATCH($NN206,inputs_checks[position],0))</f>
        <v>0</v>
      </c>
      <c r="OA206" s="247">
        <f>INDEX(inputs_checks[Snunisjer],MATCH($NN206,inputs_checks[position],0))</f>
        <v>0</v>
      </c>
      <c r="OB206" s="247">
        <f>INDEX(inputs_checks[Tverrforbindelser],MATCH($NN206,inputs_checks[position],0))</f>
        <v>0</v>
      </c>
      <c r="OC206" s="247">
        <f>INDEX(inputs_checks[Tekniske rom],MATCH($NN206,inputs_checks[position],0))</f>
        <v>0</v>
      </c>
      <c r="OD206" s="247">
        <f>INDEX(inputs_checks[Siktutvidelse],MATCH($NN206,inputs_checks[position],0))</f>
        <v>0</v>
      </c>
      <c r="OE206" s="247">
        <f>INDEX(inputs_checks[Utvidelse for tung sikring],MATCH($NN206,inputs_checks[position],0))</f>
        <v>0</v>
      </c>
      <c r="OF206" s="247">
        <f>INDEX(inputs_checks[Pumpesump],MATCH($NN206,inputs_checks[position],0))</f>
        <v>0</v>
      </c>
      <c r="OG206" s="247">
        <f>INDEX(inputs_checks[Annet],MATCH($NN206,inputs_checks[position],0))</f>
        <v>0</v>
      </c>
      <c r="OH206" s="247">
        <f>INDEX(inputs_checks[oppsum_løp],MATCH($NN206,inputs_checks[position],0))</f>
        <v>4</v>
      </c>
      <c r="OI206" s="247">
        <f>INDEX(inputs_checks[oppsum_nisj],MATCH($NN206,inputs_checks[position],0))</f>
        <v>8</v>
      </c>
      <c r="OJ206" s="247">
        <f>outputs_checks[[#This Row],[oppsum_løp]]+outputs_checks[[#This Row],[oppsum_nisj]]</f>
        <v>12</v>
      </c>
      <c r="OK206" s="247">
        <f>INDEX(inputs_checks[Sonderboring],MATCH($NN206,inputs_checks[position],0))</f>
        <v>0</v>
      </c>
      <c r="OL206" s="247">
        <f>INDEX(inputs_checks[Kjerneboring],MATCH($NN206,inputs_checks[position],0))</f>
        <v>0</v>
      </c>
      <c r="OM206" s="247">
        <f>INDEX(inputs_checks[Seismikk],MATCH($NN206,inputs_checks[position],0))</f>
        <v>0</v>
      </c>
      <c r="ON206" s="247">
        <f>IF(AND(INDEX(tickcheck_foran[sp_Rigg],MATCH(outputs_checks[[#This Row],[Position]],tickcheck_foran[position],0))=1),1,0)</f>
        <v>0</v>
      </c>
      <c r="OO206" s="247">
        <f>INDEX(tickcheck_foran[sp_Boring],MATCH(outputs_checks[[#This Row],[Position]],tickcheck_foran[position],0))</f>
        <v>0</v>
      </c>
      <c r="OP206" s="247">
        <f>INDEX(tickcheck_foran[Sp_Injeksjon],MATCH(outputs_checks[[#This Row],[Position]],tickcheck_foran[position],0))</f>
        <v>0</v>
      </c>
      <c r="OQ206" s="247"/>
      <c r="OR206" s="247">
        <f>INDEX(tickcheck_foran[sy_Rigg],MATCH(outputs_checks[[#This Row],[Position]],tickcheck_foran[position],0))</f>
        <v>0</v>
      </c>
      <c r="OS206" s="247">
        <f>INDEX(tickcheck_foran[sy_Boring],MATCH(outputs_checks[[#This Row],[Position]],tickcheck_foran[position],0))</f>
        <v>0</v>
      </c>
      <c r="OT206" s="247">
        <f>INDEX(tickcheck_foran[sy_Injeksjon],MATCH(outputs_checks[[#This Row],[Position]],tickcheck_foran[position],0))</f>
        <v>0</v>
      </c>
      <c r="OU206" s="247"/>
      <c r="OV206" s="247">
        <f>COUNTIF(outputs_checks[[#This Row],[Sonderboring]:[Seismikk]],0)</f>
        <v>3</v>
      </c>
      <c r="OW206" s="247">
        <f>COUNTIF(outputs_checks[[#This Row],[sp_Rigg]:[sy_Kontrollhull]],0)</f>
        <v>6</v>
      </c>
      <c r="OX206" s="247">
        <f>outputs_checks[[#This Row],[oppsum_sonder]]+outputs_checks[[#This Row],[oppsum_inj]]</f>
        <v>9</v>
      </c>
      <c r="OY206" s="247">
        <f>IF($D$11=1,1,INDEX(inputs_checks[manuell],MATCH($NN206,inputs_checks[position],0)))</f>
        <v>0</v>
      </c>
      <c r="OZ206" s="247">
        <f>IF($D$11=1,1,INDEX(inputs_checks[kartlegging],MATCH($NN206,inputs_checks[position],0)))</f>
        <v>0</v>
      </c>
      <c r="PA206" s="247">
        <f>IF($D$11=1,1,INDEX(inputs_checks[lt4m],MATCH($NN206,inputs_checks[position],0)))</f>
        <v>0</v>
      </c>
      <c r="PB206" s="247">
        <f>IF($D$11=1,1,INDEX(inputs_checks[gt4m],MATCH($NN206,inputs_checks[position],0)))</f>
        <v>0</v>
      </c>
      <c r="PC206" s="247">
        <f>IF($D$11=1,1,INDEX(inputs_checks[bånd],MATCH($NN206,inputs_checks[position],0)))</f>
        <v>0</v>
      </c>
      <c r="PD206" s="247">
        <f>IF($D$11=1,1,INDEX(inputs_checks[nett],MATCH($NN206,inputs_checks[position],0)))</f>
        <v>0</v>
      </c>
      <c r="PE206" s="247">
        <f>IF($D$11=1,1,INDEX(inputs_checks[festebolter],MATCH($NN206,inputs_checks[position],0)))</f>
        <v>0</v>
      </c>
      <c r="PF206" s="247">
        <f>IF($D$11=1,1,INDEX(inputs_checks[shotcrete],MATCH($NN206,inputs_checks[position],0)))</f>
        <v>0</v>
      </c>
      <c r="PG206" s="247">
        <f>IF($D$11=1,1,INDEX(inputs_checks[buer],MATCH($NN206,inputs_checks[position],0)))</f>
        <v>0</v>
      </c>
      <c r="PH206" s="247">
        <f>IF($D$11=1,1,INDEX(inputs_checks[sik123],MATCH(outputs_checks[[#This Row],[Position]],inputs_checks[position],0)))</f>
        <v>0</v>
      </c>
      <c r="PI206" s="247">
        <f>IF($D$11=1,1,INDEX(inputs_checks[sik4],MATCH(outputs_checks[[#This Row],[Position]],inputs_checks[position],0)))</f>
        <v>0</v>
      </c>
      <c r="PJ206" s="247">
        <f>INDEX(inputs_checks[oppsum_manuell],MATCH($NN206,inputs_checks[position],0))</f>
        <v>2</v>
      </c>
      <c r="PK206" s="247">
        <f>INDEX(inputs_checks[oppsum_bolter],MATCH($NN206,inputs_checks[position],0))</f>
        <v>2</v>
      </c>
      <c r="PL206" s="247">
        <f>INDEX(inputs_checks[oppsum_bånd],MATCH($NN206,inputs_checks[position],0))</f>
        <v>3</v>
      </c>
      <c r="PM206" s="247">
        <f>INDEX(inputs_checks[oppsum_shot],MATCH($NN206,inputs_checks[position],0))</f>
        <v>1</v>
      </c>
      <c r="PN206" s="247">
        <f>INDEX(inputs_checks[oppsum_buer],MATCH($NN206,inputs_checks[position],0))</f>
        <v>1</v>
      </c>
      <c r="PO206" s="247">
        <f>COUNTIF(outputs_checks[[#This Row],[sik123]:[sik4]],0)</f>
        <v>2</v>
      </c>
      <c r="PP206" s="247">
        <f>SUM(outputs_checks[[#This Row],[oppsum_manuell]:[oppsum_sik]])</f>
        <v>11</v>
      </c>
      <c r="PQ206"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32</v>
      </c>
      <c r="PR206" s="447">
        <f>$LK$44</f>
        <v>1</v>
      </c>
      <c r="PS206" s="447">
        <f>$LK$41</f>
        <v>1</v>
      </c>
      <c r="PT206" s="447">
        <f>$LK$42</f>
        <v>0</v>
      </c>
      <c r="PU206" s="447">
        <f>INDEX(tverr_connection_2[12],MATCH($BC$28,tverr_connection_2[config],0))</f>
        <v>0</v>
      </c>
      <c r="PV206" s="447">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33</v>
      </c>
      <c r="PW206" s="265"/>
      <c r="PX206" s="265"/>
      <c r="RO206" s="183"/>
      <c r="RQ206" s="183"/>
      <c r="RT206" s="210"/>
      <c r="RV206" s="210"/>
      <c r="SR206" s="183"/>
      <c r="SS206" s="183"/>
      <c r="SW206" s="184"/>
      <c r="SX206" s="184"/>
      <c r="UK206" s="183"/>
      <c r="UL206" s="183"/>
      <c r="UM206" s="183"/>
      <c r="UN206" s="183"/>
      <c r="UO206" s="183"/>
      <c r="UQ206" s="184"/>
      <c r="UR206" s="1754"/>
      <c r="UX206" s="265"/>
      <c r="VD206" s="402"/>
      <c r="WG206" s="265"/>
      <c r="WH206" s="265"/>
      <c r="WI206" s="265"/>
      <c r="WJ206" s="265"/>
      <c r="WK206" s="265"/>
    </row>
    <row r="207" spans="54:609" x14ac:dyDescent="0.2">
      <c r="BC207" s="185" t="str">
        <f>'Inn sprengning'!F78</f>
        <v>Total sprengningsvolum</v>
      </c>
      <c r="BD207" s="185">
        <f>IFERROR(IF($BC$38=1,$BX$168,IF($BC$38=2,$BX$169)),0)</f>
        <v>0</v>
      </c>
      <c r="ER207" s="6125">
        <v>5</v>
      </c>
      <c r="ES207" s="237">
        <f t="shared" si="286"/>
        <v>0</v>
      </c>
      <c r="ET207" s="237">
        <f>tickcheck_stab[[#This Row],[sik123]]</f>
        <v>0</v>
      </c>
      <c r="NI207" s="4200" t="s">
        <v>2005</v>
      </c>
      <c r="NK207" s="439" t="str">
        <f>$NO$68</f>
        <v>Stuff 1-2</v>
      </c>
      <c r="NL207" s="451">
        <v>22</v>
      </c>
      <c r="NM207" s="393">
        <f>IF($BC$38=2,INDEX(outputs_position[12],MATCH($BC$35,outputs_position[lopstuff],0)),0)</f>
        <v>0</v>
      </c>
      <c r="NN207" s="393">
        <f>IF($BC$38=2,INDEX(outputs_position[12],MATCH($BC$35,outputs_position[lopstuff],0)),0)</f>
        <v>0</v>
      </c>
      <c r="NO207" s="194">
        <f t="shared" ref="NO207:NO214" si="288">IF($GN$13=TRUE,1,IF(GK37=1,0,$GP$35))</f>
        <v>1</v>
      </c>
      <c r="NP207" s="185" t="e">
        <f>INDEX(inputs_checks[Forberedende arbeider],MATCH($NN207,inputs_checks[position],0))</f>
        <v>#N/A</v>
      </c>
      <c r="NQ207" s="185" t="e">
        <f>INDEX(inputs_checks[Forskjæring],MATCH($NN207,inputs_checks[position],0))</f>
        <v>#N/A</v>
      </c>
      <c r="NR207" s="185" t="e">
        <f>INDEX(inputs_checks[Andre arbeider],MATCH($NN207,inputs_checks[position],0))</f>
        <v>#N/A</v>
      </c>
      <c r="NS207" s="185" t="e">
        <f>INDEX(inputs_checks[oppsum_forbe],MATCH($NN207,inputs_checks[position],0))</f>
        <v>#N/A</v>
      </c>
      <c r="NT207" s="185">
        <f t="shared" si="287"/>
        <v>0</v>
      </c>
      <c r="NU207" s="185" t="e">
        <f>IF(AND(outputs_checks[[#This Row],[Teoretisk volum per hele løp]]=1,INDEX(inputs_checks[Normal salve volum],MATCH(outputs_checks[[#This Row],[position_input]],inputs_checks[position],0))=1),1,0)</f>
        <v>#N/A</v>
      </c>
      <c r="NV207" s="185" t="e">
        <f>IF(AND(outputs_checks[[#This Row],[Teoretisk volum per hele løp]]=1,INDEX(inputs_checks[Redusert salvelengde],MATCH(outputs_checks[[#This Row],[position_input]],inputs_checks[position],0))=1),1,0)</f>
        <v>#N/A</v>
      </c>
      <c r="NW207" s="185" t="e">
        <f>IF(AND(outputs_checks[[#This Row],[Teoretisk volum per hele løp]]=1,INDEX(inputs_checks[Todelt tverrsnitt],MATCH(outputs_checks[[#This Row],[position_input]],inputs_checks[position],0))=1),1,0)</f>
        <v>#N/A</v>
      </c>
      <c r="NX207" s="185" t="e">
        <f>IF(AND(outputs_checks[[#This Row],[Teoretisk volum per hele løp]]=1,INDEX(inputs_checks[Redusert salvelengde
og todelt tverrsnitt],MATCH(outputs_checks[[#This Row],[position_input]],inputs_checks[position],0))=1),1,0)</f>
        <v>#N/A</v>
      </c>
      <c r="NY207" s="247" t="e">
        <f>INDEX(inputs_checks[grøfter],MATCH(outputs_checks[[#This Row],[Position]],inputs_checks[position],0))</f>
        <v>#N/A</v>
      </c>
      <c r="NZ207" s="185" t="e">
        <f>INDEX(inputs_checks[Nisjer],MATCH($NN207,inputs_checks[position],0))</f>
        <v>#N/A</v>
      </c>
      <c r="OA207" s="185" t="e">
        <f>INDEX(inputs_checks[Snunisjer],MATCH($NN207,inputs_checks[position],0))</f>
        <v>#N/A</v>
      </c>
      <c r="OB207" s="185" t="e">
        <f>INDEX(inputs_checks[Tverrforbindelser],MATCH($NN207,inputs_checks[position],0))</f>
        <v>#N/A</v>
      </c>
      <c r="OC207" s="185" t="e">
        <f>INDEX(inputs_checks[Tekniske rom],MATCH($NN207,inputs_checks[position],0))</f>
        <v>#N/A</v>
      </c>
      <c r="OD207" s="185" t="e">
        <f>INDEX(inputs_checks[Siktutvidelse],MATCH($NN207,inputs_checks[position],0))</f>
        <v>#N/A</v>
      </c>
      <c r="OE207" s="185" t="e">
        <f>INDEX(inputs_checks[Utvidelse for tung sikring],MATCH($NN207,inputs_checks[position],0))</f>
        <v>#N/A</v>
      </c>
      <c r="OF207" s="185" t="e">
        <f>INDEX(inputs_checks[Pumpesump],MATCH($NN207,inputs_checks[position],0))</f>
        <v>#N/A</v>
      </c>
      <c r="OG207" s="185" t="e">
        <f>INDEX(inputs_checks[Annet],MATCH($NN207,inputs_checks[position],0))</f>
        <v>#N/A</v>
      </c>
      <c r="OH207" s="185" t="e">
        <f>INDEX(inputs_checks[oppsum_løp],MATCH($NN207,inputs_checks[position],0))</f>
        <v>#N/A</v>
      </c>
      <c r="OI207" s="185" t="e">
        <f>INDEX(inputs_checks[oppsum_nisj],MATCH($NN207,inputs_checks[position],0))</f>
        <v>#N/A</v>
      </c>
      <c r="OJ207" s="247" t="e">
        <f>outputs_checks[[#This Row],[oppsum_løp]]+outputs_checks[[#This Row],[oppsum_nisj]]</f>
        <v>#N/A</v>
      </c>
      <c r="OK207" s="185" t="e">
        <f>INDEX(inputs_checks[Sonderboring],MATCH($NN207,inputs_checks[position],0))</f>
        <v>#N/A</v>
      </c>
      <c r="OL207" s="185" t="e">
        <f>INDEX(inputs_checks[Kjerneboring],MATCH($NN207,inputs_checks[position],0))</f>
        <v>#N/A</v>
      </c>
      <c r="OM207" s="185" t="e">
        <f>INDEX(inputs_checks[Seismikk],MATCH($NN207,inputs_checks[position],0))</f>
        <v>#N/A</v>
      </c>
      <c r="ON207" s="247" t="e">
        <f>IF(AND(INDEX(tickcheck_foran[sp_Rigg],MATCH(outputs_checks[[#This Row],[Position]],tickcheck_foran[position],0))=1),1,0)</f>
        <v>#N/A</v>
      </c>
      <c r="OO207" s="247" t="e">
        <f>INDEX(tickcheck_foran[sp_Boring],MATCH(outputs_checks[[#This Row],[Position]],tickcheck_foran[position],0))</f>
        <v>#N/A</v>
      </c>
      <c r="OP207" s="247" t="e">
        <f>INDEX(tickcheck_foran[Sp_Injeksjon],MATCH(outputs_checks[[#This Row],[Position]],tickcheck_foran[position],0))</f>
        <v>#N/A</v>
      </c>
      <c r="OQ207" s="185"/>
      <c r="OR207" s="247" t="e">
        <f>INDEX(tickcheck_foran[sy_Rigg],MATCH(outputs_checks[[#This Row],[Position]],tickcheck_foran[position],0))</f>
        <v>#N/A</v>
      </c>
      <c r="OS207" s="247" t="e">
        <f>INDEX(tickcheck_foran[sy_Boring],MATCH(outputs_checks[[#This Row],[Position]],tickcheck_foran[position],0))</f>
        <v>#N/A</v>
      </c>
      <c r="OT207" s="247" t="e">
        <f>INDEX(tickcheck_foran[sy_Injeksjon],MATCH(outputs_checks[[#This Row],[Position]],tickcheck_foran[position],0))</f>
        <v>#N/A</v>
      </c>
      <c r="OU207" s="185"/>
      <c r="OV207" s="247">
        <f>COUNTIF(outputs_checks[[#This Row],[Sonderboring]:[Seismikk]],0)</f>
        <v>0</v>
      </c>
      <c r="OW207" s="247">
        <f>COUNTIF(outputs_checks[[#This Row],[sp_Rigg]:[sy_Kontrollhull]],0)</f>
        <v>0</v>
      </c>
      <c r="OX207" s="247">
        <f>outputs_checks[[#This Row],[oppsum_sonder]]+outputs_checks[[#This Row],[oppsum_inj]]</f>
        <v>0</v>
      </c>
      <c r="OY207" s="185" t="e">
        <f>IF($D$11=1,1,INDEX(inputs_checks[manuell],MATCH($NN207,inputs_checks[position],0)))</f>
        <v>#N/A</v>
      </c>
      <c r="OZ207" s="185" t="e">
        <f>IF($D$11=1,1,INDEX(inputs_checks[kartlegging],MATCH($NN207,inputs_checks[position],0)))</f>
        <v>#N/A</v>
      </c>
      <c r="PA207" s="185" t="e">
        <f>IF($D$11=1,1,INDEX(inputs_checks[lt4m],MATCH($NN207,inputs_checks[position],0)))</f>
        <v>#N/A</v>
      </c>
      <c r="PB207" s="185" t="e">
        <f>IF($D$11=1,1,INDEX(inputs_checks[gt4m],MATCH($NN207,inputs_checks[position],0)))</f>
        <v>#N/A</v>
      </c>
      <c r="PC207" s="185" t="e">
        <f>IF($D$11=1,1,INDEX(inputs_checks[bånd],MATCH($NN207,inputs_checks[position],0)))</f>
        <v>#N/A</v>
      </c>
      <c r="PD207" s="185" t="e">
        <f>IF($D$11=1,1,INDEX(inputs_checks[nett],MATCH($NN207,inputs_checks[position],0)))</f>
        <v>#N/A</v>
      </c>
      <c r="PE207" s="185" t="e">
        <f>IF($D$11=1,1,INDEX(inputs_checks[festebolter],MATCH($NN207,inputs_checks[position],0)))</f>
        <v>#N/A</v>
      </c>
      <c r="PF207" s="185" t="e">
        <f>IF($D$11=1,1,INDEX(inputs_checks[shotcrete],MATCH($NN207,inputs_checks[position],0)))</f>
        <v>#N/A</v>
      </c>
      <c r="PG207" s="185" t="e">
        <f>IF($D$11=1,1,INDEX(inputs_checks[buer],MATCH($NN207,inputs_checks[position],0)))</f>
        <v>#N/A</v>
      </c>
      <c r="PH207" s="247" t="e">
        <f>IF($D$11=1,1,INDEX(inputs_checks[sik123],MATCH(outputs_checks[[#This Row],[Position]],inputs_checks[position],0)))</f>
        <v>#N/A</v>
      </c>
      <c r="PI207" s="247" t="e">
        <f>IF($D$11=1,1,INDEX(inputs_checks[sik4],MATCH(outputs_checks[[#This Row],[Position]],inputs_checks[position],0)))</f>
        <v>#N/A</v>
      </c>
      <c r="PJ207" s="185" t="e">
        <f>INDEX(inputs_checks[oppsum_manuell],MATCH($NN207,inputs_checks[position],0))</f>
        <v>#N/A</v>
      </c>
      <c r="PK207" s="185" t="e">
        <f>INDEX(inputs_checks[oppsum_bolter],MATCH($NN207,inputs_checks[position],0))</f>
        <v>#N/A</v>
      </c>
      <c r="PL207" s="185" t="e">
        <f>INDEX(inputs_checks[oppsum_bånd],MATCH($NN207,inputs_checks[position],0))</f>
        <v>#N/A</v>
      </c>
      <c r="PM207" s="185" t="e">
        <f>INDEX(inputs_checks[oppsum_shot],MATCH($NN207,inputs_checks[position],0))</f>
        <v>#N/A</v>
      </c>
      <c r="PN207" s="185" t="e">
        <f>INDEX(inputs_checks[oppsum_buer],MATCH($NN207,inputs_checks[position],0))</f>
        <v>#N/A</v>
      </c>
      <c r="PO207" s="185">
        <f>COUNTIF(outputs_checks[[#This Row],[sik123]:[sik4]],0)</f>
        <v>0</v>
      </c>
      <c r="PP207" s="247" t="e">
        <f>SUM(outputs_checks[[#This Row],[oppsum_manuell]:[oppsum_sik]])</f>
        <v>#N/A</v>
      </c>
      <c r="PQ207"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07" s="206">
        <f>$LL$44</f>
        <v>1</v>
      </c>
      <c r="PS207" s="206">
        <f>$LL$41</f>
        <v>1</v>
      </c>
      <c r="PT207" s="206">
        <f>$LL$42</f>
        <v>0</v>
      </c>
      <c r="PU207" s="206">
        <f>INDEX(tverr_connection_2[22],MATCH($BC$28,tverr_connection_2[config],0))</f>
        <v>0</v>
      </c>
      <c r="PV207"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07" s="265"/>
      <c r="PX207" s="265"/>
      <c r="RD207" s="207"/>
      <c r="RE207" s="207"/>
      <c r="RO207" s="183"/>
      <c r="RQ207" s="183"/>
      <c r="RT207" s="210"/>
      <c r="RV207" s="210"/>
      <c r="SR207" s="183"/>
      <c r="SS207" s="183"/>
      <c r="SW207" s="184"/>
      <c r="SX207" s="184"/>
      <c r="UK207" s="183"/>
      <c r="UL207" s="183"/>
      <c r="UM207" s="183"/>
      <c r="UN207" s="183"/>
      <c r="UO207" s="183"/>
      <c r="UQ207" s="184"/>
      <c r="UR207" s="1754"/>
      <c r="UX207" s="265"/>
      <c r="VD207" s="402"/>
      <c r="WG207" s="265"/>
      <c r="WH207" s="265"/>
      <c r="WI207" s="265"/>
      <c r="WJ207" s="265"/>
      <c r="WK207" s="265"/>
    </row>
    <row r="208" spans="54:609" x14ac:dyDescent="0.2">
      <c r="ER208" s="6125">
        <v>6</v>
      </c>
      <c r="ES208" s="237">
        <f t="shared" si="286"/>
        <v>0</v>
      </c>
      <c r="ET208" s="237">
        <f>tickcheck_stab[[#This Row],[sik123]]</f>
        <v>0</v>
      </c>
      <c r="NI208" s="5513" t="s">
        <v>2411</v>
      </c>
      <c r="NK208" s="439" t="str">
        <f>$NO$69</f>
        <v>Stuff 1-3</v>
      </c>
      <c r="NL208" s="451">
        <v>32</v>
      </c>
      <c r="NM208" s="393">
        <f>IF($BC$38=2,INDEX(outputs_position[13],MATCH($BC$35,outputs_position[lopstuff],0)),0)</f>
        <v>0</v>
      </c>
      <c r="NN208" s="393">
        <f>IF($BC$38=2,INDEX(outputs_position[13],MATCH($BC$35,outputs_position[lopstuff],0)),0)</f>
        <v>0</v>
      </c>
      <c r="NO208" s="194">
        <f t="shared" si="288"/>
        <v>1</v>
      </c>
      <c r="NP208" s="185" t="e">
        <f>INDEX(inputs_checks[Forberedende arbeider],MATCH($NN208,inputs_checks[position],0))</f>
        <v>#N/A</v>
      </c>
      <c r="NQ208" s="185" t="e">
        <f>INDEX(inputs_checks[Forskjæring],MATCH($NN208,inputs_checks[position],0))</f>
        <v>#N/A</v>
      </c>
      <c r="NR208" s="185" t="e">
        <f>INDEX(inputs_checks[Andre arbeider],MATCH($NN208,inputs_checks[position],0))</f>
        <v>#N/A</v>
      </c>
      <c r="NS208" s="185" t="e">
        <f>INDEX(inputs_checks[oppsum_forbe],MATCH($NN208,inputs_checks[position],0))</f>
        <v>#N/A</v>
      </c>
      <c r="NT208" s="185">
        <f t="shared" si="287"/>
        <v>0</v>
      </c>
      <c r="NU208" s="185" t="e">
        <f>IF(AND(outputs_checks[[#This Row],[Teoretisk volum per hele løp]]=1,INDEX(inputs_checks[Normal salve volum],MATCH(outputs_checks[[#This Row],[position_input]],inputs_checks[position],0))=1),1,0)</f>
        <v>#N/A</v>
      </c>
      <c r="NV208" s="185" t="e">
        <f>IF(AND(outputs_checks[[#This Row],[Teoretisk volum per hele løp]]=1,INDEX(inputs_checks[Redusert salvelengde],MATCH(outputs_checks[[#This Row],[position_input]],inputs_checks[position],0))=1),1,0)</f>
        <v>#N/A</v>
      </c>
      <c r="NW208" s="185" t="e">
        <f>IF(AND(outputs_checks[[#This Row],[Teoretisk volum per hele løp]]=1,INDEX(inputs_checks[Todelt tverrsnitt],MATCH(outputs_checks[[#This Row],[position_input]],inputs_checks[position],0))=1),1,0)</f>
        <v>#N/A</v>
      </c>
      <c r="NX208" s="185" t="e">
        <f>IF(AND(outputs_checks[[#This Row],[Teoretisk volum per hele løp]]=1,INDEX(inputs_checks[Redusert salvelengde
og todelt tverrsnitt],MATCH(outputs_checks[[#This Row],[position_input]],inputs_checks[position],0))=1),1,0)</f>
        <v>#N/A</v>
      </c>
      <c r="NY208" s="247" t="e">
        <f>INDEX(inputs_checks[grøfter],MATCH(outputs_checks[[#This Row],[Position]],inputs_checks[position],0))</f>
        <v>#N/A</v>
      </c>
      <c r="NZ208" s="185" t="e">
        <f>INDEX(inputs_checks[Nisjer],MATCH($NN208,inputs_checks[position],0))</f>
        <v>#N/A</v>
      </c>
      <c r="OA208" s="185" t="e">
        <f>INDEX(inputs_checks[Snunisjer],MATCH($NN208,inputs_checks[position],0))</f>
        <v>#N/A</v>
      </c>
      <c r="OB208" s="185" t="e">
        <f>INDEX(inputs_checks[Tverrforbindelser],MATCH($NN208,inputs_checks[position],0))</f>
        <v>#N/A</v>
      </c>
      <c r="OC208" s="185" t="e">
        <f>INDEX(inputs_checks[Tekniske rom],MATCH($NN208,inputs_checks[position],0))</f>
        <v>#N/A</v>
      </c>
      <c r="OD208" s="185" t="e">
        <f>INDEX(inputs_checks[Siktutvidelse],MATCH($NN208,inputs_checks[position],0))</f>
        <v>#N/A</v>
      </c>
      <c r="OE208" s="185" t="e">
        <f>INDEX(inputs_checks[Utvidelse for tung sikring],MATCH($NN208,inputs_checks[position],0))</f>
        <v>#N/A</v>
      </c>
      <c r="OF208" s="185" t="e">
        <f>INDEX(inputs_checks[Pumpesump],MATCH($NN208,inputs_checks[position],0))</f>
        <v>#N/A</v>
      </c>
      <c r="OG208" s="185" t="e">
        <f>INDEX(inputs_checks[Annet],MATCH($NN208,inputs_checks[position],0))</f>
        <v>#N/A</v>
      </c>
      <c r="OH208" s="185" t="e">
        <f>INDEX(inputs_checks[oppsum_løp],MATCH($NN208,inputs_checks[position],0))</f>
        <v>#N/A</v>
      </c>
      <c r="OI208" s="185" t="e">
        <f>INDEX(inputs_checks[oppsum_nisj],MATCH($NN208,inputs_checks[position],0))</f>
        <v>#N/A</v>
      </c>
      <c r="OJ208" s="247" t="e">
        <f>outputs_checks[[#This Row],[oppsum_løp]]+outputs_checks[[#This Row],[oppsum_nisj]]</f>
        <v>#N/A</v>
      </c>
      <c r="OK208" s="185" t="e">
        <f>INDEX(inputs_checks[Sonderboring],MATCH($NN208,inputs_checks[position],0))</f>
        <v>#N/A</v>
      </c>
      <c r="OL208" s="185" t="e">
        <f>INDEX(inputs_checks[Kjerneboring],MATCH($NN208,inputs_checks[position],0))</f>
        <v>#N/A</v>
      </c>
      <c r="OM208" s="185" t="e">
        <f>INDEX(inputs_checks[Seismikk],MATCH($NN208,inputs_checks[position],0))</f>
        <v>#N/A</v>
      </c>
      <c r="ON208" s="247" t="e">
        <f>IF(AND(INDEX(tickcheck_foran[sp_Rigg],MATCH(outputs_checks[[#This Row],[Position]],tickcheck_foran[position],0))=1),1,0)</f>
        <v>#N/A</v>
      </c>
      <c r="OO208" s="247" t="e">
        <f>INDEX(tickcheck_foran[sp_Boring],MATCH(outputs_checks[[#This Row],[Position]],tickcheck_foran[position],0))</f>
        <v>#N/A</v>
      </c>
      <c r="OP208" s="247" t="e">
        <f>INDEX(tickcheck_foran[Sp_Injeksjon],MATCH(outputs_checks[[#This Row],[Position]],tickcheck_foran[position],0))</f>
        <v>#N/A</v>
      </c>
      <c r="OQ208" s="185"/>
      <c r="OR208" s="247" t="e">
        <f>INDEX(tickcheck_foran[sy_Rigg],MATCH(outputs_checks[[#This Row],[Position]],tickcheck_foran[position],0))</f>
        <v>#N/A</v>
      </c>
      <c r="OS208" s="247" t="e">
        <f>INDEX(tickcheck_foran[sy_Boring],MATCH(outputs_checks[[#This Row],[Position]],tickcheck_foran[position],0))</f>
        <v>#N/A</v>
      </c>
      <c r="OT208" s="247" t="e">
        <f>INDEX(tickcheck_foran[sy_Injeksjon],MATCH(outputs_checks[[#This Row],[Position]],tickcheck_foran[position],0))</f>
        <v>#N/A</v>
      </c>
      <c r="OU208" s="185"/>
      <c r="OV208" s="247">
        <f>COUNTIF(outputs_checks[[#This Row],[Sonderboring]:[Seismikk]],0)</f>
        <v>0</v>
      </c>
      <c r="OW208" s="247">
        <f>COUNTIF(outputs_checks[[#This Row],[sp_Rigg]:[sy_Kontrollhull]],0)</f>
        <v>0</v>
      </c>
      <c r="OX208" s="247">
        <f>outputs_checks[[#This Row],[oppsum_sonder]]+outputs_checks[[#This Row],[oppsum_inj]]</f>
        <v>0</v>
      </c>
      <c r="OY208" s="185" t="e">
        <f>IF($D$11=1,1,INDEX(inputs_checks[manuell],MATCH($NN208,inputs_checks[position],0)))</f>
        <v>#N/A</v>
      </c>
      <c r="OZ208" s="185" t="e">
        <f>IF($D$11=1,1,INDEX(inputs_checks[kartlegging],MATCH($NN208,inputs_checks[position],0)))</f>
        <v>#N/A</v>
      </c>
      <c r="PA208" s="185" t="e">
        <f>IF($D$11=1,1,INDEX(inputs_checks[lt4m],MATCH($NN208,inputs_checks[position],0)))</f>
        <v>#N/A</v>
      </c>
      <c r="PB208" s="185" t="e">
        <f>IF($D$11=1,1,INDEX(inputs_checks[gt4m],MATCH($NN208,inputs_checks[position],0)))</f>
        <v>#N/A</v>
      </c>
      <c r="PC208" s="185" t="e">
        <f>IF($D$11=1,1,INDEX(inputs_checks[bånd],MATCH($NN208,inputs_checks[position],0)))</f>
        <v>#N/A</v>
      </c>
      <c r="PD208" s="185" t="e">
        <f>IF($D$11=1,1,INDEX(inputs_checks[nett],MATCH($NN208,inputs_checks[position],0)))</f>
        <v>#N/A</v>
      </c>
      <c r="PE208" s="185" t="e">
        <f>IF($D$11=1,1,INDEX(inputs_checks[festebolter],MATCH($NN208,inputs_checks[position],0)))</f>
        <v>#N/A</v>
      </c>
      <c r="PF208" s="185" t="e">
        <f>IF($D$11=1,1,INDEX(inputs_checks[shotcrete],MATCH($NN208,inputs_checks[position],0)))</f>
        <v>#N/A</v>
      </c>
      <c r="PG208" s="185" t="e">
        <f>IF($D$11=1,1,INDEX(inputs_checks[buer],MATCH($NN208,inputs_checks[position],0)))</f>
        <v>#N/A</v>
      </c>
      <c r="PH208" s="247" t="e">
        <f>IF($D$11=1,1,INDEX(inputs_checks[sik123],MATCH(outputs_checks[[#This Row],[Position]],inputs_checks[position],0)))</f>
        <v>#N/A</v>
      </c>
      <c r="PI208" s="247" t="e">
        <f>IF($D$11=1,1,INDEX(inputs_checks[sik4],MATCH(outputs_checks[[#This Row],[Position]],inputs_checks[position],0)))</f>
        <v>#N/A</v>
      </c>
      <c r="PJ208" s="185" t="e">
        <f>INDEX(inputs_checks[oppsum_manuell],MATCH($NN208,inputs_checks[position],0))</f>
        <v>#N/A</v>
      </c>
      <c r="PK208" s="185" t="e">
        <f>INDEX(inputs_checks[oppsum_bolter],MATCH($NN208,inputs_checks[position],0))</f>
        <v>#N/A</v>
      </c>
      <c r="PL208" s="185" t="e">
        <f>INDEX(inputs_checks[oppsum_bånd],MATCH($NN208,inputs_checks[position],0))</f>
        <v>#N/A</v>
      </c>
      <c r="PM208" s="185" t="e">
        <f>INDEX(inputs_checks[oppsum_shot],MATCH($NN208,inputs_checks[position],0))</f>
        <v>#N/A</v>
      </c>
      <c r="PN208" s="185" t="e">
        <f>INDEX(inputs_checks[oppsum_buer],MATCH($NN208,inputs_checks[position],0))</f>
        <v>#N/A</v>
      </c>
      <c r="PO208" s="185">
        <f>COUNTIF(outputs_checks[[#This Row],[sik123]:[sik4]],0)</f>
        <v>0</v>
      </c>
      <c r="PP208" s="247" t="e">
        <f>SUM(outputs_checks[[#This Row],[oppsum_manuell]:[oppsum_sik]])</f>
        <v>#N/A</v>
      </c>
      <c r="PQ208"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08" s="206">
        <f>$LM$44</f>
        <v>1</v>
      </c>
      <c r="PS208" s="206">
        <f>$LM$41</f>
        <v>1</v>
      </c>
      <c r="PT208" s="206">
        <f>$LM$42</f>
        <v>0</v>
      </c>
      <c r="PU208" s="206">
        <f>INDEX(tverr_connection_2[32],MATCH($BC$28,tverr_connection_2[config],0))</f>
        <v>0</v>
      </c>
      <c r="PV208"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08" s="265"/>
      <c r="PX208" s="265"/>
      <c r="RO208" s="183"/>
      <c r="RQ208" s="183"/>
      <c r="RT208" s="210"/>
      <c r="RV208" s="210"/>
      <c r="SR208" s="183"/>
      <c r="SS208" s="183"/>
      <c r="SW208" s="184"/>
      <c r="SX208" s="184"/>
      <c r="UK208" s="183"/>
      <c r="UL208" s="183"/>
      <c r="UM208" s="183"/>
      <c r="UN208" s="183"/>
      <c r="UO208" s="183"/>
      <c r="UQ208" s="184"/>
      <c r="UR208" s="1754"/>
      <c r="UX208" s="265"/>
      <c r="VD208" s="402"/>
      <c r="WG208" s="265"/>
      <c r="WH208" s="265"/>
      <c r="WI208" s="265"/>
      <c r="WJ208" s="265"/>
      <c r="WK208" s="265"/>
    </row>
    <row r="209" spans="54:609" x14ac:dyDescent="0.2">
      <c r="ER209" s="6125">
        <v>7</v>
      </c>
      <c r="ES209" s="237">
        <f t="shared" si="286"/>
        <v>0</v>
      </c>
      <c r="ET209" s="237">
        <f>tickcheck_stab[[#This Row],[sik123]]</f>
        <v>0</v>
      </c>
      <c r="NK209" s="439" t="str">
        <f>$NO$70</f>
        <v>Stuff 1-4</v>
      </c>
      <c r="NL209" s="451">
        <v>42</v>
      </c>
      <c r="NM209" s="393">
        <f>IF($BC$38=2,INDEX(outputs_position[14],MATCH($BC$35,outputs_position[lopstuff],0)),0)</f>
        <v>0</v>
      </c>
      <c r="NN209" s="393">
        <f>IF($BC$38=2,INDEX(outputs_position[14],MATCH($BC$35,outputs_position[lopstuff],0)),0)</f>
        <v>0</v>
      </c>
      <c r="NO209" s="194">
        <f t="shared" si="288"/>
        <v>1</v>
      </c>
      <c r="NP209" s="185" t="e">
        <f>INDEX(inputs_checks[Forberedende arbeider],MATCH($NN209,inputs_checks[position],0))</f>
        <v>#N/A</v>
      </c>
      <c r="NQ209" s="185" t="e">
        <f>INDEX(inputs_checks[Forskjæring],MATCH($NN209,inputs_checks[position],0))</f>
        <v>#N/A</v>
      </c>
      <c r="NR209" s="185" t="e">
        <f>INDEX(inputs_checks[Andre arbeider],MATCH($NN209,inputs_checks[position],0))</f>
        <v>#N/A</v>
      </c>
      <c r="NS209" s="185" t="e">
        <f>INDEX(inputs_checks[oppsum_forbe],MATCH($NN209,inputs_checks[position],0))</f>
        <v>#N/A</v>
      </c>
      <c r="NT209" s="185">
        <f t="shared" si="287"/>
        <v>0</v>
      </c>
      <c r="NU209" s="185" t="e">
        <f>IF(AND(outputs_checks[[#This Row],[Teoretisk volum per hele løp]]=1,INDEX(inputs_checks[Normal salve volum],MATCH(outputs_checks[[#This Row],[position_input]],inputs_checks[position],0))=1),1,0)</f>
        <v>#N/A</v>
      </c>
      <c r="NV209" s="185" t="e">
        <f>IF(AND(outputs_checks[[#This Row],[Teoretisk volum per hele løp]]=1,INDEX(inputs_checks[Redusert salvelengde],MATCH(outputs_checks[[#This Row],[position_input]],inputs_checks[position],0))=1),1,0)</f>
        <v>#N/A</v>
      </c>
      <c r="NW209" s="185" t="e">
        <f>IF(AND(outputs_checks[[#This Row],[Teoretisk volum per hele løp]]=1,INDEX(inputs_checks[Todelt tverrsnitt],MATCH(outputs_checks[[#This Row],[position_input]],inputs_checks[position],0))=1),1,0)</f>
        <v>#N/A</v>
      </c>
      <c r="NX209" s="185" t="e">
        <f>IF(AND(outputs_checks[[#This Row],[Teoretisk volum per hele løp]]=1,INDEX(inputs_checks[Redusert salvelengde
og todelt tverrsnitt],MATCH(outputs_checks[[#This Row],[position_input]],inputs_checks[position],0))=1),1,0)</f>
        <v>#N/A</v>
      </c>
      <c r="NY209" s="247" t="e">
        <f>INDEX(inputs_checks[grøfter],MATCH(outputs_checks[[#This Row],[Position]],inputs_checks[position],0))</f>
        <v>#N/A</v>
      </c>
      <c r="NZ209" s="185" t="e">
        <f>INDEX(inputs_checks[Nisjer],MATCH($NN209,inputs_checks[position],0))</f>
        <v>#N/A</v>
      </c>
      <c r="OA209" s="185" t="e">
        <f>INDEX(inputs_checks[Snunisjer],MATCH($NN209,inputs_checks[position],0))</f>
        <v>#N/A</v>
      </c>
      <c r="OB209" s="185" t="e">
        <f>INDEX(inputs_checks[Tverrforbindelser],MATCH($NN209,inputs_checks[position],0))</f>
        <v>#N/A</v>
      </c>
      <c r="OC209" s="185" t="e">
        <f>INDEX(inputs_checks[Tekniske rom],MATCH($NN209,inputs_checks[position],0))</f>
        <v>#N/A</v>
      </c>
      <c r="OD209" s="185" t="e">
        <f>INDEX(inputs_checks[Siktutvidelse],MATCH($NN209,inputs_checks[position],0))</f>
        <v>#N/A</v>
      </c>
      <c r="OE209" s="185" t="e">
        <f>INDEX(inputs_checks[Utvidelse for tung sikring],MATCH($NN209,inputs_checks[position],0))</f>
        <v>#N/A</v>
      </c>
      <c r="OF209" s="185" t="e">
        <f>INDEX(inputs_checks[Pumpesump],MATCH($NN209,inputs_checks[position],0))</f>
        <v>#N/A</v>
      </c>
      <c r="OG209" s="185" t="e">
        <f>INDEX(inputs_checks[Annet],MATCH($NN209,inputs_checks[position],0))</f>
        <v>#N/A</v>
      </c>
      <c r="OH209" s="185" t="e">
        <f>INDEX(inputs_checks[oppsum_løp],MATCH($NN209,inputs_checks[position],0))</f>
        <v>#N/A</v>
      </c>
      <c r="OI209" s="185" t="e">
        <f>INDEX(inputs_checks[oppsum_nisj],MATCH($NN209,inputs_checks[position],0))</f>
        <v>#N/A</v>
      </c>
      <c r="OJ209" s="247" t="e">
        <f>outputs_checks[[#This Row],[oppsum_løp]]+outputs_checks[[#This Row],[oppsum_nisj]]</f>
        <v>#N/A</v>
      </c>
      <c r="OK209" s="185" t="e">
        <f>INDEX(inputs_checks[Sonderboring],MATCH($NN209,inputs_checks[position],0))</f>
        <v>#N/A</v>
      </c>
      <c r="OL209" s="185" t="e">
        <f>INDEX(inputs_checks[Kjerneboring],MATCH($NN209,inputs_checks[position],0))</f>
        <v>#N/A</v>
      </c>
      <c r="OM209" s="185" t="e">
        <f>INDEX(inputs_checks[Seismikk],MATCH($NN209,inputs_checks[position],0))</f>
        <v>#N/A</v>
      </c>
      <c r="ON209" s="247" t="e">
        <f>IF(AND(INDEX(tickcheck_foran[sp_Rigg],MATCH(outputs_checks[[#This Row],[Position]],tickcheck_foran[position],0))=1),1,0)</f>
        <v>#N/A</v>
      </c>
      <c r="OO209" s="247" t="e">
        <f>INDEX(tickcheck_foran[sp_Boring],MATCH(outputs_checks[[#This Row],[Position]],tickcheck_foran[position],0))</f>
        <v>#N/A</v>
      </c>
      <c r="OP209" s="247" t="e">
        <f>INDEX(tickcheck_foran[Sp_Injeksjon],MATCH(outputs_checks[[#This Row],[Position]],tickcheck_foran[position],0))</f>
        <v>#N/A</v>
      </c>
      <c r="OQ209" s="185"/>
      <c r="OR209" s="247" t="e">
        <f>INDEX(tickcheck_foran[sy_Rigg],MATCH(outputs_checks[[#This Row],[Position]],tickcheck_foran[position],0))</f>
        <v>#N/A</v>
      </c>
      <c r="OS209" s="247" t="e">
        <f>INDEX(tickcheck_foran[sy_Boring],MATCH(outputs_checks[[#This Row],[Position]],tickcheck_foran[position],0))</f>
        <v>#N/A</v>
      </c>
      <c r="OT209" s="247" t="e">
        <f>INDEX(tickcheck_foran[sy_Injeksjon],MATCH(outputs_checks[[#This Row],[Position]],tickcheck_foran[position],0))</f>
        <v>#N/A</v>
      </c>
      <c r="OU209" s="185"/>
      <c r="OV209" s="247">
        <f>COUNTIF(outputs_checks[[#This Row],[Sonderboring]:[Seismikk]],0)</f>
        <v>0</v>
      </c>
      <c r="OW209" s="247">
        <f>COUNTIF(outputs_checks[[#This Row],[sp_Rigg]:[sy_Kontrollhull]],0)</f>
        <v>0</v>
      </c>
      <c r="OX209" s="247">
        <f>outputs_checks[[#This Row],[oppsum_sonder]]+outputs_checks[[#This Row],[oppsum_inj]]</f>
        <v>0</v>
      </c>
      <c r="OY209" s="185" t="e">
        <f>IF($D$11=1,1,INDEX(inputs_checks[manuell],MATCH($NN209,inputs_checks[position],0)))</f>
        <v>#N/A</v>
      </c>
      <c r="OZ209" s="185" t="e">
        <f>IF($D$11=1,1,INDEX(inputs_checks[kartlegging],MATCH($NN209,inputs_checks[position],0)))</f>
        <v>#N/A</v>
      </c>
      <c r="PA209" s="185" t="e">
        <f>IF($D$11=1,1,INDEX(inputs_checks[lt4m],MATCH($NN209,inputs_checks[position],0)))</f>
        <v>#N/A</v>
      </c>
      <c r="PB209" s="185" t="e">
        <f>IF($D$11=1,1,INDEX(inputs_checks[gt4m],MATCH($NN209,inputs_checks[position],0)))</f>
        <v>#N/A</v>
      </c>
      <c r="PC209" s="185" t="e">
        <f>IF($D$11=1,1,INDEX(inputs_checks[bånd],MATCH($NN209,inputs_checks[position],0)))</f>
        <v>#N/A</v>
      </c>
      <c r="PD209" s="185" t="e">
        <f>IF($D$11=1,1,INDEX(inputs_checks[nett],MATCH($NN209,inputs_checks[position],0)))</f>
        <v>#N/A</v>
      </c>
      <c r="PE209" s="185" t="e">
        <f>IF($D$11=1,1,INDEX(inputs_checks[festebolter],MATCH($NN209,inputs_checks[position],0)))</f>
        <v>#N/A</v>
      </c>
      <c r="PF209" s="185" t="e">
        <f>IF($D$11=1,1,INDEX(inputs_checks[shotcrete],MATCH($NN209,inputs_checks[position],0)))</f>
        <v>#N/A</v>
      </c>
      <c r="PG209" s="185" t="e">
        <f>IF($D$11=1,1,INDEX(inputs_checks[buer],MATCH($NN209,inputs_checks[position],0)))</f>
        <v>#N/A</v>
      </c>
      <c r="PH209" s="247" t="e">
        <f>IF($D$11=1,1,INDEX(inputs_checks[sik123],MATCH(outputs_checks[[#This Row],[Position]],inputs_checks[position],0)))</f>
        <v>#N/A</v>
      </c>
      <c r="PI209" s="247" t="e">
        <f>IF($D$11=1,1,INDEX(inputs_checks[sik4],MATCH(outputs_checks[[#This Row],[Position]],inputs_checks[position],0)))</f>
        <v>#N/A</v>
      </c>
      <c r="PJ209" s="185" t="e">
        <f>INDEX(inputs_checks[oppsum_manuell],MATCH($NN209,inputs_checks[position],0))</f>
        <v>#N/A</v>
      </c>
      <c r="PK209" s="185" t="e">
        <f>INDEX(inputs_checks[oppsum_bolter],MATCH($NN209,inputs_checks[position],0))</f>
        <v>#N/A</v>
      </c>
      <c r="PL209" s="185" t="e">
        <f>INDEX(inputs_checks[oppsum_bånd],MATCH($NN209,inputs_checks[position],0))</f>
        <v>#N/A</v>
      </c>
      <c r="PM209" s="185" t="e">
        <f>INDEX(inputs_checks[oppsum_shot],MATCH($NN209,inputs_checks[position],0))</f>
        <v>#N/A</v>
      </c>
      <c r="PN209" s="185" t="e">
        <f>INDEX(inputs_checks[oppsum_buer],MATCH($NN209,inputs_checks[position],0))</f>
        <v>#N/A</v>
      </c>
      <c r="PO209" s="185">
        <f>COUNTIF(outputs_checks[[#This Row],[sik123]:[sik4]],0)</f>
        <v>0</v>
      </c>
      <c r="PP209" s="247" t="e">
        <f>SUM(outputs_checks[[#This Row],[oppsum_manuell]:[oppsum_sik]])</f>
        <v>#N/A</v>
      </c>
      <c r="PQ209"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09" s="206">
        <f>$LN$44</f>
        <v>1</v>
      </c>
      <c r="PS209" s="206">
        <f>$LN$41</f>
        <v>1</v>
      </c>
      <c r="PT209" s="206">
        <f>$LN$42</f>
        <v>0</v>
      </c>
      <c r="PU209" s="206">
        <f>INDEX(tverr_connection_2[42],MATCH($BC$28,tverr_connection_2[config],0))</f>
        <v>0</v>
      </c>
      <c r="PV209"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09" s="265"/>
      <c r="PX209" s="265"/>
      <c r="RO209" s="183"/>
      <c r="RQ209" s="183"/>
      <c r="RT209" s="210"/>
      <c r="RV209" s="210"/>
      <c r="SR209" s="183"/>
      <c r="SS209" s="183"/>
      <c r="SW209" s="184"/>
      <c r="SX209" s="184"/>
      <c r="UK209" s="183"/>
      <c r="UL209" s="183"/>
      <c r="UM209" s="183"/>
      <c r="UN209" s="183"/>
      <c r="UO209" s="183"/>
      <c r="UQ209" s="184"/>
      <c r="UR209" s="1754"/>
      <c r="UX209" s="265"/>
      <c r="VD209" s="402"/>
      <c r="WG209" s="265"/>
      <c r="WH209" s="265"/>
      <c r="WI209" s="265"/>
      <c r="WJ209" s="265"/>
      <c r="WK209" s="265"/>
    </row>
    <row r="210" spans="54:609" x14ac:dyDescent="0.2">
      <c r="ER210" s="6125">
        <v>8</v>
      </c>
      <c r="ES210" s="237">
        <f t="shared" si="286"/>
        <v>0</v>
      </c>
      <c r="ET210" s="237">
        <f>tickcheck_stab[[#This Row],[sik123]]</f>
        <v>0</v>
      </c>
      <c r="NK210" s="439" t="str">
        <f>$NO$71</f>
        <v>Stuff 2-1</v>
      </c>
      <c r="NL210" s="451">
        <v>52</v>
      </c>
      <c r="NM210" s="393">
        <f>IF($BC$38=2,INDEX(outputs_position[21],MATCH($BC$35,outputs_position[lopstuff],0)),0)</f>
        <v>0</v>
      </c>
      <c r="NN210" s="393">
        <f>IF($BC$38=2,INDEX(outputs_position[21],MATCH($BC$35,outputs_position[lopstuff],0)),0)</f>
        <v>0</v>
      </c>
      <c r="NO210" s="194">
        <f t="shared" si="288"/>
        <v>1</v>
      </c>
      <c r="NP210" s="185" t="e">
        <f>INDEX(inputs_checks[Forberedende arbeider],MATCH($NN210,inputs_checks[position],0))</f>
        <v>#N/A</v>
      </c>
      <c r="NQ210" s="185" t="e">
        <f>INDEX(inputs_checks[Forskjæring],MATCH($NN210,inputs_checks[position],0))</f>
        <v>#N/A</v>
      </c>
      <c r="NR210" s="185" t="e">
        <f>INDEX(inputs_checks[Andre arbeider],MATCH($NN210,inputs_checks[position],0))</f>
        <v>#N/A</v>
      </c>
      <c r="NS210" s="185" t="e">
        <f>INDEX(inputs_checks[oppsum_forbe],MATCH($NN210,inputs_checks[position],0))</f>
        <v>#N/A</v>
      </c>
      <c r="NT210" s="185">
        <f t="shared" si="287"/>
        <v>0</v>
      </c>
      <c r="NU210" s="185" t="e">
        <f>IF(AND(outputs_checks[[#This Row],[Teoretisk volum per hele løp]]=1,INDEX(inputs_checks[Normal salve volum],MATCH(outputs_checks[[#This Row],[position_input]],inputs_checks[position],0))=1),1,0)</f>
        <v>#N/A</v>
      </c>
      <c r="NV210" s="185" t="e">
        <f>IF(AND(outputs_checks[[#This Row],[Teoretisk volum per hele løp]]=1,INDEX(inputs_checks[Redusert salvelengde],MATCH(outputs_checks[[#This Row],[position_input]],inputs_checks[position],0))=1),1,0)</f>
        <v>#N/A</v>
      </c>
      <c r="NW210" s="185" t="e">
        <f>IF(AND(outputs_checks[[#This Row],[Teoretisk volum per hele løp]]=1,INDEX(inputs_checks[Todelt tverrsnitt],MATCH(outputs_checks[[#This Row],[position_input]],inputs_checks[position],0))=1),1,0)</f>
        <v>#N/A</v>
      </c>
      <c r="NX210" s="185" t="e">
        <f>IF(AND(outputs_checks[[#This Row],[Teoretisk volum per hele løp]]=1,INDEX(inputs_checks[Redusert salvelengde
og todelt tverrsnitt],MATCH(outputs_checks[[#This Row],[position_input]],inputs_checks[position],0))=1),1,0)</f>
        <v>#N/A</v>
      </c>
      <c r="NY210" s="247" t="e">
        <f>INDEX(inputs_checks[grøfter],MATCH(outputs_checks[[#This Row],[Position]],inputs_checks[position],0))</f>
        <v>#N/A</v>
      </c>
      <c r="NZ210" s="185" t="e">
        <f>INDEX(inputs_checks[Nisjer],MATCH($NN210,inputs_checks[position],0))</f>
        <v>#N/A</v>
      </c>
      <c r="OA210" s="185" t="e">
        <f>INDEX(inputs_checks[Snunisjer],MATCH($NN210,inputs_checks[position],0))</f>
        <v>#N/A</v>
      </c>
      <c r="OB210" s="185" t="e">
        <f>INDEX(inputs_checks[Tverrforbindelser],MATCH($NN210,inputs_checks[position],0))</f>
        <v>#N/A</v>
      </c>
      <c r="OC210" s="185" t="e">
        <f>INDEX(inputs_checks[Tekniske rom],MATCH($NN210,inputs_checks[position],0))</f>
        <v>#N/A</v>
      </c>
      <c r="OD210" s="185" t="e">
        <f>INDEX(inputs_checks[Siktutvidelse],MATCH($NN210,inputs_checks[position],0))</f>
        <v>#N/A</v>
      </c>
      <c r="OE210" s="185" t="e">
        <f>INDEX(inputs_checks[Utvidelse for tung sikring],MATCH($NN210,inputs_checks[position],0))</f>
        <v>#N/A</v>
      </c>
      <c r="OF210" s="185" t="e">
        <f>INDEX(inputs_checks[Pumpesump],MATCH($NN210,inputs_checks[position],0))</f>
        <v>#N/A</v>
      </c>
      <c r="OG210" s="185" t="e">
        <f>INDEX(inputs_checks[Annet],MATCH($NN210,inputs_checks[position],0))</f>
        <v>#N/A</v>
      </c>
      <c r="OH210" s="185" t="e">
        <f>INDEX(inputs_checks[oppsum_løp],MATCH($NN210,inputs_checks[position],0))</f>
        <v>#N/A</v>
      </c>
      <c r="OI210" s="185" t="e">
        <f>INDEX(inputs_checks[oppsum_nisj],MATCH($NN210,inputs_checks[position],0))</f>
        <v>#N/A</v>
      </c>
      <c r="OJ210" s="247" t="e">
        <f>outputs_checks[[#This Row],[oppsum_løp]]+outputs_checks[[#This Row],[oppsum_nisj]]</f>
        <v>#N/A</v>
      </c>
      <c r="OK210" s="185" t="e">
        <f>INDEX(inputs_checks[Sonderboring],MATCH($NN210,inputs_checks[position],0))</f>
        <v>#N/A</v>
      </c>
      <c r="OL210" s="185" t="e">
        <f>INDEX(inputs_checks[Kjerneboring],MATCH($NN210,inputs_checks[position],0))</f>
        <v>#N/A</v>
      </c>
      <c r="OM210" s="185" t="e">
        <f>INDEX(inputs_checks[Seismikk],MATCH($NN210,inputs_checks[position],0))</f>
        <v>#N/A</v>
      </c>
      <c r="ON210" s="247" t="e">
        <f>IF(AND(INDEX(tickcheck_foran[sp_Rigg],MATCH(outputs_checks[[#This Row],[Position]],tickcheck_foran[position],0))=1),1,0)</f>
        <v>#N/A</v>
      </c>
      <c r="OO210" s="247" t="e">
        <f>INDEX(tickcheck_foran[sp_Boring],MATCH(outputs_checks[[#This Row],[Position]],tickcheck_foran[position],0))</f>
        <v>#N/A</v>
      </c>
      <c r="OP210" s="247" t="e">
        <f>INDEX(tickcheck_foran[Sp_Injeksjon],MATCH(outputs_checks[[#This Row],[Position]],tickcheck_foran[position],0))</f>
        <v>#N/A</v>
      </c>
      <c r="OQ210" s="185"/>
      <c r="OR210" s="247" t="e">
        <f>INDEX(tickcheck_foran[sy_Rigg],MATCH(outputs_checks[[#This Row],[Position]],tickcheck_foran[position],0))</f>
        <v>#N/A</v>
      </c>
      <c r="OS210" s="247" t="e">
        <f>INDEX(tickcheck_foran[sy_Boring],MATCH(outputs_checks[[#This Row],[Position]],tickcheck_foran[position],0))</f>
        <v>#N/A</v>
      </c>
      <c r="OT210" s="247" t="e">
        <f>INDEX(tickcheck_foran[sy_Injeksjon],MATCH(outputs_checks[[#This Row],[Position]],tickcheck_foran[position],0))</f>
        <v>#N/A</v>
      </c>
      <c r="OU210" s="185"/>
      <c r="OV210" s="247">
        <f>COUNTIF(outputs_checks[[#This Row],[Sonderboring]:[Seismikk]],0)</f>
        <v>0</v>
      </c>
      <c r="OW210" s="247">
        <f>COUNTIF(outputs_checks[[#This Row],[sp_Rigg]:[sy_Kontrollhull]],0)</f>
        <v>0</v>
      </c>
      <c r="OX210" s="247">
        <f>outputs_checks[[#This Row],[oppsum_sonder]]+outputs_checks[[#This Row],[oppsum_inj]]</f>
        <v>0</v>
      </c>
      <c r="OY210" s="185" t="e">
        <f>IF($D$11=1,1,INDEX(inputs_checks[manuell],MATCH($NN210,inputs_checks[position],0)))</f>
        <v>#N/A</v>
      </c>
      <c r="OZ210" s="185" t="e">
        <f>IF($D$11=1,1,INDEX(inputs_checks[kartlegging],MATCH($NN210,inputs_checks[position],0)))</f>
        <v>#N/A</v>
      </c>
      <c r="PA210" s="185" t="e">
        <f>IF($D$11=1,1,INDEX(inputs_checks[lt4m],MATCH($NN210,inputs_checks[position],0)))</f>
        <v>#N/A</v>
      </c>
      <c r="PB210" s="185" t="e">
        <f>IF($D$11=1,1,INDEX(inputs_checks[gt4m],MATCH($NN210,inputs_checks[position],0)))</f>
        <v>#N/A</v>
      </c>
      <c r="PC210" s="185" t="e">
        <f>IF($D$11=1,1,INDEX(inputs_checks[bånd],MATCH($NN210,inputs_checks[position],0)))</f>
        <v>#N/A</v>
      </c>
      <c r="PD210" s="185" t="e">
        <f>IF($D$11=1,1,INDEX(inputs_checks[nett],MATCH($NN210,inputs_checks[position],0)))</f>
        <v>#N/A</v>
      </c>
      <c r="PE210" s="185" t="e">
        <f>IF($D$11=1,1,INDEX(inputs_checks[festebolter],MATCH($NN210,inputs_checks[position],0)))</f>
        <v>#N/A</v>
      </c>
      <c r="PF210" s="185" t="e">
        <f>IF($D$11=1,1,INDEX(inputs_checks[shotcrete],MATCH($NN210,inputs_checks[position],0)))</f>
        <v>#N/A</v>
      </c>
      <c r="PG210" s="185" t="e">
        <f>IF($D$11=1,1,INDEX(inputs_checks[buer],MATCH($NN210,inputs_checks[position],0)))</f>
        <v>#N/A</v>
      </c>
      <c r="PH210" s="247" t="e">
        <f>IF($D$11=1,1,INDEX(inputs_checks[sik123],MATCH(outputs_checks[[#This Row],[Position]],inputs_checks[position],0)))</f>
        <v>#N/A</v>
      </c>
      <c r="PI210" s="247" t="e">
        <f>IF($D$11=1,1,INDEX(inputs_checks[sik4],MATCH(outputs_checks[[#This Row],[Position]],inputs_checks[position],0)))</f>
        <v>#N/A</v>
      </c>
      <c r="PJ210" s="185" t="e">
        <f>INDEX(inputs_checks[oppsum_manuell],MATCH($NN210,inputs_checks[position],0))</f>
        <v>#N/A</v>
      </c>
      <c r="PK210" s="185" t="e">
        <f>INDEX(inputs_checks[oppsum_bolter],MATCH($NN210,inputs_checks[position],0))</f>
        <v>#N/A</v>
      </c>
      <c r="PL210" s="185" t="e">
        <f>INDEX(inputs_checks[oppsum_bånd],MATCH($NN210,inputs_checks[position],0))</f>
        <v>#N/A</v>
      </c>
      <c r="PM210" s="185" t="e">
        <f>INDEX(inputs_checks[oppsum_shot],MATCH($NN210,inputs_checks[position],0))</f>
        <v>#N/A</v>
      </c>
      <c r="PN210" s="185" t="e">
        <f>INDEX(inputs_checks[oppsum_buer],MATCH($NN210,inputs_checks[position],0))</f>
        <v>#N/A</v>
      </c>
      <c r="PO210" s="185">
        <f>COUNTIF(outputs_checks[[#This Row],[sik123]:[sik4]],0)</f>
        <v>0</v>
      </c>
      <c r="PP210" s="247" t="e">
        <f>SUM(outputs_checks[[#This Row],[oppsum_manuell]:[oppsum_sik]])</f>
        <v>#N/A</v>
      </c>
      <c r="PQ210"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10" s="206">
        <f>$LO$44</f>
        <v>1</v>
      </c>
      <c r="PS210" s="206">
        <f>$LO$41</f>
        <v>1</v>
      </c>
      <c r="PT210" s="206">
        <f>$LO$42</f>
        <v>0</v>
      </c>
      <c r="PU210" s="206">
        <f>INDEX(tverr_connection_2[52],MATCH($BC$28,tverr_connection_2[config],0))</f>
        <v>0</v>
      </c>
      <c r="PV210"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0" s="265"/>
      <c r="PX210" s="265"/>
      <c r="RO210" s="183"/>
      <c r="RQ210" s="183"/>
      <c r="RT210" s="210"/>
      <c r="RV210" s="210"/>
      <c r="SR210" s="183"/>
      <c r="SS210" s="183"/>
      <c r="SW210" s="184"/>
      <c r="SX210" s="184"/>
      <c r="UK210" s="183"/>
      <c r="UL210" s="183"/>
      <c r="UM210" s="183"/>
      <c r="UN210" s="183"/>
      <c r="UO210" s="183"/>
      <c r="UQ210" s="184"/>
      <c r="UR210" s="1754"/>
      <c r="UX210" s="265"/>
      <c r="VD210" s="402"/>
      <c r="WG210" s="265"/>
      <c r="WH210" s="265"/>
      <c r="WI210" s="265"/>
      <c r="WJ210" s="265"/>
      <c r="WK210" s="265"/>
    </row>
    <row r="211" spans="54:609" x14ac:dyDescent="0.2">
      <c r="ER211" s="6127">
        <v>9</v>
      </c>
      <c r="ES211" s="237">
        <f t="shared" si="286"/>
        <v>0</v>
      </c>
      <c r="ET211" s="237">
        <f>tickcheck_stab[[#This Row],[sik123]]</f>
        <v>0</v>
      </c>
      <c r="NK211" s="439" t="str">
        <f>$NO$72</f>
        <v>Stuff 2-2</v>
      </c>
      <c r="NL211" s="451">
        <v>62</v>
      </c>
      <c r="NM211" s="393">
        <f>IF($BC$38=2,INDEX(outputs_position[22],MATCH($BC$35,outputs_position[lopstuff],0)),0)</f>
        <v>0</v>
      </c>
      <c r="NN211" s="393">
        <f>IF($BC$38=2,INDEX(outputs_position[22],MATCH($BC$35,outputs_position[lopstuff],0)),0)</f>
        <v>0</v>
      </c>
      <c r="NO211" s="194">
        <f t="shared" si="288"/>
        <v>1</v>
      </c>
      <c r="NP211" s="185" t="e">
        <f>INDEX(inputs_checks[Forberedende arbeider],MATCH($NN211,inputs_checks[position],0))</f>
        <v>#N/A</v>
      </c>
      <c r="NQ211" s="185" t="e">
        <f>INDEX(inputs_checks[Forskjæring],MATCH($NN211,inputs_checks[position],0))</f>
        <v>#N/A</v>
      </c>
      <c r="NR211" s="185" t="e">
        <f>INDEX(inputs_checks[Andre arbeider],MATCH($NN211,inputs_checks[position],0))</f>
        <v>#N/A</v>
      </c>
      <c r="NS211" s="185" t="e">
        <f>INDEX(inputs_checks[oppsum_forbe],MATCH($NN211,inputs_checks[position],0))</f>
        <v>#N/A</v>
      </c>
      <c r="NT211" s="185">
        <f t="shared" si="287"/>
        <v>0</v>
      </c>
      <c r="NU211" s="185" t="e">
        <f>IF(AND(outputs_checks[[#This Row],[Teoretisk volum per hele løp]]=1,INDEX(inputs_checks[Normal salve volum],MATCH(outputs_checks[[#This Row],[position_input]],inputs_checks[position],0))=1),1,0)</f>
        <v>#N/A</v>
      </c>
      <c r="NV211" s="185" t="e">
        <f>IF(AND(outputs_checks[[#This Row],[Teoretisk volum per hele løp]]=1,INDEX(inputs_checks[Redusert salvelengde],MATCH(outputs_checks[[#This Row],[position_input]],inputs_checks[position],0))=1),1,0)</f>
        <v>#N/A</v>
      </c>
      <c r="NW211" s="185" t="e">
        <f>IF(AND(outputs_checks[[#This Row],[Teoretisk volum per hele løp]]=1,INDEX(inputs_checks[Todelt tverrsnitt],MATCH(outputs_checks[[#This Row],[position_input]],inputs_checks[position],0))=1),1,0)</f>
        <v>#N/A</v>
      </c>
      <c r="NX211" s="185" t="e">
        <f>IF(AND(outputs_checks[[#This Row],[Teoretisk volum per hele løp]]=1,INDEX(inputs_checks[Redusert salvelengde
og todelt tverrsnitt],MATCH(outputs_checks[[#This Row],[position_input]],inputs_checks[position],0))=1),1,0)</f>
        <v>#N/A</v>
      </c>
      <c r="NY211" s="247" t="e">
        <f>INDEX(inputs_checks[grøfter],MATCH(outputs_checks[[#This Row],[Position]],inputs_checks[position],0))</f>
        <v>#N/A</v>
      </c>
      <c r="NZ211" s="185" t="e">
        <f>INDEX(inputs_checks[Nisjer],MATCH($NN211,inputs_checks[position],0))</f>
        <v>#N/A</v>
      </c>
      <c r="OA211" s="185" t="e">
        <f>INDEX(inputs_checks[Snunisjer],MATCH($NN211,inputs_checks[position],0))</f>
        <v>#N/A</v>
      </c>
      <c r="OB211" s="185" t="e">
        <f>INDEX(inputs_checks[Tverrforbindelser],MATCH($NN211,inputs_checks[position],0))</f>
        <v>#N/A</v>
      </c>
      <c r="OC211" s="185" t="e">
        <f>INDEX(inputs_checks[Tekniske rom],MATCH($NN211,inputs_checks[position],0))</f>
        <v>#N/A</v>
      </c>
      <c r="OD211" s="185" t="e">
        <f>INDEX(inputs_checks[Siktutvidelse],MATCH($NN211,inputs_checks[position],0))</f>
        <v>#N/A</v>
      </c>
      <c r="OE211" s="185" t="e">
        <f>INDEX(inputs_checks[Utvidelse for tung sikring],MATCH($NN211,inputs_checks[position],0))</f>
        <v>#N/A</v>
      </c>
      <c r="OF211" s="185" t="e">
        <f>INDEX(inputs_checks[Pumpesump],MATCH($NN211,inputs_checks[position],0))</f>
        <v>#N/A</v>
      </c>
      <c r="OG211" s="185" t="e">
        <f>INDEX(inputs_checks[Annet],MATCH($NN211,inputs_checks[position],0))</f>
        <v>#N/A</v>
      </c>
      <c r="OH211" s="185" t="e">
        <f>INDEX(inputs_checks[oppsum_løp],MATCH($NN211,inputs_checks[position],0))</f>
        <v>#N/A</v>
      </c>
      <c r="OI211" s="185" t="e">
        <f>INDEX(inputs_checks[oppsum_nisj],MATCH($NN211,inputs_checks[position],0))</f>
        <v>#N/A</v>
      </c>
      <c r="OJ211" s="247" t="e">
        <f>outputs_checks[[#This Row],[oppsum_løp]]+outputs_checks[[#This Row],[oppsum_nisj]]</f>
        <v>#N/A</v>
      </c>
      <c r="OK211" s="185" t="e">
        <f>INDEX(inputs_checks[Sonderboring],MATCH($NN211,inputs_checks[position],0))</f>
        <v>#N/A</v>
      </c>
      <c r="OL211" s="185" t="e">
        <f>INDEX(inputs_checks[Kjerneboring],MATCH($NN211,inputs_checks[position],0))</f>
        <v>#N/A</v>
      </c>
      <c r="OM211" s="185" t="e">
        <f>INDEX(inputs_checks[Seismikk],MATCH($NN211,inputs_checks[position],0))</f>
        <v>#N/A</v>
      </c>
      <c r="ON211" s="247" t="e">
        <f>IF(AND(INDEX(tickcheck_foran[sp_Rigg],MATCH(outputs_checks[[#This Row],[Position]],tickcheck_foran[position],0))=1),1,0)</f>
        <v>#N/A</v>
      </c>
      <c r="OO211" s="247" t="e">
        <f>INDEX(tickcheck_foran[sp_Boring],MATCH(outputs_checks[[#This Row],[Position]],tickcheck_foran[position],0))</f>
        <v>#N/A</v>
      </c>
      <c r="OP211" s="247" t="e">
        <f>INDEX(tickcheck_foran[Sp_Injeksjon],MATCH(outputs_checks[[#This Row],[Position]],tickcheck_foran[position],0))</f>
        <v>#N/A</v>
      </c>
      <c r="OQ211" s="185"/>
      <c r="OR211" s="247" t="e">
        <f>INDEX(tickcheck_foran[sy_Rigg],MATCH(outputs_checks[[#This Row],[Position]],tickcheck_foran[position],0))</f>
        <v>#N/A</v>
      </c>
      <c r="OS211" s="247" t="e">
        <f>INDEX(tickcheck_foran[sy_Boring],MATCH(outputs_checks[[#This Row],[Position]],tickcheck_foran[position],0))</f>
        <v>#N/A</v>
      </c>
      <c r="OT211" s="247" t="e">
        <f>INDEX(tickcheck_foran[sy_Injeksjon],MATCH(outputs_checks[[#This Row],[Position]],tickcheck_foran[position],0))</f>
        <v>#N/A</v>
      </c>
      <c r="OU211" s="185"/>
      <c r="OV211" s="247">
        <f>COUNTIF(outputs_checks[[#This Row],[Sonderboring]:[Seismikk]],0)</f>
        <v>0</v>
      </c>
      <c r="OW211" s="247">
        <f>COUNTIF(outputs_checks[[#This Row],[sp_Rigg]:[sy_Kontrollhull]],0)</f>
        <v>0</v>
      </c>
      <c r="OX211" s="247">
        <f>outputs_checks[[#This Row],[oppsum_sonder]]+outputs_checks[[#This Row],[oppsum_inj]]</f>
        <v>0</v>
      </c>
      <c r="OY211" s="185" t="e">
        <f>IF($D$11=1,1,INDEX(inputs_checks[manuell],MATCH($NN211,inputs_checks[position],0)))</f>
        <v>#N/A</v>
      </c>
      <c r="OZ211" s="185" t="e">
        <f>IF($D$11=1,1,INDEX(inputs_checks[kartlegging],MATCH($NN211,inputs_checks[position],0)))</f>
        <v>#N/A</v>
      </c>
      <c r="PA211" s="185" t="e">
        <f>IF($D$11=1,1,INDEX(inputs_checks[lt4m],MATCH($NN211,inputs_checks[position],0)))</f>
        <v>#N/A</v>
      </c>
      <c r="PB211" s="185" t="e">
        <f>IF($D$11=1,1,INDEX(inputs_checks[gt4m],MATCH($NN211,inputs_checks[position],0)))</f>
        <v>#N/A</v>
      </c>
      <c r="PC211" s="185" t="e">
        <f>IF($D$11=1,1,INDEX(inputs_checks[bånd],MATCH($NN211,inputs_checks[position],0)))</f>
        <v>#N/A</v>
      </c>
      <c r="PD211" s="185" t="e">
        <f>IF($D$11=1,1,INDEX(inputs_checks[nett],MATCH($NN211,inputs_checks[position],0)))</f>
        <v>#N/A</v>
      </c>
      <c r="PE211" s="185" t="e">
        <f>IF($D$11=1,1,INDEX(inputs_checks[festebolter],MATCH($NN211,inputs_checks[position],0)))</f>
        <v>#N/A</v>
      </c>
      <c r="PF211" s="185" t="e">
        <f>IF($D$11=1,1,INDEX(inputs_checks[shotcrete],MATCH($NN211,inputs_checks[position],0)))</f>
        <v>#N/A</v>
      </c>
      <c r="PG211" s="185" t="e">
        <f>IF($D$11=1,1,INDEX(inputs_checks[buer],MATCH($NN211,inputs_checks[position],0)))</f>
        <v>#N/A</v>
      </c>
      <c r="PH211" s="247" t="e">
        <f>IF($D$11=1,1,INDEX(inputs_checks[sik123],MATCH(outputs_checks[[#This Row],[Position]],inputs_checks[position],0)))</f>
        <v>#N/A</v>
      </c>
      <c r="PI211" s="247" t="e">
        <f>IF($D$11=1,1,INDEX(inputs_checks[sik4],MATCH(outputs_checks[[#This Row],[Position]],inputs_checks[position],0)))</f>
        <v>#N/A</v>
      </c>
      <c r="PJ211" s="185" t="e">
        <f>INDEX(inputs_checks[oppsum_manuell],MATCH($NN211,inputs_checks[position],0))</f>
        <v>#N/A</v>
      </c>
      <c r="PK211" s="185" t="e">
        <f>INDEX(inputs_checks[oppsum_bolter],MATCH($NN211,inputs_checks[position],0))</f>
        <v>#N/A</v>
      </c>
      <c r="PL211" s="185" t="e">
        <f>INDEX(inputs_checks[oppsum_bånd],MATCH($NN211,inputs_checks[position],0))</f>
        <v>#N/A</v>
      </c>
      <c r="PM211" s="185" t="e">
        <f>INDEX(inputs_checks[oppsum_shot],MATCH($NN211,inputs_checks[position],0))</f>
        <v>#N/A</v>
      </c>
      <c r="PN211" s="185" t="e">
        <f>INDEX(inputs_checks[oppsum_buer],MATCH($NN211,inputs_checks[position],0))</f>
        <v>#N/A</v>
      </c>
      <c r="PO211" s="185">
        <f>COUNTIF(outputs_checks[[#This Row],[sik123]:[sik4]],0)</f>
        <v>0</v>
      </c>
      <c r="PP211" s="247" t="e">
        <f>SUM(outputs_checks[[#This Row],[oppsum_manuell]:[oppsum_sik]])</f>
        <v>#N/A</v>
      </c>
      <c r="PQ211"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11" s="206">
        <f>$LP$44</f>
        <v>1</v>
      </c>
      <c r="PS211" s="206">
        <f>$LP$41</f>
        <v>1</v>
      </c>
      <c r="PT211" s="206">
        <f>$LP$42</f>
        <v>0</v>
      </c>
      <c r="PU211" s="206">
        <f>INDEX(tverr_connection_2[62],MATCH($BC$28,tverr_connection_2[config],0))</f>
        <v>0</v>
      </c>
      <c r="PV211"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1" s="265"/>
      <c r="PX211" s="265"/>
      <c r="RO211" s="183"/>
      <c r="RQ211" s="183"/>
      <c r="RT211" s="210"/>
      <c r="RV211" s="210"/>
      <c r="SR211" s="183"/>
      <c r="SS211" s="183"/>
      <c r="SW211" s="184"/>
      <c r="SX211" s="184"/>
      <c r="UK211" s="183"/>
      <c r="UL211" s="183"/>
      <c r="UM211" s="183"/>
      <c r="UN211" s="183"/>
      <c r="UO211" s="183"/>
      <c r="UQ211" s="184"/>
      <c r="UR211" s="1754"/>
      <c r="UX211" s="265"/>
      <c r="VD211" s="402"/>
      <c r="WG211" s="265"/>
      <c r="WH211" s="265"/>
      <c r="WI211" s="265"/>
      <c r="WJ211" s="265"/>
      <c r="WK211" s="265"/>
    </row>
    <row r="212" spans="54:609" ht="20.25" x14ac:dyDescent="0.3">
      <c r="BB212" s="309" t="s">
        <v>110</v>
      </c>
      <c r="BC212" s="281"/>
      <c r="NK212" s="439" t="str">
        <f>$NO$73</f>
        <v>Stuff 2-3</v>
      </c>
      <c r="NL212" s="451">
        <v>72</v>
      </c>
      <c r="NM212" s="393">
        <f>IF($BC$38=2,INDEX(outputs_position[23],MATCH($BC$35,outputs_position[lopstuff],0)),0)</f>
        <v>0</v>
      </c>
      <c r="NN212" s="393">
        <f>IF($BC$38=2,INDEX(outputs_position[23],MATCH($BC$35,outputs_position[lopstuff],0)),0)</f>
        <v>0</v>
      </c>
      <c r="NO212" s="194">
        <f t="shared" si="288"/>
        <v>1</v>
      </c>
      <c r="NP212" s="185" t="e">
        <f>INDEX(inputs_checks[Forberedende arbeider],MATCH($NN212,inputs_checks[position],0))</f>
        <v>#N/A</v>
      </c>
      <c r="NQ212" s="185" t="e">
        <f>INDEX(inputs_checks[Forskjæring],MATCH($NN212,inputs_checks[position],0))</f>
        <v>#N/A</v>
      </c>
      <c r="NR212" s="185" t="e">
        <f>INDEX(inputs_checks[Andre arbeider],MATCH($NN212,inputs_checks[position],0))</f>
        <v>#N/A</v>
      </c>
      <c r="NS212" s="185" t="e">
        <f>INDEX(inputs_checks[oppsum_forbe],MATCH($NN212,inputs_checks[position],0))</f>
        <v>#N/A</v>
      </c>
      <c r="NT212" s="185">
        <f t="shared" si="287"/>
        <v>0</v>
      </c>
      <c r="NU212" s="185" t="e">
        <f>IF(AND(outputs_checks[[#This Row],[Teoretisk volum per hele løp]]=1,INDEX(inputs_checks[Normal salve volum],MATCH(outputs_checks[[#This Row],[position_input]],inputs_checks[position],0))=1),1,0)</f>
        <v>#N/A</v>
      </c>
      <c r="NV212" s="185" t="e">
        <f>IF(AND(outputs_checks[[#This Row],[Teoretisk volum per hele løp]]=1,INDEX(inputs_checks[Redusert salvelengde],MATCH(outputs_checks[[#This Row],[position_input]],inputs_checks[position],0))=1),1,0)</f>
        <v>#N/A</v>
      </c>
      <c r="NW212" s="185" t="e">
        <f>IF(AND(outputs_checks[[#This Row],[Teoretisk volum per hele løp]]=1,INDEX(inputs_checks[Todelt tverrsnitt],MATCH(outputs_checks[[#This Row],[position_input]],inputs_checks[position],0))=1),1,0)</f>
        <v>#N/A</v>
      </c>
      <c r="NX212" s="185" t="e">
        <f>IF(AND(outputs_checks[[#This Row],[Teoretisk volum per hele løp]]=1,INDEX(inputs_checks[Redusert salvelengde
og todelt tverrsnitt],MATCH(outputs_checks[[#This Row],[position_input]],inputs_checks[position],0))=1),1,0)</f>
        <v>#N/A</v>
      </c>
      <c r="NY212" s="247" t="e">
        <f>INDEX(inputs_checks[grøfter],MATCH(outputs_checks[[#This Row],[Position]],inputs_checks[position],0))</f>
        <v>#N/A</v>
      </c>
      <c r="NZ212" s="185" t="e">
        <f>INDEX(inputs_checks[Nisjer],MATCH($NN212,inputs_checks[position],0))</f>
        <v>#N/A</v>
      </c>
      <c r="OA212" s="185" t="e">
        <f>INDEX(inputs_checks[Snunisjer],MATCH($NN212,inputs_checks[position],0))</f>
        <v>#N/A</v>
      </c>
      <c r="OB212" s="185" t="e">
        <f>INDEX(inputs_checks[Tverrforbindelser],MATCH($NN212,inputs_checks[position],0))</f>
        <v>#N/A</v>
      </c>
      <c r="OC212" s="185" t="e">
        <f>INDEX(inputs_checks[Tekniske rom],MATCH($NN212,inputs_checks[position],0))</f>
        <v>#N/A</v>
      </c>
      <c r="OD212" s="185" t="e">
        <f>INDEX(inputs_checks[Siktutvidelse],MATCH($NN212,inputs_checks[position],0))</f>
        <v>#N/A</v>
      </c>
      <c r="OE212" s="185" t="e">
        <f>INDEX(inputs_checks[Utvidelse for tung sikring],MATCH($NN212,inputs_checks[position],0))</f>
        <v>#N/A</v>
      </c>
      <c r="OF212" s="185" t="e">
        <f>INDEX(inputs_checks[Pumpesump],MATCH($NN212,inputs_checks[position],0))</f>
        <v>#N/A</v>
      </c>
      <c r="OG212" s="185" t="e">
        <f>INDEX(inputs_checks[Annet],MATCH($NN212,inputs_checks[position],0))</f>
        <v>#N/A</v>
      </c>
      <c r="OH212" s="185" t="e">
        <f>INDEX(inputs_checks[oppsum_løp],MATCH($NN212,inputs_checks[position],0))</f>
        <v>#N/A</v>
      </c>
      <c r="OI212" s="185" t="e">
        <f>INDEX(inputs_checks[oppsum_nisj],MATCH($NN212,inputs_checks[position],0))</f>
        <v>#N/A</v>
      </c>
      <c r="OJ212" s="185" t="e">
        <f>outputs_checks[[#This Row],[oppsum_løp]]+outputs_checks[[#This Row],[oppsum_nisj]]</f>
        <v>#N/A</v>
      </c>
      <c r="OK212" s="185" t="e">
        <f>INDEX(inputs_checks[Sonderboring],MATCH($NN212,inputs_checks[position],0))</f>
        <v>#N/A</v>
      </c>
      <c r="OL212" s="185" t="e">
        <f>INDEX(inputs_checks[Kjerneboring],MATCH($NN212,inputs_checks[position],0))</f>
        <v>#N/A</v>
      </c>
      <c r="OM212" s="185" t="e">
        <f>INDEX(inputs_checks[Seismikk],MATCH($NN212,inputs_checks[position],0))</f>
        <v>#N/A</v>
      </c>
      <c r="ON212" s="247" t="e">
        <f>IF(AND(INDEX(tickcheck_foran[sp_Rigg],MATCH(outputs_checks[[#This Row],[Position]],tickcheck_foran[position],0))=1),1,0)</f>
        <v>#N/A</v>
      </c>
      <c r="OO212" s="185" t="e">
        <f>INDEX(tickcheck_foran[sp_Boring],MATCH(outputs_checks[[#This Row],[Position]],tickcheck_foran[position],0))</f>
        <v>#N/A</v>
      </c>
      <c r="OP212" s="185" t="e">
        <f>INDEX(tickcheck_foran[Sp_Injeksjon],MATCH(outputs_checks[[#This Row],[Position]],tickcheck_foran[position],0))</f>
        <v>#N/A</v>
      </c>
      <c r="OQ212" s="185"/>
      <c r="OR212" s="185" t="e">
        <f>INDEX(tickcheck_foran[sy_Rigg],MATCH(outputs_checks[[#This Row],[Position]],tickcheck_foran[position],0))</f>
        <v>#N/A</v>
      </c>
      <c r="OS212" s="185" t="e">
        <f>INDEX(tickcheck_foran[sy_Boring],MATCH(outputs_checks[[#This Row],[Position]],tickcheck_foran[position],0))</f>
        <v>#N/A</v>
      </c>
      <c r="OT212" s="185" t="e">
        <f>INDEX(tickcheck_foran[sy_Injeksjon],MATCH(outputs_checks[[#This Row],[Position]],tickcheck_foran[position],0))</f>
        <v>#N/A</v>
      </c>
      <c r="OU212" s="185"/>
      <c r="OV212" s="185">
        <f>COUNTIF(outputs_checks[[#This Row],[Sonderboring]:[Seismikk]],0)</f>
        <v>0</v>
      </c>
      <c r="OW212" s="185">
        <f>COUNTIF(outputs_checks[[#This Row],[sp_Rigg]:[sy_Kontrollhull]],0)</f>
        <v>0</v>
      </c>
      <c r="OX212" s="185">
        <f>outputs_checks[[#This Row],[oppsum_sonder]]+outputs_checks[[#This Row],[oppsum_inj]]</f>
        <v>0</v>
      </c>
      <c r="OY212" s="185" t="e">
        <f>IF($D$11=1,1,INDEX(inputs_checks[manuell],MATCH($NN212,inputs_checks[position],0)))</f>
        <v>#N/A</v>
      </c>
      <c r="OZ212" s="185" t="e">
        <f>IF($D$11=1,1,INDEX(inputs_checks[kartlegging],MATCH($NN212,inputs_checks[position],0)))</f>
        <v>#N/A</v>
      </c>
      <c r="PA212" s="185" t="e">
        <f>IF($D$11=1,1,INDEX(inputs_checks[lt4m],MATCH($NN212,inputs_checks[position],0)))</f>
        <v>#N/A</v>
      </c>
      <c r="PB212" s="185" t="e">
        <f>IF($D$11=1,1,INDEX(inputs_checks[gt4m],MATCH($NN212,inputs_checks[position],0)))</f>
        <v>#N/A</v>
      </c>
      <c r="PC212" s="185" t="e">
        <f>IF($D$11=1,1,INDEX(inputs_checks[bånd],MATCH($NN212,inputs_checks[position],0)))</f>
        <v>#N/A</v>
      </c>
      <c r="PD212" s="185" t="e">
        <f>IF($D$11=1,1,INDEX(inputs_checks[nett],MATCH($NN212,inputs_checks[position],0)))</f>
        <v>#N/A</v>
      </c>
      <c r="PE212" s="185" t="e">
        <f>IF($D$11=1,1,INDEX(inputs_checks[festebolter],MATCH($NN212,inputs_checks[position],0)))</f>
        <v>#N/A</v>
      </c>
      <c r="PF212" s="185" t="e">
        <f>IF($D$11=1,1,INDEX(inputs_checks[shotcrete],MATCH($NN212,inputs_checks[position],0)))</f>
        <v>#N/A</v>
      </c>
      <c r="PG212" s="185" t="e">
        <f>IF($D$11=1,1,INDEX(inputs_checks[buer],MATCH($NN212,inputs_checks[position],0)))</f>
        <v>#N/A</v>
      </c>
      <c r="PH212" s="247" t="e">
        <f>IF($D$11=1,1,INDEX(inputs_checks[sik123],MATCH(outputs_checks[[#This Row],[Position]],inputs_checks[position],0)))</f>
        <v>#N/A</v>
      </c>
      <c r="PI212" s="247" t="e">
        <f>IF($D$11=1,1,INDEX(inputs_checks[sik4],MATCH(outputs_checks[[#This Row],[Position]],inputs_checks[position],0)))</f>
        <v>#N/A</v>
      </c>
      <c r="PJ212" s="185" t="e">
        <f>INDEX(inputs_checks[oppsum_manuell],MATCH($NN212,inputs_checks[position],0))</f>
        <v>#N/A</v>
      </c>
      <c r="PK212" s="185" t="e">
        <f>INDEX(inputs_checks[oppsum_bolter],MATCH($NN212,inputs_checks[position],0))</f>
        <v>#N/A</v>
      </c>
      <c r="PL212" s="185" t="e">
        <f>INDEX(inputs_checks[oppsum_bånd],MATCH($NN212,inputs_checks[position],0))</f>
        <v>#N/A</v>
      </c>
      <c r="PM212" s="185" t="e">
        <f>INDEX(inputs_checks[oppsum_shot],MATCH($NN212,inputs_checks[position],0))</f>
        <v>#N/A</v>
      </c>
      <c r="PN212" s="185" t="e">
        <f>INDEX(inputs_checks[oppsum_buer],MATCH($NN212,inputs_checks[position],0))</f>
        <v>#N/A</v>
      </c>
      <c r="PO212" s="185">
        <f>COUNTIF(outputs_checks[[#This Row],[sik123]:[sik4]],0)</f>
        <v>0</v>
      </c>
      <c r="PP212" s="185" t="e">
        <f>SUM(outputs_checks[[#This Row],[oppsum_manuell]:[oppsum_sik]])</f>
        <v>#N/A</v>
      </c>
      <c r="PQ212" s="206"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12" s="206">
        <f>$LQ$44</f>
        <v>1</v>
      </c>
      <c r="PS212" s="206">
        <f>$LQ$41</f>
        <v>1</v>
      </c>
      <c r="PT212" s="206">
        <f>$LQ$42</f>
        <v>0</v>
      </c>
      <c r="PU212" s="206">
        <f>INDEX(tverr_connection_2[72],MATCH($BC$28,tverr_connection_2[config],0))</f>
        <v>0</v>
      </c>
      <c r="PV212"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2" s="265"/>
      <c r="PX212" s="265"/>
      <c r="RO212" s="183"/>
      <c r="RQ212" s="183"/>
      <c r="RT212" s="210"/>
      <c r="RV212" s="210"/>
      <c r="SR212" s="183"/>
      <c r="SS212" s="183"/>
      <c r="SW212" s="184"/>
      <c r="SX212" s="184"/>
      <c r="UK212" s="183"/>
      <c r="UL212" s="183"/>
      <c r="UM212" s="183"/>
      <c r="UN212" s="183"/>
      <c r="UO212" s="183"/>
      <c r="UQ212" s="184"/>
      <c r="UR212" s="1754"/>
      <c r="UX212" s="265"/>
      <c r="VD212" s="402"/>
      <c r="WG212" s="265"/>
      <c r="WH212" s="265"/>
      <c r="WI212" s="265"/>
      <c r="WJ212" s="265"/>
      <c r="WK212" s="265"/>
    </row>
    <row r="213" spans="54:609" x14ac:dyDescent="0.2">
      <c r="NK213" s="439" t="str">
        <f>$NO$74</f>
        <v>Stuff 2-4</v>
      </c>
      <c r="NL213" s="451">
        <v>82</v>
      </c>
      <c r="NM213" s="393">
        <f>IF($BC$38=2,INDEX(outputs_position[24],MATCH($BC$35,outputs_position[lopstuff],0)),0)</f>
        <v>0</v>
      </c>
      <c r="NN213" s="393">
        <f>IF($BC$38=2,INDEX(outputs_position[24],MATCH($BC$35,outputs_position[lopstuff],0)),0)</f>
        <v>0</v>
      </c>
      <c r="NO213" s="194">
        <f t="shared" si="288"/>
        <v>1</v>
      </c>
      <c r="NP213" s="185" t="e">
        <f>INDEX(inputs_checks[Forberedende arbeider],MATCH($NN213,inputs_checks[position],0))</f>
        <v>#N/A</v>
      </c>
      <c r="NQ213" s="185" t="e">
        <f>INDEX(inputs_checks[Forskjæring],MATCH($NN213,inputs_checks[position],0))</f>
        <v>#N/A</v>
      </c>
      <c r="NR213" s="185" t="e">
        <f>INDEX(inputs_checks[Andre arbeider],MATCH($NN213,inputs_checks[position],0))</f>
        <v>#N/A</v>
      </c>
      <c r="NS213" s="185" t="e">
        <f>INDEX(inputs_checks[oppsum_forbe],MATCH($NN213,inputs_checks[position],0))</f>
        <v>#N/A</v>
      </c>
      <c r="NT213" s="185">
        <f t="shared" si="287"/>
        <v>0</v>
      </c>
      <c r="NU213" s="185" t="e">
        <f>IF(AND(outputs_checks[[#This Row],[Teoretisk volum per hele løp]]=1,INDEX(inputs_checks[Normal salve volum],MATCH(outputs_checks[[#This Row],[position_input]],inputs_checks[position],0))=1),1,0)</f>
        <v>#N/A</v>
      </c>
      <c r="NV213" s="185" t="e">
        <f>IF(AND(outputs_checks[[#This Row],[Teoretisk volum per hele løp]]=1,INDEX(inputs_checks[Redusert salvelengde],MATCH(outputs_checks[[#This Row],[position_input]],inputs_checks[position],0))=1),1,0)</f>
        <v>#N/A</v>
      </c>
      <c r="NW213" s="185" t="e">
        <f>IF(AND(outputs_checks[[#This Row],[Teoretisk volum per hele løp]]=1,INDEX(inputs_checks[Todelt tverrsnitt],MATCH(outputs_checks[[#This Row],[position_input]],inputs_checks[position],0))=1),1,0)</f>
        <v>#N/A</v>
      </c>
      <c r="NX213" s="185" t="e">
        <f>IF(AND(outputs_checks[[#This Row],[Teoretisk volum per hele løp]]=1,INDEX(inputs_checks[Redusert salvelengde
og todelt tverrsnitt],MATCH(outputs_checks[[#This Row],[position_input]],inputs_checks[position],0))=1),1,0)</f>
        <v>#N/A</v>
      </c>
      <c r="NY213" s="247" t="e">
        <f>INDEX(inputs_checks[grøfter],MATCH(outputs_checks[[#This Row],[Position]],inputs_checks[position],0))</f>
        <v>#N/A</v>
      </c>
      <c r="NZ213" s="185" t="e">
        <f>INDEX(inputs_checks[Nisjer],MATCH($NN213,inputs_checks[position],0))</f>
        <v>#N/A</v>
      </c>
      <c r="OA213" s="185" t="e">
        <f>INDEX(inputs_checks[Snunisjer],MATCH($NN213,inputs_checks[position],0))</f>
        <v>#N/A</v>
      </c>
      <c r="OB213" s="185" t="e">
        <f>INDEX(inputs_checks[Tverrforbindelser],MATCH($NN213,inputs_checks[position],0))</f>
        <v>#N/A</v>
      </c>
      <c r="OC213" s="185" t="e">
        <f>INDEX(inputs_checks[Tekniske rom],MATCH($NN213,inputs_checks[position],0))</f>
        <v>#N/A</v>
      </c>
      <c r="OD213" s="185" t="e">
        <f>INDEX(inputs_checks[Siktutvidelse],MATCH($NN213,inputs_checks[position],0))</f>
        <v>#N/A</v>
      </c>
      <c r="OE213" s="185" t="e">
        <f>INDEX(inputs_checks[Utvidelse for tung sikring],MATCH($NN213,inputs_checks[position],0))</f>
        <v>#N/A</v>
      </c>
      <c r="OF213" s="185" t="e">
        <f>INDEX(inputs_checks[Pumpesump],MATCH($NN213,inputs_checks[position],0))</f>
        <v>#N/A</v>
      </c>
      <c r="OG213" s="185" t="e">
        <f>INDEX(inputs_checks[Annet],MATCH($NN213,inputs_checks[position],0))</f>
        <v>#N/A</v>
      </c>
      <c r="OH213" s="185" t="e">
        <f>INDEX(inputs_checks[oppsum_løp],MATCH($NN213,inputs_checks[position],0))</f>
        <v>#N/A</v>
      </c>
      <c r="OI213" s="185" t="e">
        <f>INDEX(inputs_checks[oppsum_nisj],MATCH($NN213,inputs_checks[position],0))</f>
        <v>#N/A</v>
      </c>
      <c r="OJ213" s="247" t="e">
        <f>outputs_checks[[#This Row],[oppsum_løp]]+outputs_checks[[#This Row],[oppsum_nisj]]</f>
        <v>#N/A</v>
      </c>
      <c r="OK213" s="185" t="e">
        <f>INDEX(inputs_checks[Sonderboring],MATCH($NN213,inputs_checks[position],0))</f>
        <v>#N/A</v>
      </c>
      <c r="OL213" s="185" t="e">
        <f>INDEX(inputs_checks[Kjerneboring],MATCH($NN213,inputs_checks[position],0))</f>
        <v>#N/A</v>
      </c>
      <c r="OM213" s="185" t="e">
        <f>INDEX(inputs_checks[Seismikk],MATCH($NN213,inputs_checks[position],0))</f>
        <v>#N/A</v>
      </c>
      <c r="ON213" s="247" t="e">
        <f>IF(AND(INDEX(tickcheck_foran[sp_Rigg],MATCH(outputs_checks[[#This Row],[Position]],tickcheck_foran[position],0))=1),1,0)</f>
        <v>#N/A</v>
      </c>
      <c r="OO213" s="247" t="e">
        <f>INDEX(tickcheck_foran[sp_Boring],MATCH(outputs_checks[[#This Row],[Position]],tickcheck_foran[position],0))</f>
        <v>#N/A</v>
      </c>
      <c r="OP213" s="247" t="e">
        <f>INDEX(tickcheck_foran[Sp_Injeksjon],MATCH(outputs_checks[[#This Row],[Position]],tickcheck_foran[position],0))</f>
        <v>#N/A</v>
      </c>
      <c r="OQ213" s="185"/>
      <c r="OR213" s="247" t="e">
        <f>INDEX(tickcheck_foran[sy_Rigg],MATCH(outputs_checks[[#This Row],[Position]],tickcheck_foran[position],0))</f>
        <v>#N/A</v>
      </c>
      <c r="OS213" s="247" t="e">
        <f>INDEX(tickcheck_foran[sy_Boring],MATCH(outputs_checks[[#This Row],[Position]],tickcheck_foran[position],0))</f>
        <v>#N/A</v>
      </c>
      <c r="OT213" s="247" t="e">
        <f>INDEX(tickcheck_foran[sy_Injeksjon],MATCH(outputs_checks[[#This Row],[Position]],tickcheck_foran[position],0))</f>
        <v>#N/A</v>
      </c>
      <c r="OU213" s="185"/>
      <c r="OV213" s="247">
        <f>COUNTIF(outputs_checks[[#This Row],[Sonderboring]:[Seismikk]],0)</f>
        <v>0</v>
      </c>
      <c r="OW213" s="247">
        <f>COUNTIF(outputs_checks[[#This Row],[sp_Rigg]:[sy_Kontrollhull]],0)</f>
        <v>0</v>
      </c>
      <c r="OX213" s="247">
        <f>outputs_checks[[#This Row],[oppsum_sonder]]+outputs_checks[[#This Row],[oppsum_inj]]</f>
        <v>0</v>
      </c>
      <c r="OY213" s="185" t="e">
        <f>IF($D$11=1,1,INDEX(inputs_checks[manuell],MATCH($NN213,inputs_checks[position],0)))</f>
        <v>#N/A</v>
      </c>
      <c r="OZ213" s="185" t="e">
        <f>IF($D$11=1,1,INDEX(inputs_checks[kartlegging],MATCH($NN213,inputs_checks[position],0)))</f>
        <v>#N/A</v>
      </c>
      <c r="PA213" s="185" t="e">
        <f>IF($D$11=1,1,INDEX(inputs_checks[lt4m],MATCH($NN213,inputs_checks[position],0)))</f>
        <v>#N/A</v>
      </c>
      <c r="PB213" s="185" t="e">
        <f>IF($D$11=1,1,INDEX(inputs_checks[gt4m],MATCH($NN213,inputs_checks[position],0)))</f>
        <v>#N/A</v>
      </c>
      <c r="PC213" s="185" t="e">
        <f>IF($D$11=1,1,INDEX(inputs_checks[bånd],MATCH($NN213,inputs_checks[position],0)))</f>
        <v>#N/A</v>
      </c>
      <c r="PD213" s="185" t="e">
        <f>IF($D$11=1,1,INDEX(inputs_checks[nett],MATCH($NN213,inputs_checks[position],0)))</f>
        <v>#N/A</v>
      </c>
      <c r="PE213" s="185" t="e">
        <f>IF($D$11=1,1,INDEX(inputs_checks[festebolter],MATCH($NN213,inputs_checks[position],0)))</f>
        <v>#N/A</v>
      </c>
      <c r="PF213" s="185" t="e">
        <f>IF($D$11=1,1,INDEX(inputs_checks[shotcrete],MATCH($NN213,inputs_checks[position],0)))</f>
        <v>#N/A</v>
      </c>
      <c r="PG213" s="185" t="e">
        <f>IF($D$11=1,1,INDEX(inputs_checks[buer],MATCH($NN213,inputs_checks[position],0)))</f>
        <v>#N/A</v>
      </c>
      <c r="PH213" s="247" t="e">
        <f>IF($D$11=1,1,INDEX(inputs_checks[sik123],MATCH(outputs_checks[[#This Row],[Position]],inputs_checks[position],0)))</f>
        <v>#N/A</v>
      </c>
      <c r="PI213" s="247" t="e">
        <f>IF($D$11=1,1,INDEX(inputs_checks[sik4],MATCH(outputs_checks[[#This Row],[Position]],inputs_checks[position],0)))</f>
        <v>#N/A</v>
      </c>
      <c r="PJ213" s="185" t="e">
        <f>INDEX(inputs_checks[oppsum_manuell],MATCH($NN213,inputs_checks[position],0))</f>
        <v>#N/A</v>
      </c>
      <c r="PK213" s="185" t="e">
        <f>INDEX(inputs_checks[oppsum_bolter],MATCH($NN213,inputs_checks[position],0))</f>
        <v>#N/A</v>
      </c>
      <c r="PL213" s="185" t="e">
        <f>INDEX(inputs_checks[oppsum_bånd],MATCH($NN213,inputs_checks[position],0))</f>
        <v>#N/A</v>
      </c>
      <c r="PM213" s="185" t="e">
        <f>INDEX(inputs_checks[oppsum_shot],MATCH($NN213,inputs_checks[position],0))</f>
        <v>#N/A</v>
      </c>
      <c r="PN213" s="185" t="e">
        <f>INDEX(inputs_checks[oppsum_buer],MATCH($NN213,inputs_checks[position],0))</f>
        <v>#N/A</v>
      </c>
      <c r="PO213" s="185">
        <f>COUNTIF(outputs_checks[[#This Row],[sik123]:[sik4]],0)</f>
        <v>0</v>
      </c>
      <c r="PP213" s="247" t="e">
        <f>SUM(outputs_checks[[#This Row],[oppsum_manuell]:[oppsum_sik]])</f>
        <v>#N/A</v>
      </c>
      <c r="PQ213"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13" s="206">
        <f>$LR$44</f>
        <v>1</v>
      </c>
      <c r="PS213" s="206">
        <f>$LR$41</f>
        <v>1</v>
      </c>
      <c r="PT213" s="206">
        <f>$LR$42</f>
        <v>0</v>
      </c>
      <c r="PU213" s="206">
        <v>1</v>
      </c>
      <c r="PV213"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3" s="265"/>
      <c r="PX213" s="265"/>
      <c r="RO213" s="183"/>
      <c r="RQ213" s="183"/>
      <c r="RT213" s="210"/>
      <c r="RV213" s="210"/>
      <c r="SR213" s="183"/>
      <c r="SS213" s="183"/>
      <c r="SW213" s="184"/>
      <c r="SX213" s="184"/>
      <c r="UK213" s="183"/>
      <c r="UL213" s="183"/>
      <c r="UM213" s="183"/>
      <c r="UN213" s="183"/>
      <c r="UO213" s="183"/>
      <c r="UQ213" s="184"/>
      <c r="UR213" s="1754"/>
      <c r="UX213" s="265"/>
      <c r="VD213" s="402"/>
      <c r="WG213" s="265"/>
      <c r="WH213" s="265"/>
      <c r="WI213" s="265"/>
      <c r="WJ213" s="265"/>
      <c r="WK213" s="265"/>
    </row>
    <row r="214" spans="54:609" ht="15" thickBot="1" x14ac:dyDescent="0.25">
      <c r="NK214" s="2529" t="str">
        <f>$QW$135</f>
        <v>Tverrslag</v>
      </c>
      <c r="NL214" s="1944">
        <v>92</v>
      </c>
      <c r="NM214" s="1945">
        <f>IF($BC$38=2,INDEX(outputs_position[Tverrslag],MATCH($BC$35,outputs_position[lopstuff],0)),0)</f>
        <v>0</v>
      </c>
      <c r="NN214" s="1945">
        <f>IF($BC$38=2,INDEX(outputs_position[Tverrslag],MATCH($BC$35,outputs_position[lopstuff],0)),0)</f>
        <v>0</v>
      </c>
      <c r="NO214" s="194">
        <f t="shared" si="288"/>
        <v>1</v>
      </c>
      <c r="NP214" s="1946" t="e">
        <f>INDEX(inputs_checks[Forberedende arbeider],MATCH($NN214,inputs_checks[position],0))</f>
        <v>#N/A</v>
      </c>
      <c r="NQ214" s="1946" t="e">
        <f>INDEX(inputs_checks[Forskjæring],MATCH($NN214,inputs_checks[position],0))</f>
        <v>#N/A</v>
      </c>
      <c r="NR214" s="1946" t="e">
        <f>INDEX(inputs_checks[Andre arbeider],MATCH($NN214,inputs_checks[position],0))</f>
        <v>#N/A</v>
      </c>
      <c r="NS214" s="1946" t="e">
        <f>INDEX(inputs_checks[oppsum_forbe],MATCH($NN214,inputs_checks[position],0))</f>
        <v>#N/A</v>
      </c>
      <c r="NT214" s="1946">
        <f t="shared" si="287"/>
        <v>0</v>
      </c>
      <c r="NU214" s="1946" t="e">
        <f>IF(AND(outputs_checks[[#This Row],[Teoretisk volum per hele løp]]=1,INDEX(inputs_checks[Normal salve volum],MATCH(outputs_checks[[#This Row],[position_input]],inputs_checks[position],0))=1),1,0)</f>
        <v>#N/A</v>
      </c>
      <c r="NV214" s="1946" t="e">
        <f>IF(AND(outputs_checks[[#This Row],[Teoretisk volum per hele løp]]=1,INDEX(inputs_checks[Redusert salvelengde],MATCH(outputs_checks[[#This Row],[position_input]],inputs_checks[position],0))=1),1,0)</f>
        <v>#N/A</v>
      </c>
      <c r="NW214" s="1946" t="e">
        <f>IF(AND(outputs_checks[[#This Row],[Teoretisk volum per hele løp]]=1,INDEX(inputs_checks[Todelt tverrsnitt],MATCH(outputs_checks[[#This Row],[position_input]],inputs_checks[position],0))=1),1,0)</f>
        <v>#N/A</v>
      </c>
      <c r="NX214" s="1946" t="e">
        <f>IF(AND(outputs_checks[[#This Row],[Teoretisk volum per hele løp]]=1,INDEX(inputs_checks[Redusert salvelengde
og todelt tverrsnitt],MATCH(outputs_checks[[#This Row],[position_input]],inputs_checks[position],0))=1),1,0)</f>
        <v>#N/A</v>
      </c>
      <c r="NY214" s="1946" t="e">
        <f>INDEX(inputs_checks[grøfter],MATCH(outputs_checks[[#This Row],[Position]],inputs_checks[position],0))</f>
        <v>#N/A</v>
      </c>
      <c r="NZ214" s="1946" t="e">
        <f>INDEX(inputs_checks[Nisjer],MATCH($NN214,inputs_checks[position],0))</f>
        <v>#N/A</v>
      </c>
      <c r="OA214" s="1946" t="e">
        <f>INDEX(inputs_checks[Snunisjer],MATCH($NN214,inputs_checks[position],0))</f>
        <v>#N/A</v>
      </c>
      <c r="OB214" s="1946" t="e">
        <f>INDEX(inputs_checks[Tverrforbindelser],MATCH($NN214,inputs_checks[position],0))</f>
        <v>#N/A</v>
      </c>
      <c r="OC214" s="1946" t="e">
        <f>INDEX(inputs_checks[Tekniske rom],MATCH($NN214,inputs_checks[position],0))</f>
        <v>#N/A</v>
      </c>
      <c r="OD214" s="1946" t="e">
        <f>INDEX(inputs_checks[Siktutvidelse],MATCH($NN214,inputs_checks[position],0))</f>
        <v>#N/A</v>
      </c>
      <c r="OE214" s="1946" t="e">
        <f>INDEX(inputs_checks[Utvidelse for tung sikring],MATCH($NN214,inputs_checks[position],0))</f>
        <v>#N/A</v>
      </c>
      <c r="OF214" s="1946" t="e">
        <f>INDEX(inputs_checks[Pumpesump],MATCH($NN214,inputs_checks[position],0))</f>
        <v>#N/A</v>
      </c>
      <c r="OG214" s="1946" t="e">
        <f>INDEX(inputs_checks[Annet],MATCH($NN214,inputs_checks[position],0))</f>
        <v>#N/A</v>
      </c>
      <c r="OH214" s="1946" t="e">
        <f>INDEX(inputs_checks[oppsum_løp],MATCH($NN214,inputs_checks[position],0))</f>
        <v>#N/A</v>
      </c>
      <c r="OI214" s="1946" t="e">
        <f>INDEX(inputs_checks[oppsum_nisj],MATCH($NN214,inputs_checks[position],0))</f>
        <v>#N/A</v>
      </c>
      <c r="OJ214" s="1947" t="e">
        <f>outputs_checks[[#This Row],[oppsum_løp]]+outputs_checks[[#This Row],[oppsum_nisj]]</f>
        <v>#N/A</v>
      </c>
      <c r="OK214" s="1946" t="e">
        <f>INDEX(inputs_checks[Sonderboring],MATCH($NN214,inputs_checks[position],0))</f>
        <v>#N/A</v>
      </c>
      <c r="OL214" s="1946" t="e">
        <f>INDEX(inputs_checks[Kjerneboring],MATCH($NN214,inputs_checks[position],0))</f>
        <v>#N/A</v>
      </c>
      <c r="OM214" s="1946" t="e">
        <f>INDEX(inputs_checks[Seismikk],MATCH($NN214,inputs_checks[position],0))</f>
        <v>#N/A</v>
      </c>
      <c r="ON214" s="247" t="e">
        <f>IF(AND(INDEX(tickcheck_foran[sp_Rigg],MATCH(outputs_checks[[#This Row],[Position]],tickcheck_foran[position],0))=1),1,0)</f>
        <v>#N/A</v>
      </c>
      <c r="OO214" s="1947" t="e">
        <f>INDEX(tickcheck_foran[sp_Boring],MATCH(outputs_checks[[#This Row],[Position]],tickcheck_foran[position],0))</f>
        <v>#N/A</v>
      </c>
      <c r="OP214" s="1947" t="e">
        <f>INDEX(tickcheck_foran[Sp_Injeksjon],MATCH(outputs_checks[[#This Row],[Position]],tickcheck_foran[position],0))</f>
        <v>#N/A</v>
      </c>
      <c r="OQ214" s="1946"/>
      <c r="OR214" s="1947" t="e">
        <f>INDEX(tickcheck_foran[sy_Rigg],MATCH(outputs_checks[[#This Row],[Position]],tickcheck_foran[position],0))</f>
        <v>#N/A</v>
      </c>
      <c r="OS214" s="1947" t="e">
        <f>INDEX(tickcheck_foran[sy_Boring],MATCH(outputs_checks[[#This Row],[Position]],tickcheck_foran[position],0))</f>
        <v>#N/A</v>
      </c>
      <c r="OT214" s="1947" t="e">
        <f>INDEX(tickcheck_foran[sy_Injeksjon],MATCH(outputs_checks[[#This Row],[Position]],tickcheck_foran[position],0))</f>
        <v>#N/A</v>
      </c>
      <c r="OU214" s="1946"/>
      <c r="OV214" s="1947">
        <f>COUNTIF(outputs_checks[[#This Row],[Sonderboring]:[Seismikk]],0)</f>
        <v>0</v>
      </c>
      <c r="OW214" s="1947">
        <f>COUNTIF(outputs_checks[[#This Row],[sp_Rigg]:[sy_Kontrollhull]],0)</f>
        <v>0</v>
      </c>
      <c r="OX214" s="1947">
        <f>outputs_checks[[#This Row],[oppsum_sonder]]+outputs_checks[[#This Row],[oppsum_inj]]</f>
        <v>0</v>
      </c>
      <c r="OY214" s="1946" t="e">
        <f>IF($D$11=1,1,INDEX(inputs_checks[manuell],MATCH($NN214,inputs_checks[position],0)))</f>
        <v>#N/A</v>
      </c>
      <c r="OZ214" s="1946" t="e">
        <f>IF($D$11=1,1,INDEX(inputs_checks[kartlegging],MATCH($NN214,inputs_checks[position],0)))</f>
        <v>#N/A</v>
      </c>
      <c r="PA214" s="1946" t="e">
        <f>IF($D$11=1,1,INDEX(inputs_checks[lt4m],MATCH($NN214,inputs_checks[position],0)))</f>
        <v>#N/A</v>
      </c>
      <c r="PB214" s="1946" t="e">
        <f>IF($D$11=1,1,INDEX(inputs_checks[gt4m],MATCH($NN214,inputs_checks[position],0)))</f>
        <v>#N/A</v>
      </c>
      <c r="PC214" s="1946" t="e">
        <f>IF($D$11=1,1,INDEX(inputs_checks[bånd],MATCH($NN214,inputs_checks[position],0)))</f>
        <v>#N/A</v>
      </c>
      <c r="PD214" s="1946" t="e">
        <f>IF($D$11=1,1,INDEX(inputs_checks[nett],MATCH($NN214,inputs_checks[position],0)))</f>
        <v>#N/A</v>
      </c>
      <c r="PE214" s="1946" t="e">
        <f>IF($D$11=1,1,INDEX(inputs_checks[festebolter],MATCH($NN214,inputs_checks[position],0)))</f>
        <v>#N/A</v>
      </c>
      <c r="PF214" s="1946" t="e">
        <f>IF($D$11=1,1,INDEX(inputs_checks[shotcrete],MATCH($NN214,inputs_checks[position],0)))</f>
        <v>#N/A</v>
      </c>
      <c r="PG214" s="1946" t="e">
        <f>IF($D$11=1,1,INDEX(inputs_checks[buer],MATCH($NN214,inputs_checks[position],0)))</f>
        <v>#N/A</v>
      </c>
      <c r="PH214" s="1946" t="e">
        <f>IF($D$11=1,1,INDEX(inputs_checks[sik123],MATCH(outputs_checks[[#This Row],[Position]],inputs_checks[position],0)))</f>
        <v>#N/A</v>
      </c>
      <c r="PI214" s="1946" t="e">
        <f>IF($D$11=1,1,INDEX(inputs_checks[sik4],MATCH(outputs_checks[[#This Row],[Position]],inputs_checks[position],0)))</f>
        <v>#N/A</v>
      </c>
      <c r="PJ214" s="1946" t="e">
        <f>INDEX(inputs_checks[oppsum_manuell],MATCH($NN214,inputs_checks[position],0))</f>
        <v>#N/A</v>
      </c>
      <c r="PK214" s="1946" t="e">
        <f>INDEX(inputs_checks[oppsum_bolter],MATCH($NN214,inputs_checks[position],0))</f>
        <v>#N/A</v>
      </c>
      <c r="PL214" s="1946" t="e">
        <f>INDEX(inputs_checks[oppsum_bånd],MATCH($NN214,inputs_checks[position],0))</f>
        <v>#N/A</v>
      </c>
      <c r="PM214" s="1946" t="e">
        <f>INDEX(inputs_checks[oppsum_shot],MATCH($NN214,inputs_checks[position],0))</f>
        <v>#N/A</v>
      </c>
      <c r="PN214" s="1946" t="e">
        <f>INDEX(inputs_checks[oppsum_buer],MATCH($NN214,inputs_checks[position],0))</f>
        <v>#N/A</v>
      </c>
      <c r="PO214" s="1946">
        <f>COUNTIF(outputs_checks[[#This Row],[sik123]:[sik4]],0)</f>
        <v>0</v>
      </c>
      <c r="PP214" s="1947" t="e">
        <f>SUM(outputs_checks[[#This Row],[oppsum_manuell]:[oppsum_sik]])</f>
        <v>#N/A</v>
      </c>
      <c r="PQ214" s="1948"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14" s="1949">
        <f>IF($LR$38="",1,0)</f>
        <v>0</v>
      </c>
      <c r="PS214" s="1949">
        <f>$LS$41</f>
        <v>1</v>
      </c>
      <c r="PT214" s="1949">
        <f>$LS$42</f>
        <v>0</v>
      </c>
      <c r="PU214" s="1949">
        <v>1</v>
      </c>
      <c r="PV214"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4" s="265"/>
      <c r="PX214" s="265"/>
      <c r="QR214" s="2617"/>
      <c r="RO214" s="183"/>
      <c r="RQ214" s="183"/>
      <c r="RT214" s="210"/>
      <c r="RV214" s="210"/>
      <c r="SR214" s="183"/>
      <c r="SS214" s="183"/>
      <c r="SW214" s="184"/>
      <c r="SX214" s="184"/>
      <c r="UK214" s="183"/>
      <c r="UL214" s="183"/>
      <c r="UM214" s="183"/>
      <c r="UN214" s="183"/>
      <c r="UO214" s="183"/>
      <c r="UQ214" s="184"/>
      <c r="UR214" s="1754"/>
      <c r="UX214" s="265"/>
      <c r="VD214" s="402"/>
      <c r="WG214" s="265"/>
      <c r="WH214" s="265"/>
      <c r="WI214" s="265"/>
      <c r="WJ214" s="265"/>
      <c r="WK214" s="265"/>
    </row>
    <row r="215" spans="54:609" ht="15" thickTop="1" x14ac:dyDescent="0.2">
      <c r="NK215" s="439" t="str">
        <f>$NO$67</f>
        <v>Stuff 1-1</v>
      </c>
      <c r="NL215" s="450">
        <v>11</v>
      </c>
      <c r="NM215" s="450">
        <f t="shared" ref="NM215:NM222" si="289">IF($BC$38=1,1,0)</f>
        <v>0</v>
      </c>
      <c r="NN215" s="467">
        <f>IF($BC$38=1,INDEX(outputs_position[11],MATCH($BC$35,outputs_position[lopstuff],0)),0)</f>
        <v>0</v>
      </c>
      <c r="NO215" s="194">
        <f>IF($GN$13=TRUE,1,IF(GK45=1,0,$GP$35))</f>
        <v>1</v>
      </c>
      <c r="NP215" s="247" t="e">
        <f>INDEX(inputs_checks[Forberedende arbeider],MATCH($NN215,inputs_checks[position],0))</f>
        <v>#N/A</v>
      </c>
      <c r="NQ215" s="247" t="e">
        <f>INDEX(inputs_checks[Forskjæring],MATCH($NN215,inputs_checks[position],0))</f>
        <v>#N/A</v>
      </c>
      <c r="NR215" s="247" t="e">
        <f>INDEX(inputs_checks[Andre arbeider],MATCH($NN215,inputs_checks[position],0))</f>
        <v>#N/A</v>
      </c>
      <c r="NS215" s="247" t="e">
        <f>INDEX(inputs_checks[oppsum_forbe],MATCH($NN215,inputs_checks[position],0))</f>
        <v>#N/A</v>
      </c>
      <c r="NT215" s="247">
        <f>$NS$413</f>
        <v>0</v>
      </c>
      <c r="NU215" s="247" t="e">
        <f>IF(AND(outputs_checks[[#This Row],[Teoretisk volum per hele løp]]=1,INDEX(inputs_checks[Normal salve volum],MATCH(outputs_checks[[#This Row],[position_input]],inputs_checks[position],0))=1),1,0)</f>
        <v>#N/A</v>
      </c>
      <c r="NV215" s="247" t="e">
        <f>IF(AND(outputs_checks[[#This Row],[Teoretisk volum per hele løp]]=1,INDEX(inputs_checks[Redusert salvelengde],MATCH(outputs_checks[[#This Row],[position_input]],inputs_checks[position],0))=1),1,0)</f>
        <v>#N/A</v>
      </c>
      <c r="NW215" s="247" t="e">
        <f>IF(AND(outputs_checks[[#This Row],[Teoretisk volum per hele løp]]=1,INDEX(inputs_checks[Todelt tverrsnitt],MATCH(outputs_checks[[#This Row],[position_input]],inputs_checks[position],0))=1),1,0)</f>
        <v>#N/A</v>
      </c>
      <c r="NX215" s="247" t="e">
        <f>IF(AND(outputs_checks[[#This Row],[Teoretisk volum per hele løp]]=1,INDEX(inputs_checks[Redusert salvelengde
og todelt tverrsnitt],MATCH(outputs_checks[[#This Row],[position_input]],inputs_checks[position],0))=1),1,0)</f>
        <v>#N/A</v>
      </c>
      <c r="NY215" s="247">
        <f>IF($NS$413=0,0,INDEX(inputs_checks[Nisjer],MATCH(outputs_checks[[#This Row],[position_input]],inputs_checks[position],0)))</f>
        <v>0</v>
      </c>
      <c r="NZ215" s="247">
        <f>IF($NS$413=0,0,INDEX(inputs_checks[Nisjer],MATCH($NM215,inputs_checks[position],0)))</f>
        <v>0</v>
      </c>
      <c r="OA215" s="247">
        <f>IF($NS$413=0,0,INDEX(inputs_checks[Snunisjer],MATCH($NM215,inputs_checks[position],0)))</f>
        <v>0</v>
      </c>
      <c r="OB215" s="247">
        <f>IF($NS$413=0,0,INDEX(inputs_checks[Tverrforbindelser],MATCH($NM215,inputs_checks[position],0)))</f>
        <v>0</v>
      </c>
      <c r="OC215" s="247">
        <f>IF($NS$413=0,0,INDEX(inputs_checks[Tekniske rom],MATCH($NM215,inputs_checks[position],0)))</f>
        <v>0</v>
      </c>
      <c r="OD215" s="247">
        <f>IF($NS$413=0,0,INDEX(inputs_checks[Siktutvidelse],MATCH($NM215,inputs_checks[position],0)))</f>
        <v>0</v>
      </c>
      <c r="OE215" s="247">
        <f>IF($NS$413=0,0,INDEX(inputs_checks[Utvidelse for tung sikring],MATCH($NM215,inputs_checks[position],0)))</f>
        <v>0</v>
      </c>
      <c r="OF215" s="247">
        <f>IF($NS$413=0,0,INDEX(inputs_checks[Pumpesump],MATCH($NM215,inputs_checks[position],0)))</f>
        <v>0</v>
      </c>
      <c r="OG215" s="247">
        <f>IF($NS$413=0,0,INDEX(inputs_checks[Annet],MATCH($NM215,inputs_checks[position],0)))</f>
        <v>0</v>
      </c>
      <c r="OH215" s="247">
        <f>COUNTIF(outputs_checks[[#This Row],[Teoretisk volum per hele løp]:[Redusert salvelengde
og todelt tverrsnitt]],0)</f>
        <v>1</v>
      </c>
      <c r="OI215" s="247">
        <f>COUNTIF(outputs_checks[[#This Row],[Nisjer]:[Pumpesump]],0)</f>
        <v>7</v>
      </c>
      <c r="OJ215" s="247">
        <f>outputs_checks[[#This Row],[oppsum_løp]]+outputs_checks[[#This Row],[oppsum_nisj]]</f>
        <v>8</v>
      </c>
      <c r="OK215" s="247">
        <f>IF($NS$413=0,0,INDEX(inputs_checks[Sonderboring],MATCH($NM215,inputs_checks[position],0)))</f>
        <v>0</v>
      </c>
      <c r="OL215" s="247">
        <f>IF($NS$413=0,0,INDEX(inputs_checks[Kjerneboring],MATCH($NM215,inputs_checks[position],0)))</f>
        <v>0</v>
      </c>
      <c r="OM215" s="247">
        <f>IF($NS$413=0,0,INDEX(inputs_checks[Seismikk],MATCH($NM215,inputs_checks[position],0)))</f>
        <v>0</v>
      </c>
      <c r="ON215" s="247">
        <f>IF($NS$413=0,0,INDEX(tickcheck_foran[sp_Rigg],MATCH(outputs_checks[[#This Row],[position_input]],tickcheck_foran[position],0)))</f>
        <v>0</v>
      </c>
      <c r="OO215" s="247">
        <f>IF($NS$413=0,0,INDEX(tickcheck_foran[sp_Boring],MATCH(outputs_checks[[#This Row],[position_input]],tickcheck_foran[position],0)))</f>
        <v>0</v>
      </c>
      <c r="OP215" s="247">
        <f>IF($NS$413=0,0,INDEX(tickcheck_foran[Sp_Injeksjon],MATCH(outputs_checks[[#This Row],[position_input]],tickcheck_foran[position],0)))</f>
        <v>0</v>
      </c>
      <c r="OQ215" s="247"/>
      <c r="OR215" s="247">
        <f>IF($NS$413=0,0,INDEX(tickcheck_foran[sy_Rigg],MATCH(outputs_checks[[#This Row],[position_input]],tickcheck_foran[position],0)))</f>
        <v>0</v>
      </c>
      <c r="OS215" s="247">
        <f>IF($NS$413=0,0,INDEX(tickcheck_foran[sy_Boring],MATCH(outputs_checks[[#This Row],[position_input]],tickcheck_foran[position],0)))</f>
        <v>0</v>
      </c>
      <c r="OT215" s="247">
        <f>IF($NS$413=0,0,INDEX(tickcheck_foran[sy_Injeksjon],MATCH(outputs_checks[[#This Row],[position_input]],tickcheck_foran[position],0)))</f>
        <v>0</v>
      </c>
      <c r="OU215" s="247"/>
      <c r="OV215" s="247">
        <f>COUNTIF(outputs_checks[[#This Row],[Sonderboring]:[Seismikk]],0)</f>
        <v>3</v>
      </c>
      <c r="OW215" s="247">
        <f>COUNTIF(outputs_checks[[#This Row],[sp_Rigg]:[sy_Kontrollhull]],0)</f>
        <v>6</v>
      </c>
      <c r="OX215" s="247">
        <f>outputs_checks[[#This Row],[oppsum_sonder]]+outputs_checks[[#This Row],[oppsum_inj]]</f>
        <v>9</v>
      </c>
      <c r="OY215" s="247">
        <f>IF($D$11=1,1,IF($NS$413=0,0,INDEX(inputs_checks[manuell],MATCH($NM215,inputs_checks[position],0))))</f>
        <v>0</v>
      </c>
      <c r="OZ215" s="247">
        <f>IF($D$11=1,1,IF($NS$413=0,0,INDEX(inputs_checks[kartlegging],MATCH($NM215,inputs_checks[position],0))))</f>
        <v>0</v>
      </c>
      <c r="PA215" s="247">
        <f>IF($D$11=1,1,IF($NS$413=0,0,INDEX(inputs_checks[lt4m],MATCH($NM215,inputs_checks[position],0))))</f>
        <v>0</v>
      </c>
      <c r="PB215" s="247">
        <f>IF($D$11=1,1,IF($NS$413=0,0,INDEX(inputs_checks[gt4m],MATCH($NM215,inputs_checks[position],0))))</f>
        <v>0</v>
      </c>
      <c r="PC215" s="247">
        <f>IF($D$11=1,1,IF($NS$413=0,0,INDEX(inputs_checks[bånd],MATCH($NM215,inputs_checks[position],0))))</f>
        <v>0</v>
      </c>
      <c r="PD215" s="247">
        <f>IF($D$11=1,1,IF($NS$413=0,0,INDEX(inputs_checks[nett],MATCH($NM215,inputs_checks[position],0))))</f>
        <v>0</v>
      </c>
      <c r="PE215" s="247">
        <f>IF($D$11=1,1,IF($NS$413=0,0,INDEX(inputs_checks[festebolter],MATCH($NM215,inputs_checks[position],0))))</f>
        <v>0</v>
      </c>
      <c r="PF215" s="247">
        <f>IF($D$11=1,1,IF($NS$413=0,0,INDEX(inputs_checks[shotcrete],MATCH($NM215,inputs_checks[position],0))))</f>
        <v>0</v>
      </c>
      <c r="PG215" s="247">
        <f>IF($D$11=1,1,IF($NS$413=0,0,INDEX(inputs_checks[buer],MATCH($NM215,inputs_checks[position],0))))</f>
        <v>0</v>
      </c>
      <c r="PH215" s="247">
        <f>IF($D$11=1,1,IF($NS$413=0,0,INDEX(inputs_checks[sik123],MATCH(outputs_checks[[#This Row],[position_input]],inputs_checks[position],0))))</f>
        <v>0</v>
      </c>
      <c r="PI215" s="247">
        <f>IF($D$11=1,1,IF($NS$413=0,0,INDEX(inputs_checks[sik4],MATCH(outputs_checks[[#This Row],[position_input]],inputs_checks[position],0))))</f>
        <v>0</v>
      </c>
      <c r="PJ215" s="247">
        <f>COUNTIF(outputs_checks[[#This Row],[manuell]:[kartlegging]],0)</f>
        <v>2</v>
      </c>
      <c r="PK215" s="247">
        <f>COUNTIF(outputs_checks[[#This Row],[lt4m]:[gt4m]],0)</f>
        <v>2</v>
      </c>
      <c r="PL215" s="247">
        <f>COUNTIF(outputs_checks[[#This Row],[bånd]:[festebolter]],0)</f>
        <v>3</v>
      </c>
      <c r="PM215" s="247">
        <f>COUNTIF(outputs_checks[[#This Row],[shotcrete]],0)</f>
        <v>1</v>
      </c>
      <c r="PN215" s="247">
        <f>COUNTIF(outputs_checks[[#This Row],[buer]],0)</f>
        <v>1</v>
      </c>
      <c r="PO215" s="247">
        <f>COUNTIF(outputs_checks[[#This Row],[sik123]:[sik4]],0)</f>
        <v>2</v>
      </c>
      <c r="PP215" s="247">
        <f>SUM(outputs_checks[[#This Row],[oppsum_manuell]:[oppsum_sik]])</f>
        <v>11</v>
      </c>
      <c r="PQ215"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15" s="447">
        <f>PR206</f>
        <v>1</v>
      </c>
      <c r="PS215" s="447">
        <f>PS206</f>
        <v>1</v>
      </c>
      <c r="PT215" s="447">
        <f>PT206</f>
        <v>0</v>
      </c>
      <c r="PU215" s="447">
        <f>INDEX(tverr_connection_2[11],MATCH($BC$28,tverr_connection_2[config],0))</f>
        <v>0</v>
      </c>
      <c r="PV215"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5" s="265"/>
      <c r="PX215" s="265"/>
      <c r="QR215" s="2617"/>
      <c r="RO215" s="183"/>
      <c r="RQ215" s="183"/>
      <c r="RT215" s="210"/>
      <c r="RV215" s="210"/>
      <c r="SR215" s="183"/>
      <c r="SS215" s="183"/>
      <c r="SW215" s="184"/>
      <c r="SX215" s="184"/>
      <c r="UK215" s="183"/>
      <c r="UL215" s="183"/>
      <c r="UM215" s="183"/>
      <c r="UN215" s="183"/>
      <c r="UO215" s="183"/>
      <c r="UQ215" s="184"/>
      <c r="UR215" s="1754"/>
      <c r="UX215" s="265"/>
      <c r="VD215" s="402"/>
      <c r="WG215" s="265"/>
      <c r="WH215" s="265"/>
      <c r="WI215" s="265"/>
      <c r="WJ215" s="265"/>
      <c r="WK215" s="265"/>
    </row>
    <row r="216" spans="54:609" ht="30.75" x14ac:dyDescent="0.2">
      <c r="BB216" s="332" t="s">
        <v>446</v>
      </c>
      <c r="BC216" s="333"/>
      <c r="NK216" s="439" t="str">
        <f>$NO$68</f>
        <v>Stuff 1-2</v>
      </c>
      <c r="NL216" s="451">
        <v>21</v>
      </c>
      <c r="NM216" s="451">
        <f t="shared" si="289"/>
        <v>0</v>
      </c>
      <c r="NN216" s="393">
        <f>IF($BC$38=1,INDEX(outputs_position[12],MATCH($BC$35,outputs_position[lopstuff],0)),0)</f>
        <v>0</v>
      </c>
      <c r="NO216" s="194">
        <f t="shared" ref="NO216:NO223" si="290">IF($GN$13=TRUE,1,IF(GK46=1,0,$GP$35))</f>
        <v>1</v>
      </c>
      <c r="NP216" s="185" t="e">
        <f>INDEX(inputs_checks[Forberedende arbeider],MATCH($NN216,inputs_checks[position],0))</f>
        <v>#N/A</v>
      </c>
      <c r="NQ216" s="185" t="e">
        <f>INDEX(inputs_checks[Forskjæring],MATCH($NN216,inputs_checks[position],0))</f>
        <v>#N/A</v>
      </c>
      <c r="NR216" s="185" t="e">
        <f>INDEX(inputs_checks[Andre arbeider],MATCH($NN216,inputs_checks[position],0))</f>
        <v>#N/A</v>
      </c>
      <c r="NS216" s="185" t="e">
        <f>INDEX(inputs_checks[oppsum_forbe],MATCH($NN216,inputs_checks[position],0))</f>
        <v>#N/A</v>
      </c>
      <c r="NT216" s="185">
        <f t="shared" ref="NT216:NT222" si="291">$NS$413</f>
        <v>0</v>
      </c>
      <c r="NU216" s="185" t="e">
        <f>IF(AND(outputs_checks[[#This Row],[Teoretisk volum per hele løp]]=1,INDEX(inputs_checks[Normal salve volum],MATCH(outputs_checks[[#This Row],[position_input]],inputs_checks[position],0))=1),1,0)</f>
        <v>#N/A</v>
      </c>
      <c r="NV216" s="185" t="e">
        <f>IF(AND(outputs_checks[[#This Row],[Teoretisk volum per hele løp]]=1,INDEX(inputs_checks[Redusert salvelengde],MATCH(outputs_checks[[#This Row],[position_input]],inputs_checks[position],0))=1),1,0)</f>
        <v>#N/A</v>
      </c>
      <c r="NW216" s="185" t="e">
        <f>IF(AND(outputs_checks[[#This Row],[Teoretisk volum per hele løp]]=1,INDEX(inputs_checks[Todelt tverrsnitt],MATCH(outputs_checks[[#This Row],[position_input]],inputs_checks[position],0))=1),1,0)</f>
        <v>#N/A</v>
      </c>
      <c r="NX216" s="185" t="e">
        <f>IF(AND(outputs_checks[[#This Row],[Teoretisk volum per hele løp]]=1,INDEX(inputs_checks[Redusert salvelengde
og todelt tverrsnitt],MATCH(outputs_checks[[#This Row],[position_input]],inputs_checks[position],0))=1),1,0)</f>
        <v>#N/A</v>
      </c>
      <c r="NY216" s="247">
        <f>IF($NS$413=0,0,INDEX(inputs_checks[Nisjer],MATCH(outputs_checks[[#This Row],[position_input]],inputs_checks[position],0)))</f>
        <v>0</v>
      </c>
      <c r="NZ216" s="185">
        <f>IF($NS$413=0,0,INDEX(inputs_checks[Nisjer],MATCH($NM216,inputs_checks[position],0)))</f>
        <v>0</v>
      </c>
      <c r="OA216" s="185">
        <f>IF($NS$413=0,0,INDEX(inputs_checks[Snunisjer],MATCH($NM216,inputs_checks[position],0)))</f>
        <v>0</v>
      </c>
      <c r="OB216" s="185">
        <f>IF($NS$413=0,0,INDEX(inputs_checks[Tverrforbindelser],MATCH($NM216,inputs_checks[position],0)))</f>
        <v>0</v>
      </c>
      <c r="OC216" s="185">
        <f>IF($NS$413=0,0,INDEX(inputs_checks[Tekniske rom],MATCH($NM216,inputs_checks[position],0)))</f>
        <v>0</v>
      </c>
      <c r="OD216" s="185">
        <f>IF($NS$413=0,0,INDEX(inputs_checks[Siktutvidelse],MATCH($NM216,inputs_checks[position],0)))</f>
        <v>0</v>
      </c>
      <c r="OE216" s="185">
        <f>IF($NS$413=0,0,INDEX(inputs_checks[Utvidelse for tung sikring],MATCH($NM216,inputs_checks[position],0)))</f>
        <v>0</v>
      </c>
      <c r="OF216" s="185">
        <f>IF($NS$413=0,0,INDEX(inputs_checks[Pumpesump],MATCH($NM216,inputs_checks[position],0)))</f>
        <v>0</v>
      </c>
      <c r="OG216" s="185">
        <f>IF($NS$413=0,0,INDEX(inputs_checks[Annet],MATCH($NM216,inputs_checks[position],0)))</f>
        <v>0</v>
      </c>
      <c r="OH216" s="247">
        <f>COUNTIF(outputs_checks[[#This Row],[Teoretisk volum per hele løp]:[Redusert salvelengde
og todelt tverrsnitt]],0)</f>
        <v>1</v>
      </c>
      <c r="OI216" s="247">
        <f>COUNTIF(outputs_checks[[#This Row],[Nisjer]:[Pumpesump]],0)</f>
        <v>7</v>
      </c>
      <c r="OJ216" s="247">
        <f>outputs_checks[[#This Row],[oppsum_løp]]+outputs_checks[[#This Row],[oppsum_nisj]]</f>
        <v>8</v>
      </c>
      <c r="OK216" s="185">
        <f>IF($NS$413=0,0,INDEX(inputs_checks[Sonderboring],MATCH($NM216,inputs_checks[position],0)))</f>
        <v>0</v>
      </c>
      <c r="OL216" s="185">
        <f>IF($NS$413=0,0,INDEX(inputs_checks[Kjerneboring],MATCH($NM216,inputs_checks[position],0)))</f>
        <v>0</v>
      </c>
      <c r="OM216" s="185">
        <f>IF($NS$413=0,0,INDEX(inputs_checks[Seismikk],MATCH($NM216,inputs_checks[position],0)))</f>
        <v>0</v>
      </c>
      <c r="ON216" s="247">
        <f>IF($NS$413=0,0,INDEX(tickcheck_foran[sp_Rigg],MATCH(outputs_checks[[#This Row],[position_input]],tickcheck_foran[position],0)))</f>
        <v>0</v>
      </c>
      <c r="OO216" s="247">
        <f>IF($NS$413=0,0,INDEX(tickcheck_foran[sp_Boring],MATCH(outputs_checks[[#This Row],[position_input]],tickcheck_foran[position],0)))</f>
        <v>0</v>
      </c>
      <c r="OP216" s="247">
        <f>IF($NS$413=0,0,INDEX(tickcheck_foran[Sp_Injeksjon],MATCH(outputs_checks[[#This Row],[position_input]],tickcheck_foran[position],0)))</f>
        <v>0</v>
      </c>
      <c r="OQ216" s="247"/>
      <c r="OR216" s="247">
        <f>IF($NS$413=0,0,INDEX(tickcheck_foran[sy_Rigg],MATCH(outputs_checks[[#This Row],[position_input]],tickcheck_foran[position],0)))</f>
        <v>0</v>
      </c>
      <c r="OS216" s="247">
        <f>IF($NS$413=0,0,INDEX(tickcheck_foran[sy_Boring],MATCH(outputs_checks[[#This Row],[position_input]],tickcheck_foran[position],0)))</f>
        <v>0</v>
      </c>
      <c r="OT216" s="247">
        <f>IF($NS$413=0,0,INDEX(tickcheck_foran[sy_Injeksjon],MATCH(outputs_checks[[#This Row],[position_input]],tickcheck_foran[position],0)))</f>
        <v>0</v>
      </c>
      <c r="OU216" s="247"/>
      <c r="OV216" s="247">
        <f>COUNTIF(outputs_checks[[#This Row],[Sonderboring]:[Seismikk]],0)</f>
        <v>3</v>
      </c>
      <c r="OW216" s="247">
        <f>COUNTIF(outputs_checks[[#This Row],[sp_Rigg]:[sy_Kontrollhull]],0)</f>
        <v>6</v>
      </c>
      <c r="OX216" s="247">
        <f>outputs_checks[[#This Row],[oppsum_sonder]]+outputs_checks[[#This Row],[oppsum_inj]]</f>
        <v>9</v>
      </c>
      <c r="OY216" s="185">
        <f>IF($D$11=1,1,IF($NS$413=0,0,INDEX(inputs_checks[manuell],MATCH($NM216,inputs_checks[position],0))))</f>
        <v>0</v>
      </c>
      <c r="OZ216" s="185">
        <f>IF($D$11=1,1,IF($NS$413=0,0,INDEX(inputs_checks[kartlegging],MATCH($NM216,inputs_checks[position],0))))</f>
        <v>0</v>
      </c>
      <c r="PA216" s="185">
        <f>IF($D$11=1,1,IF($NS$413=0,0,INDEX(inputs_checks[lt4m],MATCH($NM216,inputs_checks[position],0))))</f>
        <v>0</v>
      </c>
      <c r="PB216" s="185">
        <f>IF($D$11=1,1,IF($NS$413=0,0,INDEX(inputs_checks[gt4m],MATCH($NM216,inputs_checks[position],0))))</f>
        <v>0</v>
      </c>
      <c r="PC216" s="185">
        <f>IF($D$11=1,1,IF($NS$413=0,0,INDEX(inputs_checks[bånd],MATCH($NM216,inputs_checks[position],0))))</f>
        <v>0</v>
      </c>
      <c r="PD216" s="185">
        <f>IF($D$11=1,1,IF($NS$413=0,0,INDEX(inputs_checks[nett],MATCH($NM216,inputs_checks[position],0))))</f>
        <v>0</v>
      </c>
      <c r="PE216" s="185">
        <f>IF($D$11=1,1,IF($NS$413=0,0,INDEX(inputs_checks[festebolter],MATCH($NM216,inputs_checks[position],0))))</f>
        <v>0</v>
      </c>
      <c r="PF216" s="185">
        <f>IF($D$11=1,1,IF($NS$413=0,0,INDEX(inputs_checks[shotcrete],MATCH($NM216,inputs_checks[position],0))))</f>
        <v>0</v>
      </c>
      <c r="PG216" s="185">
        <f>IF($D$11=1,1,IF($NS$413=0,0,INDEX(inputs_checks[buer],MATCH($NM216,inputs_checks[position],0))))</f>
        <v>0</v>
      </c>
      <c r="PH216" s="185">
        <f>IF($D$11=1,1,IF($NS$413=0,0,INDEX(inputs_checks[sik123],MATCH(outputs_checks[[#This Row],[position_input]],inputs_checks[position],0))))</f>
        <v>0</v>
      </c>
      <c r="PI216" s="185">
        <f>IF($D$11=1,1,IF($NS$413=0,0,INDEX(inputs_checks[sik4],MATCH(outputs_checks[[#This Row],[position_input]],inputs_checks[position],0))))</f>
        <v>0</v>
      </c>
      <c r="PJ216" s="185">
        <f>COUNTIF(outputs_checks[[#This Row],[manuell]:[kartlegging]],0)</f>
        <v>2</v>
      </c>
      <c r="PK216" s="185">
        <f>COUNTIF(outputs_checks[[#This Row],[lt4m]:[gt4m]],0)</f>
        <v>2</v>
      </c>
      <c r="PL216" s="185">
        <f>COUNTIF(outputs_checks[[#This Row],[bånd]:[festebolter]],0)</f>
        <v>3</v>
      </c>
      <c r="PM216" s="185">
        <f>COUNTIF(outputs_checks[[#This Row],[shotcrete]],0)</f>
        <v>1</v>
      </c>
      <c r="PN216" s="185">
        <f>COUNTIF(outputs_checks[[#This Row],[buer]],0)</f>
        <v>1</v>
      </c>
      <c r="PO216" s="185">
        <f>COUNTIF(outputs_checks[[#This Row],[sik123]:[sik4]],0)</f>
        <v>2</v>
      </c>
      <c r="PP216" s="247">
        <f>SUM(outputs_checks[[#This Row],[oppsum_manuell]:[oppsum_sik]])</f>
        <v>11</v>
      </c>
      <c r="PQ216"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16" s="447">
        <f t="shared" ref="PR216:PT223" si="292">PR207</f>
        <v>1</v>
      </c>
      <c r="PS216" s="447">
        <f t="shared" si="292"/>
        <v>1</v>
      </c>
      <c r="PT216" s="447">
        <f t="shared" si="292"/>
        <v>0</v>
      </c>
      <c r="PU216" s="206">
        <f>INDEX(tverr_connection_2[21],MATCH($BC$28,tverr_connection_2[config],0))</f>
        <v>0</v>
      </c>
      <c r="PV216"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6" s="265"/>
      <c r="PX216" s="265"/>
      <c r="QR216" s="2617"/>
      <c r="RO216" s="183"/>
      <c r="RQ216" s="183"/>
      <c r="RT216" s="210"/>
      <c r="RV216" s="210"/>
      <c r="SR216" s="183"/>
      <c r="SS216" s="183"/>
      <c r="SW216" s="184"/>
      <c r="SX216" s="184"/>
      <c r="UK216" s="183"/>
      <c r="UL216" s="183"/>
      <c r="UM216" s="183"/>
      <c r="UN216" s="183"/>
      <c r="UO216" s="183"/>
      <c r="UQ216" s="184"/>
      <c r="UR216" s="1754"/>
      <c r="UX216" s="265"/>
      <c r="VD216" s="402"/>
      <c r="WG216" s="265"/>
      <c r="WH216" s="265"/>
      <c r="WI216" s="265"/>
      <c r="WJ216" s="265"/>
      <c r="WK216" s="265"/>
    </row>
    <row r="217" spans="54:609" x14ac:dyDescent="0.2">
      <c r="NK217" s="439" t="str">
        <f>$NO$69</f>
        <v>Stuff 1-3</v>
      </c>
      <c r="NL217" s="451">
        <v>31</v>
      </c>
      <c r="NM217" s="451">
        <f t="shared" si="289"/>
        <v>0</v>
      </c>
      <c r="NN217" s="393">
        <f>IF($BC$38=1,INDEX(outputs_position[13],MATCH($BC$35,outputs_position[lopstuff],0)),0)</f>
        <v>0</v>
      </c>
      <c r="NO217" s="194">
        <f t="shared" si="290"/>
        <v>1</v>
      </c>
      <c r="NP217" s="185" t="e">
        <f>INDEX(inputs_checks[Forberedende arbeider],MATCH($NN217,inputs_checks[position],0))</f>
        <v>#N/A</v>
      </c>
      <c r="NQ217" s="185" t="e">
        <f>INDEX(inputs_checks[Forskjæring],MATCH($NN217,inputs_checks[position],0))</f>
        <v>#N/A</v>
      </c>
      <c r="NR217" s="185" t="e">
        <f>INDEX(inputs_checks[Andre arbeider],MATCH($NN217,inputs_checks[position],0))</f>
        <v>#N/A</v>
      </c>
      <c r="NS217" s="185" t="e">
        <f>INDEX(inputs_checks[oppsum_forbe],MATCH($NN217,inputs_checks[position],0))</f>
        <v>#N/A</v>
      </c>
      <c r="NT217" s="185">
        <f t="shared" si="291"/>
        <v>0</v>
      </c>
      <c r="NU217" s="185" t="e">
        <f>IF(AND(outputs_checks[[#This Row],[Teoretisk volum per hele løp]]=1,INDEX(inputs_checks[Normal salve volum],MATCH(outputs_checks[[#This Row],[position_input]],inputs_checks[position],0))=1),1,0)</f>
        <v>#N/A</v>
      </c>
      <c r="NV217" s="185" t="e">
        <f>IF(AND(outputs_checks[[#This Row],[Teoretisk volum per hele løp]]=1,INDEX(inputs_checks[Redusert salvelengde],MATCH(outputs_checks[[#This Row],[position_input]],inputs_checks[position],0))=1),1,0)</f>
        <v>#N/A</v>
      </c>
      <c r="NW217" s="185" t="e">
        <f>IF(AND(outputs_checks[[#This Row],[Teoretisk volum per hele løp]]=1,INDEX(inputs_checks[Todelt tverrsnitt],MATCH(outputs_checks[[#This Row],[position_input]],inputs_checks[position],0))=1),1,0)</f>
        <v>#N/A</v>
      </c>
      <c r="NX217" s="185" t="e">
        <f>IF(AND(outputs_checks[[#This Row],[Teoretisk volum per hele løp]]=1,INDEX(inputs_checks[Redusert salvelengde
og todelt tverrsnitt],MATCH(outputs_checks[[#This Row],[position_input]],inputs_checks[position],0))=1),1,0)</f>
        <v>#N/A</v>
      </c>
      <c r="NY217" s="247">
        <f>IF($NS$413=0,0,INDEX(inputs_checks[Nisjer],MATCH(outputs_checks[[#This Row],[position_input]],inputs_checks[position],0)))</f>
        <v>0</v>
      </c>
      <c r="NZ217" s="185">
        <f>IF($NS$413=0,0,INDEX(inputs_checks[Nisjer],MATCH($NM217,inputs_checks[position],0)))</f>
        <v>0</v>
      </c>
      <c r="OA217" s="185">
        <f>IF($NS$413=0,0,INDEX(inputs_checks[Snunisjer],MATCH($NM217,inputs_checks[position],0)))</f>
        <v>0</v>
      </c>
      <c r="OB217" s="185">
        <f>IF($NS$413=0,0,INDEX(inputs_checks[Tverrforbindelser],MATCH($NM217,inputs_checks[position],0)))</f>
        <v>0</v>
      </c>
      <c r="OC217" s="185">
        <f>IF($NS$413=0,0,INDEX(inputs_checks[Tekniske rom],MATCH($NM217,inputs_checks[position],0)))</f>
        <v>0</v>
      </c>
      <c r="OD217" s="185">
        <f>IF($NS$413=0,0,INDEX(inputs_checks[Siktutvidelse],MATCH($NM217,inputs_checks[position],0)))</f>
        <v>0</v>
      </c>
      <c r="OE217" s="185">
        <f>IF($NS$413=0,0,INDEX(inputs_checks[Utvidelse for tung sikring],MATCH($NM217,inputs_checks[position],0)))</f>
        <v>0</v>
      </c>
      <c r="OF217" s="185">
        <f>IF($NS$413=0,0,INDEX(inputs_checks[Pumpesump],MATCH($NM217,inputs_checks[position],0)))</f>
        <v>0</v>
      </c>
      <c r="OG217" s="185">
        <f>IF($NS$413=0,0,INDEX(inputs_checks[Annet],MATCH($NM217,inputs_checks[position],0)))</f>
        <v>0</v>
      </c>
      <c r="OH217" s="247">
        <f>COUNTIF(outputs_checks[[#This Row],[Teoretisk volum per hele løp]:[Redusert salvelengde
og todelt tverrsnitt]],0)</f>
        <v>1</v>
      </c>
      <c r="OI217" s="247">
        <f>COUNTIF(outputs_checks[[#This Row],[Nisjer]:[Pumpesump]],0)</f>
        <v>7</v>
      </c>
      <c r="OJ217" s="247">
        <f>outputs_checks[[#This Row],[oppsum_løp]]+outputs_checks[[#This Row],[oppsum_nisj]]</f>
        <v>8</v>
      </c>
      <c r="OK217" s="185">
        <f>IF($NS$413=0,0,INDEX(inputs_checks[Sonderboring],MATCH($NM217,inputs_checks[position],0)))</f>
        <v>0</v>
      </c>
      <c r="OL217" s="185">
        <f>IF($NS$413=0,0,INDEX(inputs_checks[Kjerneboring],MATCH($NM217,inputs_checks[position],0)))</f>
        <v>0</v>
      </c>
      <c r="OM217" s="185">
        <f>IF($NS$413=0,0,INDEX(inputs_checks[Seismikk],MATCH($NM217,inputs_checks[position],0)))</f>
        <v>0</v>
      </c>
      <c r="ON217" s="247">
        <f>IF($NS$413=0,0,INDEX(tickcheck_foran[sp_Rigg],MATCH(outputs_checks[[#This Row],[position_input]],tickcheck_foran[position],0)))</f>
        <v>0</v>
      </c>
      <c r="OO217" s="247">
        <f>IF($NS$413=0,0,INDEX(tickcheck_foran[sp_Boring],MATCH(outputs_checks[[#This Row],[position_input]],tickcheck_foran[position],0)))</f>
        <v>0</v>
      </c>
      <c r="OP217" s="247">
        <f>IF($NS$413=0,0,INDEX(tickcheck_foran[Sp_Injeksjon],MATCH(outputs_checks[[#This Row],[position_input]],tickcheck_foran[position],0)))</f>
        <v>0</v>
      </c>
      <c r="OQ217" s="247"/>
      <c r="OR217" s="247">
        <f>IF($NS$413=0,0,INDEX(tickcheck_foran[sy_Rigg],MATCH(outputs_checks[[#This Row],[position_input]],tickcheck_foran[position],0)))</f>
        <v>0</v>
      </c>
      <c r="OS217" s="247">
        <f>IF($NS$413=0,0,INDEX(tickcheck_foran[sy_Boring],MATCH(outputs_checks[[#This Row],[position_input]],tickcheck_foran[position],0)))</f>
        <v>0</v>
      </c>
      <c r="OT217" s="247">
        <f>IF($NS$413=0,0,INDEX(tickcheck_foran[sy_Injeksjon],MATCH(outputs_checks[[#This Row],[position_input]],tickcheck_foran[position],0)))</f>
        <v>0</v>
      </c>
      <c r="OU217" s="247"/>
      <c r="OV217" s="247">
        <f>COUNTIF(outputs_checks[[#This Row],[Sonderboring]:[Seismikk]],0)</f>
        <v>3</v>
      </c>
      <c r="OW217" s="247">
        <f>COUNTIF(outputs_checks[[#This Row],[sp_Rigg]:[sy_Kontrollhull]],0)</f>
        <v>6</v>
      </c>
      <c r="OX217" s="247">
        <f>outputs_checks[[#This Row],[oppsum_sonder]]+outputs_checks[[#This Row],[oppsum_inj]]</f>
        <v>9</v>
      </c>
      <c r="OY217" s="185">
        <f>IF($D$11=1,1,IF($NS$413=0,0,INDEX(inputs_checks[manuell],MATCH($NM217,inputs_checks[position],0))))</f>
        <v>0</v>
      </c>
      <c r="OZ217" s="185">
        <f>IF($D$11=1,1,IF($NS$413=0,0,INDEX(inputs_checks[kartlegging],MATCH($NM217,inputs_checks[position],0))))</f>
        <v>0</v>
      </c>
      <c r="PA217" s="185">
        <f>IF($D$11=1,1,IF($NS$413=0,0,INDEX(inputs_checks[lt4m],MATCH($NM217,inputs_checks[position],0))))</f>
        <v>0</v>
      </c>
      <c r="PB217" s="185">
        <f>IF($D$11=1,1,IF($NS$413=0,0,INDEX(inputs_checks[gt4m],MATCH($NM217,inputs_checks[position],0))))</f>
        <v>0</v>
      </c>
      <c r="PC217" s="185">
        <f>IF($D$11=1,1,IF($NS$413=0,0,INDEX(inputs_checks[bånd],MATCH($NM217,inputs_checks[position],0))))</f>
        <v>0</v>
      </c>
      <c r="PD217" s="185">
        <f>IF($D$11=1,1,IF($NS$413=0,0,INDEX(inputs_checks[nett],MATCH($NM217,inputs_checks[position],0))))</f>
        <v>0</v>
      </c>
      <c r="PE217" s="185">
        <f>IF($D$11=1,1,IF($NS$413=0,0,INDEX(inputs_checks[festebolter],MATCH($NM217,inputs_checks[position],0))))</f>
        <v>0</v>
      </c>
      <c r="PF217" s="185">
        <f>IF($D$11=1,1,IF($NS$413=0,0,INDEX(inputs_checks[shotcrete],MATCH($NM217,inputs_checks[position],0))))</f>
        <v>0</v>
      </c>
      <c r="PG217" s="185">
        <f>IF($D$11=1,1,IF($NS$413=0,0,INDEX(inputs_checks[buer],MATCH($NM217,inputs_checks[position],0))))</f>
        <v>0</v>
      </c>
      <c r="PH217" s="247">
        <f>IF($D$11=1,1,IF($NS$413=0,0,INDEX(inputs_checks[sik123],MATCH(outputs_checks[[#This Row],[position_input]],inputs_checks[position],0))))</f>
        <v>0</v>
      </c>
      <c r="PI217" s="247">
        <f>IF($D$11=1,1,IF($NS$413=0,0,INDEX(inputs_checks[sik4],MATCH(outputs_checks[[#This Row],[position_input]],inputs_checks[position],0))))</f>
        <v>0</v>
      </c>
      <c r="PJ217" s="185">
        <f>COUNTIF(outputs_checks[[#This Row],[manuell]:[kartlegging]],0)</f>
        <v>2</v>
      </c>
      <c r="PK217" s="185">
        <f>COUNTIF(outputs_checks[[#This Row],[lt4m]:[gt4m]],0)</f>
        <v>2</v>
      </c>
      <c r="PL217" s="185">
        <f>COUNTIF(outputs_checks[[#This Row],[bånd]:[festebolter]],0)</f>
        <v>3</v>
      </c>
      <c r="PM217" s="185">
        <f>COUNTIF(outputs_checks[[#This Row],[shotcrete]],0)</f>
        <v>1</v>
      </c>
      <c r="PN217" s="185">
        <f>COUNTIF(outputs_checks[[#This Row],[buer]],0)</f>
        <v>1</v>
      </c>
      <c r="PO217" s="185">
        <f>COUNTIF(outputs_checks[[#This Row],[sik123]:[sik4]],0)</f>
        <v>2</v>
      </c>
      <c r="PP217" s="247">
        <f>SUM(outputs_checks[[#This Row],[oppsum_manuell]:[oppsum_sik]])</f>
        <v>11</v>
      </c>
      <c r="PQ217"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17" s="447">
        <f t="shared" si="292"/>
        <v>1</v>
      </c>
      <c r="PS217" s="447">
        <f t="shared" si="292"/>
        <v>1</v>
      </c>
      <c r="PT217" s="447">
        <f t="shared" si="292"/>
        <v>0</v>
      </c>
      <c r="PU217" s="206">
        <f>INDEX(tverr_connection_2[31],MATCH($BC$28,tverr_connection_2[config],0))</f>
        <v>0</v>
      </c>
      <c r="PV217"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7" s="265"/>
      <c r="PX217" s="265"/>
      <c r="QR217" s="2617"/>
      <c r="RO217" s="183"/>
      <c r="RQ217" s="183"/>
      <c r="RT217" s="210"/>
      <c r="RV217" s="210"/>
      <c r="SR217" s="183"/>
      <c r="SS217" s="183"/>
      <c r="SW217" s="184"/>
      <c r="SX217" s="184"/>
      <c r="UK217" s="183"/>
      <c r="UL217" s="183"/>
      <c r="UM217" s="183"/>
      <c r="UN217" s="183"/>
      <c r="UO217" s="183"/>
      <c r="UQ217" s="184"/>
      <c r="UR217" s="1754"/>
      <c r="UX217" s="265"/>
      <c r="VD217" s="402"/>
      <c r="WG217" s="265"/>
      <c r="WH217" s="265"/>
      <c r="WI217" s="265"/>
      <c r="WJ217" s="265"/>
      <c r="WK217" s="265"/>
    </row>
    <row r="218" spans="54:609" x14ac:dyDescent="0.2">
      <c r="BB218" s="283" t="s">
        <v>351</v>
      </c>
      <c r="NK218" s="439" t="str">
        <f>$NO$70</f>
        <v>Stuff 1-4</v>
      </c>
      <c r="NL218" s="451">
        <v>41</v>
      </c>
      <c r="NM218" s="451">
        <f t="shared" si="289"/>
        <v>0</v>
      </c>
      <c r="NN218" s="393">
        <f>IF($BC$38=1,INDEX(outputs_position[14],MATCH($BC$35,outputs_position[lopstuff],0)),0)</f>
        <v>0</v>
      </c>
      <c r="NO218" s="194">
        <f t="shared" si="290"/>
        <v>1</v>
      </c>
      <c r="NP218" s="185" t="e">
        <f>INDEX(inputs_checks[Forberedende arbeider],MATCH($NN218,inputs_checks[position],0))</f>
        <v>#N/A</v>
      </c>
      <c r="NQ218" s="185" t="e">
        <f>INDEX(inputs_checks[Forskjæring],MATCH($NN218,inputs_checks[position],0))</f>
        <v>#N/A</v>
      </c>
      <c r="NR218" s="185" t="e">
        <f>INDEX(inputs_checks[Andre arbeider],MATCH($NN218,inputs_checks[position],0))</f>
        <v>#N/A</v>
      </c>
      <c r="NS218" s="185" t="e">
        <f>INDEX(inputs_checks[oppsum_forbe],MATCH($NN218,inputs_checks[position],0))</f>
        <v>#N/A</v>
      </c>
      <c r="NT218" s="185">
        <f t="shared" si="291"/>
        <v>0</v>
      </c>
      <c r="NU218" s="185" t="e">
        <f>IF(AND(outputs_checks[[#This Row],[Teoretisk volum per hele løp]]=1,INDEX(inputs_checks[Normal salve volum],MATCH(outputs_checks[[#This Row],[position_input]],inputs_checks[position],0))=1),1,0)</f>
        <v>#N/A</v>
      </c>
      <c r="NV218" s="185" t="e">
        <f>IF(AND(outputs_checks[[#This Row],[Teoretisk volum per hele løp]]=1,INDEX(inputs_checks[Redusert salvelengde],MATCH(outputs_checks[[#This Row],[position_input]],inputs_checks[position],0))=1),1,0)</f>
        <v>#N/A</v>
      </c>
      <c r="NW218" s="185" t="e">
        <f>IF(AND(outputs_checks[[#This Row],[Teoretisk volum per hele løp]]=1,INDEX(inputs_checks[Todelt tverrsnitt],MATCH(outputs_checks[[#This Row],[position_input]],inputs_checks[position],0))=1),1,0)</f>
        <v>#N/A</v>
      </c>
      <c r="NX218" s="185" t="e">
        <f>IF(AND(outputs_checks[[#This Row],[Teoretisk volum per hele løp]]=1,INDEX(inputs_checks[Redusert salvelengde
og todelt tverrsnitt],MATCH(outputs_checks[[#This Row],[position_input]],inputs_checks[position],0))=1),1,0)</f>
        <v>#N/A</v>
      </c>
      <c r="NY218" s="247">
        <f>IF($NS$413=0,0,INDEX(inputs_checks[Nisjer],MATCH(outputs_checks[[#This Row],[position_input]],inputs_checks[position],0)))</f>
        <v>0</v>
      </c>
      <c r="NZ218" s="185">
        <f>IF($NS$413=0,0,INDEX(inputs_checks[Nisjer],MATCH($NM218,inputs_checks[position],0)))</f>
        <v>0</v>
      </c>
      <c r="OA218" s="185">
        <f>IF($NS$413=0,0,INDEX(inputs_checks[Snunisjer],MATCH($NM218,inputs_checks[position],0)))</f>
        <v>0</v>
      </c>
      <c r="OB218" s="185">
        <f>IF($NS$413=0,0,INDEX(inputs_checks[Tverrforbindelser],MATCH($NM218,inputs_checks[position],0)))</f>
        <v>0</v>
      </c>
      <c r="OC218" s="185">
        <f>IF($NS$413=0,0,INDEX(inputs_checks[Tekniske rom],MATCH($NM218,inputs_checks[position],0)))</f>
        <v>0</v>
      </c>
      <c r="OD218" s="185">
        <f>IF($NS$413=0,0,INDEX(inputs_checks[Siktutvidelse],MATCH($NM218,inputs_checks[position],0)))</f>
        <v>0</v>
      </c>
      <c r="OE218" s="185">
        <f>IF($NS$413=0,0,INDEX(inputs_checks[Utvidelse for tung sikring],MATCH($NM218,inputs_checks[position],0)))</f>
        <v>0</v>
      </c>
      <c r="OF218" s="185">
        <f>IF($NS$413=0,0,INDEX(inputs_checks[Pumpesump],MATCH($NM218,inputs_checks[position],0)))</f>
        <v>0</v>
      </c>
      <c r="OG218" s="185">
        <f>IF($NS$413=0,0,INDEX(inputs_checks[Annet],MATCH($NM218,inputs_checks[position],0)))</f>
        <v>0</v>
      </c>
      <c r="OH218" s="247">
        <f>COUNTIF(outputs_checks[[#This Row],[Teoretisk volum per hele løp]:[Redusert salvelengde
og todelt tverrsnitt]],0)</f>
        <v>1</v>
      </c>
      <c r="OI218" s="247">
        <f>COUNTIF(outputs_checks[[#This Row],[Nisjer]:[Pumpesump]],0)</f>
        <v>7</v>
      </c>
      <c r="OJ218" s="247">
        <f>outputs_checks[[#This Row],[oppsum_løp]]+outputs_checks[[#This Row],[oppsum_nisj]]</f>
        <v>8</v>
      </c>
      <c r="OK218" s="185">
        <f>IF($NS$413=0,0,INDEX(inputs_checks[Sonderboring],MATCH($NM218,inputs_checks[position],0)))</f>
        <v>0</v>
      </c>
      <c r="OL218" s="185">
        <f>IF($NS$413=0,0,INDEX(inputs_checks[Kjerneboring],MATCH($NM218,inputs_checks[position],0)))</f>
        <v>0</v>
      </c>
      <c r="OM218" s="185">
        <f>IF($NS$413=0,0,INDEX(inputs_checks[Seismikk],MATCH($NM218,inputs_checks[position],0)))</f>
        <v>0</v>
      </c>
      <c r="ON218" s="247">
        <f>IF($NS$413=0,0,INDEX(tickcheck_foran[sp_Rigg],MATCH(outputs_checks[[#This Row],[position_input]],tickcheck_foran[position],0)))</f>
        <v>0</v>
      </c>
      <c r="OO218" s="247">
        <f>IF($NS$413=0,0,INDEX(tickcheck_foran[sp_Boring],MATCH(outputs_checks[[#This Row],[position_input]],tickcheck_foran[position],0)))</f>
        <v>0</v>
      </c>
      <c r="OP218" s="247">
        <f>IF($NS$413=0,0,INDEX(tickcheck_foran[Sp_Injeksjon],MATCH(outputs_checks[[#This Row],[position_input]],tickcheck_foran[position],0)))</f>
        <v>0</v>
      </c>
      <c r="OQ218" s="247"/>
      <c r="OR218" s="247">
        <f>IF($NS$413=0,0,INDEX(tickcheck_foran[sy_Rigg],MATCH(outputs_checks[[#This Row],[position_input]],tickcheck_foran[position],0)))</f>
        <v>0</v>
      </c>
      <c r="OS218" s="247">
        <f>IF($NS$413=0,0,INDEX(tickcheck_foran[sy_Boring],MATCH(outputs_checks[[#This Row],[position_input]],tickcheck_foran[position],0)))</f>
        <v>0</v>
      </c>
      <c r="OT218" s="247">
        <f>IF($NS$413=0,0,INDEX(tickcheck_foran[sy_Injeksjon],MATCH(outputs_checks[[#This Row],[position_input]],tickcheck_foran[position],0)))</f>
        <v>0</v>
      </c>
      <c r="OU218" s="247"/>
      <c r="OV218" s="247">
        <f>COUNTIF(outputs_checks[[#This Row],[Sonderboring]:[Seismikk]],0)</f>
        <v>3</v>
      </c>
      <c r="OW218" s="247">
        <f>COUNTIF(outputs_checks[[#This Row],[sp_Rigg]:[sy_Kontrollhull]],0)</f>
        <v>6</v>
      </c>
      <c r="OX218" s="247">
        <f>outputs_checks[[#This Row],[oppsum_sonder]]+outputs_checks[[#This Row],[oppsum_inj]]</f>
        <v>9</v>
      </c>
      <c r="OY218" s="185">
        <f>IF($D$11=1,1,IF($NS$413=0,0,INDEX(inputs_checks[manuell],MATCH($NM218,inputs_checks[position],0))))</f>
        <v>0</v>
      </c>
      <c r="OZ218" s="185">
        <f>IF($D$11=1,1,IF($NS$413=0,0,INDEX(inputs_checks[kartlegging],MATCH($NM218,inputs_checks[position],0))))</f>
        <v>0</v>
      </c>
      <c r="PA218" s="185">
        <f>IF($D$11=1,1,IF($NS$413=0,0,INDEX(inputs_checks[lt4m],MATCH($NM218,inputs_checks[position],0))))</f>
        <v>0</v>
      </c>
      <c r="PB218" s="185">
        <f>IF($D$11=1,1,IF($NS$413=0,0,INDEX(inputs_checks[gt4m],MATCH($NM218,inputs_checks[position],0))))</f>
        <v>0</v>
      </c>
      <c r="PC218" s="185">
        <f>IF($D$11=1,1,IF($NS$413=0,0,INDEX(inputs_checks[bånd],MATCH($NM218,inputs_checks[position],0))))</f>
        <v>0</v>
      </c>
      <c r="PD218" s="185">
        <f>IF($D$11=1,1,IF($NS$413=0,0,INDEX(inputs_checks[nett],MATCH($NM218,inputs_checks[position],0))))</f>
        <v>0</v>
      </c>
      <c r="PE218" s="185">
        <f>IF($D$11=1,1,IF($NS$413=0,0,INDEX(inputs_checks[festebolter],MATCH($NM218,inputs_checks[position],0))))</f>
        <v>0</v>
      </c>
      <c r="PF218" s="185">
        <f>IF($D$11=1,1,IF($NS$413=0,0,INDEX(inputs_checks[shotcrete],MATCH($NM218,inputs_checks[position],0))))</f>
        <v>0</v>
      </c>
      <c r="PG218" s="185">
        <f>IF($D$11=1,1,IF($NS$413=0,0,INDEX(inputs_checks[buer],MATCH($NM218,inputs_checks[position],0))))</f>
        <v>0</v>
      </c>
      <c r="PH218" s="247">
        <f>IF($D$11=1,1,IF($NS$413=0,0,INDEX(inputs_checks[sik123],MATCH(outputs_checks[[#This Row],[position_input]],inputs_checks[position],0))))</f>
        <v>0</v>
      </c>
      <c r="PI218" s="247">
        <f>IF($D$11=1,1,IF($NS$413=0,0,INDEX(inputs_checks[sik4],MATCH(outputs_checks[[#This Row],[position_input]],inputs_checks[position],0))))</f>
        <v>0</v>
      </c>
      <c r="PJ218" s="185">
        <f>COUNTIF(outputs_checks[[#This Row],[manuell]:[kartlegging]],0)</f>
        <v>2</v>
      </c>
      <c r="PK218" s="185">
        <f>COUNTIF(outputs_checks[[#This Row],[lt4m]:[gt4m]],0)</f>
        <v>2</v>
      </c>
      <c r="PL218" s="185">
        <f>COUNTIF(outputs_checks[[#This Row],[bånd]:[festebolter]],0)</f>
        <v>3</v>
      </c>
      <c r="PM218" s="185">
        <f>COUNTIF(outputs_checks[[#This Row],[shotcrete]],0)</f>
        <v>1</v>
      </c>
      <c r="PN218" s="185">
        <f>COUNTIF(outputs_checks[[#This Row],[buer]],0)</f>
        <v>1</v>
      </c>
      <c r="PO218" s="185">
        <f>COUNTIF(outputs_checks[[#This Row],[sik123]:[sik4]],0)</f>
        <v>2</v>
      </c>
      <c r="PP218" s="247">
        <f>SUM(outputs_checks[[#This Row],[oppsum_manuell]:[oppsum_sik]])</f>
        <v>11</v>
      </c>
      <c r="PQ218"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18" s="447">
        <f t="shared" si="292"/>
        <v>1</v>
      </c>
      <c r="PS218" s="447">
        <f t="shared" si="292"/>
        <v>1</v>
      </c>
      <c r="PT218" s="447">
        <f t="shared" si="292"/>
        <v>0</v>
      </c>
      <c r="PU218" s="206">
        <f>INDEX(tverr_connection_2[41],MATCH($BC$28,tverr_connection_2[config],0))</f>
        <v>0</v>
      </c>
      <c r="PV218"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8" s="265"/>
      <c r="PX218" s="265"/>
      <c r="QR218" s="2617"/>
      <c r="RO218" s="183"/>
      <c r="RQ218" s="183"/>
      <c r="RT218" s="210"/>
      <c r="RV218" s="210"/>
      <c r="SR218" s="183"/>
      <c r="SS218" s="183"/>
      <c r="SW218" s="184"/>
      <c r="SX218" s="184"/>
      <c r="UK218" s="183"/>
      <c r="UL218" s="183"/>
      <c r="UM218" s="183"/>
      <c r="UN218" s="183"/>
      <c r="UO218" s="183"/>
      <c r="UQ218" s="184"/>
      <c r="UR218" s="1754"/>
      <c r="UX218" s="265"/>
      <c r="VD218" s="402"/>
      <c r="WG218" s="265"/>
      <c r="WH218" s="265"/>
      <c r="WI218" s="265"/>
      <c r="WJ218" s="265"/>
      <c r="WK218" s="265"/>
    </row>
    <row r="219" spans="54:609" ht="18" x14ac:dyDescent="0.25">
      <c r="BH219" s="5438" t="s">
        <v>317</v>
      </c>
      <c r="BI219" s="5439"/>
      <c r="BJ219" s="5439"/>
      <c r="BK219" s="5439"/>
      <c r="BL219" s="5439"/>
      <c r="NK219" s="439" t="str">
        <f>$NO$71</f>
        <v>Stuff 2-1</v>
      </c>
      <c r="NL219" s="451">
        <v>51</v>
      </c>
      <c r="NM219" s="451">
        <f t="shared" si="289"/>
        <v>0</v>
      </c>
      <c r="NN219" s="393">
        <f>IF($BC$38=1,INDEX(outputs_position[21],MATCH($BC$35,outputs_position[lopstuff],0)),0)</f>
        <v>0</v>
      </c>
      <c r="NO219" s="194">
        <f t="shared" si="290"/>
        <v>1</v>
      </c>
      <c r="NP219" s="185" t="e">
        <f>INDEX(inputs_checks[Forberedende arbeider],MATCH($NN219,inputs_checks[position],0))</f>
        <v>#N/A</v>
      </c>
      <c r="NQ219" s="185" t="e">
        <f>INDEX(inputs_checks[Forskjæring],MATCH($NN219,inputs_checks[position],0))</f>
        <v>#N/A</v>
      </c>
      <c r="NR219" s="185" t="e">
        <f>INDEX(inputs_checks[Andre arbeider],MATCH($NN219,inputs_checks[position],0))</f>
        <v>#N/A</v>
      </c>
      <c r="NS219" s="185" t="e">
        <f>INDEX(inputs_checks[oppsum_forbe],MATCH($NN219,inputs_checks[position],0))</f>
        <v>#N/A</v>
      </c>
      <c r="NT219" s="185">
        <f t="shared" si="291"/>
        <v>0</v>
      </c>
      <c r="NU219" s="185" t="e">
        <f>IF(AND(outputs_checks[[#This Row],[Teoretisk volum per hele løp]]=1,INDEX(inputs_checks[Normal salve volum],MATCH(outputs_checks[[#This Row],[position_input]],inputs_checks[position],0))=1),1,0)</f>
        <v>#N/A</v>
      </c>
      <c r="NV219" s="185" t="e">
        <f>IF(AND(outputs_checks[[#This Row],[Teoretisk volum per hele løp]]=1,INDEX(inputs_checks[Redusert salvelengde],MATCH(outputs_checks[[#This Row],[position_input]],inputs_checks[position],0))=1),1,0)</f>
        <v>#N/A</v>
      </c>
      <c r="NW219" s="185" t="e">
        <f>IF(AND(outputs_checks[[#This Row],[Teoretisk volum per hele løp]]=1,INDEX(inputs_checks[Todelt tverrsnitt],MATCH(outputs_checks[[#This Row],[position_input]],inputs_checks[position],0))=1),1,0)</f>
        <v>#N/A</v>
      </c>
      <c r="NX219" s="185" t="e">
        <f>IF(AND(outputs_checks[[#This Row],[Teoretisk volum per hele løp]]=1,INDEX(inputs_checks[Redusert salvelengde
og todelt tverrsnitt],MATCH(outputs_checks[[#This Row],[position_input]],inputs_checks[position],0))=1),1,0)</f>
        <v>#N/A</v>
      </c>
      <c r="NY219" s="247">
        <f>IF($NS$413=0,0,INDEX(inputs_checks[Nisjer],MATCH(outputs_checks[[#This Row],[position_input]],inputs_checks[position],0)))</f>
        <v>0</v>
      </c>
      <c r="NZ219" s="185">
        <f>IF($NS$413=0,0,INDEX(inputs_checks[Nisjer],MATCH($NM219,inputs_checks[position],0)))</f>
        <v>0</v>
      </c>
      <c r="OA219" s="185">
        <f>IF($NS$413=0,0,INDEX(inputs_checks[Snunisjer],MATCH($NM219,inputs_checks[position],0)))</f>
        <v>0</v>
      </c>
      <c r="OB219" s="185">
        <f>IF($NS$413=0,0,INDEX(inputs_checks[Tverrforbindelser],MATCH($NM219,inputs_checks[position],0)))</f>
        <v>0</v>
      </c>
      <c r="OC219" s="185">
        <f>IF($NS$413=0,0,INDEX(inputs_checks[Tekniske rom],MATCH($NM219,inputs_checks[position],0)))</f>
        <v>0</v>
      </c>
      <c r="OD219" s="185">
        <f>IF($NS$413=0,0,INDEX(inputs_checks[Siktutvidelse],MATCH($NM219,inputs_checks[position],0)))</f>
        <v>0</v>
      </c>
      <c r="OE219" s="185">
        <f>IF($NS$413=0,0,INDEX(inputs_checks[Utvidelse for tung sikring],MATCH($NM219,inputs_checks[position],0)))</f>
        <v>0</v>
      </c>
      <c r="OF219" s="185">
        <f>IF($NS$413=0,0,INDEX(inputs_checks[Pumpesump],MATCH($NM219,inputs_checks[position],0)))</f>
        <v>0</v>
      </c>
      <c r="OG219" s="185">
        <f>IF($NS$413=0,0,INDEX(inputs_checks[Annet],MATCH($NM219,inputs_checks[position],0)))</f>
        <v>0</v>
      </c>
      <c r="OH219" s="247">
        <f>COUNTIF(outputs_checks[[#This Row],[Teoretisk volum per hele løp]:[Redusert salvelengde
og todelt tverrsnitt]],0)</f>
        <v>1</v>
      </c>
      <c r="OI219" s="247">
        <f>COUNTIF(outputs_checks[[#This Row],[Nisjer]:[Pumpesump]],0)</f>
        <v>7</v>
      </c>
      <c r="OJ219" s="247">
        <f>outputs_checks[[#This Row],[oppsum_løp]]+outputs_checks[[#This Row],[oppsum_nisj]]</f>
        <v>8</v>
      </c>
      <c r="OK219" s="185">
        <f>IF($NS$413=0,0,INDEX(inputs_checks[Sonderboring],MATCH($NM219,inputs_checks[position],0)))</f>
        <v>0</v>
      </c>
      <c r="OL219" s="185">
        <f>IF($NS$413=0,0,INDEX(inputs_checks[Kjerneboring],MATCH($NM219,inputs_checks[position],0)))</f>
        <v>0</v>
      </c>
      <c r="OM219" s="185">
        <f>IF($NS$413=0,0,INDEX(inputs_checks[Seismikk],MATCH($NM219,inputs_checks[position],0)))</f>
        <v>0</v>
      </c>
      <c r="ON219" s="247">
        <f>IF($NS$413=0,0,INDEX(tickcheck_foran[sp_Rigg],MATCH(outputs_checks[[#This Row],[position_input]],tickcheck_foran[position],0)))</f>
        <v>0</v>
      </c>
      <c r="OO219" s="247">
        <f>IF($NS$413=0,0,INDEX(tickcheck_foran[sp_Boring],MATCH(outputs_checks[[#This Row],[position_input]],tickcheck_foran[position],0)))</f>
        <v>0</v>
      </c>
      <c r="OP219" s="247">
        <f>IF($NS$413=0,0,INDEX(tickcheck_foran[Sp_Injeksjon],MATCH(outputs_checks[[#This Row],[position_input]],tickcheck_foran[position],0)))</f>
        <v>0</v>
      </c>
      <c r="OQ219" s="247"/>
      <c r="OR219" s="247">
        <f>IF($NS$413=0,0,INDEX(tickcheck_foran[sy_Rigg],MATCH(outputs_checks[[#This Row],[position_input]],tickcheck_foran[position],0)))</f>
        <v>0</v>
      </c>
      <c r="OS219" s="247">
        <f>IF($NS$413=0,0,INDEX(tickcheck_foran[sy_Boring],MATCH(outputs_checks[[#This Row],[position_input]],tickcheck_foran[position],0)))</f>
        <v>0</v>
      </c>
      <c r="OT219" s="247">
        <f>IF($NS$413=0,0,INDEX(tickcheck_foran[sy_Injeksjon],MATCH(outputs_checks[[#This Row],[position_input]],tickcheck_foran[position],0)))</f>
        <v>0</v>
      </c>
      <c r="OU219" s="247"/>
      <c r="OV219" s="247">
        <f>COUNTIF(outputs_checks[[#This Row],[Sonderboring]:[Seismikk]],0)</f>
        <v>3</v>
      </c>
      <c r="OW219" s="247">
        <f>COUNTIF(outputs_checks[[#This Row],[sp_Rigg]:[sy_Kontrollhull]],0)</f>
        <v>6</v>
      </c>
      <c r="OX219" s="247">
        <f>outputs_checks[[#This Row],[oppsum_sonder]]+outputs_checks[[#This Row],[oppsum_inj]]</f>
        <v>9</v>
      </c>
      <c r="OY219" s="185">
        <f>IF($D$11=1,1,IF($NS$413=0,0,INDEX(inputs_checks[manuell],MATCH($NM219,inputs_checks[position],0))))</f>
        <v>0</v>
      </c>
      <c r="OZ219" s="185">
        <f>IF($D$11=1,1,IF($NS$413=0,0,INDEX(inputs_checks[kartlegging],MATCH($NM219,inputs_checks[position],0))))</f>
        <v>0</v>
      </c>
      <c r="PA219" s="185">
        <f>IF($D$11=1,1,IF($NS$413=0,0,INDEX(inputs_checks[lt4m],MATCH($NM219,inputs_checks[position],0))))</f>
        <v>0</v>
      </c>
      <c r="PB219" s="185">
        <f>IF($D$11=1,1,IF($NS$413=0,0,INDEX(inputs_checks[gt4m],MATCH($NM219,inputs_checks[position],0))))</f>
        <v>0</v>
      </c>
      <c r="PC219" s="185">
        <f>IF($D$11=1,1,IF($NS$413=0,0,INDEX(inputs_checks[bånd],MATCH($NM219,inputs_checks[position],0))))</f>
        <v>0</v>
      </c>
      <c r="PD219" s="185">
        <f>IF($D$11=1,1,IF($NS$413=0,0,INDEX(inputs_checks[nett],MATCH($NM219,inputs_checks[position],0))))</f>
        <v>0</v>
      </c>
      <c r="PE219" s="185">
        <f>IF($D$11=1,1,IF($NS$413=0,0,INDEX(inputs_checks[festebolter],MATCH($NM219,inputs_checks[position],0))))</f>
        <v>0</v>
      </c>
      <c r="PF219" s="185">
        <f>IF($D$11=1,1,IF($NS$413=0,0,INDEX(inputs_checks[shotcrete],MATCH($NM219,inputs_checks[position],0))))</f>
        <v>0</v>
      </c>
      <c r="PG219" s="185">
        <f>IF($D$11=1,1,IF($NS$413=0,0,INDEX(inputs_checks[buer],MATCH($NM219,inputs_checks[position],0))))</f>
        <v>0</v>
      </c>
      <c r="PH219" s="247">
        <f>IF($D$11=1,1,IF($NS$413=0,0,INDEX(inputs_checks[sik123],MATCH(outputs_checks[[#This Row],[position_input]],inputs_checks[position],0))))</f>
        <v>0</v>
      </c>
      <c r="PI219" s="247">
        <f>IF($D$11=1,1,IF($NS$413=0,0,INDEX(inputs_checks[sik4],MATCH(outputs_checks[[#This Row],[position_input]],inputs_checks[position],0))))</f>
        <v>0</v>
      </c>
      <c r="PJ219" s="185">
        <f>COUNTIF(outputs_checks[[#This Row],[manuell]:[kartlegging]],0)</f>
        <v>2</v>
      </c>
      <c r="PK219" s="185">
        <f>COUNTIF(outputs_checks[[#This Row],[lt4m]:[gt4m]],0)</f>
        <v>2</v>
      </c>
      <c r="PL219" s="185">
        <f>COUNTIF(outputs_checks[[#This Row],[bånd]:[festebolter]],0)</f>
        <v>3</v>
      </c>
      <c r="PM219" s="185">
        <f>COUNTIF(outputs_checks[[#This Row],[shotcrete]],0)</f>
        <v>1</v>
      </c>
      <c r="PN219" s="185">
        <f>COUNTIF(outputs_checks[[#This Row],[buer]],0)</f>
        <v>1</v>
      </c>
      <c r="PO219" s="185">
        <f>COUNTIF(outputs_checks[[#This Row],[sik123]:[sik4]],0)</f>
        <v>2</v>
      </c>
      <c r="PP219" s="247">
        <f>SUM(outputs_checks[[#This Row],[oppsum_manuell]:[oppsum_sik]])</f>
        <v>11</v>
      </c>
      <c r="PQ219"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19" s="447">
        <f t="shared" si="292"/>
        <v>1</v>
      </c>
      <c r="PS219" s="447">
        <f t="shared" si="292"/>
        <v>1</v>
      </c>
      <c r="PT219" s="447">
        <f t="shared" si="292"/>
        <v>0</v>
      </c>
      <c r="PU219" s="206">
        <f>INDEX(tverr_connection_2[51],MATCH($BC$28,tverr_connection_2[config],0))</f>
        <v>0</v>
      </c>
      <c r="PV219"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19" s="265"/>
      <c r="PX219" s="265"/>
      <c r="RO219" s="183"/>
      <c r="RQ219" s="183"/>
      <c r="RT219" s="210"/>
      <c r="RV219" s="210"/>
      <c r="SR219" s="183"/>
      <c r="SS219" s="183"/>
      <c r="SW219" s="184"/>
      <c r="SX219" s="184"/>
      <c r="UK219" s="183"/>
      <c r="UL219" s="183"/>
      <c r="UM219" s="183"/>
      <c r="UN219" s="183"/>
      <c r="UO219" s="183"/>
      <c r="UQ219" s="184"/>
      <c r="UR219" s="1754"/>
      <c r="UX219" s="265"/>
      <c r="VD219" s="402"/>
      <c r="WG219" s="265"/>
      <c r="WH219" s="265"/>
      <c r="WI219" s="265"/>
      <c r="WJ219" s="265"/>
      <c r="WK219" s="265"/>
    </row>
    <row r="220" spans="54:609" x14ac:dyDescent="0.2">
      <c r="BH220" s="199" t="s">
        <v>310</v>
      </c>
      <c r="BI220" s="199" t="s">
        <v>311</v>
      </c>
      <c r="BJ220" s="199" t="s">
        <v>313</v>
      </c>
      <c r="BK220" s="199" t="s">
        <v>287</v>
      </c>
      <c r="BL220" s="199" t="s">
        <v>116</v>
      </c>
      <c r="NK220" s="439" t="str">
        <f>$NO$72</f>
        <v>Stuff 2-2</v>
      </c>
      <c r="NL220" s="451">
        <v>61</v>
      </c>
      <c r="NM220" s="451">
        <f t="shared" si="289"/>
        <v>0</v>
      </c>
      <c r="NN220" s="393">
        <f>IF($BC$38=1,INDEX(outputs_position[22],MATCH($BC$35,outputs_position[lopstuff],0)),0)</f>
        <v>0</v>
      </c>
      <c r="NO220" s="194">
        <f t="shared" si="290"/>
        <v>1</v>
      </c>
      <c r="NP220" s="185" t="e">
        <f>INDEX(inputs_checks[Forberedende arbeider],MATCH($NN220,inputs_checks[position],0))</f>
        <v>#N/A</v>
      </c>
      <c r="NQ220" s="185" t="e">
        <f>INDEX(inputs_checks[Forskjæring],MATCH($NN220,inputs_checks[position],0))</f>
        <v>#N/A</v>
      </c>
      <c r="NR220" s="185" t="e">
        <f>INDEX(inputs_checks[Andre arbeider],MATCH($NN220,inputs_checks[position],0))</f>
        <v>#N/A</v>
      </c>
      <c r="NS220" s="185" t="e">
        <f>INDEX(inputs_checks[oppsum_forbe],MATCH($NN220,inputs_checks[position],0))</f>
        <v>#N/A</v>
      </c>
      <c r="NT220" s="185">
        <f t="shared" si="291"/>
        <v>0</v>
      </c>
      <c r="NU220" s="185" t="e">
        <f>IF(AND(outputs_checks[[#This Row],[Teoretisk volum per hele løp]]=1,INDEX(inputs_checks[Normal salve volum],MATCH(outputs_checks[[#This Row],[position_input]],inputs_checks[position],0))=1),1,0)</f>
        <v>#N/A</v>
      </c>
      <c r="NV220" s="185" t="e">
        <f>IF(AND(outputs_checks[[#This Row],[Teoretisk volum per hele løp]]=1,INDEX(inputs_checks[Redusert salvelengde],MATCH(outputs_checks[[#This Row],[position_input]],inputs_checks[position],0))=1),1,0)</f>
        <v>#N/A</v>
      </c>
      <c r="NW220" s="185" t="e">
        <f>IF(AND(outputs_checks[[#This Row],[Teoretisk volum per hele løp]]=1,INDEX(inputs_checks[Todelt tverrsnitt],MATCH(outputs_checks[[#This Row],[position_input]],inputs_checks[position],0))=1),1,0)</f>
        <v>#N/A</v>
      </c>
      <c r="NX220" s="185" t="e">
        <f>IF(AND(outputs_checks[[#This Row],[Teoretisk volum per hele løp]]=1,INDEX(inputs_checks[Redusert salvelengde
og todelt tverrsnitt],MATCH(outputs_checks[[#This Row],[position_input]],inputs_checks[position],0))=1),1,0)</f>
        <v>#N/A</v>
      </c>
      <c r="NY220" s="247">
        <f>IF($NS$413=0,0,INDEX(inputs_checks[Nisjer],MATCH(outputs_checks[[#This Row],[position_input]],inputs_checks[position],0)))</f>
        <v>0</v>
      </c>
      <c r="NZ220" s="185">
        <f>IF($NS$413=0,0,INDEX(inputs_checks[Nisjer],MATCH($NM220,inputs_checks[position],0)))</f>
        <v>0</v>
      </c>
      <c r="OA220" s="185">
        <f>IF($NS$413=0,0,INDEX(inputs_checks[Snunisjer],MATCH($NM220,inputs_checks[position],0)))</f>
        <v>0</v>
      </c>
      <c r="OB220" s="185">
        <f>IF($NS$413=0,0,INDEX(inputs_checks[Tverrforbindelser],MATCH($NM220,inputs_checks[position],0)))</f>
        <v>0</v>
      </c>
      <c r="OC220" s="185">
        <f>IF($NS$413=0,0,INDEX(inputs_checks[Tekniske rom],MATCH($NM220,inputs_checks[position],0)))</f>
        <v>0</v>
      </c>
      <c r="OD220" s="185">
        <f>IF($NS$413=0,0,INDEX(inputs_checks[Siktutvidelse],MATCH($NM220,inputs_checks[position],0)))</f>
        <v>0</v>
      </c>
      <c r="OE220" s="185">
        <f>IF($NS$413=0,0,INDEX(inputs_checks[Utvidelse for tung sikring],MATCH($NM220,inputs_checks[position],0)))</f>
        <v>0</v>
      </c>
      <c r="OF220" s="185">
        <f>IF($NS$413=0,0,INDEX(inputs_checks[Pumpesump],MATCH($NM220,inputs_checks[position],0)))</f>
        <v>0</v>
      </c>
      <c r="OG220" s="185">
        <f>IF($NS$413=0,0,INDEX(inputs_checks[Annet],MATCH($NM220,inputs_checks[position],0)))</f>
        <v>0</v>
      </c>
      <c r="OH220" s="247">
        <f>COUNTIF(outputs_checks[[#This Row],[Teoretisk volum per hele løp]:[Redusert salvelengde
og todelt tverrsnitt]],0)</f>
        <v>1</v>
      </c>
      <c r="OI220" s="247">
        <f>COUNTIF(outputs_checks[[#This Row],[Nisjer]:[Pumpesump]],0)</f>
        <v>7</v>
      </c>
      <c r="OJ220" s="247">
        <f>outputs_checks[[#This Row],[oppsum_løp]]+outputs_checks[[#This Row],[oppsum_nisj]]</f>
        <v>8</v>
      </c>
      <c r="OK220" s="185">
        <f>IF($NS$413=0,0,INDEX(inputs_checks[Sonderboring],MATCH($NM220,inputs_checks[position],0)))</f>
        <v>0</v>
      </c>
      <c r="OL220" s="185">
        <f>IF($NS$413=0,0,INDEX(inputs_checks[Kjerneboring],MATCH($NM220,inputs_checks[position],0)))</f>
        <v>0</v>
      </c>
      <c r="OM220" s="185">
        <f>IF($NS$413=0,0,INDEX(inputs_checks[Seismikk],MATCH($NM220,inputs_checks[position],0)))</f>
        <v>0</v>
      </c>
      <c r="ON220" s="247">
        <f>IF($NS$413=0,0,INDEX(tickcheck_foran[sp_Rigg],MATCH(outputs_checks[[#This Row],[position_input]],tickcheck_foran[position],0)))</f>
        <v>0</v>
      </c>
      <c r="OO220" s="247">
        <f>IF($NS$413=0,0,INDEX(tickcheck_foran[sp_Boring],MATCH(outputs_checks[[#This Row],[position_input]],tickcheck_foran[position],0)))</f>
        <v>0</v>
      </c>
      <c r="OP220" s="247">
        <f>IF($NS$413=0,0,INDEX(tickcheck_foran[Sp_Injeksjon],MATCH(outputs_checks[[#This Row],[position_input]],tickcheck_foran[position],0)))</f>
        <v>0</v>
      </c>
      <c r="OQ220" s="247"/>
      <c r="OR220" s="247">
        <f>IF($NS$413=0,0,INDEX(tickcheck_foran[sy_Rigg],MATCH(outputs_checks[[#This Row],[position_input]],tickcheck_foran[position],0)))</f>
        <v>0</v>
      </c>
      <c r="OS220" s="247">
        <f>IF($NS$413=0,0,INDEX(tickcheck_foran[sy_Boring],MATCH(outputs_checks[[#This Row],[position_input]],tickcheck_foran[position],0)))</f>
        <v>0</v>
      </c>
      <c r="OT220" s="247">
        <f>IF($NS$413=0,0,INDEX(tickcheck_foran[sy_Injeksjon],MATCH(outputs_checks[[#This Row],[position_input]],tickcheck_foran[position],0)))</f>
        <v>0</v>
      </c>
      <c r="OU220" s="247"/>
      <c r="OV220" s="247">
        <f>COUNTIF(outputs_checks[[#This Row],[Sonderboring]:[Seismikk]],0)</f>
        <v>3</v>
      </c>
      <c r="OW220" s="247">
        <f>COUNTIF(outputs_checks[[#This Row],[sp_Rigg]:[sy_Kontrollhull]],0)</f>
        <v>6</v>
      </c>
      <c r="OX220" s="247">
        <f>outputs_checks[[#This Row],[oppsum_sonder]]+outputs_checks[[#This Row],[oppsum_inj]]</f>
        <v>9</v>
      </c>
      <c r="OY220" s="185">
        <f>IF($D$11=1,1,IF($NS$413=0,0,INDEX(inputs_checks[manuell],MATCH($NM220,inputs_checks[position],0))))</f>
        <v>0</v>
      </c>
      <c r="OZ220" s="185">
        <f>IF($D$11=1,1,IF($NS$413=0,0,INDEX(inputs_checks[kartlegging],MATCH($NM220,inputs_checks[position],0))))</f>
        <v>0</v>
      </c>
      <c r="PA220" s="185">
        <f>IF($D$11=1,1,IF($NS$413=0,0,INDEX(inputs_checks[lt4m],MATCH($NM220,inputs_checks[position],0))))</f>
        <v>0</v>
      </c>
      <c r="PB220" s="185">
        <f>IF($D$11=1,1,IF($NS$413=0,0,INDEX(inputs_checks[gt4m],MATCH($NM220,inputs_checks[position],0))))</f>
        <v>0</v>
      </c>
      <c r="PC220" s="185">
        <f>IF($D$11=1,1,IF($NS$413=0,0,INDEX(inputs_checks[bånd],MATCH($NM220,inputs_checks[position],0))))</f>
        <v>0</v>
      </c>
      <c r="PD220" s="185">
        <f>IF($D$11=1,1,IF($NS$413=0,0,INDEX(inputs_checks[nett],MATCH($NM220,inputs_checks[position],0))))</f>
        <v>0</v>
      </c>
      <c r="PE220" s="185">
        <f>IF($D$11=1,1,IF($NS$413=0,0,INDEX(inputs_checks[festebolter],MATCH($NM220,inputs_checks[position],0))))</f>
        <v>0</v>
      </c>
      <c r="PF220" s="185">
        <f>IF($D$11=1,1,IF($NS$413=0,0,INDEX(inputs_checks[shotcrete],MATCH($NM220,inputs_checks[position],0))))</f>
        <v>0</v>
      </c>
      <c r="PG220" s="185">
        <f>IF($D$11=1,1,IF($NS$413=0,0,INDEX(inputs_checks[buer],MATCH($NM220,inputs_checks[position],0))))</f>
        <v>0</v>
      </c>
      <c r="PH220" s="247">
        <f>IF($D$11=1,1,IF($NS$413=0,0,INDEX(inputs_checks[sik123],MATCH(outputs_checks[[#This Row],[position_input]],inputs_checks[position],0))))</f>
        <v>0</v>
      </c>
      <c r="PI220" s="247">
        <f>IF($D$11=1,1,IF($NS$413=0,0,INDEX(inputs_checks[sik4],MATCH(outputs_checks[[#This Row],[position_input]],inputs_checks[position],0))))</f>
        <v>0</v>
      </c>
      <c r="PJ220" s="185">
        <f>COUNTIF(outputs_checks[[#This Row],[manuell]:[kartlegging]],0)</f>
        <v>2</v>
      </c>
      <c r="PK220" s="185">
        <f>COUNTIF(outputs_checks[[#This Row],[lt4m]:[gt4m]],0)</f>
        <v>2</v>
      </c>
      <c r="PL220" s="185">
        <f>COUNTIF(outputs_checks[[#This Row],[bånd]:[festebolter]],0)</f>
        <v>3</v>
      </c>
      <c r="PM220" s="185">
        <f>COUNTIF(outputs_checks[[#This Row],[shotcrete]],0)</f>
        <v>1</v>
      </c>
      <c r="PN220" s="185">
        <f>COUNTIF(outputs_checks[[#This Row],[buer]],0)</f>
        <v>1</v>
      </c>
      <c r="PO220" s="185">
        <f>COUNTIF(outputs_checks[[#This Row],[sik123]:[sik4]],0)</f>
        <v>2</v>
      </c>
      <c r="PP220" s="247">
        <f>SUM(outputs_checks[[#This Row],[oppsum_manuell]:[oppsum_sik]])</f>
        <v>11</v>
      </c>
      <c r="PQ220"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20" s="447">
        <f t="shared" si="292"/>
        <v>1</v>
      </c>
      <c r="PS220" s="447">
        <f t="shared" si="292"/>
        <v>1</v>
      </c>
      <c r="PT220" s="447">
        <f t="shared" si="292"/>
        <v>0</v>
      </c>
      <c r="PU220" s="206">
        <f>INDEX(tverr_connection_2[61],MATCH($BC$28,tverr_connection_2[config],0))</f>
        <v>0</v>
      </c>
      <c r="PV220"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20" s="265"/>
      <c r="PX220" s="265"/>
      <c r="RO220" s="183"/>
      <c r="RQ220" s="183"/>
      <c r="RT220" s="210"/>
      <c r="RV220" s="210"/>
      <c r="SR220" s="183"/>
      <c r="SS220" s="183"/>
      <c r="SW220" s="184"/>
      <c r="SX220" s="184"/>
      <c r="UK220" s="183"/>
      <c r="UL220" s="183"/>
      <c r="UM220" s="183"/>
      <c r="UN220" s="183"/>
      <c r="UO220" s="183"/>
      <c r="UQ220" s="184"/>
      <c r="UR220" s="1754"/>
      <c r="UX220" s="265"/>
      <c r="VD220" s="402"/>
      <c r="WG220" s="265"/>
      <c r="WH220" s="265"/>
      <c r="WI220" s="265"/>
      <c r="WJ220" s="265"/>
      <c r="WK220" s="265"/>
    </row>
    <row r="221" spans="54:609" x14ac:dyDescent="0.2">
      <c r="BG221" s="193" t="s">
        <v>2391</v>
      </c>
      <c r="BH221" s="5197" t="str">
        <f>_Kapasitet!$U$38</f>
        <v>!</v>
      </c>
      <c r="BI221" s="5197" t="str">
        <f>_Kapasitet!$U$40</f>
        <v>!</v>
      </c>
      <c r="BJ221" s="5197" t="str">
        <f>_Kapasitet!$U$42</f>
        <v>!</v>
      </c>
      <c r="BK221" s="5197" t="str">
        <f>_Kapasitet!$U$32</f>
        <v>!</v>
      </c>
      <c r="BL221" s="5197" t="str">
        <f>_Kapasitet!$U$36</f>
        <v>!</v>
      </c>
      <c r="NK221" s="439" t="str">
        <f>$NO$73</f>
        <v>Stuff 2-3</v>
      </c>
      <c r="NL221" s="451">
        <v>71</v>
      </c>
      <c r="NM221" s="451">
        <f t="shared" si="289"/>
        <v>0</v>
      </c>
      <c r="NN221" s="393">
        <f>IF($BC$38=1,INDEX(outputs_position[23],MATCH($BC$35,outputs_position[lopstuff],0)),0)</f>
        <v>0</v>
      </c>
      <c r="NO221" s="194">
        <f t="shared" si="290"/>
        <v>1</v>
      </c>
      <c r="NP221" s="185" t="e">
        <f>INDEX(inputs_checks[Forberedende arbeider],MATCH($NN221,inputs_checks[position],0))</f>
        <v>#N/A</v>
      </c>
      <c r="NQ221" s="185" t="e">
        <f>INDEX(inputs_checks[Forskjæring],MATCH($NN221,inputs_checks[position],0))</f>
        <v>#N/A</v>
      </c>
      <c r="NR221" s="185" t="e">
        <f>INDEX(inputs_checks[Andre arbeider],MATCH($NN221,inputs_checks[position],0))</f>
        <v>#N/A</v>
      </c>
      <c r="NS221" s="185" t="e">
        <f>INDEX(inputs_checks[oppsum_forbe],MATCH($NN221,inputs_checks[position],0))</f>
        <v>#N/A</v>
      </c>
      <c r="NT221" s="185">
        <f t="shared" si="291"/>
        <v>0</v>
      </c>
      <c r="NU221" s="185" t="e">
        <f>IF(AND(outputs_checks[[#This Row],[Teoretisk volum per hele løp]]=1,INDEX(inputs_checks[Normal salve volum],MATCH(outputs_checks[[#This Row],[position_input]],inputs_checks[position],0))=1),1,0)</f>
        <v>#N/A</v>
      </c>
      <c r="NV221" s="185" t="e">
        <f>IF(AND(outputs_checks[[#This Row],[Teoretisk volum per hele løp]]=1,INDEX(inputs_checks[Redusert salvelengde],MATCH(outputs_checks[[#This Row],[position_input]],inputs_checks[position],0))=1),1,0)</f>
        <v>#N/A</v>
      </c>
      <c r="NW221" s="185" t="e">
        <f>IF(AND(outputs_checks[[#This Row],[Teoretisk volum per hele løp]]=1,INDEX(inputs_checks[Todelt tverrsnitt],MATCH(outputs_checks[[#This Row],[position_input]],inputs_checks[position],0))=1),1,0)</f>
        <v>#N/A</v>
      </c>
      <c r="NX221" s="185" t="e">
        <f>IF(AND(outputs_checks[[#This Row],[Teoretisk volum per hele løp]]=1,INDEX(inputs_checks[Redusert salvelengde
og todelt tverrsnitt],MATCH(outputs_checks[[#This Row],[position_input]],inputs_checks[position],0))=1),1,0)</f>
        <v>#N/A</v>
      </c>
      <c r="NY221" s="247">
        <f>IF($NS$413=0,0,INDEX(inputs_checks[Nisjer],MATCH(outputs_checks[[#This Row],[position_input]],inputs_checks[position],0)))</f>
        <v>0</v>
      </c>
      <c r="NZ221" s="185">
        <f>IF($NS$413=0,0,INDEX(inputs_checks[Nisjer],MATCH($NM221,inputs_checks[position],0)))</f>
        <v>0</v>
      </c>
      <c r="OA221" s="185">
        <f>IF($NS$413=0,0,INDEX(inputs_checks[Snunisjer],MATCH($NM221,inputs_checks[position],0)))</f>
        <v>0</v>
      </c>
      <c r="OB221" s="185">
        <f>IF($NS$413=0,0,INDEX(inputs_checks[Tverrforbindelser],MATCH($NM221,inputs_checks[position],0)))</f>
        <v>0</v>
      </c>
      <c r="OC221" s="185">
        <f>IF($NS$413=0,0,INDEX(inputs_checks[Tekniske rom],MATCH($NM221,inputs_checks[position],0)))</f>
        <v>0</v>
      </c>
      <c r="OD221" s="185">
        <f>IF($NS$413=0,0,INDEX(inputs_checks[Siktutvidelse],MATCH($NM221,inputs_checks[position],0)))</f>
        <v>0</v>
      </c>
      <c r="OE221" s="185">
        <f>IF($NS$413=0,0,INDEX(inputs_checks[Utvidelse for tung sikring],MATCH($NM221,inputs_checks[position],0)))</f>
        <v>0</v>
      </c>
      <c r="OF221" s="185">
        <f>IF($NS$413=0,0,INDEX(inputs_checks[Pumpesump],MATCH($NM221,inputs_checks[position],0)))</f>
        <v>0</v>
      </c>
      <c r="OG221" s="185">
        <f>IF($NS$413=0,0,INDEX(inputs_checks[Annet],MATCH($NM221,inputs_checks[position],0)))</f>
        <v>0</v>
      </c>
      <c r="OH221" s="247">
        <f>COUNTIF(outputs_checks[[#This Row],[Teoretisk volum per hele løp]:[Redusert salvelengde
og todelt tverrsnitt]],0)</f>
        <v>1</v>
      </c>
      <c r="OI221" s="247">
        <f>COUNTIF(outputs_checks[[#This Row],[Nisjer]:[Pumpesump]],0)</f>
        <v>7</v>
      </c>
      <c r="OJ221" s="247">
        <f>outputs_checks[[#This Row],[oppsum_løp]]+outputs_checks[[#This Row],[oppsum_nisj]]</f>
        <v>8</v>
      </c>
      <c r="OK221" s="185">
        <f>IF($NS$413=0,0,INDEX(inputs_checks[Sonderboring],MATCH($NM221,inputs_checks[position],0)))</f>
        <v>0</v>
      </c>
      <c r="OL221" s="185">
        <f>IF($NS$413=0,0,INDEX(inputs_checks[Kjerneboring],MATCH($NM221,inputs_checks[position],0)))</f>
        <v>0</v>
      </c>
      <c r="OM221" s="185">
        <f>IF($NS$413=0,0,INDEX(inputs_checks[Seismikk],MATCH($NM221,inputs_checks[position],0)))</f>
        <v>0</v>
      </c>
      <c r="ON221" s="247">
        <f>IF($NS$413=0,0,INDEX(tickcheck_foran[sp_Rigg],MATCH(outputs_checks[[#This Row],[position_input]],tickcheck_foran[position],0)))</f>
        <v>0</v>
      </c>
      <c r="OO221" s="247">
        <f>IF($NS$413=0,0,INDEX(tickcheck_foran[sp_Boring],MATCH(outputs_checks[[#This Row],[position_input]],tickcheck_foran[position],0)))</f>
        <v>0</v>
      </c>
      <c r="OP221" s="247">
        <f>IF($NS$413=0,0,INDEX(tickcheck_foran[Sp_Injeksjon],MATCH(outputs_checks[[#This Row],[position_input]],tickcheck_foran[position],0)))</f>
        <v>0</v>
      </c>
      <c r="OQ221" s="247"/>
      <c r="OR221" s="247">
        <f>IF($NS$413=0,0,INDEX(tickcheck_foran[sy_Rigg],MATCH(outputs_checks[[#This Row],[position_input]],tickcheck_foran[position],0)))</f>
        <v>0</v>
      </c>
      <c r="OS221" s="247">
        <f>IF($NS$413=0,0,INDEX(tickcheck_foran[sy_Boring],MATCH(outputs_checks[[#This Row],[position_input]],tickcheck_foran[position],0)))</f>
        <v>0</v>
      </c>
      <c r="OT221" s="247">
        <f>IF($NS$413=0,0,INDEX(tickcheck_foran[sy_Injeksjon],MATCH(outputs_checks[[#This Row],[position_input]],tickcheck_foran[position],0)))</f>
        <v>0</v>
      </c>
      <c r="OU221" s="247"/>
      <c r="OV221" s="247">
        <f>COUNTIF(outputs_checks[[#This Row],[Sonderboring]:[Seismikk]],0)</f>
        <v>3</v>
      </c>
      <c r="OW221" s="247">
        <f>COUNTIF(outputs_checks[[#This Row],[sp_Rigg]:[sy_Kontrollhull]],0)</f>
        <v>6</v>
      </c>
      <c r="OX221" s="247">
        <f>outputs_checks[[#This Row],[oppsum_sonder]]+outputs_checks[[#This Row],[oppsum_inj]]</f>
        <v>9</v>
      </c>
      <c r="OY221" s="185">
        <f>IF($D$11=1,1,IF($NS$413=0,0,INDEX(inputs_checks[manuell],MATCH($NM221,inputs_checks[position],0))))</f>
        <v>0</v>
      </c>
      <c r="OZ221" s="185">
        <f>IF($D$11=1,1,IF($NS$413=0,0,INDEX(inputs_checks[kartlegging],MATCH($NM221,inputs_checks[position],0))))</f>
        <v>0</v>
      </c>
      <c r="PA221" s="185">
        <f>IF($D$11=1,1,IF($NS$413=0,0,INDEX(inputs_checks[lt4m],MATCH($NM221,inputs_checks[position],0))))</f>
        <v>0</v>
      </c>
      <c r="PB221" s="185">
        <f>IF($D$11=1,1,IF($NS$413=0,0,INDEX(inputs_checks[gt4m],MATCH($NM221,inputs_checks[position],0))))</f>
        <v>0</v>
      </c>
      <c r="PC221" s="185">
        <f>IF($D$11=1,1,IF($NS$413=0,0,INDEX(inputs_checks[bånd],MATCH($NM221,inputs_checks[position],0))))</f>
        <v>0</v>
      </c>
      <c r="PD221" s="185">
        <f>IF($D$11=1,1,IF($NS$413=0,0,INDEX(inputs_checks[nett],MATCH($NM221,inputs_checks[position],0))))</f>
        <v>0</v>
      </c>
      <c r="PE221" s="185">
        <f>IF($D$11=1,1,IF($NS$413=0,0,INDEX(inputs_checks[festebolter],MATCH($NM221,inputs_checks[position],0))))</f>
        <v>0</v>
      </c>
      <c r="PF221" s="185">
        <f>IF($D$11=1,1,IF($NS$413=0,0,INDEX(inputs_checks[shotcrete],MATCH($NM221,inputs_checks[position],0))))</f>
        <v>0</v>
      </c>
      <c r="PG221" s="185">
        <f>IF($D$11=1,1,IF($NS$413=0,0,INDEX(inputs_checks[buer],MATCH($NM221,inputs_checks[position],0))))</f>
        <v>0</v>
      </c>
      <c r="PH221" s="247">
        <f>IF($D$11=1,1,IF($NS$413=0,0,INDEX(inputs_checks[sik123],MATCH(outputs_checks[[#This Row],[position_input]],inputs_checks[position],0))))</f>
        <v>0</v>
      </c>
      <c r="PI221" s="247">
        <f>IF($D$11=1,1,IF($NS$413=0,0,INDEX(inputs_checks[sik4],MATCH(outputs_checks[[#This Row],[position_input]],inputs_checks[position],0))))</f>
        <v>0</v>
      </c>
      <c r="PJ221" s="185">
        <f>COUNTIF(outputs_checks[[#This Row],[manuell]:[kartlegging]],0)</f>
        <v>2</v>
      </c>
      <c r="PK221" s="185">
        <f>COUNTIF(outputs_checks[[#This Row],[lt4m]:[gt4m]],0)</f>
        <v>2</v>
      </c>
      <c r="PL221" s="185">
        <f>COUNTIF(outputs_checks[[#This Row],[bånd]:[festebolter]],0)</f>
        <v>3</v>
      </c>
      <c r="PM221" s="185">
        <f>COUNTIF(outputs_checks[[#This Row],[shotcrete]],0)</f>
        <v>1</v>
      </c>
      <c r="PN221" s="185">
        <f>COUNTIF(outputs_checks[[#This Row],[buer]],0)</f>
        <v>1</v>
      </c>
      <c r="PO221" s="185">
        <f>COUNTIF(outputs_checks[[#This Row],[sik123]:[sik4]],0)</f>
        <v>2</v>
      </c>
      <c r="PP221" s="247">
        <f>SUM(outputs_checks[[#This Row],[oppsum_manuell]:[oppsum_sik]])</f>
        <v>11</v>
      </c>
      <c r="PQ221"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21" s="447">
        <f t="shared" si="292"/>
        <v>1</v>
      </c>
      <c r="PS221" s="447">
        <f t="shared" si="292"/>
        <v>1</v>
      </c>
      <c r="PT221" s="447">
        <f t="shared" si="292"/>
        <v>0</v>
      </c>
      <c r="PU221" s="206">
        <f>INDEX(tverr_connection_2[71],MATCH($BC$28,tverr_connection_2[config],0))</f>
        <v>0</v>
      </c>
      <c r="PV221"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21" s="265"/>
      <c r="PX221" s="265"/>
      <c r="RO221" s="183"/>
      <c r="RQ221" s="183"/>
      <c r="RT221" s="210"/>
      <c r="RV221" s="210"/>
      <c r="SR221" s="183"/>
      <c r="SS221" s="183"/>
      <c r="SW221" s="184"/>
      <c r="SX221" s="184"/>
      <c r="UK221" s="183"/>
      <c r="UL221" s="183"/>
      <c r="UM221" s="183"/>
      <c r="UN221" s="183"/>
      <c r="UO221" s="183"/>
      <c r="UQ221" s="184"/>
      <c r="UR221" s="1754"/>
      <c r="UX221" s="265"/>
      <c r="VD221" s="402"/>
      <c r="WG221" s="265"/>
      <c r="WH221" s="265"/>
      <c r="WI221" s="265"/>
      <c r="WJ221" s="265"/>
      <c r="WK221" s="265"/>
    </row>
    <row r="222" spans="54:609" x14ac:dyDescent="0.2">
      <c r="BG222" s="193" t="s">
        <v>2392</v>
      </c>
      <c r="BH222" s="5197" t="str">
        <f>_Kapasitet!$U$53</f>
        <v>!</v>
      </c>
      <c r="BI222" s="5197" t="str">
        <f>_Kapasitet!$U$55</f>
        <v>!</v>
      </c>
      <c r="BJ222" s="5197" t="str">
        <f>_Kapasitet!$U$57</f>
        <v>!</v>
      </c>
      <c r="BK222" s="5197" t="str">
        <f>_Kapasitet!$U$47</f>
        <v>!</v>
      </c>
      <c r="BL222" s="5197" t="str">
        <f>_Kapasitet!$U$51</f>
        <v>!</v>
      </c>
      <c r="NK222" s="439" t="str">
        <f>$NO$74</f>
        <v>Stuff 2-4</v>
      </c>
      <c r="NL222" s="451">
        <v>81</v>
      </c>
      <c r="NM222" s="451">
        <f t="shared" si="289"/>
        <v>0</v>
      </c>
      <c r="NN222" s="393">
        <f>IF($BC$38=1,INDEX(outputs_position[24],MATCH($BC$35,outputs_position[lopstuff],0)),0)</f>
        <v>0</v>
      </c>
      <c r="NO222" s="194">
        <f t="shared" si="290"/>
        <v>1</v>
      </c>
      <c r="NP222" s="185" t="e">
        <f>INDEX(inputs_checks[Forberedende arbeider],MATCH($NN222,inputs_checks[position],0))</f>
        <v>#N/A</v>
      </c>
      <c r="NQ222" s="185" t="e">
        <f>INDEX(inputs_checks[Forskjæring],MATCH($NN222,inputs_checks[position],0))</f>
        <v>#N/A</v>
      </c>
      <c r="NR222" s="185" t="e">
        <f>INDEX(inputs_checks[Andre arbeider],MATCH($NN222,inputs_checks[position],0))</f>
        <v>#N/A</v>
      </c>
      <c r="NS222" s="185" t="e">
        <f>INDEX(inputs_checks[oppsum_forbe],MATCH($NN222,inputs_checks[position],0))</f>
        <v>#N/A</v>
      </c>
      <c r="NT222" s="185">
        <f t="shared" si="291"/>
        <v>0</v>
      </c>
      <c r="NU222" s="185" t="e">
        <f>IF(AND(outputs_checks[[#This Row],[Teoretisk volum per hele løp]]=1,INDEX(inputs_checks[Normal salve volum],MATCH(outputs_checks[[#This Row],[position_input]],inputs_checks[position],0))=1),1,0)</f>
        <v>#N/A</v>
      </c>
      <c r="NV222" s="185" t="e">
        <f>IF(AND(outputs_checks[[#This Row],[Teoretisk volum per hele løp]]=1,INDEX(inputs_checks[Redusert salvelengde],MATCH(outputs_checks[[#This Row],[position_input]],inputs_checks[position],0))=1),1,0)</f>
        <v>#N/A</v>
      </c>
      <c r="NW222" s="185" t="e">
        <f>IF(AND(outputs_checks[[#This Row],[Teoretisk volum per hele løp]]=1,INDEX(inputs_checks[Todelt tverrsnitt],MATCH(outputs_checks[[#This Row],[position_input]],inputs_checks[position],0))=1),1,0)</f>
        <v>#N/A</v>
      </c>
      <c r="NX222" s="185" t="e">
        <f>IF(AND(outputs_checks[[#This Row],[Teoretisk volum per hele løp]]=1,INDEX(inputs_checks[Redusert salvelengde
og todelt tverrsnitt],MATCH(outputs_checks[[#This Row],[position_input]],inputs_checks[position],0))=1),1,0)</f>
        <v>#N/A</v>
      </c>
      <c r="NY222" s="247">
        <f>IF($NS$413=0,0,INDEX(inputs_checks[Nisjer],MATCH(outputs_checks[[#This Row],[position_input]],inputs_checks[position],0)))</f>
        <v>0</v>
      </c>
      <c r="NZ222" s="185">
        <f>IF($NS$413=0,0,INDEX(inputs_checks[Nisjer],MATCH($NM222,inputs_checks[position],0)))</f>
        <v>0</v>
      </c>
      <c r="OA222" s="185">
        <f>IF($NS$413=0,0,INDEX(inputs_checks[Snunisjer],MATCH($NM222,inputs_checks[position],0)))</f>
        <v>0</v>
      </c>
      <c r="OB222" s="185">
        <f>IF($NS$413=0,0,INDEX(inputs_checks[Tverrforbindelser],MATCH($NM222,inputs_checks[position],0)))</f>
        <v>0</v>
      </c>
      <c r="OC222" s="185">
        <f>IF($NS$413=0,0,INDEX(inputs_checks[Tekniske rom],MATCH($NM222,inputs_checks[position],0)))</f>
        <v>0</v>
      </c>
      <c r="OD222" s="185">
        <f>IF($NS$413=0,0,INDEX(inputs_checks[Siktutvidelse],MATCH($NM222,inputs_checks[position],0)))</f>
        <v>0</v>
      </c>
      <c r="OE222" s="185">
        <f>IF($NS$413=0,0,INDEX(inputs_checks[Utvidelse for tung sikring],MATCH($NM222,inputs_checks[position],0)))</f>
        <v>0</v>
      </c>
      <c r="OF222" s="185">
        <f>IF($NS$413=0,0,INDEX(inputs_checks[Pumpesump],MATCH($NM222,inputs_checks[position],0)))</f>
        <v>0</v>
      </c>
      <c r="OG222" s="185">
        <f>IF($NS$413=0,0,INDEX(inputs_checks[Annet],MATCH($NM222,inputs_checks[position],0)))</f>
        <v>0</v>
      </c>
      <c r="OH222" s="247">
        <f>COUNTIF(outputs_checks[[#This Row],[Teoretisk volum per hele løp]:[Redusert salvelengde
og todelt tverrsnitt]],0)</f>
        <v>1</v>
      </c>
      <c r="OI222" s="247">
        <f>COUNTIF(outputs_checks[[#This Row],[Nisjer]:[Pumpesump]],0)</f>
        <v>7</v>
      </c>
      <c r="OJ222" s="247">
        <f>outputs_checks[[#This Row],[oppsum_løp]]+outputs_checks[[#This Row],[oppsum_nisj]]</f>
        <v>8</v>
      </c>
      <c r="OK222" s="185">
        <f>IF($NS$413=0,0,INDEX(inputs_checks[Sonderboring],MATCH($NM222,inputs_checks[position],0)))</f>
        <v>0</v>
      </c>
      <c r="OL222" s="185">
        <f>IF($NS$413=0,0,INDEX(inputs_checks[Kjerneboring],MATCH($NM222,inputs_checks[position],0)))</f>
        <v>0</v>
      </c>
      <c r="OM222" s="185">
        <f>IF($NS$413=0,0,INDEX(inputs_checks[Seismikk],MATCH($NM222,inputs_checks[position],0)))</f>
        <v>0</v>
      </c>
      <c r="ON222" s="247">
        <f>IF($NS$413=0,0,INDEX(tickcheck_foran[sp_Rigg],MATCH(outputs_checks[[#This Row],[position_input]],tickcheck_foran[position],0)))</f>
        <v>0</v>
      </c>
      <c r="OO222" s="247">
        <f>IF($NS$413=0,0,INDEX(tickcheck_foran[sp_Boring],MATCH(outputs_checks[[#This Row],[position_input]],tickcheck_foran[position],0)))</f>
        <v>0</v>
      </c>
      <c r="OP222" s="247">
        <f>IF($NS$413=0,0,INDEX(tickcheck_foran[Sp_Injeksjon],MATCH(outputs_checks[[#This Row],[position_input]],tickcheck_foran[position],0)))</f>
        <v>0</v>
      </c>
      <c r="OQ222" s="247"/>
      <c r="OR222" s="247">
        <f>IF($NS$413=0,0,INDEX(tickcheck_foran[sy_Rigg],MATCH(outputs_checks[[#This Row],[position_input]],tickcheck_foran[position],0)))</f>
        <v>0</v>
      </c>
      <c r="OS222" s="247">
        <f>IF($NS$413=0,0,INDEX(tickcheck_foran[sy_Boring],MATCH(outputs_checks[[#This Row],[position_input]],tickcheck_foran[position],0)))</f>
        <v>0</v>
      </c>
      <c r="OT222" s="247">
        <f>IF($NS$413=0,0,INDEX(tickcheck_foran[sy_Injeksjon],MATCH(outputs_checks[[#This Row],[position_input]],tickcheck_foran[position],0)))</f>
        <v>0</v>
      </c>
      <c r="OU222" s="247"/>
      <c r="OV222" s="247">
        <f>COUNTIF(outputs_checks[[#This Row],[Sonderboring]:[Seismikk]],0)</f>
        <v>3</v>
      </c>
      <c r="OW222" s="247">
        <f>COUNTIF(outputs_checks[[#This Row],[sp_Rigg]:[sy_Kontrollhull]],0)</f>
        <v>6</v>
      </c>
      <c r="OX222" s="247">
        <f>outputs_checks[[#This Row],[oppsum_sonder]]+outputs_checks[[#This Row],[oppsum_inj]]</f>
        <v>9</v>
      </c>
      <c r="OY222" s="185">
        <f>IF($D$11=1,1,IF($NS$413=0,0,INDEX(inputs_checks[manuell],MATCH($NM222,inputs_checks[position],0))))</f>
        <v>0</v>
      </c>
      <c r="OZ222" s="185">
        <f>IF($D$11=1,1,IF($NS$413=0,0,INDEX(inputs_checks[kartlegging],MATCH($NM222,inputs_checks[position],0))))</f>
        <v>0</v>
      </c>
      <c r="PA222" s="185">
        <f>IF($D$11=1,1,IF($NS$413=0,0,INDEX(inputs_checks[lt4m],MATCH($NM222,inputs_checks[position],0))))</f>
        <v>0</v>
      </c>
      <c r="PB222" s="185">
        <f>IF($D$11=1,1,IF($NS$413=0,0,INDEX(inputs_checks[gt4m],MATCH($NM222,inputs_checks[position],0))))</f>
        <v>0</v>
      </c>
      <c r="PC222" s="185">
        <f>IF($D$11=1,1,IF($NS$413=0,0,INDEX(inputs_checks[bånd],MATCH($NM222,inputs_checks[position],0))))</f>
        <v>0</v>
      </c>
      <c r="PD222" s="185">
        <f>IF($D$11=1,1,IF($NS$413=0,0,INDEX(inputs_checks[nett],MATCH($NM222,inputs_checks[position],0))))</f>
        <v>0</v>
      </c>
      <c r="PE222" s="185">
        <f>IF($D$11=1,1,IF($NS$413=0,0,INDEX(inputs_checks[festebolter],MATCH($NM222,inputs_checks[position],0))))</f>
        <v>0</v>
      </c>
      <c r="PF222" s="185">
        <f>IF($D$11=1,1,IF($NS$413=0,0,INDEX(inputs_checks[shotcrete],MATCH($NM222,inputs_checks[position],0))))</f>
        <v>0</v>
      </c>
      <c r="PG222" s="185">
        <f>IF($D$11=1,1,IF($NS$413=0,0,INDEX(inputs_checks[buer],MATCH($NM222,inputs_checks[position],0))))</f>
        <v>0</v>
      </c>
      <c r="PH222" s="247">
        <f>IF($D$11=1,1,IF($NS$413=0,0,INDEX(inputs_checks[sik123],MATCH(outputs_checks[[#This Row],[position_input]],inputs_checks[position],0))))</f>
        <v>0</v>
      </c>
      <c r="PI222" s="247">
        <f>IF($D$11=1,1,IF($NS$413=0,0,INDEX(inputs_checks[sik4],MATCH(outputs_checks[[#This Row],[position_input]],inputs_checks[position],0))))</f>
        <v>0</v>
      </c>
      <c r="PJ222" s="185">
        <f>COUNTIF(outputs_checks[[#This Row],[manuell]:[kartlegging]],0)</f>
        <v>2</v>
      </c>
      <c r="PK222" s="185">
        <f>COUNTIF(outputs_checks[[#This Row],[lt4m]:[gt4m]],0)</f>
        <v>2</v>
      </c>
      <c r="PL222" s="185">
        <f>COUNTIF(outputs_checks[[#This Row],[bånd]:[festebolter]],0)</f>
        <v>3</v>
      </c>
      <c r="PM222" s="185">
        <f>COUNTIF(outputs_checks[[#This Row],[shotcrete]],0)</f>
        <v>1</v>
      </c>
      <c r="PN222" s="185">
        <f>COUNTIF(outputs_checks[[#This Row],[buer]],0)</f>
        <v>1</v>
      </c>
      <c r="PO222" s="185">
        <f>COUNTIF(outputs_checks[[#This Row],[sik123]:[sik4]],0)</f>
        <v>2</v>
      </c>
      <c r="PP222" s="247">
        <f>SUM(outputs_checks[[#This Row],[oppsum_manuell]:[oppsum_sik]])</f>
        <v>11</v>
      </c>
      <c r="PQ222"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28</v>
      </c>
      <c r="PR222" s="447">
        <f t="shared" si="292"/>
        <v>1</v>
      </c>
      <c r="PS222" s="447">
        <f t="shared" si="292"/>
        <v>1</v>
      </c>
      <c r="PT222" s="447">
        <f t="shared" si="292"/>
        <v>0</v>
      </c>
      <c r="PU222" s="206">
        <f>INDEX(tverr_connection_2[81],MATCH($BC$28,tverr_connection_2[config],0))</f>
        <v>0</v>
      </c>
      <c r="PV222"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22" s="265"/>
      <c r="PX222" s="265"/>
      <c r="RO222" s="183"/>
      <c r="RQ222" s="183"/>
      <c r="RT222" s="210"/>
      <c r="RV222" s="210"/>
      <c r="SR222" s="183"/>
      <c r="SS222" s="183"/>
      <c r="SW222" s="184"/>
      <c r="SX222" s="184"/>
      <c r="UK222" s="183"/>
      <c r="UL222" s="183"/>
      <c r="UM222" s="183"/>
      <c r="UN222" s="183"/>
      <c r="UO222" s="183"/>
      <c r="UQ222" s="184"/>
      <c r="UR222" s="1754"/>
      <c r="UX222" s="265"/>
      <c r="VD222" s="402"/>
      <c r="WG222" s="265"/>
      <c r="WH222" s="265"/>
      <c r="WI222" s="265"/>
      <c r="WJ222" s="265"/>
      <c r="WK222" s="265"/>
    </row>
    <row r="223" spans="54:609" ht="20.25" thickBot="1" x14ac:dyDescent="0.35">
      <c r="BM223" s="184"/>
      <c r="NK223" s="2529" t="str">
        <f>$QW$135</f>
        <v>Tverrslag</v>
      </c>
      <c r="NL223" s="1944">
        <v>91</v>
      </c>
      <c r="NM223" s="1944">
        <f>IF(AND($BC$38=1,BC36=1),2,0)</f>
        <v>0</v>
      </c>
      <c r="NN223" s="1945">
        <f>IF($BC$38=1,INDEX(outputs_position[Tverrslag],MATCH($BC$35,outputs_position[lopstuff],0)),0)</f>
        <v>0</v>
      </c>
      <c r="NO223" s="194">
        <f t="shared" si="290"/>
        <v>1</v>
      </c>
      <c r="NP223" s="1946" t="e">
        <f>INDEX(inputs_checks[Forberedende arbeider],MATCH($NN223,inputs_checks[position],0))</f>
        <v>#N/A</v>
      </c>
      <c r="NQ223" s="1946" t="e">
        <f>INDEX(inputs_checks[Forskjæring],MATCH($NN223,inputs_checks[position],0))</f>
        <v>#N/A</v>
      </c>
      <c r="NR223" s="1946" t="e">
        <f>INDEX(inputs_checks[Andre arbeider],MATCH($NN223,inputs_checks[position],0))</f>
        <v>#N/A</v>
      </c>
      <c r="NS223" s="1946" t="e">
        <f>INDEX(inputs_checks[oppsum_forbe],MATCH($NN223,inputs_checks[position],0))</f>
        <v>#N/A</v>
      </c>
      <c r="NT223" s="1946">
        <f>NR433</f>
        <v>0</v>
      </c>
      <c r="NU223" s="1946" t="e">
        <f>IF(AND(outputs_checks[[#This Row],[Teoretisk volum per hele løp]]=1,INDEX(inputs_checks[Normal salve volum],MATCH(outputs_checks[[#This Row],[position_input]],inputs_checks[position],0))=1),1,0)</f>
        <v>#N/A</v>
      </c>
      <c r="NV223" s="1946" t="e">
        <f>IF(AND(outputs_checks[[#This Row],[Teoretisk volum per hele løp]]=1,INDEX(inputs_checks[Redusert salvelengde],MATCH(outputs_checks[[#This Row],[position_input]],inputs_checks[position],0))=1),1,0)</f>
        <v>#N/A</v>
      </c>
      <c r="NW223" s="1946" t="e">
        <f>IF(AND(outputs_checks[[#This Row],[Teoretisk volum per hele løp]]=1,INDEX(inputs_checks[Todelt tverrsnitt],MATCH(outputs_checks[[#This Row],[position_input]],inputs_checks[position],0))=1),1,0)</f>
        <v>#N/A</v>
      </c>
      <c r="NX223" s="1946" t="e">
        <f>IF(AND(outputs_checks[[#This Row],[Teoretisk volum per hele løp]]=1,INDEX(inputs_checks[Redusert salvelengde
og todelt tverrsnitt],MATCH(outputs_checks[[#This Row],[position_input]],inputs_checks[position],0))=1),1,0)</f>
        <v>#N/A</v>
      </c>
      <c r="NY223" s="1946">
        <f>IF($NS$413=0,0,INDEX(inputs_checks[Nisjer],MATCH(outputs_checks[[#This Row],[position_input]],inputs_checks[position],0)))</f>
        <v>0</v>
      </c>
      <c r="NZ223" s="1946" t="e">
        <f>INDEX(inputs_checks[Nisjer],MATCH($NM223,inputs_checks[position],0))</f>
        <v>#N/A</v>
      </c>
      <c r="OA223" s="1946" t="e">
        <f>INDEX(inputs_checks[Snunisjer],MATCH($NM223,inputs_checks[position],0))</f>
        <v>#N/A</v>
      </c>
      <c r="OB223" s="1946" t="e">
        <f>INDEX(inputs_checks[Tverrforbindelser],MATCH($NM223,inputs_checks[position],0))</f>
        <v>#N/A</v>
      </c>
      <c r="OC223" s="1946" t="e">
        <f>INDEX(inputs_checks[Tekniske rom],MATCH($NM223,inputs_checks[position],0))</f>
        <v>#N/A</v>
      </c>
      <c r="OD223" s="1946" t="e">
        <f>INDEX(inputs_checks[Siktutvidelse],MATCH($NM223,inputs_checks[position],0))</f>
        <v>#N/A</v>
      </c>
      <c r="OE223" s="1946" t="e">
        <f>INDEX(inputs_checks[Utvidelse for tung sikring],MATCH($NM223,inputs_checks[position],0))</f>
        <v>#N/A</v>
      </c>
      <c r="OF223" s="1946" t="e">
        <f>INDEX(inputs_checks[Pumpesump],MATCH($NM223,inputs_checks[position],0))</f>
        <v>#N/A</v>
      </c>
      <c r="OG223" s="1946" t="e">
        <f>INDEX(inputs_checks[Annet],MATCH($NM223,inputs_checks[position],0))</f>
        <v>#N/A</v>
      </c>
      <c r="OH223" s="1946">
        <f>COUNTIF(outputs_checks[[#This Row],[Teoretisk volum per hele løp]:[Redusert salvelengde
og todelt tverrsnitt]],0)</f>
        <v>1</v>
      </c>
      <c r="OI223" s="1946">
        <f>COUNTIF(outputs_checks[[#This Row],[Nisjer]:[Pumpesump]],0)</f>
        <v>0</v>
      </c>
      <c r="OJ223" s="1946">
        <f>outputs_checks[[#This Row],[oppsum_løp]]+outputs_checks[[#This Row],[oppsum_nisj]]</f>
        <v>1</v>
      </c>
      <c r="OK223" s="1946" t="e">
        <f>INDEX(inputs_checks[Sonderboring],MATCH($NM223,inputs_checks[position],0))</f>
        <v>#N/A</v>
      </c>
      <c r="OL223" s="1946" t="e">
        <f>INDEX(inputs_checks[Kjerneboring],MATCH($NM223,inputs_checks[position],0))</f>
        <v>#N/A</v>
      </c>
      <c r="OM223" s="1946" t="e">
        <f>INDEX(inputs_checks[Seismikk],MATCH($NM223,inputs_checks[position],0))</f>
        <v>#N/A</v>
      </c>
      <c r="ON223" s="1946" t="e">
        <f>INDEX(tickcheck_foran[sp_Rigg],MATCH(outputs_checks[[#This Row],[position_input]],tickcheck_foran[position],0))</f>
        <v>#N/A</v>
      </c>
      <c r="OO223" s="1946" t="e">
        <f>INDEX(tickcheck_foran[sp_Boring],MATCH(outputs_checks[[#This Row],[position_input]],tickcheck_foran[position],0))</f>
        <v>#N/A</v>
      </c>
      <c r="OP223" s="1946" t="e">
        <f>INDEX(tickcheck_foran[Sp_Injeksjon],MATCH(outputs_checks[[#This Row],[position_input]],tickcheck_foran[position],0))</f>
        <v>#N/A</v>
      </c>
      <c r="OQ223" s="1946"/>
      <c r="OR223" s="1946" t="e">
        <f>INDEX(tickcheck_foran[sy_Rigg],MATCH(outputs_checks[[#This Row],[position_input]],tickcheck_foran[position],0))</f>
        <v>#N/A</v>
      </c>
      <c r="OS223" s="1946" t="e">
        <f>INDEX(tickcheck_foran[sy_Boring],MATCH(outputs_checks[[#This Row],[position_input]],tickcheck_foran[position],0))</f>
        <v>#N/A</v>
      </c>
      <c r="OT223" s="1946" t="e">
        <f>INDEX(tickcheck_foran[sy_Injeksjon],MATCH(outputs_checks[[#This Row],[position_input]],tickcheck_foran[position],0))</f>
        <v>#N/A</v>
      </c>
      <c r="OU223" s="1946"/>
      <c r="OV223" s="1946">
        <f>COUNTIF(outputs_checks[[#This Row],[Sonderboring]:[Seismikk]],0)</f>
        <v>0</v>
      </c>
      <c r="OW223" s="1946">
        <f>COUNTIF(outputs_checks[[#This Row],[sp_Rigg]:[sy_Kontrollhull]],0)</f>
        <v>0</v>
      </c>
      <c r="OX223" s="1946">
        <f>outputs_checks[[#This Row],[oppsum_sonder]]+outputs_checks[[#This Row],[oppsum_inj]]</f>
        <v>0</v>
      </c>
      <c r="OY223" s="246">
        <f>IF($D$11=1,1,IF($NS$413=0,0,INDEX(inputs_checks[manuell],MATCH($NM223,inputs_checks[position],0))))</f>
        <v>0</v>
      </c>
      <c r="OZ223" s="1946">
        <f>IF($D$11=1,1,IF($NS$413=0,0,INDEX(inputs_checks[kartlegging],MATCH($NM223,inputs_checks[position],0))))</f>
        <v>0</v>
      </c>
      <c r="PA223" s="1946">
        <f>IF($D$11=1,1,IF($NS$413=0,0,INDEX(inputs_checks[lt4m],MATCH($NM223,inputs_checks[position],0))))</f>
        <v>0</v>
      </c>
      <c r="PB223" s="1946">
        <f>IF($D$11=1,1,IF($NS$413=0,0,INDEX(inputs_checks[gt4m],MATCH($NM223,inputs_checks[position],0))))</f>
        <v>0</v>
      </c>
      <c r="PC223" s="1946">
        <f>IF($D$11=1,1,IF($NS$413=0,0,INDEX(inputs_checks[bånd],MATCH($NM223,inputs_checks[position],0))))</f>
        <v>0</v>
      </c>
      <c r="PD223" s="1946">
        <f>IF($D$11=1,1,IF($NS$413=0,0,INDEX(inputs_checks[nett],MATCH($NM223,inputs_checks[position],0))))</f>
        <v>0</v>
      </c>
      <c r="PE223" s="1946">
        <f>IF($D$11=1,1,IF($NS$413=0,0,INDEX(inputs_checks[festebolter],MATCH($NM223,inputs_checks[position],0))))</f>
        <v>0</v>
      </c>
      <c r="PF223" s="1946">
        <f>IF($D$11=1,1,IF($NS$413=0,0,INDEX(inputs_checks[shotcrete],MATCH($NM223,inputs_checks[position],0))))</f>
        <v>0</v>
      </c>
      <c r="PG223" s="1946">
        <f>IF($D$11=1,1,IF($NS$413=0,0,INDEX(inputs_checks[buer],MATCH($NM223,inputs_checks[position],0))))</f>
        <v>0</v>
      </c>
      <c r="PH223" s="1947">
        <f>IF($D$11=1,1,IF($NS$413=0,0,INDEX(inputs_checks[sik123],MATCH(outputs_checks[[#This Row],[position_input]],inputs_checks[position],0))))</f>
        <v>0</v>
      </c>
      <c r="PI223" s="1947">
        <f>IF($D$11=1,1,IF($NS$413=0,0,INDEX(inputs_checks[sik4],MATCH(outputs_checks[[#This Row],[position_input]],inputs_checks[position],0))))</f>
        <v>0</v>
      </c>
      <c r="PJ223" s="1946">
        <f>COUNTIF(outputs_checks[[#This Row],[manuell]:[kartlegging]],0)</f>
        <v>2</v>
      </c>
      <c r="PK223" s="1946">
        <f>COUNTIF(outputs_checks[[#This Row],[lt4m]:[gt4m]],0)</f>
        <v>2</v>
      </c>
      <c r="PL223" s="1946">
        <f>COUNTIF(outputs_checks[[#This Row],[bånd]:[festebolter]],0)</f>
        <v>3</v>
      </c>
      <c r="PM223" s="1946">
        <f>COUNTIF(outputs_checks[[#This Row],[shotcrete]],0)</f>
        <v>1</v>
      </c>
      <c r="PN223" s="1946">
        <f>COUNTIF(outputs_checks[[#This Row],[buer]],0)</f>
        <v>1</v>
      </c>
      <c r="PO223" s="1946">
        <f>COUNTIF(outputs_checks[[#This Row],[sik123]:[sik4]],0)</f>
        <v>2</v>
      </c>
      <c r="PP223" s="1946">
        <f>SUM(outputs_checks[[#This Row],[oppsum_manuell]:[oppsum_sik]])</f>
        <v>11</v>
      </c>
      <c r="PQ223" s="1949">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12</v>
      </c>
      <c r="PR223" s="1949">
        <f t="shared" si="292"/>
        <v>0</v>
      </c>
      <c r="PS223" s="1949">
        <f t="shared" si="292"/>
        <v>1</v>
      </c>
      <c r="PT223" s="1949">
        <f t="shared" si="292"/>
        <v>0</v>
      </c>
      <c r="PU223" s="1949">
        <v>1</v>
      </c>
      <c r="PV223" s="1949"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W223" s="265"/>
      <c r="PX223" s="265"/>
      <c r="QS223" s="363" t="s">
        <v>323</v>
      </c>
      <c r="QT223" s="363"/>
      <c r="QZ223" s="184"/>
      <c r="RO223" s="183"/>
      <c r="RQ223" s="183"/>
      <c r="RT223" s="210"/>
      <c r="RV223" s="210"/>
      <c r="SR223" s="183"/>
      <c r="SS223" s="183"/>
      <c r="SW223" s="184"/>
      <c r="SX223" s="184"/>
      <c r="UK223" s="183"/>
      <c r="UL223" s="183"/>
      <c r="UM223" s="183"/>
      <c r="UN223" s="183"/>
      <c r="UO223" s="183"/>
      <c r="UQ223" s="184"/>
      <c r="UR223" s="1754"/>
      <c r="UX223" s="265"/>
      <c r="VD223" s="402"/>
      <c r="WG223" s="265"/>
      <c r="WH223" s="265"/>
      <c r="WI223" s="265"/>
      <c r="WJ223" s="265"/>
      <c r="WK223" s="265"/>
    </row>
    <row r="224" spans="54:609" ht="15" thickTop="1" x14ac:dyDescent="0.2">
      <c r="BB224" s="185" t="s">
        <v>257</v>
      </c>
      <c r="BC224" s="185" t="s">
        <v>283</v>
      </c>
      <c r="BD224" s="185" t="s">
        <v>284</v>
      </c>
      <c r="BE224" s="255" t="s">
        <v>285</v>
      </c>
      <c r="BF224" s="199" t="s">
        <v>397</v>
      </c>
      <c r="BG224" s="254" t="s">
        <v>48</v>
      </c>
      <c r="BH224" s="247" t="s">
        <v>310</v>
      </c>
      <c r="BI224" s="247" t="s">
        <v>311</v>
      </c>
      <c r="BJ224" s="248" t="s">
        <v>313</v>
      </c>
      <c r="BK224" s="247" t="s">
        <v>287</v>
      </c>
      <c r="BL224" s="250" t="s">
        <v>316</v>
      </c>
      <c r="BM224" s="185" t="s">
        <v>319</v>
      </c>
      <c r="BN224" s="247" t="s">
        <v>427</v>
      </c>
      <c r="BO224" s="247" t="s">
        <v>564</v>
      </c>
      <c r="NK224" s="439" t="str">
        <f>$NO$67</f>
        <v>Stuff 1-1</v>
      </c>
      <c r="NL224" s="5472" t="s">
        <v>1154</v>
      </c>
      <c r="NM224" s="5473">
        <f t="shared" ref="NM224:NM232" si="293">IF($D$11=2,0,IF($BC$38=1,NM215,IF($BC$38=2,NM206)))</f>
        <v>0</v>
      </c>
      <c r="NN224" s="393">
        <f t="shared" ref="NN224:OX224" si="294">IF($BC$38=1,NN215,IF($BC$38=2,NN206))</f>
        <v>1</v>
      </c>
      <c r="NO224" s="5473">
        <f t="shared" si="294"/>
        <v>1</v>
      </c>
      <c r="NP224" s="5473">
        <f t="shared" si="294"/>
        <v>1</v>
      </c>
      <c r="NQ224" s="5473">
        <f t="shared" si="294"/>
        <v>1</v>
      </c>
      <c r="NR224" s="5473">
        <f t="shared" si="294"/>
        <v>0</v>
      </c>
      <c r="NS224" s="5473">
        <f t="shared" si="294"/>
        <v>1</v>
      </c>
      <c r="NT224" s="5473">
        <f t="shared" si="294"/>
        <v>0</v>
      </c>
      <c r="NU224" s="5473">
        <f t="shared" si="294"/>
        <v>0</v>
      </c>
      <c r="NV224" s="5473">
        <f t="shared" si="294"/>
        <v>0</v>
      </c>
      <c r="NW224" s="5473">
        <f t="shared" si="294"/>
        <v>0</v>
      </c>
      <c r="NX224" s="5473">
        <f t="shared" si="294"/>
        <v>0</v>
      </c>
      <c r="NY224" s="6128">
        <f>IF($BC$38=1,NY215,IF($BC$38=2,NY206))</f>
        <v>0</v>
      </c>
      <c r="NZ224" s="5473">
        <f t="shared" si="294"/>
        <v>0</v>
      </c>
      <c r="OA224" s="5473">
        <f t="shared" si="294"/>
        <v>0</v>
      </c>
      <c r="OB224" s="5473">
        <f t="shared" si="294"/>
        <v>0</v>
      </c>
      <c r="OC224" s="5473">
        <f t="shared" si="294"/>
        <v>0</v>
      </c>
      <c r="OD224" s="5473">
        <f t="shared" si="294"/>
        <v>0</v>
      </c>
      <c r="OE224" s="5473">
        <f t="shared" si="294"/>
        <v>0</v>
      </c>
      <c r="OF224" s="5473">
        <f t="shared" si="294"/>
        <v>0</v>
      </c>
      <c r="OG224" s="5473">
        <f t="shared" si="294"/>
        <v>0</v>
      </c>
      <c r="OH224" s="5473">
        <f t="shared" si="294"/>
        <v>4</v>
      </c>
      <c r="OI224" s="5473">
        <f t="shared" si="294"/>
        <v>8</v>
      </c>
      <c r="OJ224" s="5473">
        <f t="shared" si="294"/>
        <v>12</v>
      </c>
      <c r="OK224" s="5473">
        <f t="shared" si="294"/>
        <v>0</v>
      </c>
      <c r="OL224" s="5473">
        <f t="shared" si="294"/>
        <v>0</v>
      </c>
      <c r="OM224" s="5473">
        <f t="shared" si="294"/>
        <v>0</v>
      </c>
      <c r="ON224" s="5473">
        <f t="shared" si="294"/>
        <v>0</v>
      </c>
      <c r="OO224" s="5473">
        <f t="shared" si="294"/>
        <v>0</v>
      </c>
      <c r="OP224" s="5473">
        <f t="shared" si="294"/>
        <v>0</v>
      </c>
      <c r="OQ224" s="5473"/>
      <c r="OR224" s="5473">
        <f t="shared" si="294"/>
        <v>0</v>
      </c>
      <c r="OS224" s="5473">
        <f t="shared" si="294"/>
        <v>0</v>
      </c>
      <c r="OT224" s="5473">
        <f t="shared" si="294"/>
        <v>0</v>
      </c>
      <c r="OU224" s="5473"/>
      <c r="OV224" s="5473">
        <f t="shared" si="294"/>
        <v>3</v>
      </c>
      <c r="OW224" s="5473">
        <f t="shared" si="294"/>
        <v>6</v>
      </c>
      <c r="OX224" s="5473">
        <f t="shared" si="294"/>
        <v>9</v>
      </c>
      <c r="OY224" s="5512">
        <f>IF(_Calcs_Klasse!$AI$31=2,INDEX(position_klasse[klasse_stuff_match],MATCH(outputs_checks[[#This Row],[Position]],position_klasse[Position],0)),IF(_Calcs_Klasse!$AI$31=1,INDEX(position_klasse[klasse_stuff_match],MATCH(outputs_checks[[#This Row],[position_input]],position_klasse[Position],0))))</f>
        <v>0</v>
      </c>
      <c r="OZ224" s="199">
        <f>IF(_Calcs_Klasse!$AI$31=2,INDEX(position_klasse[klasse_stuff_match],MATCH(outputs_checks[[#This Row],[Position]],position_klasse[Position],0)),IF(_Calcs_Klasse!$AI$31=1,INDEX(position_klasse[klasse_stuff_match],MATCH(outputs_checks[[#This Row],[position_input]],position_klasse[Position],0))))</f>
        <v>0</v>
      </c>
      <c r="PA224" s="199">
        <f>IF(_Calcs_Klasse!$AI$31=2,INDEX(position_klasse[klasse_stuff_match],MATCH(outputs_checks[[#This Row],[Position]],position_klasse[Position],0)),IF(_Calcs_Klasse!$AI$31=1,INDEX(position_klasse[klasse_stuff_match],MATCH(outputs_checks[[#This Row],[position_input]],position_klasse[Position],0))))</f>
        <v>0</v>
      </c>
      <c r="PB224" s="199">
        <f>IF(_Calcs_Klasse!$AI$31=2,INDEX(position_klasse[klasse_stuff_match],MATCH(outputs_checks[[#This Row],[Position]],position_klasse[Position],0)),IF(_Calcs_Klasse!$AI$31=1,INDEX(position_klasse[klasse_stuff_match],MATCH(outputs_checks[[#This Row],[position_input]],position_klasse[Position],0))))</f>
        <v>0</v>
      </c>
      <c r="PC224" s="199">
        <f>IF(_Calcs_Klasse!$AI$31=2,INDEX(position_klasse[klasse_stuff_match],MATCH(outputs_checks[[#This Row],[Position]],position_klasse[Position],0)),IF(_Calcs_Klasse!$AI$31=1,INDEX(position_klasse[klasse_stuff_match],MATCH(outputs_checks[[#This Row],[position_input]],position_klasse[Position],0))))</f>
        <v>0</v>
      </c>
      <c r="PD224" s="199">
        <f>IF(_Calcs_Klasse!$AI$31=2,INDEX(position_klasse[klasse_stuff_match],MATCH(outputs_checks[[#This Row],[Position]],position_klasse[Position],0)),IF(_Calcs_Klasse!$AI$31=1,INDEX(position_klasse[klasse_stuff_match],MATCH(outputs_checks[[#This Row],[position_input]],position_klasse[Position],0))))</f>
        <v>0</v>
      </c>
      <c r="PE224" s="199">
        <f>IF(_Calcs_Klasse!$AI$31=2,INDEX(position_klasse[klasse_stuff_match],MATCH(outputs_checks[[#This Row],[Position]],position_klasse[Position],0)),IF(_Calcs_Klasse!$AI$31=1,INDEX(position_klasse[klasse_stuff_match],MATCH(outputs_checks[[#This Row],[position_input]],position_klasse[Position],0))))</f>
        <v>0</v>
      </c>
      <c r="PF224" s="199">
        <f>IF(_Calcs_Klasse!$AI$31=2,INDEX(position_klasse[klasse_stuff_match],MATCH(outputs_checks[[#This Row],[Position]],position_klasse[Position],0)),IF(_Calcs_Klasse!$AI$31=1,INDEX(position_klasse[klasse_stuff_match],MATCH(outputs_checks[[#This Row],[position_input]],position_klasse[Position],0))))</f>
        <v>0</v>
      </c>
      <c r="PG224" s="199">
        <f>IF(_Calcs_Klasse!$AI$31=2,INDEX(position_klasse[klasse_stuff_match],MATCH(outputs_checks[[#This Row],[Position]],position_klasse[Position],0)),IF(_Calcs_Klasse!$AI$31=1,INDEX(position_klasse[klasse_stuff_match],MATCH(outputs_checks[[#This Row],[position_input]],position_klasse[Position],0))))</f>
        <v>0</v>
      </c>
      <c r="PH224" s="248">
        <f>IF(_Calcs_Klasse!$AI$31=2,INDEX(position_klasse[klasse_stuff_match],MATCH(outputs_checks[[#This Row],[Position]],position_klasse[Position],0)),IF(_Calcs_Klasse!$AI$31=1,INDEX(position_klasse[klasse_stuff_match],MATCH(outputs_checks[[#This Row],[position_input]],position_klasse[Position],0))))</f>
        <v>0</v>
      </c>
      <c r="PI224" s="248">
        <f>IF(_Calcs_Klasse!$AI$31=2,INDEX(position_klasse[klasse_stuff_match],MATCH(outputs_checks[[#This Row],[Position]],position_klasse[Position],0)),IF(_Calcs_Klasse!$AI$31=1,INDEX(position_klasse[klasse_stuff_match],MATCH(outputs_checks[[#This Row],[position_input]],position_klasse[Position],0))))</f>
        <v>0</v>
      </c>
      <c r="PJ224" s="5474">
        <f>COUNTIF(outputs_checks[[#This Row],[manuell]:[kartlegging]],0)</f>
        <v>2</v>
      </c>
      <c r="PK224" s="5474">
        <f>COUNTIF(outputs_checks[[#This Row],[lt4m]:[gt4m]],0)</f>
        <v>2</v>
      </c>
      <c r="PL224" s="5474">
        <f>COUNTIF(outputs_checks[[#This Row],[bånd]:[nett]],0)</f>
        <v>2</v>
      </c>
      <c r="PM224" s="5474">
        <f>COUNTIF(outputs_checks[[#This Row],[shotcrete]],0)</f>
        <v>1</v>
      </c>
      <c r="PN224" s="5474">
        <f>COUNTIF(outputs_checks[[#This Row],[buer]],0)</f>
        <v>1</v>
      </c>
      <c r="PO224" s="5474">
        <f>COUNTIF(outputs_checks[[#This Row],[sik123]:[sik4]],0)</f>
        <v>2</v>
      </c>
      <c r="PP224" s="247">
        <f>SUM(outputs_checks[[#This Row],[oppsum_manuell]:[oppsum_sik]])</f>
        <v>10</v>
      </c>
      <c r="PQ224" s="447">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31</v>
      </c>
      <c r="PR224" s="5473">
        <f t="shared" ref="PR224:PT232" si="295">IF($BC$38=1,PR215,IF($BC$38=2,PR206))</f>
        <v>1</v>
      </c>
      <c r="PS224" s="5473">
        <f t="shared" si="295"/>
        <v>1</v>
      </c>
      <c r="PT224" s="5473">
        <f t="shared" si="295"/>
        <v>0</v>
      </c>
      <c r="PU224" s="5473">
        <f t="shared" ref="PU224:PU232" si="296">IF($BC$38=1,PU215,IF($BC$38=2,PU206))</f>
        <v>0</v>
      </c>
      <c r="PV224" s="447">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32</v>
      </c>
      <c r="QX224" s="184"/>
      <c r="RO224" s="183"/>
      <c r="RQ224" s="183"/>
      <c r="RR224" s="210"/>
      <c r="RT224" s="210"/>
      <c r="SR224" s="183"/>
      <c r="SS224" s="183"/>
      <c r="SU224" s="184"/>
      <c r="SV224" s="184"/>
      <c r="UK224" s="183"/>
      <c r="UL224" s="183"/>
      <c r="UM224" s="183"/>
      <c r="UO224" s="184"/>
      <c r="UP224" s="1754"/>
      <c r="UX224" s="265"/>
      <c r="VB224" s="402"/>
      <c r="WG224" s="265"/>
      <c r="WH224" s="265"/>
      <c r="WI224" s="265"/>
    </row>
    <row r="225" spans="54:607" x14ac:dyDescent="0.2">
      <c r="BB225" s="185" t="str">
        <f>$K$89</f>
        <v>Hele tunnelen</v>
      </c>
      <c r="BC225" s="271">
        <f>IF($BC$38=1,1,0)</f>
        <v>0</v>
      </c>
      <c r="BD225" s="185">
        <f>IF($BC$38=1,1,0)</f>
        <v>0</v>
      </c>
      <c r="BE225" s="194">
        <f>IF(BD225=1,BC225,IF(BD225=0,0))</f>
        <v>0</v>
      </c>
      <c r="BF225" s="199">
        <v>1</v>
      </c>
      <c r="BG225" s="252" t="str">
        <f t="shared" ref="BG225:BG235" si="297">BB225</f>
        <v>Hele tunnelen</v>
      </c>
      <c r="BH225" s="212">
        <f>IFERROR((INDEX(position_stuff[Redusertsalvelengde],MATCH($BE225,position_stuff[Position],0))/$BH$221),0)</f>
        <v>0</v>
      </c>
      <c r="BI225" s="212">
        <f>IFERROR((INDEX(position_stuff[Todelttverrsnitt],MATCH($BE225,position_stuff[Position],0))/$BI$221),0)</f>
        <v>0</v>
      </c>
      <c r="BJ225" s="212">
        <f>IFERROR((INDEX(position_stuff[Redusertsalvelengdeogtodelttverrsnitt],MATCH($BE225,position_stuff[Position],0))/$BJ$221),0)</f>
        <v>0</v>
      </c>
      <c r="BK225" s="212">
        <f>IFERROR((INDEX(position_stuff[Normal],MATCH($BE225,position_stuff[Position],0))/$BK$221),0)</f>
        <v>0</v>
      </c>
      <c r="BL225" s="260">
        <f>IFERROR((INDEX(position_stuff[total_nisjer],MATCH($BE225,position_stuff[Position],0))/$BL$221),0)</f>
        <v>0</v>
      </c>
      <c r="BM225" s="212">
        <f>outputs_spreng[[#This Row],[Redusertsalvelengde]]+outputs_spreng[[#This Row],[Todelttverrsnitt]]+outputs_spreng[[#This Row],[Redusertsalvelengdeogtodelttverrsnitt]]+outputs_spreng[[#This Row],[Normal]]+outputs_spreng[[#This Row],[total_nisjer]]</f>
        <v>0</v>
      </c>
      <c r="BN225" s="212">
        <f>outputs_spreng[[#This Row],[Redusertsalvelengde]]+outputs_spreng[[#This Row],[Todelttverrsnitt]]+outputs_spreng[[#This Row],[Redusertsalvelengdeogtodelttverrsnitt]]+outputs_spreng[[#This Row],[Normal]]</f>
        <v>0</v>
      </c>
      <c r="BO225" s="212">
        <f>outputs_spreng[[#This Row],[total_tid]]/$AI$80</f>
        <v>0</v>
      </c>
      <c r="NK225" s="439" t="str">
        <f>$NO$68</f>
        <v>Stuff 1-2</v>
      </c>
      <c r="NL225" s="451" t="s">
        <v>1155</v>
      </c>
      <c r="NM225" s="256">
        <f t="shared" si="293"/>
        <v>0</v>
      </c>
      <c r="NN225" s="393">
        <f t="shared" ref="NN225" si="298">IF($BC$38=1,NN216,IF($BC$38=2,NN207))</f>
        <v>0</v>
      </c>
      <c r="NO225" s="256">
        <f t="shared" ref="NO225:NO232" si="299">IF($BC$38=1,NO216,IF($BC$38=2,NO207))</f>
        <v>1</v>
      </c>
      <c r="NP225" s="256" t="e">
        <f t="shared" ref="NP225:OX225" si="300">IF($BC$38=1,NP216,IF($BC$38=2,NP207))</f>
        <v>#N/A</v>
      </c>
      <c r="NQ225" s="256" t="e">
        <f t="shared" si="300"/>
        <v>#N/A</v>
      </c>
      <c r="NR225" s="256" t="e">
        <f t="shared" si="300"/>
        <v>#N/A</v>
      </c>
      <c r="NS225" s="256" t="e">
        <f t="shared" si="300"/>
        <v>#N/A</v>
      </c>
      <c r="NT225" s="256">
        <f t="shared" si="300"/>
        <v>0</v>
      </c>
      <c r="NU225" s="256" t="e">
        <f t="shared" si="300"/>
        <v>#N/A</v>
      </c>
      <c r="NV225" s="256" t="e">
        <f t="shared" si="300"/>
        <v>#N/A</v>
      </c>
      <c r="NW225" s="256" t="e">
        <f t="shared" si="300"/>
        <v>#N/A</v>
      </c>
      <c r="NX225" s="256" t="e">
        <f t="shared" si="300"/>
        <v>#N/A</v>
      </c>
      <c r="NY225" s="194" t="e">
        <f t="shared" si="300"/>
        <v>#N/A</v>
      </c>
      <c r="NZ225" s="256" t="e">
        <f t="shared" si="300"/>
        <v>#N/A</v>
      </c>
      <c r="OA225" s="256" t="e">
        <f t="shared" si="300"/>
        <v>#N/A</v>
      </c>
      <c r="OB225" s="256" t="e">
        <f t="shared" si="300"/>
        <v>#N/A</v>
      </c>
      <c r="OC225" s="256" t="e">
        <f t="shared" si="300"/>
        <v>#N/A</v>
      </c>
      <c r="OD225" s="256" t="e">
        <f t="shared" si="300"/>
        <v>#N/A</v>
      </c>
      <c r="OE225" s="256" t="e">
        <f t="shared" si="300"/>
        <v>#N/A</v>
      </c>
      <c r="OF225" s="256" t="e">
        <f t="shared" si="300"/>
        <v>#N/A</v>
      </c>
      <c r="OG225" s="256" t="e">
        <f t="shared" si="300"/>
        <v>#N/A</v>
      </c>
      <c r="OH225" s="256" t="e">
        <f t="shared" si="300"/>
        <v>#N/A</v>
      </c>
      <c r="OI225" s="256" t="e">
        <f t="shared" si="300"/>
        <v>#N/A</v>
      </c>
      <c r="OJ225" s="256" t="e">
        <f t="shared" si="300"/>
        <v>#N/A</v>
      </c>
      <c r="OK225" s="256" t="e">
        <f t="shared" si="300"/>
        <v>#N/A</v>
      </c>
      <c r="OL225" s="256" t="e">
        <f t="shared" si="300"/>
        <v>#N/A</v>
      </c>
      <c r="OM225" s="256" t="e">
        <f t="shared" si="300"/>
        <v>#N/A</v>
      </c>
      <c r="ON225" s="256" t="e">
        <f t="shared" si="300"/>
        <v>#N/A</v>
      </c>
      <c r="OO225" s="256" t="e">
        <f t="shared" si="300"/>
        <v>#N/A</v>
      </c>
      <c r="OP225" s="256" t="e">
        <f t="shared" si="300"/>
        <v>#N/A</v>
      </c>
      <c r="OQ225" s="256"/>
      <c r="OR225" s="256" t="e">
        <f t="shared" si="300"/>
        <v>#N/A</v>
      </c>
      <c r="OS225" s="256" t="e">
        <f t="shared" si="300"/>
        <v>#N/A</v>
      </c>
      <c r="OT225" s="256" t="e">
        <f t="shared" si="300"/>
        <v>#N/A</v>
      </c>
      <c r="OU225" s="256"/>
      <c r="OV225" s="256">
        <f t="shared" si="300"/>
        <v>0</v>
      </c>
      <c r="OW225" s="256">
        <f t="shared" si="300"/>
        <v>0</v>
      </c>
      <c r="OX225" s="256">
        <f t="shared" si="300"/>
        <v>0</v>
      </c>
      <c r="OY225" s="199" t="e">
        <f>IF(_Calcs_Klasse!$AI$31=2,INDEX(position_klasse[klasse_stuff_match],MATCH(outputs_checks[[#This Row],[Position]],position_klasse[Position],0)),IF(_Calcs_Klasse!$AI$31=1,INDEX(position_klasse[klasse_stuff_match],MATCH(outputs_checks[[#This Row],[position_input]],position_klasse[Position],0))))</f>
        <v>#N/A</v>
      </c>
      <c r="OZ225" s="199" t="e">
        <f>IF(_Calcs_Klasse!$AI$31=2,INDEX(position_klasse[klasse_stuff_match],MATCH(outputs_checks[[#This Row],[Position]],position_klasse[Position],0)),IF(_Calcs_Klasse!$AI$31=1,INDEX(position_klasse[klasse_stuff_match],MATCH(outputs_checks[[#This Row],[position_input]],position_klasse[Position],0))))</f>
        <v>#N/A</v>
      </c>
      <c r="PA225" s="199" t="e">
        <f>IF(_Calcs_Klasse!$AI$31=2,INDEX(position_klasse[klasse_stuff_match],MATCH(outputs_checks[[#This Row],[Position]],position_klasse[Position],0)),IF(_Calcs_Klasse!$AI$31=1,INDEX(position_klasse[klasse_stuff_match],MATCH(outputs_checks[[#This Row],[position_input]],position_klasse[Position],0))))</f>
        <v>#N/A</v>
      </c>
      <c r="PB225" s="199" t="e">
        <f>IF(_Calcs_Klasse!$AI$31=2,INDEX(position_klasse[klasse_stuff_match],MATCH(outputs_checks[[#This Row],[Position]],position_klasse[Position],0)),IF(_Calcs_Klasse!$AI$31=1,INDEX(position_klasse[klasse_stuff_match],MATCH(outputs_checks[[#This Row],[position_input]],position_klasse[Position],0))))</f>
        <v>#N/A</v>
      </c>
      <c r="PC225" s="199" t="e">
        <f>IF(_Calcs_Klasse!$AI$31=2,INDEX(position_klasse[klasse_stuff_match],MATCH(outputs_checks[[#This Row],[Position]],position_klasse[Position],0)),IF(_Calcs_Klasse!$AI$31=1,INDEX(position_klasse[klasse_stuff_match],MATCH(outputs_checks[[#This Row],[position_input]],position_klasse[Position],0))))</f>
        <v>#N/A</v>
      </c>
      <c r="PD225" s="199" t="e">
        <f>IF(_Calcs_Klasse!$AI$31=2,INDEX(position_klasse[klasse_stuff_match],MATCH(outputs_checks[[#This Row],[Position]],position_klasse[Position],0)),IF(_Calcs_Klasse!$AI$31=1,INDEX(position_klasse[klasse_stuff_match],MATCH(outputs_checks[[#This Row],[position_input]],position_klasse[Position],0))))</f>
        <v>#N/A</v>
      </c>
      <c r="PE225" s="199" t="e">
        <f>IF(_Calcs_Klasse!$AI$31=2,INDEX(position_klasse[klasse_stuff_match],MATCH(outputs_checks[[#This Row],[Position]],position_klasse[Position],0)),IF(_Calcs_Klasse!$AI$31=1,INDEX(position_klasse[klasse_stuff_match],MATCH(outputs_checks[[#This Row],[position_input]],position_klasse[Position],0))))</f>
        <v>#N/A</v>
      </c>
      <c r="PF225" s="199" t="e">
        <f>IF(_Calcs_Klasse!$AI$31=2,INDEX(position_klasse[klasse_stuff_match],MATCH(outputs_checks[[#This Row],[Position]],position_klasse[Position],0)),IF(_Calcs_Klasse!$AI$31=1,INDEX(position_klasse[klasse_stuff_match],MATCH(outputs_checks[[#This Row],[position_input]],position_klasse[Position],0))))</f>
        <v>#N/A</v>
      </c>
      <c r="PG225" s="199" t="e">
        <f>IF(_Calcs_Klasse!$AI$31=2,INDEX(position_klasse[klasse_stuff_match],MATCH(outputs_checks[[#This Row],[Position]],position_klasse[Position],0)),IF(_Calcs_Klasse!$AI$31=1,INDEX(position_klasse[klasse_stuff_match],MATCH(outputs_checks[[#This Row],[position_input]],position_klasse[Position],0))))</f>
        <v>#N/A</v>
      </c>
      <c r="PH225" s="199" t="e">
        <f>IF(_Calcs_Klasse!$AI$31=2,INDEX(position_klasse[klasse_stuff_match],MATCH(outputs_checks[[#This Row],[Position]],position_klasse[Position],0)),IF(_Calcs_Klasse!$AI$31=1,INDEX(position_klasse[klasse_stuff_match],MATCH(outputs_checks[[#This Row],[position_input]],position_klasse[Position],0))))</f>
        <v>#N/A</v>
      </c>
      <c r="PI225" s="199" t="e">
        <f>IF(_Calcs_Klasse!$AI$31=2,INDEX(position_klasse[klasse_stuff_match],MATCH(outputs_checks[[#This Row],[Position]],position_klasse[Position],0)),IF(_Calcs_Klasse!$AI$31=1,INDEX(position_klasse[klasse_stuff_match],MATCH(outputs_checks[[#This Row],[position_input]],position_klasse[Position],0))))</f>
        <v>#N/A</v>
      </c>
      <c r="PJ225" s="1574">
        <f>COUNTIF(outputs_checks[[#This Row],[manuell]:[kartlegging]],0)</f>
        <v>0</v>
      </c>
      <c r="PK225" s="1574">
        <f>COUNTIF(outputs_checks[[#This Row],[lt4m]:[gt4m]],0)</f>
        <v>0</v>
      </c>
      <c r="PL225" s="1574">
        <f>COUNTIF(outputs_checks[[#This Row],[bånd]:[nett]],0)</f>
        <v>0</v>
      </c>
      <c r="PM225" s="1574">
        <f>COUNTIF(outputs_checks[[#This Row],[shotcrete]],0)</f>
        <v>0</v>
      </c>
      <c r="PN225" s="1574">
        <f>COUNTIF(outputs_checks[[#This Row],[buer]],0)</f>
        <v>0</v>
      </c>
      <c r="PO225" s="1574">
        <f>COUNTIF(outputs_checks[[#This Row],[sik123]:[sik4]],0)</f>
        <v>0</v>
      </c>
      <c r="PP225" s="247">
        <f>SUM(outputs_checks[[#This Row],[oppsum_manuell]:[oppsum_sik]])</f>
        <v>0</v>
      </c>
      <c r="PQ225"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25" s="256">
        <f t="shared" si="295"/>
        <v>1</v>
      </c>
      <c r="PS225" s="256">
        <f t="shared" si="295"/>
        <v>1</v>
      </c>
      <c r="PT225" s="256">
        <f t="shared" si="295"/>
        <v>0</v>
      </c>
      <c r="PU225" s="256">
        <f t="shared" si="296"/>
        <v>0</v>
      </c>
      <c r="PV225"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Q225" s="283" t="s">
        <v>325</v>
      </c>
      <c r="QX225" s="184"/>
      <c r="RO225" s="183"/>
      <c r="RQ225" s="183"/>
      <c r="RR225" s="210"/>
      <c r="RT225" s="210"/>
      <c r="SR225" s="183"/>
      <c r="SS225" s="183"/>
      <c r="SU225" s="184"/>
      <c r="SV225" s="184"/>
      <c r="UK225" s="183"/>
      <c r="UL225" s="183"/>
      <c r="UM225" s="183"/>
      <c r="UO225" s="184"/>
      <c r="UP225" s="1754"/>
      <c r="UX225" s="265"/>
      <c r="VB225" s="402"/>
      <c r="WG225" s="265"/>
      <c r="WH225" s="265"/>
      <c r="WI225" s="265"/>
    </row>
    <row r="226" spans="54:607" ht="15" thickBot="1" x14ac:dyDescent="0.25">
      <c r="BB226" s="185"/>
      <c r="BC226" s="294"/>
      <c r="BD226" s="185"/>
      <c r="BE226" s="194"/>
      <c r="BF226" s="199"/>
      <c r="BG226" s="252"/>
      <c r="BH226" s="212"/>
      <c r="BI226" s="212"/>
      <c r="BJ226" s="212"/>
      <c r="BK226" s="212"/>
      <c r="BL226" s="260"/>
      <c r="BM226" s="212"/>
      <c r="BN226" s="212"/>
      <c r="BO226" s="212"/>
      <c r="NK226" s="439" t="str">
        <f>$NO$69</f>
        <v>Stuff 1-3</v>
      </c>
      <c r="NL226" s="451" t="s">
        <v>1156</v>
      </c>
      <c r="NM226" s="256">
        <f t="shared" si="293"/>
        <v>0</v>
      </c>
      <c r="NN226" s="393">
        <f t="shared" ref="NN226" si="301">IF($BC$38=1,NN217,IF($BC$38=2,NN208))</f>
        <v>0</v>
      </c>
      <c r="NO226" s="256">
        <f t="shared" si="299"/>
        <v>1</v>
      </c>
      <c r="NP226" s="256" t="e">
        <f t="shared" ref="NP226:OX226" si="302">IF($BC$38=1,NP217,IF($BC$38=2,NP208))</f>
        <v>#N/A</v>
      </c>
      <c r="NQ226" s="256" t="e">
        <f t="shared" si="302"/>
        <v>#N/A</v>
      </c>
      <c r="NR226" s="256" t="e">
        <f t="shared" si="302"/>
        <v>#N/A</v>
      </c>
      <c r="NS226" s="256" t="e">
        <f t="shared" si="302"/>
        <v>#N/A</v>
      </c>
      <c r="NT226" s="256">
        <f t="shared" si="302"/>
        <v>0</v>
      </c>
      <c r="NU226" s="256" t="e">
        <f t="shared" si="302"/>
        <v>#N/A</v>
      </c>
      <c r="NV226" s="256" t="e">
        <f t="shared" si="302"/>
        <v>#N/A</v>
      </c>
      <c r="NW226" s="256" t="e">
        <f t="shared" si="302"/>
        <v>#N/A</v>
      </c>
      <c r="NX226" s="256" t="e">
        <f t="shared" si="302"/>
        <v>#N/A</v>
      </c>
      <c r="NY226" s="194" t="e">
        <f t="shared" si="302"/>
        <v>#N/A</v>
      </c>
      <c r="NZ226" s="256" t="e">
        <f t="shared" si="302"/>
        <v>#N/A</v>
      </c>
      <c r="OA226" s="256" t="e">
        <f t="shared" si="302"/>
        <v>#N/A</v>
      </c>
      <c r="OB226" s="256" t="e">
        <f t="shared" si="302"/>
        <v>#N/A</v>
      </c>
      <c r="OC226" s="256" t="e">
        <f t="shared" si="302"/>
        <v>#N/A</v>
      </c>
      <c r="OD226" s="256" t="e">
        <f t="shared" si="302"/>
        <v>#N/A</v>
      </c>
      <c r="OE226" s="256" t="e">
        <f t="shared" si="302"/>
        <v>#N/A</v>
      </c>
      <c r="OF226" s="256" t="e">
        <f t="shared" si="302"/>
        <v>#N/A</v>
      </c>
      <c r="OG226" s="256" t="e">
        <f t="shared" si="302"/>
        <v>#N/A</v>
      </c>
      <c r="OH226" s="256" t="e">
        <f t="shared" si="302"/>
        <v>#N/A</v>
      </c>
      <c r="OI226" s="256" t="e">
        <f t="shared" si="302"/>
        <v>#N/A</v>
      </c>
      <c r="OJ226" s="256" t="e">
        <f t="shared" si="302"/>
        <v>#N/A</v>
      </c>
      <c r="OK226" s="256" t="e">
        <f t="shared" si="302"/>
        <v>#N/A</v>
      </c>
      <c r="OL226" s="256" t="e">
        <f t="shared" si="302"/>
        <v>#N/A</v>
      </c>
      <c r="OM226" s="256" t="e">
        <f t="shared" si="302"/>
        <v>#N/A</v>
      </c>
      <c r="ON226" s="256" t="e">
        <f t="shared" si="302"/>
        <v>#N/A</v>
      </c>
      <c r="OO226" s="256" t="e">
        <f t="shared" si="302"/>
        <v>#N/A</v>
      </c>
      <c r="OP226" s="256" t="e">
        <f t="shared" si="302"/>
        <v>#N/A</v>
      </c>
      <c r="OQ226" s="256"/>
      <c r="OR226" s="256" t="e">
        <f t="shared" si="302"/>
        <v>#N/A</v>
      </c>
      <c r="OS226" s="256" t="e">
        <f t="shared" si="302"/>
        <v>#N/A</v>
      </c>
      <c r="OT226" s="256" t="e">
        <f t="shared" si="302"/>
        <v>#N/A</v>
      </c>
      <c r="OU226" s="256"/>
      <c r="OV226" s="256">
        <f t="shared" si="302"/>
        <v>0</v>
      </c>
      <c r="OW226" s="256">
        <f t="shared" si="302"/>
        <v>0</v>
      </c>
      <c r="OX226" s="256">
        <f t="shared" si="302"/>
        <v>0</v>
      </c>
      <c r="OY226" s="199" t="e">
        <f>IF(_Calcs_Klasse!$AI$31=2,INDEX(position_klasse[klasse_stuff_match],MATCH(outputs_checks[[#This Row],[Position]],position_klasse[Position],0)),IF(_Calcs_Klasse!$AI$31=1,INDEX(position_klasse[klasse_stuff_match],MATCH(outputs_checks[[#This Row],[position_input]],position_klasse[Position],0))))</f>
        <v>#N/A</v>
      </c>
      <c r="OZ226" s="199" t="e">
        <f>IF(_Calcs_Klasse!$AI$31=2,INDEX(position_klasse[klasse_stuff_match],MATCH(outputs_checks[[#This Row],[Position]],position_klasse[Position],0)),IF(_Calcs_Klasse!$AI$31=1,INDEX(position_klasse[klasse_stuff_match],MATCH(outputs_checks[[#This Row],[position_input]],position_klasse[Position],0))))</f>
        <v>#N/A</v>
      </c>
      <c r="PA226" s="199" t="e">
        <f>IF(_Calcs_Klasse!$AI$31=2,INDEX(position_klasse[klasse_stuff_match],MATCH(outputs_checks[[#This Row],[Position]],position_klasse[Position],0)),IF(_Calcs_Klasse!$AI$31=1,INDEX(position_klasse[klasse_stuff_match],MATCH(outputs_checks[[#This Row],[position_input]],position_klasse[Position],0))))</f>
        <v>#N/A</v>
      </c>
      <c r="PB226" s="199" t="e">
        <f>IF(_Calcs_Klasse!$AI$31=2,INDEX(position_klasse[klasse_stuff_match],MATCH(outputs_checks[[#This Row],[Position]],position_klasse[Position],0)),IF(_Calcs_Klasse!$AI$31=1,INDEX(position_klasse[klasse_stuff_match],MATCH(outputs_checks[[#This Row],[position_input]],position_klasse[Position],0))))</f>
        <v>#N/A</v>
      </c>
      <c r="PC226" s="199" t="e">
        <f>IF(_Calcs_Klasse!$AI$31=2,INDEX(position_klasse[klasse_stuff_match],MATCH(outputs_checks[[#This Row],[Position]],position_klasse[Position],0)),IF(_Calcs_Klasse!$AI$31=1,INDEX(position_klasse[klasse_stuff_match],MATCH(outputs_checks[[#This Row],[position_input]],position_klasse[Position],0))))</f>
        <v>#N/A</v>
      </c>
      <c r="PD226" s="199" t="e">
        <f>IF(_Calcs_Klasse!$AI$31=2,INDEX(position_klasse[klasse_stuff_match],MATCH(outputs_checks[[#This Row],[Position]],position_klasse[Position],0)),IF(_Calcs_Klasse!$AI$31=1,INDEX(position_klasse[klasse_stuff_match],MATCH(outputs_checks[[#This Row],[position_input]],position_klasse[Position],0))))</f>
        <v>#N/A</v>
      </c>
      <c r="PE226" s="199" t="e">
        <f>IF(_Calcs_Klasse!$AI$31=2,INDEX(position_klasse[klasse_stuff_match],MATCH(outputs_checks[[#This Row],[Position]],position_klasse[Position],0)),IF(_Calcs_Klasse!$AI$31=1,INDEX(position_klasse[klasse_stuff_match],MATCH(outputs_checks[[#This Row],[position_input]],position_klasse[Position],0))))</f>
        <v>#N/A</v>
      </c>
      <c r="PF226" s="199" t="e">
        <f>IF(_Calcs_Klasse!$AI$31=2,INDEX(position_klasse[klasse_stuff_match],MATCH(outputs_checks[[#This Row],[Position]],position_klasse[Position],0)),IF(_Calcs_Klasse!$AI$31=1,INDEX(position_klasse[klasse_stuff_match],MATCH(outputs_checks[[#This Row],[position_input]],position_klasse[Position],0))))</f>
        <v>#N/A</v>
      </c>
      <c r="PG226" s="199" t="e">
        <f>IF(_Calcs_Klasse!$AI$31=2,INDEX(position_klasse[klasse_stuff_match],MATCH(outputs_checks[[#This Row],[Position]],position_klasse[Position],0)),IF(_Calcs_Klasse!$AI$31=1,INDEX(position_klasse[klasse_stuff_match],MATCH(outputs_checks[[#This Row],[position_input]],position_klasse[Position],0))))</f>
        <v>#N/A</v>
      </c>
      <c r="PH226" s="199" t="e">
        <f>IF(_Calcs_Klasse!$AI$31=2,INDEX(position_klasse[klasse_stuff_match],MATCH(outputs_checks[[#This Row],[Position]],position_klasse[Position],0)),IF(_Calcs_Klasse!$AI$31=1,INDEX(position_klasse[klasse_stuff_match],MATCH(outputs_checks[[#This Row],[position_input]],position_klasse[Position],0))))</f>
        <v>#N/A</v>
      </c>
      <c r="PI226" s="199" t="e">
        <f>IF(_Calcs_Klasse!$AI$31=2,INDEX(position_klasse[klasse_stuff_match],MATCH(outputs_checks[[#This Row],[Position]],position_klasse[Position],0)),IF(_Calcs_Klasse!$AI$31=1,INDEX(position_klasse[klasse_stuff_match],MATCH(outputs_checks[[#This Row],[position_input]],position_klasse[Position],0))))</f>
        <v>#N/A</v>
      </c>
      <c r="PJ226" s="1574">
        <f>COUNTIF(outputs_checks[[#This Row],[manuell]:[kartlegging]],0)</f>
        <v>0</v>
      </c>
      <c r="PK226" s="1574">
        <f>COUNTIF(outputs_checks[[#This Row],[lt4m]:[gt4m]],0)</f>
        <v>0</v>
      </c>
      <c r="PL226" s="1574">
        <f>COUNTIF(outputs_checks[[#This Row],[bånd]:[nett]],0)</f>
        <v>0</v>
      </c>
      <c r="PM226" s="1574">
        <f>COUNTIF(outputs_checks[[#This Row],[shotcrete]],0)</f>
        <v>0</v>
      </c>
      <c r="PN226" s="1574">
        <f>COUNTIF(outputs_checks[[#This Row],[buer]],0)</f>
        <v>0</v>
      </c>
      <c r="PO226" s="1574">
        <f>COUNTIF(outputs_checks[[#This Row],[sik123]:[sik4]],0)</f>
        <v>0</v>
      </c>
      <c r="PP226" s="247">
        <f>SUM(outputs_checks[[#This Row],[oppsum_manuell]:[oppsum_sik]])</f>
        <v>0</v>
      </c>
      <c r="PQ226"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26" s="256">
        <f t="shared" si="295"/>
        <v>1</v>
      </c>
      <c r="PS226" s="256">
        <f t="shared" si="295"/>
        <v>1</v>
      </c>
      <c r="PT226" s="256">
        <f t="shared" si="295"/>
        <v>0</v>
      </c>
      <c r="PU226" s="256">
        <f t="shared" si="296"/>
        <v>0</v>
      </c>
      <c r="PV226"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X226" s="184"/>
      <c r="RO226" s="183"/>
      <c r="RQ226" s="183"/>
      <c r="RR226" s="210"/>
      <c r="RT226" s="210"/>
      <c r="SR226" s="183"/>
      <c r="SS226" s="183"/>
      <c r="SU226" s="184"/>
      <c r="SV226" s="184"/>
      <c r="UK226" s="183"/>
      <c r="UL226" s="183"/>
      <c r="UM226" s="183"/>
      <c r="UO226" s="184"/>
      <c r="UP226" s="1754"/>
      <c r="UX226" s="265"/>
      <c r="VB226" s="402"/>
      <c r="WG226" s="265"/>
      <c r="WH226" s="265"/>
      <c r="WI226" s="265"/>
    </row>
    <row r="227" spans="54:607" ht="15" thickBot="1" x14ac:dyDescent="0.25">
      <c r="BB227" s="340" t="str">
        <f t="shared" ref="BB227:BB235" si="303">BB158</f>
        <v>Stuff 1-1</v>
      </c>
      <c r="BC227" s="185">
        <f>IF($BC$38=1,0,IF($BC$38=2,1,0))</f>
        <v>1</v>
      </c>
      <c r="BD227" s="185">
        <f>IF($BC$34&gt;0,1,0)</f>
        <v>1</v>
      </c>
      <c r="BE227" s="253">
        <f>IF($BC$38=2,INDEX(outputs_position[11],MATCH($BC$35,outputs_position[lopstuff],0)),0)</f>
        <v>1</v>
      </c>
      <c r="BF227" s="199">
        <v>11</v>
      </c>
      <c r="BG227" s="252" t="str">
        <f t="shared" si="297"/>
        <v>Stuff 1-1</v>
      </c>
      <c r="BH227" s="212">
        <f>IFERROR((INDEX(position_stuff[Redusertsalvelengde],MATCH($BE227,position_stuff[Position],0))/$BH$221),0)</f>
        <v>0</v>
      </c>
      <c r="BI227" s="212">
        <f>IFERROR((INDEX(position_stuff[Todelttverrsnitt],MATCH($BE227,position_stuff[Position],0))/$BI$221),0)</f>
        <v>0</v>
      </c>
      <c r="BJ227" s="212">
        <f>IFERROR((INDEX(position_stuff[Redusertsalvelengdeogtodelttverrsnitt],MATCH($BE227,position_stuff[Position],0))/$BJ$221),0)</f>
        <v>0</v>
      </c>
      <c r="BK227" s="212">
        <f>IFERROR((INDEX(position_stuff[Normal],MATCH($BE227,position_stuff[Position],0))/$BK$221),0)</f>
        <v>0</v>
      </c>
      <c r="BL227" s="260">
        <f>IFERROR((INDEX(position_stuff[total_nisjer],MATCH($BE227,position_stuff[Position],0))/$BL$221),0)</f>
        <v>0</v>
      </c>
      <c r="BM227" s="212">
        <f>outputs_spreng[[#This Row],[Redusertsalvelengde]]+outputs_spreng[[#This Row],[Todelttverrsnitt]]+outputs_spreng[[#This Row],[Redusertsalvelengdeogtodelttverrsnitt]]+outputs_spreng[[#This Row],[Normal]]+outputs_spreng[[#This Row],[total_nisjer]]</f>
        <v>0</v>
      </c>
      <c r="BN227" s="212">
        <f>outputs_spreng[[#This Row],[Redusertsalvelengde]]+outputs_spreng[[#This Row],[Todelttverrsnitt]]+outputs_spreng[[#This Row],[Redusertsalvelengdeogtodelttverrsnitt]]+outputs_spreng[[#This Row],[Normal]]</f>
        <v>0</v>
      </c>
      <c r="BO227" s="212">
        <f>outputs_spreng[[#This Row],[total_tid]]/$AI$80</f>
        <v>0</v>
      </c>
      <c r="NK227" s="439" t="str">
        <f>$NO$70</f>
        <v>Stuff 1-4</v>
      </c>
      <c r="NL227" s="451" t="s">
        <v>1157</v>
      </c>
      <c r="NM227" s="256">
        <f t="shared" si="293"/>
        <v>0</v>
      </c>
      <c r="NN227" s="393">
        <f t="shared" ref="NN227" si="304">IF($BC$38=1,NN218,IF($BC$38=2,NN209))</f>
        <v>0</v>
      </c>
      <c r="NO227" s="256">
        <f t="shared" si="299"/>
        <v>1</v>
      </c>
      <c r="NP227" s="256" t="e">
        <f t="shared" ref="NP227:OX227" si="305">IF($BC$38=1,NP218,IF($BC$38=2,NP209))</f>
        <v>#N/A</v>
      </c>
      <c r="NQ227" s="256" t="e">
        <f t="shared" si="305"/>
        <v>#N/A</v>
      </c>
      <c r="NR227" s="256" t="e">
        <f t="shared" si="305"/>
        <v>#N/A</v>
      </c>
      <c r="NS227" s="256" t="e">
        <f t="shared" si="305"/>
        <v>#N/A</v>
      </c>
      <c r="NT227" s="256">
        <f t="shared" si="305"/>
        <v>0</v>
      </c>
      <c r="NU227" s="256" t="e">
        <f t="shared" si="305"/>
        <v>#N/A</v>
      </c>
      <c r="NV227" s="256" t="e">
        <f t="shared" si="305"/>
        <v>#N/A</v>
      </c>
      <c r="NW227" s="256" t="e">
        <f t="shared" si="305"/>
        <v>#N/A</v>
      </c>
      <c r="NX227" s="256" t="e">
        <f t="shared" si="305"/>
        <v>#N/A</v>
      </c>
      <c r="NY227" s="194" t="e">
        <f t="shared" si="305"/>
        <v>#N/A</v>
      </c>
      <c r="NZ227" s="256" t="e">
        <f t="shared" si="305"/>
        <v>#N/A</v>
      </c>
      <c r="OA227" s="256" t="e">
        <f t="shared" si="305"/>
        <v>#N/A</v>
      </c>
      <c r="OB227" s="256" t="e">
        <f t="shared" si="305"/>
        <v>#N/A</v>
      </c>
      <c r="OC227" s="256" t="e">
        <f t="shared" si="305"/>
        <v>#N/A</v>
      </c>
      <c r="OD227" s="256" t="e">
        <f t="shared" si="305"/>
        <v>#N/A</v>
      </c>
      <c r="OE227" s="256" t="e">
        <f t="shared" si="305"/>
        <v>#N/A</v>
      </c>
      <c r="OF227" s="256" t="e">
        <f t="shared" si="305"/>
        <v>#N/A</v>
      </c>
      <c r="OG227" s="256" t="e">
        <f t="shared" si="305"/>
        <v>#N/A</v>
      </c>
      <c r="OH227" s="256" t="e">
        <f t="shared" si="305"/>
        <v>#N/A</v>
      </c>
      <c r="OI227" s="256" t="e">
        <f t="shared" si="305"/>
        <v>#N/A</v>
      </c>
      <c r="OJ227" s="256" t="e">
        <f t="shared" si="305"/>
        <v>#N/A</v>
      </c>
      <c r="OK227" s="256" t="e">
        <f t="shared" si="305"/>
        <v>#N/A</v>
      </c>
      <c r="OL227" s="256" t="e">
        <f t="shared" si="305"/>
        <v>#N/A</v>
      </c>
      <c r="OM227" s="256" t="e">
        <f t="shared" si="305"/>
        <v>#N/A</v>
      </c>
      <c r="ON227" s="256" t="e">
        <f t="shared" si="305"/>
        <v>#N/A</v>
      </c>
      <c r="OO227" s="256" t="e">
        <f t="shared" si="305"/>
        <v>#N/A</v>
      </c>
      <c r="OP227" s="256" t="e">
        <f t="shared" si="305"/>
        <v>#N/A</v>
      </c>
      <c r="OQ227" s="256"/>
      <c r="OR227" s="256" t="e">
        <f t="shared" si="305"/>
        <v>#N/A</v>
      </c>
      <c r="OS227" s="256" t="e">
        <f t="shared" si="305"/>
        <v>#N/A</v>
      </c>
      <c r="OT227" s="256" t="e">
        <f t="shared" si="305"/>
        <v>#N/A</v>
      </c>
      <c r="OU227" s="256"/>
      <c r="OV227" s="256">
        <f t="shared" si="305"/>
        <v>0</v>
      </c>
      <c r="OW227" s="256">
        <f t="shared" si="305"/>
        <v>0</v>
      </c>
      <c r="OX227" s="256">
        <f t="shared" si="305"/>
        <v>0</v>
      </c>
      <c r="OY227" s="199" t="e">
        <f>IF(_Calcs_Klasse!$AI$31=2,INDEX(position_klasse[klasse_stuff_match],MATCH(outputs_checks[[#This Row],[Position]],position_klasse[Position],0)),IF(_Calcs_Klasse!$AI$31=1,INDEX(position_klasse[klasse_stuff_match],MATCH(outputs_checks[[#This Row],[position_input]],position_klasse[Position],0))))</f>
        <v>#N/A</v>
      </c>
      <c r="OZ227" s="199" t="e">
        <f>IF(_Calcs_Klasse!$AI$31=2,INDEX(position_klasse[klasse_stuff_match],MATCH(outputs_checks[[#This Row],[Position]],position_klasse[Position],0)),IF(_Calcs_Klasse!$AI$31=1,INDEX(position_klasse[klasse_stuff_match],MATCH(outputs_checks[[#This Row],[position_input]],position_klasse[Position],0))))</f>
        <v>#N/A</v>
      </c>
      <c r="PA227" s="199" t="e">
        <f>IF(_Calcs_Klasse!$AI$31=2,INDEX(position_klasse[klasse_stuff_match],MATCH(outputs_checks[[#This Row],[Position]],position_klasse[Position],0)),IF(_Calcs_Klasse!$AI$31=1,INDEX(position_klasse[klasse_stuff_match],MATCH(outputs_checks[[#This Row],[position_input]],position_klasse[Position],0))))</f>
        <v>#N/A</v>
      </c>
      <c r="PB227" s="199" t="e">
        <f>IF(_Calcs_Klasse!$AI$31=2,INDEX(position_klasse[klasse_stuff_match],MATCH(outputs_checks[[#This Row],[Position]],position_klasse[Position],0)),IF(_Calcs_Klasse!$AI$31=1,INDEX(position_klasse[klasse_stuff_match],MATCH(outputs_checks[[#This Row],[position_input]],position_klasse[Position],0))))</f>
        <v>#N/A</v>
      </c>
      <c r="PC227" s="199" t="e">
        <f>IF(_Calcs_Klasse!$AI$31=2,INDEX(position_klasse[klasse_stuff_match],MATCH(outputs_checks[[#This Row],[Position]],position_klasse[Position],0)),IF(_Calcs_Klasse!$AI$31=1,INDEX(position_klasse[klasse_stuff_match],MATCH(outputs_checks[[#This Row],[position_input]],position_klasse[Position],0))))</f>
        <v>#N/A</v>
      </c>
      <c r="PD227" s="199" t="e">
        <f>IF(_Calcs_Klasse!$AI$31=2,INDEX(position_klasse[klasse_stuff_match],MATCH(outputs_checks[[#This Row],[Position]],position_klasse[Position],0)),IF(_Calcs_Klasse!$AI$31=1,INDEX(position_klasse[klasse_stuff_match],MATCH(outputs_checks[[#This Row],[position_input]],position_klasse[Position],0))))</f>
        <v>#N/A</v>
      </c>
      <c r="PE227" s="199" t="e">
        <f>IF(_Calcs_Klasse!$AI$31=2,INDEX(position_klasse[klasse_stuff_match],MATCH(outputs_checks[[#This Row],[Position]],position_klasse[Position],0)),IF(_Calcs_Klasse!$AI$31=1,INDEX(position_klasse[klasse_stuff_match],MATCH(outputs_checks[[#This Row],[position_input]],position_klasse[Position],0))))</f>
        <v>#N/A</v>
      </c>
      <c r="PF227" s="199" t="e">
        <f>IF(_Calcs_Klasse!$AI$31=2,INDEX(position_klasse[klasse_stuff_match],MATCH(outputs_checks[[#This Row],[Position]],position_klasse[Position],0)),IF(_Calcs_Klasse!$AI$31=1,INDEX(position_klasse[klasse_stuff_match],MATCH(outputs_checks[[#This Row],[position_input]],position_klasse[Position],0))))</f>
        <v>#N/A</v>
      </c>
      <c r="PG227" s="199" t="e">
        <f>IF(_Calcs_Klasse!$AI$31=2,INDEX(position_klasse[klasse_stuff_match],MATCH(outputs_checks[[#This Row],[Position]],position_klasse[Position],0)),IF(_Calcs_Klasse!$AI$31=1,INDEX(position_klasse[klasse_stuff_match],MATCH(outputs_checks[[#This Row],[position_input]],position_klasse[Position],0))))</f>
        <v>#N/A</v>
      </c>
      <c r="PH227" s="199" t="e">
        <f>IF(_Calcs_Klasse!$AI$31=2,INDEX(position_klasse[klasse_stuff_match],MATCH(outputs_checks[[#This Row],[Position]],position_klasse[Position],0)),IF(_Calcs_Klasse!$AI$31=1,INDEX(position_klasse[klasse_stuff_match],MATCH(outputs_checks[[#This Row],[position_input]],position_klasse[Position],0))))</f>
        <v>#N/A</v>
      </c>
      <c r="PI227" s="199" t="e">
        <f>IF(_Calcs_Klasse!$AI$31=2,INDEX(position_klasse[klasse_stuff_match],MATCH(outputs_checks[[#This Row],[Position]],position_klasse[Position],0)),IF(_Calcs_Klasse!$AI$31=1,INDEX(position_klasse[klasse_stuff_match],MATCH(outputs_checks[[#This Row],[position_input]],position_klasse[Position],0))))</f>
        <v>#N/A</v>
      </c>
      <c r="PJ227" s="1574">
        <f>COUNTIF(outputs_checks[[#This Row],[manuell]:[kartlegging]],0)</f>
        <v>0</v>
      </c>
      <c r="PK227" s="1574">
        <f>COUNTIF(outputs_checks[[#This Row],[lt4m]:[gt4m]],0)</f>
        <v>0</v>
      </c>
      <c r="PL227" s="1574">
        <f>COUNTIF(outputs_checks[[#This Row],[bånd]:[nett]],0)</f>
        <v>0</v>
      </c>
      <c r="PM227" s="1574">
        <f>COUNTIF(outputs_checks[[#This Row],[shotcrete]],0)</f>
        <v>0</v>
      </c>
      <c r="PN227" s="1574">
        <f>COUNTIF(outputs_checks[[#This Row],[buer]],0)</f>
        <v>0</v>
      </c>
      <c r="PO227" s="1574">
        <f>COUNTIF(outputs_checks[[#This Row],[sik123]:[sik4]],0)</f>
        <v>0</v>
      </c>
      <c r="PP227" s="247">
        <f>SUM(outputs_checks[[#This Row],[oppsum_manuell]:[oppsum_sik]])</f>
        <v>0</v>
      </c>
      <c r="PQ227"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27" s="256">
        <f t="shared" si="295"/>
        <v>1</v>
      </c>
      <c r="PS227" s="256">
        <f t="shared" si="295"/>
        <v>1</v>
      </c>
      <c r="PT227" s="256">
        <f t="shared" si="295"/>
        <v>0</v>
      </c>
      <c r="PU227" s="256">
        <f t="shared" si="296"/>
        <v>0</v>
      </c>
      <c r="PV227"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Q227" s="292" t="s">
        <v>336</v>
      </c>
      <c r="QR227" s="278"/>
      <c r="QS227" s="278"/>
      <c r="QT227" s="278"/>
      <c r="QU227" s="278"/>
      <c r="QV227" s="293"/>
      <c r="QX227" s="184"/>
      <c r="RO227" s="183"/>
      <c r="RQ227" s="183"/>
      <c r="RR227" s="210"/>
      <c r="RT227" s="210"/>
      <c r="SR227" s="183"/>
      <c r="SS227" s="183"/>
      <c r="SU227" s="184"/>
      <c r="SV227" s="184"/>
      <c r="UK227" s="183"/>
      <c r="UL227" s="183"/>
      <c r="UM227" s="183"/>
      <c r="UO227" s="184"/>
      <c r="UP227" s="1754"/>
      <c r="UX227" s="265"/>
      <c r="VB227" s="402"/>
      <c r="WG227" s="265"/>
      <c r="WH227" s="265"/>
      <c r="WI227" s="265"/>
    </row>
    <row r="228" spans="54:607" x14ac:dyDescent="0.2">
      <c r="BB228" s="340" t="str">
        <f t="shared" si="303"/>
        <v>Stuff 1-2</v>
      </c>
      <c r="BC228" s="185">
        <f>IF($BC$38=1,0,IF($BC$38=2,2,0))</f>
        <v>2</v>
      </c>
      <c r="BD228" s="185">
        <f>IF($BC$34&gt;1,1,0)</f>
        <v>0</v>
      </c>
      <c r="BE228" s="253">
        <f>IF($BC$38=2,INDEX(outputs_position[12],MATCH($BC$35,outputs_position[lopstuff],0)),0)</f>
        <v>0</v>
      </c>
      <c r="BF228" s="199">
        <v>12</v>
      </c>
      <c r="BG228" s="194" t="str">
        <f t="shared" si="297"/>
        <v>Stuff 1-2</v>
      </c>
      <c r="BH228" s="261">
        <f>IFERROR((INDEX(position_stuff[Redusertsalvelengde],MATCH($BE228,position_stuff[Position],0))/$BH$221),0)</f>
        <v>0</v>
      </c>
      <c r="BI228" s="261">
        <f>IFERROR((INDEX(position_stuff[Todelttverrsnitt],MATCH($BE228,position_stuff[Position],0))/$BI$221),0)</f>
        <v>0</v>
      </c>
      <c r="BJ228" s="261">
        <f>IFERROR((INDEX(position_stuff[Redusertsalvelengdeogtodelttverrsnitt],MATCH($BE228,position_stuff[Position],0))/$BJ$221),0)</f>
        <v>0</v>
      </c>
      <c r="BK228" s="261">
        <f>IFERROR((INDEX(position_stuff[Normal],MATCH($BE228,position_stuff[Position],0))/$BK$221),0)</f>
        <v>0</v>
      </c>
      <c r="BL228" s="262">
        <f>IFERROR((INDEX(position_stuff[total_nisjer],MATCH($BE228,position_stuff[Position],0))/$BL$221),0)</f>
        <v>0</v>
      </c>
      <c r="BM228" s="212">
        <f>outputs_spreng[[#This Row],[Redusertsalvelengde]]+outputs_spreng[[#This Row],[Todelttverrsnitt]]+outputs_spreng[[#This Row],[Redusertsalvelengdeogtodelttverrsnitt]]+outputs_spreng[[#This Row],[Normal]]+outputs_spreng[[#This Row],[total_nisjer]]</f>
        <v>0</v>
      </c>
      <c r="BN228" s="212">
        <f>outputs_spreng[[#This Row],[Redusertsalvelengde]]+outputs_spreng[[#This Row],[Todelttverrsnitt]]+outputs_spreng[[#This Row],[Redusertsalvelengdeogtodelttverrsnitt]]+outputs_spreng[[#This Row],[Normal]]</f>
        <v>0</v>
      </c>
      <c r="BO228" s="212">
        <f>outputs_spreng[[#This Row],[total_tid]]/$AI$80</f>
        <v>0</v>
      </c>
      <c r="NK228" s="439" t="str">
        <f>$NO$71</f>
        <v>Stuff 2-1</v>
      </c>
      <c r="NL228" s="451" t="s">
        <v>1158</v>
      </c>
      <c r="NM228" s="256">
        <f t="shared" si="293"/>
        <v>0</v>
      </c>
      <c r="NN228" s="393">
        <f t="shared" ref="NN228" si="306">IF($BC$38=1,NN219,IF($BC$38=2,NN210))</f>
        <v>0</v>
      </c>
      <c r="NO228" s="256">
        <f t="shared" si="299"/>
        <v>1</v>
      </c>
      <c r="NP228" s="256" t="e">
        <f t="shared" ref="NP228:OX228" si="307">IF($BC$38=1,NP219,IF($BC$38=2,NP210))</f>
        <v>#N/A</v>
      </c>
      <c r="NQ228" s="256" t="e">
        <f t="shared" si="307"/>
        <v>#N/A</v>
      </c>
      <c r="NR228" s="256" t="e">
        <f t="shared" si="307"/>
        <v>#N/A</v>
      </c>
      <c r="NS228" s="256" t="e">
        <f t="shared" si="307"/>
        <v>#N/A</v>
      </c>
      <c r="NT228" s="256">
        <f t="shared" si="307"/>
        <v>0</v>
      </c>
      <c r="NU228" s="256" t="e">
        <f t="shared" si="307"/>
        <v>#N/A</v>
      </c>
      <c r="NV228" s="256" t="e">
        <f t="shared" si="307"/>
        <v>#N/A</v>
      </c>
      <c r="NW228" s="256" t="e">
        <f t="shared" si="307"/>
        <v>#N/A</v>
      </c>
      <c r="NX228" s="256" t="e">
        <f t="shared" si="307"/>
        <v>#N/A</v>
      </c>
      <c r="NY228" s="194" t="e">
        <f t="shared" si="307"/>
        <v>#N/A</v>
      </c>
      <c r="NZ228" s="256" t="e">
        <f t="shared" si="307"/>
        <v>#N/A</v>
      </c>
      <c r="OA228" s="256" t="e">
        <f t="shared" si="307"/>
        <v>#N/A</v>
      </c>
      <c r="OB228" s="256" t="e">
        <f t="shared" si="307"/>
        <v>#N/A</v>
      </c>
      <c r="OC228" s="256" t="e">
        <f t="shared" si="307"/>
        <v>#N/A</v>
      </c>
      <c r="OD228" s="256" t="e">
        <f t="shared" si="307"/>
        <v>#N/A</v>
      </c>
      <c r="OE228" s="256" t="e">
        <f t="shared" si="307"/>
        <v>#N/A</v>
      </c>
      <c r="OF228" s="256" t="e">
        <f t="shared" si="307"/>
        <v>#N/A</v>
      </c>
      <c r="OG228" s="256" t="e">
        <f t="shared" si="307"/>
        <v>#N/A</v>
      </c>
      <c r="OH228" s="256" t="e">
        <f t="shared" si="307"/>
        <v>#N/A</v>
      </c>
      <c r="OI228" s="256" t="e">
        <f t="shared" si="307"/>
        <v>#N/A</v>
      </c>
      <c r="OJ228" s="256" t="e">
        <f t="shared" si="307"/>
        <v>#N/A</v>
      </c>
      <c r="OK228" s="256" t="e">
        <f t="shared" si="307"/>
        <v>#N/A</v>
      </c>
      <c r="OL228" s="256" t="e">
        <f t="shared" si="307"/>
        <v>#N/A</v>
      </c>
      <c r="OM228" s="256" t="e">
        <f t="shared" si="307"/>
        <v>#N/A</v>
      </c>
      <c r="ON228" s="256" t="e">
        <f t="shared" si="307"/>
        <v>#N/A</v>
      </c>
      <c r="OO228" s="256" t="e">
        <f t="shared" si="307"/>
        <v>#N/A</v>
      </c>
      <c r="OP228" s="256" t="e">
        <f t="shared" si="307"/>
        <v>#N/A</v>
      </c>
      <c r="OQ228" s="256"/>
      <c r="OR228" s="256" t="e">
        <f t="shared" si="307"/>
        <v>#N/A</v>
      </c>
      <c r="OS228" s="256" t="e">
        <f t="shared" si="307"/>
        <v>#N/A</v>
      </c>
      <c r="OT228" s="256" t="e">
        <f t="shared" si="307"/>
        <v>#N/A</v>
      </c>
      <c r="OU228" s="256"/>
      <c r="OV228" s="256">
        <f t="shared" si="307"/>
        <v>0</v>
      </c>
      <c r="OW228" s="256">
        <f t="shared" si="307"/>
        <v>0</v>
      </c>
      <c r="OX228" s="256">
        <f t="shared" si="307"/>
        <v>0</v>
      </c>
      <c r="OY228" s="199" t="e">
        <f>IF(_Calcs_Klasse!$AI$31=2,INDEX(position_klasse[klasse_stuff_match],MATCH(outputs_checks[[#This Row],[Position]],position_klasse[Position],0)),IF(_Calcs_Klasse!$AI$31=1,INDEX(position_klasse[klasse_stuff_match],MATCH(outputs_checks[[#This Row],[position_input]],position_klasse[Position],0))))</f>
        <v>#N/A</v>
      </c>
      <c r="OZ228" s="199" t="e">
        <f>IF(_Calcs_Klasse!$AI$31=2,INDEX(position_klasse[klasse_stuff_match],MATCH(outputs_checks[[#This Row],[Position]],position_klasse[Position],0)),IF(_Calcs_Klasse!$AI$31=1,INDEX(position_klasse[klasse_stuff_match],MATCH(outputs_checks[[#This Row],[position_input]],position_klasse[Position],0))))</f>
        <v>#N/A</v>
      </c>
      <c r="PA228" s="199" t="e">
        <f>IF(_Calcs_Klasse!$AI$31=2,INDEX(position_klasse[klasse_stuff_match],MATCH(outputs_checks[[#This Row],[Position]],position_klasse[Position],0)),IF(_Calcs_Klasse!$AI$31=1,INDEX(position_klasse[klasse_stuff_match],MATCH(outputs_checks[[#This Row],[position_input]],position_klasse[Position],0))))</f>
        <v>#N/A</v>
      </c>
      <c r="PB228" s="199" t="e">
        <f>IF(_Calcs_Klasse!$AI$31=2,INDEX(position_klasse[klasse_stuff_match],MATCH(outputs_checks[[#This Row],[Position]],position_klasse[Position],0)),IF(_Calcs_Klasse!$AI$31=1,INDEX(position_klasse[klasse_stuff_match],MATCH(outputs_checks[[#This Row],[position_input]],position_klasse[Position],0))))</f>
        <v>#N/A</v>
      </c>
      <c r="PC228" s="199" t="e">
        <f>IF(_Calcs_Klasse!$AI$31=2,INDEX(position_klasse[klasse_stuff_match],MATCH(outputs_checks[[#This Row],[Position]],position_klasse[Position],0)),IF(_Calcs_Klasse!$AI$31=1,INDEX(position_klasse[klasse_stuff_match],MATCH(outputs_checks[[#This Row],[position_input]],position_klasse[Position],0))))</f>
        <v>#N/A</v>
      </c>
      <c r="PD228" s="199" t="e">
        <f>IF(_Calcs_Klasse!$AI$31=2,INDEX(position_klasse[klasse_stuff_match],MATCH(outputs_checks[[#This Row],[Position]],position_klasse[Position],0)),IF(_Calcs_Klasse!$AI$31=1,INDEX(position_klasse[klasse_stuff_match],MATCH(outputs_checks[[#This Row],[position_input]],position_klasse[Position],0))))</f>
        <v>#N/A</v>
      </c>
      <c r="PE228" s="199" t="e">
        <f>IF(_Calcs_Klasse!$AI$31=2,INDEX(position_klasse[klasse_stuff_match],MATCH(outputs_checks[[#This Row],[Position]],position_klasse[Position],0)),IF(_Calcs_Klasse!$AI$31=1,INDEX(position_klasse[klasse_stuff_match],MATCH(outputs_checks[[#This Row],[position_input]],position_klasse[Position],0))))</f>
        <v>#N/A</v>
      </c>
      <c r="PF228" s="199" t="e">
        <f>IF(_Calcs_Klasse!$AI$31=2,INDEX(position_klasse[klasse_stuff_match],MATCH(outputs_checks[[#This Row],[Position]],position_klasse[Position],0)),IF(_Calcs_Klasse!$AI$31=1,INDEX(position_klasse[klasse_stuff_match],MATCH(outputs_checks[[#This Row],[position_input]],position_klasse[Position],0))))</f>
        <v>#N/A</v>
      </c>
      <c r="PG228" s="199" t="e">
        <f>IF(_Calcs_Klasse!$AI$31=2,INDEX(position_klasse[klasse_stuff_match],MATCH(outputs_checks[[#This Row],[Position]],position_klasse[Position],0)),IF(_Calcs_Klasse!$AI$31=1,INDEX(position_klasse[klasse_stuff_match],MATCH(outputs_checks[[#This Row],[position_input]],position_klasse[Position],0))))</f>
        <v>#N/A</v>
      </c>
      <c r="PH228" s="199" t="e">
        <f>IF(_Calcs_Klasse!$AI$31=2,INDEX(position_klasse[klasse_stuff_match],MATCH(outputs_checks[[#This Row],[Position]],position_klasse[Position],0)),IF(_Calcs_Klasse!$AI$31=1,INDEX(position_klasse[klasse_stuff_match],MATCH(outputs_checks[[#This Row],[position_input]],position_klasse[Position],0))))</f>
        <v>#N/A</v>
      </c>
      <c r="PI228" s="199" t="e">
        <f>IF(_Calcs_Klasse!$AI$31=2,INDEX(position_klasse[klasse_stuff_match],MATCH(outputs_checks[[#This Row],[Position]],position_klasse[Position],0)),IF(_Calcs_Klasse!$AI$31=1,INDEX(position_klasse[klasse_stuff_match],MATCH(outputs_checks[[#This Row],[position_input]],position_klasse[Position],0))))</f>
        <v>#N/A</v>
      </c>
      <c r="PJ228" s="1574">
        <f>COUNTIF(outputs_checks[[#This Row],[manuell]:[kartlegging]],0)</f>
        <v>0</v>
      </c>
      <c r="PK228" s="1574">
        <f>COUNTIF(outputs_checks[[#This Row],[lt4m]:[gt4m]],0)</f>
        <v>0</v>
      </c>
      <c r="PL228" s="1574">
        <f>COUNTIF(outputs_checks[[#This Row],[bånd]:[nett]],0)</f>
        <v>0</v>
      </c>
      <c r="PM228" s="1574">
        <f>COUNTIF(outputs_checks[[#This Row],[shotcrete]],0)</f>
        <v>0</v>
      </c>
      <c r="PN228" s="1574">
        <f>COUNTIF(outputs_checks[[#This Row],[buer]],0)</f>
        <v>0</v>
      </c>
      <c r="PO228" s="1574">
        <f>COUNTIF(outputs_checks[[#This Row],[sik123]:[sik4]],0)</f>
        <v>0</v>
      </c>
      <c r="PP228" s="247">
        <f>SUM(outputs_checks[[#This Row],[oppsum_manuell]:[oppsum_sik]])</f>
        <v>0</v>
      </c>
      <c r="PQ228"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28" s="256">
        <f t="shared" si="295"/>
        <v>1</v>
      </c>
      <c r="PS228" s="256">
        <f t="shared" si="295"/>
        <v>1</v>
      </c>
      <c r="PT228" s="256">
        <f t="shared" si="295"/>
        <v>0</v>
      </c>
      <c r="PU228" s="256">
        <f t="shared" si="296"/>
        <v>0</v>
      </c>
      <c r="PV228"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X228" s="184"/>
      <c r="RO228" s="183"/>
      <c r="RQ228" s="183"/>
      <c r="RR228" s="210"/>
      <c r="RT228" s="210"/>
      <c r="SR228" s="183"/>
      <c r="SS228" s="183"/>
      <c r="SU228" s="184"/>
      <c r="SV228" s="184"/>
      <c r="UK228" s="183"/>
      <c r="UL228" s="183"/>
      <c r="UM228" s="183"/>
      <c r="UO228" s="184"/>
      <c r="UP228" s="1754"/>
      <c r="UX228" s="265"/>
      <c r="VB228" s="402"/>
      <c r="WG228" s="265"/>
      <c r="WH228" s="265"/>
      <c r="WI228" s="265"/>
    </row>
    <row r="229" spans="54:607" x14ac:dyDescent="0.2">
      <c r="BB229" s="340" t="str">
        <f t="shared" si="303"/>
        <v>Stuff 1-3</v>
      </c>
      <c r="BC229" s="185">
        <f>IF($BC$38=1,0,IF($BC$38=2,3,0))</f>
        <v>3</v>
      </c>
      <c r="BD229" s="185">
        <f>IF($BC$34&gt;2,1,0)</f>
        <v>0</v>
      </c>
      <c r="BE229" s="253">
        <f>IF($BC$38=2,INDEX(outputs_position[13],MATCH($BC$35,outputs_position[lopstuff],0)),0)</f>
        <v>0</v>
      </c>
      <c r="BF229" s="199">
        <v>13</v>
      </c>
      <c r="BG229" s="194" t="str">
        <f t="shared" si="297"/>
        <v>Stuff 1-3</v>
      </c>
      <c r="BH229" s="261">
        <f>IFERROR((INDEX(position_stuff[Redusertsalvelengde],MATCH($BE229,position_stuff[Position],0))/$BH$221),0)</f>
        <v>0</v>
      </c>
      <c r="BI229" s="261">
        <f>IFERROR((INDEX(position_stuff[Todelttverrsnitt],MATCH($BE229,position_stuff[Position],0))/$BI$221),0)</f>
        <v>0</v>
      </c>
      <c r="BJ229" s="261">
        <f>IFERROR((INDEX(position_stuff[Redusertsalvelengdeogtodelttverrsnitt],MATCH($BE229,position_stuff[Position],0))/$BJ$221),0)</f>
        <v>0</v>
      </c>
      <c r="BK229" s="261">
        <f>IFERROR((INDEX(position_stuff[Normal],MATCH($BE229,position_stuff[Position],0))/$BK$221),0)</f>
        <v>0</v>
      </c>
      <c r="BL229" s="262">
        <f>IFERROR((INDEX(position_stuff[total_nisjer],MATCH($BE229,position_stuff[Position],0))/$BL$221),0)</f>
        <v>0</v>
      </c>
      <c r="BM229" s="212">
        <f>outputs_spreng[[#This Row],[Redusertsalvelengde]]+outputs_spreng[[#This Row],[Todelttverrsnitt]]+outputs_spreng[[#This Row],[Redusertsalvelengdeogtodelttverrsnitt]]+outputs_spreng[[#This Row],[Normal]]+outputs_spreng[[#This Row],[total_nisjer]]</f>
        <v>0</v>
      </c>
      <c r="BN229" s="212">
        <f>outputs_spreng[[#This Row],[Redusertsalvelengde]]+outputs_spreng[[#This Row],[Todelttverrsnitt]]+outputs_spreng[[#This Row],[Redusertsalvelengdeogtodelttverrsnitt]]+outputs_spreng[[#This Row],[Normal]]</f>
        <v>0</v>
      </c>
      <c r="BO229" s="212">
        <f>outputs_spreng[[#This Row],[total_tid]]/$AI$80</f>
        <v>0</v>
      </c>
      <c r="NK229" s="439" t="str">
        <f>$NO$72</f>
        <v>Stuff 2-2</v>
      </c>
      <c r="NL229" s="451" t="s">
        <v>1159</v>
      </c>
      <c r="NM229" s="256">
        <f t="shared" si="293"/>
        <v>0</v>
      </c>
      <c r="NN229" s="393">
        <f t="shared" ref="NN229" si="308">IF($BC$38=1,NN220,IF($BC$38=2,NN211))</f>
        <v>0</v>
      </c>
      <c r="NO229" s="256">
        <f t="shared" si="299"/>
        <v>1</v>
      </c>
      <c r="NP229" s="256" t="e">
        <f t="shared" ref="NP229:OX229" si="309">IF($BC$38=1,NP220,IF($BC$38=2,NP211))</f>
        <v>#N/A</v>
      </c>
      <c r="NQ229" s="256" t="e">
        <f t="shared" si="309"/>
        <v>#N/A</v>
      </c>
      <c r="NR229" s="256" t="e">
        <f t="shared" si="309"/>
        <v>#N/A</v>
      </c>
      <c r="NS229" s="256" t="e">
        <f t="shared" si="309"/>
        <v>#N/A</v>
      </c>
      <c r="NT229" s="256">
        <f t="shared" si="309"/>
        <v>0</v>
      </c>
      <c r="NU229" s="256" t="e">
        <f t="shared" si="309"/>
        <v>#N/A</v>
      </c>
      <c r="NV229" s="256" t="e">
        <f t="shared" si="309"/>
        <v>#N/A</v>
      </c>
      <c r="NW229" s="256" t="e">
        <f t="shared" si="309"/>
        <v>#N/A</v>
      </c>
      <c r="NX229" s="256" t="e">
        <f t="shared" si="309"/>
        <v>#N/A</v>
      </c>
      <c r="NY229" s="194" t="e">
        <f t="shared" si="309"/>
        <v>#N/A</v>
      </c>
      <c r="NZ229" s="256" t="e">
        <f t="shared" si="309"/>
        <v>#N/A</v>
      </c>
      <c r="OA229" s="256" t="e">
        <f t="shared" si="309"/>
        <v>#N/A</v>
      </c>
      <c r="OB229" s="256" t="e">
        <f t="shared" si="309"/>
        <v>#N/A</v>
      </c>
      <c r="OC229" s="256" t="e">
        <f t="shared" si="309"/>
        <v>#N/A</v>
      </c>
      <c r="OD229" s="256" t="e">
        <f t="shared" si="309"/>
        <v>#N/A</v>
      </c>
      <c r="OE229" s="256" t="e">
        <f t="shared" si="309"/>
        <v>#N/A</v>
      </c>
      <c r="OF229" s="256" t="e">
        <f t="shared" si="309"/>
        <v>#N/A</v>
      </c>
      <c r="OG229" s="256" t="e">
        <f t="shared" si="309"/>
        <v>#N/A</v>
      </c>
      <c r="OH229" s="256" t="e">
        <f t="shared" si="309"/>
        <v>#N/A</v>
      </c>
      <c r="OI229" s="256" t="e">
        <f t="shared" si="309"/>
        <v>#N/A</v>
      </c>
      <c r="OJ229" s="256" t="e">
        <f t="shared" si="309"/>
        <v>#N/A</v>
      </c>
      <c r="OK229" s="256" t="e">
        <f t="shared" si="309"/>
        <v>#N/A</v>
      </c>
      <c r="OL229" s="256" t="e">
        <f t="shared" si="309"/>
        <v>#N/A</v>
      </c>
      <c r="OM229" s="256" t="e">
        <f t="shared" si="309"/>
        <v>#N/A</v>
      </c>
      <c r="ON229" s="256" t="e">
        <f t="shared" si="309"/>
        <v>#N/A</v>
      </c>
      <c r="OO229" s="256" t="e">
        <f t="shared" si="309"/>
        <v>#N/A</v>
      </c>
      <c r="OP229" s="256" t="e">
        <f t="shared" si="309"/>
        <v>#N/A</v>
      </c>
      <c r="OQ229" s="256"/>
      <c r="OR229" s="256" t="e">
        <f t="shared" si="309"/>
        <v>#N/A</v>
      </c>
      <c r="OS229" s="256" t="e">
        <f t="shared" si="309"/>
        <v>#N/A</v>
      </c>
      <c r="OT229" s="256" t="e">
        <f t="shared" si="309"/>
        <v>#N/A</v>
      </c>
      <c r="OU229" s="256"/>
      <c r="OV229" s="256">
        <f t="shared" si="309"/>
        <v>0</v>
      </c>
      <c r="OW229" s="256">
        <f t="shared" si="309"/>
        <v>0</v>
      </c>
      <c r="OX229" s="256">
        <f t="shared" si="309"/>
        <v>0</v>
      </c>
      <c r="OY229" s="199" t="e">
        <f>IF(_Calcs_Klasse!$AI$31=2,INDEX(position_klasse[klasse_stuff_match],MATCH(outputs_checks[[#This Row],[Position]],position_klasse[Position],0)),IF(_Calcs_Klasse!$AI$31=1,INDEX(position_klasse[klasse_stuff_match],MATCH(outputs_checks[[#This Row],[position_input]],position_klasse[Position],0))))</f>
        <v>#N/A</v>
      </c>
      <c r="OZ229" s="199" t="e">
        <f>IF(_Calcs_Klasse!$AI$31=2,INDEX(position_klasse[klasse_stuff_match],MATCH(outputs_checks[[#This Row],[Position]],position_klasse[Position],0)),IF(_Calcs_Klasse!$AI$31=1,INDEX(position_klasse[klasse_stuff_match],MATCH(outputs_checks[[#This Row],[position_input]],position_klasse[Position],0))))</f>
        <v>#N/A</v>
      </c>
      <c r="PA229" s="199" t="e">
        <f>IF(_Calcs_Klasse!$AI$31=2,INDEX(position_klasse[klasse_stuff_match],MATCH(outputs_checks[[#This Row],[Position]],position_klasse[Position],0)),IF(_Calcs_Klasse!$AI$31=1,INDEX(position_klasse[klasse_stuff_match],MATCH(outputs_checks[[#This Row],[position_input]],position_klasse[Position],0))))</f>
        <v>#N/A</v>
      </c>
      <c r="PB229" s="199" t="e">
        <f>IF(_Calcs_Klasse!$AI$31=2,INDEX(position_klasse[klasse_stuff_match],MATCH(outputs_checks[[#This Row],[Position]],position_klasse[Position],0)),IF(_Calcs_Klasse!$AI$31=1,INDEX(position_klasse[klasse_stuff_match],MATCH(outputs_checks[[#This Row],[position_input]],position_klasse[Position],0))))</f>
        <v>#N/A</v>
      </c>
      <c r="PC229" s="199" t="e">
        <f>IF(_Calcs_Klasse!$AI$31=2,INDEX(position_klasse[klasse_stuff_match],MATCH(outputs_checks[[#This Row],[Position]],position_klasse[Position],0)),IF(_Calcs_Klasse!$AI$31=1,INDEX(position_klasse[klasse_stuff_match],MATCH(outputs_checks[[#This Row],[position_input]],position_klasse[Position],0))))</f>
        <v>#N/A</v>
      </c>
      <c r="PD229" s="199" t="e">
        <f>IF(_Calcs_Klasse!$AI$31=2,INDEX(position_klasse[klasse_stuff_match],MATCH(outputs_checks[[#This Row],[Position]],position_klasse[Position],0)),IF(_Calcs_Klasse!$AI$31=1,INDEX(position_klasse[klasse_stuff_match],MATCH(outputs_checks[[#This Row],[position_input]],position_klasse[Position],0))))</f>
        <v>#N/A</v>
      </c>
      <c r="PE229" s="199" t="e">
        <f>IF(_Calcs_Klasse!$AI$31=2,INDEX(position_klasse[klasse_stuff_match],MATCH(outputs_checks[[#This Row],[Position]],position_klasse[Position],0)),IF(_Calcs_Klasse!$AI$31=1,INDEX(position_klasse[klasse_stuff_match],MATCH(outputs_checks[[#This Row],[position_input]],position_klasse[Position],0))))</f>
        <v>#N/A</v>
      </c>
      <c r="PF229" s="199" t="e">
        <f>IF(_Calcs_Klasse!$AI$31=2,INDEX(position_klasse[klasse_stuff_match],MATCH(outputs_checks[[#This Row],[Position]],position_klasse[Position],0)),IF(_Calcs_Klasse!$AI$31=1,INDEX(position_klasse[klasse_stuff_match],MATCH(outputs_checks[[#This Row],[position_input]],position_klasse[Position],0))))</f>
        <v>#N/A</v>
      </c>
      <c r="PG229" s="199" t="e">
        <f>IF(_Calcs_Klasse!$AI$31=2,INDEX(position_klasse[klasse_stuff_match],MATCH(outputs_checks[[#This Row],[Position]],position_klasse[Position],0)),IF(_Calcs_Klasse!$AI$31=1,INDEX(position_klasse[klasse_stuff_match],MATCH(outputs_checks[[#This Row],[position_input]],position_klasse[Position],0))))</f>
        <v>#N/A</v>
      </c>
      <c r="PH229" s="199" t="e">
        <f>IF(_Calcs_Klasse!$AI$31=2,INDEX(position_klasse[klasse_stuff_match],MATCH(outputs_checks[[#This Row],[Position]],position_klasse[Position],0)),IF(_Calcs_Klasse!$AI$31=1,INDEX(position_klasse[klasse_stuff_match],MATCH(outputs_checks[[#This Row],[position_input]],position_klasse[Position],0))))</f>
        <v>#N/A</v>
      </c>
      <c r="PI229" s="199" t="e">
        <f>IF(_Calcs_Klasse!$AI$31=2,INDEX(position_klasse[klasse_stuff_match],MATCH(outputs_checks[[#This Row],[Position]],position_klasse[Position],0)),IF(_Calcs_Klasse!$AI$31=1,INDEX(position_klasse[klasse_stuff_match],MATCH(outputs_checks[[#This Row],[position_input]],position_klasse[Position],0))))</f>
        <v>#N/A</v>
      </c>
      <c r="PJ229" s="1574">
        <f>COUNTIF(outputs_checks[[#This Row],[manuell]:[kartlegging]],0)</f>
        <v>0</v>
      </c>
      <c r="PK229" s="1574">
        <f>COUNTIF(outputs_checks[[#This Row],[lt4m]:[gt4m]],0)</f>
        <v>0</v>
      </c>
      <c r="PL229" s="1574">
        <f>COUNTIF(outputs_checks[[#This Row],[bånd]:[nett]],0)</f>
        <v>0</v>
      </c>
      <c r="PM229" s="1574">
        <f>COUNTIF(outputs_checks[[#This Row],[shotcrete]],0)</f>
        <v>0</v>
      </c>
      <c r="PN229" s="1574">
        <f>COUNTIF(outputs_checks[[#This Row],[buer]],0)</f>
        <v>0</v>
      </c>
      <c r="PO229" s="1574">
        <f>COUNTIF(outputs_checks[[#This Row],[sik123]:[sik4]],0)</f>
        <v>0</v>
      </c>
      <c r="PP229" s="247">
        <f>SUM(outputs_checks[[#This Row],[oppsum_manuell]:[oppsum_sik]])</f>
        <v>0</v>
      </c>
      <c r="PQ229"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29" s="256">
        <f t="shared" si="295"/>
        <v>1</v>
      </c>
      <c r="PS229" s="256">
        <f t="shared" si="295"/>
        <v>1</v>
      </c>
      <c r="PT229" s="256">
        <f t="shared" si="295"/>
        <v>0</v>
      </c>
      <c r="PU229" s="256">
        <f t="shared" si="296"/>
        <v>0</v>
      </c>
      <c r="PV229"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Q229" s="185" t="s">
        <v>268</v>
      </c>
      <c r="QR229" s="185" t="s">
        <v>199</v>
      </c>
      <c r="QS229" s="185" t="s">
        <v>298</v>
      </c>
      <c r="QT229" s="185" t="s">
        <v>219</v>
      </c>
      <c r="QU229" s="185" t="s">
        <v>218</v>
      </c>
      <c r="QV229" s="371" t="s">
        <v>252</v>
      </c>
      <c r="QW229" s="185" t="s">
        <v>217</v>
      </c>
      <c r="QX229" s="371" t="s">
        <v>236</v>
      </c>
      <c r="QY229" s="206"/>
      <c r="QZ229" s="185"/>
      <c r="RA229" s="185" t="s">
        <v>239</v>
      </c>
      <c r="RB229" s="185" t="s">
        <v>238</v>
      </c>
      <c r="RC229" s="187" t="s">
        <v>391</v>
      </c>
      <c r="RO229" s="183"/>
      <c r="RQ229" s="183"/>
      <c r="RR229" s="210"/>
      <c r="RT229" s="210"/>
      <c r="SR229" s="183"/>
      <c r="SS229" s="183"/>
      <c r="SU229" s="184"/>
      <c r="SV229" s="184"/>
      <c r="UK229" s="183"/>
      <c r="UL229" s="183"/>
      <c r="UM229" s="183"/>
      <c r="UO229" s="184"/>
      <c r="UP229" s="1754"/>
      <c r="UX229" s="265"/>
      <c r="VB229" s="402"/>
      <c r="WG229" s="265"/>
      <c r="WH229" s="265"/>
      <c r="WI229" s="265"/>
    </row>
    <row r="230" spans="54:607" x14ac:dyDescent="0.2">
      <c r="BB230" s="340" t="str">
        <f t="shared" si="303"/>
        <v>Stuff 1-4</v>
      </c>
      <c r="BC230" s="185">
        <f>IF($BC$38=1,0,IF($BC$38=2,4,0))</f>
        <v>4</v>
      </c>
      <c r="BD230" s="185">
        <f>IF($BC$34&gt;3,1,0)</f>
        <v>0</v>
      </c>
      <c r="BE230" s="253">
        <f>IF($BC$38=2,INDEX(outputs_position[14],MATCH($BC$35,outputs_position[lopstuff],0)),0)</f>
        <v>0</v>
      </c>
      <c r="BF230" s="199">
        <v>14</v>
      </c>
      <c r="BG230" s="194" t="str">
        <f t="shared" si="297"/>
        <v>Stuff 1-4</v>
      </c>
      <c r="BH230" s="261">
        <f>IFERROR((INDEX(position_stuff[Redusertsalvelengde],MATCH($BE230,position_stuff[Position],0))/$BH$221),0)</f>
        <v>0</v>
      </c>
      <c r="BI230" s="261">
        <f>IFERROR((INDEX(position_stuff[Todelttverrsnitt],MATCH($BE230,position_stuff[Position],0))/$BI$221),0)</f>
        <v>0</v>
      </c>
      <c r="BJ230" s="261">
        <f>IFERROR((INDEX(position_stuff[Redusertsalvelengdeogtodelttverrsnitt],MATCH($BE230,position_stuff[Position],0))/$BJ$221),0)</f>
        <v>0</v>
      </c>
      <c r="BK230" s="261">
        <f>IFERROR((INDEX(position_stuff[Normal],MATCH($BE230,position_stuff[Position],0))/$BK$221),0)</f>
        <v>0</v>
      </c>
      <c r="BL230" s="262">
        <f>IFERROR((INDEX(position_stuff[total_nisjer],MATCH($BE230,position_stuff[Position],0))/$BL$221),0)</f>
        <v>0</v>
      </c>
      <c r="BM230" s="212">
        <f>outputs_spreng[[#This Row],[Redusertsalvelengde]]+outputs_spreng[[#This Row],[Todelttverrsnitt]]+outputs_spreng[[#This Row],[Redusertsalvelengdeogtodelttverrsnitt]]+outputs_spreng[[#This Row],[Normal]]+outputs_spreng[[#This Row],[total_nisjer]]</f>
        <v>0</v>
      </c>
      <c r="BN230" s="212">
        <f>outputs_spreng[[#This Row],[Redusertsalvelengde]]+outputs_spreng[[#This Row],[Todelttverrsnitt]]+outputs_spreng[[#This Row],[Redusertsalvelengdeogtodelttverrsnitt]]+outputs_spreng[[#This Row],[Normal]]</f>
        <v>0</v>
      </c>
      <c r="BO230" s="212">
        <f>outputs_spreng[[#This Row],[total_tid]]/$AI$80</f>
        <v>0</v>
      </c>
      <c r="NK230" s="439" t="str">
        <f>$NO$73</f>
        <v>Stuff 2-3</v>
      </c>
      <c r="NL230" s="451" t="s">
        <v>1160</v>
      </c>
      <c r="NM230" s="256">
        <f t="shared" si="293"/>
        <v>0</v>
      </c>
      <c r="NN230" s="393">
        <f t="shared" ref="NN230" si="310">IF($BC$38=1,NN221,IF($BC$38=2,NN212))</f>
        <v>0</v>
      </c>
      <c r="NO230" s="256">
        <f t="shared" si="299"/>
        <v>1</v>
      </c>
      <c r="NP230" s="256" t="e">
        <f t="shared" ref="NP230:OX230" si="311">IF($BC$38=1,NP221,IF($BC$38=2,NP212))</f>
        <v>#N/A</v>
      </c>
      <c r="NQ230" s="256" t="e">
        <f t="shared" si="311"/>
        <v>#N/A</v>
      </c>
      <c r="NR230" s="256" t="e">
        <f t="shared" si="311"/>
        <v>#N/A</v>
      </c>
      <c r="NS230" s="256" t="e">
        <f t="shared" si="311"/>
        <v>#N/A</v>
      </c>
      <c r="NT230" s="256">
        <f t="shared" si="311"/>
        <v>0</v>
      </c>
      <c r="NU230" s="256" t="e">
        <f t="shared" si="311"/>
        <v>#N/A</v>
      </c>
      <c r="NV230" s="256" t="e">
        <f t="shared" si="311"/>
        <v>#N/A</v>
      </c>
      <c r="NW230" s="256" t="e">
        <f t="shared" si="311"/>
        <v>#N/A</v>
      </c>
      <c r="NX230" s="256" t="e">
        <f t="shared" si="311"/>
        <v>#N/A</v>
      </c>
      <c r="NY230" s="194" t="e">
        <f t="shared" si="311"/>
        <v>#N/A</v>
      </c>
      <c r="NZ230" s="256" t="e">
        <f t="shared" si="311"/>
        <v>#N/A</v>
      </c>
      <c r="OA230" s="256" t="e">
        <f t="shared" si="311"/>
        <v>#N/A</v>
      </c>
      <c r="OB230" s="256" t="e">
        <f t="shared" si="311"/>
        <v>#N/A</v>
      </c>
      <c r="OC230" s="256" t="e">
        <f t="shared" si="311"/>
        <v>#N/A</v>
      </c>
      <c r="OD230" s="256" t="e">
        <f t="shared" si="311"/>
        <v>#N/A</v>
      </c>
      <c r="OE230" s="256" t="e">
        <f t="shared" si="311"/>
        <v>#N/A</v>
      </c>
      <c r="OF230" s="256" t="e">
        <f t="shared" si="311"/>
        <v>#N/A</v>
      </c>
      <c r="OG230" s="256" t="e">
        <f t="shared" si="311"/>
        <v>#N/A</v>
      </c>
      <c r="OH230" s="256" t="e">
        <f t="shared" si="311"/>
        <v>#N/A</v>
      </c>
      <c r="OI230" s="256" t="e">
        <f t="shared" si="311"/>
        <v>#N/A</v>
      </c>
      <c r="OJ230" s="256" t="e">
        <f t="shared" si="311"/>
        <v>#N/A</v>
      </c>
      <c r="OK230" s="256" t="e">
        <f t="shared" si="311"/>
        <v>#N/A</v>
      </c>
      <c r="OL230" s="256" t="e">
        <f t="shared" si="311"/>
        <v>#N/A</v>
      </c>
      <c r="OM230" s="256" t="e">
        <f t="shared" si="311"/>
        <v>#N/A</v>
      </c>
      <c r="ON230" s="256" t="e">
        <f t="shared" si="311"/>
        <v>#N/A</v>
      </c>
      <c r="OO230" s="256" t="e">
        <f t="shared" si="311"/>
        <v>#N/A</v>
      </c>
      <c r="OP230" s="256" t="e">
        <f t="shared" si="311"/>
        <v>#N/A</v>
      </c>
      <c r="OQ230" s="256"/>
      <c r="OR230" s="256" t="e">
        <f t="shared" si="311"/>
        <v>#N/A</v>
      </c>
      <c r="OS230" s="256" t="e">
        <f t="shared" si="311"/>
        <v>#N/A</v>
      </c>
      <c r="OT230" s="256" t="e">
        <f t="shared" si="311"/>
        <v>#N/A</v>
      </c>
      <c r="OU230" s="256"/>
      <c r="OV230" s="256">
        <f t="shared" si="311"/>
        <v>0</v>
      </c>
      <c r="OW230" s="256">
        <f t="shared" si="311"/>
        <v>0</v>
      </c>
      <c r="OX230" s="256">
        <f t="shared" si="311"/>
        <v>0</v>
      </c>
      <c r="OY230" s="199" t="e">
        <f>IF(_Calcs_Klasse!$AI$31=2,INDEX(position_klasse[klasse_stuff_match],MATCH(outputs_checks[[#This Row],[Position]],position_klasse[Position],0)),IF(_Calcs_Klasse!$AI$31=1,INDEX(position_klasse[klasse_stuff_match],MATCH(outputs_checks[[#This Row],[position_input]],position_klasse[Position],0))))</f>
        <v>#N/A</v>
      </c>
      <c r="OZ230" s="199" t="e">
        <f>IF(_Calcs_Klasse!$AI$31=2,INDEX(position_klasse[klasse_stuff_match],MATCH(outputs_checks[[#This Row],[Position]],position_klasse[Position],0)),IF(_Calcs_Klasse!$AI$31=1,INDEX(position_klasse[klasse_stuff_match],MATCH(outputs_checks[[#This Row],[position_input]],position_klasse[Position],0))))</f>
        <v>#N/A</v>
      </c>
      <c r="PA230" s="199" t="e">
        <f>IF(_Calcs_Klasse!$AI$31=2,INDEX(position_klasse[klasse_stuff_match],MATCH(outputs_checks[[#This Row],[Position]],position_klasse[Position],0)),IF(_Calcs_Klasse!$AI$31=1,INDEX(position_klasse[klasse_stuff_match],MATCH(outputs_checks[[#This Row],[position_input]],position_klasse[Position],0))))</f>
        <v>#N/A</v>
      </c>
      <c r="PB230" s="199" t="e">
        <f>IF(_Calcs_Klasse!$AI$31=2,INDEX(position_klasse[klasse_stuff_match],MATCH(outputs_checks[[#This Row],[Position]],position_klasse[Position],0)),IF(_Calcs_Klasse!$AI$31=1,INDEX(position_klasse[klasse_stuff_match],MATCH(outputs_checks[[#This Row],[position_input]],position_klasse[Position],0))))</f>
        <v>#N/A</v>
      </c>
      <c r="PC230" s="199" t="e">
        <f>IF(_Calcs_Klasse!$AI$31=2,INDEX(position_klasse[klasse_stuff_match],MATCH(outputs_checks[[#This Row],[Position]],position_klasse[Position],0)),IF(_Calcs_Klasse!$AI$31=1,INDEX(position_klasse[klasse_stuff_match],MATCH(outputs_checks[[#This Row],[position_input]],position_klasse[Position],0))))</f>
        <v>#N/A</v>
      </c>
      <c r="PD230" s="199" t="e">
        <f>IF(_Calcs_Klasse!$AI$31=2,INDEX(position_klasse[klasse_stuff_match],MATCH(outputs_checks[[#This Row],[Position]],position_klasse[Position],0)),IF(_Calcs_Klasse!$AI$31=1,INDEX(position_klasse[klasse_stuff_match],MATCH(outputs_checks[[#This Row],[position_input]],position_klasse[Position],0))))</f>
        <v>#N/A</v>
      </c>
      <c r="PE230" s="199" t="e">
        <f>IF(_Calcs_Klasse!$AI$31=2,INDEX(position_klasse[klasse_stuff_match],MATCH(outputs_checks[[#This Row],[Position]],position_klasse[Position],0)),IF(_Calcs_Klasse!$AI$31=1,INDEX(position_klasse[klasse_stuff_match],MATCH(outputs_checks[[#This Row],[position_input]],position_klasse[Position],0))))</f>
        <v>#N/A</v>
      </c>
      <c r="PF230" s="199" t="e">
        <f>IF(_Calcs_Klasse!$AI$31=2,INDEX(position_klasse[klasse_stuff_match],MATCH(outputs_checks[[#This Row],[Position]],position_klasse[Position],0)),IF(_Calcs_Klasse!$AI$31=1,INDEX(position_klasse[klasse_stuff_match],MATCH(outputs_checks[[#This Row],[position_input]],position_klasse[Position],0))))</f>
        <v>#N/A</v>
      </c>
      <c r="PG230" s="199" t="e">
        <f>IF(_Calcs_Klasse!$AI$31=2,INDEX(position_klasse[klasse_stuff_match],MATCH(outputs_checks[[#This Row],[Position]],position_klasse[Position],0)),IF(_Calcs_Klasse!$AI$31=1,INDEX(position_klasse[klasse_stuff_match],MATCH(outputs_checks[[#This Row],[position_input]],position_klasse[Position],0))))</f>
        <v>#N/A</v>
      </c>
      <c r="PH230" s="199" t="e">
        <f>IF(_Calcs_Klasse!$AI$31=2,INDEX(position_klasse[klasse_stuff_match],MATCH(outputs_checks[[#This Row],[Position]],position_klasse[Position],0)),IF(_Calcs_Klasse!$AI$31=1,INDEX(position_klasse[klasse_stuff_match],MATCH(outputs_checks[[#This Row],[position_input]],position_klasse[Position],0))))</f>
        <v>#N/A</v>
      </c>
      <c r="PI230" s="199" t="e">
        <f>IF(_Calcs_Klasse!$AI$31=2,INDEX(position_klasse[klasse_stuff_match],MATCH(outputs_checks[[#This Row],[Position]],position_klasse[Position],0)),IF(_Calcs_Klasse!$AI$31=1,INDEX(position_klasse[klasse_stuff_match],MATCH(outputs_checks[[#This Row],[position_input]],position_klasse[Position],0))))</f>
        <v>#N/A</v>
      </c>
      <c r="PJ230" s="1574">
        <f>COUNTIF(outputs_checks[[#This Row],[manuell]:[kartlegging]],0)</f>
        <v>0</v>
      </c>
      <c r="PK230" s="1574">
        <f>COUNTIF(outputs_checks[[#This Row],[lt4m]:[gt4m]],0)</f>
        <v>0</v>
      </c>
      <c r="PL230" s="1574">
        <f>COUNTIF(outputs_checks[[#This Row],[bånd]:[nett]],0)</f>
        <v>0</v>
      </c>
      <c r="PM230" s="1574">
        <f>COUNTIF(outputs_checks[[#This Row],[shotcrete]],0)</f>
        <v>0</v>
      </c>
      <c r="PN230" s="1574">
        <f>COUNTIF(outputs_checks[[#This Row],[buer]],0)</f>
        <v>0</v>
      </c>
      <c r="PO230" s="1574">
        <f>COUNTIF(outputs_checks[[#This Row],[sik123]:[sik4]],0)</f>
        <v>0</v>
      </c>
      <c r="PP230" s="247">
        <f>SUM(outputs_checks[[#This Row],[oppsum_manuell]:[oppsum_sik]])</f>
        <v>0</v>
      </c>
      <c r="PQ230"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30" s="256">
        <f t="shared" si="295"/>
        <v>1</v>
      </c>
      <c r="PS230" s="256">
        <f t="shared" si="295"/>
        <v>1</v>
      </c>
      <c r="PT230" s="256">
        <f t="shared" si="295"/>
        <v>0</v>
      </c>
      <c r="PU230" s="256">
        <f t="shared" si="296"/>
        <v>0</v>
      </c>
      <c r="PV230"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Q230" s="185" t="str">
        <f>Tunneldrift!$F$10&amp;Tunneldrift!$F$18</f>
        <v>11</v>
      </c>
      <c r="QR230" s="185" t="str">
        <f>Tunneldrift!$EH$86&amp;Tunneldrift!$F$6</f>
        <v>11A</v>
      </c>
      <c r="QS230" s="185" t="str">
        <f>Tunneldrift!$F$10&amp;Tunneldrift!$F$18&amp;Tunneldrift!$F$13</f>
        <v>111</v>
      </c>
      <c r="QT230" s="185" t="str">
        <f>Tunneldrift!$EH$86&amp;Tunneldrift!$F$65</f>
        <v>110</v>
      </c>
      <c r="QU230" s="185" t="str">
        <f>Tunneldrift!$F$10&amp;Tunneldrift!$F$18&amp;Tunneldrift!$F$13&amp;Tunneldrift!$F$6</f>
        <v>111A</v>
      </c>
      <c r="QV230" s="371" t="str">
        <f>Tunneldrift!$EH$86&amp;Tunneldrift!$F$65&amp;Tunneldrift!$F$13</f>
        <v>1101</v>
      </c>
      <c r="QW230" s="185" t="str">
        <f>Tunneldrift!$F$10&amp;Tunneldrift!$F$18&amp;Tunneldrift!$F$65&amp;Tunneldrift!$F$13</f>
        <v>1101</v>
      </c>
      <c r="QX230" s="371" t="str">
        <f>Tunneldrift!$F$10&amp;Tunneldrift!$F$18&amp;Tunneldrift!$F$65&amp;Tunneldrift!$F$13&amp;Tunneldrift!$F$6</f>
        <v>1101A</v>
      </c>
      <c r="QY230" s="185" t="str">
        <f>Tunneldrift!$EI$94&amp;Tunneldrift!$F$41</f>
        <v>1101A</v>
      </c>
      <c r="QZ230" s="185" t="str">
        <f>Tunneldrift!$EH$94&amp;Tunneldrift!$F$41</f>
        <v>1101</v>
      </c>
      <c r="RA230" s="371" t="str">
        <f>Tunneldrift!$EM$86&amp;Tunneldrift!$F$8</f>
        <v>111A0</v>
      </c>
      <c r="RB230" s="371" t="str">
        <f>Tunneldrift!$EI$94&amp;Tunneldrift!$F$8</f>
        <v>1101A0</v>
      </c>
      <c r="RC230" s="187" t="str">
        <f>Tunneldrift!$EH$86&amp;Tunneldrift!$F$6&amp;Tunneldrift!$F$65</f>
        <v>11A0</v>
      </c>
      <c r="RO230" s="183"/>
      <c r="RQ230" s="183"/>
      <c r="RR230" s="210"/>
      <c r="RT230" s="210"/>
      <c r="SR230" s="183"/>
      <c r="SS230" s="183"/>
      <c r="SU230" s="184"/>
      <c r="SV230" s="184"/>
      <c r="UK230" s="183"/>
      <c r="UL230" s="183"/>
      <c r="UM230" s="183"/>
      <c r="UO230" s="184"/>
      <c r="UP230" s="1754"/>
      <c r="UX230" s="265"/>
      <c r="VB230" s="402"/>
      <c r="WG230" s="265"/>
      <c r="WH230" s="265"/>
      <c r="WI230" s="265"/>
    </row>
    <row r="231" spans="54:607" x14ac:dyDescent="0.2">
      <c r="BB231" s="340" t="str">
        <f t="shared" si="303"/>
        <v>Stuff 2-1</v>
      </c>
      <c r="BC231" s="185">
        <f>IF($BC$38=1,0,IF($BC$38=2,5,0))</f>
        <v>5</v>
      </c>
      <c r="BD231" s="185">
        <f>IF($BC$34&gt;4,1,0)</f>
        <v>0</v>
      </c>
      <c r="BE231" s="253">
        <f>IF($BC$38=2,INDEX(outputs_position[21],MATCH($BC$35,outputs_position[lopstuff],0)),0)</f>
        <v>0</v>
      </c>
      <c r="BF231" s="199">
        <v>21</v>
      </c>
      <c r="BG231" s="194" t="str">
        <f t="shared" si="297"/>
        <v>Stuff 2-1</v>
      </c>
      <c r="BH231" s="261">
        <f>IFERROR((INDEX(position_stuff[Redusertsalvelengde],MATCH($BE231,position_stuff[Position],0))/$BH$221),0)</f>
        <v>0</v>
      </c>
      <c r="BI231" s="261">
        <f>IFERROR((INDEX(position_stuff[Todelttverrsnitt],MATCH($BE231,position_stuff[Position],0))/$BI$221),0)</f>
        <v>0</v>
      </c>
      <c r="BJ231" s="261">
        <f>IFERROR((INDEX(position_stuff[Redusertsalvelengdeogtodelttverrsnitt],MATCH($BE231,position_stuff[Position],0))/$BJ$221),0)</f>
        <v>0</v>
      </c>
      <c r="BK231" s="261">
        <f>IFERROR((INDEX(position_stuff[Normal],MATCH($BE231,position_stuff[Position],0))/$BK$221),0)</f>
        <v>0</v>
      </c>
      <c r="BL231" s="262">
        <f>IFERROR((INDEX(position_stuff[total_nisjer],MATCH($BE231,position_stuff[Position],0))/$BL$221),0)</f>
        <v>0</v>
      </c>
      <c r="BM231" s="212">
        <f>outputs_spreng[[#This Row],[Redusertsalvelengde]]+outputs_spreng[[#This Row],[Todelttverrsnitt]]+outputs_spreng[[#This Row],[Redusertsalvelengdeogtodelttverrsnitt]]+outputs_spreng[[#This Row],[Normal]]+outputs_spreng[[#This Row],[total_nisjer]]</f>
        <v>0</v>
      </c>
      <c r="BN231" s="212">
        <f>outputs_spreng[[#This Row],[Redusertsalvelengde]]+outputs_spreng[[#This Row],[Todelttverrsnitt]]+outputs_spreng[[#This Row],[Redusertsalvelengdeogtodelttverrsnitt]]+outputs_spreng[[#This Row],[Normal]]</f>
        <v>0</v>
      </c>
      <c r="BO231" s="212">
        <f>outputs_spreng[[#This Row],[total_tid]]/$AI$80</f>
        <v>0</v>
      </c>
      <c r="NK231" s="439" t="str">
        <f>$NO$74</f>
        <v>Stuff 2-4</v>
      </c>
      <c r="NL231" s="451" t="s">
        <v>1161</v>
      </c>
      <c r="NM231" s="256">
        <f t="shared" si="293"/>
        <v>0</v>
      </c>
      <c r="NN231" s="393">
        <f t="shared" ref="NN231" si="312">IF($BC$38=1,NN222,IF($BC$38=2,NN213))</f>
        <v>0</v>
      </c>
      <c r="NO231" s="256">
        <f t="shared" si="299"/>
        <v>1</v>
      </c>
      <c r="NP231" s="256" t="e">
        <f t="shared" ref="NP231:OX232" si="313">IF($BC$38=1,NP222,IF($BC$38=2,NP213))</f>
        <v>#N/A</v>
      </c>
      <c r="NQ231" s="256" t="e">
        <f t="shared" si="313"/>
        <v>#N/A</v>
      </c>
      <c r="NR231" s="256" t="e">
        <f t="shared" si="313"/>
        <v>#N/A</v>
      </c>
      <c r="NS231" s="256" t="e">
        <f t="shared" si="313"/>
        <v>#N/A</v>
      </c>
      <c r="NT231" s="256">
        <f t="shared" si="313"/>
        <v>0</v>
      </c>
      <c r="NU231" s="256" t="e">
        <f t="shared" si="313"/>
        <v>#N/A</v>
      </c>
      <c r="NV231" s="256" t="e">
        <f t="shared" si="313"/>
        <v>#N/A</v>
      </c>
      <c r="NW231" s="256" t="e">
        <f t="shared" si="313"/>
        <v>#N/A</v>
      </c>
      <c r="NX231" s="256" t="e">
        <f t="shared" si="313"/>
        <v>#N/A</v>
      </c>
      <c r="NY231" s="194" t="e">
        <f t="shared" si="313"/>
        <v>#N/A</v>
      </c>
      <c r="NZ231" s="256" t="e">
        <f t="shared" si="313"/>
        <v>#N/A</v>
      </c>
      <c r="OA231" s="256" t="e">
        <f t="shared" si="313"/>
        <v>#N/A</v>
      </c>
      <c r="OB231" s="256" t="e">
        <f t="shared" si="313"/>
        <v>#N/A</v>
      </c>
      <c r="OC231" s="256" t="e">
        <f t="shared" si="313"/>
        <v>#N/A</v>
      </c>
      <c r="OD231" s="256" t="e">
        <f t="shared" si="313"/>
        <v>#N/A</v>
      </c>
      <c r="OE231" s="256" t="e">
        <f t="shared" si="313"/>
        <v>#N/A</v>
      </c>
      <c r="OF231" s="256" t="e">
        <f t="shared" si="313"/>
        <v>#N/A</v>
      </c>
      <c r="OG231" s="256" t="e">
        <f t="shared" si="313"/>
        <v>#N/A</v>
      </c>
      <c r="OH231" s="256" t="e">
        <f t="shared" si="313"/>
        <v>#N/A</v>
      </c>
      <c r="OI231" s="256" t="e">
        <f t="shared" si="313"/>
        <v>#N/A</v>
      </c>
      <c r="OJ231" s="256" t="e">
        <f t="shared" si="313"/>
        <v>#N/A</v>
      </c>
      <c r="OK231" s="256" t="e">
        <f t="shared" si="313"/>
        <v>#N/A</v>
      </c>
      <c r="OL231" s="256" t="e">
        <f t="shared" si="313"/>
        <v>#N/A</v>
      </c>
      <c r="OM231" s="256" t="e">
        <f t="shared" si="313"/>
        <v>#N/A</v>
      </c>
      <c r="ON231" s="256" t="e">
        <f t="shared" si="313"/>
        <v>#N/A</v>
      </c>
      <c r="OO231" s="256" t="e">
        <f t="shared" si="313"/>
        <v>#N/A</v>
      </c>
      <c r="OP231" s="256" t="e">
        <f t="shared" si="313"/>
        <v>#N/A</v>
      </c>
      <c r="OQ231" s="256"/>
      <c r="OR231" s="256" t="e">
        <f t="shared" si="313"/>
        <v>#N/A</v>
      </c>
      <c r="OS231" s="256" t="e">
        <f t="shared" si="313"/>
        <v>#N/A</v>
      </c>
      <c r="OT231" s="256" t="e">
        <f t="shared" si="313"/>
        <v>#N/A</v>
      </c>
      <c r="OU231" s="256"/>
      <c r="OV231" s="256">
        <f t="shared" si="313"/>
        <v>0</v>
      </c>
      <c r="OW231" s="256">
        <f t="shared" si="313"/>
        <v>0</v>
      </c>
      <c r="OX231" s="256">
        <f t="shared" si="313"/>
        <v>0</v>
      </c>
      <c r="OY231" s="199" t="e">
        <f>IF(_Calcs_Klasse!$AI$31=2,INDEX(position_klasse[klasse_stuff_match],MATCH(outputs_checks[[#This Row],[Position]],position_klasse[Position],0)),IF(_Calcs_Klasse!$AI$31=1,INDEX(position_klasse[klasse_stuff_match],MATCH(outputs_checks[[#This Row],[position_input]],position_klasse[Position],0))))</f>
        <v>#N/A</v>
      </c>
      <c r="OZ231" s="199" t="e">
        <f>IF(_Calcs_Klasse!$AI$31=2,INDEX(position_klasse[klasse_stuff_match],MATCH(outputs_checks[[#This Row],[Position]],position_klasse[Position],0)),IF(_Calcs_Klasse!$AI$31=1,INDEX(position_klasse[klasse_stuff_match],MATCH(outputs_checks[[#This Row],[position_input]],position_klasse[Position],0))))</f>
        <v>#N/A</v>
      </c>
      <c r="PA231" s="199" t="e">
        <f>IF(_Calcs_Klasse!$AI$31=2,INDEX(position_klasse[klasse_stuff_match],MATCH(outputs_checks[[#This Row],[Position]],position_klasse[Position],0)),IF(_Calcs_Klasse!$AI$31=1,INDEX(position_klasse[klasse_stuff_match],MATCH(outputs_checks[[#This Row],[position_input]],position_klasse[Position],0))))</f>
        <v>#N/A</v>
      </c>
      <c r="PB231" s="199" t="e">
        <f>IF(_Calcs_Klasse!$AI$31=2,INDEX(position_klasse[klasse_stuff_match],MATCH(outputs_checks[[#This Row],[Position]],position_klasse[Position],0)),IF(_Calcs_Klasse!$AI$31=1,INDEX(position_klasse[klasse_stuff_match],MATCH(outputs_checks[[#This Row],[position_input]],position_klasse[Position],0))))</f>
        <v>#N/A</v>
      </c>
      <c r="PC231" s="199" t="e">
        <f>IF(_Calcs_Klasse!$AI$31=2,INDEX(position_klasse[klasse_stuff_match],MATCH(outputs_checks[[#This Row],[Position]],position_klasse[Position],0)),IF(_Calcs_Klasse!$AI$31=1,INDEX(position_klasse[klasse_stuff_match],MATCH(outputs_checks[[#This Row],[position_input]],position_klasse[Position],0))))</f>
        <v>#N/A</v>
      </c>
      <c r="PD231" s="199" t="e">
        <f>IF(_Calcs_Klasse!$AI$31=2,INDEX(position_klasse[klasse_stuff_match],MATCH(outputs_checks[[#This Row],[Position]],position_klasse[Position],0)),IF(_Calcs_Klasse!$AI$31=1,INDEX(position_klasse[klasse_stuff_match],MATCH(outputs_checks[[#This Row],[position_input]],position_klasse[Position],0))))</f>
        <v>#N/A</v>
      </c>
      <c r="PE231" s="199" t="e">
        <f>IF(_Calcs_Klasse!$AI$31=2,INDEX(position_klasse[klasse_stuff_match],MATCH(outputs_checks[[#This Row],[Position]],position_klasse[Position],0)),IF(_Calcs_Klasse!$AI$31=1,INDEX(position_klasse[klasse_stuff_match],MATCH(outputs_checks[[#This Row],[position_input]],position_klasse[Position],0))))</f>
        <v>#N/A</v>
      </c>
      <c r="PF231" s="199" t="e">
        <f>IF(_Calcs_Klasse!$AI$31=2,INDEX(position_klasse[klasse_stuff_match],MATCH(outputs_checks[[#This Row],[Position]],position_klasse[Position],0)),IF(_Calcs_Klasse!$AI$31=1,INDEX(position_klasse[klasse_stuff_match],MATCH(outputs_checks[[#This Row],[position_input]],position_klasse[Position],0))))</f>
        <v>#N/A</v>
      </c>
      <c r="PG231" s="199" t="e">
        <f>IF(_Calcs_Klasse!$AI$31=2,INDEX(position_klasse[klasse_stuff_match],MATCH(outputs_checks[[#This Row],[Position]],position_klasse[Position],0)),IF(_Calcs_Klasse!$AI$31=1,INDEX(position_klasse[klasse_stuff_match],MATCH(outputs_checks[[#This Row],[position_input]],position_klasse[Position],0))))</f>
        <v>#N/A</v>
      </c>
      <c r="PH231" s="199" t="e">
        <f>IF(_Calcs_Klasse!$AI$31=2,INDEX(position_klasse[klasse_stuff_match],MATCH(outputs_checks[[#This Row],[Position]],position_klasse[Position],0)),IF(_Calcs_Klasse!$AI$31=1,INDEX(position_klasse[klasse_stuff_match],MATCH(outputs_checks[[#This Row],[position_input]],position_klasse[Position],0))))</f>
        <v>#N/A</v>
      </c>
      <c r="PI231" s="199" t="e">
        <f>IF(_Calcs_Klasse!$AI$31=2,INDEX(position_klasse[klasse_stuff_match],MATCH(outputs_checks[[#This Row],[Position]],position_klasse[Position],0)),IF(_Calcs_Klasse!$AI$31=1,INDEX(position_klasse[klasse_stuff_match],MATCH(outputs_checks[[#This Row],[position_input]],position_klasse[Position],0))))</f>
        <v>#N/A</v>
      </c>
      <c r="PJ231" s="1574">
        <f>COUNTIF(outputs_checks[[#This Row],[manuell]:[kartlegging]],0)</f>
        <v>0</v>
      </c>
      <c r="PK231" s="1574">
        <f>COUNTIF(outputs_checks[[#This Row],[lt4m]:[gt4m]],0)</f>
        <v>0</v>
      </c>
      <c r="PL231" s="1574">
        <f>COUNTIF(outputs_checks[[#This Row],[bånd]:[nett]],0)</f>
        <v>0</v>
      </c>
      <c r="PM231" s="1574">
        <f>COUNTIF(outputs_checks[[#This Row],[shotcrete]],0)</f>
        <v>0</v>
      </c>
      <c r="PN231" s="1574">
        <f>COUNTIF(outputs_checks[[#This Row],[buer]],0)</f>
        <v>0</v>
      </c>
      <c r="PO231" s="1574">
        <f>COUNTIF(outputs_checks[[#This Row],[sik123]:[sik4]],0)</f>
        <v>0</v>
      </c>
      <c r="PP231" s="247">
        <f>SUM(outputs_checks[[#This Row],[oppsum_manuell]:[oppsum_sik]])</f>
        <v>0</v>
      </c>
      <c r="PQ231"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31" s="256">
        <f t="shared" si="295"/>
        <v>1</v>
      </c>
      <c r="PS231" s="256">
        <f t="shared" si="295"/>
        <v>1</v>
      </c>
      <c r="PT231" s="256">
        <f t="shared" si="295"/>
        <v>0</v>
      </c>
      <c r="PU231" s="256">
        <f t="shared" si="296"/>
        <v>1</v>
      </c>
      <c r="PV231" s="447"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Q231" s="185"/>
      <c r="QR231" s="185"/>
      <c r="QS231" s="185"/>
      <c r="QT231" s="185"/>
      <c r="QU231" s="185"/>
      <c r="QV231" s="185"/>
      <c r="QW231" s="185"/>
      <c r="QX231" s="185" t="str">
        <f>Tunneldrift!$F$6</f>
        <v>A</v>
      </c>
      <c r="QY231" s="185"/>
      <c r="QZ231" s="185"/>
      <c r="RA231" s="185"/>
      <c r="RB231" s="185"/>
      <c r="RC231" s="187"/>
      <c r="RO231" s="183"/>
      <c r="RQ231" s="183"/>
      <c r="RR231" s="210"/>
      <c r="RT231" s="210"/>
      <c r="SR231" s="183"/>
      <c r="SS231" s="183"/>
      <c r="SU231" s="184"/>
      <c r="SV231" s="184"/>
      <c r="UK231" s="183"/>
      <c r="UL231" s="183"/>
      <c r="UM231" s="183"/>
      <c r="UO231" s="184"/>
      <c r="UP231" s="1754"/>
      <c r="UX231" s="265"/>
      <c r="VB231" s="402"/>
      <c r="WG231" s="265"/>
      <c r="WH231" s="265"/>
      <c r="WI231" s="265"/>
    </row>
    <row r="232" spans="54:607" ht="15" thickBot="1" x14ac:dyDescent="0.25">
      <c r="BB232" s="340" t="str">
        <f t="shared" si="303"/>
        <v>Stuff 2-2</v>
      </c>
      <c r="BC232" s="185">
        <f>IF($BC$38=1,0,IF($BC$38=2,6,0))</f>
        <v>6</v>
      </c>
      <c r="BD232" s="185">
        <f>IF($BC$34&gt;5,1,0)</f>
        <v>0</v>
      </c>
      <c r="BE232" s="253">
        <f>IF($BC$38=2,INDEX(outputs_position[22],MATCH($BC$35,outputs_position[lopstuff],0)),0)</f>
        <v>0</v>
      </c>
      <c r="BF232" s="199">
        <v>22</v>
      </c>
      <c r="BG232" s="194" t="str">
        <f t="shared" si="297"/>
        <v>Stuff 2-2</v>
      </c>
      <c r="BH232" s="261">
        <f>IFERROR((INDEX(position_stuff[Redusertsalvelengde],MATCH($BE232,position_stuff[Position],0))/$BH$221),0)</f>
        <v>0</v>
      </c>
      <c r="BI232" s="261">
        <f>IFERROR((INDEX(position_stuff[Todelttverrsnitt],MATCH($BE232,position_stuff[Position],0))/$BI$221),0)</f>
        <v>0</v>
      </c>
      <c r="BJ232" s="261">
        <f>IFERROR((INDEX(position_stuff[Redusertsalvelengdeogtodelttverrsnitt],MATCH($BE232,position_stuff[Position],0))/$BJ$221),0)</f>
        <v>0</v>
      </c>
      <c r="BK232" s="261">
        <f>IFERROR((INDEX(position_stuff[Normal],MATCH($BE232,position_stuff[Position],0))/$BK$221),0)</f>
        <v>0</v>
      </c>
      <c r="BL232" s="262">
        <f>IFERROR((INDEX(position_stuff[total_nisjer],MATCH($BE232,position_stuff[Position],0))/$BL$221),0)</f>
        <v>0</v>
      </c>
      <c r="BM232" s="212">
        <f>outputs_spreng[[#This Row],[Redusertsalvelengde]]+outputs_spreng[[#This Row],[Todelttverrsnitt]]+outputs_spreng[[#This Row],[Redusertsalvelengdeogtodelttverrsnitt]]+outputs_spreng[[#This Row],[Normal]]+outputs_spreng[[#This Row],[total_nisjer]]</f>
        <v>0</v>
      </c>
      <c r="BN232" s="212">
        <f>outputs_spreng[[#This Row],[Redusertsalvelengde]]+outputs_spreng[[#This Row],[Todelttverrsnitt]]+outputs_spreng[[#This Row],[Redusertsalvelengdeogtodelttverrsnitt]]+outputs_spreng[[#This Row],[Normal]]</f>
        <v>0</v>
      </c>
      <c r="BO232" s="212">
        <f>outputs_spreng[[#This Row],[total_tid]]/$AI$80</f>
        <v>0</v>
      </c>
      <c r="NK232" s="2529" t="str">
        <f>$QW$135</f>
        <v>Tverrslag</v>
      </c>
      <c r="NL232" s="1944" t="s">
        <v>1162</v>
      </c>
      <c r="NM232" s="5475">
        <f t="shared" si="293"/>
        <v>0</v>
      </c>
      <c r="NN232" s="393">
        <f t="shared" ref="NN232" si="314">IF($BC$38=1,NN223,IF($BC$38=2,NN214))</f>
        <v>0</v>
      </c>
      <c r="NO232" s="256">
        <f t="shared" si="299"/>
        <v>1</v>
      </c>
      <c r="NP232" s="256" t="e">
        <f t="shared" ref="NP232:OX232" si="315">IF($BC$38=1,NP223,IF($BC$38=2,NP214))</f>
        <v>#N/A</v>
      </c>
      <c r="NQ232" s="256" t="e">
        <f t="shared" si="315"/>
        <v>#N/A</v>
      </c>
      <c r="NR232" s="256" t="e">
        <f t="shared" si="315"/>
        <v>#N/A</v>
      </c>
      <c r="NS232" s="256" t="e">
        <f t="shared" si="315"/>
        <v>#N/A</v>
      </c>
      <c r="NT232" s="256">
        <f t="shared" si="315"/>
        <v>0</v>
      </c>
      <c r="NU232" s="256" t="e">
        <f t="shared" si="315"/>
        <v>#N/A</v>
      </c>
      <c r="NV232" s="256" t="e">
        <f t="shared" si="315"/>
        <v>#N/A</v>
      </c>
      <c r="NW232" s="256" t="e">
        <f t="shared" si="315"/>
        <v>#N/A</v>
      </c>
      <c r="NX232" s="256" t="e">
        <f t="shared" si="315"/>
        <v>#N/A</v>
      </c>
      <c r="NY232" s="256" t="e">
        <f t="shared" si="313"/>
        <v>#N/A</v>
      </c>
      <c r="NZ232" s="256" t="e">
        <f t="shared" si="315"/>
        <v>#N/A</v>
      </c>
      <c r="OA232" s="256" t="e">
        <f t="shared" si="315"/>
        <v>#N/A</v>
      </c>
      <c r="OB232" s="256" t="e">
        <f t="shared" si="315"/>
        <v>#N/A</v>
      </c>
      <c r="OC232" s="256" t="e">
        <f t="shared" si="315"/>
        <v>#N/A</v>
      </c>
      <c r="OD232" s="256" t="e">
        <f t="shared" si="315"/>
        <v>#N/A</v>
      </c>
      <c r="OE232" s="256" t="e">
        <f t="shared" si="315"/>
        <v>#N/A</v>
      </c>
      <c r="OF232" s="256" t="e">
        <f t="shared" si="315"/>
        <v>#N/A</v>
      </c>
      <c r="OG232" s="256" t="e">
        <f t="shared" si="315"/>
        <v>#N/A</v>
      </c>
      <c r="OH232" s="256" t="e">
        <f t="shared" si="315"/>
        <v>#N/A</v>
      </c>
      <c r="OI232" s="256" t="e">
        <f t="shared" si="315"/>
        <v>#N/A</v>
      </c>
      <c r="OJ232" s="256" t="e">
        <f t="shared" si="315"/>
        <v>#N/A</v>
      </c>
      <c r="OK232" s="256" t="e">
        <f t="shared" si="315"/>
        <v>#N/A</v>
      </c>
      <c r="OL232" s="256" t="e">
        <f t="shared" si="315"/>
        <v>#N/A</v>
      </c>
      <c r="OM232" s="256" t="e">
        <f t="shared" si="315"/>
        <v>#N/A</v>
      </c>
      <c r="ON232" s="256" t="e">
        <f t="shared" si="315"/>
        <v>#N/A</v>
      </c>
      <c r="OO232" s="256" t="e">
        <f t="shared" si="315"/>
        <v>#N/A</v>
      </c>
      <c r="OP232" s="256" t="e">
        <f t="shared" si="315"/>
        <v>#N/A</v>
      </c>
      <c r="OQ232" s="256"/>
      <c r="OR232" s="256" t="e">
        <f t="shared" si="315"/>
        <v>#N/A</v>
      </c>
      <c r="OS232" s="256" t="e">
        <f t="shared" si="315"/>
        <v>#N/A</v>
      </c>
      <c r="OT232" s="256" t="e">
        <f t="shared" si="315"/>
        <v>#N/A</v>
      </c>
      <c r="OU232" s="256"/>
      <c r="OV232" s="256">
        <f t="shared" si="315"/>
        <v>0</v>
      </c>
      <c r="OW232" s="256">
        <f t="shared" si="315"/>
        <v>0</v>
      </c>
      <c r="OX232" s="256">
        <f t="shared" si="315"/>
        <v>0</v>
      </c>
      <c r="OY232" s="5511" t="e">
        <f>IF(_Calcs_Klasse!$AI$31=2,INDEX(position_klasse[klasse_stuff_match],MATCH(outputs_checks[[#This Row],[Position]],position_klasse[Position],0)),IF(_Calcs_Klasse!$AI$31=1,INDEX(position_klasse[klasse_stuff_match],MATCH(outputs_checks[[#This Row],[position_input]],position_klasse[Position],0))))</f>
        <v>#N/A</v>
      </c>
      <c r="OZ232" s="5511" t="e">
        <f>IF(_Calcs_Klasse!$AI$31=2,INDEX(position_klasse[klasse_stuff_match],MATCH(outputs_checks[[#This Row],[Position]],position_klasse[Position],0)),IF(_Calcs_Klasse!$AI$31=1,INDEX(position_klasse[klasse_stuff_match],MATCH(outputs_checks[[#This Row],[position_input]],position_klasse[Position],0))))</f>
        <v>#N/A</v>
      </c>
      <c r="PA232" s="5511" t="e">
        <f>IF(_Calcs_Klasse!$AI$31=2,INDEX(position_klasse[klasse_stuff_match],MATCH(outputs_checks[[#This Row],[Position]],position_klasse[Position],0)),IF(_Calcs_Klasse!$AI$31=1,INDEX(position_klasse[klasse_stuff_match],MATCH(outputs_checks[[#This Row],[position_input]],position_klasse[Position],0))))</f>
        <v>#N/A</v>
      </c>
      <c r="PB232" s="5511" t="e">
        <f>IF(_Calcs_Klasse!$AI$31=2,INDEX(position_klasse[klasse_stuff_match],MATCH(outputs_checks[[#This Row],[Position]],position_klasse[Position],0)),IF(_Calcs_Klasse!$AI$31=1,INDEX(position_klasse[klasse_stuff_match],MATCH(outputs_checks[[#This Row],[position_input]],position_klasse[Position],0))))</f>
        <v>#N/A</v>
      </c>
      <c r="PC232" s="5511" t="e">
        <f>IF(_Calcs_Klasse!$AI$31=2,INDEX(position_klasse[klasse_stuff_match],MATCH(outputs_checks[[#This Row],[Position]],position_klasse[Position],0)),IF(_Calcs_Klasse!$AI$31=1,INDEX(position_klasse[klasse_stuff_match],MATCH(outputs_checks[[#This Row],[position_input]],position_klasse[Position],0))))</f>
        <v>#N/A</v>
      </c>
      <c r="PD232" s="5511" t="e">
        <f>IF(_Calcs_Klasse!$AI$31=2,INDEX(position_klasse[klasse_stuff_match],MATCH(outputs_checks[[#This Row],[Position]],position_klasse[Position],0)),IF(_Calcs_Klasse!$AI$31=1,INDEX(position_klasse[klasse_stuff_match],MATCH(outputs_checks[[#This Row],[position_input]],position_klasse[Position],0))))</f>
        <v>#N/A</v>
      </c>
      <c r="PE232" s="5511" t="e">
        <f>IF(_Calcs_Klasse!$AI$31=2,INDEX(position_klasse[klasse_stuff_match],MATCH(outputs_checks[[#This Row],[Position]],position_klasse[Position],0)),IF(_Calcs_Klasse!$AI$31=1,INDEX(position_klasse[klasse_stuff_match],MATCH(outputs_checks[[#This Row],[position_input]],position_klasse[Position],0))))</f>
        <v>#N/A</v>
      </c>
      <c r="PF232" s="5511" t="e">
        <f>IF(_Calcs_Klasse!$AI$31=2,INDEX(position_klasse[klasse_stuff_match],MATCH(outputs_checks[[#This Row],[Position]],position_klasse[Position],0)),IF(_Calcs_Klasse!$AI$31=1,INDEX(position_klasse[klasse_stuff_match],MATCH(outputs_checks[[#This Row],[position_input]],position_klasse[Position],0))))</f>
        <v>#N/A</v>
      </c>
      <c r="PG232" s="5511" t="e">
        <f>IF(_Calcs_Klasse!$AI$31=2,INDEX(position_klasse[klasse_stuff_match],MATCH(outputs_checks[[#This Row],[Position]],position_klasse[Position],0)),IF(_Calcs_Klasse!$AI$31=1,INDEX(position_klasse[klasse_stuff_match],MATCH(outputs_checks[[#This Row],[position_input]],position_klasse[Position],0))))</f>
        <v>#N/A</v>
      </c>
      <c r="PH232" s="5511" t="e">
        <f>IF(_Calcs_Klasse!$AI$31=2,INDEX(position_klasse[klasse_stuff_match],MATCH(outputs_checks[[#This Row],[Position]],position_klasse[Position],0)),IF(_Calcs_Klasse!$AI$31=1,INDEX(position_klasse[klasse_stuff_match],MATCH(outputs_checks[[#This Row],[position_input]],position_klasse[Position],0))))</f>
        <v>#N/A</v>
      </c>
      <c r="PI232" s="5511" t="e">
        <f>IF(_Calcs_Klasse!$AI$31=2,INDEX(position_klasse[klasse_stuff_match],MATCH(outputs_checks[[#This Row],[Position]],position_klasse[Position],0)),IF(_Calcs_Klasse!$AI$31=1,INDEX(position_klasse[klasse_stuff_match],MATCH(outputs_checks[[#This Row],[position_input]],position_klasse[Position],0))))</f>
        <v>#N/A</v>
      </c>
      <c r="PJ232" s="1574">
        <f>COUNTIF(outputs_checks[[#This Row],[manuell]:[kartlegging]],0)</f>
        <v>0</v>
      </c>
      <c r="PK232" s="1574">
        <f>COUNTIF(outputs_checks[[#This Row],[lt4m]:[gt4m]],0)</f>
        <v>0</v>
      </c>
      <c r="PL232" s="1574">
        <f>COUNTIF(outputs_checks[[#This Row],[bånd]:[nett]],0)</f>
        <v>0</v>
      </c>
      <c r="PM232" s="1574">
        <f>COUNTIF(outputs_checks[[#This Row],[shotcrete]],0)</f>
        <v>0</v>
      </c>
      <c r="PN232" s="1574">
        <f>COUNTIF(outputs_checks[[#This Row],[buer]],0)</f>
        <v>0</v>
      </c>
      <c r="PO232" s="1574">
        <f>COUNTIF(outputs_checks[[#This Row],[sik123]:[sik4]],0)</f>
        <v>0</v>
      </c>
      <c r="PP232" s="247">
        <f>SUM(outputs_checks[[#This Row],[oppsum_manuell]:[oppsum_sik]])</f>
        <v>0</v>
      </c>
      <c r="PQ232" s="447" t="e">
        <f>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PR232" s="5475">
        <f t="shared" si="295"/>
        <v>0</v>
      </c>
      <c r="PS232" s="5475">
        <f t="shared" si="295"/>
        <v>1</v>
      </c>
      <c r="PT232" s="5475">
        <f t="shared" si="295"/>
        <v>0</v>
      </c>
      <c r="PU232" s="5475">
        <f t="shared" si="296"/>
        <v>1</v>
      </c>
      <c r="PV232" s="1949" t="e">
        <f>outputs_checks[[#This Row],[oppsum_forbe]]+outputs_checks[[#This Row],[oppsum_løp]]+outputs_checks[[#This Row],[oppsum_nisj]]+outputs_checks[[#This Row],[oppsum_sonder]]+outputs_checks[[#This Row],[oppsum_inj]]+outputs_checks[[#This Row],[oppsum_manuell]]+outputs_checks[[#This Row],[oppsum_bolter]]+outputs_checks[[#This Row],[oppsum_bånd]]+outputs_checks[[#This Row],[oppsum_shot]]+outputs_checks[[#This Row],[oppsum_buer]]+outputs_checks[[#This Row],[oppsum_sik]]</f>
        <v>#N/A</v>
      </c>
      <c r="QU232" s="184"/>
      <c r="UM232" s="1754"/>
    </row>
    <row r="233" spans="54:607" ht="15" thickTop="1" x14ac:dyDescent="0.2">
      <c r="BB233" s="340" t="str">
        <f t="shared" si="303"/>
        <v>Stuff 2-3</v>
      </c>
      <c r="BC233" s="185">
        <f>IF($BC$38=1,0,IF($BC$38=2,7,0))</f>
        <v>7</v>
      </c>
      <c r="BD233" s="185">
        <f>IF($BC$34&gt;6,1,0)</f>
        <v>0</v>
      </c>
      <c r="BE233" s="253">
        <f>IF($BC$38=2,INDEX(outputs_position[23],MATCH($BC$35,outputs_position[lopstuff],0)),0)</f>
        <v>0</v>
      </c>
      <c r="BF233" s="199">
        <v>23</v>
      </c>
      <c r="BG233" s="194" t="str">
        <f t="shared" si="297"/>
        <v>Stuff 2-3</v>
      </c>
      <c r="BH233" s="261">
        <f>IFERROR((INDEX(position_stuff[Redusertsalvelengde],MATCH($BE233,position_stuff[Position],0))/$BH$221),0)</f>
        <v>0</v>
      </c>
      <c r="BI233" s="261">
        <f>IFERROR((INDEX(position_stuff[Todelttverrsnitt],MATCH($BE233,position_stuff[Position],0))/$BI$221),0)</f>
        <v>0</v>
      </c>
      <c r="BJ233" s="261">
        <f>IFERROR((INDEX(position_stuff[Redusertsalvelengdeogtodelttverrsnitt],MATCH($BE233,position_stuff[Position],0))/$BJ$221),0)</f>
        <v>0</v>
      </c>
      <c r="BK233" s="261">
        <f>IFERROR((INDEX(position_stuff[Normal],MATCH($BE233,position_stuff[Position],0))/$BK$221),0)</f>
        <v>0</v>
      </c>
      <c r="BL233" s="262">
        <f>IFERROR((INDEX(position_stuff[total_nisjer],MATCH($BE233,position_stuff[Position],0))/$BL$221),0)</f>
        <v>0</v>
      </c>
      <c r="BM233" s="212">
        <f>outputs_spreng[[#This Row],[Redusertsalvelengde]]+outputs_spreng[[#This Row],[Todelttverrsnitt]]+outputs_spreng[[#This Row],[Redusertsalvelengdeogtodelttverrsnitt]]+outputs_spreng[[#This Row],[Normal]]+outputs_spreng[[#This Row],[total_nisjer]]</f>
        <v>0</v>
      </c>
      <c r="BN233" s="212">
        <f>outputs_spreng[[#This Row],[Redusertsalvelengde]]+outputs_spreng[[#This Row],[Todelttverrsnitt]]+outputs_spreng[[#This Row],[Redusertsalvelengdeogtodelttverrsnitt]]+outputs_spreng[[#This Row],[Normal]]</f>
        <v>0</v>
      </c>
      <c r="BO233" s="212">
        <f>outputs_spreng[[#This Row],[total_tid]]/$AI$80</f>
        <v>0</v>
      </c>
      <c r="NL233" s="5514"/>
      <c r="NM233" s="5514"/>
      <c r="NN233" s="5514"/>
      <c r="NO233" s="5514"/>
      <c r="NP233" s="5514"/>
      <c r="NQ233" s="5514"/>
      <c r="NR233" s="5514"/>
      <c r="NS233" s="5514"/>
      <c r="NT233" s="5514"/>
      <c r="NU233" s="5514"/>
      <c r="NV233" s="5514"/>
      <c r="NW233" s="5514"/>
      <c r="NX233" s="5514"/>
      <c r="NY233" s="5514"/>
      <c r="NZ233" s="5514"/>
      <c r="OA233" s="5514"/>
      <c r="OB233" s="5514"/>
      <c r="OC233" s="5514"/>
      <c r="OD233" s="5514"/>
      <c r="OE233" s="5514"/>
      <c r="OF233" s="5514"/>
      <c r="OG233" s="5514"/>
      <c r="OH233" s="5514"/>
      <c r="OI233" s="5514"/>
      <c r="OJ233" s="5514"/>
      <c r="OK233" s="5514"/>
      <c r="OL233" s="5514"/>
      <c r="OM233" s="5514"/>
      <c r="ON233" s="5514"/>
      <c r="OO233" s="5514"/>
      <c r="OP233" s="5514"/>
      <c r="OQ233" s="5514"/>
      <c r="OR233" s="5514"/>
      <c r="OS233" s="5514"/>
      <c r="OT233" s="5514"/>
      <c r="OU233" s="5514"/>
      <c r="OV233" s="5514"/>
      <c r="OW233" s="5514"/>
      <c r="OX233" s="5514"/>
      <c r="OY233" s="5514"/>
      <c r="OZ233" s="5514"/>
      <c r="PA233" s="5514"/>
      <c r="PB233" s="5514"/>
      <c r="PC233" s="5514"/>
      <c r="PD233" s="5514"/>
      <c r="PE233" s="5514"/>
      <c r="PF233" s="5514"/>
      <c r="PG233" s="5514"/>
      <c r="PH233" s="5514"/>
      <c r="PI233" s="5514"/>
      <c r="PJ233" s="5514"/>
      <c r="PK233" s="5514"/>
      <c r="PL233" s="5514"/>
      <c r="PM233" s="5514"/>
      <c r="PN233" s="5514"/>
      <c r="PO233" s="5514"/>
      <c r="PP233" s="5514"/>
      <c r="PQ233" s="5514"/>
      <c r="PR233" s="5514"/>
      <c r="PS233" s="5514"/>
      <c r="PT233" s="5514"/>
      <c r="PU233" s="5514"/>
      <c r="PV233" s="5514"/>
      <c r="QN233" s="366" t="s">
        <v>333</v>
      </c>
      <c r="QO233" s="183">
        <f>Tunneldrift!AD25</f>
        <v>1</v>
      </c>
      <c r="QU233" s="184"/>
      <c r="UM233" s="1754"/>
    </row>
    <row r="234" spans="54:607" x14ac:dyDescent="0.2">
      <c r="BB234" s="340" t="str">
        <f t="shared" si="303"/>
        <v>Stuff 2-4</v>
      </c>
      <c r="BC234" s="185">
        <f>IF($BC$38=1,0,IF($BC$38=2,8,0))</f>
        <v>8</v>
      </c>
      <c r="BD234" s="185">
        <f>IF($BC$34&gt;7,1,0)</f>
        <v>0</v>
      </c>
      <c r="BE234" s="253">
        <f>IF($BC$38=2,INDEX(outputs_position[24],MATCH($BC$35,outputs_position[lopstuff],0)),0)</f>
        <v>0</v>
      </c>
      <c r="BF234" s="199">
        <v>24</v>
      </c>
      <c r="BG234" s="194" t="str">
        <f t="shared" si="297"/>
        <v>Stuff 2-4</v>
      </c>
      <c r="BH234" s="261">
        <f>IFERROR((INDEX(position_stuff[Redusertsalvelengde],MATCH($BE234,position_stuff[Position],0))/$BH$221),0)</f>
        <v>0</v>
      </c>
      <c r="BI234" s="261">
        <f>IFERROR((INDEX(position_stuff[Todelttverrsnitt],MATCH($BE234,position_stuff[Position],0))/$BI$221),0)</f>
        <v>0</v>
      </c>
      <c r="BJ234" s="261">
        <f>IFERROR((INDEX(position_stuff[Redusertsalvelengdeogtodelttverrsnitt],MATCH($BE234,position_stuff[Position],0))/$BJ$221),0)</f>
        <v>0</v>
      </c>
      <c r="BK234" s="261">
        <f>IFERROR((INDEX(position_stuff[Normal],MATCH($BE234,position_stuff[Position],0))/$BK$221),0)</f>
        <v>0</v>
      </c>
      <c r="BL234" s="262">
        <f>IFERROR((INDEX(position_stuff[total_nisjer],MATCH($BE234,position_stuff[Position],0))/$BL$221),0)</f>
        <v>0</v>
      </c>
      <c r="BM234" s="212">
        <f>outputs_spreng[[#This Row],[Redusertsalvelengde]]+outputs_spreng[[#This Row],[Todelttverrsnitt]]+outputs_spreng[[#This Row],[Redusertsalvelengdeogtodelttverrsnitt]]+outputs_spreng[[#This Row],[Normal]]+outputs_spreng[[#This Row],[total_nisjer]]</f>
        <v>0</v>
      </c>
      <c r="BN234" s="212">
        <f>outputs_spreng[[#This Row],[Redusertsalvelengde]]+outputs_spreng[[#This Row],[Todelttverrsnitt]]+outputs_spreng[[#This Row],[Redusertsalvelengdeogtodelttverrsnitt]]+outputs_spreng[[#This Row],[Normal]]</f>
        <v>0</v>
      </c>
      <c r="BO234" s="212">
        <f>outputs_spreng[[#This Row],[total_tid]]/$AI$80</f>
        <v>0</v>
      </c>
      <c r="NL234" s="5514"/>
      <c r="NM234" s="5514"/>
      <c r="NN234" s="5514"/>
      <c r="NO234" s="5514"/>
      <c r="NP234" s="5514"/>
      <c r="NQ234" s="5514"/>
      <c r="NR234" s="5514"/>
      <c r="NS234" s="5514"/>
      <c r="NT234" s="5514"/>
      <c r="NU234" s="5514"/>
      <c r="NV234" s="5514"/>
      <c r="NW234" s="5514"/>
      <c r="NX234" s="5514"/>
      <c r="NY234" s="5514"/>
      <c r="NZ234" s="5514"/>
      <c r="OA234" s="5514"/>
      <c r="OB234" s="5514"/>
      <c r="OC234" s="5514"/>
      <c r="OD234" s="5514"/>
      <c r="OE234" s="5514"/>
      <c r="OF234" s="5514"/>
      <c r="OG234" s="5514"/>
      <c r="OH234" s="5514"/>
      <c r="OI234" s="5514"/>
      <c r="OJ234" s="5514"/>
      <c r="OK234" s="5514"/>
      <c r="OL234" s="5514"/>
      <c r="OM234" s="5514"/>
      <c r="ON234" s="5514"/>
      <c r="OO234" s="5514"/>
      <c r="OP234" s="5514"/>
      <c r="OQ234" s="5514"/>
      <c r="OR234" s="5514"/>
      <c r="OS234" s="5514"/>
      <c r="OT234" s="5514"/>
      <c r="OU234" s="5514"/>
      <c r="OV234" s="5514"/>
      <c r="OW234" s="5514"/>
      <c r="OX234" s="5514"/>
      <c r="OY234" s="5514"/>
      <c r="OZ234" s="5514"/>
      <c r="PA234" s="5514"/>
      <c r="PB234" s="5514"/>
      <c r="PC234" s="5514"/>
      <c r="PD234" s="5514"/>
      <c r="PE234" s="5514"/>
      <c r="PF234" s="5514"/>
      <c r="PG234" s="5514"/>
      <c r="PH234" s="5514"/>
      <c r="PI234" s="5514"/>
      <c r="PJ234" s="5514"/>
      <c r="PK234" s="5514"/>
      <c r="PL234" s="5514"/>
      <c r="PM234" s="5514"/>
      <c r="PN234" s="5514"/>
      <c r="PO234" s="5514"/>
      <c r="PP234" s="5514"/>
      <c r="PQ234" s="5514"/>
      <c r="PR234" s="5514"/>
      <c r="PS234" s="5514"/>
      <c r="PT234" s="5514"/>
      <c r="PU234" s="5514"/>
      <c r="PV234" s="5514"/>
      <c r="QN234" s="366" t="s">
        <v>280</v>
      </c>
      <c r="QO234" s="222">
        <f>Tunneldrift!$F$18</f>
        <v>1</v>
      </c>
      <c r="QU234" s="184"/>
      <c r="UM234" s="1754"/>
    </row>
    <row r="235" spans="54:607" x14ac:dyDescent="0.2">
      <c r="BB235" s="340" t="str">
        <f t="shared" si="303"/>
        <v>Tverrslag</v>
      </c>
      <c r="BC235" s="185"/>
      <c r="BD235" s="185">
        <f>$BC$36</f>
        <v>0</v>
      </c>
      <c r="BE235" s="253">
        <f>IF($BC$38=2,INDEX(outputs_position[Tverrslag],MATCH($BC$35,outputs_position[lopstuff],0)),IF($BC$36=1,$BE$156+1,0))</f>
        <v>0</v>
      </c>
      <c r="BF235" s="199" t="s">
        <v>258</v>
      </c>
      <c r="BG235" s="256" t="str">
        <f t="shared" si="297"/>
        <v>Tverrslag</v>
      </c>
      <c r="BH235" s="263">
        <f>IFERROR((INDEX(position_stuff[Redusertsalvelengde],MATCH($BE235,position_stuff[Position],0))/$BH$222),0)</f>
        <v>0</v>
      </c>
      <c r="BI235" s="263">
        <f>IFERROR((INDEX(position_stuff[Todelttverrsnitt],MATCH($BE235,position_stuff[Position],0))/$BI$222),0)</f>
        <v>0</v>
      </c>
      <c r="BJ235" s="263">
        <f>IFERROR((INDEX(position_stuff[Redusertsalvelengdeogtodelttverrsnitt],MATCH($BE235,position_stuff[Position],0))/$BJ$222),0)</f>
        <v>0</v>
      </c>
      <c r="BK235" s="263">
        <f>IFERROR((INDEX(position_stuff[Normal],MATCH($BE235,position_stuff[Position],0))/$BK$222),0)</f>
        <v>0</v>
      </c>
      <c r="BL235" s="264">
        <f>IFERROR((INDEX(position_stuff[total_nisjer],MATCH($BE235,position_stuff[Position],0))/$BL$222),0)</f>
        <v>0</v>
      </c>
      <c r="BM235" s="212">
        <f>outputs_spreng[[#This Row],[Redusertsalvelengde]]+outputs_spreng[[#This Row],[Todelttverrsnitt]]+outputs_spreng[[#This Row],[Redusertsalvelengdeogtodelttverrsnitt]]+outputs_spreng[[#This Row],[Normal]]+outputs_spreng[[#This Row],[total_nisjer]]</f>
        <v>0</v>
      </c>
      <c r="BN235" s="212">
        <f>outputs_spreng[[#This Row],[Redusertsalvelengde]]+outputs_spreng[[#This Row],[Todelttverrsnitt]]+outputs_spreng[[#This Row],[Redusertsalvelengdeogtodelttverrsnitt]]+outputs_spreng[[#This Row],[Normal]]</f>
        <v>0</v>
      </c>
      <c r="BO235" s="212">
        <f>outputs_spreng[[#This Row],[total_tid]]/$AI$80</f>
        <v>0</v>
      </c>
      <c r="NL235" s="5514"/>
      <c r="NM235" s="5514"/>
      <c r="NN235" s="5514"/>
      <c r="NO235" s="5514"/>
      <c r="NP235" s="5514"/>
      <c r="NQ235" s="5514"/>
      <c r="NR235" s="5514"/>
      <c r="NS235" s="5514"/>
      <c r="NT235" s="5514"/>
      <c r="NU235" s="5514"/>
      <c r="NV235" s="5514"/>
      <c r="NW235" s="5514"/>
      <c r="NX235" s="5514"/>
      <c r="NY235" s="5514"/>
      <c r="NZ235" s="5514"/>
      <c r="OA235" s="5514"/>
      <c r="OB235" s="5514"/>
      <c r="OC235" s="5514"/>
      <c r="OD235" s="5514"/>
      <c r="OE235" s="5514"/>
      <c r="OF235" s="5514"/>
      <c r="OG235" s="5514"/>
      <c r="OH235" s="5514"/>
      <c r="OI235" s="5514"/>
      <c r="OJ235" s="5514"/>
      <c r="OK235" s="5514"/>
      <c r="OL235" s="5514"/>
      <c r="OM235" s="5514"/>
      <c r="ON235" s="5514"/>
      <c r="OO235" s="5514"/>
      <c r="OP235" s="5514"/>
      <c r="OQ235" s="5514"/>
      <c r="OR235" s="5514"/>
      <c r="OS235" s="5514"/>
      <c r="OT235" s="5514"/>
      <c r="OU235" s="5514"/>
      <c r="OV235" s="5514"/>
      <c r="OW235" s="5514"/>
      <c r="OX235" s="5514"/>
      <c r="OY235" s="5514"/>
      <c r="OZ235" s="5514"/>
      <c r="PA235" s="5514"/>
      <c r="PB235" s="5514"/>
      <c r="PC235" s="5514"/>
      <c r="PD235" s="5514"/>
      <c r="PE235" s="5514"/>
      <c r="PF235" s="5514"/>
      <c r="PG235" s="5514"/>
      <c r="PH235" s="5514"/>
      <c r="PI235" s="5514"/>
      <c r="PJ235" s="5514"/>
      <c r="PK235" s="5514"/>
      <c r="PL235" s="5514"/>
      <c r="PM235" s="5514"/>
      <c r="PN235" s="5514"/>
      <c r="PO235" s="5514"/>
      <c r="PP235" s="5514"/>
      <c r="PQ235" s="5514"/>
      <c r="PR235" s="5514"/>
      <c r="PS235" s="5514"/>
      <c r="PT235" s="5514"/>
      <c r="PU235" s="5514"/>
      <c r="PV235" s="5514"/>
      <c r="QN235" s="366" t="s">
        <v>278</v>
      </c>
      <c r="QO235" s="222" t="str">
        <f>Tunneldrift!$EH$86</f>
        <v>11</v>
      </c>
      <c r="QU235" s="184"/>
      <c r="UM235" s="1754"/>
    </row>
    <row r="236" spans="54:607" x14ac:dyDescent="0.2">
      <c r="NL236" s="5514"/>
      <c r="NM236" s="5514"/>
      <c r="NN236" s="5514"/>
      <c r="NO236" s="5514"/>
      <c r="NP236" s="5514"/>
      <c r="NQ236" s="5514"/>
      <c r="NR236" s="5514"/>
      <c r="NS236" s="5514"/>
      <c r="NT236" s="5514"/>
      <c r="NU236" s="5514"/>
      <c r="NV236" s="5514"/>
      <c r="NW236" s="5514"/>
      <c r="NX236" s="5514"/>
      <c r="NY236" s="5514"/>
      <c r="NZ236" s="5514"/>
      <c r="OA236" s="5514"/>
      <c r="OB236" s="5514"/>
      <c r="OC236" s="5514"/>
      <c r="OD236" s="5514"/>
      <c r="OE236" s="5514"/>
      <c r="OF236" s="5514"/>
      <c r="OG236" s="5514"/>
      <c r="OH236" s="5514"/>
      <c r="OI236" s="5514"/>
      <c r="OJ236" s="5514"/>
      <c r="OK236" s="5514"/>
      <c r="OL236" s="5514"/>
      <c r="OM236" s="5514"/>
      <c r="ON236" s="5514"/>
      <c r="OO236" s="5514"/>
      <c r="OP236" s="5514"/>
      <c r="OQ236" s="5514"/>
      <c r="OR236" s="5514"/>
      <c r="OS236" s="5514"/>
      <c r="OT236" s="5514"/>
      <c r="OU236" s="5514"/>
      <c r="OV236" s="5514"/>
      <c r="OW236" s="5514"/>
      <c r="OX236" s="5514"/>
      <c r="OY236" s="5514"/>
      <c r="OZ236" s="5514"/>
      <c r="PA236" s="5514"/>
      <c r="PB236" s="5514"/>
      <c r="PC236" s="5514"/>
      <c r="PD236" s="5514"/>
      <c r="PE236" s="5514"/>
      <c r="PF236" s="5514"/>
      <c r="PG236" s="5514"/>
      <c r="PH236" s="5514"/>
      <c r="PI236" s="5514"/>
      <c r="PJ236" s="5514"/>
      <c r="PK236" s="5514"/>
      <c r="PL236" s="5514"/>
      <c r="PM236" s="5514"/>
      <c r="PN236" s="5514"/>
      <c r="PO236" s="5514"/>
      <c r="PP236" s="5514"/>
      <c r="PQ236" s="5514"/>
      <c r="PR236" s="5514"/>
      <c r="PS236" s="5514"/>
      <c r="PT236" s="5514"/>
      <c r="PU236" s="5514"/>
      <c r="PV236" s="5514"/>
      <c r="QN236" s="366" t="s">
        <v>277</v>
      </c>
      <c r="QO236" s="222">
        <f>Tunneldrift!$F$37</f>
        <v>0</v>
      </c>
      <c r="QU236" s="184"/>
      <c r="UM236" s="1754"/>
    </row>
    <row r="237" spans="54:607" ht="15" thickBot="1" x14ac:dyDescent="0.25">
      <c r="BB237" s="275"/>
      <c r="BC237" s="275"/>
      <c r="BD237" s="275"/>
      <c r="BE237" s="275"/>
      <c r="BF237" s="275"/>
      <c r="BG237" s="275"/>
      <c r="BH237" s="275"/>
      <c r="BI237" s="277"/>
      <c r="BJ237" s="275"/>
      <c r="BK237" s="275"/>
      <c r="BL237" s="275"/>
      <c r="NL237" s="5514"/>
      <c r="NM237" s="5514"/>
      <c r="NN237" s="5514"/>
      <c r="NO237" s="5514"/>
      <c r="NP237" s="5514"/>
      <c r="NQ237" s="5514"/>
      <c r="NR237" s="5514"/>
      <c r="NS237" s="5514"/>
      <c r="NT237" s="5514"/>
      <c r="NU237" s="5514"/>
      <c r="NV237" s="5514"/>
      <c r="NW237" s="5514"/>
      <c r="NX237" s="5514"/>
      <c r="NY237" s="5514"/>
      <c r="NZ237" s="5514"/>
      <c r="OA237" s="5514"/>
      <c r="OB237" s="5514"/>
      <c r="OC237" s="5514"/>
      <c r="OD237" s="5514"/>
      <c r="OE237" s="5514"/>
      <c r="OF237" s="5514"/>
      <c r="OG237" s="5514"/>
      <c r="OH237" s="5514"/>
      <c r="OI237" s="5514"/>
      <c r="OJ237" s="5514"/>
      <c r="OK237" s="5514"/>
      <c r="OL237" s="5514"/>
      <c r="OM237" s="5514"/>
      <c r="ON237" s="5514"/>
      <c r="OO237" s="5514"/>
      <c r="OP237" s="5514"/>
      <c r="OQ237" s="5514"/>
      <c r="OR237" s="5514"/>
      <c r="OS237" s="5514"/>
      <c r="OT237" s="5514"/>
      <c r="OU237" s="5514"/>
      <c r="OV237" s="5514"/>
      <c r="OW237" s="5514"/>
      <c r="OX237" s="5514"/>
      <c r="OY237" s="5514"/>
      <c r="OZ237" s="5514"/>
      <c r="PA237" s="5514"/>
      <c r="PB237" s="5514"/>
      <c r="PC237" s="5514"/>
      <c r="PD237" s="5514"/>
      <c r="PE237" s="5514"/>
      <c r="PF237" s="5514"/>
      <c r="PG237" s="5514"/>
      <c r="PH237" s="5514"/>
      <c r="PI237" s="5514"/>
      <c r="PJ237" s="5514"/>
      <c r="PK237" s="5514"/>
      <c r="PL237" s="5514"/>
      <c r="PM237" s="5514"/>
      <c r="PN237" s="5514"/>
      <c r="PO237" s="5514"/>
      <c r="PP237" s="5514"/>
      <c r="PQ237" s="5514"/>
      <c r="PR237" s="5514"/>
      <c r="PS237" s="5514"/>
      <c r="PT237" s="5514"/>
      <c r="PU237" s="5514"/>
      <c r="PV237" s="5514"/>
      <c r="QN237" s="366" t="s">
        <v>275</v>
      </c>
      <c r="QO237" s="222">
        <f>IF(Tunneldrift!$F$125=_List!$CQ$7,1,IF(Tunneldrift!$F$125=_List!$CQ$8,2,0))</f>
        <v>2</v>
      </c>
      <c r="QQ237" s="371" t="s">
        <v>282</v>
      </c>
      <c r="QU237" s="184"/>
      <c r="UM237" s="1754"/>
    </row>
    <row r="238" spans="54:607" x14ac:dyDescent="0.2">
      <c r="NL238" s="5514"/>
      <c r="NM238" s="5514"/>
      <c r="NN238" s="5514"/>
      <c r="NO238" s="5514"/>
      <c r="NP238" s="5514"/>
      <c r="NQ238" s="5514"/>
      <c r="NR238" s="5514"/>
      <c r="NS238" s="5514"/>
      <c r="NT238" s="5514"/>
      <c r="NU238" s="5514"/>
      <c r="NV238" s="5514"/>
      <c r="NW238" s="5514"/>
      <c r="NX238" s="5514"/>
      <c r="NY238" s="5514"/>
      <c r="NZ238" s="5514"/>
      <c r="OA238" s="5514"/>
      <c r="OB238" s="5514"/>
      <c r="OC238" s="5514"/>
      <c r="OD238" s="5514"/>
      <c r="OE238" s="5514"/>
      <c r="OF238" s="5514"/>
      <c r="OG238" s="5514"/>
      <c r="OH238" s="5514"/>
      <c r="OI238" s="5514"/>
      <c r="OJ238" s="5514"/>
      <c r="OK238" s="5514"/>
      <c r="OL238" s="5514"/>
      <c r="OM238" s="5514"/>
      <c r="ON238" s="5514"/>
      <c r="OO238" s="5514"/>
      <c r="OP238" s="5514"/>
      <c r="OQ238" s="5514"/>
      <c r="OR238" s="5514"/>
      <c r="OS238" s="5514"/>
      <c r="OT238" s="5514"/>
      <c r="OU238" s="5514"/>
      <c r="OV238" s="5514"/>
      <c r="OW238" s="5514"/>
      <c r="OX238" s="5514"/>
      <c r="OY238" s="5514"/>
      <c r="OZ238" s="5514"/>
      <c r="PA238" s="5514"/>
      <c r="PB238" s="5514"/>
      <c r="PC238" s="5514"/>
      <c r="PD238" s="5514"/>
      <c r="PE238" s="5514"/>
      <c r="PF238" s="5514"/>
      <c r="PG238" s="5514"/>
      <c r="PH238" s="5514"/>
      <c r="PI238" s="5514"/>
      <c r="PJ238" s="5514"/>
      <c r="PK238" s="5514"/>
      <c r="PL238" s="5514"/>
      <c r="PM238" s="5514"/>
      <c r="PN238" s="5514"/>
      <c r="PO238" s="5514"/>
      <c r="PP238" s="5514"/>
      <c r="PQ238" s="5514"/>
      <c r="PR238" s="5514"/>
      <c r="PS238" s="5514"/>
      <c r="PT238" s="5514"/>
      <c r="PU238" s="5514"/>
      <c r="PV238" s="5514"/>
      <c r="QN238" s="366" t="s">
        <v>281</v>
      </c>
      <c r="QO238" s="222" t="str">
        <f>QO234&amp;QO237</f>
        <v>12</v>
      </c>
      <c r="QU238" s="184"/>
      <c r="UM238" s="1754"/>
    </row>
    <row r="239" spans="54:607" x14ac:dyDescent="0.2">
      <c r="NL239" s="5514"/>
      <c r="NM239" s="5514"/>
      <c r="NN239" s="5514"/>
      <c r="NO239" s="5514"/>
      <c r="NP239" s="5514"/>
      <c r="NQ239" s="5514"/>
      <c r="NR239" s="5514"/>
      <c r="NS239" s="5514"/>
      <c r="NT239" s="5514"/>
      <c r="NU239" s="5514"/>
      <c r="NV239" s="5514"/>
      <c r="NW239" s="5514"/>
      <c r="NX239" s="5514"/>
      <c r="NY239" s="5514"/>
      <c r="NZ239" s="5514"/>
      <c r="OA239" s="5514"/>
      <c r="OB239" s="5514"/>
      <c r="OC239" s="5514"/>
      <c r="OD239" s="5514"/>
      <c r="OE239" s="5514"/>
      <c r="OF239" s="5514"/>
      <c r="OG239" s="5514"/>
      <c r="OH239" s="5514"/>
      <c r="OI239" s="5514"/>
      <c r="OJ239" s="5514"/>
      <c r="OK239" s="5514"/>
      <c r="OL239" s="5514"/>
      <c r="OM239" s="5514"/>
      <c r="ON239" s="5514"/>
      <c r="OO239" s="5514"/>
      <c r="OP239" s="5514"/>
      <c r="OQ239" s="5514"/>
      <c r="OR239" s="5514"/>
      <c r="OS239" s="5514"/>
      <c r="OT239" s="5514"/>
      <c r="OU239" s="5514"/>
      <c r="OV239" s="5514"/>
      <c r="OW239" s="5514"/>
      <c r="OX239" s="5514"/>
      <c r="OY239" s="5514"/>
      <c r="OZ239" s="5514"/>
      <c r="PA239" s="5514"/>
      <c r="PB239" s="5514"/>
      <c r="PC239" s="5514"/>
      <c r="PD239" s="5514"/>
      <c r="PE239" s="5514"/>
      <c r="PF239" s="5514"/>
      <c r="PG239" s="5514"/>
      <c r="PH239" s="5514"/>
      <c r="PI239" s="5514"/>
      <c r="PJ239" s="5514"/>
      <c r="PK239" s="5514"/>
      <c r="PL239" s="5514"/>
      <c r="PM239" s="5514"/>
      <c r="PN239" s="5514"/>
      <c r="PO239" s="5514"/>
      <c r="PP239" s="5514"/>
      <c r="PQ239" s="5514"/>
      <c r="PR239" s="5514"/>
      <c r="PS239" s="5514"/>
      <c r="PT239" s="5514"/>
      <c r="PU239" s="5514"/>
      <c r="PV239" s="5514"/>
      <c r="QN239" s="367" t="s">
        <v>318</v>
      </c>
      <c r="QO239" s="199" t="str">
        <f>QO234&amp;QO236</f>
        <v>10</v>
      </c>
      <c r="QU239" s="184"/>
      <c r="UM239" s="1754"/>
    </row>
    <row r="240" spans="54:607" x14ac:dyDescent="0.2">
      <c r="NL240" s="5514"/>
      <c r="NM240" s="5514"/>
      <c r="NN240" s="5514"/>
      <c r="NO240" s="5514"/>
      <c r="NP240" s="5514"/>
      <c r="NQ240" s="5514"/>
      <c r="NR240" s="5514"/>
      <c r="NS240" s="5514"/>
      <c r="NT240" s="5514"/>
      <c r="NU240" s="5514"/>
      <c r="NV240" s="5514"/>
      <c r="NW240" s="5514"/>
      <c r="NX240" s="5514"/>
      <c r="NY240" s="5514"/>
      <c r="NZ240" s="5514"/>
      <c r="OA240" s="5514"/>
      <c r="OB240" s="5514"/>
      <c r="OC240" s="5514"/>
      <c r="OD240" s="5514"/>
      <c r="OE240" s="5514"/>
      <c r="OF240" s="5514"/>
      <c r="OG240" s="5514"/>
      <c r="OH240" s="5514"/>
      <c r="OI240" s="5514"/>
      <c r="OJ240" s="5514"/>
      <c r="OK240" s="5514"/>
      <c r="OL240" s="5514"/>
      <c r="OM240" s="5514"/>
      <c r="ON240" s="5514"/>
      <c r="OO240" s="5514"/>
      <c r="OP240" s="5514"/>
      <c r="OQ240" s="5514"/>
      <c r="OR240" s="5514"/>
      <c r="OS240" s="5514"/>
      <c r="OT240" s="5514"/>
      <c r="OU240" s="5514"/>
      <c r="OV240" s="5514"/>
      <c r="OW240" s="5514"/>
      <c r="OX240" s="5514"/>
      <c r="OY240" s="5514"/>
      <c r="OZ240" s="5514"/>
      <c r="PA240" s="5514"/>
      <c r="PB240" s="5514"/>
      <c r="PC240" s="5514"/>
      <c r="PD240" s="5514"/>
      <c r="PE240" s="5514"/>
      <c r="PF240" s="5514"/>
      <c r="PG240" s="5514"/>
      <c r="PH240" s="5514"/>
      <c r="PI240" s="5514"/>
      <c r="PJ240" s="5514"/>
      <c r="PK240" s="5514"/>
      <c r="PL240" s="5514"/>
      <c r="PM240" s="5514"/>
      <c r="PN240" s="5514"/>
      <c r="PO240" s="5514"/>
      <c r="PP240" s="5514"/>
      <c r="PQ240" s="5514"/>
      <c r="PR240" s="5514"/>
      <c r="PS240" s="5514"/>
      <c r="PT240" s="5514"/>
      <c r="PU240" s="5514"/>
      <c r="PV240" s="5514"/>
      <c r="QN240" s="367" t="s">
        <v>334</v>
      </c>
      <c r="QO240" s="199" t="str">
        <f>QO233&amp;QO238</f>
        <v>112</v>
      </c>
      <c r="QU240" s="184"/>
      <c r="UM240" s="1754"/>
    </row>
    <row r="241" spans="376:559" x14ac:dyDescent="0.2">
      <c r="NN241" s="181"/>
      <c r="NO241" s="181"/>
      <c r="NP241" s="181"/>
      <c r="NQ241" s="181"/>
      <c r="NR241" s="181"/>
      <c r="NS241" s="181"/>
      <c r="NT241" s="181"/>
      <c r="NU241" s="181"/>
      <c r="NV241" s="181"/>
      <c r="NW241" s="181"/>
      <c r="NX241" s="181"/>
      <c r="NY241" s="181"/>
      <c r="NZ241" s="181"/>
      <c r="OA241" s="181"/>
      <c r="OB241" s="181"/>
      <c r="OC241" s="181"/>
      <c r="OD241" s="181"/>
      <c r="OE241" s="181"/>
      <c r="OF241" s="181"/>
      <c r="OG241" s="181"/>
      <c r="OH241" s="181"/>
      <c r="OI241" s="181"/>
      <c r="OJ241" s="181"/>
      <c r="OK241" s="181"/>
      <c r="OL241" s="181"/>
      <c r="OM241" s="181"/>
      <c r="ON241" s="181"/>
      <c r="OO241" s="181"/>
      <c r="OP241" s="181"/>
      <c r="OQ241" s="181"/>
      <c r="OR241" s="181"/>
      <c r="OS241" s="181"/>
      <c r="OT241" s="181"/>
      <c r="OU241" s="181"/>
      <c r="OV241" s="181"/>
      <c r="OW241" s="181"/>
      <c r="OX241" s="181"/>
      <c r="QU241" s="184"/>
      <c r="UM241" s="1754"/>
    </row>
    <row r="242" spans="376:559" ht="15" thickBot="1" x14ac:dyDescent="0.25">
      <c r="NN242" s="181"/>
      <c r="NO242" s="181"/>
      <c r="NP242" s="181"/>
      <c r="NQ242" s="181"/>
      <c r="NR242" s="181"/>
      <c r="NS242" s="181"/>
      <c r="NT242" s="181"/>
      <c r="NU242" s="181"/>
      <c r="NV242" s="181"/>
      <c r="NW242" s="181"/>
      <c r="NX242" s="181"/>
      <c r="NY242" s="181"/>
      <c r="NZ242" s="181"/>
      <c r="OA242" s="181"/>
      <c r="OB242" s="181"/>
      <c r="OC242" s="181"/>
      <c r="OD242" s="181"/>
      <c r="OE242" s="181"/>
      <c r="OF242" s="181"/>
      <c r="OG242" s="181"/>
      <c r="OH242" s="181"/>
      <c r="OI242" s="181"/>
      <c r="OJ242" s="181"/>
      <c r="OK242" s="181"/>
      <c r="OL242" s="181"/>
      <c r="OM242" s="181"/>
      <c r="ON242" s="181"/>
      <c r="OO242" s="181"/>
      <c r="OP242" s="181"/>
      <c r="OQ242" s="181"/>
      <c r="OR242" s="181"/>
      <c r="OS242" s="181"/>
      <c r="OT242" s="181"/>
      <c r="OU242" s="181"/>
      <c r="OV242" s="181"/>
      <c r="OW242" s="181"/>
      <c r="OX242" s="181"/>
      <c r="QN242" s="275"/>
      <c r="QO242" s="275"/>
      <c r="QP242" s="275"/>
      <c r="QQ242" s="275"/>
      <c r="QR242" s="275"/>
      <c r="QS242" s="275"/>
      <c r="QT242" s="275"/>
      <c r="QU242" s="275"/>
      <c r="QV242" s="275"/>
      <c r="QW242" s="275"/>
      <c r="QX242" s="275"/>
      <c r="QY242" s="275"/>
      <c r="QZ242" s="275"/>
      <c r="UM242" s="1754"/>
    </row>
    <row r="243" spans="376:559" x14ac:dyDescent="0.2">
      <c r="NN243" s="181"/>
      <c r="NO243" s="181"/>
      <c r="NP243" s="181"/>
      <c r="NQ243" s="181"/>
      <c r="NR243" s="181"/>
      <c r="NS243" s="181"/>
      <c r="NT243" s="181"/>
      <c r="NU243" s="181"/>
      <c r="NV243" s="181"/>
      <c r="NW243" s="181"/>
      <c r="NX243" s="181"/>
      <c r="NY243" s="181"/>
      <c r="NZ243" s="181"/>
      <c r="OA243" s="181"/>
      <c r="OB243" s="181"/>
      <c r="OC243" s="181"/>
      <c r="OD243" s="181"/>
      <c r="OE243" s="181"/>
      <c r="OF243" s="181"/>
      <c r="OG243" s="181"/>
      <c r="OH243" s="181"/>
      <c r="OI243" s="181"/>
      <c r="OJ243" s="181"/>
      <c r="OK243" s="181"/>
      <c r="OL243" s="181"/>
      <c r="OM243" s="181"/>
      <c r="ON243" s="181"/>
      <c r="OO243" s="181"/>
      <c r="OP243" s="181"/>
      <c r="OQ243" s="181"/>
      <c r="OR243" s="181"/>
      <c r="OS243" s="181"/>
      <c r="OT243" s="181"/>
      <c r="OU243" s="181"/>
      <c r="OV243" s="181"/>
      <c r="OW243" s="181"/>
      <c r="OX243" s="181"/>
      <c r="PU243" s="183" t="s">
        <v>554</v>
      </c>
      <c r="UM243" s="1754"/>
    </row>
    <row r="244" spans="376:559" x14ac:dyDescent="0.2">
      <c r="NN244" s="181"/>
      <c r="NO244" s="181"/>
      <c r="NP244" s="181"/>
      <c r="NQ244" s="181"/>
      <c r="NR244" s="181"/>
      <c r="NS244" s="181"/>
      <c r="NT244" s="181"/>
      <c r="NU244" s="181"/>
      <c r="NV244" s="181"/>
      <c r="NW244" s="181"/>
      <c r="NX244" s="181"/>
      <c r="NY244" s="181"/>
      <c r="NZ244" s="181"/>
      <c r="OA244" s="181"/>
      <c r="OB244" s="181"/>
      <c r="OC244" s="181"/>
      <c r="OD244" s="181"/>
      <c r="OE244" s="181"/>
      <c r="OF244" s="181"/>
      <c r="OG244" s="181"/>
      <c r="OH244" s="181"/>
      <c r="OI244" s="181"/>
      <c r="OJ244" s="181"/>
      <c r="OK244" s="181"/>
      <c r="OL244" s="181"/>
      <c r="OM244" s="181"/>
      <c r="ON244" s="181"/>
      <c r="OO244" s="181"/>
      <c r="OP244" s="181"/>
      <c r="OQ244" s="181"/>
      <c r="OR244" s="181"/>
      <c r="OS244" s="181"/>
      <c r="OT244" s="181"/>
      <c r="OU244" s="181"/>
      <c r="OV244" s="181"/>
      <c r="OW244" s="181"/>
      <c r="OX244" s="181"/>
      <c r="PU244" s="183" t="s">
        <v>555</v>
      </c>
      <c r="UM244" s="1754"/>
    </row>
    <row r="245" spans="376:559" x14ac:dyDescent="0.2">
      <c r="NN245" s="181"/>
      <c r="NO245" s="181"/>
      <c r="NP245" s="181"/>
      <c r="NQ245" s="181"/>
      <c r="NR245" s="181"/>
      <c r="NS245" s="181"/>
      <c r="NT245" s="181"/>
      <c r="NU245" s="181"/>
      <c r="NV245" s="181"/>
      <c r="NW245" s="181"/>
      <c r="NX245" s="181"/>
      <c r="NY245" s="181"/>
      <c r="NZ245" s="181"/>
      <c r="OA245" s="181"/>
      <c r="OB245" s="181"/>
      <c r="OC245" s="181"/>
      <c r="OD245" s="181"/>
      <c r="OE245" s="181"/>
      <c r="OF245" s="181"/>
      <c r="OG245" s="181"/>
      <c r="OH245" s="181"/>
      <c r="OI245" s="181"/>
      <c r="OJ245" s="181"/>
      <c r="OK245" s="181"/>
      <c r="OL245" s="181"/>
      <c r="OM245" s="181"/>
      <c r="ON245" s="181"/>
      <c r="OO245" s="181"/>
      <c r="OP245" s="181"/>
      <c r="OQ245" s="181"/>
      <c r="OR245" s="181"/>
      <c r="OS245" s="181"/>
      <c r="OT245" s="181"/>
      <c r="OU245" s="181"/>
      <c r="OV245" s="181"/>
      <c r="OW245" s="181"/>
      <c r="OX245" s="181"/>
      <c r="PU245" s="183" t="s">
        <v>556</v>
      </c>
      <c r="UM245" s="1754"/>
    </row>
    <row r="246" spans="376:559" ht="23.25" x14ac:dyDescent="0.2">
      <c r="NN246" s="181"/>
      <c r="NO246" s="181"/>
      <c r="NP246" s="181"/>
      <c r="NQ246" s="181"/>
      <c r="NR246" s="181"/>
      <c r="NS246" s="181"/>
      <c r="NT246" s="181"/>
      <c r="NU246" s="181"/>
      <c r="NV246" s="181"/>
      <c r="NW246" s="181"/>
      <c r="NX246" s="181"/>
      <c r="NY246" s="181"/>
      <c r="NZ246" s="181"/>
      <c r="OA246" s="181"/>
      <c r="OB246" s="181"/>
      <c r="OC246" s="181"/>
      <c r="OD246" s="181"/>
      <c r="OE246" s="181"/>
      <c r="OF246" s="181"/>
      <c r="OG246" s="181"/>
      <c r="OH246" s="181"/>
      <c r="OI246" s="181"/>
      <c r="OJ246" s="181"/>
      <c r="OK246" s="181"/>
      <c r="OL246" s="181"/>
      <c r="OM246" s="181"/>
      <c r="ON246" s="181"/>
      <c r="OO246" s="181"/>
      <c r="OP246" s="181"/>
      <c r="OQ246" s="181"/>
      <c r="OR246" s="181"/>
      <c r="OS246" s="181"/>
      <c r="OT246" s="181"/>
      <c r="OU246" s="181"/>
      <c r="OV246" s="181"/>
      <c r="OW246" s="181"/>
      <c r="OX246" s="181"/>
      <c r="PU246" s="183" t="s">
        <v>663</v>
      </c>
      <c r="QN246" s="361" t="s">
        <v>385</v>
      </c>
      <c r="QO246" s="362"/>
      <c r="UM246" s="1754"/>
    </row>
    <row r="247" spans="376:559" x14ac:dyDescent="0.2">
      <c r="NN247" s="181"/>
      <c r="NO247" s="181"/>
      <c r="NP247" s="181"/>
      <c r="NQ247" s="181"/>
      <c r="NR247" s="181"/>
      <c r="NS247" s="181"/>
      <c r="NT247" s="181"/>
      <c r="NU247" s="181"/>
      <c r="NV247" s="181"/>
      <c r="NW247" s="181"/>
      <c r="NX247" s="181"/>
      <c r="NY247" s="181"/>
      <c r="NZ247" s="181"/>
      <c r="OA247" s="181"/>
      <c r="OB247" s="181"/>
      <c r="OC247" s="181"/>
      <c r="OD247" s="181"/>
      <c r="OE247" s="181"/>
      <c r="OF247" s="181"/>
      <c r="OG247" s="181"/>
      <c r="OH247" s="181"/>
      <c r="OI247" s="181"/>
      <c r="OJ247" s="181"/>
      <c r="OK247" s="181"/>
      <c r="OL247" s="181"/>
      <c r="OM247" s="181"/>
      <c r="ON247" s="181"/>
      <c r="OO247" s="181"/>
      <c r="OP247" s="181"/>
      <c r="OQ247" s="181"/>
      <c r="OR247" s="181"/>
      <c r="OS247" s="181"/>
      <c r="OT247" s="181"/>
      <c r="OU247" s="181"/>
      <c r="OV247" s="181"/>
      <c r="OW247" s="181"/>
      <c r="OX247" s="181"/>
      <c r="PU247" s="183" t="s">
        <v>664</v>
      </c>
      <c r="UM247" s="1754"/>
    </row>
    <row r="248" spans="376:559" x14ac:dyDescent="0.2">
      <c r="NN248" s="181"/>
      <c r="NO248" s="181"/>
      <c r="NP248" s="181"/>
      <c r="NQ248" s="181"/>
      <c r="NR248" s="181"/>
      <c r="NS248" s="181"/>
      <c r="NT248" s="181"/>
      <c r="NU248" s="181"/>
      <c r="NV248" s="181"/>
      <c r="NW248" s="181"/>
      <c r="NX248" s="181"/>
      <c r="NY248" s="181"/>
      <c r="NZ248" s="181"/>
      <c r="OA248" s="181"/>
      <c r="OB248" s="181"/>
      <c r="OC248" s="181"/>
      <c r="OD248" s="181"/>
      <c r="OE248" s="181"/>
      <c r="OF248" s="181"/>
      <c r="OG248" s="181"/>
      <c r="OH248" s="181"/>
      <c r="OI248" s="181"/>
      <c r="OJ248" s="181"/>
      <c r="OK248" s="181"/>
      <c r="OL248" s="181"/>
      <c r="OM248" s="181"/>
      <c r="ON248" s="181"/>
      <c r="OO248" s="181"/>
      <c r="OP248" s="181"/>
      <c r="OQ248" s="181"/>
      <c r="OR248" s="181"/>
      <c r="OS248" s="181"/>
      <c r="OT248" s="181"/>
      <c r="OU248" s="181"/>
      <c r="OV248" s="181"/>
      <c r="OW248" s="181"/>
      <c r="OX248" s="181"/>
      <c r="PU248" s="183" t="s">
        <v>665</v>
      </c>
      <c r="UM248" s="1754"/>
    </row>
    <row r="249" spans="376:559" x14ac:dyDescent="0.2">
      <c r="PU249" s="183" t="s">
        <v>666</v>
      </c>
      <c r="QN249" s="2617"/>
      <c r="QO249" s="2617"/>
      <c r="QP249" s="2617"/>
      <c r="QQ249" s="2617"/>
      <c r="QR249" s="2617"/>
      <c r="UM249" s="1754"/>
    </row>
    <row r="250" spans="376:559" ht="30.75" x14ac:dyDescent="0.2">
      <c r="PU250" s="183" t="s">
        <v>667</v>
      </c>
      <c r="QN250" s="364" t="str">
        <f>_List!CQ7</f>
        <v>Lengde-avhengig</v>
      </c>
      <c r="QO250" s="365"/>
      <c r="QP250" s="365"/>
      <c r="UM250" s="1754"/>
    </row>
    <row r="251" spans="376:559" x14ac:dyDescent="0.2">
      <c r="PU251" s="183" t="s">
        <v>668</v>
      </c>
      <c r="UM251" s="1754"/>
    </row>
    <row r="252" spans="376:559" x14ac:dyDescent="0.2">
      <c r="NM252" s="183" t="s">
        <v>812</v>
      </c>
      <c r="NN252" s="183">
        <f>IF(INDEX(inputs_forsinket[tick_check],MATCH($BO$67,inputs_forsinket[name],0))=0,1,0)</f>
        <v>1</v>
      </c>
      <c r="PU252" s="183" t="s">
        <v>670</v>
      </c>
      <c r="QN252" s="368" t="s">
        <v>249</v>
      </c>
      <c r="QO252" s="369"/>
      <c r="QP252" s="369"/>
      <c r="QQ252" s="369"/>
      <c r="UM252" s="1754"/>
    </row>
    <row r="253" spans="376:559" x14ac:dyDescent="0.2">
      <c r="NM253" s="185" t="s">
        <v>807</v>
      </c>
      <c r="NN253" s="1690" t="e">
        <f>INDEX(outputs_checks[oppsum_forbe],MATCH($NN$256,outputs_checks[Position],0))</f>
        <v>#N/A</v>
      </c>
      <c r="PU253" s="183" t="s">
        <v>669</v>
      </c>
      <c r="QN253" s="206" t="s">
        <v>471</v>
      </c>
      <c r="QO253" s="184" t="s">
        <v>208</v>
      </c>
      <c r="QP253" s="199" t="s">
        <v>210</v>
      </c>
      <c r="QQ253" s="199" t="s">
        <v>258</v>
      </c>
      <c r="UM253" s="1754"/>
    </row>
    <row r="254" spans="376:559" x14ac:dyDescent="0.2">
      <c r="NM254" s="185" t="s">
        <v>806</v>
      </c>
      <c r="NN254" s="1690" t="e">
        <f>INDEX(checks_justeringer[just_final],MATCH($NN$256,checks_justeringer[position],0))</f>
        <v>#N/A</v>
      </c>
      <c r="QN254" s="206" t="s">
        <v>386</v>
      </c>
      <c r="QO254" s="334">
        <f>BC12+DS12+ES38</f>
        <v>0</v>
      </c>
      <c r="QP254" s="211">
        <f>BD12+DT12+ET38</f>
        <v>0</v>
      </c>
      <c r="QQ254" s="211">
        <f>BE12+DU12+EU38</f>
        <v>0</v>
      </c>
      <c r="UM254" s="1754"/>
    </row>
    <row r="255" spans="376:559" x14ac:dyDescent="0.2">
      <c r="UM255" s="1754"/>
    </row>
    <row r="256" spans="376:559" x14ac:dyDescent="0.2">
      <c r="NL256" s="185"/>
      <c r="NM256" s="185" t="s">
        <v>805</v>
      </c>
      <c r="NN256" s="185">
        <f>INDEX(oppsum_position[Position],MATCH($QW$135,oppsum_position[Navn],0))</f>
        <v>0</v>
      </c>
      <c r="UM256" s="1754"/>
    </row>
    <row r="257" spans="375:559" ht="15" thickBot="1" x14ac:dyDescent="0.25">
      <c r="UM257" s="1754"/>
    </row>
    <row r="258" spans="375:559" ht="15" thickBot="1" x14ac:dyDescent="0.25">
      <c r="NK258" s="1589"/>
      <c r="NL258" s="1590" t="s">
        <v>795</v>
      </c>
      <c r="NM258" s="1591"/>
      <c r="NN258" s="1810">
        <f>IF(BC36=0,0,IF($BC$38=1,$PQ$223,IF($BC$38=2,$PQ$214)))</f>
        <v>0</v>
      </c>
      <c r="QS258" s="208"/>
      <c r="QT258" s="208"/>
      <c r="QU258" s="208"/>
      <c r="QV258" s="208"/>
      <c r="QW258" s="208"/>
      <c r="QX258" s="207"/>
      <c r="UM258" s="1754"/>
    </row>
    <row r="259" spans="375:559" ht="15" thickBot="1" x14ac:dyDescent="0.25">
      <c r="NN259" s="265"/>
      <c r="QO259" s="185" t="s">
        <v>208</v>
      </c>
      <c r="QP259" s="185" t="s">
        <v>210</v>
      </c>
      <c r="QQ259" s="199" t="s">
        <v>258</v>
      </c>
      <c r="QS259" s="208"/>
      <c r="QT259" s="208"/>
      <c r="QU259" s="208"/>
      <c r="QV259" s="208"/>
      <c r="QW259" s="208"/>
      <c r="UM259" s="1754"/>
    </row>
    <row r="260" spans="375:559" ht="15" thickBot="1" x14ac:dyDescent="0.25">
      <c r="NK260" s="1589"/>
      <c r="NL260" s="1590" t="s">
        <v>796</v>
      </c>
      <c r="NM260" s="1591"/>
      <c r="NN260" s="1810">
        <f>NR433</f>
        <v>0</v>
      </c>
      <c r="QN260" s="185" t="s">
        <v>308</v>
      </c>
      <c r="QO260" s="340" t="str">
        <f>IF(QO237=1,QO254,"")</f>
        <v/>
      </c>
      <c r="QP260" s="340" t="str">
        <f>IF(QO237=1,QP254,"")</f>
        <v/>
      </c>
      <c r="QQ260" s="340" t="str">
        <f>IF(QO237=1,QQ254,"")</f>
        <v/>
      </c>
      <c r="QR260" s="208"/>
      <c r="UM260" s="1754"/>
    </row>
    <row r="261" spans="375:559" x14ac:dyDescent="0.2">
      <c r="QO261" s="208"/>
      <c r="QP261" s="208"/>
      <c r="QQ261" s="208"/>
      <c r="QR261" s="208"/>
      <c r="UM261" s="1754"/>
    </row>
    <row r="262" spans="375:559" x14ac:dyDescent="0.2">
      <c r="UM262" s="1754"/>
    </row>
    <row r="263" spans="375:559" x14ac:dyDescent="0.2">
      <c r="RA263" s="207"/>
      <c r="UM263" s="1754"/>
    </row>
    <row r="264" spans="375:559" ht="30.75" x14ac:dyDescent="0.2">
      <c r="NN264" s="3862" t="s">
        <v>558</v>
      </c>
      <c r="NO264" s="3862"/>
      <c r="NP264" s="3862"/>
      <c r="UM264" s="1754"/>
    </row>
    <row r="265" spans="375:559" x14ac:dyDescent="0.2">
      <c r="NN265" s="185" t="s">
        <v>811</v>
      </c>
      <c r="NO265" s="185">
        <f>IF(INDEX(inputs_forsinket[tick_check],MATCH(NO270,inputs_forsinket[name],0))=1,0,1)</f>
        <v>1</v>
      </c>
      <c r="NP265" s="185" t="e">
        <f>IF(INDEX(inputs_forsinket[tick_check],MATCH(NP270,inputs_forsinket[name],0))=1,0,1)</f>
        <v>#N/A</v>
      </c>
      <c r="NQ265" s="185" t="e">
        <f>IF(INDEX(inputs_forsinket[tick_check],MATCH(NQ270,inputs_forsinket[name],0))=1,0,1)</f>
        <v>#N/A</v>
      </c>
      <c r="NR265" s="185" t="e">
        <f>IF(INDEX(inputs_forsinket[tick_check],MATCH(NR270,inputs_forsinket[name],0))=1,0,1)</f>
        <v>#N/A</v>
      </c>
      <c r="NS265" s="185" t="e">
        <f>IF(INDEX(inputs_forsinket[tick_check],MATCH(NS270,inputs_forsinket[name],0))=1,0,1)</f>
        <v>#N/A</v>
      </c>
      <c r="NT265" s="185" t="e">
        <f>IF(INDEX(inputs_forsinket[tick_check],MATCH(NT270,inputs_forsinket[name],0))=1,0,1)</f>
        <v>#N/A</v>
      </c>
      <c r="NU265" s="185" t="e">
        <f>IF(INDEX(inputs_forsinket[tick_check],MATCH(NU270,inputs_forsinket[name],0))=1,0,1)</f>
        <v>#N/A</v>
      </c>
      <c r="NV265" s="185" t="e">
        <f>IF(INDEX(inputs_forsinket[tick_check],MATCH(NV270,inputs_forsinket[name],0))=1,0,1)</f>
        <v>#N/A</v>
      </c>
      <c r="NW265" s="185" t="e">
        <f>IF(INDEX(inputs_forsinket[tick_check],MATCH(NW270,inputs_forsinket[name],0))=1,0,1)</f>
        <v>#N/A</v>
      </c>
      <c r="UM265" s="1754"/>
    </row>
    <row r="266" spans="375:559" x14ac:dyDescent="0.2">
      <c r="NN266" s="185" t="s">
        <v>810</v>
      </c>
      <c r="NO266" s="185">
        <f>INDEX(outputs_checks[tverrslag_check],MATCH(NO276,outputs_checks[stuff_id],0))</f>
        <v>0</v>
      </c>
      <c r="NP266" s="185" t="e">
        <f>INDEX(outputs_checks[tverrslag_check],MATCH(NP276,outputs_checks[stuff_id],0))</f>
        <v>#N/A</v>
      </c>
      <c r="NQ266" s="185" t="e">
        <f>INDEX(outputs_checks[tverrslag_check],MATCH(NQ276,outputs_checks[stuff_id],0))</f>
        <v>#N/A</v>
      </c>
      <c r="NR266" s="185" t="e">
        <f>INDEX(outputs_checks[tverrslag_check],MATCH(NR276,outputs_checks[stuff_id],0))</f>
        <v>#N/A</v>
      </c>
      <c r="NS266" s="185" t="e">
        <f>INDEX(outputs_checks[tverrslag_check],MATCH(NS276,outputs_checks[stuff_id],0))</f>
        <v>#N/A</v>
      </c>
      <c r="NT266" s="185" t="e">
        <f>INDEX(outputs_checks[tverrslag_check],MATCH(NT276,outputs_checks[stuff_id],0))</f>
        <v>#N/A</v>
      </c>
      <c r="NU266" s="185" t="e">
        <f>INDEX(outputs_checks[tverrslag_check],MATCH(NU276,outputs_checks[stuff_id],0))</f>
        <v>#N/A</v>
      </c>
      <c r="NV266" s="185" t="e">
        <f>INDEX(outputs_checks[tverrslag_check],MATCH(NV276,outputs_checks[stuff_id],0))</f>
        <v>#N/A</v>
      </c>
      <c r="NW266" s="185" t="e">
        <f>INDEX(outputs_checks[tverrslag_check],MATCH(NW276,outputs_checks[stuff_id],0))</f>
        <v>#N/A</v>
      </c>
      <c r="UM266" s="1754"/>
    </row>
    <row r="267" spans="375:559" ht="30.75" x14ac:dyDescent="0.2">
      <c r="QN267" s="364" t="str">
        <f>_List!CQ8</f>
        <v>Brukerdefinert</v>
      </c>
      <c r="QO267" s="2970" t="s">
        <v>857</v>
      </c>
      <c r="QP267" s="364"/>
      <c r="UM267" s="1754"/>
    </row>
    <row r="268" spans="375:559" ht="18" x14ac:dyDescent="0.25">
      <c r="NN268" s="394" t="s">
        <v>371</v>
      </c>
      <c r="NO268" s="395"/>
      <c r="NP268" s="395"/>
      <c r="NQ268" s="395"/>
      <c r="NR268" s="395"/>
      <c r="NS268" s="395"/>
      <c r="NT268" s="395"/>
      <c r="NU268" s="395"/>
      <c r="NV268" s="395"/>
      <c r="NW268" s="395"/>
      <c r="UM268" s="1754"/>
    </row>
    <row r="269" spans="375:559" ht="20.25" x14ac:dyDescent="0.2">
      <c r="NN269" s="396" t="s">
        <v>340</v>
      </c>
      <c r="NO269" s="397">
        <v>1</v>
      </c>
      <c r="NP269" s="397">
        <v>2</v>
      </c>
      <c r="NQ269" s="397">
        <v>3</v>
      </c>
      <c r="NR269" s="397">
        <v>4</v>
      </c>
      <c r="NS269" s="397">
        <v>5</v>
      </c>
      <c r="NT269" s="397">
        <v>6</v>
      </c>
      <c r="NU269" s="397">
        <v>7</v>
      </c>
      <c r="NV269" s="397">
        <v>8</v>
      </c>
      <c r="NW269" s="397">
        <v>9</v>
      </c>
      <c r="UM269" s="1754"/>
    </row>
    <row r="270" spans="375:559" ht="18" x14ac:dyDescent="0.25">
      <c r="NN270" s="319" t="s">
        <v>48</v>
      </c>
      <c r="NO270" s="313" t="str">
        <f>IFERROR((INDEX(oppsum_position[Name],MATCH(NO$35,oppsum_position[Position],0))),"")</f>
        <v>Stuff 1-1</v>
      </c>
      <c r="NP270" s="313" t="str">
        <f>IFERROR((INDEX(oppsum_position[Name],MATCH(NP$35,oppsum_position[Position],0))),"")</f>
        <v/>
      </c>
      <c r="NQ270" s="313" t="str">
        <f>IFERROR((INDEX(oppsum_position[Name],MATCH(NQ$35,oppsum_position[Position],0))),"")</f>
        <v/>
      </c>
      <c r="NR270" s="313" t="str">
        <f>IFERROR((INDEX(oppsum_position[Name],MATCH(NR$35,oppsum_position[Position],0))),"")</f>
        <v/>
      </c>
      <c r="NS270" s="313" t="str">
        <f>IFERROR((INDEX(oppsum_position[Name],MATCH(NS$35,oppsum_position[Position],0))),"")</f>
        <v/>
      </c>
      <c r="NT270" s="313" t="str">
        <f>IFERROR((INDEX(oppsum_position[Name],MATCH(NT$35,oppsum_position[Position],0))),"")</f>
        <v/>
      </c>
      <c r="NU270" s="313" t="str">
        <f>IFERROR((INDEX(oppsum_position[Name],MATCH(NU$35,oppsum_position[Position],0))),"")</f>
        <v/>
      </c>
      <c r="NV270" s="313" t="str">
        <f>IFERROR((INDEX(oppsum_position[Name],MATCH(NV$35,oppsum_position[Position],0))),"")</f>
        <v/>
      </c>
      <c r="NW270" s="313" t="str">
        <f>IFERROR((INDEX(oppsum_position[Name],MATCH(NW$35,oppsum_position[Position],0))),"")</f>
        <v/>
      </c>
      <c r="QN270" s="368" t="s">
        <v>255</v>
      </c>
      <c r="QO270" s="367"/>
      <c r="QP270" s="367"/>
      <c r="QQ270" s="367"/>
      <c r="QR270" s="367"/>
      <c r="QS270" s="367"/>
      <c r="QT270" s="367"/>
      <c r="QU270" s="369"/>
      <c r="QV270" s="367"/>
      <c r="QW270" s="367"/>
      <c r="UM270" s="1754"/>
    </row>
    <row r="271" spans="375:559" x14ac:dyDescent="0.2">
      <c r="NN271" s="185"/>
      <c r="NO271" s="199"/>
      <c r="NP271" s="199"/>
      <c r="NQ271" s="199"/>
      <c r="NR271" s="199"/>
      <c r="NS271" s="199"/>
      <c r="NT271" s="199"/>
      <c r="NU271" s="199"/>
      <c r="NV271" s="199"/>
      <c r="NW271" s="199"/>
      <c r="QN271" s="206"/>
      <c r="QO271" s="199" t="s">
        <v>170</v>
      </c>
      <c r="QP271" s="199" t="s">
        <v>171</v>
      </c>
      <c r="QQ271" s="199" t="s">
        <v>172</v>
      </c>
      <c r="QR271" s="199" t="s">
        <v>173</v>
      </c>
      <c r="QS271" s="199" t="s">
        <v>183</v>
      </c>
      <c r="QT271" s="199" t="s">
        <v>184</v>
      </c>
      <c r="QU271" s="199" t="s">
        <v>185</v>
      </c>
      <c r="QV271" s="199" t="s">
        <v>186</v>
      </c>
      <c r="QW271" s="199" t="s">
        <v>320</v>
      </c>
      <c r="UM271" s="1754"/>
    </row>
    <row r="272" spans="375:559" x14ac:dyDescent="0.2">
      <c r="NN272" s="185" t="s">
        <v>434</v>
      </c>
      <c r="NO272" s="199">
        <f>INDEX(oppsum_position[default position],MATCH(NO270,oppsum_position[Navn],0))</f>
        <v>1</v>
      </c>
      <c r="NP272" s="199" t="e">
        <f>INDEX(oppsum_position[default position],MATCH(NP270,oppsum_position[Navn],0))</f>
        <v>#N/A</v>
      </c>
      <c r="NQ272" s="199" t="e">
        <f>INDEX(oppsum_position[default position],MATCH(NQ270,oppsum_position[Navn],0))</f>
        <v>#N/A</v>
      </c>
      <c r="NR272" s="199" t="e">
        <f>INDEX(oppsum_position[default position],MATCH(NR270,oppsum_position[Navn],0))</f>
        <v>#N/A</v>
      </c>
      <c r="NS272" s="199" t="e">
        <f>INDEX(oppsum_position[default position],MATCH(NS270,oppsum_position[Navn],0))</f>
        <v>#N/A</v>
      </c>
      <c r="NT272" s="199" t="e">
        <f>INDEX(oppsum_position[default position],MATCH(NT270,oppsum_position[Navn],0))</f>
        <v>#N/A</v>
      </c>
      <c r="NU272" s="199" t="e">
        <f>INDEX(oppsum_position[default position],MATCH(NU270,oppsum_position[Navn],0))</f>
        <v>#N/A</v>
      </c>
      <c r="NV272" s="199" t="e">
        <f>INDEX(oppsum_position[default position],MATCH(NV270,oppsum_position[Navn],0))</f>
        <v>#N/A</v>
      </c>
      <c r="NW272" s="199" t="e">
        <f>INDEX(oppsum_position[default position],MATCH(NW270,oppsum_position[Navn],0))</f>
        <v>#N/A</v>
      </c>
      <c r="QN272" s="206" t="s">
        <v>386</v>
      </c>
      <c r="QO272" s="211">
        <f t="shared" ref="QO272:QW272" si="316">BC16+DS16+ES42</f>
        <v>0</v>
      </c>
      <c r="QP272" s="211">
        <f t="shared" si="316"/>
        <v>0</v>
      </c>
      <c r="QQ272" s="211">
        <f t="shared" si="316"/>
        <v>0</v>
      </c>
      <c r="QR272" s="211">
        <f t="shared" si="316"/>
        <v>0</v>
      </c>
      <c r="QS272" s="211">
        <f t="shared" si="316"/>
        <v>0</v>
      </c>
      <c r="QT272" s="211">
        <f t="shared" si="316"/>
        <v>0</v>
      </c>
      <c r="QU272" s="211">
        <f t="shared" si="316"/>
        <v>0</v>
      </c>
      <c r="QV272" s="211">
        <f t="shared" si="316"/>
        <v>0</v>
      </c>
      <c r="QW272" s="211">
        <f t="shared" si="316"/>
        <v>0</v>
      </c>
      <c r="UM272" s="1754"/>
    </row>
    <row r="273" spans="377:559" x14ac:dyDescent="0.2">
      <c r="NN273" s="185" t="s">
        <v>435</v>
      </c>
      <c r="NO273" s="199">
        <f t="shared" ref="NO273:NW273" si="317">$BC$38</f>
        <v>2</v>
      </c>
      <c r="NP273" s="199">
        <f t="shared" si="317"/>
        <v>2</v>
      </c>
      <c r="NQ273" s="199">
        <f t="shared" si="317"/>
        <v>2</v>
      </c>
      <c r="NR273" s="199">
        <f t="shared" si="317"/>
        <v>2</v>
      </c>
      <c r="NS273" s="199">
        <f t="shared" si="317"/>
        <v>2</v>
      </c>
      <c r="NT273" s="199">
        <f t="shared" si="317"/>
        <v>2</v>
      </c>
      <c r="NU273" s="199">
        <f t="shared" si="317"/>
        <v>2</v>
      </c>
      <c r="NV273" s="199">
        <f t="shared" si="317"/>
        <v>2</v>
      </c>
      <c r="NW273" s="199">
        <f t="shared" si="317"/>
        <v>2</v>
      </c>
      <c r="QN273" s="185" t="s">
        <v>414</v>
      </c>
      <c r="QO273" s="340">
        <f t="shared" ref="QO273:QW273" si="318">QO272/$AI$80</f>
        <v>0</v>
      </c>
      <c r="QP273" s="340">
        <f t="shared" si="318"/>
        <v>0</v>
      </c>
      <c r="QQ273" s="340">
        <f t="shared" si="318"/>
        <v>0</v>
      </c>
      <c r="QR273" s="340">
        <f t="shared" si="318"/>
        <v>0</v>
      </c>
      <c r="QS273" s="340">
        <f t="shared" si="318"/>
        <v>0</v>
      </c>
      <c r="QT273" s="340">
        <f t="shared" si="318"/>
        <v>0</v>
      </c>
      <c r="QU273" s="340">
        <f t="shared" si="318"/>
        <v>0</v>
      </c>
      <c r="QV273" s="340">
        <f t="shared" si="318"/>
        <v>0</v>
      </c>
      <c r="QW273" s="340">
        <f t="shared" si="318"/>
        <v>0</v>
      </c>
      <c r="UM273" s="1754"/>
    </row>
    <row r="274" spans="377:559" x14ac:dyDescent="0.2">
      <c r="NN274" s="185" t="s">
        <v>2410</v>
      </c>
      <c r="NO274" s="185">
        <f>_Calcs_Klasse!$AI$31</f>
        <v>2</v>
      </c>
      <c r="NP274" s="185">
        <f>_Calcs_Klasse!$AI$31</f>
        <v>2</v>
      </c>
      <c r="NQ274" s="185">
        <f>_Calcs_Klasse!$AI$31</f>
        <v>2</v>
      </c>
      <c r="NR274" s="185">
        <f>_Calcs_Klasse!$AI$31</f>
        <v>2</v>
      </c>
      <c r="NS274" s="185">
        <f>_Calcs_Klasse!$AI$31</f>
        <v>2</v>
      </c>
      <c r="NT274" s="185">
        <f>_Calcs_Klasse!$AI$31</f>
        <v>2</v>
      </c>
      <c r="NU274" s="185">
        <f>_Calcs_Klasse!$AI$31</f>
        <v>2</v>
      </c>
      <c r="NV274" s="185">
        <f>_Calcs_Klasse!$AI$31</f>
        <v>2</v>
      </c>
      <c r="NW274" s="185">
        <f>_Calcs_Klasse!$AI$31</f>
        <v>2</v>
      </c>
      <c r="UM274" s="1754"/>
    </row>
    <row r="275" spans="377:559" x14ac:dyDescent="0.2">
      <c r="UM275" s="1754"/>
    </row>
    <row r="276" spans="377:559" ht="19.5" x14ac:dyDescent="0.3">
      <c r="NN276" s="410" t="s">
        <v>436</v>
      </c>
      <c r="NO276" s="409">
        <f>IF(_Calcs_Klasse!$AI$27=1,"klasse_"&amp;NO272,IF(_Calcs_Klasse!$AI$27=2,VALUE(NO272&amp;NO273)))</f>
        <v>12</v>
      </c>
      <c r="NP276" s="409" t="e">
        <f>IF(_Calcs_Klasse!$AI$27=1,"klasse_"&amp;NP272,IF(_Calcs_Klasse!$AI$27=2,VALUE(NP272&amp;NP273)))</f>
        <v>#N/A</v>
      </c>
      <c r="NQ276" s="409" t="e">
        <f>IF(_Calcs_Klasse!$AI$27=1,"klasse_"&amp;NQ272,IF(_Calcs_Klasse!$AI$27=2,VALUE(NQ272&amp;NQ273)))</f>
        <v>#N/A</v>
      </c>
      <c r="NR276" s="409" t="e">
        <f>IF(_Calcs_Klasse!$AI$27=1,"klasse_"&amp;NR272,IF(_Calcs_Klasse!$AI$27=2,VALUE(NR272&amp;NR273)))</f>
        <v>#N/A</v>
      </c>
      <c r="NS276" s="409" t="e">
        <f>IF(_Calcs_Klasse!$AI$27=1,"klasse_"&amp;NS272,IF(_Calcs_Klasse!$AI$27=2,VALUE(NS272&amp;NS273)))</f>
        <v>#N/A</v>
      </c>
      <c r="NT276" s="409" t="e">
        <f>IF(_Calcs_Klasse!$AI$27=1,"klasse_"&amp;NT272,IF(_Calcs_Klasse!$AI$27=2,VALUE(NT272&amp;NT273)))</f>
        <v>#N/A</v>
      </c>
      <c r="NU276" s="409" t="e">
        <f>IF(_Calcs_Klasse!$AI$27=1,"klasse_"&amp;NU272,IF(_Calcs_Klasse!$AI$27=2,VALUE(NU272&amp;NU273)))</f>
        <v>#N/A</v>
      </c>
      <c r="NV276" s="409" t="e">
        <f>IF(_Calcs_Klasse!$AI$27=1,"klasse_"&amp;NV272,IF(_Calcs_Klasse!$AI$27=2,VALUE(NV272&amp;NV273)))</f>
        <v>#N/A</v>
      </c>
      <c r="NW276" s="409" t="e">
        <f>IF(_Calcs_Klasse!$AI$27=1,"klasse_"&amp;NW272,IF(_Calcs_Klasse!$AI$27=2,VALUE(NW272&amp;NW273)))</f>
        <v>#N/A</v>
      </c>
      <c r="UM276" s="1754"/>
    </row>
    <row r="277" spans="377:559" ht="19.5" x14ac:dyDescent="0.3">
      <c r="NM277" s="464" t="s">
        <v>559</v>
      </c>
      <c r="NN277" s="410" t="s">
        <v>2354</v>
      </c>
      <c r="NO277" s="409">
        <f t="shared" ref="NO277:NW277" si="319">VALUE(NO272&amp;NO273)</f>
        <v>12</v>
      </c>
      <c r="NP277" s="409" t="e">
        <f t="shared" si="319"/>
        <v>#N/A</v>
      </c>
      <c r="NQ277" s="409" t="e">
        <f t="shared" si="319"/>
        <v>#N/A</v>
      </c>
      <c r="NR277" s="409" t="e">
        <f t="shared" si="319"/>
        <v>#N/A</v>
      </c>
      <c r="NS277" s="409" t="e">
        <f t="shared" si="319"/>
        <v>#N/A</v>
      </c>
      <c r="NT277" s="409" t="e">
        <f t="shared" si="319"/>
        <v>#N/A</v>
      </c>
      <c r="NU277" s="409" t="e">
        <f t="shared" si="319"/>
        <v>#N/A</v>
      </c>
      <c r="NV277" s="409" t="e">
        <f t="shared" si="319"/>
        <v>#N/A</v>
      </c>
      <c r="NW277" s="409" t="e">
        <f t="shared" si="319"/>
        <v>#N/A</v>
      </c>
      <c r="UM277" s="1754"/>
    </row>
    <row r="278" spans="377:559" x14ac:dyDescent="0.2">
      <c r="NM278" s="464" t="s">
        <v>559</v>
      </c>
      <c r="NN278" s="340" t="s">
        <v>1245</v>
      </c>
      <c r="NO278" s="185">
        <f>INDEX(outputs_checks[prosjekt_forbe],MATCH(NO$276,outputs_checks[stuff_id],0))</f>
        <v>1</v>
      </c>
      <c r="NP278" s="185" t="e">
        <f>INDEX(outputs_checks[prosjekt_forbe],MATCH(NP$276,outputs_checks[stuff_id],0))</f>
        <v>#N/A</v>
      </c>
      <c r="NQ278" s="185" t="e">
        <f>INDEX(outputs_checks[prosjekt_forbe],MATCH(NQ$276,outputs_checks[stuff_id],0))</f>
        <v>#N/A</v>
      </c>
      <c r="NR278" s="185" t="e">
        <f>INDEX(outputs_checks[prosjekt_forbe],MATCH(NR$276,outputs_checks[stuff_id],0))</f>
        <v>#N/A</v>
      </c>
      <c r="NS278" s="185" t="e">
        <f>INDEX(outputs_checks[prosjekt_forbe],MATCH(NS$276,outputs_checks[stuff_id],0))</f>
        <v>#N/A</v>
      </c>
      <c r="NT278" s="185" t="e">
        <f>INDEX(outputs_checks[prosjekt_forbe],MATCH(NT$276,outputs_checks[stuff_id],0))</f>
        <v>#N/A</v>
      </c>
      <c r="NU278" s="185" t="e">
        <f>INDEX(outputs_checks[prosjekt_forbe],MATCH(NU$276,outputs_checks[stuff_id],0))</f>
        <v>#N/A</v>
      </c>
      <c r="NV278" s="185" t="e">
        <f>INDEX(outputs_checks[prosjekt_forbe],MATCH(NV$276,outputs_checks[stuff_id],0))</f>
        <v>#N/A</v>
      </c>
      <c r="NW278" s="185" t="e">
        <f>INDEX(outputs_checks[prosjekt_forbe],MATCH(NW$276,outputs_checks[stuff_id],0))</f>
        <v>#N/A</v>
      </c>
      <c r="UM278" s="1754"/>
    </row>
    <row r="279" spans="377:559" x14ac:dyDescent="0.2">
      <c r="NN279" s="1579" t="s">
        <v>554</v>
      </c>
      <c r="NO279" s="185">
        <f>INDEX(outputs_checks[oppsum_forbe],MATCH(NO$276,outputs_checks[stuff_id],0))</f>
        <v>1</v>
      </c>
      <c r="NP279" s="185" t="e">
        <f>INDEX(outputs_checks[oppsum_forbe],MATCH(NP$276,outputs_checks[stuff_id],0))</f>
        <v>#N/A</v>
      </c>
      <c r="NQ279" s="185" t="e">
        <f>INDEX(outputs_checks[oppsum_forbe],MATCH(NQ$276,outputs_checks[stuff_id],0))</f>
        <v>#N/A</v>
      </c>
      <c r="NR279" s="185" t="e">
        <f>INDEX(outputs_checks[oppsum_forbe],MATCH(NR$276,outputs_checks[stuff_id],0))</f>
        <v>#N/A</v>
      </c>
      <c r="NS279" s="185" t="e">
        <f>INDEX(outputs_checks[oppsum_forbe],MATCH(NS$276,outputs_checks[stuff_id],0))</f>
        <v>#N/A</v>
      </c>
      <c r="NT279" s="185" t="e">
        <f>INDEX(outputs_checks[oppsum_forbe],MATCH(NT$276,outputs_checks[stuff_id],0))</f>
        <v>#N/A</v>
      </c>
      <c r="NU279" s="185" t="e">
        <f>INDEX(outputs_checks[oppsum_forbe],MATCH(NU$276,outputs_checks[stuff_id],0))</f>
        <v>#N/A</v>
      </c>
      <c r="NV279" s="185" t="e">
        <f>INDEX(outputs_checks[oppsum_forbe],MATCH(NV$276,outputs_checks[stuff_id],0))</f>
        <v>#N/A</v>
      </c>
      <c r="NW279" s="185" t="e">
        <f>INDEX(outputs_checks[oppsum_forbe],MATCH(NW$276,outputs_checks[stuff_id],0))</f>
        <v>#N/A</v>
      </c>
      <c r="UM279" s="1754"/>
    </row>
    <row r="280" spans="377:559" x14ac:dyDescent="0.2">
      <c r="NN280" s="230" t="s">
        <v>555</v>
      </c>
      <c r="NO280" s="185">
        <f>INDEX(outputs_checks[oppsum_løp],MATCH(NO$276,outputs_checks[stuff_id],0))</f>
        <v>4</v>
      </c>
      <c r="NP280" s="185" t="e">
        <f>INDEX(outputs_checks[oppsum_løp],MATCH(NP$276,outputs_checks[stuff_id],0))</f>
        <v>#N/A</v>
      </c>
      <c r="NQ280" s="185" t="e">
        <f>INDEX(outputs_checks[oppsum_løp],MATCH(NQ$276,outputs_checks[stuff_id],0))</f>
        <v>#N/A</v>
      </c>
      <c r="NR280" s="185" t="e">
        <f>INDEX(outputs_checks[oppsum_løp],MATCH(NR$276,outputs_checks[stuff_id],0))</f>
        <v>#N/A</v>
      </c>
      <c r="NS280" s="185" t="e">
        <f>INDEX(outputs_checks[oppsum_løp],MATCH(NS$276,outputs_checks[stuff_id],0))</f>
        <v>#N/A</v>
      </c>
      <c r="NT280" s="185" t="e">
        <f>INDEX(outputs_checks[oppsum_løp],MATCH(NT$276,outputs_checks[stuff_id],0))</f>
        <v>#N/A</v>
      </c>
      <c r="NU280" s="185" t="e">
        <f>INDEX(outputs_checks[oppsum_løp],MATCH(NU$276,outputs_checks[stuff_id],0))</f>
        <v>#N/A</v>
      </c>
      <c r="NV280" s="185" t="e">
        <f>INDEX(outputs_checks[oppsum_løp],MATCH(NV$276,outputs_checks[stuff_id],0))</f>
        <v>#N/A</v>
      </c>
      <c r="NW280" s="185" t="e">
        <f>INDEX(outputs_checks[oppsum_løp],MATCH(NW$276,outputs_checks[stuff_id],0))</f>
        <v>#N/A</v>
      </c>
      <c r="UM280" s="1754"/>
    </row>
    <row r="281" spans="377:559" x14ac:dyDescent="0.2">
      <c r="NN281" s="230" t="s">
        <v>556</v>
      </c>
      <c r="NO281" s="185">
        <f>INDEX(outputs_checks[oppsum_nisj],MATCH(NO$276,outputs_checks[stuff_id],0))</f>
        <v>8</v>
      </c>
      <c r="NP281" s="185" t="e">
        <f>INDEX(outputs_checks[oppsum_nisj],MATCH(NP$276,outputs_checks[stuff_id],0))</f>
        <v>#N/A</v>
      </c>
      <c r="NQ281" s="185" t="e">
        <f>INDEX(outputs_checks[oppsum_nisj],MATCH(NQ$276,outputs_checks[stuff_id],0))</f>
        <v>#N/A</v>
      </c>
      <c r="NR281" s="185" t="e">
        <f>INDEX(outputs_checks[oppsum_nisj],MATCH(NR$276,outputs_checks[stuff_id],0))</f>
        <v>#N/A</v>
      </c>
      <c r="NS281" s="185" t="e">
        <f>INDEX(outputs_checks[oppsum_nisj],MATCH(NS$276,outputs_checks[stuff_id],0))</f>
        <v>#N/A</v>
      </c>
      <c r="NT281" s="185" t="e">
        <f>INDEX(outputs_checks[oppsum_nisj],MATCH(NT$276,outputs_checks[stuff_id],0))</f>
        <v>#N/A</v>
      </c>
      <c r="NU281" s="185" t="e">
        <f>INDEX(outputs_checks[oppsum_nisj],MATCH(NU$276,outputs_checks[stuff_id],0))</f>
        <v>#N/A</v>
      </c>
      <c r="NV281" s="185" t="e">
        <f>INDEX(outputs_checks[oppsum_nisj],MATCH(NV$276,outputs_checks[stuff_id],0))</f>
        <v>#N/A</v>
      </c>
      <c r="NW281" s="185" t="e">
        <f>INDEX(outputs_checks[oppsum_nisj],MATCH(NW$276,outputs_checks[stuff_id],0))</f>
        <v>#N/A</v>
      </c>
      <c r="UM281" s="1754"/>
    </row>
    <row r="282" spans="377:559" x14ac:dyDescent="0.2">
      <c r="NN282" s="230" t="s">
        <v>663</v>
      </c>
      <c r="NO282" s="185">
        <f>INDEX(outputs_checks[oppsum_sonder],MATCH(NO$276,outputs_checks[stuff_id],0))</f>
        <v>3</v>
      </c>
      <c r="NP282" s="185" t="e">
        <f>INDEX(outputs_checks[oppsum_sonder],MATCH(NP$276,outputs_checks[stuff_id],0))</f>
        <v>#N/A</v>
      </c>
      <c r="NQ282" s="185" t="e">
        <f>INDEX(outputs_checks[oppsum_sonder],MATCH(NQ$276,outputs_checks[stuff_id],0))</f>
        <v>#N/A</v>
      </c>
      <c r="NR282" s="185" t="e">
        <f>INDEX(outputs_checks[oppsum_sonder],MATCH(NR$276,outputs_checks[stuff_id],0))</f>
        <v>#N/A</v>
      </c>
      <c r="NS282" s="185" t="e">
        <f>INDEX(outputs_checks[oppsum_sonder],MATCH(NS$276,outputs_checks[stuff_id],0))</f>
        <v>#N/A</v>
      </c>
      <c r="NT282" s="185" t="e">
        <f>INDEX(outputs_checks[oppsum_sonder],MATCH(NT$276,outputs_checks[stuff_id],0))</f>
        <v>#N/A</v>
      </c>
      <c r="NU282" s="185" t="e">
        <f>INDEX(outputs_checks[oppsum_sonder],MATCH(NU$276,outputs_checks[stuff_id],0))</f>
        <v>#N/A</v>
      </c>
      <c r="NV282" s="185" t="e">
        <f>INDEX(outputs_checks[oppsum_sonder],MATCH(NV$276,outputs_checks[stuff_id],0))</f>
        <v>#N/A</v>
      </c>
      <c r="NW282" s="185" t="e">
        <f>INDEX(outputs_checks[oppsum_sonder],MATCH(NW$276,outputs_checks[stuff_id],0))</f>
        <v>#N/A</v>
      </c>
      <c r="UM282" s="1754"/>
    </row>
    <row r="283" spans="377:559" x14ac:dyDescent="0.2">
      <c r="NN283" s="230" t="s">
        <v>664</v>
      </c>
      <c r="NO283" s="185">
        <f>INDEX(outputs_checks[oppsum_inj],MATCH(NO$276,outputs_checks[stuff_id],0))</f>
        <v>6</v>
      </c>
      <c r="NP283" s="185" t="e">
        <f>INDEX(outputs_checks[oppsum_inj],MATCH(NP$276,outputs_checks[stuff_id],0))</f>
        <v>#N/A</v>
      </c>
      <c r="NQ283" s="185" t="e">
        <f>INDEX(outputs_checks[oppsum_inj],MATCH(NQ$276,outputs_checks[stuff_id],0))</f>
        <v>#N/A</v>
      </c>
      <c r="NR283" s="185" t="e">
        <f>INDEX(outputs_checks[oppsum_inj],MATCH(NR$276,outputs_checks[stuff_id],0))</f>
        <v>#N/A</v>
      </c>
      <c r="NS283" s="185" t="e">
        <f>INDEX(outputs_checks[oppsum_inj],MATCH(NS$276,outputs_checks[stuff_id],0))</f>
        <v>#N/A</v>
      </c>
      <c r="NT283" s="185" t="e">
        <f>INDEX(outputs_checks[oppsum_inj],MATCH(NT$276,outputs_checks[stuff_id],0))</f>
        <v>#N/A</v>
      </c>
      <c r="NU283" s="185" t="e">
        <f>INDEX(outputs_checks[oppsum_inj],MATCH(NU$276,outputs_checks[stuff_id],0))</f>
        <v>#N/A</v>
      </c>
      <c r="NV283" s="185" t="e">
        <f>INDEX(outputs_checks[oppsum_inj],MATCH(NV$276,outputs_checks[stuff_id],0))</f>
        <v>#N/A</v>
      </c>
      <c r="NW283" s="185" t="e">
        <f>INDEX(outputs_checks[oppsum_inj],MATCH(NW$276,outputs_checks[stuff_id],0))</f>
        <v>#N/A</v>
      </c>
      <c r="UM283" s="1754"/>
    </row>
    <row r="284" spans="377:559" x14ac:dyDescent="0.2">
      <c r="NN284" s="230" t="s">
        <v>665</v>
      </c>
      <c r="NO284" s="185">
        <f>INDEX(outputs_checks[oppsum_manuell],MATCH(NO$276,outputs_checks[stuff_id],0))</f>
        <v>2</v>
      </c>
      <c r="NP284" s="185" t="e">
        <f>INDEX(outputs_checks[oppsum_manuell],MATCH(NP$276,outputs_checks[stuff_id],0))</f>
        <v>#N/A</v>
      </c>
      <c r="NQ284" s="185" t="e">
        <f>INDEX(outputs_checks[oppsum_manuell],MATCH(NQ$276,outputs_checks[stuff_id],0))</f>
        <v>#N/A</v>
      </c>
      <c r="NR284" s="185" t="e">
        <f>INDEX(outputs_checks[oppsum_manuell],MATCH(NR$276,outputs_checks[stuff_id],0))</f>
        <v>#N/A</v>
      </c>
      <c r="NS284" s="185" t="e">
        <f>INDEX(outputs_checks[oppsum_manuell],MATCH(NS$276,outputs_checks[stuff_id],0))</f>
        <v>#N/A</v>
      </c>
      <c r="NT284" s="185" t="e">
        <f>INDEX(outputs_checks[oppsum_manuell],MATCH(NT$276,outputs_checks[stuff_id],0))</f>
        <v>#N/A</v>
      </c>
      <c r="NU284" s="185" t="e">
        <f>INDEX(outputs_checks[oppsum_manuell],MATCH(NU$276,outputs_checks[stuff_id],0))</f>
        <v>#N/A</v>
      </c>
      <c r="NV284" s="185" t="e">
        <f>INDEX(outputs_checks[oppsum_manuell],MATCH(NV$276,outputs_checks[stuff_id],0))</f>
        <v>#N/A</v>
      </c>
      <c r="NW284" s="185" t="e">
        <f>INDEX(outputs_checks[oppsum_manuell],MATCH(NW$276,outputs_checks[stuff_id],0))</f>
        <v>#N/A</v>
      </c>
      <c r="UM284" s="1754"/>
    </row>
    <row r="285" spans="377:559" x14ac:dyDescent="0.2">
      <c r="NN285" s="230" t="s">
        <v>666</v>
      </c>
      <c r="NO285" s="185">
        <f>INDEX(outputs_checks[oppsum_bolter],MATCH(NO$276,outputs_checks[stuff_id],0))</f>
        <v>2</v>
      </c>
      <c r="NP285" s="185" t="e">
        <f>INDEX(outputs_checks[oppsum_bolter],MATCH(NP$276,outputs_checks[stuff_id],0))</f>
        <v>#N/A</v>
      </c>
      <c r="NQ285" s="185" t="e">
        <f>INDEX(outputs_checks[oppsum_bolter],MATCH(NQ$276,outputs_checks[stuff_id],0))</f>
        <v>#N/A</v>
      </c>
      <c r="NR285" s="185" t="e">
        <f>INDEX(outputs_checks[oppsum_bolter],MATCH(NR$276,outputs_checks[stuff_id],0))</f>
        <v>#N/A</v>
      </c>
      <c r="NS285" s="185" t="e">
        <f>INDEX(outputs_checks[oppsum_bolter],MATCH(NS$276,outputs_checks[stuff_id],0))</f>
        <v>#N/A</v>
      </c>
      <c r="NT285" s="185" t="e">
        <f>INDEX(outputs_checks[oppsum_bolter],MATCH(NT$276,outputs_checks[stuff_id],0))</f>
        <v>#N/A</v>
      </c>
      <c r="NU285" s="185" t="e">
        <f>INDEX(outputs_checks[oppsum_bolter],MATCH(NU$276,outputs_checks[stuff_id],0))</f>
        <v>#N/A</v>
      </c>
      <c r="NV285" s="185" t="e">
        <f>INDEX(outputs_checks[oppsum_bolter],MATCH(NV$276,outputs_checks[stuff_id],0))</f>
        <v>#N/A</v>
      </c>
      <c r="NW285" s="185" t="e">
        <f>INDEX(outputs_checks[oppsum_bolter],MATCH(NW$276,outputs_checks[stuff_id],0))</f>
        <v>#N/A</v>
      </c>
      <c r="UM285" s="1754"/>
    </row>
    <row r="286" spans="377:559" x14ac:dyDescent="0.2">
      <c r="NN286" s="230" t="s">
        <v>667</v>
      </c>
      <c r="NO286" s="185">
        <f>INDEX(outputs_checks[oppsum_bånd],MATCH(NO$276,outputs_checks[stuff_id],0))</f>
        <v>3</v>
      </c>
      <c r="NP286" s="185" t="e">
        <f>INDEX(outputs_checks[oppsum_bånd],MATCH(NP$276,outputs_checks[stuff_id],0))</f>
        <v>#N/A</v>
      </c>
      <c r="NQ286" s="185" t="e">
        <f>INDEX(outputs_checks[oppsum_bånd],MATCH(NQ$276,outputs_checks[stuff_id],0))</f>
        <v>#N/A</v>
      </c>
      <c r="NR286" s="185" t="e">
        <f>INDEX(outputs_checks[oppsum_bånd],MATCH(NR$276,outputs_checks[stuff_id],0))</f>
        <v>#N/A</v>
      </c>
      <c r="NS286" s="185" t="e">
        <f>INDEX(outputs_checks[oppsum_bånd],MATCH(NS$276,outputs_checks[stuff_id],0))</f>
        <v>#N/A</v>
      </c>
      <c r="NT286" s="185" t="e">
        <f>INDEX(outputs_checks[oppsum_bånd],MATCH(NT$276,outputs_checks[stuff_id],0))</f>
        <v>#N/A</v>
      </c>
      <c r="NU286" s="185" t="e">
        <f>INDEX(outputs_checks[oppsum_bånd],MATCH(NU$276,outputs_checks[stuff_id],0))</f>
        <v>#N/A</v>
      </c>
      <c r="NV286" s="185" t="e">
        <f>INDEX(outputs_checks[oppsum_bånd],MATCH(NV$276,outputs_checks[stuff_id],0))</f>
        <v>#N/A</v>
      </c>
      <c r="NW286" s="185" t="e">
        <f>INDEX(outputs_checks[oppsum_bånd],MATCH(NW$276,outputs_checks[stuff_id],0))</f>
        <v>#N/A</v>
      </c>
      <c r="UM286" s="1754"/>
    </row>
    <row r="287" spans="377:559" x14ac:dyDescent="0.2">
      <c r="NN287" s="230" t="s">
        <v>668</v>
      </c>
      <c r="NO287" s="185">
        <f>INDEX(outputs_checks[oppsum_shot],MATCH(NO$276,outputs_checks[stuff_id],0))</f>
        <v>1</v>
      </c>
      <c r="NP287" s="185" t="e">
        <f>INDEX(outputs_checks[oppsum_shot],MATCH(NP$276,outputs_checks[stuff_id],0))</f>
        <v>#N/A</v>
      </c>
      <c r="NQ287" s="185" t="e">
        <f>INDEX(outputs_checks[oppsum_shot],MATCH(NQ$276,outputs_checks[stuff_id],0))</f>
        <v>#N/A</v>
      </c>
      <c r="NR287" s="185" t="e">
        <f>INDEX(outputs_checks[oppsum_shot],MATCH(NR$276,outputs_checks[stuff_id],0))</f>
        <v>#N/A</v>
      </c>
      <c r="NS287" s="185" t="e">
        <f>INDEX(outputs_checks[oppsum_shot],MATCH(NS$276,outputs_checks[stuff_id],0))</f>
        <v>#N/A</v>
      </c>
      <c r="NT287" s="185" t="e">
        <f>INDEX(outputs_checks[oppsum_shot],MATCH(NT$276,outputs_checks[stuff_id],0))</f>
        <v>#N/A</v>
      </c>
      <c r="NU287" s="185" t="e">
        <f>INDEX(outputs_checks[oppsum_shot],MATCH(NU$276,outputs_checks[stuff_id],0))</f>
        <v>#N/A</v>
      </c>
      <c r="NV287" s="185" t="e">
        <f>INDEX(outputs_checks[oppsum_shot],MATCH(NV$276,outputs_checks[stuff_id],0))</f>
        <v>#N/A</v>
      </c>
      <c r="NW287" s="185" t="e">
        <f>INDEX(outputs_checks[oppsum_shot],MATCH(NW$276,outputs_checks[stuff_id],0))</f>
        <v>#N/A</v>
      </c>
      <c r="UM287" s="1754"/>
    </row>
    <row r="288" spans="377:559" x14ac:dyDescent="0.2">
      <c r="NN288" s="230" t="s">
        <v>670</v>
      </c>
      <c r="NO288" s="185">
        <f>INDEX(outputs_checks[oppsum_buer],MATCH(NO$276,outputs_checks[stuff_id],0))</f>
        <v>1</v>
      </c>
      <c r="NP288" s="185" t="e">
        <f>INDEX(outputs_checks[oppsum_buer],MATCH(NP$276,outputs_checks[stuff_id],0))</f>
        <v>#N/A</v>
      </c>
      <c r="NQ288" s="185" t="e">
        <f>INDEX(outputs_checks[oppsum_buer],MATCH(NQ$276,outputs_checks[stuff_id],0))</f>
        <v>#N/A</v>
      </c>
      <c r="NR288" s="185" t="e">
        <f>INDEX(outputs_checks[oppsum_buer],MATCH(NR$276,outputs_checks[stuff_id],0))</f>
        <v>#N/A</v>
      </c>
      <c r="NS288" s="185" t="e">
        <f>INDEX(outputs_checks[oppsum_buer],MATCH(NS$276,outputs_checks[stuff_id],0))</f>
        <v>#N/A</v>
      </c>
      <c r="NT288" s="185" t="e">
        <f>INDEX(outputs_checks[oppsum_buer],MATCH(NT$276,outputs_checks[stuff_id],0))</f>
        <v>#N/A</v>
      </c>
      <c r="NU288" s="185" t="e">
        <f>INDEX(outputs_checks[oppsum_buer],MATCH(NU$276,outputs_checks[stuff_id],0))</f>
        <v>#N/A</v>
      </c>
      <c r="NV288" s="185" t="e">
        <f>INDEX(outputs_checks[oppsum_buer],MATCH(NV$276,outputs_checks[stuff_id],0))</f>
        <v>#N/A</v>
      </c>
      <c r="NW288" s="185" t="e">
        <f>INDEX(outputs_checks[oppsum_buer],MATCH(NW$276,outputs_checks[stuff_id],0))</f>
        <v>#N/A</v>
      </c>
      <c r="UM288" s="1754"/>
    </row>
    <row r="289" spans="376:559" x14ac:dyDescent="0.2">
      <c r="NN289" s="230" t="s">
        <v>669</v>
      </c>
      <c r="NO289" s="185">
        <f>INDEX(outputs_checks[oppsum_sik],MATCH(NO$276,outputs_checks[stuff_id],0))</f>
        <v>2</v>
      </c>
      <c r="NP289" s="185" t="e">
        <f>INDEX(outputs_checks[oppsum_sik],MATCH(NP$276,outputs_checks[stuff_id],0))</f>
        <v>#N/A</v>
      </c>
      <c r="NQ289" s="185" t="e">
        <f>INDEX(outputs_checks[oppsum_sik],MATCH(NQ$276,outputs_checks[stuff_id],0))</f>
        <v>#N/A</v>
      </c>
      <c r="NR289" s="185" t="e">
        <f>INDEX(outputs_checks[oppsum_sik],MATCH(NR$276,outputs_checks[stuff_id],0))</f>
        <v>#N/A</v>
      </c>
      <c r="NS289" s="185" t="e">
        <f>INDEX(outputs_checks[oppsum_sik],MATCH(NS$276,outputs_checks[stuff_id],0))</f>
        <v>#N/A</v>
      </c>
      <c r="NT289" s="185" t="e">
        <f>INDEX(outputs_checks[oppsum_sik],MATCH(NT$276,outputs_checks[stuff_id],0))</f>
        <v>#N/A</v>
      </c>
      <c r="NU289" s="185" t="e">
        <f>INDEX(outputs_checks[oppsum_sik],MATCH(NU$276,outputs_checks[stuff_id],0))</f>
        <v>#N/A</v>
      </c>
      <c r="NV289" s="185" t="e">
        <f>INDEX(outputs_checks[oppsum_sik],MATCH(NV$276,outputs_checks[stuff_id],0))</f>
        <v>#N/A</v>
      </c>
      <c r="NW289" s="185" t="e">
        <f>INDEX(outputs_checks[oppsum_sik],MATCH(NW$276,outputs_checks[stuff_id],0))</f>
        <v>#N/A</v>
      </c>
      <c r="UM289" s="1754"/>
    </row>
    <row r="290" spans="376:559" ht="19.5" x14ac:dyDescent="0.3">
      <c r="NL290" s="240"/>
      <c r="NN290" s="185" t="s">
        <v>673</v>
      </c>
      <c r="NO290" s="185">
        <f>SUM(NO280:NO289)</f>
        <v>32</v>
      </c>
      <c r="NP290" s="185" t="e">
        <f t="shared" ref="NP290:NW290" si="320">SUM(NP280:NP289)</f>
        <v>#N/A</v>
      </c>
      <c r="NQ290" s="185" t="e">
        <f t="shared" si="320"/>
        <v>#N/A</v>
      </c>
      <c r="NR290" s="185" t="e">
        <f t="shared" si="320"/>
        <v>#N/A</v>
      </c>
      <c r="NS290" s="185" t="e">
        <f t="shared" si="320"/>
        <v>#N/A</v>
      </c>
      <c r="NT290" s="185" t="e">
        <f t="shared" si="320"/>
        <v>#N/A</v>
      </c>
      <c r="NU290" s="185" t="e">
        <f t="shared" si="320"/>
        <v>#N/A</v>
      </c>
      <c r="NV290" s="185" t="e">
        <f t="shared" si="320"/>
        <v>#N/A</v>
      </c>
      <c r="NW290" s="185" t="e">
        <f t="shared" si="320"/>
        <v>#N/A</v>
      </c>
      <c r="UM290" s="1754"/>
    </row>
    <row r="291" spans="376:559" x14ac:dyDescent="0.2">
      <c r="NN291" s="185" t="s">
        <v>674</v>
      </c>
      <c r="NO291" s="185">
        <f>NO290</f>
        <v>32</v>
      </c>
      <c r="NP291" s="185" t="e">
        <f t="shared" ref="NP291:NW291" si="321">NP290</f>
        <v>#N/A</v>
      </c>
      <c r="NQ291" s="185" t="e">
        <f t="shared" si="321"/>
        <v>#N/A</v>
      </c>
      <c r="NR291" s="185" t="e">
        <f t="shared" si="321"/>
        <v>#N/A</v>
      </c>
      <c r="NS291" s="185" t="e">
        <f t="shared" si="321"/>
        <v>#N/A</v>
      </c>
      <c r="NT291" s="185" t="e">
        <f t="shared" si="321"/>
        <v>#N/A</v>
      </c>
      <c r="NU291" s="185" t="e">
        <f t="shared" si="321"/>
        <v>#N/A</v>
      </c>
      <c r="NV291" s="185" t="e">
        <f t="shared" si="321"/>
        <v>#N/A</v>
      </c>
      <c r="NW291" s="185" t="e">
        <f t="shared" si="321"/>
        <v>#N/A</v>
      </c>
      <c r="UM291" s="1754"/>
    </row>
    <row r="292" spans="376:559" x14ac:dyDescent="0.2">
      <c r="NN292" s="185" t="s">
        <v>467</v>
      </c>
      <c r="NO292" s="185">
        <f>$JV$38</f>
        <v>1</v>
      </c>
      <c r="NP292" s="185">
        <f>$JV$39</f>
        <v>1</v>
      </c>
      <c r="NQ292" s="185">
        <f>$JV$40</f>
        <v>1</v>
      </c>
      <c r="NR292" s="185">
        <f>$JV$41</f>
        <v>1</v>
      </c>
      <c r="NS292" s="185">
        <f>$JV$42</f>
        <v>1</v>
      </c>
      <c r="NT292" s="185">
        <f>$JV$43</f>
        <v>1</v>
      </c>
      <c r="NU292" s="185">
        <f>$JV$44</f>
        <v>1</v>
      </c>
      <c r="NV292" s="185">
        <f>$JV$45</f>
        <v>1</v>
      </c>
      <c r="NW292" s="185">
        <f>$JV$46</f>
        <v>1</v>
      </c>
      <c r="UM292" s="1754"/>
    </row>
    <row r="293" spans="376:559" x14ac:dyDescent="0.2">
      <c r="QY293" s="207"/>
      <c r="QZ293" s="207"/>
      <c r="UM293" s="1754"/>
    </row>
    <row r="294" spans="376:559" x14ac:dyDescent="0.2">
      <c r="UM294" s="1754"/>
    </row>
    <row r="295" spans="376:559" x14ac:dyDescent="0.2">
      <c r="NN295" s="185" t="s">
        <v>808</v>
      </c>
      <c r="NO295" s="185"/>
      <c r="NP295" s="185"/>
      <c r="NQ295" s="185"/>
      <c r="NR295" s="185"/>
      <c r="NS295" s="185"/>
      <c r="NT295" s="185"/>
      <c r="NU295" s="185"/>
      <c r="NV295" s="185"/>
      <c r="NW295" s="185"/>
      <c r="UM295" s="1754"/>
    </row>
    <row r="296" spans="376:559" x14ac:dyDescent="0.2">
      <c r="NN296" s="185" t="s">
        <v>797</v>
      </c>
      <c r="NO296" s="185">
        <f t="shared" ref="NO296:NW296" si="322">IF(NO266=0,0,$NN$253)</f>
        <v>0</v>
      </c>
      <c r="NP296" s="185" t="e">
        <f t="shared" si="322"/>
        <v>#N/A</v>
      </c>
      <c r="NQ296" s="185" t="e">
        <f t="shared" si="322"/>
        <v>#N/A</v>
      </c>
      <c r="NR296" s="185" t="e">
        <f t="shared" si="322"/>
        <v>#N/A</v>
      </c>
      <c r="NS296" s="185" t="e">
        <f t="shared" si="322"/>
        <v>#N/A</v>
      </c>
      <c r="NT296" s="185" t="e">
        <f t="shared" si="322"/>
        <v>#N/A</v>
      </c>
      <c r="NU296" s="185" t="e">
        <f t="shared" si="322"/>
        <v>#N/A</v>
      </c>
      <c r="NV296" s="185" t="e">
        <f t="shared" si="322"/>
        <v>#N/A</v>
      </c>
      <c r="NW296" s="185" t="e">
        <f t="shared" si="322"/>
        <v>#N/A</v>
      </c>
      <c r="UM296" s="1754"/>
    </row>
    <row r="297" spans="376:559" x14ac:dyDescent="0.2">
      <c r="NN297" s="185" t="s">
        <v>569</v>
      </c>
      <c r="NO297" s="185">
        <f t="shared" ref="NO297:NW297" si="323">IF(NO$266=0,0,$NN$258)</f>
        <v>0</v>
      </c>
      <c r="NP297" s="185" t="e">
        <f t="shared" si="323"/>
        <v>#N/A</v>
      </c>
      <c r="NQ297" s="185" t="e">
        <f t="shared" si="323"/>
        <v>#N/A</v>
      </c>
      <c r="NR297" s="185" t="e">
        <f t="shared" si="323"/>
        <v>#N/A</v>
      </c>
      <c r="NS297" s="185" t="e">
        <f t="shared" si="323"/>
        <v>#N/A</v>
      </c>
      <c r="NT297" s="185" t="e">
        <f t="shared" si="323"/>
        <v>#N/A</v>
      </c>
      <c r="NU297" s="185" t="e">
        <f t="shared" si="323"/>
        <v>#N/A</v>
      </c>
      <c r="NV297" s="185" t="e">
        <f t="shared" si="323"/>
        <v>#N/A</v>
      </c>
      <c r="NW297" s="185" t="e">
        <f t="shared" si="323"/>
        <v>#N/A</v>
      </c>
      <c r="UM297" s="1754"/>
    </row>
    <row r="298" spans="376:559" x14ac:dyDescent="0.2">
      <c r="NN298" s="185" t="s">
        <v>639</v>
      </c>
      <c r="NO298" s="185">
        <f>IF(NO266=0,0,IF(NO266=1,IF(Tunneldrift!$AJ$112="!",1,IF(Tunneldrift!$AJ$112="✓",0,0))))</f>
        <v>0</v>
      </c>
      <c r="NP298" s="185" t="e">
        <f>IF(NP266=0,0,IF(NP266=1,IF(Tunneldrift!$AJ$112="!",1,IF(Tunneldrift!$AJ$112="✓",0,0))))</f>
        <v>#N/A</v>
      </c>
      <c r="NQ298" s="185" t="e">
        <f>IF(NQ266=0,0,IF(NQ266=1,IF(Tunneldrift!$AJ$112="!",1,IF(Tunneldrift!$AJ$112="✓",0,0))))</f>
        <v>#N/A</v>
      </c>
      <c r="NR298" s="185" t="e">
        <f>IF(NR266=0,0,IF(NR266=1,IF(Tunneldrift!$AJ$112="!",1,IF(Tunneldrift!$AJ$112="✓",0,0))))</f>
        <v>#N/A</v>
      </c>
      <c r="NS298" s="185" t="e">
        <f>IF(NS266=0,0,IF(NS266=1,IF(Tunneldrift!$AJ$112="!",1,IF(Tunneldrift!$AJ$112="✓",0,0))))</f>
        <v>#N/A</v>
      </c>
      <c r="NT298" s="185" t="e">
        <f>IF(NT266=0,0,IF(NT266=1,IF(Tunneldrift!$AJ$112="!",1,IF(Tunneldrift!$AJ$112="✓",0,0))))</f>
        <v>#N/A</v>
      </c>
      <c r="NU298" s="185" t="e">
        <f>IF(NU266=0,0,IF(NU266=1,IF(Tunneldrift!$AJ$112="!",1,IF(Tunneldrift!$AJ$112="✓",0,0))))</f>
        <v>#N/A</v>
      </c>
      <c r="NV298" s="185" t="e">
        <f>IF(NV266=0,0,IF(NV266=1,IF(Tunneldrift!$AJ$112="!",1,IF(Tunneldrift!$AJ$112="✓",0,0))))</f>
        <v>#N/A</v>
      </c>
      <c r="NW298" s="185" t="e">
        <f>IF(NW266=0,0,IF(NW266=1,IF(Tunneldrift!$AJ$112="!",1,IF(Tunneldrift!$AJ$112="✓",0,0))))</f>
        <v>#N/A</v>
      </c>
      <c r="UM298" s="1754"/>
    </row>
    <row r="299" spans="376:559" x14ac:dyDescent="0.2">
      <c r="NN299" s="185" t="s">
        <v>798</v>
      </c>
      <c r="NO299" s="185">
        <f t="shared" ref="NO299:NW299" si="324">IF(NO266=0,0,$NN$254)</f>
        <v>0</v>
      </c>
      <c r="NP299" s="185" t="e">
        <f t="shared" si="324"/>
        <v>#N/A</v>
      </c>
      <c r="NQ299" s="185" t="e">
        <f t="shared" si="324"/>
        <v>#N/A</v>
      </c>
      <c r="NR299" s="185" t="e">
        <f t="shared" si="324"/>
        <v>#N/A</v>
      </c>
      <c r="NS299" s="185" t="e">
        <f t="shared" si="324"/>
        <v>#N/A</v>
      </c>
      <c r="NT299" s="185" t="e">
        <f t="shared" si="324"/>
        <v>#N/A</v>
      </c>
      <c r="NU299" s="185" t="e">
        <f t="shared" si="324"/>
        <v>#N/A</v>
      </c>
      <c r="NV299" s="185" t="e">
        <f t="shared" si="324"/>
        <v>#N/A</v>
      </c>
      <c r="NW299" s="185" t="e">
        <f t="shared" si="324"/>
        <v>#N/A</v>
      </c>
      <c r="UM299" s="1754"/>
    </row>
    <row r="300" spans="376:559" x14ac:dyDescent="0.2">
      <c r="NN300" s="185" t="s">
        <v>799</v>
      </c>
      <c r="NO300" s="185">
        <f t="shared" ref="NO300:NW300" si="325">IF(NO266=0,0,$NN$252)</f>
        <v>0</v>
      </c>
      <c r="NP300" s="185" t="e">
        <f t="shared" si="325"/>
        <v>#N/A</v>
      </c>
      <c r="NQ300" s="185" t="e">
        <f t="shared" si="325"/>
        <v>#N/A</v>
      </c>
      <c r="NR300" s="185" t="e">
        <f t="shared" si="325"/>
        <v>#N/A</v>
      </c>
      <c r="NS300" s="185" t="e">
        <f t="shared" si="325"/>
        <v>#N/A</v>
      </c>
      <c r="NT300" s="185" t="e">
        <f t="shared" si="325"/>
        <v>#N/A</v>
      </c>
      <c r="NU300" s="185" t="e">
        <f t="shared" si="325"/>
        <v>#N/A</v>
      </c>
      <c r="NV300" s="185" t="e">
        <f t="shared" si="325"/>
        <v>#N/A</v>
      </c>
      <c r="NW300" s="185" t="e">
        <f t="shared" si="325"/>
        <v>#N/A</v>
      </c>
      <c r="UM300" s="1754"/>
    </row>
    <row r="301" spans="376:559" x14ac:dyDescent="0.2">
      <c r="UM301" s="1754"/>
    </row>
    <row r="302" spans="376:559" x14ac:dyDescent="0.2">
      <c r="UM302" s="1754"/>
    </row>
    <row r="303" spans="376:559" x14ac:dyDescent="0.2">
      <c r="NN303" s="185" t="s">
        <v>2669</v>
      </c>
      <c r="NO303" s="185">
        <f>IF(INDEX(checks_justeringer[vek_faktor_final],MATCH(NO269,checks_justeringer[position],0))=0,1,0)</f>
        <v>0</v>
      </c>
      <c r="NP303" s="185">
        <f>IF(INDEX(checks_justeringer[vek_faktor_final],MATCH(NP269,checks_justeringer[position],0))=0,1,0)</f>
        <v>0</v>
      </c>
      <c r="NQ303" s="185">
        <f>IF(INDEX(checks_justeringer[vek_faktor_final],MATCH(NQ269,checks_justeringer[position],0))=0,1,0)</f>
        <v>0</v>
      </c>
      <c r="NR303" s="185">
        <f>IF(INDEX(checks_justeringer[vek_faktor_final],MATCH(NR269,checks_justeringer[position],0))=0,1,0)</f>
        <v>0</v>
      </c>
      <c r="NS303" s="185">
        <f>IF(INDEX(checks_justeringer[vek_faktor_final],MATCH(NS269,checks_justeringer[position],0))=0,1,0)</f>
        <v>0</v>
      </c>
      <c r="NT303" s="185">
        <f>IF(INDEX(checks_justeringer[vek_faktor_final],MATCH(NT269,checks_justeringer[position],0))=0,1,0)</f>
        <v>0</v>
      </c>
      <c r="NU303" s="185">
        <f>IF(INDEX(checks_justeringer[vek_faktor_final],MATCH(NU269,checks_justeringer[position],0))=0,1,0)</f>
        <v>0</v>
      </c>
      <c r="NV303" s="185">
        <f>IF(INDEX(checks_justeringer[vek_faktor_final],MATCH(NV269,checks_justeringer[position],0))=0,1,0)</f>
        <v>0</v>
      </c>
      <c r="NW303" s="185">
        <f>IF(INDEX(checks_justeringer[vek_faktor_final],MATCH(NW269,checks_justeringer[position],0))=0,1,0)</f>
        <v>0</v>
      </c>
      <c r="UM303" s="1754"/>
    </row>
    <row r="304" spans="376:559" x14ac:dyDescent="0.2">
      <c r="NN304" s="185" t="s">
        <v>2365</v>
      </c>
      <c r="NO304" s="185">
        <f>SUM(NO280:NO289)</f>
        <v>32</v>
      </c>
      <c r="NP304" s="185" t="e">
        <f t="shared" ref="NP304:NW304" si="326">SUM(NP280:NP289)</f>
        <v>#N/A</v>
      </c>
      <c r="NQ304" s="185" t="e">
        <f t="shared" si="326"/>
        <v>#N/A</v>
      </c>
      <c r="NR304" s="185" t="e">
        <f t="shared" si="326"/>
        <v>#N/A</v>
      </c>
      <c r="NS304" s="185" t="e">
        <f t="shared" si="326"/>
        <v>#N/A</v>
      </c>
      <c r="NT304" s="185" t="e">
        <f t="shared" si="326"/>
        <v>#N/A</v>
      </c>
      <c r="NU304" s="185" t="e">
        <f t="shared" si="326"/>
        <v>#N/A</v>
      </c>
      <c r="NV304" s="185" t="e">
        <f t="shared" si="326"/>
        <v>#N/A</v>
      </c>
      <c r="NW304" s="185" t="e">
        <f t="shared" si="326"/>
        <v>#N/A</v>
      </c>
      <c r="UM304" s="1754"/>
    </row>
    <row r="305" spans="377:559" x14ac:dyDescent="0.2">
      <c r="NM305" s="183" t="s">
        <v>479</v>
      </c>
      <c r="NN305" s="185" t="s">
        <v>2364</v>
      </c>
      <c r="NO305" s="185">
        <f t="shared" ref="NO305:NW305" si="327">IF(NO290+NO315=0,0,1)</f>
        <v>1</v>
      </c>
      <c r="NP305" s="185" t="e">
        <f t="shared" si="327"/>
        <v>#N/A</v>
      </c>
      <c r="NQ305" s="185" t="e">
        <f t="shared" si="327"/>
        <v>#N/A</v>
      </c>
      <c r="NR305" s="185" t="e">
        <f t="shared" si="327"/>
        <v>#N/A</v>
      </c>
      <c r="NS305" s="185" t="e">
        <f t="shared" si="327"/>
        <v>#N/A</v>
      </c>
      <c r="NT305" s="185" t="e">
        <f t="shared" si="327"/>
        <v>#N/A</v>
      </c>
      <c r="NU305" s="185" t="e">
        <f t="shared" si="327"/>
        <v>#N/A</v>
      </c>
      <c r="NV305" s="185" t="e">
        <f t="shared" si="327"/>
        <v>#N/A</v>
      </c>
      <c r="NW305" s="185" t="e">
        <f t="shared" si="327"/>
        <v>#N/A</v>
      </c>
      <c r="UM305" s="1754"/>
    </row>
    <row r="306" spans="377:559" x14ac:dyDescent="0.2">
      <c r="UM306" s="1754"/>
    </row>
    <row r="307" spans="377:559" x14ac:dyDescent="0.2">
      <c r="UM307" s="1754"/>
    </row>
    <row r="308" spans="377:559" x14ac:dyDescent="0.2">
      <c r="NM308" s="1773" t="s">
        <v>786</v>
      </c>
      <c r="NN308" s="1592" t="str">
        <f>Tunneldrift!M141</f>
        <v>Forskjøvet oppstart</v>
      </c>
      <c r="NO308" s="1592">
        <f>IF(INDEX(inputs_forsinket[tick_check],MATCH(NO270,inputs_forsinket[name],0))=1,0,1)</f>
        <v>1</v>
      </c>
      <c r="NP308" s="1592" t="e">
        <f>IF(INDEX(inputs_forsinket[tick_check],MATCH(NP270,inputs_forsinket[name],0))=1,0,1)</f>
        <v>#N/A</v>
      </c>
      <c r="NQ308" s="1592" t="e">
        <f>IF(INDEX(inputs_forsinket[tick_check],MATCH(NQ270,inputs_forsinket[name],0))=1,0,1)</f>
        <v>#N/A</v>
      </c>
      <c r="NR308" s="1592" t="e">
        <f>IF(INDEX(inputs_forsinket[tick_check],MATCH(NR270,inputs_forsinket[name],0))=1,0,1)</f>
        <v>#N/A</v>
      </c>
      <c r="NS308" s="1592" t="e">
        <f>IF(INDEX(inputs_forsinket[tick_check],MATCH(NS270,inputs_forsinket[name],0))=1,0,1)</f>
        <v>#N/A</v>
      </c>
      <c r="NT308" s="1592" t="e">
        <f>IF(INDEX(inputs_forsinket[tick_check],MATCH(NT270,inputs_forsinket[name],0))=1,0,1)</f>
        <v>#N/A</v>
      </c>
      <c r="NU308" s="1592" t="e">
        <f>IF(INDEX(inputs_forsinket[tick_check],MATCH(NU270,inputs_forsinket[name],0))=1,0,1)</f>
        <v>#N/A</v>
      </c>
      <c r="NV308" s="1592" t="e">
        <f>IF(INDEX(inputs_forsinket[tick_check],MATCH(NV270,inputs_forsinket[name],0))=1,0,1)</f>
        <v>#N/A</v>
      </c>
      <c r="NW308" s="1592" t="e">
        <f>IF(INDEX(inputs_forsinket[tick_check],MATCH(NW270,inputs_forsinket[name],0))=1,0,1)</f>
        <v>#N/A</v>
      </c>
      <c r="UM308" s="1754"/>
    </row>
    <row r="309" spans="377:559" x14ac:dyDescent="0.2">
      <c r="UM309" s="1754"/>
    </row>
    <row r="310" spans="377:559" x14ac:dyDescent="0.2">
      <c r="UM310" s="1754"/>
    </row>
    <row r="311" spans="377:559" x14ac:dyDescent="0.2">
      <c r="NM311" s="183" t="s">
        <v>320</v>
      </c>
      <c r="NN311" s="183" t="s">
        <v>620</v>
      </c>
      <c r="UM311" s="1754"/>
    </row>
    <row r="312" spans="377:559" x14ac:dyDescent="0.2">
      <c r="UM312" s="1754"/>
    </row>
    <row r="313" spans="377:559" x14ac:dyDescent="0.2">
      <c r="NN313" s="185" t="s">
        <v>690</v>
      </c>
      <c r="NO313" s="185">
        <f t="shared" ref="NO313:NW313" si="328">IF(OR($BC$36=0,NO266=0),0,IF(AND($BC$36=1,$HI$14=""),1,IF(AND($HI$14&gt;=0,$BC$36=1,$NN$260=1,$GL$96=1),0,1)))</f>
        <v>0</v>
      </c>
      <c r="NP313" s="185" t="e">
        <f t="shared" si="328"/>
        <v>#N/A</v>
      </c>
      <c r="NQ313" s="185" t="e">
        <f t="shared" si="328"/>
        <v>#N/A</v>
      </c>
      <c r="NR313" s="185" t="e">
        <f t="shared" si="328"/>
        <v>#N/A</v>
      </c>
      <c r="NS313" s="185" t="e">
        <f t="shared" si="328"/>
        <v>#N/A</v>
      </c>
      <c r="NT313" s="185" t="e">
        <f t="shared" si="328"/>
        <v>#N/A</v>
      </c>
      <c r="NU313" s="185" t="e">
        <f t="shared" si="328"/>
        <v>#N/A</v>
      </c>
      <c r="NV313" s="185" t="e">
        <f t="shared" si="328"/>
        <v>#N/A</v>
      </c>
      <c r="NW313" s="185" t="e">
        <f t="shared" si="328"/>
        <v>#N/A</v>
      </c>
      <c r="UM313" s="1754"/>
    </row>
    <row r="314" spans="377:559" x14ac:dyDescent="0.2">
      <c r="NN314" s="185" t="s">
        <v>2323</v>
      </c>
      <c r="NO314" s="185">
        <f>INDEX(outputs_checks[hoved_metode_tick],MATCH(NO$276,outputs_checks[stuff_id],0))</f>
        <v>1</v>
      </c>
      <c r="NP314" s="185" t="e">
        <f>INDEX(outputs_checks[hoved_metode_tick],MATCH(NP$276,outputs_checks[stuff_id],0))</f>
        <v>#N/A</v>
      </c>
      <c r="NQ314" s="185" t="e">
        <f>INDEX(outputs_checks[hoved_metode_tick],MATCH(NQ$276,outputs_checks[stuff_id],0))</f>
        <v>#N/A</v>
      </c>
      <c r="NR314" s="185" t="e">
        <f>INDEX(outputs_checks[hoved_metode_tick],MATCH(NR$276,outputs_checks[stuff_id],0))</f>
        <v>#N/A</v>
      </c>
      <c r="NS314" s="185" t="e">
        <f>INDEX(outputs_checks[hoved_metode_tick],MATCH(NS$276,outputs_checks[stuff_id],0))</f>
        <v>#N/A</v>
      </c>
      <c r="NT314" s="185" t="e">
        <f>INDEX(outputs_checks[hoved_metode_tick],MATCH(NT$276,outputs_checks[stuff_id],0))</f>
        <v>#N/A</v>
      </c>
      <c r="NU314" s="185" t="e">
        <f>INDEX(outputs_checks[hoved_metode_tick],MATCH(NU$276,outputs_checks[stuff_id],0))</f>
        <v>#N/A</v>
      </c>
      <c r="NV314" s="185" t="e">
        <f>INDEX(outputs_checks[hoved_metode_tick],MATCH(NV$276,outputs_checks[stuff_id],0))</f>
        <v>#N/A</v>
      </c>
      <c r="NW314" s="185" t="e">
        <f>INDEX(outputs_checks[hoved_metode_tick],MATCH(NW$276,outputs_checks[stuff_id],0))</f>
        <v>#N/A</v>
      </c>
      <c r="UM314" s="1754"/>
    </row>
    <row r="315" spans="377:559" ht="15" thickBot="1" x14ac:dyDescent="0.25">
      <c r="NN315" s="185" t="s">
        <v>2318</v>
      </c>
      <c r="NO315" s="185">
        <f>IF(INDEX(tunneldrift_vekseldrift[CHECK_final],MATCH(NO270,tunneldrift_vekseldrift[Stuff_navn],0))=1,0,1)</f>
        <v>1</v>
      </c>
      <c r="NP315" s="185" t="e">
        <f>IF(INDEX(tunneldrift_vekseldrift[CHECK_final],MATCH(NP270,tunneldrift_vekseldrift[Stuff_navn],0))=1,0,1)</f>
        <v>#N/A</v>
      </c>
      <c r="NQ315" s="185" t="e">
        <f>IF(INDEX(tunneldrift_vekseldrift[CHECK_final],MATCH(NQ270,tunneldrift_vekseldrift[Stuff_navn],0))=1,0,1)</f>
        <v>#N/A</v>
      </c>
      <c r="NR315" s="185" t="e">
        <f>IF(INDEX(tunneldrift_vekseldrift[CHECK_final],MATCH(NR270,tunneldrift_vekseldrift[Stuff_navn],0))=1,0,1)</f>
        <v>#N/A</v>
      </c>
      <c r="NS315" s="185" t="e">
        <f>IF(INDEX(tunneldrift_vekseldrift[CHECK_final],MATCH(NS270,tunneldrift_vekseldrift[Stuff_navn],0))=1,0,1)</f>
        <v>#N/A</v>
      </c>
      <c r="NT315" s="185" t="e">
        <f>IF(INDEX(tunneldrift_vekseldrift[CHECK_final],MATCH(NT270,tunneldrift_vekseldrift[Stuff_navn],0))=1,0,1)</f>
        <v>#N/A</v>
      </c>
      <c r="NU315" s="185" t="e">
        <f>IF(INDEX(tunneldrift_vekseldrift[CHECK_final],MATCH(NU270,tunneldrift_vekseldrift[Stuff_navn],0))=1,0,1)</f>
        <v>#N/A</v>
      </c>
      <c r="NV315" s="185" t="e">
        <f>IF(INDEX(tunneldrift_vekseldrift[CHECK_final],MATCH(NV270,tunneldrift_vekseldrift[Stuff_navn],0))=1,0,1)</f>
        <v>#N/A</v>
      </c>
      <c r="NW315" s="185" t="e">
        <f>IF(INDEX(tunneldrift_vekseldrift[CHECK_final],MATCH(NW270,tunneldrift_vekseldrift[Stuff_navn],0))=1,0,1)</f>
        <v>#N/A</v>
      </c>
      <c r="UM315" s="1754"/>
    </row>
    <row r="316" spans="377:559" ht="15" thickBot="1" x14ac:dyDescent="0.25">
      <c r="NN316" s="185" t="s">
        <v>2319</v>
      </c>
      <c r="NO316" s="185">
        <f>NO315</f>
        <v>1</v>
      </c>
      <c r="NP316" s="185" t="e">
        <f t="shared" ref="NP316:NW316" si="329">NP315</f>
        <v>#N/A</v>
      </c>
      <c r="NQ316" s="185" t="e">
        <f t="shared" si="329"/>
        <v>#N/A</v>
      </c>
      <c r="NR316" s="185" t="e">
        <f t="shared" si="329"/>
        <v>#N/A</v>
      </c>
      <c r="NS316" s="185" t="e">
        <f t="shared" si="329"/>
        <v>#N/A</v>
      </c>
      <c r="NT316" s="185" t="e">
        <f t="shared" si="329"/>
        <v>#N/A</v>
      </c>
      <c r="NU316" s="185" t="e">
        <f t="shared" si="329"/>
        <v>#N/A</v>
      </c>
      <c r="NV316" s="185" t="e">
        <f t="shared" si="329"/>
        <v>#N/A</v>
      </c>
      <c r="NW316" s="193" t="e">
        <f t="shared" si="329"/>
        <v>#N/A</v>
      </c>
      <c r="NX316" s="5988" t="s">
        <v>641</v>
      </c>
      <c r="UM316" s="1754"/>
    </row>
    <row r="317" spans="377:559" x14ac:dyDescent="0.2">
      <c r="NN317" s="1595" t="s">
        <v>380</v>
      </c>
      <c r="NO317" s="1593">
        <f>IF(ISNUMBER(NO272)=TRUE,COUNTIF(NO278:NO315,"&gt;0"),0)</f>
        <v>20</v>
      </c>
      <c r="NP317" s="1593">
        <f t="shared" ref="NP317:NV317" si="330">IF(ISNUMBER(NP272)=TRUE,COUNTIF(NP278:NP315,"&gt;0"),0)</f>
        <v>0</v>
      </c>
      <c r="NQ317" s="1593">
        <f t="shared" si="330"/>
        <v>0</v>
      </c>
      <c r="NR317" s="1593">
        <f t="shared" si="330"/>
        <v>0</v>
      </c>
      <c r="NS317" s="1593">
        <f t="shared" si="330"/>
        <v>0</v>
      </c>
      <c r="NT317" s="1593">
        <f t="shared" si="330"/>
        <v>0</v>
      </c>
      <c r="NU317" s="1593">
        <f t="shared" si="330"/>
        <v>0</v>
      </c>
      <c r="NV317" s="1593">
        <f t="shared" si="330"/>
        <v>0</v>
      </c>
      <c r="NW317" s="5986">
        <f>IF(ISNUMBER(NW272)=TRUE,COUNTIF(NW278:NW315,"&gt;0"),0)</f>
        <v>0</v>
      </c>
      <c r="NX317" s="5989">
        <f>SUM(NO317:NW317)</f>
        <v>20</v>
      </c>
      <c r="UM317" s="1754"/>
    </row>
    <row r="318" spans="377:559" ht="15" thickBot="1" x14ac:dyDescent="0.25">
      <c r="NN318" s="1596" t="s">
        <v>679</v>
      </c>
      <c r="NO318" s="1594">
        <f t="shared" ref="NO318:NW318" si="331">IF(AND(NO$317=0,$AI$80&gt;0),0,1)</f>
        <v>1</v>
      </c>
      <c r="NP318" s="1594">
        <f t="shared" si="331"/>
        <v>0</v>
      </c>
      <c r="NQ318" s="1594">
        <f t="shared" si="331"/>
        <v>0</v>
      </c>
      <c r="NR318" s="1594">
        <f t="shared" si="331"/>
        <v>0</v>
      </c>
      <c r="NS318" s="1594">
        <f t="shared" si="331"/>
        <v>0</v>
      </c>
      <c r="NT318" s="1594">
        <f t="shared" si="331"/>
        <v>0</v>
      </c>
      <c r="NU318" s="1594">
        <f t="shared" si="331"/>
        <v>0</v>
      </c>
      <c r="NV318" s="1594">
        <f t="shared" si="331"/>
        <v>0</v>
      </c>
      <c r="NW318" s="5987">
        <f t="shared" si="331"/>
        <v>0</v>
      </c>
      <c r="NX318" s="5990">
        <f>SUM(NO318:NW318)</f>
        <v>1</v>
      </c>
      <c r="UM318" s="1754"/>
    </row>
    <row r="319" spans="377:559" x14ac:dyDescent="0.2">
      <c r="UM319" s="1754"/>
    </row>
    <row r="320" spans="377:559" x14ac:dyDescent="0.2">
      <c r="UM320" s="1754"/>
    </row>
    <row r="321" spans="376:559" x14ac:dyDescent="0.2">
      <c r="UM321" s="1754"/>
    </row>
    <row r="322" spans="376:559" ht="30.75" x14ac:dyDescent="0.2">
      <c r="NN322" s="468" t="s">
        <v>717</v>
      </c>
      <c r="NO322" s="468"/>
      <c r="NP322" s="468"/>
      <c r="UM322" s="1754"/>
    </row>
    <row r="323" spans="376:559" x14ac:dyDescent="0.2">
      <c r="UM323" s="1754"/>
    </row>
    <row r="324" spans="376:559" x14ac:dyDescent="0.2">
      <c r="UM324" s="1754"/>
    </row>
    <row r="325" spans="376:559" x14ac:dyDescent="0.2">
      <c r="NN325" s="185"/>
      <c r="UM325" s="1754"/>
    </row>
    <row r="326" spans="376:559" x14ac:dyDescent="0.2">
      <c r="NL326" s="183" t="s">
        <v>81</v>
      </c>
      <c r="NN326" s="185" t="s">
        <v>271</v>
      </c>
      <c r="NO326" s="185">
        <f>INDEX(outputs_checks[Normal salve volum],MATCH(NO$276,outputs_checks[stuff_id],0))</f>
        <v>0</v>
      </c>
      <c r="NP326" s="185" t="e">
        <f>INDEX(outputs_checks[Normal salve volum],MATCH(NP$276,outputs_checks[stuff_id],0))</f>
        <v>#N/A</v>
      </c>
      <c r="NQ326" s="185" t="e">
        <f>INDEX(outputs_checks[Normal salve volum],MATCH(NQ$276,outputs_checks[stuff_id],0))</f>
        <v>#N/A</v>
      </c>
      <c r="NR326" s="185" t="e">
        <f>INDEX(outputs_checks[Normal salve volum],MATCH(NR$276,outputs_checks[stuff_id],0))</f>
        <v>#N/A</v>
      </c>
      <c r="NS326" s="185" t="e">
        <f>INDEX(outputs_checks[Normal salve volum],MATCH(NS$276,outputs_checks[stuff_id],0))</f>
        <v>#N/A</v>
      </c>
      <c r="NT326" s="185" t="e">
        <f>INDEX(outputs_checks[Normal salve volum],MATCH(NT$276,outputs_checks[stuff_id],0))</f>
        <v>#N/A</v>
      </c>
      <c r="NU326" s="185" t="e">
        <f>INDEX(outputs_checks[Normal salve volum],MATCH(NU$276,outputs_checks[stuff_id],0))</f>
        <v>#N/A</v>
      </c>
      <c r="NV326" s="185" t="e">
        <f>INDEX(outputs_checks[Normal salve volum],MATCH(NV$276,outputs_checks[stuff_id],0))</f>
        <v>#N/A</v>
      </c>
      <c r="NW326" s="185" t="e">
        <f>INDEX(outputs_checks[Normal salve volum],MATCH(NW$276,outputs_checks[stuff_id],0))</f>
        <v>#N/A</v>
      </c>
      <c r="UM326" s="1754"/>
    </row>
    <row r="327" spans="376:559" x14ac:dyDescent="0.2">
      <c r="NN327" s="185" t="s">
        <v>84</v>
      </c>
      <c r="NO327" s="185">
        <f>INDEX(outputs_checks[Redusert salvelengde],MATCH(NO$276,outputs_checks[stuff_id],0))</f>
        <v>0</v>
      </c>
      <c r="NP327" s="185" t="e">
        <f>INDEX(outputs_checks[Redusert salvelengde],MATCH(NP$276,outputs_checks[stuff_id],0))</f>
        <v>#N/A</v>
      </c>
      <c r="NQ327" s="185" t="e">
        <f>INDEX(outputs_checks[Redusert salvelengde],MATCH(NQ$276,outputs_checks[stuff_id],0))</f>
        <v>#N/A</v>
      </c>
      <c r="NR327" s="185" t="e">
        <f>INDEX(outputs_checks[Redusert salvelengde],MATCH(NR$276,outputs_checks[stuff_id],0))</f>
        <v>#N/A</v>
      </c>
      <c r="NS327" s="185" t="e">
        <f>INDEX(outputs_checks[Redusert salvelengde],MATCH(NS$276,outputs_checks[stuff_id],0))</f>
        <v>#N/A</v>
      </c>
      <c r="NT327" s="185" t="e">
        <f>INDEX(outputs_checks[Redusert salvelengde],MATCH(NT$276,outputs_checks[stuff_id],0))</f>
        <v>#N/A</v>
      </c>
      <c r="NU327" s="185" t="e">
        <f>INDEX(outputs_checks[Redusert salvelengde],MATCH(NU$276,outputs_checks[stuff_id],0))</f>
        <v>#N/A</v>
      </c>
      <c r="NV327" s="185" t="e">
        <f>INDEX(outputs_checks[Redusert salvelengde],MATCH(NV$276,outputs_checks[stuff_id],0))</f>
        <v>#N/A</v>
      </c>
      <c r="NW327" s="185" t="e">
        <f>INDEX(outputs_checks[Redusert salvelengde],MATCH(NW$276,outputs_checks[stuff_id],0))</f>
        <v>#N/A</v>
      </c>
      <c r="UM327" s="1754"/>
    </row>
    <row r="328" spans="376:559" x14ac:dyDescent="0.2">
      <c r="NN328" s="185" t="s">
        <v>85</v>
      </c>
      <c r="NO328" s="185">
        <f>INDEX(outputs_checks[Todelt tverrsnitt],MATCH(NO$276,outputs_checks[stuff_id],0))</f>
        <v>0</v>
      </c>
      <c r="NP328" s="185" t="e">
        <f>INDEX(outputs_checks[Todelt tverrsnitt],MATCH(NP$276,outputs_checks[stuff_id],0))</f>
        <v>#N/A</v>
      </c>
      <c r="NQ328" s="185" t="e">
        <f>INDEX(outputs_checks[Todelt tverrsnitt],MATCH(NQ$276,outputs_checks[stuff_id],0))</f>
        <v>#N/A</v>
      </c>
      <c r="NR328" s="185" t="e">
        <f>INDEX(outputs_checks[Todelt tverrsnitt],MATCH(NR$276,outputs_checks[stuff_id],0))</f>
        <v>#N/A</v>
      </c>
      <c r="NS328" s="185" t="e">
        <f>INDEX(outputs_checks[Todelt tverrsnitt],MATCH(NS$276,outputs_checks[stuff_id],0))</f>
        <v>#N/A</v>
      </c>
      <c r="NT328" s="185" t="e">
        <f>INDEX(outputs_checks[Todelt tverrsnitt],MATCH(NT$276,outputs_checks[stuff_id],0))</f>
        <v>#N/A</v>
      </c>
      <c r="NU328" s="185" t="e">
        <f>INDEX(outputs_checks[Todelt tverrsnitt],MATCH(NU$276,outputs_checks[stuff_id],0))</f>
        <v>#N/A</v>
      </c>
      <c r="NV328" s="185" t="e">
        <f>INDEX(outputs_checks[Todelt tverrsnitt],MATCH(NV$276,outputs_checks[stuff_id],0))</f>
        <v>#N/A</v>
      </c>
      <c r="NW328" s="185" t="e">
        <f>INDEX(outputs_checks[Todelt tverrsnitt],MATCH(NW$276,outputs_checks[stuff_id],0))</f>
        <v>#N/A</v>
      </c>
      <c r="UM328" s="1754"/>
    </row>
    <row r="329" spans="376:559" x14ac:dyDescent="0.2">
      <c r="NN329" s="185" t="s">
        <v>87</v>
      </c>
      <c r="NO329" s="185">
        <f>INDEX(outputs_checks[Redusert salvelengde
og todelt tverrsnitt],MATCH(NO$276,outputs_checks[stuff_id],0))</f>
        <v>0</v>
      </c>
      <c r="NP329" s="185" t="e">
        <f>INDEX(outputs_checks[Redusert salvelengde
og todelt tverrsnitt],MATCH(NP$276,outputs_checks[stuff_id],0))</f>
        <v>#N/A</v>
      </c>
      <c r="NQ329" s="185" t="e">
        <f>INDEX(outputs_checks[Redusert salvelengde
og todelt tverrsnitt],MATCH(NQ$276,outputs_checks[stuff_id],0))</f>
        <v>#N/A</v>
      </c>
      <c r="NR329" s="185" t="e">
        <f>INDEX(outputs_checks[Redusert salvelengde
og todelt tverrsnitt],MATCH(NR$276,outputs_checks[stuff_id],0))</f>
        <v>#N/A</v>
      </c>
      <c r="NS329" s="185" t="e">
        <f>INDEX(outputs_checks[Redusert salvelengde
og todelt tverrsnitt],MATCH(NS$276,outputs_checks[stuff_id],0))</f>
        <v>#N/A</v>
      </c>
      <c r="NT329" s="185" t="e">
        <f>INDEX(outputs_checks[Redusert salvelengde
og todelt tverrsnitt],MATCH(NT$276,outputs_checks[stuff_id],0))</f>
        <v>#N/A</v>
      </c>
      <c r="NU329" s="185" t="e">
        <f>INDEX(outputs_checks[Redusert salvelengde
og todelt tverrsnitt],MATCH(NU$276,outputs_checks[stuff_id],0))</f>
        <v>#N/A</v>
      </c>
      <c r="NV329" s="185" t="e">
        <f>INDEX(outputs_checks[Redusert salvelengde
og todelt tverrsnitt],MATCH(NV$276,outputs_checks[stuff_id],0))</f>
        <v>#N/A</v>
      </c>
      <c r="NW329" s="185" t="e">
        <f>INDEX(outputs_checks[Redusert salvelengde
og todelt tverrsnitt],MATCH(NW$276,outputs_checks[stuff_id],0))</f>
        <v>#N/A</v>
      </c>
      <c r="UM329" s="1754"/>
    </row>
    <row r="330" spans="376:559" x14ac:dyDescent="0.2">
      <c r="NN330" s="230" t="s">
        <v>556</v>
      </c>
      <c r="NO330" s="185">
        <f>INDEX(outputs_checks[oppsum_nisj],MATCH(NO$276,outputs_checks[stuff_id],0))</f>
        <v>8</v>
      </c>
      <c r="NP330" s="185" t="e">
        <f>INDEX(outputs_checks[oppsum_nisj],MATCH(NP$276,outputs_checks[stuff_id],0))</f>
        <v>#N/A</v>
      </c>
      <c r="NQ330" s="185" t="e">
        <f>INDEX(outputs_checks[oppsum_nisj],MATCH(NQ$276,outputs_checks[stuff_id],0))</f>
        <v>#N/A</v>
      </c>
      <c r="NR330" s="185" t="e">
        <f>INDEX(outputs_checks[oppsum_nisj],MATCH(NR$276,outputs_checks[stuff_id],0))</f>
        <v>#N/A</v>
      </c>
      <c r="NS330" s="185" t="e">
        <f>INDEX(outputs_checks[oppsum_nisj],MATCH(NS$276,outputs_checks[stuff_id],0))</f>
        <v>#N/A</v>
      </c>
      <c r="NT330" s="185" t="e">
        <f>INDEX(outputs_checks[oppsum_nisj],MATCH(NT$276,outputs_checks[stuff_id],0))</f>
        <v>#N/A</v>
      </c>
      <c r="NU330" s="185" t="e">
        <f>INDEX(outputs_checks[oppsum_nisj],MATCH(NU$276,outputs_checks[stuff_id],0))</f>
        <v>#N/A</v>
      </c>
      <c r="NV330" s="185" t="e">
        <f>INDEX(outputs_checks[oppsum_nisj],MATCH(NV$276,outputs_checks[stuff_id],0))</f>
        <v>#N/A</v>
      </c>
      <c r="NW330" s="185" t="e">
        <f>INDEX(outputs_checks[oppsum_nisj],MATCH(NW$276,outputs_checks[stuff_id],0))</f>
        <v>#N/A</v>
      </c>
      <c r="UM330" s="1754"/>
    </row>
    <row r="331" spans="376:559" x14ac:dyDescent="0.2">
      <c r="NN331" s="230" t="s">
        <v>681</v>
      </c>
      <c r="NO331" s="185">
        <f>INDEX(outputs_checks[oppsum_sprengning_total],MATCH(NO$276,outputs_checks[stuff_id],0))</f>
        <v>12</v>
      </c>
      <c r="NP331" s="185" t="e">
        <f>INDEX(outputs_checks[oppsum_sprengning_total],MATCH(NP$276,outputs_checks[stuff_id],0))</f>
        <v>#N/A</v>
      </c>
      <c r="NQ331" s="185" t="e">
        <f>INDEX(outputs_checks[oppsum_sprengning_total],MATCH(NQ$276,outputs_checks[stuff_id],0))</f>
        <v>#N/A</v>
      </c>
      <c r="NR331" s="185" t="e">
        <f>INDEX(outputs_checks[oppsum_sprengning_total],MATCH(NR$276,outputs_checks[stuff_id],0))</f>
        <v>#N/A</v>
      </c>
      <c r="NS331" s="185" t="e">
        <f>INDEX(outputs_checks[oppsum_sprengning_total],MATCH(NS$276,outputs_checks[stuff_id],0))</f>
        <v>#N/A</v>
      </c>
      <c r="NT331" s="185" t="e">
        <f>INDEX(outputs_checks[oppsum_sprengning_total],MATCH(NT$276,outputs_checks[stuff_id],0))</f>
        <v>#N/A</v>
      </c>
      <c r="NU331" s="185" t="e">
        <f>INDEX(outputs_checks[oppsum_sprengning_total],MATCH(NU$276,outputs_checks[stuff_id],0))</f>
        <v>#N/A</v>
      </c>
      <c r="NV331" s="185" t="e">
        <f>INDEX(outputs_checks[oppsum_sprengning_total],MATCH(NV$276,outputs_checks[stuff_id],0))</f>
        <v>#N/A</v>
      </c>
      <c r="NW331" s="185" t="e">
        <f>INDEX(outputs_checks[oppsum_sprengning_total],MATCH(NW$276,outputs_checks[stuff_id],0))</f>
        <v>#N/A</v>
      </c>
      <c r="UM331" s="1754"/>
    </row>
    <row r="332" spans="376:559" x14ac:dyDescent="0.2">
      <c r="UM332" s="1754"/>
    </row>
    <row r="333" spans="376:559" x14ac:dyDescent="0.2">
      <c r="NL333" s="183" t="s">
        <v>684</v>
      </c>
      <c r="NN333" s="185" t="s">
        <v>0</v>
      </c>
      <c r="NO333" s="185">
        <f>INDEX(outputs_checks[Sonderboring],MATCH(NO$276,outputs_checks[stuff_id],0))</f>
        <v>0</v>
      </c>
      <c r="NP333" s="185" t="e">
        <f>INDEX(outputs_checks[Sonderboring],MATCH(NP$276,outputs_checks[stuff_id],0))</f>
        <v>#N/A</v>
      </c>
      <c r="NQ333" s="185" t="e">
        <f>INDEX(outputs_checks[Sonderboring],MATCH(NQ$276,outputs_checks[stuff_id],0))</f>
        <v>#N/A</v>
      </c>
      <c r="NR333" s="185" t="e">
        <f>INDEX(outputs_checks[Sonderboring],MATCH(NR$276,outputs_checks[stuff_id],0))</f>
        <v>#N/A</v>
      </c>
      <c r="NS333" s="185" t="e">
        <f>INDEX(outputs_checks[Sonderboring],MATCH(NS$276,outputs_checks[stuff_id],0))</f>
        <v>#N/A</v>
      </c>
      <c r="NT333" s="185" t="e">
        <f>INDEX(outputs_checks[Sonderboring],MATCH(NT$276,outputs_checks[stuff_id],0))</f>
        <v>#N/A</v>
      </c>
      <c r="NU333" s="185" t="e">
        <f>INDEX(outputs_checks[Sonderboring],MATCH(NU$276,outputs_checks[stuff_id],0))</f>
        <v>#N/A</v>
      </c>
      <c r="NV333" s="185" t="e">
        <f>INDEX(outputs_checks[Sonderboring],MATCH(NV$276,outputs_checks[stuff_id],0))</f>
        <v>#N/A</v>
      </c>
      <c r="NW333" s="185" t="e">
        <f>INDEX(outputs_checks[Sonderboring],MATCH(NW$276,outputs_checks[stuff_id],0))</f>
        <v>#N/A</v>
      </c>
      <c r="UM333" s="1754"/>
    </row>
    <row r="334" spans="376:559" x14ac:dyDescent="0.2">
      <c r="NN334" s="185" t="s">
        <v>1</v>
      </c>
      <c r="NO334" s="185">
        <f>INDEX(outputs_checks[Kjerneboring],MATCH(NO$276,outputs_checks[stuff_id],0))</f>
        <v>0</v>
      </c>
      <c r="NP334" s="185" t="e">
        <f>INDEX(outputs_checks[Kjerneboring],MATCH(NP$276,outputs_checks[stuff_id],0))</f>
        <v>#N/A</v>
      </c>
      <c r="NQ334" s="185" t="e">
        <f>INDEX(outputs_checks[Kjerneboring],MATCH(NQ$276,outputs_checks[stuff_id],0))</f>
        <v>#N/A</v>
      </c>
      <c r="NR334" s="185" t="e">
        <f>INDEX(outputs_checks[Kjerneboring],MATCH(NR$276,outputs_checks[stuff_id],0))</f>
        <v>#N/A</v>
      </c>
      <c r="NS334" s="185" t="e">
        <f>INDEX(outputs_checks[Kjerneboring],MATCH(NS$276,outputs_checks[stuff_id],0))</f>
        <v>#N/A</v>
      </c>
      <c r="NT334" s="185" t="e">
        <f>INDEX(outputs_checks[Kjerneboring],MATCH(NT$276,outputs_checks[stuff_id],0))</f>
        <v>#N/A</v>
      </c>
      <c r="NU334" s="185" t="e">
        <f>INDEX(outputs_checks[Kjerneboring],MATCH(NU$276,outputs_checks[stuff_id],0))</f>
        <v>#N/A</v>
      </c>
      <c r="NV334" s="185" t="e">
        <f>INDEX(outputs_checks[Kjerneboring],MATCH(NV$276,outputs_checks[stuff_id],0))</f>
        <v>#N/A</v>
      </c>
      <c r="NW334" s="185" t="e">
        <f>INDEX(outputs_checks[Kjerneboring],MATCH(NW$276,outputs_checks[stuff_id],0))</f>
        <v>#N/A</v>
      </c>
      <c r="UM334" s="1754"/>
    </row>
    <row r="335" spans="376:559" x14ac:dyDescent="0.2">
      <c r="NN335" s="185" t="s">
        <v>2</v>
      </c>
      <c r="NO335" s="185">
        <f>INDEX(outputs_checks[Seismikk],MATCH(NO$276,outputs_checks[stuff_id],0))</f>
        <v>0</v>
      </c>
      <c r="NP335" s="185" t="e">
        <f>INDEX(outputs_checks[Seismikk],MATCH(NP$276,outputs_checks[stuff_id],0))</f>
        <v>#N/A</v>
      </c>
      <c r="NQ335" s="185" t="e">
        <f>INDEX(outputs_checks[Seismikk],MATCH(NQ$276,outputs_checks[stuff_id],0))</f>
        <v>#N/A</v>
      </c>
      <c r="NR335" s="185" t="e">
        <f>INDEX(outputs_checks[Seismikk],MATCH(NR$276,outputs_checks[stuff_id],0))</f>
        <v>#N/A</v>
      </c>
      <c r="NS335" s="185" t="e">
        <f>INDEX(outputs_checks[Seismikk],MATCH(NS$276,outputs_checks[stuff_id],0))</f>
        <v>#N/A</v>
      </c>
      <c r="NT335" s="185" t="e">
        <f>INDEX(outputs_checks[Seismikk],MATCH(NT$276,outputs_checks[stuff_id],0))</f>
        <v>#N/A</v>
      </c>
      <c r="NU335" s="185" t="e">
        <f>INDEX(outputs_checks[Seismikk],MATCH(NU$276,outputs_checks[stuff_id],0))</f>
        <v>#N/A</v>
      </c>
      <c r="NV335" s="185" t="e">
        <f>INDEX(outputs_checks[Seismikk],MATCH(NV$276,outputs_checks[stuff_id],0))</f>
        <v>#N/A</v>
      </c>
      <c r="NW335" s="185" t="e">
        <f>INDEX(outputs_checks[Seismikk],MATCH(NW$276,outputs_checks[stuff_id],0))</f>
        <v>#N/A</v>
      </c>
      <c r="UM335" s="1754"/>
    </row>
    <row r="336" spans="376:559" x14ac:dyDescent="0.2">
      <c r="NN336" s="185" t="s">
        <v>300</v>
      </c>
      <c r="NO336" s="185">
        <f>INDEX(outputs_checks[sp_Rigg],MATCH(NO$276,outputs_checks[stuff_id],0))</f>
        <v>0</v>
      </c>
      <c r="NP336" s="185" t="e">
        <f>INDEX(outputs_checks[sp_Rigg],MATCH(NP$276,outputs_checks[stuff_id],0))</f>
        <v>#N/A</v>
      </c>
      <c r="NQ336" s="185" t="e">
        <f>INDEX(outputs_checks[sp_Rigg],MATCH(NQ$276,outputs_checks[stuff_id],0))</f>
        <v>#N/A</v>
      </c>
      <c r="NR336" s="185" t="e">
        <f>INDEX(outputs_checks[sp_Rigg],MATCH(NR$276,outputs_checks[stuff_id],0))</f>
        <v>#N/A</v>
      </c>
      <c r="NS336" s="185" t="e">
        <f>INDEX(outputs_checks[sp_Rigg],MATCH(NS$276,outputs_checks[stuff_id],0))</f>
        <v>#N/A</v>
      </c>
      <c r="NT336" s="185" t="e">
        <f>INDEX(outputs_checks[sp_Rigg],MATCH(NT$276,outputs_checks[stuff_id],0))</f>
        <v>#N/A</v>
      </c>
      <c r="NU336" s="185" t="e">
        <f>INDEX(outputs_checks[sp_Rigg],MATCH(NU$276,outputs_checks[stuff_id],0))</f>
        <v>#N/A</v>
      </c>
      <c r="NV336" s="185" t="e">
        <f>INDEX(outputs_checks[sp_Rigg],MATCH(NV$276,outputs_checks[stuff_id],0))</f>
        <v>#N/A</v>
      </c>
      <c r="NW336" s="185" t="e">
        <f>INDEX(outputs_checks[sp_Rigg],MATCH(NW$276,outputs_checks[stuff_id],0))</f>
        <v>#N/A</v>
      </c>
      <c r="UM336" s="1754"/>
    </row>
    <row r="337" spans="376:559" x14ac:dyDescent="0.2">
      <c r="NN337" s="185" t="s">
        <v>301</v>
      </c>
      <c r="NO337" s="185">
        <f>INDEX(outputs_checks[sp_Boring],MATCH(NO$276,outputs_checks[stuff_id],0))</f>
        <v>0</v>
      </c>
      <c r="NP337" s="185" t="e">
        <f>INDEX(outputs_checks[sp_Boring],MATCH(NP$276,outputs_checks[stuff_id],0))</f>
        <v>#N/A</v>
      </c>
      <c r="NQ337" s="185" t="e">
        <f>INDEX(outputs_checks[sp_Boring],MATCH(NQ$276,outputs_checks[stuff_id],0))</f>
        <v>#N/A</v>
      </c>
      <c r="NR337" s="185" t="e">
        <f>INDEX(outputs_checks[sp_Boring],MATCH(NR$276,outputs_checks[stuff_id],0))</f>
        <v>#N/A</v>
      </c>
      <c r="NS337" s="185" t="e">
        <f>INDEX(outputs_checks[sp_Boring],MATCH(NS$276,outputs_checks[stuff_id],0))</f>
        <v>#N/A</v>
      </c>
      <c r="NT337" s="185" t="e">
        <f>INDEX(outputs_checks[sp_Boring],MATCH(NT$276,outputs_checks[stuff_id],0))</f>
        <v>#N/A</v>
      </c>
      <c r="NU337" s="185" t="e">
        <f>INDEX(outputs_checks[sp_Boring],MATCH(NU$276,outputs_checks[stuff_id],0))</f>
        <v>#N/A</v>
      </c>
      <c r="NV337" s="185" t="e">
        <f>INDEX(outputs_checks[sp_Boring],MATCH(NV$276,outputs_checks[stuff_id],0))</f>
        <v>#N/A</v>
      </c>
      <c r="NW337" s="185" t="e">
        <f>INDEX(outputs_checks[sp_Boring],MATCH(NW$276,outputs_checks[stuff_id],0))</f>
        <v>#N/A</v>
      </c>
      <c r="UM337" s="1754"/>
    </row>
    <row r="338" spans="376:559" x14ac:dyDescent="0.2">
      <c r="NN338" s="185" t="s">
        <v>302</v>
      </c>
      <c r="NO338" s="185">
        <f>INDEX(outputs_checks[Sp_Injeksjon],MATCH(NO$276,outputs_checks[stuff_id],0))</f>
        <v>0</v>
      </c>
      <c r="NP338" s="185" t="e">
        <f>INDEX(outputs_checks[Sp_Injeksjon],MATCH(NP$276,outputs_checks[stuff_id],0))</f>
        <v>#N/A</v>
      </c>
      <c r="NQ338" s="185" t="e">
        <f>INDEX(outputs_checks[Sp_Injeksjon],MATCH(NQ$276,outputs_checks[stuff_id],0))</f>
        <v>#N/A</v>
      </c>
      <c r="NR338" s="185" t="e">
        <f>INDEX(outputs_checks[Sp_Injeksjon],MATCH(NR$276,outputs_checks[stuff_id],0))</f>
        <v>#N/A</v>
      </c>
      <c r="NS338" s="185" t="e">
        <f>INDEX(outputs_checks[Sp_Injeksjon],MATCH(NS$276,outputs_checks[stuff_id],0))</f>
        <v>#N/A</v>
      </c>
      <c r="NT338" s="185" t="e">
        <f>INDEX(outputs_checks[Sp_Injeksjon],MATCH(NT$276,outputs_checks[stuff_id],0))</f>
        <v>#N/A</v>
      </c>
      <c r="NU338" s="185" t="e">
        <f>INDEX(outputs_checks[Sp_Injeksjon],MATCH(NU$276,outputs_checks[stuff_id],0))</f>
        <v>#N/A</v>
      </c>
      <c r="NV338" s="185" t="e">
        <f>INDEX(outputs_checks[Sp_Injeksjon],MATCH(NV$276,outputs_checks[stuff_id],0))</f>
        <v>#N/A</v>
      </c>
      <c r="NW338" s="185" t="e">
        <f>INDEX(outputs_checks[Sp_Injeksjon],MATCH(NW$276,outputs_checks[stuff_id],0))</f>
        <v>#N/A</v>
      </c>
      <c r="UM338" s="1754"/>
    </row>
    <row r="339" spans="376:559" x14ac:dyDescent="0.2">
      <c r="NN339" s="185" t="s">
        <v>303</v>
      </c>
      <c r="NO339" s="185"/>
      <c r="NP339" s="185"/>
      <c r="NQ339" s="185"/>
      <c r="NR339" s="185"/>
      <c r="NS339" s="185"/>
      <c r="NT339" s="185"/>
      <c r="NU339" s="185"/>
      <c r="NV339" s="185"/>
      <c r="NW339" s="185"/>
      <c r="UM339" s="1754"/>
    </row>
    <row r="340" spans="376:559" x14ac:dyDescent="0.2">
      <c r="NN340" s="185" t="s">
        <v>304</v>
      </c>
      <c r="NO340" s="185">
        <f>INDEX(outputs_checks[sy_Rigg],MATCH(NO$276,outputs_checks[stuff_id],0))</f>
        <v>0</v>
      </c>
      <c r="NP340" s="185" t="e">
        <f>INDEX(outputs_checks[sy_Rigg],MATCH(NP$276,outputs_checks[stuff_id],0))</f>
        <v>#N/A</v>
      </c>
      <c r="NQ340" s="185" t="e">
        <f>INDEX(outputs_checks[sy_Rigg],MATCH(NQ$276,outputs_checks[stuff_id],0))</f>
        <v>#N/A</v>
      </c>
      <c r="NR340" s="185" t="e">
        <f>INDEX(outputs_checks[sy_Rigg],MATCH(NR$276,outputs_checks[stuff_id],0))</f>
        <v>#N/A</v>
      </c>
      <c r="NS340" s="185" t="e">
        <f>INDEX(outputs_checks[sy_Rigg],MATCH(NS$276,outputs_checks[stuff_id],0))</f>
        <v>#N/A</v>
      </c>
      <c r="NT340" s="185" t="e">
        <f>INDEX(outputs_checks[sy_Rigg],MATCH(NT$276,outputs_checks[stuff_id],0))</f>
        <v>#N/A</v>
      </c>
      <c r="NU340" s="185" t="e">
        <f>INDEX(outputs_checks[sy_Rigg],MATCH(NU$276,outputs_checks[stuff_id],0))</f>
        <v>#N/A</v>
      </c>
      <c r="NV340" s="185" t="e">
        <f>INDEX(outputs_checks[sy_Rigg],MATCH(NV$276,outputs_checks[stuff_id],0))</f>
        <v>#N/A</v>
      </c>
      <c r="NW340" s="185" t="e">
        <f>INDEX(outputs_checks[sy_Rigg],MATCH(NW$276,outputs_checks[stuff_id],0))</f>
        <v>#N/A</v>
      </c>
      <c r="UM340" s="1754"/>
    </row>
    <row r="341" spans="376:559" x14ac:dyDescent="0.2">
      <c r="NN341" s="185" t="s">
        <v>305</v>
      </c>
      <c r="NO341" s="185">
        <f>INDEX(outputs_checks[sy_Boring],MATCH(NO$276,outputs_checks[stuff_id],0))</f>
        <v>0</v>
      </c>
      <c r="NP341" s="185" t="e">
        <f>INDEX(outputs_checks[sy_Boring],MATCH(NP$276,outputs_checks[stuff_id],0))</f>
        <v>#N/A</v>
      </c>
      <c r="NQ341" s="185" t="e">
        <f>INDEX(outputs_checks[sy_Boring],MATCH(NQ$276,outputs_checks[stuff_id],0))</f>
        <v>#N/A</v>
      </c>
      <c r="NR341" s="185" t="e">
        <f>INDEX(outputs_checks[sy_Boring],MATCH(NR$276,outputs_checks[stuff_id],0))</f>
        <v>#N/A</v>
      </c>
      <c r="NS341" s="185" t="e">
        <f>INDEX(outputs_checks[sy_Boring],MATCH(NS$276,outputs_checks[stuff_id],0))</f>
        <v>#N/A</v>
      </c>
      <c r="NT341" s="185" t="e">
        <f>INDEX(outputs_checks[sy_Boring],MATCH(NT$276,outputs_checks[stuff_id],0))</f>
        <v>#N/A</v>
      </c>
      <c r="NU341" s="185" t="e">
        <f>INDEX(outputs_checks[sy_Boring],MATCH(NU$276,outputs_checks[stuff_id],0))</f>
        <v>#N/A</v>
      </c>
      <c r="NV341" s="185" t="e">
        <f>INDEX(outputs_checks[sy_Boring],MATCH(NV$276,outputs_checks[stuff_id],0))</f>
        <v>#N/A</v>
      </c>
      <c r="NW341" s="185" t="e">
        <f>INDEX(outputs_checks[sy_Boring],MATCH(NW$276,outputs_checks[stuff_id],0))</f>
        <v>#N/A</v>
      </c>
      <c r="UM341" s="1754"/>
    </row>
    <row r="342" spans="376:559" x14ac:dyDescent="0.2">
      <c r="NN342" s="185" t="s">
        <v>306</v>
      </c>
      <c r="NO342" s="185">
        <f>INDEX(outputs_checks[sy_Injeksjon],MATCH(NO$276,outputs_checks[stuff_id],0))</f>
        <v>0</v>
      </c>
      <c r="NP342" s="185" t="e">
        <f>INDEX(outputs_checks[sy_Injeksjon],MATCH(NP$276,outputs_checks[stuff_id],0))</f>
        <v>#N/A</v>
      </c>
      <c r="NQ342" s="185" t="e">
        <f>INDEX(outputs_checks[sy_Injeksjon],MATCH(NQ$276,outputs_checks[stuff_id],0))</f>
        <v>#N/A</v>
      </c>
      <c r="NR342" s="185" t="e">
        <f>INDEX(outputs_checks[sy_Injeksjon],MATCH(NR$276,outputs_checks[stuff_id],0))</f>
        <v>#N/A</v>
      </c>
      <c r="NS342" s="185" t="e">
        <f>INDEX(outputs_checks[sy_Injeksjon],MATCH(NS$276,outputs_checks[stuff_id],0))</f>
        <v>#N/A</v>
      </c>
      <c r="NT342" s="185" t="e">
        <f>INDEX(outputs_checks[sy_Injeksjon],MATCH(NT$276,outputs_checks[stuff_id],0))</f>
        <v>#N/A</v>
      </c>
      <c r="NU342" s="185" t="e">
        <f>INDEX(outputs_checks[sy_Injeksjon],MATCH(NU$276,outputs_checks[stuff_id],0))</f>
        <v>#N/A</v>
      </c>
      <c r="NV342" s="185" t="e">
        <f>INDEX(outputs_checks[sy_Injeksjon],MATCH(NV$276,outputs_checks[stuff_id],0))</f>
        <v>#N/A</v>
      </c>
      <c r="NW342" s="185" t="e">
        <f>INDEX(outputs_checks[sy_Injeksjon],MATCH(NW$276,outputs_checks[stuff_id],0))</f>
        <v>#N/A</v>
      </c>
      <c r="UM342" s="1754"/>
    </row>
    <row r="343" spans="376:559" x14ac:dyDescent="0.2">
      <c r="NN343" s="185" t="s">
        <v>307</v>
      </c>
      <c r="NO343" s="185"/>
      <c r="NP343" s="185"/>
      <c r="NQ343" s="185"/>
      <c r="NR343" s="185"/>
      <c r="NS343" s="185"/>
      <c r="NT343" s="185"/>
      <c r="NU343" s="185"/>
      <c r="NV343" s="185"/>
      <c r="NW343" s="185"/>
      <c r="UM343" s="1754"/>
    </row>
    <row r="344" spans="376:559" x14ac:dyDescent="0.2">
      <c r="NN344" s="230" t="s">
        <v>682</v>
      </c>
      <c r="NO344" s="185">
        <f>INDEX(outputs_checks[oppsum_foran_total],MATCH(NO$276,outputs_checks[stuff_id],0))</f>
        <v>9</v>
      </c>
      <c r="NP344" s="185" t="e">
        <f>INDEX(outputs_checks[oppsum_foran_total],MATCH(NP$276,outputs_checks[stuff_id],0))</f>
        <v>#N/A</v>
      </c>
      <c r="NQ344" s="185" t="e">
        <f>INDEX(outputs_checks[oppsum_foran_total],MATCH(NQ$276,outputs_checks[stuff_id],0))</f>
        <v>#N/A</v>
      </c>
      <c r="NR344" s="185" t="e">
        <f>INDEX(outputs_checks[oppsum_foran_total],MATCH(NR$276,outputs_checks[stuff_id],0))</f>
        <v>#N/A</v>
      </c>
      <c r="NS344" s="185" t="e">
        <f>INDEX(outputs_checks[oppsum_foran_total],MATCH(NS$276,outputs_checks[stuff_id],0))</f>
        <v>#N/A</v>
      </c>
      <c r="NT344" s="185" t="e">
        <f>INDEX(outputs_checks[oppsum_foran_total],MATCH(NT$276,outputs_checks[stuff_id],0))</f>
        <v>#N/A</v>
      </c>
      <c r="NU344" s="185" t="e">
        <f>INDEX(outputs_checks[oppsum_foran_total],MATCH(NU$276,outputs_checks[stuff_id],0))</f>
        <v>#N/A</v>
      </c>
      <c r="NV344" s="185" t="e">
        <f>INDEX(outputs_checks[oppsum_foran_total],MATCH(NV$276,outputs_checks[stuff_id],0))</f>
        <v>#N/A</v>
      </c>
      <c r="NW344" s="185" t="e">
        <f>INDEX(outputs_checks[oppsum_foran_total],MATCH(NW$276,outputs_checks[stuff_id],0))</f>
        <v>#N/A</v>
      </c>
      <c r="UM344" s="1754"/>
    </row>
    <row r="345" spans="376:559" x14ac:dyDescent="0.2">
      <c r="UM345" s="1754"/>
    </row>
    <row r="346" spans="376:559" x14ac:dyDescent="0.2">
      <c r="NL346" s="183" t="s">
        <v>685</v>
      </c>
      <c r="NN346" s="185" t="s">
        <v>2413</v>
      </c>
      <c r="NO346" s="185">
        <f>INDEX(outputs_checks[oppsum_stab_total],MATCH(NO276,outputs_checks[stuff_id],0))</f>
        <v>11</v>
      </c>
      <c r="NP346" s="185" t="e">
        <f>INDEX(outputs_checks[oppsum_stab_total],MATCH(NP276,outputs_checks[stuff_id],0))</f>
        <v>#N/A</v>
      </c>
      <c r="NQ346" s="185" t="e">
        <f>INDEX(outputs_checks[oppsum_stab_total],MATCH(NQ276,outputs_checks[stuff_id],0))</f>
        <v>#N/A</v>
      </c>
      <c r="NR346" s="185" t="e">
        <f>INDEX(outputs_checks[oppsum_stab_total],MATCH(NR276,outputs_checks[stuff_id],0))</f>
        <v>#N/A</v>
      </c>
      <c r="NS346" s="185" t="e">
        <f>INDEX(outputs_checks[oppsum_stab_total],MATCH(NS276,outputs_checks[stuff_id],0))</f>
        <v>#N/A</v>
      </c>
      <c r="NT346" s="185" t="e">
        <f>INDEX(outputs_checks[oppsum_stab_total],MATCH(NT276,outputs_checks[stuff_id],0))</f>
        <v>#N/A</v>
      </c>
      <c r="NU346" s="185" t="e">
        <f>INDEX(outputs_checks[oppsum_stab_total],MATCH(NU276,outputs_checks[stuff_id],0))</f>
        <v>#N/A</v>
      </c>
      <c r="NV346" s="185" t="e">
        <f>INDEX(outputs_checks[oppsum_stab_total],MATCH(NV276,outputs_checks[stuff_id],0))</f>
        <v>#N/A</v>
      </c>
      <c r="NW346" s="185" t="e">
        <f>INDEX(outputs_checks[oppsum_stab_total],MATCH(NW276,outputs_checks[stuff_id],0))</f>
        <v>#N/A</v>
      </c>
      <c r="UM346" s="1754"/>
    </row>
    <row r="347" spans="376:559" x14ac:dyDescent="0.2">
      <c r="UM347" s="1754"/>
    </row>
    <row r="348" spans="376:559" x14ac:dyDescent="0.2">
      <c r="NN348" s="206" t="s">
        <v>101</v>
      </c>
      <c r="NO348" s="185">
        <f>INDEX(outputs_checks[manuell],MATCH(NO$276,outputs_checks[stuff_id],0))</f>
        <v>0</v>
      </c>
      <c r="NP348" s="185" t="e">
        <f>INDEX(outputs_checks[manuell],MATCH(NP$276,outputs_checks[stuff_id],0))</f>
        <v>#N/A</v>
      </c>
      <c r="NQ348" s="185" t="e">
        <f>INDEX(outputs_checks[manuell],MATCH(NQ$276,outputs_checks[stuff_id],0))</f>
        <v>#N/A</v>
      </c>
      <c r="NR348" s="185" t="e">
        <f>INDEX(outputs_checks[manuell],MATCH(NR$276,outputs_checks[stuff_id],0))</f>
        <v>#N/A</v>
      </c>
      <c r="NS348" s="185" t="e">
        <f>INDEX(outputs_checks[manuell],MATCH(NS$276,outputs_checks[stuff_id],0))</f>
        <v>#N/A</v>
      </c>
      <c r="NT348" s="185" t="e">
        <f>INDEX(outputs_checks[manuell],MATCH(NT$276,outputs_checks[stuff_id],0))</f>
        <v>#N/A</v>
      </c>
      <c r="NU348" s="185" t="e">
        <f>INDEX(outputs_checks[manuell],MATCH(NU$276,outputs_checks[stuff_id],0))</f>
        <v>#N/A</v>
      </c>
      <c r="NV348" s="185" t="e">
        <f>INDEX(outputs_checks[manuell],MATCH(NV$276,outputs_checks[stuff_id],0))</f>
        <v>#N/A</v>
      </c>
      <c r="NW348" s="185" t="e">
        <f>INDEX(outputs_checks[manuell],MATCH(NW$276,outputs_checks[stuff_id],0))</f>
        <v>#N/A</v>
      </c>
      <c r="UM348" s="1754"/>
    </row>
    <row r="349" spans="376:559" x14ac:dyDescent="0.2">
      <c r="NN349" s="206" t="s">
        <v>1598</v>
      </c>
      <c r="NO349" s="185">
        <f>INDEX(outputs_checks[kartlegging],MATCH(NO$276,outputs_checks[stuff_id],0))</f>
        <v>0</v>
      </c>
      <c r="NP349" s="185" t="e">
        <f>INDEX(outputs_checks[kartlegging],MATCH(NP$276,outputs_checks[stuff_id],0))</f>
        <v>#N/A</v>
      </c>
      <c r="NQ349" s="185" t="e">
        <f>INDEX(outputs_checks[kartlegging],MATCH(NQ$276,outputs_checks[stuff_id],0))</f>
        <v>#N/A</v>
      </c>
      <c r="NR349" s="185" t="e">
        <f>INDEX(outputs_checks[kartlegging],MATCH(NR$276,outputs_checks[stuff_id],0))</f>
        <v>#N/A</v>
      </c>
      <c r="NS349" s="185" t="e">
        <f>INDEX(outputs_checks[kartlegging],MATCH(NS$276,outputs_checks[stuff_id],0))</f>
        <v>#N/A</v>
      </c>
      <c r="NT349" s="185" t="e">
        <f>INDEX(outputs_checks[kartlegging],MATCH(NT$276,outputs_checks[stuff_id],0))</f>
        <v>#N/A</v>
      </c>
      <c r="NU349" s="185" t="e">
        <f>INDEX(outputs_checks[kartlegging],MATCH(NU$276,outputs_checks[stuff_id],0))</f>
        <v>#N/A</v>
      </c>
      <c r="NV349" s="185" t="e">
        <f>INDEX(outputs_checks[kartlegging],MATCH(NV$276,outputs_checks[stuff_id],0))</f>
        <v>#N/A</v>
      </c>
      <c r="NW349" s="185" t="e">
        <f>INDEX(outputs_checks[kartlegging],MATCH(NW$276,outputs_checks[stuff_id],0))</f>
        <v>#N/A</v>
      </c>
      <c r="UM349" s="1754"/>
    </row>
    <row r="350" spans="376:559" x14ac:dyDescent="0.2">
      <c r="NN350" s="206" t="s">
        <v>363</v>
      </c>
      <c r="NO350" s="185">
        <f>INDEX(outputs_checks[lt4m],MATCH(NO$276,outputs_checks[stuff_id],0))</f>
        <v>0</v>
      </c>
      <c r="NP350" s="185" t="e">
        <f>INDEX(outputs_checks[lt4m],MATCH(NP$276,outputs_checks[stuff_id],0))</f>
        <v>#N/A</v>
      </c>
      <c r="NQ350" s="185" t="e">
        <f>INDEX(outputs_checks[lt4m],MATCH(NQ$276,outputs_checks[stuff_id],0))</f>
        <v>#N/A</v>
      </c>
      <c r="NR350" s="185" t="e">
        <f>INDEX(outputs_checks[lt4m],MATCH(NR$276,outputs_checks[stuff_id],0))</f>
        <v>#N/A</v>
      </c>
      <c r="NS350" s="185" t="e">
        <f>INDEX(outputs_checks[lt4m],MATCH(NS$276,outputs_checks[stuff_id],0))</f>
        <v>#N/A</v>
      </c>
      <c r="NT350" s="185" t="e">
        <f>INDEX(outputs_checks[lt4m],MATCH(NT$276,outputs_checks[stuff_id],0))</f>
        <v>#N/A</v>
      </c>
      <c r="NU350" s="185" t="e">
        <f>INDEX(outputs_checks[lt4m],MATCH(NU$276,outputs_checks[stuff_id],0))</f>
        <v>#N/A</v>
      </c>
      <c r="NV350" s="185" t="e">
        <f>INDEX(outputs_checks[lt4m],MATCH(NV$276,outputs_checks[stuff_id],0))</f>
        <v>#N/A</v>
      </c>
      <c r="NW350" s="185" t="e">
        <f>INDEX(outputs_checks[lt4m],MATCH(NW$276,outputs_checks[stuff_id],0))</f>
        <v>#N/A</v>
      </c>
      <c r="UM350" s="1754"/>
    </row>
    <row r="351" spans="376:559" x14ac:dyDescent="0.2">
      <c r="NN351" s="206" t="s">
        <v>364</v>
      </c>
      <c r="NO351" s="185">
        <f>INDEX(outputs_checks[gt4m],MATCH(NO$276,outputs_checks[stuff_id],0))</f>
        <v>0</v>
      </c>
      <c r="NP351" s="185" t="e">
        <f>INDEX(outputs_checks[gt4m],MATCH(NP$276,outputs_checks[stuff_id],0))</f>
        <v>#N/A</v>
      </c>
      <c r="NQ351" s="185" t="e">
        <f>INDEX(outputs_checks[gt4m],MATCH(NQ$276,outputs_checks[stuff_id],0))</f>
        <v>#N/A</v>
      </c>
      <c r="NR351" s="185" t="e">
        <f>INDEX(outputs_checks[gt4m],MATCH(NR$276,outputs_checks[stuff_id],0))</f>
        <v>#N/A</v>
      </c>
      <c r="NS351" s="185" t="e">
        <f>INDEX(outputs_checks[gt4m],MATCH(NS$276,outputs_checks[stuff_id],0))</f>
        <v>#N/A</v>
      </c>
      <c r="NT351" s="185" t="e">
        <f>INDEX(outputs_checks[gt4m],MATCH(NT$276,outputs_checks[stuff_id],0))</f>
        <v>#N/A</v>
      </c>
      <c r="NU351" s="185" t="e">
        <f>INDEX(outputs_checks[gt4m],MATCH(NU$276,outputs_checks[stuff_id],0))</f>
        <v>#N/A</v>
      </c>
      <c r="NV351" s="185" t="e">
        <f>INDEX(outputs_checks[gt4m],MATCH(NV$276,outputs_checks[stuff_id],0))</f>
        <v>#N/A</v>
      </c>
      <c r="NW351" s="185" t="e">
        <f>INDEX(outputs_checks[gt4m],MATCH(NW$276,outputs_checks[stuff_id],0))</f>
        <v>#N/A</v>
      </c>
      <c r="UM351" s="1754"/>
    </row>
    <row r="352" spans="376:559" x14ac:dyDescent="0.2">
      <c r="NL352" s="5471"/>
      <c r="NN352" s="206" t="s">
        <v>365</v>
      </c>
      <c r="NO352" s="185">
        <f>INDEX(outputs_checks[bånd],MATCH(NO$276,outputs_checks[stuff_id],0))</f>
        <v>0</v>
      </c>
      <c r="NP352" s="185" t="e">
        <f>INDEX(outputs_checks[bånd],MATCH(NP$276,outputs_checks[stuff_id],0))</f>
        <v>#N/A</v>
      </c>
      <c r="NQ352" s="185" t="e">
        <f>INDEX(outputs_checks[bånd],MATCH(NQ$276,outputs_checks[stuff_id],0))</f>
        <v>#N/A</v>
      </c>
      <c r="NR352" s="185" t="e">
        <f>INDEX(outputs_checks[bånd],MATCH(NR$276,outputs_checks[stuff_id],0))</f>
        <v>#N/A</v>
      </c>
      <c r="NS352" s="185" t="e">
        <f>INDEX(outputs_checks[bånd],MATCH(NS$276,outputs_checks[stuff_id],0))</f>
        <v>#N/A</v>
      </c>
      <c r="NT352" s="185" t="e">
        <f>INDEX(outputs_checks[bånd],MATCH(NT$276,outputs_checks[stuff_id],0))</f>
        <v>#N/A</v>
      </c>
      <c r="NU352" s="185" t="e">
        <f>INDEX(outputs_checks[bånd],MATCH(NU$276,outputs_checks[stuff_id],0))</f>
        <v>#N/A</v>
      </c>
      <c r="NV352" s="185" t="e">
        <f>INDEX(outputs_checks[bånd],MATCH(NV$276,outputs_checks[stuff_id],0))</f>
        <v>#N/A</v>
      </c>
      <c r="NW352" s="185" t="e">
        <f>INDEX(outputs_checks[bånd],MATCH(NW$276,outputs_checks[stuff_id],0))</f>
        <v>#N/A</v>
      </c>
      <c r="UM352" s="1754"/>
    </row>
    <row r="353" spans="376:559" x14ac:dyDescent="0.2">
      <c r="NN353" s="206" t="s">
        <v>366</v>
      </c>
      <c r="NO353" s="185">
        <f>INDEX(outputs_checks[nett],MATCH(NO$276,outputs_checks[stuff_id],0))</f>
        <v>0</v>
      </c>
      <c r="NP353" s="185" t="e">
        <f>INDEX(outputs_checks[nett],MATCH(NP$276,outputs_checks[stuff_id],0))</f>
        <v>#N/A</v>
      </c>
      <c r="NQ353" s="185" t="e">
        <f>INDEX(outputs_checks[nett],MATCH(NQ$276,outputs_checks[stuff_id],0))</f>
        <v>#N/A</v>
      </c>
      <c r="NR353" s="185" t="e">
        <f>INDEX(outputs_checks[nett],MATCH(NR$276,outputs_checks[stuff_id],0))</f>
        <v>#N/A</v>
      </c>
      <c r="NS353" s="185" t="e">
        <f>INDEX(outputs_checks[nett],MATCH(NS$276,outputs_checks[stuff_id],0))</f>
        <v>#N/A</v>
      </c>
      <c r="NT353" s="185" t="e">
        <f>INDEX(outputs_checks[nett],MATCH(NT$276,outputs_checks[stuff_id],0))</f>
        <v>#N/A</v>
      </c>
      <c r="NU353" s="185" t="e">
        <f>INDEX(outputs_checks[nett],MATCH(NU$276,outputs_checks[stuff_id],0))</f>
        <v>#N/A</v>
      </c>
      <c r="NV353" s="185" t="e">
        <f>INDEX(outputs_checks[nett],MATCH(NV$276,outputs_checks[stuff_id],0))</f>
        <v>#N/A</v>
      </c>
      <c r="NW353" s="185" t="e">
        <f>INDEX(outputs_checks[nett],MATCH(NW$276,outputs_checks[stuff_id],0))</f>
        <v>#N/A</v>
      </c>
      <c r="UM353" s="1754"/>
    </row>
    <row r="354" spans="376:559" x14ac:dyDescent="0.2">
      <c r="NN354" s="185" t="s">
        <v>2399</v>
      </c>
      <c r="NO354" s="185">
        <f>INDEX(outputs_checks[festebolter],MATCH(NO$276,outputs_checks[stuff_id],0))</f>
        <v>0</v>
      </c>
      <c r="NP354" s="185" t="e">
        <f>INDEX(outputs_checks[festebolter],MATCH(NP$276,outputs_checks[stuff_id],0))</f>
        <v>#N/A</v>
      </c>
      <c r="NQ354" s="185" t="e">
        <f>INDEX(outputs_checks[festebolter],MATCH(NQ$276,outputs_checks[stuff_id],0))</f>
        <v>#N/A</v>
      </c>
      <c r="NR354" s="185" t="e">
        <f>INDEX(outputs_checks[festebolter],MATCH(NR$276,outputs_checks[stuff_id],0))</f>
        <v>#N/A</v>
      </c>
      <c r="NS354" s="185" t="e">
        <f>INDEX(outputs_checks[festebolter],MATCH(NS$276,outputs_checks[stuff_id],0))</f>
        <v>#N/A</v>
      </c>
      <c r="NT354" s="185" t="e">
        <f>INDEX(outputs_checks[festebolter],MATCH(NT$276,outputs_checks[stuff_id],0))</f>
        <v>#N/A</v>
      </c>
      <c r="NU354" s="185" t="e">
        <f>INDEX(outputs_checks[festebolter],MATCH(NU$276,outputs_checks[stuff_id],0))</f>
        <v>#N/A</v>
      </c>
      <c r="NV354" s="185" t="e">
        <f>INDEX(outputs_checks[festebolter],MATCH(NV$276,outputs_checks[stuff_id],0))</f>
        <v>#N/A</v>
      </c>
      <c r="NW354" s="185" t="e">
        <f>INDEX(outputs_checks[festebolter],MATCH(NW$276,outputs_checks[stuff_id],0))</f>
        <v>#N/A</v>
      </c>
      <c r="UM354" s="1754"/>
    </row>
    <row r="355" spans="376:559" x14ac:dyDescent="0.2">
      <c r="NN355" s="206" t="s">
        <v>367</v>
      </c>
      <c r="NO355" s="185">
        <f>INDEX(outputs_checks[shotcrete],MATCH(NO$276,outputs_checks[stuff_id],0))</f>
        <v>0</v>
      </c>
      <c r="NP355" s="185" t="e">
        <f>INDEX(outputs_checks[shotcrete],MATCH(NP$276,outputs_checks[stuff_id],0))</f>
        <v>#N/A</v>
      </c>
      <c r="NQ355" s="185" t="e">
        <f>INDEX(outputs_checks[shotcrete],MATCH(NQ$276,outputs_checks[stuff_id],0))</f>
        <v>#N/A</v>
      </c>
      <c r="NR355" s="185" t="e">
        <f>INDEX(outputs_checks[shotcrete],MATCH(NR$276,outputs_checks[stuff_id],0))</f>
        <v>#N/A</v>
      </c>
      <c r="NS355" s="185" t="e">
        <f>INDEX(outputs_checks[shotcrete],MATCH(NS$276,outputs_checks[stuff_id],0))</f>
        <v>#N/A</v>
      </c>
      <c r="NT355" s="185" t="e">
        <f>INDEX(outputs_checks[shotcrete],MATCH(NT$276,outputs_checks[stuff_id],0))</f>
        <v>#N/A</v>
      </c>
      <c r="NU355" s="185" t="e">
        <f>INDEX(outputs_checks[shotcrete],MATCH(NU$276,outputs_checks[stuff_id],0))</f>
        <v>#N/A</v>
      </c>
      <c r="NV355" s="185" t="e">
        <f>INDEX(outputs_checks[shotcrete],MATCH(NV$276,outputs_checks[stuff_id],0))</f>
        <v>#N/A</v>
      </c>
      <c r="NW355" s="185" t="e">
        <f>INDEX(outputs_checks[shotcrete],MATCH(NW$276,outputs_checks[stuff_id],0))</f>
        <v>#N/A</v>
      </c>
      <c r="UM355" s="1754"/>
    </row>
    <row r="356" spans="376:559" x14ac:dyDescent="0.2">
      <c r="NN356" s="206" t="s">
        <v>368</v>
      </c>
      <c r="NO356" s="185">
        <f>INDEX(outputs_checks[buer],MATCH(NO$276,outputs_checks[stuff_id],0))</f>
        <v>0</v>
      </c>
      <c r="NP356" s="185" t="e">
        <f>INDEX(outputs_checks[buer],MATCH(NP$276,outputs_checks[stuff_id],0))</f>
        <v>#N/A</v>
      </c>
      <c r="NQ356" s="185" t="e">
        <f>INDEX(outputs_checks[buer],MATCH(NQ$276,outputs_checks[stuff_id],0))</f>
        <v>#N/A</v>
      </c>
      <c r="NR356" s="185" t="e">
        <f>INDEX(outputs_checks[buer],MATCH(NR$276,outputs_checks[stuff_id],0))</f>
        <v>#N/A</v>
      </c>
      <c r="NS356" s="185" t="e">
        <f>INDEX(outputs_checks[buer],MATCH(NS$276,outputs_checks[stuff_id],0))</f>
        <v>#N/A</v>
      </c>
      <c r="NT356" s="185" t="e">
        <f>INDEX(outputs_checks[buer],MATCH(NT$276,outputs_checks[stuff_id],0))</f>
        <v>#N/A</v>
      </c>
      <c r="NU356" s="185" t="e">
        <f>INDEX(outputs_checks[buer],MATCH(NU$276,outputs_checks[stuff_id],0))</f>
        <v>#N/A</v>
      </c>
      <c r="NV356" s="185" t="e">
        <f>INDEX(outputs_checks[buer],MATCH(NV$276,outputs_checks[stuff_id],0))</f>
        <v>#N/A</v>
      </c>
      <c r="NW356" s="185" t="e">
        <f>INDEX(outputs_checks[buer],MATCH(NW$276,outputs_checks[stuff_id],0))</f>
        <v>#N/A</v>
      </c>
      <c r="UM356" s="1754"/>
    </row>
    <row r="357" spans="376:559" x14ac:dyDescent="0.2">
      <c r="NN357" s="206" t="s">
        <v>369</v>
      </c>
      <c r="NO357" s="185">
        <f>INDEX(outputs_checks[sik123],MATCH(NO$276,outputs_checks[stuff_id],0))</f>
        <v>0</v>
      </c>
      <c r="NP357" s="185" t="e">
        <f>INDEX(outputs_checks[sik123],MATCH(NP$276,outputs_checks[stuff_id],0))</f>
        <v>#N/A</v>
      </c>
      <c r="NQ357" s="185" t="e">
        <f>INDEX(outputs_checks[sik123],MATCH(NQ$276,outputs_checks[stuff_id],0))</f>
        <v>#N/A</v>
      </c>
      <c r="NR357" s="185" t="e">
        <f>INDEX(outputs_checks[sik123],MATCH(NR$276,outputs_checks[stuff_id],0))</f>
        <v>#N/A</v>
      </c>
      <c r="NS357" s="185" t="e">
        <f>INDEX(outputs_checks[sik123],MATCH(NS$276,outputs_checks[stuff_id],0))</f>
        <v>#N/A</v>
      </c>
      <c r="NT357" s="185" t="e">
        <f>INDEX(outputs_checks[sik123],MATCH(NT$276,outputs_checks[stuff_id],0))</f>
        <v>#N/A</v>
      </c>
      <c r="NU357" s="185" t="e">
        <f>INDEX(outputs_checks[sik123],MATCH(NU$276,outputs_checks[stuff_id],0))</f>
        <v>#N/A</v>
      </c>
      <c r="NV357" s="185" t="e">
        <f>INDEX(outputs_checks[sik123],MATCH(NV$276,outputs_checks[stuff_id],0))</f>
        <v>#N/A</v>
      </c>
      <c r="NW357" s="185" t="e">
        <f>INDEX(outputs_checks[sik123],MATCH(NW$276,outputs_checks[stuff_id],0))</f>
        <v>#N/A</v>
      </c>
      <c r="UM357" s="1754"/>
    </row>
    <row r="358" spans="376:559" x14ac:dyDescent="0.2">
      <c r="NN358" s="206" t="s">
        <v>370</v>
      </c>
      <c r="NO358" s="185">
        <f>INDEX(outputs_checks[sik4],MATCH(NO$276,outputs_checks[stuff_id],0))</f>
        <v>0</v>
      </c>
      <c r="NP358" s="185" t="e">
        <f>INDEX(outputs_checks[sik4],MATCH(NP$276,outputs_checks[stuff_id],0))</f>
        <v>#N/A</v>
      </c>
      <c r="NQ358" s="185" t="e">
        <f>INDEX(outputs_checks[sik4],MATCH(NQ$276,outputs_checks[stuff_id],0))</f>
        <v>#N/A</v>
      </c>
      <c r="NR358" s="185" t="e">
        <f>INDEX(outputs_checks[sik4],MATCH(NR$276,outputs_checks[stuff_id],0))</f>
        <v>#N/A</v>
      </c>
      <c r="NS358" s="185" t="e">
        <f>INDEX(outputs_checks[sik4],MATCH(NS$276,outputs_checks[stuff_id],0))</f>
        <v>#N/A</v>
      </c>
      <c r="NT358" s="185" t="e">
        <f>INDEX(outputs_checks[sik4],MATCH(NT$276,outputs_checks[stuff_id],0))</f>
        <v>#N/A</v>
      </c>
      <c r="NU358" s="185" t="e">
        <f>INDEX(outputs_checks[sik4],MATCH(NU$276,outputs_checks[stuff_id],0))</f>
        <v>#N/A</v>
      </c>
      <c r="NV358" s="185" t="e">
        <f>INDEX(outputs_checks[sik4],MATCH(NV$276,outputs_checks[stuff_id],0))</f>
        <v>#N/A</v>
      </c>
      <c r="NW358" s="185" t="e">
        <f>INDEX(outputs_checks[sik4],MATCH(NW$276,outputs_checks[stuff_id],0))</f>
        <v>#N/A</v>
      </c>
      <c r="UM358" s="1754"/>
    </row>
    <row r="359" spans="376:559" x14ac:dyDescent="0.2">
      <c r="NN359" s="1586" t="s">
        <v>683</v>
      </c>
      <c r="NO359" s="185">
        <f>INDEX(outputs_checks[oppsum_stab_total],MATCH(NO$276,outputs_checks[stuff_id],0))</f>
        <v>11</v>
      </c>
      <c r="NP359" s="185" t="e">
        <f>INDEX(outputs_checks[oppsum_stab_total],MATCH(NP$276,outputs_checks[stuff_id],0))</f>
        <v>#N/A</v>
      </c>
      <c r="NQ359" s="185" t="e">
        <f>INDEX(outputs_checks[oppsum_stab_total],MATCH(NQ$276,outputs_checks[stuff_id],0))</f>
        <v>#N/A</v>
      </c>
      <c r="NR359" s="185" t="e">
        <f>INDEX(outputs_checks[oppsum_stab_total],MATCH(NR$276,outputs_checks[stuff_id],0))</f>
        <v>#N/A</v>
      </c>
      <c r="NS359" s="185" t="e">
        <f>INDEX(outputs_checks[oppsum_stab_total],MATCH(NS$276,outputs_checks[stuff_id],0))</f>
        <v>#N/A</v>
      </c>
      <c r="NT359" s="185" t="e">
        <f>INDEX(outputs_checks[oppsum_stab_total],MATCH(NT$276,outputs_checks[stuff_id],0))</f>
        <v>#N/A</v>
      </c>
      <c r="NU359" s="185" t="e">
        <f>INDEX(outputs_checks[oppsum_stab_total],MATCH(NU$276,outputs_checks[stuff_id],0))</f>
        <v>#N/A</v>
      </c>
      <c r="NV359" s="185" t="e">
        <f>INDEX(outputs_checks[oppsum_stab_total],MATCH(NV$276,outputs_checks[stuff_id],0))</f>
        <v>#N/A</v>
      </c>
      <c r="NW359" s="185" t="e">
        <f>INDEX(outputs_checks[oppsum_stab_total],MATCH(NW$276,outputs_checks[stuff_id],0))</f>
        <v>#N/A</v>
      </c>
      <c r="UM359" s="1754"/>
    </row>
    <row r="360" spans="376:559" x14ac:dyDescent="0.2">
      <c r="UM360" s="1754"/>
    </row>
    <row r="361" spans="376:559" x14ac:dyDescent="0.2">
      <c r="NN361" s="183" t="s">
        <v>727</v>
      </c>
      <c r="UM361" s="1754"/>
    </row>
    <row r="362" spans="376:559" x14ac:dyDescent="0.2">
      <c r="UM362" s="1754"/>
    </row>
    <row r="363" spans="376:559" x14ac:dyDescent="0.2">
      <c r="NM363" s="183" t="s">
        <v>2144</v>
      </c>
      <c r="NN363" s="183" t="s">
        <v>942</v>
      </c>
      <c r="NO363" s="183">
        <f>INDEX(position_klasse[klasse_stuff_match],MATCH(NO269,position_klasse[Position],0))</f>
        <v>0</v>
      </c>
      <c r="NP363" s="183" t="e">
        <f>INDEX(position_klasse[klasse_stuff_match],MATCH(NP269,position_klasse[Position],0))</f>
        <v>#N/A</v>
      </c>
      <c r="NQ363" s="183" t="e">
        <f>INDEX(position_klasse[klasse_stuff_match],MATCH(NQ269,position_klasse[Position],0))</f>
        <v>#N/A</v>
      </c>
      <c r="NR363" s="183" t="e">
        <f>INDEX(position_klasse[klasse_stuff_match],MATCH(NR269,position_klasse[Position],0))</f>
        <v>#N/A</v>
      </c>
      <c r="NS363" s="183" t="e">
        <f>INDEX(position_klasse[klasse_stuff_match],MATCH(NS269,position_klasse[Position],0))</f>
        <v>#N/A</v>
      </c>
      <c r="NT363" s="183" t="e">
        <f>INDEX(position_klasse[klasse_stuff_match],MATCH(NT269,position_klasse[Position],0))</f>
        <v>#N/A</v>
      </c>
      <c r="NU363" s="183" t="e">
        <f>INDEX(position_klasse[klasse_stuff_match],MATCH(NU269,position_klasse[Position],0))</f>
        <v>#N/A</v>
      </c>
      <c r="NV363" s="183" t="e">
        <f>INDEX(position_klasse[klasse_stuff_match],MATCH(NV269,position_klasse[Position],0))</f>
        <v>#N/A</v>
      </c>
      <c r="NW363" s="183" t="e">
        <f>INDEX(position_klasse[klasse_stuff_match],MATCH(NW269,position_klasse[Position],0))</f>
        <v>#N/A</v>
      </c>
      <c r="UM363" s="1754"/>
    </row>
    <row r="364" spans="376:559" x14ac:dyDescent="0.2">
      <c r="UM364" s="1754"/>
    </row>
    <row r="365" spans="376:559" x14ac:dyDescent="0.2">
      <c r="UM365" s="1754"/>
    </row>
    <row r="366" spans="376:559" x14ac:dyDescent="0.2">
      <c r="UM366" s="1754"/>
    </row>
    <row r="367" spans="376:559" x14ac:dyDescent="0.2">
      <c r="UM367" s="1754"/>
    </row>
    <row r="368" spans="376:559" x14ac:dyDescent="0.2">
      <c r="NL368" s="2617"/>
      <c r="NM368" s="2617"/>
      <c r="NN368" s="2617"/>
      <c r="NO368" s="2617"/>
      <c r="NP368" s="2617"/>
      <c r="NQ368" s="2617"/>
      <c r="NR368" s="2617"/>
      <c r="NS368" s="2617"/>
      <c r="NT368" s="2617"/>
      <c r="NU368" s="2617"/>
      <c r="NV368" s="2617"/>
      <c r="NW368" s="2617"/>
      <c r="NX368" s="2617"/>
      <c r="UM368" s="1754"/>
    </row>
    <row r="369" spans="375:559" x14ac:dyDescent="0.2">
      <c r="NL369" s="2617"/>
      <c r="NM369" s="2617"/>
      <c r="NN369" s="2617"/>
      <c r="NO369" s="2617"/>
      <c r="NP369" s="2617"/>
      <c r="NQ369" s="2617"/>
      <c r="NR369" s="2617"/>
      <c r="NS369" s="2617"/>
      <c r="NT369" s="2617"/>
      <c r="NU369" s="2617"/>
      <c r="NV369" s="2617"/>
      <c r="NW369" s="2617"/>
      <c r="NX369" s="2617"/>
      <c r="UM369" s="1754"/>
    </row>
    <row r="370" spans="375:559" x14ac:dyDescent="0.2">
      <c r="NL370" s="2617"/>
      <c r="NM370" s="2617"/>
      <c r="NN370" s="2617"/>
      <c r="NO370" s="2617"/>
      <c r="NP370" s="2617"/>
      <c r="NQ370" s="2617"/>
      <c r="NR370" s="2617"/>
      <c r="NS370" s="2617"/>
      <c r="NT370" s="2617"/>
      <c r="NU370" s="2617"/>
      <c r="NV370" s="2617"/>
      <c r="NW370" s="2617"/>
      <c r="NX370" s="2617"/>
      <c r="UM370" s="1754"/>
    </row>
    <row r="371" spans="375:559" x14ac:dyDescent="0.2">
      <c r="NL371" s="2617"/>
      <c r="NM371" s="2617"/>
      <c r="NN371" s="2617"/>
      <c r="NO371" s="2617"/>
      <c r="NP371" s="2617"/>
      <c r="NQ371" s="2617"/>
      <c r="NR371" s="2617"/>
      <c r="NS371" s="2617"/>
      <c r="NT371" s="2617"/>
      <c r="NU371" s="2617"/>
      <c r="NV371" s="2617"/>
      <c r="NW371" s="2617"/>
      <c r="NX371" s="2617"/>
      <c r="UM371" s="1754"/>
    </row>
    <row r="372" spans="375:559" x14ac:dyDescent="0.2">
      <c r="NL372" s="2617"/>
      <c r="NM372" s="2617"/>
      <c r="NN372" s="2617"/>
      <c r="NO372" s="2617"/>
      <c r="NP372" s="2617"/>
      <c r="NQ372" s="2617"/>
      <c r="NR372" s="2617"/>
      <c r="NS372" s="2617"/>
      <c r="NT372" s="2617"/>
      <c r="NU372" s="2617"/>
      <c r="NV372" s="2617"/>
      <c r="NW372" s="2617"/>
      <c r="NX372" s="2617"/>
      <c r="UM372" s="1754"/>
    </row>
    <row r="373" spans="375:559" x14ac:dyDescent="0.2">
      <c r="NL373" s="2617"/>
      <c r="NM373" s="2617"/>
      <c r="NN373" s="2617"/>
      <c r="NO373" s="2617"/>
      <c r="NP373" s="2617"/>
      <c r="NQ373" s="2617"/>
      <c r="NR373" s="2617"/>
      <c r="NS373" s="2617"/>
      <c r="NT373" s="2617"/>
      <c r="NU373" s="2617"/>
      <c r="NV373" s="2617"/>
      <c r="NW373" s="2617"/>
      <c r="NX373" s="2617"/>
      <c r="UM373" s="1754"/>
    </row>
    <row r="374" spans="375:559" x14ac:dyDescent="0.2">
      <c r="NL374" s="2617"/>
      <c r="NM374" s="2617"/>
      <c r="NN374" s="2617"/>
      <c r="NO374" s="2617"/>
      <c r="NP374" s="2617"/>
      <c r="NQ374" s="2617"/>
      <c r="NR374" s="2617"/>
      <c r="NS374" s="2617"/>
      <c r="NT374" s="2617"/>
      <c r="NU374" s="2617"/>
      <c r="NV374" s="2617"/>
      <c r="NW374" s="2617"/>
      <c r="NX374" s="2617"/>
      <c r="UM374" s="1754"/>
    </row>
    <row r="375" spans="375:559" x14ac:dyDescent="0.2">
      <c r="NL375" s="2617"/>
      <c r="NM375" s="2617"/>
      <c r="NN375" s="2617"/>
      <c r="NO375" s="2617"/>
      <c r="NP375" s="2617"/>
      <c r="NQ375" s="2617"/>
      <c r="NR375" s="2617"/>
      <c r="NS375" s="2617"/>
      <c r="NT375" s="2617"/>
      <c r="NU375" s="2617"/>
      <c r="NV375" s="2617"/>
      <c r="NW375" s="2617"/>
      <c r="NX375" s="2617"/>
      <c r="UM375" s="1754"/>
    </row>
    <row r="376" spans="375:559" ht="30.75" x14ac:dyDescent="0.2">
      <c r="NN376" s="468" t="s">
        <v>713</v>
      </c>
      <c r="UM376" s="1754"/>
    </row>
    <row r="377" spans="375:559" x14ac:dyDescent="0.2">
      <c r="UM377" s="1754"/>
    </row>
    <row r="378" spans="375:559" x14ac:dyDescent="0.2">
      <c r="NN378" s="2970" t="s">
        <v>730</v>
      </c>
      <c r="UM378" s="1754"/>
    </row>
    <row r="379" spans="375:559" x14ac:dyDescent="0.2">
      <c r="UM379" s="1754"/>
    </row>
    <row r="380" spans="375:559" ht="18" x14ac:dyDescent="0.25">
      <c r="NN380" s="312" t="s">
        <v>371</v>
      </c>
      <c r="NO380" s="257"/>
      <c r="NP380" s="257"/>
      <c r="NQ380" s="257"/>
      <c r="NR380" s="257"/>
      <c r="NS380" s="257"/>
      <c r="NT380" s="257"/>
      <c r="NU380" s="257"/>
      <c r="NV380" s="257"/>
      <c r="NW380" s="257"/>
      <c r="UM380" s="1754"/>
    </row>
    <row r="381" spans="375:559" ht="20.25" x14ac:dyDescent="0.2">
      <c r="NN381" s="311" t="s">
        <v>340</v>
      </c>
      <c r="NO381" s="310">
        <v>1</v>
      </c>
      <c r="NP381" s="310">
        <v>2</v>
      </c>
      <c r="NQ381" s="310">
        <v>3</v>
      </c>
      <c r="NR381" s="310">
        <v>4</v>
      </c>
      <c r="NS381" s="310">
        <v>5</v>
      </c>
      <c r="NT381" s="310">
        <v>6</v>
      </c>
      <c r="NU381" s="310">
        <v>7</v>
      </c>
      <c r="NV381" s="310">
        <v>8</v>
      </c>
      <c r="NW381" s="310">
        <v>9</v>
      </c>
      <c r="UM381" s="1754"/>
    </row>
    <row r="382" spans="375:559" ht="18" x14ac:dyDescent="0.25">
      <c r="NN382" s="319" t="s">
        <v>48</v>
      </c>
      <c r="NO382" s="313" t="str">
        <f>IFERROR((INDEX(position_stuff[Name],MATCH(NO381,position_stuff[Position],0))),"")</f>
        <v>Stuff 1-1</v>
      </c>
      <c r="NP382" s="313" t="str">
        <f>IFERROR((INDEX(position_stuff[Name],MATCH(NP381,position_stuff[Position],0))),"")</f>
        <v/>
      </c>
      <c r="NQ382" s="313" t="str">
        <f>IFERROR((INDEX(position_stuff[Name],MATCH(NQ381,position_stuff[Position],0))),"")</f>
        <v/>
      </c>
      <c r="NR382" s="313" t="str">
        <f>IFERROR((INDEX(position_stuff[Name],MATCH(NR381,position_stuff[Position],0))),"")</f>
        <v/>
      </c>
      <c r="NS382" s="313" t="str">
        <f>IFERROR((INDEX(position_stuff[Name],MATCH(NS381,position_stuff[Position],0))),"")</f>
        <v/>
      </c>
      <c r="NT382" s="313" t="str">
        <f>IFERROR((INDEX(position_stuff[Name],MATCH(NT381,position_stuff[Position],0))),"")</f>
        <v/>
      </c>
      <c r="NU382" s="313" t="str">
        <f>IFERROR((INDEX(position_stuff[Name],MATCH(NU381,position_stuff[Position],0))),"")</f>
        <v/>
      </c>
      <c r="NV382" s="313" t="str">
        <f>IFERROR((INDEX(position_stuff[Name],MATCH(NV381,position_stuff[Position],0))),"")</f>
        <v/>
      </c>
      <c r="NW382" s="313" t="str">
        <f>IFERROR((INDEX(position_stuff[Name],MATCH(NW381,position_stuff[Position],0))),"")</f>
        <v/>
      </c>
      <c r="UM382" s="1754"/>
    </row>
    <row r="383" spans="375:559" x14ac:dyDescent="0.2">
      <c r="NK383" s="2617"/>
      <c r="NL383" s="2617"/>
      <c r="NM383" s="2617"/>
      <c r="NN383" s="2617"/>
      <c r="NO383" s="2617"/>
      <c r="NP383" s="2617"/>
      <c r="NQ383" s="2617"/>
      <c r="NR383" s="2617"/>
      <c r="NS383" s="2617"/>
      <c r="NT383" s="2617"/>
      <c r="NU383" s="2617"/>
      <c r="NV383" s="2617"/>
      <c r="NW383" s="2617"/>
      <c r="NX383" s="2617"/>
      <c r="UM383" s="1754"/>
    </row>
    <row r="384" spans="375:559" x14ac:dyDescent="0.2">
      <c r="NN384" s="185" t="s">
        <v>434</v>
      </c>
      <c r="NO384" s="199">
        <f>INDEX(oppsum_position[default position],MATCH(NO382,oppsum_position[Navn],0))</f>
        <v>1</v>
      </c>
      <c r="NP384" s="199" t="e">
        <f>INDEX(oppsum_position[default position],MATCH(NP382,oppsum_position[Navn],0))</f>
        <v>#N/A</v>
      </c>
      <c r="NQ384" s="199" t="e">
        <f>INDEX(oppsum_position[default position],MATCH(NQ382,oppsum_position[Navn],0))</f>
        <v>#N/A</v>
      </c>
      <c r="NR384" s="199" t="e">
        <f>INDEX(oppsum_position[default position],MATCH(NR382,oppsum_position[Navn],0))</f>
        <v>#N/A</v>
      </c>
      <c r="NS384" s="199" t="e">
        <f>INDEX(oppsum_position[default position],MATCH(NS382,oppsum_position[Navn],0))</f>
        <v>#N/A</v>
      </c>
      <c r="NT384" s="199" t="e">
        <f>INDEX(oppsum_position[default position],MATCH(NT382,oppsum_position[Navn],0))</f>
        <v>#N/A</v>
      </c>
      <c r="NU384" s="199" t="e">
        <f>INDEX(oppsum_position[default position],MATCH(NU382,oppsum_position[Navn],0))</f>
        <v>#N/A</v>
      </c>
      <c r="NV384" s="199" t="e">
        <f>INDEX(oppsum_position[default position],MATCH(NV382,oppsum_position[Navn],0))</f>
        <v>#N/A</v>
      </c>
      <c r="NW384" s="199" t="e">
        <f>INDEX(oppsum_position[default position],MATCH(NW382,oppsum_position[Navn],0))</f>
        <v>#N/A</v>
      </c>
      <c r="UM384" s="1754"/>
    </row>
    <row r="385" spans="378:559" x14ac:dyDescent="0.2">
      <c r="NN385" s="185" t="s">
        <v>435</v>
      </c>
      <c r="NO385" s="199">
        <f t="shared" ref="NO385:NW385" si="332">$BC$38</f>
        <v>2</v>
      </c>
      <c r="NP385" s="199">
        <f t="shared" si="332"/>
        <v>2</v>
      </c>
      <c r="NQ385" s="199">
        <f t="shared" si="332"/>
        <v>2</v>
      </c>
      <c r="NR385" s="199">
        <f t="shared" si="332"/>
        <v>2</v>
      </c>
      <c r="NS385" s="199">
        <f t="shared" si="332"/>
        <v>2</v>
      </c>
      <c r="NT385" s="199">
        <f t="shared" si="332"/>
        <v>2</v>
      </c>
      <c r="NU385" s="199">
        <f t="shared" si="332"/>
        <v>2</v>
      </c>
      <c r="NV385" s="199">
        <f t="shared" si="332"/>
        <v>2</v>
      </c>
      <c r="NW385" s="199">
        <f t="shared" si="332"/>
        <v>2</v>
      </c>
      <c r="UM385" s="1754"/>
    </row>
    <row r="386" spans="378:559" ht="19.5" x14ac:dyDescent="0.3">
      <c r="NN386" s="410" t="s">
        <v>436</v>
      </c>
      <c r="NO386" s="409">
        <f>IF(NO382=$BD$67,$BD$67,VALUE(NO384&amp;NO385))</f>
        <v>12</v>
      </c>
      <c r="NP386" s="409" t="e">
        <f>IF(NP382=$BD$67,$BD$67,VALUE(NP384&amp;NP385))</f>
        <v>#N/A</v>
      </c>
      <c r="NQ386" s="409" t="e">
        <f t="shared" ref="NQ386:NW386" si="333">IF(NQ382=$BD$67,$BD$67,VALUE(NQ384&amp;NQ385))</f>
        <v>#N/A</v>
      </c>
      <c r="NR386" s="409" t="e">
        <f t="shared" si="333"/>
        <v>#N/A</v>
      </c>
      <c r="NS386" s="409" t="e">
        <f t="shared" si="333"/>
        <v>#N/A</v>
      </c>
      <c r="NT386" s="409" t="e">
        <f t="shared" si="333"/>
        <v>#N/A</v>
      </c>
      <c r="NU386" s="409" t="e">
        <f t="shared" si="333"/>
        <v>#N/A</v>
      </c>
      <c r="NV386" s="409" t="e">
        <f t="shared" si="333"/>
        <v>#N/A</v>
      </c>
      <c r="NW386" s="409" t="e">
        <f t="shared" si="333"/>
        <v>#N/A</v>
      </c>
      <c r="UM386" s="1754"/>
    </row>
    <row r="387" spans="378:559" x14ac:dyDescent="0.2">
      <c r="NN387" s="185"/>
      <c r="NO387" s="185"/>
      <c r="NP387" s="185"/>
      <c r="NQ387" s="185"/>
      <c r="NR387" s="185"/>
      <c r="NS387" s="185"/>
      <c r="NT387" s="185"/>
      <c r="NU387" s="185"/>
      <c r="NV387" s="185"/>
      <c r="NW387" s="185"/>
      <c r="UM387" s="1754"/>
    </row>
    <row r="388" spans="378:559" x14ac:dyDescent="0.2">
      <c r="UM388" s="1754"/>
    </row>
    <row r="389" spans="378:559" x14ac:dyDescent="0.2">
      <c r="NN389" s="185" t="str">
        <f>'Inn sprengning'!F26</f>
        <v>Gjennomgående teoretisk
sprengningsprofil (eks. grøfter)</v>
      </c>
      <c r="NO389" s="185">
        <f>INDEX(checks_sprengning[total_sprengning],MATCH(NO382,checks_sprengning[name],0))</f>
        <v>0</v>
      </c>
      <c r="NP389" s="185" t="e">
        <f>INDEX(checks_sprengning[total_sprengning],MATCH(NP382,checks_sprengning[name],0))</f>
        <v>#N/A</v>
      </c>
      <c r="NQ389" s="185" t="e">
        <f>INDEX(checks_sprengning[total_sprengning],MATCH(NQ382,checks_sprengning[name],0))</f>
        <v>#N/A</v>
      </c>
      <c r="NR389" s="185" t="e">
        <f>INDEX(checks_sprengning[total_sprengning],MATCH(NR382,checks_sprengning[name],0))</f>
        <v>#N/A</v>
      </c>
      <c r="NS389" s="185" t="e">
        <f>INDEX(checks_sprengning[total_sprengning],MATCH(NS382,checks_sprengning[name],0))</f>
        <v>#N/A</v>
      </c>
      <c r="NT389" s="185" t="e">
        <f>INDEX(checks_sprengning[total_sprengning],MATCH(NT382,checks_sprengning[name],0))</f>
        <v>#N/A</v>
      </c>
      <c r="NU389" s="185" t="e">
        <f>INDEX(checks_sprengning[total_sprengning],MATCH(NU382,checks_sprengning[name],0))</f>
        <v>#N/A</v>
      </c>
      <c r="NV389" s="185" t="e">
        <f>INDEX(checks_sprengning[total_sprengning],MATCH(NV382,checks_sprengning[name],0))</f>
        <v>#N/A</v>
      </c>
      <c r="NW389" s="185" t="e">
        <f>INDEX(checks_sprengning[total_sprengning],MATCH(NW382,checks_sprengning[name],0))</f>
        <v>#N/A</v>
      </c>
      <c r="UM389" s="1754"/>
    </row>
    <row r="390" spans="378:559" x14ac:dyDescent="0.2">
      <c r="NN390" s="185" t="str">
        <f>'Inn sprengning'!F32</f>
        <v>Normalsalve</v>
      </c>
      <c r="NO390" s="185">
        <f>IF(AND($NO$386=$NN$434,$NR$434=1,$NT$176=1),1,INDEX(outputs_checks[Normal salve volum],MATCH(NO386,outputs_checks[stuff_id],0)))</f>
        <v>0</v>
      </c>
      <c r="NP390" s="185" t="e">
        <f>INDEX(outputs_checks[Normal salve volum],MATCH(NP386,outputs_checks[stuff_id],0))</f>
        <v>#N/A</v>
      </c>
      <c r="NQ390" s="185" t="e">
        <f>INDEX(outputs_checks[Normal salve volum],MATCH(NQ386,outputs_checks[stuff_id],0))</f>
        <v>#N/A</v>
      </c>
      <c r="NR390" s="185" t="e">
        <f>INDEX(outputs_checks[Normal salve volum],MATCH(NR386,outputs_checks[stuff_id],0))</f>
        <v>#N/A</v>
      </c>
      <c r="NS390" s="185" t="e">
        <f>INDEX(outputs_checks[Normal salve volum],MATCH(NS386,outputs_checks[stuff_id],0))</f>
        <v>#N/A</v>
      </c>
      <c r="NT390" s="185" t="e">
        <f>INDEX(outputs_checks[Normal salve volum],MATCH(NT386,outputs_checks[stuff_id],0))</f>
        <v>#N/A</v>
      </c>
      <c r="NU390" s="185" t="e">
        <f>INDEX(outputs_checks[Normal salve volum],MATCH(NU386,outputs_checks[stuff_id],0))</f>
        <v>#N/A</v>
      </c>
      <c r="NV390" s="185" t="e">
        <f>INDEX(outputs_checks[Normal salve volum],MATCH(NV386,outputs_checks[stuff_id],0))</f>
        <v>#N/A</v>
      </c>
      <c r="NW390" s="185" t="e">
        <f>INDEX(outputs_checks[Normal salve volum],MATCH(NW386,outputs_checks[stuff_id],0))</f>
        <v>#N/A</v>
      </c>
      <c r="UM390" s="1754"/>
    </row>
    <row r="391" spans="378:559" x14ac:dyDescent="0.2">
      <c r="NN391" s="185" t="str">
        <f>'Inn sprengning'!F39</f>
        <v>Fullt tverrsnitt – redusert salvelengde</v>
      </c>
      <c r="NO391" s="185">
        <f>INDEX(inputs_spreng[tick_red],MATCH(NO381,inputs_spreng[Position],0))</f>
        <v>0</v>
      </c>
      <c r="NP391" s="185">
        <f>INDEX(inputs_spreng[tick_red],MATCH(NP381,inputs_spreng[Position],0))</f>
        <v>0</v>
      </c>
      <c r="NQ391" s="185">
        <f>INDEX(inputs_spreng[tick_red],MATCH(NQ381,inputs_spreng[Position],0))</f>
        <v>0</v>
      </c>
      <c r="NR391" s="185">
        <f>INDEX(inputs_spreng[tick_red],MATCH(NR381,inputs_spreng[Position],0))</f>
        <v>0</v>
      </c>
      <c r="NS391" s="185">
        <f>INDEX(inputs_spreng[tick_red],MATCH(NS381,inputs_spreng[Position],0))</f>
        <v>0</v>
      </c>
      <c r="NT391" s="185">
        <f>INDEX(inputs_spreng[tick_red],MATCH(NT381,inputs_spreng[Position],0))</f>
        <v>0</v>
      </c>
      <c r="NU391" s="185">
        <f>INDEX(inputs_spreng[tick_red],MATCH(NU381,inputs_spreng[Position],0))</f>
        <v>0</v>
      </c>
      <c r="NV391" s="185">
        <f>INDEX(inputs_spreng[tick_red],MATCH(NV381,inputs_spreng[Position],0))</f>
        <v>0</v>
      </c>
      <c r="NW391" s="185">
        <f>INDEX(inputs_spreng[tick_red],MATCH(NW381,inputs_spreng[Position],0))</f>
        <v>0</v>
      </c>
      <c r="UM391" s="1754"/>
    </row>
    <row r="392" spans="378:559" x14ac:dyDescent="0.2">
      <c r="NN392" s="185" t="str">
        <f>'Inn sprengning'!F41</f>
        <v>Todelt tverrsnitt – normal salvelengde</v>
      </c>
      <c r="NO392" s="185">
        <f>INDEX(inputs_spreng[tick_todel],MATCH(NO381,inputs_spreng[Position],0))</f>
        <v>0</v>
      </c>
      <c r="NP392" s="185">
        <f>INDEX(inputs_spreng[tick_todel],MATCH(NP381,inputs_spreng[Position],0))</f>
        <v>0</v>
      </c>
      <c r="NQ392" s="185">
        <f>INDEX(inputs_spreng[tick_todel],MATCH(NQ381,inputs_spreng[Position],0))</f>
        <v>0</v>
      </c>
      <c r="NR392" s="185">
        <f>INDEX(inputs_spreng[tick_todel],MATCH(NR381,inputs_spreng[Position],0))</f>
        <v>0</v>
      </c>
      <c r="NS392" s="185">
        <f>INDEX(inputs_spreng[tick_todel],MATCH(NS381,inputs_spreng[Position],0))</f>
        <v>0</v>
      </c>
      <c r="NT392" s="185">
        <f>INDEX(inputs_spreng[tick_todel],MATCH(NT381,inputs_spreng[Position],0))</f>
        <v>0</v>
      </c>
      <c r="NU392" s="185">
        <f>INDEX(inputs_spreng[tick_todel],MATCH(NU381,inputs_spreng[Position],0))</f>
        <v>0</v>
      </c>
      <c r="NV392" s="185">
        <f>INDEX(inputs_spreng[tick_todel],MATCH(NV381,inputs_spreng[Position],0))</f>
        <v>0</v>
      </c>
      <c r="NW392" s="185">
        <f>INDEX(inputs_spreng[tick_todel],MATCH(NW381,inputs_spreng[Position],0))</f>
        <v>0</v>
      </c>
      <c r="UM392" s="1754"/>
    </row>
    <row r="393" spans="378:559" x14ac:dyDescent="0.2">
      <c r="NN393" s="185" t="str">
        <f>'Inn sprengning'!F43</f>
        <v>Todelt tverrsnitt – redusert salvelengde</v>
      </c>
      <c r="NO393" s="185">
        <f>INDEX(inputs_spreng[tick_redtodel],MATCH(NO381,inputs_spreng[Position],0))</f>
        <v>0</v>
      </c>
      <c r="NP393" s="185">
        <f>INDEX(inputs_spreng[tick_redtodel],MATCH(NP381,inputs_spreng[Position],0))</f>
        <v>0</v>
      </c>
      <c r="NQ393" s="185">
        <f>INDEX(inputs_spreng[tick_redtodel],MATCH(NQ381,inputs_spreng[Position],0))</f>
        <v>0</v>
      </c>
      <c r="NR393" s="185">
        <f>INDEX(inputs_spreng[tick_redtodel],MATCH(NR381,inputs_spreng[Position],0))</f>
        <v>0</v>
      </c>
      <c r="NS393" s="185">
        <f>INDEX(inputs_spreng[tick_redtodel],MATCH(NS381,inputs_spreng[Position],0))</f>
        <v>0</v>
      </c>
      <c r="NT393" s="185">
        <f>INDEX(inputs_spreng[tick_redtodel],MATCH(NT381,inputs_spreng[Position],0))</f>
        <v>0</v>
      </c>
      <c r="NU393" s="185">
        <f>INDEX(inputs_spreng[tick_redtodel],MATCH(NU381,inputs_spreng[Position],0))</f>
        <v>0</v>
      </c>
      <c r="NV393" s="185">
        <f>INDEX(inputs_spreng[tick_redtodel],MATCH(NV381,inputs_spreng[Position],0))</f>
        <v>0</v>
      </c>
      <c r="NW393" s="185">
        <f>INDEX(inputs_spreng[tick_redtodel],MATCH(NW381,inputs_spreng[Position],0))</f>
        <v>0</v>
      </c>
      <c r="UM393" s="1754"/>
    </row>
    <row r="394" spans="378:559" x14ac:dyDescent="0.2">
      <c r="UM394" s="1754"/>
    </row>
    <row r="395" spans="378:559" x14ac:dyDescent="0.2">
      <c r="UM395" s="1754"/>
    </row>
    <row r="396" spans="378:559" x14ac:dyDescent="0.2">
      <c r="UM396" s="1754"/>
    </row>
    <row r="397" spans="378:559" x14ac:dyDescent="0.2">
      <c r="UM397" s="1754"/>
    </row>
    <row r="398" spans="378:559" x14ac:dyDescent="0.2">
      <c r="UM398" s="1754"/>
    </row>
    <row r="399" spans="378:559" x14ac:dyDescent="0.2">
      <c r="UM399" s="1754"/>
    </row>
    <row r="400" spans="378:559" x14ac:dyDescent="0.2">
      <c r="UM400" s="1754"/>
    </row>
    <row r="401" spans="376:559" x14ac:dyDescent="0.2">
      <c r="UM401" s="1754"/>
    </row>
    <row r="402" spans="376:559" x14ac:dyDescent="0.2">
      <c r="UM402" s="1754"/>
    </row>
    <row r="403" spans="376:559" x14ac:dyDescent="0.2">
      <c r="NL403" s="2617"/>
      <c r="NM403" s="2617"/>
      <c r="NN403" s="2617"/>
      <c r="NO403" s="2617"/>
      <c r="NP403" s="2617"/>
      <c r="UM403" s="1754"/>
    </row>
    <row r="404" spans="376:559" x14ac:dyDescent="0.2">
      <c r="NL404" s="2617"/>
      <c r="NM404" s="2617"/>
      <c r="NN404" s="2617"/>
      <c r="NO404" s="2617"/>
      <c r="NP404" s="2617"/>
      <c r="UM404" s="1754"/>
    </row>
    <row r="405" spans="376:559" x14ac:dyDescent="0.2">
      <c r="NL405" s="2617"/>
      <c r="NM405" s="2617"/>
      <c r="NN405" s="2617"/>
      <c r="NO405" s="2617"/>
      <c r="NP405" s="2617"/>
      <c r="UM405" s="1754"/>
    </row>
    <row r="406" spans="376:559" x14ac:dyDescent="0.2">
      <c r="NL406" s="2617"/>
      <c r="NM406" s="2617"/>
      <c r="NN406" s="2617"/>
      <c r="NO406" s="2617"/>
      <c r="NP406" s="2617"/>
      <c r="UM406" s="1754"/>
    </row>
    <row r="407" spans="376:559" x14ac:dyDescent="0.2">
      <c r="NL407" s="2617"/>
      <c r="NM407" s="2617"/>
      <c r="NN407" s="2617"/>
      <c r="NO407" s="2617"/>
      <c r="NP407" s="2617"/>
      <c r="UM407" s="1754"/>
    </row>
    <row r="408" spans="376:559" x14ac:dyDescent="0.2">
      <c r="NL408" s="2617"/>
      <c r="NM408" s="2617"/>
      <c r="NN408" s="2617"/>
      <c r="NO408" s="2617"/>
      <c r="NP408" s="2617"/>
      <c r="UM408" s="1754"/>
    </row>
    <row r="409" spans="376:559" x14ac:dyDescent="0.2">
      <c r="NL409" s="2617"/>
      <c r="NM409" s="2617"/>
      <c r="NN409" s="2617"/>
      <c r="NO409" s="2617"/>
      <c r="UM409" s="1754"/>
    </row>
    <row r="410" spans="376:559" x14ac:dyDescent="0.2">
      <c r="NL410" s="2617"/>
      <c r="NM410" s="184"/>
      <c r="NN410" s="184"/>
      <c r="NO410" s="184"/>
      <c r="NP410" s="184"/>
      <c r="NQ410" s="184"/>
      <c r="NR410" s="2970" t="s">
        <v>720</v>
      </c>
      <c r="NS410" s="184"/>
      <c r="NT410" s="184"/>
      <c r="NU410" s="184"/>
      <c r="UM410" s="1754"/>
    </row>
    <row r="411" spans="376:559" x14ac:dyDescent="0.2">
      <c r="NM411" s="184"/>
      <c r="NN411" s="265" t="s">
        <v>712</v>
      </c>
      <c r="NO411" s="184"/>
      <c r="NP411" s="184"/>
      <c r="NQ411" s="184"/>
      <c r="NR411" s="184"/>
      <c r="NS411" s="184"/>
      <c r="NT411" s="184"/>
      <c r="NU411" s="184"/>
      <c r="UM411" s="1754"/>
    </row>
    <row r="412" spans="376:559" x14ac:dyDescent="0.2">
      <c r="NM412" s="184"/>
      <c r="NN412" s="206"/>
      <c r="NO412" s="199" t="s">
        <v>247</v>
      </c>
      <c r="NP412" s="199" t="s">
        <v>167</v>
      </c>
      <c r="NQ412" s="199" t="s">
        <v>718</v>
      </c>
      <c r="NR412" s="199" t="s">
        <v>719</v>
      </c>
      <c r="NS412" s="199" t="s">
        <v>722</v>
      </c>
      <c r="NT412" s="184"/>
      <c r="NU412" s="184"/>
      <c r="UM412" s="1754"/>
    </row>
    <row r="413" spans="376:559" x14ac:dyDescent="0.2">
      <c r="NM413" s="184"/>
      <c r="NN413" s="206" t="s">
        <v>327</v>
      </c>
      <c r="NO413" s="209">
        <f>Prosjektinfo!$Q$83</f>
        <v>0</v>
      </c>
      <c r="NP413" s="209" t="str">
        <f>Prosjektinfo!$AE$59</f>
        <v/>
      </c>
      <c r="NQ413" s="199">
        <f>IF(AND(NO413&gt;0,NP413&gt;0),1,0)</f>
        <v>0</v>
      </c>
      <c r="NR413" s="199">
        <f>IF(OR(AND($BC$33=2,$NQ$413+$NQ$414=2),AND($BC$33=1,$NQ$413=1)),1,0)</f>
        <v>0</v>
      </c>
      <c r="NS413" s="199">
        <f>INDEX(checks_heleløp_sprengning[check],MATCH(BC35,checks_heleløp_sprengning[config],0))</f>
        <v>0</v>
      </c>
      <c r="NT413" s="184"/>
      <c r="NU413" s="184"/>
      <c r="UM413" s="1754"/>
    </row>
    <row r="414" spans="376:559" x14ac:dyDescent="0.2">
      <c r="NM414" s="184"/>
      <c r="NN414" s="206" t="s">
        <v>497</v>
      </c>
      <c r="NO414" s="209">
        <f>Prosjektinfo!$Q$90</f>
        <v>0</v>
      </c>
      <c r="NP414" s="209" t="str">
        <f>Prosjektinfo!$AE$59</f>
        <v/>
      </c>
      <c r="NQ414" s="199">
        <f>IF(AND(NO414&gt;0,NP414&gt;0),1,0)</f>
        <v>0</v>
      </c>
      <c r="NR414" s="199"/>
      <c r="NS414" s="199"/>
      <c r="NT414" s="184"/>
      <c r="NU414" s="184"/>
      <c r="UM414" s="1754"/>
    </row>
    <row r="415" spans="376:559" x14ac:dyDescent="0.2">
      <c r="NM415" s="184"/>
      <c r="NN415" s="265"/>
      <c r="NO415" s="184"/>
      <c r="NP415" s="184"/>
      <c r="NQ415" s="184"/>
      <c r="NR415" s="184"/>
      <c r="NS415" s="184"/>
      <c r="NT415" s="184"/>
      <c r="NU415" s="184"/>
      <c r="UM415" s="1754"/>
    </row>
    <row r="416" spans="376:559" x14ac:dyDescent="0.2">
      <c r="NM416" s="184"/>
      <c r="NS416" s="184"/>
      <c r="NT416" s="184"/>
      <c r="NU416" s="184"/>
      <c r="UM416" s="1754"/>
    </row>
    <row r="417" spans="377:559" x14ac:dyDescent="0.2">
      <c r="NM417" s="184"/>
      <c r="NS417" s="184"/>
      <c r="NT417" s="184"/>
      <c r="NU417" s="184"/>
      <c r="UM417" s="1754"/>
    </row>
    <row r="418" spans="377:559" x14ac:dyDescent="0.2">
      <c r="NM418" s="184"/>
      <c r="NS418" s="184"/>
      <c r="NT418" s="184"/>
      <c r="NU418" s="184"/>
      <c r="UM418" s="1754"/>
    </row>
    <row r="419" spans="377:559" ht="30.75" x14ac:dyDescent="0.2">
      <c r="NM419" s="184"/>
      <c r="NN419" s="468" t="s">
        <v>728</v>
      </c>
      <c r="NS419" s="184"/>
      <c r="NT419" s="184"/>
      <c r="NU419" s="184"/>
      <c r="UM419" s="1754"/>
    </row>
    <row r="420" spans="377:559" x14ac:dyDescent="0.2">
      <c r="NM420" s="184"/>
      <c r="NS420" s="184"/>
      <c r="NT420" s="184"/>
      <c r="NU420" s="184"/>
      <c r="UM420" s="1754"/>
    </row>
    <row r="421" spans="377:559" x14ac:dyDescent="0.2">
      <c r="NM421" s="184"/>
      <c r="NN421" s="2970" t="s">
        <v>729</v>
      </c>
      <c r="NS421" s="184"/>
      <c r="NT421" s="184"/>
      <c r="NU421" s="184"/>
      <c r="UM421" s="1754"/>
    </row>
    <row r="422" spans="377:559" x14ac:dyDescent="0.2">
      <c r="NM422" s="184"/>
      <c r="NR422" s="2970" t="s">
        <v>721</v>
      </c>
      <c r="NS422" s="184"/>
      <c r="NT422" s="184"/>
      <c r="NU422" s="184"/>
      <c r="UM422" s="1754"/>
    </row>
    <row r="423" spans="377:559" x14ac:dyDescent="0.2">
      <c r="NM423" s="184"/>
      <c r="NS423" s="184"/>
      <c r="NT423" s="184"/>
      <c r="NU423" s="184"/>
      <c r="UM423" s="1754"/>
    </row>
    <row r="424" spans="377:559" x14ac:dyDescent="0.2">
      <c r="NM424" s="184"/>
      <c r="NN424" s="447" t="s">
        <v>428</v>
      </c>
      <c r="NO424" s="248" t="s">
        <v>247</v>
      </c>
      <c r="NP424" s="248" t="s">
        <v>714</v>
      </c>
      <c r="NQ424" s="248" t="s">
        <v>718</v>
      </c>
      <c r="NR424" s="248" t="s">
        <v>644</v>
      </c>
      <c r="NS424" s="184" t="s">
        <v>432</v>
      </c>
      <c r="NT424" s="184"/>
      <c r="NU424" s="184"/>
      <c r="UM424" s="1754"/>
    </row>
    <row r="425" spans="377:559" x14ac:dyDescent="0.2">
      <c r="NM425" s="184"/>
      <c r="NN425" s="1687" t="str">
        <f t="shared" ref="NN425:NN433" si="334">NN19</f>
        <v>Stuff 1-1</v>
      </c>
      <c r="NO425" s="199">
        <f>Tunneldrift!B150</f>
        <v>0</v>
      </c>
      <c r="NP425" s="199" t="str">
        <f>Prosjektinfo!$AE$59</f>
        <v/>
      </c>
      <c r="NQ425" s="199">
        <f>IF(AND(NO425&gt;0,NP425&gt;0,NP425&lt;&gt;""),1,0)</f>
        <v>0</v>
      </c>
      <c r="NR425" s="199">
        <f>IF(AND($NQ$413=1,NQ425=1),1,0)</f>
        <v>0</v>
      </c>
      <c r="NS425" s="184" t="e" cm="1">
        <f t="array" ref="NS425">IF</f>
        <v>#NAME?</v>
      </c>
      <c r="NT425" s="184"/>
      <c r="NU425" s="184"/>
      <c r="UM425" s="1754"/>
    </row>
    <row r="426" spans="377:559" x14ac:dyDescent="0.2">
      <c r="NM426" s="184"/>
      <c r="NN426" s="1687" t="str">
        <f t="shared" si="334"/>
        <v>Stuff 1-2</v>
      </c>
      <c r="NO426" s="199">
        <f>Tunneldrift!D150</f>
        <v>0</v>
      </c>
      <c r="NP426" s="199" t="str">
        <f>Prosjektinfo!$AE$59</f>
        <v/>
      </c>
      <c r="NQ426" s="199">
        <f>IF(AND(NO426&gt;0,NP426&gt;0,NP426&lt;&gt;"",checks_sprengning[[#This Row],[length]]&lt;$BH$32),1,0)</f>
        <v>0</v>
      </c>
      <c r="NR426" s="199">
        <f>IF(AND($NQ$413=1,NQ426=1),1,0)</f>
        <v>0</v>
      </c>
      <c r="NS426" s="184"/>
      <c r="NT426" s="184"/>
      <c r="NU426" s="184"/>
      <c r="UM426" s="1754"/>
    </row>
    <row r="427" spans="377:559" x14ac:dyDescent="0.2">
      <c r="NM427" s="184"/>
      <c r="NN427" s="1687" t="str">
        <f t="shared" si="334"/>
        <v>Stuff 1-3</v>
      </c>
      <c r="NO427" s="199">
        <f>Tunneldrift!E150</f>
        <v>0</v>
      </c>
      <c r="NP427" s="199" t="str">
        <f>Prosjektinfo!$AE$59</f>
        <v/>
      </c>
      <c r="NQ427" s="199">
        <f>IF(AND(NO427&gt;0,NP427&gt;0,checks_sprengning[[#This Row],[area]]&lt;&gt;"",checks_sprengning[[#This Row],[length]]&lt;$BH$32),1,0)</f>
        <v>0</v>
      </c>
      <c r="NR427" s="199">
        <f>IF(AND($NQ$413=1,NQ427=1),1,0)</f>
        <v>0</v>
      </c>
      <c r="NS427" s="184"/>
      <c r="NT427" s="184"/>
      <c r="NU427" s="184"/>
      <c r="UM427" s="1754"/>
    </row>
    <row r="428" spans="377:559" x14ac:dyDescent="0.2">
      <c r="NM428" s="184"/>
      <c r="NN428" s="1687" t="str">
        <f t="shared" si="334"/>
        <v>Stuff 1-4</v>
      </c>
      <c r="NO428" s="199">
        <f>Tunneldrift!F150</f>
        <v>0</v>
      </c>
      <c r="NP428" s="199" t="str">
        <f>Prosjektinfo!$AE$59</f>
        <v/>
      </c>
      <c r="NQ428" s="199">
        <f>IF(AND(NO428&gt;0,NP428&gt;0,checks_sprengning[[#This Row],[area]]&lt;&gt;"",checks_sprengning[[#This Row],[length]]&lt;$BH$32),1,0)</f>
        <v>0</v>
      </c>
      <c r="NR428" s="199">
        <f>IF(AND($NQ$413=1,NQ428=1),1,0)</f>
        <v>0</v>
      </c>
      <c r="NS428" s="184"/>
      <c r="NT428" s="184"/>
      <c r="NU428" s="184"/>
      <c r="UM428" s="1754"/>
    </row>
    <row r="429" spans="377:559" x14ac:dyDescent="0.2">
      <c r="NM429" s="184"/>
      <c r="NN429" s="1687" t="str">
        <f t="shared" si="334"/>
        <v>Stuff 2-1</v>
      </c>
      <c r="NO429" s="199">
        <f>Tunneldrift!B176</f>
        <v>0</v>
      </c>
      <c r="NP429" s="199" t="str">
        <f>Prosjektinfo!$AE$59</f>
        <v/>
      </c>
      <c r="NQ429" s="199">
        <f>IF(AND(NO429&gt;0,NP429&gt;0,checks_sprengning[[#This Row],[area]]&lt;&gt;""),1,0)</f>
        <v>0</v>
      </c>
      <c r="NR429" s="199">
        <f>IF(AND($NQ$414=1,NQ429=1),1,0)</f>
        <v>0</v>
      </c>
      <c r="NS429" s="184"/>
      <c r="NT429" s="184"/>
      <c r="NU429" s="184"/>
      <c r="UM429" s="1754"/>
    </row>
    <row r="430" spans="377:559" x14ac:dyDescent="0.2">
      <c r="NM430" s="184"/>
      <c r="NN430" s="1687" t="str">
        <f t="shared" si="334"/>
        <v>Stuff 2-2</v>
      </c>
      <c r="NO430" s="199">
        <f>Tunneldrift!D176</f>
        <v>0</v>
      </c>
      <c r="NP430" s="199" t="str">
        <f>Prosjektinfo!$AE$59</f>
        <v/>
      </c>
      <c r="NQ430" s="199">
        <f>IF(AND(NO430&gt;0,NP430&gt;0,checks_sprengning[[#This Row],[area]]&lt;&gt;"",checks_sprengning[[#This Row],[length]]&lt;$BH$33),1,0)</f>
        <v>0</v>
      </c>
      <c r="NR430" s="199">
        <f>IF(AND($NQ$414=1,NQ430=1),1,0)</f>
        <v>0</v>
      </c>
      <c r="NS430" s="184"/>
      <c r="NT430" s="184"/>
      <c r="NU430" s="184"/>
      <c r="UM430" s="1754"/>
    </row>
    <row r="431" spans="377:559" x14ac:dyDescent="0.2">
      <c r="NM431" s="184"/>
      <c r="NN431" s="1687" t="str">
        <f t="shared" si="334"/>
        <v>Stuff 2-3</v>
      </c>
      <c r="NO431" s="199">
        <f>Tunneldrift!E176</f>
        <v>0</v>
      </c>
      <c r="NP431" s="199" t="str">
        <f>Prosjektinfo!$AE$59</f>
        <v/>
      </c>
      <c r="NQ431" s="199">
        <f>IF(AND(NO431&gt;0,NP431&gt;0,checks_sprengning[[#This Row],[area]]&lt;&gt;"",checks_sprengning[[#This Row],[length]]&lt;$BH$33),1,0)</f>
        <v>0</v>
      </c>
      <c r="NR431" s="199">
        <f>IF(AND($NQ$414=1,NQ431=1),1,0)</f>
        <v>0</v>
      </c>
      <c r="NS431" s="184"/>
      <c r="NT431" s="184"/>
      <c r="NU431" s="184"/>
      <c r="UM431" s="1754"/>
    </row>
    <row r="432" spans="377:559" x14ac:dyDescent="0.2">
      <c r="NM432" s="184"/>
      <c r="NN432" s="1687" t="str">
        <f t="shared" si="334"/>
        <v>Stuff 2-4</v>
      </c>
      <c r="NO432" s="199">
        <f>Tunneldrift!F176</f>
        <v>0</v>
      </c>
      <c r="NP432" s="199" t="str">
        <f>Prosjektinfo!$AE$59</f>
        <v/>
      </c>
      <c r="NQ432" s="199">
        <f>IF(AND(NO432&gt;0,NP432&gt;0,checks_sprengning[[#This Row],[area]]&lt;&gt;"",checks_sprengning[[#This Row],[length]]&lt;$BH$33),1,0)</f>
        <v>0</v>
      </c>
      <c r="NR432" s="199">
        <f>IF(AND($NQ$414=1,NQ432=1),1,0)</f>
        <v>0</v>
      </c>
      <c r="NS432" s="184"/>
      <c r="NT432" s="184"/>
      <c r="NU432" s="184"/>
      <c r="UM432" s="1754"/>
    </row>
    <row r="433" spans="377:559" x14ac:dyDescent="0.2">
      <c r="NM433" s="184"/>
      <c r="NN433" s="1687" t="str">
        <f t="shared" si="334"/>
        <v>Tverrslag</v>
      </c>
      <c r="NO433" s="199">
        <f>Tunneldrift!$F$87</f>
        <v>0</v>
      </c>
      <c r="NP433" s="199" t="str">
        <f>Tunneldrift!$F$66</f>
        <v/>
      </c>
      <c r="NQ433" s="199">
        <f>IF(AND(NO433&gt;0,NP433&gt;0,checks_sprengning[[#This Row],[area]]&lt;&gt;""),1,0)</f>
        <v>0</v>
      </c>
      <c r="NR433" s="199">
        <f>NQ433</f>
        <v>0</v>
      </c>
      <c r="NS433" s="184"/>
      <c r="NT433" s="184"/>
      <c r="NU433" s="184"/>
      <c r="UM433" s="1754"/>
    </row>
    <row r="434" spans="377:559" x14ac:dyDescent="0.2">
      <c r="NM434" s="184"/>
      <c r="NN434" s="206" t="str">
        <f>$K$89</f>
        <v>Hele tunnelen</v>
      </c>
      <c r="NO434" s="199"/>
      <c r="NP434" s="199"/>
      <c r="NQ434" s="199"/>
      <c r="NR434" s="199">
        <f>NS413</f>
        <v>0</v>
      </c>
      <c r="NS434" s="184"/>
      <c r="NT434" s="184"/>
      <c r="NU434" s="184"/>
      <c r="UM434" s="1754"/>
    </row>
    <row r="435" spans="377:559" x14ac:dyDescent="0.2">
      <c r="NM435" s="184"/>
      <c r="NR435" s="184"/>
      <c r="NS435" s="184"/>
      <c r="NT435" s="184"/>
      <c r="NU435" s="184"/>
      <c r="UM435" s="1754"/>
    </row>
    <row r="436" spans="377:559" x14ac:dyDescent="0.2">
      <c r="NM436" s="184"/>
      <c r="NR436" s="184"/>
      <c r="NS436" s="184"/>
      <c r="NT436" s="184"/>
      <c r="NU436" s="184"/>
      <c r="UM436" s="1754"/>
    </row>
    <row r="437" spans="377:559" ht="30.75" x14ac:dyDescent="0.2">
      <c r="NN437" s="468" t="s">
        <v>726</v>
      </c>
      <c r="NR437" s="184"/>
      <c r="UM437" s="1754"/>
    </row>
    <row r="438" spans="377:559" x14ac:dyDescent="0.2">
      <c r="NR438" s="184"/>
    </row>
    <row r="439" spans="377:559" x14ac:dyDescent="0.2">
      <c r="NN439" s="2970" t="s">
        <v>725</v>
      </c>
    </row>
    <row r="441" spans="377:559" x14ac:dyDescent="0.2">
      <c r="NN441" s="1688" t="s">
        <v>199</v>
      </c>
      <c r="NO441" s="248" t="s">
        <v>723</v>
      </c>
      <c r="NP441" s="248" t="s">
        <v>724</v>
      </c>
      <c r="NQ441" s="250" t="s">
        <v>692</v>
      </c>
    </row>
    <row r="442" spans="377:559" x14ac:dyDescent="0.2">
      <c r="NN442" s="384">
        <v>11</v>
      </c>
      <c r="NO442" s="199">
        <f>NR425</f>
        <v>0</v>
      </c>
      <c r="NP442" s="199">
        <v>1</v>
      </c>
      <c r="NQ442" s="236">
        <f>IF(NO442&lt;&gt;NP442,0,IF(NO442=NP442,1,0))</f>
        <v>0</v>
      </c>
    </row>
    <row r="443" spans="377:559" x14ac:dyDescent="0.2">
      <c r="NN443" s="384">
        <v>12</v>
      </c>
      <c r="NO443" s="199">
        <f>NR425+NR426</f>
        <v>0</v>
      </c>
      <c r="NP443" s="199">
        <v>2</v>
      </c>
      <c r="NQ443" s="236">
        <f t="shared" ref="NQ443:NQ449" si="335">IF(NO443&lt;&gt;NP443,0,IF(NO443=NP443,1,0))</f>
        <v>0</v>
      </c>
    </row>
    <row r="444" spans="377:559" x14ac:dyDescent="0.2">
      <c r="NN444" s="384">
        <v>13</v>
      </c>
      <c r="NO444" s="199">
        <f>NR425+NR426+NR427</f>
        <v>0</v>
      </c>
      <c r="NP444" s="199">
        <v>3</v>
      </c>
      <c r="NQ444" s="236">
        <f t="shared" si="335"/>
        <v>0</v>
      </c>
    </row>
    <row r="445" spans="377:559" x14ac:dyDescent="0.2">
      <c r="NN445" s="384">
        <v>14</v>
      </c>
      <c r="NO445" s="199">
        <f>NR425+NR426+NR427+NR428</f>
        <v>0</v>
      </c>
      <c r="NP445" s="199">
        <v>4</v>
      </c>
      <c r="NQ445" s="236">
        <f t="shared" si="335"/>
        <v>0</v>
      </c>
    </row>
    <row r="446" spans="377:559" x14ac:dyDescent="0.2">
      <c r="NN446" s="384">
        <v>22</v>
      </c>
      <c r="NO446" s="199">
        <f>NR425+NR429</f>
        <v>0</v>
      </c>
      <c r="NP446" s="199">
        <v>2</v>
      </c>
      <c r="NQ446" s="236">
        <f t="shared" si="335"/>
        <v>0</v>
      </c>
    </row>
    <row r="447" spans="377:559" x14ac:dyDescent="0.2">
      <c r="NN447" s="384">
        <v>24</v>
      </c>
      <c r="NO447" s="199">
        <f>NR425+NR426+NR429+NR430</f>
        <v>0</v>
      </c>
      <c r="NP447" s="199">
        <v>4</v>
      </c>
      <c r="NQ447" s="236">
        <f t="shared" si="335"/>
        <v>0</v>
      </c>
    </row>
    <row r="448" spans="377:559" x14ac:dyDescent="0.2">
      <c r="NN448" s="235">
        <v>26</v>
      </c>
      <c r="NO448" s="185">
        <f>NR425+NR426+NR427+NR429+NR430+NR431</f>
        <v>0</v>
      </c>
      <c r="NP448" s="185">
        <v>6</v>
      </c>
      <c r="NQ448" s="236">
        <f t="shared" si="335"/>
        <v>0</v>
      </c>
    </row>
    <row r="449" spans="377:381" x14ac:dyDescent="0.2">
      <c r="NM449" s="2617"/>
      <c r="NN449" s="303">
        <v>28</v>
      </c>
      <c r="NO449" s="246">
        <f>NR425+NR426+NR427+NR428+NR429+NR430+NR431+NR432</f>
        <v>0</v>
      </c>
      <c r="NP449" s="246">
        <v>8</v>
      </c>
      <c r="NQ449" s="1689">
        <f t="shared" si="335"/>
        <v>0</v>
      </c>
    </row>
    <row r="450" spans="377:381" x14ac:dyDescent="0.2">
      <c r="NM450" s="2617"/>
    </row>
    <row r="452" spans="377:381" x14ac:dyDescent="0.2">
      <c r="NN452" s="2617"/>
      <c r="NO452" s="2617"/>
    </row>
    <row r="454" spans="377:381" ht="30.75" x14ac:dyDescent="0.2">
      <c r="NN454" s="468" t="s">
        <v>716</v>
      </c>
      <c r="NO454" s="2617"/>
    </row>
    <row r="459" spans="377:381" x14ac:dyDescent="0.2">
      <c r="NM459" s="372" t="s">
        <v>257</v>
      </c>
      <c r="NN459" s="451" t="s">
        <v>560</v>
      </c>
      <c r="NO459" s="451" t="s">
        <v>672</v>
      </c>
      <c r="NP459" s="393" t="s">
        <v>285</v>
      </c>
    </row>
    <row r="460" spans="377:381" x14ac:dyDescent="0.2">
      <c r="NM460" s="340" t="str">
        <f>$NO$67</f>
        <v>Stuff 1-1</v>
      </c>
      <c r="NN460" s="451">
        <v>12</v>
      </c>
      <c r="NO460" s="393">
        <f>IF($BC$38=2,INDEX(outputs_position[11],MATCH($BC$35,outputs_position[lopstuff],0)),0)</f>
        <v>1</v>
      </c>
      <c r="NP460" s="393">
        <f>IF($BC$38=2,INDEX(outputs_position[11],MATCH($BC$35,outputs_position[lopstuff],0)),0)</f>
        <v>1</v>
      </c>
    </row>
    <row r="461" spans="377:381" x14ac:dyDescent="0.2">
      <c r="NM461" s="340" t="str">
        <f>$NO$68</f>
        <v>Stuff 1-2</v>
      </c>
      <c r="NN461" s="451">
        <v>22</v>
      </c>
      <c r="NO461" s="393">
        <f>IF($BC$38=2,INDEX(outputs_position[12],MATCH($BC$35,outputs_position[lopstuff],0)),0)</f>
        <v>0</v>
      </c>
      <c r="NP461" s="393">
        <f>IF($BC$38=2,INDEX(outputs_position[12],MATCH($BC$35,outputs_position[lopstuff],0)),0)</f>
        <v>0</v>
      </c>
    </row>
    <row r="462" spans="377:381" x14ac:dyDescent="0.2">
      <c r="NM462" s="340" t="str">
        <f>$NO$69</f>
        <v>Stuff 1-3</v>
      </c>
      <c r="NN462" s="451">
        <v>32</v>
      </c>
      <c r="NO462" s="393">
        <f>IF($BC$38=2,INDEX(outputs_position[13],MATCH($BC$35,outputs_position[lopstuff],0)),0)</f>
        <v>0</v>
      </c>
      <c r="NP462" s="393">
        <f>IF($BC$38=2,INDEX(outputs_position[13],MATCH($BC$35,outputs_position[lopstuff],0)),0)</f>
        <v>0</v>
      </c>
    </row>
    <row r="463" spans="377:381" x14ac:dyDescent="0.2">
      <c r="NM463" s="340" t="str">
        <f>$NO$70</f>
        <v>Stuff 1-4</v>
      </c>
      <c r="NN463" s="451">
        <v>42</v>
      </c>
      <c r="NO463" s="393">
        <f>IF($BC$38=2,INDEX(outputs_position[14],MATCH($BC$35,outputs_position[lopstuff],0)),0)</f>
        <v>0</v>
      </c>
      <c r="NP463" s="393">
        <f>IF($BC$38=2,INDEX(outputs_position[14],MATCH($BC$35,outputs_position[lopstuff],0)),0)</f>
        <v>0</v>
      </c>
    </row>
    <row r="464" spans="377:381" x14ac:dyDescent="0.2">
      <c r="NM464" s="340" t="str">
        <f>$NO$71</f>
        <v>Stuff 2-1</v>
      </c>
      <c r="NN464" s="451">
        <v>52</v>
      </c>
      <c r="NO464" s="393">
        <f>IF($BC$38=2,INDEX(outputs_position[21],MATCH($BC$35,outputs_position[lopstuff],0)),0)</f>
        <v>0</v>
      </c>
      <c r="NP464" s="393">
        <f>IF($BC$38=2,INDEX(outputs_position[21],MATCH($BC$35,outputs_position[lopstuff],0)),0)</f>
        <v>0</v>
      </c>
    </row>
    <row r="465" spans="377:380" x14ac:dyDescent="0.2">
      <c r="NM465" s="340" t="str">
        <f>$NO$72</f>
        <v>Stuff 2-2</v>
      </c>
      <c r="NN465" s="451">
        <v>62</v>
      </c>
      <c r="NO465" s="393">
        <f>IF($BC$38=2,INDEX(outputs_position[22],MATCH($BC$35,outputs_position[lopstuff],0)),0)</f>
        <v>0</v>
      </c>
      <c r="NP465" s="393">
        <f>IF($BC$38=2,INDEX(outputs_position[22],MATCH($BC$35,outputs_position[lopstuff],0)),0)</f>
        <v>0</v>
      </c>
    </row>
    <row r="466" spans="377:380" x14ac:dyDescent="0.2">
      <c r="NM466" s="340" t="str">
        <f>$NO$73</f>
        <v>Stuff 2-3</v>
      </c>
      <c r="NN466" s="451">
        <v>72</v>
      </c>
      <c r="NO466" s="393">
        <f>IF($BC$38=2,INDEX(outputs_position[23],MATCH($BC$35,outputs_position[lopstuff],0)),0)</f>
        <v>0</v>
      </c>
      <c r="NP466" s="393">
        <f>IF($BC$38=2,INDEX(outputs_position[23],MATCH($BC$35,outputs_position[lopstuff],0)),0)</f>
        <v>0</v>
      </c>
    </row>
    <row r="467" spans="377:380" x14ac:dyDescent="0.2">
      <c r="NM467" s="340" t="str">
        <f>$NO$74</f>
        <v>Stuff 2-4</v>
      </c>
      <c r="NN467" s="451">
        <v>82</v>
      </c>
      <c r="NO467" s="393">
        <f>IF($BC$38=2,INDEX(outputs_position[24],MATCH($BC$35,outputs_position[lopstuff],0)),0)</f>
        <v>0</v>
      </c>
      <c r="NP467" s="393">
        <f>IF($BC$38=2,INDEX(outputs_position[24],MATCH($BC$35,outputs_position[lopstuff],0)),0)</f>
        <v>0</v>
      </c>
    </row>
    <row r="468" spans="377:380" x14ac:dyDescent="0.2">
      <c r="NM468" s="223" t="s">
        <v>258</v>
      </c>
      <c r="NN468" s="451">
        <v>92</v>
      </c>
      <c r="NO468" s="393">
        <f>IF($BC$38=2,INDEX(outputs_position[Tverrslag],MATCH($BC$35,outputs_position[lopstuff],0)),0)</f>
        <v>0</v>
      </c>
      <c r="NP468" s="393">
        <f>IF($BC$38=2,INDEX(outputs_position[Tverrslag],MATCH($BC$35,outputs_position[lopstuff],0)),0)</f>
        <v>0</v>
      </c>
    </row>
    <row r="469" spans="377:380" x14ac:dyDescent="0.2">
      <c r="NM469" s="340" t="str">
        <f t="shared" ref="NM469:NM477" si="336">NM460</f>
        <v>Stuff 1-1</v>
      </c>
      <c r="NN469" s="451">
        <v>11</v>
      </c>
      <c r="NO469" s="451">
        <f t="shared" ref="NO469:NO476" si="337">IF($BC$38=1,1,0)</f>
        <v>0</v>
      </c>
      <c r="NP469" s="393">
        <f>IF($BC$38=1,INDEX(outputs_position[11],MATCH($BC$35,outputs_position[lopstuff],0)),0)</f>
        <v>0</v>
      </c>
    </row>
    <row r="470" spans="377:380" x14ac:dyDescent="0.2">
      <c r="NM470" s="340" t="str">
        <f t="shared" si="336"/>
        <v>Stuff 1-2</v>
      </c>
      <c r="NN470" s="451">
        <v>21</v>
      </c>
      <c r="NO470" s="451">
        <f t="shared" si="337"/>
        <v>0</v>
      </c>
      <c r="NP470" s="393">
        <f>IF($BC$38=1,INDEX(outputs_position[12],MATCH($BC$35,outputs_position[lopstuff],0)),0)</f>
        <v>0</v>
      </c>
    </row>
    <row r="471" spans="377:380" x14ac:dyDescent="0.2">
      <c r="NM471" s="340" t="str">
        <f t="shared" si="336"/>
        <v>Stuff 1-3</v>
      </c>
      <c r="NN471" s="451">
        <v>31</v>
      </c>
      <c r="NO471" s="451">
        <f t="shared" si="337"/>
        <v>0</v>
      </c>
      <c r="NP471" s="393">
        <f>IF($BC$38=1,INDEX(outputs_position[13],MATCH($BC$35,outputs_position[lopstuff],0)),0)</f>
        <v>0</v>
      </c>
    </row>
    <row r="472" spans="377:380" x14ac:dyDescent="0.2">
      <c r="NM472" s="340" t="str">
        <f t="shared" si="336"/>
        <v>Stuff 1-4</v>
      </c>
      <c r="NN472" s="451">
        <v>41</v>
      </c>
      <c r="NO472" s="451">
        <f t="shared" si="337"/>
        <v>0</v>
      </c>
      <c r="NP472" s="393">
        <f>IF($BC$38=1,INDEX(outputs_position[14],MATCH($BC$35,outputs_position[lopstuff],0)),0)</f>
        <v>0</v>
      </c>
    </row>
    <row r="473" spans="377:380" x14ac:dyDescent="0.2">
      <c r="NM473" s="340" t="str">
        <f t="shared" si="336"/>
        <v>Stuff 2-1</v>
      </c>
      <c r="NN473" s="451">
        <v>51</v>
      </c>
      <c r="NO473" s="451">
        <f t="shared" si="337"/>
        <v>0</v>
      </c>
      <c r="NP473" s="393">
        <f>IF($BC$38=1,INDEX(outputs_position[21],MATCH($BC$35,outputs_position[lopstuff],0)),0)</f>
        <v>0</v>
      </c>
    </row>
    <row r="474" spans="377:380" x14ac:dyDescent="0.2">
      <c r="NM474" s="340" t="str">
        <f t="shared" si="336"/>
        <v>Stuff 2-2</v>
      </c>
      <c r="NN474" s="451">
        <v>61</v>
      </c>
      <c r="NO474" s="451">
        <f t="shared" si="337"/>
        <v>0</v>
      </c>
      <c r="NP474" s="393">
        <f>IF($BC$38=1,INDEX(outputs_position[22],MATCH($BC$35,outputs_position[lopstuff],0)),0)</f>
        <v>0</v>
      </c>
    </row>
    <row r="475" spans="377:380" x14ac:dyDescent="0.2">
      <c r="NM475" s="340" t="str">
        <f t="shared" si="336"/>
        <v>Stuff 2-3</v>
      </c>
      <c r="NN475" s="451">
        <v>71</v>
      </c>
      <c r="NO475" s="451">
        <f t="shared" si="337"/>
        <v>0</v>
      </c>
      <c r="NP475" s="393">
        <f>IF($BC$38=1,INDEX(outputs_position[23],MATCH($BC$35,outputs_position[lopstuff],0)),0)</f>
        <v>0</v>
      </c>
    </row>
    <row r="476" spans="377:380" x14ac:dyDescent="0.2">
      <c r="NM476" s="340" t="str">
        <f t="shared" si="336"/>
        <v>Stuff 2-4</v>
      </c>
      <c r="NN476" s="451">
        <v>81</v>
      </c>
      <c r="NO476" s="451">
        <f t="shared" si="337"/>
        <v>0</v>
      </c>
      <c r="NP476" s="393">
        <f>IF($BC$38=1,INDEX(outputs_position[24],MATCH($BC$35,outputs_position[lopstuff],0)),0)</f>
        <v>0</v>
      </c>
    </row>
    <row r="477" spans="377:380" x14ac:dyDescent="0.2">
      <c r="NM477" s="340" t="str">
        <f t="shared" si="336"/>
        <v>Tverrslag</v>
      </c>
      <c r="NN477" s="451">
        <v>91</v>
      </c>
      <c r="NO477" s="451">
        <f>IF(AND($BC$38=1,BD211=1),2,0)</f>
        <v>0</v>
      </c>
      <c r="NP477" s="393">
        <f>IF($BC$38=1,INDEX(outputs_position[Tverrslag],MATCH($BC$35,outputs_position[lopstuff],0)),0)</f>
        <v>0</v>
      </c>
    </row>
    <row r="508" spans="412:605" x14ac:dyDescent="0.2">
      <c r="OV508" s="183"/>
      <c r="PG508" s="184"/>
      <c r="PJ508" s="183"/>
      <c r="PQ508" s="265"/>
      <c r="RO508" s="183"/>
      <c r="RP508" s="210"/>
      <c r="RQ508" s="183"/>
      <c r="RR508" s="210"/>
      <c r="SR508" s="183"/>
      <c r="ST508" s="184"/>
      <c r="UK508" s="183"/>
      <c r="UL508" s="265"/>
      <c r="UM508" s="184"/>
      <c r="UX508" s="265"/>
      <c r="UY508" s="402"/>
      <c r="UZ508" s="402"/>
      <c r="WG508" s="265"/>
    </row>
    <row r="509" spans="412:605" x14ac:dyDescent="0.2">
      <c r="OV509" s="183"/>
      <c r="PG509" s="184"/>
      <c r="PJ509" s="183"/>
      <c r="PQ509" s="265"/>
      <c r="RO509" s="183"/>
      <c r="RP509" s="210"/>
      <c r="RQ509" s="183"/>
      <c r="RR509" s="210"/>
      <c r="SR509" s="183"/>
      <c r="ST509" s="184"/>
      <c r="UK509" s="183"/>
      <c r="UL509" s="265"/>
      <c r="UM509" s="184"/>
      <c r="UX509" s="265"/>
      <c r="UY509" s="402"/>
      <c r="UZ509" s="402"/>
      <c r="WG509" s="265"/>
    </row>
    <row r="510" spans="412:605" x14ac:dyDescent="0.2">
      <c r="OV510" s="183"/>
      <c r="PG510" s="184"/>
      <c r="PJ510" s="183"/>
      <c r="PQ510" s="265"/>
      <c r="RO510" s="183"/>
      <c r="RP510" s="210"/>
      <c r="RQ510" s="183"/>
      <c r="RR510" s="210"/>
      <c r="SR510" s="183"/>
      <c r="ST510" s="184"/>
      <c r="UK510" s="183"/>
      <c r="UL510" s="265"/>
      <c r="UM510" s="184"/>
      <c r="UX510" s="265"/>
      <c r="UY510" s="402"/>
      <c r="UZ510" s="402"/>
      <c r="WG510" s="265"/>
    </row>
    <row r="511" spans="412:605" x14ac:dyDescent="0.2">
      <c r="OV511" s="183"/>
      <c r="PG511" s="184"/>
      <c r="PJ511" s="183"/>
      <c r="PQ511" s="265"/>
      <c r="RO511" s="183"/>
      <c r="RP511" s="210"/>
      <c r="RQ511" s="183"/>
      <c r="RR511" s="210"/>
      <c r="SR511" s="183"/>
      <c r="ST511" s="184"/>
      <c r="UK511" s="183"/>
      <c r="UL511" s="265"/>
      <c r="UM511" s="184"/>
      <c r="UX511" s="265"/>
      <c r="UY511" s="402"/>
      <c r="UZ511" s="402"/>
      <c r="WG511" s="265"/>
    </row>
    <row r="512" spans="412:605" x14ac:dyDescent="0.2">
      <c r="OV512" s="183"/>
      <c r="PG512" s="184"/>
      <c r="PJ512" s="183"/>
      <c r="PQ512" s="265"/>
      <c r="RO512" s="183"/>
      <c r="RP512" s="210"/>
      <c r="RQ512" s="183"/>
      <c r="RR512" s="210"/>
      <c r="SR512" s="183"/>
      <c r="ST512" s="184"/>
      <c r="UK512" s="183"/>
      <c r="UL512" s="265"/>
      <c r="UM512" s="184"/>
      <c r="UX512" s="265"/>
      <c r="UY512" s="402"/>
      <c r="UZ512" s="402"/>
      <c r="WG512" s="265"/>
    </row>
    <row r="513" spans="412:605" x14ac:dyDescent="0.2">
      <c r="OV513" s="183"/>
      <c r="PG513" s="184"/>
      <c r="PJ513" s="183"/>
      <c r="PQ513" s="265"/>
      <c r="RO513" s="183"/>
      <c r="RP513" s="210"/>
      <c r="RQ513" s="183"/>
      <c r="RR513" s="210"/>
      <c r="SR513" s="183"/>
      <c r="ST513" s="184"/>
      <c r="UK513" s="183"/>
      <c r="UL513" s="265"/>
      <c r="UM513" s="184"/>
      <c r="UX513" s="265"/>
      <c r="UY513" s="402"/>
      <c r="UZ513" s="402"/>
      <c r="WG513" s="265"/>
    </row>
    <row r="514" spans="412:605" x14ac:dyDescent="0.2">
      <c r="OV514" s="183"/>
      <c r="PG514" s="184"/>
      <c r="PJ514" s="183"/>
      <c r="PQ514" s="265"/>
      <c r="RO514" s="183"/>
      <c r="RP514" s="210"/>
      <c r="RQ514" s="183"/>
      <c r="RR514" s="210"/>
      <c r="SR514" s="183"/>
      <c r="ST514" s="184"/>
      <c r="UK514" s="183"/>
      <c r="UL514" s="265"/>
      <c r="UM514" s="184"/>
      <c r="UX514" s="265"/>
      <c r="UY514" s="402"/>
      <c r="UZ514" s="402"/>
      <c r="WG514" s="265"/>
    </row>
    <row r="515" spans="412:605" x14ac:dyDescent="0.2">
      <c r="OV515" s="183"/>
      <c r="PG515" s="184"/>
      <c r="PJ515" s="183"/>
      <c r="PQ515" s="265"/>
      <c r="RO515" s="183"/>
      <c r="RP515" s="210"/>
      <c r="RQ515" s="183"/>
      <c r="RR515" s="210"/>
      <c r="SR515" s="183"/>
      <c r="ST515" s="184"/>
      <c r="UK515" s="183"/>
      <c r="UL515" s="265"/>
      <c r="UM515" s="184"/>
      <c r="UX515" s="265"/>
      <c r="UY515" s="402"/>
      <c r="UZ515" s="402"/>
      <c r="WG515" s="265"/>
    </row>
    <row r="516" spans="412:605" x14ac:dyDescent="0.2">
      <c r="OV516" s="183"/>
      <c r="PG516" s="184"/>
      <c r="PJ516" s="183"/>
      <c r="PQ516" s="265"/>
      <c r="RO516" s="183"/>
      <c r="RP516" s="210"/>
      <c r="RQ516" s="183"/>
      <c r="RR516" s="210"/>
      <c r="SR516" s="183"/>
      <c r="ST516" s="184"/>
      <c r="UK516" s="183"/>
      <c r="UL516" s="265"/>
      <c r="UM516" s="184"/>
      <c r="UX516" s="265"/>
      <c r="UY516" s="402"/>
      <c r="UZ516" s="402"/>
      <c r="WG516" s="265"/>
    </row>
    <row r="517" spans="412:605" x14ac:dyDescent="0.2">
      <c r="OV517" s="183"/>
      <c r="PG517" s="184"/>
      <c r="PJ517" s="183"/>
      <c r="PQ517" s="265"/>
      <c r="RO517" s="183"/>
      <c r="RP517" s="210"/>
      <c r="RQ517" s="183"/>
      <c r="RR517" s="210"/>
      <c r="SR517" s="183"/>
      <c r="ST517" s="184"/>
      <c r="UK517" s="183"/>
      <c r="UL517" s="265"/>
      <c r="UM517" s="184"/>
      <c r="UX517" s="265"/>
      <c r="UY517" s="402"/>
      <c r="UZ517" s="402"/>
      <c r="WG517" s="265"/>
    </row>
    <row r="532" spans="91:606" x14ac:dyDescent="0.2">
      <c r="CM532" s="183"/>
      <c r="CT532" s="5370"/>
      <c r="OV532" s="183"/>
      <c r="PG532" s="184"/>
      <c r="PJ532" s="183"/>
      <c r="PQ532" s="265"/>
      <c r="RO532" s="183"/>
      <c r="RP532" s="210"/>
      <c r="RQ532" s="183"/>
      <c r="RR532" s="210"/>
      <c r="SR532" s="183"/>
      <c r="ST532" s="184"/>
      <c r="TR532" s="183"/>
      <c r="TS532" s="181"/>
      <c r="TX532" s="183"/>
      <c r="UB532" s="181"/>
      <c r="UK532" s="183"/>
      <c r="UL532" s="265"/>
      <c r="UM532" s="184"/>
      <c r="UX532" s="265"/>
      <c r="UY532" s="402"/>
      <c r="VA532" s="265"/>
      <c r="VB532"/>
      <c r="WG532" s="265"/>
    </row>
    <row r="533" spans="91:606" x14ac:dyDescent="0.2">
      <c r="CM533" s="183"/>
      <c r="CT533" s="5370"/>
      <c r="OV533" s="183"/>
      <c r="PG533" s="184"/>
      <c r="PJ533" s="183"/>
      <c r="PQ533" s="265"/>
      <c r="RO533" s="183"/>
      <c r="RP533" s="210"/>
      <c r="RQ533" s="183"/>
      <c r="RR533" s="210"/>
      <c r="SR533" s="183"/>
      <c r="ST533" s="184"/>
      <c r="TR533" s="183"/>
      <c r="TS533" s="181"/>
      <c r="TX533" s="183"/>
      <c r="UB533" s="181"/>
      <c r="UK533" s="183"/>
      <c r="UL533" s="265"/>
      <c r="UM533" s="184"/>
      <c r="UX533" s="265"/>
      <c r="UY533" s="402"/>
      <c r="VA533" s="265"/>
      <c r="VB533"/>
      <c r="WG533" s="265"/>
    </row>
    <row r="534" spans="91:606" x14ac:dyDescent="0.2">
      <c r="CM534" s="183"/>
      <c r="CT534" s="5370"/>
      <c r="OV534" s="183"/>
      <c r="PG534" s="184"/>
      <c r="PJ534" s="183"/>
      <c r="PQ534" s="265"/>
      <c r="RO534" s="183"/>
      <c r="RP534" s="210"/>
      <c r="RQ534" s="183"/>
      <c r="RR534" s="210"/>
      <c r="SR534" s="183"/>
      <c r="ST534" s="184"/>
      <c r="TR534" s="183"/>
      <c r="TS534" s="181"/>
      <c r="TX534" s="183"/>
      <c r="UB534" s="181"/>
      <c r="UK534" s="183"/>
      <c r="UL534" s="265"/>
      <c r="UM534" s="184"/>
      <c r="UX534" s="265"/>
      <c r="UY534" s="402"/>
      <c r="VA534" s="265"/>
      <c r="VB534"/>
      <c r="WG534" s="265"/>
    </row>
    <row r="535" spans="91:606" x14ac:dyDescent="0.2">
      <c r="CM535" s="183"/>
      <c r="CT535" s="5370"/>
      <c r="OV535" s="183"/>
      <c r="PG535" s="184"/>
      <c r="PJ535" s="183"/>
      <c r="PQ535" s="265"/>
      <c r="RO535" s="183"/>
      <c r="RP535" s="210"/>
      <c r="RQ535" s="183"/>
      <c r="RR535" s="210"/>
      <c r="SR535" s="183"/>
      <c r="ST535" s="184"/>
      <c r="TR535" s="183"/>
      <c r="TS535" s="181"/>
      <c r="TX535" s="183"/>
      <c r="UB535" s="181"/>
      <c r="UK535" s="183"/>
      <c r="UL535" s="265"/>
      <c r="UM535" s="184"/>
      <c r="UX535" s="265"/>
      <c r="UY535" s="402"/>
      <c r="VA535" s="265"/>
      <c r="VB535"/>
      <c r="WG535" s="265"/>
    </row>
    <row r="536" spans="91:606" x14ac:dyDescent="0.2">
      <c r="CM536" s="183"/>
      <c r="CT536" s="5370"/>
      <c r="OV536" s="183"/>
      <c r="PG536" s="184"/>
      <c r="PJ536" s="183"/>
      <c r="PQ536" s="265"/>
      <c r="RO536" s="183"/>
      <c r="RP536" s="210"/>
      <c r="RQ536" s="183"/>
      <c r="RR536" s="210"/>
      <c r="SR536" s="183"/>
      <c r="ST536" s="184"/>
      <c r="TR536" s="183"/>
      <c r="TS536" s="181"/>
      <c r="TX536" s="183"/>
      <c r="UB536" s="181"/>
      <c r="UK536" s="183"/>
      <c r="UL536" s="265"/>
      <c r="UM536" s="184"/>
      <c r="UX536" s="265"/>
      <c r="UY536" s="402"/>
      <c r="VA536" s="265"/>
      <c r="VB536"/>
      <c r="WG536" s="265"/>
    </row>
    <row r="537" spans="91:606" x14ac:dyDescent="0.2">
      <c r="CM537" s="183"/>
      <c r="CT537" s="5370"/>
      <c r="OV537" s="183"/>
      <c r="PG537" s="184"/>
      <c r="PJ537" s="183"/>
      <c r="PQ537" s="265"/>
      <c r="RO537" s="183"/>
      <c r="RP537" s="210"/>
      <c r="RQ537" s="183"/>
      <c r="RR537" s="210"/>
      <c r="SR537" s="183"/>
      <c r="ST537" s="184"/>
      <c r="TR537" s="183"/>
      <c r="TS537" s="181"/>
      <c r="TX537" s="183"/>
      <c r="UB537" s="181"/>
      <c r="UK537" s="183"/>
      <c r="UL537" s="265"/>
      <c r="UM537" s="184"/>
      <c r="UX537" s="265"/>
      <c r="UY537" s="402"/>
      <c r="VA537" s="265"/>
      <c r="VB537"/>
      <c r="WG537" s="265"/>
    </row>
    <row r="538" spans="91:606" x14ac:dyDescent="0.2">
      <c r="CM538" s="183"/>
      <c r="CT538" s="5370"/>
      <c r="OV538" s="183"/>
      <c r="PG538" s="184"/>
      <c r="PJ538" s="183"/>
      <c r="PQ538" s="265"/>
      <c r="RO538" s="183"/>
      <c r="RP538" s="210"/>
      <c r="RQ538" s="183"/>
      <c r="RR538" s="210"/>
      <c r="SR538" s="183"/>
      <c r="ST538" s="184"/>
      <c r="TR538" s="183"/>
      <c r="TS538" s="181"/>
      <c r="TX538" s="183"/>
      <c r="UB538" s="181"/>
      <c r="UK538" s="183"/>
      <c r="UL538" s="265"/>
      <c r="UM538" s="184"/>
      <c r="UX538" s="265"/>
      <c r="UY538" s="402"/>
      <c r="VA538" s="265"/>
      <c r="VB538"/>
      <c r="WG538" s="265"/>
    </row>
    <row r="539" spans="91:606" x14ac:dyDescent="0.2">
      <c r="CM539" s="183"/>
      <c r="CT539" s="5370"/>
      <c r="OV539" s="183"/>
      <c r="PG539" s="184"/>
      <c r="PJ539" s="183"/>
      <c r="PQ539" s="265"/>
      <c r="RO539" s="183"/>
      <c r="RP539" s="210"/>
      <c r="RQ539" s="183"/>
      <c r="RR539" s="210"/>
      <c r="SR539" s="183"/>
      <c r="ST539" s="184"/>
      <c r="TR539" s="183"/>
      <c r="TS539" s="181"/>
      <c r="TX539" s="183"/>
      <c r="UB539" s="181"/>
      <c r="UK539" s="183"/>
      <c r="UL539" s="265"/>
      <c r="UM539" s="184"/>
      <c r="UX539" s="265"/>
      <c r="UY539" s="402"/>
      <c r="VA539" s="265"/>
      <c r="VB539"/>
      <c r="WG539" s="265"/>
    </row>
    <row r="540" spans="91:606" x14ac:dyDescent="0.2">
      <c r="CM540" s="183"/>
      <c r="CT540" s="5370"/>
      <c r="OV540" s="183"/>
      <c r="PG540" s="184"/>
      <c r="PJ540" s="183"/>
      <c r="PQ540" s="265"/>
      <c r="RO540" s="183"/>
      <c r="RP540" s="210"/>
      <c r="RQ540" s="183"/>
      <c r="RR540" s="210"/>
      <c r="SR540" s="183"/>
      <c r="ST540" s="184"/>
      <c r="TR540" s="183"/>
      <c r="TS540" s="181"/>
      <c r="TX540" s="183"/>
      <c r="UB540" s="181"/>
      <c r="UK540" s="183"/>
      <c r="UL540" s="265"/>
      <c r="UM540" s="184"/>
      <c r="UX540" s="265"/>
      <c r="UY540" s="402"/>
      <c r="VA540" s="265"/>
      <c r="VB540"/>
      <c r="WG540" s="265"/>
    </row>
    <row r="541" spans="91:606" x14ac:dyDescent="0.2">
      <c r="CM541" s="183"/>
      <c r="CT541" s="5370"/>
      <c r="OV541" s="183"/>
      <c r="PG541" s="184"/>
      <c r="PJ541" s="183"/>
      <c r="PQ541" s="265"/>
      <c r="RO541" s="183"/>
      <c r="RP541" s="210"/>
      <c r="RQ541" s="183"/>
      <c r="RR541" s="210"/>
      <c r="SR541" s="183"/>
      <c r="ST541" s="184"/>
      <c r="TR541" s="183"/>
      <c r="TS541" s="181"/>
      <c r="TX541" s="183"/>
      <c r="UB541" s="181"/>
      <c r="UK541" s="183"/>
      <c r="UL541" s="265"/>
      <c r="UM541" s="184"/>
      <c r="UX541" s="265"/>
      <c r="UY541" s="402"/>
      <c r="VA541" s="265"/>
      <c r="VB541"/>
      <c r="WG541" s="265"/>
    </row>
    <row r="542" spans="91:606" x14ac:dyDescent="0.2">
      <c r="CM542" s="183"/>
      <c r="CT542" s="5370"/>
      <c r="OV542" s="183"/>
      <c r="PG542" s="184"/>
      <c r="PJ542" s="183"/>
      <c r="PQ542" s="265"/>
      <c r="RO542" s="183"/>
      <c r="RP542" s="210"/>
      <c r="RQ542" s="183"/>
      <c r="RR542" s="210"/>
      <c r="SR542" s="183"/>
      <c r="ST542" s="184"/>
      <c r="TR542" s="183"/>
      <c r="TS542" s="181"/>
      <c r="TX542" s="183"/>
      <c r="UB542" s="181"/>
      <c r="UK542" s="183"/>
      <c r="UL542" s="265"/>
      <c r="UM542" s="184"/>
      <c r="UX542" s="265"/>
      <c r="UY542" s="402"/>
      <c r="VA542" s="265"/>
      <c r="VB542"/>
      <c r="WG542" s="265"/>
    </row>
    <row r="543" spans="91:606" x14ac:dyDescent="0.2">
      <c r="CM543" s="183"/>
      <c r="CT543" s="5370"/>
      <c r="OV543" s="183"/>
      <c r="OW543" s="183"/>
      <c r="PG543" s="184"/>
      <c r="PH543" s="184"/>
      <c r="PJ543" s="183"/>
      <c r="PK543" s="183"/>
      <c r="PQ543" s="265"/>
      <c r="PR543" s="265"/>
      <c r="RO543" s="183"/>
      <c r="RS543" s="210"/>
      <c r="SR543" s="183"/>
      <c r="SS543" s="183"/>
      <c r="ST543" s="184"/>
      <c r="SU543" s="184"/>
      <c r="TR543" s="183"/>
      <c r="TS543" s="181"/>
      <c r="TX543" s="183"/>
      <c r="UB543" s="181"/>
      <c r="UK543" s="183"/>
      <c r="UL543" s="183"/>
      <c r="UN543" s="184"/>
      <c r="UX543" s="265"/>
      <c r="UZ543" s="402"/>
      <c r="VA543" s="402"/>
      <c r="VB543"/>
      <c r="WG543" s="265"/>
      <c r="WH543" s="265"/>
    </row>
    <row r="544" spans="91:606" x14ac:dyDescent="0.2">
      <c r="OV544" s="183"/>
      <c r="PG544" s="184"/>
      <c r="PJ544" s="183"/>
      <c r="PQ544" s="265"/>
      <c r="RO544" s="183"/>
      <c r="RP544" s="210"/>
      <c r="RQ544" s="183"/>
      <c r="RR544" s="210"/>
      <c r="SR544" s="183"/>
      <c r="ST544" s="184"/>
      <c r="UK544" s="183"/>
      <c r="UL544" s="265"/>
      <c r="UM544" s="184"/>
      <c r="UX544" s="265"/>
      <c r="UY544" s="402"/>
      <c r="UZ544" s="402"/>
      <c r="WG544" s="265"/>
    </row>
    <row r="545" spans="412:605" x14ac:dyDescent="0.2">
      <c r="OV545" s="183"/>
      <c r="PG545" s="184"/>
      <c r="PJ545" s="183"/>
      <c r="PQ545" s="265"/>
      <c r="RO545" s="183"/>
      <c r="RP545" s="210"/>
      <c r="RQ545" s="183"/>
      <c r="RR545" s="210"/>
      <c r="SR545" s="183"/>
      <c r="ST545" s="184"/>
      <c r="UK545" s="183"/>
      <c r="UL545" s="265"/>
      <c r="UM545" s="184"/>
      <c r="UX545" s="265"/>
      <c r="UY545" s="402"/>
      <c r="UZ545" s="402"/>
      <c r="WG545" s="265"/>
    </row>
    <row r="546" spans="412:605" x14ac:dyDescent="0.2">
      <c r="OV546" s="183"/>
      <c r="PG546" s="184"/>
      <c r="PJ546" s="183"/>
      <c r="PQ546" s="265"/>
      <c r="RO546" s="183"/>
      <c r="RP546" s="210"/>
      <c r="RQ546" s="183"/>
      <c r="RR546" s="210"/>
      <c r="SR546" s="183"/>
      <c r="ST546" s="184"/>
      <c r="UK546" s="183"/>
      <c r="UL546" s="265"/>
      <c r="UM546" s="184"/>
      <c r="UX546" s="265"/>
      <c r="UY546" s="402"/>
      <c r="UZ546" s="402"/>
      <c r="WG546" s="265"/>
    </row>
    <row r="547" spans="412:605" x14ac:dyDescent="0.2">
      <c r="OV547" s="183"/>
      <c r="PG547" s="184"/>
      <c r="PJ547" s="183"/>
      <c r="PQ547" s="265"/>
      <c r="RO547" s="183"/>
      <c r="RP547" s="210"/>
      <c r="RQ547" s="183"/>
      <c r="RR547" s="210"/>
      <c r="SR547" s="183"/>
      <c r="ST547" s="184"/>
      <c r="UK547" s="183"/>
      <c r="UL547" s="265"/>
      <c r="UM547" s="184"/>
      <c r="UX547" s="265"/>
      <c r="UY547" s="402"/>
      <c r="UZ547" s="402"/>
      <c r="WG547" s="265"/>
    </row>
    <row r="548" spans="412:605" x14ac:dyDescent="0.2">
      <c r="OV548" s="183"/>
      <c r="PG548" s="184"/>
      <c r="PJ548" s="183"/>
      <c r="PQ548" s="265"/>
      <c r="RO548" s="183"/>
      <c r="RP548" s="210"/>
      <c r="RQ548" s="183"/>
      <c r="RR548" s="210"/>
      <c r="SR548" s="183"/>
      <c r="ST548" s="184"/>
      <c r="UK548" s="183"/>
      <c r="UL548" s="265"/>
      <c r="UM548" s="184"/>
      <c r="UX548" s="265"/>
      <c r="UY548" s="402"/>
      <c r="UZ548" s="402"/>
      <c r="WG548" s="265"/>
    </row>
    <row r="549" spans="412:605" x14ac:dyDescent="0.2">
      <c r="OV549" s="183"/>
      <c r="PG549" s="184"/>
      <c r="PJ549" s="183"/>
      <c r="PQ549" s="265"/>
      <c r="RO549" s="183"/>
      <c r="RP549" s="210"/>
      <c r="RQ549" s="183"/>
      <c r="RR549" s="210"/>
      <c r="SR549" s="183"/>
      <c r="ST549" s="184"/>
      <c r="UK549" s="183"/>
      <c r="UL549" s="265"/>
      <c r="UM549" s="184"/>
      <c r="UX549" s="265"/>
      <c r="UY549" s="402"/>
      <c r="UZ549" s="402"/>
      <c r="WG549" s="265"/>
    </row>
    <row r="550" spans="412:605" x14ac:dyDescent="0.2">
      <c r="OV550" s="183"/>
      <c r="PG550" s="184"/>
      <c r="PJ550" s="183"/>
      <c r="PQ550" s="265"/>
      <c r="RO550" s="183"/>
      <c r="RP550" s="210"/>
      <c r="RQ550" s="183"/>
      <c r="RR550" s="210"/>
      <c r="SR550" s="183"/>
      <c r="ST550" s="184"/>
      <c r="UK550" s="183"/>
      <c r="UL550" s="265"/>
      <c r="UM550" s="184"/>
      <c r="UX550" s="265"/>
      <c r="UY550" s="402"/>
      <c r="UZ550" s="402"/>
      <c r="WG550" s="265"/>
    </row>
    <row r="551" spans="412:605" x14ac:dyDescent="0.2">
      <c r="OV551" s="183"/>
      <c r="PG551" s="184"/>
      <c r="PJ551" s="183"/>
      <c r="PQ551" s="265"/>
      <c r="RO551" s="183"/>
      <c r="RP551" s="210"/>
      <c r="RQ551" s="183"/>
      <c r="RR551" s="210"/>
      <c r="SR551" s="183"/>
      <c r="ST551" s="184"/>
      <c r="UK551" s="183"/>
      <c r="UL551" s="265"/>
      <c r="UM551" s="184"/>
      <c r="UX551" s="265"/>
      <c r="UY551" s="402"/>
      <c r="UZ551" s="402"/>
      <c r="WG551" s="265"/>
    </row>
    <row r="552" spans="412:605" x14ac:dyDescent="0.2">
      <c r="OV552" s="183"/>
      <c r="PG552" s="184"/>
      <c r="PJ552" s="183"/>
      <c r="PQ552" s="265"/>
      <c r="RO552" s="183"/>
      <c r="RP552" s="210"/>
      <c r="RQ552" s="183"/>
      <c r="RR552" s="210"/>
      <c r="SR552" s="183"/>
      <c r="ST552" s="184"/>
      <c r="UK552" s="183"/>
      <c r="UL552" s="265"/>
      <c r="UM552" s="184"/>
      <c r="UX552" s="265"/>
      <c r="UY552" s="402"/>
      <c r="UZ552" s="402"/>
      <c r="WG552" s="265"/>
    </row>
    <row r="585" spans="91:605" x14ac:dyDescent="0.2">
      <c r="CM585" s="183"/>
      <c r="CT585" s="5370"/>
      <c r="OV585" s="183"/>
      <c r="PG585" s="184"/>
      <c r="PJ585" s="183"/>
      <c r="PQ585" s="265"/>
      <c r="RO585" s="183"/>
      <c r="RP585" s="210"/>
      <c r="RQ585" s="183"/>
      <c r="RR585" s="210"/>
      <c r="SR585" s="183"/>
      <c r="ST585" s="184"/>
      <c r="TR585" s="183"/>
      <c r="TS585" s="181"/>
      <c r="TX585" s="183"/>
      <c r="UB585" s="181"/>
      <c r="UK585" s="183"/>
      <c r="UL585" s="265"/>
      <c r="UM585" s="184"/>
      <c r="UX585" s="265"/>
      <c r="UY585" s="402"/>
      <c r="VA585" s="265"/>
      <c r="VB585"/>
      <c r="WG585" s="265"/>
    </row>
    <row r="586" spans="91:605" x14ac:dyDescent="0.2">
      <c r="CM586" s="183"/>
      <c r="CT586" s="5370"/>
      <c r="OV586" s="183"/>
      <c r="PG586" s="184"/>
      <c r="PJ586" s="183"/>
      <c r="PQ586" s="265"/>
      <c r="RO586" s="183"/>
      <c r="RP586" s="210"/>
      <c r="RQ586" s="183"/>
      <c r="RR586" s="210"/>
      <c r="SR586" s="183"/>
      <c r="ST586" s="184"/>
      <c r="TR586" s="183"/>
      <c r="TS586" s="181"/>
      <c r="TX586" s="183"/>
      <c r="UB586" s="181"/>
      <c r="UK586" s="183"/>
      <c r="UL586" s="265"/>
      <c r="UM586" s="184"/>
      <c r="UX586" s="265"/>
      <c r="UY586" s="402"/>
      <c r="VA586" s="265"/>
      <c r="VB586"/>
      <c r="WG586" s="265"/>
    </row>
    <row r="587" spans="91:605" x14ac:dyDescent="0.2">
      <c r="CM587" s="183"/>
      <c r="CT587" s="5370"/>
      <c r="OV587" s="183"/>
      <c r="PG587" s="184"/>
      <c r="PJ587" s="183"/>
      <c r="PQ587" s="265"/>
      <c r="RO587" s="183"/>
      <c r="RP587" s="210"/>
      <c r="RQ587" s="183"/>
      <c r="RR587" s="210"/>
      <c r="SR587" s="183"/>
      <c r="ST587" s="184"/>
      <c r="TR587" s="183"/>
      <c r="TS587" s="181"/>
      <c r="TX587" s="183"/>
      <c r="UB587" s="181"/>
      <c r="UK587" s="183"/>
      <c r="UL587" s="265"/>
      <c r="UM587" s="184"/>
      <c r="UX587" s="265"/>
      <c r="UY587" s="402"/>
      <c r="VA587" s="265"/>
      <c r="VB587"/>
      <c r="WG587" s="265"/>
    </row>
    <row r="588" spans="91:605" x14ac:dyDescent="0.2">
      <c r="CM588" s="183"/>
      <c r="CT588" s="5370"/>
      <c r="OV588" s="183"/>
      <c r="PG588" s="184"/>
      <c r="PJ588" s="183"/>
      <c r="PQ588" s="265"/>
      <c r="RO588" s="183"/>
      <c r="RP588" s="210"/>
      <c r="RQ588" s="183"/>
      <c r="RR588" s="210"/>
      <c r="SR588" s="183"/>
      <c r="ST588" s="184"/>
      <c r="TR588" s="183"/>
      <c r="TS588" s="181"/>
      <c r="TX588" s="183"/>
      <c r="UB588" s="181"/>
      <c r="UK588" s="183"/>
      <c r="UL588" s="265"/>
      <c r="UM588" s="184"/>
      <c r="UX588" s="265"/>
      <c r="UY588" s="402"/>
      <c r="VA588" s="265"/>
      <c r="VB588"/>
      <c r="WG588" s="265"/>
    </row>
    <row r="589" spans="91:605" x14ac:dyDescent="0.2">
      <c r="CM589" s="183"/>
      <c r="CT589" s="5370"/>
      <c r="OV589" s="183"/>
      <c r="PG589" s="184"/>
      <c r="PJ589" s="183"/>
      <c r="PQ589" s="265"/>
      <c r="RO589" s="183"/>
      <c r="RP589" s="210"/>
      <c r="RQ589" s="183"/>
      <c r="RR589" s="210"/>
      <c r="SR589" s="183"/>
      <c r="ST589" s="184"/>
      <c r="TR589" s="183"/>
      <c r="TS589" s="181"/>
      <c r="TX589" s="183"/>
      <c r="UB589" s="181"/>
      <c r="UK589" s="183"/>
      <c r="UL589" s="265"/>
      <c r="UM589" s="184"/>
      <c r="UX589" s="265"/>
      <c r="UY589" s="402"/>
      <c r="VA589" s="265"/>
      <c r="VB589"/>
      <c r="WG589" s="265"/>
    </row>
    <row r="590" spans="91:605" x14ac:dyDescent="0.2">
      <c r="CM590" s="183"/>
      <c r="CT590" s="5370"/>
      <c r="OV590" s="183"/>
      <c r="PG590" s="184"/>
      <c r="PJ590" s="183"/>
      <c r="PQ590" s="265"/>
      <c r="RO590" s="183"/>
      <c r="RP590" s="210"/>
      <c r="RQ590" s="183"/>
      <c r="RR590" s="210"/>
      <c r="SR590" s="183"/>
      <c r="ST590" s="184"/>
      <c r="TR590" s="183"/>
      <c r="TS590" s="181"/>
      <c r="TX590" s="183"/>
      <c r="UB590" s="181"/>
      <c r="UK590" s="183"/>
      <c r="UL590" s="265"/>
      <c r="UM590" s="184"/>
      <c r="UX590" s="265"/>
      <c r="UY590" s="402"/>
      <c r="VA590" s="265"/>
      <c r="VB590"/>
      <c r="WG590" s="265"/>
    </row>
    <row r="591" spans="91:605" x14ac:dyDescent="0.2">
      <c r="CM591" s="183"/>
      <c r="CT591" s="5370"/>
      <c r="OV591" s="183"/>
      <c r="PG591" s="184"/>
      <c r="PJ591" s="183"/>
      <c r="PQ591" s="265"/>
      <c r="RO591" s="183"/>
      <c r="RP591" s="210"/>
      <c r="RQ591" s="183"/>
      <c r="RR591" s="210"/>
      <c r="SR591" s="183"/>
      <c r="ST591" s="184"/>
      <c r="TR591" s="183"/>
      <c r="TS591" s="181"/>
      <c r="TX591" s="183"/>
      <c r="UB591" s="181"/>
      <c r="UK591" s="183"/>
      <c r="UL591" s="265"/>
      <c r="UM591" s="184"/>
      <c r="UX591" s="265"/>
      <c r="UY591" s="402"/>
      <c r="VA591" s="265"/>
      <c r="VB591"/>
      <c r="WG591" s="265"/>
    </row>
    <row r="592" spans="91:605" x14ac:dyDescent="0.2">
      <c r="CM592" s="183"/>
      <c r="CT592" s="5370"/>
      <c r="OV592" s="183"/>
      <c r="PG592" s="184"/>
      <c r="PJ592" s="183"/>
      <c r="PQ592" s="265"/>
      <c r="RO592" s="183"/>
      <c r="RP592" s="210"/>
      <c r="RQ592" s="183"/>
      <c r="RR592" s="210"/>
      <c r="SR592" s="183"/>
      <c r="ST592" s="184"/>
      <c r="TR592" s="183"/>
      <c r="TS592" s="181"/>
      <c r="TX592" s="183"/>
      <c r="UB592" s="181"/>
      <c r="UK592" s="183"/>
      <c r="UL592" s="265"/>
      <c r="UM592" s="184"/>
      <c r="UX592" s="265"/>
      <c r="UY592" s="402"/>
      <c r="VA592" s="265"/>
      <c r="VB592"/>
      <c r="WG592" s="265"/>
    </row>
    <row r="593" spans="91:605" x14ac:dyDescent="0.2">
      <c r="CM593" s="183"/>
      <c r="CT593" s="5370"/>
      <c r="OV593" s="183"/>
      <c r="PG593" s="184"/>
      <c r="PJ593" s="183"/>
      <c r="PQ593" s="265"/>
      <c r="RO593" s="183"/>
      <c r="RP593" s="210"/>
      <c r="RQ593" s="183"/>
      <c r="RR593" s="210"/>
      <c r="SR593" s="183"/>
      <c r="ST593" s="184"/>
      <c r="TR593" s="183"/>
      <c r="TS593" s="181"/>
      <c r="TX593" s="183"/>
      <c r="UB593" s="181"/>
      <c r="UK593" s="183"/>
      <c r="UL593" s="265"/>
      <c r="UM593" s="184"/>
      <c r="UX593" s="265"/>
      <c r="UY593" s="402"/>
      <c r="VA593" s="265"/>
      <c r="VB593"/>
      <c r="WG593" s="265"/>
    </row>
    <row r="594" spans="91:605" x14ac:dyDescent="0.2">
      <c r="CM594" s="183"/>
      <c r="CT594" s="5370"/>
      <c r="OV594" s="183"/>
      <c r="PG594" s="184"/>
      <c r="PJ594" s="183"/>
      <c r="PQ594" s="265"/>
      <c r="RO594" s="183"/>
      <c r="RP594" s="210"/>
      <c r="RQ594" s="183"/>
      <c r="RR594" s="210"/>
      <c r="SR594" s="183"/>
      <c r="ST594" s="184"/>
      <c r="TR594" s="183"/>
      <c r="TS594" s="181"/>
      <c r="TX594" s="183"/>
      <c r="UB594" s="181"/>
      <c r="UK594" s="183"/>
      <c r="UL594" s="265"/>
      <c r="UM594" s="184"/>
      <c r="UX594" s="265"/>
      <c r="UY594" s="402"/>
      <c r="VA594" s="265"/>
      <c r="VB594"/>
      <c r="WG594" s="265"/>
    </row>
    <row r="625" spans="412:610" x14ac:dyDescent="0.2">
      <c r="OV625" s="183"/>
      <c r="OW625" s="183"/>
      <c r="OX625" s="183"/>
      <c r="OY625" s="183"/>
      <c r="OZ625" s="183"/>
      <c r="PA625" s="183"/>
      <c r="PG625" s="184"/>
      <c r="PH625" s="184"/>
      <c r="PI625" s="184"/>
      <c r="PJ625" s="184"/>
      <c r="PK625" s="184"/>
      <c r="PL625" s="184"/>
      <c r="PM625" s="183"/>
      <c r="PN625" s="183"/>
      <c r="PO625" s="183"/>
      <c r="PQ625" s="265"/>
      <c r="PR625" s="265"/>
      <c r="PS625" s="265"/>
      <c r="PT625" s="265"/>
      <c r="PU625" s="265"/>
      <c r="PV625" s="265"/>
      <c r="RO625" s="183"/>
      <c r="RQ625" s="183"/>
      <c r="RU625" s="210"/>
      <c r="RW625" s="210"/>
      <c r="SR625" s="183"/>
      <c r="SS625" s="183"/>
      <c r="SX625" s="184"/>
      <c r="SY625" s="184"/>
      <c r="TR625" s="183"/>
      <c r="TY625" s="183"/>
      <c r="TZ625" s="183"/>
      <c r="UA625" s="183"/>
      <c r="UD625" s="181"/>
      <c r="UE625" s="181"/>
      <c r="UF625" s="181"/>
      <c r="UG625" s="181"/>
      <c r="UK625" s="183"/>
      <c r="UL625" s="183"/>
      <c r="UM625" s="183"/>
      <c r="UN625" s="183"/>
      <c r="UO625" s="183"/>
      <c r="UP625" s="183"/>
      <c r="UR625" s="184"/>
      <c r="UX625" s="265"/>
      <c r="VA625" s="265"/>
      <c r="VD625" s="402"/>
      <c r="VG625"/>
      <c r="WG625" s="265"/>
      <c r="WH625" s="265"/>
      <c r="WI625" s="265"/>
      <c r="WJ625" s="265"/>
      <c r="WK625" s="265"/>
      <c r="WL625" s="265"/>
    </row>
    <row r="626" spans="412:610" x14ac:dyDescent="0.2">
      <c r="OV626" s="183"/>
      <c r="OW626" s="183"/>
      <c r="OX626" s="183"/>
      <c r="OY626" s="183"/>
      <c r="OZ626" s="183"/>
      <c r="PA626" s="183"/>
      <c r="PG626" s="184"/>
      <c r="PH626" s="184"/>
      <c r="PI626" s="184"/>
      <c r="PJ626" s="184"/>
      <c r="PK626" s="184"/>
      <c r="PL626" s="184"/>
      <c r="PM626" s="183"/>
      <c r="PN626" s="183"/>
      <c r="PO626" s="183"/>
      <c r="PQ626" s="265"/>
      <c r="PR626" s="265"/>
      <c r="PS626" s="265"/>
      <c r="PT626" s="265"/>
      <c r="PU626" s="265"/>
      <c r="PV626" s="265"/>
      <c r="RO626" s="183"/>
      <c r="RQ626" s="183"/>
      <c r="RU626" s="210"/>
      <c r="RW626" s="210"/>
      <c r="SR626" s="183"/>
      <c r="SS626" s="183"/>
      <c r="SX626" s="184"/>
      <c r="SY626" s="184"/>
      <c r="TR626" s="183"/>
      <c r="TY626" s="183"/>
      <c r="TZ626" s="183"/>
      <c r="UA626" s="183"/>
      <c r="UD626" s="181"/>
      <c r="UE626" s="181"/>
      <c r="UF626" s="181"/>
      <c r="UG626" s="181"/>
      <c r="UK626" s="183"/>
      <c r="UL626" s="183"/>
      <c r="UM626" s="183"/>
      <c r="UN626" s="183"/>
      <c r="UO626" s="183"/>
      <c r="UP626" s="183"/>
      <c r="UR626" s="184"/>
      <c r="UX626" s="265"/>
      <c r="VA626" s="265"/>
      <c r="VD626" s="402"/>
      <c r="VG626"/>
      <c r="WG626" s="265"/>
      <c r="WH626" s="265"/>
      <c r="WI626" s="265"/>
      <c r="WJ626" s="265"/>
      <c r="WK626" s="265"/>
      <c r="WL626" s="265"/>
    </row>
    <row r="627" spans="412:610" x14ac:dyDescent="0.2">
      <c r="OV627" s="183"/>
      <c r="OW627" s="183"/>
      <c r="OX627" s="183"/>
      <c r="OY627" s="183"/>
      <c r="OZ627" s="183"/>
      <c r="PA627" s="183"/>
      <c r="PG627" s="184"/>
      <c r="PH627" s="184"/>
      <c r="PI627" s="184"/>
      <c r="PJ627" s="184"/>
      <c r="PK627" s="184"/>
      <c r="PL627" s="184"/>
      <c r="PM627" s="183"/>
      <c r="PN627" s="183"/>
      <c r="PO627" s="183"/>
      <c r="PQ627" s="265"/>
      <c r="PR627" s="265"/>
      <c r="PS627" s="265"/>
      <c r="PT627" s="265"/>
      <c r="PU627" s="265"/>
      <c r="PV627" s="265"/>
      <c r="RO627" s="183"/>
      <c r="RQ627" s="183"/>
      <c r="RU627" s="210"/>
      <c r="RW627" s="210"/>
      <c r="SR627" s="183"/>
      <c r="SS627" s="183"/>
      <c r="SX627" s="184"/>
      <c r="SY627" s="184"/>
      <c r="TR627" s="183"/>
      <c r="TY627" s="183"/>
      <c r="TZ627" s="183"/>
      <c r="UA627" s="183"/>
      <c r="UD627" s="181"/>
      <c r="UE627" s="181"/>
      <c r="UF627" s="181"/>
      <c r="UG627" s="181"/>
      <c r="UK627" s="183"/>
      <c r="UL627" s="183"/>
      <c r="UM627" s="183"/>
      <c r="UN627" s="183"/>
      <c r="UO627" s="183"/>
      <c r="UP627" s="183"/>
      <c r="UR627" s="184"/>
      <c r="UX627" s="265"/>
      <c r="VA627" s="265"/>
      <c r="VD627" s="402"/>
      <c r="VG627"/>
      <c r="WG627" s="265"/>
      <c r="WH627" s="265"/>
      <c r="WI627" s="265"/>
      <c r="WJ627" s="265"/>
      <c r="WK627" s="265"/>
      <c r="WL627" s="265"/>
    </row>
    <row r="628" spans="412:610" x14ac:dyDescent="0.2">
      <c r="OV628" s="183"/>
      <c r="OW628" s="183"/>
      <c r="OX628" s="183"/>
      <c r="OY628" s="183"/>
      <c r="OZ628" s="183"/>
      <c r="PA628" s="183"/>
      <c r="PG628" s="184"/>
      <c r="PH628" s="184"/>
      <c r="PI628" s="184"/>
      <c r="PJ628" s="184"/>
      <c r="PK628" s="184"/>
      <c r="PL628" s="184"/>
      <c r="PM628" s="183"/>
      <c r="PN628" s="183"/>
      <c r="PO628" s="183"/>
      <c r="PQ628" s="265"/>
      <c r="PR628" s="265"/>
      <c r="PS628" s="265"/>
      <c r="PT628" s="265"/>
      <c r="PU628" s="265"/>
      <c r="PV628" s="265"/>
      <c r="RO628" s="183"/>
      <c r="RQ628" s="183"/>
      <c r="RU628" s="210"/>
      <c r="RW628" s="210"/>
      <c r="SR628" s="183"/>
      <c r="SS628" s="183"/>
      <c r="SX628" s="184"/>
      <c r="SY628" s="184"/>
      <c r="TR628" s="183"/>
      <c r="TY628" s="183"/>
      <c r="TZ628" s="183"/>
      <c r="UA628" s="183"/>
      <c r="UD628" s="181"/>
      <c r="UE628" s="181"/>
      <c r="UF628" s="181"/>
      <c r="UG628" s="181"/>
      <c r="UK628" s="183"/>
      <c r="UL628" s="183"/>
      <c r="UM628" s="183"/>
      <c r="UN628" s="183"/>
      <c r="UO628" s="183"/>
      <c r="UP628" s="183"/>
      <c r="UR628" s="184"/>
      <c r="UX628" s="265"/>
      <c r="VA628" s="265"/>
      <c r="VD628" s="402"/>
      <c r="VG628"/>
      <c r="WG628" s="265"/>
      <c r="WH628" s="265"/>
      <c r="WI628" s="265"/>
      <c r="WJ628" s="265"/>
      <c r="WK628" s="265"/>
      <c r="WL628" s="265"/>
    </row>
    <row r="629" spans="412:610" x14ac:dyDescent="0.2">
      <c r="OV629" s="183"/>
      <c r="OW629" s="183"/>
      <c r="OX629" s="183"/>
      <c r="OY629" s="183"/>
      <c r="OZ629" s="183"/>
      <c r="PA629" s="183"/>
      <c r="PG629" s="184"/>
      <c r="PH629" s="184"/>
      <c r="PI629" s="184"/>
      <c r="PJ629" s="184"/>
      <c r="PK629" s="184"/>
      <c r="PL629" s="184"/>
      <c r="PM629" s="183"/>
      <c r="PN629" s="183"/>
      <c r="PO629" s="183"/>
      <c r="PQ629" s="265"/>
      <c r="PR629" s="265"/>
      <c r="PS629" s="265"/>
      <c r="PT629" s="265"/>
      <c r="PU629" s="265"/>
      <c r="PV629" s="265"/>
      <c r="RO629" s="183"/>
      <c r="RQ629" s="183"/>
      <c r="RU629" s="210"/>
      <c r="RW629" s="210"/>
      <c r="SR629" s="183"/>
      <c r="SS629" s="183"/>
      <c r="SX629" s="184"/>
      <c r="SY629" s="184"/>
      <c r="TR629" s="183"/>
      <c r="TY629" s="183"/>
      <c r="TZ629" s="183"/>
      <c r="UA629" s="183"/>
      <c r="UD629" s="181"/>
      <c r="UE629" s="181"/>
      <c r="UF629" s="181"/>
      <c r="UG629" s="181"/>
      <c r="UK629" s="183"/>
      <c r="UL629" s="183"/>
      <c r="UM629" s="183"/>
      <c r="UN629" s="183"/>
      <c r="UO629" s="183"/>
      <c r="UP629" s="183"/>
      <c r="UR629" s="184"/>
      <c r="UX629" s="265"/>
      <c r="VA629" s="265"/>
      <c r="VD629" s="402"/>
      <c r="VG629"/>
      <c r="WG629" s="265"/>
      <c r="WH629" s="265"/>
      <c r="WI629" s="265"/>
      <c r="WJ629" s="265"/>
      <c r="WK629" s="265"/>
      <c r="WL629" s="265"/>
    </row>
    <row r="630" spans="412:610" x14ac:dyDescent="0.2">
      <c r="OV630" s="183"/>
      <c r="OW630" s="183"/>
      <c r="OX630" s="183"/>
      <c r="OY630" s="183"/>
      <c r="OZ630" s="183"/>
      <c r="PA630" s="183"/>
      <c r="PG630" s="184"/>
      <c r="PH630" s="184"/>
      <c r="PI630" s="184"/>
      <c r="PJ630" s="184"/>
      <c r="PK630" s="184"/>
      <c r="PL630" s="184"/>
      <c r="PM630" s="183"/>
      <c r="PN630" s="183"/>
      <c r="PO630" s="183"/>
      <c r="PQ630" s="265"/>
      <c r="PR630" s="265"/>
      <c r="PS630" s="265"/>
      <c r="PT630" s="265"/>
      <c r="PU630" s="265"/>
      <c r="PV630" s="265"/>
      <c r="RO630" s="183"/>
      <c r="RQ630" s="183"/>
      <c r="RU630" s="210"/>
      <c r="RW630" s="210"/>
      <c r="SR630" s="183"/>
      <c r="SS630" s="183"/>
      <c r="SX630" s="184"/>
      <c r="SY630" s="184"/>
      <c r="TR630" s="183"/>
      <c r="TY630" s="183"/>
      <c r="TZ630" s="183"/>
      <c r="UA630" s="183"/>
      <c r="UD630" s="181"/>
      <c r="UE630" s="181"/>
      <c r="UF630" s="181"/>
      <c r="UG630" s="181"/>
      <c r="UK630" s="183"/>
      <c r="UL630" s="183"/>
      <c r="UM630" s="183"/>
      <c r="UN630" s="183"/>
      <c r="UO630" s="183"/>
      <c r="UP630" s="183"/>
      <c r="UR630" s="184"/>
      <c r="UX630" s="265"/>
      <c r="VA630" s="265"/>
      <c r="VD630" s="402"/>
      <c r="VG630"/>
      <c r="WG630" s="265"/>
      <c r="WH630" s="265"/>
      <c r="WI630" s="265"/>
      <c r="WJ630" s="265"/>
      <c r="WK630" s="265"/>
      <c r="WL630" s="265"/>
    </row>
    <row r="631" spans="412:610" x14ac:dyDescent="0.2">
      <c r="OV631" s="183"/>
      <c r="OW631" s="183"/>
      <c r="OX631" s="183"/>
      <c r="OY631" s="183"/>
      <c r="OZ631" s="183"/>
      <c r="PA631" s="183"/>
      <c r="PG631" s="184"/>
      <c r="PH631" s="184"/>
      <c r="PI631" s="184"/>
      <c r="PJ631" s="184"/>
      <c r="PK631" s="184"/>
      <c r="PL631" s="184"/>
      <c r="PM631" s="183"/>
      <c r="PN631" s="183"/>
      <c r="PO631" s="183"/>
      <c r="PQ631" s="265"/>
      <c r="PR631" s="265"/>
      <c r="PS631" s="265"/>
      <c r="PT631" s="265"/>
      <c r="PU631" s="265"/>
      <c r="PV631" s="265"/>
      <c r="RO631" s="183"/>
      <c r="RQ631" s="183"/>
      <c r="RU631" s="210"/>
      <c r="RW631" s="210"/>
      <c r="SR631" s="183"/>
      <c r="SS631" s="183"/>
      <c r="SX631" s="184"/>
      <c r="SY631" s="184"/>
      <c r="TR631" s="183"/>
      <c r="TY631" s="183"/>
      <c r="TZ631" s="183"/>
      <c r="UA631" s="183"/>
      <c r="UD631" s="181"/>
      <c r="UE631" s="181"/>
      <c r="UF631" s="181"/>
      <c r="UG631" s="181"/>
      <c r="UK631" s="183"/>
      <c r="UL631" s="183"/>
      <c r="UM631" s="183"/>
      <c r="UN631" s="183"/>
      <c r="UO631" s="183"/>
      <c r="UP631" s="183"/>
      <c r="UR631" s="184"/>
      <c r="UX631" s="265"/>
      <c r="VA631" s="265"/>
      <c r="VD631" s="402"/>
      <c r="VG631"/>
      <c r="WG631" s="265"/>
      <c r="WH631" s="265"/>
      <c r="WI631" s="265"/>
      <c r="WJ631" s="265"/>
      <c r="WK631" s="265"/>
      <c r="WL631" s="265"/>
    </row>
    <row r="632" spans="412:610" x14ac:dyDescent="0.2">
      <c r="OV632" s="183"/>
      <c r="OW632" s="183"/>
      <c r="OX632" s="183"/>
      <c r="OY632" s="183"/>
      <c r="OZ632" s="183"/>
      <c r="PA632" s="183"/>
      <c r="PG632" s="184"/>
      <c r="PH632" s="184"/>
      <c r="PI632" s="184"/>
      <c r="PJ632" s="184"/>
      <c r="PK632" s="184"/>
      <c r="PL632" s="184"/>
      <c r="PM632" s="183"/>
      <c r="PN632" s="183"/>
      <c r="PO632" s="183"/>
      <c r="PQ632" s="265"/>
      <c r="PR632" s="265"/>
      <c r="PS632" s="265"/>
      <c r="PT632" s="265"/>
      <c r="PU632" s="265"/>
      <c r="PV632" s="265"/>
      <c r="RO632" s="183"/>
      <c r="RQ632" s="183"/>
      <c r="RU632" s="210"/>
      <c r="RW632" s="210"/>
      <c r="SR632" s="183"/>
      <c r="SS632" s="183"/>
      <c r="SX632" s="184"/>
      <c r="SY632" s="184"/>
      <c r="TR632" s="183"/>
      <c r="TY632" s="183"/>
      <c r="TZ632" s="183"/>
      <c r="UA632" s="183"/>
      <c r="UD632" s="181"/>
      <c r="UE632" s="181"/>
      <c r="UF632" s="181"/>
      <c r="UG632" s="181"/>
      <c r="UK632" s="183"/>
      <c r="UL632" s="183"/>
      <c r="UM632" s="183"/>
      <c r="UN632" s="183"/>
      <c r="UO632" s="183"/>
      <c r="UP632" s="183"/>
      <c r="UR632" s="184"/>
      <c r="UX632" s="265"/>
      <c r="VA632" s="265"/>
      <c r="VD632" s="402"/>
      <c r="VG632"/>
      <c r="WG632" s="265"/>
      <c r="WH632" s="265"/>
      <c r="WI632" s="265"/>
      <c r="WJ632" s="265"/>
      <c r="WK632" s="265"/>
      <c r="WL632" s="265"/>
    </row>
    <row r="633" spans="412:610" x14ac:dyDescent="0.2">
      <c r="OV633" s="183"/>
      <c r="OW633" s="183"/>
      <c r="OX633" s="183"/>
      <c r="OY633" s="183"/>
      <c r="OZ633" s="183"/>
      <c r="PA633" s="183"/>
      <c r="PG633" s="184"/>
      <c r="PH633" s="184"/>
      <c r="PI633" s="184"/>
      <c r="PJ633" s="184"/>
      <c r="PK633" s="184"/>
      <c r="PL633" s="184"/>
      <c r="PM633" s="183"/>
      <c r="PN633" s="183"/>
      <c r="PO633" s="183"/>
      <c r="PQ633" s="265"/>
      <c r="PR633" s="265"/>
      <c r="PS633" s="265"/>
      <c r="PT633" s="265"/>
      <c r="PU633" s="265"/>
      <c r="PV633" s="265"/>
      <c r="RO633" s="183"/>
      <c r="RQ633" s="183"/>
      <c r="RU633" s="210"/>
      <c r="RW633" s="210"/>
      <c r="SR633" s="183"/>
      <c r="SS633" s="183"/>
      <c r="SX633" s="184"/>
      <c r="SY633" s="184"/>
      <c r="TR633" s="183"/>
      <c r="TY633" s="183"/>
      <c r="TZ633" s="183"/>
      <c r="UA633" s="183"/>
      <c r="UD633" s="181"/>
      <c r="UE633" s="181"/>
      <c r="UF633" s="181"/>
      <c r="UG633" s="181"/>
      <c r="UK633" s="183"/>
      <c r="UL633" s="183"/>
      <c r="UM633" s="183"/>
      <c r="UN633" s="183"/>
      <c r="UO633" s="183"/>
      <c r="UP633" s="183"/>
      <c r="UR633" s="184"/>
      <c r="UX633" s="265"/>
      <c r="VA633" s="265"/>
      <c r="VD633" s="402"/>
      <c r="VG633"/>
      <c r="WG633" s="265"/>
      <c r="WH633" s="265"/>
      <c r="WI633" s="265"/>
      <c r="WJ633" s="265"/>
      <c r="WK633" s="265"/>
      <c r="WL633" s="265"/>
    </row>
    <row r="634" spans="412:610" x14ac:dyDescent="0.2">
      <c r="OV634" s="183"/>
      <c r="OW634" s="183"/>
      <c r="OX634" s="183"/>
      <c r="OY634" s="183"/>
      <c r="OZ634" s="183"/>
      <c r="PA634" s="183"/>
      <c r="PG634" s="184"/>
      <c r="PH634" s="184"/>
      <c r="PI634" s="184"/>
      <c r="PJ634" s="184"/>
      <c r="PK634" s="184"/>
      <c r="PL634" s="184"/>
      <c r="PM634" s="183"/>
      <c r="PN634" s="183"/>
      <c r="PO634" s="183"/>
      <c r="PQ634" s="265"/>
      <c r="PR634" s="265"/>
      <c r="PS634" s="265"/>
      <c r="PT634" s="265"/>
      <c r="PU634" s="265"/>
      <c r="PV634" s="265"/>
      <c r="RO634" s="183"/>
      <c r="RQ634" s="183"/>
      <c r="RU634" s="210"/>
      <c r="RW634" s="210"/>
      <c r="SR634" s="183"/>
      <c r="SS634" s="183"/>
      <c r="SX634" s="184"/>
      <c r="SY634" s="184"/>
      <c r="TR634" s="183"/>
      <c r="TY634" s="183"/>
      <c r="TZ634" s="183"/>
      <c r="UA634" s="183"/>
      <c r="UD634" s="181"/>
      <c r="UE634" s="181"/>
      <c r="UF634" s="181"/>
      <c r="UG634" s="181"/>
      <c r="UK634" s="183"/>
      <c r="UL634" s="183"/>
      <c r="UM634" s="183"/>
      <c r="UN634" s="183"/>
      <c r="UO634" s="183"/>
      <c r="UP634" s="183"/>
      <c r="UR634" s="184"/>
      <c r="UX634" s="265"/>
      <c r="VA634" s="265"/>
      <c r="VD634" s="402"/>
      <c r="VG634"/>
      <c r="WG634" s="265"/>
      <c r="WH634" s="265"/>
      <c r="WI634" s="265"/>
      <c r="WJ634" s="265"/>
      <c r="WK634" s="265"/>
      <c r="WL634" s="265"/>
    </row>
    <row r="644" spans="412:609" x14ac:dyDescent="0.2">
      <c r="OV644" s="183"/>
      <c r="OW644" s="183"/>
      <c r="OX644" s="183"/>
      <c r="OY644" s="183"/>
      <c r="OZ644" s="183"/>
      <c r="PG644" s="184"/>
      <c r="PH644" s="184"/>
      <c r="PI644" s="184"/>
      <c r="PJ644" s="184"/>
      <c r="PK644" s="184"/>
      <c r="PL644" s="183"/>
      <c r="PM644" s="183"/>
      <c r="PN644" s="183"/>
      <c r="PQ644" s="265"/>
      <c r="PR644" s="265"/>
      <c r="PS644" s="265"/>
      <c r="PT644" s="265"/>
      <c r="PU644" s="265"/>
      <c r="RO644" s="183"/>
      <c r="RQ644" s="183"/>
      <c r="RT644" s="210"/>
      <c r="RV644" s="210"/>
      <c r="SR644" s="183"/>
      <c r="SS644" s="183"/>
      <c r="SW644" s="184"/>
      <c r="SX644" s="184"/>
      <c r="TR644" s="183"/>
      <c r="TW644" s="181"/>
      <c r="TX644" s="183"/>
      <c r="TY644" s="183"/>
      <c r="TZ644" s="183"/>
      <c r="UA644" s="183"/>
      <c r="UC644" s="181"/>
      <c r="UD644" s="181"/>
      <c r="UE644" s="181"/>
      <c r="UF644" s="181"/>
      <c r="UK644" s="183"/>
      <c r="UL644" s="183"/>
      <c r="UM644" s="183"/>
      <c r="UN644" s="183"/>
      <c r="UO644" s="183"/>
      <c r="UQ644" s="184"/>
      <c r="UX644" s="265"/>
      <c r="VA644" s="265"/>
      <c r="VC644" s="402"/>
      <c r="VF644"/>
      <c r="WG644" s="265"/>
      <c r="WH644" s="265"/>
      <c r="WI644" s="265"/>
      <c r="WJ644" s="265"/>
      <c r="WK644" s="265"/>
    </row>
    <row r="645" spans="412:609" x14ac:dyDescent="0.2">
      <c r="OV645" s="183"/>
      <c r="OW645" s="183"/>
      <c r="OX645" s="183"/>
      <c r="OY645" s="183"/>
      <c r="OZ645" s="183"/>
      <c r="PG645" s="184"/>
      <c r="PH645" s="184"/>
      <c r="PI645" s="184"/>
      <c r="PJ645" s="184"/>
      <c r="PK645" s="184"/>
      <c r="PL645" s="183"/>
      <c r="PM645" s="183"/>
      <c r="PN645" s="183"/>
      <c r="PQ645" s="265"/>
      <c r="PR645" s="265"/>
      <c r="PS645" s="265"/>
      <c r="PT645" s="265"/>
      <c r="PU645" s="265"/>
      <c r="RO645" s="183"/>
      <c r="RQ645" s="183"/>
      <c r="RT645" s="210"/>
      <c r="RV645" s="210"/>
      <c r="SR645" s="183"/>
      <c r="SS645" s="183"/>
      <c r="SW645" s="184"/>
      <c r="SX645" s="184"/>
      <c r="TR645" s="183"/>
      <c r="TW645" s="181"/>
      <c r="TX645" s="183"/>
      <c r="TY645" s="183"/>
      <c r="TZ645" s="183"/>
      <c r="UA645" s="183"/>
      <c r="UC645" s="181"/>
      <c r="UD645" s="181"/>
      <c r="UE645" s="181"/>
      <c r="UF645" s="181"/>
      <c r="UK645" s="183"/>
      <c r="UL645" s="183"/>
      <c r="UM645" s="183"/>
      <c r="UN645" s="183"/>
      <c r="UO645" s="183"/>
      <c r="UQ645" s="184"/>
      <c r="UX645" s="265"/>
      <c r="VA645" s="265"/>
      <c r="VC645" s="402"/>
      <c r="VF645"/>
      <c r="WG645" s="265"/>
      <c r="WH645" s="265"/>
      <c r="WI645" s="265"/>
      <c r="WJ645" s="265"/>
      <c r="WK645" s="265"/>
    </row>
    <row r="646" spans="412:609" x14ac:dyDescent="0.2">
      <c r="OV646" s="183"/>
      <c r="OW646" s="183"/>
      <c r="OX646" s="183"/>
      <c r="OY646" s="183"/>
      <c r="OZ646" s="183"/>
      <c r="PG646" s="184"/>
      <c r="PH646" s="184"/>
      <c r="PI646" s="184"/>
      <c r="PJ646" s="184"/>
      <c r="PK646" s="184"/>
      <c r="PL646" s="183"/>
      <c r="PM646" s="183"/>
      <c r="PN646" s="183"/>
      <c r="PQ646" s="265"/>
      <c r="PR646" s="265"/>
      <c r="PS646" s="265"/>
      <c r="PT646" s="265"/>
      <c r="PU646" s="265"/>
      <c r="RO646" s="183"/>
      <c r="RQ646" s="183"/>
      <c r="RT646" s="210"/>
      <c r="RV646" s="210"/>
      <c r="SR646" s="183"/>
      <c r="SS646" s="183"/>
      <c r="SW646" s="184"/>
      <c r="SX646" s="184"/>
      <c r="TR646" s="183"/>
      <c r="TW646" s="181"/>
      <c r="TX646" s="183"/>
      <c r="TY646" s="183"/>
      <c r="TZ646" s="183"/>
      <c r="UA646" s="183"/>
      <c r="UC646" s="181"/>
      <c r="UD646" s="181"/>
      <c r="UE646" s="181"/>
      <c r="UF646" s="181"/>
      <c r="UK646" s="183"/>
      <c r="UL646" s="183"/>
      <c r="UM646" s="183"/>
      <c r="UN646" s="183"/>
      <c r="UO646" s="183"/>
      <c r="UQ646" s="184"/>
      <c r="UX646" s="265"/>
      <c r="VA646" s="265"/>
      <c r="VC646" s="402"/>
      <c r="VF646"/>
      <c r="WG646" s="265"/>
      <c r="WH646" s="265"/>
      <c r="WI646" s="265"/>
      <c r="WJ646" s="265"/>
      <c r="WK646" s="265"/>
    </row>
    <row r="647" spans="412:609" x14ac:dyDescent="0.2">
      <c r="OV647" s="183"/>
      <c r="OW647" s="183"/>
      <c r="OX647" s="183"/>
      <c r="OY647" s="183"/>
      <c r="OZ647" s="183"/>
      <c r="PG647" s="184"/>
      <c r="PH647" s="184"/>
      <c r="PI647" s="184"/>
      <c r="PJ647" s="184"/>
      <c r="PK647" s="184"/>
      <c r="PL647" s="183"/>
      <c r="PM647" s="183"/>
      <c r="PN647" s="183"/>
      <c r="PQ647" s="265"/>
      <c r="PR647" s="265"/>
      <c r="PS647" s="265"/>
      <c r="PT647" s="265"/>
      <c r="PU647" s="265"/>
      <c r="RO647" s="183"/>
      <c r="RQ647" s="183"/>
      <c r="RT647" s="210"/>
      <c r="RV647" s="210"/>
      <c r="SR647" s="183"/>
      <c r="SS647" s="183"/>
      <c r="SW647" s="184"/>
      <c r="SX647" s="184"/>
      <c r="TR647" s="183"/>
      <c r="TW647" s="181"/>
      <c r="TX647" s="183"/>
      <c r="TY647" s="183"/>
      <c r="TZ647" s="183"/>
      <c r="UA647" s="183"/>
      <c r="UC647" s="181"/>
      <c r="UD647" s="181"/>
      <c r="UE647" s="181"/>
      <c r="UF647" s="181"/>
      <c r="UK647" s="183"/>
      <c r="UL647" s="183"/>
      <c r="UM647" s="183"/>
      <c r="UN647" s="183"/>
      <c r="UO647" s="183"/>
      <c r="UQ647" s="184"/>
      <c r="UX647" s="265"/>
      <c r="VA647" s="265"/>
      <c r="VC647" s="402"/>
      <c r="VF647"/>
      <c r="WG647" s="265"/>
      <c r="WH647" s="265"/>
      <c r="WI647" s="265"/>
      <c r="WJ647" s="265"/>
      <c r="WK647" s="265"/>
    </row>
    <row r="648" spans="412:609" x14ac:dyDescent="0.2">
      <c r="OV648" s="183"/>
      <c r="OW648" s="183"/>
      <c r="OX648" s="183"/>
      <c r="OY648" s="183"/>
      <c r="OZ648" s="183"/>
      <c r="PG648" s="184"/>
      <c r="PH648" s="184"/>
      <c r="PI648" s="184"/>
      <c r="PJ648" s="184"/>
      <c r="PK648" s="184"/>
      <c r="PL648" s="183"/>
      <c r="PM648" s="183"/>
      <c r="PN648" s="183"/>
      <c r="PQ648" s="265"/>
      <c r="PR648" s="265"/>
      <c r="PS648" s="265"/>
      <c r="PT648" s="265"/>
      <c r="PU648" s="265"/>
      <c r="RO648" s="183"/>
      <c r="RQ648" s="183"/>
      <c r="RT648" s="210"/>
      <c r="RV648" s="210"/>
      <c r="SR648" s="183"/>
      <c r="SS648" s="183"/>
      <c r="SW648" s="184"/>
      <c r="SX648" s="184"/>
      <c r="TR648" s="183"/>
      <c r="TW648" s="181"/>
      <c r="TX648" s="183"/>
      <c r="TY648" s="183"/>
      <c r="TZ648" s="183"/>
      <c r="UA648" s="183"/>
      <c r="UC648" s="181"/>
      <c r="UD648" s="181"/>
      <c r="UE648" s="181"/>
      <c r="UF648" s="181"/>
      <c r="UK648" s="183"/>
      <c r="UL648" s="183"/>
      <c r="UM648" s="183"/>
      <c r="UN648" s="183"/>
      <c r="UO648" s="183"/>
      <c r="UQ648" s="184"/>
      <c r="UX648" s="265"/>
      <c r="VA648" s="265"/>
      <c r="VC648" s="402"/>
      <c r="VF648"/>
      <c r="WG648" s="265"/>
      <c r="WH648" s="265"/>
      <c r="WI648" s="265"/>
      <c r="WJ648" s="265"/>
      <c r="WK648" s="265"/>
    </row>
    <row r="649" spans="412:609" x14ac:dyDescent="0.2">
      <c r="OV649" s="183"/>
      <c r="OW649" s="183"/>
      <c r="OX649" s="183"/>
      <c r="OY649" s="183"/>
      <c r="OZ649" s="183"/>
      <c r="PG649" s="184"/>
      <c r="PH649" s="184"/>
      <c r="PI649" s="184"/>
      <c r="PJ649" s="184"/>
      <c r="PK649" s="184"/>
      <c r="PL649" s="183"/>
      <c r="PM649" s="183"/>
      <c r="PN649" s="183"/>
      <c r="PQ649" s="265"/>
      <c r="PR649" s="265"/>
      <c r="PS649" s="265"/>
      <c r="PT649" s="265"/>
      <c r="PU649" s="265"/>
      <c r="RO649" s="183"/>
      <c r="RQ649" s="183"/>
      <c r="RT649" s="210"/>
      <c r="RV649" s="210"/>
      <c r="SR649" s="183"/>
      <c r="SS649" s="183"/>
      <c r="SW649" s="184"/>
      <c r="SX649" s="184"/>
      <c r="TR649" s="183"/>
      <c r="TW649" s="181"/>
      <c r="TX649" s="183"/>
      <c r="TY649" s="183"/>
      <c r="TZ649" s="183"/>
      <c r="UA649" s="183"/>
      <c r="UC649" s="181"/>
      <c r="UD649" s="181"/>
      <c r="UE649" s="181"/>
      <c r="UF649" s="181"/>
      <c r="UK649" s="183"/>
      <c r="UL649" s="183"/>
      <c r="UM649" s="183"/>
      <c r="UN649" s="183"/>
      <c r="UO649" s="183"/>
      <c r="UQ649" s="184"/>
      <c r="UX649" s="265"/>
      <c r="VA649" s="265"/>
      <c r="VC649" s="402"/>
      <c r="VF649"/>
      <c r="WG649" s="265"/>
      <c r="WH649" s="265"/>
      <c r="WI649" s="265"/>
      <c r="WJ649" s="265"/>
      <c r="WK649" s="265"/>
    </row>
    <row r="650" spans="412:609" x14ac:dyDescent="0.2">
      <c r="OV650" s="183"/>
      <c r="OW650" s="183"/>
      <c r="OX650" s="183"/>
      <c r="OY650" s="183"/>
      <c r="OZ650" s="183"/>
      <c r="PG650" s="184"/>
      <c r="PH650" s="184"/>
      <c r="PI650" s="184"/>
      <c r="PJ650" s="184"/>
      <c r="PK650" s="184"/>
      <c r="PL650" s="183"/>
      <c r="PM650" s="183"/>
      <c r="PN650" s="183"/>
      <c r="PQ650" s="265"/>
      <c r="PR650" s="265"/>
      <c r="PS650" s="265"/>
      <c r="PT650" s="265"/>
      <c r="PU650" s="265"/>
      <c r="RO650" s="183"/>
      <c r="RQ650" s="183"/>
      <c r="RT650" s="210"/>
      <c r="RV650" s="210"/>
      <c r="SR650" s="183"/>
      <c r="SS650" s="183"/>
      <c r="SW650" s="184"/>
      <c r="SX650" s="184"/>
      <c r="TR650" s="183"/>
      <c r="TW650" s="181"/>
      <c r="TX650" s="183"/>
      <c r="TY650" s="183"/>
      <c r="TZ650" s="183"/>
      <c r="UA650" s="183"/>
      <c r="UC650" s="181"/>
      <c r="UD650" s="181"/>
      <c r="UE650" s="181"/>
      <c r="UF650" s="181"/>
      <c r="UK650" s="183"/>
      <c r="UL650" s="183"/>
      <c r="UM650" s="183"/>
      <c r="UN650" s="183"/>
      <c r="UO650" s="183"/>
      <c r="UQ650" s="184"/>
      <c r="UX650" s="265"/>
      <c r="VA650" s="265"/>
      <c r="VC650" s="402"/>
      <c r="VF650"/>
      <c r="WG650" s="265"/>
      <c r="WH650" s="265"/>
      <c r="WI650" s="265"/>
      <c r="WJ650" s="265"/>
      <c r="WK650" s="265"/>
    </row>
    <row r="651" spans="412:609" x14ac:dyDescent="0.2">
      <c r="OV651" s="183"/>
      <c r="OW651" s="183"/>
      <c r="OX651" s="183"/>
      <c r="OY651" s="183"/>
      <c r="OZ651" s="183"/>
      <c r="PG651" s="184"/>
      <c r="PH651" s="184"/>
      <c r="PI651" s="184"/>
      <c r="PJ651" s="184"/>
      <c r="PK651" s="184"/>
      <c r="PL651" s="183"/>
      <c r="PM651" s="183"/>
      <c r="PN651" s="183"/>
      <c r="PQ651" s="265"/>
      <c r="PR651" s="265"/>
      <c r="PS651" s="265"/>
      <c r="PT651" s="265"/>
      <c r="PU651" s="265"/>
      <c r="RO651" s="183"/>
      <c r="RQ651" s="183"/>
      <c r="RT651" s="210"/>
      <c r="RV651" s="210"/>
      <c r="SR651" s="183"/>
      <c r="SS651" s="183"/>
      <c r="SW651" s="184"/>
      <c r="SX651" s="184"/>
      <c r="TR651" s="183"/>
      <c r="TW651" s="181"/>
      <c r="TX651" s="183"/>
      <c r="TY651" s="183"/>
      <c r="TZ651" s="183"/>
      <c r="UA651" s="183"/>
      <c r="UC651" s="181"/>
      <c r="UD651" s="181"/>
      <c r="UE651" s="181"/>
      <c r="UF651" s="181"/>
      <c r="UK651" s="183"/>
      <c r="UL651" s="183"/>
      <c r="UM651" s="183"/>
      <c r="UN651" s="183"/>
      <c r="UO651" s="183"/>
      <c r="UQ651" s="184"/>
      <c r="UX651" s="265"/>
      <c r="VA651" s="265"/>
      <c r="VC651" s="402"/>
      <c r="VF651"/>
      <c r="WG651" s="265"/>
      <c r="WH651" s="265"/>
      <c r="WI651" s="265"/>
      <c r="WJ651" s="265"/>
      <c r="WK651" s="265"/>
    </row>
    <row r="652" spans="412:609" x14ac:dyDescent="0.2">
      <c r="OV652" s="183"/>
      <c r="OW652" s="183"/>
      <c r="OX652" s="183"/>
      <c r="OY652" s="183"/>
      <c r="OZ652" s="183"/>
      <c r="PG652" s="184"/>
      <c r="PH652" s="184"/>
      <c r="PI652" s="184"/>
      <c r="PJ652" s="184"/>
      <c r="PK652" s="184"/>
      <c r="PL652" s="183"/>
      <c r="PM652" s="183"/>
      <c r="PN652" s="183"/>
      <c r="PQ652" s="265"/>
      <c r="PR652" s="265"/>
      <c r="PS652" s="265"/>
      <c r="PT652" s="265"/>
      <c r="PU652" s="265"/>
      <c r="RO652" s="183"/>
      <c r="RQ652" s="183"/>
      <c r="RT652" s="210"/>
      <c r="RV652" s="210"/>
      <c r="SR652" s="183"/>
      <c r="SS652" s="183"/>
      <c r="SW652" s="184"/>
      <c r="SX652" s="184"/>
      <c r="TR652" s="183"/>
      <c r="TW652" s="181"/>
      <c r="TX652" s="183"/>
      <c r="TY652" s="183"/>
      <c r="TZ652" s="183"/>
      <c r="UA652" s="183"/>
      <c r="UC652" s="181"/>
      <c r="UD652" s="181"/>
      <c r="UE652" s="181"/>
      <c r="UF652" s="181"/>
      <c r="UK652" s="183"/>
      <c r="UL652" s="183"/>
      <c r="UM652" s="183"/>
      <c r="UN652" s="183"/>
      <c r="UO652" s="183"/>
      <c r="UQ652" s="184"/>
      <c r="UX652" s="265"/>
      <c r="VA652" s="265"/>
      <c r="VC652" s="402"/>
      <c r="VF652"/>
      <c r="WG652" s="265"/>
      <c r="WH652" s="265"/>
      <c r="WI652" s="265"/>
      <c r="WJ652" s="265"/>
      <c r="WK652" s="265"/>
    </row>
    <row r="653" spans="412:609" x14ac:dyDescent="0.2">
      <c r="OV653" s="183"/>
      <c r="OW653" s="183"/>
      <c r="OX653" s="183"/>
      <c r="OY653" s="183"/>
      <c r="OZ653" s="183"/>
      <c r="PG653" s="184"/>
      <c r="PH653" s="184"/>
      <c r="PI653" s="184"/>
      <c r="PJ653" s="184"/>
      <c r="PK653" s="184"/>
      <c r="PL653" s="183"/>
      <c r="PM653" s="183"/>
      <c r="PN653" s="183"/>
      <c r="PQ653" s="265"/>
      <c r="PR653" s="265"/>
      <c r="PS653" s="265"/>
      <c r="PT653" s="265"/>
      <c r="PU653" s="265"/>
      <c r="RO653" s="183"/>
      <c r="RQ653" s="183"/>
      <c r="RT653" s="210"/>
      <c r="RV653" s="210"/>
      <c r="SR653" s="183"/>
      <c r="SS653" s="183"/>
      <c r="SW653" s="184"/>
      <c r="SX653" s="184"/>
      <c r="TR653" s="183"/>
      <c r="TW653" s="181"/>
      <c r="TX653" s="183"/>
      <c r="TY653" s="183"/>
      <c r="TZ653" s="183"/>
      <c r="UA653" s="183"/>
      <c r="UC653" s="181"/>
      <c r="UD653" s="181"/>
      <c r="UE653" s="181"/>
      <c r="UF653" s="181"/>
      <c r="UK653" s="183"/>
      <c r="UL653" s="183"/>
      <c r="UM653" s="183"/>
      <c r="UN653" s="183"/>
      <c r="UO653" s="183"/>
      <c r="UQ653" s="184"/>
      <c r="UX653" s="265"/>
      <c r="VA653" s="265"/>
      <c r="VC653" s="402"/>
      <c r="VF653"/>
      <c r="WG653" s="265"/>
      <c r="WH653" s="265"/>
      <c r="WI653" s="265"/>
      <c r="WJ653" s="265"/>
      <c r="WK653" s="265"/>
    </row>
    <row r="717" spans="412:609" x14ac:dyDescent="0.2">
      <c r="OV717" s="183"/>
      <c r="OW717" s="183"/>
      <c r="OX717" s="183"/>
      <c r="OY717" s="183"/>
      <c r="OZ717" s="183"/>
      <c r="PG717" s="184"/>
      <c r="PH717" s="184"/>
      <c r="PI717" s="184"/>
      <c r="PJ717" s="184"/>
      <c r="PK717" s="184"/>
      <c r="PL717" s="183"/>
      <c r="PM717" s="183"/>
      <c r="PN717" s="183"/>
      <c r="PQ717" s="265"/>
      <c r="PR717" s="265"/>
      <c r="PS717" s="265"/>
      <c r="PT717" s="265"/>
      <c r="PU717" s="265"/>
      <c r="RO717" s="183"/>
      <c r="RQ717" s="183"/>
      <c r="RT717" s="210"/>
      <c r="RV717" s="210"/>
      <c r="SR717" s="183"/>
      <c r="SS717" s="183"/>
      <c r="SW717" s="184"/>
      <c r="SX717" s="184"/>
      <c r="TR717" s="183"/>
      <c r="TW717" s="181"/>
      <c r="TX717" s="183"/>
      <c r="TY717" s="183"/>
      <c r="TZ717" s="183"/>
      <c r="UA717" s="183"/>
      <c r="UC717" s="181"/>
      <c r="UD717" s="181"/>
      <c r="UE717" s="181"/>
      <c r="UF717" s="181"/>
      <c r="UK717" s="183"/>
      <c r="UL717" s="183"/>
      <c r="UM717" s="183"/>
      <c r="UN717" s="183"/>
      <c r="UO717" s="183"/>
      <c r="UQ717" s="184"/>
      <c r="UX717" s="265"/>
      <c r="VA717" s="265"/>
      <c r="VC717" s="402"/>
      <c r="VF717"/>
      <c r="WG717" s="265"/>
      <c r="WH717" s="265"/>
      <c r="WI717" s="265"/>
      <c r="WJ717" s="265"/>
      <c r="WK717" s="265"/>
    </row>
    <row r="718" spans="412:609" x14ac:dyDescent="0.2">
      <c r="OV718" s="183"/>
      <c r="OW718" s="183"/>
      <c r="OX718" s="183"/>
      <c r="OY718" s="183"/>
      <c r="OZ718" s="183"/>
      <c r="PG718" s="184"/>
      <c r="PH718" s="184"/>
      <c r="PI718" s="184"/>
      <c r="PJ718" s="184"/>
      <c r="PK718" s="184"/>
      <c r="PL718" s="183"/>
      <c r="PM718" s="183"/>
      <c r="PN718" s="183"/>
      <c r="PQ718" s="265"/>
      <c r="PR718" s="265"/>
      <c r="PS718" s="265"/>
      <c r="PT718" s="265"/>
      <c r="PU718" s="265"/>
      <c r="RO718" s="183"/>
      <c r="RQ718" s="183"/>
      <c r="RT718" s="210"/>
      <c r="RV718" s="210"/>
      <c r="SR718" s="183"/>
      <c r="SS718" s="183"/>
      <c r="SW718" s="184"/>
      <c r="SX718" s="184"/>
      <c r="TR718" s="183"/>
      <c r="TW718" s="181"/>
      <c r="TX718" s="183"/>
      <c r="TY718" s="183"/>
      <c r="TZ718" s="183"/>
      <c r="UA718" s="183"/>
      <c r="UC718" s="181"/>
      <c r="UD718" s="181"/>
      <c r="UE718" s="181"/>
      <c r="UF718" s="181"/>
      <c r="UK718" s="183"/>
      <c r="UL718" s="183"/>
      <c r="UM718" s="183"/>
      <c r="UN718" s="183"/>
      <c r="UO718" s="183"/>
      <c r="UQ718" s="184"/>
      <c r="UX718" s="265"/>
      <c r="VA718" s="265"/>
      <c r="VC718" s="402"/>
      <c r="VF718"/>
      <c r="WG718" s="265"/>
      <c r="WH718" s="265"/>
      <c r="WI718" s="265"/>
      <c r="WJ718" s="265"/>
      <c r="WK718" s="265"/>
    </row>
    <row r="719" spans="412:609" x14ac:dyDescent="0.2">
      <c r="OV719" s="183"/>
      <c r="OW719" s="183"/>
      <c r="OX719" s="183"/>
      <c r="OY719" s="183"/>
      <c r="OZ719" s="183"/>
      <c r="PG719" s="184"/>
      <c r="PH719" s="184"/>
      <c r="PI719" s="184"/>
      <c r="PJ719" s="184"/>
      <c r="PK719" s="184"/>
      <c r="PL719" s="183"/>
      <c r="PM719" s="183"/>
      <c r="PN719" s="183"/>
      <c r="PQ719" s="265"/>
      <c r="PR719" s="265"/>
      <c r="PS719" s="265"/>
      <c r="PT719" s="265"/>
      <c r="PU719" s="265"/>
      <c r="RO719" s="183"/>
      <c r="RQ719" s="183"/>
      <c r="RT719" s="210"/>
      <c r="RV719" s="210"/>
      <c r="SR719" s="183"/>
      <c r="SS719" s="183"/>
      <c r="SW719" s="184"/>
      <c r="SX719" s="184"/>
      <c r="TR719" s="183"/>
      <c r="TW719" s="181"/>
      <c r="TX719" s="183"/>
      <c r="TY719" s="183"/>
      <c r="TZ719" s="183"/>
      <c r="UA719" s="183"/>
      <c r="UC719" s="181"/>
      <c r="UD719" s="181"/>
      <c r="UE719" s="181"/>
      <c r="UF719" s="181"/>
      <c r="UK719" s="183"/>
      <c r="UL719" s="183"/>
      <c r="UM719" s="183"/>
      <c r="UN719" s="183"/>
      <c r="UO719" s="183"/>
      <c r="UQ719" s="184"/>
      <c r="UX719" s="265"/>
      <c r="VA719" s="265"/>
      <c r="VC719" s="402"/>
      <c r="VF719"/>
      <c r="WG719" s="265"/>
      <c r="WH719" s="265"/>
      <c r="WI719" s="265"/>
      <c r="WJ719" s="265"/>
      <c r="WK719" s="265"/>
    </row>
    <row r="720" spans="412:609" x14ac:dyDescent="0.2">
      <c r="OV720" s="183"/>
      <c r="OW720" s="183"/>
      <c r="OX720" s="183"/>
      <c r="OY720" s="183"/>
      <c r="OZ720" s="183"/>
      <c r="PG720" s="184"/>
      <c r="PH720" s="184"/>
      <c r="PI720" s="184"/>
      <c r="PJ720" s="184"/>
      <c r="PK720" s="184"/>
      <c r="PL720" s="183"/>
      <c r="PM720" s="183"/>
      <c r="PN720" s="183"/>
      <c r="PQ720" s="265"/>
      <c r="PR720" s="265"/>
      <c r="PS720" s="265"/>
      <c r="PT720" s="265"/>
      <c r="PU720" s="265"/>
      <c r="RO720" s="183"/>
      <c r="RQ720" s="183"/>
      <c r="RT720" s="210"/>
      <c r="RV720" s="210"/>
      <c r="SR720" s="183"/>
      <c r="SS720" s="183"/>
      <c r="SW720" s="184"/>
      <c r="SX720" s="184"/>
      <c r="TR720" s="183"/>
      <c r="TW720" s="181"/>
      <c r="TX720" s="183"/>
      <c r="TY720" s="183"/>
      <c r="TZ720" s="183"/>
      <c r="UA720" s="183"/>
      <c r="UC720" s="181"/>
      <c r="UD720" s="181"/>
      <c r="UE720" s="181"/>
      <c r="UF720" s="181"/>
      <c r="UK720" s="183"/>
      <c r="UL720" s="183"/>
      <c r="UM720" s="183"/>
      <c r="UN720" s="183"/>
      <c r="UO720" s="183"/>
      <c r="UQ720" s="184"/>
      <c r="UX720" s="265"/>
      <c r="VA720" s="265"/>
      <c r="VC720" s="402"/>
      <c r="VF720"/>
      <c r="WG720" s="265"/>
      <c r="WH720" s="265"/>
      <c r="WI720" s="265"/>
      <c r="WJ720" s="265"/>
      <c r="WK720" s="265"/>
    </row>
    <row r="721" spans="412:609" x14ac:dyDescent="0.2">
      <c r="OV721" s="183"/>
      <c r="OW721" s="183"/>
      <c r="OX721" s="183"/>
      <c r="OY721" s="183"/>
      <c r="OZ721" s="183"/>
      <c r="PG721" s="184"/>
      <c r="PH721" s="184"/>
      <c r="PI721" s="184"/>
      <c r="PJ721" s="184"/>
      <c r="PK721" s="184"/>
      <c r="PL721" s="183"/>
      <c r="PM721" s="183"/>
      <c r="PN721" s="183"/>
      <c r="PQ721" s="265"/>
      <c r="PR721" s="265"/>
      <c r="PS721" s="265"/>
      <c r="PT721" s="265"/>
      <c r="PU721" s="265"/>
      <c r="RO721" s="183"/>
      <c r="RQ721" s="183"/>
      <c r="RT721" s="210"/>
      <c r="RV721" s="210"/>
      <c r="SR721" s="183"/>
      <c r="SS721" s="183"/>
      <c r="SW721" s="184"/>
      <c r="SX721" s="184"/>
      <c r="TR721" s="183"/>
      <c r="TW721" s="181"/>
      <c r="TX721" s="183"/>
      <c r="TY721" s="183"/>
      <c r="TZ721" s="183"/>
      <c r="UA721" s="183"/>
      <c r="UC721" s="181"/>
      <c r="UD721" s="181"/>
      <c r="UE721" s="181"/>
      <c r="UF721" s="181"/>
      <c r="UK721" s="183"/>
      <c r="UL721" s="183"/>
      <c r="UM721" s="183"/>
      <c r="UN721" s="183"/>
      <c r="UO721" s="183"/>
      <c r="UQ721" s="184"/>
      <c r="UX721" s="265"/>
      <c r="VA721" s="265"/>
      <c r="VC721" s="402"/>
      <c r="VF721"/>
      <c r="WG721" s="265"/>
      <c r="WH721" s="265"/>
      <c r="WI721" s="265"/>
      <c r="WJ721" s="265"/>
      <c r="WK721" s="265"/>
    </row>
    <row r="722" spans="412:609" x14ac:dyDescent="0.2">
      <c r="OV722" s="183"/>
      <c r="OW722" s="183"/>
      <c r="OX722" s="183"/>
      <c r="OY722" s="183"/>
      <c r="OZ722" s="183"/>
      <c r="PG722" s="184"/>
      <c r="PH722" s="184"/>
      <c r="PI722" s="184"/>
      <c r="PJ722" s="184"/>
      <c r="PK722" s="184"/>
      <c r="PL722" s="183"/>
      <c r="PM722" s="183"/>
      <c r="PN722" s="183"/>
      <c r="PQ722" s="265"/>
      <c r="PR722" s="265"/>
      <c r="PS722" s="265"/>
      <c r="PT722" s="265"/>
      <c r="PU722" s="265"/>
      <c r="RO722" s="183"/>
      <c r="RQ722" s="183"/>
      <c r="RT722" s="210"/>
      <c r="RV722" s="210"/>
      <c r="SR722" s="183"/>
      <c r="SS722" s="183"/>
      <c r="SW722" s="184"/>
      <c r="SX722" s="184"/>
      <c r="TR722" s="183"/>
      <c r="TW722" s="181"/>
      <c r="TX722" s="183"/>
      <c r="TY722" s="183"/>
      <c r="TZ722" s="183"/>
      <c r="UA722" s="183"/>
      <c r="UC722" s="181"/>
      <c r="UD722" s="181"/>
      <c r="UE722" s="181"/>
      <c r="UF722" s="181"/>
      <c r="UK722" s="183"/>
      <c r="UL722" s="183"/>
      <c r="UM722" s="183"/>
      <c r="UN722" s="183"/>
      <c r="UO722" s="183"/>
      <c r="UQ722" s="184"/>
      <c r="UX722" s="265"/>
      <c r="VA722" s="265"/>
      <c r="VC722" s="402"/>
      <c r="VF722"/>
      <c r="WG722" s="265"/>
      <c r="WH722" s="265"/>
      <c r="WI722" s="265"/>
      <c r="WJ722" s="265"/>
      <c r="WK722" s="265"/>
    </row>
    <row r="723" spans="412:609" x14ac:dyDescent="0.2">
      <c r="OV723" s="183"/>
      <c r="OW723" s="183"/>
      <c r="OX723" s="183"/>
      <c r="OY723" s="183"/>
      <c r="OZ723" s="183"/>
      <c r="PG723" s="184"/>
      <c r="PH723" s="184"/>
      <c r="PI723" s="184"/>
      <c r="PJ723" s="184"/>
      <c r="PK723" s="184"/>
      <c r="PL723" s="183"/>
      <c r="PM723" s="183"/>
      <c r="PN723" s="183"/>
      <c r="PQ723" s="265"/>
      <c r="PR723" s="265"/>
      <c r="PS723" s="265"/>
      <c r="PT723" s="265"/>
      <c r="PU723" s="265"/>
      <c r="RO723" s="183"/>
      <c r="RQ723" s="183"/>
      <c r="RT723" s="210"/>
      <c r="RV723" s="210"/>
      <c r="SR723" s="183"/>
      <c r="SS723" s="183"/>
      <c r="SW723" s="184"/>
      <c r="SX723" s="184"/>
      <c r="TR723" s="183"/>
      <c r="TW723" s="181"/>
      <c r="TX723" s="183"/>
      <c r="TY723" s="183"/>
      <c r="TZ723" s="183"/>
      <c r="UA723" s="183"/>
      <c r="UC723" s="181"/>
      <c r="UD723" s="181"/>
      <c r="UE723" s="181"/>
      <c r="UF723" s="181"/>
      <c r="UK723" s="183"/>
      <c r="UL723" s="183"/>
      <c r="UM723" s="183"/>
      <c r="UN723" s="183"/>
      <c r="UO723" s="183"/>
      <c r="UQ723" s="184"/>
      <c r="UX723" s="265"/>
      <c r="VA723" s="265"/>
      <c r="VC723" s="402"/>
      <c r="VF723"/>
      <c r="WG723" s="265"/>
      <c r="WH723" s="265"/>
      <c r="WI723" s="265"/>
      <c r="WJ723" s="265"/>
      <c r="WK723" s="265"/>
    </row>
    <row r="724" spans="412:609" x14ac:dyDescent="0.2">
      <c r="OV724" s="183"/>
      <c r="OW724" s="183"/>
      <c r="OX724" s="183"/>
      <c r="OY724" s="183"/>
      <c r="OZ724" s="183"/>
      <c r="PG724" s="184"/>
      <c r="PH724" s="184"/>
      <c r="PI724" s="184"/>
      <c r="PJ724" s="184"/>
      <c r="PK724" s="184"/>
      <c r="PL724" s="183"/>
      <c r="PM724" s="183"/>
      <c r="PN724" s="183"/>
      <c r="PQ724" s="265"/>
      <c r="PR724" s="265"/>
      <c r="PS724" s="265"/>
      <c r="PT724" s="265"/>
      <c r="PU724" s="265"/>
      <c r="RO724" s="183"/>
      <c r="RQ724" s="183"/>
      <c r="RT724" s="210"/>
      <c r="RV724" s="210"/>
      <c r="SR724" s="183"/>
      <c r="SS724" s="183"/>
      <c r="SW724" s="184"/>
      <c r="SX724" s="184"/>
      <c r="TR724" s="183"/>
      <c r="TW724" s="181"/>
      <c r="TX724" s="183"/>
      <c r="TY724" s="183"/>
      <c r="TZ724" s="183"/>
      <c r="UA724" s="183"/>
      <c r="UC724" s="181"/>
      <c r="UD724" s="181"/>
      <c r="UE724" s="181"/>
      <c r="UF724" s="181"/>
      <c r="UK724" s="183"/>
      <c r="UL724" s="183"/>
      <c r="UM724" s="183"/>
      <c r="UN724" s="183"/>
      <c r="UO724" s="183"/>
      <c r="UQ724" s="184"/>
      <c r="UX724" s="265"/>
      <c r="VA724" s="265"/>
      <c r="VC724" s="402"/>
      <c r="VF724"/>
      <c r="WG724" s="265"/>
      <c r="WH724" s="265"/>
      <c r="WI724" s="265"/>
      <c r="WJ724" s="265"/>
      <c r="WK724" s="265"/>
    </row>
    <row r="725" spans="412:609" x14ac:dyDescent="0.2">
      <c r="OV725" s="183"/>
      <c r="OW725" s="183"/>
      <c r="OX725" s="183"/>
      <c r="OY725" s="183"/>
      <c r="OZ725" s="183"/>
      <c r="PG725" s="184"/>
      <c r="PH725" s="184"/>
      <c r="PI725" s="184"/>
      <c r="PJ725" s="184"/>
      <c r="PK725" s="184"/>
      <c r="PL725" s="183"/>
      <c r="PM725" s="183"/>
      <c r="PN725" s="183"/>
      <c r="PQ725" s="265"/>
      <c r="PR725" s="265"/>
      <c r="PS725" s="265"/>
      <c r="PT725" s="265"/>
      <c r="PU725" s="265"/>
      <c r="RO725" s="183"/>
      <c r="RQ725" s="183"/>
      <c r="RT725" s="210"/>
      <c r="RV725" s="210"/>
      <c r="SR725" s="183"/>
      <c r="SS725" s="183"/>
      <c r="SW725" s="184"/>
      <c r="SX725" s="184"/>
      <c r="TR725" s="183"/>
      <c r="TW725" s="181"/>
      <c r="TX725" s="183"/>
      <c r="TY725" s="183"/>
      <c r="TZ725" s="183"/>
      <c r="UA725" s="183"/>
      <c r="UC725" s="181"/>
      <c r="UD725" s="181"/>
      <c r="UE725" s="181"/>
      <c r="UF725" s="181"/>
      <c r="UK725" s="183"/>
      <c r="UL725" s="183"/>
      <c r="UM725" s="183"/>
      <c r="UN725" s="183"/>
      <c r="UO725" s="183"/>
      <c r="UQ725" s="184"/>
      <c r="UX725" s="265"/>
      <c r="VA725" s="265"/>
      <c r="VC725" s="402"/>
      <c r="VF725"/>
      <c r="WG725" s="265"/>
      <c r="WH725" s="265"/>
      <c r="WI725" s="265"/>
      <c r="WJ725" s="265"/>
      <c r="WK725" s="265"/>
    </row>
    <row r="726" spans="412:609" x14ac:dyDescent="0.2">
      <c r="OV726" s="183"/>
      <c r="OW726" s="183"/>
      <c r="OX726" s="183"/>
      <c r="OY726" s="183"/>
      <c r="OZ726" s="183"/>
      <c r="PG726" s="184"/>
      <c r="PH726" s="184"/>
      <c r="PI726" s="184"/>
      <c r="PJ726" s="184"/>
      <c r="PK726" s="184"/>
      <c r="PL726" s="183"/>
      <c r="PM726" s="183"/>
      <c r="PN726" s="183"/>
      <c r="PQ726" s="265"/>
      <c r="PR726" s="265"/>
      <c r="PS726" s="265"/>
      <c r="PT726" s="265"/>
      <c r="PU726" s="265"/>
      <c r="RO726" s="183"/>
      <c r="RQ726" s="183"/>
      <c r="RT726" s="210"/>
      <c r="RV726" s="210"/>
      <c r="SR726" s="183"/>
      <c r="SS726" s="183"/>
      <c r="SW726" s="184"/>
      <c r="SX726" s="184"/>
      <c r="TR726" s="183"/>
      <c r="TW726" s="181"/>
      <c r="TX726" s="183"/>
      <c r="TY726" s="183"/>
      <c r="TZ726" s="183"/>
      <c r="UA726" s="183"/>
      <c r="UC726" s="181"/>
      <c r="UD726" s="181"/>
      <c r="UE726" s="181"/>
      <c r="UF726" s="181"/>
      <c r="UK726" s="183"/>
      <c r="UL726" s="183"/>
      <c r="UM726" s="183"/>
      <c r="UN726" s="183"/>
      <c r="UO726" s="183"/>
      <c r="UQ726" s="184"/>
      <c r="UX726" s="265"/>
      <c r="VA726" s="265"/>
      <c r="VC726" s="402"/>
      <c r="VF726"/>
      <c r="WG726" s="265"/>
      <c r="WH726" s="265"/>
      <c r="WI726" s="265"/>
      <c r="WJ726" s="265"/>
      <c r="WK726" s="265"/>
    </row>
    <row r="727" spans="412:609" x14ac:dyDescent="0.2">
      <c r="OV727" s="183"/>
      <c r="OW727" s="183"/>
      <c r="OX727" s="183"/>
      <c r="OY727" s="183"/>
      <c r="OZ727" s="183"/>
      <c r="PG727" s="184"/>
      <c r="PH727" s="184"/>
      <c r="PI727" s="184"/>
      <c r="PJ727" s="184"/>
      <c r="PK727" s="184"/>
      <c r="PL727" s="183"/>
      <c r="PM727" s="183"/>
      <c r="PN727" s="183"/>
      <c r="PQ727" s="265"/>
      <c r="PR727" s="265"/>
      <c r="PS727" s="265"/>
      <c r="PT727" s="265"/>
      <c r="PU727" s="265"/>
      <c r="RO727" s="183"/>
      <c r="RQ727" s="183"/>
      <c r="RT727" s="210"/>
      <c r="RV727" s="210"/>
      <c r="SR727" s="183"/>
      <c r="SS727" s="183"/>
      <c r="SW727" s="184"/>
      <c r="SX727" s="184"/>
      <c r="TR727" s="183"/>
      <c r="TW727" s="181"/>
      <c r="TX727" s="183"/>
      <c r="TY727" s="183"/>
      <c r="TZ727" s="183"/>
      <c r="UA727" s="183"/>
      <c r="UC727" s="181"/>
      <c r="UD727" s="181"/>
      <c r="UE727" s="181"/>
      <c r="UF727" s="181"/>
      <c r="UK727" s="183"/>
      <c r="UL727" s="183"/>
      <c r="UM727" s="183"/>
      <c r="UN727" s="183"/>
      <c r="UO727" s="183"/>
      <c r="UQ727" s="184"/>
      <c r="UX727" s="265"/>
      <c r="VA727" s="265"/>
      <c r="VC727" s="402"/>
      <c r="VF727"/>
      <c r="WG727" s="265"/>
      <c r="WH727" s="265"/>
      <c r="WI727" s="265"/>
      <c r="WJ727" s="265"/>
      <c r="WK727" s="265"/>
    </row>
    <row r="728" spans="412:609" x14ac:dyDescent="0.2">
      <c r="OV728" s="183"/>
      <c r="OW728" s="183"/>
      <c r="OX728" s="183"/>
      <c r="OY728" s="183"/>
      <c r="OZ728" s="183"/>
      <c r="PG728" s="184"/>
      <c r="PH728" s="184"/>
      <c r="PI728" s="184"/>
      <c r="PJ728" s="184"/>
      <c r="PK728" s="184"/>
      <c r="PL728" s="183"/>
      <c r="PM728" s="183"/>
      <c r="PN728" s="183"/>
      <c r="PQ728" s="265"/>
      <c r="PR728" s="265"/>
      <c r="PS728" s="265"/>
      <c r="PT728" s="265"/>
      <c r="PU728" s="265"/>
      <c r="RO728" s="183"/>
      <c r="RQ728" s="183"/>
      <c r="RT728" s="210"/>
      <c r="RV728" s="210"/>
      <c r="SR728" s="183"/>
      <c r="SS728" s="183"/>
      <c r="SW728" s="184"/>
      <c r="SX728" s="184"/>
      <c r="TR728" s="183"/>
      <c r="TW728" s="181"/>
      <c r="TX728" s="183"/>
      <c r="TY728" s="183"/>
      <c r="TZ728" s="183"/>
      <c r="UA728" s="183"/>
      <c r="UC728" s="181"/>
      <c r="UD728" s="181"/>
      <c r="UE728" s="181"/>
      <c r="UF728" s="181"/>
      <c r="UK728" s="183"/>
      <c r="UL728" s="183"/>
      <c r="UM728" s="183"/>
      <c r="UN728" s="183"/>
      <c r="UO728" s="183"/>
      <c r="UQ728" s="184"/>
      <c r="UX728" s="265"/>
      <c r="VA728" s="265"/>
      <c r="VC728" s="402"/>
      <c r="VF728"/>
      <c r="WG728" s="265"/>
      <c r="WH728" s="265"/>
      <c r="WI728" s="265"/>
      <c r="WJ728" s="265"/>
      <c r="WK728" s="265"/>
    </row>
    <row r="729" spans="412:609" x14ac:dyDescent="0.2">
      <c r="OV729" s="183"/>
      <c r="OW729" s="183"/>
      <c r="OX729" s="183"/>
      <c r="OY729" s="183"/>
      <c r="OZ729" s="183"/>
      <c r="PG729" s="184"/>
      <c r="PH729" s="184"/>
      <c r="PI729" s="184"/>
      <c r="PJ729" s="184"/>
      <c r="PK729" s="184"/>
      <c r="PL729" s="183"/>
      <c r="PM729" s="183"/>
      <c r="PN729" s="183"/>
      <c r="PQ729" s="265"/>
      <c r="PR729" s="265"/>
      <c r="PS729" s="265"/>
      <c r="PT729" s="265"/>
      <c r="PU729" s="265"/>
      <c r="RO729" s="183"/>
      <c r="RQ729" s="183"/>
      <c r="RT729" s="210"/>
      <c r="RV729" s="210"/>
      <c r="SR729" s="183"/>
      <c r="SS729" s="183"/>
      <c r="SW729" s="184"/>
      <c r="SX729" s="184"/>
      <c r="TR729" s="183"/>
      <c r="TW729" s="181"/>
      <c r="TX729" s="183"/>
      <c r="TY729" s="183"/>
      <c r="TZ729" s="183"/>
      <c r="UA729" s="183"/>
      <c r="UC729" s="181"/>
      <c r="UD729" s="181"/>
      <c r="UE729" s="181"/>
      <c r="UF729" s="181"/>
      <c r="UK729" s="183"/>
      <c r="UL729" s="183"/>
      <c r="UM729" s="183"/>
      <c r="UN729" s="183"/>
      <c r="UO729" s="183"/>
      <c r="UQ729" s="184"/>
      <c r="UX729" s="265"/>
      <c r="VA729" s="265"/>
      <c r="VC729" s="402"/>
      <c r="VF729"/>
      <c r="WG729" s="265"/>
      <c r="WH729" s="265"/>
      <c r="WI729" s="265"/>
      <c r="WJ729" s="265"/>
      <c r="WK729" s="265"/>
    </row>
    <row r="730" spans="412:609" x14ac:dyDescent="0.2">
      <c r="OV730" s="183"/>
      <c r="OW730" s="183"/>
      <c r="OX730" s="183"/>
      <c r="OY730" s="183"/>
      <c r="OZ730" s="183"/>
      <c r="PG730" s="184"/>
      <c r="PH730" s="184"/>
      <c r="PI730" s="184"/>
      <c r="PJ730" s="184"/>
      <c r="PK730" s="184"/>
      <c r="PL730" s="183"/>
      <c r="PM730" s="183"/>
      <c r="PN730" s="183"/>
      <c r="PQ730" s="265"/>
      <c r="PR730" s="265"/>
      <c r="PS730" s="265"/>
      <c r="PT730" s="265"/>
      <c r="PU730" s="265"/>
      <c r="RO730" s="183"/>
      <c r="RQ730" s="183"/>
      <c r="RT730" s="210"/>
      <c r="RV730" s="210"/>
      <c r="SR730" s="183"/>
      <c r="SS730" s="183"/>
      <c r="SW730" s="184"/>
      <c r="SX730" s="184"/>
      <c r="TR730" s="183"/>
      <c r="TW730" s="181"/>
      <c r="TX730" s="183"/>
      <c r="TY730" s="183"/>
      <c r="TZ730" s="183"/>
      <c r="UA730" s="183"/>
      <c r="UC730" s="181"/>
      <c r="UD730" s="181"/>
      <c r="UE730" s="181"/>
      <c r="UF730" s="181"/>
      <c r="UK730" s="183"/>
      <c r="UL730" s="183"/>
      <c r="UM730" s="183"/>
      <c r="UN730" s="183"/>
      <c r="UO730" s="183"/>
      <c r="UQ730" s="184"/>
      <c r="UX730" s="265"/>
      <c r="VA730" s="265"/>
      <c r="VC730" s="402"/>
      <c r="VF730"/>
      <c r="WG730" s="265"/>
      <c r="WH730" s="265"/>
      <c r="WI730" s="265"/>
      <c r="WJ730" s="265"/>
      <c r="WK730" s="265"/>
    </row>
    <row r="731" spans="412:609" x14ac:dyDescent="0.2">
      <c r="OV731" s="183"/>
      <c r="OW731" s="183"/>
      <c r="OX731" s="183"/>
      <c r="OY731" s="183"/>
      <c r="OZ731" s="183"/>
      <c r="PG731" s="184"/>
      <c r="PH731" s="184"/>
      <c r="PI731" s="184"/>
      <c r="PJ731" s="184"/>
      <c r="PK731" s="184"/>
      <c r="PL731" s="183"/>
      <c r="PM731" s="183"/>
      <c r="PN731" s="183"/>
      <c r="PQ731" s="265"/>
      <c r="PR731" s="265"/>
      <c r="PS731" s="265"/>
      <c r="PT731" s="265"/>
      <c r="PU731" s="265"/>
      <c r="RO731" s="183"/>
      <c r="RQ731" s="183"/>
      <c r="RT731" s="210"/>
      <c r="RV731" s="210"/>
      <c r="SR731" s="183"/>
      <c r="SS731" s="183"/>
      <c r="SW731" s="184"/>
      <c r="SX731" s="184"/>
      <c r="TR731" s="183"/>
      <c r="TW731" s="181"/>
      <c r="TX731" s="183"/>
      <c r="TY731" s="183"/>
      <c r="TZ731" s="183"/>
      <c r="UA731" s="183"/>
      <c r="UC731" s="181"/>
      <c r="UD731" s="181"/>
      <c r="UE731" s="181"/>
      <c r="UF731" s="181"/>
      <c r="UK731" s="183"/>
      <c r="UL731" s="183"/>
      <c r="UM731" s="183"/>
      <c r="UN731" s="183"/>
      <c r="UO731" s="183"/>
      <c r="UQ731" s="184"/>
      <c r="UX731" s="265"/>
      <c r="VA731" s="265"/>
      <c r="VC731" s="402"/>
      <c r="VF731"/>
      <c r="WG731" s="265"/>
      <c r="WH731" s="265"/>
      <c r="WI731" s="265"/>
      <c r="WJ731" s="265"/>
      <c r="WK731" s="265"/>
    </row>
    <row r="732" spans="412:609" x14ac:dyDescent="0.2">
      <c r="OV732" s="183"/>
      <c r="OW732" s="183"/>
      <c r="OX732" s="183"/>
      <c r="OY732" s="183"/>
      <c r="OZ732" s="183"/>
      <c r="PG732" s="184"/>
      <c r="PH732" s="184"/>
      <c r="PI732" s="184"/>
      <c r="PJ732" s="184"/>
      <c r="PK732" s="184"/>
      <c r="PL732" s="183"/>
      <c r="PM732" s="183"/>
      <c r="PN732" s="183"/>
      <c r="PQ732" s="265"/>
      <c r="PR732" s="265"/>
      <c r="PS732" s="265"/>
      <c r="PT732" s="265"/>
      <c r="PU732" s="265"/>
      <c r="RO732" s="183"/>
      <c r="RQ732" s="183"/>
      <c r="RT732" s="210"/>
      <c r="RV732" s="210"/>
      <c r="SR732" s="183"/>
      <c r="SS732" s="183"/>
      <c r="SW732" s="184"/>
      <c r="SX732" s="184"/>
      <c r="TR732" s="183"/>
      <c r="TW732" s="181"/>
      <c r="TX732" s="183"/>
      <c r="TY732" s="183"/>
      <c r="TZ732" s="183"/>
      <c r="UA732" s="183"/>
      <c r="UC732" s="181"/>
      <c r="UD732" s="181"/>
      <c r="UE732" s="181"/>
      <c r="UF732" s="181"/>
      <c r="UK732" s="183"/>
      <c r="UL732" s="183"/>
      <c r="UM732" s="183"/>
      <c r="UN732" s="183"/>
      <c r="UO732" s="183"/>
      <c r="UQ732" s="184"/>
      <c r="UX732" s="265"/>
      <c r="VA732" s="265"/>
      <c r="VC732" s="402"/>
      <c r="VF732"/>
      <c r="WG732" s="265"/>
      <c r="WH732" s="265"/>
      <c r="WI732" s="265"/>
      <c r="WJ732" s="265"/>
      <c r="WK732" s="265"/>
    </row>
    <row r="733" spans="412:609" x14ac:dyDescent="0.2">
      <c r="OV733" s="183"/>
      <c r="OW733" s="183"/>
      <c r="OX733" s="183"/>
      <c r="OY733" s="183"/>
      <c r="OZ733" s="183"/>
      <c r="PG733" s="184"/>
      <c r="PH733" s="184"/>
      <c r="PI733" s="184"/>
      <c r="PJ733" s="184"/>
      <c r="PK733" s="184"/>
      <c r="PL733" s="183"/>
      <c r="PM733" s="183"/>
      <c r="PN733" s="183"/>
      <c r="PQ733" s="265"/>
      <c r="PR733" s="265"/>
      <c r="PS733" s="265"/>
      <c r="PT733" s="265"/>
      <c r="PU733" s="265"/>
      <c r="RO733" s="183"/>
      <c r="RQ733" s="183"/>
      <c r="RT733" s="210"/>
      <c r="RV733" s="210"/>
      <c r="SR733" s="183"/>
      <c r="SS733" s="183"/>
      <c r="SW733" s="184"/>
      <c r="SX733" s="184"/>
      <c r="TR733" s="183"/>
      <c r="TW733" s="181"/>
      <c r="TX733" s="183"/>
      <c r="TY733" s="183"/>
      <c r="TZ733" s="183"/>
      <c r="UA733" s="183"/>
      <c r="UC733" s="181"/>
      <c r="UD733" s="181"/>
      <c r="UE733" s="181"/>
      <c r="UF733" s="181"/>
      <c r="UK733" s="183"/>
      <c r="UL733" s="183"/>
      <c r="UM733" s="183"/>
      <c r="UN733" s="183"/>
      <c r="UO733" s="183"/>
      <c r="UQ733" s="184"/>
      <c r="UX733" s="265"/>
      <c r="VA733" s="265"/>
      <c r="VC733" s="402"/>
      <c r="VF733"/>
      <c r="WG733" s="265"/>
      <c r="WH733" s="265"/>
      <c r="WI733" s="265"/>
      <c r="WJ733" s="265"/>
      <c r="WK733" s="265"/>
    </row>
    <row r="734" spans="412:609" x14ac:dyDescent="0.2">
      <c r="OV734" s="183"/>
      <c r="OW734" s="183"/>
      <c r="OX734" s="183"/>
      <c r="OY734" s="183"/>
      <c r="OZ734" s="183"/>
      <c r="PG734" s="184"/>
      <c r="PH734" s="184"/>
      <c r="PI734" s="184"/>
      <c r="PJ734" s="184"/>
      <c r="PK734" s="184"/>
      <c r="PL734" s="183"/>
      <c r="PM734" s="183"/>
      <c r="PN734" s="183"/>
      <c r="PQ734" s="265"/>
      <c r="PR734" s="265"/>
      <c r="PS734" s="265"/>
      <c r="PT734" s="265"/>
      <c r="PU734" s="265"/>
      <c r="RO734" s="183"/>
      <c r="RQ734" s="183"/>
      <c r="RT734" s="210"/>
      <c r="RV734" s="210"/>
      <c r="SR734" s="183"/>
      <c r="SS734" s="183"/>
      <c r="SW734" s="184"/>
      <c r="SX734" s="184"/>
      <c r="TR734" s="183"/>
      <c r="TW734" s="181"/>
      <c r="TX734" s="183"/>
      <c r="TY734" s="183"/>
      <c r="TZ734" s="183"/>
      <c r="UA734" s="183"/>
      <c r="UC734" s="181"/>
      <c r="UD734" s="181"/>
      <c r="UE734" s="181"/>
      <c r="UF734" s="181"/>
      <c r="UK734" s="183"/>
      <c r="UL734" s="183"/>
      <c r="UM734" s="183"/>
      <c r="UN734" s="183"/>
      <c r="UO734" s="183"/>
      <c r="UQ734" s="184"/>
      <c r="UX734" s="265"/>
      <c r="VA734" s="265"/>
      <c r="VC734" s="402"/>
      <c r="VF734"/>
      <c r="WG734" s="265"/>
      <c r="WH734" s="265"/>
      <c r="WI734" s="265"/>
      <c r="WJ734" s="265"/>
      <c r="WK734" s="265"/>
    </row>
    <row r="735" spans="412:609" x14ac:dyDescent="0.2">
      <c r="OV735" s="183"/>
      <c r="OW735" s="183"/>
      <c r="OX735" s="183"/>
      <c r="OY735" s="183"/>
      <c r="OZ735" s="183"/>
      <c r="PG735" s="184"/>
      <c r="PH735" s="184"/>
      <c r="PI735" s="184"/>
      <c r="PJ735" s="184"/>
      <c r="PK735" s="184"/>
      <c r="PL735" s="183"/>
      <c r="PM735" s="183"/>
      <c r="PN735" s="183"/>
      <c r="PQ735" s="265"/>
      <c r="PR735" s="265"/>
      <c r="PS735" s="265"/>
      <c r="PT735" s="265"/>
      <c r="PU735" s="265"/>
      <c r="RO735" s="183"/>
      <c r="RQ735" s="183"/>
      <c r="RT735" s="210"/>
      <c r="RV735" s="210"/>
      <c r="SR735" s="183"/>
      <c r="SS735" s="183"/>
      <c r="SW735" s="184"/>
      <c r="SX735" s="184"/>
      <c r="TR735" s="183"/>
      <c r="TW735" s="181"/>
      <c r="TX735" s="183"/>
      <c r="TY735" s="183"/>
      <c r="TZ735" s="183"/>
      <c r="UA735" s="183"/>
      <c r="UC735" s="181"/>
      <c r="UD735" s="181"/>
      <c r="UE735" s="181"/>
      <c r="UF735" s="181"/>
      <c r="UK735" s="183"/>
      <c r="UL735" s="183"/>
      <c r="UM735" s="183"/>
      <c r="UN735" s="183"/>
      <c r="UO735" s="183"/>
      <c r="UQ735" s="184"/>
      <c r="UX735" s="265"/>
      <c r="VA735" s="265"/>
      <c r="VC735" s="402"/>
      <c r="VF735"/>
      <c r="WG735" s="265"/>
      <c r="WH735" s="265"/>
      <c r="WI735" s="265"/>
      <c r="WJ735" s="265"/>
      <c r="WK735" s="265"/>
    </row>
    <row r="736" spans="412:609" x14ac:dyDescent="0.2">
      <c r="OV736" s="183"/>
      <c r="OW736" s="183"/>
      <c r="OX736" s="183"/>
      <c r="OY736" s="183"/>
      <c r="OZ736" s="183"/>
      <c r="PG736" s="184"/>
      <c r="PH736" s="184"/>
      <c r="PI736" s="184"/>
      <c r="PJ736" s="184"/>
      <c r="PK736" s="184"/>
      <c r="PL736" s="183"/>
      <c r="PM736" s="183"/>
      <c r="PN736" s="183"/>
      <c r="PQ736" s="265"/>
      <c r="PR736" s="265"/>
      <c r="PS736" s="265"/>
      <c r="PT736" s="265"/>
      <c r="PU736" s="265"/>
      <c r="RO736" s="183"/>
      <c r="RQ736" s="183"/>
      <c r="RT736" s="210"/>
      <c r="RV736" s="210"/>
      <c r="SR736" s="183"/>
      <c r="SS736" s="183"/>
      <c r="SW736" s="184"/>
      <c r="SX736" s="184"/>
      <c r="TR736" s="183"/>
      <c r="TW736" s="181"/>
      <c r="TX736" s="183"/>
      <c r="TY736" s="183"/>
      <c r="TZ736" s="183"/>
      <c r="UA736" s="183"/>
      <c r="UC736" s="181"/>
      <c r="UD736" s="181"/>
      <c r="UE736" s="181"/>
      <c r="UF736" s="181"/>
      <c r="UK736" s="183"/>
      <c r="UL736" s="183"/>
      <c r="UM736" s="183"/>
      <c r="UN736" s="183"/>
      <c r="UO736" s="183"/>
      <c r="UQ736" s="184"/>
      <c r="UX736" s="265"/>
      <c r="VA736" s="265"/>
      <c r="VC736" s="402"/>
      <c r="VF736"/>
      <c r="WG736" s="265"/>
      <c r="WH736" s="265"/>
      <c r="WI736" s="265"/>
      <c r="WJ736" s="265"/>
      <c r="WK736" s="265"/>
    </row>
    <row r="737" spans="412:609" x14ac:dyDescent="0.2">
      <c r="OV737" s="183"/>
      <c r="OW737" s="183"/>
      <c r="OX737" s="183"/>
      <c r="OY737" s="183"/>
      <c r="OZ737" s="183"/>
      <c r="PG737" s="184"/>
      <c r="PH737" s="184"/>
      <c r="PI737" s="184"/>
      <c r="PJ737" s="184"/>
      <c r="PK737" s="184"/>
      <c r="PL737" s="183"/>
      <c r="PM737" s="183"/>
      <c r="PN737" s="183"/>
      <c r="PQ737" s="265"/>
      <c r="PR737" s="265"/>
      <c r="PS737" s="265"/>
      <c r="PT737" s="265"/>
      <c r="PU737" s="265"/>
      <c r="RO737" s="183"/>
      <c r="RQ737" s="183"/>
      <c r="RT737" s="210"/>
      <c r="RV737" s="210"/>
      <c r="SR737" s="183"/>
      <c r="SS737" s="183"/>
      <c r="SW737" s="184"/>
      <c r="SX737" s="184"/>
      <c r="TR737" s="183"/>
      <c r="TW737" s="181"/>
      <c r="TX737" s="183"/>
      <c r="TY737" s="183"/>
      <c r="TZ737" s="183"/>
      <c r="UA737" s="183"/>
      <c r="UC737" s="181"/>
      <c r="UD737" s="181"/>
      <c r="UE737" s="181"/>
      <c r="UF737" s="181"/>
      <c r="UK737" s="183"/>
      <c r="UL737" s="183"/>
      <c r="UM737" s="183"/>
      <c r="UN737" s="183"/>
      <c r="UO737" s="183"/>
      <c r="UQ737" s="184"/>
      <c r="UX737" s="265"/>
      <c r="VA737" s="265"/>
      <c r="VC737" s="402"/>
      <c r="VF737"/>
      <c r="WG737" s="265"/>
      <c r="WH737" s="265"/>
      <c r="WI737" s="265"/>
      <c r="WJ737" s="265"/>
      <c r="WK737" s="265"/>
    </row>
    <row r="738" spans="412:609" x14ac:dyDescent="0.2">
      <c r="OV738" s="183"/>
      <c r="OW738" s="183"/>
      <c r="OX738" s="183"/>
      <c r="OY738" s="183"/>
      <c r="OZ738" s="183"/>
      <c r="PG738" s="184"/>
      <c r="PH738" s="184"/>
      <c r="PI738" s="184"/>
      <c r="PJ738" s="184"/>
      <c r="PK738" s="184"/>
      <c r="PL738" s="183"/>
      <c r="PM738" s="183"/>
      <c r="PN738" s="183"/>
      <c r="PQ738" s="265"/>
      <c r="PR738" s="265"/>
      <c r="PS738" s="265"/>
      <c r="PT738" s="265"/>
      <c r="PU738" s="265"/>
      <c r="RO738" s="183"/>
      <c r="RQ738" s="183"/>
      <c r="RT738" s="210"/>
      <c r="RV738" s="210"/>
      <c r="SR738" s="183"/>
      <c r="SS738" s="183"/>
      <c r="SW738" s="184"/>
      <c r="SX738" s="184"/>
      <c r="TR738" s="183"/>
      <c r="TW738" s="181"/>
      <c r="TX738" s="183"/>
      <c r="TY738" s="183"/>
      <c r="TZ738" s="183"/>
      <c r="UA738" s="183"/>
      <c r="UC738" s="181"/>
      <c r="UD738" s="181"/>
      <c r="UE738" s="181"/>
      <c r="UF738" s="181"/>
      <c r="UK738" s="183"/>
      <c r="UL738" s="183"/>
      <c r="UM738" s="183"/>
      <c r="UN738" s="183"/>
      <c r="UO738" s="183"/>
      <c r="UQ738" s="184"/>
      <c r="UX738" s="265"/>
      <c r="VA738" s="265"/>
      <c r="VC738" s="402"/>
      <c r="VF738"/>
      <c r="WG738" s="265"/>
      <c r="WH738" s="265"/>
      <c r="WI738" s="265"/>
      <c r="WJ738" s="265"/>
      <c r="WK738" s="265"/>
    </row>
    <row r="739" spans="412:609" x14ac:dyDescent="0.2">
      <c r="OV739" s="183"/>
      <c r="OW739" s="183"/>
      <c r="OX739" s="183"/>
      <c r="OY739" s="183"/>
      <c r="OZ739" s="183"/>
      <c r="PG739" s="184"/>
      <c r="PH739" s="184"/>
      <c r="PI739" s="184"/>
      <c r="PJ739" s="184"/>
      <c r="PK739" s="184"/>
      <c r="PL739" s="183"/>
      <c r="PM739" s="183"/>
      <c r="PN739" s="183"/>
      <c r="PQ739" s="265"/>
      <c r="PR739" s="265"/>
      <c r="PS739" s="265"/>
      <c r="PT739" s="265"/>
      <c r="PU739" s="265"/>
      <c r="RO739" s="183"/>
      <c r="RQ739" s="183"/>
      <c r="RT739" s="210"/>
      <c r="RV739" s="210"/>
      <c r="SR739" s="183"/>
      <c r="SS739" s="183"/>
      <c r="SW739" s="184"/>
      <c r="SX739" s="184"/>
      <c r="TR739" s="183"/>
      <c r="TW739" s="181"/>
      <c r="TX739" s="183"/>
      <c r="TY739" s="183"/>
      <c r="TZ739" s="183"/>
      <c r="UA739" s="183"/>
      <c r="UC739" s="181"/>
      <c r="UD739" s="181"/>
      <c r="UE739" s="181"/>
      <c r="UF739" s="181"/>
      <c r="UK739" s="183"/>
      <c r="UL739" s="183"/>
      <c r="UM739" s="183"/>
      <c r="UN739" s="183"/>
      <c r="UO739" s="183"/>
      <c r="UQ739" s="184"/>
      <c r="UX739" s="265"/>
      <c r="VA739" s="265"/>
      <c r="VC739" s="402"/>
      <c r="VF739"/>
      <c r="WG739" s="265"/>
      <c r="WH739" s="265"/>
      <c r="WI739" s="265"/>
      <c r="WJ739" s="265"/>
      <c r="WK739" s="265"/>
    </row>
    <row r="740" spans="412:609" x14ac:dyDescent="0.2">
      <c r="OV740" s="183"/>
      <c r="OW740" s="183"/>
      <c r="OX740" s="183"/>
      <c r="OY740" s="183"/>
      <c r="OZ740" s="183"/>
      <c r="PG740" s="184"/>
      <c r="PH740" s="184"/>
      <c r="PI740" s="184"/>
      <c r="PJ740" s="184"/>
      <c r="PK740" s="184"/>
      <c r="PL740" s="183"/>
      <c r="PM740" s="183"/>
      <c r="PN740" s="183"/>
      <c r="PQ740" s="265"/>
      <c r="PR740" s="265"/>
      <c r="PS740" s="265"/>
      <c r="PT740" s="265"/>
      <c r="PU740" s="265"/>
      <c r="RO740" s="183"/>
      <c r="RQ740" s="183"/>
      <c r="RT740" s="210"/>
      <c r="RV740" s="210"/>
      <c r="SR740" s="183"/>
      <c r="SS740" s="183"/>
      <c r="SW740" s="184"/>
      <c r="SX740" s="184"/>
      <c r="TR740" s="183"/>
      <c r="TW740" s="181"/>
      <c r="TX740" s="183"/>
      <c r="TY740" s="183"/>
      <c r="TZ740" s="183"/>
      <c r="UA740" s="183"/>
      <c r="UC740" s="181"/>
      <c r="UD740" s="181"/>
      <c r="UE740" s="181"/>
      <c r="UF740" s="181"/>
      <c r="UK740" s="183"/>
      <c r="UL740" s="183"/>
      <c r="UM740" s="183"/>
      <c r="UN740" s="183"/>
      <c r="UO740" s="183"/>
      <c r="UQ740" s="184"/>
      <c r="UX740" s="265"/>
      <c r="VA740" s="265"/>
      <c r="VC740" s="402"/>
      <c r="VF740"/>
      <c r="WG740" s="265"/>
      <c r="WH740" s="265"/>
      <c r="WI740" s="265"/>
      <c r="WJ740" s="265"/>
      <c r="WK740" s="265"/>
    </row>
    <row r="741" spans="412:609" x14ac:dyDescent="0.2">
      <c r="OV741" s="183"/>
      <c r="OW741" s="183"/>
      <c r="OX741" s="183"/>
      <c r="OY741" s="183"/>
      <c r="OZ741" s="183"/>
      <c r="PG741" s="184"/>
      <c r="PH741" s="184"/>
      <c r="PI741" s="184"/>
      <c r="PJ741" s="184"/>
      <c r="PK741" s="184"/>
      <c r="PL741" s="183"/>
      <c r="PM741" s="183"/>
      <c r="PN741" s="183"/>
      <c r="PQ741" s="265"/>
      <c r="PR741" s="265"/>
      <c r="PS741" s="265"/>
      <c r="PT741" s="265"/>
      <c r="PU741" s="265"/>
      <c r="RO741" s="183"/>
      <c r="RQ741" s="183"/>
      <c r="RT741" s="210"/>
      <c r="RV741" s="210"/>
      <c r="SR741" s="183"/>
      <c r="SS741" s="183"/>
      <c r="SW741" s="184"/>
      <c r="SX741" s="184"/>
      <c r="TR741" s="183"/>
      <c r="TW741" s="181"/>
      <c r="TX741" s="183"/>
      <c r="TY741" s="183"/>
      <c r="TZ741" s="183"/>
      <c r="UA741" s="183"/>
      <c r="UC741" s="181"/>
      <c r="UD741" s="181"/>
      <c r="UE741" s="181"/>
      <c r="UF741" s="181"/>
      <c r="UK741" s="183"/>
      <c r="UL741" s="183"/>
      <c r="UM741" s="183"/>
      <c r="UN741" s="183"/>
      <c r="UO741" s="183"/>
      <c r="UQ741" s="184"/>
      <c r="UX741" s="265"/>
      <c r="VA741" s="265"/>
      <c r="VC741" s="402"/>
      <c r="VF741"/>
      <c r="WG741" s="265"/>
      <c r="WH741" s="265"/>
      <c r="WI741" s="265"/>
      <c r="WJ741" s="265"/>
      <c r="WK741" s="265"/>
    </row>
    <row r="742" spans="412:609" x14ac:dyDescent="0.2">
      <c r="OV742" s="183"/>
      <c r="OW742" s="183"/>
      <c r="OX742" s="183"/>
      <c r="OY742" s="183"/>
      <c r="OZ742" s="183"/>
      <c r="PG742" s="184"/>
      <c r="PH742" s="184"/>
      <c r="PI742" s="184"/>
      <c r="PJ742" s="184"/>
      <c r="PK742" s="184"/>
      <c r="PL742" s="183"/>
      <c r="PM742" s="183"/>
      <c r="PN742" s="183"/>
      <c r="PQ742" s="265"/>
      <c r="PR742" s="265"/>
      <c r="PS742" s="265"/>
      <c r="PT742" s="265"/>
      <c r="PU742" s="265"/>
      <c r="RO742" s="183"/>
      <c r="RQ742" s="183"/>
      <c r="RT742" s="210"/>
      <c r="RV742" s="210"/>
      <c r="SR742" s="183"/>
      <c r="SS742" s="183"/>
      <c r="SW742" s="184"/>
      <c r="SX742" s="184"/>
      <c r="TR742" s="183"/>
      <c r="TW742" s="181"/>
      <c r="TX742" s="183"/>
      <c r="TY742" s="183"/>
      <c r="TZ742" s="183"/>
      <c r="UA742" s="183"/>
      <c r="UC742" s="181"/>
      <c r="UD742" s="181"/>
      <c r="UE742" s="181"/>
      <c r="UF742" s="181"/>
      <c r="UK742" s="183"/>
      <c r="UL742" s="183"/>
      <c r="UM742" s="183"/>
      <c r="UN742" s="183"/>
      <c r="UO742" s="183"/>
      <c r="UQ742" s="184"/>
      <c r="UX742" s="265"/>
      <c r="VA742" s="265"/>
      <c r="VC742" s="402"/>
      <c r="VF742"/>
      <c r="WG742" s="265"/>
      <c r="WH742" s="265"/>
      <c r="WI742" s="265"/>
      <c r="WJ742" s="265"/>
      <c r="WK742" s="265"/>
    </row>
    <row r="743" spans="412:609" x14ac:dyDescent="0.2">
      <c r="OV743" s="183"/>
      <c r="OW743" s="183"/>
      <c r="OX743" s="183"/>
      <c r="OY743" s="183"/>
      <c r="OZ743" s="183"/>
      <c r="PG743" s="184"/>
      <c r="PH743" s="184"/>
      <c r="PI743" s="184"/>
      <c r="PJ743" s="184"/>
      <c r="PK743" s="184"/>
      <c r="PL743" s="183"/>
      <c r="PM743" s="183"/>
      <c r="PN743" s="183"/>
      <c r="PQ743" s="265"/>
      <c r="PR743" s="265"/>
      <c r="PS743" s="265"/>
      <c r="PT743" s="265"/>
      <c r="PU743" s="265"/>
      <c r="RO743" s="183"/>
      <c r="RQ743" s="183"/>
      <c r="RT743" s="210"/>
      <c r="RV743" s="210"/>
      <c r="SR743" s="183"/>
      <c r="SS743" s="183"/>
      <c r="SW743" s="184"/>
      <c r="SX743" s="184"/>
      <c r="TR743" s="183"/>
      <c r="TW743" s="181"/>
      <c r="TX743" s="183"/>
      <c r="TY743" s="183"/>
      <c r="TZ743" s="183"/>
      <c r="UA743" s="183"/>
      <c r="UC743" s="181"/>
      <c r="UD743" s="181"/>
      <c r="UE743" s="181"/>
      <c r="UF743" s="181"/>
      <c r="UK743" s="183"/>
      <c r="UL743" s="183"/>
      <c r="UM743" s="183"/>
      <c r="UN743" s="183"/>
      <c r="UO743" s="183"/>
      <c r="UQ743" s="184"/>
      <c r="UX743" s="265"/>
      <c r="VA743" s="265"/>
      <c r="VC743" s="402"/>
      <c r="VF743"/>
      <c r="WG743" s="265"/>
      <c r="WH743" s="265"/>
      <c r="WI743" s="265"/>
      <c r="WJ743" s="265"/>
      <c r="WK743" s="265"/>
    </row>
    <row r="744" spans="412:609" x14ac:dyDescent="0.2">
      <c r="OV744" s="183"/>
      <c r="OW744" s="183"/>
      <c r="OX744" s="183"/>
      <c r="OY744" s="183"/>
      <c r="OZ744" s="183"/>
      <c r="PG744" s="184"/>
      <c r="PH744" s="184"/>
      <c r="PI744" s="184"/>
      <c r="PJ744" s="184"/>
      <c r="PK744" s="184"/>
      <c r="PL744" s="183"/>
      <c r="PM744" s="183"/>
      <c r="PN744" s="183"/>
      <c r="PQ744" s="265"/>
      <c r="PR744" s="265"/>
      <c r="PS744" s="265"/>
      <c r="PT744" s="265"/>
      <c r="PU744" s="265"/>
      <c r="RO744" s="183"/>
      <c r="RQ744" s="183"/>
      <c r="RT744" s="210"/>
      <c r="RV744" s="210"/>
      <c r="SR744" s="183"/>
      <c r="SS744" s="183"/>
      <c r="SW744" s="184"/>
      <c r="SX744" s="184"/>
      <c r="TR744" s="183"/>
      <c r="TW744" s="181"/>
      <c r="TX744" s="183"/>
      <c r="TY744" s="183"/>
      <c r="TZ744" s="183"/>
      <c r="UA744" s="183"/>
      <c r="UC744" s="181"/>
      <c r="UD744" s="181"/>
      <c r="UE744" s="181"/>
      <c r="UF744" s="181"/>
      <c r="UK744" s="183"/>
      <c r="UL744" s="183"/>
      <c r="UM744" s="183"/>
      <c r="UN744" s="183"/>
      <c r="UO744" s="183"/>
      <c r="UQ744" s="184"/>
      <c r="UX744" s="265"/>
      <c r="VA744" s="265"/>
      <c r="VC744" s="402"/>
      <c r="VF744"/>
      <c r="WG744" s="265"/>
      <c r="WH744" s="265"/>
      <c r="WI744" s="265"/>
      <c r="WJ744" s="265"/>
      <c r="WK744" s="265"/>
    </row>
    <row r="758" spans="91:605" x14ac:dyDescent="0.2">
      <c r="CM758" s="183"/>
      <c r="CT758" s="5370"/>
      <c r="OV758" s="183"/>
      <c r="PG758" s="184"/>
      <c r="PJ758" s="183"/>
      <c r="PQ758" s="265"/>
      <c r="RO758" s="183"/>
      <c r="RP758" s="210"/>
      <c r="RQ758" s="183"/>
      <c r="RR758" s="210"/>
      <c r="SR758" s="183"/>
      <c r="ST758" s="184"/>
      <c r="TR758" s="183"/>
      <c r="TS758" s="181"/>
      <c r="TX758" s="183"/>
      <c r="UB758" s="181"/>
      <c r="UK758" s="183"/>
      <c r="UL758" s="265"/>
      <c r="UM758" s="184"/>
      <c r="UX758" s="265"/>
      <c r="UY758" s="402"/>
      <c r="VA758" s="265"/>
      <c r="VB758"/>
      <c r="WG758" s="265"/>
    </row>
    <row r="759" spans="91:605" x14ac:dyDescent="0.2">
      <c r="CM759" s="183"/>
      <c r="CT759" s="5370"/>
      <c r="OV759" s="183"/>
      <c r="PG759" s="184"/>
      <c r="PJ759" s="183"/>
      <c r="PQ759" s="265"/>
      <c r="RO759" s="183"/>
      <c r="RP759" s="210"/>
      <c r="RQ759" s="183"/>
      <c r="RR759" s="210"/>
      <c r="SR759" s="183"/>
      <c r="ST759" s="184"/>
      <c r="TR759" s="183"/>
      <c r="TS759" s="181"/>
      <c r="TX759" s="183"/>
      <c r="UB759" s="181"/>
      <c r="UK759" s="183"/>
      <c r="UL759" s="265"/>
      <c r="UM759" s="184"/>
      <c r="UX759" s="265"/>
      <c r="UY759" s="402"/>
      <c r="VA759" s="265"/>
      <c r="VB759"/>
      <c r="WG759" s="265"/>
    </row>
    <row r="760" spans="91:605" x14ac:dyDescent="0.2">
      <c r="CM760" s="183"/>
      <c r="CT760" s="5370"/>
      <c r="OV760" s="183"/>
      <c r="PG760" s="184"/>
      <c r="PJ760" s="183"/>
      <c r="PQ760" s="265"/>
      <c r="RO760" s="183"/>
      <c r="RP760" s="210"/>
      <c r="RQ760" s="183"/>
      <c r="RR760" s="210"/>
      <c r="SR760" s="183"/>
      <c r="ST760" s="184"/>
      <c r="TR760" s="183"/>
      <c r="TS760" s="181"/>
      <c r="TX760" s="183"/>
      <c r="UB760" s="181"/>
      <c r="UK760" s="183"/>
      <c r="UL760" s="265"/>
      <c r="UM760" s="184"/>
      <c r="UX760" s="265"/>
      <c r="UY760" s="402"/>
      <c r="VA760" s="265"/>
      <c r="VB760"/>
      <c r="WG760" s="265"/>
    </row>
    <row r="761" spans="91:605" x14ac:dyDescent="0.2">
      <c r="CM761" s="183"/>
      <c r="CT761" s="5370"/>
      <c r="OV761" s="183"/>
      <c r="PG761" s="184"/>
      <c r="PJ761" s="183"/>
      <c r="PQ761" s="265"/>
      <c r="RO761" s="183"/>
      <c r="RP761" s="210"/>
      <c r="RQ761" s="183"/>
      <c r="RR761" s="210"/>
      <c r="SR761" s="183"/>
      <c r="ST761" s="184"/>
      <c r="TR761" s="183"/>
      <c r="TS761" s="181"/>
      <c r="TX761" s="183"/>
      <c r="UB761" s="181"/>
      <c r="UK761" s="183"/>
      <c r="UL761" s="265"/>
      <c r="UM761" s="184"/>
      <c r="UX761" s="265"/>
      <c r="UY761" s="402"/>
      <c r="VA761" s="265"/>
      <c r="VB761"/>
      <c r="WG761" s="265"/>
    </row>
    <row r="762" spans="91:605" x14ac:dyDescent="0.2">
      <c r="CM762" s="183"/>
      <c r="CT762" s="5370"/>
      <c r="OV762" s="183"/>
      <c r="PG762" s="184"/>
      <c r="PJ762" s="183"/>
      <c r="PQ762" s="265"/>
      <c r="RO762" s="183"/>
      <c r="RP762" s="210"/>
      <c r="RQ762" s="183"/>
      <c r="RR762" s="210"/>
      <c r="SR762" s="183"/>
      <c r="ST762" s="184"/>
      <c r="TR762" s="183"/>
      <c r="TS762" s="181"/>
      <c r="TX762" s="183"/>
      <c r="UB762" s="181"/>
      <c r="UK762" s="183"/>
      <c r="UL762" s="265"/>
      <c r="UM762" s="184"/>
      <c r="UX762" s="265"/>
      <c r="UY762" s="402"/>
      <c r="VA762" s="265"/>
      <c r="VB762"/>
      <c r="WG762" s="265"/>
    </row>
    <row r="763" spans="91:605" x14ac:dyDescent="0.2">
      <c r="CM763" s="183"/>
      <c r="CT763" s="5370"/>
      <c r="OV763" s="183"/>
      <c r="PG763" s="184"/>
      <c r="PJ763" s="183"/>
      <c r="PQ763" s="265"/>
      <c r="RO763" s="183"/>
      <c r="RP763" s="210"/>
      <c r="RQ763" s="183"/>
      <c r="RR763" s="210"/>
      <c r="SR763" s="183"/>
      <c r="ST763" s="184"/>
      <c r="TR763" s="183"/>
      <c r="TS763" s="181"/>
      <c r="TX763" s="183"/>
      <c r="UB763" s="181"/>
      <c r="UK763" s="183"/>
      <c r="UL763" s="265"/>
      <c r="UM763" s="184"/>
      <c r="UX763" s="265"/>
      <c r="UY763" s="402"/>
      <c r="VA763" s="265"/>
      <c r="VB763"/>
      <c r="WG763" s="265"/>
    </row>
    <row r="764" spans="91:605" x14ac:dyDescent="0.2">
      <c r="CM764" s="183"/>
      <c r="CT764" s="5370"/>
      <c r="OV764" s="183"/>
      <c r="PG764" s="184"/>
      <c r="PJ764" s="183"/>
      <c r="PQ764" s="265"/>
      <c r="RO764" s="183"/>
      <c r="RP764" s="210"/>
      <c r="RQ764" s="183"/>
      <c r="RR764" s="210"/>
      <c r="SR764" s="183"/>
      <c r="ST764" s="184"/>
      <c r="TR764" s="183"/>
      <c r="TS764" s="181"/>
      <c r="TX764" s="183"/>
      <c r="UB764" s="181"/>
      <c r="UK764" s="183"/>
      <c r="UL764" s="265"/>
      <c r="UM764" s="184"/>
      <c r="UX764" s="265"/>
      <c r="UY764" s="402"/>
      <c r="VA764" s="265"/>
      <c r="VB764"/>
      <c r="WG764" s="265"/>
    </row>
    <row r="765" spans="91:605" x14ac:dyDescent="0.2">
      <c r="CM765" s="183"/>
      <c r="CT765" s="5370"/>
      <c r="OV765" s="183"/>
      <c r="PG765" s="184"/>
      <c r="PJ765" s="183"/>
      <c r="PQ765" s="265"/>
      <c r="RO765" s="183"/>
      <c r="RP765" s="210"/>
      <c r="RQ765" s="183"/>
      <c r="RR765" s="210"/>
      <c r="SR765" s="183"/>
      <c r="ST765" s="184"/>
      <c r="TR765" s="183"/>
      <c r="TS765" s="181"/>
      <c r="TX765" s="183"/>
      <c r="UB765" s="181"/>
      <c r="UK765" s="183"/>
      <c r="UL765" s="265"/>
      <c r="UM765" s="184"/>
      <c r="UX765" s="265"/>
      <c r="UY765" s="402"/>
      <c r="VA765" s="265"/>
      <c r="VB765"/>
      <c r="WG765" s="265"/>
    </row>
    <row r="766" spans="91:605" x14ac:dyDescent="0.2">
      <c r="CM766" s="183"/>
      <c r="CT766" s="5370"/>
      <c r="OV766" s="183"/>
      <c r="PG766" s="184"/>
      <c r="PJ766" s="183"/>
      <c r="PQ766" s="265"/>
      <c r="RO766" s="183"/>
      <c r="RP766" s="210"/>
      <c r="RQ766" s="183"/>
      <c r="RR766" s="210"/>
      <c r="SR766" s="183"/>
      <c r="ST766" s="184"/>
      <c r="TR766" s="183"/>
      <c r="TS766" s="181"/>
      <c r="TX766" s="183"/>
      <c r="UB766" s="181"/>
      <c r="UK766" s="183"/>
      <c r="UL766" s="265"/>
      <c r="UM766" s="184"/>
      <c r="UX766" s="265"/>
      <c r="UY766" s="402"/>
      <c r="VA766" s="265"/>
      <c r="VB766"/>
      <c r="WG766" s="265"/>
    </row>
    <row r="767" spans="91:605" x14ac:dyDescent="0.2">
      <c r="CM767" s="183"/>
      <c r="CT767" s="5370"/>
      <c r="OV767" s="183"/>
      <c r="PG767" s="184"/>
      <c r="PJ767" s="183"/>
      <c r="PQ767" s="265"/>
      <c r="RO767" s="183"/>
      <c r="RP767" s="210"/>
      <c r="RQ767" s="183"/>
      <c r="RR767" s="210"/>
      <c r="SR767" s="183"/>
      <c r="ST767" s="184"/>
      <c r="TR767" s="183"/>
      <c r="TS767" s="181"/>
      <c r="TX767" s="183"/>
      <c r="UB767" s="181"/>
      <c r="UK767" s="183"/>
      <c r="UL767" s="265"/>
      <c r="UM767" s="184"/>
      <c r="UX767" s="265"/>
      <c r="UY767" s="402"/>
      <c r="VA767" s="265"/>
      <c r="VB767"/>
      <c r="WG767" s="265"/>
    </row>
    <row r="805" spans="483:605" x14ac:dyDescent="0.2">
      <c r="RO805" s="183"/>
      <c r="RP805" s="210"/>
      <c r="RQ805" s="183"/>
      <c r="RR805" s="210"/>
      <c r="SR805" s="183"/>
      <c r="ST805" s="184"/>
      <c r="TR805" s="183"/>
      <c r="TS805" s="181"/>
      <c r="TX805" s="183"/>
      <c r="UB805" s="181"/>
      <c r="UK805" s="183"/>
      <c r="UL805" s="265"/>
      <c r="UM805" s="184"/>
      <c r="UX805" s="265"/>
      <c r="UY805" s="402"/>
      <c r="VA805" s="265"/>
      <c r="VB805"/>
      <c r="WG805" s="265"/>
    </row>
    <row r="806" spans="483:605" x14ac:dyDescent="0.2">
      <c r="RO806" s="183"/>
      <c r="RP806" s="210"/>
      <c r="RQ806" s="183"/>
      <c r="RR806" s="210"/>
      <c r="SR806" s="183"/>
      <c r="ST806" s="184"/>
      <c r="TR806" s="183"/>
      <c r="TS806" s="181"/>
      <c r="TX806" s="183"/>
      <c r="UB806" s="181"/>
      <c r="UK806" s="183"/>
      <c r="UL806" s="265"/>
      <c r="UM806" s="184"/>
      <c r="UX806" s="265"/>
      <c r="UY806" s="402"/>
      <c r="VA806" s="265"/>
      <c r="VB806"/>
      <c r="WG806" s="265"/>
    </row>
    <row r="807" spans="483:605" x14ac:dyDescent="0.2">
      <c r="RO807" s="183"/>
      <c r="RP807" s="210"/>
      <c r="RQ807" s="183"/>
      <c r="RR807" s="210"/>
      <c r="SR807" s="183"/>
      <c r="ST807" s="184"/>
      <c r="TR807" s="183"/>
      <c r="TS807" s="181"/>
      <c r="TX807" s="183"/>
      <c r="UB807" s="181"/>
      <c r="UK807" s="183"/>
      <c r="UL807" s="265"/>
      <c r="UM807" s="184"/>
      <c r="UX807" s="265"/>
      <c r="UY807" s="402"/>
      <c r="VA807" s="265"/>
      <c r="VB807"/>
      <c r="WG807" s="265"/>
    </row>
    <row r="808" spans="483:605" x14ac:dyDescent="0.2">
      <c r="RO808" s="183"/>
      <c r="RP808" s="210"/>
      <c r="RQ808" s="183"/>
      <c r="RR808" s="210"/>
      <c r="SR808" s="183"/>
      <c r="ST808" s="184"/>
      <c r="TR808" s="183"/>
      <c r="TS808" s="181"/>
      <c r="TX808" s="183"/>
      <c r="UB808" s="181"/>
      <c r="UK808" s="183"/>
      <c r="UL808" s="265"/>
      <c r="UM808" s="184"/>
      <c r="UX808" s="265"/>
      <c r="UY808" s="402"/>
      <c r="VA808" s="265"/>
      <c r="VB808"/>
      <c r="WG808" s="265"/>
    </row>
    <row r="809" spans="483:605" x14ac:dyDescent="0.2">
      <c r="RO809" s="183"/>
      <c r="RP809" s="210"/>
      <c r="RQ809" s="183"/>
      <c r="RR809" s="210"/>
      <c r="SR809" s="183"/>
      <c r="ST809" s="184"/>
      <c r="TR809" s="183"/>
      <c r="TS809" s="181"/>
      <c r="TX809" s="183"/>
      <c r="UB809" s="181"/>
      <c r="UK809" s="183"/>
      <c r="UL809" s="265"/>
      <c r="UM809" s="184"/>
      <c r="UX809" s="265"/>
      <c r="UY809" s="402"/>
      <c r="VA809" s="265"/>
      <c r="VB809"/>
      <c r="WG809" s="265"/>
    </row>
    <row r="810" spans="483:605" x14ac:dyDescent="0.2">
      <c r="RO810" s="183"/>
      <c r="RP810" s="210"/>
      <c r="RQ810" s="183"/>
      <c r="RR810" s="210"/>
      <c r="SR810" s="183"/>
      <c r="ST810" s="184"/>
      <c r="TR810" s="183"/>
      <c r="TS810" s="181"/>
      <c r="TX810" s="183"/>
      <c r="UB810" s="181"/>
      <c r="UK810" s="183"/>
      <c r="UL810" s="265"/>
      <c r="UM810" s="184"/>
      <c r="UX810" s="265"/>
      <c r="UY810" s="402"/>
      <c r="VA810" s="265"/>
      <c r="VB810"/>
      <c r="WG810" s="265"/>
    </row>
    <row r="811" spans="483:605" x14ac:dyDescent="0.2">
      <c r="RO811" s="183"/>
      <c r="RP811" s="210"/>
      <c r="RQ811" s="183"/>
      <c r="RR811" s="210"/>
      <c r="SR811" s="183"/>
      <c r="ST811" s="184"/>
      <c r="TR811" s="183"/>
      <c r="TS811" s="181"/>
      <c r="TX811" s="183"/>
      <c r="UB811" s="181"/>
      <c r="UK811" s="183"/>
      <c r="UL811" s="265"/>
      <c r="UM811" s="184"/>
      <c r="UX811" s="265"/>
      <c r="UY811" s="402"/>
      <c r="VA811" s="265"/>
      <c r="VB811"/>
      <c r="WG811" s="265"/>
    </row>
    <row r="812" spans="483:605" x14ac:dyDescent="0.2">
      <c r="RO812" s="183"/>
      <c r="RP812" s="210"/>
      <c r="RQ812" s="183"/>
      <c r="RR812" s="210"/>
      <c r="SR812" s="183"/>
      <c r="ST812" s="184"/>
      <c r="TR812" s="183"/>
      <c r="TS812" s="181"/>
      <c r="TX812" s="183"/>
      <c r="UB812" s="181"/>
      <c r="UK812" s="183"/>
      <c r="UL812" s="265"/>
      <c r="UM812" s="184"/>
      <c r="UX812" s="265"/>
      <c r="UY812" s="402"/>
      <c r="VA812" s="265"/>
      <c r="VB812"/>
      <c r="WG812" s="265"/>
    </row>
    <row r="813" spans="483:605" x14ac:dyDescent="0.2">
      <c r="RO813" s="183"/>
      <c r="RP813" s="210"/>
      <c r="RQ813" s="183"/>
      <c r="RR813" s="210"/>
      <c r="SR813" s="183"/>
      <c r="ST813" s="184"/>
      <c r="TR813" s="183"/>
      <c r="TS813" s="181"/>
      <c r="TX813" s="183"/>
      <c r="UB813" s="181"/>
      <c r="UK813" s="183"/>
      <c r="UL813" s="265"/>
      <c r="UM813" s="184"/>
      <c r="UX813" s="265"/>
      <c r="UY813" s="402"/>
      <c r="VA813" s="265"/>
      <c r="VB813"/>
      <c r="WG813" s="265"/>
    </row>
    <row r="814" spans="483:605" x14ac:dyDescent="0.2">
      <c r="RO814" s="183"/>
      <c r="RP814" s="210"/>
      <c r="RQ814" s="183"/>
      <c r="RR814" s="210"/>
      <c r="SR814" s="183"/>
      <c r="ST814" s="184"/>
      <c r="TR814" s="183"/>
      <c r="TS814" s="181"/>
      <c r="TX814" s="183"/>
      <c r="UB814" s="181"/>
      <c r="UK814" s="183"/>
      <c r="UL814" s="265"/>
      <c r="UM814" s="184"/>
      <c r="UX814" s="265"/>
      <c r="UY814" s="402"/>
      <c r="VA814" s="265"/>
      <c r="VB814"/>
      <c r="WG814" s="265"/>
    </row>
    <row r="826" spans="368:374" x14ac:dyDescent="0.2">
      <c r="ND826" s="435"/>
      <c r="NE826" s="435"/>
      <c r="NF826" s="435"/>
      <c r="NG826" s="435"/>
      <c r="NH826" s="435"/>
      <c r="NI826" s="435"/>
      <c r="NJ826" s="435"/>
    </row>
    <row r="827" spans="368:374" x14ac:dyDescent="0.2">
      <c r="ND827" s="435"/>
      <c r="NE827" s="435"/>
      <c r="NF827" s="435"/>
      <c r="NG827" s="435"/>
      <c r="NH827" s="435"/>
      <c r="NI827" s="435"/>
      <c r="NJ827" s="435"/>
    </row>
    <row r="828" spans="368:374" x14ac:dyDescent="0.2">
      <c r="ND828" s="435"/>
      <c r="NE828" s="435"/>
      <c r="NF828" s="435"/>
      <c r="NG828" s="435"/>
      <c r="NH828" s="435"/>
      <c r="NI828" s="435"/>
      <c r="NJ828" s="435"/>
    </row>
    <row r="829" spans="368:374" x14ac:dyDescent="0.2">
      <c r="ND829" s="435"/>
      <c r="NE829" s="435"/>
      <c r="NF829" s="435"/>
      <c r="NG829" s="435"/>
      <c r="NH829" s="435"/>
      <c r="NI829" s="435"/>
      <c r="NJ829" s="435"/>
    </row>
    <row r="830" spans="368:374" x14ac:dyDescent="0.2">
      <c r="ND830" s="435"/>
      <c r="NE830" s="435"/>
      <c r="NF830" s="435"/>
      <c r="NG830" s="435"/>
      <c r="NH830" s="435"/>
      <c r="NI830" s="435"/>
      <c r="NJ830" s="435"/>
    </row>
    <row r="831" spans="368:374" x14ac:dyDescent="0.2">
      <c r="ND831" s="435"/>
      <c r="NE831" s="435"/>
      <c r="NF831" s="435"/>
      <c r="NG831" s="435"/>
      <c r="NH831" s="435"/>
      <c r="NI831" s="435"/>
      <c r="NJ831" s="435"/>
    </row>
    <row r="832" spans="368:374" x14ac:dyDescent="0.2">
      <c r="ND832" s="435"/>
      <c r="NE832" s="435"/>
      <c r="NF832" s="435"/>
      <c r="NG832" s="435"/>
      <c r="NH832" s="435"/>
      <c r="NI832" s="435"/>
      <c r="NJ832" s="435"/>
    </row>
    <row r="833" spans="368:605" x14ac:dyDescent="0.2">
      <c r="ND833" s="435"/>
      <c r="NE833" s="435"/>
      <c r="NF833" s="435"/>
      <c r="NG833" s="435"/>
      <c r="NH833" s="435"/>
      <c r="NI833" s="435"/>
      <c r="NJ833" s="435"/>
    </row>
    <row r="834" spans="368:605" x14ac:dyDescent="0.2">
      <c r="ND834" s="435"/>
      <c r="NE834" s="435"/>
      <c r="NF834" s="435"/>
      <c r="NG834" s="435"/>
      <c r="NH834" s="435"/>
      <c r="NI834" s="435"/>
      <c r="NJ834" s="435"/>
    </row>
    <row r="835" spans="368:605" x14ac:dyDescent="0.2">
      <c r="RO835" s="183"/>
      <c r="RP835" s="210"/>
      <c r="RQ835" s="183"/>
      <c r="RR835" s="210"/>
      <c r="SR835" s="183"/>
      <c r="ST835" s="184"/>
      <c r="TR835" s="183"/>
      <c r="TS835" s="181"/>
      <c r="TX835" s="183"/>
      <c r="UB835" s="181"/>
      <c r="UK835" s="183"/>
      <c r="UL835" s="265"/>
      <c r="UM835" s="184"/>
      <c r="UX835" s="265"/>
      <c r="UY835" s="402"/>
      <c r="VA835" s="265"/>
      <c r="VB835"/>
      <c r="WG835" s="265"/>
    </row>
    <row r="836" spans="368:605" x14ac:dyDescent="0.2">
      <c r="RO836" s="183"/>
      <c r="RP836" s="210"/>
      <c r="RQ836" s="183"/>
      <c r="RR836" s="210"/>
      <c r="SR836" s="183"/>
      <c r="ST836" s="184"/>
      <c r="TR836" s="183"/>
      <c r="TS836" s="181"/>
      <c r="TX836" s="183"/>
      <c r="UB836" s="181"/>
      <c r="UK836" s="183"/>
      <c r="UL836" s="265"/>
      <c r="UM836" s="184"/>
      <c r="UX836" s="265"/>
      <c r="UY836" s="402"/>
      <c r="VA836" s="265"/>
      <c r="VB836"/>
      <c r="WG836" s="265"/>
    </row>
    <row r="837" spans="368:605" x14ac:dyDescent="0.2">
      <c r="RO837" s="183"/>
      <c r="RP837" s="210"/>
      <c r="RQ837" s="183"/>
      <c r="RR837" s="210"/>
      <c r="SR837" s="183"/>
      <c r="ST837" s="184"/>
      <c r="TR837" s="183"/>
      <c r="TS837" s="181"/>
      <c r="TX837" s="183"/>
      <c r="UB837" s="181"/>
      <c r="UK837" s="183"/>
      <c r="UL837" s="265"/>
      <c r="UM837" s="184"/>
      <c r="UX837" s="265"/>
      <c r="UY837" s="402"/>
      <c r="VA837" s="265"/>
      <c r="VB837"/>
      <c r="WG837" s="265"/>
    </row>
    <row r="838" spans="368:605" x14ac:dyDescent="0.2">
      <c r="RO838" s="183"/>
      <c r="RP838" s="210"/>
      <c r="RQ838" s="183"/>
      <c r="RR838" s="210"/>
      <c r="SR838" s="183"/>
      <c r="ST838" s="184"/>
      <c r="TR838" s="183"/>
      <c r="TS838" s="181"/>
      <c r="TX838" s="183"/>
      <c r="UB838" s="181"/>
      <c r="UK838" s="183"/>
      <c r="UL838" s="265"/>
      <c r="UM838" s="184"/>
      <c r="UX838" s="265"/>
      <c r="UY838" s="402"/>
      <c r="VA838" s="265"/>
      <c r="VB838"/>
      <c r="WG838" s="265"/>
    </row>
    <row r="839" spans="368:605" x14ac:dyDescent="0.2">
      <c r="RO839" s="183"/>
      <c r="RP839" s="210"/>
      <c r="RQ839" s="183"/>
      <c r="RR839" s="210"/>
      <c r="SR839" s="183"/>
      <c r="ST839" s="184"/>
      <c r="TR839" s="183"/>
      <c r="TS839" s="181"/>
      <c r="TX839" s="183"/>
      <c r="UB839" s="181"/>
      <c r="UK839" s="183"/>
      <c r="UL839" s="265"/>
      <c r="UM839" s="184"/>
      <c r="UX839" s="265"/>
      <c r="UY839" s="402"/>
      <c r="VA839" s="265"/>
      <c r="VB839"/>
      <c r="WG839" s="265"/>
    </row>
    <row r="840" spans="368:605" x14ac:dyDescent="0.2">
      <c r="RO840" s="183"/>
      <c r="RP840" s="210"/>
      <c r="RQ840" s="183"/>
      <c r="RR840" s="210"/>
      <c r="SR840" s="183"/>
      <c r="ST840" s="184"/>
      <c r="TR840" s="183"/>
      <c r="TS840" s="181"/>
      <c r="TX840" s="183"/>
      <c r="UB840" s="181"/>
      <c r="UK840" s="183"/>
      <c r="UL840" s="265"/>
      <c r="UM840" s="184"/>
      <c r="UX840" s="265"/>
      <c r="UY840" s="402"/>
      <c r="VA840" s="265"/>
      <c r="VB840"/>
      <c r="WG840" s="265"/>
    </row>
    <row r="841" spans="368:605" x14ac:dyDescent="0.2">
      <c r="RO841" s="183"/>
      <c r="RP841" s="210"/>
      <c r="RQ841" s="183"/>
      <c r="RR841" s="210"/>
      <c r="SR841" s="183"/>
      <c r="ST841" s="184"/>
      <c r="TR841" s="183"/>
      <c r="TS841" s="181"/>
      <c r="TX841" s="183"/>
      <c r="UB841" s="181"/>
      <c r="UK841" s="183"/>
      <c r="UL841" s="265"/>
      <c r="UM841" s="184"/>
      <c r="UX841" s="265"/>
      <c r="UY841" s="402"/>
      <c r="VA841" s="265"/>
      <c r="VB841"/>
      <c r="WG841" s="265"/>
    </row>
    <row r="842" spans="368:605" x14ac:dyDescent="0.2">
      <c r="RO842" s="183"/>
      <c r="RP842" s="210"/>
      <c r="RQ842" s="183"/>
      <c r="RR842" s="210"/>
      <c r="SR842" s="183"/>
      <c r="ST842" s="184"/>
      <c r="TR842" s="183"/>
      <c r="TS842" s="181"/>
      <c r="TX842" s="183"/>
      <c r="UB842" s="181"/>
      <c r="UK842" s="183"/>
      <c r="UL842" s="265"/>
      <c r="UM842" s="184"/>
      <c r="UX842" s="265"/>
      <c r="UY842" s="402"/>
      <c r="VA842" s="265"/>
      <c r="VB842"/>
      <c r="WG842" s="265"/>
    </row>
    <row r="843" spans="368:605" x14ac:dyDescent="0.2">
      <c r="RO843" s="183"/>
      <c r="RP843" s="210"/>
      <c r="RQ843" s="183"/>
      <c r="RR843" s="210"/>
      <c r="SR843" s="183"/>
      <c r="ST843" s="184"/>
      <c r="TR843" s="183"/>
      <c r="TS843" s="181"/>
      <c r="TX843" s="183"/>
      <c r="UB843" s="181"/>
      <c r="UK843" s="183"/>
      <c r="UL843" s="265"/>
      <c r="UM843" s="184"/>
      <c r="UX843" s="265"/>
      <c r="UY843" s="402"/>
      <c r="VA843" s="265"/>
      <c r="VB843"/>
      <c r="WG843" s="265"/>
    </row>
    <row r="844" spans="368:605" x14ac:dyDescent="0.2">
      <c r="RO844" s="183"/>
      <c r="RP844" s="210"/>
      <c r="RQ844" s="183"/>
      <c r="RR844" s="210"/>
      <c r="SR844" s="183"/>
      <c r="ST844" s="184"/>
      <c r="TR844" s="183"/>
      <c r="TS844" s="181"/>
      <c r="TX844" s="183"/>
      <c r="UB844" s="181"/>
      <c r="UK844" s="183"/>
      <c r="UL844" s="265"/>
      <c r="UM844" s="184"/>
      <c r="UX844" s="265"/>
      <c r="UY844" s="402"/>
      <c r="VA844" s="265"/>
      <c r="VB844"/>
      <c r="WG844" s="265"/>
    </row>
    <row r="845" spans="368:605" x14ac:dyDescent="0.2">
      <c r="RO845" s="183"/>
      <c r="RP845" s="210"/>
      <c r="RQ845" s="183"/>
      <c r="RR845" s="210"/>
      <c r="SR845" s="183"/>
      <c r="ST845" s="184"/>
      <c r="TR845" s="183"/>
      <c r="TS845" s="181"/>
      <c r="TX845" s="183"/>
      <c r="UB845" s="181"/>
      <c r="UK845" s="183"/>
      <c r="UL845" s="265"/>
      <c r="UM845" s="184"/>
      <c r="UX845" s="265"/>
      <c r="UY845" s="402"/>
      <c r="VA845" s="265"/>
      <c r="VB845"/>
      <c r="WG845" s="265"/>
    </row>
    <row r="846" spans="368:605" x14ac:dyDescent="0.2">
      <c r="RO846" s="183"/>
      <c r="RP846" s="210"/>
      <c r="RQ846" s="183"/>
      <c r="RR846" s="210"/>
      <c r="SR846" s="183"/>
      <c r="ST846" s="184"/>
      <c r="TR846" s="183"/>
      <c r="TS846" s="181"/>
      <c r="TX846" s="183"/>
      <c r="UB846" s="181"/>
      <c r="UK846" s="183"/>
      <c r="UL846" s="265"/>
      <c r="UM846" s="184"/>
      <c r="UX846" s="265"/>
      <c r="UY846" s="402"/>
      <c r="VA846" s="265"/>
      <c r="VB846"/>
      <c r="WG846" s="265"/>
    </row>
    <row r="847" spans="368:605" x14ac:dyDescent="0.2">
      <c r="RO847" s="183"/>
      <c r="RP847" s="210"/>
      <c r="RQ847" s="183"/>
      <c r="RR847" s="210"/>
      <c r="SR847" s="183"/>
      <c r="ST847" s="184"/>
      <c r="TR847" s="183"/>
      <c r="TS847" s="181"/>
      <c r="TX847" s="183"/>
      <c r="UB847" s="181"/>
      <c r="UK847" s="183"/>
      <c r="UL847" s="265"/>
      <c r="UM847" s="184"/>
      <c r="UX847" s="265"/>
      <c r="UY847" s="402"/>
      <c r="VA847" s="265"/>
      <c r="VB847"/>
      <c r="WG847" s="265"/>
    </row>
    <row r="848" spans="368:605" x14ac:dyDescent="0.2">
      <c r="RO848" s="183"/>
      <c r="RP848" s="210"/>
      <c r="RQ848" s="183"/>
      <c r="RR848" s="210"/>
      <c r="SR848" s="183"/>
      <c r="ST848" s="184"/>
      <c r="TR848" s="183"/>
      <c r="TS848" s="181"/>
      <c r="TX848" s="183"/>
      <c r="UB848" s="181"/>
      <c r="UK848" s="183"/>
      <c r="UL848" s="265"/>
      <c r="UM848" s="184"/>
      <c r="UX848" s="265"/>
      <c r="UY848" s="402"/>
      <c r="VA848" s="265"/>
      <c r="VB848"/>
      <c r="WG848" s="265"/>
    </row>
    <row r="849" spans="381:605" x14ac:dyDescent="0.2">
      <c r="RO849" s="183"/>
      <c r="RP849" s="210"/>
      <c r="RQ849" s="183"/>
      <c r="RR849" s="210"/>
      <c r="SR849" s="183"/>
      <c r="ST849" s="184"/>
      <c r="TR849" s="183"/>
      <c r="TS849" s="181"/>
      <c r="TX849" s="183"/>
      <c r="UB849" s="181"/>
      <c r="UK849" s="183"/>
      <c r="UL849" s="265"/>
      <c r="UM849" s="184"/>
      <c r="UX849" s="265"/>
      <c r="UY849" s="402"/>
      <c r="VA849" s="265"/>
      <c r="VB849"/>
      <c r="WG849" s="265"/>
    </row>
    <row r="850" spans="381:605" x14ac:dyDescent="0.2">
      <c r="RO850" s="183"/>
      <c r="RP850" s="210"/>
      <c r="RQ850" s="183"/>
      <c r="RR850" s="210"/>
      <c r="SR850" s="183"/>
      <c r="ST850" s="184"/>
      <c r="TR850" s="183"/>
      <c r="TS850" s="181"/>
      <c r="TX850" s="183"/>
      <c r="UB850" s="181"/>
      <c r="UK850" s="183"/>
      <c r="UL850" s="265"/>
      <c r="UM850" s="184"/>
      <c r="UX850" s="265"/>
      <c r="UY850" s="402"/>
      <c r="VA850" s="265"/>
      <c r="VB850"/>
      <c r="WG850" s="265"/>
    </row>
    <row r="851" spans="381:605" x14ac:dyDescent="0.2">
      <c r="RO851" s="183"/>
      <c r="RP851" s="210"/>
      <c r="RQ851" s="183"/>
      <c r="RR851" s="210"/>
      <c r="SR851" s="183"/>
      <c r="ST851" s="184"/>
      <c r="TR851" s="183"/>
      <c r="TS851" s="181"/>
      <c r="TX851" s="183"/>
      <c r="UB851" s="181"/>
      <c r="UK851" s="183"/>
      <c r="UL851" s="265"/>
      <c r="UM851" s="184"/>
      <c r="UX851" s="265"/>
      <c r="UY851" s="402"/>
      <c r="VA851" s="265"/>
      <c r="VB851"/>
      <c r="WG851" s="265"/>
    </row>
    <row r="852" spans="381:605" x14ac:dyDescent="0.2">
      <c r="RO852" s="183"/>
      <c r="RP852" s="210"/>
      <c r="RQ852" s="183"/>
      <c r="RR852" s="210"/>
      <c r="SR852" s="183"/>
      <c r="ST852" s="184"/>
      <c r="TR852" s="183"/>
      <c r="TS852" s="181"/>
      <c r="TX852" s="183"/>
      <c r="UB852" s="181"/>
      <c r="UK852" s="183"/>
      <c r="UL852" s="265"/>
      <c r="UM852" s="184"/>
      <c r="UX852" s="265"/>
      <c r="UY852" s="402"/>
      <c r="VA852" s="265"/>
      <c r="VB852"/>
      <c r="WG852" s="265"/>
    </row>
    <row r="853" spans="381:605" x14ac:dyDescent="0.2">
      <c r="RO853" s="183"/>
      <c r="RP853" s="210"/>
      <c r="RQ853" s="183"/>
      <c r="RR853" s="210"/>
      <c r="SR853" s="183"/>
      <c r="ST853" s="184"/>
      <c r="TR853" s="183"/>
      <c r="TS853" s="181"/>
      <c r="TX853" s="183"/>
      <c r="UB853" s="181"/>
      <c r="UK853" s="183"/>
      <c r="UL853" s="265"/>
      <c r="UM853" s="184"/>
      <c r="UX853" s="265"/>
      <c r="UY853" s="402"/>
      <c r="VA853" s="265"/>
      <c r="VB853"/>
      <c r="WG853" s="265"/>
    </row>
    <row r="854" spans="381:605" x14ac:dyDescent="0.2">
      <c r="RO854" s="183"/>
      <c r="RP854" s="210"/>
      <c r="RQ854" s="183"/>
      <c r="RR854" s="210"/>
      <c r="SR854" s="183"/>
      <c r="ST854" s="184"/>
      <c r="TR854" s="183"/>
      <c r="TS854" s="181"/>
      <c r="TX854" s="183"/>
      <c r="UB854" s="181"/>
      <c r="UK854" s="183"/>
      <c r="UL854" s="265"/>
      <c r="UM854" s="184"/>
      <c r="UX854" s="265"/>
      <c r="UY854" s="402"/>
      <c r="VA854" s="265"/>
      <c r="VB854"/>
      <c r="WG854" s="265"/>
    </row>
    <row r="855" spans="381:605" x14ac:dyDescent="0.2">
      <c r="RO855" s="183"/>
      <c r="RP855" s="210"/>
      <c r="RQ855" s="183"/>
      <c r="RR855" s="210"/>
      <c r="SR855" s="183"/>
      <c r="ST855" s="184"/>
      <c r="TR855" s="183"/>
      <c r="TS855" s="181"/>
      <c r="TX855" s="183"/>
      <c r="UB855" s="181"/>
      <c r="UK855" s="183"/>
      <c r="UL855" s="265"/>
      <c r="UM855" s="184"/>
      <c r="UX855" s="265"/>
      <c r="UY855" s="402"/>
      <c r="VA855" s="265"/>
      <c r="VB855"/>
      <c r="WG855" s="265"/>
    </row>
    <row r="856" spans="381:605" x14ac:dyDescent="0.2">
      <c r="RO856" s="183"/>
      <c r="RP856" s="210"/>
      <c r="RQ856" s="183"/>
      <c r="RR856" s="210"/>
      <c r="SR856" s="183"/>
      <c r="ST856" s="184"/>
      <c r="TR856" s="183"/>
      <c r="TS856" s="181"/>
      <c r="TX856" s="183"/>
      <c r="UB856" s="181"/>
      <c r="UK856" s="183"/>
      <c r="UL856" s="265"/>
      <c r="UM856" s="184"/>
      <c r="UX856" s="265"/>
      <c r="UY856" s="402"/>
      <c r="VA856" s="265"/>
      <c r="VB856"/>
      <c r="WG856" s="265"/>
    </row>
    <row r="857" spans="381:605" x14ac:dyDescent="0.2">
      <c r="RO857" s="183"/>
      <c r="RP857" s="210"/>
      <c r="RQ857" s="183"/>
      <c r="RR857" s="210"/>
      <c r="SR857" s="183"/>
      <c r="ST857" s="184"/>
      <c r="TR857" s="183"/>
      <c r="TS857" s="181"/>
      <c r="TX857" s="183"/>
      <c r="UB857" s="181"/>
      <c r="UK857" s="183"/>
      <c r="UL857" s="265"/>
      <c r="UM857" s="184"/>
      <c r="UX857" s="265"/>
      <c r="UY857" s="402"/>
      <c r="VA857" s="265"/>
      <c r="VB857"/>
      <c r="WG857" s="265"/>
    </row>
    <row r="858" spans="381:605" x14ac:dyDescent="0.2">
      <c r="RO858" s="183"/>
      <c r="RP858" s="210"/>
      <c r="RQ858" s="183"/>
      <c r="RR858" s="210"/>
      <c r="SR858" s="183"/>
      <c r="ST858" s="184"/>
      <c r="TR858" s="183"/>
      <c r="TS858" s="181"/>
      <c r="TX858" s="183"/>
      <c r="UB858" s="181"/>
      <c r="UK858" s="183"/>
      <c r="UL858" s="265"/>
      <c r="UM858" s="184"/>
      <c r="UX858" s="265"/>
      <c r="UY858" s="402"/>
      <c r="VA858" s="265"/>
      <c r="VB858"/>
      <c r="WG858" s="265"/>
    </row>
    <row r="859" spans="381:605" x14ac:dyDescent="0.2">
      <c r="RO859" s="183"/>
      <c r="RP859" s="210"/>
      <c r="RQ859" s="183"/>
      <c r="RR859" s="210"/>
      <c r="SR859" s="183"/>
      <c r="ST859" s="184"/>
      <c r="TR859" s="183"/>
      <c r="TS859" s="181"/>
      <c r="TX859" s="183"/>
      <c r="UB859" s="181"/>
      <c r="UK859" s="183"/>
      <c r="UL859" s="265"/>
      <c r="UM859" s="184"/>
      <c r="UX859" s="265"/>
      <c r="UY859" s="402"/>
      <c r="VA859" s="265"/>
      <c r="VB859"/>
      <c r="WG859" s="265"/>
    </row>
    <row r="860" spans="381:605" x14ac:dyDescent="0.2">
      <c r="RO860" s="183"/>
      <c r="RP860" s="210"/>
      <c r="RQ860" s="183"/>
      <c r="RR860" s="210"/>
      <c r="SR860" s="183"/>
      <c r="ST860" s="184"/>
      <c r="TR860" s="183"/>
      <c r="TS860" s="181"/>
      <c r="TX860" s="183"/>
      <c r="UB860" s="181"/>
      <c r="UK860" s="183"/>
      <c r="UL860" s="265"/>
      <c r="UM860" s="184"/>
      <c r="UX860" s="265"/>
      <c r="UY860" s="402"/>
      <c r="VA860" s="265"/>
      <c r="VB860"/>
      <c r="WG860" s="265"/>
    </row>
    <row r="861" spans="381:605" x14ac:dyDescent="0.2">
      <c r="RO861" s="183"/>
      <c r="RP861" s="210"/>
      <c r="RQ861" s="183"/>
      <c r="RR861" s="210"/>
      <c r="SR861" s="183"/>
      <c r="ST861" s="184"/>
      <c r="TR861" s="183"/>
      <c r="TS861" s="181"/>
      <c r="TX861" s="183"/>
      <c r="UB861" s="181"/>
      <c r="UK861" s="183"/>
      <c r="UL861" s="265"/>
      <c r="UM861" s="184"/>
      <c r="UX861" s="265"/>
      <c r="UY861" s="402"/>
      <c r="VA861" s="265"/>
      <c r="VB861"/>
      <c r="WG861" s="265"/>
    </row>
    <row r="862" spans="381:605" x14ac:dyDescent="0.2">
      <c r="RO862" s="183"/>
      <c r="RP862" s="210"/>
      <c r="RQ862" s="183"/>
      <c r="RR862" s="210"/>
      <c r="SR862" s="183"/>
      <c r="ST862" s="184"/>
      <c r="TR862" s="183"/>
      <c r="TS862" s="181"/>
      <c r="TX862" s="183"/>
      <c r="UB862" s="181"/>
      <c r="UK862" s="183"/>
      <c r="UL862" s="265"/>
      <c r="UM862" s="184"/>
      <c r="UX862" s="265"/>
      <c r="UY862" s="402"/>
      <c r="VA862" s="265"/>
      <c r="VB862"/>
      <c r="WG862" s="265"/>
    </row>
    <row r="863" spans="381:605" x14ac:dyDescent="0.2">
      <c r="NQ863" s="5514"/>
      <c r="NR863" s="5514"/>
      <c r="NS863" s="5514"/>
      <c r="NT863" s="5514"/>
      <c r="NU863" s="5514"/>
      <c r="NV863" s="5514"/>
      <c r="NW863" s="5514"/>
      <c r="NX863" s="5514"/>
      <c r="NY863" s="5514"/>
      <c r="NZ863" s="5514"/>
      <c r="OA863" s="5514"/>
      <c r="OB863" s="5514"/>
      <c r="OC863" s="5514"/>
      <c r="OD863" s="5514"/>
      <c r="OE863" s="5514"/>
      <c r="OF863" s="5514"/>
      <c r="OG863" s="5514"/>
      <c r="OH863" s="5514"/>
      <c r="OI863" s="5514"/>
      <c r="OJ863" s="5514"/>
      <c r="OK863" s="5514"/>
      <c r="OL863" s="5514"/>
      <c r="OM863" s="5514"/>
      <c r="ON863" s="5514"/>
      <c r="OO863" s="5514"/>
      <c r="OP863" s="5514"/>
      <c r="OQ863" s="5514"/>
      <c r="OR863" s="5514"/>
      <c r="OS863" s="5514"/>
      <c r="OT863" s="5514"/>
      <c r="OU863" s="5514"/>
      <c r="OV863" s="5514"/>
      <c r="OW863" s="5514"/>
      <c r="OX863" s="5514"/>
      <c r="OY863" s="5514"/>
      <c r="OZ863" s="5514"/>
      <c r="PA863" s="5514"/>
      <c r="PB863" s="5514"/>
      <c r="PC863" s="5514"/>
      <c r="PD863" s="5514"/>
      <c r="PE863" s="5514"/>
      <c r="PF863" s="5514"/>
      <c r="PG863" s="5514"/>
      <c r="PH863" s="5514"/>
      <c r="PI863" s="5514"/>
      <c r="PJ863" s="5514"/>
      <c r="PK863" s="5514"/>
      <c r="PL863" s="5514"/>
      <c r="PM863" s="5514"/>
      <c r="PN863" s="5514"/>
      <c r="PO863" s="5514"/>
      <c r="PP863" s="5514"/>
      <c r="PQ863" s="5514"/>
      <c r="PR863" s="5514"/>
      <c r="PS863" s="5514"/>
      <c r="PT863" s="5514"/>
      <c r="PU863" s="5514"/>
      <c r="PV863" s="5514"/>
      <c r="PW863" s="5514"/>
      <c r="PX863" s="5514"/>
      <c r="PY863" s="5514"/>
      <c r="PZ863" s="5514"/>
      <c r="QA863" s="5514"/>
    </row>
    <row r="925" spans="285:285" x14ac:dyDescent="0.2">
      <c r="JY925" s="183" t="s">
        <v>2638</v>
      </c>
    </row>
    <row r="1510" spans="91:605" x14ac:dyDescent="0.2">
      <c r="CM1510" s="183"/>
      <c r="CT1510" s="5370"/>
      <c r="OV1510" s="183"/>
      <c r="PG1510" s="184"/>
      <c r="PJ1510" s="183"/>
      <c r="PQ1510" s="265"/>
      <c r="RO1510" s="183"/>
      <c r="RP1510" s="210"/>
      <c r="RQ1510" s="183"/>
      <c r="RR1510" s="210"/>
      <c r="SR1510" s="183"/>
      <c r="ST1510" s="184"/>
      <c r="TR1510" s="183"/>
      <c r="TS1510" s="181"/>
      <c r="TX1510" s="183"/>
      <c r="UB1510" s="181"/>
      <c r="UK1510" s="183"/>
      <c r="UL1510" s="265"/>
      <c r="UM1510" s="184"/>
      <c r="UX1510" s="265"/>
      <c r="UY1510" s="402"/>
      <c r="VA1510" s="265"/>
      <c r="VB1510"/>
      <c r="WG1510" s="265"/>
    </row>
    <row r="1511" spans="91:605" x14ac:dyDescent="0.2">
      <c r="CM1511" s="183"/>
      <c r="CT1511" s="5370"/>
      <c r="OV1511" s="183"/>
      <c r="PG1511" s="184"/>
      <c r="PJ1511" s="183"/>
      <c r="PQ1511" s="265"/>
      <c r="RO1511" s="183"/>
      <c r="RP1511" s="210"/>
      <c r="RQ1511" s="183"/>
      <c r="RR1511" s="210"/>
      <c r="SR1511" s="183"/>
      <c r="ST1511" s="184"/>
      <c r="TR1511" s="183"/>
      <c r="TS1511" s="181"/>
      <c r="TX1511" s="183"/>
      <c r="UB1511" s="181"/>
      <c r="UK1511" s="183"/>
      <c r="UL1511" s="265"/>
      <c r="UM1511" s="184"/>
      <c r="UX1511" s="265"/>
      <c r="UY1511" s="402"/>
      <c r="VA1511" s="265"/>
      <c r="VB1511"/>
      <c r="WG1511" s="265"/>
    </row>
    <row r="1512" spans="91:605" x14ac:dyDescent="0.2">
      <c r="CM1512" s="183"/>
      <c r="CT1512" s="5370"/>
      <c r="OV1512" s="183"/>
      <c r="PG1512" s="184"/>
      <c r="PJ1512" s="183"/>
      <c r="PQ1512" s="265"/>
      <c r="RO1512" s="183"/>
      <c r="RP1512" s="210"/>
      <c r="RQ1512" s="183"/>
      <c r="RR1512" s="210"/>
      <c r="SR1512" s="183"/>
      <c r="ST1512" s="184"/>
      <c r="TR1512" s="183"/>
      <c r="TS1512" s="181"/>
      <c r="TX1512" s="183"/>
      <c r="UB1512" s="181"/>
      <c r="UK1512" s="183"/>
      <c r="UL1512" s="265"/>
      <c r="UM1512" s="184"/>
      <c r="UX1512" s="265"/>
      <c r="UY1512" s="402"/>
      <c r="VA1512" s="265"/>
      <c r="VB1512"/>
      <c r="WG1512" s="265"/>
    </row>
    <row r="1513" spans="91:605" x14ac:dyDescent="0.2">
      <c r="CM1513" s="183"/>
      <c r="CT1513" s="5370"/>
      <c r="OV1513" s="183"/>
      <c r="PG1513" s="184"/>
      <c r="PJ1513" s="183"/>
      <c r="PQ1513" s="265"/>
      <c r="RO1513" s="183"/>
      <c r="RP1513" s="210"/>
      <c r="RQ1513" s="183"/>
      <c r="RR1513" s="210"/>
      <c r="SR1513" s="183"/>
      <c r="ST1513" s="184"/>
      <c r="TR1513" s="183"/>
      <c r="TS1513" s="181"/>
      <c r="TX1513" s="183"/>
      <c r="UB1513" s="181"/>
      <c r="UK1513" s="183"/>
      <c r="UL1513" s="265"/>
      <c r="UM1513" s="184"/>
      <c r="UX1513" s="265"/>
      <c r="UY1513" s="402"/>
      <c r="VA1513" s="265"/>
      <c r="VB1513"/>
      <c r="WG1513" s="265"/>
    </row>
    <row r="1514" spans="91:605" x14ac:dyDescent="0.2">
      <c r="CM1514" s="183"/>
      <c r="CT1514" s="5370"/>
      <c r="OV1514" s="183"/>
      <c r="PG1514" s="184"/>
      <c r="PJ1514" s="183"/>
      <c r="PQ1514" s="265"/>
      <c r="RO1514" s="183"/>
      <c r="RP1514" s="210"/>
      <c r="RQ1514" s="183"/>
      <c r="RR1514" s="210"/>
      <c r="SR1514" s="183"/>
      <c r="ST1514" s="184"/>
      <c r="TR1514" s="183"/>
      <c r="TS1514" s="181"/>
      <c r="TX1514" s="183"/>
      <c r="UB1514" s="181"/>
      <c r="UK1514" s="183"/>
      <c r="UL1514" s="265"/>
      <c r="UM1514" s="184"/>
      <c r="UX1514" s="265"/>
      <c r="UY1514" s="402"/>
      <c r="VA1514" s="265"/>
      <c r="VB1514"/>
      <c r="WG1514" s="265"/>
    </row>
    <row r="1515" spans="91:605" x14ac:dyDescent="0.2">
      <c r="CM1515" s="183"/>
      <c r="CT1515" s="5370"/>
      <c r="OV1515" s="183"/>
      <c r="PG1515" s="184"/>
      <c r="PJ1515" s="183"/>
      <c r="PQ1515" s="265"/>
      <c r="RO1515" s="183"/>
      <c r="RP1515" s="210"/>
      <c r="RQ1515" s="183"/>
      <c r="RR1515" s="210"/>
      <c r="SR1515" s="183"/>
      <c r="ST1515" s="184"/>
      <c r="TR1515" s="183"/>
      <c r="TS1515" s="181"/>
      <c r="TX1515" s="183"/>
      <c r="UB1515" s="181"/>
      <c r="UK1515" s="183"/>
      <c r="UL1515" s="265"/>
      <c r="UM1515" s="184"/>
      <c r="UX1515" s="265"/>
      <c r="UY1515" s="402"/>
      <c r="VA1515" s="265"/>
      <c r="VB1515"/>
      <c r="WG1515" s="265"/>
    </row>
    <row r="1516" spans="91:605" x14ac:dyDescent="0.2">
      <c r="CM1516" s="183"/>
      <c r="CT1516" s="5370"/>
      <c r="OV1516" s="183"/>
      <c r="PG1516" s="184"/>
      <c r="PJ1516" s="183"/>
      <c r="PQ1516" s="265"/>
      <c r="RO1516" s="183"/>
      <c r="RP1516" s="210"/>
      <c r="RQ1516" s="183"/>
      <c r="RR1516" s="210"/>
      <c r="SR1516" s="183"/>
      <c r="ST1516" s="184"/>
      <c r="TR1516" s="183"/>
      <c r="TS1516" s="181"/>
      <c r="TX1516" s="183"/>
      <c r="UB1516" s="181"/>
      <c r="UK1516" s="183"/>
      <c r="UL1516" s="265"/>
      <c r="UM1516" s="184"/>
      <c r="UX1516" s="265"/>
      <c r="UY1516" s="402"/>
      <c r="VA1516" s="265"/>
      <c r="VB1516"/>
      <c r="WG1516" s="265"/>
    </row>
    <row r="1517" spans="91:605" x14ac:dyDescent="0.2">
      <c r="CM1517" s="183"/>
      <c r="CT1517" s="5370"/>
      <c r="OV1517" s="183"/>
      <c r="PG1517" s="184"/>
      <c r="PJ1517" s="183"/>
      <c r="PQ1517" s="265"/>
      <c r="RO1517" s="183"/>
      <c r="RP1517" s="210"/>
      <c r="RQ1517" s="183"/>
      <c r="RR1517" s="210"/>
      <c r="SR1517" s="183"/>
      <c r="ST1517" s="184"/>
      <c r="TR1517" s="183"/>
      <c r="TS1517" s="181"/>
      <c r="TX1517" s="183"/>
      <c r="UB1517" s="181"/>
      <c r="UK1517" s="183"/>
      <c r="UL1517" s="265"/>
      <c r="UM1517" s="184"/>
      <c r="UX1517" s="265"/>
      <c r="UY1517" s="402"/>
      <c r="VA1517" s="265"/>
      <c r="VB1517"/>
      <c r="WG1517" s="265"/>
    </row>
    <row r="1518" spans="91:605" x14ac:dyDescent="0.2">
      <c r="CM1518" s="183"/>
      <c r="CT1518" s="5370"/>
      <c r="OV1518" s="183"/>
      <c r="PG1518" s="184"/>
      <c r="PJ1518" s="183"/>
      <c r="PQ1518" s="265"/>
      <c r="RO1518" s="183"/>
      <c r="RP1518" s="210"/>
      <c r="RQ1518" s="183"/>
      <c r="RR1518" s="210"/>
      <c r="SR1518" s="183"/>
      <c r="ST1518" s="184"/>
      <c r="TR1518" s="183"/>
      <c r="TS1518" s="181"/>
      <c r="TX1518" s="183"/>
      <c r="UB1518" s="181"/>
      <c r="UK1518" s="183"/>
      <c r="UL1518" s="265"/>
      <c r="UM1518" s="184"/>
      <c r="UX1518" s="265"/>
      <c r="UY1518" s="402"/>
      <c r="VA1518" s="265"/>
      <c r="VB1518"/>
      <c r="WG1518" s="265"/>
    </row>
    <row r="1519" spans="91:605" x14ac:dyDescent="0.2">
      <c r="CM1519" s="183"/>
      <c r="CT1519" s="5370"/>
      <c r="OV1519" s="183"/>
      <c r="PG1519" s="184"/>
      <c r="PJ1519" s="183"/>
      <c r="PQ1519" s="265"/>
      <c r="RO1519" s="183"/>
      <c r="RP1519" s="210"/>
      <c r="RQ1519" s="183"/>
      <c r="RR1519" s="210"/>
      <c r="SR1519" s="183"/>
      <c r="ST1519" s="184"/>
      <c r="TR1519" s="183"/>
      <c r="TS1519" s="181"/>
      <c r="TX1519" s="183"/>
      <c r="UB1519" s="181"/>
      <c r="UK1519" s="183"/>
      <c r="UL1519" s="265"/>
      <c r="UM1519" s="184"/>
      <c r="UX1519" s="265"/>
      <c r="UY1519" s="402"/>
      <c r="VA1519" s="265"/>
      <c r="VB1519"/>
      <c r="WG1519" s="265"/>
    </row>
    <row r="1520" spans="91:605" x14ac:dyDescent="0.2">
      <c r="CM1520" s="183"/>
      <c r="CT1520" s="5370"/>
      <c r="OV1520" s="183"/>
      <c r="PG1520" s="184"/>
      <c r="PJ1520" s="183"/>
      <c r="PQ1520" s="265"/>
      <c r="RO1520" s="183"/>
      <c r="RP1520" s="210"/>
      <c r="RQ1520" s="183"/>
      <c r="RR1520" s="210"/>
      <c r="SR1520" s="183"/>
      <c r="ST1520" s="184"/>
      <c r="TR1520" s="183"/>
      <c r="TS1520" s="181"/>
      <c r="TX1520" s="183"/>
      <c r="UB1520" s="181"/>
      <c r="UK1520" s="183"/>
      <c r="UL1520" s="265"/>
      <c r="UM1520" s="184"/>
      <c r="UX1520" s="265"/>
      <c r="UY1520" s="402"/>
      <c r="VA1520" s="265"/>
      <c r="VB1520"/>
      <c r="WG1520" s="265"/>
    </row>
    <row r="1521" spans="55:605" x14ac:dyDescent="0.2">
      <c r="CM1521" s="183"/>
      <c r="CT1521" s="5370"/>
      <c r="OV1521" s="183"/>
      <c r="PG1521" s="184"/>
      <c r="PJ1521" s="183"/>
      <c r="PQ1521" s="265"/>
      <c r="RO1521" s="183"/>
      <c r="RP1521" s="210"/>
      <c r="RQ1521" s="183"/>
      <c r="RR1521" s="210"/>
      <c r="SR1521" s="183"/>
      <c r="ST1521" s="184"/>
      <c r="TR1521" s="183"/>
      <c r="TS1521" s="181"/>
      <c r="TX1521" s="183"/>
      <c r="UB1521" s="181"/>
      <c r="UK1521" s="183"/>
      <c r="UL1521" s="265"/>
      <c r="UM1521" s="184"/>
      <c r="UX1521" s="265"/>
      <c r="UY1521" s="402"/>
      <c r="VA1521" s="265"/>
      <c r="VB1521"/>
      <c r="WG1521" s="265"/>
    </row>
    <row r="1523" spans="55:605" x14ac:dyDescent="0.2">
      <c r="BC1523" s="207"/>
    </row>
    <row r="1525" spans="55:605" x14ac:dyDescent="0.2">
      <c r="BI1525" s="183"/>
      <c r="BK1525" s="184"/>
    </row>
  </sheetData>
  <mergeCells count="14">
    <mergeCell ref="NS17:NW17"/>
    <mergeCell ref="GJ6:GL6"/>
    <mergeCell ref="NN6:NP6"/>
    <mergeCell ref="CM6:CS6"/>
    <mergeCell ref="NN129:NP129"/>
    <mergeCell ref="NM171:NO171"/>
    <mergeCell ref="HH29:HM30"/>
    <mergeCell ref="B6:D6"/>
    <mergeCell ref="ER6:ET6"/>
    <mergeCell ref="BB6:BD6"/>
    <mergeCell ref="DR6:DT6"/>
    <mergeCell ref="I13:J13"/>
    <mergeCell ref="K13:O13"/>
    <mergeCell ref="I12:O12"/>
  </mergeCells>
  <phoneticPr fontId="56" type="noConversion"/>
  <conditionalFormatting sqref="LK19:LS22">
    <cfRule type="cellIs" dxfId="2275" priority="22" operator="greaterThan">
      <formula>0</formula>
    </cfRule>
  </conditionalFormatting>
  <conditionalFormatting sqref="QO137:QV152">
    <cfRule type="cellIs" dxfId="2274" priority="21" operator="greaterThan">
      <formula>0</formula>
    </cfRule>
  </conditionalFormatting>
  <conditionalFormatting sqref="QQ169:QU176 QQ178:QU179 QR177:QU177 QS180:QU186">
    <cfRule type="containsText" dxfId="2273" priority="19" operator="containsText" text="None">
      <formula>NOT(ISERROR(SEARCH("None",QQ169)))</formula>
    </cfRule>
  </conditionalFormatting>
  <conditionalFormatting sqref="QQ180:QR181 QR182">
    <cfRule type="containsText" dxfId="2272" priority="18" operator="containsText" text="None">
      <formula>NOT(ISERROR(SEARCH("None",QQ180)))</formula>
    </cfRule>
  </conditionalFormatting>
  <conditionalFormatting sqref="QQ183:QR183">
    <cfRule type="containsText" dxfId="2271" priority="17" operator="containsText" text="None">
      <formula>NOT(ISERROR(SEARCH("None",QQ183)))</formula>
    </cfRule>
  </conditionalFormatting>
  <conditionalFormatting sqref="QQ184:QR185 QR186">
    <cfRule type="containsText" dxfId="2270" priority="16" operator="containsText" text="None">
      <formula>NOT(ISERROR(SEARCH("None",QQ184)))</formula>
    </cfRule>
  </conditionalFormatting>
  <conditionalFormatting sqref="PX67:PY84 PX94:PY98">
    <cfRule type="cellIs" dxfId="2269" priority="8" operator="equal">
      <formula>1</formula>
    </cfRule>
  </conditionalFormatting>
  <conditionalFormatting sqref="IO38:JM46">
    <cfRule type="cellIs" dxfId="2268" priority="6" operator="equal">
      <formula>0</formula>
    </cfRule>
  </conditionalFormatting>
  <conditionalFormatting sqref="KP34:KW41">
    <cfRule type="cellIs" dxfId="2267" priority="5" operator="equal">
      <formula>1</formula>
    </cfRule>
  </conditionalFormatting>
  <conditionalFormatting sqref="KV58:KV66 KQ58:KS66">
    <cfRule type="containsText" dxfId="2266" priority="4" operator="containsText" text="TRUE">
      <formula>NOT(ISERROR(SEARCH("TRUE",KQ58)))</formula>
    </cfRule>
  </conditionalFormatting>
  <conditionalFormatting sqref="LK32 LK36:LS36">
    <cfRule type="cellIs" dxfId="2265" priority="3" operator="equal">
      <formula>TRUE</formula>
    </cfRule>
  </conditionalFormatting>
  <conditionalFormatting sqref="KZ58:KZ65">
    <cfRule type="containsText" dxfId="2264" priority="2" operator="containsText" text="TRUE">
      <formula>NOT(ISERROR(SEARCH("TRUE",KZ58)))</formula>
    </cfRule>
  </conditionalFormatting>
  <dataValidations disablePrompts="1" count="1">
    <dataValidation allowBlank="1" showErrorMessage="1" sqref="O41:O42 O44 N43:O43 N35:N42 O30:O39" xr:uid="{CE461350-7300-44A4-AD1A-566CD19D23A6}"/>
  </dataValidations>
  <hyperlinks>
    <hyperlink ref="D29" location="_Calcs!OA72" display="_Calcs!OA72" xr:uid="{0CE734B9-26A5-43B3-A812-456E446F3A0E}"/>
    <hyperlink ref="D26" location="_Calcs!FP29" display="_Calcs!FP29" xr:uid="{57883B91-8DAB-4804-9D78-0755CB80C5E0}"/>
    <hyperlink ref="D19" location="_Calcs!AK6" tooltip="fsdf" display="_Calcs!AK6" xr:uid="{D6CA0EA9-79EC-45A7-9649-E5EDCB13C818}"/>
    <hyperlink ref="D17" location="_Calcs!F6" tooltip="fsdf" display="_Calcs!F6" xr:uid="{B8AC138A-A4F4-4D24-943C-3877DAE935DB}"/>
    <hyperlink ref="D24" location="_Calcs!IO6" display="_Calcs!IO6" xr:uid="{7DAA9548-F4CD-4BB6-9157-647AB9D1396C}"/>
    <hyperlink ref="D32" location="_Calcs!MU216" display="_Calcs!MU216" xr:uid="{23363F25-546C-40E4-8462-840AFFB53403}"/>
    <hyperlink ref="D21" location="_Calcs!EP47" tooltip="fsdf" display="_Calcs!EP47" xr:uid="{0899F35F-7AF9-4331-B2F8-30B9347AEC24}"/>
    <hyperlink ref="D33" location="_Calcs!LY119" display="_Calcs!LY119" xr:uid="{2FA77AB2-F224-4430-98EA-25603643A045}"/>
    <hyperlink ref="D30" location="_Calcs!PZ82" display="_Calcs!PZ82" xr:uid="{9449BCF5-D73F-4E09-80E4-F5E15C735A05}"/>
    <hyperlink ref="D23" location="_Calcs!GL15" display="_Calcs!GL15" xr:uid="{5837A21E-0159-4095-AAF2-B87A80563083}"/>
    <hyperlink ref="D27" location="_Calcs!IX27" display="_Calcs!IX27" xr:uid="{DB359F55-BF28-42FE-B9D6-54DAE6A3D4C3}"/>
    <hyperlink ref="D28" location="_Calcs!LG6" display="_Calcs!LG6" xr:uid="{C234B8A3-583B-4DA1-AF38-75D2DB5B1A83}"/>
    <hyperlink ref="D20" location="_Calcs!DA27" display="_Calcs!DA27" xr:uid="{E35FAEFC-CC0B-4BA7-8236-58061786A7BF}"/>
    <hyperlink ref="D22" location="_Calcs!CS6" tooltip="fsdf" display="_Calcs!CS6" xr:uid="{1D444632-6DAA-4FF8-B714-084C66317FDC}"/>
    <hyperlink ref="D25" location="_Calcs!IT103" display="_Calcs!IT103" xr:uid="{5D22BC29-5DFB-46A9-B4D5-D47FA5CAF7D2}"/>
  </hyperlinks>
  <pageMargins left="0.70866141732283472" right="0.70866141732283472" top="0.74803149606299213" bottom="0.74803149606299213" header="0.31496062992125984" footer="0.31496062992125984"/>
  <pageSetup scale="10" orientation="portrait" r:id="rId1"/>
  <ignoredErrors>
    <ignoredError sqref="KO58:KO66" calculatedColumn="1"/>
  </ignoredErrors>
  <tableParts count="3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F235-2E65-4B6B-BD68-5380B7996BC7}">
  <sheetPr codeName="Sheet4">
    <tabColor theme="0" tint="-0.14999847407452621"/>
    <pageSetUpPr fitToPage="1"/>
  </sheetPr>
  <dimension ref="A1:DJ184"/>
  <sheetViews>
    <sheetView showGridLines="0" showRowColHeaders="0" zoomScale="70" zoomScaleNormal="70" workbookViewId="0"/>
  </sheetViews>
  <sheetFormatPr defaultColWidth="0" defaultRowHeight="15" zeroHeight="1" x14ac:dyDescent="0.2"/>
  <cols>
    <col min="1" max="2" width="3.625" style="112" customWidth="1"/>
    <col min="3" max="3" width="30.125" style="112" customWidth="1"/>
    <col min="4" max="5" width="3.625" style="112" customWidth="1"/>
    <col min="6" max="6" width="5.625" style="1955" customWidth="1"/>
    <col min="7" max="7" width="1.625" style="1955" customWidth="1"/>
    <col min="8" max="8" width="22.625" style="112" customWidth="1"/>
    <col min="9" max="9" width="4.875" style="123" customWidth="1"/>
    <col min="10" max="10" width="0.875" style="122" customWidth="1"/>
    <col min="11" max="11" width="2.75" style="1955" hidden="1" customWidth="1"/>
    <col min="12" max="12" width="2.125" style="123" hidden="1" customWidth="1"/>
    <col min="13" max="13" width="5.625" style="1955" customWidth="1"/>
    <col min="14" max="14" width="2.625" style="1675" customWidth="1"/>
    <col min="15" max="15" width="3.625" style="7" customWidth="1"/>
    <col min="16" max="16" width="2.625" style="112" customWidth="1"/>
    <col min="17" max="17" width="16.625" style="112" customWidth="1"/>
    <col min="18" max="18" width="3.625" style="112" customWidth="1"/>
    <col min="19" max="19" width="19.625" style="112" customWidth="1"/>
    <col min="20" max="22" width="2.625" style="112" customWidth="1"/>
    <col min="23" max="23" width="3.625" style="112" customWidth="1"/>
    <col min="24" max="24" width="1.625" style="112" customWidth="1"/>
    <col min="25" max="26" width="3.625" style="112" customWidth="1"/>
    <col min="27" max="27" width="11" style="112" hidden="1" customWidth="1"/>
    <col min="28" max="28" width="19.375" style="122" hidden="1" customWidth="1"/>
    <col min="29" max="29" width="24.625" style="3465" hidden="1" customWidth="1"/>
    <col min="30" max="35" width="11" style="112" hidden="1" customWidth="1"/>
    <col min="36" max="16384" width="9" style="112" hidden="1"/>
  </cols>
  <sheetData>
    <row r="1" spans="1:76" s="21" customFormat="1" ht="50.1" customHeight="1" x14ac:dyDescent="0.4">
      <c r="B1" s="20"/>
      <c r="C1" s="3890"/>
      <c r="D1" s="25"/>
      <c r="E1" s="14"/>
      <c r="F1" s="15"/>
      <c r="G1" s="15"/>
      <c r="I1" s="16"/>
      <c r="J1" s="17"/>
      <c r="K1" s="17"/>
      <c r="L1" s="16"/>
      <c r="M1" s="17"/>
      <c r="N1" s="136"/>
      <c r="O1" s="7"/>
      <c r="T1" s="16"/>
      <c r="U1" s="16"/>
      <c r="V1" s="16"/>
      <c r="W1" s="16"/>
      <c r="X1" s="16"/>
      <c r="Y1" s="16"/>
      <c r="Z1" s="16"/>
      <c r="AA1" s="16"/>
      <c r="AB1" s="17"/>
      <c r="AC1" s="145"/>
      <c r="AD1" s="16"/>
      <c r="AE1" s="15"/>
      <c r="AF1" s="15"/>
      <c r="AG1" s="15"/>
      <c r="AH1" s="15"/>
      <c r="AI1" s="15"/>
      <c r="AJ1" s="16"/>
    </row>
    <row r="2" spans="1:76" s="8" customFormat="1" ht="12" customHeight="1" x14ac:dyDescent="0.2">
      <c r="A2" s="7"/>
      <c r="B2" s="7"/>
      <c r="C2" s="4111"/>
      <c r="D2" s="7"/>
      <c r="E2" s="4111"/>
      <c r="F2" s="4112"/>
      <c r="G2" s="4112"/>
      <c r="H2" s="4111"/>
      <c r="I2" s="4113"/>
      <c r="J2" s="4111"/>
      <c r="K2" s="4114"/>
      <c r="L2" s="4111"/>
      <c r="M2" s="4112"/>
      <c r="N2" s="4115"/>
      <c r="O2" s="4115"/>
      <c r="P2" s="4111"/>
      <c r="Q2" s="4111"/>
      <c r="R2" s="4111"/>
      <c r="S2" s="4111"/>
      <c r="T2" s="4115"/>
      <c r="U2" s="4111"/>
      <c r="V2" s="4111"/>
      <c r="W2" s="7"/>
      <c r="X2" s="4111"/>
      <c r="Y2" s="7"/>
      <c r="Z2" s="7"/>
      <c r="AA2" s="7"/>
      <c r="AB2" s="24"/>
      <c r="AC2" s="2088"/>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row>
    <row r="3" spans="1:76" s="8" customFormat="1" ht="5.0999999999999996" customHeight="1" x14ac:dyDescent="0.2">
      <c r="A3" s="7"/>
      <c r="B3" s="7"/>
      <c r="C3" s="7"/>
      <c r="D3" s="7"/>
      <c r="E3" s="7"/>
      <c r="F3" s="9"/>
      <c r="G3" s="9"/>
      <c r="H3" s="7"/>
      <c r="I3" s="34"/>
      <c r="J3" s="7"/>
      <c r="K3" s="24"/>
      <c r="L3" s="7"/>
      <c r="M3" s="9"/>
      <c r="P3" s="7"/>
      <c r="Q3" s="7"/>
      <c r="R3" s="7"/>
      <c r="S3" s="7"/>
      <c r="U3" s="7"/>
      <c r="V3" s="7"/>
      <c r="W3" s="7"/>
      <c r="X3" s="7"/>
      <c r="Y3" s="7"/>
      <c r="Z3" s="7"/>
      <c r="AA3" s="7"/>
      <c r="AB3" s="24"/>
      <c r="AC3" s="2088"/>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row>
    <row r="4" spans="1:76" s="8" customFormat="1" ht="5.0999999999999996" customHeight="1" x14ac:dyDescent="0.2">
      <c r="A4" s="7"/>
      <c r="B4" s="7"/>
      <c r="C4" s="4111"/>
      <c r="D4" s="7"/>
      <c r="E4" s="4111"/>
      <c r="F4" s="4112"/>
      <c r="G4" s="4112"/>
      <c r="H4" s="4111"/>
      <c r="I4" s="4113"/>
      <c r="J4" s="4111"/>
      <c r="K4" s="4114"/>
      <c r="L4" s="4111"/>
      <c r="M4" s="4112"/>
      <c r="N4" s="4115"/>
      <c r="O4" s="4115"/>
      <c r="P4" s="4111"/>
      <c r="Q4" s="4111"/>
      <c r="R4" s="4111"/>
      <c r="S4" s="4111"/>
      <c r="T4" s="4115"/>
      <c r="U4" s="4111"/>
      <c r="V4" s="4111"/>
      <c r="W4" s="7"/>
      <c r="X4" s="4111"/>
      <c r="Y4" s="7"/>
      <c r="Z4" s="7"/>
      <c r="AA4" s="7"/>
      <c r="AB4" s="24"/>
      <c r="AC4" s="2088"/>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row>
    <row r="5" spans="1:76" s="8" customFormat="1" ht="30" customHeight="1" thickBot="1" x14ac:dyDescent="0.25">
      <c r="A5" s="7"/>
      <c r="B5" s="7"/>
      <c r="C5" s="7"/>
      <c r="D5" s="7"/>
      <c r="E5" s="7"/>
      <c r="F5" s="9"/>
      <c r="G5" s="9"/>
      <c r="H5" s="7"/>
      <c r="I5" s="34"/>
      <c r="J5" s="7"/>
      <c r="K5" s="24"/>
      <c r="L5" s="7"/>
      <c r="M5" s="9"/>
      <c r="O5" s="7"/>
      <c r="P5" s="7"/>
      <c r="Q5" s="7"/>
      <c r="R5" s="7"/>
      <c r="S5" s="7"/>
      <c r="U5" s="7"/>
      <c r="V5" s="7"/>
      <c r="W5" s="7"/>
      <c r="X5" s="7"/>
      <c r="Y5" s="7"/>
      <c r="Z5" s="7"/>
      <c r="AA5" s="7"/>
      <c r="AB5" s="24"/>
      <c r="AC5" s="2088"/>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row>
    <row r="6" spans="1:76" s="8" customFormat="1" ht="15" customHeight="1" thickBot="1" x14ac:dyDescent="0.25">
      <c r="A6" s="7"/>
      <c r="B6" s="7"/>
      <c r="C6" s="1653"/>
      <c r="D6" s="7"/>
      <c r="E6" s="1670"/>
      <c r="F6" s="1677"/>
      <c r="G6" s="1677"/>
      <c r="H6" s="1671"/>
      <c r="I6" s="1957"/>
      <c r="J6" s="1671"/>
      <c r="K6" s="1677"/>
      <c r="L6" s="1671"/>
      <c r="M6" s="1677"/>
      <c r="N6" s="1671"/>
      <c r="O6" s="1671"/>
      <c r="P6" s="1671"/>
      <c r="Q6" s="1671"/>
      <c r="R6" s="1671"/>
      <c r="S6" s="1671"/>
      <c r="T6" s="1671"/>
      <c r="U6" s="1671"/>
      <c r="V6" s="1672"/>
      <c r="W6" s="7"/>
      <c r="X6" s="1652"/>
      <c r="Y6" s="7"/>
      <c r="Z6" s="7"/>
      <c r="AA6" s="7"/>
      <c r="AB6" s="24"/>
      <c r="AC6" s="2088"/>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row>
    <row r="7" spans="1:76" s="8" customFormat="1" ht="8.1" customHeight="1" thickBot="1" x14ac:dyDescent="0.25">
      <c r="A7" s="7"/>
      <c r="B7" s="7"/>
      <c r="C7" s="7"/>
      <c r="D7" s="7"/>
      <c r="E7" s="7"/>
      <c r="F7" s="9"/>
      <c r="G7" s="9"/>
      <c r="H7" s="7"/>
      <c r="I7" s="34"/>
      <c r="J7" s="7"/>
      <c r="K7" s="24"/>
      <c r="L7" s="7"/>
      <c r="M7" s="9"/>
      <c r="O7" s="7"/>
      <c r="P7" s="7"/>
      <c r="Q7" s="7"/>
      <c r="R7" s="7"/>
      <c r="S7" s="7"/>
      <c r="U7" s="7"/>
      <c r="V7" s="7"/>
      <c r="W7" s="7"/>
      <c r="X7" s="7"/>
      <c r="Y7" s="7"/>
      <c r="Z7" s="7"/>
      <c r="AA7" s="7"/>
      <c r="AB7" s="24"/>
      <c r="AC7" s="2088"/>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row>
    <row r="8" spans="1:76" s="21" customFormat="1" ht="9.9499999999999993" customHeight="1" x14ac:dyDescent="0.2">
      <c r="A8" s="20"/>
      <c r="B8" s="20"/>
      <c r="C8" s="6346"/>
      <c r="D8" s="25"/>
      <c r="E8" s="553"/>
      <c r="F8" s="606"/>
      <c r="G8" s="606"/>
      <c r="H8" s="554"/>
      <c r="I8" s="555"/>
      <c r="J8" s="606"/>
      <c r="K8" s="606"/>
      <c r="L8" s="555"/>
      <c r="M8" s="606"/>
      <c r="N8" s="554"/>
      <c r="O8" s="554"/>
      <c r="P8" s="554"/>
      <c r="Q8" s="554"/>
      <c r="R8" s="554"/>
      <c r="S8" s="554"/>
      <c r="T8" s="554"/>
      <c r="U8" s="554"/>
      <c r="V8" s="1550"/>
      <c r="W8" s="16"/>
      <c r="X8" s="105"/>
      <c r="Y8" s="16"/>
      <c r="Z8" s="16"/>
      <c r="AA8" s="16"/>
      <c r="AB8" s="17"/>
      <c r="AC8" s="2088"/>
      <c r="AD8" s="16"/>
      <c r="AE8" s="15"/>
      <c r="AF8" s="15"/>
      <c r="AG8" s="15"/>
      <c r="AH8" s="15"/>
      <c r="AI8" s="15"/>
      <c r="AJ8" s="16"/>
    </row>
    <row r="9" spans="1:76" s="21" customFormat="1" ht="39.950000000000003" customHeight="1" x14ac:dyDescent="0.2">
      <c r="A9" s="20"/>
      <c r="B9" s="20"/>
      <c r="C9" s="6347"/>
      <c r="D9" s="25"/>
      <c r="E9" s="561"/>
      <c r="F9" s="6342" t="s">
        <v>246</v>
      </c>
      <c r="G9" s="6342"/>
      <c r="H9" s="6342"/>
      <c r="I9" s="6342"/>
      <c r="J9" s="6342"/>
      <c r="K9" s="6342"/>
      <c r="L9" s="6342"/>
      <c r="M9" s="6342"/>
      <c r="N9" s="6342"/>
      <c r="O9" s="6342"/>
      <c r="P9" s="6342"/>
      <c r="Q9" s="6342"/>
      <c r="R9" s="6342"/>
      <c r="S9" s="6342"/>
      <c r="T9" s="6342"/>
      <c r="U9" s="6342"/>
      <c r="V9" s="1551"/>
      <c r="W9" s="16"/>
      <c r="X9" s="108"/>
      <c r="Y9" s="16"/>
      <c r="Z9" s="16"/>
      <c r="AA9" s="16"/>
      <c r="AB9" s="17"/>
      <c r="AC9" s="2088"/>
      <c r="AD9" s="16"/>
      <c r="AE9" s="15"/>
      <c r="AF9" s="15"/>
      <c r="AG9" s="15"/>
      <c r="AH9" s="15"/>
      <c r="AI9" s="15"/>
      <c r="AJ9" s="16"/>
    </row>
    <row r="10" spans="1:76" s="21" customFormat="1" ht="15" customHeight="1" thickBot="1" x14ac:dyDescent="0.25">
      <c r="A10" s="20"/>
      <c r="B10" s="20"/>
      <c r="C10" s="6347"/>
      <c r="D10" s="25"/>
      <c r="E10" s="563"/>
      <c r="F10" s="1552"/>
      <c r="G10" s="1552"/>
      <c r="H10" s="564"/>
      <c r="I10" s="565"/>
      <c r="J10" s="1552"/>
      <c r="K10" s="1552"/>
      <c r="L10" s="565"/>
      <c r="M10" s="1552"/>
      <c r="N10" s="564"/>
      <c r="O10" s="564"/>
      <c r="P10" s="564"/>
      <c r="Q10" s="564"/>
      <c r="R10" s="564"/>
      <c r="S10" s="564"/>
      <c r="T10" s="564"/>
      <c r="U10" s="564"/>
      <c r="V10" s="1553"/>
      <c r="W10" s="16"/>
      <c r="X10" s="105"/>
      <c r="Y10" s="16"/>
      <c r="Z10" s="16"/>
      <c r="AA10" s="16"/>
      <c r="AB10" s="17"/>
      <c r="AC10" s="2088"/>
      <c r="AD10" s="16"/>
      <c r="AE10" s="15"/>
      <c r="AF10" s="15"/>
      <c r="AG10" s="15"/>
      <c r="AH10" s="15"/>
      <c r="AI10" s="15"/>
      <c r="AJ10" s="16"/>
    </row>
    <row r="11" spans="1:76" s="21" customFormat="1" ht="15" customHeight="1" thickBot="1" x14ac:dyDescent="0.25">
      <c r="A11" s="20"/>
      <c r="B11" s="20"/>
      <c r="C11" s="6347"/>
      <c r="D11" s="13"/>
      <c r="E11" s="13"/>
      <c r="F11" s="15"/>
      <c r="G11" s="15"/>
      <c r="H11" s="13"/>
      <c r="I11" s="13"/>
      <c r="J11" s="13"/>
      <c r="K11" s="15"/>
      <c r="L11" s="13"/>
      <c r="M11" s="15"/>
      <c r="O11" s="7"/>
      <c r="P11" s="13"/>
      <c r="Q11" s="13"/>
      <c r="R11" s="13"/>
      <c r="S11" s="13"/>
      <c r="T11" s="13"/>
      <c r="U11" s="13"/>
      <c r="V11" s="13"/>
      <c r="W11" s="16"/>
      <c r="X11" s="13"/>
      <c r="Y11" s="16"/>
      <c r="Z11" s="16"/>
      <c r="AA11" s="16"/>
      <c r="AB11" s="17"/>
      <c r="AC11" s="2088"/>
      <c r="AD11" s="16"/>
      <c r="AE11" s="15"/>
      <c r="AF11" s="15"/>
      <c r="AG11" s="15"/>
      <c r="AH11" s="15"/>
      <c r="AI11" s="15"/>
      <c r="AJ11" s="16"/>
    </row>
    <row r="12" spans="1:76" s="21" customFormat="1" ht="15" customHeight="1" x14ac:dyDescent="0.2">
      <c r="A12" s="20"/>
      <c r="B12" s="20"/>
      <c r="C12" s="6347"/>
      <c r="D12" s="25"/>
      <c r="E12" s="629"/>
      <c r="F12" s="1273"/>
      <c r="G12" s="1273"/>
      <c r="H12" s="630"/>
      <c r="I12" s="631"/>
      <c r="J12" s="1273"/>
      <c r="K12" s="1273"/>
      <c r="L12" s="631"/>
      <c r="M12" s="1273"/>
      <c r="N12" s="630"/>
      <c r="O12" s="630"/>
      <c r="P12" s="630"/>
      <c r="Q12" s="630"/>
      <c r="R12" s="630"/>
      <c r="S12" s="630"/>
      <c r="T12" s="630"/>
      <c r="U12" s="630"/>
      <c r="V12" s="1648"/>
      <c r="W12" s="16"/>
      <c r="X12" s="105"/>
      <c r="Y12" s="16"/>
      <c r="Z12" s="16"/>
      <c r="AA12" s="16"/>
      <c r="AB12" s="17"/>
      <c r="AC12" s="2088"/>
      <c r="AD12" s="16"/>
      <c r="AE12" s="15"/>
      <c r="AF12" s="15"/>
      <c r="AG12" s="15"/>
      <c r="AH12" s="15"/>
      <c r="AI12" s="15"/>
      <c r="AJ12" s="16"/>
    </row>
    <row r="13" spans="1:76" s="21" customFormat="1" ht="20.100000000000001" customHeight="1" x14ac:dyDescent="0.2">
      <c r="A13" s="20"/>
      <c r="B13" s="20"/>
      <c r="C13" s="6347"/>
      <c r="D13" s="25"/>
      <c r="E13" s="632"/>
      <c r="F13" s="1902" t="s">
        <v>819</v>
      </c>
      <c r="G13" s="1902"/>
      <c r="H13" s="1900" t="s">
        <v>2656</v>
      </c>
      <c r="I13" s="1377"/>
      <c r="J13" s="1009"/>
      <c r="K13" s="1009"/>
      <c r="L13" s="1377"/>
      <c r="M13" s="33"/>
      <c r="N13" s="113"/>
      <c r="O13" s="977"/>
      <c r="P13" s="977"/>
      <c r="Q13" s="977"/>
      <c r="R13" s="977"/>
      <c r="S13" s="977"/>
      <c r="T13" s="113"/>
      <c r="U13" s="113"/>
      <c r="V13" s="1649"/>
      <c r="W13" s="16"/>
      <c r="X13" s="105"/>
      <c r="Y13" s="16"/>
      <c r="Z13" s="16"/>
      <c r="AA13" s="16"/>
      <c r="AB13" s="17"/>
      <c r="AC13" s="2088"/>
      <c r="AD13" s="16"/>
      <c r="AE13" s="15"/>
      <c r="AF13" s="15"/>
      <c r="AG13" s="15"/>
      <c r="AH13" s="15"/>
      <c r="AI13" s="15"/>
      <c r="AJ13" s="16"/>
    </row>
    <row r="14" spans="1:76" s="21" customFormat="1" ht="5.0999999999999996" customHeight="1" x14ac:dyDescent="0.2">
      <c r="A14" s="20"/>
      <c r="B14" s="20"/>
      <c r="C14" s="6347"/>
      <c r="D14" s="25"/>
      <c r="E14" s="632"/>
      <c r="F14" s="1902"/>
      <c r="G14" s="1902"/>
      <c r="H14" s="1900"/>
      <c r="I14" s="1377"/>
      <c r="J14" s="1009"/>
      <c r="K14" s="1009"/>
      <c r="L14" s="1377"/>
      <c r="M14" s="33"/>
      <c r="N14" s="113"/>
      <c r="O14" s="977"/>
      <c r="P14" s="977"/>
      <c r="Q14" s="977"/>
      <c r="R14" s="977"/>
      <c r="S14" s="977"/>
      <c r="T14" s="113"/>
      <c r="U14" s="113"/>
      <c r="V14" s="1649"/>
      <c r="W14" s="16"/>
      <c r="X14" s="105"/>
      <c r="Y14" s="16"/>
      <c r="Z14" s="16"/>
      <c r="AA14" s="16"/>
      <c r="AB14" s="17"/>
      <c r="AC14" s="2088"/>
      <c r="AD14" s="16"/>
      <c r="AE14" s="15"/>
      <c r="AF14" s="15"/>
      <c r="AG14" s="15"/>
      <c r="AH14" s="15"/>
      <c r="AI14" s="15"/>
      <c r="AJ14" s="16"/>
    </row>
    <row r="15" spans="1:76" s="21" customFormat="1" ht="20.100000000000001" customHeight="1" x14ac:dyDescent="0.2">
      <c r="A15" s="20"/>
      <c r="B15" s="20"/>
      <c r="C15" s="6347"/>
      <c r="D15" s="25"/>
      <c r="E15" s="632"/>
      <c r="F15" s="1902"/>
      <c r="G15" s="1902"/>
      <c r="H15" s="1901" t="s">
        <v>2723</v>
      </c>
      <c r="I15" s="1377"/>
      <c r="J15" s="1009"/>
      <c r="K15" s="1009"/>
      <c r="L15" s="1377"/>
      <c r="M15" s="33"/>
      <c r="N15" s="113"/>
      <c r="O15" s="977"/>
      <c r="P15" s="977"/>
      <c r="Q15" s="977"/>
      <c r="R15" s="977"/>
      <c r="S15" s="977"/>
      <c r="T15" s="113"/>
      <c r="U15" s="113"/>
      <c r="V15" s="1649"/>
      <c r="W15" s="16"/>
      <c r="X15" s="105"/>
      <c r="Y15" s="16"/>
      <c r="Z15" s="16"/>
      <c r="AA15" s="16"/>
      <c r="AB15" s="17"/>
      <c r="AC15" s="220"/>
      <c r="AD15" s="16"/>
      <c r="AE15" s="15"/>
      <c r="AF15" s="15"/>
      <c r="AG15" s="15"/>
      <c r="AH15" s="15"/>
      <c r="AI15" s="15"/>
      <c r="AJ15" s="16"/>
    </row>
    <row r="16" spans="1:76" s="21" customFormat="1" ht="15" customHeight="1" x14ac:dyDescent="0.2">
      <c r="A16" s="20"/>
      <c r="B16" s="20"/>
      <c r="C16" s="6347"/>
      <c r="D16" s="25"/>
      <c r="E16" s="632"/>
      <c r="F16" s="1903"/>
      <c r="G16" s="1903"/>
      <c r="H16" s="1009"/>
      <c r="I16" s="1377"/>
      <c r="J16" s="1009"/>
      <c r="K16" s="1009"/>
      <c r="L16" s="1377"/>
      <c r="M16" s="33"/>
      <c r="N16" s="113"/>
      <c r="O16" s="977"/>
      <c r="P16" s="977"/>
      <c r="Q16" s="977"/>
      <c r="R16" s="977"/>
      <c r="S16" s="977"/>
      <c r="T16" s="113"/>
      <c r="U16" s="113"/>
      <c r="V16" s="1649"/>
      <c r="W16" s="16"/>
      <c r="X16" s="105"/>
      <c r="Y16" s="16"/>
      <c r="Z16" s="16"/>
      <c r="AA16" s="16"/>
      <c r="AB16" s="17"/>
      <c r="AC16" s="2088"/>
      <c r="AD16" s="16"/>
      <c r="AE16" s="15"/>
      <c r="AF16" s="15"/>
      <c r="AG16" s="15"/>
      <c r="AH16" s="15"/>
      <c r="AI16" s="15"/>
      <c r="AJ16" s="16"/>
    </row>
    <row r="17" spans="1:36" s="21" customFormat="1" ht="20.100000000000001" customHeight="1" x14ac:dyDescent="0.2">
      <c r="A17" s="20"/>
      <c r="B17" s="20"/>
      <c r="C17" s="6347"/>
      <c r="D17" s="25"/>
      <c r="E17" s="632"/>
      <c r="F17" s="1904" t="s">
        <v>149</v>
      </c>
      <c r="G17" s="1904"/>
      <c r="H17" s="1899" t="s">
        <v>2724</v>
      </c>
      <c r="I17" s="1377"/>
      <c r="J17" s="1009"/>
      <c r="K17" s="1009"/>
      <c r="L17" s="1377"/>
      <c r="M17" s="33"/>
      <c r="N17" s="113"/>
      <c r="O17" s="977"/>
      <c r="P17" s="1899"/>
      <c r="Q17" s="977"/>
      <c r="R17" s="1587"/>
      <c r="S17" s="1587"/>
      <c r="T17" s="1942"/>
      <c r="U17" s="1942"/>
      <c r="V17" s="1650"/>
      <c r="W17" s="110"/>
      <c r="X17" s="109"/>
      <c r="Y17" s="110"/>
      <c r="Z17" s="110"/>
      <c r="AA17" s="110"/>
      <c r="AB17" s="111"/>
      <c r="AC17" s="2088"/>
      <c r="AD17" s="110"/>
      <c r="AE17" s="111"/>
      <c r="AF17" s="111"/>
      <c r="AG17" s="111"/>
      <c r="AH17" s="111"/>
      <c r="AI17" s="111"/>
      <c r="AJ17" s="110"/>
    </row>
    <row r="18" spans="1:36" s="21" customFormat="1" ht="15" hidden="1" customHeight="1" x14ac:dyDescent="0.2">
      <c r="A18" s="20"/>
      <c r="B18" s="20"/>
      <c r="C18" s="6347"/>
      <c r="D18" s="25"/>
      <c r="E18" s="632"/>
      <c r="F18" s="1009"/>
      <c r="G18" s="3899"/>
      <c r="H18" s="1009"/>
      <c r="I18" s="1377"/>
      <c r="J18" s="1009"/>
      <c r="K18" s="1009"/>
      <c r="L18" s="1377"/>
      <c r="M18" s="33"/>
      <c r="N18" s="113"/>
      <c r="O18" s="977"/>
      <c r="P18" s="977"/>
      <c r="Q18" s="977"/>
      <c r="R18" s="1587"/>
      <c r="S18" s="1587"/>
      <c r="T18" s="1942"/>
      <c r="U18" s="1942"/>
      <c r="V18" s="1650"/>
      <c r="W18" s="110"/>
      <c r="X18" s="109"/>
      <c r="Y18" s="110"/>
      <c r="Z18" s="110"/>
      <c r="AA18" s="110"/>
      <c r="AB18" s="111"/>
      <c r="AC18" s="2088"/>
      <c r="AD18" s="110"/>
      <c r="AE18" s="111"/>
      <c r="AF18" s="111"/>
      <c r="AG18" s="111"/>
      <c r="AH18" s="111"/>
      <c r="AI18" s="111"/>
      <c r="AJ18" s="110"/>
    </row>
    <row r="19" spans="1:36" s="21" customFormat="1" ht="20.100000000000001" hidden="1" customHeight="1" x14ac:dyDescent="0.2">
      <c r="A19" s="20"/>
      <c r="B19" s="20"/>
      <c r="C19" s="6347"/>
      <c r="D19" s="25"/>
      <c r="E19" s="632"/>
      <c r="F19" s="1009"/>
      <c r="G19" s="1009"/>
      <c r="H19" s="1900" t="s">
        <v>820</v>
      </c>
      <c r="I19" s="1377"/>
      <c r="J19" s="1009"/>
      <c r="K19" s="1009"/>
      <c r="L19" s="1377"/>
      <c r="M19" s="33"/>
      <c r="N19" s="113"/>
      <c r="O19" s="977"/>
      <c r="P19" s="977"/>
      <c r="Q19" s="977"/>
      <c r="R19" s="1587"/>
      <c r="S19" s="1587"/>
      <c r="T19" s="1942"/>
      <c r="U19" s="1942"/>
      <c r="V19" s="1650"/>
      <c r="W19" s="110"/>
      <c r="X19" s="109"/>
      <c r="Y19" s="110"/>
      <c r="Z19" s="110"/>
      <c r="AA19" s="110"/>
      <c r="AB19" s="111"/>
      <c r="AC19" s="2088"/>
      <c r="AD19" s="110"/>
      <c r="AE19" s="111"/>
      <c r="AF19" s="111"/>
      <c r="AG19" s="111"/>
      <c r="AH19" s="111"/>
      <c r="AI19" s="111"/>
      <c r="AJ19" s="110"/>
    </row>
    <row r="20" spans="1:36" s="21" customFormat="1" ht="15" customHeight="1" thickBot="1" x14ac:dyDescent="0.25">
      <c r="A20" s="20"/>
      <c r="B20" s="20"/>
      <c r="C20" s="6348"/>
      <c r="D20" s="25"/>
      <c r="E20" s="634"/>
      <c r="F20" s="1558"/>
      <c r="G20" s="1558"/>
      <c r="H20" s="1557"/>
      <c r="I20" s="636"/>
      <c r="J20" s="1558"/>
      <c r="K20" s="1558"/>
      <c r="L20" s="636"/>
      <c r="M20" s="1558"/>
      <c r="N20" s="1557"/>
      <c r="O20" s="1557"/>
      <c r="P20" s="1557"/>
      <c r="Q20" s="1557"/>
      <c r="R20" s="1557"/>
      <c r="S20" s="1557"/>
      <c r="T20" s="1557"/>
      <c r="U20" s="1557"/>
      <c r="V20" s="1651"/>
      <c r="W20" s="16"/>
      <c r="X20" s="105"/>
      <c r="Y20" s="16"/>
      <c r="Z20" s="16"/>
      <c r="AA20" s="16"/>
      <c r="AB20" s="17"/>
      <c r="AC20" s="2088"/>
      <c r="AD20" s="16"/>
      <c r="AE20" s="15"/>
      <c r="AF20" s="15"/>
      <c r="AG20" s="15"/>
      <c r="AH20" s="15"/>
      <c r="AI20" s="15"/>
      <c r="AJ20" s="16"/>
    </row>
    <row r="21" spans="1:36" ht="24.95" customHeight="1" thickBot="1" x14ac:dyDescent="0.25">
      <c r="A21" s="20"/>
      <c r="B21" s="20"/>
      <c r="C21" s="13"/>
      <c r="D21" s="25"/>
      <c r="E21" s="14"/>
      <c r="F21" s="15"/>
      <c r="G21" s="15"/>
      <c r="H21" s="21"/>
      <c r="I21" s="16"/>
      <c r="J21" s="17"/>
      <c r="K21" s="17"/>
      <c r="L21" s="16"/>
      <c r="M21" s="15"/>
      <c r="N21" s="21"/>
      <c r="P21" s="16"/>
      <c r="Q21" s="22"/>
      <c r="R21" s="22"/>
      <c r="S21" s="22"/>
      <c r="T21" s="13"/>
      <c r="U21" s="13"/>
      <c r="V21" s="13"/>
      <c r="W21" s="21"/>
      <c r="X21" s="13"/>
      <c r="Y21" s="21"/>
      <c r="Z21" s="21"/>
      <c r="AA21" s="21"/>
      <c r="AB21" s="15"/>
      <c r="AC21" s="2088"/>
    </row>
    <row r="22" spans="1:36" ht="19.5" customHeight="1" thickBot="1" x14ac:dyDescent="0.25">
      <c r="A22" s="104"/>
      <c r="B22" s="104"/>
      <c r="C22" s="1554"/>
      <c r="D22" s="25"/>
      <c r="E22" s="1540"/>
      <c r="F22" s="1019"/>
      <c r="G22" s="1019"/>
      <c r="H22" s="1020"/>
      <c r="I22" s="2360" t="s">
        <v>131</v>
      </c>
      <c r="J22" s="1020"/>
      <c r="K22" s="1019" t="s">
        <v>154</v>
      </c>
      <c r="L22" s="2360"/>
      <c r="M22" s="1019" t="s">
        <v>100</v>
      </c>
      <c r="N22" s="1020"/>
      <c r="O22" s="2360"/>
      <c r="P22" s="2360"/>
      <c r="Q22" s="6361" t="s">
        <v>660</v>
      </c>
      <c r="R22" s="6361"/>
      <c r="S22" s="6361"/>
      <c r="T22" s="2360"/>
      <c r="U22" s="2360"/>
      <c r="V22" s="2366"/>
      <c r="W22" s="70"/>
      <c r="X22" s="28"/>
      <c r="Y22" s="70"/>
      <c r="Z22" s="70"/>
      <c r="AA22" s="70"/>
      <c r="AB22" s="115"/>
      <c r="AC22" s="2088"/>
    </row>
    <row r="23" spans="1:36" ht="24.95" customHeight="1" thickBot="1" x14ac:dyDescent="0.25">
      <c r="A23" s="70"/>
      <c r="B23" s="70"/>
      <c r="C23" s="70"/>
      <c r="D23" s="25"/>
      <c r="E23" s="70"/>
      <c r="F23" s="15"/>
      <c r="G23" s="15"/>
      <c r="H23" s="70"/>
      <c r="I23" s="13"/>
      <c r="J23" s="15"/>
      <c r="K23" s="15"/>
      <c r="L23" s="13"/>
      <c r="M23" s="15"/>
      <c r="N23" s="219"/>
      <c r="P23" s="70"/>
      <c r="Q23" s="114"/>
      <c r="R23" s="114"/>
      <c r="S23" s="114"/>
      <c r="T23" s="70"/>
      <c r="U23" s="70"/>
      <c r="V23" s="13"/>
      <c r="W23" s="70"/>
      <c r="X23" s="13"/>
      <c r="Y23" s="70"/>
      <c r="Z23" s="70"/>
      <c r="AA23" s="70"/>
      <c r="AB23" s="115"/>
      <c r="AC23" s="2088"/>
    </row>
    <row r="24" spans="1:36" ht="15" customHeight="1" thickBot="1" x14ac:dyDescent="0.25">
      <c r="A24" s="25"/>
      <c r="B24" s="25"/>
      <c r="C24" s="1541"/>
      <c r="D24" s="25"/>
      <c r="E24" s="1542"/>
      <c r="F24" s="1543"/>
      <c r="G24" s="1543"/>
      <c r="H24" s="1543"/>
      <c r="I24" s="1547"/>
      <c r="J24" s="1544"/>
      <c r="K24" s="1544"/>
      <c r="L24" s="1545"/>
      <c r="M24" s="1544"/>
      <c r="N24" s="1682"/>
      <c r="P24" s="1542"/>
      <c r="Q24" s="1546"/>
      <c r="R24" s="1546"/>
      <c r="S24" s="1546"/>
      <c r="T24" s="1548"/>
      <c r="U24" s="1548"/>
      <c r="V24" s="1549"/>
      <c r="W24" s="21"/>
      <c r="X24" s="116"/>
      <c r="Y24" s="21"/>
      <c r="Z24" s="21"/>
      <c r="AA24" s="21"/>
      <c r="AB24" s="15"/>
      <c r="AC24" s="2088"/>
    </row>
    <row r="25" spans="1:36" ht="8.1" customHeight="1" thickBot="1" x14ac:dyDescent="0.25">
      <c r="A25" s="25"/>
      <c r="B25" s="25"/>
      <c r="C25" s="16"/>
      <c r="D25" s="25"/>
      <c r="E25" s="17"/>
      <c r="F25" s="129"/>
      <c r="G25" s="129"/>
      <c r="H25" s="129"/>
      <c r="I25" s="13"/>
      <c r="J25" s="15"/>
      <c r="K25" s="15"/>
      <c r="L25" s="21"/>
      <c r="M25" s="17"/>
      <c r="N25" s="136"/>
      <c r="P25" s="17"/>
      <c r="Q25" s="36"/>
      <c r="R25" s="36"/>
      <c r="S25" s="36"/>
      <c r="T25" s="70"/>
      <c r="U25" s="70"/>
      <c r="V25" s="70"/>
      <c r="W25" s="21"/>
      <c r="X25" s="70"/>
      <c r="Y25" s="21"/>
      <c r="Z25" s="21"/>
      <c r="AA25" s="21"/>
      <c r="AB25" s="15"/>
      <c r="AC25" s="2088"/>
    </row>
    <row r="26" spans="1:36" ht="15" customHeight="1" thickBot="1" x14ac:dyDescent="0.25">
      <c r="A26" s="25"/>
      <c r="B26" s="25"/>
      <c r="C26" s="1560"/>
      <c r="D26" s="25"/>
      <c r="E26" s="629"/>
      <c r="F26" s="1273"/>
      <c r="G26" s="1273"/>
      <c r="H26" s="630"/>
      <c r="I26" s="631"/>
      <c r="J26" s="1273"/>
      <c r="K26" s="1273"/>
      <c r="L26" s="631"/>
      <c r="M26" s="1273"/>
      <c r="N26" s="1648"/>
      <c r="P26" s="1678"/>
      <c r="Q26" s="1533"/>
      <c r="R26" s="1533"/>
      <c r="S26" s="1533"/>
      <c r="T26" s="1534"/>
      <c r="U26" s="1534"/>
      <c r="V26" s="1555"/>
      <c r="W26" s="21"/>
      <c r="X26" s="117"/>
      <c r="Y26" s="21"/>
      <c r="Z26" s="21"/>
      <c r="AA26" s="21"/>
      <c r="AB26" s="15"/>
      <c r="AC26" s="2088"/>
    </row>
    <row r="27" spans="1:36" ht="24.95" customHeight="1" thickBot="1" x14ac:dyDescent="0.25">
      <c r="A27" s="25"/>
      <c r="B27" s="25"/>
      <c r="C27" s="6349" t="s">
        <v>1195</v>
      </c>
      <c r="D27" s="25"/>
      <c r="E27" s="632"/>
      <c r="F27" s="33" t="s">
        <v>59</v>
      </c>
      <c r="G27" s="33"/>
      <c r="H27" s="113"/>
      <c r="I27" s="2070"/>
      <c r="J27" s="118"/>
      <c r="K27" s="118"/>
      <c r="L27" s="119"/>
      <c r="M27" s="1669"/>
      <c r="N27" s="1681"/>
      <c r="P27" s="1679"/>
      <c r="Q27" s="6354"/>
      <c r="R27" s="6354"/>
      <c r="S27" s="6354"/>
      <c r="T27" s="1535"/>
      <c r="U27" s="30" t="str">
        <f>IF(Q27="","!","✓")</f>
        <v>!</v>
      </c>
      <c r="V27" s="1556"/>
      <c r="W27" s="21"/>
      <c r="X27" s="117"/>
      <c r="Y27" s="21"/>
      <c r="Z27" s="21"/>
      <c r="AA27" s="21"/>
      <c r="AB27" s="15"/>
      <c r="AC27" s="2088"/>
    </row>
    <row r="28" spans="1:36" ht="15" customHeight="1" thickBot="1" x14ac:dyDescent="0.25">
      <c r="A28" s="25"/>
      <c r="B28" s="25"/>
      <c r="C28" s="6349"/>
      <c r="D28" s="25"/>
      <c r="E28" s="632"/>
      <c r="F28" s="33"/>
      <c r="G28" s="33"/>
      <c r="H28" s="113"/>
      <c r="I28" s="834"/>
      <c r="J28" s="33"/>
      <c r="K28" s="33"/>
      <c r="L28" s="834"/>
      <c r="M28" s="33"/>
      <c r="N28" s="1649"/>
      <c r="P28" s="1679"/>
      <c r="Q28" s="6261"/>
      <c r="R28" s="6261"/>
      <c r="S28" s="6261"/>
      <c r="T28" s="1535"/>
      <c r="U28" s="1535"/>
      <c r="V28" s="1556"/>
      <c r="W28" s="21"/>
      <c r="X28" s="117"/>
      <c r="Y28" s="21"/>
      <c r="Z28" s="21"/>
      <c r="AA28" s="21"/>
      <c r="AB28" s="15"/>
      <c r="AC28" s="2088"/>
    </row>
    <row r="29" spans="1:36" ht="24.95" customHeight="1" thickBot="1" x14ac:dyDescent="0.25">
      <c r="A29" s="25"/>
      <c r="B29" s="25"/>
      <c r="C29" s="6349"/>
      <c r="D29" s="25"/>
      <c r="E29" s="632"/>
      <c r="F29" s="33" t="s">
        <v>60</v>
      </c>
      <c r="G29" s="33"/>
      <c r="H29" s="113"/>
      <c r="I29" s="2070"/>
      <c r="J29" s="118"/>
      <c r="K29" s="118"/>
      <c r="L29" s="119"/>
      <c r="M29" s="1669"/>
      <c r="N29" s="1681"/>
      <c r="P29" s="1679"/>
      <c r="Q29" s="6354"/>
      <c r="R29" s="6354"/>
      <c r="S29" s="6354"/>
      <c r="T29" s="1535"/>
      <c r="U29" s="30" t="str">
        <f>IF(Q29="","!","✓")</f>
        <v>!</v>
      </c>
      <c r="V29" s="1556"/>
      <c r="W29" s="21"/>
      <c r="X29" s="117"/>
      <c r="Y29" s="21"/>
      <c r="Z29" s="21"/>
      <c r="AA29" s="21"/>
      <c r="AB29" s="15"/>
      <c r="AC29" s="2088"/>
    </row>
    <row r="30" spans="1:36" ht="15" customHeight="1" thickBot="1" x14ac:dyDescent="0.25">
      <c r="A30" s="25"/>
      <c r="B30" s="25"/>
      <c r="C30" s="6349"/>
      <c r="D30" s="25"/>
      <c r="E30" s="634"/>
      <c r="F30" s="1558"/>
      <c r="G30" s="1558"/>
      <c r="H30" s="1557"/>
      <c r="I30" s="636"/>
      <c r="J30" s="1558"/>
      <c r="K30" s="1558"/>
      <c r="L30" s="636"/>
      <c r="M30" s="1558"/>
      <c r="N30" s="1651"/>
      <c r="P30" s="1680"/>
      <c r="Q30" s="1537"/>
      <c r="R30" s="1537"/>
      <c r="S30" s="1537"/>
      <c r="T30" s="1538"/>
      <c r="U30" s="1538"/>
      <c r="V30" s="1559"/>
      <c r="W30" s="21"/>
      <c r="X30" s="117"/>
      <c r="Y30" s="21"/>
      <c r="Z30" s="21"/>
      <c r="AA30" s="21"/>
      <c r="AB30" s="15"/>
      <c r="AC30" s="2088"/>
    </row>
    <row r="31" spans="1:36" ht="15" customHeight="1" thickBot="1" x14ac:dyDescent="0.25">
      <c r="A31" s="25"/>
      <c r="B31" s="25"/>
      <c r="C31" s="3577"/>
      <c r="D31" s="25"/>
      <c r="E31" s="181"/>
      <c r="F31" s="181"/>
      <c r="G31" s="181"/>
      <c r="H31" s="181"/>
      <c r="I31" s="181"/>
      <c r="J31" s="181"/>
      <c r="K31" s="181"/>
      <c r="L31" s="181"/>
      <c r="M31" s="181"/>
      <c r="N31" s="181"/>
      <c r="O31" s="2720"/>
      <c r="P31" s="181"/>
      <c r="Q31" s="181"/>
      <c r="R31" s="181"/>
      <c r="S31" s="181"/>
      <c r="T31" s="181"/>
      <c r="U31" s="181"/>
      <c r="V31" s="181"/>
      <c r="W31" s="21"/>
      <c r="X31" s="117"/>
      <c r="Y31" s="21"/>
      <c r="Z31" s="21"/>
      <c r="AA31" s="21"/>
      <c r="AB31" s="15"/>
      <c r="AC31" s="2088"/>
    </row>
    <row r="32" spans="1:36" ht="15" customHeight="1" thickBot="1" x14ac:dyDescent="0.25">
      <c r="A32" s="25"/>
      <c r="B32" s="25"/>
      <c r="C32" s="3577"/>
      <c r="D32" s="25"/>
      <c r="E32" s="629"/>
      <c r="F32" s="1273"/>
      <c r="G32" s="1273"/>
      <c r="H32" s="630"/>
      <c r="I32" s="631"/>
      <c r="J32" s="1273"/>
      <c r="K32" s="1273"/>
      <c r="L32" s="631"/>
      <c r="M32" s="1273"/>
      <c r="N32" s="1648"/>
      <c r="P32" s="3470"/>
      <c r="Q32" s="1533"/>
      <c r="R32" s="1533"/>
      <c r="S32" s="1533"/>
      <c r="T32" s="1534"/>
      <c r="U32" s="1534"/>
      <c r="V32" s="1555"/>
      <c r="W32" s="21"/>
      <c r="X32" s="117"/>
      <c r="Y32" s="21"/>
      <c r="Z32" s="21"/>
      <c r="AA32" s="21"/>
      <c r="AB32" s="15"/>
      <c r="AC32" s="2088"/>
    </row>
    <row r="33" spans="1:29" ht="24.95" customHeight="1" thickBot="1" x14ac:dyDescent="0.25">
      <c r="A33" s="25"/>
      <c r="B33" s="25"/>
      <c r="C33" s="1940"/>
      <c r="D33" s="25"/>
      <c r="E33" s="632"/>
      <c r="F33" s="33" t="s">
        <v>1193</v>
      </c>
      <c r="G33" s="33"/>
      <c r="H33" s="113"/>
      <c r="I33" s="2070"/>
      <c r="J33" s="33"/>
      <c r="K33" s="33"/>
      <c r="L33" s="834"/>
      <c r="M33" s="1669"/>
      <c r="N33" s="1681"/>
      <c r="P33" s="1679"/>
      <c r="Q33" s="6354"/>
      <c r="R33" s="6354"/>
      <c r="S33" s="6354"/>
      <c r="T33" s="1535"/>
      <c r="U33" s="30" t="str">
        <f>IF(Q33="","!","✓")</f>
        <v>!</v>
      </c>
      <c r="V33" s="1556"/>
      <c r="W33" s="21"/>
      <c r="X33" s="117"/>
      <c r="Y33" s="21"/>
      <c r="Z33" s="21"/>
      <c r="AA33" s="21"/>
      <c r="AB33" s="15"/>
      <c r="AC33" s="2088"/>
    </row>
    <row r="34" spans="1:29" ht="15" customHeight="1" thickBot="1" x14ac:dyDescent="0.25">
      <c r="A34" s="25"/>
      <c r="B34" s="25"/>
      <c r="C34" s="1940"/>
      <c r="D34" s="25"/>
      <c r="E34" s="632"/>
      <c r="F34" s="33"/>
      <c r="G34" s="33"/>
      <c r="H34" s="113"/>
      <c r="I34" s="2070"/>
      <c r="J34" s="33"/>
      <c r="K34" s="33"/>
      <c r="L34" s="834"/>
      <c r="M34" s="33"/>
      <c r="N34" s="1649"/>
      <c r="P34" s="1679"/>
      <c r="Q34" s="32"/>
      <c r="R34" s="32"/>
      <c r="S34" s="32"/>
      <c r="T34" s="1535"/>
      <c r="U34" s="1535"/>
      <c r="V34" s="1556"/>
      <c r="W34" s="21"/>
      <c r="X34" s="117"/>
      <c r="Y34" s="21"/>
      <c r="Z34" s="21"/>
      <c r="AA34" s="21"/>
      <c r="AB34" s="15"/>
      <c r="AC34" s="2088"/>
    </row>
    <row r="35" spans="1:29" ht="24.95" customHeight="1" thickBot="1" x14ac:dyDescent="0.25">
      <c r="A35" s="25"/>
      <c r="B35" s="25"/>
      <c r="C35" s="1940"/>
      <c r="D35" s="25"/>
      <c r="E35" s="632"/>
      <c r="F35" s="33" t="s">
        <v>1194</v>
      </c>
      <c r="G35" s="33"/>
      <c r="H35" s="113"/>
      <c r="I35" s="834"/>
      <c r="J35" s="33"/>
      <c r="K35" s="33"/>
      <c r="L35" s="834"/>
      <c r="M35" s="1669"/>
      <c r="N35" s="1681"/>
      <c r="P35" s="1679"/>
      <c r="Q35" s="6354"/>
      <c r="R35" s="6354"/>
      <c r="S35" s="6354"/>
      <c r="T35" s="1535"/>
      <c r="U35" s="30" t="str">
        <f>IF(Q35="","!","✓")</f>
        <v>!</v>
      </c>
      <c r="V35" s="1556"/>
      <c r="W35" s="21"/>
      <c r="X35" s="117"/>
      <c r="Y35" s="21"/>
      <c r="Z35" s="21"/>
      <c r="AA35" s="21"/>
      <c r="AB35" s="15"/>
      <c r="AC35" s="2088"/>
    </row>
    <row r="36" spans="1:29" ht="15" customHeight="1" thickBot="1" x14ac:dyDescent="0.25">
      <c r="A36" s="25"/>
      <c r="B36" s="25"/>
      <c r="C36" s="1940"/>
      <c r="D36" s="25"/>
      <c r="E36" s="634"/>
      <c r="F36" s="1558"/>
      <c r="G36" s="1558"/>
      <c r="H36" s="1557"/>
      <c r="I36" s="636"/>
      <c r="J36" s="1558"/>
      <c r="K36" s="1558"/>
      <c r="L36" s="636"/>
      <c r="M36" s="1558"/>
      <c r="N36" s="1651"/>
      <c r="P36" s="1680"/>
      <c r="Q36" s="1537"/>
      <c r="R36" s="1537"/>
      <c r="S36" s="1537"/>
      <c r="T36" s="1538"/>
      <c r="U36" s="1538"/>
      <c r="V36" s="1559"/>
      <c r="W36" s="21"/>
      <c r="X36" s="117"/>
      <c r="Y36" s="21"/>
      <c r="Z36" s="21"/>
      <c r="AA36" s="21"/>
      <c r="AB36" s="15"/>
      <c r="AC36" s="2088"/>
    </row>
    <row r="37" spans="1:29" ht="15" customHeight="1" thickBot="1" x14ac:dyDescent="0.25">
      <c r="A37" s="25"/>
      <c r="B37" s="25"/>
      <c r="C37" s="1940"/>
      <c r="D37" s="25"/>
      <c r="E37" s="181"/>
      <c r="F37" s="181"/>
      <c r="G37" s="181"/>
      <c r="H37" s="181"/>
      <c r="I37" s="181"/>
      <c r="J37" s="181"/>
      <c r="K37" s="181"/>
      <c r="L37" s="181"/>
      <c r="M37" s="181"/>
      <c r="N37" s="181"/>
      <c r="O37" s="2720"/>
      <c r="P37" s="181"/>
      <c r="Q37" s="181"/>
      <c r="R37" s="181"/>
      <c r="S37" s="181"/>
      <c r="T37" s="181"/>
      <c r="U37" s="181"/>
      <c r="V37" s="181"/>
      <c r="W37" s="21"/>
      <c r="X37" s="117"/>
      <c r="Y37" s="21"/>
      <c r="Z37" s="21"/>
      <c r="AA37" s="21"/>
      <c r="AB37" s="15"/>
      <c r="AC37" s="2088"/>
    </row>
    <row r="38" spans="1:29" ht="15" customHeight="1" thickBot="1" x14ac:dyDescent="0.25">
      <c r="A38" s="25"/>
      <c r="B38" s="25"/>
      <c r="C38" s="1940"/>
      <c r="D38" s="25"/>
      <c r="E38" s="629"/>
      <c r="F38" s="1273"/>
      <c r="G38" s="1273"/>
      <c r="H38" s="630"/>
      <c r="I38" s="631"/>
      <c r="J38" s="1273"/>
      <c r="K38" s="1273"/>
      <c r="L38" s="631"/>
      <c r="M38" s="1273"/>
      <c r="N38" s="1648"/>
      <c r="O38" s="130"/>
      <c r="P38" s="3470"/>
      <c r="Q38" s="1533"/>
      <c r="R38" s="1533"/>
      <c r="S38" s="1533"/>
      <c r="T38" s="1534"/>
      <c r="U38" s="1534"/>
      <c r="V38" s="1555"/>
      <c r="W38" s="21"/>
      <c r="X38" s="117"/>
      <c r="Y38" s="21"/>
      <c r="Z38" s="21"/>
      <c r="AA38" s="21"/>
      <c r="AB38" s="15"/>
      <c r="AC38" s="2088"/>
    </row>
    <row r="39" spans="1:29" ht="24.95" customHeight="1" thickBot="1" x14ac:dyDescent="0.25">
      <c r="A39" s="25"/>
      <c r="B39" s="25"/>
      <c r="C39" s="1940"/>
      <c r="D39" s="25"/>
      <c r="E39" s="632"/>
      <c r="F39" s="33" t="s">
        <v>841</v>
      </c>
      <c r="G39" s="33"/>
      <c r="H39" s="113"/>
      <c r="I39" s="834"/>
      <c r="J39" s="33"/>
      <c r="K39" s="33"/>
      <c r="L39" s="834"/>
      <c r="M39" s="33"/>
      <c r="N39" s="1649"/>
      <c r="O39" s="130"/>
      <c r="P39" s="1679"/>
      <c r="Q39" s="6323"/>
      <c r="R39" s="6324"/>
      <c r="S39" s="6325"/>
      <c r="T39" s="1535"/>
      <c r="U39" s="30" t="str">
        <f>IF(Q39="","!","✓")</f>
        <v>!</v>
      </c>
      <c r="V39" s="1556"/>
      <c r="W39" s="21"/>
      <c r="X39" s="117"/>
      <c r="Y39" s="21"/>
      <c r="Z39" s="21"/>
      <c r="AA39" s="21"/>
      <c r="AB39" s="15"/>
      <c r="AC39" s="2088"/>
    </row>
    <row r="40" spans="1:29" ht="15" customHeight="1" thickBot="1" x14ac:dyDescent="0.25">
      <c r="A40" s="25"/>
      <c r="B40" s="25"/>
      <c r="C40" s="1940"/>
      <c r="D40" s="25"/>
      <c r="E40" s="632"/>
      <c r="F40" s="33"/>
      <c r="G40" s="33"/>
      <c r="H40" s="113"/>
      <c r="I40" s="834"/>
      <c r="J40" s="33"/>
      <c r="K40" s="33"/>
      <c r="L40" s="834"/>
      <c r="M40" s="33"/>
      <c r="N40" s="1649"/>
      <c r="O40" s="130"/>
      <c r="P40" s="1679"/>
      <c r="Q40" s="32"/>
      <c r="R40" s="32"/>
      <c r="S40" s="32"/>
      <c r="T40" s="1535"/>
      <c r="U40" s="1535"/>
      <c r="V40" s="1556"/>
      <c r="W40" s="21"/>
      <c r="X40" s="117"/>
      <c r="Y40" s="21"/>
      <c r="Z40" s="21"/>
      <c r="AA40" s="21"/>
      <c r="AB40" s="15"/>
      <c r="AC40" s="2088"/>
    </row>
    <row r="41" spans="1:29" ht="24.95" customHeight="1" thickBot="1" x14ac:dyDescent="0.25">
      <c r="A41" s="25"/>
      <c r="B41" s="25"/>
      <c r="C41" s="1940"/>
      <c r="D41" s="25"/>
      <c r="E41" s="632"/>
      <c r="F41" s="33" t="s">
        <v>842</v>
      </c>
      <c r="G41" s="33"/>
      <c r="H41" s="113"/>
      <c r="I41" s="834"/>
      <c r="J41" s="33"/>
      <c r="K41" s="33"/>
      <c r="L41" s="834"/>
      <c r="M41" s="33"/>
      <c r="N41" s="1649"/>
      <c r="O41" s="130"/>
      <c r="P41" s="1679"/>
      <c r="Q41" s="6326"/>
      <c r="R41" s="6327"/>
      <c r="S41" s="6328"/>
      <c r="T41" s="1535"/>
      <c r="U41" s="30" t="str">
        <f>IF(Q41="","!","✓")</f>
        <v>!</v>
      </c>
      <c r="V41" s="1556"/>
      <c r="W41" s="21"/>
      <c r="X41" s="117"/>
      <c r="Y41" s="21"/>
      <c r="Z41" s="21"/>
      <c r="AA41" s="21"/>
      <c r="AB41" s="15"/>
      <c r="AC41" s="2088"/>
    </row>
    <row r="42" spans="1:29" ht="15" customHeight="1" thickBot="1" x14ac:dyDescent="0.25">
      <c r="A42" s="25"/>
      <c r="B42" s="25"/>
      <c r="C42" s="1940"/>
      <c r="D42" s="25"/>
      <c r="E42" s="632"/>
      <c r="F42" s="33"/>
      <c r="G42" s="33"/>
      <c r="H42" s="113"/>
      <c r="I42" s="834"/>
      <c r="J42" s="33"/>
      <c r="K42" s="33"/>
      <c r="L42" s="834"/>
      <c r="M42" s="33"/>
      <c r="N42" s="1649"/>
      <c r="O42" s="130"/>
      <c r="P42" s="1679"/>
      <c r="Q42" s="32"/>
      <c r="R42" s="32"/>
      <c r="S42" s="32"/>
      <c r="T42" s="1535"/>
      <c r="U42" s="1535"/>
      <c r="V42" s="1556"/>
      <c r="W42" s="21"/>
      <c r="X42" s="117"/>
      <c r="Y42" s="21"/>
      <c r="Z42" s="21"/>
      <c r="AA42" s="21"/>
      <c r="AB42" s="15"/>
      <c r="AC42" s="2012"/>
    </row>
    <row r="43" spans="1:29" ht="24.95" customHeight="1" thickBot="1" x14ac:dyDescent="0.25">
      <c r="A43" s="25"/>
      <c r="B43" s="25"/>
      <c r="C43" s="1561"/>
      <c r="D43" s="25"/>
      <c r="E43" s="632"/>
      <c r="F43" s="33" t="s">
        <v>1192</v>
      </c>
      <c r="G43" s="33"/>
      <c r="H43" s="113"/>
      <c r="I43" s="2070"/>
      <c r="J43" s="118"/>
      <c r="K43" s="118"/>
      <c r="L43" s="119"/>
      <c r="M43" s="1669"/>
      <c r="N43" s="1681"/>
      <c r="O43" s="130"/>
      <c r="P43" s="1679"/>
      <c r="Q43" s="6355"/>
      <c r="R43" s="6356"/>
      <c r="S43" s="6357"/>
      <c r="T43" s="1535"/>
      <c r="U43" s="1535"/>
      <c r="V43" s="1556"/>
      <c r="W43" s="21"/>
      <c r="X43" s="117"/>
      <c r="Y43" s="21"/>
      <c r="Z43" s="21"/>
      <c r="AA43" s="21"/>
      <c r="AB43" s="15"/>
      <c r="AC43" s="14"/>
    </row>
    <row r="44" spans="1:29" ht="15" customHeight="1" thickBot="1" x14ac:dyDescent="0.25">
      <c r="A44" s="25"/>
      <c r="B44" s="25"/>
      <c r="C44" s="1562"/>
      <c r="D44" s="25"/>
      <c r="E44" s="634"/>
      <c r="F44" s="1558"/>
      <c r="G44" s="1558"/>
      <c r="H44" s="1557"/>
      <c r="I44" s="636"/>
      <c r="J44" s="1558"/>
      <c r="K44" s="1558"/>
      <c r="L44" s="636"/>
      <c r="M44" s="1558"/>
      <c r="N44" s="1651"/>
      <c r="O44" s="130"/>
      <c r="P44" s="1680"/>
      <c r="Q44" s="1537"/>
      <c r="R44" s="1537"/>
      <c r="S44" s="1537"/>
      <c r="T44" s="1538"/>
      <c r="U44" s="1538"/>
      <c r="V44" s="1559"/>
      <c r="W44" s="21"/>
      <c r="X44" s="117"/>
      <c r="Y44" s="21"/>
      <c r="Z44" s="21"/>
      <c r="AA44" s="21"/>
      <c r="AB44" s="15" t="s">
        <v>1623</v>
      </c>
      <c r="AC44" s="14">
        <f>_Calcs!$D$9</f>
        <v>0</v>
      </c>
    </row>
    <row r="45" spans="1:29" ht="24.95" customHeight="1" thickBot="1" x14ac:dyDescent="0.25">
      <c r="A45" s="25"/>
      <c r="B45" s="25"/>
      <c r="C45" s="39"/>
      <c r="D45" s="25"/>
      <c r="E45" s="14"/>
      <c r="F45" s="15"/>
      <c r="G45" s="15"/>
      <c r="H45" s="21"/>
      <c r="I45" s="13"/>
      <c r="J45" s="15"/>
      <c r="K45" s="15"/>
      <c r="L45" s="13"/>
      <c r="M45" s="17"/>
      <c r="N45" s="136"/>
      <c r="O45" s="130"/>
      <c r="P45" s="35"/>
      <c r="Q45" s="36"/>
      <c r="R45" s="36"/>
      <c r="S45" s="36"/>
      <c r="T45" s="70"/>
      <c r="U45" s="70"/>
      <c r="V45" s="13"/>
      <c r="W45" s="21"/>
      <c r="X45" s="13"/>
      <c r="Y45" s="21"/>
      <c r="Z45" s="21"/>
      <c r="AA45" s="21"/>
      <c r="AB45" s="15" t="s">
        <v>1624</v>
      </c>
      <c r="AC45" s="14" t="str">
        <f>IF(AC44=1,"tunneltype_MB",IF(AC44=2,"tunneltype_SK",IF(AC44=0,"tunneltype_V1")))</f>
        <v>tunneltype_V1</v>
      </c>
    </row>
    <row r="46" spans="1:29" ht="15" customHeight="1" thickBot="1" x14ac:dyDescent="0.25">
      <c r="A46" s="25"/>
      <c r="B46" s="25"/>
      <c r="C46" s="1541"/>
      <c r="D46" s="25"/>
      <c r="E46" s="1542"/>
      <c r="F46" s="1543"/>
      <c r="G46" s="1543"/>
      <c r="H46" s="1543"/>
      <c r="I46" s="1547"/>
      <c r="J46" s="1544"/>
      <c r="K46" s="1544"/>
      <c r="L46" s="1547"/>
      <c r="M46" s="1544"/>
      <c r="N46" s="1682"/>
      <c r="O46" s="17"/>
      <c r="P46" s="1542"/>
      <c r="Q46" s="1546"/>
      <c r="R46" s="1546"/>
      <c r="S46" s="1546"/>
      <c r="T46" s="1548"/>
      <c r="U46" s="1548"/>
      <c r="V46" s="1549"/>
      <c r="W46" s="21"/>
      <c r="X46" s="116"/>
      <c r="Y46" s="21"/>
      <c r="Z46" s="21"/>
      <c r="AA46" s="21"/>
      <c r="AB46" s="15"/>
      <c r="AC46" s="14"/>
    </row>
    <row r="47" spans="1:29" ht="8.1" customHeight="1" thickBot="1" x14ac:dyDescent="0.25">
      <c r="A47" s="25"/>
      <c r="B47" s="25"/>
      <c r="C47" s="16"/>
      <c r="D47" s="25"/>
      <c r="E47" s="17"/>
      <c r="F47" s="129"/>
      <c r="G47" s="129"/>
      <c r="H47" s="129"/>
      <c r="I47" s="13"/>
      <c r="J47" s="15"/>
      <c r="K47" s="15"/>
      <c r="L47" s="13"/>
      <c r="M47" s="17"/>
      <c r="N47" s="136"/>
      <c r="O47" s="130"/>
      <c r="P47" s="17"/>
      <c r="Q47" s="36"/>
      <c r="R47" s="36"/>
      <c r="S47" s="36"/>
      <c r="T47" s="70"/>
      <c r="U47" s="70"/>
      <c r="V47" s="70"/>
      <c r="W47" s="21"/>
      <c r="X47" s="70"/>
      <c r="Y47" s="21"/>
      <c r="Z47" s="21"/>
      <c r="AA47" s="21"/>
      <c r="AB47" s="15"/>
      <c r="AC47" s="14"/>
    </row>
    <row r="48" spans="1:29" ht="15" customHeight="1" thickBot="1" x14ac:dyDescent="0.25">
      <c r="A48" s="25"/>
      <c r="B48" s="25"/>
      <c r="C48" s="1560"/>
      <c r="D48" s="25"/>
      <c r="E48" s="629"/>
      <c r="F48" s="1273"/>
      <c r="G48" s="1273"/>
      <c r="H48" s="630"/>
      <c r="I48" s="631"/>
      <c r="J48" s="1273"/>
      <c r="K48" s="1273"/>
      <c r="L48" s="631"/>
      <c r="M48" s="1273"/>
      <c r="N48" s="1648"/>
      <c r="O48" s="3471"/>
      <c r="P48" s="1678"/>
      <c r="Q48" s="1533"/>
      <c r="R48" s="1533"/>
      <c r="S48" s="1533"/>
      <c r="T48" s="1534"/>
      <c r="U48" s="1534"/>
      <c r="V48" s="1555"/>
      <c r="W48" s="21"/>
      <c r="X48" s="117"/>
      <c r="Y48" s="21"/>
      <c r="Z48" s="21"/>
      <c r="AA48" s="21"/>
      <c r="AB48" s="274" t="s">
        <v>500</v>
      </c>
      <c r="AC48" s="222">
        <f>IF(Q77=1,1,IF(Q77=2,2,1))</f>
        <v>1</v>
      </c>
    </row>
    <row r="49" spans="1:31" ht="24.95" customHeight="1" thickBot="1" x14ac:dyDescent="0.25">
      <c r="A49" s="25"/>
      <c r="B49" s="25"/>
      <c r="C49" s="6332" t="s">
        <v>61</v>
      </c>
      <c r="D49" s="25"/>
      <c r="E49" s="632"/>
      <c r="F49" s="33" t="s">
        <v>242</v>
      </c>
      <c r="G49" s="33"/>
      <c r="H49" s="113"/>
      <c r="I49" s="2070"/>
      <c r="J49" s="33"/>
      <c r="K49" s="33"/>
      <c r="L49" s="834"/>
      <c r="M49" s="1669"/>
      <c r="N49" s="1681"/>
      <c r="O49" s="3471"/>
      <c r="P49" s="1683"/>
      <c r="Q49" s="6358" t="s">
        <v>571</v>
      </c>
      <c r="R49" s="6359"/>
      <c r="S49" s="6360"/>
      <c r="T49" s="1535"/>
      <c r="U49" s="30" t="str">
        <f>IF(Q49="","!","✓")</f>
        <v>✓</v>
      </c>
      <c r="V49" s="1556"/>
      <c r="W49" s="21"/>
      <c r="X49" s="117"/>
      <c r="Y49" s="21"/>
      <c r="Z49" s="21"/>
      <c r="AA49" s="21"/>
      <c r="AB49" s="15" t="s">
        <v>207</v>
      </c>
      <c r="AC49" s="145" t="str">
        <f>Q49</f>
        <v>Vegtunnel</v>
      </c>
    </row>
    <row r="50" spans="1:31" ht="15" hidden="1" customHeight="1" thickBot="1" x14ac:dyDescent="0.25">
      <c r="A50" s="25"/>
      <c r="B50" s="25"/>
      <c r="C50" s="6332"/>
      <c r="D50" s="25"/>
      <c r="E50" s="632"/>
      <c r="F50" s="33"/>
      <c r="G50" s="33"/>
      <c r="H50" s="113"/>
      <c r="I50" s="2070"/>
      <c r="J50" s="33"/>
      <c r="K50" s="33"/>
      <c r="L50" s="834"/>
      <c r="M50" s="1669"/>
      <c r="N50" s="1681"/>
      <c r="O50" s="3471"/>
      <c r="P50" s="1683"/>
      <c r="Q50" s="3477"/>
      <c r="R50" s="3477"/>
      <c r="S50" s="3477"/>
      <c r="T50" s="3477"/>
      <c r="U50" s="3477"/>
      <c r="V50" s="1556"/>
      <c r="W50" s="21"/>
      <c r="X50" s="117"/>
      <c r="Y50" s="21"/>
      <c r="Z50" s="21"/>
      <c r="AA50" s="21"/>
      <c r="AB50" s="15" t="s">
        <v>1218</v>
      </c>
      <c r="AC50" s="3465">
        <f>IF($AC$49=_List!$CK$7,1,IF($AC$49=_List!$CK$8,2,IF($AC$49=_List!$CK$9,3,0)))</f>
        <v>1</v>
      </c>
    </row>
    <row r="51" spans="1:31" ht="24.95" hidden="1" customHeight="1" thickBot="1" x14ac:dyDescent="0.25">
      <c r="A51" s="25"/>
      <c r="B51" s="25"/>
      <c r="C51" s="6332"/>
      <c r="D51" s="25"/>
      <c r="E51" s="632"/>
      <c r="F51" s="33" t="s">
        <v>66</v>
      </c>
      <c r="G51" s="33"/>
      <c r="H51" s="113"/>
      <c r="I51" s="2070"/>
      <c r="J51" s="33"/>
      <c r="K51" s="33"/>
      <c r="L51" s="834"/>
      <c r="M51" s="1669"/>
      <c r="N51" s="1681"/>
      <c r="O51" s="3471"/>
      <c r="P51" s="1683"/>
      <c r="Q51" s="6329" t="s">
        <v>189</v>
      </c>
      <c r="R51" s="6330"/>
      <c r="S51" s="6331"/>
      <c r="T51" s="3477"/>
      <c r="U51" s="30" t="str">
        <f>IF(Q51="","!","✓")</f>
        <v>✓</v>
      </c>
      <c r="V51" s="1556"/>
      <c r="W51" s="21"/>
      <c r="X51" s="117"/>
      <c r="Y51" s="21"/>
      <c r="Z51" s="21"/>
      <c r="AA51" s="21"/>
      <c r="AB51" s="122" t="s">
        <v>1215</v>
      </c>
      <c r="AC51" s="3466" t="str">
        <f>$Q$51</f>
        <v>A</v>
      </c>
      <c r="AE51" s="124"/>
    </row>
    <row r="52" spans="1:31" ht="15" customHeight="1" thickBot="1" x14ac:dyDescent="0.25">
      <c r="A52" s="25"/>
      <c r="B52" s="25"/>
      <c r="C52" s="6332"/>
      <c r="D52" s="25"/>
      <c r="E52" s="634"/>
      <c r="F52" s="1558"/>
      <c r="G52" s="1558"/>
      <c r="H52" s="1557"/>
      <c r="I52" s="636"/>
      <c r="J52" s="1558"/>
      <c r="K52" s="1558"/>
      <c r="L52" s="636"/>
      <c r="M52" s="1558"/>
      <c r="N52" s="1651"/>
      <c r="O52" s="3471"/>
      <c r="P52" s="1684"/>
      <c r="Q52" s="1537"/>
      <c r="R52" s="6109"/>
      <c r="S52" s="1537"/>
      <c r="T52" s="1538"/>
      <c r="U52" s="1538"/>
      <c r="V52" s="1559"/>
      <c r="W52" s="21"/>
      <c r="X52" s="117"/>
      <c r="Y52" s="21"/>
      <c r="Z52" s="21"/>
      <c r="AA52" s="21"/>
      <c r="AB52" s="15" t="s">
        <v>1221</v>
      </c>
      <c r="AC52" s="3883" t="str">
        <f>IF($AC$50=1,_List!CO7,IF($AC$50=2,_List!$CO$8,IF($AC$50=3,"",_List!$CO$7)))</f>
        <v>vegprofil[name]</v>
      </c>
    </row>
    <row r="53" spans="1:31" ht="15" customHeight="1" thickBot="1" x14ac:dyDescent="0.25">
      <c r="A53" s="25"/>
      <c r="B53" s="25"/>
      <c r="C53" s="6332"/>
      <c r="D53" s="25"/>
      <c r="E53" s="181"/>
      <c r="F53" s="181"/>
      <c r="G53" s="181"/>
      <c r="H53" s="181"/>
      <c r="I53" s="181"/>
      <c r="J53" s="181"/>
      <c r="K53" s="181"/>
      <c r="L53" s="181"/>
      <c r="M53" s="181"/>
      <c r="N53" s="181"/>
      <c r="O53" s="181"/>
      <c r="P53" s="181"/>
      <c r="Q53" s="181"/>
      <c r="R53" s="181"/>
      <c r="S53" s="181"/>
      <c r="T53" s="181"/>
      <c r="U53" s="181"/>
      <c r="V53" s="181"/>
      <c r="W53" s="181"/>
      <c r="X53" s="181"/>
      <c r="Y53" s="21"/>
      <c r="Z53" s="21"/>
      <c r="AA53" s="21"/>
      <c r="AB53" s="15"/>
      <c r="AC53" s="14"/>
    </row>
    <row r="54" spans="1:31" ht="15" customHeight="1" thickBot="1" x14ac:dyDescent="0.25">
      <c r="A54" s="25"/>
      <c r="B54" s="25"/>
      <c r="C54" s="6332"/>
      <c r="D54" s="25"/>
      <c r="E54" s="629"/>
      <c r="F54" s="1273"/>
      <c r="G54" s="1273"/>
      <c r="H54" s="630"/>
      <c r="I54" s="631"/>
      <c r="J54" s="1273"/>
      <c r="K54" s="1273"/>
      <c r="L54" s="631"/>
      <c r="M54" s="1273"/>
      <c r="N54" s="1648"/>
      <c r="O54" s="130"/>
      <c r="P54" s="1678"/>
      <c r="Q54" s="1533"/>
      <c r="R54" s="1533"/>
      <c r="S54" s="1533"/>
      <c r="T54" s="1534"/>
      <c r="U54" s="1534"/>
      <c r="V54" s="1555"/>
      <c r="W54" s="21"/>
      <c r="X54" s="117"/>
      <c r="Y54" s="21"/>
      <c r="Z54" s="21"/>
      <c r="AA54" s="21"/>
      <c r="AB54" s="15"/>
      <c r="AC54" s="14"/>
    </row>
    <row r="55" spans="1:31" ht="24.95" customHeight="1" thickBot="1" x14ac:dyDescent="0.25">
      <c r="A55" s="25"/>
      <c r="B55" s="25"/>
      <c r="C55" s="6332"/>
      <c r="D55" s="25"/>
      <c r="E55" s="632"/>
      <c r="F55" s="33" t="s">
        <v>62</v>
      </c>
      <c r="G55" s="33"/>
      <c r="H55" s="113"/>
      <c r="I55" s="2070" t="s">
        <v>149</v>
      </c>
      <c r="J55" s="120"/>
      <c r="K55" s="118"/>
      <c r="L55" s="119"/>
      <c r="M55" s="1669"/>
      <c r="N55" s="1681"/>
      <c r="O55" s="3476"/>
      <c r="P55" s="1679"/>
      <c r="Q55" s="6329"/>
      <c r="R55" s="6330"/>
      <c r="S55" s="6331"/>
      <c r="T55" s="1535"/>
      <c r="U55" s="30" t="str">
        <f>IF(OR(Q55="",AE59="!"),"!","✓")</f>
        <v>!</v>
      </c>
      <c r="V55" s="1556"/>
      <c r="W55" s="21"/>
      <c r="X55" s="117"/>
      <c r="Y55" s="21"/>
      <c r="Z55" s="21"/>
      <c r="AA55" s="21"/>
      <c r="AB55" s="3475" t="s">
        <v>1222</v>
      </c>
      <c r="AC55" s="145">
        <f>Q55</f>
        <v>0</v>
      </c>
    </row>
    <row r="56" spans="1:31" ht="15" hidden="1" customHeight="1" x14ac:dyDescent="0.2">
      <c r="A56" s="25"/>
      <c r="B56" s="25"/>
      <c r="C56" s="1561"/>
      <c r="D56" s="25"/>
      <c r="E56" s="632"/>
      <c r="F56" s="33"/>
      <c r="G56" s="33"/>
      <c r="H56" s="751"/>
      <c r="I56" s="834"/>
      <c r="J56" s="33"/>
      <c r="K56" s="33"/>
      <c r="L56" s="834"/>
      <c r="M56" s="33"/>
      <c r="N56" s="1649"/>
      <c r="O56" s="3476"/>
      <c r="P56" s="632"/>
      <c r="Q56" s="751"/>
      <c r="R56" s="751"/>
      <c r="S56" s="751"/>
      <c r="T56" s="1535"/>
      <c r="U56" s="1535"/>
      <c r="V56" s="1556"/>
      <c r="W56" s="21"/>
      <c r="X56" s="117"/>
      <c r="Y56" s="21"/>
      <c r="Z56" s="21"/>
      <c r="AA56" s="21"/>
      <c r="AB56" s="15"/>
      <c r="AC56" s="14"/>
    </row>
    <row r="57" spans="1:31" ht="15" customHeight="1" thickBot="1" x14ac:dyDescent="0.25">
      <c r="A57" s="25"/>
      <c r="B57" s="25"/>
      <c r="C57" s="1561"/>
      <c r="D57" s="25"/>
      <c r="E57" s="632"/>
      <c r="F57" s="33"/>
      <c r="G57" s="33"/>
      <c r="H57" s="751"/>
      <c r="I57" s="834"/>
      <c r="J57" s="33"/>
      <c r="K57" s="33"/>
      <c r="L57" s="834"/>
      <c r="M57" s="33"/>
      <c r="N57" s="1649"/>
      <c r="O57" s="3476"/>
      <c r="P57" s="634"/>
      <c r="Q57" s="6151"/>
      <c r="R57" s="6129"/>
      <c r="S57" s="6152"/>
      <c r="T57" s="1538"/>
      <c r="U57" s="1538"/>
      <c r="V57" s="1559"/>
      <c r="W57" s="21"/>
      <c r="X57" s="117"/>
      <c r="Y57" s="21"/>
      <c r="Z57" s="21"/>
      <c r="AA57" s="21"/>
      <c r="AB57" s="15"/>
    </row>
    <row r="58" spans="1:31" ht="8.1" customHeight="1" thickBot="1" x14ac:dyDescent="0.25">
      <c r="A58" s="25"/>
      <c r="B58" s="25"/>
      <c r="C58" s="1561"/>
      <c r="D58" s="25"/>
      <c r="E58" s="632"/>
      <c r="F58" s="33"/>
      <c r="G58" s="33"/>
      <c r="H58" s="751"/>
      <c r="I58" s="834"/>
      <c r="J58" s="33"/>
      <c r="K58" s="33"/>
      <c r="L58" s="834"/>
      <c r="M58" s="33"/>
      <c r="N58" s="1649"/>
      <c r="O58" s="3476"/>
      <c r="P58" s="632"/>
      <c r="Q58" s="751"/>
      <c r="R58" s="751"/>
      <c r="S58" s="751"/>
      <c r="T58" s="1535"/>
      <c r="U58" s="1535"/>
      <c r="V58" s="1556"/>
      <c r="W58" s="21"/>
      <c r="X58" s="117"/>
      <c r="Y58" s="21"/>
      <c r="Z58" s="21"/>
      <c r="AA58" s="21"/>
      <c r="AB58" s="15"/>
      <c r="AC58" s="14"/>
    </row>
    <row r="59" spans="1:31" ht="24.95" customHeight="1" thickBot="1" x14ac:dyDescent="0.25">
      <c r="A59" s="25"/>
      <c r="B59" s="25"/>
      <c r="C59" s="1563"/>
      <c r="D59" s="25"/>
      <c r="E59" s="632"/>
      <c r="F59" s="6338" t="str">
        <f>_Calcs!$K$25</f>
        <v>Standard teoretisk
sprengningsprofil (eks. grøfter)</v>
      </c>
      <c r="G59" s="6338"/>
      <c r="H59" s="6338"/>
      <c r="I59" s="2070" t="s">
        <v>149</v>
      </c>
      <c r="J59" s="120"/>
      <c r="K59" s="118"/>
      <c r="L59" s="119"/>
      <c r="M59" s="33" t="s">
        <v>103</v>
      </c>
      <c r="N59" s="1649"/>
      <c r="O59" s="3476"/>
      <c r="P59" s="1679"/>
      <c r="Q59" s="6339" t="str">
        <f>IFERROR(IF($AC$50=1,(INDEX(vegprofil[Area_s],MATCH(Q55,vegprofil[Name],0))),IF($AC$50=2,INDEX(jernprofil[Area_s],MATCH($AC$55,jernprofil[Name],0)),"")),"")</f>
        <v/>
      </c>
      <c r="R59" s="6340"/>
      <c r="S59" s="6341"/>
      <c r="T59" s="1535"/>
      <c r="U59" s="30" t="str">
        <f>IF(Q59="","!","✓")</f>
        <v>!</v>
      </c>
      <c r="V59" s="1556"/>
      <c r="W59" s="21"/>
      <c r="X59" s="117"/>
      <c r="Y59" s="21"/>
      <c r="Z59" s="21"/>
      <c r="AA59" s="21"/>
      <c r="AB59" s="15" t="s">
        <v>1219</v>
      </c>
      <c r="AC59" s="122" t="str">
        <f>IF($AC$50=1,_List!CN7,IF($AC$50=2,_List!$CN$8,IF($AC$50=3,_List!$CN$9,_List!$CN$7)))</f>
        <v>Teoretisk tverrsnittsareal</v>
      </c>
      <c r="AE59" s="3467" t="str">
        <f>IF(AND($Q$55&lt;&gt;"",$Q$64=""),$Q$59,IF(AND($Q$55&lt;&gt;"",$Q$64&lt;&gt;""),$Q$64,""))</f>
        <v/>
      </c>
    </row>
    <row r="60" spans="1:31" ht="6.95" customHeight="1" x14ac:dyDescent="0.2">
      <c r="A60" s="25"/>
      <c r="B60" s="25"/>
      <c r="C60" s="1563"/>
      <c r="D60" s="25"/>
      <c r="E60" s="632"/>
      <c r="F60" s="6338"/>
      <c r="G60" s="6338"/>
      <c r="H60" s="6338"/>
      <c r="I60" s="2070"/>
      <c r="J60" s="120"/>
      <c r="K60" s="118"/>
      <c r="L60" s="119"/>
      <c r="M60" s="33"/>
      <c r="N60" s="1649"/>
      <c r="O60" s="3476"/>
      <c r="P60" s="5192"/>
      <c r="Q60" s="5460"/>
      <c r="R60" s="5193"/>
      <c r="S60" s="5196"/>
      <c r="T60" s="5194"/>
      <c r="U60" s="5195"/>
      <c r="V60" s="1556"/>
      <c r="W60" s="21"/>
      <c r="X60" s="117"/>
      <c r="Y60" s="21"/>
      <c r="Z60" s="21"/>
      <c r="AA60" s="21"/>
      <c r="AB60" s="15"/>
      <c r="AC60" s="122"/>
      <c r="AE60" s="5191"/>
    </row>
    <row r="61" spans="1:31" ht="9.9499999999999993" customHeight="1" x14ac:dyDescent="0.2">
      <c r="A61" s="25"/>
      <c r="B61" s="25"/>
      <c r="C61" s="1561"/>
      <c r="D61" s="25"/>
      <c r="E61" s="632"/>
      <c r="F61" s="33"/>
      <c r="G61" s="33"/>
      <c r="H61" s="751"/>
      <c r="I61" s="834"/>
      <c r="J61" s="33"/>
      <c r="K61" s="33"/>
      <c r="L61" s="834"/>
      <c r="M61" s="33"/>
      <c r="N61" s="1649"/>
      <c r="O61" s="3476"/>
      <c r="P61" s="632"/>
      <c r="Q61" s="751"/>
      <c r="R61" s="751"/>
      <c r="S61" s="751"/>
      <c r="T61" s="1535"/>
      <c r="U61" s="1535"/>
      <c r="V61" s="1556"/>
      <c r="W61" s="21"/>
      <c r="X61" s="117"/>
      <c r="Y61" s="21"/>
      <c r="Z61" s="21"/>
      <c r="AA61" s="21"/>
      <c r="AB61" s="15"/>
      <c r="AC61" s="14"/>
    </row>
    <row r="62" spans="1:31" ht="12.75" customHeight="1" x14ac:dyDescent="0.2">
      <c r="A62" s="25"/>
      <c r="B62" s="25"/>
      <c r="C62" s="1561"/>
      <c r="D62" s="25"/>
      <c r="E62" s="632"/>
      <c r="F62" s="33"/>
      <c r="G62" s="33"/>
      <c r="H62" s="751"/>
      <c r="I62" s="834"/>
      <c r="J62" s="33"/>
      <c r="K62" s="33"/>
      <c r="L62" s="834"/>
      <c r="M62" s="33"/>
      <c r="N62" s="1649"/>
      <c r="O62" s="3476"/>
      <c r="P62" s="632"/>
      <c r="Q62" s="1564" t="str">
        <f>_Calcs!$M$19</f>
        <v>Brukerdefinert</v>
      </c>
      <c r="R62" s="834"/>
      <c r="S62" s="1564" t="str">
        <f>_Calcs!$M$18</f>
        <v>Standard</v>
      </c>
      <c r="T62" s="1535"/>
      <c r="U62" s="1535"/>
      <c r="V62" s="1556"/>
      <c r="W62" s="21"/>
      <c r="X62" s="117"/>
      <c r="Y62" s="21"/>
      <c r="Z62" s="21"/>
      <c r="AA62" s="21"/>
      <c r="AB62" s="15"/>
    </row>
    <row r="63" spans="1:31" ht="5.0999999999999996" customHeight="1" thickBot="1" x14ac:dyDescent="0.25">
      <c r="A63" s="25"/>
      <c r="B63" s="25"/>
      <c r="C63" s="1561"/>
      <c r="D63" s="25"/>
      <c r="E63" s="632"/>
      <c r="F63" s="33"/>
      <c r="G63" s="33"/>
      <c r="H63" s="751"/>
      <c r="I63" s="834"/>
      <c r="J63" s="33"/>
      <c r="K63" s="33"/>
      <c r="L63" s="834"/>
      <c r="M63" s="33"/>
      <c r="N63" s="1649"/>
      <c r="O63" s="3476"/>
      <c r="P63" s="632"/>
      <c r="Q63" s="751"/>
      <c r="R63" s="751"/>
      <c r="S63" s="751"/>
      <c r="T63" s="1535"/>
      <c r="U63" s="1535"/>
      <c r="V63" s="1556"/>
      <c r="W63" s="21"/>
      <c r="X63" s="117"/>
      <c r="Y63" s="21"/>
      <c r="Z63" s="21"/>
      <c r="AA63" s="21"/>
      <c r="AB63" s="15"/>
      <c r="AC63" s="14"/>
    </row>
    <row r="64" spans="1:31" ht="24.95" customHeight="1" thickBot="1" x14ac:dyDescent="0.25">
      <c r="A64" s="25"/>
      <c r="B64" s="25"/>
      <c r="C64" s="1563"/>
      <c r="D64" s="5201"/>
      <c r="E64" s="632"/>
      <c r="F64" s="6338" t="str">
        <f>_Calcs!$K$26</f>
        <v>Gjennomgående teoretisk
sprengningsprofil (eks. grøfter)</v>
      </c>
      <c r="G64" s="6338"/>
      <c r="H64" s="6338"/>
      <c r="I64" s="2070" t="s">
        <v>149</v>
      </c>
      <c r="J64" s="120"/>
      <c r="K64" s="118"/>
      <c r="L64" s="119"/>
      <c r="M64" s="33" t="s">
        <v>103</v>
      </c>
      <c r="N64" s="1649"/>
      <c r="O64" s="3476"/>
      <c r="P64" s="1679"/>
      <c r="Q64" s="5200"/>
      <c r="R64" s="751"/>
      <c r="S64" s="6180" t="str">
        <f>Q59</f>
        <v/>
      </c>
      <c r="T64" s="1535"/>
      <c r="U64" s="30" t="str">
        <f>IF(S64="","!","✓")</f>
        <v>!</v>
      </c>
      <c r="V64" s="1556"/>
      <c r="W64" s="21"/>
      <c r="X64" s="117"/>
      <c r="Y64" s="21"/>
      <c r="Z64" s="21"/>
      <c r="AA64" s="21"/>
      <c r="AB64" s="15"/>
      <c r="AC64" s="122"/>
      <c r="AE64" s="3467"/>
    </row>
    <row r="65" spans="1:34" ht="6.95" customHeight="1" x14ac:dyDescent="0.2">
      <c r="A65" s="25"/>
      <c r="B65" s="25"/>
      <c r="C65" s="1563"/>
      <c r="D65" s="25"/>
      <c r="E65" s="632"/>
      <c r="F65" s="6338"/>
      <c r="G65" s="6338"/>
      <c r="H65" s="6338"/>
      <c r="I65" s="2070"/>
      <c r="J65" s="120"/>
      <c r="K65" s="118"/>
      <c r="L65" s="119"/>
      <c r="M65" s="33"/>
      <c r="N65" s="1649"/>
      <c r="O65" s="3476"/>
      <c r="P65" s="5192"/>
      <c r="Q65" s="5460"/>
      <c r="R65" s="5193"/>
      <c r="S65" s="5196"/>
      <c r="T65" s="5194"/>
      <c r="U65" s="5195"/>
      <c r="V65" s="1556"/>
      <c r="W65" s="21"/>
      <c r="X65" s="117"/>
      <c r="Y65" s="21"/>
      <c r="Z65" s="21"/>
      <c r="AA65" s="21"/>
      <c r="AB65" s="15"/>
      <c r="AC65" s="122"/>
      <c r="AE65" s="5191"/>
    </row>
    <row r="66" spans="1:34" ht="15" customHeight="1" thickBot="1" x14ac:dyDescent="0.25">
      <c r="A66" s="25"/>
      <c r="B66" s="25"/>
      <c r="C66" s="1561"/>
      <c r="D66" s="25"/>
      <c r="E66" s="634"/>
      <c r="F66" s="1558"/>
      <c r="G66" s="1558"/>
      <c r="H66" s="1557"/>
      <c r="I66" s="636"/>
      <c r="J66" s="1558"/>
      <c r="K66" s="1558"/>
      <c r="L66" s="636"/>
      <c r="M66" s="1558"/>
      <c r="N66" s="1651"/>
      <c r="O66" s="130"/>
      <c r="P66" s="1680"/>
      <c r="Q66" s="1537"/>
      <c r="R66" s="1537"/>
      <c r="S66" s="6109"/>
      <c r="T66" s="1538"/>
      <c r="U66" s="1538"/>
      <c r="V66" s="1559"/>
      <c r="W66" s="21"/>
      <c r="X66" s="117"/>
      <c r="Y66" s="21"/>
      <c r="Z66" s="21"/>
      <c r="AA66" s="21"/>
      <c r="AB66" s="15"/>
      <c r="AC66" s="2012"/>
      <c r="AD66" s="70"/>
      <c r="AE66" s="70"/>
      <c r="AF66" s="70"/>
      <c r="AG66" s="70"/>
      <c r="AH66" s="7"/>
    </row>
    <row r="67" spans="1:34" ht="15" hidden="1" customHeight="1" thickBot="1" x14ac:dyDescent="0.25">
      <c r="A67" s="25"/>
      <c r="B67" s="25"/>
      <c r="C67" s="1561"/>
      <c r="D67" s="25"/>
      <c r="E67" s="181"/>
      <c r="F67" s="181"/>
      <c r="G67" s="181"/>
      <c r="H67" s="181"/>
      <c r="I67" s="181"/>
      <c r="J67" s="181"/>
      <c r="K67" s="181"/>
      <c r="L67" s="181"/>
      <c r="M67" s="181"/>
      <c r="N67" s="181"/>
      <c r="O67" s="181"/>
      <c r="P67" s="181"/>
      <c r="Q67" s="181"/>
      <c r="R67" s="181"/>
      <c r="S67" s="181"/>
      <c r="T67" s="181"/>
      <c r="U67" s="181"/>
      <c r="V67" s="181"/>
      <c r="W67" s="21"/>
      <c r="X67" s="181"/>
      <c r="Y67" s="21"/>
      <c r="Z67" s="21"/>
      <c r="AA67" s="21"/>
      <c r="AB67" s="15"/>
      <c r="AC67" s="2012"/>
      <c r="AD67" s="70"/>
      <c r="AE67" s="70"/>
      <c r="AF67" s="70"/>
      <c r="AG67" s="70"/>
      <c r="AH67" s="7"/>
    </row>
    <row r="68" spans="1:34" ht="15" hidden="1" customHeight="1" thickBot="1" x14ac:dyDescent="0.25">
      <c r="A68" s="25"/>
      <c r="B68" s="25"/>
      <c r="C68" s="1561"/>
      <c r="D68" s="25"/>
      <c r="E68" s="629"/>
      <c r="F68" s="1273"/>
      <c r="G68" s="1273"/>
      <c r="H68" s="749"/>
      <c r="I68" s="631"/>
      <c r="J68" s="1273"/>
      <c r="K68" s="1273"/>
      <c r="L68" s="631"/>
      <c r="M68" s="1273"/>
      <c r="N68" s="1648"/>
      <c r="O68" s="3476"/>
      <c r="P68" s="629"/>
      <c r="Q68" s="749"/>
      <c r="R68" s="749"/>
      <c r="S68" s="749"/>
      <c r="T68" s="1534"/>
      <c r="U68" s="1534"/>
      <c r="V68" s="1555"/>
      <c r="W68" s="21"/>
      <c r="X68" s="117"/>
      <c r="Y68" s="21"/>
      <c r="Z68" s="21"/>
      <c r="AA68" s="21"/>
      <c r="AB68" s="15"/>
      <c r="AC68" s="14"/>
    </row>
    <row r="69" spans="1:34" ht="20.100000000000001" hidden="1" customHeight="1" thickBot="1" x14ac:dyDescent="0.25">
      <c r="C69" s="3473"/>
      <c r="E69" s="3478"/>
      <c r="F69" s="3479" t="s">
        <v>254</v>
      </c>
      <c r="G69" s="3479"/>
      <c r="H69" s="3480"/>
      <c r="I69" s="3481"/>
      <c r="J69" s="3482"/>
      <c r="K69" s="3479"/>
      <c r="L69" s="3481"/>
      <c r="M69" s="33" t="s">
        <v>103</v>
      </c>
      <c r="N69" s="3483"/>
      <c r="O69" s="677"/>
      <c r="P69" s="3484"/>
      <c r="Q69" s="6329">
        <v>20</v>
      </c>
      <c r="R69" s="6330"/>
      <c r="S69" s="6331"/>
      <c r="T69" s="1535"/>
      <c r="U69" s="30" t="str">
        <f>IF(Q69="","!","✓")</f>
        <v>✓</v>
      </c>
      <c r="V69" s="3485"/>
      <c r="X69" s="117"/>
    </row>
    <row r="70" spans="1:34" ht="15" hidden="1" customHeight="1" x14ac:dyDescent="0.2">
      <c r="A70" s="25"/>
      <c r="B70" s="25"/>
      <c r="C70" s="1561"/>
      <c r="D70" s="25"/>
      <c r="E70" s="632"/>
      <c r="F70" s="33"/>
      <c r="G70" s="33"/>
      <c r="H70" s="751"/>
      <c r="I70" s="834"/>
      <c r="J70" s="33"/>
      <c r="K70" s="33"/>
      <c r="L70" s="834"/>
      <c r="M70" s="33"/>
      <c r="N70" s="1649"/>
      <c r="O70" s="3476"/>
      <c r="P70" s="632"/>
      <c r="Q70" s="751"/>
      <c r="R70" s="751"/>
      <c r="S70" s="751"/>
      <c r="T70" s="1535"/>
      <c r="U70" s="1535"/>
      <c r="V70" s="1556"/>
      <c r="W70" s="21"/>
      <c r="X70" s="117"/>
      <c r="Y70" s="21"/>
      <c r="Z70" s="21"/>
      <c r="AA70" s="21"/>
      <c r="AB70" s="15"/>
      <c r="AC70" s="14"/>
    </row>
    <row r="71" spans="1:34" ht="12.75" hidden="1" customHeight="1" x14ac:dyDescent="0.2">
      <c r="A71" s="25"/>
      <c r="B71" s="25"/>
      <c r="C71" s="1561"/>
      <c r="D71" s="25"/>
      <c r="E71" s="632"/>
      <c r="F71" s="33"/>
      <c r="G71" s="33"/>
      <c r="H71" s="751"/>
      <c r="I71" s="834"/>
      <c r="J71" s="33"/>
      <c r="K71" s="33"/>
      <c r="L71" s="834"/>
      <c r="M71" s="33"/>
      <c r="N71" s="1649"/>
      <c r="O71" s="3476"/>
      <c r="P71" s="632"/>
      <c r="Q71" s="1564" t="s">
        <v>920</v>
      </c>
      <c r="R71" s="834"/>
      <c r="S71" s="1564" t="s">
        <v>151</v>
      </c>
      <c r="T71" s="1535"/>
      <c r="U71" s="1535"/>
      <c r="V71" s="1556"/>
      <c r="W71" s="21"/>
      <c r="X71" s="117"/>
      <c r="Y71" s="21"/>
      <c r="Z71" s="21"/>
      <c r="AA71" s="21"/>
      <c r="AB71" s="15"/>
    </row>
    <row r="72" spans="1:34" ht="3" hidden="1" customHeight="1" thickBot="1" x14ac:dyDescent="0.25">
      <c r="A72" s="25"/>
      <c r="B72" s="25"/>
      <c r="C72" s="1561"/>
      <c r="D72" s="25"/>
      <c r="E72" s="632"/>
      <c r="F72" s="33"/>
      <c r="G72" s="33"/>
      <c r="H72" s="751"/>
      <c r="I72" s="834"/>
      <c r="J72" s="33"/>
      <c r="K72" s="33"/>
      <c r="L72" s="834"/>
      <c r="M72" s="33"/>
      <c r="N72" s="1649"/>
      <c r="O72" s="3476"/>
      <c r="P72" s="632"/>
      <c r="Q72" s="751"/>
      <c r="R72" s="751"/>
      <c r="S72" s="751"/>
      <c r="T72" s="1535"/>
      <c r="U72" s="1535"/>
      <c r="V72" s="1556"/>
      <c r="W72" s="21"/>
      <c r="X72" s="117"/>
      <c r="Y72" s="21"/>
      <c r="Z72" s="21"/>
      <c r="AA72" s="21"/>
      <c r="AB72" s="15"/>
      <c r="AC72" s="14"/>
    </row>
    <row r="73" spans="1:34" ht="20.100000000000001" hidden="1" customHeight="1" thickBot="1" x14ac:dyDescent="0.25">
      <c r="A73" s="25"/>
      <c r="B73" s="25"/>
      <c r="C73" s="1563"/>
      <c r="D73" s="25"/>
      <c r="E73" s="632"/>
      <c r="F73" s="33" t="str">
        <f>AC73</f>
        <v>Teoretisk tverrsnittsareal</v>
      </c>
      <c r="G73" s="33"/>
      <c r="H73" s="113"/>
      <c r="I73" s="2070" t="s">
        <v>149</v>
      </c>
      <c r="J73" s="120"/>
      <c r="K73" s="118"/>
      <c r="L73" s="119"/>
      <c r="M73" s="33" t="s">
        <v>103</v>
      </c>
      <c r="N73" s="1649"/>
      <c r="O73" s="3476"/>
      <c r="P73" s="1679"/>
      <c r="Q73" s="2336"/>
      <c r="R73" s="751"/>
      <c r="S73" s="121" t="str">
        <f>IFERROR(IF($AC$50=1,(INDEX(vegprofil[Area_s],MATCH(Q58,vegprofil[Name],0))),IF($AC$50=2,INDEX(jernprofil[Area_s],MATCH($AC$55,jernprofil[Name],0)),"")),"!")</f>
        <v>!</v>
      </c>
      <c r="T73" s="1535"/>
      <c r="U73" s="30" t="str">
        <f>IF(S73="","!","✓")</f>
        <v>✓</v>
      </c>
      <c r="V73" s="1556"/>
      <c r="W73" s="21"/>
      <c r="X73" s="117"/>
      <c r="Y73" s="21"/>
      <c r="Z73" s="21"/>
      <c r="AA73" s="21"/>
      <c r="AB73" s="15" t="s">
        <v>1219</v>
      </c>
      <c r="AC73" s="122" t="str">
        <f>IF($AC$50=1,_List!CN7,IF($AC$50=2,_List!$CN$8,IF($AC$50=3,_List!$CN$9,_List!$CN$7)))</f>
        <v>Teoretisk tverrsnittsareal</v>
      </c>
      <c r="AE73" s="3467" t="str">
        <f>IF(Q73="",S73,Q73)</f>
        <v>!</v>
      </c>
    </row>
    <row r="74" spans="1:34" ht="15" hidden="1" customHeight="1" thickBot="1" x14ac:dyDescent="0.25">
      <c r="A74" s="25"/>
      <c r="B74" s="25"/>
      <c r="C74" s="1561"/>
      <c r="D74" s="25"/>
      <c r="E74" s="634"/>
      <c r="F74" s="1558"/>
      <c r="G74" s="1558"/>
      <c r="H74" s="1557"/>
      <c r="I74" s="636"/>
      <c r="J74" s="1558"/>
      <c r="K74" s="1558"/>
      <c r="L74" s="636"/>
      <c r="M74" s="1558"/>
      <c r="N74" s="1651"/>
      <c r="O74" s="130"/>
      <c r="P74" s="1680"/>
      <c r="Q74" s="1537"/>
      <c r="R74" s="1537"/>
      <c r="S74" s="1537"/>
      <c r="T74" s="1538"/>
      <c r="U74" s="1538"/>
      <c r="V74" s="1559"/>
      <c r="W74" s="21"/>
      <c r="X74" s="117"/>
      <c r="Y74" s="21"/>
      <c r="Z74" s="21"/>
      <c r="AA74" s="21"/>
      <c r="AB74" s="15"/>
      <c r="AC74" s="2012"/>
      <c r="AD74" s="70"/>
      <c r="AE74" s="70"/>
      <c r="AF74" s="70"/>
      <c r="AG74" s="70"/>
      <c r="AH74" s="7"/>
    </row>
    <row r="75" spans="1:34" ht="15" customHeight="1" thickBot="1" x14ac:dyDescent="0.25">
      <c r="A75" s="25"/>
      <c r="B75" s="25"/>
      <c r="C75" s="1561"/>
      <c r="D75" s="25"/>
      <c r="E75" s="181"/>
      <c r="F75" s="181"/>
      <c r="G75" s="181"/>
      <c r="H75" s="181"/>
      <c r="I75" s="181"/>
      <c r="J75" s="181"/>
      <c r="K75" s="181"/>
      <c r="L75" s="181"/>
      <c r="M75" s="181"/>
      <c r="N75" s="181"/>
      <c r="O75" s="181"/>
      <c r="P75" s="181"/>
      <c r="Q75" s="181"/>
      <c r="R75" s="181"/>
      <c r="S75" s="181"/>
      <c r="T75" s="181"/>
      <c r="U75" s="181"/>
      <c r="V75" s="181"/>
      <c r="W75" s="21"/>
      <c r="X75" s="181"/>
      <c r="Y75" s="21"/>
      <c r="Z75" s="21"/>
      <c r="AA75" s="21"/>
      <c r="AB75" s="15"/>
      <c r="AC75" s="2012"/>
      <c r="AD75" s="70"/>
      <c r="AE75" s="70"/>
      <c r="AF75" s="70"/>
      <c r="AG75" s="70"/>
      <c r="AH75" s="7"/>
    </row>
    <row r="76" spans="1:34" ht="15" customHeight="1" thickBot="1" x14ac:dyDescent="0.25">
      <c r="A76" s="25"/>
      <c r="B76" s="25"/>
      <c r="C76" s="1561"/>
      <c r="D76" s="25"/>
      <c r="E76" s="629"/>
      <c r="F76" s="1273"/>
      <c r="G76" s="1273"/>
      <c r="H76" s="630"/>
      <c r="I76" s="631"/>
      <c r="J76" s="1273"/>
      <c r="K76" s="1273"/>
      <c r="L76" s="631"/>
      <c r="M76" s="1273"/>
      <c r="N76" s="1648"/>
      <c r="O76" s="3471"/>
      <c r="P76" s="3470"/>
      <c r="Q76" s="1533"/>
      <c r="R76" s="1533"/>
      <c r="S76" s="1533"/>
      <c r="T76" s="1534"/>
      <c r="U76" s="1534"/>
      <c r="V76" s="1555"/>
      <c r="W76" s="21"/>
      <c r="X76" s="117"/>
      <c r="Y76" s="21"/>
      <c r="Z76" s="21"/>
      <c r="AA76" s="21"/>
      <c r="AB76" s="15"/>
      <c r="AC76" s="2012"/>
      <c r="AD76" s="70"/>
      <c r="AE76" s="70"/>
      <c r="AF76" s="70"/>
      <c r="AG76" s="70"/>
      <c r="AH76" s="7"/>
    </row>
    <row r="77" spans="1:34" ht="24.95" customHeight="1" thickBot="1" x14ac:dyDescent="0.25">
      <c r="A77" s="25"/>
      <c r="B77" s="25"/>
      <c r="C77" s="1561"/>
      <c r="D77" s="25"/>
      <c r="E77" s="632"/>
      <c r="F77" s="33" t="s">
        <v>67</v>
      </c>
      <c r="G77" s="33"/>
      <c r="H77" s="33"/>
      <c r="I77" s="2070"/>
      <c r="J77" s="33"/>
      <c r="K77" s="33"/>
      <c r="L77" s="834"/>
      <c r="M77" s="1669" t="s">
        <v>825</v>
      </c>
      <c r="N77" s="1681"/>
      <c r="O77" s="3471"/>
      <c r="P77" s="632"/>
      <c r="Q77" s="6323"/>
      <c r="R77" s="6324"/>
      <c r="S77" s="6325"/>
      <c r="T77" s="1535"/>
      <c r="U77" s="30" t="str">
        <f>IF(Q77="","!","✓")</f>
        <v>!</v>
      </c>
      <c r="V77" s="1556"/>
      <c r="W77" s="21"/>
      <c r="X77" s="117"/>
      <c r="Y77" s="21"/>
      <c r="Z77" s="21"/>
      <c r="AA77" s="21"/>
      <c r="AB77" s="15"/>
      <c r="AC77" s="3468">
        <f>IF($Q$77="",1,$Q$77)</f>
        <v>1</v>
      </c>
    </row>
    <row r="78" spans="1:34" ht="15" customHeight="1" x14ac:dyDescent="0.2">
      <c r="A78" s="25"/>
      <c r="B78" s="25"/>
      <c r="C78" s="1561"/>
      <c r="D78" s="25"/>
      <c r="E78" s="632"/>
      <c r="F78" s="33"/>
      <c r="G78" s="33"/>
      <c r="H78" s="113"/>
      <c r="I78" s="834"/>
      <c r="J78" s="33"/>
      <c r="K78" s="33"/>
      <c r="L78" s="834"/>
      <c r="M78" s="33"/>
      <c r="N78" s="1649"/>
      <c r="O78" s="3471"/>
      <c r="P78" s="1679"/>
      <c r="Q78" s="32"/>
      <c r="R78" s="32"/>
      <c r="S78" s="32"/>
      <c r="T78" s="1535"/>
      <c r="U78" s="1535"/>
      <c r="V78" s="1556"/>
      <c r="W78" s="21"/>
      <c r="X78" s="117"/>
      <c r="Y78" s="21"/>
      <c r="Z78" s="21"/>
      <c r="AA78" s="21"/>
      <c r="AB78" s="15"/>
      <c r="AC78" s="2012"/>
      <c r="AD78" s="70"/>
      <c r="AE78" s="70"/>
      <c r="AF78" s="70"/>
      <c r="AG78" s="70"/>
      <c r="AH78" s="7"/>
    </row>
    <row r="79" spans="1:34" ht="20.100000000000001" customHeight="1" x14ac:dyDescent="0.2">
      <c r="A79" s="25"/>
      <c r="B79" s="25"/>
      <c r="C79" s="1561"/>
      <c r="D79" s="25"/>
      <c r="E79" s="632"/>
      <c r="F79" s="3486"/>
      <c r="G79" s="33"/>
      <c r="H79" s="113"/>
      <c r="I79" s="834"/>
      <c r="J79" s="33"/>
      <c r="K79" s="33"/>
      <c r="L79" s="834"/>
      <c r="M79" s="33"/>
      <c r="N79" s="1649"/>
      <c r="O79" s="3471"/>
      <c r="P79" s="1679"/>
      <c r="Q79" s="6337" t="str">
        <f>IF($AC$77=1,"",IF($AC$77=2,"Løp 1"))</f>
        <v/>
      </c>
      <c r="R79" s="6337"/>
      <c r="S79" s="6337"/>
      <c r="T79" s="1535"/>
      <c r="U79" s="1535"/>
      <c r="V79" s="1556"/>
      <c r="W79" s="21"/>
      <c r="X79" s="117"/>
      <c r="Y79" s="21"/>
      <c r="Z79" s="21"/>
      <c r="AA79" s="21"/>
      <c r="AB79" s="15"/>
      <c r="AC79" s="2012"/>
      <c r="AD79" s="70"/>
      <c r="AE79" s="70"/>
      <c r="AF79" s="70"/>
      <c r="AG79" s="70"/>
      <c r="AH79" s="7"/>
    </row>
    <row r="80" spans="1:34" ht="5.0999999999999996" customHeight="1" thickBot="1" x14ac:dyDescent="0.25">
      <c r="A80" s="25"/>
      <c r="B80" s="25"/>
      <c r="C80" s="1561"/>
      <c r="D80" s="25"/>
      <c r="E80" s="632"/>
      <c r="F80" s="33"/>
      <c r="G80" s="33"/>
      <c r="H80" s="113"/>
      <c r="I80" s="834"/>
      <c r="J80" s="33"/>
      <c r="K80" s="33"/>
      <c r="L80" s="834"/>
      <c r="M80" s="33"/>
      <c r="N80" s="1649"/>
      <c r="O80" s="3471"/>
      <c r="P80" s="1679"/>
      <c r="Q80" s="32"/>
      <c r="R80" s="32"/>
      <c r="S80" s="32"/>
      <c r="T80" s="1535"/>
      <c r="U80" s="1535"/>
      <c r="V80" s="1556"/>
      <c r="W80" s="21"/>
      <c r="X80" s="117"/>
      <c r="Y80" s="21"/>
      <c r="Z80" s="21"/>
      <c r="AA80" s="21"/>
      <c r="AB80" s="15"/>
      <c r="AC80" s="2012"/>
      <c r="AD80" s="70"/>
      <c r="AE80" s="70"/>
      <c r="AF80" s="70"/>
      <c r="AG80" s="70"/>
      <c r="AH80" s="7"/>
    </row>
    <row r="81" spans="1:34" ht="24.95" customHeight="1" thickBot="1" x14ac:dyDescent="0.25">
      <c r="A81" s="25"/>
      <c r="B81" s="25"/>
      <c r="C81" s="1561"/>
      <c r="D81" s="25"/>
      <c r="E81" s="632"/>
      <c r="F81" s="33" t="str">
        <f>IF($AC$77=1,"Løp navn",IF($AC$77=2,"Løp 1 navn"))</f>
        <v>Løp navn</v>
      </c>
      <c r="G81" s="33"/>
      <c r="H81" s="33"/>
      <c r="I81" s="834"/>
      <c r="J81" s="33"/>
      <c r="K81" s="33"/>
      <c r="L81" s="834"/>
      <c r="M81" s="33"/>
      <c r="N81" s="1649"/>
      <c r="O81" s="3471"/>
      <c r="P81" s="1679"/>
      <c r="Q81" s="6336"/>
      <c r="R81" s="6336"/>
      <c r="S81" s="6336"/>
      <c r="T81" s="1535"/>
      <c r="U81" s="30" t="str">
        <f>IF(Q81="","!","✓")</f>
        <v>!</v>
      </c>
      <c r="V81" s="1556"/>
      <c r="W81" s="21"/>
      <c r="X81" s="117"/>
      <c r="Y81" s="21"/>
      <c r="Z81" s="21"/>
      <c r="AA81" s="21"/>
      <c r="AB81" s="15" t="s">
        <v>1230</v>
      </c>
      <c r="AC81" s="2012" t="str">
        <f>IF($Q$81="","",$Q$81)</f>
        <v/>
      </c>
      <c r="AD81" s="70"/>
      <c r="AE81" s="70"/>
      <c r="AF81" s="70"/>
      <c r="AG81" s="70"/>
      <c r="AH81" s="7"/>
    </row>
    <row r="82" spans="1:34" ht="5.0999999999999996" customHeight="1" thickBot="1" x14ac:dyDescent="0.25">
      <c r="A82" s="25"/>
      <c r="B82" s="25"/>
      <c r="C82" s="1561"/>
      <c r="D82" s="25"/>
      <c r="E82" s="632"/>
      <c r="F82" s="113"/>
      <c r="G82" s="33"/>
      <c r="H82" s="113"/>
      <c r="I82" s="834"/>
      <c r="J82" s="33"/>
      <c r="K82" s="33"/>
      <c r="L82" s="834"/>
      <c r="M82" s="33"/>
      <c r="N82" s="1649"/>
      <c r="O82" s="3471"/>
      <c r="P82" s="1679"/>
      <c r="Q82" s="32"/>
      <c r="R82" s="32"/>
      <c r="S82" s="32"/>
      <c r="T82" s="1535"/>
      <c r="U82" s="1535"/>
      <c r="V82" s="1556"/>
      <c r="W82" s="21"/>
      <c r="X82" s="117"/>
      <c r="Y82" s="21"/>
      <c r="Z82" s="21"/>
      <c r="AA82" s="21"/>
      <c r="AB82" s="15"/>
      <c r="AC82" s="2012"/>
      <c r="AD82" s="70"/>
      <c r="AE82" s="70"/>
      <c r="AF82" s="70"/>
      <c r="AG82" s="70"/>
      <c r="AH82" s="7"/>
    </row>
    <row r="83" spans="1:34" ht="24.95" customHeight="1" thickBot="1" x14ac:dyDescent="0.25">
      <c r="A83" s="25"/>
      <c r="B83" s="25"/>
      <c r="C83" s="1561"/>
      <c r="D83" s="25"/>
      <c r="E83" s="632"/>
      <c r="F83" s="113" t="str">
        <f>IF($AC$77=1,"Løp tunnellengde",IF($AC$77=2,"Løp 1 tunnellengde"))</f>
        <v>Løp tunnellengde</v>
      </c>
      <c r="G83" s="33"/>
      <c r="H83" s="113"/>
      <c r="I83" s="2070" t="s">
        <v>149</v>
      </c>
      <c r="J83" s="120"/>
      <c r="K83" s="118"/>
      <c r="L83" s="119"/>
      <c r="M83" s="33" t="s">
        <v>78</v>
      </c>
      <c r="N83" s="1649"/>
      <c r="O83" s="3471"/>
      <c r="P83" s="1679"/>
      <c r="Q83" s="6350"/>
      <c r="R83" s="6350"/>
      <c r="S83" s="6350"/>
      <c r="T83" s="1535"/>
      <c r="U83" s="30" t="str">
        <f>IF(Q83="","!","✓")</f>
        <v>!</v>
      </c>
      <c r="V83" s="1556"/>
      <c r="W83" s="21"/>
      <c r="X83" s="117"/>
      <c r="Y83" s="21"/>
      <c r="Z83" s="21"/>
      <c r="AA83" s="21"/>
      <c r="AB83" s="15"/>
      <c r="AD83" s="70"/>
      <c r="AE83" s="70"/>
      <c r="AF83" s="70"/>
      <c r="AG83" s="70"/>
      <c r="AH83" s="7"/>
    </row>
    <row r="84" spans="1:34" ht="15" customHeight="1" thickBot="1" x14ac:dyDescent="0.25">
      <c r="A84" s="25"/>
      <c r="B84" s="25"/>
      <c r="C84" s="1561"/>
      <c r="D84" s="25"/>
      <c r="E84" s="634"/>
      <c r="F84" s="1558"/>
      <c r="G84" s="1558"/>
      <c r="H84" s="753"/>
      <c r="I84" s="636"/>
      <c r="J84" s="1558"/>
      <c r="K84" s="1558"/>
      <c r="L84" s="636"/>
      <c r="M84" s="1558"/>
      <c r="N84" s="1651"/>
      <c r="O84" s="3471"/>
      <c r="P84" s="634"/>
      <c r="Q84" s="3495"/>
      <c r="R84" s="3495"/>
      <c r="S84" s="3495"/>
      <c r="T84" s="1538"/>
      <c r="U84" s="1538"/>
      <c r="V84" s="1559"/>
      <c r="W84" s="21"/>
      <c r="X84" s="117"/>
      <c r="Y84" s="21"/>
      <c r="Z84" s="21"/>
      <c r="AA84" s="21"/>
      <c r="AB84" s="15"/>
      <c r="AC84" s="2012"/>
      <c r="AD84" s="70"/>
      <c r="AE84" s="70"/>
      <c r="AF84" s="70"/>
      <c r="AG84" s="70"/>
      <c r="AH84" s="7"/>
    </row>
    <row r="85" spans="1:34" ht="9.9499999999999993" customHeight="1" x14ac:dyDescent="0.2">
      <c r="A85" s="25"/>
      <c r="B85" s="25"/>
      <c r="C85" s="1561"/>
      <c r="D85" s="25"/>
      <c r="E85" s="632"/>
      <c r="F85" s="33"/>
      <c r="G85" s="33"/>
      <c r="H85" s="751"/>
      <c r="I85" s="834"/>
      <c r="J85" s="33"/>
      <c r="K85" s="33"/>
      <c r="L85" s="834"/>
      <c r="M85" s="33"/>
      <c r="N85" s="1649"/>
      <c r="O85" s="3471"/>
      <c r="P85" s="632"/>
      <c r="Q85" s="1565"/>
      <c r="R85" s="1565"/>
      <c r="S85" s="1565"/>
      <c r="T85" s="1535"/>
      <c r="U85" s="1535"/>
      <c r="V85" s="1556"/>
      <c r="W85" s="21"/>
      <c r="X85" s="117"/>
      <c r="Y85" s="21"/>
      <c r="Z85" s="21"/>
      <c r="AA85" s="21"/>
      <c r="AB85" s="15"/>
      <c r="AC85" s="2012"/>
      <c r="AD85" s="70"/>
      <c r="AE85" s="70"/>
      <c r="AF85" s="70"/>
      <c r="AG85" s="70"/>
      <c r="AH85" s="7"/>
    </row>
    <row r="86" spans="1:34" ht="17.100000000000001" customHeight="1" x14ac:dyDescent="0.2">
      <c r="A86" s="25"/>
      <c r="B86" s="25"/>
      <c r="C86" s="1561"/>
      <c r="D86" s="25"/>
      <c r="E86" s="632"/>
      <c r="F86" s="33"/>
      <c r="G86" s="33"/>
      <c r="H86" s="751"/>
      <c r="I86" s="834"/>
      <c r="J86" s="33"/>
      <c r="K86" s="33"/>
      <c r="L86" s="834"/>
      <c r="M86" s="33"/>
      <c r="N86" s="1649"/>
      <c r="O86" s="3471"/>
      <c r="P86" s="632"/>
      <c r="Q86" s="6337" t="s">
        <v>210</v>
      </c>
      <c r="R86" s="6337"/>
      <c r="S86" s="6337"/>
      <c r="T86" s="1535"/>
      <c r="U86" s="1535"/>
      <c r="V86" s="1556"/>
      <c r="W86" s="21"/>
      <c r="X86" s="117"/>
      <c r="Y86" s="21"/>
      <c r="Z86" s="21"/>
      <c r="AA86" s="21"/>
      <c r="AB86" s="15"/>
      <c r="AC86" s="2012"/>
      <c r="AD86" s="70"/>
      <c r="AE86" s="70"/>
      <c r="AF86" s="70"/>
      <c r="AG86" s="70"/>
      <c r="AH86" s="7"/>
    </row>
    <row r="87" spans="1:34" ht="5.0999999999999996" customHeight="1" thickBot="1" x14ac:dyDescent="0.25">
      <c r="A87" s="25"/>
      <c r="B87" s="25"/>
      <c r="C87" s="1561"/>
      <c r="D87" s="25"/>
      <c r="E87" s="632"/>
      <c r="F87" s="33"/>
      <c r="G87" s="33"/>
      <c r="H87" s="751"/>
      <c r="I87" s="834"/>
      <c r="J87" s="33"/>
      <c r="K87" s="33"/>
      <c r="L87" s="834"/>
      <c r="M87" s="33"/>
      <c r="N87" s="1649"/>
      <c r="O87" s="3471"/>
      <c r="P87" s="632"/>
      <c r="Q87" s="1565"/>
      <c r="R87" s="1565"/>
      <c r="S87" s="1565"/>
      <c r="T87" s="1535"/>
      <c r="U87" s="1535"/>
      <c r="V87" s="1556"/>
      <c r="W87" s="21"/>
      <c r="X87" s="117"/>
      <c r="Y87" s="21"/>
      <c r="Z87" s="21"/>
      <c r="AA87" s="21"/>
      <c r="AB87" s="15"/>
      <c r="AC87" s="2012"/>
      <c r="AD87" s="70"/>
      <c r="AE87" s="70"/>
      <c r="AF87" s="70"/>
      <c r="AG87" s="70"/>
      <c r="AH87" s="7"/>
    </row>
    <row r="88" spans="1:34" ht="24.95" customHeight="1" thickBot="1" x14ac:dyDescent="0.25">
      <c r="A88" s="25"/>
      <c r="B88" s="25"/>
      <c r="C88" s="1561"/>
      <c r="D88" s="25"/>
      <c r="E88" s="632"/>
      <c r="F88" s="33" t="s">
        <v>1636</v>
      </c>
      <c r="G88" s="33"/>
      <c r="H88" s="33"/>
      <c r="I88" s="834"/>
      <c r="J88" s="33"/>
      <c r="K88" s="33"/>
      <c r="L88" s="834"/>
      <c r="M88" s="33"/>
      <c r="N88" s="1649"/>
      <c r="O88" s="3471"/>
      <c r="P88" s="632"/>
      <c r="Q88" s="6336"/>
      <c r="R88" s="6336"/>
      <c r="S88" s="6336"/>
      <c r="T88" s="1535"/>
      <c r="U88" s="30" t="str">
        <f>IF(AND(Q88="",$AC$48=2),"!","✓")</f>
        <v>✓</v>
      </c>
      <c r="V88" s="1556"/>
      <c r="W88" s="21"/>
      <c r="X88" s="117"/>
      <c r="Y88" s="21"/>
      <c r="Z88" s="21"/>
      <c r="AA88" s="21"/>
      <c r="AB88" s="15"/>
      <c r="AC88" s="2012" t="str">
        <f>IF($Q$88="","",$Q$88)</f>
        <v/>
      </c>
      <c r="AD88" s="70"/>
      <c r="AE88" s="70"/>
      <c r="AF88" s="70"/>
      <c r="AG88" s="70"/>
      <c r="AH88" s="7"/>
    </row>
    <row r="89" spans="1:34" ht="5.0999999999999996" customHeight="1" thickBot="1" x14ac:dyDescent="0.25">
      <c r="A89" s="25"/>
      <c r="B89" s="25"/>
      <c r="C89" s="1561"/>
      <c r="D89" s="25"/>
      <c r="E89" s="632"/>
      <c r="F89" s="113"/>
      <c r="G89" s="33"/>
      <c r="H89" s="113"/>
      <c r="I89" s="834"/>
      <c r="J89" s="33"/>
      <c r="K89" s="33"/>
      <c r="L89" s="834"/>
      <c r="M89" s="33"/>
      <c r="N89" s="1649"/>
      <c r="O89" s="3471"/>
      <c r="P89" s="632"/>
      <c r="Q89" s="1565"/>
      <c r="R89" s="1565"/>
      <c r="S89" s="1565"/>
      <c r="T89" s="1535"/>
      <c r="U89" s="1535"/>
      <c r="V89" s="1556"/>
      <c r="W89" s="21"/>
      <c r="X89" s="117"/>
      <c r="Y89" s="21"/>
      <c r="Z89" s="21"/>
      <c r="AA89" s="21"/>
      <c r="AB89" s="15"/>
      <c r="AC89" s="2012"/>
      <c r="AD89" s="70"/>
      <c r="AE89" s="70"/>
      <c r="AF89" s="70"/>
      <c r="AG89" s="70"/>
      <c r="AH89" s="7"/>
    </row>
    <row r="90" spans="1:34" ht="24.95" customHeight="1" thickBot="1" x14ac:dyDescent="0.25">
      <c r="A90" s="25"/>
      <c r="B90" s="25"/>
      <c r="C90" s="1561"/>
      <c r="D90" s="25"/>
      <c r="E90" s="632"/>
      <c r="F90" s="113" t="s">
        <v>1637</v>
      </c>
      <c r="G90" s="33"/>
      <c r="H90" s="113"/>
      <c r="I90" s="2070" t="s">
        <v>149</v>
      </c>
      <c r="J90" s="33"/>
      <c r="K90" s="33"/>
      <c r="L90" s="834"/>
      <c r="M90" s="2071" t="s">
        <v>78</v>
      </c>
      <c r="N90" s="2072"/>
      <c r="O90" s="3471"/>
      <c r="P90" s="632"/>
      <c r="Q90" s="6350"/>
      <c r="R90" s="6350"/>
      <c r="S90" s="6350"/>
      <c r="T90" s="1535"/>
      <c r="U90" s="30" t="str">
        <f>IF(AND(Q90="",AC48=2),"!","✓")</f>
        <v>✓</v>
      </c>
      <c r="V90" s="1566"/>
      <c r="W90" s="21"/>
      <c r="X90" s="434"/>
      <c r="Y90" s="21"/>
      <c r="Z90" s="21"/>
      <c r="AA90" s="21"/>
      <c r="AB90" s="15"/>
      <c r="AC90" s="3895" t="str">
        <f>IF(AC48=2,Q90,"")</f>
        <v/>
      </c>
      <c r="AD90" s="70"/>
      <c r="AE90" s="70"/>
      <c r="AF90" s="70"/>
      <c r="AG90" s="70"/>
      <c r="AH90" s="7"/>
    </row>
    <row r="91" spans="1:34" ht="15" customHeight="1" thickBot="1" x14ac:dyDescent="0.25">
      <c r="A91" s="25"/>
      <c r="B91" s="25"/>
      <c r="C91" s="1561"/>
      <c r="D91" s="25"/>
      <c r="E91" s="634"/>
      <c r="F91" s="1558"/>
      <c r="G91" s="1558"/>
      <c r="H91" s="753"/>
      <c r="I91" s="636"/>
      <c r="J91" s="1558"/>
      <c r="K91" s="1558"/>
      <c r="L91" s="636"/>
      <c r="M91" s="1558"/>
      <c r="N91" s="1651"/>
      <c r="O91" s="3471"/>
      <c r="P91" s="634"/>
      <c r="Q91" s="753"/>
      <c r="R91" s="753"/>
      <c r="S91" s="753"/>
      <c r="T91" s="1538"/>
      <c r="U91" s="1538"/>
      <c r="V91" s="1559"/>
      <c r="W91" s="21"/>
      <c r="X91" s="117"/>
      <c r="Y91" s="21"/>
      <c r="Z91" s="21"/>
      <c r="AA91" s="21"/>
      <c r="AB91" s="15"/>
      <c r="AC91" s="2012"/>
      <c r="AD91" s="70"/>
      <c r="AE91" s="70"/>
      <c r="AF91" s="70"/>
      <c r="AG91" s="70"/>
      <c r="AH91" s="7"/>
    </row>
    <row r="92" spans="1:34" ht="15" customHeight="1" thickBot="1" x14ac:dyDescent="0.25">
      <c r="A92" s="25"/>
      <c r="B92" s="25"/>
      <c r="C92" s="1561"/>
      <c r="D92" s="25"/>
      <c r="E92" s="181"/>
      <c r="F92" s="181"/>
      <c r="G92" s="181"/>
      <c r="H92" s="181"/>
      <c r="I92" s="181"/>
      <c r="J92" s="181"/>
      <c r="K92" s="181"/>
      <c r="L92" s="181"/>
      <c r="M92" s="181"/>
      <c r="N92" s="181"/>
      <c r="O92" s="181"/>
      <c r="P92" s="181"/>
      <c r="Q92" s="181"/>
      <c r="R92" s="181"/>
      <c r="S92" s="181"/>
      <c r="T92" s="181"/>
      <c r="U92" s="181"/>
      <c r="V92" s="181"/>
      <c r="W92" s="21"/>
      <c r="X92" s="21"/>
      <c r="Y92" s="21"/>
      <c r="Z92" s="21"/>
      <c r="AA92" s="21"/>
      <c r="AB92" s="15"/>
      <c r="AC92" s="2012"/>
      <c r="AD92" s="70"/>
      <c r="AE92" s="70"/>
      <c r="AF92" s="70"/>
      <c r="AG92" s="70"/>
      <c r="AH92" s="7"/>
    </row>
    <row r="93" spans="1:34" ht="15" customHeight="1" thickBot="1" x14ac:dyDescent="0.25">
      <c r="A93" s="25"/>
      <c r="B93" s="25"/>
      <c r="C93" s="1561"/>
      <c r="D93" s="25"/>
      <c r="E93" s="629"/>
      <c r="F93" s="1273"/>
      <c r="G93" s="1273"/>
      <c r="H93" s="749"/>
      <c r="I93" s="631"/>
      <c r="J93" s="1273"/>
      <c r="K93" s="1273"/>
      <c r="L93" s="631"/>
      <c r="M93" s="1273"/>
      <c r="N93" s="1648"/>
      <c r="O93" s="3472"/>
      <c r="P93" s="629"/>
      <c r="Q93" s="749"/>
      <c r="R93" s="749"/>
      <c r="S93" s="749"/>
      <c r="T93" s="1534"/>
      <c r="U93" s="1534"/>
      <c r="V93" s="1555"/>
      <c r="W93" s="21"/>
      <c r="X93" s="1535"/>
      <c r="Y93" s="21"/>
      <c r="Z93" s="21"/>
      <c r="AA93" s="21"/>
      <c r="AB93" s="15"/>
      <c r="AC93" s="2012"/>
      <c r="AD93" s="70"/>
      <c r="AE93" s="70"/>
      <c r="AF93" s="70"/>
      <c r="AG93" s="70"/>
      <c r="AH93" s="7"/>
    </row>
    <row r="94" spans="1:34" ht="24.95" customHeight="1" thickBot="1" x14ac:dyDescent="0.25">
      <c r="A94" s="25"/>
      <c r="B94" s="25"/>
      <c r="C94" s="1561"/>
      <c r="D94" s="25"/>
      <c r="E94" s="632"/>
      <c r="F94" s="33" t="s">
        <v>570</v>
      </c>
      <c r="G94" s="33"/>
      <c r="H94" s="113"/>
      <c r="I94" s="119"/>
      <c r="J94" s="118"/>
      <c r="K94" s="118"/>
      <c r="L94" s="119"/>
      <c r="M94" s="1669"/>
      <c r="N94" s="1681"/>
      <c r="O94" s="3472"/>
      <c r="P94" s="1679"/>
      <c r="Q94" s="6351"/>
      <c r="R94" s="6352"/>
      <c r="S94" s="6353"/>
      <c r="T94" s="1535"/>
      <c r="U94" s="1535"/>
      <c r="V94" s="1556"/>
      <c r="W94" s="21"/>
      <c r="X94" s="1535"/>
      <c r="Y94" s="21"/>
      <c r="Z94" s="21"/>
      <c r="AA94" s="21"/>
      <c r="AB94" s="15"/>
      <c r="AC94" s="2012"/>
      <c r="AD94" s="70"/>
      <c r="AE94" s="70"/>
      <c r="AF94" s="70"/>
      <c r="AG94" s="70"/>
      <c r="AH94" s="7"/>
    </row>
    <row r="95" spans="1:34" ht="15" customHeight="1" thickBot="1" x14ac:dyDescent="0.25">
      <c r="A95" s="25"/>
      <c r="B95" s="25"/>
      <c r="C95" s="1562"/>
      <c r="D95" s="25"/>
      <c r="E95" s="634"/>
      <c r="F95" s="1558"/>
      <c r="G95" s="1558"/>
      <c r="H95" s="1557"/>
      <c r="I95" s="636"/>
      <c r="J95" s="1558"/>
      <c r="K95" s="1558"/>
      <c r="L95" s="636"/>
      <c r="M95" s="1558"/>
      <c r="N95" s="1651"/>
      <c r="O95" s="3472"/>
      <c r="P95" s="1685"/>
      <c r="Q95" s="1537"/>
      <c r="R95" s="1537"/>
      <c r="S95" s="1537"/>
      <c r="T95" s="1538"/>
      <c r="U95" s="1538"/>
      <c r="V95" s="1559"/>
      <c r="W95" s="21"/>
      <c r="X95" s="1535"/>
      <c r="Y95" s="21"/>
      <c r="Z95" s="21"/>
      <c r="AA95" s="21"/>
      <c r="AB95" s="15"/>
      <c r="AC95" s="2012"/>
      <c r="AD95" s="70"/>
      <c r="AF95" s="70"/>
      <c r="AG95" s="70"/>
      <c r="AH95" s="7"/>
    </row>
    <row r="96" spans="1:34" ht="24.95" customHeight="1" thickBot="1" x14ac:dyDescent="0.25">
      <c r="A96" s="38"/>
      <c r="B96" s="38"/>
      <c r="C96" s="16"/>
      <c r="D96" s="25"/>
      <c r="E96" s="16"/>
      <c r="F96" s="17"/>
      <c r="G96" s="17"/>
      <c r="H96" s="16"/>
      <c r="I96" s="16"/>
      <c r="J96" s="17"/>
      <c r="K96" s="17"/>
      <c r="L96" s="16"/>
      <c r="M96" s="17"/>
      <c r="N96" s="136"/>
      <c r="O96" s="130"/>
      <c r="P96" s="16"/>
      <c r="Q96" s="36"/>
      <c r="R96" s="36"/>
      <c r="S96" s="36"/>
      <c r="T96" s="16"/>
      <c r="U96" s="16"/>
      <c r="V96" s="16"/>
      <c r="W96" s="13"/>
      <c r="X96" s="16"/>
      <c r="Y96" s="13"/>
      <c r="Z96" s="13"/>
      <c r="AA96" s="13"/>
      <c r="AB96" s="15"/>
      <c r="AC96" s="2012"/>
      <c r="AD96" s="70"/>
      <c r="AF96" s="70"/>
      <c r="AG96" s="70"/>
      <c r="AH96" s="7"/>
    </row>
    <row r="97" spans="1:114" ht="15" customHeight="1" thickBot="1" x14ac:dyDescent="0.25">
      <c r="A97" s="25"/>
      <c r="B97" s="25"/>
      <c r="C97" s="1541"/>
      <c r="D97" s="25"/>
      <c r="E97" s="1542"/>
      <c r="F97" s="1543"/>
      <c r="G97" s="1543"/>
      <c r="H97" s="1543"/>
      <c r="I97" s="1547"/>
      <c r="J97" s="1544"/>
      <c r="K97" s="1544"/>
      <c r="L97" s="1547"/>
      <c r="M97" s="1544"/>
      <c r="N97" s="1682"/>
      <c r="O97" s="17"/>
      <c r="P97" s="1542"/>
      <c r="Q97" s="1546"/>
      <c r="R97" s="1546"/>
      <c r="S97" s="1546"/>
      <c r="T97" s="1548"/>
      <c r="U97" s="1548"/>
      <c r="V97" s="1549"/>
      <c r="W97" s="21"/>
      <c r="X97" s="116"/>
      <c r="Y97" s="21"/>
      <c r="Z97" s="21"/>
      <c r="AA97" s="21"/>
      <c r="AB97" s="15"/>
      <c r="AC97" s="14"/>
    </row>
    <row r="98" spans="1:114" ht="8.1" customHeight="1" thickBot="1" x14ac:dyDescent="0.25">
      <c r="A98" s="25"/>
      <c r="B98" s="25"/>
      <c r="C98" s="16"/>
      <c r="D98" s="25"/>
      <c r="E98" s="17"/>
      <c r="F98" s="129"/>
      <c r="G98" s="129"/>
      <c r="H98" s="129"/>
      <c r="I98" s="13"/>
      <c r="J98" s="15"/>
      <c r="K98" s="15"/>
      <c r="L98" s="13"/>
      <c r="M98" s="17"/>
      <c r="N98" s="136"/>
      <c r="O98" s="130"/>
      <c r="P98" s="17"/>
      <c r="Q98" s="36"/>
      <c r="R98" s="36"/>
      <c r="S98" s="36"/>
      <c r="T98" s="70"/>
      <c r="U98" s="70"/>
      <c r="V98" s="70"/>
      <c r="W98" s="21"/>
      <c r="X98" s="70"/>
      <c r="Y98" s="21"/>
      <c r="Z98" s="21"/>
      <c r="AA98" s="21"/>
      <c r="AB98" s="15"/>
      <c r="AC98" s="14"/>
    </row>
    <row r="99" spans="1:114" ht="15" customHeight="1" thickBot="1" x14ac:dyDescent="0.25">
      <c r="A99" s="25"/>
      <c r="B99" s="25"/>
      <c r="C99" s="6343" t="s">
        <v>1196</v>
      </c>
      <c r="D99" s="25"/>
      <c r="E99" s="629"/>
      <c r="F99" s="6300"/>
      <c r="G99" s="6300"/>
      <c r="H99" s="630"/>
      <c r="I99" s="6298"/>
      <c r="J99" s="6300"/>
      <c r="K99" s="6300"/>
      <c r="L99" s="6298"/>
      <c r="M99" s="6300"/>
      <c r="N99" s="1648"/>
      <c r="O99" s="130"/>
      <c r="P99" s="1678"/>
      <c r="Q99" s="1533"/>
      <c r="R99" s="1533"/>
      <c r="S99" s="1533"/>
      <c r="T99" s="1534"/>
      <c r="U99" s="1534"/>
      <c r="V99" s="1555"/>
      <c r="W99" s="21"/>
      <c r="X99" s="117"/>
      <c r="Y99" s="21"/>
      <c r="Z99" s="21"/>
      <c r="AA99" s="21"/>
      <c r="AB99" s="15"/>
      <c r="AC99" s="14"/>
    </row>
    <row r="100" spans="1:114" ht="24.95" customHeight="1" thickBot="1" x14ac:dyDescent="0.25">
      <c r="A100" s="25"/>
      <c r="B100" s="25"/>
      <c r="C100" s="6344"/>
      <c r="D100" s="25"/>
      <c r="E100" s="632"/>
      <c r="F100" s="33" t="str">
        <f>_Calcs!$K$16</f>
        <v>Ukentlig arbeidstid</v>
      </c>
      <c r="G100" s="33"/>
      <c r="H100" s="113"/>
      <c r="I100" s="2070" t="s">
        <v>149</v>
      </c>
      <c r="J100" s="33"/>
      <c r="K100" s="33"/>
      <c r="L100" s="834"/>
      <c r="M100" s="2073" t="s">
        <v>46</v>
      </c>
      <c r="N100" s="2074"/>
      <c r="O100" s="130"/>
      <c r="P100" s="1683"/>
      <c r="Q100" s="6333">
        <f>_Calcs!$AI$80</f>
        <v>101</v>
      </c>
      <c r="R100" s="6334"/>
      <c r="S100" s="6335"/>
      <c r="T100" s="1535"/>
      <c r="U100" s="30" t="str">
        <f>IF(Q100="","!","✓")</f>
        <v>✓</v>
      </c>
      <c r="V100" s="1556"/>
      <c r="W100" s="21"/>
      <c r="X100" s="117"/>
      <c r="Y100" s="21"/>
      <c r="Z100" s="21"/>
      <c r="AA100" s="21"/>
      <c r="AB100" s="15"/>
      <c r="AC100" s="14"/>
    </row>
    <row r="101" spans="1:114" ht="15" customHeight="1" thickBot="1" x14ac:dyDescent="0.25">
      <c r="A101" s="25"/>
      <c r="B101" s="25"/>
      <c r="C101" s="6344"/>
      <c r="D101" s="25"/>
      <c r="E101" s="634"/>
      <c r="F101" s="6301"/>
      <c r="G101" s="6301"/>
      <c r="H101" s="1557"/>
      <c r="I101" s="6305"/>
      <c r="J101" s="6301"/>
      <c r="K101" s="6301"/>
      <c r="L101" s="6299"/>
      <c r="M101" s="6306"/>
      <c r="N101" s="6307"/>
      <c r="O101" s="130"/>
      <c r="P101" s="1684"/>
      <c r="Q101" s="6308"/>
      <c r="R101" s="6308"/>
      <c r="S101" s="6308"/>
      <c r="T101" s="1538"/>
      <c r="U101" s="6309"/>
      <c r="V101" s="1559"/>
      <c r="W101" s="21"/>
      <c r="X101" s="117"/>
      <c r="Y101" s="21"/>
      <c r="Z101" s="21"/>
      <c r="AA101" s="21"/>
      <c r="AB101" s="15"/>
      <c r="AC101" s="14"/>
    </row>
    <row r="102" spans="1:114" ht="9.9499999999999993" customHeight="1" x14ac:dyDescent="0.2">
      <c r="A102" s="25"/>
      <c r="B102" s="25"/>
      <c r="C102" s="6344"/>
      <c r="D102" s="25"/>
      <c r="E102" s="20"/>
      <c r="F102" s="17"/>
      <c r="G102" s="17"/>
      <c r="H102" s="136"/>
      <c r="I102" s="1181"/>
      <c r="J102" s="17"/>
      <c r="K102" s="17"/>
      <c r="L102" s="16"/>
      <c r="M102" s="6302"/>
      <c r="N102" s="6304"/>
      <c r="O102" s="130"/>
      <c r="P102" s="16"/>
      <c r="Q102" s="6303"/>
      <c r="R102" s="6303"/>
      <c r="S102" s="6303"/>
      <c r="T102" s="138"/>
      <c r="U102" s="954"/>
      <c r="V102" s="138"/>
      <c r="W102" s="136"/>
      <c r="X102" s="138"/>
      <c r="Y102" s="21"/>
      <c r="Z102" s="21"/>
      <c r="AA102" s="21"/>
      <c r="AB102" s="15"/>
      <c r="AC102" s="14"/>
    </row>
    <row r="103" spans="1:114" ht="8.1" customHeight="1" thickBot="1" x14ac:dyDescent="0.25">
      <c r="A103" s="25"/>
      <c r="B103" s="25"/>
      <c r="C103" s="6345"/>
      <c r="D103" s="25"/>
      <c r="E103" s="6310"/>
      <c r="F103" s="6311"/>
      <c r="G103" s="6311"/>
      <c r="H103" s="6312"/>
      <c r="I103" s="6313"/>
      <c r="J103" s="6311"/>
      <c r="K103" s="6311"/>
      <c r="L103" s="6313"/>
      <c r="M103" s="6311"/>
      <c r="N103" s="6312"/>
      <c r="O103" s="130"/>
      <c r="P103" s="6313"/>
      <c r="Q103" s="6314" t="s">
        <v>831</v>
      </c>
      <c r="R103" s="6314"/>
      <c r="S103" s="6314"/>
      <c r="T103" s="6315"/>
      <c r="U103" s="6315"/>
      <c r="V103" s="6315"/>
      <c r="W103" s="136"/>
      <c r="X103" s="6315"/>
      <c r="Y103" s="21"/>
      <c r="Z103" s="21"/>
      <c r="AA103" s="21"/>
      <c r="AB103" s="15"/>
      <c r="AC103" s="14"/>
    </row>
    <row r="104" spans="1:114" s="26" customFormat="1" ht="15" customHeight="1" x14ac:dyDescent="0.2">
      <c r="A104" s="25"/>
      <c r="B104" s="25"/>
      <c r="C104" s="39"/>
      <c r="D104" s="25"/>
      <c r="E104" s="14"/>
      <c r="F104" s="15"/>
      <c r="G104" s="15"/>
      <c r="H104" s="21"/>
      <c r="I104" s="13"/>
      <c r="J104" s="13"/>
      <c r="K104" s="2001"/>
      <c r="L104" s="35"/>
      <c r="M104" s="9"/>
      <c r="N104" s="1673"/>
      <c r="O104" s="7"/>
      <c r="P104" s="36"/>
      <c r="Q104" s="16"/>
      <c r="R104" s="17"/>
      <c r="S104" s="70"/>
      <c r="T104" s="7"/>
      <c r="U104" s="23"/>
      <c r="V104" s="7"/>
      <c r="W104" s="25"/>
      <c r="X104" s="7"/>
      <c r="Y104" s="25"/>
      <c r="Z104" s="25"/>
      <c r="AA104" s="25"/>
      <c r="AB104" s="25"/>
      <c r="AC104" s="3469"/>
      <c r="AD104" s="25"/>
      <c r="AE104" s="7"/>
    </row>
    <row r="105" spans="1:114" s="8" customFormat="1" ht="15.75" customHeight="1" x14ac:dyDescent="0.2">
      <c r="C105" s="16"/>
      <c r="D105" s="16"/>
      <c r="E105" s="16"/>
      <c r="F105" s="17"/>
      <c r="G105" s="17"/>
      <c r="H105" s="16"/>
      <c r="I105" s="16"/>
      <c r="J105" s="7"/>
      <c r="K105" s="24"/>
      <c r="L105" s="7"/>
      <c r="M105" s="9"/>
      <c r="N105" s="1673"/>
      <c r="O105" s="7"/>
      <c r="P105" s="7"/>
      <c r="Q105" s="7"/>
      <c r="R105" s="7"/>
      <c r="S105" s="7"/>
      <c r="T105" s="7"/>
      <c r="U105" s="7"/>
      <c r="V105" s="7"/>
      <c r="W105" s="7"/>
      <c r="X105" s="7"/>
      <c r="Y105" s="7"/>
      <c r="Z105" s="7"/>
      <c r="AA105" s="7"/>
      <c r="AB105" s="24"/>
      <c r="AC105" s="2088"/>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row>
    <row r="106" spans="1:114" s="8" customFormat="1" ht="5.0999999999999996" customHeight="1" x14ac:dyDescent="0.2">
      <c r="C106" s="11"/>
      <c r="D106" s="16"/>
      <c r="E106" s="11"/>
      <c r="F106" s="12"/>
      <c r="G106" s="12"/>
      <c r="H106" s="11"/>
      <c r="I106" s="11"/>
      <c r="J106" s="11"/>
      <c r="K106" s="12"/>
      <c r="L106" s="11"/>
      <c r="M106" s="12"/>
      <c r="N106" s="1674"/>
      <c r="O106" s="11"/>
      <c r="P106" s="11"/>
      <c r="Q106" s="11"/>
      <c r="R106" s="11"/>
      <c r="S106" s="11"/>
      <c r="T106" s="11"/>
      <c r="U106" s="11"/>
      <c r="V106" s="11"/>
      <c r="W106" s="7"/>
      <c r="X106" s="11"/>
      <c r="Y106" s="7"/>
      <c r="Z106" s="7"/>
      <c r="AA106" s="7"/>
      <c r="AB106" s="24"/>
      <c r="AC106" s="2088"/>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row>
    <row r="107" spans="1:114" s="8" customFormat="1" ht="3.75" customHeight="1" x14ac:dyDescent="0.2">
      <c r="C107" s="16"/>
      <c r="D107" s="16"/>
      <c r="E107" s="16"/>
      <c r="F107" s="17"/>
      <c r="G107" s="17"/>
      <c r="H107" s="16"/>
      <c r="I107" s="16"/>
      <c r="J107" s="16"/>
      <c r="K107" s="17"/>
      <c r="L107" s="16"/>
      <c r="M107" s="17"/>
      <c r="N107" s="136"/>
      <c r="O107" s="16"/>
      <c r="P107" s="16"/>
      <c r="Q107" s="16"/>
      <c r="R107" s="16"/>
      <c r="S107" s="16"/>
      <c r="T107" s="16"/>
      <c r="U107" s="16"/>
      <c r="V107" s="16"/>
      <c r="W107" s="7"/>
      <c r="X107" s="16"/>
      <c r="Y107" s="7"/>
      <c r="Z107" s="7"/>
      <c r="AA107" s="7"/>
      <c r="AB107" s="24"/>
      <c r="AC107" s="2088"/>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row>
    <row r="108" spans="1:114" s="8" customFormat="1" ht="12" customHeight="1" x14ac:dyDescent="0.2">
      <c r="C108" s="11"/>
      <c r="D108" s="16"/>
      <c r="E108" s="11"/>
      <c r="F108" s="12"/>
      <c r="G108" s="12"/>
      <c r="H108" s="11"/>
      <c r="I108" s="11"/>
      <c r="J108" s="11"/>
      <c r="K108" s="12"/>
      <c r="L108" s="11"/>
      <c r="M108" s="12"/>
      <c r="N108" s="1674"/>
      <c r="O108" s="11"/>
      <c r="P108" s="11"/>
      <c r="Q108" s="11"/>
      <c r="R108" s="11"/>
      <c r="S108" s="11"/>
      <c r="T108" s="11"/>
      <c r="U108" s="11"/>
      <c r="V108" s="11"/>
      <c r="W108" s="7"/>
      <c r="X108" s="11"/>
      <c r="Y108" s="7"/>
      <c r="Z108" s="7"/>
      <c r="AA108" s="7"/>
      <c r="AB108" s="24"/>
      <c r="AC108" s="2088"/>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row>
    <row r="109" spans="1:114" s="8" customFormat="1" ht="50.1" customHeight="1" x14ac:dyDescent="0.2">
      <c r="C109" s="130"/>
      <c r="D109" s="130"/>
      <c r="E109" s="130"/>
      <c r="F109" s="1324"/>
      <c r="G109" s="1324"/>
      <c r="H109" s="130"/>
      <c r="I109" s="2063"/>
      <c r="J109" s="7"/>
      <c r="K109" s="24"/>
      <c r="L109" s="7"/>
      <c r="M109" s="9"/>
      <c r="N109" s="1673"/>
      <c r="O109" s="7"/>
      <c r="P109" s="7"/>
      <c r="Q109" s="7"/>
      <c r="R109" s="7"/>
      <c r="S109" s="7"/>
      <c r="T109" s="7"/>
      <c r="U109" s="7"/>
      <c r="V109" s="7"/>
      <c r="W109" s="7"/>
      <c r="X109" s="7"/>
      <c r="Y109" s="7"/>
      <c r="Z109" s="7"/>
      <c r="AA109" s="7"/>
      <c r="AB109" s="24"/>
      <c r="AC109" s="2088"/>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row>
    <row r="110" spans="1:114" ht="15" hidden="1" customHeight="1" x14ac:dyDescent="0.2">
      <c r="A110" s="25"/>
      <c r="B110" s="25"/>
      <c r="C110" s="39"/>
      <c r="D110" s="25"/>
      <c r="E110" s="14"/>
      <c r="F110" s="15"/>
      <c r="G110" s="15"/>
      <c r="H110" s="21"/>
      <c r="I110" s="13"/>
      <c r="J110" s="7"/>
      <c r="K110" s="24"/>
      <c r="L110" s="7"/>
      <c r="M110" s="9"/>
      <c r="N110" s="1673"/>
      <c r="P110" s="7"/>
      <c r="Q110" s="7"/>
      <c r="R110" s="7"/>
      <c r="S110" s="7"/>
      <c r="T110" s="7"/>
      <c r="U110" s="7"/>
      <c r="V110" s="7"/>
      <c r="W110" s="7"/>
      <c r="X110" s="7"/>
      <c r="Y110" s="7"/>
      <c r="Z110" s="7"/>
      <c r="AA110" s="7"/>
      <c r="AB110" s="24"/>
      <c r="AC110" s="2088"/>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row>
    <row r="111" spans="1:114" ht="15" hidden="1" customHeight="1" x14ac:dyDescent="0.2">
      <c r="A111" s="25"/>
      <c r="B111" s="25"/>
      <c r="C111" s="39"/>
      <c r="D111" s="25"/>
      <c r="E111" s="14"/>
      <c r="F111" s="15"/>
      <c r="G111" s="15"/>
      <c r="H111" s="21"/>
      <c r="I111" s="13"/>
      <c r="J111" s="7"/>
      <c r="K111" s="24"/>
      <c r="L111" s="7"/>
      <c r="M111" s="9"/>
      <c r="N111" s="1673"/>
      <c r="P111" s="7"/>
      <c r="Q111" s="7"/>
      <c r="R111" s="7"/>
      <c r="S111" s="7"/>
      <c r="T111" s="7"/>
      <c r="U111" s="7"/>
      <c r="V111" s="7"/>
      <c r="W111" s="7"/>
      <c r="X111" s="7"/>
      <c r="Y111" s="7"/>
      <c r="Z111" s="7"/>
      <c r="AA111" s="7"/>
      <c r="AB111" s="24"/>
      <c r="AC111" s="2088"/>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row>
    <row r="112" spans="1:114" ht="15" hidden="1" customHeight="1" x14ac:dyDescent="0.2">
      <c r="A112" s="25"/>
      <c r="B112" s="25"/>
      <c r="C112" s="39"/>
      <c r="D112" s="25"/>
      <c r="E112" s="14"/>
      <c r="F112" s="15"/>
      <c r="G112" s="15"/>
      <c r="H112" s="21"/>
      <c r="I112" s="13"/>
      <c r="J112" s="7"/>
      <c r="K112" s="24"/>
      <c r="L112" s="7"/>
      <c r="M112" s="9"/>
      <c r="N112" s="1673"/>
      <c r="P112" s="7"/>
      <c r="Q112" s="7"/>
      <c r="R112" s="7"/>
      <c r="S112" s="7"/>
      <c r="T112" s="7"/>
      <c r="U112" s="7"/>
      <c r="V112" s="7"/>
      <c r="W112" s="7"/>
      <c r="X112" s="7"/>
      <c r="Y112" s="7"/>
      <c r="Z112" s="7"/>
      <c r="AA112" s="7"/>
      <c r="AB112" s="24"/>
      <c r="AC112" s="2088"/>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row>
    <row r="113" spans="1:114" ht="15" hidden="1" customHeight="1" x14ac:dyDescent="0.2">
      <c r="A113" s="25"/>
      <c r="B113" s="25"/>
      <c r="C113" s="39"/>
      <c r="D113" s="25"/>
      <c r="E113" s="14"/>
      <c r="F113" s="15"/>
      <c r="G113" s="15"/>
      <c r="H113" s="21"/>
      <c r="I113" s="13"/>
      <c r="J113" s="7"/>
      <c r="K113" s="24"/>
      <c r="L113" s="7"/>
      <c r="M113" s="9"/>
      <c r="N113" s="1673"/>
      <c r="P113" s="7"/>
      <c r="Q113" s="7"/>
      <c r="R113" s="7"/>
      <c r="S113" s="7"/>
      <c r="T113" s="7"/>
      <c r="U113" s="7"/>
      <c r="V113" s="7"/>
      <c r="W113" s="7"/>
      <c r="X113" s="7"/>
      <c r="Y113" s="7"/>
      <c r="Z113" s="7"/>
      <c r="AA113" s="7"/>
      <c r="AB113" s="24"/>
      <c r="AC113" s="2088"/>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row>
    <row r="114" spans="1:114" ht="15" hidden="1" customHeight="1" x14ac:dyDescent="0.2">
      <c r="A114" s="25"/>
      <c r="B114" s="25"/>
      <c r="C114" s="39"/>
      <c r="D114" s="25"/>
      <c r="E114" s="14"/>
      <c r="F114" s="15"/>
      <c r="G114" s="15"/>
      <c r="H114" s="21"/>
      <c r="I114" s="13"/>
      <c r="J114" s="7"/>
      <c r="K114" s="24"/>
      <c r="L114" s="7"/>
      <c r="M114" s="9"/>
      <c r="N114" s="1673"/>
      <c r="P114" s="7"/>
      <c r="Q114" s="7"/>
      <c r="R114" s="7"/>
      <c r="S114" s="7"/>
      <c r="T114" s="7"/>
      <c r="U114" s="7"/>
      <c r="V114" s="7"/>
      <c r="W114" s="7"/>
      <c r="X114" s="7"/>
      <c r="Y114" s="7"/>
      <c r="Z114" s="7"/>
      <c r="AA114" s="7"/>
      <c r="AB114" s="24"/>
      <c r="AC114" s="2088"/>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row>
    <row r="115" spans="1:114" ht="15" hidden="1" customHeight="1" x14ac:dyDescent="0.2">
      <c r="A115" s="25"/>
      <c r="B115" s="25"/>
      <c r="C115" s="39"/>
      <c r="D115" s="25"/>
      <c r="E115" s="14"/>
      <c r="F115" s="15"/>
      <c r="G115" s="15"/>
      <c r="H115" s="21"/>
      <c r="I115" s="13"/>
      <c r="J115" s="7"/>
      <c r="K115" s="24"/>
      <c r="L115" s="7"/>
      <c r="M115" s="9"/>
      <c r="N115" s="1673"/>
      <c r="P115" s="7"/>
      <c r="Q115" s="7"/>
      <c r="R115" s="7"/>
      <c r="S115" s="7"/>
      <c r="T115" s="7"/>
      <c r="U115" s="7"/>
      <c r="V115" s="7"/>
      <c r="W115" s="7"/>
      <c r="X115" s="7"/>
      <c r="Y115" s="7"/>
      <c r="Z115" s="7"/>
      <c r="AA115" s="7"/>
      <c r="AB115" s="24"/>
      <c r="AC115" s="2088"/>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row>
    <row r="116" spans="1:114" ht="15" hidden="1" customHeight="1" x14ac:dyDescent="0.2">
      <c r="A116" s="25"/>
      <c r="B116" s="25"/>
      <c r="C116" s="39"/>
      <c r="D116" s="25"/>
      <c r="E116" s="14"/>
      <c r="F116" s="15"/>
      <c r="G116" s="15"/>
      <c r="H116" s="21"/>
      <c r="I116" s="13"/>
      <c r="J116" s="15"/>
      <c r="K116" s="15"/>
      <c r="L116" s="13"/>
      <c r="M116" s="17"/>
      <c r="N116" s="136"/>
      <c r="P116" s="35"/>
      <c r="Q116" s="36"/>
      <c r="R116" s="36"/>
      <c r="S116" s="36"/>
      <c r="T116" s="70"/>
      <c r="U116" s="70"/>
      <c r="V116" s="13"/>
      <c r="W116" s="21"/>
      <c r="X116" s="21"/>
      <c r="Y116" s="21"/>
      <c r="Z116" s="21"/>
      <c r="AA116" s="21"/>
      <c r="AB116" s="15"/>
      <c r="AC116" s="14"/>
    </row>
    <row r="117" spans="1:114" ht="15" hidden="1" customHeight="1" x14ac:dyDescent="0.2">
      <c r="A117" s="25"/>
      <c r="B117" s="25"/>
      <c r="C117" s="39"/>
      <c r="D117" s="25"/>
      <c r="E117" s="14"/>
      <c r="F117" s="15"/>
      <c r="G117" s="15"/>
      <c r="H117" s="21"/>
      <c r="I117" s="13"/>
      <c r="J117" s="15"/>
      <c r="K117" s="15"/>
      <c r="L117" s="13"/>
      <c r="M117" s="17"/>
      <c r="N117" s="136"/>
      <c r="P117" s="35"/>
      <c r="Q117" s="36"/>
      <c r="R117" s="36"/>
      <c r="S117" s="36"/>
      <c r="T117" s="70"/>
      <c r="U117" s="70"/>
      <c r="V117" s="13"/>
      <c r="W117" s="21"/>
      <c r="X117" s="21"/>
      <c r="Y117" s="21"/>
      <c r="Z117" s="21"/>
      <c r="AA117" s="21"/>
      <c r="AB117" s="15"/>
      <c r="AC117" s="14"/>
    </row>
    <row r="118" spans="1:114" ht="15" hidden="1" customHeight="1" x14ac:dyDescent="0.2">
      <c r="A118" s="25"/>
      <c r="B118" s="25"/>
      <c r="C118" s="39"/>
      <c r="D118" s="25"/>
      <c r="E118" s="14"/>
      <c r="F118" s="15"/>
      <c r="G118" s="15"/>
      <c r="H118" s="21"/>
      <c r="I118" s="13"/>
      <c r="J118" s="15"/>
      <c r="K118" s="15"/>
      <c r="L118" s="13"/>
      <c r="M118" s="17"/>
      <c r="N118" s="136"/>
      <c r="P118" s="35"/>
      <c r="Q118" s="36"/>
      <c r="R118" s="36"/>
      <c r="S118" s="36"/>
      <c r="T118" s="70"/>
      <c r="U118" s="70"/>
      <c r="V118" s="13"/>
      <c r="W118" s="21"/>
      <c r="X118" s="21"/>
      <c r="Y118" s="21"/>
      <c r="Z118" s="21"/>
      <c r="AA118" s="21"/>
      <c r="AB118" s="15"/>
      <c r="AC118" s="14"/>
    </row>
    <row r="119" spans="1:114" ht="15" hidden="1" customHeight="1" x14ac:dyDescent="0.2">
      <c r="A119" s="25"/>
      <c r="B119" s="25"/>
      <c r="C119" s="39"/>
      <c r="D119" s="25"/>
      <c r="E119" s="14"/>
      <c r="F119" s="15"/>
      <c r="G119" s="15"/>
      <c r="H119" s="21"/>
      <c r="I119" s="13"/>
      <c r="J119" s="15"/>
      <c r="K119" s="15"/>
      <c r="L119" s="13"/>
      <c r="M119" s="17"/>
      <c r="N119" s="136"/>
      <c r="P119" s="35"/>
      <c r="Q119" s="36"/>
      <c r="R119" s="36"/>
      <c r="S119" s="36"/>
      <c r="T119" s="70"/>
      <c r="U119" s="70"/>
      <c r="V119" s="13"/>
      <c r="W119" s="21"/>
      <c r="X119" s="21"/>
      <c r="Y119" s="21"/>
      <c r="Z119" s="21"/>
      <c r="AA119" s="21"/>
      <c r="AB119" s="15"/>
      <c r="AC119" s="14"/>
    </row>
    <row r="120" spans="1:114" ht="15" hidden="1" customHeight="1" x14ac:dyDescent="0.2">
      <c r="A120" s="25"/>
      <c r="B120" s="25"/>
      <c r="C120" s="39"/>
      <c r="D120" s="25"/>
      <c r="E120" s="14"/>
      <c r="F120" s="15"/>
      <c r="G120" s="15"/>
      <c r="H120" s="21"/>
      <c r="I120" s="13"/>
      <c r="J120" s="15"/>
      <c r="K120" s="15"/>
      <c r="L120" s="13"/>
      <c r="M120" s="17"/>
      <c r="N120" s="136"/>
      <c r="P120" s="35"/>
      <c r="Q120" s="36"/>
      <c r="R120" s="36"/>
      <c r="S120" s="36"/>
      <c r="T120" s="70"/>
      <c r="U120" s="70"/>
      <c r="V120" s="13"/>
      <c r="W120" s="21"/>
      <c r="X120" s="21"/>
      <c r="Y120" s="21"/>
      <c r="Z120" s="21"/>
      <c r="AA120" s="21"/>
      <c r="AB120" s="15"/>
      <c r="AC120" s="14"/>
    </row>
    <row r="121" spans="1:114" ht="15" hidden="1" customHeight="1" x14ac:dyDescent="0.2">
      <c r="A121" s="25"/>
      <c r="B121" s="25"/>
      <c r="C121" s="39"/>
      <c r="D121" s="25"/>
      <c r="E121" s="14"/>
      <c r="F121" s="15"/>
      <c r="G121" s="15"/>
      <c r="H121" s="21"/>
      <c r="I121" s="13"/>
      <c r="J121" s="15"/>
      <c r="K121" s="15"/>
      <c r="L121" s="13"/>
      <c r="M121" s="17"/>
      <c r="N121" s="136"/>
      <c r="P121" s="35"/>
      <c r="Q121" s="36"/>
      <c r="R121" s="36"/>
      <c r="S121" s="36"/>
      <c r="T121" s="70"/>
      <c r="U121" s="70"/>
      <c r="V121" s="13"/>
      <c r="W121" s="21"/>
      <c r="X121" s="21"/>
      <c r="Y121" s="21"/>
      <c r="Z121" s="21"/>
      <c r="AA121" s="21"/>
      <c r="AB121" s="15"/>
      <c r="AC121" s="14"/>
    </row>
    <row r="122" spans="1:114" ht="15" hidden="1" customHeight="1" x14ac:dyDescent="0.2">
      <c r="A122" s="25"/>
      <c r="B122" s="25"/>
      <c r="C122" s="39"/>
      <c r="D122" s="25"/>
      <c r="E122" s="14"/>
      <c r="F122" s="15"/>
      <c r="G122" s="15"/>
      <c r="H122" s="21"/>
      <c r="I122" s="13"/>
      <c r="J122" s="15"/>
      <c r="K122" s="15"/>
      <c r="L122" s="13"/>
      <c r="M122" s="17"/>
      <c r="N122" s="136"/>
      <c r="P122" s="35"/>
      <c r="Q122" s="36"/>
      <c r="R122" s="36"/>
      <c r="S122" s="36"/>
      <c r="T122" s="70"/>
      <c r="U122" s="70"/>
      <c r="V122" s="13"/>
      <c r="W122" s="21"/>
      <c r="X122" s="21"/>
      <c r="Y122" s="21"/>
      <c r="Z122" s="21"/>
      <c r="AA122" s="21"/>
      <c r="AB122" s="15"/>
      <c r="AC122" s="14"/>
    </row>
    <row r="123" spans="1:114" ht="15" hidden="1" customHeight="1" x14ac:dyDescent="0.2">
      <c r="A123" s="25"/>
      <c r="B123" s="25"/>
      <c r="C123" s="39"/>
      <c r="D123" s="25"/>
      <c r="E123" s="14"/>
      <c r="F123" s="15"/>
      <c r="G123" s="15"/>
      <c r="H123" s="21"/>
      <c r="I123" s="13"/>
      <c r="J123" s="15"/>
      <c r="K123" s="15"/>
      <c r="L123" s="13"/>
      <c r="M123" s="17"/>
      <c r="N123" s="136"/>
      <c r="P123" s="35"/>
      <c r="Q123" s="36"/>
      <c r="R123" s="36"/>
      <c r="S123" s="36"/>
      <c r="T123" s="70"/>
      <c r="U123" s="70"/>
      <c r="V123" s="13"/>
      <c r="W123" s="21"/>
      <c r="X123" s="21"/>
      <c r="Y123" s="21"/>
      <c r="Z123" s="21"/>
      <c r="AA123" s="21"/>
      <c r="AB123" s="15"/>
      <c r="AC123" s="14"/>
    </row>
    <row r="124" spans="1:114" ht="15" hidden="1" customHeight="1" x14ac:dyDescent="0.2">
      <c r="A124" s="25"/>
      <c r="B124" s="25"/>
      <c r="C124" s="39"/>
      <c r="D124" s="25"/>
      <c r="E124" s="14"/>
      <c r="F124" s="15"/>
      <c r="G124" s="15"/>
      <c r="H124" s="21"/>
      <c r="I124" s="13"/>
      <c r="J124" s="15"/>
      <c r="K124" s="15"/>
      <c r="L124" s="13"/>
      <c r="M124" s="17"/>
      <c r="N124" s="136"/>
      <c r="P124" s="35"/>
      <c r="Q124" s="36"/>
      <c r="R124" s="36"/>
      <c r="S124" s="36"/>
      <c r="T124" s="70"/>
      <c r="U124" s="70"/>
      <c r="V124" s="13"/>
      <c r="W124" s="21"/>
      <c r="X124" s="21"/>
      <c r="Y124" s="21"/>
      <c r="Z124" s="21"/>
      <c r="AA124" s="21"/>
      <c r="AB124" s="15"/>
      <c r="AC124" s="14"/>
    </row>
    <row r="125" spans="1:114" ht="15" hidden="1" customHeight="1" x14ac:dyDescent="0.2">
      <c r="A125" s="25"/>
      <c r="B125" s="25"/>
      <c r="C125" s="39"/>
      <c r="D125" s="25"/>
      <c r="E125" s="14"/>
      <c r="F125" s="15"/>
      <c r="G125" s="15"/>
      <c r="H125" s="21"/>
      <c r="I125" s="13"/>
      <c r="J125" s="15"/>
      <c r="K125" s="15"/>
      <c r="L125" s="13"/>
      <c r="M125" s="17"/>
      <c r="N125" s="136"/>
      <c r="P125" s="35"/>
      <c r="Q125" s="36"/>
      <c r="R125" s="36"/>
      <c r="S125" s="36"/>
      <c r="T125" s="70"/>
      <c r="U125" s="70"/>
      <c r="V125" s="13"/>
      <c r="W125" s="21"/>
      <c r="X125" s="21"/>
      <c r="Y125" s="21"/>
      <c r="Z125" s="21"/>
      <c r="AA125" s="21"/>
      <c r="AB125" s="15"/>
      <c r="AC125" s="14"/>
    </row>
    <row r="126" spans="1:114" ht="15" hidden="1" customHeight="1" x14ac:dyDescent="0.2">
      <c r="A126" s="25"/>
      <c r="B126" s="25"/>
      <c r="C126" s="39"/>
      <c r="D126" s="25"/>
      <c r="E126" s="14"/>
      <c r="F126" s="15"/>
      <c r="G126" s="15"/>
      <c r="H126" s="21"/>
      <c r="I126" s="13"/>
      <c r="J126" s="15"/>
      <c r="K126" s="15"/>
      <c r="L126" s="13"/>
      <c r="M126" s="17"/>
      <c r="N126" s="136"/>
      <c r="P126" s="35"/>
      <c r="Q126" s="36"/>
      <c r="R126" s="36"/>
      <c r="S126" s="36"/>
      <c r="T126" s="70"/>
      <c r="U126" s="70"/>
      <c r="V126" s="13"/>
      <c r="W126" s="21"/>
      <c r="X126" s="21"/>
      <c r="Y126" s="21"/>
      <c r="Z126" s="21"/>
      <c r="AA126" s="21"/>
      <c r="AB126" s="15"/>
      <c r="AC126" s="14"/>
    </row>
    <row r="127" spans="1:114" ht="15" hidden="1" customHeight="1" x14ac:dyDescent="0.2">
      <c r="A127" s="25"/>
      <c r="B127" s="25"/>
      <c r="C127" s="39"/>
      <c r="D127" s="25"/>
      <c r="E127" s="14"/>
      <c r="F127" s="15"/>
      <c r="G127" s="15"/>
      <c r="H127" s="21"/>
      <c r="I127" s="13"/>
      <c r="J127" s="15"/>
      <c r="K127" s="15"/>
      <c r="L127" s="13"/>
      <c r="M127" s="17"/>
      <c r="N127" s="136"/>
      <c r="P127" s="35"/>
      <c r="Q127" s="36"/>
      <c r="R127" s="36"/>
      <c r="S127" s="36"/>
      <c r="T127" s="70"/>
      <c r="U127" s="70"/>
      <c r="V127" s="13"/>
      <c r="W127" s="21"/>
      <c r="X127" s="21"/>
      <c r="Y127" s="21"/>
      <c r="Z127" s="21"/>
      <c r="AA127" s="21"/>
      <c r="AB127" s="15"/>
      <c r="AC127" s="14"/>
    </row>
    <row r="128" spans="1:114" ht="15" hidden="1" customHeight="1" x14ac:dyDescent="0.2">
      <c r="A128" s="25"/>
      <c r="B128" s="25"/>
      <c r="C128" s="39"/>
      <c r="D128" s="25"/>
      <c r="E128" s="14"/>
      <c r="F128" s="15"/>
      <c r="G128" s="15"/>
      <c r="H128" s="21"/>
      <c r="I128" s="13"/>
      <c r="J128" s="15"/>
      <c r="K128" s="15"/>
      <c r="L128" s="13"/>
      <c r="M128" s="17"/>
      <c r="N128" s="136"/>
      <c r="P128" s="35"/>
      <c r="Q128" s="36"/>
      <c r="R128" s="36"/>
      <c r="S128" s="36"/>
      <c r="T128" s="70"/>
      <c r="U128" s="70"/>
      <c r="V128" s="13"/>
      <c r="W128" s="21"/>
      <c r="X128" s="21"/>
      <c r="Y128" s="21"/>
      <c r="Z128" s="21"/>
      <c r="AA128" s="21"/>
      <c r="AB128" s="15"/>
      <c r="AC128" s="14"/>
    </row>
    <row r="129" spans="1:29" ht="15" hidden="1" customHeight="1" x14ac:dyDescent="0.2">
      <c r="A129" s="25"/>
      <c r="B129" s="25"/>
      <c r="C129" s="39"/>
      <c r="D129" s="25"/>
      <c r="E129" s="14"/>
      <c r="F129" s="15"/>
      <c r="G129" s="15"/>
      <c r="H129" s="21"/>
      <c r="I129" s="13"/>
      <c r="J129" s="15"/>
      <c r="K129" s="15"/>
      <c r="L129" s="13"/>
      <c r="M129" s="17"/>
      <c r="N129" s="136"/>
      <c r="P129" s="35"/>
      <c r="Q129" s="36"/>
      <c r="R129" s="36"/>
      <c r="S129" s="36"/>
      <c r="T129" s="70"/>
      <c r="U129" s="70"/>
      <c r="V129" s="13"/>
      <c r="W129" s="21"/>
      <c r="X129" s="21"/>
      <c r="Y129" s="21"/>
      <c r="Z129" s="21"/>
      <c r="AA129" s="21"/>
      <c r="AB129" s="15"/>
      <c r="AC129" s="14"/>
    </row>
    <row r="130" spans="1:29" ht="15" hidden="1" customHeight="1" x14ac:dyDescent="0.2">
      <c r="A130" s="25"/>
      <c r="B130" s="25"/>
      <c r="C130" s="39"/>
      <c r="D130" s="25"/>
      <c r="E130" s="14"/>
      <c r="F130" s="15"/>
      <c r="G130" s="15"/>
      <c r="H130" s="21"/>
      <c r="I130" s="13"/>
      <c r="J130" s="15"/>
      <c r="K130" s="15"/>
      <c r="L130" s="13"/>
      <c r="M130" s="17"/>
      <c r="N130" s="136"/>
      <c r="P130" s="35"/>
      <c r="Q130" s="36"/>
      <c r="R130" s="36"/>
      <c r="S130" s="36"/>
      <c r="T130" s="70"/>
      <c r="U130" s="70"/>
      <c r="V130" s="13"/>
      <c r="W130" s="21"/>
      <c r="X130" s="21"/>
      <c r="Y130" s="21"/>
      <c r="Z130" s="21"/>
      <c r="AA130" s="21"/>
      <c r="AB130" s="15"/>
      <c r="AC130" s="14"/>
    </row>
    <row r="131" spans="1:29" ht="15" hidden="1" customHeight="1" x14ac:dyDescent="0.2">
      <c r="A131" s="25"/>
      <c r="B131" s="25"/>
      <c r="C131" s="39"/>
      <c r="D131" s="25"/>
      <c r="E131" s="14"/>
      <c r="F131" s="15"/>
      <c r="G131" s="15"/>
      <c r="H131" s="21"/>
      <c r="I131" s="13"/>
      <c r="J131" s="15"/>
      <c r="K131" s="15"/>
      <c r="L131" s="13"/>
      <c r="M131" s="17"/>
      <c r="N131" s="136"/>
      <c r="P131" s="35"/>
      <c r="Q131" s="36"/>
      <c r="R131" s="36"/>
      <c r="S131" s="36"/>
      <c r="T131" s="70"/>
      <c r="U131" s="70"/>
      <c r="V131" s="13"/>
      <c r="W131" s="21"/>
      <c r="X131" s="21"/>
      <c r="Y131" s="21"/>
      <c r="Z131" s="21"/>
      <c r="AA131" s="21"/>
      <c r="AB131" s="15"/>
      <c r="AC131" s="14"/>
    </row>
    <row r="132" spans="1:29" ht="15" hidden="1" customHeight="1" x14ac:dyDescent="0.2">
      <c r="A132" s="25"/>
      <c r="B132" s="25"/>
      <c r="C132" s="39"/>
      <c r="D132" s="25"/>
      <c r="E132" s="14"/>
      <c r="F132" s="15"/>
      <c r="G132" s="15"/>
      <c r="H132" s="21"/>
      <c r="I132" s="13"/>
      <c r="J132" s="15"/>
      <c r="K132" s="15"/>
      <c r="L132" s="13"/>
      <c r="M132" s="17"/>
      <c r="N132" s="136"/>
      <c r="P132" s="35"/>
      <c r="Q132" s="36"/>
      <c r="R132" s="36"/>
      <c r="S132" s="36"/>
      <c r="T132" s="70"/>
      <c r="U132" s="70"/>
      <c r="V132" s="13"/>
      <c r="W132" s="21"/>
      <c r="X132" s="21"/>
      <c r="Y132" s="21"/>
      <c r="Z132" s="21"/>
      <c r="AA132" s="21"/>
      <c r="AB132" s="15"/>
      <c r="AC132" s="14"/>
    </row>
    <row r="133" spans="1:29" ht="15" hidden="1" customHeight="1" x14ac:dyDescent="0.2">
      <c r="A133" s="25"/>
      <c r="B133" s="25"/>
      <c r="C133" s="39"/>
      <c r="D133" s="25"/>
      <c r="E133" s="14"/>
      <c r="F133" s="15"/>
      <c r="G133" s="15"/>
      <c r="H133" s="21"/>
      <c r="I133" s="13"/>
      <c r="J133" s="15"/>
      <c r="K133" s="15"/>
      <c r="L133" s="13"/>
      <c r="M133" s="17"/>
      <c r="N133" s="136"/>
      <c r="P133" s="35"/>
      <c r="Q133" s="36"/>
      <c r="R133" s="36"/>
      <c r="S133" s="36"/>
      <c r="T133" s="70"/>
      <c r="U133" s="70"/>
      <c r="V133" s="13"/>
      <c r="W133" s="21"/>
      <c r="X133" s="21"/>
      <c r="Y133" s="21"/>
      <c r="Z133" s="21"/>
      <c r="AA133" s="21"/>
      <c r="AB133" s="15"/>
      <c r="AC133" s="14"/>
    </row>
    <row r="134" spans="1:29" ht="15" hidden="1" customHeight="1" x14ac:dyDescent="0.2">
      <c r="A134" s="25"/>
      <c r="B134" s="25"/>
      <c r="C134" s="39"/>
      <c r="D134" s="25"/>
      <c r="E134" s="14"/>
      <c r="F134" s="15"/>
      <c r="G134" s="15"/>
      <c r="H134" s="21"/>
      <c r="I134" s="13"/>
      <c r="J134" s="15"/>
      <c r="K134" s="15"/>
      <c r="L134" s="13"/>
      <c r="M134" s="17"/>
      <c r="N134" s="136"/>
      <c r="P134" s="35"/>
      <c r="Q134" s="36"/>
      <c r="R134" s="36"/>
      <c r="S134" s="36"/>
      <c r="T134" s="70"/>
      <c r="U134" s="70"/>
      <c r="V134" s="13"/>
      <c r="W134" s="21"/>
      <c r="X134" s="21"/>
      <c r="Y134" s="21"/>
      <c r="Z134" s="21"/>
      <c r="AA134" s="21"/>
      <c r="AB134" s="15"/>
      <c r="AC134" s="14"/>
    </row>
    <row r="135" spans="1:29" ht="15" hidden="1" customHeight="1" x14ac:dyDescent="0.2">
      <c r="A135" s="25"/>
      <c r="B135" s="25"/>
      <c r="C135" s="39"/>
      <c r="D135" s="25"/>
      <c r="E135" s="14"/>
      <c r="F135" s="15"/>
      <c r="G135" s="15"/>
      <c r="H135" s="21"/>
      <c r="I135" s="13"/>
      <c r="J135" s="15"/>
      <c r="K135" s="15"/>
      <c r="L135" s="13"/>
      <c r="M135" s="17"/>
      <c r="N135" s="136"/>
      <c r="P135" s="35"/>
      <c r="Q135" s="36"/>
      <c r="R135" s="36"/>
      <c r="S135" s="36"/>
      <c r="T135" s="70"/>
      <c r="U135" s="70"/>
      <c r="V135" s="13"/>
      <c r="W135" s="21"/>
      <c r="X135" s="21"/>
      <c r="Y135" s="21"/>
      <c r="Z135" s="21"/>
      <c r="AA135" s="21"/>
      <c r="AB135" s="15"/>
      <c r="AC135" s="14"/>
    </row>
    <row r="136" spans="1:29" ht="15" hidden="1" customHeight="1" x14ac:dyDescent="0.2">
      <c r="A136" s="25"/>
      <c r="B136" s="25"/>
      <c r="C136" s="39"/>
      <c r="D136" s="25"/>
      <c r="E136" s="14"/>
      <c r="F136" s="15"/>
      <c r="G136" s="15"/>
      <c r="H136" s="21"/>
      <c r="I136" s="13"/>
      <c r="J136" s="15"/>
      <c r="K136" s="15"/>
      <c r="L136" s="13"/>
      <c r="M136" s="17"/>
      <c r="N136" s="136"/>
      <c r="P136" s="35"/>
      <c r="Q136" s="36"/>
      <c r="R136" s="36"/>
      <c r="S136" s="36"/>
      <c r="T136" s="70"/>
      <c r="U136" s="70"/>
      <c r="V136" s="13"/>
      <c r="W136" s="21"/>
      <c r="X136" s="21"/>
      <c r="Y136" s="21"/>
      <c r="Z136" s="21"/>
      <c r="AA136" s="21"/>
      <c r="AB136" s="15"/>
      <c r="AC136" s="14"/>
    </row>
    <row r="137" spans="1:29" ht="15" hidden="1" customHeight="1" x14ac:dyDescent="0.2">
      <c r="A137" s="25"/>
      <c r="B137" s="25"/>
      <c r="C137" s="39"/>
      <c r="D137" s="25"/>
      <c r="E137" s="14"/>
      <c r="F137" s="15"/>
      <c r="G137" s="15"/>
      <c r="H137" s="21"/>
      <c r="I137" s="13"/>
      <c r="J137" s="15"/>
      <c r="K137" s="15"/>
      <c r="L137" s="13"/>
      <c r="M137" s="17"/>
      <c r="N137" s="136"/>
      <c r="P137" s="35"/>
      <c r="Q137" s="36"/>
      <c r="R137" s="36"/>
      <c r="S137" s="36"/>
      <c r="T137" s="70"/>
      <c r="U137" s="70"/>
      <c r="V137" s="13"/>
      <c r="W137" s="21"/>
      <c r="X137" s="21"/>
      <c r="Y137" s="21"/>
      <c r="Z137" s="21"/>
      <c r="AA137" s="21"/>
      <c r="AB137" s="15"/>
      <c r="AC137" s="14"/>
    </row>
    <row r="138" spans="1:29" ht="15" hidden="1" customHeight="1" x14ac:dyDescent="0.2">
      <c r="A138" s="25"/>
      <c r="B138" s="25"/>
      <c r="C138" s="39"/>
      <c r="D138" s="25"/>
      <c r="E138" s="14"/>
      <c r="F138" s="15"/>
      <c r="G138" s="15"/>
      <c r="H138" s="21"/>
      <c r="I138" s="13"/>
      <c r="J138" s="15"/>
      <c r="K138" s="15"/>
      <c r="L138" s="13"/>
      <c r="M138" s="17"/>
      <c r="N138" s="136"/>
      <c r="P138" s="35"/>
      <c r="Q138" s="36"/>
      <c r="R138" s="36"/>
      <c r="S138" s="36"/>
      <c r="T138" s="70"/>
      <c r="U138" s="70"/>
      <c r="V138" s="13"/>
      <c r="W138" s="21"/>
      <c r="X138" s="21"/>
      <c r="Y138" s="21"/>
      <c r="Z138" s="21"/>
      <c r="AA138" s="21"/>
      <c r="AB138" s="15"/>
      <c r="AC138" s="14"/>
    </row>
    <row r="139" spans="1:29" ht="15" hidden="1" customHeight="1" x14ac:dyDescent="0.2">
      <c r="A139" s="25"/>
      <c r="B139" s="25"/>
      <c r="C139" s="39"/>
      <c r="D139" s="25"/>
      <c r="E139" s="14"/>
      <c r="F139" s="15"/>
      <c r="G139" s="15"/>
      <c r="H139" s="21"/>
      <c r="I139" s="13"/>
      <c r="J139" s="15"/>
      <c r="K139" s="15"/>
      <c r="L139" s="13"/>
      <c r="M139" s="17"/>
      <c r="N139" s="136"/>
      <c r="P139" s="35"/>
      <c r="Q139" s="36"/>
      <c r="R139" s="36"/>
      <c r="S139" s="36"/>
      <c r="T139" s="70"/>
      <c r="U139" s="70"/>
      <c r="V139" s="13"/>
      <c r="W139" s="21"/>
      <c r="X139" s="21"/>
      <c r="Y139" s="21"/>
      <c r="Z139" s="21"/>
      <c r="AA139" s="21"/>
      <c r="AB139" s="15"/>
      <c r="AC139" s="14"/>
    </row>
    <row r="140" spans="1:29" ht="15" hidden="1" customHeight="1" x14ac:dyDescent="0.2">
      <c r="A140" s="25"/>
      <c r="B140" s="25"/>
      <c r="C140" s="39"/>
      <c r="D140" s="25"/>
      <c r="E140" s="14"/>
      <c r="F140" s="15"/>
      <c r="G140" s="15"/>
      <c r="H140" s="21"/>
      <c r="I140" s="13"/>
      <c r="J140" s="15"/>
      <c r="K140" s="15"/>
      <c r="L140" s="13"/>
      <c r="M140" s="17"/>
      <c r="N140" s="136"/>
      <c r="P140" s="35"/>
      <c r="Q140" s="36"/>
      <c r="R140" s="36"/>
      <c r="S140" s="36"/>
      <c r="T140" s="70"/>
      <c r="U140" s="70"/>
      <c r="V140" s="13"/>
      <c r="W140" s="21"/>
      <c r="X140" s="21"/>
      <c r="Y140" s="21"/>
      <c r="Z140" s="21"/>
      <c r="AA140" s="21"/>
      <c r="AB140" s="15"/>
      <c r="AC140" s="14"/>
    </row>
    <row r="141" spans="1:29" ht="15" hidden="1" customHeight="1" x14ac:dyDescent="0.2">
      <c r="A141" s="25"/>
      <c r="B141" s="25"/>
      <c r="C141" s="39"/>
      <c r="D141" s="25"/>
      <c r="E141" s="14"/>
      <c r="F141" s="15"/>
      <c r="G141" s="15"/>
      <c r="H141" s="21"/>
      <c r="I141" s="13"/>
      <c r="J141" s="15"/>
      <c r="K141" s="15"/>
      <c r="L141" s="13"/>
      <c r="M141" s="17"/>
      <c r="N141" s="136"/>
      <c r="P141" s="35"/>
      <c r="Q141" s="36"/>
      <c r="R141" s="36"/>
      <c r="S141" s="36"/>
      <c r="T141" s="70"/>
      <c r="U141" s="70"/>
      <c r="V141" s="13"/>
      <c r="W141" s="21"/>
      <c r="X141" s="21"/>
      <c r="Y141" s="21"/>
      <c r="Z141" s="21"/>
      <c r="AA141" s="21"/>
      <c r="AB141" s="15"/>
      <c r="AC141" s="14"/>
    </row>
    <row r="142" spans="1:29" ht="15" hidden="1" customHeight="1" x14ac:dyDescent="0.2">
      <c r="A142" s="25"/>
      <c r="B142" s="25"/>
      <c r="C142" s="39"/>
      <c r="D142" s="25"/>
      <c r="E142" s="14"/>
      <c r="F142" s="15"/>
      <c r="G142" s="15"/>
      <c r="H142" s="21"/>
      <c r="I142" s="13"/>
      <c r="J142" s="15"/>
      <c r="K142" s="15"/>
      <c r="L142" s="13"/>
      <c r="M142" s="17"/>
      <c r="N142" s="136"/>
      <c r="P142" s="35"/>
      <c r="Q142" s="36"/>
      <c r="R142" s="36"/>
      <c r="S142" s="36"/>
      <c r="T142" s="70"/>
      <c r="U142" s="70"/>
      <c r="V142" s="13"/>
      <c r="W142" s="21"/>
      <c r="X142" s="21"/>
      <c r="Y142" s="21"/>
      <c r="Z142" s="21"/>
      <c r="AA142" s="21"/>
      <c r="AB142" s="15"/>
      <c r="AC142" s="14"/>
    </row>
    <row r="143" spans="1:29" ht="15" hidden="1" customHeight="1" x14ac:dyDescent="0.2">
      <c r="A143" s="25"/>
      <c r="B143" s="25"/>
      <c r="C143" s="39"/>
      <c r="D143" s="25"/>
      <c r="E143" s="14"/>
      <c r="F143" s="15"/>
      <c r="G143" s="15"/>
      <c r="H143" s="21"/>
      <c r="I143" s="13"/>
      <c r="J143" s="15"/>
      <c r="K143" s="15"/>
      <c r="L143" s="13"/>
      <c r="M143" s="17"/>
      <c r="N143" s="136"/>
      <c r="P143" s="35"/>
      <c r="Q143" s="36"/>
      <c r="R143" s="36"/>
      <c r="S143" s="36"/>
      <c r="T143" s="70"/>
      <c r="U143" s="70"/>
      <c r="V143" s="13"/>
      <c r="W143" s="21"/>
      <c r="X143" s="21"/>
      <c r="Y143" s="21"/>
      <c r="Z143" s="21"/>
      <c r="AA143" s="21"/>
      <c r="AB143" s="15"/>
      <c r="AC143" s="14"/>
    </row>
    <row r="144" spans="1:29" ht="15" hidden="1" customHeight="1" x14ac:dyDescent="0.2">
      <c r="A144" s="25"/>
      <c r="B144" s="25"/>
      <c r="C144" s="39"/>
      <c r="D144" s="25"/>
      <c r="E144" s="14"/>
      <c r="F144" s="15"/>
      <c r="G144" s="15"/>
      <c r="H144" s="21"/>
      <c r="I144" s="13"/>
      <c r="J144" s="15"/>
      <c r="K144" s="15"/>
      <c r="L144" s="13"/>
      <c r="M144" s="17"/>
      <c r="N144" s="136"/>
      <c r="P144" s="35"/>
      <c r="Q144" s="36"/>
      <c r="R144" s="36"/>
      <c r="S144" s="36"/>
      <c r="T144" s="70"/>
      <c r="U144" s="70"/>
      <c r="V144" s="13"/>
      <c r="W144" s="21"/>
      <c r="X144" s="21"/>
      <c r="Y144" s="21"/>
      <c r="Z144" s="21"/>
      <c r="AA144" s="21"/>
      <c r="AB144" s="15"/>
      <c r="AC144" s="14"/>
    </row>
    <row r="145" spans="1:30" ht="15" hidden="1" customHeight="1" x14ac:dyDescent="0.2">
      <c r="A145" s="25"/>
      <c r="B145" s="25"/>
      <c r="C145" s="39"/>
      <c r="D145" s="25"/>
      <c r="E145" s="14"/>
      <c r="F145" s="15"/>
      <c r="G145" s="15"/>
      <c r="H145" s="21"/>
      <c r="I145" s="13"/>
      <c r="J145" s="15"/>
      <c r="K145" s="15"/>
      <c r="L145" s="13"/>
      <c r="M145" s="17"/>
      <c r="N145" s="136"/>
      <c r="P145" s="35"/>
      <c r="Q145" s="36"/>
      <c r="R145" s="36"/>
      <c r="S145" s="36"/>
      <c r="T145" s="70"/>
      <c r="U145" s="70"/>
      <c r="V145" s="13"/>
      <c r="W145" s="21"/>
      <c r="X145" s="21"/>
      <c r="Y145" s="21"/>
      <c r="Z145" s="21"/>
      <c r="AA145" s="21"/>
      <c r="AB145" s="15"/>
      <c r="AC145" s="14"/>
    </row>
    <row r="146" spans="1:30" ht="15" hidden="1" customHeight="1" x14ac:dyDescent="0.2">
      <c r="A146" s="25"/>
      <c r="B146" s="25"/>
      <c r="C146" s="39"/>
      <c r="D146" s="25"/>
      <c r="E146" s="14"/>
      <c r="F146" s="15"/>
      <c r="G146" s="15"/>
      <c r="H146" s="21"/>
      <c r="I146" s="13"/>
      <c r="J146" s="15"/>
      <c r="K146" s="15"/>
      <c r="L146" s="13"/>
      <c r="M146" s="17"/>
      <c r="N146" s="136"/>
      <c r="P146" s="35"/>
      <c r="Q146" s="36"/>
      <c r="R146" s="36"/>
      <c r="S146" s="36"/>
      <c r="T146" s="70"/>
      <c r="U146" s="70"/>
      <c r="V146" s="13"/>
      <c r="W146" s="21"/>
      <c r="X146" s="21"/>
      <c r="Y146" s="21"/>
      <c r="Z146" s="21"/>
      <c r="AA146" s="21"/>
      <c r="AB146" s="15"/>
      <c r="AC146" s="14"/>
    </row>
    <row r="147" spans="1:30" ht="15" hidden="1" customHeight="1" x14ac:dyDescent="0.2">
      <c r="A147" s="25"/>
      <c r="B147" s="25"/>
      <c r="C147" s="39"/>
      <c r="D147" s="25"/>
      <c r="E147" s="14"/>
      <c r="F147" s="15"/>
      <c r="G147" s="15"/>
      <c r="H147" s="21"/>
      <c r="I147" s="13"/>
      <c r="J147" s="15"/>
      <c r="K147" s="15"/>
      <c r="L147" s="13"/>
      <c r="M147" s="17"/>
      <c r="N147" s="136"/>
      <c r="P147" s="35"/>
      <c r="Q147" s="36"/>
      <c r="R147" s="36"/>
      <c r="S147" s="36"/>
      <c r="T147" s="70"/>
      <c r="U147" s="70"/>
      <c r="V147" s="13"/>
      <c r="W147" s="21"/>
      <c r="X147" s="21"/>
      <c r="Y147" s="21"/>
      <c r="Z147" s="21"/>
      <c r="AA147" s="21"/>
      <c r="AB147" s="15"/>
      <c r="AC147" s="14"/>
    </row>
    <row r="148" spans="1:30" ht="15" hidden="1" customHeight="1" x14ac:dyDescent="0.2">
      <c r="A148" s="25"/>
      <c r="B148" s="25"/>
      <c r="C148" s="39"/>
      <c r="D148" s="25"/>
      <c r="E148" s="14"/>
      <c r="F148" s="15"/>
      <c r="G148" s="15"/>
      <c r="H148" s="21"/>
      <c r="I148" s="13"/>
      <c r="J148" s="15"/>
      <c r="K148" s="15"/>
      <c r="L148" s="13"/>
      <c r="M148" s="17"/>
      <c r="N148" s="136"/>
      <c r="P148" s="35"/>
      <c r="Q148" s="36"/>
      <c r="R148" s="36"/>
      <c r="S148" s="36"/>
      <c r="T148" s="70"/>
      <c r="U148" s="70"/>
      <c r="V148" s="13"/>
      <c r="W148" s="21"/>
      <c r="X148" s="21"/>
      <c r="Y148" s="21"/>
      <c r="Z148" s="21"/>
      <c r="AA148" s="21"/>
      <c r="AB148" s="15"/>
      <c r="AC148" s="14"/>
    </row>
    <row r="149" spans="1:30" ht="15" hidden="1" customHeight="1" x14ac:dyDescent="0.2">
      <c r="A149" s="25"/>
      <c r="B149" s="25"/>
      <c r="C149" s="39"/>
      <c r="D149" s="25"/>
      <c r="E149" s="14"/>
      <c r="F149" s="15"/>
      <c r="G149" s="15"/>
      <c r="H149" s="21"/>
      <c r="I149" s="13"/>
      <c r="J149" s="15"/>
      <c r="K149" s="15"/>
      <c r="L149" s="13"/>
      <c r="M149" s="17"/>
      <c r="N149" s="136"/>
      <c r="P149" s="35"/>
      <c r="Q149" s="36"/>
      <c r="R149" s="36"/>
      <c r="S149" s="36"/>
      <c r="T149" s="70"/>
      <c r="U149" s="70"/>
      <c r="V149" s="13"/>
      <c r="W149" s="21"/>
      <c r="X149" s="21"/>
      <c r="Y149" s="21"/>
      <c r="Z149" s="21"/>
      <c r="AA149" s="21"/>
      <c r="AB149" s="15"/>
      <c r="AC149" s="14"/>
    </row>
    <row r="150" spans="1:30" ht="15" hidden="1" customHeight="1" x14ac:dyDescent="0.2">
      <c r="A150" s="25"/>
      <c r="B150" s="25"/>
      <c r="C150" s="39"/>
      <c r="D150" s="25"/>
      <c r="E150" s="14"/>
      <c r="F150" s="15"/>
      <c r="G150" s="15"/>
      <c r="H150" s="21"/>
      <c r="I150" s="13"/>
      <c r="J150" s="15"/>
      <c r="K150" s="15"/>
      <c r="L150" s="13"/>
      <c r="M150" s="17"/>
      <c r="N150" s="136"/>
      <c r="P150" s="35"/>
      <c r="Q150" s="36"/>
      <c r="R150" s="36"/>
      <c r="S150" s="36"/>
      <c r="T150" s="70"/>
      <c r="U150" s="70"/>
      <c r="V150" s="13"/>
      <c r="W150" s="21"/>
      <c r="X150" s="21"/>
      <c r="Y150" s="21"/>
      <c r="Z150" s="21"/>
      <c r="AA150" s="21"/>
      <c r="AB150" s="15"/>
      <c r="AC150" s="14"/>
    </row>
    <row r="151" spans="1:30" ht="15" hidden="1" customHeight="1" x14ac:dyDescent="0.2">
      <c r="A151" s="25"/>
      <c r="B151" s="25"/>
      <c r="C151" s="39"/>
      <c r="D151" s="25"/>
      <c r="E151" s="14"/>
      <c r="F151" s="15"/>
      <c r="G151" s="15"/>
      <c r="H151" s="21"/>
      <c r="I151" s="13"/>
      <c r="J151" s="15"/>
      <c r="K151" s="15"/>
      <c r="L151" s="13"/>
      <c r="M151" s="17"/>
      <c r="N151" s="136"/>
      <c r="P151" s="35"/>
      <c r="Q151" s="36"/>
      <c r="R151" s="36"/>
      <c r="S151" s="36"/>
      <c r="T151" s="70"/>
      <c r="U151" s="70"/>
      <c r="V151" s="13"/>
      <c r="W151" s="21"/>
      <c r="X151" s="21"/>
      <c r="Y151" s="21"/>
      <c r="Z151" s="21"/>
      <c r="AA151" s="21"/>
      <c r="AB151" s="15"/>
      <c r="AC151" s="14"/>
    </row>
    <row r="152" spans="1:30" ht="15" hidden="1" customHeight="1" x14ac:dyDescent="0.2">
      <c r="A152" s="25"/>
      <c r="B152" s="25"/>
      <c r="C152" s="39"/>
      <c r="D152" s="25"/>
      <c r="E152" s="14"/>
      <c r="F152" s="15"/>
      <c r="G152" s="15"/>
      <c r="H152" s="21"/>
      <c r="I152" s="13"/>
      <c r="J152" s="15"/>
      <c r="K152" s="15"/>
      <c r="L152" s="13"/>
      <c r="M152" s="17"/>
      <c r="N152" s="136"/>
      <c r="P152" s="35"/>
      <c r="Q152" s="36"/>
      <c r="R152" s="36"/>
      <c r="S152" s="36"/>
      <c r="T152" s="70"/>
      <c r="U152" s="70"/>
      <c r="V152" s="13"/>
      <c r="W152" s="21"/>
      <c r="X152" s="21"/>
      <c r="Y152" s="21"/>
      <c r="Z152" s="21"/>
      <c r="AA152" s="21"/>
      <c r="AB152" s="15"/>
      <c r="AC152" s="14"/>
    </row>
    <row r="153" spans="1:30" ht="15" hidden="1" customHeight="1" x14ac:dyDescent="0.2">
      <c r="A153" s="25"/>
      <c r="B153" s="25"/>
      <c r="C153" s="39"/>
      <c r="D153" s="25"/>
      <c r="E153" s="14"/>
      <c r="F153" s="15"/>
      <c r="G153" s="15"/>
      <c r="H153" s="21"/>
      <c r="I153" s="13"/>
      <c r="J153" s="15"/>
      <c r="K153" s="15"/>
      <c r="L153" s="13"/>
      <c r="M153" s="17"/>
      <c r="N153" s="136"/>
      <c r="P153" s="35"/>
      <c r="Q153" s="36"/>
      <c r="R153" s="36"/>
      <c r="S153" s="36"/>
      <c r="T153" s="70"/>
      <c r="U153" s="70"/>
      <c r="V153" s="13"/>
      <c r="W153" s="21"/>
      <c r="X153" s="21"/>
      <c r="Y153" s="21"/>
      <c r="Z153" s="21"/>
      <c r="AA153" s="21"/>
      <c r="AB153" s="15"/>
      <c r="AC153" s="14"/>
    </row>
    <row r="154" spans="1:30" ht="15" hidden="1" customHeight="1" x14ac:dyDescent="0.2">
      <c r="A154" s="25"/>
      <c r="B154" s="25"/>
      <c r="C154" s="39"/>
      <c r="D154" s="25"/>
      <c r="E154" s="14"/>
      <c r="F154" s="15"/>
      <c r="G154" s="15"/>
      <c r="H154" s="21"/>
      <c r="I154" s="13"/>
      <c r="J154" s="15"/>
      <c r="K154" s="15"/>
      <c r="L154" s="13"/>
      <c r="M154" s="17"/>
      <c r="N154" s="136"/>
      <c r="P154" s="35"/>
      <c r="Q154" s="36"/>
      <c r="R154" s="36"/>
      <c r="S154" s="36"/>
      <c r="T154" s="70"/>
      <c r="U154" s="70"/>
      <c r="V154" s="13"/>
      <c r="W154" s="21"/>
      <c r="X154" s="21"/>
      <c r="Y154" s="21"/>
      <c r="Z154" s="21"/>
      <c r="AA154" s="21"/>
      <c r="AB154" s="15"/>
      <c r="AC154" s="14"/>
    </row>
    <row r="156" spans="1:30" hidden="1" x14ac:dyDescent="0.2">
      <c r="P156" s="112" t="s">
        <v>49</v>
      </c>
      <c r="Q156" s="112" t="s">
        <v>50</v>
      </c>
    </row>
    <row r="157" spans="1:30" hidden="1" x14ac:dyDescent="0.2">
      <c r="F157" s="1955" t="s">
        <v>51</v>
      </c>
    </row>
    <row r="158" spans="1:30" hidden="1" x14ac:dyDescent="0.2">
      <c r="F158" s="1955" t="s">
        <v>52</v>
      </c>
    </row>
    <row r="160" spans="1:30" hidden="1" x14ac:dyDescent="0.2">
      <c r="F160" s="1955" t="s">
        <v>53</v>
      </c>
      <c r="AD160" s="112" t="s">
        <v>143</v>
      </c>
    </row>
    <row r="161" spans="6:31" hidden="1" x14ac:dyDescent="0.2">
      <c r="F161" s="1955" t="s">
        <v>54</v>
      </c>
      <c r="P161" s="112" t="s">
        <v>55</v>
      </c>
    </row>
    <row r="163" spans="6:31" hidden="1" x14ac:dyDescent="0.2">
      <c r="F163" s="1955" t="s">
        <v>56</v>
      </c>
      <c r="P163" s="112" t="s">
        <v>133</v>
      </c>
    </row>
    <row r="165" spans="6:31" hidden="1" x14ac:dyDescent="0.2">
      <c r="AE165" s="124"/>
    </row>
    <row r="166" spans="6:31" hidden="1" x14ac:dyDescent="0.2">
      <c r="F166" s="1955" t="s">
        <v>57</v>
      </c>
    </row>
    <row r="167" spans="6:31" hidden="1" x14ac:dyDescent="0.2">
      <c r="F167" s="1955" t="s">
        <v>58</v>
      </c>
    </row>
    <row r="171" spans="6:31" hidden="1" x14ac:dyDescent="0.2">
      <c r="F171" s="1955" t="s">
        <v>62</v>
      </c>
      <c r="Q171" s="112" t="s">
        <v>55</v>
      </c>
    </row>
    <row r="173" spans="6:31" hidden="1" x14ac:dyDescent="0.2">
      <c r="F173" s="1955" t="s">
        <v>63</v>
      </c>
    </row>
    <row r="174" spans="6:31" hidden="1" x14ac:dyDescent="0.2">
      <c r="F174" s="1955" t="s">
        <v>64</v>
      </c>
      <c r="M174" s="1955" t="s">
        <v>65</v>
      </c>
    </row>
    <row r="175" spans="6:31" hidden="1" x14ac:dyDescent="0.2">
      <c r="F175" s="1955" t="s">
        <v>66</v>
      </c>
      <c r="M175" s="1955" t="s">
        <v>65</v>
      </c>
    </row>
    <row r="176" spans="6:31" hidden="1" x14ac:dyDescent="0.2">
      <c r="F176" s="1955" t="s">
        <v>67</v>
      </c>
      <c r="M176" s="1955" t="s">
        <v>65</v>
      </c>
    </row>
    <row r="177" spans="2:28" hidden="1" x14ac:dyDescent="0.2">
      <c r="F177" s="1955" t="s">
        <v>68</v>
      </c>
    </row>
    <row r="178" spans="2:28" hidden="1" x14ac:dyDescent="0.2">
      <c r="F178" s="1955" t="s">
        <v>69</v>
      </c>
    </row>
    <row r="180" spans="2:28" hidden="1" x14ac:dyDescent="0.2">
      <c r="F180" s="1955" t="s">
        <v>70</v>
      </c>
    </row>
    <row r="181" spans="2:28" hidden="1" x14ac:dyDescent="0.2">
      <c r="F181" s="1955" t="s">
        <v>71</v>
      </c>
    </row>
    <row r="184" spans="2:28" hidden="1" x14ac:dyDescent="0.2">
      <c r="B184" s="125"/>
      <c r="C184" s="125"/>
      <c r="D184" s="125"/>
      <c r="E184" s="125"/>
      <c r="F184" s="1956"/>
      <c r="G184" s="1956"/>
      <c r="H184" s="125"/>
      <c r="I184" s="127"/>
      <c r="J184" s="126"/>
      <c r="K184" s="1956"/>
      <c r="L184" s="127"/>
      <c r="M184" s="1956"/>
      <c r="N184" s="1676"/>
      <c r="P184" s="125"/>
      <c r="Q184" s="125"/>
      <c r="R184" s="125"/>
      <c r="S184" s="125"/>
      <c r="U184" s="125"/>
      <c r="W184" s="125"/>
      <c r="X184" s="125"/>
      <c r="Y184" s="125"/>
      <c r="Z184" s="125"/>
      <c r="AA184" s="125"/>
      <c r="AB184" s="126"/>
    </row>
  </sheetData>
  <sheetProtection algorithmName="SHA-512" hashValue="Vso++G72sFpobaG1gVYBrvo2MDZfMIU0h5Em70GzhiOhVzKbIjo0y9FIy2zqEao+hphSRx9ItPGsKKHkY50aYg==" saltValue="MrqTYcm+ayuYdWqhYxEeMQ==" spinCount="100000" sheet="1" objects="1" scenarios="1"/>
  <mergeCells count="29">
    <mergeCell ref="F9:U9"/>
    <mergeCell ref="Q69:S69"/>
    <mergeCell ref="C99:C103"/>
    <mergeCell ref="C8:C20"/>
    <mergeCell ref="C27:C30"/>
    <mergeCell ref="Q83:S83"/>
    <mergeCell ref="Q94:S94"/>
    <mergeCell ref="Q27:S27"/>
    <mergeCell ref="Q29:S29"/>
    <mergeCell ref="Q43:S43"/>
    <mergeCell ref="Q55:S55"/>
    <mergeCell ref="Q49:S49"/>
    <mergeCell ref="Q33:S33"/>
    <mergeCell ref="Q35:S35"/>
    <mergeCell ref="Q90:S90"/>
    <mergeCell ref="Q22:S22"/>
    <mergeCell ref="Q39:S39"/>
    <mergeCell ref="Q41:S41"/>
    <mergeCell ref="Q51:S51"/>
    <mergeCell ref="C49:C55"/>
    <mergeCell ref="Q100:S100"/>
    <mergeCell ref="Q77:S77"/>
    <mergeCell ref="Q81:S81"/>
    <mergeCell ref="Q79:S79"/>
    <mergeCell ref="Q88:S88"/>
    <mergeCell ref="Q86:S86"/>
    <mergeCell ref="F59:H60"/>
    <mergeCell ref="F64:H65"/>
    <mergeCell ref="Q59:S59"/>
  </mergeCells>
  <conditionalFormatting sqref="U55">
    <cfRule type="expression" dxfId="5934" priority="71">
      <formula>U55="✓"</formula>
    </cfRule>
  </conditionalFormatting>
  <conditionalFormatting sqref="U83">
    <cfRule type="expression" dxfId="5933" priority="70">
      <formula>U83="✓"</formula>
    </cfRule>
  </conditionalFormatting>
  <conditionalFormatting sqref="U29">
    <cfRule type="expression" dxfId="5932" priority="77">
      <formula>U29="✓"</formula>
    </cfRule>
  </conditionalFormatting>
  <conditionalFormatting sqref="U27">
    <cfRule type="expression" dxfId="5931" priority="76">
      <formula>U27="✓"</formula>
    </cfRule>
  </conditionalFormatting>
  <conditionalFormatting sqref="U49">
    <cfRule type="expression" dxfId="5930" priority="66">
      <formula>U49="✓"</formula>
    </cfRule>
  </conditionalFormatting>
  <conditionalFormatting sqref="U33">
    <cfRule type="expression" dxfId="5929" priority="65">
      <formula>U33="✓"</formula>
    </cfRule>
  </conditionalFormatting>
  <conditionalFormatting sqref="U35">
    <cfRule type="expression" dxfId="5928" priority="64">
      <formula>U35="✓"</formula>
    </cfRule>
  </conditionalFormatting>
  <conditionalFormatting sqref="U77">
    <cfRule type="expression" dxfId="5927" priority="63">
      <formula>U77="✓"</formula>
    </cfRule>
  </conditionalFormatting>
  <conditionalFormatting sqref="I90 M90 U90">
    <cfRule type="expression" dxfId="5926" priority="62">
      <formula>$AC$48=1</formula>
    </cfRule>
  </conditionalFormatting>
  <conditionalFormatting sqref="F86:M90 Q86:U90">
    <cfRule type="expression" dxfId="5925" priority="61">
      <formula>$AC$48&lt;2</formula>
    </cfRule>
  </conditionalFormatting>
  <conditionalFormatting sqref="M90">
    <cfRule type="expression" dxfId="5924" priority="60">
      <formula>$AC$48&lt;2</formula>
    </cfRule>
  </conditionalFormatting>
  <conditionalFormatting sqref="U90">
    <cfRule type="expression" dxfId="5923" priority="58" stopIfTrue="1">
      <formula>$AC$48&lt;2</formula>
    </cfRule>
    <cfRule type="expression" dxfId="5922" priority="59">
      <formula>U90="✓"</formula>
    </cfRule>
  </conditionalFormatting>
  <conditionalFormatting sqref="U100">
    <cfRule type="expression" dxfId="5921" priority="48">
      <formula>U100="✓"</formula>
    </cfRule>
  </conditionalFormatting>
  <conditionalFormatting sqref="U51">
    <cfRule type="expression" dxfId="5920" priority="41">
      <formula>U51="✓"</formula>
    </cfRule>
  </conditionalFormatting>
  <conditionalFormatting sqref="U81">
    <cfRule type="expression" dxfId="5919" priority="40">
      <formula>U81="✓"</formula>
    </cfRule>
  </conditionalFormatting>
  <conditionalFormatting sqref="U88">
    <cfRule type="expression" dxfId="5918" priority="39">
      <formula>U88="✓"</formula>
    </cfRule>
  </conditionalFormatting>
  <conditionalFormatting sqref="M59:M60 U55">
    <cfRule type="expression" dxfId="5917" priority="37">
      <formula>$AC$50=3</formula>
    </cfRule>
  </conditionalFormatting>
  <conditionalFormatting sqref="U88">
    <cfRule type="expression" dxfId="5916" priority="36">
      <formula>$AC$48=1</formula>
    </cfRule>
  </conditionalFormatting>
  <conditionalFormatting sqref="U88">
    <cfRule type="expression" dxfId="5915" priority="34" stopIfTrue="1">
      <formula>$AC$48&lt;2</formula>
    </cfRule>
    <cfRule type="expression" dxfId="5914" priority="35">
      <formula>U88="✓"</formula>
    </cfRule>
  </conditionalFormatting>
  <conditionalFormatting sqref="P86:V91 E86:N91">
    <cfRule type="expression" dxfId="5913" priority="33">
      <formula>$AC$48&lt;&gt;2</formula>
    </cfRule>
  </conditionalFormatting>
  <conditionalFormatting sqref="P85:V85 X85 E85:N85">
    <cfRule type="expression" dxfId="5912" priority="32">
      <formula>$AC$48&lt;&gt;2</formula>
    </cfRule>
  </conditionalFormatting>
  <conditionalFormatting sqref="P85:V85 E85:N85">
    <cfRule type="expression" dxfId="5911" priority="31">
      <formula>$AC$48&lt;&gt;1</formula>
    </cfRule>
  </conditionalFormatting>
  <conditionalFormatting sqref="U59">
    <cfRule type="expression" dxfId="5910" priority="28">
      <formula>U59="✓"</formula>
    </cfRule>
  </conditionalFormatting>
  <conditionalFormatting sqref="E55:N55">
    <cfRule type="expression" dxfId="5909" priority="27">
      <formula>$AC$50=3</formula>
    </cfRule>
  </conditionalFormatting>
  <conditionalFormatting sqref="M73">
    <cfRule type="expression" dxfId="5908" priority="25">
      <formula>$AC$50=3</formula>
    </cfRule>
  </conditionalFormatting>
  <conditionalFormatting sqref="U73">
    <cfRule type="expression" dxfId="5907" priority="24">
      <formula>U73="✓"</formula>
    </cfRule>
  </conditionalFormatting>
  <conditionalFormatting sqref="U69">
    <cfRule type="expression" dxfId="5906" priority="23">
      <formula>U69="✓"</formula>
    </cfRule>
  </conditionalFormatting>
  <conditionalFormatting sqref="M69">
    <cfRule type="expression" dxfId="5905" priority="22">
      <formula>$AC$50=3</formula>
    </cfRule>
  </conditionalFormatting>
  <conditionalFormatting sqref="F69:M69 P68:V74">
    <cfRule type="expression" dxfId="5904" priority="21">
      <formula>$AC$50&lt;&gt;3</formula>
    </cfRule>
  </conditionalFormatting>
  <conditionalFormatting sqref="E54:N66 P54:V66">
    <cfRule type="expression" dxfId="5903" priority="20">
      <formula>$AC$50=3</formula>
    </cfRule>
  </conditionalFormatting>
  <conditionalFormatting sqref="E68:N74">
    <cfRule type="expression" dxfId="5902" priority="19">
      <formula>$AC$50&lt;&gt;3</formula>
    </cfRule>
  </conditionalFormatting>
  <conditionalFormatting sqref="M64:M65">
    <cfRule type="expression" dxfId="5901" priority="14">
      <formula>$AC$50=3</formula>
    </cfRule>
  </conditionalFormatting>
  <conditionalFormatting sqref="U64">
    <cfRule type="expression" dxfId="5900" priority="13">
      <formula>U64="✓"</formula>
    </cfRule>
  </conditionalFormatting>
  <conditionalFormatting sqref="P61:V65 E61:N63 E64:F64 E65 I64:N65">
    <cfRule type="expression" dxfId="5899" priority="12">
      <formula>$AC$50=3</formula>
    </cfRule>
  </conditionalFormatting>
  <conditionalFormatting sqref="S64">
    <cfRule type="expression" dxfId="5898" priority="8167">
      <formula>$Q$64&lt;&gt;""</formula>
    </cfRule>
  </conditionalFormatting>
  <conditionalFormatting sqref="Q57 Q62">
    <cfRule type="expression" dxfId="5897" priority="8171">
      <formula>$Q$64&lt;&gt;""</formula>
    </cfRule>
  </conditionalFormatting>
  <conditionalFormatting sqref="S57 S62">
    <cfRule type="expression" dxfId="5896" priority="8172">
      <formula>$Q$64=""</formula>
    </cfRule>
  </conditionalFormatting>
  <conditionalFormatting sqref="Q64">
    <cfRule type="expression" dxfId="5895" priority="9">
      <formula>$Q$64&lt;&gt;""</formula>
    </cfRule>
  </conditionalFormatting>
  <conditionalFormatting sqref="U39">
    <cfRule type="expression" dxfId="5894" priority="7">
      <formula>U39="✓"</formula>
    </cfRule>
  </conditionalFormatting>
  <conditionalFormatting sqref="U41">
    <cfRule type="expression" dxfId="5893" priority="6">
      <formula>U41="✓"</formula>
    </cfRule>
  </conditionalFormatting>
  <conditionalFormatting sqref="P59:V66">
    <cfRule type="expression" dxfId="5892" priority="5">
      <formula>$Q$55=""</formula>
    </cfRule>
  </conditionalFormatting>
  <conditionalFormatting sqref="P58:V58">
    <cfRule type="expression" dxfId="5891" priority="3">
      <formula>$Q$55&lt;&gt;""</formula>
    </cfRule>
  </conditionalFormatting>
  <conditionalFormatting sqref="P58:X58">
    <cfRule type="expression" dxfId="5890" priority="4">
      <formula>$Q$55=""</formula>
    </cfRule>
  </conditionalFormatting>
  <dataValidations xWindow="538" yWindow="1076" count="24">
    <dataValidation allowBlank="1" showInputMessage="1" showErrorMessage="1" promptTitle="Kjerneboring" prompt="Time for time, inngår i ventetid" sqref="K104:N104 P116:P154" xr:uid="{D8C101F9-A930-47E0-A0B4-62378E075A24}"/>
    <dataValidation allowBlank="1" showErrorMessage="1" promptTitle="Sonderboring" prompt="bormeter - Sonderboring inkl. lekkasjemåling, avh. av antall hull, her antas 4" sqref="U27 U29 I94:L96 U83 U55 U69 K76:L83 T96:V96 J116:N154 T116:V154 I110:I154 I28 I38:I42 K54:L55 U33 U35 U77 U90 U51 X96 I103 U100:U102 I97:I99 U49 U59:U60 I66:J66 I76:J82 U81 I54:J54 I52 J49:L52 U88 J97:L103 K73:L74 I74:J74 U73 I35:I36 I30 I32 K59:L60 K64:L66 U64:U65 U39 U41" xr:uid="{03237C6A-83F3-46B3-A390-B9DC60CA29C9}"/>
    <dataValidation allowBlank="1" showErrorMessage="1" sqref="C44:L44 A45:L48 Q45:Y48 Q44:W44 M38:P52 M54:P66 M76:P91 M93:P103 M70:P74 M68:P68 M69 J38:L43 J27:P30 J32:P36 I101:I102 I60 I65 C1:F26 V1:Z26 G1:U8 G10:U26" xr:uid="{2BC024FC-95CF-4B9E-9546-6187C533D432}"/>
    <dataValidation allowBlank="1" showInputMessage="1" showErrorMessage="1" promptTitle="Tunnellendge" prompt="Eks. portaler" sqref="J83" xr:uid="{C65CA81F-2935-4E64-8683-DD0C66C00940}"/>
    <dataValidation allowBlank="1" showErrorMessage="1" promptTitle="Tunnellendge" prompt="Eks. portaler" sqref="I77 I49:I51 I27 I29 I33:I34 I43 J55" xr:uid="{5E02EF3E-283D-4985-918D-70CE69CFCA83}"/>
    <dataValidation allowBlank="1" showInputMessage="1" showErrorMessage="1" promptTitle="Tverrsnittsareal" prompt="Standardverdien skal brukes dersom et alternativ ikker er oppgit" sqref="J73 J59:J60 J64:J65" xr:uid="{0E40C3F1-03B5-40CD-A594-40A8E0FFB896}"/>
    <dataValidation allowBlank="1" showInputMessage="1" showErrorMessage="1" promptTitle="Tverrsnittsareal" prompt="Standardverdien (fra N500) skal brukes dersom et alternativ ikke er oppgit" sqref="I73" xr:uid="{1B113ADE-AE40-494A-BE72-8C402908BDFE}"/>
    <dataValidation type="decimal" operator="greaterThan" allowBlank="1" showInputMessage="1" showErrorMessage="1" errorTitle="Oops!" error="Sjekk verdien. Tunnellengde må være større en 0." sqref="Q83:S83 Q90:S90" xr:uid="{9EFD818F-B62C-4695-9B56-206567CCFB96}">
      <formula1>0</formula1>
    </dataValidation>
    <dataValidation type="decimal" operator="greaterThan" allowBlank="1" showInputMessage="1" showErrorMessage="1" errorTitle="Oops!" error="Sjekk verdien. Tverrsnittsareal må være større en 0." sqref="Q73 Q60 Q65" xr:uid="{9455321C-6392-4448-B00E-068918A31445}">
      <formula1>0</formula1>
    </dataValidation>
    <dataValidation type="decimal" operator="greaterThanOrEqual" allowBlank="1" showInputMessage="1" showErrorMessage="1" errorTitle="Oops!" error="Bare tall er tillatt." sqref="Q69:S69" xr:uid="{FD8B2372-53AF-4758-99D3-202C3E5294A0}">
      <formula1>0</formula1>
    </dataValidation>
    <dataValidation type="list" allowBlank="1" showInputMessage="1" showErrorMessage="1" errorTitle="Oops!" error="Velg en verdi fra listen." sqref="Q51:S51" xr:uid="{D7F3C576-D547-4718-8C8D-256A60335418}">
      <formula1>INDIRECT("tunnelklasse")</formula1>
    </dataValidation>
    <dataValidation type="list" allowBlank="1" showInputMessage="1" showErrorMessage="1" errorTitle="Oops!" error="Velg en verdi fra listen." sqref="Q55:S55" xr:uid="{C98B26B2-2D06-4EE0-8122-811AF9689D31}">
      <formula1>INDIRECT(AC52)</formula1>
    </dataValidation>
    <dataValidation type="date" operator="greaterThan" allowBlank="1" showInputMessage="1" showErrorMessage="1" errorTitle="Oops!" error="Bare datoer er tillatt." sqref="Q41:S41" xr:uid="{EC8EFB09-5443-4085-8837-FA0E1277D6C5}">
      <formula1>1</formula1>
    </dataValidation>
    <dataValidation type="list" allowBlank="1" showInputMessage="1" showErrorMessage="1" errorTitle="Oops!" error="Velg en verdi fra listen." sqref="Q77:S77" xr:uid="{7616B085-EDE3-46FA-91F6-7BA60D3FA3B0}">
      <formula1>INDIRECT("nolane")</formula1>
    </dataValidation>
    <dataValidation type="list" allowBlank="1" showInputMessage="1" showErrorMessage="1" errorTitle="Oops!" error="Velg et alternativ fra listen." sqref="Q49:S49" xr:uid="{5AECD146-16E7-4373-867A-80D87F18D7EF}">
      <formula1>INDIRECT($AC$45)</formula1>
    </dataValidation>
    <dataValidation allowBlank="1" showInputMessage="1" showErrorMessage="1" promptTitle="Gjennomgående sprengningsprofil" prompt="Dersom annet sprengningsprofil enn standard teoretisk sprengningsprofil (fra N500) skal brukes som gjennomgående teoretisk sprengningsprofil for hovedtunnelen(e), angis det i innboksen &quot;Brukerdefinert&quot;." sqref="I64" xr:uid="{EFC79998-5CA3-48CF-B4B2-BA073DCF5CCC}"/>
    <dataValidation allowBlank="1" showInputMessage="1" showErrorMessage="1" promptTitle="Tunnellendge" prompt="Eks. portaler." sqref="I90 I83" xr:uid="{E2D160A2-3DAF-4792-86B2-FCF0BC3EE370}"/>
    <dataValidation allowBlank="1" showInputMessage="1" showErrorMessage="1" promptTitle="Tunnelprofil" prompt="For vegtunneler: se N500 fra Statens Vegvesen." sqref="I55" xr:uid="{857101C6-1019-4665-B433-2DBBC5C73E65}"/>
    <dataValidation allowBlank="1" showInputMessage="1" showErrorMessage="1" promptTitle="Standard profil" prompt="Standard teoretisk sprengningsprofil (fra N500) brukes som gjennomgående teoretisk sprengningsprofil for hovedtunnelen(e) dersom ikke annet oppgis i innboksen &quot;Brukerdefinert&quot; under." sqref="I59" xr:uid="{6EAA0465-5B73-4E27-9EBE-2DB4369267CE}"/>
    <dataValidation type="textLength" operator="lessThanOrEqual" allowBlank="1" showInputMessage="1" showErrorMessage="1" errorTitle="Oops!" error="Maks. 40 tegn." sqref="Q43:S43" xr:uid="{4586DCEB-8825-4EBB-A6A6-4249319D1B6D}">
      <formula1>40</formula1>
    </dataValidation>
    <dataValidation type="textLength" operator="lessThan" allowBlank="1" showInputMessage="1" showErrorMessage="1" errorTitle="Oops!" error="Maks. 25 tegn." sqref="Q81:S81 Q88:S88" xr:uid="{C916DFA0-30C0-4E43-B76F-E119275088E5}">
      <formula1>25</formula1>
    </dataValidation>
    <dataValidation type="decimal" operator="greaterThanOrEqual" allowBlank="1" showInputMessage="1" showErrorMessage="1" errorTitle="Oops!" error="Sjekk verdien. Tverrsnittsareal må være større en 20 m2." sqref="Q64" xr:uid="{5ED75DC2-0D62-46C7-AE52-7939678A238A}">
      <formula1>20</formula1>
    </dataValidation>
    <dataValidation allowBlank="1" showInputMessage="1" showErrorMessage="1" promptTitle="Ukentlig arbeidstid" prompt="Kan ikke endres. Korrigering for eventuelle avvik fra 101 h/uke kan gjøres i fanen Inn justeringer." sqref="I100" xr:uid="{669E5EE5-69D4-4F09-99AD-D0E6D030C9AC}"/>
    <dataValidation type="textLength" operator="lessThanOrEqual" allowBlank="1" showInputMessage="1" showErrorMessage="1" errorTitle="Oops!" error="Maks. 25 tegn." sqref="Q94:S94" xr:uid="{062BE9E6-E84D-4A26-80C6-EB99BC85885F}">
      <formula1>25</formula1>
    </dataValidation>
  </dataValidations>
  <printOptions horizontalCentered="1" verticalCentered="1"/>
  <pageMargins left="0.23622047244094491" right="0.23622047244094491" top="0.74803149606299213" bottom="0.74803149606299213" header="0.31496062992125984" footer="0.31496062992125984"/>
  <pageSetup paperSize="9" scale="47" orientation="portrait" r:id="rId1"/>
  <extLst>
    <ext xmlns:x14="http://schemas.microsoft.com/office/spreadsheetml/2009/9/main" uri="{78C0D931-6437-407d-A8EE-F0AAD7539E65}">
      <x14:conditionalFormattings>
        <x14:conditionalFormatting xmlns:xm="http://schemas.microsoft.com/office/excel/2006/main">
          <x14:cfRule type="expression" priority="57" id="{DF0097E3-D0A9-4382-80AA-832F053BFC6D}">
            <xm:f>_Calcs!$NO$48&lt;2</xm:f>
            <x14:dxf>
              <font>
                <color theme="0"/>
              </font>
              <fill>
                <patternFill>
                  <bgColor theme="0"/>
                </patternFill>
              </fill>
              <border>
                <left/>
                <right/>
                <top/>
                <bottom/>
                <vertical/>
                <horizontal/>
              </border>
            </x14:dxf>
          </x14:cfRule>
          <xm:sqref>AC2:AH7</xm:sqref>
        </x14:conditionalFormatting>
        <x14:conditionalFormatting xmlns:xm="http://schemas.microsoft.com/office/excel/2006/main">
          <x14:cfRule type="expression" priority="56" id="{D420886C-E637-4CAB-B995-2F6EADCD7523}">
            <xm:f>_Calcs!$NO$48&lt;3</xm:f>
            <x14:dxf>
              <font>
                <color theme="0"/>
              </font>
              <fill>
                <patternFill>
                  <bgColor theme="0"/>
                </patternFill>
              </fill>
              <border>
                <left/>
                <right/>
                <top/>
                <bottom/>
                <vertical/>
                <horizontal/>
              </border>
            </x14:dxf>
          </x14:cfRule>
          <xm:sqref>AI2:AN7</xm:sqref>
        </x14:conditionalFormatting>
        <x14:conditionalFormatting xmlns:xm="http://schemas.microsoft.com/office/excel/2006/main">
          <x14:cfRule type="expression" priority="55" id="{D3B0B65E-4FCD-4DFE-B2EC-F49C116CF318}">
            <xm:f>_Calcs!$NO$48&lt;4</xm:f>
            <x14:dxf>
              <font>
                <color theme="0"/>
              </font>
              <fill>
                <patternFill>
                  <bgColor theme="0"/>
                </patternFill>
              </fill>
              <border>
                <left/>
                <right/>
                <top/>
                <bottom/>
                <vertical/>
                <horizontal/>
              </border>
            </x14:dxf>
          </x14:cfRule>
          <xm:sqref>AO2:AT7</xm:sqref>
        </x14:conditionalFormatting>
        <x14:conditionalFormatting xmlns:xm="http://schemas.microsoft.com/office/excel/2006/main">
          <x14:cfRule type="expression" priority="54" id="{ED8D5970-2784-45B2-9718-5C7D8EE2B175}">
            <xm:f>_Calcs!$NO$48&lt;5</xm:f>
            <x14:dxf>
              <font>
                <color theme="0"/>
              </font>
              <fill>
                <patternFill>
                  <bgColor theme="0"/>
                </patternFill>
              </fill>
              <border>
                <left/>
                <right/>
                <top/>
                <bottom/>
                <vertical/>
                <horizontal/>
              </border>
            </x14:dxf>
          </x14:cfRule>
          <xm:sqref>AU2:AZ7</xm:sqref>
        </x14:conditionalFormatting>
        <x14:conditionalFormatting xmlns:xm="http://schemas.microsoft.com/office/excel/2006/main">
          <x14:cfRule type="expression" priority="53" id="{44CDB0A5-F9D2-4D78-A0EE-B98BB7B53D40}">
            <xm:f>_Calcs!$NO$48&lt;6</xm:f>
            <x14:dxf>
              <font>
                <color theme="0"/>
              </font>
              <fill>
                <patternFill>
                  <bgColor theme="0"/>
                </patternFill>
              </fill>
              <border>
                <left/>
                <right/>
                <top/>
                <bottom/>
                <vertical/>
                <horizontal/>
              </border>
            </x14:dxf>
          </x14:cfRule>
          <xm:sqref>BA2:BF7</xm:sqref>
        </x14:conditionalFormatting>
        <x14:conditionalFormatting xmlns:xm="http://schemas.microsoft.com/office/excel/2006/main">
          <x14:cfRule type="expression" priority="52" id="{C3FAA110-2C25-4016-8AEE-38997036A336}">
            <xm:f>_Calcs!$NO$48&lt;7</xm:f>
            <x14:dxf>
              <font>
                <color theme="0"/>
              </font>
              <fill>
                <patternFill>
                  <bgColor theme="0"/>
                </patternFill>
              </fill>
              <border>
                <left/>
                <right/>
                <top/>
                <bottom/>
                <vertical/>
                <horizontal/>
              </border>
            </x14:dxf>
          </x14:cfRule>
          <xm:sqref>BG2:BL7</xm:sqref>
        </x14:conditionalFormatting>
        <x14:conditionalFormatting xmlns:xm="http://schemas.microsoft.com/office/excel/2006/main">
          <x14:cfRule type="expression" priority="51" id="{2B1D5EDF-F6E0-4101-A3CB-50243C67D0AC}">
            <xm:f>_Calcs!$NO$48&lt;8</xm:f>
            <x14:dxf>
              <font>
                <color theme="0"/>
              </font>
              <fill>
                <patternFill>
                  <bgColor theme="0"/>
                </patternFill>
              </fill>
              <border>
                <left/>
                <right/>
                <top/>
                <bottom/>
                <vertical/>
                <horizontal/>
              </border>
            </x14:dxf>
          </x14:cfRule>
          <xm:sqref>BM2:BR7</xm:sqref>
        </x14:conditionalFormatting>
        <x14:conditionalFormatting xmlns:xm="http://schemas.microsoft.com/office/excel/2006/main">
          <x14:cfRule type="expression" priority="50" id="{FE61530C-187F-4CF0-8088-E48AC0C40A90}">
            <xm:f>_Calcs!$NO$48&lt;9</xm:f>
            <x14:dxf>
              <font>
                <color theme="0"/>
              </font>
              <fill>
                <patternFill>
                  <bgColor theme="0"/>
                </patternFill>
              </fill>
              <border>
                <left/>
                <right/>
                <top/>
                <bottom/>
                <vertical/>
                <horizontal/>
              </border>
            </x14:dxf>
          </x14:cfRule>
          <xm:sqref>BS2:BY7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14E4-2ECF-424E-8328-BA53092D26AB}">
  <sheetPr codeName="Sheet21">
    <pageSetUpPr fitToPage="1"/>
  </sheetPr>
  <dimension ref="A1:BFM343"/>
  <sheetViews>
    <sheetView zoomScale="85" zoomScaleNormal="85" workbookViewId="0">
      <selection activeCell="I7" sqref="I7"/>
    </sheetView>
  </sheetViews>
  <sheetFormatPr defaultRowHeight="14.25" x14ac:dyDescent="0.2"/>
  <cols>
    <col min="1" max="15" width="9" style="3458" customWidth="1"/>
    <col min="16" max="16" width="12" style="3458" bestFit="1" customWidth="1"/>
    <col min="17" max="18" width="9" style="3458"/>
    <col min="19" max="20" width="1.625" style="3458" customWidth="1"/>
    <col min="21" max="32" width="5.625" style="3458" customWidth="1"/>
    <col min="33" max="33" width="9" style="3458"/>
    <col min="34" max="34" width="28.75" style="2617" customWidth="1"/>
    <col min="35" max="35" width="20.875" style="2617" bestFit="1" customWidth="1"/>
    <col min="36" max="36" width="41.375" style="2617" bestFit="1" customWidth="1"/>
    <col min="37" max="37" width="15.25" style="2688" customWidth="1"/>
    <col min="38" max="38" width="20.375" style="2686" customWidth="1"/>
    <col min="39" max="39" width="15.25" style="2617" customWidth="1"/>
    <col min="40" max="40" width="10" style="2688" customWidth="1"/>
    <col min="41" max="41" width="16.25" style="2617" customWidth="1"/>
    <col min="42" max="42" width="5.625" style="2617" customWidth="1"/>
    <col min="43" max="43" width="9" style="2622"/>
    <col min="44" max="44" width="29.875" style="2622" customWidth="1"/>
    <col min="45" max="45" width="18.125" style="2622" customWidth="1"/>
    <col min="46" max="46" width="9" style="2622"/>
    <col min="47" max="47" width="10.875" style="2622" customWidth="1"/>
    <col min="48" max="49" width="41.375" style="2617" bestFit="1" customWidth="1"/>
    <col min="50" max="55" width="12.625" style="2617" customWidth="1"/>
    <col min="56" max="63" width="17.625" style="2617" customWidth="1"/>
    <col min="64" max="64" width="25.625" style="2617" customWidth="1"/>
    <col min="65" max="65" width="22" style="2617" customWidth="1"/>
    <col min="66" max="66" width="18.875" style="2617" customWidth="1"/>
    <col min="67" max="80" width="12.75" style="2617" customWidth="1"/>
    <col min="81" max="84" width="9" style="2617"/>
    <col min="85" max="85" width="12.375" style="2617" customWidth="1"/>
    <col min="86" max="86" width="18.375" style="2617" customWidth="1"/>
    <col min="87" max="87" width="11.625" style="2617" customWidth="1"/>
    <col min="88" max="88" width="15.875" style="2617" customWidth="1"/>
    <col min="89" max="89" width="15.5" style="2617" customWidth="1"/>
    <col min="90" max="90" width="19.625" style="2617" customWidth="1"/>
    <col min="91" max="91" width="19.25" style="2617" customWidth="1"/>
    <col min="92" max="92" width="18.875" style="2617" customWidth="1"/>
    <col min="93" max="93" width="18.625" style="2617" customWidth="1"/>
    <col min="94" max="94" width="19.625" style="2617" customWidth="1"/>
    <col min="95" max="95" width="19.875" style="2617" customWidth="1"/>
    <col min="96" max="96" width="13.75" style="2617" customWidth="1"/>
    <col min="97" max="97" width="11.25" style="2617" customWidth="1"/>
    <col min="98" max="99" width="11.625" style="2617" customWidth="1"/>
    <col min="100" max="100" width="15.75" style="2617" customWidth="1"/>
    <col min="101" max="101" width="14.875" style="2617" customWidth="1"/>
    <col min="102" max="102" width="17.375" style="2617" customWidth="1"/>
    <col min="103" max="103" width="14.875" style="2617" customWidth="1"/>
    <col min="104" max="104" width="17.375" style="2617" customWidth="1"/>
    <col min="105" max="105" width="14.875" style="2617" customWidth="1"/>
    <col min="106" max="106" width="17.375" style="2617" customWidth="1"/>
    <col min="107" max="107" width="14.875" style="2617" customWidth="1"/>
    <col min="108" max="108" width="17.375" style="2617" customWidth="1"/>
    <col min="109" max="109" width="15.75" style="2617" customWidth="1"/>
    <col min="110" max="110" width="18.25" style="2617" customWidth="1"/>
    <col min="111" max="111" width="16.125" style="2617" customWidth="1"/>
    <col min="112" max="112" width="18.625" style="2617" customWidth="1"/>
    <col min="113" max="113" width="15.25" style="2617" customWidth="1"/>
    <col min="114" max="114" width="16.75" style="2617" customWidth="1"/>
    <col min="115" max="115" width="15.25" style="2617" customWidth="1"/>
    <col min="116" max="116" width="17.375" style="2617" customWidth="1"/>
    <col min="117" max="135" width="15.25" style="2617" customWidth="1"/>
    <col min="136" max="183" width="15.375" style="2617" customWidth="1"/>
    <col min="184" max="184" width="15.25" style="2617" customWidth="1"/>
    <col min="185" max="185" width="17" style="2617" customWidth="1"/>
    <col min="186" max="186" width="14.5" style="2617" customWidth="1"/>
    <col min="187" max="187" width="17" style="2617" customWidth="1"/>
    <col min="188" max="188" width="14.5" style="2617" customWidth="1"/>
    <col min="189" max="189" width="17" style="2617" customWidth="1"/>
    <col min="190" max="190" width="14.5" style="2617" customWidth="1"/>
    <col min="191" max="191" width="17" style="2617" customWidth="1"/>
    <col min="192" max="192" width="15.375" style="2617" customWidth="1"/>
    <col min="193" max="193" width="17.875" style="2617" customWidth="1"/>
    <col min="194" max="194" width="15.75" style="2617" customWidth="1"/>
    <col min="195" max="195" width="18.25" style="2617" customWidth="1"/>
    <col min="196" max="196" width="13.875" style="2617" customWidth="1"/>
    <col min="197" max="197" width="16.375" style="2617" customWidth="1"/>
    <col min="198" max="198" width="14.5" style="2617" customWidth="1"/>
    <col min="199" max="199" width="17" style="2617" customWidth="1"/>
    <col min="200" max="200" width="12.625" style="2617" customWidth="1"/>
    <col min="201" max="201" width="13" style="2617" customWidth="1"/>
    <col min="202" max="202" width="13.75" style="2617" customWidth="1"/>
    <col min="203" max="203" width="13" style="2617" customWidth="1"/>
    <col min="204" max="204" width="13.75" style="2617" customWidth="1"/>
    <col min="205" max="205" width="13" style="2617" customWidth="1"/>
    <col min="206" max="206" width="13.75" style="2617" customWidth="1"/>
    <col min="207" max="207" width="13" style="2617" customWidth="1"/>
    <col min="208" max="208" width="19.375" style="2617" customWidth="1"/>
    <col min="209" max="209" width="19.625" style="2617" customWidth="1"/>
    <col min="210" max="210" width="14.625" style="2617" customWidth="1"/>
    <col min="211" max="211" width="14.25" style="2617" customWidth="1"/>
    <col min="212" max="212" width="15" style="2617" customWidth="1"/>
    <col min="213" max="213" width="12.625" style="2617" customWidth="1"/>
    <col min="214" max="214" width="13.25" style="2617" customWidth="1"/>
    <col min="215" max="215" width="13" style="2617" customWidth="1"/>
    <col min="216" max="216" width="13.75" style="2617" customWidth="1"/>
    <col min="217" max="217" width="16.75" style="2617" customWidth="1"/>
    <col min="218" max="218" width="17.5" style="2617" customWidth="1"/>
    <col min="219" max="222" width="12.625" style="2617" customWidth="1"/>
    <col min="223" max="223" width="16.25" style="2617" customWidth="1"/>
    <col min="224" max="224" width="17" style="2617" customWidth="1"/>
    <col min="225" max="225" width="19.875" style="2617" customWidth="1"/>
    <col min="226" max="250" width="12.375" style="2622" customWidth="1"/>
    <col min="251" max="251" width="17" style="2622" bestFit="1" customWidth="1"/>
    <col min="252" max="317" width="12.375" style="2622" customWidth="1"/>
    <col min="318" max="318" width="16.625" style="2617" customWidth="1"/>
    <col min="319" max="319" width="15.75" style="2617" customWidth="1"/>
    <col min="320" max="320" width="18.25" style="2617" customWidth="1"/>
    <col min="321" max="321" width="15.75" style="2617" customWidth="1"/>
    <col min="322" max="322" width="18.25" style="2617" customWidth="1"/>
    <col min="323" max="323" width="15.75" style="2617" customWidth="1"/>
    <col min="324" max="324" width="18.25" style="2617" customWidth="1"/>
    <col min="325" max="325" width="15.75" style="2617" customWidth="1"/>
    <col min="326" max="326" width="18.25" style="2617" customWidth="1"/>
    <col min="327" max="327" width="16.625" style="2617" customWidth="1"/>
    <col min="328" max="328" width="19.125" style="2617" customWidth="1"/>
    <col min="329" max="329" width="17" style="2617" customWidth="1"/>
    <col min="330" max="330" width="19.5" style="2622" customWidth="1"/>
    <col min="331" max="331" width="15.125" style="2622" customWidth="1"/>
    <col min="332" max="332" width="17.625" style="2622" customWidth="1"/>
    <col min="333" max="333" width="15.75" style="2622" customWidth="1"/>
    <col min="334" max="334" width="18.25" style="2622" customWidth="1"/>
    <col min="335" max="398" width="13.75" style="2622" customWidth="1"/>
    <col min="399" max="399" width="15.5" style="2622" customWidth="1"/>
    <col min="400" max="400" width="14.625" style="2622" customWidth="1"/>
    <col min="401" max="401" width="17.125" style="2622" customWidth="1"/>
    <col min="402" max="402" width="14.625" style="2622" customWidth="1"/>
    <col min="403" max="403" width="17.125" style="2622" customWidth="1"/>
    <col min="404" max="404" width="14.625" style="2622" customWidth="1"/>
    <col min="405" max="405" width="17.125" style="2622" customWidth="1"/>
    <col min="406" max="406" width="14.625" style="2622" customWidth="1"/>
    <col min="407" max="407" width="17.125" style="2622" customWidth="1"/>
    <col min="408" max="408" width="15.5" style="2622" customWidth="1"/>
    <col min="409" max="409" width="18" style="2622" customWidth="1"/>
    <col min="410" max="410" width="15.875" style="2622" customWidth="1"/>
    <col min="411" max="411" width="18.375" style="2622" customWidth="1"/>
    <col min="412" max="412" width="14.125" style="2622" customWidth="1"/>
    <col min="413" max="413" width="16.625" style="2622" customWidth="1"/>
    <col min="414" max="414" width="14.625" style="2622" customWidth="1"/>
    <col min="415" max="415" width="17.125" style="2622" customWidth="1"/>
    <col min="416" max="459" width="12.625" style="2622" customWidth="1"/>
    <col min="460" max="461" width="15.875" style="2622" customWidth="1"/>
    <col min="462" max="462" width="15" style="2622" customWidth="1"/>
    <col min="463" max="464" width="17.5" style="2622" customWidth="1"/>
    <col min="465" max="465" width="15" style="2622" customWidth="1"/>
    <col min="466" max="467" width="17.5" style="2622" customWidth="1"/>
    <col min="468" max="468" width="15" style="2622" customWidth="1"/>
    <col min="469" max="470" width="17.5" style="2622" customWidth="1"/>
    <col min="471" max="471" width="15" style="2622" customWidth="1"/>
    <col min="472" max="473" width="17.5" style="2622" customWidth="1"/>
    <col min="474" max="474" width="15.875" style="2622" customWidth="1"/>
    <col min="475" max="476" width="18.375" style="2622" customWidth="1"/>
    <col min="477" max="477" width="16.25" style="2622" customWidth="1"/>
    <col min="478" max="479" width="18.75" style="2622" customWidth="1"/>
    <col min="480" max="480" width="14.5" style="2622" customWidth="1"/>
    <col min="481" max="482" width="17" style="2622" customWidth="1"/>
    <col min="483" max="483" width="15" style="2622" customWidth="1"/>
    <col min="484" max="484" width="17.5" style="2622" customWidth="1"/>
    <col min="485" max="530" width="13" style="2622" customWidth="1"/>
    <col min="531" max="531" width="15.875" style="2622" customWidth="1"/>
    <col min="532" max="533" width="15" style="2622" customWidth="1"/>
    <col min="534" max="537" width="17.5" style="2622" customWidth="1"/>
    <col min="538" max="539" width="15" style="2622" customWidth="1"/>
    <col min="540" max="543" width="17.5" style="2622" customWidth="1"/>
    <col min="544" max="545" width="15" style="2622" customWidth="1"/>
    <col min="546" max="549" width="17.5" style="2622" customWidth="1"/>
    <col min="550" max="551" width="15" style="2622" customWidth="1"/>
    <col min="552" max="555" width="17.5" style="2622" customWidth="1"/>
    <col min="556" max="557" width="15.875" style="2622" customWidth="1"/>
    <col min="558" max="559" width="18.375" style="2622" customWidth="1"/>
    <col min="560" max="561" width="17.5" style="2622" customWidth="1"/>
    <col min="562" max="563" width="16.25" style="2622" customWidth="1"/>
    <col min="564" max="565" width="18.75" style="2622" customWidth="1"/>
    <col min="566" max="567" width="17.5" style="2622" customWidth="1"/>
    <col min="568" max="569" width="14.5" style="2622" customWidth="1"/>
    <col min="570" max="571" width="17" style="2622" customWidth="1"/>
    <col min="572" max="573" width="17.5" style="2622" customWidth="1"/>
    <col min="574" max="575" width="15" style="2622" customWidth="1"/>
    <col min="576" max="579" width="17.5" style="2622" customWidth="1"/>
    <col min="580" max="600" width="13" style="2622" customWidth="1"/>
    <col min="601" max="601" width="15.875" style="2622" customWidth="1"/>
    <col min="602" max="602" width="15" style="2622" customWidth="1"/>
    <col min="603" max="603" width="17.5" style="2622" customWidth="1"/>
    <col min="604" max="604" width="15" style="2622" customWidth="1"/>
    <col min="605" max="605" width="17.5" style="2622" customWidth="1"/>
    <col min="606" max="606" width="15" style="2622" customWidth="1"/>
    <col min="607" max="607" width="17.5" style="2622" customWidth="1"/>
    <col min="608" max="608" width="15" style="2622" customWidth="1"/>
    <col min="609" max="609" width="17.5" style="2622" customWidth="1"/>
    <col min="610" max="610" width="15.875" style="2622" customWidth="1"/>
    <col min="611" max="611" width="18.375" style="2622" customWidth="1"/>
    <col min="612" max="612" width="16.25" style="2622" customWidth="1"/>
    <col min="613" max="613" width="18.75" style="2622" customWidth="1"/>
    <col min="614" max="614" width="14.5" style="2622" customWidth="1"/>
    <col min="615" max="615" width="17" style="2622" customWidth="1"/>
    <col min="616" max="616" width="15" style="2622" customWidth="1"/>
    <col min="617" max="617" width="17.5" style="2622" customWidth="1"/>
    <col min="618" max="618" width="13" style="2622" customWidth="1"/>
    <col min="619" max="684" width="12.375" style="2622" customWidth="1"/>
    <col min="685" max="728" width="9" style="181"/>
    <col min="729" max="729" width="5.625" style="181" customWidth="1"/>
    <col min="730" max="730" width="9" style="181"/>
    <col min="731" max="731" width="5.625" style="181" customWidth="1"/>
    <col min="732" max="732" width="9" style="181"/>
    <col min="733" max="733" width="5.625" style="181" customWidth="1"/>
    <col min="734" max="734" width="9" style="181"/>
    <col min="735" max="735" width="5.625" style="181" customWidth="1"/>
    <col min="736" max="736" width="9" style="181"/>
    <col min="737" max="737" width="5.625" style="181" customWidth="1"/>
    <col min="738" max="738" width="9" style="181"/>
    <col min="739" max="739" width="5.625" style="181" customWidth="1"/>
    <col min="740" max="740" width="9" style="181"/>
    <col min="741" max="741" width="5.625" style="181" customWidth="1"/>
    <col min="742" max="742" width="9" style="181"/>
    <col min="743" max="743" width="5.625" style="181" customWidth="1"/>
    <col min="744" max="744" width="9" style="181"/>
    <col min="745" max="745" width="5.625" style="181" customWidth="1"/>
    <col min="746" max="746" width="9" style="181"/>
    <col min="747" max="747" width="5.625" style="181" customWidth="1"/>
    <col min="748" max="748" width="9" style="181"/>
    <col min="749" max="749" width="5.625" style="181" customWidth="1"/>
    <col min="750" max="750" width="9" style="181"/>
    <col min="751" max="751" width="5.625" style="181" customWidth="1"/>
    <col min="752" max="752" width="9" style="181"/>
    <col min="753" max="753" width="5.625" style="181" customWidth="1"/>
    <col min="754" max="754" width="9" style="181"/>
    <col min="755" max="755" width="5.625" style="181" customWidth="1"/>
    <col min="756" max="756" width="9" style="181"/>
    <col min="757" max="757" width="5.625" style="181" customWidth="1"/>
    <col min="758" max="758" width="9" style="181"/>
    <col min="759" max="759" width="5.625" style="181" customWidth="1"/>
    <col min="760" max="760" width="9" style="181"/>
    <col min="761" max="761" width="5.625" style="181" customWidth="1"/>
    <col min="762" max="762" width="9" style="181"/>
    <col min="763" max="763" width="5.625" style="181" customWidth="1"/>
    <col min="764" max="764" width="9" style="181"/>
    <col min="765" max="765" width="5.625" style="181" customWidth="1"/>
    <col min="766" max="766" width="9" style="181"/>
    <col min="767" max="768" width="5.625" style="181" customWidth="1"/>
    <col min="769" max="769" width="9" style="181"/>
    <col min="770" max="770" width="5.625" style="181" customWidth="1"/>
    <col min="771" max="771" width="9" style="181"/>
    <col min="772" max="772" width="5.625" style="181" customWidth="1"/>
    <col min="773" max="773" width="9" style="181"/>
    <col min="774" max="774" width="5.625" style="181" customWidth="1"/>
    <col min="775" max="775" width="9" style="181"/>
    <col min="776" max="777" width="5.625" style="181" customWidth="1"/>
    <col min="778" max="778" width="9" style="181"/>
    <col min="779" max="779" width="5.625" style="181" customWidth="1"/>
    <col min="780" max="780" width="12.375" style="2622" customWidth="1"/>
    <col min="781" max="781" width="5.625" style="2622" customWidth="1"/>
    <col min="782" max="782" width="12.375" style="2622" customWidth="1"/>
    <col min="783" max="783" width="5.625" style="2622" customWidth="1"/>
    <col min="784" max="784" width="12.375" style="2622" customWidth="1"/>
    <col min="785" max="785" width="5.625" style="2622" customWidth="1"/>
    <col min="786" max="786" width="12.375" style="2622" customWidth="1"/>
    <col min="787" max="787" width="3.625" style="2622" customWidth="1"/>
    <col min="788" max="788" width="12.375" style="2622" customWidth="1"/>
    <col min="789" max="789" width="3.625" style="2622" customWidth="1"/>
    <col min="790" max="790" width="12.375" style="2622" customWidth="1"/>
    <col min="791" max="791" width="3.625" style="2622" customWidth="1"/>
    <col min="792" max="792" width="12.375" style="2622" customWidth="1"/>
    <col min="793" max="793" width="3.625" style="2622" customWidth="1"/>
    <col min="794" max="794" width="12.375" style="2622" customWidth="1"/>
    <col min="795" max="797" width="3.625" style="2622" customWidth="1"/>
    <col min="798" max="800" width="12.375" style="2622" customWidth="1"/>
    <col min="801" max="801" width="3.625" style="2622" customWidth="1"/>
    <col min="802" max="802" width="12.375" style="2622" customWidth="1"/>
    <col min="803" max="803" width="3.625" style="2622" customWidth="1"/>
    <col min="804" max="804" width="12.375" style="2622" customWidth="1"/>
    <col min="805" max="805" width="3.625" style="2622" customWidth="1"/>
    <col min="806" max="806" width="15.625" style="2622" customWidth="1"/>
    <col min="807" max="807" width="3.625" style="2622" customWidth="1"/>
    <col min="808" max="808" width="12.375" style="2622" customWidth="1"/>
    <col min="809" max="809" width="3.625" style="2622" customWidth="1"/>
    <col min="810" max="810" width="12.375" style="2622" customWidth="1"/>
    <col min="811" max="811" width="3.625" style="2622" customWidth="1"/>
    <col min="812" max="812" width="12.375" style="2622" customWidth="1"/>
    <col min="813" max="813" width="3.625" style="2622" customWidth="1"/>
    <col min="814" max="824" width="12.375" style="2622" customWidth="1"/>
    <col min="825" max="825" width="5.625" style="2622" customWidth="1"/>
    <col min="826" max="826" width="12.375" style="2622" customWidth="1"/>
    <col min="827" max="827" width="3.625" style="2622" customWidth="1"/>
    <col min="828" max="828" width="12.375" style="2622" customWidth="1"/>
    <col min="829" max="829" width="3.625" style="2622" customWidth="1"/>
    <col min="830" max="830" width="8.375" style="2622" bestFit="1" customWidth="1"/>
    <col min="831" max="831" width="3.625" style="2737" customWidth="1"/>
    <col min="832" max="832" width="13.25" style="2737" bestFit="1" customWidth="1"/>
    <col min="833" max="833" width="12.375" style="2737" customWidth="1"/>
    <col min="834" max="834" width="15.625" style="2737" customWidth="1"/>
    <col min="835" max="835" width="3.625" style="2737" customWidth="1"/>
    <col min="836" max="836" width="9.625" style="2737" bestFit="1" customWidth="1"/>
    <col min="837" max="837" width="3.625" style="2737" customWidth="1"/>
    <col min="838" max="838" width="8.375" style="2737" bestFit="1" customWidth="1"/>
    <col min="839" max="839" width="3.625" style="2622" customWidth="1"/>
    <col min="840" max="840" width="13.25" style="2737" bestFit="1" customWidth="1"/>
    <col min="841" max="841" width="3.625" style="2737" customWidth="1"/>
    <col min="842" max="842" width="12.375" style="2737" customWidth="1"/>
    <col min="843" max="843" width="3.625" style="2737" customWidth="1"/>
    <col min="844" max="844" width="12.375" style="2737" customWidth="1"/>
    <col min="845" max="845" width="3.625" style="2737" customWidth="1"/>
    <col min="846" max="846" width="12.375" style="2737" customWidth="1"/>
    <col min="847" max="847" width="3.625" style="2737" customWidth="1"/>
    <col min="848" max="848" width="12.375" style="2622" customWidth="1"/>
    <col min="849" max="849" width="3.625" style="2737" customWidth="1"/>
    <col min="850" max="850" width="15.625" style="2737" customWidth="1"/>
    <col min="851" max="851" width="3.625" style="2737" customWidth="1"/>
    <col min="852" max="852" width="9.625" style="2737" bestFit="1" customWidth="1"/>
    <col min="853" max="853" width="3.625" style="2737" customWidth="1"/>
    <col min="854" max="854" width="8.375" style="2737" bestFit="1" customWidth="1"/>
    <col min="855" max="855" width="3.625" style="2737" customWidth="1"/>
    <col min="856" max="856" width="13.25" style="2737" bestFit="1" customWidth="1"/>
    <col min="857" max="857" width="3.625" style="2737" customWidth="1"/>
    <col min="858" max="858" width="3.625" style="2622" customWidth="1"/>
    <col min="859" max="859" width="3.625" style="2737" customWidth="1"/>
    <col min="860" max="860" width="15.625" style="2737" customWidth="1"/>
    <col min="861" max="861" width="3.625" style="2737" customWidth="1"/>
    <col min="862" max="862" width="9.625" style="2737" bestFit="1" customWidth="1"/>
    <col min="863" max="863" width="3.625" style="2737" customWidth="1"/>
    <col min="864" max="864" width="8.375" style="2737" bestFit="1" customWidth="1"/>
    <col min="865" max="865" width="3.625" style="2737" customWidth="1"/>
    <col min="866" max="866" width="13.25" style="2737" bestFit="1" customWidth="1"/>
    <col min="867" max="867" width="3.625" style="2622" customWidth="1"/>
    <col min="868" max="868" width="15.875" style="2737" bestFit="1" customWidth="1"/>
    <col min="869" max="869" width="3.625" style="2737" customWidth="1"/>
    <col min="870" max="870" width="12.375" style="2737" customWidth="1"/>
    <col min="871" max="871" width="3.625" style="2737" customWidth="1"/>
    <col min="872" max="872" width="12.375" style="2737" customWidth="1"/>
    <col min="873" max="873" width="15.625" style="2737" customWidth="1"/>
    <col min="874" max="874" width="3.625" style="2737" customWidth="1"/>
    <col min="875" max="875" width="9.625" style="2737" bestFit="1" customWidth="1"/>
    <col min="876" max="876" width="3.625" style="2622" customWidth="1"/>
    <col min="877" max="877" width="8.375" style="2737" bestFit="1" customWidth="1"/>
    <col min="878" max="878" width="3.625" style="2737" customWidth="1"/>
    <col min="879" max="879" width="13.25" style="2737" bestFit="1" customWidth="1"/>
    <col min="880" max="880" width="13.25" style="2737" customWidth="1"/>
    <col min="881" max="881" width="15.625" style="2737" customWidth="1"/>
    <col min="882" max="882" width="3.625" style="2737" customWidth="1"/>
    <col min="883" max="883" width="9.625" style="2737" bestFit="1" customWidth="1"/>
    <col min="884" max="884" width="3.625" style="2737" customWidth="1"/>
    <col min="885" max="885" width="8.375" style="2737" bestFit="1" customWidth="1"/>
    <col min="886" max="886" width="3.625" style="2622" customWidth="1"/>
    <col min="887" max="887" width="13.25" style="2737" bestFit="1" customWidth="1"/>
    <col min="888" max="888" width="13.25" style="2737" customWidth="1"/>
    <col min="889" max="889" width="3.625" style="2737" customWidth="1"/>
    <col min="890" max="890" width="15.625" style="2737" customWidth="1"/>
    <col min="891" max="891" width="3.625" style="2737" customWidth="1"/>
    <col min="892" max="892" width="9.625" style="2737" bestFit="1" customWidth="1"/>
    <col min="893" max="893" width="3.625" style="2737" customWidth="1"/>
    <col min="894" max="894" width="8.375" style="2622" bestFit="1" customWidth="1"/>
    <col min="895" max="895" width="3.625" style="2737" customWidth="1"/>
    <col min="896" max="896" width="13.25" style="2737" bestFit="1" customWidth="1"/>
    <col min="897" max="899" width="3.625" style="2737" customWidth="1"/>
    <col min="900" max="900" width="11.25" style="2737" bestFit="1" customWidth="1"/>
    <col min="901" max="901" width="15.625" style="2737" customWidth="1"/>
    <col min="902" max="902" width="3.625" style="2737" customWidth="1"/>
    <col min="903" max="903" width="9.625" style="2737" bestFit="1" customWidth="1"/>
    <col min="904" max="904" width="3.625" style="2737" customWidth="1"/>
    <col min="905" max="905" width="8.375" style="2737" bestFit="1" customWidth="1"/>
    <col min="906" max="906" width="3.625" style="2622" customWidth="1"/>
    <col min="907" max="907" width="13.25" style="2737" bestFit="1" customWidth="1"/>
    <col min="908" max="909" width="3.625" style="2737" customWidth="1"/>
    <col min="910" max="910" width="11.25" style="2737" bestFit="1" customWidth="1"/>
    <col min="911" max="911" width="15.625" style="2737" customWidth="1"/>
    <col min="912" max="912" width="3.625" style="2737" customWidth="1"/>
    <col min="913" max="913" width="9.625" style="2737" bestFit="1" customWidth="1"/>
    <col min="914" max="914" width="3.625" style="2737" customWidth="1"/>
    <col min="915" max="915" width="8.375" style="2737" bestFit="1" customWidth="1"/>
    <col min="916" max="916" width="3.625" style="2737" customWidth="1"/>
    <col min="917" max="917" width="13.25" style="2737" bestFit="1" customWidth="1"/>
    <col min="918" max="920" width="3.625" style="2737" customWidth="1"/>
    <col min="921" max="921" width="15.625" style="2737" customWidth="1"/>
    <col min="922" max="922" width="3.625" style="2737" customWidth="1"/>
    <col min="923" max="923" width="9.625" style="2737" bestFit="1" customWidth="1"/>
    <col min="924" max="924" width="3.625" style="2737" customWidth="1"/>
    <col min="925" max="925" width="8.375" style="2737" bestFit="1" customWidth="1"/>
    <col min="926" max="926" width="3.625" style="2737" customWidth="1"/>
    <col min="927" max="927" width="13.25" style="2737" bestFit="1" customWidth="1"/>
    <col min="928" max="930" width="3.625" style="2737" customWidth="1"/>
    <col min="931" max="931" width="15.875" style="2737" bestFit="1" customWidth="1"/>
    <col min="932" max="932" width="3.625" style="2737" customWidth="1"/>
    <col min="933" max="933" width="9.625" style="2737" bestFit="1" customWidth="1"/>
    <col min="934" max="934" width="3.625" style="2737" customWidth="1"/>
    <col min="935" max="935" width="8.375" style="2737" bestFit="1" customWidth="1"/>
    <col min="936" max="936" width="3.625" style="2737" customWidth="1"/>
    <col min="937" max="937" width="13.25" style="2737" bestFit="1" customWidth="1"/>
    <col min="938" max="938" width="3.625" style="2737" customWidth="1"/>
    <col min="939" max="939" width="15.625" style="2737" customWidth="1"/>
    <col min="940" max="940" width="3.625" style="2737" customWidth="1"/>
    <col min="941" max="941" width="9.625" style="2737" bestFit="1" customWidth="1"/>
    <col min="942" max="942" width="3.625" style="2737" customWidth="1"/>
    <col min="943" max="943" width="8.375" style="2737" bestFit="1" customWidth="1"/>
    <col min="944" max="944" width="3.625" style="2737" customWidth="1"/>
    <col min="945" max="945" width="13.25" style="2737" bestFit="1" customWidth="1"/>
    <col min="946" max="946" width="3.625" style="2737" customWidth="1"/>
    <col min="947" max="947" width="15.625" style="2737" customWidth="1"/>
    <col min="948" max="948" width="3.625" style="2737" customWidth="1"/>
    <col min="949" max="949" width="9.625" style="2737" bestFit="1" customWidth="1"/>
    <col min="950" max="950" width="3.625" style="2737" customWidth="1"/>
    <col min="951" max="951" width="8.375" style="2737" bestFit="1" customWidth="1"/>
    <col min="952" max="952" width="3.625" style="2622" customWidth="1"/>
    <col min="953" max="953" width="13.25" style="2737" bestFit="1" customWidth="1"/>
    <col min="954" max="954" width="3.625" style="2737" customWidth="1"/>
    <col min="955" max="955" width="15.625" style="2737" customWidth="1"/>
    <col min="956" max="956" width="3.625" style="2737" customWidth="1"/>
    <col min="957" max="957" width="9.625" style="2737" bestFit="1" customWidth="1"/>
    <col min="958" max="958" width="3.625" style="2737" customWidth="1"/>
    <col min="959" max="959" width="8.375" style="2737" bestFit="1" customWidth="1"/>
    <col min="960" max="960" width="3.625" style="2737" customWidth="1"/>
    <col min="961" max="961" width="13.25" style="2737" bestFit="1" customWidth="1"/>
    <col min="962" max="965" width="3.625" style="2737" customWidth="1"/>
    <col min="966" max="966" width="3.625" style="2622" customWidth="1"/>
    <col min="967" max="967" width="15.625" style="2737" customWidth="1"/>
    <col min="968" max="968" width="3.625" style="2737" customWidth="1"/>
    <col min="969" max="969" width="9.625" style="2737" bestFit="1" customWidth="1"/>
    <col min="970" max="970" width="3.625" style="2737" customWidth="1"/>
    <col min="971" max="971" width="8.375" style="2737" bestFit="1" customWidth="1"/>
    <col min="972" max="972" width="3.625" style="2737" customWidth="1"/>
    <col min="973" max="973" width="13.25" style="2737" bestFit="1" customWidth="1"/>
    <col min="974" max="974" width="3.625" style="2737" customWidth="1"/>
    <col min="975" max="975" width="15.625" style="2737" customWidth="1"/>
    <col min="976" max="976" width="3.625" style="2737" customWidth="1"/>
    <col min="977" max="977" width="9.625" style="2737" bestFit="1" customWidth="1"/>
    <col min="978" max="978" width="3.625" style="2737" customWidth="1"/>
    <col min="979" max="979" width="8.375" style="2737" bestFit="1" customWidth="1"/>
    <col min="980" max="980" width="3.625" style="2737" customWidth="1"/>
    <col min="981" max="981" width="13.25" style="2737" bestFit="1" customWidth="1"/>
    <col min="982" max="983" width="3.625" style="2737" customWidth="1"/>
    <col min="984" max="984" width="15.625" style="2737" customWidth="1"/>
    <col min="985" max="985" width="3.625" style="2737" customWidth="1"/>
    <col min="986" max="986" width="9.625" style="2737" bestFit="1" customWidth="1"/>
    <col min="987" max="987" width="3.625" style="2737" customWidth="1"/>
    <col min="988" max="988" width="8.375" style="2737" bestFit="1" customWidth="1"/>
    <col min="989" max="989" width="3.625" style="2737" customWidth="1"/>
    <col min="990" max="990" width="13.25" style="2737" bestFit="1" customWidth="1"/>
    <col min="991" max="992" width="3.625" style="2737" customWidth="1"/>
    <col min="993" max="993" width="15.625" style="2737" customWidth="1"/>
    <col min="994" max="994" width="3.625" style="2737" customWidth="1"/>
    <col min="995" max="995" width="9.625" style="2737" bestFit="1" customWidth="1"/>
    <col min="996" max="996" width="3.625" style="2737" customWidth="1"/>
    <col min="997" max="997" width="8.375" style="2737" bestFit="1" customWidth="1"/>
    <col min="998" max="998" width="3.625" style="2737" customWidth="1"/>
    <col min="999" max="999" width="13.25" style="2737" bestFit="1" customWidth="1"/>
    <col min="1000" max="1000" width="3.625" style="2737" customWidth="1"/>
    <col min="1001" max="1001" width="3.625" style="2622" customWidth="1"/>
    <col min="1002" max="1002" width="5.5" style="2737" bestFit="1" customWidth="1"/>
    <col min="1003" max="1003" width="15.625" style="2737" customWidth="1"/>
    <col min="1004" max="1004" width="3.625" style="2737" customWidth="1"/>
    <col min="1005" max="1005" width="9.625" style="2737" bestFit="1" customWidth="1"/>
    <col min="1006" max="1006" width="3.625" style="2737" customWidth="1"/>
    <col min="1007" max="1007" width="8.375" style="2737" bestFit="1" customWidth="1"/>
    <col min="1008" max="1008" width="3.625" style="2737" customWidth="1"/>
    <col min="1009" max="1009" width="13.25" style="2737" bestFit="1" customWidth="1"/>
    <col min="1010" max="1010" width="3.625" style="2737" customWidth="1"/>
    <col min="1011" max="1011" width="3.625" style="2622" customWidth="1"/>
    <col min="1012" max="1012" width="15.625" style="2622" customWidth="1"/>
    <col min="1013" max="1013" width="3.625" style="2737" customWidth="1"/>
    <col min="1014" max="1014" width="9.625" style="2737" bestFit="1" customWidth="1"/>
    <col min="1015" max="1015" width="3.625" style="2737" customWidth="1"/>
    <col min="1016" max="1016" width="8.375" style="2737" bestFit="1" customWidth="1"/>
    <col min="1017" max="1017" width="3.625" style="2737" customWidth="1"/>
    <col min="1018" max="1018" width="13.25" style="2737" bestFit="1" customWidth="1"/>
    <col min="1019" max="1019" width="3.625" style="2737" customWidth="1"/>
    <col min="1020" max="1020" width="3.625" style="2622" customWidth="1"/>
    <col min="1021" max="1021" width="15.625" style="2622" customWidth="1"/>
    <col min="1022" max="1022" width="3.625" style="2737" customWidth="1"/>
    <col min="1023" max="1023" width="9.625" style="2737" bestFit="1" customWidth="1"/>
    <col min="1024" max="1024" width="3.625" style="2737" customWidth="1"/>
    <col min="1025" max="1025" width="8.375" style="2737" bestFit="1" customWidth="1"/>
    <col min="1026" max="1026" width="3.625" style="2737" customWidth="1"/>
    <col min="1027" max="1027" width="13.25" style="2737" bestFit="1" customWidth="1"/>
    <col min="1028" max="1028" width="3.625" style="2737" customWidth="1"/>
    <col min="1029" max="1029" width="12.375" style="2737" customWidth="1"/>
    <col min="1030" max="1030" width="11.125" style="2737" customWidth="1"/>
    <col min="1031" max="1031" width="15.875" style="2737" bestFit="1" customWidth="1"/>
    <col min="1032" max="1032" width="3.625" style="2737" customWidth="1"/>
    <col min="1033" max="1033" width="12.375" style="2737" customWidth="1"/>
    <col min="1034" max="1034" width="3.625" style="2737" customWidth="1"/>
    <col min="1035" max="1035" width="16.125" style="2737" bestFit="1" customWidth="1"/>
    <col min="1036" max="1036" width="3.625" style="2737" customWidth="1"/>
    <col min="1037" max="1037" width="12.375" style="2737" customWidth="1"/>
    <col min="1038" max="1038" width="11.125" style="2737" customWidth="1"/>
    <col min="1039" max="1039" width="15.875" style="2737" bestFit="1" customWidth="1"/>
    <col min="1040" max="1040" width="3.625" style="2737" customWidth="1"/>
    <col min="1041" max="1041" width="12.375" style="2737" customWidth="1"/>
    <col min="1042" max="1042" width="3.625" style="2737" customWidth="1"/>
    <col min="1043" max="1043" width="12.375" style="2737" customWidth="1"/>
    <col min="1044" max="1044" width="3.625" style="2737" customWidth="1"/>
    <col min="1045" max="1045" width="12.375" style="2737" customWidth="1"/>
    <col min="1046" max="1046" width="5.625" style="2737" customWidth="1"/>
    <col min="1047" max="1047" width="15.875" style="2737" bestFit="1" customWidth="1"/>
    <col min="1048" max="1048" width="3.625" style="2737" customWidth="1"/>
    <col min="1049" max="1049" width="12.375" style="2737" customWidth="1"/>
    <col min="1050" max="1050" width="3.625" style="2737" customWidth="1"/>
    <col min="1051" max="1051" width="12.375" style="2737" customWidth="1"/>
    <col min="1052" max="1052" width="3.625" style="2737" customWidth="1"/>
    <col min="1053" max="1053" width="12.375" style="2737" customWidth="1"/>
    <col min="1054" max="1056" width="5.625" style="2737" customWidth="1"/>
    <col min="1057" max="1057" width="11.125" style="2737" customWidth="1"/>
    <col min="1058" max="1058" width="5.625" style="2737" customWidth="1"/>
    <col min="1059" max="1059" width="15.875" style="2737" bestFit="1" customWidth="1"/>
    <col min="1060" max="1060" width="3.625" style="2737" customWidth="1"/>
    <col min="1061" max="1061" width="12.375" style="2737" customWidth="1"/>
    <col min="1062" max="1062" width="3.625" style="2737" customWidth="1"/>
    <col min="1063" max="1063" width="12.375" style="2737" customWidth="1"/>
    <col min="1064" max="1064" width="3.625" style="2737" customWidth="1"/>
    <col min="1065" max="1065" width="12.375" style="2737" customWidth="1"/>
    <col min="1066" max="1066" width="11.125" style="2737" customWidth="1"/>
    <col min="1067" max="1067" width="15.875" style="2737" bestFit="1" customWidth="1"/>
    <col min="1068" max="1068" width="3.625" style="2737" customWidth="1"/>
    <col min="1069" max="1069" width="12.375" style="2737" customWidth="1"/>
    <col min="1070" max="1070" width="3.625" style="2737" customWidth="1"/>
    <col min="1071" max="1071" width="12.375" style="2737" customWidth="1"/>
    <col min="1072" max="1072" width="3.625" style="2737" customWidth="1"/>
    <col min="1073" max="1073" width="12.375" style="2737" customWidth="1"/>
    <col min="1074" max="1074" width="3.625" style="2737" customWidth="1"/>
    <col min="1075" max="1075" width="12.375" style="2622" customWidth="1"/>
    <col min="1076" max="1076" width="15.875" style="2737" bestFit="1" customWidth="1"/>
    <col min="1077" max="1077" width="3.625" style="2737" customWidth="1"/>
    <col min="1078" max="1078" width="12.375" style="2737" customWidth="1"/>
    <col min="1079" max="1079" width="3.625" style="2737" customWidth="1"/>
    <col min="1080" max="1080" width="12.375" style="2737" customWidth="1"/>
    <col min="1081" max="1081" width="3.625" style="2737" customWidth="1"/>
    <col min="1082" max="1082" width="12.375" style="2737" customWidth="1"/>
    <col min="1083" max="1083" width="5.625" style="2737" customWidth="1"/>
    <col min="1084" max="1084" width="15.625" style="2737" customWidth="1"/>
    <col min="1085" max="1085" width="5.625" style="2737" customWidth="1"/>
    <col min="1086" max="1086" width="15.625" style="2737" customWidth="1"/>
    <col min="1087" max="1087" width="5.625" style="2737" customWidth="1"/>
    <col min="1088" max="1088" width="15.625" style="2737" customWidth="1"/>
    <col min="1089" max="1089" width="5.625" style="2737" customWidth="1"/>
    <col min="1090" max="1090" width="3.625" style="2737" customWidth="1"/>
    <col min="1091" max="1091" width="15.625" style="2737" customWidth="1"/>
    <col min="1092" max="1092" width="5.625" style="2622" customWidth="1"/>
    <col min="1093" max="1093" width="12.375" style="2737" customWidth="1"/>
    <col min="1094" max="1094" width="5.625" style="2737" customWidth="1"/>
    <col min="1095" max="1095" width="11.625" style="2737" customWidth="1"/>
    <col min="1096" max="1096" width="3.625" style="2737" customWidth="1"/>
    <col min="1097" max="1097" width="12.375" style="2737" customWidth="1"/>
    <col min="1098" max="1098" width="3.625" style="2737" customWidth="1"/>
    <col min="1099" max="1099" width="16.125" style="2737" bestFit="1" customWidth="1"/>
    <col min="1100" max="1100" width="3.625" style="2737" customWidth="1"/>
    <col min="1101" max="1101" width="12.375" style="2737" customWidth="1"/>
    <col min="1102" max="1103" width="11.125" style="2737" customWidth="1"/>
    <col min="1104" max="1104" width="15.875" style="2737" bestFit="1" customWidth="1"/>
    <col min="1105" max="1105" width="15.625" style="2737" customWidth="1"/>
    <col min="1106" max="1106" width="5.625" style="2737" customWidth="1"/>
    <col min="1107" max="1107" width="15.625" style="2737" customWidth="1"/>
    <col min="1108" max="1108" width="5.625" style="2737" customWidth="1"/>
    <col min="1109" max="1109" width="15.625" style="2737" customWidth="1"/>
    <col min="1110" max="1110" width="5.625" style="2737" customWidth="1"/>
    <col min="1111" max="1111" width="15.625" style="2737" customWidth="1"/>
    <col min="1112" max="1112" width="5.625" style="2622" customWidth="1"/>
    <col min="1113" max="1113" width="15.875" style="2737" bestFit="1" customWidth="1"/>
    <col min="1114" max="1114" width="3.625" style="2737" customWidth="1"/>
    <col min="1115" max="1115" width="12.375" style="2737" customWidth="1"/>
    <col min="1116" max="1116" width="3.625" style="2737" customWidth="1"/>
    <col min="1117" max="1117" width="12.375" style="2737" customWidth="1"/>
    <col min="1118" max="1118" width="3.625" style="2737" customWidth="1"/>
    <col min="1119" max="1119" width="12.375" style="2737" customWidth="1"/>
    <col min="1120" max="1120" width="5.625" style="2737" customWidth="1"/>
    <col min="1121" max="1121" width="12.375" style="2737" customWidth="1"/>
    <col min="1122" max="1123" width="5.625" style="2737" customWidth="1"/>
    <col min="1124" max="1124" width="12.375" style="2737" customWidth="1"/>
    <col min="1125" max="1125" width="5.625" style="2737" customWidth="1"/>
    <col min="1126" max="1126" width="12.375" style="2737" customWidth="1"/>
    <col min="1127" max="1127" width="5.625" style="2737" customWidth="1"/>
    <col min="1128" max="1128" width="12.375" style="2737" customWidth="1"/>
    <col min="1129" max="1129" width="5.625" style="2737" customWidth="1"/>
    <col min="1130" max="1172" width="12.375" style="2737" customWidth="1"/>
    <col min="1173" max="1173" width="5.625" style="2737" customWidth="1"/>
    <col min="1174" max="1174" width="15.875" style="2737" bestFit="1" customWidth="1"/>
    <col min="1175" max="1175" width="3.625" style="2737" customWidth="1"/>
    <col min="1176" max="1176" width="12.375" style="2737" customWidth="1"/>
    <col min="1177" max="1177" width="3.625" style="2737" customWidth="1"/>
    <col min="1178" max="1178" width="12.375" style="2737" customWidth="1"/>
    <col min="1179" max="1179" width="3.625" style="2737" customWidth="1"/>
    <col min="1180" max="1180" width="12.375" style="4124" customWidth="1"/>
    <col min="1181" max="1181" width="3.625" style="5162" customWidth="1"/>
    <col min="1182" max="1183" width="12.375" style="5162" customWidth="1"/>
    <col min="1184" max="1184" width="3.625" style="5162" customWidth="1"/>
    <col min="1185" max="1185" width="12.375" style="5162" customWidth="1"/>
    <col min="1186" max="1186" width="3.625" style="5162" customWidth="1"/>
    <col min="1187" max="1187" width="12.375" style="5162" customWidth="1"/>
    <col min="1188" max="1188" width="3.625" style="5162" customWidth="1"/>
    <col min="1189" max="1189" width="12.375" style="5162" customWidth="1"/>
    <col min="1190" max="1190" width="11.125" style="2737" customWidth="1"/>
    <col min="1191" max="1191" width="15.875" style="2737" bestFit="1" customWidth="1"/>
    <col min="1192" max="1192" width="3.625" style="2737" customWidth="1"/>
    <col min="1193" max="1193" width="12.375" style="2737" customWidth="1"/>
    <col min="1194" max="1194" width="3.625" style="2737" customWidth="1"/>
    <col min="1195" max="1195" width="12.375" style="2737" customWidth="1"/>
    <col min="1196" max="1196" width="3.625" style="2737" customWidth="1"/>
    <col min="1197" max="1197" width="12.375" style="2737" customWidth="1"/>
    <col min="1198" max="1198" width="11.125" style="2737" customWidth="1"/>
    <col min="1199" max="1199" width="15.875" style="2737" bestFit="1" customWidth="1"/>
    <col min="1200" max="1200" width="3.625" style="2737" customWidth="1"/>
    <col min="1201" max="1201" width="12.375" style="2737" customWidth="1"/>
    <col min="1202" max="1202" width="3.625" style="2737" customWidth="1"/>
    <col min="1203" max="1203" width="12.375" style="2737" customWidth="1"/>
    <col min="1204" max="1204" width="3.625" style="2737" customWidth="1"/>
    <col min="1205" max="1205" width="12.375" style="2737" customWidth="1"/>
    <col min="1206" max="1206" width="11.125" style="2737" customWidth="1"/>
    <col min="1207" max="1207" width="15.875" style="2737" bestFit="1" customWidth="1"/>
    <col min="1208" max="1208" width="3.625" style="2737" customWidth="1"/>
    <col min="1209" max="1209" width="12.375" style="2737" customWidth="1"/>
    <col min="1210" max="1210" width="3.625" style="2737" customWidth="1"/>
    <col min="1211" max="1211" width="12.375" style="2737" customWidth="1"/>
    <col min="1212" max="1212" width="3.625" style="2737" customWidth="1"/>
    <col min="1213" max="1213" width="12.375" style="2737" customWidth="1"/>
    <col min="1214" max="1214" width="3.625" style="2737" customWidth="1"/>
    <col min="1215" max="1215" width="12.375" style="2622" customWidth="1"/>
    <col min="1216" max="1216" width="15.875" style="2737" bestFit="1" customWidth="1"/>
    <col min="1217" max="1217" width="3.625" style="2737" customWidth="1"/>
    <col min="1218" max="1218" width="12.375" style="2737" customWidth="1"/>
    <col min="1219" max="1219" width="3.625" style="2737" customWidth="1"/>
    <col min="1220" max="1220" width="12.375" style="2737" customWidth="1"/>
    <col min="1221" max="1221" width="3.625" style="2737" customWidth="1"/>
    <col min="1222" max="1223" width="12.375" style="2737" customWidth="1"/>
    <col min="1224" max="1224" width="5.625" style="2737" customWidth="1"/>
    <col min="1225" max="1225" width="15.875" style="2737" bestFit="1" customWidth="1"/>
    <col min="1226" max="1226" width="3.625" style="2737" customWidth="1"/>
    <col min="1227" max="1227" width="12.375" style="2737" customWidth="1"/>
    <col min="1228" max="1228" width="3.625" style="2737" customWidth="1"/>
    <col min="1229" max="1229" width="12.375" style="2737" customWidth="1"/>
    <col min="1230" max="1230" width="3.625" style="2737" customWidth="1"/>
    <col min="1231" max="1231" width="12.375" style="2737" customWidth="1"/>
    <col min="1232" max="1232" width="11.125" style="2737" customWidth="1"/>
    <col min="1233" max="1233" width="15.875" style="2737" bestFit="1" customWidth="1"/>
    <col min="1234" max="1234" width="3.625" style="2737" customWidth="1"/>
    <col min="1235" max="1235" width="12.375" style="2737" customWidth="1"/>
    <col min="1236" max="1236" width="3.625" style="2737" customWidth="1"/>
    <col min="1237" max="1237" width="12.375" style="2737" customWidth="1"/>
    <col min="1238" max="1238" width="3.625" style="2737" customWidth="1"/>
    <col min="1239" max="1239" width="12.375" style="2737" customWidth="1"/>
    <col min="1240" max="1240" width="3.625" style="2737" customWidth="1"/>
    <col min="1241" max="1241" width="12.375" style="2622" customWidth="1"/>
    <col min="1242" max="1242" width="15.875" style="2737" bestFit="1" customWidth="1"/>
    <col min="1243" max="1243" width="3.625" style="2737" customWidth="1"/>
    <col min="1244" max="1244" width="12.375" style="2737" customWidth="1"/>
    <col min="1245" max="1245" width="3.625" style="2737" customWidth="1"/>
    <col min="1246" max="1246" width="12.375" style="2737" customWidth="1"/>
    <col min="1247" max="1247" width="3.625" style="2737" customWidth="1"/>
    <col min="1248" max="1255" width="12.375" style="2737" customWidth="1"/>
    <col min="1256" max="1256" width="15.875" style="2737" bestFit="1" customWidth="1"/>
    <col min="1257" max="1257" width="31.5" style="2737" bestFit="1" customWidth="1"/>
    <col min="1258" max="1258" width="12.375" style="2737" customWidth="1"/>
    <col min="1259" max="1259" width="3.625" style="2737" customWidth="1"/>
    <col min="1260" max="1260" width="12.375" style="2737" customWidth="1"/>
    <col min="1261" max="1261" width="3.625" style="2737" customWidth="1"/>
    <col min="1262" max="1262" width="12.375" style="2737" customWidth="1"/>
    <col min="1263" max="1263" width="12.375" style="2622" customWidth="1"/>
    <col min="1264" max="1264" width="15.875" style="2737" bestFit="1" customWidth="1"/>
    <col min="1265" max="1265" width="3.625" style="2737" customWidth="1"/>
    <col min="1266" max="1266" width="12.375" style="2737" customWidth="1"/>
    <col min="1267" max="1267" width="3.625" style="2737" customWidth="1"/>
    <col min="1268" max="1268" width="12.375" style="2737" customWidth="1"/>
    <col min="1269" max="1269" width="3.625" style="2737" customWidth="1"/>
    <col min="1270" max="1270" width="12.375" style="2737" customWidth="1"/>
    <col min="1271" max="1271" width="3.625" style="2737" customWidth="1"/>
    <col min="1272" max="1272" width="12.375" style="2622" customWidth="1"/>
    <col min="1273" max="1273" width="15.875" style="2737" bestFit="1" customWidth="1"/>
    <col min="1274" max="1274" width="3.625" style="2737" customWidth="1"/>
    <col min="1275" max="1275" width="12.375" style="2737" customWidth="1"/>
    <col min="1276" max="1276" width="3.625" style="2737" customWidth="1"/>
    <col min="1277" max="1277" width="12.375" style="2737" customWidth="1"/>
    <col min="1278" max="1278" width="3.625" style="2737" customWidth="1"/>
    <col min="1279" max="1279" width="12.375" style="2737" customWidth="1"/>
    <col min="1280" max="1280" width="3.625" style="2737" customWidth="1"/>
    <col min="1281" max="1281" width="12.375" style="2737" customWidth="1"/>
    <col min="1282" max="1282" width="15.875" style="2737" bestFit="1" customWidth="1"/>
    <col min="1283" max="1283" width="3.625" style="2737" customWidth="1"/>
    <col min="1284" max="1284" width="12.375" style="2737" customWidth="1"/>
    <col min="1285" max="1285" width="3.625" style="2737" customWidth="1"/>
    <col min="1286" max="1286" width="12.375" style="2737" customWidth="1"/>
    <col min="1287" max="1287" width="3.625" style="2737" customWidth="1"/>
    <col min="1288" max="1288" width="12.375" style="2737" customWidth="1"/>
    <col min="1289" max="1289" width="15.625" style="2622" bestFit="1" customWidth="1"/>
    <col min="1290" max="1291" width="15.625" style="2622" customWidth="1"/>
    <col min="1292" max="1292" width="14.875" style="2622" bestFit="1" customWidth="1"/>
    <col min="1293" max="1299" width="14.875" style="2622" customWidth="1"/>
    <col min="1300" max="1300" width="14.875" style="2622" bestFit="1" customWidth="1"/>
    <col min="1301" max="1301" width="14.875" style="2622" customWidth="1"/>
    <col min="1302" max="1302" width="29.125" style="2622" bestFit="1" customWidth="1"/>
    <col min="1303" max="1303" width="29.125" style="2622" customWidth="1"/>
    <col min="1304" max="1304" width="14.875" style="2622" bestFit="1" customWidth="1"/>
    <col min="1305" max="1305" width="21.625" style="2622" bestFit="1" customWidth="1"/>
    <col min="1306" max="1306" width="15.5" style="2622" bestFit="1" customWidth="1"/>
    <col min="1307" max="1307" width="14" style="2622" customWidth="1"/>
    <col min="1308" max="1311" width="9" style="2622"/>
    <col min="1312" max="1314" width="9" style="2617"/>
    <col min="1315" max="1315" width="15" style="2617" bestFit="1" customWidth="1"/>
    <col min="1316" max="1335" width="9" style="2617"/>
    <col min="1336" max="1336" width="17.5" style="2617" customWidth="1"/>
    <col min="1337" max="1337" width="28" style="2617" bestFit="1" customWidth="1"/>
    <col min="1338" max="1338" width="25.625" style="2617" customWidth="1"/>
    <col min="1339" max="1339" width="25.5" style="2617" customWidth="1"/>
    <col min="1340" max="1340" width="25.625" style="2617" bestFit="1" customWidth="1"/>
    <col min="1341" max="1341" width="26.375" style="2617" customWidth="1"/>
    <col min="1342" max="1342" width="26.875" style="2617" customWidth="1"/>
    <col min="1343" max="1343" width="26" style="2617" bestFit="1" customWidth="1"/>
    <col min="1344" max="1344" width="25.625" style="2617" customWidth="1"/>
    <col min="1345" max="1348" width="34.25" style="2617" customWidth="1"/>
    <col min="1349" max="1349" width="35.125" style="2617" customWidth="1"/>
    <col min="1350" max="1350" width="35.5" style="2617" customWidth="1"/>
    <col min="1351" max="1351" width="33.75" style="2617" customWidth="1"/>
    <col min="1352" max="1352" width="34.25" style="2617" customWidth="1"/>
    <col min="1353" max="1356" width="33.875" style="2617" customWidth="1"/>
    <col min="1357" max="1357" width="34.875" style="2617" customWidth="1"/>
    <col min="1358" max="1358" width="35.125" style="2617" customWidth="1"/>
    <col min="1359" max="1359" width="33.375" style="2617" customWidth="1"/>
    <col min="1360" max="1360" width="33.875" style="2617" customWidth="1"/>
    <col min="1361" max="1361" width="26.25" style="2617" customWidth="1"/>
    <col min="1362" max="1362" width="27.5" style="2617" customWidth="1"/>
    <col min="1363" max="1382" width="24.375" style="2617" customWidth="1"/>
    <col min="1383" max="1383" width="21.75" style="2617" customWidth="1"/>
    <col min="1384" max="1384" width="22.375" style="2617" customWidth="1"/>
    <col min="1385" max="1390" width="9" style="2617"/>
    <col min="1391" max="1391" width="13" style="2617" customWidth="1"/>
    <col min="1392" max="1395" width="18.75" style="2617" customWidth="1"/>
    <col min="1396" max="1396" width="19.625" style="2617" customWidth="1"/>
    <col min="1397" max="1397" width="20" style="2617" customWidth="1"/>
    <col min="1398" max="1398" width="18.25" style="2617" customWidth="1"/>
    <col min="1399" max="1399" width="18.75" style="2617" customWidth="1"/>
    <col min="1400" max="1400" width="9" style="2617"/>
    <col min="1401" max="1409" width="18" style="2617" customWidth="1"/>
    <col min="1410" max="1437" width="9" style="2617"/>
    <col min="1438" max="1438" width="18.875" style="2617" customWidth="1"/>
    <col min="1439" max="1439" width="9" style="2617"/>
    <col min="1440" max="1440" width="7.5" style="2622" bestFit="1" customWidth="1"/>
    <col min="1441" max="1441" width="14.625" style="2622" bestFit="1" customWidth="1"/>
    <col min="1442" max="1442" width="7.125" style="2622" bestFit="1" customWidth="1"/>
    <col min="1443" max="1443" width="15.25" style="2622" bestFit="1" customWidth="1"/>
    <col min="1444" max="1447" width="7.625" style="2622" customWidth="1"/>
    <col min="1448" max="1448" width="7.5" style="2622" customWidth="1"/>
    <col min="1449" max="1449" width="16.875" style="2622" bestFit="1" customWidth="1"/>
    <col min="1450" max="1451" width="7.5" style="2622" customWidth="1"/>
    <col min="1452" max="1452" width="14.75" style="2622" bestFit="1" customWidth="1"/>
    <col min="1453" max="1464" width="7.5" style="2622" customWidth="1"/>
    <col min="1465" max="1465" width="13" style="2622" bestFit="1" customWidth="1"/>
    <col min="1466" max="1466" width="16.375" style="2617" customWidth="1"/>
    <col min="1467" max="1467" width="9" style="2617"/>
    <col min="1468" max="1468" width="7.5" style="2622" bestFit="1" customWidth="1"/>
    <col min="1469" max="1469" width="18.625" style="2622" customWidth="1"/>
    <col min="1470" max="1470" width="14.625" style="2622" bestFit="1" customWidth="1"/>
    <col min="1471" max="1471" width="9.5" style="2622" bestFit="1" customWidth="1"/>
    <col min="1472" max="1472" width="15.25" style="2622" bestFit="1" customWidth="1"/>
    <col min="1473" max="1479" width="15.25" style="2622" customWidth="1"/>
    <col min="1480" max="1480" width="16.375" style="2617" customWidth="1"/>
    <col min="1481" max="1481" width="9" style="2617"/>
    <col min="1482" max="1482" width="8.375" style="2622" bestFit="1" customWidth="1"/>
    <col min="1483" max="1483" width="14.625" style="2622" bestFit="1" customWidth="1"/>
    <col min="1484" max="1484" width="7.125" style="2622" bestFit="1" customWidth="1"/>
    <col min="1485" max="1485" width="21" style="2622" customWidth="1"/>
    <col min="1486" max="1486" width="7.5" style="2622" customWidth="1"/>
    <col min="1487" max="1487" width="26.25" style="2622" bestFit="1" customWidth="1"/>
    <col min="1488" max="1488" width="28.25" style="2617" customWidth="1"/>
    <col min="1489" max="1489" width="15.5" style="2617" bestFit="1" customWidth="1"/>
    <col min="1490" max="1490" width="14.625" style="2622" bestFit="1" customWidth="1"/>
    <col min="1491" max="1491" width="24.25" style="2617" bestFit="1" customWidth="1"/>
    <col min="1492" max="1492" width="9" style="2617"/>
    <col min="1493" max="1493" width="15.625" style="2617" bestFit="1" customWidth="1"/>
    <col min="1494" max="1494" width="30.375" style="2617" bestFit="1" customWidth="1"/>
    <col min="1495" max="1495" width="5" style="2617" bestFit="1" customWidth="1"/>
    <col min="1496" max="1496" width="42.875" style="2617" bestFit="1" customWidth="1"/>
    <col min="1497" max="1497" width="8.125" style="2617" bestFit="1" customWidth="1"/>
    <col min="1498" max="1498" width="25.625" style="2617" bestFit="1" customWidth="1"/>
    <col min="1499" max="1499" width="3.75" style="2617" bestFit="1" customWidth="1"/>
    <col min="1500" max="1500" width="40.375" style="2617" bestFit="1" customWidth="1"/>
    <col min="1501" max="1501" width="4.5" style="2617" bestFit="1" customWidth="1"/>
    <col min="1502" max="1502" width="53.125" style="2617" bestFit="1" customWidth="1"/>
    <col min="1503" max="1503" width="4.5" style="2617" bestFit="1" customWidth="1"/>
    <col min="1504" max="1504" width="16.5" style="2617" bestFit="1" customWidth="1"/>
    <col min="1505" max="1505" width="12.375" style="2617" bestFit="1" customWidth="1"/>
    <col min="1506" max="1506" width="16.5" style="2617" bestFit="1" customWidth="1"/>
    <col min="1507" max="1507" width="15.375" style="2617" bestFit="1" customWidth="1"/>
    <col min="1508" max="16384" width="9" style="2617"/>
  </cols>
  <sheetData>
    <row r="1" spans="1:1490" x14ac:dyDescent="0.2">
      <c r="ZI1" s="2622"/>
      <c r="ZJ1" s="2622"/>
      <c r="ZK1" s="2622"/>
      <c r="ZL1" s="2622"/>
      <c r="ZM1" s="2622"/>
      <c r="ZN1" s="2622"/>
      <c r="ZO1" s="2622"/>
      <c r="ZP1" s="2622"/>
      <c r="ZQ1" s="2622"/>
      <c r="ZR1" s="2622"/>
      <c r="ZS1" s="2622"/>
      <c r="ZT1" s="2622"/>
      <c r="ZU1" s="2622"/>
      <c r="ZV1" s="2622"/>
      <c r="ZW1" s="2622"/>
      <c r="ZX1" s="2622"/>
      <c r="ZY1" s="2622"/>
      <c r="ZZ1" s="2622"/>
      <c r="AAA1" s="2622"/>
      <c r="AAB1" s="2622"/>
      <c r="AAC1" s="2622"/>
      <c r="AAD1" s="2622"/>
      <c r="AAE1" s="2622"/>
      <c r="AAF1" s="2622"/>
      <c r="AAG1" s="2622"/>
      <c r="AAH1" s="2622"/>
      <c r="AAI1" s="2622"/>
      <c r="AAJ1" s="2622"/>
      <c r="AAK1" s="2622"/>
      <c r="AAL1" s="2622"/>
      <c r="AAM1" s="2622"/>
      <c r="AAN1" s="2622"/>
      <c r="AAO1" s="2622"/>
      <c r="AAP1" s="2622"/>
      <c r="AAQ1" s="2622"/>
      <c r="AAR1" s="2622"/>
      <c r="AAS1" s="2622"/>
      <c r="AAT1" s="2622"/>
      <c r="AAU1" s="2622"/>
      <c r="AAV1" s="2622"/>
      <c r="AAW1" s="2622"/>
      <c r="AAX1" s="2622"/>
      <c r="AAY1" s="2622"/>
      <c r="AAZ1" s="2622"/>
      <c r="ABA1" s="2622"/>
      <c r="ABB1" s="2737"/>
      <c r="ABC1" s="2737"/>
      <c r="ABD1" s="2737"/>
      <c r="ABE1" s="2737"/>
      <c r="ABF1" s="2737"/>
      <c r="ABG1" s="2737"/>
      <c r="ABH1" s="2737"/>
      <c r="ABI1" s="2737"/>
      <c r="ABJ1" s="2622"/>
      <c r="ABK1" s="2622"/>
      <c r="ABL1" s="2737"/>
      <c r="ABM1" s="2737"/>
      <c r="ABN1" s="2737"/>
      <c r="ABO1" s="2737"/>
      <c r="ABP1" s="2737"/>
      <c r="ABQ1" s="2737"/>
      <c r="ABR1" s="2737"/>
      <c r="ABS1" s="2737"/>
      <c r="ABT1" s="2622"/>
      <c r="ABU1" s="2622"/>
      <c r="ABV1" s="2737"/>
      <c r="ABW1" s="2737"/>
      <c r="ABX1" s="2737"/>
      <c r="ABY1" s="2737"/>
      <c r="ABZ1" s="2737"/>
      <c r="ACA1" s="2737"/>
      <c r="ACB1" s="2737"/>
      <c r="ACC1" s="2737"/>
      <c r="ACD1" s="2737"/>
      <c r="ACE1" s="2622"/>
      <c r="ACF1" s="2737"/>
      <c r="ACG1" s="2737"/>
      <c r="ACH1" s="2737"/>
      <c r="ACI1" s="2737"/>
      <c r="ACJ1" s="2737"/>
      <c r="ACK1" s="2737"/>
      <c r="ACL1" s="2737"/>
      <c r="ACM1" s="2737"/>
      <c r="ACN1" s="2622"/>
      <c r="ACO1" s="2737"/>
      <c r="ACP1" s="2737"/>
      <c r="ACQ1" s="2737"/>
      <c r="ACR1" s="2737"/>
      <c r="ACS1" s="2737"/>
      <c r="ACT1" s="2737"/>
      <c r="ACU1" s="2737"/>
      <c r="ACV1" s="2737"/>
      <c r="ACW1" s="2622"/>
      <c r="ACX1" s="2737"/>
      <c r="ACY1" s="2737"/>
      <c r="ACZ1" s="2737"/>
      <c r="ADA1" s="2737"/>
      <c r="ADB1" s="2737"/>
      <c r="ADC1" s="2737"/>
      <c r="ADD1" s="2737"/>
      <c r="ADE1" s="2737"/>
      <c r="ADF1" s="2737"/>
      <c r="ADH1" s="2737"/>
      <c r="ADI1" s="2737"/>
      <c r="ADJ1" s="2737"/>
      <c r="ADK1" s="2737"/>
      <c r="ADL1" s="2737"/>
      <c r="ADM1" s="2737"/>
      <c r="ADN1" s="2737"/>
      <c r="ADO1" s="2737"/>
      <c r="ADQ1" s="2737"/>
      <c r="ADR1" s="2737"/>
      <c r="ADS1" s="2737"/>
      <c r="ADT1" s="2737"/>
      <c r="ADU1" s="2737"/>
      <c r="ADV1" s="2737"/>
      <c r="ADW1" s="2737"/>
      <c r="ADX1" s="2737"/>
      <c r="ADY1" s="2737"/>
      <c r="ADZ1" s="2737"/>
      <c r="AEA1" s="2737"/>
      <c r="AEB1" s="2737"/>
      <c r="AEC1" s="2737"/>
      <c r="AED1" s="2737"/>
      <c r="AEE1" s="2737"/>
      <c r="AEF1" s="2737"/>
      <c r="AEG1" s="2737"/>
      <c r="AEH1" s="2737"/>
      <c r="AEI1" s="2737"/>
      <c r="AEJ1" s="2737"/>
      <c r="AEK1" s="2737"/>
      <c r="AEL1" s="2737"/>
      <c r="AEM1" s="2737"/>
      <c r="AEN1" s="2737"/>
      <c r="AEO1" s="2737"/>
      <c r="AEP1" s="2737"/>
      <c r="AEQ1" s="2737"/>
      <c r="AER1" s="2737"/>
      <c r="AES1" s="2737"/>
      <c r="AET1" s="2737"/>
      <c r="AEU1" s="2737"/>
      <c r="AEV1" s="2737"/>
      <c r="AEW1" s="2737"/>
      <c r="AEX1" s="2737"/>
      <c r="AFG1" s="2737"/>
      <c r="AFP1" s="2737"/>
      <c r="AGI1" s="2737"/>
      <c r="AGN1" s="2622"/>
      <c r="AGR1" s="2737"/>
      <c r="AHB1" s="2737"/>
      <c r="AHJ1" s="2737"/>
      <c r="AHV1" s="2737"/>
      <c r="AHY1" s="2622"/>
      <c r="AII1" s="2622"/>
      <c r="AIJ1" s="2622"/>
      <c r="AIR1" s="2622"/>
      <c r="AIS1" s="2622"/>
      <c r="AJP1" s="2737"/>
      <c r="AKD1" s="2737"/>
      <c r="AKU1" s="2622"/>
      <c r="ALL1" s="2622"/>
      <c r="ALM1" s="2737"/>
      <c r="ALW1" s="2737"/>
      <c r="ALX1" s="2737"/>
      <c r="AMG1" s="2737"/>
      <c r="AOI1" s="2737"/>
      <c r="AOV1" s="4124"/>
      <c r="AOW1" s="5162"/>
      <c r="AOX1" s="5162"/>
      <c r="AOY1" s="5162"/>
      <c r="AOZ1" s="5162"/>
      <c r="APA1" s="5162"/>
      <c r="APB1" s="5162"/>
      <c r="APC1" s="5162"/>
      <c r="APD1" s="5162"/>
      <c r="APE1" s="5162"/>
      <c r="APT1" s="2737"/>
      <c r="AQE1" s="2622"/>
      <c r="ARE1" s="2622"/>
      <c r="ASA1" s="2622"/>
      <c r="ASJ1" s="2622"/>
      <c r="ASK1" s="2737"/>
      <c r="ASL1" s="2737"/>
      <c r="ASM1" s="2737"/>
      <c r="ASN1" s="2737"/>
      <c r="ASO1" s="2737"/>
      <c r="ASP1" s="2737"/>
      <c r="ASQ1" s="2737"/>
      <c r="ASR1" s="2737"/>
      <c r="ASS1" s="2737"/>
      <c r="ATA1" s="2622"/>
      <c r="ATB1" s="2622"/>
      <c r="ATC1" s="2622"/>
      <c r="ATD1" s="2622"/>
      <c r="ATE1" s="2622"/>
      <c r="ATF1" s="2622"/>
      <c r="ATG1" s="2622"/>
      <c r="ATH1" s="2622"/>
      <c r="ATI1" s="2622"/>
      <c r="ATJ1" s="2622"/>
      <c r="ATK1" s="2622"/>
      <c r="ATL1" s="2622"/>
      <c r="ATM1" s="2622"/>
      <c r="ATN1" s="2622"/>
      <c r="ATO1" s="2622"/>
      <c r="ATP1" s="2622"/>
      <c r="ATQ1" s="2622"/>
      <c r="ATR1" s="2622"/>
      <c r="ATT1" s="2622"/>
      <c r="ATU1" s="2622"/>
      <c r="ATV1" s="2622"/>
      <c r="ATW1" s="2622"/>
      <c r="ATX1" s="2617"/>
      <c r="ATY1" s="2617"/>
      <c r="ATZ1" s="2617"/>
      <c r="AUA1" s="2617"/>
      <c r="AUB1" s="2617"/>
      <c r="AUC1" s="2617"/>
      <c r="AUD1" s="2617"/>
      <c r="AUE1" s="2617"/>
      <c r="AUF1" s="2617"/>
      <c r="AUG1" s="2617"/>
      <c r="AUH1" s="2617"/>
      <c r="AUI1" s="2617"/>
      <c r="AUJ1" s="2617"/>
      <c r="AUK1" s="2617"/>
      <c r="AUL1" s="2617"/>
      <c r="AUM1" s="2617"/>
      <c r="AUN1" s="2617"/>
      <c r="AUO1" s="2617"/>
      <c r="AUP1" s="2617"/>
      <c r="AUQ1" s="2617"/>
      <c r="AUR1" s="2617"/>
      <c r="AUS1" s="2617"/>
      <c r="AUT1" s="2617"/>
      <c r="AUU1" s="2617"/>
      <c r="AUV1" s="2617"/>
      <c r="AUW1" s="2617"/>
      <c r="AUX1" s="2617"/>
      <c r="AUY1" s="2617"/>
      <c r="AUZ1" s="2617"/>
      <c r="AVA1" s="2617"/>
      <c r="AVB1" s="2617"/>
      <c r="AVC1" s="2617"/>
      <c r="AVD1" s="2617"/>
      <c r="AVE1" s="2617"/>
      <c r="AVF1" s="2617"/>
      <c r="AVG1" s="2617"/>
      <c r="AVH1" s="2617"/>
      <c r="AVI1" s="2617"/>
      <c r="AVJ1" s="2617"/>
      <c r="AVK1" s="2617"/>
      <c r="AVL1" s="2617"/>
      <c r="AVM1" s="2617"/>
      <c r="AVN1" s="2617"/>
      <c r="AVO1" s="2617"/>
      <c r="AVP1" s="2617"/>
      <c r="AVQ1" s="2617"/>
      <c r="AVR1" s="2617"/>
      <c r="AVS1" s="2617"/>
      <c r="AVT1" s="2617"/>
      <c r="AVU1" s="2617"/>
      <c r="AVV1" s="2617"/>
      <c r="AVW1" s="2617"/>
      <c r="AVX1" s="2617"/>
      <c r="AVY1" s="2617"/>
      <c r="AVZ1" s="2617"/>
      <c r="AWA1" s="2617"/>
      <c r="AWB1" s="2617"/>
      <c r="AWC1" s="2617"/>
      <c r="AWD1" s="2617"/>
      <c r="AWE1" s="2617"/>
      <c r="AWF1" s="2617"/>
      <c r="AWG1" s="2617"/>
      <c r="AWH1" s="2617"/>
      <c r="AWI1" s="2617"/>
      <c r="AWJ1" s="2617"/>
      <c r="AWK1" s="2617"/>
      <c r="AWL1" s="2617"/>
      <c r="AWM1" s="2617"/>
      <c r="AWN1" s="2617"/>
      <c r="AWO1" s="2617"/>
      <c r="AWP1" s="2617"/>
      <c r="AWQ1" s="2617"/>
      <c r="AWR1" s="2617"/>
      <c r="AWS1" s="2617"/>
      <c r="AWT1" s="2617"/>
      <c r="AWU1" s="2617"/>
      <c r="AWV1" s="2617"/>
      <c r="AWW1" s="2617"/>
      <c r="AWX1" s="2617"/>
      <c r="AWY1" s="2617"/>
      <c r="AWZ1" s="2617"/>
      <c r="AXA1" s="2617"/>
      <c r="AXB1" s="2617"/>
      <c r="AXC1" s="2617"/>
      <c r="AXD1" s="2617"/>
      <c r="AXE1" s="2617"/>
      <c r="AXF1" s="2617"/>
      <c r="AXG1" s="2617"/>
      <c r="AXH1" s="2617"/>
      <c r="AXI1" s="2617"/>
      <c r="AXJ1" s="2617"/>
      <c r="AXK1" s="2617"/>
      <c r="AYV1" s="2622"/>
      <c r="AYW1" s="2622"/>
      <c r="AYX1" s="2622"/>
      <c r="AYY1" s="2622"/>
      <c r="AYZ1" s="2622"/>
      <c r="AZA1" s="2622"/>
      <c r="AZB1" s="2622"/>
      <c r="AZC1" s="2622"/>
      <c r="AZD1" s="2622"/>
      <c r="AZE1" s="2622"/>
      <c r="AZF1" s="2622"/>
      <c r="AZG1" s="2622"/>
      <c r="AZH1" s="2622"/>
      <c r="AZI1" s="2622"/>
      <c r="AZJ1" s="2622"/>
      <c r="AZK1" s="2622"/>
      <c r="AZL1" s="2622"/>
      <c r="AZM1" s="2622"/>
      <c r="AZN1" s="2622"/>
      <c r="AZO1" s="2622"/>
      <c r="AZP1" s="2622"/>
      <c r="AZQ1" s="2622"/>
      <c r="AZR1" s="2622"/>
      <c r="AZS1" s="2622"/>
      <c r="AZT1" s="2622"/>
      <c r="AZU1" s="2622"/>
      <c r="AZX1" s="2622"/>
      <c r="AZY1" s="2622"/>
      <c r="AZZ1" s="2622"/>
      <c r="BAA1" s="2622"/>
      <c r="BAB1" s="2622"/>
      <c r="BAC1" s="2622"/>
      <c r="BAD1" s="2622"/>
      <c r="BAE1" s="2622"/>
      <c r="BAF1" s="2622"/>
      <c r="BAG1" s="2622"/>
      <c r="BAH1" s="2622"/>
      <c r="BAI1" s="2622"/>
      <c r="BAL1" s="2622"/>
      <c r="BAM1" s="2622"/>
      <c r="BAN1" s="2622"/>
      <c r="BAO1" s="2622"/>
      <c r="BAP1" s="2622"/>
      <c r="BAQ1" s="2622"/>
      <c r="BAT1" s="2622"/>
      <c r="BCJ1" s="2617"/>
      <c r="BCK1" s="2617"/>
      <c r="BCL1" s="2617"/>
      <c r="BCM1" s="2617"/>
      <c r="BCN1" s="2617"/>
      <c r="BCO1" s="2617"/>
      <c r="BCP1" s="2617"/>
      <c r="BCQ1" s="2617"/>
      <c r="BCR1" s="2617"/>
      <c r="BCS1" s="2617"/>
      <c r="BCT1" s="2617"/>
      <c r="BCU1" s="2617"/>
      <c r="BCV1" s="2617"/>
      <c r="BCW1" s="2617"/>
      <c r="BCX1" s="2617"/>
      <c r="BCY1" s="2617"/>
      <c r="BCZ1" s="2617"/>
      <c r="BDA1" s="2617"/>
      <c r="BDB1" s="2617"/>
      <c r="BDC1" s="2617"/>
      <c r="BDD1" s="2617"/>
      <c r="BDE1" s="2617"/>
      <c r="BDF1" s="2617"/>
      <c r="BDG1" s="2617"/>
      <c r="BDH1" s="2617"/>
      <c r="BDI1" s="2617"/>
      <c r="BDL1" s="2617"/>
      <c r="BDM1" s="2617"/>
      <c r="BDN1" s="2617"/>
      <c r="BDO1" s="2617"/>
      <c r="BDP1" s="2617"/>
      <c r="BDQ1" s="2617"/>
      <c r="BDR1" s="2617"/>
      <c r="BDS1" s="2617"/>
      <c r="BDT1" s="2617"/>
      <c r="BDU1" s="2617"/>
      <c r="BDV1" s="2617"/>
      <c r="BDW1" s="2617"/>
      <c r="BDZ1" s="2617"/>
      <c r="BEA1" s="2617"/>
      <c r="BEB1" s="2617"/>
      <c r="BEC1" s="2617"/>
      <c r="BED1" s="2617"/>
      <c r="BEE1" s="2617"/>
      <c r="BEH1" s="2617"/>
    </row>
    <row r="2" spans="1:1490" ht="60" customHeight="1" thickBot="1" x14ac:dyDescent="0.25">
      <c r="B2" s="6258" t="s">
        <v>1989</v>
      </c>
      <c r="C2" s="6259"/>
      <c r="D2" s="6259"/>
      <c r="E2" s="6259"/>
      <c r="F2" s="6259"/>
      <c r="G2" s="842"/>
      <c r="ZI2" s="2622"/>
      <c r="ZJ2" s="2622"/>
      <c r="ZK2" s="2622"/>
      <c r="ZL2" s="2622"/>
      <c r="ZM2" s="2622"/>
      <c r="ZN2" s="2622"/>
      <c r="ZO2" s="2622"/>
      <c r="ZP2" s="2622"/>
      <c r="ZQ2" s="2622"/>
      <c r="ZR2" s="2622"/>
      <c r="ZS2" s="2622"/>
      <c r="ZT2" s="2622"/>
      <c r="ZU2" s="2622"/>
      <c r="ZV2" s="2622"/>
      <c r="ZW2" s="2622"/>
      <c r="ZX2" s="2622"/>
      <c r="ZY2" s="2622"/>
      <c r="ZZ2" s="2622"/>
      <c r="AAA2" s="2622"/>
      <c r="AAB2" s="2622"/>
      <c r="AAC2" s="2622"/>
      <c r="AAD2" s="2622"/>
      <c r="AAE2" s="2622"/>
      <c r="AAF2" s="2622"/>
      <c r="AAG2" s="2622"/>
      <c r="AAH2" s="2622"/>
      <c r="AAI2" s="2622"/>
      <c r="AAJ2" s="2622"/>
      <c r="AAK2" s="2622"/>
      <c r="AAL2" s="2622"/>
      <c r="AAM2" s="2622"/>
      <c r="AAN2" s="2622"/>
      <c r="AAO2" s="2622"/>
      <c r="AAP2" s="2622"/>
      <c r="AAQ2" s="2622"/>
      <c r="AAR2" s="2622"/>
      <c r="AAS2" s="2622"/>
      <c r="AAT2" s="2622"/>
      <c r="AAU2" s="2622"/>
      <c r="AAV2" s="2622"/>
      <c r="AAW2" s="2622"/>
      <c r="AAX2" s="2622"/>
      <c r="AAY2" s="2622"/>
      <c r="AAZ2" s="2622"/>
      <c r="ABA2" s="2622"/>
      <c r="ABB2" s="2737"/>
      <c r="ABC2" s="2737"/>
      <c r="ABD2" s="2737"/>
      <c r="ABE2" s="2737"/>
      <c r="ABF2" s="2737"/>
      <c r="ABG2" s="2737"/>
      <c r="ABH2" s="2737"/>
      <c r="ABI2" s="2737"/>
      <c r="ABJ2" s="2622"/>
      <c r="ABK2" s="2622"/>
      <c r="ABL2" s="2737"/>
      <c r="ABM2" s="2737"/>
      <c r="ABN2" s="2737"/>
      <c r="ABO2" s="2737"/>
      <c r="ABP2" s="2737"/>
      <c r="ABQ2" s="2737"/>
      <c r="ABR2" s="2737"/>
      <c r="ABS2" s="2737"/>
      <c r="ABT2" s="2622"/>
      <c r="ABU2" s="2622"/>
      <c r="ABV2" s="2737"/>
      <c r="ABW2" s="2737"/>
      <c r="ABX2" s="2737"/>
      <c r="ABY2" s="2737"/>
      <c r="ABZ2" s="2737"/>
      <c r="ACA2" s="2737"/>
      <c r="ACB2" s="2737"/>
      <c r="ACC2" s="2737"/>
      <c r="ACD2" s="2737"/>
      <c r="ACE2" s="2622"/>
      <c r="ACF2" s="2737"/>
      <c r="ACG2" s="2737"/>
      <c r="ACH2" s="2737"/>
      <c r="ACI2" s="2737"/>
      <c r="ACJ2" s="2737"/>
      <c r="ACK2" s="2737"/>
      <c r="ACL2" s="2737"/>
      <c r="ACM2" s="2737"/>
      <c r="ACN2" s="2622"/>
      <c r="ACO2" s="2737"/>
      <c r="ACP2" s="2737"/>
      <c r="ACQ2" s="2737"/>
      <c r="ACR2" s="2737"/>
      <c r="ACS2" s="2737"/>
      <c r="ACT2" s="2737"/>
      <c r="ACU2" s="2737"/>
      <c r="ACV2" s="2737"/>
      <c r="ACW2" s="2622"/>
      <c r="ACX2" s="2737"/>
      <c r="ACY2" s="2737"/>
      <c r="ACZ2" s="2737"/>
      <c r="ADA2" s="2737"/>
      <c r="ADB2" s="2737"/>
      <c r="ADC2" s="2737"/>
      <c r="ADD2" s="2737"/>
      <c r="ADE2" s="2737"/>
      <c r="ADF2" s="2737"/>
      <c r="ADH2" s="2737"/>
      <c r="ADI2" s="2737"/>
      <c r="ADJ2" s="2737"/>
      <c r="ADK2" s="2737"/>
      <c r="ADL2" s="2737"/>
      <c r="ADM2" s="2737"/>
      <c r="ADN2" s="2737"/>
      <c r="ADO2" s="2737"/>
      <c r="ADQ2" s="2737"/>
      <c r="ADR2" s="2737"/>
      <c r="ADS2" s="2737"/>
      <c r="ADT2" s="2737"/>
      <c r="ADU2" s="2737"/>
      <c r="ADV2" s="2737"/>
      <c r="ADW2" s="2737"/>
      <c r="ADX2" s="2737"/>
      <c r="ADY2" s="2737"/>
      <c r="ADZ2" s="2737"/>
      <c r="AEA2" s="2737"/>
      <c r="AEB2" s="2737"/>
      <c r="AEC2" s="2737"/>
      <c r="AED2" s="2737"/>
      <c r="AEE2" s="2737"/>
      <c r="AEF2" s="2737"/>
      <c r="AEG2" s="2737"/>
      <c r="AEH2" s="2737"/>
      <c r="AEI2" s="2737"/>
      <c r="AEJ2" s="2737"/>
      <c r="AEK2" s="2737"/>
      <c r="AEL2" s="2737"/>
      <c r="AEM2" s="2737"/>
      <c r="AEN2" s="2737"/>
      <c r="AEO2" s="2737"/>
      <c r="AEP2" s="2737"/>
      <c r="AEQ2" s="2737"/>
      <c r="AER2" s="2737"/>
      <c r="AES2" s="2737"/>
      <c r="AET2" s="2737"/>
      <c r="AEU2" s="2737"/>
      <c r="AEV2" s="2737"/>
      <c r="AEW2" s="2737"/>
      <c r="AEX2" s="2737"/>
      <c r="AFG2" s="2737"/>
      <c r="AFP2" s="2737"/>
      <c r="AGI2" s="2737"/>
      <c r="AGN2" s="2622"/>
      <c r="AGR2" s="2737"/>
      <c r="AHB2" s="2737"/>
      <c r="AHJ2" s="2737"/>
      <c r="AHV2" s="2737"/>
      <c r="AHY2" s="2622"/>
      <c r="AII2" s="2622"/>
      <c r="AIJ2" s="2622"/>
      <c r="AIR2" s="2622"/>
      <c r="AIS2" s="2622"/>
      <c r="AJP2" s="2737"/>
      <c r="AKD2" s="2737"/>
      <c r="AKU2" s="2622"/>
      <c r="ALL2" s="2622"/>
      <c r="ALM2" s="2737"/>
      <c r="ALW2" s="2737"/>
      <c r="ALX2" s="2737"/>
      <c r="AMG2" s="2737"/>
      <c r="AOI2" s="2737"/>
      <c r="AOV2" s="4124"/>
      <c r="AOW2" s="5162"/>
      <c r="AOX2" s="5162"/>
      <c r="AOY2" s="5162"/>
      <c r="AOZ2" s="5162"/>
      <c r="APA2" s="5162"/>
      <c r="APB2" s="5162"/>
      <c r="APC2" s="5162"/>
      <c r="APD2" s="5162"/>
      <c r="APE2" s="5162"/>
      <c r="APT2" s="2737"/>
      <c r="AQE2" s="2622"/>
      <c r="ARE2" s="2622"/>
      <c r="ASA2" s="2622"/>
      <c r="ASJ2" s="2622"/>
      <c r="ASK2" s="2737"/>
      <c r="ASL2" s="2737"/>
      <c r="ASM2" s="2737"/>
      <c r="ASN2" s="2737"/>
      <c r="ASO2" s="2737"/>
      <c r="ASP2" s="2737"/>
      <c r="ASQ2" s="2737"/>
      <c r="ASR2" s="2737"/>
      <c r="ASS2" s="2737"/>
      <c r="ATA2" s="2622"/>
      <c r="ATB2" s="2622"/>
      <c r="ATC2" s="2622"/>
      <c r="ATD2" s="2622"/>
      <c r="ATE2" s="2622"/>
      <c r="ATF2" s="2622"/>
      <c r="ATG2" s="2622"/>
      <c r="ATH2" s="2622"/>
      <c r="ATI2" s="2622"/>
      <c r="ATJ2" s="2622"/>
      <c r="ATK2" s="2622"/>
      <c r="ATL2" s="2622"/>
      <c r="ATM2" s="2622"/>
      <c r="ATN2" s="2622"/>
      <c r="ATO2" s="2622"/>
      <c r="ATP2" s="2622"/>
      <c r="ATQ2" s="2622"/>
      <c r="ATR2" s="2622"/>
      <c r="ATT2" s="2622"/>
      <c r="ATU2" s="2622"/>
      <c r="ATV2" s="2622"/>
      <c r="ATW2" s="2622"/>
      <c r="ATX2" s="2617"/>
      <c r="ATY2" s="2617"/>
      <c r="ATZ2" s="2617"/>
      <c r="AUA2" s="2617"/>
      <c r="AUB2" s="2617"/>
      <c r="AUC2" s="2617"/>
      <c r="AUD2" s="2617"/>
      <c r="AUE2" s="2617"/>
      <c r="AUF2" s="2617"/>
      <c r="AUG2" s="2617"/>
      <c r="AUH2" s="2617"/>
      <c r="AUI2" s="2617"/>
      <c r="AUJ2" s="2617"/>
      <c r="AUK2" s="2617"/>
      <c r="AUL2" s="2617"/>
      <c r="AUM2" s="2617"/>
      <c r="AUN2" s="2617"/>
      <c r="AUO2" s="2617"/>
      <c r="AUP2" s="2617"/>
      <c r="AUQ2" s="2617"/>
      <c r="AUR2" s="2617"/>
      <c r="AUS2" s="2617"/>
      <c r="AUT2" s="2617"/>
      <c r="AUU2" s="2617"/>
      <c r="AUV2" s="2617"/>
      <c r="AUW2" s="2617"/>
      <c r="AUX2" s="2617"/>
      <c r="AUY2" s="2617"/>
      <c r="AUZ2" s="2617"/>
      <c r="AVA2" s="2617"/>
      <c r="AVB2" s="2617"/>
      <c r="AVC2" s="2617"/>
      <c r="AVD2" s="2617"/>
      <c r="AVE2" s="2617"/>
      <c r="AVF2" s="2617"/>
      <c r="AVG2" s="2617"/>
      <c r="AVH2" s="2617"/>
      <c r="AVI2" s="2617"/>
      <c r="AVJ2" s="2617"/>
      <c r="AVK2" s="2617"/>
      <c r="AVL2" s="2617"/>
      <c r="AVM2" s="2617"/>
      <c r="AVN2" s="2617"/>
      <c r="AVO2" s="2617"/>
      <c r="AVP2" s="2617"/>
      <c r="AVQ2" s="2617"/>
      <c r="AVR2" s="2617"/>
      <c r="AVS2" s="2617"/>
      <c r="AVT2" s="2617"/>
      <c r="AVU2" s="2617"/>
      <c r="AVV2" s="2617"/>
      <c r="AVW2" s="2617"/>
      <c r="AVX2" s="2617"/>
      <c r="AVY2" s="2617"/>
      <c r="AVZ2" s="2617"/>
      <c r="AWA2" s="2617"/>
      <c r="AWB2" s="2617"/>
      <c r="AWC2" s="2617"/>
      <c r="AWD2" s="2617"/>
      <c r="AWE2" s="2617"/>
      <c r="AWF2" s="2617"/>
      <c r="AWG2" s="2617"/>
      <c r="AWH2" s="2617"/>
      <c r="AWI2" s="2617"/>
      <c r="AWJ2" s="2617"/>
      <c r="AWK2" s="2617"/>
      <c r="AWL2" s="2617"/>
      <c r="AWM2" s="2617"/>
      <c r="AWN2" s="2617"/>
      <c r="AWO2" s="2617"/>
      <c r="AWP2" s="2617"/>
      <c r="AWQ2" s="2617"/>
      <c r="AWR2" s="2617"/>
      <c r="AWS2" s="2617"/>
      <c r="AWT2" s="2617"/>
      <c r="AWU2" s="2617"/>
      <c r="AWV2" s="2617"/>
      <c r="AWW2" s="2617"/>
      <c r="AWX2" s="2617"/>
      <c r="AWY2" s="2617"/>
      <c r="AWZ2" s="2617"/>
      <c r="AXA2" s="2617"/>
      <c r="AXB2" s="2617"/>
      <c r="AXC2" s="2617"/>
      <c r="AXD2" s="2617"/>
      <c r="AXE2" s="2617"/>
      <c r="AXF2" s="2617"/>
      <c r="AXG2" s="2617"/>
      <c r="AXH2" s="2617"/>
      <c r="AXI2" s="2617"/>
      <c r="AXJ2" s="2617"/>
      <c r="AXK2" s="2617"/>
      <c r="AYV2" s="2622"/>
      <c r="AYW2" s="2622"/>
      <c r="AYX2" s="2622"/>
      <c r="AYY2" s="2622"/>
      <c r="AYZ2" s="2622"/>
      <c r="AZA2" s="2622"/>
      <c r="AZB2" s="2622"/>
      <c r="AZC2" s="2622"/>
      <c r="AZD2" s="2622"/>
      <c r="AZE2" s="2622"/>
      <c r="AZF2" s="2622"/>
      <c r="AZG2" s="2622"/>
      <c r="AZH2" s="2622"/>
      <c r="AZI2" s="2622"/>
      <c r="AZJ2" s="2622"/>
      <c r="AZK2" s="2622"/>
      <c r="AZL2" s="2622"/>
      <c r="AZM2" s="2622"/>
      <c r="AZN2" s="2622"/>
      <c r="AZO2" s="2622"/>
      <c r="AZP2" s="2622"/>
      <c r="AZQ2" s="2622"/>
      <c r="AZR2" s="2622"/>
      <c r="AZS2" s="2622"/>
      <c r="AZT2" s="2622"/>
      <c r="AZU2" s="2622"/>
      <c r="AZX2" s="2622"/>
      <c r="AZY2" s="2622"/>
      <c r="AZZ2" s="2622"/>
      <c r="BAA2" s="2622"/>
      <c r="BAB2" s="2622"/>
      <c r="BAC2" s="2622"/>
      <c r="BAD2" s="2622"/>
      <c r="BAE2" s="2622"/>
      <c r="BAF2" s="2622"/>
      <c r="BAG2" s="2622"/>
      <c r="BAH2" s="2622"/>
      <c r="BAI2" s="2622"/>
      <c r="BAL2" s="2622"/>
      <c r="BAM2" s="2622"/>
      <c r="BAN2" s="2622"/>
      <c r="BAO2" s="2622"/>
      <c r="BAP2" s="2622"/>
      <c r="BAQ2" s="2622"/>
      <c r="BAT2" s="2622"/>
      <c r="BCJ2" s="2617"/>
      <c r="BCK2" s="2617"/>
      <c r="BCL2" s="2617"/>
      <c r="BCM2" s="2617"/>
      <c r="BCN2" s="2617"/>
      <c r="BCO2" s="2617"/>
      <c r="BCP2" s="2617"/>
      <c r="BCQ2" s="2617"/>
      <c r="BCR2" s="2617"/>
      <c r="BCS2" s="2617"/>
      <c r="BCT2" s="2617"/>
      <c r="BCU2" s="2617"/>
      <c r="BCV2" s="2617"/>
      <c r="BCW2" s="2617"/>
      <c r="BCX2" s="2617"/>
      <c r="BCY2" s="2617"/>
      <c r="BCZ2" s="2617"/>
      <c r="BDA2" s="2617"/>
      <c r="BDB2" s="2617"/>
      <c r="BDC2" s="2617"/>
      <c r="BDD2" s="2617"/>
      <c r="BDE2" s="2617"/>
      <c r="BDF2" s="2617"/>
      <c r="BDG2" s="2617"/>
      <c r="BDH2" s="2617"/>
      <c r="BDI2" s="2617"/>
      <c r="BDL2" s="2617"/>
      <c r="BDM2" s="2617"/>
      <c r="BDN2" s="2617"/>
      <c r="BDO2" s="2617"/>
      <c r="BDP2" s="2617"/>
      <c r="BDQ2" s="2617"/>
      <c r="BDR2" s="2617"/>
      <c r="BDS2" s="2617"/>
      <c r="BDT2" s="2617"/>
      <c r="BDU2" s="2617"/>
      <c r="BDV2" s="2617"/>
      <c r="BDW2" s="2617"/>
      <c r="BDZ2" s="2617"/>
      <c r="BEA2" s="2617"/>
      <c r="BEB2" s="2617"/>
      <c r="BEC2" s="2617"/>
      <c r="BED2" s="2617"/>
      <c r="BEE2" s="2617"/>
      <c r="BEH2" s="2617"/>
    </row>
    <row r="3" spans="1:1490" ht="15" thickTop="1" x14ac:dyDescent="0.2">
      <c r="ZI3" s="2622"/>
      <c r="ZJ3" s="2622"/>
      <c r="ZK3" s="2622"/>
      <c r="ZL3" s="2622"/>
      <c r="ZM3" s="2622"/>
      <c r="ZN3" s="2622"/>
      <c r="ZO3" s="2622"/>
      <c r="ZP3" s="2622"/>
      <c r="ZQ3" s="2622"/>
      <c r="ZR3" s="2622"/>
      <c r="ZS3" s="2622"/>
      <c r="ZT3" s="2622"/>
      <c r="ZU3" s="2622"/>
      <c r="ZV3" s="2622"/>
      <c r="ZW3" s="2622"/>
      <c r="ZX3" s="2622"/>
      <c r="ZY3" s="2622"/>
      <c r="ZZ3" s="2622"/>
      <c r="AAA3" s="2622"/>
      <c r="AAB3" s="2622"/>
      <c r="AAC3" s="2622"/>
      <c r="AAD3" s="2622"/>
      <c r="AAE3" s="2622"/>
      <c r="AAF3" s="2622"/>
      <c r="AAG3" s="2622"/>
      <c r="AAH3" s="2622"/>
      <c r="AAI3" s="2622"/>
      <c r="AAJ3" s="2622"/>
      <c r="AAK3" s="2622"/>
      <c r="AAL3" s="2622"/>
      <c r="AAM3" s="2622"/>
      <c r="AAN3" s="2622"/>
      <c r="AAO3" s="2622"/>
      <c r="AAP3" s="2622"/>
      <c r="AAQ3" s="2622"/>
      <c r="AAR3" s="2622"/>
      <c r="AAS3" s="2622"/>
      <c r="AAT3" s="2622"/>
      <c r="AAU3" s="2622"/>
      <c r="AAV3" s="2622"/>
      <c r="AAW3" s="2622"/>
      <c r="AAX3" s="2622"/>
      <c r="AAY3" s="2622"/>
      <c r="AAZ3" s="2622"/>
      <c r="ABA3" s="2622"/>
      <c r="ABB3" s="2737"/>
      <c r="ABC3" s="2737"/>
      <c r="ABD3" s="2737"/>
      <c r="ABE3" s="2737"/>
      <c r="ABF3" s="2737"/>
      <c r="ABG3" s="2737"/>
      <c r="ABH3" s="2737"/>
      <c r="ABI3" s="2737"/>
      <c r="ABJ3" s="2622"/>
      <c r="ABK3" s="2622"/>
      <c r="ABL3" s="2737"/>
      <c r="ABM3" s="2737"/>
      <c r="ABN3" s="2737"/>
      <c r="ABO3" s="2737"/>
      <c r="ABP3" s="2737"/>
      <c r="ABQ3" s="2737"/>
      <c r="ABR3" s="2737"/>
      <c r="ABS3" s="2737"/>
      <c r="ABT3" s="2737"/>
      <c r="ABU3" s="2737"/>
      <c r="ABV3" s="2737"/>
      <c r="ABW3" s="2737"/>
      <c r="ABX3" s="2737"/>
      <c r="ABY3" s="2737"/>
      <c r="ABZ3" s="2737"/>
      <c r="ACA3" s="2737"/>
      <c r="ACB3" s="2737"/>
      <c r="ACC3" s="2737"/>
      <c r="ACD3" s="2737"/>
      <c r="ACE3" s="2622"/>
      <c r="ACF3" s="2737"/>
      <c r="ACG3" s="2737"/>
      <c r="ACH3" s="2737"/>
      <c r="ACI3" s="2737"/>
      <c r="ACJ3" s="2737"/>
      <c r="ACK3" s="2737"/>
      <c r="ACL3" s="2737"/>
      <c r="ACM3" s="2737"/>
      <c r="ACN3" s="2622"/>
      <c r="ACO3" s="2737"/>
      <c r="ACP3" s="2737"/>
      <c r="ACQ3" s="2737"/>
      <c r="ACR3" s="2737"/>
      <c r="ACS3" s="2737"/>
      <c r="ACT3" s="2737"/>
      <c r="ACU3" s="2737"/>
      <c r="ACV3" s="2737"/>
      <c r="ACW3" s="2622"/>
      <c r="ACX3" s="2737"/>
      <c r="ACY3" s="2737"/>
      <c r="ACZ3" s="2737"/>
      <c r="ADA3" s="2737"/>
      <c r="ADB3" s="2737"/>
      <c r="ADC3" s="2737"/>
      <c r="ADD3" s="2737"/>
      <c r="ADE3" s="2737"/>
      <c r="ADF3" s="2737"/>
      <c r="ADH3" s="2737"/>
      <c r="ADI3" s="2737"/>
      <c r="ADJ3" s="2737"/>
      <c r="ADK3" s="2737"/>
      <c r="ADL3" s="2737"/>
      <c r="ADM3" s="2737"/>
      <c r="ADN3" s="2737"/>
      <c r="ADO3" s="2737"/>
      <c r="ADQ3" s="2737"/>
      <c r="ADR3" s="2737"/>
      <c r="ADS3" s="2737"/>
      <c r="ADT3" s="2737"/>
      <c r="ADU3" s="2737"/>
      <c r="ADV3" s="2737"/>
      <c r="ADW3" s="2737"/>
      <c r="ADX3" s="2737"/>
      <c r="ADY3" s="2737"/>
      <c r="ADZ3" s="2737"/>
      <c r="AEA3" s="2737"/>
      <c r="AEB3" s="2737"/>
      <c r="AEC3" s="2737"/>
      <c r="AED3" s="2737"/>
      <c r="AEE3" s="2737"/>
      <c r="AEF3" s="2737"/>
      <c r="AEG3" s="2737"/>
      <c r="AEH3" s="2737"/>
      <c r="AEI3" s="2737"/>
      <c r="AEJ3" s="2737"/>
      <c r="AEK3" s="2737"/>
      <c r="AEL3" s="2737"/>
      <c r="AEM3" s="2737"/>
      <c r="AEN3" s="2737"/>
      <c r="AEO3" s="2737"/>
      <c r="AEP3" s="2737"/>
      <c r="AEQ3" s="2737"/>
      <c r="AER3" s="2737"/>
      <c r="AES3" s="2737"/>
      <c r="AET3" s="2737"/>
      <c r="AEU3" s="2737"/>
      <c r="AEV3" s="2737"/>
      <c r="AEW3" s="2737"/>
      <c r="AEX3" s="2737"/>
      <c r="AFG3" s="2737"/>
      <c r="AFP3" s="2737"/>
      <c r="AGI3" s="2737"/>
      <c r="AGN3" s="2622"/>
      <c r="AGR3" s="2737"/>
      <c r="AHB3" s="2737"/>
      <c r="AHJ3" s="2737"/>
      <c r="AHV3" s="2737"/>
      <c r="AHY3" s="2622"/>
      <c r="AII3" s="2622"/>
      <c r="AIJ3" s="2622"/>
      <c r="AIR3" s="2622"/>
      <c r="AIS3" s="2622"/>
      <c r="AJP3" s="2737"/>
      <c r="AKD3" s="2737"/>
      <c r="AKU3" s="2622"/>
      <c r="ALL3" s="2622"/>
      <c r="ALM3" s="2737"/>
      <c r="ALW3" s="2737"/>
      <c r="ALX3" s="2737"/>
      <c r="AMG3" s="2737"/>
      <c r="AOI3" s="2737"/>
      <c r="AOV3" s="4124"/>
      <c r="AOW3" s="5162"/>
      <c r="AOX3" s="5162"/>
      <c r="AOY3" s="5162"/>
      <c r="AOZ3" s="5162"/>
      <c r="APA3" s="5162"/>
      <c r="APB3" s="5162"/>
      <c r="APC3" s="5162"/>
      <c r="APD3" s="5162"/>
      <c r="APE3" s="5162"/>
      <c r="APT3" s="2737"/>
      <c r="AQE3" s="2622"/>
      <c r="ARE3" s="2622"/>
      <c r="ASA3" s="2622"/>
      <c r="ASJ3" s="2622"/>
      <c r="ASK3" s="2737"/>
      <c r="ASL3" s="2737"/>
      <c r="ASM3" s="2737"/>
      <c r="ASN3" s="2737"/>
      <c r="ASO3" s="2737"/>
      <c r="ASP3" s="2737"/>
      <c r="ASQ3" s="2737"/>
      <c r="ASR3" s="2737"/>
      <c r="ASS3" s="2737"/>
      <c r="ATA3" s="2622"/>
      <c r="ATB3" s="2622"/>
      <c r="ATC3" s="2622"/>
      <c r="ATD3" s="2622"/>
      <c r="ATE3" s="2622"/>
      <c r="ATF3" s="2622"/>
      <c r="ATG3" s="2622"/>
      <c r="ATH3" s="2622"/>
      <c r="ATI3" s="2622"/>
      <c r="ATJ3" s="2622"/>
      <c r="ATK3" s="2622"/>
      <c r="ATL3" s="2622"/>
      <c r="ATM3" s="2622"/>
      <c r="ATN3" s="2622"/>
      <c r="ATO3" s="2622"/>
      <c r="ATP3" s="2622"/>
      <c r="ATQ3" s="2622"/>
      <c r="ATR3" s="2622"/>
      <c r="ATT3" s="2622"/>
      <c r="ATU3" s="2622"/>
      <c r="ATV3" s="2622"/>
      <c r="ATW3" s="2622"/>
      <c r="ATX3" s="2617"/>
      <c r="ATY3" s="2617"/>
      <c r="ATZ3" s="2617"/>
      <c r="AUA3" s="2617"/>
      <c r="AUB3" s="2617"/>
      <c r="AUC3" s="2617"/>
      <c r="AUD3" s="2617"/>
      <c r="AUE3" s="2617"/>
      <c r="AUF3" s="2617"/>
      <c r="AUG3" s="2617"/>
      <c r="AUH3" s="2617"/>
      <c r="AUI3" s="2617"/>
      <c r="AUJ3" s="2617"/>
      <c r="AUK3" s="2617"/>
      <c r="AUL3" s="2617"/>
      <c r="AUM3" s="2617"/>
      <c r="AUN3" s="2617"/>
      <c r="AUO3" s="2617"/>
      <c r="AUP3" s="2617"/>
      <c r="AUQ3" s="2617"/>
      <c r="AUR3" s="2617"/>
      <c r="AUS3" s="2617"/>
      <c r="AUT3" s="2617"/>
      <c r="AUU3" s="2617"/>
      <c r="AUV3" s="2617"/>
      <c r="AUW3" s="2617"/>
      <c r="AUX3" s="2617"/>
      <c r="AUY3" s="2617"/>
      <c r="AUZ3" s="2617"/>
      <c r="AVA3" s="2617"/>
      <c r="AVB3" s="2617"/>
      <c r="AVC3" s="2617"/>
      <c r="AVD3" s="2617"/>
      <c r="AVE3" s="2617"/>
      <c r="AVF3" s="2617"/>
      <c r="AVG3" s="2617"/>
      <c r="AVH3" s="2617"/>
      <c r="AVI3" s="2617"/>
      <c r="AVJ3" s="2617"/>
      <c r="AVK3" s="2617"/>
      <c r="AVL3" s="2617"/>
      <c r="AVM3" s="2617"/>
      <c r="AVN3" s="2617"/>
      <c r="AVO3" s="2617"/>
      <c r="AVP3" s="2617"/>
      <c r="AVQ3" s="2617"/>
      <c r="AVR3" s="2617"/>
      <c r="AVS3" s="2617"/>
      <c r="AVT3" s="2617"/>
      <c r="AVU3" s="2617"/>
      <c r="AVV3" s="2617"/>
      <c r="AVW3" s="2617"/>
      <c r="AVX3" s="2617"/>
      <c r="AVY3" s="2617"/>
      <c r="AVZ3" s="2617"/>
      <c r="AWA3" s="2617"/>
      <c r="AWB3" s="2617"/>
      <c r="AWC3" s="2617"/>
      <c r="AWD3" s="2617"/>
      <c r="AWE3" s="2617"/>
      <c r="AWF3" s="2617"/>
      <c r="AWG3" s="2617"/>
      <c r="AWH3" s="2617"/>
      <c r="AWI3" s="2617"/>
      <c r="AWJ3" s="2617"/>
      <c r="AWK3" s="2617"/>
      <c r="AWL3" s="2617"/>
      <c r="AWM3" s="2617"/>
      <c r="AWN3" s="2617"/>
      <c r="AWO3" s="2617"/>
      <c r="AWP3" s="2617"/>
      <c r="AWQ3" s="2617"/>
      <c r="AWR3" s="2617"/>
      <c r="AWS3" s="2617"/>
      <c r="AWT3" s="2617"/>
      <c r="AWU3" s="2617"/>
      <c r="AWV3" s="2617"/>
      <c r="AWW3" s="2617"/>
      <c r="AWX3" s="2617"/>
      <c r="AWY3" s="2617"/>
      <c r="AWZ3" s="2617"/>
      <c r="AXA3" s="2617"/>
      <c r="AXB3" s="2617"/>
      <c r="AXC3" s="2617"/>
      <c r="AXD3" s="2617"/>
      <c r="AXE3" s="2617"/>
      <c r="AXF3" s="2617"/>
      <c r="AXG3" s="2617"/>
      <c r="AXH3" s="2617"/>
      <c r="AXI3" s="2617"/>
      <c r="AXJ3" s="2617"/>
      <c r="AXK3" s="2617"/>
      <c r="AYV3" s="2622"/>
      <c r="AYW3" s="2622"/>
      <c r="AYX3" s="2622"/>
      <c r="AYY3" s="2622"/>
      <c r="AYZ3" s="2622"/>
      <c r="AZA3" s="2622"/>
      <c r="AZB3" s="2622"/>
      <c r="AZC3" s="2622"/>
      <c r="AZD3" s="2622"/>
      <c r="AZE3" s="2622"/>
      <c r="AZF3" s="2622"/>
      <c r="AZG3" s="2622"/>
      <c r="AZH3" s="2622"/>
      <c r="AZI3" s="2622"/>
      <c r="AZJ3" s="2622"/>
      <c r="AZK3" s="2622"/>
      <c r="AZL3" s="2622"/>
      <c r="AZM3" s="2622"/>
      <c r="AZN3" s="2622"/>
      <c r="AZO3" s="2622"/>
      <c r="AZP3" s="2622"/>
      <c r="AZQ3" s="2622"/>
      <c r="AZR3" s="2622"/>
      <c r="AZS3" s="2622"/>
      <c r="AZT3" s="2622"/>
      <c r="AZU3" s="2622"/>
      <c r="AZX3" s="2622"/>
      <c r="AZY3" s="2622"/>
      <c r="AZZ3" s="2622"/>
      <c r="BAA3" s="2622"/>
      <c r="BAB3" s="2622"/>
      <c r="BAC3" s="2622"/>
      <c r="BAD3" s="2622"/>
      <c r="BAE3" s="2622"/>
      <c r="BAF3" s="2622"/>
      <c r="BAG3" s="2622"/>
      <c r="BAH3" s="2622"/>
      <c r="BAI3" s="2622"/>
      <c r="BAL3" s="2622"/>
      <c r="BAM3" s="2622"/>
      <c r="BAN3" s="2622"/>
      <c r="BAO3" s="2622"/>
      <c r="BAP3" s="2622"/>
      <c r="BAQ3" s="2622"/>
      <c r="BAT3" s="2622"/>
      <c r="BCJ3" s="2617"/>
      <c r="BCK3" s="2617"/>
      <c r="BCL3" s="2617"/>
      <c r="BCM3" s="2617"/>
      <c r="BCN3" s="2617"/>
      <c r="BCO3" s="2617"/>
      <c r="BCP3" s="2617"/>
      <c r="BCQ3" s="2617"/>
      <c r="BCR3" s="2617"/>
      <c r="BCS3" s="2617"/>
      <c r="BCT3" s="2617"/>
      <c r="BCU3" s="2617"/>
      <c r="BCV3" s="2617"/>
      <c r="BCW3" s="2617"/>
      <c r="BCX3" s="2617"/>
      <c r="BCY3" s="2617"/>
      <c r="BCZ3" s="2617"/>
      <c r="BDA3" s="2617"/>
      <c r="BDB3" s="2617"/>
      <c r="BDC3" s="2617"/>
      <c r="BDD3" s="2617"/>
      <c r="BDE3" s="2617"/>
      <c r="BDF3" s="2617"/>
      <c r="BDG3" s="2617"/>
      <c r="BDH3" s="2617"/>
      <c r="BDI3" s="2617"/>
      <c r="BDL3" s="2617"/>
      <c r="BDM3" s="2617"/>
      <c r="BDN3" s="2617"/>
      <c r="BDO3" s="2617"/>
      <c r="BDP3" s="2617"/>
      <c r="BDQ3" s="2617"/>
      <c r="BDR3" s="2617"/>
      <c r="BDS3" s="2617"/>
      <c r="BDT3" s="2617"/>
      <c r="BDU3" s="2617"/>
      <c r="BDV3" s="2617"/>
      <c r="BDW3" s="2617"/>
      <c r="BDZ3" s="2617"/>
      <c r="BEA3" s="2617"/>
      <c r="BEB3" s="2617"/>
      <c r="BEC3" s="2617"/>
      <c r="BED3" s="2617"/>
      <c r="BEE3" s="2617"/>
      <c r="BEH3" s="2617"/>
    </row>
    <row r="4" spans="1:1490" x14ac:dyDescent="0.2">
      <c r="ZI4" s="2622"/>
      <c r="ZJ4" s="2622"/>
      <c r="ZK4" s="2622"/>
      <c r="ZL4" s="2622"/>
      <c r="ZM4" s="2622"/>
      <c r="ZN4" s="2622"/>
      <c r="ZO4" s="2622"/>
      <c r="ZP4" s="2622"/>
      <c r="ZQ4" s="2622"/>
      <c r="ZR4" s="2622"/>
      <c r="ZS4" s="2622"/>
      <c r="ZT4" s="2622"/>
      <c r="ZU4" s="2622"/>
      <c r="ZV4" s="2622"/>
      <c r="ZW4" s="2622"/>
      <c r="ZX4" s="2622"/>
      <c r="ZY4" s="2622"/>
      <c r="ZZ4" s="2622"/>
      <c r="AAA4" s="2622"/>
      <c r="AAB4" s="2622"/>
      <c r="AAC4" s="2622"/>
      <c r="AAD4" s="2622"/>
      <c r="AAE4" s="2622"/>
      <c r="AAF4" s="2622"/>
      <c r="AAG4" s="2622"/>
      <c r="AAH4" s="2622"/>
      <c r="AAI4" s="2622"/>
      <c r="AAJ4" s="2622"/>
      <c r="AAK4" s="2622"/>
      <c r="AAL4" s="2622"/>
      <c r="AAM4" s="2622"/>
      <c r="AAN4" s="2622"/>
      <c r="AAO4" s="2622"/>
      <c r="AAP4" s="2622"/>
      <c r="AAQ4" s="2622"/>
      <c r="AAR4" s="2622"/>
      <c r="AAS4" s="2622"/>
      <c r="AAT4" s="2622"/>
      <c r="AAU4" s="2622"/>
      <c r="AAV4" s="2622"/>
      <c r="AAW4" s="2622"/>
      <c r="AAX4" s="2622"/>
      <c r="AAY4" s="2622"/>
      <c r="AAZ4" s="2622"/>
      <c r="ABA4" s="2622"/>
      <c r="ABB4" s="2737"/>
      <c r="ABC4" s="2737"/>
      <c r="ABD4" s="2737"/>
      <c r="ABE4" s="2737"/>
      <c r="ABF4" s="2737"/>
      <c r="ABG4" s="2737"/>
      <c r="ABH4" s="2737"/>
      <c r="ABI4" s="2737"/>
      <c r="ABJ4" s="2622"/>
      <c r="ABK4" s="2622"/>
      <c r="ABL4" s="2737"/>
      <c r="ABM4" s="2737"/>
      <c r="ABN4" s="2737"/>
      <c r="ABO4" s="2737"/>
      <c r="ABP4" s="2737"/>
      <c r="ABQ4" s="2737"/>
      <c r="ABR4" s="2737"/>
      <c r="ABS4" s="2737"/>
      <c r="ABT4" s="2737"/>
      <c r="ABU4" s="2737"/>
      <c r="ABV4" s="2737"/>
      <c r="ABW4" s="2737"/>
      <c r="ABX4" s="2737"/>
      <c r="ABY4" s="2737"/>
      <c r="ABZ4" s="2737"/>
      <c r="ACA4" s="2737"/>
      <c r="ACB4" s="2737"/>
      <c r="ACC4" s="2737"/>
      <c r="ACD4" s="2737"/>
      <c r="ACE4" s="2622"/>
      <c r="ACF4" s="2737"/>
      <c r="ACG4" s="2737"/>
      <c r="ACH4" s="2737"/>
      <c r="ACI4" s="2737"/>
      <c r="ACJ4" s="2737"/>
      <c r="ACK4" s="2737"/>
      <c r="ACL4" s="2737"/>
      <c r="ACM4" s="2737"/>
      <c r="ACN4" s="2622"/>
      <c r="ACO4" s="2737"/>
      <c r="ACP4" s="2737"/>
      <c r="ACQ4" s="2737"/>
      <c r="ACR4" s="2737"/>
      <c r="ACS4" s="2737"/>
      <c r="ACT4" s="2737"/>
      <c r="ACU4" s="2737"/>
      <c r="ACV4" s="2737"/>
      <c r="ACW4" s="2622"/>
      <c r="ACX4" s="2737"/>
      <c r="ACY4" s="2737"/>
      <c r="ACZ4" s="2737"/>
      <c r="ADA4" s="2737"/>
      <c r="ADB4" s="2737"/>
      <c r="ADC4" s="2737"/>
      <c r="ADD4" s="2737"/>
      <c r="ADE4" s="2737"/>
      <c r="ADF4" s="2737"/>
      <c r="ADH4" s="2737"/>
      <c r="ADI4" s="2737"/>
      <c r="ADJ4" s="2737"/>
      <c r="ADK4" s="2737"/>
      <c r="ADL4" s="2737"/>
      <c r="ADM4" s="2737"/>
      <c r="ADN4" s="2737"/>
      <c r="ADO4" s="2737"/>
      <c r="ADQ4" s="2737"/>
      <c r="ADR4" s="2737"/>
      <c r="ADS4" s="2737"/>
      <c r="ADT4" s="2737"/>
      <c r="ADU4" s="2737"/>
      <c r="ADV4" s="2737"/>
      <c r="ADW4" s="2737"/>
      <c r="ADX4" s="2737"/>
      <c r="ADY4" s="2737"/>
      <c r="ADZ4" s="2737"/>
      <c r="AEA4" s="2737"/>
      <c r="AEB4" s="2737"/>
      <c r="AEC4" s="2737"/>
      <c r="AED4" s="2737"/>
      <c r="AEE4" s="2737"/>
      <c r="AEF4" s="2737"/>
      <c r="AEG4" s="2737"/>
      <c r="AEH4" s="2737"/>
      <c r="AEI4" s="2737"/>
      <c r="AEJ4" s="2737"/>
      <c r="AEK4" s="2737"/>
      <c r="AEL4" s="2737"/>
      <c r="AEM4" s="2737"/>
      <c r="AEN4" s="2737"/>
      <c r="AEO4" s="2737"/>
      <c r="AEP4" s="2737"/>
      <c r="AEQ4" s="2737"/>
      <c r="AER4" s="2737"/>
      <c r="AES4" s="2737"/>
      <c r="AET4" s="2737"/>
      <c r="AEU4" s="2737"/>
      <c r="AEV4" s="2737"/>
      <c r="AEW4" s="2737"/>
      <c r="AEX4" s="2737"/>
      <c r="AFG4" s="2737"/>
      <c r="AFP4" s="2737"/>
      <c r="AGI4" s="2737"/>
      <c r="AGN4" s="2622"/>
      <c r="AGR4" s="2737"/>
      <c r="AHB4" s="2737"/>
      <c r="AHJ4" s="2737"/>
      <c r="AHV4" s="2737"/>
      <c r="AHY4" s="2622"/>
      <c r="AII4" s="2622"/>
      <c r="AIJ4" s="2622"/>
      <c r="AIR4" s="2622"/>
      <c r="AIS4" s="2622"/>
      <c r="AJP4" s="2737"/>
      <c r="AKD4" s="2737"/>
      <c r="AKU4" s="2622"/>
      <c r="ALL4" s="2622"/>
      <c r="ALM4" s="2737"/>
      <c r="ALW4" s="2737"/>
      <c r="ALX4" s="2737"/>
      <c r="AMG4" s="2737"/>
      <c r="AOI4" s="2737"/>
      <c r="AOV4" s="4124"/>
      <c r="AOW4" s="5162"/>
      <c r="AOX4" s="5162"/>
      <c r="AOY4" s="5162"/>
      <c r="AOZ4" s="5162"/>
      <c r="APA4" s="5162"/>
      <c r="APB4" s="5162"/>
      <c r="APC4" s="5162"/>
      <c r="APD4" s="5162"/>
      <c r="APE4" s="5162"/>
      <c r="APT4" s="2737"/>
      <c r="AQE4" s="2622"/>
      <c r="ARE4" s="2622"/>
      <c r="ASA4" s="2622"/>
      <c r="ASJ4" s="2622"/>
      <c r="ASK4" s="2737"/>
      <c r="ASL4" s="2737"/>
      <c r="ASM4" s="2737"/>
      <c r="ASN4" s="2737"/>
      <c r="ASO4" s="2737"/>
      <c r="ASP4" s="2737"/>
      <c r="ASQ4" s="2737"/>
      <c r="ASR4" s="2737"/>
      <c r="ASS4" s="2737"/>
      <c r="ATA4" s="2622"/>
      <c r="ATB4" s="2622"/>
      <c r="ATC4" s="2622"/>
      <c r="ATD4" s="2622"/>
      <c r="ATE4" s="2622"/>
      <c r="ATF4" s="2622"/>
      <c r="ATG4" s="2622"/>
      <c r="ATH4" s="2622"/>
      <c r="ATI4" s="2622"/>
      <c r="ATJ4" s="2622"/>
      <c r="ATK4" s="2622"/>
      <c r="ATL4" s="2622"/>
      <c r="ATM4" s="2622"/>
      <c r="ATN4" s="2622"/>
      <c r="ATO4" s="2622"/>
      <c r="ATP4" s="2622"/>
      <c r="ATQ4" s="2622"/>
      <c r="ATR4" s="2622"/>
      <c r="ATT4" s="2622"/>
      <c r="ATU4" s="2622"/>
      <c r="ATV4" s="2622"/>
      <c r="ATW4" s="2622"/>
      <c r="ATX4" s="2617"/>
      <c r="ATY4" s="2617"/>
      <c r="ATZ4" s="2617"/>
      <c r="AUA4" s="2617"/>
      <c r="AUB4" s="2617"/>
      <c r="AUC4" s="2617"/>
      <c r="AUD4" s="2617"/>
      <c r="AUE4" s="2617"/>
      <c r="AUF4" s="2617"/>
      <c r="AUG4" s="2617"/>
      <c r="AUH4" s="2617"/>
      <c r="AUI4" s="2617"/>
      <c r="AUJ4" s="2617"/>
      <c r="AUK4" s="2617"/>
      <c r="AUL4" s="2617"/>
      <c r="AUM4" s="2617"/>
      <c r="AUN4" s="2617"/>
      <c r="AUO4" s="2617"/>
      <c r="AUP4" s="2617"/>
      <c r="AUQ4" s="2617"/>
      <c r="AUR4" s="2617"/>
      <c r="AUS4" s="2617"/>
      <c r="AUT4" s="2617"/>
      <c r="AUU4" s="2617"/>
      <c r="AUV4" s="2617"/>
      <c r="AUW4" s="2617"/>
      <c r="AUX4" s="2617"/>
      <c r="AUY4" s="2617"/>
      <c r="AUZ4" s="2617"/>
      <c r="AVA4" s="2617"/>
      <c r="AVB4" s="2617"/>
      <c r="AVC4" s="2617"/>
      <c r="AVD4" s="2617"/>
      <c r="AVE4" s="2617"/>
      <c r="AVF4" s="2617"/>
      <c r="AVG4" s="2617"/>
      <c r="AVH4" s="2617"/>
      <c r="AVI4" s="2617"/>
      <c r="AVJ4" s="2617"/>
      <c r="AVK4" s="2617"/>
      <c r="AVL4" s="2617"/>
      <c r="AVM4" s="2617"/>
      <c r="AVN4" s="2617"/>
      <c r="AVO4" s="2617"/>
      <c r="AVP4" s="2617"/>
      <c r="AVQ4" s="2617"/>
      <c r="AVR4" s="2617"/>
      <c r="AVS4" s="2617"/>
      <c r="AVT4" s="2617"/>
      <c r="AVU4" s="2617"/>
      <c r="AVV4" s="2617"/>
      <c r="AVW4" s="2617"/>
      <c r="AVX4" s="2617"/>
      <c r="AVY4" s="2617"/>
      <c r="AVZ4" s="2617"/>
      <c r="AWA4" s="2617"/>
      <c r="AWB4" s="2617"/>
      <c r="AWC4" s="2617"/>
      <c r="AWD4" s="2617"/>
      <c r="AWE4" s="2617"/>
      <c r="AWF4" s="2617"/>
      <c r="AWG4" s="2617"/>
      <c r="AWH4" s="2617"/>
      <c r="AWI4" s="2617"/>
      <c r="AWJ4" s="2617"/>
      <c r="AWK4" s="2617"/>
      <c r="AWL4" s="2617"/>
      <c r="AWM4" s="2617"/>
      <c r="AWN4" s="2617"/>
      <c r="AWO4" s="2617"/>
      <c r="AWP4" s="2617"/>
      <c r="AWQ4" s="2617"/>
      <c r="AWR4" s="2617"/>
      <c r="AWS4" s="2617"/>
      <c r="AWT4" s="2617"/>
      <c r="AWU4" s="2617"/>
      <c r="AWV4" s="2617"/>
      <c r="AWW4" s="2617"/>
      <c r="AWX4" s="2617"/>
      <c r="AWY4" s="2617"/>
      <c r="AWZ4" s="2617"/>
      <c r="AXA4" s="2617"/>
      <c r="AXB4" s="2617"/>
      <c r="AXC4" s="2617"/>
      <c r="AXD4" s="2617"/>
      <c r="AXE4" s="2617"/>
      <c r="AXF4" s="2617"/>
      <c r="AXG4" s="2617"/>
      <c r="AXH4" s="2617"/>
      <c r="AXI4" s="2617"/>
      <c r="AXJ4" s="2617"/>
      <c r="AXK4" s="2617"/>
      <c r="AYV4" s="2622"/>
      <c r="AYW4" s="2622"/>
      <c r="AYX4" s="2622"/>
      <c r="AYY4" s="2622"/>
      <c r="AYZ4" s="2622"/>
      <c r="AZA4" s="2622"/>
      <c r="AZB4" s="2622"/>
      <c r="AZC4" s="2622"/>
      <c r="AZD4" s="2622"/>
      <c r="AZE4" s="2622"/>
      <c r="AZF4" s="2622"/>
      <c r="AZG4" s="2622"/>
      <c r="AZH4" s="2622"/>
      <c r="AZI4" s="2622"/>
      <c r="AZJ4" s="2622"/>
      <c r="AZK4" s="2622"/>
      <c r="AZL4" s="2622"/>
      <c r="AZM4" s="2622"/>
      <c r="AZN4" s="2622"/>
      <c r="AZO4" s="2622"/>
      <c r="AZP4" s="2622"/>
      <c r="AZQ4" s="2622"/>
      <c r="AZR4" s="2622"/>
      <c r="AZS4" s="2622"/>
      <c r="AZT4" s="2622"/>
      <c r="AZU4" s="2622"/>
      <c r="AZX4" s="2622"/>
      <c r="AZY4" s="2622"/>
      <c r="AZZ4" s="2622"/>
      <c r="BAA4" s="2622"/>
      <c r="BAB4" s="2622"/>
      <c r="BAC4" s="2622"/>
      <c r="BAD4" s="2622"/>
      <c r="BAE4" s="2622"/>
      <c r="BAF4" s="2622"/>
      <c r="BAG4" s="2622"/>
      <c r="BAH4" s="2622"/>
      <c r="BAI4" s="2622"/>
      <c r="BAL4" s="2622"/>
      <c r="BAM4" s="2622"/>
      <c r="BAN4" s="2622"/>
      <c r="BAO4" s="2622"/>
      <c r="BAP4" s="2622"/>
      <c r="BAQ4" s="2622"/>
      <c r="BAT4" s="2622"/>
      <c r="BCJ4" s="2617"/>
      <c r="BCK4" s="2617"/>
      <c r="BCL4" s="2617"/>
      <c r="BCM4" s="2617"/>
      <c r="BCN4" s="2617"/>
      <c r="BCO4" s="2617"/>
      <c r="BCP4" s="2617"/>
      <c r="BCQ4" s="2617"/>
      <c r="BCR4" s="2617"/>
      <c r="BCS4" s="2617"/>
      <c r="BCT4" s="2617"/>
      <c r="BCU4" s="2617"/>
      <c r="BCV4" s="2617"/>
      <c r="BCW4" s="2617"/>
      <c r="BCX4" s="2617"/>
      <c r="BCY4" s="2617"/>
      <c r="BCZ4" s="2617"/>
      <c r="BDA4" s="2617"/>
      <c r="BDB4" s="2617"/>
      <c r="BDC4" s="2617"/>
      <c r="BDD4" s="2617"/>
      <c r="BDE4" s="2617"/>
      <c r="BDF4" s="2617"/>
      <c r="BDG4" s="2617"/>
      <c r="BDH4" s="2617"/>
      <c r="BDI4" s="2617"/>
      <c r="BDL4" s="2617"/>
      <c r="BDM4" s="2617"/>
      <c r="BDN4" s="2617"/>
      <c r="BDO4" s="2617"/>
      <c r="BDP4" s="2617"/>
      <c r="BDQ4" s="2617"/>
      <c r="BDR4" s="2617"/>
      <c r="BDS4" s="2617"/>
      <c r="BDT4" s="2617"/>
      <c r="BDU4" s="2617"/>
      <c r="BDV4" s="2617"/>
      <c r="BDW4" s="2617"/>
      <c r="BDZ4" s="2617"/>
      <c r="BEA4" s="2617"/>
      <c r="BEB4" s="2617"/>
      <c r="BEC4" s="2617"/>
      <c r="BED4" s="2617"/>
      <c r="BEE4" s="2617"/>
      <c r="BEH4" s="2617"/>
    </row>
    <row r="5" spans="1:1490" x14ac:dyDescent="0.2">
      <c r="ZI5" s="2622"/>
      <c r="ZJ5" s="2622"/>
      <c r="ZK5" s="2622"/>
      <c r="ZL5" s="2622"/>
      <c r="ZM5" s="2622"/>
      <c r="ZN5" s="2622"/>
      <c r="ZO5" s="2622"/>
      <c r="ZP5" s="2622"/>
      <c r="ZQ5" s="2622"/>
      <c r="ZR5" s="2622"/>
      <c r="ZS5" s="2622"/>
      <c r="ZT5" s="2622"/>
      <c r="ZU5" s="2622"/>
      <c r="ZV5" s="2622"/>
      <c r="ZW5" s="2622"/>
      <c r="ZX5" s="2622"/>
      <c r="ZY5" s="2622"/>
      <c r="ZZ5" s="2622"/>
      <c r="AAA5" s="2622"/>
      <c r="AAB5" s="2622"/>
      <c r="AAC5" s="2622"/>
      <c r="AAD5" s="2622"/>
      <c r="AAE5" s="2622"/>
      <c r="AAF5" s="2622"/>
      <c r="AAG5" s="2622"/>
      <c r="AAH5" s="2622"/>
      <c r="AAI5" s="2622"/>
      <c r="AAJ5" s="2622"/>
      <c r="AAK5" s="2622"/>
      <c r="AAL5" s="2622"/>
      <c r="AAM5" s="2622"/>
      <c r="AAN5" s="2622"/>
      <c r="AAO5" s="2622"/>
      <c r="AAP5" s="2622"/>
      <c r="AAQ5" s="2622"/>
      <c r="AAR5" s="2622"/>
      <c r="AAS5" s="2622"/>
      <c r="AAT5" s="2622"/>
      <c r="AAU5" s="2622"/>
      <c r="AAV5" s="2622"/>
      <c r="AAW5" s="2622"/>
      <c r="AAX5" s="2622"/>
      <c r="AAY5" s="2622"/>
      <c r="AAZ5" s="2622"/>
      <c r="ABA5" s="2622"/>
      <c r="ABB5" s="2737"/>
      <c r="ABC5" s="2737"/>
      <c r="ABD5" s="2737"/>
      <c r="ABE5" s="2737"/>
      <c r="ABF5" s="2737"/>
      <c r="ABG5" s="2737"/>
      <c r="ABH5" s="2737"/>
      <c r="ABI5" s="2737"/>
      <c r="ABJ5" s="2622"/>
      <c r="ABK5" s="2622"/>
      <c r="ABL5" s="2737"/>
      <c r="ABM5" s="2737"/>
      <c r="ABN5" s="2737"/>
      <c r="ABO5" s="2737"/>
      <c r="ABP5" s="2737"/>
      <c r="ABQ5" s="2737"/>
      <c r="ABR5" s="2737"/>
      <c r="ABS5" s="2737"/>
      <c r="ABT5" s="2737"/>
      <c r="ABU5" s="2737"/>
      <c r="ABV5" s="2737"/>
      <c r="ABW5" s="2737"/>
      <c r="ABX5" s="2737"/>
      <c r="ABY5" s="2737"/>
      <c r="ABZ5" s="2737"/>
      <c r="ACA5" s="2737"/>
      <c r="ACB5" s="2737"/>
      <c r="ACC5" s="2737"/>
      <c r="ACD5" s="2737"/>
      <c r="ACE5" s="2622"/>
      <c r="ACF5" s="2737"/>
      <c r="ACG5" s="2737"/>
      <c r="ACH5" s="2737"/>
      <c r="ACI5" s="2737"/>
      <c r="ACJ5" s="2737"/>
      <c r="ACK5" s="2737"/>
      <c r="ACL5" s="2737"/>
      <c r="ACM5" s="2737"/>
      <c r="ACN5" s="2622"/>
      <c r="ACO5" s="2737"/>
      <c r="ACP5" s="2737"/>
      <c r="ACQ5" s="2737"/>
      <c r="ACR5" s="2737"/>
      <c r="ACS5" s="2737"/>
      <c r="ACT5" s="2737"/>
      <c r="ACU5" s="2737"/>
      <c r="ACV5" s="2737"/>
      <c r="ACW5" s="2622"/>
      <c r="ACX5" s="2737"/>
      <c r="ACY5" s="2737"/>
      <c r="ACZ5" s="2737"/>
      <c r="ADA5" s="2737"/>
      <c r="ADB5" s="2737"/>
      <c r="ADC5" s="2737"/>
      <c r="ADD5" s="2737"/>
      <c r="ADE5" s="2737"/>
      <c r="ADF5" s="2737"/>
      <c r="ADH5" s="2737"/>
      <c r="ADI5" s="2737"/>
      <c r="ADJ5" s="2737"/>
      <c r="ADK5" s="2737"/>
      <c r="ADL5" s="2737"/>
      <c r="ADM5" s="2737"/>
      <c r="ADN5" s="2737"/>
      <c r="ADO5" s="2737"/>
      <c r="ADQ5" s="2737"/>
      <c r="ADR5" s="2737"/>
      <c r="ADS5" s="2737"/>
      <c r="ADT5" s="2737"/>
      <c r="ADU5" s="2737"/>
      <c r="ADV5" s="2737"/>
      <c r="ADW5" s="2737"/>
      <c r="ADX5" s="2737"/>
      <c r="ADY5" s="2737"/>
      <c r="ADZ5" s="2737"/>
      <c r="AEA5" s="2737"/>
      <c r="AEB5" s="2737"/>
      <c r="AEC5" s="2737"/>
      <c r="AED5" s="2737"/>
      <c r="AEE5" s="2737"/>
      <c r="AEF5" s="2737"/>
      <c r="AEG5" s="2737"/>
      <c r="AEH5" s="2737"/>
      <c r="AEI5" s="2737"/>
      <c r="AEJ5" s="2737"/>
      <c r="AEK5" s="2737"/>
      <c r="AEL5" s="2737"/>
      <c r="AEM5" s="2737"/>
      <c r="AEN5" s="2737"/>
      <c r="AEO5" s="2737"/>
      <c r="AEP5" s="2737"/>
      <c r="AEQ5" s="2737"/>
      <c r="AER5" s="2737"/>
      <c r="AES5" s="2737"/>
      <c r="AET5" s="2737"/>
      <c r="AEU5" s="2737"/>
      <c r="AEV5" s="2737"/>
      <c r="AEW5" s="2737"/>
      <c r="AEX5" s="2737"/>
      <c r="AFG5" s="2737"/>
      <c r="AFP5" s="2737"/>
      <c r="AGI5" s="2737"/>
      <c r="AGN5" s="2622"/>
      <c r="AGR5" s="2737"/>
      <c r="AHB5" s="2737"/>
      <c r="AHJ5" s="2737"/>
      <c r="AHV5" s="2737"/>
      <c r="AHY5" s="2622"/>
      <c r="AII5" s="2622"/>
      <c r="AIJ5" s="2622"/>
      <c r="AIR5" s="2622"/>
      <c r="AIS5" s="2622"/>
      <c r="AJP5" s="2737"/>
      <c r="AKD5" s="2737"/>
      <c r="AKU5" s="2622"/>
      <c r="ALL5" s="2622"/>
      <c r="ALM5" s="2737"/>
      <c r="ALW5" s="2737"/>
      <c r="ALX5" s="2737"/>
      <c r="AMG5" s="2737"/>
      <c r="AOI5" s="2737"/>
      <c r="AOV5" s="4124"/>
      <c r="AOW5" s="5162"/>
      <c r="AOX5" s="5162"/>
      <c r="AOY5" s="5162"/>
      <c r="AOZ5" s="5162"/>
      <c r="APA5" s="5162"/>
      <c r="APB5" s="5162"/>
      <c r="APC5" s="5162"/>
      <c r="APD5" s="5162"/>
      <c r="APE5" s="5162"/>
      <c r="APT5" s="2737"/>
      <c r="AQE5" s="2622"/>
      <c r="ARE5" s="2622"/>
      <c r="ASA5" s="2622"/>
      <c r="ASJ5" s="2622"/>
      <c r="ASK5" s="2737"/>
      <c r="ASL5" s="2737"/>
      <c r="ASM5" s="2737"/>
      <c r="ASN5" s="2737"/>
      <c r="ASO5" s="2737"/>
      <c r="ASP5" s="2737"/>
      <c r="ASQ5" s="2737"/>
      <c r="ASR5" s="2737"/>
      <c r="ASS5" s="2737"/>
      <c r="ATA5" s="2622"/>
      <c r="ATB5" s="2622"/>
      <c r="ATC5" s="2622"/>
      <c r="ATD5" s="2622"/>
      <c r="ATE5" s="2622"/>
      <c r="ATF5" s="2622"/>
      <c r="ATG5" s="2622"/>
      <c r="ATH5" s="2622"/>
      <c r="ATI5" s="2622"/>
      <c r="ATJ5" s="2622"/>
      <c r="ATK5" s="2622"/>
      <c r="ATL5" s="2622"/>
      <c r="ATM5" s="2622"/>
      <c r="ATN5" s="2622"/>
      <c r="ATO5" s="2622"/>
      <c r="ATP5" s="2622"/>
      <c r="ATQ5" s="2622"/>
      <c r="ATR5" s="2622"/>
      <c r="ATT5" s="2622"/>
      <c r="ATU5" s="2622"/>
      <c r="ATV5" s="2622"/>
      <c r="ATW5" s="2622"/>
      <c r="ATX5" s="2617"/>
      <c r="ATY5" s="2617"/>
      <c r="ATZ5" s="2617"/>
      <c r="AUA5" s="2617"/>
      <c r="AUB5" s="2617"/>
      <c r="AUC5" s="2617"/>
      <c r="AUD5" s="2617"/>
      <c r="AUE5" s="2617"/>
      <c r="AUF5" s="2617"/>
      <c r="AUG5" s="2617"/>
      <c r="AUH5" s="2617"/>
      <c r="AUI5" s="2617"/>
      <c r="AUJ5" s="2617"/>
      <c r="AUK5" s="2617"/>
      <c r="AUL5" s="2617"/>
      <c r="AUM5" s="2617"/>
      <c r="AUN5" s="2617"/>
      <c r="AUO5" s="2617"/>
      <c r="AUP5" s="2617"/>
      <c r="AUQ5" s="2617"/>
      <c r="AUR5" s="2617"/>
      <c r="AUS5" s="2617"/>
      <c r="AUT5" s="2617"/>
      <c r="AUU5" s="2617"/>
      <c r="AUV5" s="2617"/>
      <c r="AUW5" s="2617"/>
      <c r="AUX5" s="2617"/>
      <c r="AUY5" s="2617"/>
      <c r="AUZ5" s="2617"/>
      <c r="AVA5" s="2617"/>
      <c r="AVB5" s="2617"/>
      <c r="AVC5" s="2617"/>
      <c r="AVD5" s="2617"/>
      <c r="AVE5" s="2617"/>
      <c r="AVF5" s="2617"/>
      <c r="AVG5" s="2617"/>
      <c r="AVH5" s="2617"/>
      <c r="AVI5" s="2617"/>
      <c r="AVJ5" s="2617"/>
      <c r="AVK5" s="2617"/>
      <c r="AVL5" s="2617"/>
      <c r="AVM5" s="2617"/>
      <c r="AVN5" s="2617"/>
      <c r="AVO5" s="2617"/>
      <c r="AVP5" s="2617"/>
      <c r="AVQ5" s="2617"/>
      <c r="AVR5" s="2617"/>
      <c r="AVS5" s="2617"/>
      <c r="AVT5" s="2617"/>
      <c r="AVU5" s="2617"/>
      <c r="AVV5" s="2617"/>
      <c r="AVW5" s="2617"/>
      <c r="AVX5" s="2617"/>
      <c r="AVY5" s="2617"/>
      <c r="AVZ5" s="2617"/>
      <c r="AWA5" s="2617"/>
      <c r="AWB5" s="2617"/>
      <c r="AWC5" s="2617"/>
      <c r="AWD5" s="2617"/>
      <c r="AWE5" s="2617"/>
      <c r="AWF5" s="2617"/>
      <c r="AWG5" s="2617"/>
      <c r="AWH5" s="2617"/>
      <c r="AWI5" s="2617"/>
      <c r="AWJ5" s="2617"/>
      <c r="AWK5" s="2617"/>
      <c r="AWL5" s="2617"/>
      <c r="AWM5" s="2617"/>
      <c r="AWN5" s="2617"/>
      <c r="AWO5" s="2617"/>
      <c r="AWP5" s="2617"/>
      <c r="AWQ5" s="2617"/>
      <c r="AWR5" s="2617"/>
      <c r="AWS5" s="2617"/>
      <c r="AWT5" s="2617"/>
      <c r="AWU5" s="2617"/>
      <c r="AWV5" s="2617"/>
      <c r="AWW5" s="2617"/>
      <c r="AWX5" s="2617"/>
      <c r="AWY5" s="2617"/>
      <c r="AWZ5" s="2617"/>
      <c r="AXA5" s="2617"/>
      <c r="AXB5" s="2617"/>
      <c r="AXC5" s="2617"/>
      <c r="AXD5" s="2617"/>
      <c r="AXE5" s="2617"/>
      <c r="AXF5" s="2617"/>
      <c r="AXG5" s="2617"/>
      <c r="AXH5" s="2617"/>
      <c r="AXI5" s="2617"/>
      <c r="AXJ5" s="2617"/>
      <c r="AXK5" s="2617"/>
      <c r="AYV5" s="2622"/>
      <c r="AYW5" s="2622"/>
      <c r="AYX5" s="2622"/>
      <c r="AYY5" s="2622"/>
      <c r="AYZ5" s="2622"/>
      <c r="AZA5" s="2622"/>
      <c r="AZB5" s="2622"/>
      <c r="AZC5" s="2622"/>
      <c r="AZD5" s="2622"/>
      <c r="AZE5" s="2622"/>
      <c r="AZF5" s="2622"/>
      <c r="AZG5" s="2622"/>
      <c r="AZH5" s="2622"/>
      <c r="AZI5" s="2622"/>
      <c r="AZJ5" s="2622"/>
      <c r="AZK5" s="2622"/>
      <c r="AZL5" s="2622"/>
      <c r="AZM5" s="2622"/>
      <c r="AZN5" s="2622"/>
      <c r="AZO5" s="2622"/>
      <c r="AZP5" s="2622"/>
      <c r="AZQ5" s="2622"/>
      <c r="AZR5" s="2622"/>
      <c r="AZS5" s="2622"/>
      <c r="AZT5" s="2622"/>
      <c r="AZU5" s="2622"/>
      <c r="AZX5" s="2622"/>
      <c r="AZY5" s="2622"/>
      <c r="AZZ5" s="2622"/>
      <c r="BAA5" s="2622"/>
      <c r="BAB5" s="2622"/>
      <c r="BAC5" s="2622"/>
      <c r="BAD5" s="2622"/>
      <c r="BAE5" s="2622"/>
      <c r="BAF5" s="2622"/>
      <c r="BAG5" s="2622"/>
      <c r="BAH5" s="2622"/>
      <c r="BAI5" s="2622"/>
      <c r="BAL5" s="2622"/>
      <c r="BAM5" s="2622"/>
      <c r="BAN5" s="2622"/>
      <c r="BAO5" s="2622"/>
      <c r="BAP5" s="2622"/>
      <c r="BAQ5" s="2622"/>
      <c r="BAT5" s="2622"/>
      <c r="BCJ5" s="2617"/>
      <c r="BCK5" s="2617"/>
      <c r="BCL5" s="2617"/>
      <c r="BCM5" s="2617"/>
      <c r="BCN5" s="2617"/>
      <c r="BCO5" s="2617"/>
      <c r="BCP5" s="2617"/>
      <c r="BCQ5" s="2617"/>
      <c r="BCR5" s="2617"/>
      <c r="BCS5" s="2617"/>
      <c r="BCT5" s="2617"/>
      <c r="BCU5" s="2617"/>
      <c r="BCV5" s="2617"/>
      <c r="BCW5" s="2617"/>
      <c r="BCX5" s="2617"/>
      <c r="BCY5" s="2617"/>
      <c r="BCZ5" s="2617"/>
      <c r="BDA5" s="2617"/>
      <c r="BDB5" s="2617"/>
      <c r="BDC5" s="2617"/>
      <c r="BDD5" s="2617"/>
      <c r="BDE5" s="2617"/>
      <c r="BDF5" s="2617"/>
      <c r="BDG5" s="2617"/>
      <c r="BDH5" s="2617"/>
      <c r="BDI5" s="2617"/>
      <c r="BDL5" s="2617"/>
      <c r="BDM5" s="2617"/>
      <c r="BDN5" s="2617"/>
      <c r="BDO5" s="2617"/>
      <c r="BDP5" s="2617"/>
      <c r="BDQ5" s="2617"/>
      <c r="BDR5" s="2617"/>
      <c r="BDS5" s="2617"/>
      <c r="BDT5" s="2617"/>
      <c r="BDU5" s="2617"/>
      <c r="BDV5" s="2617"/>
      <c r="BDW5" s="2617"/>
      <c r="BDZ5" s="2617"/>
      <c r="BEA5" s="2617"/>
      <c r="BEB5" s="2617"/>
      <c r="BEC5" s="2617"/>
      <c r="BED5" s="2617"/>
      <c r="BEE5" s="2617"/>
      <c r="BEH5" s="2617"/>
    </row>
    <row r="6" spans="1:1490" s="5589" customFormat="1" ht="75" customHeight="1" x14ac:dyDescent="0.2">
      <c r="A6" s="4251"/>
      <c r="B6" s="7228" t="s">
        <v>2547</v>
      </c>
      <c r="C6" s="7228"/>
      <c r="D6" s="7228"/>
      <c r="E6" s="7228"/>
      <c r="F6" s="7228"/>
      <c r="G6" s="7228"/>
      <c r="H6" s="7228"/>
      <c r="I6" s="5596"/>
      <c r="J6" s="5596"/>
      <c r="K6" s="5596"/>
      <c r="L6" s="5596"/>
      <c r="M6" s="5597" t="s">
        <v>2548</v>
      </c>
      <c r="N6" s="5597"/>
      <c r="O6" s="5597"/>
      <c r="P6" s="5597"/>
      <c r="Q6" s="4251"/>
      <c r="R6" s="4251"/>
      <c r="S6" s="4251"/>
      <c r="T6" s="4251"/>
      <c r="U6" s="4251"/>
      <c r="V6" s="4251"/>
      <c r="W6" s="4251"/>
      <c r="X6" s="4251"/>
      <c r="Y6" s="4251"/>
      <c r="Z6" s="4251"/>
      <c r="AA6" s="4251"/>
      <c r="AB6" s="4251"/>
      <c r="AC6" s="4251"/>
      <c r="AD6" s="4251"/>
      <c r="AE6" s="4251"/>
      <c r="AF6" s="4251"/>
      <c r="AG6" s="4251"/>
      <c r="AH6" s="5588" t="s">
        <v>941</v>
      </c>
      <c r="AI6" s="5588"/>
      <c r="AK6" s="5590"/>
      <c r="AL6" s="5591"/>
      <c r="AN6" s="5590"/>
      <c r="AQ6" s="5592"/>
      <c r="AR6" s="5592"/>
      <c r="AS6" s="5592"/>
      <c r="AT6" s="5592"/>
      <c r="AU6" s="5588" t="s">
        <v>289</v>
      </c>
      <c r="AV6" s="5588"/>
      <c r="AW6" s="5588"/>
      <c r="CG6" s="5588" t="s">
        <v>309</v>
      </c>
      <c r="CH6" s="5588"/>
      <c r="CI6" s="5588"/>
      <c r="CJ6" s="5588"/>
      <c r="CK6" s="5588"/>
      <c r="CL6" s="5588"/>
      <c r="CM6" s="5588"/>
      <c r="CN6" s="5588"/>
      <c r="CO6" s="5588"/>
      <c r="CP6" s="5588"/>
      <c r="CQ6" s="5588"/>
      <c r="CR6" s="5588"/>
      <c r="HR6" s="5592"/>
      <c r="HS6" s="5592"/>
      <c r="HT6" s="5592"/>
      <c r="HU6" s="5592"/>
      <c r="HV6" s="5592"/>
      <c r="HW6" s="5592"/>
      <c r="HX6" s="5592"/>
      <c r="HY6" s="5592"/>
      <c r="HZ6" s="5592"/>
      <c r="IA6" s="5592"/>
      <c r="IB6" s="5592"/>
      <c r="IC6" s="5592"/>
      <c r="ID6" s="5592"/>
      <c r="IE6" s="5592"/>
      <c r="IF6" s="5592"/>
      <c r="IG6" s="5592"/>
      <c r="IH6" s="5592"/>
      <c r="II6" s="5592"/>
      <c r="IJ6" s="5592"/>
      <c r="IK6" s="5592"/>
      <c r="IL6" s="5592"/>
      <c r="IM6" s="5592"/>
      <c r="IN6" s="5592"/>
      <c r="IO6" s="5592"/>
      <c r="IP6" s="5592"/>
      <c r="IQ6" s="5592"/>
      <c r="IR6" s="5592"/>
      <c r="IS6" s="5592"/>
      <c r="IT6" s="5592"/>
      <c r="IU6" s="5592"/>
      <c r="IV6" s="5592"/>
      <c r="IW6" s="5592"/>
      <c r="IX6" s="5592"/>
      <c r="IY6" s="5592"/>
      <c r="IZ6" s="5592"/>
      <c r="JA6" s="5592"/>
      <c r="JB6" s="5592"/>
      <c r="JC6" s="5592"/>
      <c r="JD6" s="5592"/>
      <c r="JE6" s="5592"/>
      <c r="JF6" s="5592"/>
      <c r="JG6" s="5592"/>
      <c r="JH6" s="5592"/>
      <c r="JI6" s="5592"/>
      <c r="JJ6" s="5592"/>
      <c r="JK6" s="5592"/>
      <c r="JL6" s="5592"/>
      <c r="JM6" s="5592"/>
      <c r="JN6" s="5592"/>
      <c r="JO6" s="5592"/>
      <c r="JP6" s="5592"/>
      <c r="JQ6" s="5592"/>
      <c r="JR6" s="5592"/>
      <c r="JS6" s="5592"/>
      <c r="JT6" s="5592"/>
      <c r="JU6" s="5592"/>
      <c r="JV6" s="5592"/>
      <c r="JW6" s="5592"/>
      <c r="JX6" s="5592"/>
      <c r="JY6" s="5592"/>
      <c r="JZ6" s="5592"/>
      <c r="KA6" s="5592"/>
      <c r="KB6" s="5592"/>
      <c r="KC6" s="5592"/>
      <c r="KD6" s="5592"/>
      <c r="KE6" s="5592"/>
      <c r="KF6" s="5592"/>
      <c r="KG6" s="5592"/>
      <c r="KH6" s="5592"/>
      <c r="KI6" s="5592"/>
      <c r="KJ6" s="5592"/>
      <c r="KK6" s="5592"/>
      <c r="KL6" s="5592"/>
      <c r="KM6" s="5592"/>
      <c r="KN6" s="5592"/>
      <c r="KO6" s="5592"/>
      <c r="KP6" s="5592"/>
      <c r="KQ6" s="5592"/>
      <c r="KR6" s="5592"/>
      <c r="KS6" s="5592"/>
      <c r="KT6" s="5592"/>
      <c r="KU6" s="5592"/>
      <c r="KV6" s="5592"/>
      <c r="KW6" s="5592"/>
      <c r="KX6" s="5592"/>
      <c r="KY6" s="5592"/>
      <c r="KZ6" s="5592"/>
      <c r="LA6" s="5592"/>
      <c r="LB6" s="5592"/>
      <c r="LC6" s="5592"/>
      <c r="LD6" s="5592"/>
      <c r="LE6" s="5592"/>
      <c r="LR6" s="5592"/>
      <c r="LS6" s="5592"/>
      <c r="LT6" s="5592"/>
      <c r="LU6" s="5592"/>
      <c r="LV6" s="5592"/>
      <c r="LW6" s="5592"/>
      <c r="LX6" s="5592"/>
      <c r="LY6" s="5592"/>
      <c r="LZ6" s="5592"/>
      <c r="MA6" s="5592"/>
      <c r="MB6" s="5592"/>
      <c r="MC6" s="5592"/>
      <c r="MD6" s="5592"/>
      <c r="ME6" s="5592"/>
      <c r="MF6" s="5592"/>
      <c r="MG6" s="5592"/>
      <c r="MH6" s="5592"/>
      <c r="MI6" s="5592"/>
      <c r="MJ6" s="5592"/>
      <c r="MK6" s="5592"/>
      <c r="ML6" s="5592"/>
      <c r="MM6" s="5592"/>
      <c r="MN6" s="5592"/>
      <c r="MO6" s="5592"/>
      <c r="MP6" s="5592"/>
      <c r="MQ6" s="5592"/>
      <c r="MR6" s="5592"/>
      <c r="MS6" s="5592"/>
      <c r="MT6" s="5592"/>
      <c r="MU6" s="5592"/>
      <c r="MV6" s="5592"/>
      <c r="MW6" s="5592"/>
      <c r="MX6" s="5592"/>
      <c r="MY6" s="5592"/>
      <c r="MZ6" s="5592"/>
      <c r="NA6" s="5592"/>
      <c r="NB6" s="5592"/>
      <c r="NC6" s="5592"/>
      <c r="ND6" s="5592"/>
      <c r="NE6" s="5592"/>
      <c r="NF6" s="5592"/>
      <c r="NG6" s="5592"/>
      <c r="NH6" s="5592"/>
      <c r="NI6" s="5592"/>
      <c r="NJ6" s="5592"/>
      <c r="NK6" s="5592"/>
      <c r="NL6" s="5592"/>
      <c r="NM6" s="5592"/>
      <c r="NN6" s="5592"/>
      <c r="NO6" s="5592"/>
      <c r="NP6" s="5592"/>
      <c r="NQ6" s="5592"/>
      <c r="NR6" s="5592"/>
      <c r="NS6" s="5592"/>
      <c r="NT6" s="5592"/>
      <c r="NU6" s="5592"/>
      <c r="NV6" s="5592"/>
      <c r="NW6" s="5592"/>
      <c r="NX6" s="5592"/>
      <c r="NY6" s="5592"/>
      <c r="NZ6" s="5592"/>
      <c r="OA6" s="5592"/>
      <c r="OB6" s="5592"/>
      <c r="OC6" s="5592"/>
      <c r="OD6" s="5592"/>
      <c r="OE6" s="5592"/>
      <c r="OF6" s="5592"/>
      <c r="OG6" s="5592"/>
      <c r="OH6" s="5592"/>
      <c r="OI6" s="5592"/>
      <c r="OJ6" s="5592"/>
      <c r="OK6" s="5592"/>
      <c r="OL6" s="5592"/>
      <c r="OM6" s="5592"/>
      <c r="ON6" s="5592"/>
      <c r="OO6" s="5592"/>
      <c r="OP6" s="5592"/>
      <c r="OQ6" s="5592"/>
      <c r="OR6" s="5592"/>
      <c r="OS6" s="5592"/>
      <c r="OT6" s="5592"/>
      <c r="OU6" s="5592"/>
      <c r="OV6" s="5592"/>
      <c r="OW6" s="5592"/>
      <c r="OX6" s="5592"/>
      <c r="OY6" s="5592"/>
      <c r="OZ6" s="5592"/>
      <c r="PA6" s="5592"/>
      <c r="PB6" s="5592"/>
      <c r="PC6" s="5592"/>
      <c r="PD6" s="5592"/>
      <c r="PE6" s="5592"/>
      <c r="PF6" s="5592"/>
      <c r="PG6" s="5592"/>
      <c r="PH6" s="5592"/>
      <c r="PI6" s="5592"/>
      <c r="PJ6" s="5592"/>
      <c r="PK6" s="5592"/>
      <c r="PL6" s="5592"/>
      <c r="PM6" s="5592"/>
      <c r="PN6" s="5592"/>
      <c r="PO6" s="5592"/>
      <c r="PP6" s="5592"/>
      <c r="PQ6" s="5592"/>
      <c r="PR6" s="5592"/>
      <c r="PS6" s="5592"/>
      <c r="PT6" s="5592"/>
      <c r="PU6" s="5592"/>
      <c r="PV6" s="5592"/>
      <c r="PW6" s="5592"/>
      <c r="PX6" s="5592"/>
      <c r="PY6" s="5592"/>
      <c r="PZ6" s="5592"/>
      <c r="QA6" s="5592"/>
      <c r="QB6" s="5592"/>
      <c r="QC6" s="5592"/>
      <c r="QD6" s="5592"/>
      <c r="QE6" s="5592"/>
      <c r="QF6" s="5592"/>
      <c r="QG6" s="5592"/>
      <c r="QH6" s="5592"/>
      <c r="QI6" s="5592"/>
      <c r="QJ6" s="5592"/>
      <c r="QK6" s="5592"/>
      <c r="QL6" s="5592"/>
      <c r="QM6" s="5592"/>
      <c r="QN6" s="5592"/>
      <c r="QO6" s="5592"/>
      <c r="QP6" s="5592"/>
      <c r="QQ6" s="5592"/>
      <c r="QR6" s="5592"/>
      <c r="QS6" s="5592"/>
      <c r="QT6" s="5592"/>
      <c r="QU6" s="5592"/>
      <c r="QV6" s="5592"/>
      <c r="QW6" s="5592"/>
      <c r="QX6" s="5592"/>
      <c r="QY6" s="5592"/>
      <c r="QZ6" s="5592"/>
      <c r="RA6" s="5592"/>
      <c r="RB6" s="5592"/>
      <c r="RC6" s="5592"/>
      <c r="RD6" s="5592"/>
      <c r="RE6" s="5592"/>
      <c r="RF6" s="5592"/>
      <c r="RG6" s="5592"/>
      <c r="RH6" s="5592"/>
      <c r="RI6" s="5592"/>
      <c r="RJ6" s="5592"/>
      <c r="RK6" s="5592"/>
      <c r="RL6" s="5592"/>
      <c r="RM6" s="5592"/>
      <c r="RN6" s="5592"/>
      <c r="RO6" s="5592"/>
      <c r="RP6" s="5592"/>
      <c r="RQ6" s="5592"/>
      <c r="RR6" s="5592"/>
      <c r="RS6" s="5592"/>
      <c r="RT6" s="5592"/>
      <c r="RU6" s="5592"/>
      <c r="RV6" s="5592"/>
      <c r="RW6" s="5592"/>
      <c r="RX6" s="5592"/>
      <c r="RY6" s="5592"/>
      <c r="RZ6" s="5592"/>
      <c r="SA6" s="5592"/>
      <c r="SB6" s="5592"/>
      <c r="SC6" s="5592"/>
      <c r="SD6" s="5592"/>
      <c r="SE6" s="5592"/>
      <c r="SF6" s="5592"/>
      <c r="SG6" s="5592"/>
      <c r="SH6" s="5592"/>
      <c r="SI6" s="5592"/>
      <c r="SJ6" s="5592"/>
      <c r="SK6" s="5592"/>
      <c r="SL6" s="5592"/>
      <c r="SM6" s="5592"/>
      <c r="SN6" s="5592"/>
      <c r="SO6" s="5592"/>
      <c r="SP6" s="5592"/>
      <c r="SQ6" s="5592"/>
      <c r="SR6" s="5592"/>
      <c r="SS6" s="5592"/>
      <c r="ST6" s="5592"/>
      <c r="SU6" s="5592"/>
      <c r="SV6" s="5592"/>
      <c r="SW6" s="5592"/>
      <c r="SX6" s="5592"/>
      <c r="SY6" s="5592"/>
      <c r="SZ6" s="5592"/>
      <c r="TA6" s="5592"/>
      <c r="TB6" s="5592"/>
      <c r="TC6" s="5592"/>
      <c r="TD6" s="5592"/>
      <c r="TE6" s="5592"/>
      <c r="TF6" s="5592"/>
      <c r="TG6" s="5592"/>
      <c r="TH6" s="5592"/>
      <c r="TI6" s="5592"/>
      <c r="TJ6" s="5592"/>
      <c r="TK6" s="5592"/>
      <c r="TL6" s="5592"/>
      <c r="TM6" s="5592"/>
      <c r="TN6" s="5592"/>
      <c r="TO6" s="5592"/>
      <c r="TP6" s="5592"/>
      <c r="TQ6" s="5592"/>
      <c r="TR6" s="5592"/>
      <c r="TS6" s="5592"/>
      <c r="TT6" s="5592"/>
      <c r="TU6" s="5592"/>
      <c r="TV6" s="5592"/>
      <c r="TW6" s="5592"/>
      <c r="TX6" s="5592"/>
      <c r="TY6" s="5592"/>
      <c r="TZ6" s="5592"/>
      <c r="UA6" s="5592"/>
      <c r="UB6" s="5592"/>
      <c r="UC6" s="5592"/>
      <c r="UD6" s="5592"/>
      <c r="UE6" s="5592"/>
      <c r="UF6" s="5592"/>
      <c r="UG6" s="5592"/>
      <c r="UH6" s="5592"/>
      <c r="UI6" s="5592"/>
      <c r="UJ6" s="5592"/>
      <c r="UK6" s="5592"/>
      <c r="UL6" s="5592"/>
      <c r="UM6" s="5592"/>
      <c r="UN6" s="5592"/>
      <c r="UO6" s="5592"/>
      <c r="UP6" s="5592"/>
      <c r="UQ6" s="5592"/>
      <c r="UR6" s="5592"/>
      <c r="US6" s="5592"/>
      <c r="UT6" s="5592"/>
      <c r="UU6" s="5592"/>
      <c r="UV6" s="5592"/>
      <c r="UW6" s="5592"/>
      <c r="UX6" s="5592"/>
      <c r="UY6" s="5592"/>
      <c r="UZ6" s="5592"/>
      <c r="VA6" s="5592"/>
      <c r="VB6" s="5592"/>
      <c r="VC6" s="5592"/>
      <c r="VD6" s="5592"/>
      <c r="VE6" s="5592"/>
      <c r="VF6" s="5592"/>
      <c r="VG6" s="5592"/>
      <c r="VH6" s="5592"/>
      <c r="VI6" s="5592"/>
      <c r="VJ6" s="5592"/>
      <c r="VK6" s="5592"/>
      <c r="VL6" s="5592"/>
      <c r="VM6" s="5592"/>
      <c r="VN6" s="5592"/>
      <c r="VO6" s="5592"/>
      <c r="VP6" s="5592"/>
      <c r="VQ6" s="5592"/>
      <c r="VR6" s="5592"/>
      <c r="VS6" s="5592"/>
      <c r="VT6" s="5592"/>
      <c r="VU6" s="5592"/>
      <c r="VV6" s="5592"/>
      <c r="VW6" s="5592"/>
      <c r="VX6" s="5592"/>
      <c r="VY6" s="5592"/>
      <c r="VZ6" s="5592"/>
      <c r="WA6" s="5592"/>
      <c r="WB6" s="5592"/>
      <c r="WC6" s="5592"/>
      <c r="WD6" s="5592"/>
      <c r="WE6" s="5592"/>
      <c r="WF6" s="5592"/>
      <c r="WG6" s="5592"/>
      <c r="WH6" s="5592"/>
      <c r="WI6" s="5592"/>
      <c r="WJ6" s="5592"/>
      <c r="WK6" s="5592"/>
      <c r="WL6" s="5592"/>
      <c r="WM6" s="5592"/>
      <c r="WN6" s="5592"/>
      <c r="WO6" s="5592"/>
      <c r="WP6" s="5592"/>
      <c r="WQ6" s="5592"/>
      <c r="WR6" s="5592"/>
      <c r="WS6" s="5592"/>
      <c r="WT6" s="5592"/>
      <c r="WU6" s="5592"/>
      <c r="WV6" s="5592"/>
      <c r="WW6" s="5592"/>
      <c r="WX6" s="5592"/>
      <c r="WY6" s="5592"/>
      <c r="WZ6" s="5592"/>
      <c r="XA6" s="5592"/>
      <c r="XB6" s="5592"/>
      <c r="XC6" s="5592"/>
      <c r="XD6" s="5592"/>
      <c r="XE6" s="5592"/>
      <c r="XF6" s="5592"/>
      <c r="XG6" s="5592"/>
      <c r="XH6" s="5592"/>
      <c r="XI6" s="5592"/>
      <c r="XJ6" s="5592"/>
      <c r="XK6" s="5592"/>
      <c r="XL6" s="5592"/>
      <c r="XM6" s="5592"/>
      <c r="XN6" s="5592"/>
      <c r="XO6" s="5592"/>
      <c r="XP6" s="5592"/>
      <c r="XQ6" s="5592"/>
      <c r="XR6" s="5592"/>
      <c r="XS6" s="5592"/>
      <c r="XT6" s="5592"/>
      <c r="XU6" s="5592"/>
      <c r="XV6" s="5592"/>
      <c r="XW6" s="5592"/>
      <c r="XX6" s="5592"/>
      <c r="XY6" s="5592"/>
      <c r="XZ6" s="5592"/>
      <c r="YA6" s="5592"/>
      <c r="YB6" s="5592"/>
      <c r="YC6" s="5592"/>
      <c r="YD6" s="5592"/>
      <c r="YE6" s="5592"/>
      <c r="YF6" s="5592"/>
      <c r="YG6" s="5592"/>
      <c r="YH6" s="5592"/>
      <c r="YI6" s="5592"/>
      <c r="YJ6" s="5592"/>
      <c r="YK6" s="5592"/>
      <c r="YL6" s="5592"/>
      <c r="YM6" s="5592"/>
      <c r="YN6" s="5592"/>
      <c r="YO6" s="5592"/>
      <c r="YP6" s="5592"/>
      <c r="YQ6" s="5592"/>
      <c r="YR6" s="5592"/>
      <c r="YS6" s="5592"/>
      <c r="YT6" s="5592"/>
      <c r="YU6" s="5592"/>
      <c r="YV6" s="5592"/>
      <c r="YW6" s="5592"/>
      <c r="YX6" s="5592"/>
      <c r="YY6" s="5592"/>
      <c r="YZ6" s="5592"/>
      <c r="ZA6" s="5592"/>
      <c r="ZB6" s="5592"/>
      <c r="ZC6" s="5592"/>
      <c r="ZD6" s="5592"/>
      <c r="ZE6" s="5592"/>
      <c r="ZF6" s="5592"/>
      <c r="ZG6" s="5592"/>
      <c r="ZH6" s="5592"/>
      <c r="ZI6" s="5592"/>
      <c r="ZJ6" s="5592"/>
      <c r="ZK6" s="5592"/>
      <c r="ZL6" s="5592"/>
      <c r="ZM6" s="5592"/>
      <c r="ZN6" s="5592"/>
      <c r="ZO6" s="5592"/>
      <c r="ZP6" s="5592"/>
      <c r="ZQ6" s="5592"/>
      <c r="ZR6" s="5592"/>
      <c r="ZS6" s="5592"/>
      <c r="ZT6" s="5592"/>
      <c r="ZU6" s="5592"/>
      <c r="ZV6" s="5592"/>
      <c r="ZW6" s="5592"/>
      <c r="ZX6" s="5592"/>
      <c r="ZY6" s="5592"/>
      <c r="ZZ6" s="5592"/>
      <c r="AAA6" s="5592"/>
      <c r="AAB6" s="5592"/>
      <c r="AAC6" s="5592"/>
      <c r="AAD6" s="5592"/>
      <c r="AAE6" s="5592"/>
      <c r="AAF6" s="5592"/>
      <c r="AAG6" s="5592"/>
      <c r="AAH6" s="5592"/>
      <c r="AAI6" s="5592"/>
      <c r="AAJ6" s="5592"/>
      <c r="AAK6" s="5592"/>
      <c r="AAL6" s="5592"/>
      <c r="AAM6" s="5592"/>
      <c r="AAN6" s="5592"/>
      <c r="AAO6" s="5592"/>
      <c r="AAP6" s="5592"/>
      <c r="AAQ6" s="5592"/>
      <c r="AAR6" s="5592"/>
      <c r="AAS6" s="5592"/>
      <c r="AAT6" s="5592"/>
      <c r="AAU6" s="5593"/>
      <c r="AAV6" s="5593"/>
      <c r="AAW6" s="4252" t="s">
        <v>988</v>
      </c>
      <c r="AAX6" s="4252"/>
      <c r="AAY6" s="4252"/>
      <c r="AAZ6" s="4252"/>
      <c r="ABA6" s="4252"/>
      <c r="ABB6" s="4253"/>
      <c r="ABC6" s="4253"/>
      <c r="ABD6" s="4253"/>
      <c r="ABE6" s="4253"/>
      <c r="ABF6" s="4253"/>
      <c r="ABG6" s="4253"/>
      <c r="ABH6" s="4253"/>
      <c r="ABI6" s="4253"/>
      <c r="ABJ6" s="4252"/>
      <c r="ABK6" s="4252"/>
      <c r="ABL6" s="4253"/>
      <c r="ABM6" s="4253"/>
      <c r="ABN6" s="4253"/>
      <c r="ABO6" s="5594"/>
      <c r="ABP6" s="5594"/>
      <c r="ABQ6" s="5594"/>
      <c r="ABR6" s="4253"/>
      <c r="ABS6" s="4253"/>
      <c r="ABT6" s="4253"/>
      <c r="ABU6" s="4253"/>
      <c r="ABV6" s="4253"/>
      <c r="ABW6" s="4253"/>
      <c r="ABX6" s="4253"/>
      <c r="ABY6" s="4253"/>
      <c r="ABZ6" s="4253"/>
      <c r="ACA6" s="4253"/>
      <c r="ACB6" s="4253"/>
      <c r="ACC6" s="4253"/>
      <c r="ACD6" s="4253"/>
      <c r="ACE6" s="5595"/>
      <c r="ACF6" s="4253"/>
      <c r="ACG6" s="4253"/>
      <c r="ACH6" s="4253"/>
      <c r="ACI6" s="4253"/>
      <c r="ACJ6" s="4253"/>
      <c r="ACK6" s="4253"/>
      <c r="ACL6" s="4253"/>
      <c r="ACM6" s="4253"/>
      <c r="ACN6" s="5595"/>
      <c r="ACO6" s="4253"/>
      <c r="ACP6" s="4253"/>
      <c r="ACQ6" s="4253"/>
      <c r="ACR6" s="4253"/>
      <c r="ACS6" s="4253"/>
      <c r="ACT6" s="4253"/>
      <c r="ACU6" s="4253"/>
      <c r="ACV6" s="4253"/>
      <c r="ACW6" s="5595"/>
      <c r="ACX6" s="4253"/>
      <c r="ACY6" s="4253"/>
      <c r="ACZ6" s="4253"/>
      <c r="ADA6" s="4253"/>
      <c r="ADB6" s="4253"/>
      <c r="ADC6" s="4253"/>
      <c r="ADD6" s="4253"/>
      <c r="ADE6" s="4253"/>
      <c r="ADF6" s="4253"/>
      <c r="ADG6" s="5595"/>
      <c r="ADH6" s="4253"/>
      <c r="ADI6" s="4253"/>
      <c r="ADJ6" s="4253"/>
      <c r="ADK6" s="4253"/>
      <c r="ADL6" s="4253"/>
      <c r="ADM6" s="4253"/>
      <c r="ADN6" s="4253"/>
      <c r="ADO6" s="4253"/>
      <c r="ADP6" s="5595"/>
      <c r="ADQ6" s="4253"/>
      <c r="ADR6" s="4253"/>
      <c r="ADS6" s="4253"/>
      <c r="ADT6" s="4253"/>
      <c r="ADU6" s="4253"/>
      <c r="ADV6" s="4253"/>
      <c r="ADW6" s="4253"/>
      <c r="ADX6" s="4253"/>
      <c r="ADY6" s="4253"/>
      <c r="ADZ6" s="4253"/>
      <c r="AEA6" s="4253"/>
      <c r="AEB6" s="4253"/>
      <c r="AEC6" s="4253"/>
      <c r="AED6" s="4253"/>
      <c r="AEE6" s="4253"/>
      <c r="AEF6" s="4253"/>
      <c r="AEG6" s="4253"/>
      <c r="AEH6" s="4253"/>
      <c r="AEI6" s="4253"/>
      <c r="AEJ6" s="4253"/>
      <c r="AEK6" s="4253"/>
      <c r="AEL6" s="4253"/>
      <c r="AEM6" s="4253"/>
      <c r="AEN6" s="4253"/>
      <c r="AEO6" s="4253"/>
      <c r="AEP6" s="4253"/>
      <c r="AEQ6" s="4253"/>
      <c r="AER6" s="4253"/>
      <c r="AES6" s="4253"/>
      <c r="AET6" s="4253"/>
      <c r="AEU6" s="4253"/>
      <c r="AEV6" s="4253"/>
      <c r="AEW6" s="4253"/>
      <c r="AEX6" s="4253"/>
      <c r="AEY6" s="4253"/>
      <c r="AEZ6" s="4253"/>
      <c r="AFA6" s="4253"/>
      <c r="AFB6" s="4253"/>
      <c r="AFC6" s="4253"/>
      <c r="AFD6" s="4253"/>
      <c r="AFE6" s="4253"/>
      <c r="AFF6" s="4253"/>
      <c r="AFG6" s="4253"/>
      <c r="AFH6" s="4253"/>
      <c r="AFI6" s="4253"/>
      <c r="AFJ6" s="4253"/>
      <c r="AFK6" s="4253"/>
      <c r="AFL6" s="4253"/>
      <c r="AFM6" s="4253"/>
      <c r="AFN6" s="4253"/>
      <c r="AFO6" s="4253"/>
      <c r="AFP6" s="4253"/>
      <c r="AFQ6" s="4253"/>
      <c r="AFR6" s="4253"/>
      <c r="AFS6" s="4253"/>
      <c r="AFT6" s="4253"/>
      <c r="AFU6" s="4253"/>
      <c r="AFV6" s="4253"/>
      <c r="AFW6" s="4253"/>
      <c r="AFX6" s="4253"/>
      <c r="AFY6" s="4253"/>
      <c r="AFZ6" s="5595"/>
      <c r="AGA6" s="4253"/>
      <c r="AGB6" s="4253"/>
      <c r="AGC6" s="4253"/>
      <c r="AGD6" s="4253"/>
      <c r="AGE6" s="4253"/>
      <c r="AGF6" s="4253"/>
      <c r="AGG6" s="4253"/>
      <c r="AGH6" s="4253"/>
      <c r="AGI6" s="4253"/>
      <c r="AGJ6" s="4253"/>
      <c r="AGK6" s="4253"/>
      <c r="AGL6" s="4253"/>
      <c r="AGM6" s="4253"/>
      <c r="AGN6" s="5595"/>
      <c r="AGO6" s="4253"/>
      <c r="AGP6" s="4253"/>
      <c r="AGQ6" s="4253"/>
      <c r="AGR6" s="4253"/>
      <c r="AGS6" s="4253"/>
      <c r="AGT6" s="4253"/>
      <c r="AGU6" s="4253"/>
      <c r="AGV6" s="4253"/>
      <c r="AGW6" s="4253"/>
      <c r="AGX6" s="4253"/>
      <c r="AGY6" s="4253"/>
      <c r="AGZ6" s="4253"/>
      <c r="AHA6" s="4253"/>
      <c r="AHB6" s="4253"/>
      <c r="AHC6" s="4253"/>
      <c r="AHD6" s="4253"/>
      <c r="AHE6" s="4253"/>
      <c r="AHF6" s="4253"/>
      <c r="AHG6" s="4253"/>
      <c r="AHH6" s="4253"/>
      <c r="AHI6" s="4253"/>
      <c r="AHJ6" s="4253"/>
      <c r="AHK6" s="4253"/>
      <c r="AHL6" s="4253"/>
      <c r="AHM6" s="4253"/>
      <c r="AHN6" s="4253"/>
      <c r="AHO6" s="4253"/>
      <c r="AHP6" s="4253"/>
      <c r="AHQ6" s="4253"/>
      <c r="AHR6" s="4253"/>
      <c r="AHS6" s="4253"/>
      <c r="AHT6" s="4253"/>
      <c r="AHU6" s="4253"/>
      <c r="AHV6" s="4253"/>
      <c r="AHW6" s="4253"/>
      <c r="AHX6" s="4253"/>
      <c r="AHY6" s="5595"/>
      <c r="AHZ6" s="4253"/>
      <c r="AIA6" s="4253"/>
      <c r="AIB6" s="4253"/>
      <c r="AIC6" s="4253"/>
      <c r="AID6" s="4253"/>
      <c r="AIE6" s="4253"/>
      <c r="AIF6" s="4253"/>
      <c r="AIG6" s="4253"/>
      <c r="AIH6" s="4253"/>
      <c r="AII6" s="5595"/>
      <c r="AIJ6" s="5595"/>
      <c r="AIK6" s="4253"/>
      <c r="AIL6" s="4253"/>
      <c r="AIM6" s="4253"/>
      <c r="AIN6" s="4253"/>
      <c r="AIO6" s="4253"/>
      <c r="AIP6" s="4253"/>
      <c r="AIQ6" s="4253"/>
      <c r="AIR6" s="5595"/>
      <c r="AIS6" s="5595"/>
      <c r="AIT6" s="4253"/>
      <c r="AIU6" s="4253"/>
      <c r="AIV6" s="4253"/>
      <c r="AIW6" s="4253"/>
      <c r="AIX6" s="4253"/>
      <c r="AIY6" s="4253"/>
      <c r="AIZ6" s="4253"/>
      <c r="AJA6" s="4253"/>
      <c r="AJB6" s="4253"/>
      <c r="AJC6" s="4253"/>
      <c r="AJD6" s="4253"/>
      <c r="AJE6" s="4253"/>
      <c r="AJF6" s="4253"/>
      <c r="AJG6" s="4253"/>
      <c r="AJH6" s="4253"/>
      <c r="AJI6" s="4253"/>
      <c r="AJJ6" s="4253"/>
      <c r="AJK6" s="4253"/>
      <c r="AJL6" s="4253"/>
      <c r="AJM6" s="4253"/>
      <c r="AJN6" s="4253"/>
      <c r="AJO6" s="4253"/>
      <c r="AJP6" s="4253"/>
      <c r="AJQ6" s="4253"/>
      <c r="AJR6" s="4253"/>
      <c r="AJS6" s="4253"/>
      <c r="AJT6" s="4253"/>
      <c r="AJU6" s="4253"/>
      <c r="AJV6" s="4253"/>
      <c r="AJW6" s="4253"/>
      <c r="AJX6" s="4253"/>
      <c r="AJY6" s="4253"/>
      <c r="AJZ6" s="4253"/>
      <c r="AKA6" s="4253"/>
      <c r="AKB6" s="4253"/>
      <c r="AKC6" s="4253"/>
      <c r="AKD6" s="4253"/>
      <c r="AKE6" s="4253"/>
      <c r="AKF6" s="4253"/>
      <c r="AKG6" s="4253"/>
      <c r="AKH6" s="4253"/>
      <c r="AKI6" s="4253"/>
      <c r="AKJ6" s="4253"/>
      <c r="AKK6" s="4253"/>
      <c r="AKL6" s="4253"/>
      <c r="AKM6" s="4253"/>
      <c r="AKN6" s="4253"/>
      <c r="AKO6" s="4253"/>
      <c r="AKP6" s="4253"/>
      <c r="AKQ6" s="4253"/>
      <c r="AKR6" s="4253"/>
      <c r="AKS6" s="4253"/>
      <c r="AKT6" s="4253"/>
      <c r="AKU6" s="5595"/>
      <c r="AKV6" s="4253"/>
      <c r="AKW6" s="4253"/>
      <c r="AKX6" s="4253"/>
      <c r="AKY6" s="4253"/>
      <c r="AKZ6" s="4253"/>
      <c r="ALA6" s="4253"/>
      <c r="ALB6" s="4253"/>
      <c r="ALC6" s="4253"/>
      <c r="ALD6" s="4253"/>
      <c r="ALE6" s="4253"/>
      <c r="ALF6" s="4253"/>
      <c r="ALG6" s="4253"/>
      <c r="ALH6" s="4253"/>
      <c r="ALI6" s="4253"/>
      <c r="ALJ6" s="4253"/>
      <c r="ALK6" s="4253"/>
      <c r="ALL6" s="5595"/>
      <c r="ALM6" s="4253"/>
      <c r="ALN6" s="4253"/>
      <c r="ALO6" s="4253"/>
      <c r="ALP6" s="4253"/>
      <c r="ALQ6" s="4253"/>
      <c r="ALR6" s="4253"/>
      <c r="ALS6" s="4253"/>
      <c r="ALT6" s="4253"/>
      <c r="ALU6" s="4253"/>
      <c r="ALV6" s="4253"/>
      <c r="ALW6" s="4253"/>
      <c r="ALX6" s="4253"/>
      <c r="ALY6" s="4253"/>
      <c r="ALZ6" s="4253"/>
      <c r="AMA6" s="4253"/>
      <c r="AMB6" s="4253"/>
      <c r="AMC6" s="4253"/>
      <c r="AMD6" s="4253"/>
      <c r="AME6" s="4253"/>
      <c r="AMF6" s="5595"/>
      <c r="AMG6" s="4253"/>
      <c r="AMH6" s="4253"/>
      <c r="AMI6" s="4253"/>
      <c r="AMJ6" s="4253"/>
      <c r="AMK6" s="4253"/>
      <c r="AML6" s="4253"/>
      <c r="AMM6" s="4253"/>
      <c r="AMN6" s="4253"/>
      <c r="AMO6" s="4253"/>
      <c r="AMP6" s="4253"/>
      <c r="AMQ6" s="4253"/>
      <c r="AMR6" s="4253"/>
      <c r="AMS6" s="4253"/>
      <c r="AMT6" s="4253"/>
      <c r="AMU6" s="4253"/>
      <c r="AMV6" s="4253"/>
      <c r="AMW6" s="4253"/>
      <c r="AMX6" s="4253"/>
      <c r="AMY6" s="4253"/>
      <c r="AMZ6" s="4253"/>
      <c r="ANA6" s="4253"/>
      <c r="ANB6" s="4253"/>
      <c r="ANC6" s="4253"/>
      <c r="AND6" s="4253"/>
      <c r="ANE6" s="4253"/>
      <c r="ANF6" s="4253"/>
      <c r="ANG6" s="4253"/>
      <c r="ANH6" s="4253"/>
      <c r="ANI6" s="4253"/>
      <c r="ANJ6" s="4253"/>
      <c r="ANK6" s="4253"/>
      <c r="ANL6" s="4253"/>
      <c r="ANM6" s="4253"/>
      <c r="ANN6" s="4253"/>
      <c r="ANO6" s="4253"/>
      <c r="ANP6" s="4253"/>
      <c r="ANQ6" s="4253"/>
      <c r="ANR6" s="4253"/>
      <c r="ANS6" s="4253"/>
      <c r="ANT6" s="4253"/>
      <c r="ANU6" s="4253"/>
      <c r="ANV6" s="4253"/>
      <c r="ANW6" s="4253"/>
      <c r="ANX6" s="4253"/>
      <c r="ANY6" s="4253"/>
      <c r="ANZ6" s="4253"/>
      <c r="AOA6" s="4253"/>
      <c r="AOB6" s="4253"/>
      <c r="AOC6" s="4253"/>
      <c r="AOD6" s="4253"/>
      <c r="AOE6" s="4253"/>
      <c r="AOF6" s="4253"/>
      <c r="AOG6" s="4253"/>
      <c r="AOH6" s="4253"/>
      <c r="AOI6" s="4253"/>
      <c r="AOJ6" s="4253"/>
      <c r="AOK6" s="4253"/>
      <c r="AOL6" s="4253"/>
      <c r="AOM6" s="4253"/>
      <c r="AON6" s="4253"/>
      <c r="AOO6" s="4253"/>
      <c r="AOP6" s="4253"/>
      <c r="AOQ6" s="4253"/>
      <c r="AOR6" s="4253"/>
      <c r="AOS6" s="4253"/>
      <c r="AOT6" s="4253"/>
      <c r="AOU6" s="4253"/>
      <c r="AOV6" s="4254"/>
      <c r="AOW6" s="4254"/>
      <c r="AOX6" s="4254"/>
      <c r="AOY6" s="4254"/>
      <c r="AOZ6" s="4254"/>
      <c r="APA6" s="4254"/>
      <c r="APB6" s="4254"/>
      <c r="APC6" s="4254"/>
      <c r="APD6" s="4254"/>
      <c r="APE6" s="4254"/>
      <c r="APF6" s="4253"/>
      <c r="APG6" s="4253"/>
      <c r="APH6" s="4253"/>
      <c r="API6" s="4253"/>
      <c r="APJ6" s="4253"/>
      <c r="APK6" s="4253"/>
      <c r="APL6" s="4253"/>
      <c r="APM6" s="4253"/>
      <c r="APN6" s="4253"/>
      <c r="APO6" s="4253"/>
      <c r="APP6" s="4253"/>
      <c r="APQ6" s="4253"/>
      <c r="APR6" s="4253"/>
      <c r="APS6" s="4253"/>
      <c r="APT6" s="4253"/>
      <c r="APU6" s="4253"/>
      <c r="APV6" s="4253"/>
      <c r="APW6" s="4253"/>
      <c r="APX6" s="4253"/>
      <c r="APY6" s="4253"/>
      <c r="APZ6" s="4253"/>
      <c r="AQA6" s="4253"/>
      <c r="AQB6" s="4253"/>
      <c r="AQC6" s="4253"/>
      <c r="AQD6" s="4253"/>
      <c r="AQE6" s="5595"/>
      <c r="AQF6" s="4253"/>
      <c r="AQG6" s="4253"/>
      <c r="AQH6" s="4253"/>
      <c r="AQI6" s="4253"/>
      <c r="AQJ6" s="4253"/>
      <c r="AQK6" s="4253"/>
      <c r="AQL6" s="4253"/>
      <c r="AQM6" s="4253"/>
      <c r="AQN6" s="4253"/>
      <c r="AQO6" s="4253"/>
      <c r="AQP6" s="4253"/>
      <c r="AQQ6" s="4253"/>
      <c r="AQR6" s="4253"/>
      <c r="AQS6" s="4253"/>
      <c r="AQT6" s="4253"/>
      <c r="AQU6" s="4253"/>
      <c r="AQV6" s="4253"/>
      <c r="AQW6" s="4253"/>
      <c r="AQX6" s="4253"/>
      <c r="AQY6" s="4253"/>
      <c r="AQZ6" s="4253"/>
      <c r="ARA6" s="4253"/>
      <c r="ARB6" s="4253"/>
      <c r="ARC6" s="4253"/>
      <c r="ARD6" s="4253"/>
      <c r="ARE6" s="5595"/>
      <c r="ARF6" s="4253"/>
      <c r="ARG6" s="4253"/>
      <c r="ARH6" s="4253"/>
      <c r="ARI6" s="4253"/>
      <c r="ARJ6" s="4253"/>
      <c r="ARK6" s="4253"/>
      <c r="ARL6" s="4253"/>
      <c r="ARM6" s="4253"/>
      <c r="ARN6" s="4253"/>
      <c r="ARO6" s="4253"/>
      <c r="ARP6" s="4253"/>
      <c r="ARQ6" s="4253"/>
      <c r="ARR6" s="4253"/>
      <c r="ARS6" s="4253"/>
      <c r="ART6" s="4253"/>
      <c r="ARU6" s="4253"/>
      <c r="ARV6" s="4253"/>
      <c r="ARW6" s="4253"/>
      <c r="ARX6" s="4253"/>
      <c r="ARY6" s="4253"/>
      <c r="ARZ6" s="4253"/>
      <c r="ASA6" s="5595"/>
      <c r="ASB6" s="4253"/>
      <c r="ASC6" s="4253"/>
      <c r="ASD6" s="4253"/>
      <c r="ASE6" s="4253"/>
      <c r="ASF6" s="4253"/>
      <c r="ASG6" s="4253"/>
      <c r="ASH6" s="4253"/>
      <c r="ASI6" s="4253"/>
      <c r="ASJ6" s="5595"/>
      <c r="ASK6" s="4253"/>
      <c r="ASL6" s="4253"/>
      <c r="ASM6" s="4253"/>
      <c r="ASN6" s="4253"/>
      <c r="ASO6" s="4253"/>
      <c r="ASP6" s="4253"/>
      <c r="ASQ6" s="4253"/>
      <c r="ASR6" s="4253"/>
      <c r="ASS6" s="4255"/>
      <c r="AST6" s="4255"/>
      <c r="ASU6" s="4255"/>
      <c r="ASV6" s="4255"/>
      <c r="ASW6" s="4255"/>
      <c r="ASX6" s="4255"/>
      <c r="ASY6" s="4255"/>
      <c r="ASZ6" s="4255"/>
      <c r="ATA6" s="5592"/>
      <c r="ATB6" s="5592"/>
      <c r="ATC6" s="5592"/>
      <c r="ATD6" s="5592"/>
      <c r="ATE6" s="5592"/>
      <c r="ATF6" s="5592"/>
      <c r="ATG6" s="5592"/>
      <c r="ATH6" s="5592"/>
      <c r="ATI6" s="5592"/>
      <c r="ATJ6" s="5592"/>
      <c r="ATK6" s="5592"/>
      <c r="ATN6" s="5592"/>
      <c r="ATQ6" s="5592"/>
      <c r="ATR6" s="5592"/>
      <c r="ATS6" s="5592"/>
      <c r="ATT6" s="5592"/>
      <c r="ATU6" s="5592"/>
      <c r="ATV6" s="5592"/>
      <c r="ATW6" s="5592"/>
      <c r="AUV6" s="4252" t="s">
        <v>2060</v>
      </c>
      <c r="AUW6" s="4252"/>
      <c r="AUX6" s="4252"/>
      <c r="AUY6" s="4252"/>
      <c r="AUZ6" s="4253"/>
      <c r="AVA6" s="4253"/>
      <c r="AVB6" s="4253"/>
      <c r="AVC6" s="4253"/>
      <c r="AVD6" s="4253"/>
      <c r="AVE6" s="4253"/>
      <c r="AVF6" s="4253"/>
      <c r="AVG6" s="4253"/>
      <c r="AVH6" s="4252"/>
      <c r="AVI6" s="4253"/>
      <c r="AVJ6" s="4253"/>
      <c r="AVK6" s="4253"/>
      <c r="AYV6" s="5592"/>
      <c r="AYW6" s="5592"/>
      <c r="AYX6" s="5592"/>
      <c r="AYY6" s="5592"/>
      <c r="AYZ6" s="5592"/>
      <c r="AZA6" s="5592"/>
      <c r="AZB6" s="5592"/>
      <c r="AZC6" s="5592"/>
      <c r="AZD6" s="5592"/>
      <c r="AZE6" s="5592"/>
      <c r="AZF6" s="5592"/>
      <c r="AZG6" s="5592"/>
      <c r="AZH6" s="5592"/>
      <c r="AZI6" s="5592"/>
      <c r="AZJ6" s="5592"/>
      <c r="AZK6" s="5592"/>
      <c r="AZL6" s="5592"/>
      <c r="AZM6" s="5592"/>
      <c r="AZN6" s="5592"/>
      <c r="AZO6" s="5592"/>
      <c r="AZP6" s="5592"/>
      <c r="AZQ6" s="5592"/>
      <c r="AZR6" s="5592"/>
      <c r="AZS6" s="5592"/>
      <c r="AZT6" s="5592"/>
      <c r="AZU6" s="5592"/>
      <c r="AZX6" s="5592"/>
      <c r="AZY6" s="5592"/>
      <c r="AZZ6" s="5592"/>
      <c r="BAA6" s="5592"/>
      <c r="BAB6" s="5592"/>
      <c r="BAC6" s="5592"/>
      <c r="BAD6" s="5592"/>
      <c r="BAE6" s="5592"/>
      <c r="BAF6" s="5592"/>
      <c r="BAG6" s="5592"/>
      <c r="BAH6" s="5592"/>
      <c r="BAI6" s="5592"/>
      <c r="BAL6" s="5592"/>
      <c r="BAM6" s="5592"/>
      <c r="BAN6" s="5592"/>
      <c r="BAO6" s="5592"/>
      <c r="BAP6" s="5592"/>
      <c r="BAQ6" s="5592"/>
      <c r="BAT6" s="5592"/>
    </row>
    <row r="7" spans="1:1490" ht="48.75" x14ac:dyDescent="0.65">
      <c r="B7" s="2980" t="s">
        <v>986</v>
      </c>
      <c r="C7" s="2617"/>
      <c r="ZI7" s="2622"/>
      <c r="ZJ7" s="2622"/>
      <c r="ZK7" s="2622"/>
      <c r="ZL7" s="2622"/>
      <c r="ZM7" s="2622"/>
      <c r="ZN7" s="2622"/>
      <c r="ZO7" s="2622"/>
      <c r="ZP7" s="2622"/>
      <c r="ZQ7" s="2622"/>
      <c r="ZR7" s="2622"/>
      <c r="ZS7" s="2622"/>
      <c r="ZT7" s="2622"/>
      <c r="ZU7" s="2622"/>
      <c r="ZV7" s="2622"/>
      <c r="ZW7" s="2622"/>
      <c r="ZX7" s="2622"/>
      <c r="ZY7" s="2622"/>
      <c r="ZZ7" s="2622"/>
      <c r="AAA7" s="2622"/>
      <c r="AAB7" s="2622"/>
      <c r="AAC7" s="2622"/>
      <c r="AAD7" s="2622"/>
      <c r="AAE7" s="2622"/>
      <c r="AAF7" s="2622"/>
      <c r="AAG7" s="2622"/>
      <c r="AAH7" s="2622"/>
      <c r="AAI7" s="2622"/>
      <c r="AAJ7" s="2622"/>
      <c r="AAK7" s="2622"/>
      <c r="AAL7" s="2622"/>
      <c r="AAM7" s="2622"/>
      <c r="AAN7" s="2622"/>
      <c r="AAO7" s="2622"/>
      <c r="AAP7" s="2622"/>
      <c r="AAQ7" s="2622"/>
      <c r="AAR7" s="2622"/>
      <c r="AAS7" s="2622"/>
      <c r="AAT7" s="2622"/>
      <c r="AAU7" s="2622"/>
      <c r="AAV7" s="2622"/>
      <c r="AAW7" s="2622"/>
      <c r="AAX7" s="2622"/>
      <c r="AAY7" s="2622"/>
      <c r="AAZ7" s="2622"/>
      <c r="ABA7" s="2622"/>
      <c r="ABB7" s="2737"/>
      <c r="ABC7" s="2737"/>
      <c r="ABD7" s="2737"/>
      <c r="ABE7" s="2737"/>
      <c r="ABF7" s="2737"/>
      <c r="ABG7" s="2737"/>
      <c r="ABH7" s="2737"/>
      <c r="ABI7" s="2737"/>
      <c r="ABJ7" s="2622"/>
      <c r="ABK7" s="2622"/>
      <c r="ABL7" s="2737"/>
      <c r="ABM7" s="2737"/>
      <c r="ABN7" s="2737"/>
      <c r="ABO7" s="2737"/>
      <c r="ABP7" s="2737"/>
      <c r="ABQ7" s="2737"/>
      <c r="ABR7" s="2737"/>
      <c r="ABS7" s="2737"/>
      <c r="ABT7" s="2737"/>
      <c r="ABU7" s="2737"/>
      <c r="ABV7" s="2737"/>
      <c r="ABW7" s="2737"/>
      <c r="ABX7" s="2737"/>
      <c r="ABY7" s="2737"/>
      <c r="ABZ7" s="2737"/>
      <c r="ACA7" s="2737"/>
      <c r="ACB7" s="2737"/>
      <c r="ACC7" s="2737"/>
      <c r="ACD7" s="2737"/>
      <c r="ACE7" s="2622"/>
      <c r="ACF7" s="2737"/>
      <c r="ACG7" s="2737"/>
      <c r="ACH7" s="2737"/>
      <c r="ACI7" s="2737"/>
      <c r="ACJ7" s="2737"/>
      <c r="ACK7" s="2737"/>
      <c r="ACL7" s="2737"/>
      <c r="ACM7" s="2737"/>
      <c r="ACN7" s="2622"/>
      <c r="ACO7" s="2737"/>
      <c r="ACP7" s="2737"/>
      <c r="ACQ7" s="2737"/>
      <c r="ACR7" s="2737"/>
      <c r="ACS7" s="2737"/>
      <c r="ACT7" s="2737"/>
      <c r="ACU7" s="2737"/>
      <c r="ACV7" s="2737"/>
      <c r="ACW7" s="2622"/>
      <c r="ACX7" s="2737"/>
      <c r="ACY7" s="2737"/>
      <c r="ACZ7" s="2737"/>
      <c r="ADA7" s="2737"/>
      <c r="ADB7" s="2737"/>
      <c r="ADC7" s="2737"/>
      <c r="ADD7" s="2737"/>
      <c r="ADE7" s="2737"/>
      <c r="ADF7" s="2737"/>
      <c r="ADH7" s="2737"/>
      <c r="ADI7" s="2737"/>
      <c r="ADJ7" s="2737"/>
      <c r="ADK7" s="2737"/>
      <c r="ADL7" s="2737"/>
      <c r="ADM7" s="2737"/>
      <c r="ADN7" s="2737"/>
      <c r="ADO7" s="2737"/>
      <c r="ADQ7" s="2737"/>
      <c r="ADR7" s="2737"/>
      <c r="ADS7" s="2737"/>
      <c r="ADT7" s="2737"/>
      <c r="ADU7" s="2737"/>
      <c r="ADV7" s="2737"/>
      <c r="ADW7" s="2737"/>
      <c r="ADX7" s="2737"/>
      <c r="ADY7" s="2737"/>
      <c r="ADZ7" s="2737"/>
      <c r="AEA7" s="2737"/>
      <c r="AEB7" s="2737"/>
      <c r="AEC7" s="2737"/>
      <c r="AED7" s="2737"/>
      <c r="AEE7" s="2737"/>
      <c r="AEF7" s="2737"/>
      <c r="AEG7" s="2737"/>
      <c r="AEH7" s="2737"/>
      <c r="AEI7" s="2737"/>
      <c r="AEJ7" s="2737"/>
      <c r="AEK7" s="2737"/>
      <c r="AEL7" s="2737"/>
      <c r="AEM7" s="2737"/>
      <c r="AEN7" s="2737"/>
      <c r="AEO7" s="2737"/>
      <c r="AEP7" s="2737"/>
      <c r="AEQ7" s="2737"/>
      <c r="AER7" s="2737"/>
      <c r="AES7" s="2737"/>
      <c r="AET7" s="2737"/>
      <c r="AEU7" s="2737"/>
      <c r="AEV7" s="2737"/>
      <c r="AEW7" s="2737"/>
      <c r="AEX7" s="2737"/>
      <c r="AFG7" s="2737"/>
      <c r="AFP7" s="2737"/>
      <c r="AGI7" s="2737"/>
      <c r="AGN7" s="2622"/>
      <c r="AGR7" s="2737"/>
      <c r="AHB7" s="2737"/>
      <c r="AHJ7" s="2737"/>
      <c r="AHV7" s="2737"/>
      <c r="AHY7" s="2622"/>
      <c r="AII7" s="2622"/>
      <c r="AIJ7" s="2622"/>
      <c r="AIR7" s="2622"/>
      <c r="AIS7" s="2622"/>
      <c r="AJP7" s="2737"/>
      <c r="AKD7" s="2737"/>
      <c r="AKU7" s="2622"/>
      <c r="ALL7" s="2622"/>
      <c r="ALM7" s="2737"/>
      <c r="ALW7" s="2737"/>
      <c r="ALX7" s="2737"/>
      <c r="AMG7" s="2737"/>
      <c r="AOI7" s="2737"/>
      <c r="AOV7" s="4124"/>
      <c r="AOW7" s="5162"/>
      <c r="AOX7" s="5162"/>
      <c r="AOY7" s="5162"/>
      <c r="AOZ7" s="5162"/>
      <c r="APA7" s="5162"/>
      <c r="APB7" s="5162"/>
      <c r="APC7" s="5162"/>
      <c r="APD7" s="5162"/>
      <c r="APE7" s="5162"/>
      <c r="APT7" s="2737"/>
      <c r="AQE7" s="2622"/>
      <c r="ARE7" s="2622"/>
      <c r="ASA7" s="2622"/>
      <c r="ASJ7" s="2622"/>
      <c r="ASK7" s="2737"/>
      <c r="ASL7" s="2737"/>
      <c r="ASM7" s="2737"/>
      <c r="ASN7" s="2737"/>
      <c r="ASO7" s="2737"/>
      <c r="ASP7" s="2737"/>
      <c r="ASQ7" s="2737"/>
      <c r="ASR7" s="2737"/>
      <c r="ASS7" s="2737"/>
      <c r="ATA7" s="2622"/>
      <c r="ATB7" s="2622"/>
      <c r="ATC7" s="2721" t="s">
        <v>945</v>
      </c>
      <c r="ATD7" s="2722"/>
      <c r="ATE7" s="2811"/>
      <c r="ATF7" s="2722"/>
      <c r="ATG7" s="2617"/>
      <c r="ATH7" s="2622"/>
      <c r="ATI7" s="2622"/>
      <c r="ATJ7" s="2622"/>
      <c r="ATK7" s="2622"/>
      <c r="ATL7" s="2721" t="s">
        <v>49</v>
      </c>
      <c r="ATM7" s="2721"/>
      <c r="ATN7" s="2721"/>
      <c r="ATO7" s="2721"/>
      <c r="ATP7" s="2622"/>
      <c r="ATQ7" s="2622"/>
      <c r="ATR7" s="2622"/>
      <c r="ATT7" s="2622"/>
      <c r="ATU7" s="2622"/>
      <c r="ATV7" s="2622"/>
      <c r="ATW7" s="2622"/>
      <c r="ATX7" s="2617"/>
      <c r="ATY7" s="2617"/>
      <c r="ATZ7" s="2617"/>
      <c r="AUA7" s="2617"/>
      <c r="AUB7" s="2617"/>
      <c r="AUC7" s="2617"/>
      <c r="AUD7" s="2617"/>
      <c r="AUE7" s="2617"/>
      <c r="AUF7" s="2617"/>
      <c r="AUG7" s="2617"/>
      <c r="AUH7" s="2617"/>
      <c r="AUI7" s="2617"/>
      <c r="AUJ7" s="2617"/>
      <c r="AUK7" s="2617"/>
      <c r="AUL7" s="2617"/>
      <c r="AUM7" s="2617"/>
      <c r="AUN7" s="2617"/>
      <c r="AUO7" s="2617"/>
      <c r="AUP7" s="2617"/>
      <c r="AUQ7" s="2617"/>
      <c r="AUR7" s="2617"/>
      <c r="AUS7" s="2617"/>
      <c r="AUT7" s="2617"/>
      <c r="AUU7" s="2617"/>
      <c r="AUV7" s="2617"/>
      <c r="AUW7" s="181"/>
      <c r="AUX7" s="181"/>
      <c r="AUY7" s="181"/>
      <c r="AUZ7" s="181"/>
      <c r="AVA7" s="181"/>
      <c r="AVB7" s="181"/>
      <c r="AVC7" s="181"/>
      <c r="AVD7" s="181"/>
      <c r="AVE7" s="181"/>
      <c r="AVF7" s="181"/>
      <c r="AVG7" s="181"/>
      <c r="AVH7" s="181"/>
      <c r="AVI7" s="181"/>
      <c r="AVJ7" s="181"/>
      <c r="AVK7" s="181"/>
      <c r="AVL7" s="181"/>
      <c r="AVM7" s="181"/>
      <c r="AVN7" s="181"/>
      <c r="AVO7" s="181"/>
      <c r="AVP7" s="2617"/>
      <c r="AVQ7" s="2617"/>
      <c r="AVR7" s="2617"/>
      <c r="AVS7" s="2617"/>
      <c r="AVT7" s="2617"/>
      <c r="AVU7" s="2617"/>
      <c r="AVV7" s="2617"/>
      <c r="AVW7" s="2617"/>
      <c r="AVX7" s="2617"/>
      <c r="AVY7" s="2617"/>
      <c r="AVZ7" s="2617"/>
      <c r="AWA7" s="2617"/>
      <c r="AWB7" s="2617"/>
      <c r="AWC7" s="2617"/>
      <c r="AWD7" s="2617"/>
      <c r="AWE7" s="2617"/>
      <c r="AWF7" s="2617"/>
      <c r="AWG7" s="2617"/>
      <c r="AWH7" s="2617"/>
      <c r="AWI7" s="2617"/>
      <c r="AWJ7" s="2617"/>
      <c r="AWK7" s="2617"/>
      <c r="AWL7" s="2617"/>
      <c r="AWM7" s="2617"/>
      <c r="AWN7" s="2617"/>
      <c r="AWO7" s="2617"/>
      <c r="AWP7" s="2617"/>
      <c r="AWQ7" s="2617"/>
      <c r="AWR7" s="2617"/>
      <c r="AWS7" s="2617"/>
      <c r="AWT7" s="2617"/>
      <c r="AWU7" s="2617"/>
      <c r="AWV7" s="2617"/>
      <c r="AWW7" s="2617"/>
      <c r="AWX7" s="2617"/>
      <c r="AWY7" s="2617"/>
      <c r="AWZ7" s="2617"/>
      <c r="AXA7" s="2617"/>
      <c r="AXB7" s="2617"/>
      <c r="AXC7" s="2617"/>
      <c r="AXD7" s="2617"/>
      <c r="AXE7" s="2617"/>
      <c r="AXF7" s="2617"/>
      <c r="AXG7" s="2617"/>
      <c r="AXH7" s="2617"/>
      <c r="AXI7" s="2617"/>
      <c r="AXJ7" s="2617"/>
      <c r="AXK7" s="2617"/>
      <c r="AYV7" s="2622"/>
      <c r="AYW7" s="2622"/>
      <c r="AYX7" s="2622"/>
      <c r="AYY7" s="2622"/>
      <c r="AYZ7" s="2622"/>
      <c r="AZA7" s="2622"/>
      <c r="AZB7" s="2622"/>
      <c r="AZC7" s="2622"/>
      <c r="AZD7" s="2622"/>
      <c r="AZE7" s="2622"/>
      <c r="AZF7" s="2622"/>
      <c r="AZG7" s="2622"/>
      <c r="AZH7" s="2622"/>
      <c r="AZI7" s="2622"/>
      <c r="AZJ7" s="2622"/>
      <c r="AZK7" s="2622"/>
      <c r="AZL7" s="2622"/>
      <c r="AZM7" s="2622"/>
      <c r="AZN7" s="2622"/>
      <c r="AZO7" s="2622"/>
      <c r="AZP7" s="2622"/>
      <c r="AZQ7" s="2622"/>
      <c r="AZR7" s="2622"/>
      <c r="AZS7" s="2622"/>
      <c r="AZT7" s="2622"/>
      <c r="AZU7" s="2622"/>
      <c r="AZX7" s="2622"/>
      <c r="AZY7" s="2622"/>
      <c r="AZZ7" s="2622"/>
      <c r="BAA7" s="2622"/>
      <c r="BAB7" s="2622"/>
      <c r="BAC7" s="2622"/>
      <c r="BAD7" s="2622"/>
      <c r="BAE7" s="2622"/>
      <c r="BAF7" s="2622"/>
      <c r="BAG7" s="2622"/>
      <c r="BAH7" s="2622"/>
      <c r="BAI7" s="2622"/>
      <c r="BAL7" s="2622"/>
      <c r="BAM7" s="2622"/>
      <c r="BAN7" s="2622"/>
      <c r="BAO7" s="2622"/>
      <c r="BAP7" s="2622"/>
      <c r="BAQ7" s="2622"/>
      <c r="BAT7" s="2622"/>
      <c r="BCJ7" s="2617"/>
      <c r="BCK7" s="2617"/>
      <c r="BCL7" s="2617"/>
      <c r="BCM7" s="2617"/>
      <c r="BCN7" s="2617"/>
      <c r="BCO7" s="2617"/>
      <c r="BCP7" s="2617"/>
      <c r="BCQ7" s="2617"/>
      <c r="BCR7" s="2617"/>
      <c r="BCS7" s="2617"/>
      <c r="BCT7" s="2617"/>
      <c r="BCU7" s="2617"/>
      <c r="BCV7" s="2617"/>
      <c r="BCW7" s="2617"/>
      <c r="BCX7" s="2617"/>
      <c r="BCY7" s="2617"/>
      <c r="BCZ7" s="2617"/>
      <c r="BDA7" s="2617"/>
      <c r="BDB7" s="2617"/>
      <c r="BDC7" s="2617"/>
      <c r="BDD7" s="2617"/>
      <c r="BDE7" s="2617"/>
      <c r="BDF7" s="2617"/>
      <c r="BDG7" s="2617"/>
      <c r="BDH7" s="2617"/>
      <c r="BDI7" s="2617"/>
      <c r="BDL7" s="2617"/>
      <c r="BDM7" s="2617"/>
      <c r="BDN7" s="2617"/>
      <c r="BDO7" s="2617"/>
      <c r="BDP7" s="2617"/>
      <c r="BDQ7" s="2617"/>
      <c r="BDR7" s="2617"/>
      <c r="BDS7" s="2617"/>
      <c r="BDT7" s="2617"/>
      <c r="BDU7" s="2617"/>
      <c r="BDV7" s="2617"/>
      <c r="BDW7" s="2617"/>
      <c r="BDZ7" s="2617"/>
      <c r="BEA7" s="2617"/>
      <c r="BEB7" s="2617"/>
      <c r="BEC7" s="2617"/>
      <c r="BED7" s="2617"/>
      <c r="BEE7" s="2617"/>
      <c r="BEH7" s="2617"/>
    </row>
    <row r="8" spans="1:1490" x14ac:dyDescent="0.2">
      <c r="C8" s="2617"/>
      <c r="AK8" s="3458"/>
      <c r="ZI8" s="2622"/>
      <c r="ZJ8" s="2622"/>
      <c r="ZK8" s="2622"/>
      <c r="ZL8" s="2622"/>
      <c r="ZM8" s="2622"/>
      <c r="ZN8" s="2622"/>
      <c r="ZO8" s="2622"/>
      <c r="ZP8" s="2622"/>
      <c r="ZQ8" s="2622"/>
      <c r="ZR8" s="2622"/>
      <c r="ZS8" s="2622"/>
      <c r="ZT8" s="2622"/>
      <c r="ZU8" s="2622"/>
      <c r="ZV8" s="2622"/>
      <c r="ZW8" s="2622"/>
      <c r="ZX8" s="2622"/>
      <c r="ZY8" s="2622"/>
      <c r="ZZ8" s="2622"/>
      <c r="AAA8" s="2622"/>
      <c r="AAB8" s="2622"/>
      <c r="AAC8" s="2622"/>
      <c r="AAD8" s="2622"/>
      <c r="AAE8" s="2622"/>
      <c r="AAF8" s="2622"/>
      <c r="AAG8" s="2622"/>
      <c r="AAH8" s="2622"/>
      <c r="AAI8" s="2622"/>
      <c r="AAJ8" s="2622"/>
      <c r="AAK8" s="2622"/>
      <c r="AAL8" s="2622"/>
      <c r="AAM8" s="2622"/>
      <c r="AAN8" s="2622"/>
      <c r="AAO8" s="2622"/>
      <c r="AAP8" s="2622"/>
      <c r="AAQ8" s="2622"/>
      <c r="AAR8" s="2622"/>
      <c r="AAS8" s="2622"/>
      <c r="AAT8" s="2622"/>
      <c r="AAU8" s="2622"/>
      <c r="AAV8" s="2622"/>
      <c r="AAW8" s="2622"/>
      <c r="AAX8" s="2622"/>
      <c r="AAY8" s="2622"/>
      <c r="AAZ8" s="2622"/>
      <c r="ABA8" s="2622"/>
      <c r="ABB8" s="2737"/>
      <c r="ABC8" s="2737"/>
      <c r="ABD8" s="2737"/>
      <c r="ABE8" s="2737"/>
      <c r="ABF8" s="2737"/>
      <c r="ABG8" s="2737"/>
      <c r="ABH8" s="2737"/>
      <c r="ABI8" s="2737"/>
      <c r="ABJ8" s="2622"/>
      <c r="ABK8" s="2622"/>
      <c r="ABL8" s="2737"/>
      <c r="ABM8" s="2737"/>
      <c r="ABN8" s="2737"/>
      <c r="ABO8" s="2737"/>
      <c r="ABP8" s="2737"/>
      <c r="ABQ8" s="2737"/>
      <c r="ABR8" s="2737"/>
      <c r="ABS8" s="2737"/>
      <c r="ABT8" s="2737"/>
      <c r="ABU8" s="2737"/>
      <c r="ABV8" s="2737"/>
      <c r="ABW8" s="2737"/>
      <c r="ABX8" s="2737"/>
      <c r="ABY8" s="2737"/>
      <c r="ABZ8" s="2737"/>
      <c r="ACA8" s="2737"/>
      <c r="ACB8" s="2737"/>
      <c r="ACC8" s="2737"/>
      <c r="ACD8" s="2737"/>
      <c r="ACE8" s="2622"/>
      <c r="ACF8" s="2737"/>
      <c r="ACG8" s="2737"/>
      <c r="ACH8" s="2737"/>
      <c r="ACI8" s="2737"/>
      <c r="ACJ8" s="2737"/>
      <c r="ACK8" s="2737"/>
      <c r="ACL8" s="2737"/>
      <c r="ACM8" s="2737"/>
      <c r="ACN8" s="2622"/>
      <c r="ACO8" s="2737"/>
      <c r="ACP8" s="2737"/>
      <c r="ACQ8" s="2737"/>
      <c r="ACR8" s="2737"/>
      <c r="ACS8" s="2737"/>
      <c r="ACT8" s="2737"/>
      <c r="ACU8" s="2737"/>
      <c r="ACV8" s="2737"/>
      <c r="ACW8" s="2622"/>
      <c r="ACX8" s="2737"/>
      <c r="ACY8" s="2737"/>
      <c r="ACZ8" s="2737"/>
      <c r="ADA8" s="2737"/>
      <c r="ADB8" s="2737"/>
      <c r="ADC8" s="2737"/>
      <c r="ADD8" s="2737"/>
      <c r="ADE8" s="2737"/>
      <c r="ADF8" s="2737"/>
      <c r="ADH8" s="2737"/>
      <c r="ADI8" s="2737"/>
      <c r="ADJ8" s="2737"/>
      <c r="ADK8" s="2737"/>
      <c r="ADL8" s="2737"/>
      <c r="ADM8" s="2737"/>
      <c r="ADN8" s="2737"/>
      <c r="ADO8" s="2737"/>
      <c r="ADQ8" s="2737"/>
      <c r="ADR8" s="2737"/>
      <c r="ADS8" s="2737"/>
      <c r="ADT8" s="2737"/>
      <c r="ADU8" s="2737"/>
      <c r="ADV8" s="2737"/>
      <c r="ADW8" s="2737"/>
      <c r="ADX8" s="2737"/>
      <c r="ADY8" s="2737"/>
      <c r="ADZ8" s="2737"/>
      <c r="AEA8" s="2737"/>
      <c r="AEB8" s="2737"/>
      <c r="AEC8" s="2737"/>
      <c r="AED8" s="2737"/>
      <c r="AEE8" s="2737"/>
      <c r="AEF8" s="2737"/>
      <c r="AEG8" s="2737"/>
      <c r="AEH8" s="2737"/>
      <c r="AEI8" s="2737"/>
      <c r="AEJ8" s="2737"/>
      <c r="AEK8" s="2737"/>
      <c r="AEL8" s="2737"/>
      <c r="AEM8" s="2737"/>
      <c r="AEN8" s="2737"/>
      <c r="AEO8" s="2737"/>
      <c r="AEP8" s="2737"/>
      <c r="AEQ8" s="2737"/>
      <c r="AER8" s="2737"/>
      <c r="AES8" s="2737"/>
      <c r="AET8" s="2737"/>
      <c r="AEU8" s="2737"/>
      <c r="AEV8" s="2737"/>
      <c r="AEW8" s="2737"/>
      <c r="AEX8" s="2737"/>
      <c r="AFG8" s="2737"/>
      <c r="AFP8" s="2737"/>
      <c r="AGI8" s="2737"/>
      <c r="AGN8" s="2622"/>
      <c r="AGR8" s="2737"/>
      <c r="AHB8" s="2737"/>
      <c r="AHJ8" s="2737"/>
      <c r="AHV8" s="2737"/>
      <c r="AHY8" s="2622"/>
      <c r="AII8" s="2622"/>
      <c r="AIJ8" s="2622"/>
      <c r="AIR8" s="2622"/>
      <c r="AIS8" s="2622"/>
      <c r="AJP8" s="2737"/>
      <c r="AKD8" s="2737"/>
      <c r="AKU8" s="2622"/>
      <c r="ALL8" s="2622"/>
      <c r="ALM8" s="2737"/>
      <c r="ALW8" s="2737"/>
      <c r="ALX8" s="2737"/>
      <c r="AMG8" s="2737"/>
      <c r="AOI8" s="2737"/>
      <c r="AOV8" s="4124"/>
      <c r="AOW8" s="5162"/>
      <c r="AOX8" s="5162"/>
      <c r="AOY8" s="5162"/>
      <c r="AOZ8" s="5162"/>
      <c r="APA8" s="5162"/>
      <c r="APB8" s="5162"/>
      <c r="APC8" s="5162"/>
      <c r="APD8" s="5162"/>
      <c r="APE8" s="5162"/>
      <c r="APT8" s="2737"/>
      <c r="AQE8" s="2622"/>
      <c r="ARE8" s="2622"/>
      <c r="ASA8" s="2622"/>
      <c r="ASJ8" s="2622"/>
      <c r="ASK8" s="2737"/>
      <c r="ASL8" s="2737"/>
      <c r="ASM8" s="2737"/>
      <c r="ASN8" s="2737"/>
      <c r="ASO8" s="2737"/>
      <c r="ASP8" s="2737"/>
      <c r="ASQ8" s="2737"/>
      <c r="ASR8" s="2737"/>
      <c r="ASS8" s="2737"/>
      <c r="ATA8" s="2622"/>
      <c r="ATB8" s="2622"/>
      <c r="ATC8" s="2622"/>
      <c r="ATD8" s="2622"/>
      <c r="ATE8" s="2622"/>
      <c r="ATF8" s="2622"/>
      <c r="ATG8" s="2622"/>
      <c r="ATH8" s="2622"/>
      <c r="ATI8" s="2622"/>
      <c r="ATJ8" s="2622"/>
      <c r="ATK8" s="2622"/>
      <c r="ATL8" s="2622"/>
      <c r="ATM8" s="2622"/>
      <c r="ATN8" s="2622"/>
      <c r="ATO8" s="2622"/>
      <c r="ATP8" s="2622"/>
      <c r="ATQ8" s="2622"/>
      <c r="ATR8" s="2622"/>
      <c r="ATT8" s="2622"/>
      <c r="ATU8" s="2622"/>
      <c r="ATV8" s="2622"/>
      <c r="ATW8" s="2622"/>
      <c r="ATX8" s="2617"/>
      <c r="ATY8" s="2617"/>
      <c r="ATZ8" s="2617"/>
      <c r="AUA8" s="2617"/>
      <c r="AUB8" s="2617"/>
      <c r="AUC8" s="2617"/>
      <c r="AUD8" s="2617"/>
      <c r="AUE8" s="2617"/>
      <c r="AUF8" s="2617"/>
      <c r="AUG8" s="2617"/>
      <c r="AUH8" s="2617"/>
      <c r="AUI8" s="2617"/>
      <c r="AUJ8" s="2617"/>
      <c r="AUK8" s="2617"/>
      <c r="AUL8" s="2617"/>
      <c r="AUM8" s="2617"/>
      <c r="AUN8" s="2617"/>
      <c r="AUO8" s="2617"/>
      <c r="AUP8" s="2617"/>
      <c r="AUQ8" s="2617"/>
      <c r="AUR8" s="2617"/>
      <c r="AUS8" s="2617"/>
      <c r="AUT8" s="2617"/>
      <c r="AUU8" s="2617"/>
      <c r="AUV8" s="433" t="s">
        <v>2061</v>
      </c>
      <c r="AUW8" s="181"/>
      <c r="AUX8" s="181"/>
      <c r="AUY8" s="181"/>
      <c r="AUZ8" s="181"/>
      <c r="AVA8" s="181"/>
      <c r="AVB8" s="181"/>
      <c r="AVC8" s="181"/>
      <c r="AVD8" s="181"/>
      <c r="AVE8" s="181"/>
      <c r="AVF8" s="181"/>
      <c r="AVG8" s="181"/>
      <c r="AVH8" s="181"/>
      <c r="AVI8" s="181"/>
      <c r="AVJ8" s="181"/>
      <c r="AVK8" s="181"/>
      <c r="AVL8" s="181"/>
      <c r="AVM8" s="181"/>
      <c r="AVN8" s="181"/>
      <c r="AVO8" s="181"/>
      <c r="AVP8" s="2617"/>
      <c r="AVQ8" s="2617"/>
      <c r="AVR8" s="2617"/>
      <c r="AVS8" s="2617"/>
      <c r="AVT8" s="2617"/>
      <c r="AVU8" s="2617"/>
      <c r="AVV8" s="2617"/>
      <c r="AVW8" s="2617"/>
      <c r="AVX8" s="2617"/>
      <c r="AVY8" s="2617"/>
      <c r="AVZ8" s="2617"/>
      <c r="AWA8" s="2617"/>
      <c r="AWB8" s="2617"/>
      <c r="AWC8" s="2617"/>
      <c r="AWD8" s="2617"/>
      <c r="AWE8" s="2617"/>
      <c r="AWF8" s="2617"/>
      <c r="AWG8" s="2617"/>
      <c r="AWH8" s="2617"/>
      <c r="AWI8" s="2617"/>
      <c r="AWJ8" s="2617"/>
      <c r="AWK8" s="2617"/>
      <c r="AWL8" s="2617"/>
      <c r="AWM8" s="2617"/>
      <c r="AWN8" s="2617"/>
      <c r="AWO8" s="2617"/>
      <c r="AWP8" s="2617"/>
      <c r="AWQ8" s="2617"/>
      <c r="AWR8" s="2617"/>
      <c r="AWS8" s="2617"/>
      <c r="AWT8" s="2617"/>
      <c r="AWU8" s="2617"/>
      <c r="AWV8" s="2617"/>
      <c r="AWW8" s="2617"/>
      <c r="AWX8" s="2617"/>
      <c r="AWY8" s="2617"/>
      <c r="AWZ8" s="2617"/>
      <c r="AXA8" s="2617"/>
      <c r="AXB8" s="2617"/>
      <c r="AXC8" s="2617"/>
      <c r="AXD8" s="2617"/>
      <c r="AXE8" s="2617"/>
      <c r="AXF8" s="2617"/>
      <c r="AXG8" s="2617"/>
      <c r="AXH8" s="2617"/>
      <c r="AXI8" s="2617"/>
      <c r="AXJ8" s="2617"/>
      <c r="AXK8" s="2617"/>
      <c r="AYV8" s="2622"/>
      <c r="AYW8" s="2622"/>
      <c r="AYX8" s="2622"/>
      <c r="AYY8" s="2622"/>
      <c r="AYZ8" s="2622"/>
      <c r="AZA8" s="2622"/>
      <c r="AZB8" s="2622"/>
      <c r="AZC8" s="2622"/>
      <c r="AZD8" s="2622"/>
      <c r="AZE8" s="2622"/>
      <c r="AZF8" s="2622"/>
      <c r="AZG8" s="2622"/>
      <c r="AZH8" s="2622"/>
      <c r="AZI8" s="2622"/>
      <c r="AZJ8" s="2622"/>
      <c r="AZK8" s="2622"/>
      <c r="AZL8" s="2622"/>
      <c r="AZM8" s="2622"/>
      <c r="AZN8" s="2622"/>
      <c r="AZO8" s="2622"/>
      <c r="AZP8" s="2622"/>
      <c r="AZQ8" s="2622"/>
      <c r="AZR8" s="2622"/>
      <c r="AZS8" s="2622"/>
      <c r="AZT8" s="2622"/>
      <c r="AZU8" s="2622"/>
      <c r="AZX8" s="2622"/>
      <c r="AZY8" s="2622"/>
      <c r="AZZ8" s="2622"/>
      <c r="BAA8" s="2622"/>
      <c r="BAB8" s="2622"/>
      <c r="BAC8" s="2622"/>
      <c r="BAD8" s="2622"/>
      <c r="BAE8" s="2622"/>
      <c r="BAF8" s="2622"/>
      <c r="BAG8" s="2622"/>
      <c r="BAH8" s="2622"/>
      <c r="BAI8" s="2622"/>
      <c r="BAL8" s="2622"/>
      <c r="BAM8" s="2622"/>
      <c r="BAN8" s="2622"/>
      <c r="BAO8" s="2622"/>
      <c r="BAP8" s="2622"/>
      <c r="BAQ8" s="2622"/>
      <c r="BAT8" s="2622"/>
      <c r="BCJ8" s="2617"/>
      <c r="BCK8" s="2617"/>
      <c r="BCL8" s="2617"/>
      <c r="BCM8" s="2617"/>
      <c r="BCN8" s="2617"/>
      <c r="BCO8" s="2617"/>
      <c r="BCP8" s="2617"/>
      <c r="BCQ8" s="2617"/>
      <c r="BCR8" s="2617"/>
      <c r="BCS8" s="2617"/>
      <c r="BCT8" s="2617"/>
      <c r="BCU8" s="2617"/>
      <c r="BCV8" s="2617"/>
      <c r="BCW8" s="2617"/>
      <c r="BCX8" s="2617"/>
      <c r="BCY8" s="2617"/>
      <c r="BCZ8" s="2617"/>
      <c r="BDA8" s="2617"/>
      <c r="BDB8" s="2617"/>
      <c r="BDC8" s="2617"/>
      <c r="BDD8" s="2617"/>
      <c r="BDE8" s="2617"/>
      <c r="BDF8" s="2617"/>
      <c r="BDG8" s="2617"/>
      <c r="BDH8" s="2617"/>
      <c r="BDI8" s="2617"/>
      <c r="BDL8" s="2617"/>
      <c r="BDM8" s="2617"/>
      <c r="BDN8" s="2617"/>
      <c r="BDO8" s="2617"/>
      <c r="BDP8" s="2617"/>
      <c r="BDQ8" s="2617"/>
      <c r="BDR8" s="2617"/>
      <c r="BDS8" s="2617"/>
      <c r="BDT8" s="2617"/>
      <c r="BDU8" s="2617"/>
      <c r="BDV8" s="2617"/>
      <c r="BDW8" s="2617"/>
      <c r="BDZ8" s="2617"/>
      <c r="BEA8" s="2617"/>
      <c r="BEB8" s="2617"/>
      <c r="BEC8" s="2617"/>
      <c r="BED8" s="2617"/>
      <c r="BEE8" s="2617"/>
      <c r="BEH8" s="2617"/>
    </row>
    <row r="9" spans="1:1490" x14ac:dyDescent="0.2">
      <c r="B9" s="2625"/>
      <c r="C9" s="2625"/>
      <c r="M9" s="3459" t="s">
        <v>2545</v>
      </c>
      <c r="N9" s="3459"/>
      <c r="O9" s="5585"/>
      <c r="P9" s="3458" t="s">
        <v>2641</v>
      </c>
      <c r="ZI9" s="2622"/>
      <c r="ZJ9" s="2622"/>
      <c r="ZK9" s="2622"/>
      <c r="ZL9" s="2622"/>
      <c r="ZM9" s="2622"/>
      <c r="ZN9" s="2622"/>
      <c r="ZO9" s="2622"/>
      <c r="ZP9" s="2622"/>
      <c r="ZQ9" s="2622"/>
      <c r="ZR9" s="2622"/>
      <c r="ZS9" s="2622"/>
      <c r="ZT9" s="2622"/>
      <c r="ZU9" s="2622"/>
      <c r="ZV9" s="2622"/>
      <c r="ZW9" s="2622"/>
      <c r="ZX9" s="2622"/>
      <c r="ZY9" s="2622"/>
      <c r="ZZ9" s="2622"/>
      <c r="AAA9" s="2622"/>
      <c r="AAB9" s="2622"/>
      <c r="AAC9" s="2622"/>
      <c r="AAD9" s="2622"/>
      <c r="AAE9" s="2622"/>
      <c r="AAF9" s="2622"/>
      <c r="AAG9" s="2622"/>
      <c r="AAH9" s="2622"/>
      <c r="AAI9" s="2622"/>
      <c r="AAJ9" s="2622"/>
      <c r="AAK9" s="2622"/>
      <c r="AAL9" s="2622"/>
      <c r="AAM9" s="2622"/>
      <c r="AAN9" s="2622"/>
      <c r="AAO9" s="2622"/>
      <c r="AAP9" s="2622"/>
      <c r="AAQ9" s="2622"/>
      <c r="AAR9" s="2622"/>
      <c r="AAS9" s="2622"/>
      <c r="AAT9" s="2622"/>
      <c r="AAU9" s="2622"/>
      <c r="AAV9" s="2622"/>
      <c r="AAW9" s="2622"/>
      <c r="AAX9" s="2622"/>
      <c r="AAY9" s="2622"/>
      <c r="AAZ9" s="2622"/>
      <c r="ABA9" s="2622"/>
      <c r="ABB9" s="2737"/>
      <c r="ABC9" s="2737"/>
      <c r="ABD9" s="2737"/>
      <c r="ABE9" s="2737"/>
      <c r="ABF9" s="2737"/>
      <c r="ABG9" s="2737"/>
      <c r="ABH9" s="2737"/>
      <c r="ABI9" s="2737"/>
      <c r="ABJ9" s="2622"/>
      <c r="ABK9" s="2622"/>
      <c r="ABL9" s="2737"/>
      <c r="ABM9" s="2737"/>
      <c r="ABN9" s="2737"/>
      <c r="ABO9" s="2737"/>
      <c r="ABP9" s="2737"/>
      <c r="ABQ9" s="2737"/>
      <c r="ABR9" s="2737"/>
      <c r="ABS9" s="2737"/>
      <c r="ABT9" s="2737"/>
      <c r="ABU9" s="2737"/>
      <c r="ABV9" s="2737"/>
      <c r="ABW9" s="2737"/>
      <c r="ABX9" s="2737"/>
      <c r="ABY9" s="2737"/>
      <c r="ABZ9" s="2737"/>
      <c r="ACA9" s="2737"/>
      <c r="ACB9" s="2737"/>
      <c r="ACC9" s="2737"/>
      <c r="ACD9" s="2737"/>
      <c r="ACE9" s="2622"/>
      <c r="ACF9" s="2737"/>
      <c r="ACG9" s="2737"/>
      <c r="ACH9" s="2737"/>
      <c r="ACI9" s="2737"/>
      <c r="ACJ9" s="2737"/>
      <c r="ACK9" s="2737"/>
      <c r="ACL9" s="2737"/>
      <c r="ACM9" s="2737"/>
      <c r="ACN9" s="2622"/>
      <c r="ACO9" s="2737"/>
      <c r="ACP9" s="2737"/>
      <c r="ACQ9" s="2737"/>
      <c r="ACR9" s="2737"/>
      <c r="ACS9" s="2737"/>
      <c r="ACT9" s="2737"/>
      <c r="ACU9" s="2737"/>
      <c r="ACV9" s="2737"/>
      <c r="ACW9" s="2622"/>
      <c r="ACX9" s="2737"/>
      <c r="ACY9" s="2737"/>
      <c r="ACZ9" s="2737"/>
      <c r="ADA9" s="2737"/>
      <c r="ADB9" s="2737"/>
      <c r="ADC9" s="2737"/>
      <c r="ADD9" s="2737"/>
      <c r="ADE9" s="2737"/>
      <c r="ADF9" s="2737"/>
      <c r="ADH9" s="2737"/>
      <c r="ADI9" s="2737"/>
      <c r="ADJ9" s="2737"/>
      <c r="ADK9" s="2737"/>
      <c r="ADL9" s="2737"/>
      <c r="ADM9" s="2737"/>
      <c r="ADN9" s="2737"/>
      <c r="ADO9" s="2737"/>
      <c r="ADQ9" s="2737"/>
      <c r="ADR9" s="2737"/>
      <c r="ADS9" s="2737"/>
      <c r="ADT9" s="2737"/>
      <c r="ADU9" s="2737"/>
      <c r="ADV9" s="2737"/>
      <c r="ADW9" s="2737"/>
      <c r="ADX9" s="2737"/>
      <c r="ADY9" s="2737"/>
      <c r="ADZ9" s="2737"/>
      <c r="AEA9" s="2737"/>
      <c r="AEB9" s="2737"/>
      <c r="AEC9" s="2737"/>
      <c r="AED9" s="2737"/>
      <c r="AEE9" s="2737"/>
      <c r="AEF9" s="2737"/>
      <c r="AEG9" s="2737"/>
      <c r="AEH9" s="2737"/>
      <c r="AEI9" s="2737"/>
      <c r="AEJ9" s="2737"/>
      <c r="AEK9" s="2737"/>
      <c r="AEL9" s="2737"/>
      <c r="AEM9" s="2737"/>
      <c r="AEN9" s="2737"/>
      <c r="AEO9" s="2737"/>
      <c r="AEP9" s="2737"/>
      <c r="AEQ9" s="2737"/>
      <c r="AER9" s="2737"/>
      <c r="AES9" s="2737"/>
      <c r="AET9" s="2737"/>
      <c r="AEU9" s="2737"/>
      <c r="AEV9" s="2737"/>
      <c r="AEW9" s="2737"/>
      <c r="AEX9" s="2737"/>
      <c r="AFG9" s="2737"/>
      <c r="AFP9" s="2737"/>
      <c r="AGI9" s="2737"/>
      <c r="AGN9" s="2622"/>
      <c r="AGR9" s="2737"/>
      <c r="AHB9" s="2737"/>
      <c r="AHJ9" s="2737"/>
      <c r="AHV9" s="2737"/>
      <c r="AHY9" s="2622"/>
      <c r="AII9" s="2622"/>
      <c r="AIJ9" s="2622"/>
      <c r="AIR9" s="2622"/>
      <c r="AIS9" s="2622"/>
      <c r="AJP9" s="2737"/>
      <c r="AKD9" s="2737"/>
      <c r="AKU9" s="2622"/>
      <c r="ALL9" s="2622"/>
      <c r="ALM9" s="2737"/>
      <c r="ALW9" s="2737"/>
      <c r="ALX9" s="2737"/>
      <c r="AMG9" s="2737"/>
      <c r="AOI9" s="2737"/>
      <c r="AOV9" s="4124"/>
      <c r="AOW9" s="5162"/>
      <c r="AOX9" s="5162"/>
      <c r="AOY9" s="5162"/>
      <c r="AOZ9" s="5162"/>
      <c r="APA9" s="5162"/>
      <c r="APB9" s="5162"/>
      <c r="APC9" s="5162"/>
      <c r="APD9" s="5162"/>
      <c r="APE9" s="5162"/>
      <c r="APT9" s="2737"/>
      <c r="AQE9" s="2622"/>
      <c r="ARE9" s="2622"/>
      <c r="ASA9" s="2622"/>
      <c r="ASJ9" s="2622"/>
      <c r="ASK9" s="2737"/>
      <c r="ASL9" s="2737"/>
      <c r="ASM9" s="2737"/>
      <c r="ASN9" s="2737"/>
      <c r="ASO9" s="2737"/>
      <c r="ASP9" s="2737"/>
      <c r="ASQ9" s="2737"/>
      <c r="ASR9" s="2737"/>
      <c r="ASS9" s="2737"/>
      <c r="ATA9" s="2622"/>
      <c r="ATB9" s="2622"/>
      <c r="ATC9" s="2622"/>
      <c r="ATD9" s="2622"/>
      <c r="ATE9" s="2622"/>
      <c r="ATF9" s="2622"/>
      <c r="ATG9" s="2622"/>
      <c r="ATH9" s="2622"/>
      <c r="ATI9" s="2622"/>
      <c r="ATJ9" s="2622"/>
      <c r="ATK9" s="2622"/>
      <c r="ATL9" s="2622"/>
      <c r="ATM9" s="2622"/>
      <c r="ATN9" s="2622"/>
      <c r="ATO9" s="2622"/>
      <c r="ATP9" s="2622"/>
      <c r="ATQ9" s="2622"/>
      <c r="ATR9" s="2622"/>
      <c r="ATT9" s="2622"/>
      <c r="ATU9" s="2622"/>
      <c r="ATV9" s="2622"/>
      <c r="ATW9" s="2622"/>
      <c r="ATX9" s="2617"/>
      <c r="ATY9" s="2617"/>
      <c r="ATZ9" s="2617"/>
      <c r="AUA9" s="2617"/>
      <c r="AUB9" s="2617"/>
      <c r="AUC9" s="2617"/>
      <c r="AUD9" s="2617"/>
      <c r="AUE9" s="2617"/>
      <c r="AUF9" s="2617"/>
      <c r="AUG9" s="2617"/>
      <c r="AUH9" s="2617"/>
      <c r="AUI9" s="2617"/>
      <c r="AUJ9" s="2617"/>
      <c r="AUK9" s="2617"/>
      <c r="AUL9" s="2617"/>
      <c r="AUM9" s="2617"/>
      <c r="AUN9" s="2617"/>
      <c r="AUO9" s="2617"/>
      <c r="AUP9" s="2617"/>
      <c r="AUQ9" s="2617"/>
      <c r="AUR9" s="2617"/>
      <c r="AUS9" s="2617"/>
      <c r="AUT9" s="2617"/>
      <c r="AUU9" s="2617"/>
      <c r="AUV9" s="2617"/>
      <c r="AUW9" s="181"/>
      <c r="AUX9" s="181"/>
      <c r="AUY9" s="181"/>
      <c r="AUZ9" s="181"/>
      <c r="AVA9" s="181"/>
      <c r="AVB9" s="181"/>
      <c r="AVC9" s="181"/>
      <c r="AVD9" s="181"/>
      <c r="AVE9" s="181"/>
      <c r="AVF9" s="181"/>
      <c r="AVG9" s="181"/>
      <c r="AVH9" s="181"/>
      <c r="AVI9" s="181"/>
      <c r="AVJ9" s="181"/>
      <c r="AVK9" s="181"/>
      <c r="AVL9" s="181"/>
      <c r="AVM9" s="181"/>
      <c r="AVN9" s="181"/>
      <c r="AVO9" s="181"/>
      <c r="AVP9" s="2617"/>
      <c r="AVQ9" s="2617"/>
      <c r="AVR9" s="2617"/>
      <c r="AVS9" s="2617"/>
      <c r="AVT9" s="2617"/>
      <c r="AVU9" s="2617"/>
      <c r="AVV9" s="2617"/>
      <c r="AVW9" s="2617"/>
      <c r="AVX9" s="2617"/>
      <c r="AVY9" s="2617"/>
      <c r="AVZ9" s="2617"/>
      <c r="AWA9" s="2617"/>
      <c r="AWB9" s="2617"/>
      <c r="AWC9" s="2617"/>
      <c r="AWD9" s="2617"/>
      <c r="AWE9" s="2617"/>
      <c r="AWF9" s="2617"/>
      <c r="AWG9" s="2617"/>
      <c r="AWH9" s="2617"/>
      <c r="AWI9" s="2617"/>
      <c r="AWJ9" s="2617"/>
      <c r="AWK9" s="2617"/>
      <c r="AWL9" s="2617"/>
      <c r="AWM9" s="2617"/>
      <c r="AWN9" s="2617"/>
      <c r="AWO9" s="2617"/>
      <c r="AWP9" s="2617"/>
      <c r="AWQ9" s="2617"/>
      <c r="AWR9" s="2617"/>
      <c r="AWS9" s="2617"/>
      <c r="AWT9" s="2617"/>
      <c r="AWU9" s="2617"/>
      <c r="AWV9" s="2617"/>
      <c r="AWW9" s="2617"/>
      <c r="AWX9" s="2617"/>
      <c r="AWY9" s="2617"/>
      <c r="AWZ9" s="2617"/>
      <c r="AXA9" s="2617"/>
      <c r="AXB9" s="2617"/>
      <c r="AXC9" s="2617"/>
      <c r="AXD9" s="2617"/>
      <c r="AXE9" s="2617"/>
      <c r="AXF9" s="2617"/>
      <c r="AXG9" s="2617"/>
      <c r="AXH9" s="2617"/>
      <c r="AXI9" s="2617"/>
      <c r="AXJ9" s="2617"/>
      <c r="AXK9" s="2617"/>
      <c r="AYV9" s="2622"/>
      <c r="AYW9" s="2622"/>
      <c r="AYX9" s="2622"/>
      <c r="AYY9" s="2622"/>
      <c r="AYZ9" s="2622"/>
      <c r="AZA9" s="2622"/>
      <c r="AZB9" s="2622"/>
      <c r="AZC9" s="2622"/>
      <c r="AZD9" s="2622"/>
      <c r="AZE9" s="2622"/>
      <c r="AZF9" s="2622"/>
      <c r="AZG9" s="2622"/>
      <c r="AZH9" s="2622"/>
      <c r="AZI9" s="2622"/>
      <c r="AZJ9" s="2622"/>
      <c r="AZK9" s="2622"/>
      <c r="AZL9" s="2622"/>
      <c r="AZM9" s="2622"/>
      <c r="AZN9" s="2622"/>
      <c r="AZO9" s="2622"/>
      <c r="AZP9" s="2622"/>
      <c r="AZQ9" s="2622"/>
      <c r="AZR9" s="2622"/>
      <c r="AZS9" s="2622"/>
      <c r="AZT9" s="2622"/>
      <c r="AZU9" s="2622"/>
      <c r="AZX9" s="2622"/>
      <c r="AZY9" s="2622"/>
      <c r="AZZ9" s="2622"/>
      <c r="BAA9" s="2622"/>
      <c r="BAB9" s="2622"/>
      <c r="BAC9" s="2622"/>
      <c r="BAD9" s="2622"/>
      <c r="BAE9" s="2622"/>
      <c r="BAF9" s="2622"/>
      <c r="BAG9" s="2622"/>
      <c r="BAH9" s="2622"/>
      <c r="BAI9" s="2622"/>
      <c r="BAL9" s="2622"/>
      <c r="BAM9" s="2622"/>
      <c r="BAN9" s="2622"/>
      <c r="BAO9" s="2622"/>
      <c r="BAP9" s="2622"/>
      <c r="BAQ9" s="2622"/>
      <c r="BAT9" s="2622"/>
      <c r="BCJ9" s="2617"/>
      <c r="BCK9" s="2617"/>
      <c r="BCL9" s="2617"/>
      <c r="BCM9" s="2617"/>
      <c r="BCN9" s="2617"/>
      <c r="BCO9" s="2617"/>
      <c r="BCP9" s="2617"/>
      <c r="BCQ9" s="2617"/>
      <c r="BCR9" s="2617"/>
      <c r="BCS9" s="2617"/>
      <c r="BCT9" s="2617"/>
      <c r="BCU9" s="2617"/>
      <c r="BCV9" s="2617"/>
      <c r="BCW9" s="2617"/>
      <c r="BCX9" s="2617"/>
      <c r="BCY9" s="2617"/>
      <c r="BCZ9" s="2617"/>
      <c r="BDA9" s="2617"/>
      <c r="BDB9" s="2617"/>
      <c r="BDC9" s="2617"/>
      <c r="BDD9" s="2617"/>
      <c r="BDE9" s="2617"/>
      <c r="BDF9" s="2617"/>
      <c r="BDG9" s="2617"/>
      <c r="BDH9" s="2617"/>
      <c r="BDI9" s="2617"/>
      <c r="BDL9" s="2617"/>
      <c r="BDM9" s="2617"/>
      <c r="BDN9" s="2617"/>
      <c r="BDO9" s="2617"/>
      <c r="BDP9" s="2617"/>
      <c r="BDQ9" s="2617"/>
      <c r="BDR9" s="2617"/>
      <c r="BDS9" s="2617"/>
      <c r="BDT9" s="2617"/>
      <c r="BDU9" s="2617"/>
      <c r="BDV9" s="2617"/>
      <c r="BDW9" s="2617"/>
      <c r="BDZ9" s="2617"/>
      <c r="BEA9" s="2617"/>
      <c r="BEB9" s="2617"/>
      <c r="BEC9" s="2617"/>
      <c r="BED9" s="2617"/>
      <c r="BEE9" s="2617"/>
      <c r="BEH9" s="2617"/>
    </row>
    <row r="10" spans="1:1490" x14ac:dyDescent="0.2">
      <c r="O10" s="5585"/>
      <c r="ZI10" s="2622"/>
      <c r="ZJ10" s="2622"/>
      <c r="ZK10" s="2622"/>
      <c r="ZL10" s="2622"/>
      <c r="ZM10" s="2622"/>
      <c r="ZN10" s="2622"/>
      <c r="ZO10" s="2622"/>
      <c r="ZP10" s="2622"/>
      <c r="ZQ10" s="2622"/>
      <c r="ZR10" s="2622"/>
      <c r="ZS10" s="2622"/>
      <c r="ZT10" s="2622"/>
      <c r="ZU10" s="2622"/>
      <c r="ZV10" s="2622"/>
      <c r="ZW10" s="2622"/>
      <c r="ZX10" s="2622"/>
      <c r="ZY10" s="2622"/>
      <c r="ZZ10" s="2622"/>
      <c r="AAA10" s="2622"/>
      <c r="AAB10" s="2622"/>
      <c r="AAC10" s="2622"/>
      <c r="AAD10" s="2622"/>
      <c r="AAE10" s="2622"/>
      <c r="AAF10" s="2622"/>
      <c r="AAG10" s="2622"/>
      <c r="AAH10" s="2622"/>
      <c r="AAI10" s="2622"/>
      <c r="AAJ10" s="2622"/>
      <c r="AAK10" s="2622"/>
      <c r="AAL10" s="2622"/>
      <c r="AAM10" s="2622"/>
      <c r="AAN10" s="2622"/>
      <c r="AAO10" s="2622"/>
      <c r="AAP10" s="2622"/>
      <c r="AAQ10" s="2622"/>
      <c r="AAR10" s="2622"/>
      <c r="AAS10" s="2622"/>
      <c r="AAT10" s="2622"/>
      <c r="AAU10" s="2622"/>
      <c r="AAV10" s="2622"/>
      <c r="AAW10" s="433" t="s">
        <v>2059</v>
      </c>
      <c r="AAX10" s="2622"/>
      <c r="AAY10" s="2622"/>
      <c r="AAZ10" s="2622"/>
      <c r="ABA10" s="2622"/>
      <c r="ABB10" s="2737"/>
      <c r="ABC10" s="2737"/>
      <c r="ABD10" s="2737"/>
      <c r="ABE10" s="2737"/>
      <c r="ABF10" s="2737"/>
      <c r="ABG10" s="2737"/>
      <c r="ABH10" s="2737"/>
      <c r="ABI10" s="2737"/>
      <c r="ABJ10" s="2622"/>
      <c r="ABK10" s="2622"/>
      <c r="ABL10" s="2737"/>
      <c r="ABM10" s="2737"/>
      <c r="ABN10" s="2737"/>
      <c r="ABO10" s="2737"/>
      <c r="ABP10" s="2737"/>
      <c r="ABQ10" s="2737"/>
      <c r="ABR10" s="2737"/>
      <c r="ABS10" s="2737"/>
      <c r="ABT10" s="2737"/>
      <c r="ABU10" s="2737"/>
      <c r="ABV10" s="2737"/>
      <c r="ABW10" s="2737"/>
      <c r="ABX10" s="2737"/>
      <c r="ABY10" s="2737"/>
      <c r="ABZ10" s="2737"/>
      <c r="ACA10" s="2737"/>
      <c r="ACB10" s="2737"/>
      <c r="ACC10" s="2737"/>
      <c r="ACD10" s="2737"/>
      <c r="ACE10" s="2622"/>
      <c r="ACF10" s="2737"/>
      <c r="ACG10" s="2737"/>
      <c r="ACH10" s="2737"/>
      <c r="ACI10" s="2737"/>
      <c r="ACJ10" s="2737"/>
      <c r="ACK10" s="2737"/>
      <c r="ACL10" s="2737"/>
      <c r="ACM10" s="2737"/>
      <c r="ACN10" s="2622"/>
      <c r="ACO10" s="2737"/>
      <c r="ACP10" s="2737"/>
      <c r="ACQ10" s="2737"/>
      <c r="ACR10" s="2737"/>
      <c r="ACS10" s="2737"/>
      <c r="ACT10" s="2737"/>
      <c r="ACU10" s="2737"/>
      <c r="ACV10" s="2737"/>
      <c r="ACW10" s="2622"/>
      <c r="ACX10" s="2737"/>
      <c r="ACY10" s="2737"/>
      <c r="ACZ10" s="2737"/>
      <c r="ADA10" s="2737"/>
      <c r="ADB10" s="2737"/>
      <c r="ADC10" s="2737"/>
      <c r="ADD10" s="2737"/>
      <c r="ADE10" s="2737"/>
      <c r="ADF10" s="2737"/>
      <c r="ADH10" s="2737"/>
      <c r="ADI10" s="2737"/>
      <c r="ADJ10" s="2737"/>
      <c r="ADK10" s="2737"/>
      <c r="ADL10" s="2737"/>
      <c r="ADM10" s="2737"/>
      <c r="ADN10" s="2737"/>
      <c r="ADO10" s="2737"/>
      <c r="ADQ10" s="2737"/>
      <c r="ADR10" s="2737"/>
      <c r="ADS10" s="2737"/>
      <c r="ADT10" s="2737"/>
      <c r="ADU10" s="2737"/>
      <c r="ADV10" s="2737"/>
      <c r="ADW10" s="2737"/>
      <c r="ADX10" s="2737"/>
      <c r="ADY10" s="2737"/>
      <c r="ADZ10" s="2737"/>
      <c r="AEA10" s="2737"/>
      <c r="AEB10" s="2737"/>
      <c r="AEC10" s="2737"/>
      <c r="AED10" s="2737"/>
      <c r="AEE10" s="2737"/>
      <c r="AEF10" s="2737"/>
      <c r="AEG10" s="2737"/>
      <c r="AEH10" s="2737"/>
      <c r="AEI10" s="2737"/>
      <c r="AEJ10" s="2737"/>
      <c r="AEK10" s="2737"/>
      <c r="AEL10" s="2737"/>
      <c r="AEM10" s="2737"/>
      <c r="AEN10" s="2737"/>
      <c r="AEO10" s="2737"/>
      <c r="AEP10" s="2737"/>
      <c r="AEQ10" s="2737"/>
      <c r="AER10" s="2737"/>
      <c r="AES10" s="2737"/>
      <c r="AET10" s="2737"/>
      <c r="AEU10" s="2737"/>
      <c r="AEV10" s="2737"/>
      <c r="AEW10" s="2737"/>
      <c r="AEX10" s="2737"/>
      <c r="AFG10" s="2737"/>
      <c r="AFP10" s="2737"/>
      <c r="AGI10" s="2737"/>
      <c r="AGN10" s="2622"/>
      <c r="AGR10" s="2737"/>
      <c r="AHB10" s="2737"/>
      <c r="AHJ10" s="2737"/>
      <c r="AHV10" s="2737"/>
      <c r="AHY10" s="2622"/>
      <c r="AII10" s="2622"/>
      <c r="AIJ10" s="2622"/>
      <c r="AIR10" s="2622"/>
      <c r="AIS10" s="2622"/>
      <c r="AJP10" s="2737"/>
      <c r="AKD10" s="2737"/>
      <c r="AKU10" s="2622"/>
      <c r="ALL10" s="2622"/>
      <c r="ALM10" s="2737"/>
      <c r="ALW10" s="2737"/>
      <c r="ALX10" s="2737"/>
      <c r="AMG10" s="2737"/>
      <c r="AOI10" s="2737"/>
      <c r="AOV10" s="4124"/>
      <c r="AOW10" s="5162"/>
      <c r="AOX10" s="5162"/>
      <c r="AOY10" s="5162"/>
      <c r="AOZ10" s="5162"/>
      <c r="APA10" s="5162"/>
      <c r="APB10" s="5162"/>
      <c r="APC10" s="5162"/>
      <c r="APD10" s="5162"/>
      <c r="APE10" s="5162"/>
      <c r="APT10" s="2737"/>
      <c r="AQE10" s="2622"/>
      <c r="ARE10" s="2622"/>
      <c r="ASA10" s="2622"/>
      <c r="ASJ10" s="2622"/>
      <c r="ASK10" s="2737"/>
      <c r="ASL10" s="2737"/>
      <c r="ASM10" s="2737"/>
      <c r="ASN10" s="2737"/>
      <c r="ASO10" s="2737"/>
      <c r="ASP10" s="2737"/>
      <c r="ASQ10" s="2737"/>
      <c r="ASR10" s="2737"/>
      <c r="ASS10" s="2737"/>
      <c r="ATA10" s="2622"/>
      <c r="ATB10" s="2622"/>
      <c r="ATC10" s="2622"/>
      <c r="ATD10" s="2622"/>
      <c r="ATE10" s="2622"/>
      <c r="ATF10" s="2622"/>
      <c r="ATG10" s="2622"/>
      <c r="ATH10" s="2622"/>
      <c r="ATI10" s="2622"/>
      <c r="ATJ10" s="2622"/>
      <c r="ATK10" s="2622"/>
      <c r="ATL10" s="433" t="s">
        <v>1497</v>
      </c>
      <c r="ATM10" s="181"/>
      <c r="ATN10" s="181"/>
      <c r="ATO10" s="181"/>
      <c r="ATP10" s="2622"/>
      <c r="ATQ10" s="2622"/>
      <c r="ATR10" s="2622"/>
      <c r="ATT10" s="2622"/>
      <c r="ATU10" s="2622"/>
      <c r="ATV10" s="2622"/>
      <c r="ATW10" s="2622"/>
      <c r="ATX10" s="2617"/>
      <c r="ATY10" s="2617"/>
      <c r="ATZ10" s="2617"/>
      <c r="AUA10" s="2617"/>
      <c r="AUB10" s="2617"/>
      <c r="AUC10" s="2617"/>
      <c r="AUD10" s="2617"/>
      <c r="AUE10" s="2617"/>
      <c r="AUF10" s="2617"/>
      <c r="AUG10" s="2617"/>
      <c r="AUH10" s="2617"/>
      <c r="AUI10" s="2617"/>
      <c r="AUJ10" s="2617"/>
      <c r="AUK10" s="2617"/>
      <c r="AUL10" s="2617"/>
      <c r="AUM10" s="2617"/>
      <c r="AUN10" s="2617"/>
      <c r="AUO10" s="2617"/>
      <c r="AUP10" s="2617"/>
      <c r="AUQ10" s="2617"/>
      <c r="AUR10" s="2617"/>
      <c r="AUS10" s="2617"/>
      <c r="AUT10" s="2617"/>
      <c r="AUU10" s="2617"/>
      <c r="AUV10" s="2625"/>
      <c r="AUW10" s="181"/>
      <c r="AUX10" s="181"/>
      <c r="AUY10" s="181"/>
      <c r="AUZ10" s="181"/>
      <c r="AVA10" s="181"/>
      <c r="AVB10" s="181"/>
      <c r="AVC10" s="181"/>
      <c r="AVD10" s="181"/>
      <c r="AVE10" s="181"/>
      <c r="AVF10" s="181"/>
      <c r="AVG10" s="181"/>
      <c r="AVH10" s="181"/>
      <c r="AVI10" s="181"/>
      <c r="AVJ10" s="181"/>
      <c r="AVK10" s="181"/>
      <c r="AVL10" s="181"/>
      <c r="AVM10" s="181"/>
      <c r="AVN10" s="181"/>
      <c r="AVO10" s="181"/>
      <c r="AVP10" s="2617"/>
      <c r="AVQ10" s="2617"/>
      <c r="AVR10" s="2617"/>
      <c r="AVS10" s="2617"/>
      <c r="AVT10" s="2617"/>
      <c r="AVU10" s="2617"/>
      <c r="AVV10" s="2617"/>
      <c r="AVW10" s="2617"/>
      <c r="AVX10" s="2617"/>
      <c r="AVY10" s="2617"/>
      <c r="AVZ10" s="2617"/>
      <c r="AWA10" s="2617"/>
      <c r="AWB10" s="2617"/>
      <c r="AWC10" s="2617"/>
      <c r="AWD10" s="2617"/>
      <c r="AWE10" s="2617"/>
      <c r="AWF10" s="2617"/>
      <c r="AWG10" s="2617"/>
      <c r="AWH10" s="2617"/>
      <c r="AWI10" s="2617"/>
      <c r="AWJ10" s="2617"/>
      <c r="AWK10" s="2617"/>
      <c r="AWL10" s="2617"/>
      <c r="AWM10" s="2617"/>
      <c r="AWN10" s="2617"/>
      <c r="AWO10" s="2617"/>
      <c r="AWP10" s="2617"/>
      <c r="AWQ10" s="2617"/>
      <c r="AWR10" s="2617"/>
      <c r="AWS10" s="2617"/>
      <c r="AWT10" s="2617"/>
      <c r="AWU10" s="2617"/>
      <c r="AWV10" s="2617"/>
      <c r="AWW10" s="2617"/>
      <c r="AWX10" s="2617"/>
      <c r="AWY10" s="2617"/>
      <c r="AWZ10" s="2617"/>
      <c r="AXA10" s="2617"/>
      <c r="AXB10" s="2617"/>
      <c r="AXC10" s="2617"/>
      <c r="AXD10" s="2617"/>
      <c r="AXE10" s="2617"/>
      <c r="AXF10" s="2617"/>
      <c r="AXG10" s="2617"/>
      <c r="AXH10" s="2617"/>
      <c r="AXI10" s="2617"/>
      <c r="AXJ10" s="2617"/>
      <c r="AXK10" s="2617"/>
      <c r="AYV10" s="2622"/>
      <c r="AYW10" s="2622"/>
      <c r="AYX10" s="2622"/>
      <c r="AYY10" s="2622"/>
      <c r="AYZ10" s="2622"/>
      <c r="AZA10" s="2622"/>
      <c r="AZB10" s="2622"/>
      <c r="AZC10" s="2622"/>
      <c r="AZD10" s="2622"/>
      <c r="AZE10" s="2622"/>
      <c r="AZF10" s="2622"/>
      <c r="AZG10" s="2622"/>
      <c r="AZH10" s="2622"/>
      <c r="AZI10" s="2622"/>
      <c r="AZJ10" s="2622"/>
      <c r="AZK10" s="2622"/>
      <c r="AZL10" s="2622"/>
      <c r="AZM10" s="2622"/>
      <c r="AZN10" s="2622"/>
      <c r="AZO10" s="2622"/>
      <c r="AZP10" s="2622"/>
      <c r="AZQ10" s="2622"/>
      <c r="AZR10" s="2622"/>
      <c r="AZS10" s="2622"/>
      <c r="AZT10" s="2622"/>
      <c r="AZU10" s="2622"/>
      <c r="AZX10" s="2622"/>
      <c r="AZY10" s="2622"/>
      <c r="AZZ10" s="2622"/>
      <c r="BAA10" s="2622"/>
      <c r="BAB10" s="2622"/>
      <c r="BAC10" s="2622"/>
      <c r="BAD10" s="2622"/>
      <c r="BAE10" s="2622"/>
      <c r="BAF10" s="2622"/>
      <c r="BAG10" s="2622"/>
      <c r="BAH10" s="2622"/>
      <c r="BAI10" s="2622"/>
      <c r="BAL10" s="2622"/>
      <c r="BAM10" s="2622"/>
      <c r="BAN10" s="2622"/>
      <c r="BAO10" s="2622"/>
      <c r="BAP10" s="2622"/>
      <c r="BAQ10" s="2622"/>
      <c r="BAT10" s="2622"/>
      <c r="BCJ10" s="2617"/>
      <c r="BCK10" s="2617"/>
      <c r="BCL10" s="2617"/>
      <c r="BCM10" s="2617"/>
      <c r="BCN10" s="2617"/>
      <c r="BCO10" s="2617"/>
      <c r="BCP10" s="2617"/>
      <c r="BCQ10" s="2617"/>
      <c r="BCR10" s="2617"/>
      <c r="BCS10" s="2617"/>
      <c r="BCT10" s="2617"/>
      <c r="BCU10" s="2617"/>
      <c r="BCV10" s="2617"/>
      <c r="BCW10" s="2617"/>
      <c r="BCX10" s="2617"/>
      <c r="BCY10" s="2617"/>
      <c r="BCZ10" s="2617"/>
      <c r="BDA10" s="2617"/>
      <c r="BDB10" s="2617"/>
      <c r="BDC10" s="2617"/>
      <c r="BDD10" s="2617"/>
      <c r="BDE10" s="2617"/>
      <c r="BDF10" s="2617"/>
      <c r="BDG10" s="2617"/>
      <c r="BDH10" s="2617"/>
      <c r="BDI10" s="2617"/>
      <c r="BDL10" s="2617"/>
      <c r="BDM10" s="2617"/>
      <c r="BDN10" s="2617"/>
      <c r="BDO10" s="2617"/>
      <c r="BDP10" s="2617"/>
      <c r="BDQ10" s="2617"/>
      <c r="BDR10" s="2617"/>
      <c r="BDS10" s="2617"/>
      <c r="BDT10" s="2617"/>
      <c r="BDU10" s="2617"/>
      <c r="BDV10" s="2617"/>
      <c r="BDW10" s="2617"/>
      <c r="BDZ10" s="2617"/>
      <c r="BEA10" s="2617"/>
      <c r="BEB10" s="2617"/>
      <c r="BEC10" s="2617"/>
      <c r="BED10" s="2617"/>
      <c r="BEE10" s="2617"/>
      <c r="BEH10" s="2617"/>
    </row>
    <row r="11" spans="1:1490" x14ac:dyDescent="0.2">
      <c r="O11" s="5585"/>
      <c r="P11" s="7232" t="s">
        <v>2537</v>
      </c>
      <c r="Q11" s="7232"/>
      <c r="R11" s="7232"/>
      <c r="S11" s="2617"/>
      <c r="T11" s="2617"/>
      <c r="U11" s="2617" t="s">
        <v>2542</v>
      </c>
      <c r="V11" s="2617"/>
      <c r="W11" s="2617"/>
      <c r="X11" s="2617"/>
      <c r="Y11" s="2617"/>
      <c r="Z11" s="2617"/>
      <c r="AA11" s="2617"/>
      <c r="AB11" s="2617"/>
      <c r="AC11" s="2617"/>
      <c r="AD11" s="2617"/>
      <c r="AE11" s="2617"/>
      <c r="AF11" s="2617"/>
      <c r="ZI11" s="2622"/>
      <c r="ZJ11" s="2622"/>
      <c r="ZK11" s="2622"/>
      <c r="ZL11" s="2622"/>
      <c r="ZM11" s="2622"/>
      <c r="ZN11" s="2622"/>
      <c r="ZO11" s="2622"/>
      <c r="ZP11" s="2622"/>
      <c r="ZQ11" s="2622"/>
      <c r="ZR11" s="2622"/>
      <c r="ZS11" s="2622"/>
      <c r="ZT11" s="2622"/>
      <c r="ZU11" s="2622"/>
      <c r="ZV11" s="2622"/>
      <c r="ZW11" s="2622"/>
      <c r="ZX11" s="2622"/>
      <c r="ZY11" s="2622"/>
      <c r="ZZ11" s="2622"/>
      <c r="AAA11" s="2622"/>
      <c r="AAB11" s="2622"/>
      <c r="AAC11" s="2622"/>
      <c r="AAD11" s="2622"/>
      <c r="AAE11" s="2622"/>
      <c r="AAF11" s="2622"/>
      <c r="AAG11" s="2622"/>
      <c r="AAH11" s="2622"/>
      <c r="AAI11" s="2622"/>
      <c r="AAJ11" s="2622"/>
      <c r="AAK11" s="2622"/>
      <c r="AAL11" s="2622"/>
      <c r="AAM11" s="2622"/>
      <c r="AAN11" s="2622"/>
      <c r="AAO11" s="2622"/>
      <c r="AAP11" s="2622"/>
      <c r="AAQ11" s="2622"/>
      <c r="AAR11" s="2622"/>
      <c r="AAS11" s="2622"/>
      <c r="AAT11" s="2622"/>
      <c r="AAU11" s="2622"/>
      <c r="AAV11" s="2622"/>
      <c r="AAW11" s="433" t="s">
        <v>989</v>
      </c>
      <c r="AAX11" s="2622"/>
      <c r="AAY11" s="2622"/>
      <c r="AAZ11" s="2622"/>
      <c r="ABA11" s="2622"/>
      <c r="ABB11" s="2737"/>
      <c r="ABC11" s="2737"/>
      <c r="ABD11" s="2737"/>
      <c r="ABE11" s="2737"/>
      <c r="ABF11" s="2737"/>
      <c r="ABG11" s="2737"/>
      <c r="ABH11" s="2737"/>
      <c r="ABI11" s="2737"/>
      <c r="ABJ11" s="2622"/>
      <c r="ABK11" s="2622"/>
      <c r="ABL11" s="2737"/>
      <c r="ABM11" s="2737"/>
      <c r="ABN11" s="2737"/>
      <c r="ABO11" s="2737"/>
      <c r="ABP11" s="2737"/>
      <c r="ABQ11" s="2737"/>
      <c r="ABR11" s="2737"/>
      <c r="ABS11" s="2737"/>
      <c r="ABT11" s="2737"/>
      <c r="ABU11" s="2737"/>
      <c r="ABV11" s="2737"/>
      <c r="ABW11" s="2737"/>
      <c r="ABX11" s="2737"/>
      <c r="ABY11" s="2737"/>
      <c r="ABZ11" s="2737"/>
      <c r="ACA11" s="2737"/>
      <c r="ACB11" s="2737"/>
      <c r="ACC11" s="2737"/>
      <c r="ACD11" s="2737"/>
      <c r="ACE11" s="2622"/>
      <c r="ACF11" s="2737"/>
      <c r="ACG11" s="2737"/>
      <c r="ACH11" s="2737"/>
      <c r="ACI11" s="2737"/>
      <c r="ACJ11" s="2737"/>
      <c r="ACK11" s="2737"/>
      <c r="ACL11" s="2737"/>
      <c r="ACM11" s="2737"/>
      <c r="ACN11" s="2622"/>
      <c r="ACO11" s="2737"/>
      <c r="ACP11" s="2737"/>
      <c r="ACQ11" s="2737"/>
      <c r="ACR11" s="2737"/>
      <c r="ACS11" s="2737"/>
      <c r="ACT11" s="2737"/>
      <c r="ACU11" s="2737"/>
      <c r="ACV11" s="2737"/>
      <c r="ACW11" s="2622"/>
      <c r="ACX11" s="2737"/>
      <c r="ACY11" s="2737"/>
      <c r="ACZ11" s="2737"/>
      <c r="ADA11" s="2737"/>
      <c r="ADB11" s="2737"/>
      <c r="ADC11" s="2737"/>
      <c r="ADD11" s="2737"/>
      <c r="ADE11" s="2737"/>
      <c r="ADF11" s="2737"/>
      <c r="ADH11" s="2737"/>
      <c r="ADI11" s="2737"/>
      <c r="ADJ11" s="2737"/>
      <c r="ADK11" s="2737"/>
      <c r="ADL11" s="2737"/>
      <c r="ADM11" s="2737"/>
      <c r="ADN11" s="2737"/>
      <c r="ADO11" s="2737"/>
      <c r="ADQ11" s="2737"/>
      <c r="ADR11" s="2737"/>
      <c r="ADS11" s="2737"/>
      <c r="ADT11" s="2737"/>
      <c r="ADU11" s="2737"/>
      <c r="ADV11" s="2737"/>
      <c r="ADW11" s="2737"/>
      <c r="ADX11" s="2737"/>
      <c r="ADY11" s="2737"/>
      <c r="ADZ11" s="2737"/>
      <c r="AEA11" s="2737"/>
      <c r="AEB11" s="2737"/>
      <c r="AEC11" s="2737"/>
      <c r="AED11" s="2737"/>
      <c r="AEE11" s="2737"/>
      <c r="AEF11" s="2737"/>
      <c r="AEG11" s="2737"/>
      <c r="AEH11" s="2737"/>
      <c r="AEI11" s="2737"/>
      <c r="AEJ11" s="2737"/>
      <c r="AEK11" s="2737"/>
      <c r="AEL11" s="2737"/>
      <c r="AEM11" s="2737"/>
      <c r="AEN11" s="2737"/>
      <c r="AEO11" s="2737"/>
      <c r="AEP11" s="2737"/>
      <c r="AEQ11" s="2737"/>
      <c r="AER11" s="2737"/>
      <c r="AES11" s="2737"/>
      <c r="AET11" s="2737"/>
      <c r="AEU11" s="2737"/>
      <c r="AEV11" s="2737"/>
      <c r="AEW11" s="2737"/>
      <c r="AEX11" s="2737"/>
      <c r="AFG11" s="2737"/>
      <c r="AFP11" s="2737"/>
      <c r="AGI11" s="2737"/>
      <c r="AGN11" s="2622"/>
      <c r="AGR11" s="2737"/>
      <c r="AHB11" s="2737"/>
      <c r="AHJ11" s="2737"/>
      <c r="AHV11" s="2737"/>
      <c r="AHY11" s="2622"/>
      <c r="AII11" s="2622"/>
      <c r="AIJ11" s="2622"/>
      <c r="AIR11" s="2622"/>
      <c r="AIS11" s="2622"/>
      <c r="AJP11" s="2737"/>
      <c r="AKD11" s="2737"/>
      <c r="AKU11" s="2622"/>
      <c r="ALL11" s="2622"/>
      <c r="ALM11" s="2737"/>
      <c r="ALW11" s="2737"/>
      <c r="ALX11" s="2737"/>
      <c r="AMG11" s="2737"/>
      <c r="AOI11" s="2737"/>
      <c r="AOV11" s="4124"/>
      <c r="AOW11" s="5162"/>
      <c r="AOX11" s="5162"/>
      <c r="AOY11" s="5162"/>
      <c r="AOZ11" s="5162"/>
      <c r="APA11" s="5162"/>
      <c r="APB11" s="5162"/>
      <c r="APC11" s="5162"/>
      <c r="APD11" s="5162"/>
      <c r="APE11" s="5162"/>
      <c r="APT11" s="2737"/>
      <c r="AQE11" s="2622"/>
      <c r="ARE11" s="2622"/>
      <c r="ASA11" s="2622"/>
      <c r="ASJ11" s="2622"/>
      <c r="ASK11" s="2737"/>
      <c r="ASL11" s="2737"/>
      <c r="ASM11" s="2737"/>
      <c r="ASN11" s="2737"/>
      <c r="ASO11" s="2737"/>
      <c r="ASP11" s="2737"/>
      <c r="ASQ11" s="2737"/>
      <c r="ASR11" s="2737"/>
      <c r="ASS11" s="2737"/>
      <c r="ATA11" s="2622"/>
      <c r="ATB11" s="2622"/>
      <c r="ATC11" s="433" t="s">
        <v>991</v>
      </c>
      <c r="ATD11" s="2622"/>
      <c r="ATE11" s="2622"/>
      <c r="ATF11" s="2622"/>
      <c r="ATG11" s="2622"/>
      <c r="ATH11" s="2622"/>
      <c r="ATI11" s="2622"/>
      <c r="ATJ11" s="2622"/>
      <c r="ATK11" s="2622"/>
      <c r="ATL11" s="181"/>
      <c r="ATM11" s="181"/>
      <c r="ATN11" s="181"/>
      <c r="ATO11" s="181"/>
      <c r="ATP11" s="2622"/>
      <c r="ATQ11" s="2622"/>
      <c r="ATR11" s="2622"/>
      <c r="ATT11" s="2622"/>
      <c r="ATU11" s="2622"/>
      <c r="ATV11" s="2622"/>
      <c r="ATW11" s="2622"/>
      <c r="ATX11" s="2617"/>
      <c r="ATY11" s="2617"/>
      <c r="ATZ11" s="2617"/>
      <c r="AUA11" s="2617"/>
      <c r="AUB11" s="2617"/>
      <c r="AUC11" s="2617"/>
      <c r="AUD11" s="2617"/>
      <c r="AUE11" s="2617"/>
      <c r="AUF11" s="2617"/>
      <c r="AUG11" s="2617"/>
      <c r="AUH11" s="2617"/>
      <c r="AUI11" s="2617"/>
      <c r="AUJ11" s="2617"/>
      <c r="AUK11" s="2617"/>
      <c r="AUL11" s="2617"/>
      <c r="AUM11" s="2617"/>
      <c r="AUN11" s="2617"/>
      <c r="AUO11" s="2617"/>
      <c r="AUP11" s="2617"/>
      <c r="AUQ11" s="2617"/>
      <c r="AUR11" s="2617"/>
      <c r="AUS11" s="2617"/>
      <c r="AUT11" s="2617"/>
      <c r="AUU11" s="2617"/>
      <c r="AUV11" s="2625"/>
      <c r="AUW11" s="181"/>
      <c r="AUX11" s="181"/>
      <c r="AUY11" s="181"/>
      <c r="AUZ11" s="181"/>
      <c r="AVA11" s="181"/>
      <c r="AVB11" s="181"/>
      <c r="AVC11" s="181"/>
      <c r="AVD11" s="181"/>
      <c r="AVE11" s="181"/>
      <c r="AVF11" s="181"/>
      <c r="AVG11" s="181"/>
      <c r="AVH11" s="181"/>
      <c r="AVI11" s="181"/>
      <c r="AVJ11" s="181"/>
      <c r="AVK11" s="181"/>
      <c r="AVL11" s="181"/>
      <c r="AVM11" s="181"/>
      <c r="AVN11" s="181"/>
      <c r="AVO11" s="181"/>
      <c r="AVP11" s="2617"/>
      <c r="AVQ11" s="2617"/>
      <c r="AVR11" s="2617"/>
      <c r="AVS11" s="2617"/>
      <c r="AVT11" s="2617"/>
      <c r="AVU11" s="2617"/>
      <c r="AVV11" s="2617"/>
      <c r="AVW11" s="2617"/>
      <c r="AVX11" s="2617"/>
      <c r="AVY11" s="2617"/>
      <c r="AVZ11" s="2617"/>
      <c r="AWA11" s="2617"/>
      <c r="AWB11" s="2617"/>
      <c r="AWC11" s="2617"/>
      <c r="AWD11" s="2617"/>
      <c r="AWE11" s="2617"/>
      <c r="AWF11" s="2617"/>
      <c r="AWG11" s="2617"/>
      <c r="AWH11" s="2617"/>
      <c r="AWI11" s="2617"/>
      <c r="AWJ11" s="2617"/>
      <c r="AWK11" s="2617"/>
      <c r="AWL11" s="2617"/>
      <c r="AWM11" s="2617"/>
      <c r="AWN11" s="2617"/>
      <c r="AWO11" s="2617"/>
      <c r="AWP11" s="2617"/>
      <c r="AWQ11" s="2617"/>
      <c r="AWR11" s="2617"/>
      <c r="AWS11" s="2617"/>
      <c r="AWT11" s="2617"/>
      <c r="AWU11" s="2617"/>
      <c r="AWV11" s="2617"/>
      <c r="AWW11" s="2617"/>
      <c r="AWX11" s="2617"/>
      <c r="AWY11" s="2617"/>
      <c r="AWZ11" s="2617"/>
      <c r="AXA11" s="2617"/>
      <c r="AXB11" s="2617"/>
      <c r="AXC11" s="2617"/>
      <c r="AXD11" s="2617"/>
      <c r="AXE11" s="2617"/>
      <c r="AXF11" s="2617"/>
      <c r="AXG11" s="2617"/>
      <c r="AXH11" s="2617"/>
      <c r="AXI11" s="2617"/>
      <c r="AXJ11" s="2617"/>
      <c r="AXK11" s="2617"/>
      <c r="AYV11" s="2622"/>
      <c r="AYW11" s="2622"/>
      <c r="AYX11" s="2622"/>
      <c r="AYY11" s="2622"/>
      <c r="AYZ11" s="2622"/>
      <c r="AZA11" s="2622"/>
      <c r="AZB11" s="2622"/>
      <c r="AZC11" s="2622"/>
      <c r="AZD11" s="2622"/>
      <c r="AZE11" s="2622"/>
      <c r="AZF11" s="2622"/>
      <c r="AZG11" s="2622"/>
      <c r="AZH11" s="2622"/>
      <c r="AZI11" s="2622"/>
      <c r="AZJ11" s="2622"/>
      <c r="AZK11" s="2622"/>
      <c r="AZL11" s="2622"/>
      <c r="AZM11" s="2622"/>
      <c r="AZN11" s="2622"/>
      <c r="AZO11" s="2622"/>
      <c r="AZP11" s="2622"/>
      <c r="AZQ11" s="2622"/>
      <c r="AZR11" s="2622"/>
      <c r="AZS11" s="2622"/>
      <c r="AZT11" s="2622"/>
      <c r="AZU11" s="2622"/>
      <c r="AZX11" s="2622"/>
      <c r="AZY11" s="2622"/>
      <c r="AZZ11" s="2622"/>
      <c r="BAA11" s="2622"/>
      <c r="BAB11" s="2622"/>
      <c r="BAC11" s="2622"/>
      <c r="BAD11" s="2622"/>
      <c r="BAE11" s="2622"/>
      <c r="BAF11" s="2622"/>
      <c r="BAG11" s="2622"/>
      <c r="BAH11" s="2622"/>
      <c r="BAI11" s="2622"/>
      <c r="BAL11" s="2622"/>
      <c r="BAM11" s="2622"/>
      <c r="BAN11" s="2622"/>
      <c r="BAO11" s="2622"/>
      <c r="BAP11" s="2622"/>
      <c r="BAQ11" s="2622"/>
      <c r="BAT11" s="2622"/>
      <c r="BAU11" s="2622"/>
      <c r="BAV11" s="2622"/>
      <c r="BAW11" s="2622"/>
      <c r="BAX11" s="2622"/>
      <c r="BAY11" s="2622"/>
      <c r="BAZ11" s="2622"/>
      <c r="BBA11" s="2622"/>
      <c r="BBB11" s="2622"/>
      <c r="BBC11" s="2622"/>
      <c r="BBD11" s="2622"/>
      <c r="BBE11" s="2622"/>
      <c r="BBF11" s="2622"/>
      <c r="BBG11" s="2622"/>
      <c r="BBH11" s="2622"/>
      <c r="BBK11" s="2622"/>
      <c r="BCJ11" s="2617"/>
      <c r="BCK11" s="2617"/>
      <c r="BCL11" s="2617"/>
      <c r="BCM11" s="2617"/>
      <c r="BCN11" s="2617"/>
      <c r="BCO11" s="2617"/>
      <c r="BCP11" s="2617"/>
      <c r="BCQ11" s="2617"/>
      <c r="BCR11" s="2617"/>
      <c r="BCS11" s="2617"/>
      <c r="BCT11" s="2617"/>
      <c r="BCU11" s="2617"/>
      <c r="BCV11" s="2617"/>
      <c r="BCW11" s="2617"/>
      <c r="BCX11" s="2617"/>
      <c r="BCY11" s="2617"/>
      <c r="BCZ11" s="2617"/>
      <c r="BDA11" s="2617"/>
      <c r="BDB11" s="2617"/>
      <c r="BDC11" s="2617"/>
      <c r="BDD11" s="2617"/>
      <c r="BDE11" s="2617"/>
      <c r="BDF11" s="2617"/>
      <c r="BDG11" s="2617"/>
      <c r="BDH11" s="2617"/>
      <c r="BDI11" s="2617"/>
      <c r="BDL11" s="2617"/>
      <c r="BDM11" s="2617"/>
      <c r="BDN11" s="2617"/>
      <c r="BDO11" s="2617"/>
      <c r="BDP11" s="2617"/>
      <c r="BDQ11" s="2617"/>
      <c r="BDR11" s="2617"/>
      <c r="BDS11" s="2617"/>
      <c r="BDT11" s="2617"/>
      <c r="BDU11" s="2617"/>
      <c r="BDV11" s="2617"/>
      <c r="BDW11" s="2617"/>
      <c r="BDZ11" s="2617"/>
      <c r="BEA11" s="2617"/>
      <c r="BEB11" s="2617"/>
      <c r="BEC11" s="2617"/>
      <c r="BED11" s="2617"/>
      <c r="BEE11" s="2617"/>
      <c r="BEH11" s="2617"/>
    </row>
    <row r="12" spans="1:1490" x14ac:dyDescent="0.2">
      <c r="O12" s="5585"/>
      <c r="P12" s="842"/>
      <c r="Q12" s="842"/>
      <c r="R12" s="842"/>
      <c r="ZI12" s="2622"/>
      <c r="ZJ12" s="2622"/>
      <c r="ZK12" s="2622"/>
      <c r="ZL12" s="2622"/>
      <c r="ZM12" s="2622"/>
      <c r="ZN12" s="2622"/>
      <c r="ZO12" s="2622"/>
      <c r="ZP12" s="2622"/>
      <c r="ZQ12" s="2622"/>
      <c r="ZR12" s="2622"/>
      <c r="ZS12" s="2622"/>
      <c r="ZT12" s="2622"/>
      <c r="ZU12" s="2622"/>
      <c r="ZV12" s="2622"/>
      <c r="ZW12" s="2622"/>
      <c r="ZX12" s="2622"/>
      <c r="ZY12" s="2622"/>
      <c r="ZZ12" s="2622"/>
      <c r="AAA12" s="2622"/>
      <c r="AAB12" s="2622"/>
      <c r="AAC12" s="2622"/>
      <c r="AAD12" s="2622"/>
      <c r="AAE12" s="2622"/>
      <c r="AAF12" s="2622"/>
      <c r="AAG12" s="2622"/>
      <c r="AAH12" s="2622"/>
      <c r="AAI12" s="2622"/>
      <c r="AAJ12" s="2622"/>
      <c r="AAK12" s="2622"/>
      <c r="AAL12" s="2622"/>
      <c r="AAM12" s="2622"/>
      <c r="AAN12" s="2622"/>
      <c r="AAO12" s="2622"/>
      <c r="AAP12" s="2622"/>
      <c r="AAQ12" s="2622"/>
      <c r="AAR12" s="2622"/>
      <c r="AAS12" s="2622"/>
      <c r="AAT12" s="2622"/>
      <c r="AAU12" s="2622"/>
      <c r="AAV12" s="2622"/>
      <c r="AAW12" s="2622"/>
      <c r="AAX12" s="2622"/>
      <c r="AAY12" s="2622"/>
      <c r="AAZ12" s="2622"/>
      <c r="ABA12" s="2622"/>
      <c r="ABB12" s="2737"/>
      <c r="ABC12" s="2737"/>
      <c r="ABD12" s="2737"/>
      <c r="ABE12" s="2737"/>
      <c r="ABF12" s="2737"/>
      <c r="ABG12" s="2737"/>
      <c r="ABH12" s="2737"/>
      <c r="ABI12" s="2737"/>
      <c r="ABJ12" s="2622"/>
      <c r="ABK12" s="2622"/>
      <c r="ABL12" s="2737"/>
      <c r="ABM12" s="2737"/>
      <c r="ABN12" s="2737"/>
      <c r="ABO12" s="2737"/>
      <c r="ABP12" s="2737"/>
      <c r="ABQ12" s="2737"/>
      <c r="ABR12" s="2737"/>
      <c r="ABS12" s="2737"/>
      <c r="ABT12" s="2737"/>
      <c r="ABU12" s="2737"/>
      <c r="ABV12" s="2737"/>
      <c r="ABW12" s="2737"/>
      <c r="ABX12" s="2737"/>
      <c r="ABY12" s="2737"/>
      <c r="ABZ12" s="2737"/>
      <c r="ACA12" s="2737"/>
      <c r="ACB12" s="2737"/>
      <c r="ACC12" s="2737"/>
      <c r="ACD12" s="2737"/>
      <c r="ACE12" s="2622"/>
      <c r="ACF12" s="2737"/>
      <c r="ACG12" s="2737"/>
      <c r="ACH12" s="2737"/>
      <c r="ACI12" s="2737"/>
      <c r="ACJ12" s="2737"/>
      <c r="ACK12" s="2737"/>
      <c r="ACL12" s="2737"/>
      <c r="ACM12" s="2737"/>
      <c r="ACN12" s="2622"/>
      <c r="ACO12" s="2737"/>
      <c r="ACP12" s="2737"/>
      <c r="ACQ12" s="2737"/>
      <c r="ACR12" s="2737"/>
      <c r="ACS12" s="2737"/>
      <c r="ACT12" s="2737"/>
      <c r="ACU12" s="2737"/>
      <c r="ACV12" s="2737"/>
      <c r="ACW12" s="2622"/>
      <c r="ACX12" s="2737"/>
      <c r="ACY12" s="2737"/>
      <c r="ACZ12" s="2737"/>
      <c r="ADA12" s="2737"/>
      <c r="ADB12" s="2737"/>
      <c r="ADC12" s="2737"/>
      <c r="ADD12" s="2737"/>
      <c r="ADE12" s="2737"/>
      <c r="ADF12" s="2737"/>
      <c r="ADH12" s="2737"/>
      <c r="ADI12" s="2737"/>
      <c r="ADJ12" s="2737"/>
      <c r="ADK12" s="2737"/>
      <c r="ADL12" s="2737"/>
      <c r="ADM12" s="2737"/>
      <c r="ADN12" s="2737"/>
      <c r="ADO12" s="2737"/>
      <c r="ADQ12" s="2737"/>
      <c r="ADR12" s="2737"/>
      <c r="ADS12" s="2737"/>
      <c r="ADT12" s="2737"/>
      <c r="ADU12" s="2737"/>
      <c r="ADV12" s="2737"/>
      <c r="ADW12" s="2737"/>
      <c r="ADX12" s="2737"/>
      <c r="ADY12" s="2737"/>
      <c r="ADZ12" s="2737"/>
      <c r="AEA12" s="2737"/>
      <c r="AEB12" s="2737"/>
      <c r="AEC12" s="2737"/>
      <c r="AED12" s="2737"/>
      <c r="AEE12" s="2737"/>
      <c r="AEF12" s="2737"/>
      <c r="AEG12" s="2737"/>
      <c r="AEH12" s="2737"/>
      <c r="AEI12" s="2737"/>
      <c r="AEJ12" s="2737"/>
      <c r="AEK12" s="2737"/>
      <c r="AEL12" s="2737"/>
      <c r="AEM12" s="2737"/>
      <c r="AEN12" s="2737"/>
      <c r="AEO12" s="2737"/>
      <c r="AEP12" s="2737"/>
      <c r="AEQ12" s="2737"/>
      <c r="AER12" s="2737"/>
      <c r="AES12" s="2737"/>
      <c r="AET12" s="2737"/>
      <c r="AEU12" s="2737"/>
      <c r="AEV12" s="2737"/>
      <c r="AEW12" s="2737"/>
      <c r="AEX12" s="2737"/>
      <c r="AFG12" s="2737"/>
      <c r="AFP12" s="2737"/>
      <c r="AGI12" s="2737"/>
      <c r="AGN12" s="2622"/>
      <c r="AGR12" s="2737"/>
      <c r="AHB12" s="2737"/>
      <c r="AHJ12" s="2737"/>
      <c r="AHV12" s="2737"/>
      <c r="AHY12" s="2622"/>
      <c r="AII12" s="2622"/>
      <c r="AIJ12" s="2622"/>
      <c r="AIR12" s="2622"/>
      <c r="AIS12" s="2622"/>
      <c r="AJP12" s="2737"/>
      <c r="AKD12" s="2737"/>
      <c r="AKU12" s="2622"/>
      <c r="ALL12" s="2622"/>
      <c r="ALM12" s="2737"/>
      <c r="ALW12" s="2737"/>
      <c r="ALX12" s="2737"/>
      <c r="AMG12" s="2737"/>
      <c r="AOI12" s="2737"/>
      <c r="AOV12" s="4124"/>
      <c r="AOW12" s="5162"/>
      <c r="AOX12" s="5162"/>
      <c r="AOY12" s="5162"/>
      <c r="AOZ12" s="5162"/>
      <c r="APA12" s="5162"/>
      <c r="APB12" s="5162"/>
      <c r="APC12" s="5162"/>
      <c r="APD12" s="5162"/>
      <c r="APE12" s="5162"/>
      <c r="APT12" s="2737"/>
      <c r="AQE12" s="2622"/>
      <c r="ARE12" s="2622"/>
      <c r="ASA12" s="2622"/>
      <c r="ASJ12" s="2622"/>
      <c r="ASK12" s="2737"/>
      <c r="ASL12" s="2737"/>
      <c r="ASM12" s="2737"/>
      <c r="ASN12" s="2737"/>
      <c r="ASO12" s="2737"/>
      <c r="ASP12" s="2737"/>
      <c r="ASQ12" s="2737"/>
      <c r="ASR12" s="2737"/>
      <c r="ASS12" s="2737"/>
      <c r="ATA12" s="2622"/>
      <c r="ATB12" s="2622"/>
      <c r="ATC12" s="433" t="s">
        <v>992</v>
      </c>
      <c r="ATD12" s="2622"/>
      <c r="ATE12" s="2622"/>
      <c r="ATF12" s="2622"/>
      <c r="ATG12" s="2622"/>
      <c r="ATH12" s="2622"/>
      <c r="ATI12" s="2622"/>
      <c r="ATJ12" s="2622"/>
      <c r="ATK12" s="2622"/>
      <c r="ATL12" s="181"/>
      <c r="ATM12" s="181"/>
      <c r="ATN12" s="181"/>
      <c r="ATO12" s="181"/>
      <c r="ATP12" s="2622"/>
      <c r="ATQ12" s="2622"/>
      <c r="ATR12" s="2622"/>
      <c r="ATT12" s="2622"/>
      <c r="ATU12" s="2622"/>
      <c r="ATV12" s="2622"/>
      <c r="ATW12" s="2622"/>
      <c r="ATX12" s="2617"/>
      <c r="ATY12" s="2617"/>
      <c r="ATZ12" s="3458"/>
      <c r="AUA12" s="3458"/>
      <c r="AUB12" s="3458"/>
      <c r="AUC12" s="3458"/>
      <c r="AUD12" s="3458"/>
      <c r="AUE12" s="3458"/>
      <c r="AUF12" s="3458"/>
      <c r="AUG12" s="3458"/>
      <c r="AUH12" s="3458"/>
      <c r="AUI12" s="3458"/>
      <c r="AUJ12" s="3458"/>
      <c r="AUK12" s="3458"/>
      <c r="AUL12" s="3458"/>
      <c r="AUM12" s="2617"/>
      <c r="AUN12" s="2617"/>
      <c r="AUO12" s="2617"/>
      <c r="AUP12" s="2617"/>
      <c r="AUQ12" s="2617"/>
      <c r="AUR12" s="2617"/>
      <c r="AUS12" s="2617"/>
      <c r="AUT12" s="2617"/>
      <c r="AUU12" s="2617"/>
      <c r="AUV12" s="2617"/>
      <c r="AUW12" s="181"/>
      <c r="AUX12" s="181"/>
      <c r="AUY12" s="181"/>
      <c r="AUZ12" s="181"/>
      <c r="AVA12" s="181"/>
      <c r="AVB12" s="181"/>
      <c r="AVC12" s="181"/>
      <c r="AVD12" s="181"/>
      <c r="AVE12" s="181"/>
      <c r="AVF12" s="181"/>
      <c r="AVG12" s="181"/>
      <c r="AVH12" s="181"/>
      <c r="AVI12" s="181"/>
      <c r="AVJ12" s="181"/>
      <c r="AVK12" s="181"/>
      <c r="AVL12" s="181"/>
      <c r="AVM12" s="181"/>
      <c r="AVN12" s="181"/>
      <c r="AVO12" s="181"/>
      <c r="AVP12" s="2617"/>
      <c r="AVQ12" s="2617"/>
      <c r="AVR12" s="2617"/>
      <c r="AVS12" s="2617"/>
      <c r="AVT12" s="2617"/>
      <c r="AVU12" s="2617"/>
      <c r="AVV12" s="2617"/>
      <c r="AVW12" s="2617"/>
      <c r="AVX12" s="2617"/>
      <c r="AVY12" s="2617"/>
      <c r="AVZ12" s="2617"/>
      <c r="AWA12" s="2617"/>
      <c r="AWB12" s="2617"/>
      <c r="AWC12" s="2617"/>
      <c r="AWD12" s="2617"/>
      <c r="AWE12" s="2617"/>
      <c r="AWF12" s="2617"/>
      <c r="AWG12" s="2617"/>
      <c r="AWH12" s="2617"/>
      <c r="AWI12" s="2617"/>
      <c r="AWJ12" s="2617"/>
      <c r="AWK12" s="2617"/>
      <c r="AWL12" s="2617"/>
      <c r="AWM12" s="2617"/>
      <c r="AWN12" s="2617"/>
      <c r="AWO12" s="2617"/>
      <c r="AWP12" s="2617"/>
      <c r="AWQ12" s="2617"/>
      <c r="AWR12" s="2617"/>
      <c r="AWS12" s="2617"/>
      <c r="AWT12" s="2617"/>
      <c r="AWU12" s="2617"/>
      <c r="AWV12" s="2617"/>
      <c r="AWW12" s="2617"/>
      <c r="AWX12" s="2617"/>
      <c r="AWY12" s="2617"/>
      <c r="AWZ12" s="2617"/>
      <c r="AXA12" s="2617"/>
      <c r="AXB12" s="2617"/>
      <c r="AXC12" s="2617"/>
      <c r="AXD12" s="2617"/>
      <c r="AXE12" s="2617"/>
      <c r="AXF12" s="2617"/>
      <c r="AXG12" s="2617"/>
      <c r="AXH12" s="2617"/>
      <c r="AXI12" s="2617"/>
      <c r="AXJ12" s="2617"/>
      <c r="AXK12" s="2617"/>
      <c r="AYV12" s="2622"/>
      <c r="AYW12" s="2622"/>
      <c r="AYX12" s="2622"/>
      <c r="AYY12" s="2622"/>
      <c r="AYZ12" s="2622"/>
      <c r="AZA12" s="2622"/>
      <c r="AZB12" s="2622"/>
      <c r="AZC12" s="2622"/>
      <c r="AZD12" s="2622"/>
      <c r="AZE12" s="2622"/>
      <c r="AZF12" s="2622"/>
      <c r="AZG12" s="2622"/>
      <c r="AZH12" s="2622"/>
      <c r="AZI12" s="2622"/>
      <c r="AZJ12" s="2622"/>
      <c r="AZK12" s="2622"/>
      <c r="AZL12" s="2622"/>
      <c r="AZM12" s="2622"/>
      <c r="AZN12" s="2622"/>
      <c r="AZO12" s="2622"/>
      <c r="AZP12" s="2622"/>
      <c r="AZQ12" s="2622"/>
      <c r="AZR12" s="2622"/>
      <c r="AZS12" s="2622"/>
      <c r="AZT12" s="2622"/>
      <c r="AZU12" s="2622"/>
      <c r="AZX12" s="2622"/>
      <c r="AZY12" s="2622"/>
      <c r="AZZ12" s="2622"/>
      <c r="BAA12" s="2622"/>
      <c r="BAB12" s="2622"/>
      <c r="BAC12" s="2622"/>
      <c r="BAD12" s="2622"/>
      <c r="BAE12" s="2622"/>
      <c r="BAF12" s="2622"/>
      <c r="BAG12" s="2622"/>
      <c r="BAH12" s="2622"/>
      <c r="BAI12" s="2622"/>
      <c r="BAL12" s="2622"/>
      <c r="BAM12" s="2622"/>
      <c r="BAN12" s="2622"/>
      <c r="BAO12" s="2622"/>
      <c r="BAP12" s="2622"/>
      <c r="BAQ12" s="2622"/>
      <c r="BAT12" s="2622"/>
      <c r="BAU12" s="2622"/>
      <c r="BAV12" s="2622"/>
      <c r="BAW12" s="2622"/>
      <c r="BAX12" s="2622"/>
      <c r="BAY12" s="2622"/>
      <c r="BAZ12" s="2622"/>
      <c r="BBA12" s="2622"/>
      <c r="BBB12" s="2622"/>
      <c r="BBC12" s="2622"/>
      <c r="BBD12" s="2622"/>
      <c r="BBE12" s="2622"/>
      <c r="BBF12" s="2622"/>
      <c r="BBG12" s="2622"/>
      <c r="BBH12" s="2622"/>
      <c r="BBK12" s="2622"/>
      <c r="BCJ12" s="2617"/>
      <c r="BCK12" s="2617"/>
      <c r="BCL12" s="2617"/>
      <c r="BCM12" s="2617"/>
      <c r="BCN12" s="2617"/>
      <c r="BCO12" s="2617"/>
      <c r="BCP12" s="2617"/>
      <c r="BCQ12" s="2617"/>
      <c r="BCR12" s="2617"/>
      <c r="BCS12" s="2617"/>
      <c r="BCT12" s="2617"/>
      <c r="BCU12" s="2617"/>
      <c r="BCV12" s="2617"/>
      <c r="BCW12" s="2617"/>
      <c r="BCX12" s="2617"/>
      <c r="BCY12" s="2617"/>
      <c r="BCZ12" s="2617"/>
      <c r="BDA12" s="2617"/>
      <c r="BDB12" s="2617"/>
      <c r="BDC12" s="2617"/>
      <c r="BDD12" s="2617"/>
      <c r="BDE12" s="2617"/>
      <c r="BDF12" s="2617"/>
      <c r="BDG12" s="2617"/>
      <c r="BDH12" s="2617"/>
      <c r="BDI12" s="2617"/>
      <c r="BDL12" s="2617"/>
      <c r="BDM12" s="2617"/>
      <c r="BDN12" s="2617"/>
      <c r="BDO12" s="2617"/>
      <c r="BDP12" s="2617"/>
      <c r="BDQ12" s="2617"/>
      <c r="BDR12" s="2617"/>
      <c r="BDS12" s="2617"/>
      <c r="BDT12" s="2617"/>
      <c r="BDU12" s="2617"/>
      <c r="BDV12" s="2617"/>
      <c r="BDW12" s="2617"/>
      <c r="BDZ12" s="2617"/>
      <c r="BEA12" s="2617"/>
      <c r="BEB12" s="2617"/>
      <c r="BEC12" s="2617"/>
      <c r="BED12" s="2617"/>
      <c r="BEE12" s="2617"/>
      <c r="BEH12" s="2617"/>
    </row>
    <row r="13" spans="1:1490" ht="14.25" customHeight="1" x14ac:dyDescent="0.2">
      <c r="O13" s="5585"/>
      <c r="P13" s="7233" t="s">
        <v>2540</v>
      </c>
      <c r="Q13" s="7233"/>
      <c r="R13" s="7233"/>
      <c r="U13" s="3458" t="s">
        <v>2543</v>
      </c>
      <c r="ZI13" s="2622"/>
      <c r="ZJ13" s="2622"/>
      <c r="ZK13" s="2622"/>
      <c r="ZL13" s="2622"/>
      <c r="ZM13" s="2622"/>
      <c r="ZN13" s="2622"/>
      <c r="ZO13" s="2622"/>
      <c r="ZP13" s="2622"/>
      <c r="ZQ13" s="2622"/>
      <c r="ZR13" s="2622"/>
      <c r="ZS13" s="2622"/>
      <c r="ZT13" s="2622"/>
      <c r="ZU13" s="2622"/>
      <c r="ZV13" s="2622"/>
      <c r="ZW13" s="2622"/>
      <c r="ZX13" s="2622"/>
      <c r="ZY13" s="2622"/>
      <c r="ZZ13" s="2622"/>
      <c r="AAA13" s="2622"/>
      <c r="AAB13" s="2622"/>
      <c r="AAC13" s="2622"/>
      <c r="AAD13" s="2622"/>
      <c r="AAE13" s="2622"/>
      <c r="AAF13" s="2622"/>
      <c r="AAG13" s="2622"/>
      <c r="AAH13" s="2622"/>
      <c r="AAI13" s="2622"/>
      <c r="AAJ13" s="2622"/>
      <c r="AAK13" s="2622"/>
      <c r="AAL13" s="2622"/>
      <c r="AAM13" s="2622"/>
      <c r="AAN13" s="2622"/>
      <c r="AAO13" s="2622"/>
      <c r="AAP13" s="2622"/>
      <c r="AAQ13" s="2622"/>
      <c r="AAR13" s="2622"/>
      <c r="AAS13" s="2622"/>
      <c r="AAT13" s="2622"/>
      <c r="AAU13" s="2622"/>
      <c r="AAV13" s="2622"/>
      <c r="AAW13" s="2622"/>
      <c r="AAX13" s="2622"/>
      <c r="AAY13" s="2622"/>
      <c r="AAZ13" s="2622"/>
      <c r="ABA13" s="2622"/>
      <c r="ABB13" s="2737"/>
      <c r="ABC13" s="2737"/>
      <c r="ABD13" s="2737"/>
      <c r="ABE13" s="2737"/>
      <c r="ABF13" s="2737"/>
      <c r="ABG13" s="2737"/>
      <c r="ABH13" s="2737"/>
      <c r="ABI13" s="2737"/>
      <c r="ABJ13" s="2622"/>
      <c r="ABK13" s="2622"/>
      <c r="ABL13" s="2737"/>
      <c r="ABM13" s="2737"/>
      <c r="ABN13" s="2737"/>
      <c r="ABO13" s="2737"/>
      <c r="ABP13" s="2737"/>
      <c r="ABQ13" s="2737"/>
      <c r="ABR13" s="2737"/>
      <c r="ABS13" s="2737"/>
      <c r="ABT13" s="2737"/>
      <c r="ABU13" s="2737"/>
      <c r="ABV13" s="2737"/>
      <c r="ABW13" s="2737"/>
      <c r="ABX13" s="2737"/>
      <c r="ABY13" s="2737"/>
      <c r="ABZ13" s="2737"/>
      <c r="ACA13" s="2737"/>
      <c r="ACB13" s="2737"/>
      <c r="ACC13" s="2737"/>
      <c r="ACD13" s="2737"/>
      <c r="ACE13" s="2622"/>
      <c r="ACF13" s="2737"/>
      <c r="ACG13" s="2737"/>
      <c r="ACH13" s="2737"/>
      <c r="ACI13" s="2737"/>
      <c r="ACJ13" s="2737"/>
      <c r="ACK13" s="2737"/>
      <c r="ACL13" s="2737"/>
      <c r="ACM13" s="2737"/>
      <c r="ACN13" s="2622"/>
      <c r="ACO13" s="2737"/>
      <c r="ACP13" s="2737"/>
      <c r="ACQ13" s="2737"/>
      <c r="ACR13" s="2737"/>
      <c r="ACS13" s="2737"/>
      <c r="ACT13" s="2737"/>
      <c r="ACU13" s="2737"/>
      <c r="ACV13" s="2737"/>
      <c r="ACW13" s="2622"/>
      <c r="ACX13" s="2737"/>
      <c r="ACY13" s="2737"/>
      <c r="ACZ13" s="2737"/>
      <c r="ADA13" s="2737"/>
      <c r="ADB13" s="2737"/>
      <c r="ADC13" s="2737"/>
      <c r="ADD13" s="2737"/>
      <c r="ADE13" s="2737"/>
      <c r="ADF13" s="2737"/>
      <c r="ADH13" s="2737"/>
      <c r="ADI13" s="2737"/>
      <c r="ADJ13" s="2737"/>
      <c r="ADK13" s="2737"/>
      <c r="ADL13" s="2737"/>
      <c r="ADM13" s="2737"/>
      <c r="ADN13" s="2737"/>
      <c r="ADO13" s="2737"/>
      <c r="ADQ13" s="2737"/>
      <c r="ADR13" s="2737"/>
      <c r="ADS13" s="2737"/>
      <c r="ADT13" s="2737"/>
      <c r="ADU13" s="2737"/>
      <c r="ADV13" s="2737"/>
      <c r="ADW13" s="2737"/>
      <c r="ADX13" s="2737"/>
      <c r="ADY13" s="2737"/>
      <c r="ADZ13" s="2737"/>
      <c r="AEA13" s="2737"/>
      <c r="AEB13" s="2737"/>
      <c r="AEC13" s="2737"/>
      <c r="AED13" s="2737"/>
      <c r="AEE13" s="2737"/>
      <c r="AEF13" s="2737"/>
      <c r="AEG13" s="2737"/>
      <c r="AEH13" s="2737"/>
      <c r="AEI13" s="2737"/>
      <c r="AEJ13" s="2737"/>
      <c r="AEK13" s="2737"/>
      <c r="AEL13" s="2737"/>
      <c r="AEM13" s="2737"/>
      <c r="AEN13" s="2737"/>
      <c r="AEO13" s="2737"/>
      <c r="AEP13" s="2737"/>
      <c r="AEQ13" s="2737"/>
      <c r="AER13" s="2737"/>
      <c r="AES13" s="2737"/>
      <c r="AET13" s="2737"/>
      <c r="AEU13" s="2737"/>
      <c r="AEV13" s="2737"/>
      <c r="AEW13" s="2737"/>
      <c r="AEX13" s="2737"/>
      <c r="AFG13" s="2737"/>
      <c r="AFP13" s="2737"/>
      <c r="AGI13" s="2737"/>
      <c r="AGN13" s="2622"/>
      <c r="AGR13" s="2737"/>
      <c r="AHB13" s="2737"/>
      <c r="AHJ13" s="2737"/>
      <c r="AHV13" s="2737"/>
      <c r="AHY13" s="2622"/>
      <c r="AII13" s="2622"/>
      <c r="AIJ13" s="2622"/>
      <c r="AIR13" s="2622"/>
      <c r="AIS13" s="2622"/>
      <c r="AJP13" s="2737"/>
      <c r="AKD13" s="2737"/>
      <c r="AKU13" s="2622"/>
      <c r="ALL13" s="2622"/>
      <c r="ALM13" s="2737"/>
      <c r="ALW13" s="2737"/>
      <c r="ALX13" s="2737"/>
      <c r="AMG13" s="2737"/>
      <c r="AOI13" s="2737"/>
      <c r="AOV13" s="4124"/>
      <c r="AOW13" s="5162"/>
      <c r="AOX13" s="5162"/>
      <c r="AOY13" s="5162"/>
      <c r="AOZ13" s="5162"/>
      <c r="APA13" s="5162"/>
      <c r="APB13" s="5162"/>
      <c r="APC13" s="5162"/>
      <c r="APD13" s="5162"/>
      <c r="APE13" s="5162"/>
      <c r="APT13" s="2737"/>
      <c r="AQE13" s="2622"/>
      <c r="ARE13" s="2622"/>
      <c r="ASA13" s="2622"/>
      <c r="ASJ13" s="2622"/>
      <c r="ASK13" s="2737"/>
      <c r="ASL13" s="2737"/>
      <c r="ASM13" s="2737"/>
      <c r="ASN13" s="2737"/>
      <c r="ASO13" s="2737"/>
      <c r="ASP13" s="2737"/>
      <c r="ASQ13" s="2737"/>
      <c r="ASR13" s="2737"/>
      <c r="ASS13" s="2737"/>
      <c r="ATA13" s="2622"/>
      <c r="ATB13" s="2622"/>
      <c r="ATC13" s="2622"/>
      <c r="ATD13" s="2622"/>
      <c r="ATE13" s="2622"/>
      <c r="ATF13" s="2622"/>
      <c r="ATG13" s="2622"/>
      <c r="ATH13" s="2622"/>
      <c r="ATI13" s="2622"/>
      <c r="ATJ13" s="2622"/>
      <c r="ATK13" s="2622"/>
      <c r="ATL13" s="1665" t="s">
        <v>112</v>
      </c>
      <c r="ATM13" s="181"/>
      <c r="ATN13" s="181"/>
      <c r="ATO13" s="181"/>
      <c r="ATP13" s="2622"/>
      <c r="ATQ13" s="2622"/>
      <c r="ATR13" s="2617"/>
      <c r="ATS13" s="2617"/>
      <c r="ATT13" s="2622"/>
      <c r="ATU13" s="2622"/>
      <c r="ATV13" s="2622"/>
      <c r="ATW13" s="2622"/>
      <c r="ATX13" s="2617"/>
      <c r="ATY13" s="2617"/>
      <c r="ATZ13" s="2617"/>
      <c r="AUA13" s="3458"/>
      <c r="AUB13" s="3458"/>
      <c r="AUC13" s="3458"/>
      <c r="AUD13" s="3458"/>
      <c r="AUE13" s="3458"/>
      <c r="AUF13" s="3458"/>
      <c r="AUG13" s="3458"/>
      <c r="AUH13" s="3458"/>
      <c r="AUI13" s="3458"/>
      <c r="AUJ13" s="3458"/>
      <c r="AUK13" s="3458"/>
      <c r="AUL13" s="3458"/>
      <c r="AUM13" s="2617"/>
      <c r="AUN13" s="2617"/>
      <c r="AUO13" s="2617"/>
      <c r="AUP13" s="2617"/>
      <c r="AUQ13" s="2617"/>
      <c r="AUR13" s="2617"/>
      <c r="AUS13" s="2617"/>
      <c r="AUT13" s="2617"/>
      <c r="AUU13" s="2617"/>
      <c r="AUV13" s="2617"/>
      <c r="AUW13" s="181"/>
      <c r="AUX13" s="181"/>
      <c r="AUY13" s="181"/>
      <c r="AUZ13" s="181"/>
      <c r="AVA13" s="181"/>
      <c r="AVB13" s="181"/>
      <c r="AVC13" s="181"/>
      <c r="AVD13" s="181"/>
      <c r="AVE13" s="181"/>
      <c r="AVF13" s="181"/>
      <c r="AVG13" s="181"/>
      <c r="AVH13" s="181"/>
      <c r="AVI13" s="181"/>
      <c r="AVJ13" s="181"/>
      <c r="AVK13" s="181"/>
      <c r="AVL13" s="181"/>
      <c r="AVM13" s="181"/>
      <c r="AVN13" s="181"/>
      <c r="AVO13" s="181"/>
      <c r="AVP13" s="2617"/>
      <c r="AVQ13" s="2617"/>
      <c r="AVR13" s="2617"/>
      <c r="AVS13" s="2617"/>
      <c r="AVT13" s="2617"/>
      <c r="AVU13" s="2617"/>
      <c r="AVV13" s="2617"/>
      <c r="AVW13" s="2617"/>
      <c r="AVX13" s="2617"/>
      <c r="AVY13" s="2617"/>
      <c r="AVZ13" s="2617"/>
      <c r="AWA13" s="2617"/>
      <c r="AWB13" s="2617"/>
      <c r="AWC13" s="2617"/>
      <c r="AWD13" s="2617"/>
      <c r="AWE13" s="2617"/>
      <c r="AWF13" s="2617"/>
      <c r="AWG13" s="2617"/>
      <c r="AWH13" s="2617"/>
      <c r="AWI13" s="2617"/>
      <c r="AWJ13" s="2617"/>
      <c r="AWK13" s="2617"/>
      <c r="AWL13" s="2617"/>
      <c r="AWM13" s="2617"/>
      <c r="AWN13" s="2617"/>
      <c r="AWO13" s="2617"/>
      <c r="AWP13" s="2617"/>
      <c r="AWQ13" s="2617"/>
      <c r="AWR13" s="2617"/>
      <c r="AWS13" s="2617"/>
      <c r="AWT13" s="2617"/>
      <c r="AWU13" s="2617"/>
      <c r="AWV13" s="2617"/>
      <c r="AWW13" s="2617"/>
      <c r="AWX13" s="2617"/>
      <c r="AWY13" s="2617"/>
      <c r="AWZ13" s="2617"/>
      <c r="AXA13" s="2617"/>
      <c r="AXB13" s="2617"/>
      <c r="AXC13" s="2617"/>
      <c r="AXD13" s="2617"/>
      <c r="AXE13" s="2617"/>
      <c r="AXF13" s="2617"/>
      <c r="AXG13" s="2617"/>
      <c r="AXH13" s="2617"/>
      <c r="AXI13" s="2617"/>
      <c r="AXJ13" s="2617"/>
      <c r="AXK13" s="2617"/>
      <c r="AYV13" s="2622"/>
      <c r="AYW13" s="2622"/>
      <c r="AYX13" s="2622"/>
      <c r="AYY13" s="2622"/>
      <c r="AYZ13" s="2622"/>
      <c r="AZA13" s="2622"/>
      <c r="AZB13" s="2622"/>
      <c r="AZC13" s="2622"/>
      <c r="AZD13" s="2622"/>
      <c r="AZE13" s="2622"/>
      <c r="AZF13" s="2622"/>
      <c r="AZG13" s="2622"/>
      <c r="AZH13" s="2622"/>
      <c r="AZI13" s="2622"/>
      <c r="AZJ13" s="2622"/>
      <c r="AZK13" s="2622"/>
      <c r="AZL13" s="2622"/>
      <c r="AZM13" s="2622"/>
      <c r="AZN13" s="2622"/>
      <c r="AZO13" s="2622"/>
      <c r="AZP13" s="2622"/>
      <c r="AZQ13" s="2622"/>
      <c r="AZR13" s="2622"/>
      <c r="AZS13" s="2622"/>
      <c r="AZT13" s="2622"/>
      <c r="AZU13" s="2622"/>
      <c r="AZX13" s="2622"/>
      <c r="AZY13" s="2622"/>
      <c r="AZZ13" s="2622"/>
      <c r="BAA13" s="2622"/>
      <c r="BAB13" s="2622"/>
      <c r="BAC13" s="2622"/>
      <c r="BAD13" s="2622"/>
      <c r="BAE13" s="2622"/>
      <c r="BAF13" s="2622"/>
      <c r="BAG13" s="2622"/>
      <c r="BAH13" s="2622"/>
      <c r="BAI13" s="2622"/>
      <c r="BAL13" s="2622"/>
      <c r="BAM13" s="2622"/>
      <c r="BAN13" s="2622"/>
      <c r="BAO13" s="2622"/>
      <c r="BAP13" s="2622"/>
      <c r="BAQ13" s="2622"/>
      <c r="BAT13" s="2622"/>
      <c r="BAU13" s="2622"/>
      <c r="BAV13" s="2622"/>
      <c r="BAW13" s="2622"/>
      <c r="BAX13" s="2622"/>
      <c r="BAY13" s="2622"/>
      <c r="BAZ13" s="2622"/>
      <c r="BBA13" s="2622"/>
      <c r="BBB13" s="2622"/>
      <c r="BBC13" s="2622"/>
      <c r="BBD13" s="2622"/>
      <c r="BBE13" s="2622"/>
      <c r="BBF13" s="2622"/>
      <c r="BBG13" s="2622"/>
      <c r="BBH13" s="2622"/>
      <c r="BBK13" s="2622"/>
      <c r="BCJ13" s="2617"/>
      <c r="BCK13" s="2617"/>
      <c r="BCL13" s="2617"/>
      <c r="BCM13" s="2617"/>
      <c r="BCN13" s="2617"/>
      <c r="BCO13" s="2617"/>
      <c r="BCP13" s="2617"/>
      <c r="BCQ13" s="2617"/>
      <c r="BCR13" s="2617"/>
      <c r="BCS13" s="2617"/>
      <c r="BCT13" s="2617"/>
      <c r="BCU13" s="2617"/>
      <c r="BCV13" s="2617"/>
      <c r="BCW13" s="2617"/>
      <c r="BCX13" s="2617"/>
      <c r="BCY13" s="2617"/>
      <c r="BCZ13" s="2617"/>
      <c r="BDA13" s="2617"/>
      <c r="BDB13" s="2617"/>
      <c r="BDC13" s="2617"/>
      <c r="BDD13" s="2617"/>
      <c r="BDE13" s="2617"/>
      <c r="BDF13" s="2617"/>
      <c r="BDG13" s="2617"/>
      <c r="BDH13" s="2617"/>
      <c r="BDI13" s="2617"/>
      <c r="BDL13" s="2617"/>
      <c r="BDM13" s="2617"/>
      <c r="BDN13" s="2617"/>
      <c r="BDO13" s="2617"/>
      <c r="BDP13" s="2617"/>
      <c r="BDQ13" s="2617"/>
      <c r="BDR13" s="2617"/>
      <c r="BDS13" s="2617"/>
      <c r="BDT13" s="2617"/>
      <c r="BDU13" s="2617"/>
      <c r="BDV13" s="2617"/>
      <c r="BDW13" s="2617"/>
      <c r="BDZ13" s="2617"/>
      <c r="BEA13" s="2617"/>
      <c r="BEB13" s="2617"/>
      <c r="BEC13" s="2617"/>
      <c r="BED13" s="2617"/>
      <c r="BEE13" s="2617"/>
      <c r="BEH13" s="2617"/>
    </row>
    <row r="14" spans="1:1490" x14ac:dyDescent="0.2">
      <c r="O14" s="5585"/>
      <c r="P14" s="842"/>
      <c r="Q14" s="842"/>
      <c r="R14" s="842"/>
      <c r="W14" s="5586"/>
      <c r="X14" s="5586"/>
      <c r="Y14" s="5586"/>
      <c r="Z14" s="5586"/>
      <c r="AA14" s="5586"/>
      <c r="AB14" s="5586"/>
      <c r="ZI14" s="2622"/>
      <c r="ZJ14" s="2622"/>
      <c r="ZK14" s="2622"/>
      <c r="ZL14" s="2622"/>
      <c r="ZM14" s="2622"/>
      <c r="ZN14" s="2622"/>
      <c r="ZO14" s="2622"/>
      <c r="ZP14" s="2622"/>
      <c r="ZQ14" s="2622"/>
      <c r="ZR14" s="2622"/>
      <c r="ZS14" s="2622"/>
      <c r="ZT14" s="2622"/>
      <c r="ZU14" s="2622"/>
      <c r="ZV14" s="2622"/>
      <c r="ZW14" s="2622"/>
      <c r="ZX14" s="2622"/>
      <c r="ZY14" s="2622"/>
      <c r="ZZ14" s="2622"/>
      <c r="AAA14" s="2622"/>
      <c r="AAB14" s="2622"/>
      <c r="AAC14" s="2622"/>
      <c r="AAD14" s="2622"/>
      <c r="AAE14" s="2622"/>
      <c r="AAF14" s="2622"/>
      <c r="AAG14" s="2622"/>
      <c r="AAH14" s="2622"/>
      <c r="AAI14" s="2622"/>
      <c r="AAJ14" s="2622"/>
      <c r="AAK14" s="2622"/>
      <c r="AAL14" s="2622"/>
      <c r="AAM14" s="2622"/>
      <c r="AAN14" s="2622"/>
      <c r="AAO14" s="2622"/>
      <c r="AAP14" s="2622"/>
      <c r="AAQ14" s="2622"/>
      <c r="AAR14" s="2622"/>
      <c r="AAS14" s="2622"/>
      <c r="AAT14" s="2622"/>
      <c r="AAU14" s="2622"/>
      <c r="AAV14" s="2622"/>
      <c r="AAW14" s="2622"/>
      <c r="AAX14" s="2622"/>
      <c r="AAY14" s="2622"/>
      <c r="AAZ14" s="2622"/>
      <c r="ABA14" s="2622"/>
      <c r="ABB14" s="2737"/>
      <c r="ABC14" s="2737"/>
      <c r="ABD14" s="2737"/>
      <c r="ABE14" s="2737"/>
      <c r="ABF14" s="2737"/>
      <c r="ABG14" s="2737"/>
      <c r="ABH14" s="2737"/>
      <c r="ABI14" s="2737"/>
      <c r="ABJ14" s="2622"/>
      <c r="ABK14" s="2622"/>
      <c r="ABL14" s="2737"/>
      <c r="ABM14" s="2737"/>
      <c r="ABN14" s="2737"/>
      <c r="ABO14" s="2737"/>
      <c r="ABP14" s="2737"/>
      <c r="ABQ14" s="2737"/>
      <c r="ABR14" s="2737"/>
      <c r="ABS14" s="2737"/>
      <c r="ABT14" s="2737"/>
      <c r="ABU14" s="2737"/>
      <c r="ABV14" s="2737"/>
      <c r="ABW14" s="2737"/>
      <c r="ABX14" s="2737"/>
      <c r="ABY14" s="2737"/>
      <c r="ABZ14" s="2737"/>
      <c r="ACA14" s="2737"/>
      <c r="ACB14" s="2737"/>
      <c r="ACC14" s="2737"/>
      <c r="ACD14" s="2737"/>
      <c r="ACE14" s="2622"/>
      <c r="ACF14" s="2737"/>
      <c r="ACG14" s="2737"/>
      <c r="ACH14" s="2737"/>
      <c r="ACI14" s="2737"/>
      <c r="ACJ14" s="2737"/>
      <c r="ACK14" s="2737"/>
      <c r="ACL14" s="2737"/>
      <c r="ACM14" s="2737"/>
      <c r="ACN14" s="2622"/>
      <c r="ACO14" s="2737"/>
      <c r="ACP14" s="2737"/>
      <c r="ACQ14" s="2737"/>
      <c r="ACR14" s="2737"/>
      <c r="ACS14" s="2737"/>
      <c r="ACT14" s="2737"/>
      <c r="ACU14" s="2737"/>
      <c r="ACV14" s="2737"/>
      <c r="ACW14" s="2622"/>
      <c r="ACX14" s="2737"/>
      <c r="ACY14" s="2737"/>
      <c r="ACZ14" s="2737"/>
      <c r="ADA14" s="2737"/>
      <c r="ADB14" s="2737"/>
      <c r="ADC14" s="2737"/>
      <c r="ADD14" s="2737"/>
      <c r="ADE14" s="2737"/>
      <c r="ADF14" s="2737"/>
      <c r="ADH14" s="2737"/>
      <c r="ADI14" s="2737"/>
      <c r="ADJ14" s="2737"/>
      <c r="ADK14" s="2737"/>
      <c r="ADL14" s="2737"/>
      <c r="ADM14" s="2737"/>
      <c r="ADN14" s="2737"/>
      <c r="ADO14" s="2737"/>
      <c r="ADQ14" s="2737"/>
      <c r="ADR14" s="2737"/>
      <c r="ADS14" s="2737"/>
      <c r="ADT14" s="2737"/>
      <c r="ADU14" s="2737"/>
      <c r="ADV14" s="2737"/>
      <c r="ADW14" s="2737"/>
      <c r="ADX14" s="2737"/>
      <c r="ADY14" s="2737"/>
      <c r="ADZ14" s="2737"/>
      <c r="AEA14" s="2737"/>
      <c r="AEB14" s="2737"/>
      <c r="AEC14" s="2737"/>
      <c r="AED14" s="2737"/>
      <c r="AEE14" s="2737"/>
      <c r="AEF14" s="2737"/>
      <c r="AEG14" s="2737"/>
      <c r="AEH14" s="2737"/>
      <c r="AEI14" s="2737"/>
      <c r="AEJ14" s="2737"/>
      <c r="AEK14" s="2737"/>
      <c r="AEL14" s="2737"/>
      <c r="AEM14" s="2737"/>
      <c r="AEN14" s="2737"/>
      <c r="AEO14" s="2737"/>
      <c r="AEP14" s="2737"/>
      <c r="AEQ14" s="2737"/>
      <c r="AER14" s="2737"/>
      <c r="AES14" s="2737"/>
      <c r="AET14" s="2737"/>
      <c r="AEU14" s="2737"/>
      <c r="AEV14" s="2737"/>
      <c r="AEW14" s="2737"/>
      <c r="AEX14" s="2737"/>
      <c r="AFG14" s="2737"/>
      <c r="AFP14" s="2737"/>
      <c r="AGI14" s="2737"/>
      <c r="AGN14" s="2622"/>
      <c r="AGR14" s="2737"/>
      <c r="AHB14" s="2737"/>
      <c r="AHJ14" s="2737"/>
      <c r="AHV14" s="2737"/>
      <c r="AHY14" s="2622"/>
      <c r="AII14" s="2622"/>
      <c r="AIJ14" s="2622"/>
      <c r="AIR14" s="2622"/>
      <c r="AIS14" s="2622"/>
      <c r="AJP14" s="2737"/>
      <c r="AKD14" s="2737"/>
      <c r="AKU14" s="2622"/>
      <c r="ALL14" s="2622"/>
      <c r="ALM14" s="2737"/>
      <c r="ALW14" s="2737"/>
      <c r="ALX14" s="2737"/>
      <c r="AMG14" s="2737"/>
      <c r="AOI14" s="2737"/>
      <c r="AOV14" s="4124"/>
      <c r="AOW14" s="5162"/>
      <c r="AOX14" s="5162"/>
      <c r="AOY14" s="5162"/>
      <c r="AOZ14" s="5162"/>
      <c r="APA14" s="5162"/>
      <c r="APB14" s="5162"/>
      <c r="APC14" s="5162"/>
      <c r="APD14" s="5162"/>
      <c r="APE14" s="5162"/>
      <c r="APT14" s="2737"/>
      <c r="AQE14" s="2622"/>
      <c r="ARE14" s="2622"/>
      <c r="ASA14" s="2622"/>
      <c r="ASJ14" s="2622"/>
      <c r="ASK14" s="2737"/>
      <c r="ASL14" s="2737"/>
      <c r="ASM14" s="2737"/>
      <c r="ASN14" s="2737"/>
      <c r="ASO14" s="2737"/>
      <c r="ASP14" s="2737"/>
      <c r="ASQ14" s="2737"/>
      <c r="ASR14" s="2737"/>
      <c r="ASS14" s="2737"/>
      <c r="ATA14" s="2622"/>
      <c r="ATB14" s="2622"/>
      <c r="ATC14" s="2622"/>
      <c r="ATD14" s="2622"/>
      <c r="ATE14" s="2622"/>
      <c r="ATF14" s="2622"/>
      <c r="ATG14" s="2622"/>
      <c r="ATH14" s="2622"/>
      <c r="ATI14" s="2622"/>
      <c r="ATJ14" s="2622"/>
      <c r="ATK14" s="2622"/>
      <c r="ATL14" s="1665" t="s">
        <v>1495</v>
      </c>
      <c r="ATM14" s="181"/>
      <c r="ATN14" s="181"/>
      <c r="ATO14" s="181"/>
      <c r="ATP14" s="2622"/>
      <c r="ATQ14" s="2622"/>
      <c r="ATR14" s="2617"/>
      <c r="ATT14" s="2622"/>
      <c r="ATU14" s="2622"/>
      <c r="ATV14" s="2622"/>
      <c r="ATW14" s="2622"/>
      <c r="ATX14" s="2617"/>
      <c r="ATY14" s="2617"/>
      <c r="ATZ14" s="2617"/>
      <c r="AUA14" s="3458"/>
      <c r="AUB14" s="3458"/>
      <c r="AUC14" s="3458"/>
      <c r="AUD14" s="3458"/>
      <c r="AUE14" s="3458"/>
      <c r="AUF14" s="3458"/>
      <c r="AUG14" s="3458"/>
      <c r="AUH14" s="3458"/>
      <c r="AUI14" s="3458"/>
      <c r="AUJ14" s="3458"/>
      <c r="AUK14" s="3458"/>
      <c r="AUL14" s="3458"/>
      <c r="AUM14" s="2617"/>
      <c r="AUN14" s="2617"/>
      <c r="AUO14" s="2617"/>
      <c r="AUP14" s="2617"/>
      <c r="AUQ14" s="2617"/>
      <c r="AUR14" s="2617"/>
      <c r="AUS14" s="2617"/>
      <c r="AUT14" s="2617"/>
      <c r="AUU14" s="2617"/>
      <c r="AUV14" s="2625"/>
      <c r="AUW14" s="181"/>
      <c r="AUX14" s="181"/>
      <c r="AUY14" s="181"/>
      <c r="AUZ14" s="181"/>
      <c r="AVA14" s="181"/>
      <c r="AVB14" s="181"/>
      <c r="AVC14" s="181"/>
      <c r="AVD14" s="181"/>
      <c r="AVE14" s="181"/>
      <c r="AVF14" s="181"/>
      <c r="AVG14" s="181"/>
      <c r="AVH14" s="181"/>
      <c r="AVI14" s="181"/>
      <c r="AVJ14" s="181"/>
      <c r="AVK14" s="181"/>
      <c r="AVL14" s="181"/>
      <c r="AVM14" s="181"/>
      <c r="AVN14" s="181"/>
      <c r="AVO14" s="181"/>
      <c r="AVP14" s="2617"/>
      <c r="AVQ14" s="2617"/>
      <c r="AVR14" s="2617"/>
      <c r="AVS14" s="2617"/>
      <c r="AVT14" s="2617"/>
      <c r="AVU14" s="2617"/>
      <c r="AVV14" s="2617"/>
      <c r="AVW14" s="2617"/>
      <c r="AVX14" s="2617"/>
      <c r="AVY14" s="2617"/>
      <c r="AVZ14" s="2617"/>
      <c r="AWA14" s="2617"/>
      <c r="AWB14" s="2617"/>
      <c r="AWC14" s="2617"/>
      <c r="AWD14" s="2617"/>
      <c r="AWE14" s="2617"/>
      <c r="AWF14" s="2617"/>
      <c r="AWG14" s="2617"/>
      <c r="AWH14" s="2617"/>
      <c r="AWI14" s="2617"/>
      <c r="AWJ14" s="2617"/>
      <c r="AWK14" s="2617"/>
      <c r="AWL14" s="2617"/>
      <c r="AWM14" s="2617"/>
      <c r="AWN14" s="2617"/>
      <c r="AWO14" s="2617"/>
      <c r="AWP14" s="2617"/>
      <c r="AWQ14" s="2617"/>
      <c r="AWR14" s="2617"/>
      <c r="AWS14" s="2617"/>
      <c r="AWT14" s="2617"/>
      <c r="AWU14" s="2617"/>
      <c r="AWV14" s="2617"/>
      <c r="AWW14" s="2617"/>
      <c r="AWX14" s="2617"/>
      <c r="AWY14" s="2617"/>
      <c r="AWZ14" s="2617"/>
      <c r="AXA14" s="2617"/>
      <c r="AXB14" s="2617"/>
      <c r="AXC14" s="2617"/>
      <c r="AXD14" s="2617"/>
      <c r="AXE14" s="2617"/>
      <c r="AXF14" s="2617"/>
      <c r="AXG14" s="2617"/>
      <c r="AXH14" s="2617"/>
      <c r="AXI14" s="2617"/>
      <c r="AXJ14" s="2617"/>
      <c r="AXK14" s="2617"/>
      <c r="AYV14" s="2622"/>
      <c r="AYW14" s="2622"/>
      <c r="AYX14" s="2622"/>
      <c r="AYY14" s="2622"/>
      <c r="AYZ14" s="2622"/>
      <c r="AZA14" s="2622"/>
      <c r="AZB14" s="2622"/>
      <c r="AZC14" s="2622"/>
      <c r="AZD14" s="2622"/>
      <c r="AZE14" s="2622"/>
      <c r="AZF14" s="2622"/>
      <c r="AZG14" s="2622"/>
      <c r="AZH14" s="2622"/>
      <c r="AZI14" s="2622"/>
      <c r="AZJ14" s="2622"/>
      <c r="AZK14" s="2622"/>
      <c r="AZL14" s="2622"/>
      <c r="AZM14" s="2622"/>
      <c r="AZN14" s="2622"/>
      <c r="AZO14" s="2622"/>
      <c r="AZP14" s="2622"/>
      <c r="AZQ14" s="2622"/>
      <c r="AZR14" s="2622"/>
      <c r="AZS14" s="2622"/>
      <c r="AZT14" s="2622"/>
      <c r="AZU14" s="2622"/>
      <c r="AZX14" s="2622"/>
      <c r="AZY14" s="2622"/>
      <c r="AZZ14" s="2622"/>
      <c r="BAA14" s="2622"/>
      <c r="BAB14" s="2622"/>
      <c r="BAC14" s="2622"/>
      <c r="BAD14" s="2622"/>
      <c r="BAE14" s="2622"/>
      <c r="BAF14" s="2622"/>
      <c r="BAG14" s="2622"/>
      <c r="BAH14" s="2622"/>
      <c r="BAI14" s="2622"/>
      <c r="BAL14" s="2622"/>
      <c r="BAM14" s="2622"/>
      <c r="BAN14" s="2622"/>
      <c r="BAO14" s="2622"/>
      <c r="BAP14" s="2622"/>
      <c r="BAQ14" s="2622"/>
      <c r="BAT14" s="2622"/>
      <c r="BAU14" s="2622"/>
      <c r="BAV14" s="2622"/>
      <c r="BAW14" s="2622"/>
      <c r="BAX14" s="2622"/>
      <c r="BAY14" s="2622"/>
      <c r="BAZ14" s="2622"/>
      <c r="BBA14" s="2622"/>
      <c r="BBB14" s="2622"/>
      <c r="BBC14" s="2622"/>
      <c r="BBD14" s="2622"/>
      <c r="BBE14" s="2622"/>
      <c r="BBF14" s="2622"/>
      <c r="BBG14" s="2622"/>
      <c r="BBH14" s="2622"/>
      <c r="BBK14" s="2622"/>
      <c r="BCJ14" s="2617"/>
      <c r="BCK14" s="2617"/>
      <c r="BCL14" s="2617"/>
      <c r="BCM14" s="2617"/>
      <c r="BCN14" s="2617"/>
      <c r="BCO14" s="2617"/>
      <c r="BCP14" s="2617"/>
      <c r="BCQ14" s="2617"/>
      <c r="BCR14" s="2617"/>
      <c r="BCS14" s="2617"/>
      <c r="BCT14" s="2617"/>
      <c r="BCU14" s="2617"/>
      <c r="BCV14" s="2617"/>
      <c r="BCW14" s="2617"/>
      <c r="BCX14" s="2617"/>
      <c r="BCY14" s="2617"/>
      <c r="BCZ14" s="2617"/>
      <c r="BDA14" s="2617"/>
      <c r="BDB14" s="2617"/>
      <c r="BDC14" s="2617"/>
      <c r="BDD14" s="2617"/>
      <c r="BDE14" s="2617"/>
      <c r="BDF14" s="2617"/>
      <c r="BDG14" s="2617"/>
      <c r="BDH14" s="2617"/>
      <c r="BDI14" s="2617"/>
      <c r="BDL14" s="2617"/>
      <c r="BDM14" s="2617"/>
      <c r="BDN14" s="2617"/>
      <c r="BDO14" s="2617"/>
      <c r="BDP14" s="2617"/>
      <c r="BDQ14" s="2617"/>
      <c r="BDR14" s="2617"/>
      <c r="BDS14" s="2617"/>
      <c r="BDT14" s="2617"/>
      <c r="BDU14" s="2617"/>
      <c r="BDV14" s="2617"/>
      <c r="BDW14" s="2617"/>
      <c r="BDZ14" s="2617"/>
      <c r="BEA14" s="2617"/>
      <c r="BEB14" s="2617"/>
      <c r="BEC14" s="2617"/>
      <c r="BED14" s="2617"/>
      <c r="BEE14" s="2617"/>
      <c r="BEH14" s="2617"/>
    </row>
    <row r="15" spans="1:1490" ht="19.5" x14ac:dyDescent="0.3">
      <c r="P15" s="842"/>
      <c r="Q15" s="842"/>
      <c r="R15" s="842"/>
      <c r="U15" s="5586"/>
      <c r="V15" s="5586"/>
      <c r="W15" s="5586"/>
      <c r="X15" s="5586"/>
      <c r="Y15" s="5586"/>
      <c r="Z15" s="5586"/>
      <c r="AA15" s="5586"/>
      <c r="ZI15" s="2622"/>
      <c r="ZJ15" s="2622"/>
      <c r="ZK15" s="2622"/>
      <c r="ZL15" s="2622"/>
      <c r="ZM15" s="2622"/>
      <c r="ZN15" s="2622"/>
      <c r="ZO15" s="2622"/>
      <c r="ZP15" s="2622"/>
      <c r="ZQ15" s="2622"/>
      <c r="ZR15" s="2622"/>
      <c r="ZS15" s="2622"/>
      <c r="ZT15" s="2622"/>
      <c r="ZU15" s="2622"/>
      <c r="ZV15" s="2622"/>
      <c r="ZW15" s="2622"/>
      <c r="ZX15" s="2622"/>
      <c r="ZY15" s="2622"/>
      <c r="ZZ15" s="2622"/>
      <c r="AAA15" s="2622"/>
      <c r="AAB15" s="2622"/>
      <c r="AAC15" s="2622"/>
      <c r="AAD15" s="2622"/>
      <c r="AAE15" s="2622"/>
      <c r="AAF15" s="2622"/>
      <c r="AAG15" s="2622"/>
      <c r="AAH15" s="2622"/>
      <c r="AAI15" s="2622"/>
      <c r="AAJ15" s="2622"/>
      <c r="AAK15" s="2622"/>
      <c r="AAL15" s="2622"/>
      <c r="AAM15" s="2622"/>
      <c r="AAN15" s="2622"/>
      <c r="AAO15" s="2622"/>
      <c r="AAP15" s="2622"/>
      <c r="AAQ15" s="2622"/>
      <c r="AAR15" s="2622"/>
      <c r="AAS15" s="2622"/>
      <c r="AAT15" s="2622"/>
      <c r="AAU15" s="2622"/>
      <c r="AAV15" s="2622"/>
      <c r="AAW15" s="2622"/>
      <c r="AAX15" s="2622"/>
      <c r="AAY15" s="2622"/>
      <c r="AAZ15" s="2622"/>
      <c r="ABA15" s="2622"/>
      <c r="ABB15" s="2737"/>
      <c r="ABC15" s="2737"/>
      <c r="ABD15" s="2737"/>
      <c r="ABE15" s="2737"/>
      <c r="ABF15" s="2737"/>
      <c r="ABG15" s="2737"/>
      <c r="ABH15" s="2737"/>
      <c r="ABI15" s="2737"/>
      <c r="ABJ15" s="2622"/>
      <c r="ABK15" s="2622"/>
      <c r="ABL15" s="2737"/>
      <c r="ABM15" s="2737"/>
      <c r="ABN15" s="2737"/>
      <c r="ABO15" s="2737"/>
      <c r="ABP15" s="2737"/>
      <c r="ABQ15" s="2737"/>
      <c r="ABR15" s="2737"/>
      <c r="ABS15" s="2737"/>
      <c r="ABT15" s="2737"/>
      <c r="ABU15" s="2737"/>
      <c r="ABV15" s="2737"/>
      <c r="ABW15" s="2737"/>
      <c r="ABX15" s="2737"/>
      <c r="ABY15" s="2737"/>
      <c r="ABZ15" s="2737"/>
      <c r="ACA15" s="2737"/>
      <c r="ACB15" s="2737"/>
      <c r="ACC15" s="2737"/>
      <c r="ACD15" s="2737"/>
      <c r="ACE15" s="2622"/>
      <c r="ACF15" s="2737"/>
      <c r="ACG15" s="2737"/>
      <c r="ACH15" s="2737"/>
      <c r="ACI15" s="2737"/>
      <c r="ACJ15" s="2737"/>
      <c r="ACK15" s="2737"/>
      <c r="ACL15" s="2737"/>
      <c r="ACM15" s="2737"/>
      <c r="ACN15" s="2622"/>
      <c r="ACO15" s="2737"/>
      <c r="ACP15" s="2737"/>
      <c r="ACQ15" s="2737"/>
      <c r="ACR15" s="2737"/>
      <c r="ACS15" s="2737"/>
      <c r="ACT15" s="2737"/>
      <c r="ACU15" s="2737"/>
      <c r="ACV15" s="2737"/>
      <c r="ACW15" s="2622"/>
      <c r="ACX15" s="2737"/>
      <c r="ACY15" s="2737"/>
      <c r="ACZ15" s="2737"/>
      <c r="ADA15" s="2737"/>
      <c r="ADB15" s="2737"/>
      <c r="ADC15" s="2737"/>
      <c r="ADD15" s="2737"/>
      <c r="ADE15" s="2737"/>
      <c r="ADF15" s="2737"/>
      <c r="ADH15" s="2737"/>
      <c r="ADI15" s="2737"/>
      <c r="ADJ15" s="2737"/>
      <c r="ADK15" s="2737"/>
      <c r="ADL15" s="2737"/>
      <c r="ADM15" s="2737"/>
      <c r="ADN15" s="2737"/>
      <c r="ADO15" s="2737"/>
      <c r="ADQ15" s="2737"/>
      <c r="ADR15" s="2737"/>
      <c r="ADS15" s="2737"/>
      <c r="ADT15" s="2737"/>
      <c r="ADU15" s="2737"/>
      <c r="ADV15" s="2737"/>
      <c r="ADW15" s="2737"/>
      <c r="ADX15" s="2737"/>
      <c r="ADY15" s="2737"/>
      <c r="ADZ15" s="2737"/>
      <c r="AEA15" s="2737"/>
      <c r="AEB15" s="2737"/>
      <c r="AEC15" s="2737"/>
      <c r="AED15" s="2737"/>
      <c r="AEE15" s="2737"/>
      <c r="AEF15" s="2737"/>
      <c r="AEG15" s="2737"/>
      <c r="AEH15" s="2737"/>
      <c r="AEI15" s="2737"/>
      <c r="AEJ15" s="2737"/>
      <c r="AEK15" s="2737"/>
      <c r="AEL15" s="2737"/>
      <c r="AEM15" s="2737"/>
      <c r="AEN15" s="2737"/>
      <c r="AEO15" s="2737"/>
      <c r="AEP15" s="2737"/>
      <c r="AEQ15" s="2737"/>
      <c r="AER15" s="2737"/>
      <c r="AES15" s="2737"/>
      <c r="AET15" s="2737"/>
      <c r="AEU15" s="2737"/>
      <c r="AEV15" s="2737"/>
      <c r="AEW15" s="2737"/>
      <c r="AEX15" s="2737"/>
      <c r="AFG15" s="2737"/>
      <c r="AFP15" s="2737"/>
      <c r="AGI15" s="2737"/>
      <c r="AGN15" s="2622"/>
      <c r="AGR15" s="2737"/>
      <c r="AHB15" s="2737"/>
      <c r="AHJ15" s="2737"/>
      <c r="AHV15" s="2737"/>
      <c r="AHY15" s="2622"/>
      <c r="AII15" s="2622"/>
      <c r="AIJ15" s="2622"/>
      <c r="AIR15" s="2622"/>
      <c r="AIS15" s="2622"/>
      <c r="AJP15" s="2737"/>
      <c r="AKD15" s="2737"/>
      <c r="AKU15" s="2622"/>
      <c r="ALL15" s="2622"/>
      <c r="ALM15" s="2737"/>
      <c r="ALW15" s="2737"/>
      <c r="ALX15" s="2737"/>
      <c r="AMG15" s="2737"/>
      <c r="AOI15" s="2737"/>
      <c r="AOV15" s="4124"/>
      <c r="AOW15" s="5162"/>
      <c r="AOX15" s="5162"/>
      <c r="AOY15" s="5162"/>
      <c r="AOZ15" s="5162"/>
      <c r="APA15" s="5162"/>
      <c r="APB15" s="5162"/>
      <c r="APC15" s="5162"/>
      <c r="APD15" s="5162"/>
      <c r="APE15" s="5162"/>
      <c r="APT15" s="2737"/>
      <c r="AQE15" s="2622"/>
      <c r="ARE15" s="2622"/>
      <c r="ASA15" s="2622"/>
      <c r="ASJ15" s="2622"/>
      <c r="ASK15" s="2737"/>
      <c r="ASL15" s="2737"/>
      <c r="ASM15" s="2737"/>
      <c r="ASN15" s="2737"/>
      <c r="ASO15" s="2737"/>
      <c r="ASP15" s="2737"/>
      <c r="ASQ15" s="2737"/>
      <c r="ASR15" s="2737"/>
      <c r="ASS15" s="2737"/>
      <c r="ATA15" s="2622"/>
      <c r="ATB15" s="2622"/>
      <c r="ATC15" s="2982" t="s">
        <v>993</v>
      </c>
      <c r="ATD15" s="2982" t="s">
        <v>154</v>
      </c>
      <c r="ATE15" s="2622"/>
      <c r="ATF15" s="2622"/>
      <c r="ATG15" s="2622"/>
      <c r="ATH15" s="2622"/>
      <c r="ATI15" s="2622"/>
      <c r="ATJ15" s="2622"/>
      <c r="ATK15" s="2622"/>
      <c r="ATL15" s="1665" t="s">
        <v>1496</v>
      </c>
      <c r="ATM15" s="181"/>
      <c r="ATN15" s="181"/>
      <c r="ATO15" s="181"/>
      <c r="ATP15" s="2622"/>
      <c r="ATQ15" s="2622"/>
      <c r="ATR15" s="2617"/>
      <c r="ATT15" s="2622"/>
      <c r="ATU15" s="2622"/>
      <c r="ATV15" s="2622"/>
      <c r="ATW15" s="2622"/>
      <c r="ATX15" s="2617"/>
      <c r="ATY15" s="2617"/>
      <c r="ATZ15" s="2617"/>
      <c r="AUA15" s="3458"/>
      <c r="AUB15" s="3458"/>
      <c r="AUC15" s="3458"/>
      <c r="AUD15" s="3458"/>
      <c r="AUE15" s="3458"/>
      <c r="AUF15" s="3458"/>
      <c r="AUG15" s="3458"/>
      <c r="AUH15" s="3458"/>
      <c r="AUI15" s="3458"/>
      <c r="AUJ15" s="3458"/>
      <c r="AUK15" s="3458"/>
      <c r="AUL15" s="3458"/>
      <c r="AUM15" s="2617"/>
      <c r="AUN15" s="2617"/>
      <c r="AUO15" s="2617"/>
      <c r="AUP15" s="2617"/>
      <c r="AUQ15" s="2617"/>
      <c r="AUR15" s="2617"/>
      <c r="AUS15" s="2617"/>
      <c r="AUT15" s="2617"/>
      <c r="AUU15" s="2617"/>
      <c r="AUV15" s="2617"/>
      <c r="AUW15" s="181"/>
      <c r="AUX15" s="181"/>
      <c r="AUY15" s="181"/>
      <c r="AUZ15" s="181"/>
      <c r="AVA15" s="181"/>
      <c r="AVB15" s="181"/>
      <c r="AVC15" s="181"/>
      <c r="AVD15" s="181"/>
      <c r="AVE15" s="181"/>
      <c r="AVF15" s="181"/>
      <c r="AVG15" s="181"/>
      <c r="AVH15" s="181"/>
      <c r="AVI15" s="181"/>
      <c r="AVJ15" s="181"/>
      <c r="AVK15" s="181"/>
      <c r="AVL15" s="181"/>
      <c r="AVM15" s="181"/>
      <c r="AVN15" s="181"/>
      <c r="AVO15" s="181"/>
      <c r="AVP15" s="2617"/>
      <c r="AVQ15" s="2617"/>
      <c r="AVR15" s="2617"/>
      <c r="AVS15" s="2617"/>
      <c r="AVT15" s="2617"/>
      <c r="AVU15" s="2617"/>
      <c r="AVV15" s="2617"/>
      <c r="AVW15" s="2617"/>
      <c r="AVX15" s="2617"/>
      <c r="AVY15" s="2617"/>
      <c r="AVZ15" s="2617"/>
      <c r="AWA15" s="2617"/>
      <c r="AWB15" s="2617"/>
      <c r="AWC15" s="2617"/>
      <c r="AWD15" s="2617"/>
      <c r="AWE15" s="2617"/>
      <c r="AWF15" s="2617"/>
      <c r="AWG15" s="2617"/>
      <c r="AWH15" s="2617"/>
      <c r="AWI15" s="2617"/>
      <c r="AWJ15" s="2617"/>
      <c r="AWK15" s="2617"/>
      <c r="AWL15" s="2617"/>
      <c r="AWM15" s="2617"/>
      <c r="AWN15" s="2617"/>
      <c r="AWO15" s="2617"/>
      <c r="AWP15" s="2617"/>
      <c r="AWQ15" s="2617"/>
      <c r="AWR15" s="2617"/>
      <c r="AWS15" s="2617"/>
      <c r="AWT15" s="2617"/>
      <c r="AWU15" s="2617"/>
      <c r="AWV15" s="2617"/>
      <c r="AWW15" s="2617"/>
      <c r="AWX15" s="2617"/>
      <c r="AWY15" s="2617"/>
      <c r="AWZ15" s="2617"/>
      <c r="AXA15" s="2617"/>
      <c r="AXB15" s="2617"/>
      <c r="AXC15" s="2617"/>
      <c r="AXD15" s="2617"/>
      <c r="AXE15" s="2617"/>
      <c r="AXF15" s="2617"/>
      <c r="AXG15" s="2617"/>
      <c r="AXH15" s="2617"/>
      <c r="AXI15" s="2617"/>
      <c r="AXJ15" s="2617"/>
      <c r="AXK15" s="2617"/>
      <c r="AYV15" s="2622"/>
      <c r="AYW15" s="2622"/>
      <c r="AYX15" s="2622"/>
      <c r="AYY15" s="2622"/>
      <c r="AYZ15" s="2622"/>
      <c r="AZA15" s="2622"/>
      <c r="AZB15" s="2622"/>
      <c r="AZC15" s="2622"/>
      <c r="AZD15" s="2622"/>
      <c r="AZE15" s="2622"/>
      <c r="AZF15" s="2622"/>
      <c r="AZG15" s="2622"/>
      <c r="AZH15" s="2622"/>
      <c r="AZI15" s="2622"/>
      <c r="AZJ15" s="2622"/>
      <c r="AZK15" s="2622"/>
      <c r="AZL15" s="2622"/>
      <c r="AZM15" s="2622"/>
      <c r="AZN15" s="2622"/>
      <c r="AZO15" s="2622"/>
      <c r="AZP15" s="2622"/>
      <c r="AZQ15" s="2622"/>
      <c r="AZR15" s="2622"/>
      <c r="AZS15" s="2622"/>
      <c r="AZT15" s="2622"/>
      <c r="AZU15" s="2622"/>
      <c r="AZX15" s="2622"/>
      <c r="AZY15" s="2622"/>
      <c r="AZZ15" s="2622"/>
      <c r="BAA15" s="2622"/>
      <c r="BAB15" s="2622"/>
      <c r="BAC15" s="2622"/>
      <c r="BAD15" s="2622"/>
      <c r="BAE15" s="2622"/>
      <c r="BAF15" s="2622"/>
      <c r="BAG15" s="2622"/>
      <c r="BAH15" s="2622"/>
      <c r="BAI15" s="2622"/>
      <c r="BAL15" s="2622"/>
      <c r="BAM15" s="2622"/>
      <c r="BAN15" s="2622"/>
      <c r="BAO15" s="2622"/>
      <c r="BAP15" s="2622"/>
      <c r="BAQ15" s="2622"/>
      <c r="BAT15" s="2622"/>
      <c r="BAV15" s="2622"/>
      <c r="BAW15" s="2622"/>
      <c r="BAX15" s="2622"/>
      <c r="BAY15" s="2622"/>
      <c r="BAZ15" s="2622"/>
      <c r="BBA15" s="2622"/>
      <c r="BBB15" s="2622"/>
      <c r="BBC15" s="2622"/>
      <c r="BBD15" s="2622"/>
      <c r="BBE15" s="2622"/>
      <c r="BBF15" s="2622"/>
      <c r="BBG15" s="2622"/>
      <c r="BBH15" s="2622"/>
      <c r="BBK15" s="2622"/>
      <c r="BCJ15" s="2617"/>
      <c r="BCK15" s="2617"/>
      <c r="BCL15" s="2617"/>
      <c r="BCM15" s="2617"/>
      <c r="BCN15" s="2617"/>
      <c r="BCO15" s="2617"/>
      <c r="BCP15" s="2617"/>
      <c r="BCQ15" s="2617"/>
      <c r="BCR15" s="2617"/>
      <c r="BCS15" s="2617"/>
      <c r="BCT15" s="2617"/>
      <c r="BCU15" s="2617"/>
      <c r="BCV15" s="2617"/>
      <c r="BCW15" s="2617"/>
      <c r="BCX15" s="2617"/>
      <c r="BCY15" s="2617"/>
      <c r="BCZ15" s="2617"/>
      <c r="BDA15" s="2617"/>
      <c r="BDB15" s="2617"/>
      <c r="BDC15" s="2617"/>
      <c r="BDD15" s="2617"/>
      <c r="BDE15" s="2617"/>
      <c r="BDF15" s="2617"/>
      <c r="BDG15" s="2617"/>
      <c r="BDH15" s="2617"/>
      <c r="BDI15" s="2617"/>
      <c r="BDL15" s="2617"/>
      <c r="BDM15" s="2617"/>
      <c r="BDN15" s="2617"/>
      <c r="BDO15" s="2617"/>
      <c r="BDP15" s="2617"/>
      <c r="BDQ15" s="2617"/>
      <c r="BDR15" s="2617"/>
      <c r="BDS15" s="2617"/>
      <c r="BDT15" s="2617"/>
      <c r="BDU15" s="2617"/>
      <c r="BDV15" s="2617"/>
      <c r="BDW15" s="2617"/>
      <c r="BDZ15" s="2617"/>
      <c r="BEA15" s="2617"/>
      <c r="BEB15" s="2617"/>
      <c r="BEC15" s="2617"/>
      <c r="BED15" s="2617"/>
      <c r="BEE15" s="2617"/>
      <c r="BEH15" s="2617"/>
    </row>
    <row r="16" spans="1:1490" ht="24.75" customHeight="1" x14ac:dyDescent="0.3">
      <c r="B16" s="7229" t="s">
        <v>2546</v>
      </c>
      <c r="C16" s="7229"/>
      <c r="D16" s="7229"/>
      <c r="E16" s="7229"/>
      <c r="F16" s="7229"/>
      <c r="P16" s="5587" t="s">
        <v>2541</v>
      </c>
      <c r="Q16" s="5587"/>
      <c r="R16" s="5587"/>
      <c r="U16" s="7231" t="s">
        <v>2544</v>
      </c>
      <c r="V16" s="7231"/>
      <c r="W16" s="7231"/>
      <c r="X16" s="7231"/>
      <c r="Y16" s="7231"/>
      <c r="Z16" s="7231"/>
      <c r="AA16" s="5586"/>
      <c r="ZI16" s="2622"/>
      <c r="ZJ16" s="2622"/>
      <c r="ZK16" s="2622"/>
      <c r="ZL16" s="2622"/>
      <c r="ZM16" s="2622"/>
      <c r="ZN16" s="2622"/>
      <c r="ZO16" s="2622"/>
      <c r="ZP16" s="2622"/>
      <c r="ZQ16" s="2622"/>
      <c r="ZR16" s="2622"/>
      <c r="ZS16" s="2622"/>
      <c r="ZT16" s="2622"/>
      <c r="ZU16" s="2622"/>
      <c r="ZV16" s="2622"/>
      <c r="ZW16" s="2622"/>
      <c r="ZX16" s="2622"/>
      <c r="ZY16" s="2622"/>
      <c r="ZZ16" s="2622"/>
      <c r="AAA16" s="2622"/>
      <c r="AAB16" s="2622"/>
      <c r="AAC16" s="2622"/>
      <c r="AAD16" s="2622"/>
      <c r="AAE16" s="2622"/>
      <c r="AAF16" s="2622"/>
      <c r="AAG16" s="2622"/>
      <c r="AAH16" s="2622"/>
      <c r="AAI16" s="2622"/>
      <c r="AAJ16" s="2622"/>
      <c r="AAK16" s="2622"/>
      <c r="AAL16" s="2622"/>
      <c r="AAM16" s="2622"/>
      <c r="AAN16" s="2622"/>
      <c r="AAO16" s="2622"/>
      <c r="AAP16" s="2622"/>
      <c r="AAQ16" s="2622"/>
      <c r="AAR16" s="2622"/>
      <c r="AAS16" s="2622"/>
      <c r="AAT16" s="2622"/>
      <c r="AAU16" s="2622"/>
      <c r="AAV16" s="2622"/>
      <c r="AAW16" s="2622"/>
      <c r="AAX16" s="2622"/>
      <c r="AAY16" s="2622"/>
      <c r="AAZ16" s="2622"/>
      <c r="ABA16" s="2622"/>
      <c r="ABB16" s="2737"/>
      <c r="ABC16" s="2737"/>
      <c r="ABD16" s="2737"/>
      <c r="ABE16" s="2737"/>
      <c r="ABF16" s="2737"/>
      <c r="ABG16" s="2737"/>
      <c r="ABH16" s="2737"/>
      <c r="ABI16" s="2737"/>
      <c r="ABJ16" s="2622"/>
      <c r="ABK16" s="2622"/>
      <c r="ABL16" s="2737"/>
      <c r="ABM16" s="2737"/>
      <c r="ABN16" s="2737"/>
      <c r="ABO16" s="2737"/>
      <c r="ABP16" s="2737"/>
      <c r="ABQ16" s="2737"/>
      <c r="ABR16" s="2737"/>
      <c r="ABS16" s="2737"/>
      <c r="ABT16" s="2737"/>
      <c r="ABU16" s="2737"/>
      <c r="ABV16" s="2737"/>
      <c r="ABW16" s="2737"/>
      <c r="ABX16" s="2737"/>
      <c r="ABY16" s="2737"/>
      <c r="ABZ16" s="2737"/>
      <c r="ACA16" s="2737"/>
      <c r="ACB16" s="2737"/>
      <c r="ACC16" s="2737"/>
      <c r="ACD16" s="2737"/>
      <c r="ACE16" s="2622"/>
      <c r="ACF16" s="2737"/>
      <c r="ACG16" s="2737"/>
      <c r="ACH16" s="2737"/>
      <c r="ACI16" s="2737"/>
      <c r="ACJ16" s="2737"/>
      <c r="ACK16" s="2737"/>
      <c r="ACL16" s="2737"/>
      <c r="ACM16" s="2737"/>
      <c r="ACN16" s="2622"/>
      <c r="ACO16" s="2737"/>
      <c r="ACP16" s="2737"/>
      <c r="ACQ16" s="2737"/>
      <c r="ACR16" s="2737"/>
      <c r="ACS16" s="2737"/>
      <c r="ACT16" s="2737"/>
      <c r="ACU16" s="2737"/>
      <c r="ACV16" s="2737"/>
      <c r="ACW16" s="2622"/>
      <c r="ACX16" s="2737"/>
      <c r="ACY16" s="2737"/>
      <c r="ACZ16" s="2737"/>
      <c r="ADA16" s="2737"/>
      <c r="ADB16" s="2737"/>
      <c r="ADC16" s="2737"/>
      <c r="ADD16" s="2737"/>
      <c r="ADE16" s="2737"/>
      <c r="ADF16" s="2737"/>
      <c r="ADH16" s="2737"/>
      <c r="ADI16" s="2737"/>
      <c r="ADJ16" s="2737"/>
      <c r="ADK16" s="2737"/>
      <c r="ADL16" s="2737"/>
      <c r="ADM16" s="2737"/>
      <c r="ADN16" s="2737"/>
      <c r="ADO16" s="2737"/>
      <c r="ADQ16" s="2737"/>
      <c r="ADR16" s="2737"/>
      <c r="ADS16" s="2737"/>
      <c r="ADT16" s="2737"/>
      <c r="ADU16" s="2737"/>
      <c r="ADV16" s="2737"/>
      <c r="ADW16" s="2737"/>
      <c r="ADX16" s="2737"/>
      <c r="ADY16" s="2737"/>
      <c r="ADZ16" s="2737"/>
      <c r="AEA16" s="2737"/>
      <c r="AEB16" s="2737"/>
      <c r="AEC16" s="2737"/>
      <c r="AED16" s="2737"/>
      <c r="AEE16" s="2737"/>
      <c r="AEF16" s="2737"/>
      <c r="AEG16" s="2737"/>
      <c r="AEH16" s="2737"/>
      <c r="AEI16" s="2737"/>
      <c r="AEJ16" s="2737"/>
      <c r="AEK16" s="2737"/>
      <c r="AEL16" s="2737"/>
      <c r="AEM16" s="2737"/>
      <c r="AEN16" s="2737"/>
      <c r="AEO16" s="2737"/>
      <c r="AEP16" s="2737"/>
      <c r="AEQ16" s="2737"/>
      <c r="AER16" s="2737"/>
      <c r="AES16" s="2737"/>
      <c r="AET16" s="2737"/>
      <c r="AEU16" s="2737"/>
      <c r="AEV16" s="2737"/>
      <c r="AEW16" s="2737"/>
      <c r="AEX16" s="2737"/>
      <c r="AFG16" s="2737"/>
      <c r="AFP16" s="2737"/>
      <c r="AGI16" s="2737"/>
      <c r="AGN16" s="2622"/>
      <c r="AGR16" s="2737"/>
      <c r="AHB16" s="2737"/>
      <c r="AHJ16" s="2737"/>
      <c r="AHV16" s="2737"/>
      <c r="AHY16" s="2622"/>
      <c r="AII16" s="2622"/>
      <c r="AIJ16" s="2622"/>
      <c r="AIR16" s="2622"/>
      <c r="AIS16" s="2622"/>
      <c r="AJP16" s="2737"/>
      <c r="AKD16" s="2737"/>
      <c r="AKU16" s="2622"/>
      <c r="ALL16" s="2622"/>
      <c r="ALM16" s="2737"/>
      <c r="ALW16" s="2737"/>
      <c r="ALX16" s="2737"/>
      <c r="AMG16" s="2737"/>
      <c r="AOI16" s="2737"/>
      <c r="AOV16" s="4124"/>
      <c r="AOW16" s="5162"/>
      <c r="AOX16" s="5162"/>
      <c r="AOY16" s="5162"/>
      <c r="AOZ16" s="5162"/>
      <c r="APA16" s="5162"/>
      <c r="APB16" s="5162"/>
      <c r="APC16" s="5162"/>
      <c r="APD16" s="5162"/>
      <c r="APE16" s="5162"/>
      <c r="APT16" s="2737"/>
      <c r="AQE16" s="2622"/>
      <c r="ARE16" s="2622"/>
      <c r="ASA16" s="2622"/>
      <c r="ASJ16" s="2622"/>
      <c r="ASK16" s="2737"/>
      <c r="ASL16" s="2737"/>
      <c r="ASM16" s="2737"/>
      <c r="ASN16" s="2737"/>
      <c r="ASO16" s="2737"/>
      <c r="ASP16" s="2737"/>
      <c r="ASQ16" s="2737"/>
      <c r="ASR16" s="2737"/>
      <c r="ASS16" s="2737"/>
      <c r="ATA16" s="2622"/>
      <c r="ATB16" s="2622"/>
      <c r="ATC16" s="2982" t="s">
        <v>49</v>
      </c>
      <c r="ATD16" s="2982"/>
      <c r="ATE16" s="2622"/>
      <c r="ATF16" s="2622"/>
      <c r="ATG16" s="2622"/>
      <c r="ATH16" s="2622"/>
      <c r="ATI16" s="2622"/>
      <c r="ATJ16" s="2622"/>
      <c r="ATK16" s="2622"/>
      <c r="ATL16" s="2622"/>
      <c r="ATM16" s="2622"/>
      <c r="ATN16" s="2622"/>
      <c r="ATO16" s="2622"/>
      <c r="ATP16" s="2622"/>
      <c r="ATQ16" s="2622"/>
      <c r="ATR16" s="2617"/>
      <c r="ATT16" s="2622"/>
      <c r="ATU16" s="2622"/>
      <c r="ATV16" s="2622"/>
      <c r="ATW16" s="2622"/>
      <c r="ATX16" s="2617"/>
      <c r="ATY16" s="2617"/>
      <c r="ATZ16" s="3458"/>
      <c r="AUA16" s="3458"/>
      <c r="AUB16" s="3458"/>
      <c r="AUC16" s="3458"/>
      <c r="AUD16" s="3458"/>
      <c r="AUE16" s="3458"/>
      <c r="AUF16" s="3458"/>
      <c r="AUG16" s="3458"/>
      <c r="AUH16" s="3458"/>
      <c r="AUI16" s="3458"/>
      <c r="AUJ16" s="3458"/>
      <c r="AUK16" s="3458"/>
      <c r="AUL16" s="3458"/>
      <c r="AUM16" s="2617"/>
      <c r="AUN16" s="2617"/>
      <c r="AUO16" s="2617"/>
      <c r="AUP16" s="2617"/>
      <c r="AUQ16" s="2617"/>
      <c r="AUR16" s="2617"/>
      <c r="AUS16" s="2617"/>
      <c r="AUT16" s="2617"/>
      <c r="AUU16" s="2617"/>
      <c r="AUV16" s="2617"/>
      <c r="AUW16" s="181"/>
      <c r="AUX16" s="181"/>
      <c r="AUY16" s="181"/>
      <c r="AUZ16" s="181"/>
      <c r="AVA16" s="181"/>
      <c r="AVB16" s="181"/>
      <c r="AVC16" s="181"/>
      <c r="AVD16" s="181"/>
      <c r="AVE16" s="181"/>
      <c r="AVF16" s="181"/>
      <c r="AVG16" s="181"/>
      <c r="AVH16" s="181"/>
      <c r="AVI16" s="181"/>
      <c r="AVJ16" s="181"/>
      <c r="AVK16" s="181"/>
      <c r="AVL16" s="181"/>
      <c r="AVM16" s="181"/>
      <c r="AVN16" s="181"/>
      <c r="AVO16" s="181"/>
      <c r="AVP16" s="2617"/>
      <c r="AVQ16" s="2617"/>
      <c r="AVR16" s="2617"/>
      <c r="AVS16" s="2617"/>
      <c r="AVT16" s="2617"/>
      <c r="AVU16" s="2617"/>
      <c r="AVV16" s="2617"/>
      <c r="AVW16" s="2617"/>
      <c r="AVX16" s="2617"/>
      <c r="AVY16" s="2617"/>
      <c r="AVZ16" s="2617"/>
      <c r="AWA16" s="2617"/>
      <c r="AWB16" s="2617"/>
      <c r="AWC16" s="2617"/>
      <c r="AWD16" s="2617"/>
      <c r="AWE16" s="2617"/>
      <c r="AWF16" s="2617"/>
      <c r="AWG16" s="2617"/>
      <c r="AWH16" s="2617"/>
      <c r="AWI16" s="2617"/>
      <c r="AWJ16" s="2617"/>
      <c r="AWK16" s="2617"/>
      <c r="AWL16" s="2617"/>
      <c r="AWM16" s="2617"/>
      <c r="AWN16" s="2617"/>
      <c r="AWO16" s="2617"/>
      <c r="AWP16" s="2617"/>
      <c r="AWQ16" s="2617"/>
      <c r="AWR16" s="2617"/>
      <c r="AWS16" s="2617"/>
      <c r="AWT16" s="2617"/>
      <c r="AWU16" s="2617"/>
      <c r="AWV16" s="2617"/>
      <c r="AWW16" s="2617"/>
      <c r="AWX16" s="2617"/>
      <c r="AWY16" s="2617"/>
      <c r="AWZ16" s="2617"/>
      <c r="AXA16" s="2617"/>
      <c r="AXB16" s="2617"/>
      <c r="AXC16" s="2617"/>
      <c r="AXD16" s="2617"/>
      <c r="AXE16" s="2617"/>
      <c r="AXF16" s="2617"/>
      <c r="AXG16" s="2617"/>
      <c r="AXH16" s="2617"/>
      <c r="AXI16" s="2617"/>
      <c r="AXJ16" s="2617"/>
      <c r="AXK16" s="2617"/>
      <c r="AYV16" s="2622"/>
      <c r="AYW16" s="2622"/>
      <c r="AYX16" s="2622"/>
      <c r="AYY16" s="2622"/>
      <c r="AYZ16" s="2622"/>
      <c r="AZA16" s="2622"/>
      <c r="AZB16" s="2622"/>
      <c r="AZC16" s="2622"/>
      <c r="AZD16" s="2622"/>
      <c r="AZE16" s="2622"/>
      <c r="AZF16" s="2622"/>
      <c r="AZG16" s="2622"/>
      <c r="AZH16" s="2622"/>
      <c r="AZI16" s="2622"/>
      <c r="AZJ16" s="2622"/>
      <c r="AZK16" s="2622"/>
      <c r="AZL16" s="2622"/>
      <c r="AZM16" s="2622"/>
      <c r="AZN16" s="2622"/>
      <c r="AZO16" s="2622"/>
      <c r="AZP16" s="2622"/>
      <c r="AZQ16" s="2622"/>
      <c r="AZR16" s="2622"/>
      <c r="AZS16" s="2622"/>
      <c r="AZT16" s="2622"/>
      <c r="AZU16" s="2622"/>
      <c r="AZX16" s="2622"/>
      <c r="AZY16" s="2622"/>
      <c r="AZZ16" s="2622"/>
      <c r="BAA16" s="2622"/>
      <c r="BAB16" s="2622"/>
      <c r="BAC16" s="2622"/>
      <c r="BAD16" s="2622"/>
      <c r="BAE16" s="2622"/>
      <c r="BAF16" s="2622"/>
      <c r="BAG16" s="2622"/>
      <c r="BAH16" s="2622"/>
      <c r="BAI16" s="2622"/>
      <c r="BAL16" s="2622"/>
      <c r="BAM16" s="2622"/>
      <c r="BAN16" s="2622"/>
      <c r="BAO16" s="2622"/>
      <c r="BAP16" s="2622"/>
      <c r="BAQ16" s="2622"/>
      <c r="BAT16" s="2622"/>
      <c r="BAU16" s="2776" t="s">
        <v>950</v>
      </c>
      <c r="BAV16" s="2777"/>
      <c r="BAW16" s="2777"/>
      <c r="BAX16" s="2622"/>
      <c r="BAY16" s="2622"/>
      <c r="BAZ16" s="2622"/>
      <c r="BBA16" s="2622"/>
      <c r="BBB16" s="2622"/>
      <c r="BBC16" s="2622"/>
      <c r="BBD16" s="2622"/>
      <c r="BBE16" s="2622"/>
      <c r="BBF16" s="2622"/>
      <c r="BBG16" s="2622"/>
      <c r="BBH16" s="2622"/>
      <c r="BBK16" s="2622"/>
      <c r="BCJ16" s="2617"/>
      <c r="BCK16" s="2617"/>
      <c r="BCL16" s="2617"/>
      <c r="BCM16" s="2617"/>
      <c r="BCN16" s="2617"/>
      <c r="BCO16" s="2617"/>
      <c r="BCP16" s="2617"/>
      <c r="BCQ16" s="2617"/>
      <c r="BCR16" s="2617"/>
      <c r="BCS16" s="2617"/>
      <c r="BCT16" s="2617"/>
      <c r="BCU16" s="2617"/>
      <c r="BCV16" s="2617"/>
      <c r="BCW16" s="2617"/>
      <c r="BCX16" s="2617"/>
      <c r="BCY16" s="2617"/>
      <c r="BCZ16" s="2617"/>
      <c r="BDA16" s="2617"/>
      <c r="BDB16" s="2617"/>
      <c r="BDC16" s="2617"/>
      <c r="BDD16" s="2617"/>
      <c r="BDE16" s="2617"/>
      <c r="BDF16" s="2617"/>
      <c r="BDG16" s="2617"/>
      <c r="BDH16" s="2617"/>
      <c r="BDI16" s="2617"/>
      <c r="BDL16" s="2617"/>
      <c r="BDM16" s="2617"/>
      <c r="BDN16" s="2617"/>
      <c r="BDO16" s="2617"/>
      <c r="BDP16" s="2617"/>
      <c r="BDQ16" s="2617"/>
      <c r="BDR16" s="2617"/>
      <c r="BDS16" s="2617"/>
      <c r="BDT16" s="2617"/>
      <c r="BDU16" s="2617"/>
      <c r="BDV16" s="2617"/>
      <c r="BDW16" s="2617"/>
      <c r="BDZ16" s="2617"/>
      <c r="BEA16" s="2617"/>
      <c r="BEB16" s="2617"/>
      <c r="BEC16" s="2617"/>
      <c r="BED16" s="2617"/>
      <c r="BEE16" s="2617"/>
      <c r="BEH16" s="2617"/>
    </row>
    <row r="17" spans="1:1490" ht="19.5" x14ac:dyDescent="0.3">
      <c r="P17" s="842"/>
      <c r="Q17" s="842"/>
      <c r="R17" s="842"/>
      <c r="U17" s="7231"/>
      <c r="V17" s="7231"/>
      <c r="W17" s="7231"/>
      <c r="X17" s="7231"/>
      <c r="Y17" s="7231"/>
      <c r="Z17" s="7231"/>
      <c r="ZI17" s="2622"/>
      <c r="ZJ17" s="2622"/>
      <c r="ZK17" s="2622"/>
      <c r="ZL17" s="2622"/>
      <c r="ZM17" s="2622"/>
      <c r="ZN17" s="2622"/>
      <c r="ZO17" s="2622"/>
      <c r="ZP17" s="2622"/>
      <c r="ZQ17" s="2622"/>
      <c r="ZR17" s="2622"/>
      <c r="ZS17" s="2622"/>
      <c r="ZT17" s="2622"/>
      <c r="ZU17" s="2622"/>
      <c r="ZV17" s="2622"/>
      <c r="ZW17" s="2622"/>
      <c r="ZX17" s="2622"/>
      <c r="ZY17" s="2622"/>
      <c r="ZZ17" s="2622"/>
      <c r="AAA17" s="2622"/>
      <c r="AAB17" s="2622"/>
      <c r="AAC17" s="2622"/>
      <c r="AAD17" s="2622"/>
      <c r="AAE17" s="2622"/>
      <c r="AAF17" s="2622"/>
      <c r="AAG17" s="2622"/>
      <c r="AAH17" s="2622"/>
      <c r="AAI17" s="2622"/>
      <c r="AAJ17" s="2622"/>
      <c r="AAK17" s="2622"/>
      <c r="AAL17" s="2622"/>
      <c r="AAM17" s="2622"/>
      <c r="AAN17" s="2622"/>
      <c r="AAO17" s="2622"/>
      <c r="AAP17" s="2622"/>
      <c r="AAQ17" s="2622"/>
      <c r="AAR17" s="2622"/>
      <c r="AAS17" s="2622"/>
      <c r="AAT17" s="2622"/>
      <c r="AAU17" s="2622"/>
      <c r="AAV17" s="2622"/>
      <c r="AAW17" s="2622"/>
      <c r="AAX17" s="2622"/>
      <c r="AAY17" s="2622"/>
      <c r="AAZ17" s="2622"/>
      <c r="ABA17" s="2622"/>
      <c r="ABB17" s="2737"/>
      <c r="ABC17" s="2737"/>
      <c r="ABD17" s="2737"/>
      <c r="ABE17" s="2737"/>
      <c r="ABF17" s="2737"/>
      <c r="ABG17" s="2737"/>
      <c r="ABH17" s="2737"/>
      <c r="ABI17" s="2737"/>
      <c r="ABJ17" s="2622"/>
      <c r="ABK17" s="2622"/>
      <c r="ABL17" s="2737"/>
      <c r="ABM17" s="2737"/>
      <c r="ABN17" s="2737"/>
      <c r="ABO17" s="2737"/>
      <c r="ABP17" s="2737"/>
      <c r="ABQ17" s="2737"/>
      <c r="ABR17" s="2737"/>
      <c r="ABS17" s="2737"/>
      <c r="ABT17" s="2737"/>
      <c r="ABU17" s="2737"/>
      <c r="ABV17" s="2737"/>
      <c r="ABW17" s="2737"/>
      <c r="ABX17" s="2737"/>
      <c r="ABY17" s="2737"/>
      <c r="ABZ17" s="2737"/>
      <c r="ACA17" s="2737"/>
      <c r="ACB17" s="2737"/>
      <c r="ACC17" s="2737"/>
      <c r="ACD17" s="2737"/>
      <c r="ACE17" s="2622"/>
      <c r="ACF17" s="2737"/>
      <c r="ACG17" s="2737"/>
      <c r="ACH17" s="2737"/>
      <c r="ACI17" s="2737"/>
      <c r="ACJ17" s="2737"/>
      <c r="ACK17" s="2737"/>
      <c r="ACL17" s="2737"/>
      <c r="ACM17" s="2737"/>
      <c r="ACN17" s="2622"/>
      <c r="ACO17" s="2737"/>
      <c r="ACP17" s="2737"/>
      <c r="ACQ17" s="2737"/>
      <c r="ACR17" s="2737"/>
      <c r="ACS17" s="2737"/>
      <c r="ACT17" s="2737"/>
      <c r="ACU17" s="2737"/>
      <c r="ACV17" s="2737"/>
      <c r="ACW17" s="2622"/>
      <c r="ACX17" s="2737"/>
      <c r="ACY17" s="2737"/>
      <c r="ACZ17" s="2737"/>
      <c r="ADA17" s="2737"/>
      <c r="ADB17" s="2737"/>
      <c r="ADC17" s="2737"/>
      <c r="ADD17" s="2737"/>
      <c r="ADE17" s="2737"/>
      <c r="ADF17" s="2737"/>
      <c r="ADH17" s="2737"/>
      <c r="ADI17" s="2737"/>
      <c r="ADJ17" s="2737"/>
      <c r="ADK17" s="2737"/>
      <c r="ADL17" s="2737"/>
      <c r="ADM17" s="2737"/>
      <c r="ADN17" s="2737"/>
      <c r="ADO17" s="2737"/>
      <c r="ADQ17" s="2737"/>
      <c r="ADR17" s="2737"/>
      <c r="ADS17" s="2737"/>
      <c r="ADT17" s="2737"/>
      <c r="ADU17" s="2737"/>
      <c r="ADV17" s="2737"/>
      <c r="ADW17" s="2737"/>
      <c r="ADX17" s="2737"/>
      <c r="ADY17" s="2737"/>
      <c r="ADZ17" s="2737"/>
      <c r="AEA17" s="2737"/>
      <c r="AEB17" s="2737"/>
      <c r="AEC17" s="2737"/>
      <c r="AED17" s="2737"/>
      <c r="AEE17" s="2737"/>
      <c r="AEF17" s="2737"/>
      <c r="AEG17" s="2737"/>
      <c r="AEH17" s="2737"/>
      <c r="AEI17" s="2737"/>
      <c r="AEJ17" s="2737"/>
      <c r="AEK17" s="2737"/>
      <c r="AEL17" s="2737"/>
      <c r="AEM17" s="2737"/>
      <c r="AEN17" s="2737"/>
      <c r="AEO17" s="2737"/>
      <c r="AEP17" s="2737"/>
      <c r="AEQ17" s="2737"/>
      <c r="AER17" s="2737"/>
      <c r="AES17" s="2737"/>
      <c r="AET17" s="2737"/>
      <c r="AEU17" s="2737"/>
      <c r="AEV17" s="2737"/>
      <c r="AEW17" s="2737"/>
      <c r="AEX17" s="2737"/>
      <c r="AFG17" s="2737"/>
      <c r="AFP17" s="2737"/>
      <c r="AGI17" s="2737"/>
      <c r="AGN17" s="2622"/>
      <c r="AGR17" s="2737"/>
      <c r="AHB17" s="2737"/>
      <c r="AHJ17" s="2737"/>
      <c r="AHV17" s="2737"/>
      <c r="AHY17" s="2622"/>
      <c r="AII17" s="2622"/>
      <c r="AIJ17" s="2622"/>
      <c r="AIR17" s="2622"/>
      <c r="AIS17" s="2622"/>
      <c r="AJP17" s="2737"/>
      <c r="AKD17" s="2737"/>
      <c r="AKU17" s="2622"/>
      <c r="ALL17" s="2622"/>
      <c r="ALM17" s="2737"/>
      <c r="ALW17" s="2737"/>
      <c r="ALX17" s="2737"/>
      <c r="AMG17" s="2737"/>
      <c r="AOI17" s="2737"/>
      <c r="AOV17" s="4124"/>
      <c r="AOW17" s="5162"/>
      <c r="AOX17" s="5162"/>
      <c r="AOY17" s="5162"/>
      <c r="AOZ17" s="5162"/>
      <c r="APA17" s="5162"/>
      <c r="APB17" s="5162"/>
      <c r="APC17" s="5162"/>
      <c r="APD17" s="5162"/>
      <c r="APE17" s="5162"/>
      <c r="APT17" s="2737"/>
      <c r="AQE17" s="2622"/>
      <c r="ARE17" s="2622"/>
      <c r="ASA17" s="2622"/>
      <c r="ASJ17" s="2622"/>
      <c r="ASK17" s="2737"/>
      <c r="ASL17" s="2737"/>
      <c r="ASM17" s="2737"/>
      <c r="ASN17" s="2737"/>
      <c r="ASO17" s="2737"/>
      <c r="ASP17" s="2737"/>
      <c r="ASQ17" s="2737"/>
      <c r="ASR17" s="2737"/>
      <c r="ASS17" s="2737"/>
      <c r="ATA17" s="2622"/>
      <c r="ATB17" s="2622"/>
      <c r="ATC17" s="2982" t="s">
        <v>994</v>
      </c>
      <c r="ATD17" s="2982"/>
      <c r="ATE17" s="2622"/>
      <c r="ATF17" s="2622"/>
      <c r="ATG17" s="2622"/>
      <c r="ATH17" s="2622"/>
      <c r="ATI17" s="2622"/>
      <c r="ATJ17" s="2622"/>
      <c r="ATK17" s="2622"/>
      <c r="ATL17" s="2622"/>
      <c r="ATM17" s="2622"/>
      <c r="ATN17" s="2622"/>
      <c r="ATO17" s="2622"/>
      <c r="ATP17" s="2622"/>
      <c r="ATQ17" s="2622"/>
      <c r="ATR17" s="2617"/>
      <c r="ATT17" s="2622"/>
      <c r="ATU17" s="2622"/>
      <c r="ATV17" s="2622"/>
      <c r="ATW17" s="2622"/>
      <c r="ATX17" s="2617"/>
      <c r="ATY17" s="2617"/>
      <c r="ATZ17" s="3458"/>
      <c r="AUA17" s="3458"/>
      <c r="AUB17" s="3458"/>
      <c r="AUC17" s="3458"/>
      <c r="AUD17" s="3458"/>
      <c r="AUE17" s="3458"/>
      <c r="AUF17" s="3458"/>
      <c r="AUG17" s="3458"/>
      <c r="AUH17" s="3458"/>
      <c r="AUI17" s="3458"/>
      <c r="AUJ17" s="3458"/>
      <c r="AUK17" s="3458"/>
      <c r="AUL17" s="3458"/>
      <c r="AUM17" s="2617"/>
      <c r="AUN17" s="2617"/>
      <c r="AUO17" s="2617"/>
      <c r="AUP17" s="2617"/>
      <c r="AUQ17" s="2617"/>
      <c r="AUR17" s="2617"/>
      <c r="AUS17" s="2617"/>
      <c r="AUT17" s="2617"/>
      <c r="AUU17" s="2617"/>
      <c r="AUV17" s="2617"/>
      <c r="AUW17" s="181"/>
      <c r="AUX17" s="181"/>
      <c r="AUY17" s="181"/>
      <c r="AUZ17" s="181"/>
      <c r="AVA17" s="181"/>
      <c r="AVB17" s="181"/>
      <c r="AVC17" s="181"/>
      <c r="AVD17" s="181"/>
      <c r="AVE17" s="181"/>
      <c r="AVF17" s="181"/>
      <c r="AVG17" s="181"/>
      <c r="AVH17" s="181"/>
      <c r="AVI17" s="181"/>
      <c r="AVJ17" s="181"/>
      <c r="AVK17" s="181"/>
      <c r="AVL17" s="181"/>
      <c r="AVM17" s="181"/>
      <c r="AVN17" s="181"/>
      <c r="AVO17" s="181"/>
      <c r="AVP17" s="2617"/>
      <c r="AVQ17" s="2617"/>
      <c r="AVR17" s="2617"/>
      <c r="AVS17" s="2617"/>
      <c r="AVT17" s="2617"/>
      <c r="AVU17" s="2617"/>
      <c r="AVV17" s="2617"/>
      <c r="AVW17" s="2617"/>
      <c r="AVX17" s="2617"/>
      <c r="AVY17" s="2617"/>
      <c r="AVZ17" s="2617"/>
      <c r="AWA17" s="2617"/>
      <c r="AWB17" s="2617"/>
      <c r="AWC17" s="2617"/>
      <c r="AWD17" s="2617"/>
      <c r="AWE17" s="2617"/>
      <c r="AWF17" s="2617"/>
      <c r="AWG17" s="2617"/>
      <c r="AWH17" s="2617"/>
      <c r="AWI17" s="2617"/>
      <c r="AWJ17" s="2617"/>
      <c r="AWK17" s="2617"/>
      <c r="AWL17" s="2617"/>
      <c r="AWM17" s="2617"/>
      <c r="AWN17" s="2617"/>
      <c r="AWO17" s="2617"/>
      <c r="AWP17" s="2617"/>
      <c r="AWQ17" s="2617"/>
      <c r="AWR17" s="2617"/>
      <c r="AWS17" s="2617"/>
      <c r="AWT17" s="2617"/>
      <c r="AWU17" s="2617"/>
      <c r="AWV17" s="2617"/>
      <c r="AWW17" s="2617"/>
      <c r="AWX17" s="2617"/>
      <c r="AWY17" s="2617"/>
      <c r="AWZ17" s="2617"/>
      <c r="AXA17" s="2617"/>
      <c r="AXB17" s="2617"/>
      <c r="AXC17" s="2617"/>
      <c r="AXD17" s="2617"/>
      <c r="AXE17" s="2617"/>
      <c r="AXF17" s="2617"/>
      <c r="AXG17" s="2617"/>
      <c r="AXH17" s="2617"/>
      <c r="AXI17" s="2617"/>
      <c r="AXJ17" s="2617"/>
      <c r="AXK17" s="2617"/>
      <c r="AYV17" s="2622"/>
      <c r="AYW17" s="2622"/>
      <c r="AYX17" s="2622"/>
      <c r="AYY17" s="2622"/>
      <c r="AYZ17" s="2622"/>
      <c r="AZA17" s="2622"/>
      <c r="AZB17" s="2622"/>
      <c r="AZC17" s="2622"/>
      <c r="AZD17" s="2622"/>
      <c r="AZE17" s="2622"/>
      <c r="AZF17" s="2622"/>
      <c r="AZG17" s="2622"/>
      <c r="AZH17" s="2622"/>
      <c r="AZI17" s="2622"/>
      <c r="AZJ17" s="2622"/>
      <c r="AZK17" s="2622"/>
      <c r="AZL17" s="2622"/>
      <c r="AZM17" s="2622"/>
      <c r="AZN17" s="2622"/>
      <c r="AZO17" s="2622"/>
      <c r="AZP17" s="2622"/>
      <c r="AZQ17" s="2622"/>
      <c r="AZR17" s="2622"/>
      <c r="AZS17" s="2622"/>
      <c r="AZT17" s="2622"/>
      <c r="AZU17" s="2622"/>
      <c r="AZX17" s="2622"/>
      <c r="AZY17" s="2622"/>
      <c r="AZZ17" s="2622"/>
      <c r="BAA17" s="2622"/>
      <c r="BAB17" s="2622"/>
      <c r="BAC17" s="2622"/>
      <c r="BAD17" s="2622"/>
      <c r="BAE17" s="2622"/>
      <c r="BAF17" s="2622"/>
      <c r="BAG17" s="2622"/>
      <c r="BAH17" s="2622"/>
      <c r="BAI17" s="2622"/>
      <c r="BAL17" s="2622"/>
      <c r="BAM17" s="2622"/>
      <c r="BAN17" s="2622"/>
      <c r="BAO17" s="2622"/>
      <c r="BAP17" s="2622"/>
      <c r="BAQ17" s="2622"/>
      <c r="BAT17" s="2622"/>
      <c r="BAU17" s="2622"/>
      <c r="BAV17" s="2622"/>
      <c r="BAW17" s="2622"/>
      <c r="BAX17" s="2622"/>
      <c r="BAY17" s="2622"/>
      <c r="BAZ17" s="2622"/>
      <c r="BBA17" s="2622"/>
      <c r="BBB17" s="2622"/>
      <c r="BBC17" s="2622"/>
      <c r="BBD17" s="2622"/>
      <c r="BBE17" s="2622"/>
      <c r="BBF17" s="2622"/>
      <c r="BBG17" s="2622"/>
      <c r="BBH17" s="2622"/>
      <c r="BBK17" s="2622"/>
      <c r="BCJ17" s="2617"/>
      <c r="BCK17" s="2617"/>
      <c r="BCL17" s="2617"/>
      <c r="BCM17" s="2617"/>
      <c r="BCN17" s="2617"/>
      <c r="BCO17" s="2617"/>
      <c r="BCP17" s="2617"/>
      <c r="BCQ17" s="2617"/>
      <c r="BCR17" s="2617"/>
      <c r="BCS17" s="2617"/>
      <c r="BCT17" s="2617"/>
      <c r="BCU17" s="2617"/>
      <c r="BCV17" s="2617"/>
      <c r="BCW17" s="2617"/>
      <c r="BCX17" s="2617"/>
      <c r="BCY17" s="2617"/>
      <c r="BCZ17" s="2617"/>
      <c r="BDA17" s="2617"/>
      <c r="BDB17" s="2617"/>
      <c r="BDC17" s="2617"/>
      <c r="BDD17" s="2617"/>
      <c r="BDE17" s="2617"/>
      <c r="BDF17" s="2617"/>
      <c r="BDG17" s="2617"/>
      <c r="BDH17" s="2617"/>
      <c r="BDI17" s="2617"/>
      <c r="BDL17" s="2617"/>
      <c r="BDM17" s="2617"/>
      <c r="BDN17" s="2617"/>
      <c r="BDO17" s="2617"/>
      <c r="BDP17" s="2617"/>
      <c r="BDQ17" s="2617"/>
      <c r="BDR17" s="2617"/>
      <c r="BDS17" s="2617"/>
      <c r="BDT17" s="2617"/>
      <c r="BDU17" s="2617"/>
      <c r="BDV17" s="2617"/>
      <c r="BDW17" s="2617"/>
      <c r="BDZ17" s="2617"/>
      <c r="BEA17" s="2617"/>
      <c r="BEB17" s="2617"/>
      <c r="BEC17" s="2617"/>
      <c r="BED17" s="2617"/>
      <c r="BEE17" s="2617"/>
      <c r="BEH17" s="2617"/>
    </row>
    <row r="18" spans="1:1490" ht="35.25" customHeight="1" x14ac:dyDescent="0.35">
      <c r="P18" s="7230" t="s">
        <v>2538</v>
      </c>
      <c r="Q18" s="7230"/>
      <c r="R18" s="7230"/>
      <c r="U18" s="3458" t="s">
        <v>2499</v>
      </c>
      <c r="ZI18" s="2622"/>
      <c r="ZJ18" s="2622"/>
      <c r="ZK18" s="2622"/>
      <c r="ZL18" s="2622"/>
      <c r="ZM18" s="2622"/>
      <c r="ZN18" s="2622"/>
      <c r="ZO18" s="2622"/>
      <c r="ZP18" s="2622"/>
      <c r="ZQ18" s="2622"/>
      <c r="ZR18" s="2622"/>
      <c r="ZS18" s="2622"/>
      <c r="ZT18" s="2622"/>
      <c r="ZU18" s="2622"/>
      <c r="ZV18" s="2622"/>
      <c r="ZW18" s="2622"/>
      <c r="ZX18" s="2622"/>
      <c r="ZY18" s="2622"/>
      <c r="ZZ18" s="2622"/>
      <c r="AAA18" s="2622"/>
      <c r="AAB18" s="2622"/>
      <c r="AAC18" s="2622"/>
      <c r="AAD18" s="2622"/>
      <c r="AAE18" s="2622"/>
      <c r="AAF18" s="2622"/>
      <c r="AAG18" s="2622"/>
      <c r="AAH18" s="2622"/>
      <c r="AAI18" s="2622"/>
      <c r="AAJ18" s="2622"/>
      <c r="AAK18" s="2622"/>
      <c r="AAL18" s="2622"/>
      <c r="AAM18" s="2622"/>
      <c r="AAN18" s="2622"/>
      <c r="AAO18" s="2622"/>
      <c r="AAP18" s="2622"/>
      <c r="AAQ18" s="2622"/>
      <c r="AAR18" s="2622"/>
      <c r="AAS18" s="2622"/>
      <c r="AAT18" s="2622"/>
      <c r="AAU18" s="2622"/>
      <c r="AAV18" s="2622"/>
      <c r="AAW18" s="2622"/>
      <c r="AAX18" s="2622"/>
      <c r="AAY18" s="2622"/>
      <c r="AAZ18" s="2622"/>
      <c r="ABA18" s="2622"/>
      <c r="ABB18" s="2737"/>
      <c r="ABC18" s="2737"/>
      <c r="ABD18" s="2737"/>
      <c r="ABE18" s="2737"/>
      <c r="ABF18" s="2737"/>
      <c r="ABG18" s="2737"/>
      <c r="ABH18" s="2737"/>
      <c r="ABI18" s="2737"/>
      <c r="ABJ18" s="2622"/>
      <c r="ABK18" s="2622"/>
      <c r="ABL18" s="2737"/>
      <c r="ABM18" s="2737"/>
      <c r="ABN18" s="2737"/>
      <c r="ABO18" s="2737"/>
      <c r="ABP18" s="2737"/>
      <c r="ABQ18" s="2737"/>
      <c r="ABR18" s="2737"/>
      <c r="ABS18" s="2737"/>
      <c r="ABT18" s="2737"/>
      <c r="ABU18" s="2737"/>
      <c r="ABV18" s="2737"/>
      <c r="ABW18" s="2737"/>
      <c r="ABX18" s="2737"/>
      <c r="ABY18" s="2737"/>
      <c r="ABZ18" s="2737"/>
      <c r="ACA18" s="2737"/>
      <c r="ACB18" s="2737"/>
      <c r="ACC18" s="2737"/>
      <c r="ACD18" s="2737"/>
      <c r="ACE18" s="2622"/>
      <c r="ACF18" s="2737"/>
      <c r="ACG18" s="2737"/>
      <c r="ACH18" s="2737"/>
      <c r="ACI18" s="2737"/>
      <c r="ACJ18" s="2737"/>
      <c r="ACK18" s="2737"/>
      <c r="ACL18" s="2737"/>
      <c r="ACM18" s="2737"/>
      <c r="ACN18" s="2622"/>
      <c r="ACO18" s="2737"/>
      <c r="ACP18" s="2737"/>
      <c r="ACQ18" s="2737"/>
      <c r="ACR18" s="2737"/>
      <c r="ACS18" s="2737"/>
      <c r="ACT18" s="2737"/>
      <c r="ACU18" s="2737"/>
      <c r="ACV18" s="2737"/>
      <c r="ACW18" s="2622"/>
      <c r="ACX18" s="2737"/>
      <c r="ACY18" s="2737"/>
      <c r="ACZ18" s="2737"/>
      <c r="ADA18" s="2737"/>
      <c r="ADB18" s="2737"/>
      <c r="ADC18" s="2737"/>
      <c r="ADD18" s="2737"/>
      <c r="ADE18" s="2737"/>
      <c r="ADF18" s="2737"/>
      <c r="ADH18" s="2737"/>
      <c r="ADI18" s="2737"/>
      <c r="ADJ18" s="2737"/>
      <c r="ADK18" s="2737"/>
      <c r="ADL18" s="2737"/>
      <c r="ADM18" s="2737"/>
      <c r="ADN18" s="2737"/>
      <c r="ADO18" s="2737"/>
      <c r="ADQ18" s="2737"/>
      <c r="ADR18" s="2737"/>
      <c r="ADS18" s="2737"/>
      <c r="ADT18" s="2737"/>
      <c r="ADU18" s="2737"/>
      <c r="ADV18" s="2737"/>
      <c r="ADW18" s="2737"/>
      <c r="ADX18" s="2737"/>
      <c r="ADY18" s="2737"/>
      <c r="ADZ18" s="2737"/>
      <c r="AEA18" s="2737"/>
      <c r="AEB18" s="2737"/>
      <c r="AEC18" s="2737"/>
      <c r="AED18" s="2737"/>
      <c r="AEE18" s="2737"/>
      <c r="AEF18" s="2737"/>
      <c r="AEG18" s="2737"/>
      <c r="AEH18" s="2737"/>
      <c r="AEI18" s="2737"/>
      <c r="AEJ18" s="2737"/>
      <c r="AEK18" s="2737"/>
      <c r="AEL18" s="2737"/>
      <c r="AEM18" s="2737"/>
      <c r="AEN18" s="2737"/>
      <c r="AEO18" s="2737"/>
      <c r="AEP18" s="2737"/>
      <c r="AEQ18" s="2737"/>
      <c r="AER18" s="2737"/>
      <c r="AES18" s="2737"/>
      <c r="AET18" s="2737"/>
      <c r="AEU18" s="2737"/>
      <c r="AEV18" s="2737"/>
      <c r="AEW18" s="2737"/>
      <c r="AEX18" s="2737"/>
      <c r="AFG18" s="2737"/>
      <c r="AFP18" s="2737"/>
      <c r="AGI18" s="2737"/>
      <c r="AGN18" s="2622"/>
      <c r="AGR18" s="2737"/>
      <c r="AHB18" s="2737"/>
      <c r="AHJ18" s="2737"/>
      <c r="AHV18" s="2737"/>
      <c r="AHY18" s="2622"/>
      <c r="AII18" s="2622"/>
      <c r="AIJ18" s="2622"/>
      <c r="AIR18" s="2622"/>
      <c r="AIS18" s="2622"/>
      <c r="AJP18" s="2737"/>
      <c r="AKD18" s="2737"/>
      <c r="AKU18" s="2622"/>
      <c r="ALL18" s="2622"/>
      <c r="ALM18" s="2737"/>
      <c r="ALW18" s="2737"/>
      <c r="ALX18" s="2737"/>
      <c r="AMG18" s="2737"/>
      <c r="AOI18" s="2737"/>
      <c r="AOV18" s="4124"/>
      <c r="AOW18" s="5162"/>
      <c r="AOX18" s="5162"/>
      <c r="AOY18" s="5162"/>
      <c r="AOZ18" s="5162"/>
      <c r="APA18" s="5162"/>
      <c r="APB18" s="5162"/>
      <c r="APC18" s="5162"/>
      <c r="APD18" s="5162"/>
      <c r="APE18" s="5162"/>
      <c r="APT18" s="2737"/>
      <c r="AQE18" s="2622"/>
      <c r="ARE18" s="2622"/>
      <c r="ASA18" s="2622"/>
      <c r="ASJ18" s="2622"/>
      <c r="ASK18" s="2737"/>
      <c r="ASL18" s="2737"/>
      <c r="ASM18" s="2737"/>
      <c r="ASN18" s="2737"/>
      <c r="ASO18" s="2737"/>
      <c r="ASP18" s="2737"/>
      <c r="ASQ18" s="2737"/>
      <c r="ASR18" s="2737"/>
      <c r="ASS18" s="2737"/>
      <c r="ATA18" s="2622"/>
      <c r="ATB18" s="2622"/>
      <c r="ATC18" s="2982" t="s">
        <v>995</v>
      </c>
      <c r="ATD18" s="2982"/>
      <c r="ATE18" s="2622"/>
      <c r="ATF18" s="2622"/>
      <c r="ATG18" s="2622"/>
      <c r="ATH18" s="2622"/>
      <c r="ATI18" s="2622"/>
      <c r="ATJ18" s="2622"/>
      <c r="ATK18" s="2981"/>
      <c r="ATL18" s="3613" t="s">
        <v>981</v>
      </c>
      <c r="ATM18" s="3613" t="s">
        <v>1490</v>
      </c>
      <c r="ATN18" s="3614" t="s">
        <v>984</v>
      </c>
      <c r="ATO18" s="3614" t="s">
        <v>983</v>
      </c>
      <c r="ATP18" s="3614" t="s">
        <v>982</v>
      </c>
      <c r="ATQ18" s="3615" t="s">
        <v>1188</v>
      </c>
      <c r="ATR18" s="3615" t="s">
        <v>1189</v>
      </c>
      <c r="ATS18" s="3615" t="s">
        <v>1234</v>
      </c>
      <c r="ATT18" s="3615" t="s">
        <v>1191</v>
      </c>
      <c r="ATU18" s="3616" t="s">
        <v>936</v>
      </c>
      <c r="ATV18" s="2622"/>
      <c r="ATW18" s="2622"/>
      <c r="ATX18" s="2622"/>
      <c r="ATY18" s="2617"/>
      <c r="ATZ18" s="3458"/>
      <c r="AUA18" s="3458"/>
      <c r="AUB18" s="3594"/>
      <c r="AUC18" s="3458"/>
      <c r="AUD18" s="3458"/>
      <c r="AUE18" s="3458"/>
      <c r="AUF18" s="3458"/>
      <c r="AUG18" s="3458"/>
      <c r="AUH18" s="3458"/>
      <c r="AUI18" s="3458"/>
      <c r="AUJ18" s="3458"/>
      <c r="AUK18" s="3458"/>
      <c r="AUL18" s="3458"/>
      <c r="AUM18" s="2617"/>
      <c r="AUN18" s="2617"/>
      <c r="AUO18" s="2617"/>
      <c r="AUP18" s="2617"/>
      <c r="AUQ18" s="2617"/>
      <c r="AUR18" s="2617"/>
      <c r="AUS18" s="2617"/>
      <c r="AUT18" s="2617"/>
      <c r="AUU18" s="2617"/>
      <c r="AUV18" s="2617"/>
      <c r="AUW18" s="181"/>
      <c r="AUX18" s="181"/>
      <c r="AUY18" s="181"/>
      <c r="AUZ18" s="181"/>
      <c r="AVA18" s="181"/>
      <c r="AVB18" s="181"/>
      <c r="AVC18" s="181"/>
      <c r="AVD18" s="181"/>
      <c r="AVE18" s="181"/>
      <c r="AVF18" s="181"/>
      <c r="AVG18" s="181"/>
      <c r="AVH18" s="181"/>
      <c r="AVI18" s="181"/>
      <c r="AVJ18" s="181"/>
      <c r="AVK18" s="181"/>
      <c r="AVL18" s="181"/>
      <c r="AVM18" s="181"/>
      <c r="AVN18" s="181"/>
      <c r="AVO18" s="181"/>
      <c r="AVP18" s="2617"/>
      <c r="AVQ18" s="2617"/>
      <c r="AVR18" s="2617"/>
      <c r="AVS18" s="2617"/>
      <c r="AVT18" s="2617"/>
      <c r="AVU18" s="2617"/>
      <c r="AVV18" s="2617"/>
      <c r="AVW18" s="2617"/>
      <c r="AVX18" s="2617"/>
      <c r="AVY18" s="2617"/>
      <c r="AVZ18" s="2617"/>
      <c r="AWA18" s="2617"/>
      <c r="AWB18" s="2617"/>
      <c r="AWC18" s="2617"/>
      <c r="AWD18" s="2617"/>
      <c r="AWE18" s="2617"/>
      <c r="AWF18" s="2617"/>
      <c r="AWG18" s="2617"/>
      <c r="AWH18" s="2617"/>
      <c r="AWI18" s="2617"/>
      <c r="AWJ18" s="2617"/>
      <c r="AWK18" s="2617"/>
      <c r="AWL18" s="2617"/>
      <c r="AWM18" s="2617"/>
      <c r="AWN18" s="2617"/>
      <c r="AWO18" s="2617"/>
      <c r="AWP18" s="2617"/>
      <c r="AWQ18" s="2617"/>
      <c r="AWR18" s="2617"/>
      <c r="AWS18" s="2617"/>
      <c r="AWT18" s="2617"/>
      <c r="AWU18" s="2617"/>
      <c r="AWV18" s="2617"/>
      <c r="AWW18" s="2617"/>
      <c r="AWX18" s="2617"/>
      <c r="AWY18" s="2617"/>
      <c r="AWZ18" s="2617"/>
      <c r="AXA18" s="2617"/>
      <c r="AXB18" s="2617"/>
      <c r="AXC18" s="2617"/>
      <c r="AXD18" s="2617"/>
      <c r="AXE18" s="2617"/>
      <c r="AXF18" s="2617"/>
      <c r="AXG18" s="2617"/>
      <c r="AXH18" s="2617"/>
      <c r="AXI18" s="2617"/>
      <c r="AXJ18" s="2617"/>
      <c r="AXK18" s="2617"/>
      <c r="AYW18" s="2622"/>
      <c r="AYX18" s="2622"/>
      <c r="AYY18" s="2622"/>
      <c r="AYZ18" s="2622"/>
      <c r="AZA18" s="2622"/>
      <c r="AZB18" s="2622"/>
      <c r="AZC18" s="2622"/>
      <c r="AZD18" s="2622"/>
      <c r="AZE18" s="2622"/>
      <c r="AZF18" s="2622"/>
      <c r="AZG18" s="2622"/>
      <c r="AZH18" s="2622"/>
      <c r="AZI18" s="2622"/>
      <c r="AZJ18" s="2622"/>
      <c r="AZK18" s="2622"/>
      <c r="AZL18" s="2622"/>
      <c r="AZM18" s="2622"/>
      <c r="AZN18" s="2622"/>
      <c r="AZO18" s="2622"/>
      <c r="AZP18" s="2622"/>
      <c r="AZQ18" s="2622"/>
      <c r="AZR18" s="2622"/>
      <c r="AZS18" s="2622"/>
      <c r="AZT18" s="2622"/>
      <c r="AZU18" s="2622"/>
      <c r="AZV18" s="2622"/>
      <c r="AZY18" s="2622"/>
      <c r="AZZ18" s="2622"/>
      <c r="BAA18" s="2622"/>
      <c r="BAB18" s="2622"/>
      <c r="BAC18" s="2622"/>
      <c r="BAD18" s="2622"/>
      <c r="BAE18" s="2622"/>
      <c r="BAF18" s="2622"/>
      <c r="BAG18" s="2622"/>
      <c r="BAH18" s="2622"/>
      <c r="BAI18" s="2622"/>
      <c r="BAJ18" s="2622"/>
      <c r="BAM18" s="2622"/>
      <c r="BAN18" s="2622"/>
      <c r="BAO18" s="2622"/>
      <c r="BAP18" s="2622"/>
      <c r="BAQ18" s="2622"/>
      <c r="BAR18" s="2622"/>
      <c r="BAU18" s="2622"/>
      <c r="BAW18" s="2622"/>
      <c r="BAX18" s="2622"/>
      <c r="BAY18" s="2622"/>
      <c r="BAZ18" s="2622"/>
      <c r="BBA18" s="2622"/>
      <c r="BBB18" s="2622"/>
      <c r="BBC18" s="2622" t="s">
        <v>868</v>
      </c>
      <c r="BBD18" s="2622"/>
      <c r="BBE18" s="2622"/>
      <c r="BBF18" s="2622"/>
      <c r="BBG18" s="2622"/>
      <c r="BBH18" s="2622"/>
      <c r="BBI18" s="2622"/>
      <c r="BBJ18" s="2622"/>
      <c r="BBK18" s="2622"/>
      <c r="BBL18" s="2622"/>
      <c r="BBR18" s="3398"/>
      <c r="BCJ18" s="2617"/>
      <c r="BCK18" s="2617"/>
      <c r="BCL18" s="2617"/>
      <c r="BCM18" s="2617"/>
      <c r="BCN18" s="2617"/>
      <c r="BCO18" s="2617"/>
      <c r="BCP18" s="2617"/>
      <c r="BCQ18" s="2617"/>
      <c r="BCR18" s="2617"/>
      <c r="BCS18" s="2617"/>
      <c r="BCT18" s="2617"/>
      <c r="BCU18" s="2617"/>
      <c r="BCV18" s="2617"/>
      <c r="BCW18" s="2617"/>
      <c r="BCX18" s="2617"/>
      <c r="BCY18" s="2617"/>
      <c r="BCZ18" s="2617"/>
      <c r="BDA18" s="2617"/>
      <c r="BDB18" s="2617"/>
      <c r="BDC18" s="2617"/>
      <c r="BDD18" s="2617"/>
      <c r="BDE18" s="2617"/>
      <c r="BDF18" s="2617"/>
      <c r="BDG18" s="2617"/>
      <c r="BDH18" s="2617"/>
      <c r="BDI18" s="2617"/>
      <c r="BDL18" s="2617"/>
      <c r="BDM18" s="2617"/>
      <c r="BDN18" s="2617"/>
      <c r="BDO18" s="2617"/>
      <c r="BDP18" s="2617"/>
      <c r="BDQ18" s="2617"/>
      <c r="BDR18" s="2617"/>
      <c r="BDS18" s="2617"/>
      <c r="BDT18" s="2617"/>
      <c r="BDU18" s="2617"/>
      <c r="BDV18" s="2617"/>
      <c r="BDW18" s="2617"/>
      <c r="BDZ18" s="2617"/>
      <c r="BEA18" s="2617"/>
      <c r="BEB18" s="2617"/>
      <c r="BEC18" s="2617"/>
      <c r="BED18" s="2617"/>
      <c r="BEE18" s="2617"/>
      <c r="BEH18" s="2617"/>
    </row>
    <row r="19" spans="1:1490" ht="57" x14ac:dyDescent="0.2">
      <c r="B19" s="2970" t="s">
        <v>1606</v>
      </c>
      <c r="ZI19" s="2622"/>
      <c r="ZJ19" s="2622"/>
      <c r="ZK19" s="2622"/>
      <c r="ZL19" s="2622"/>
      <c r="ZM19" s="2622"/>
      <c r="ZN19" s="2622"/>
      <c r="ZO19" s="2622"/>
      <c r="ZP19" s="2622"/>
      <c r="ZQ19" s="2622"/>
      <c r="ZR19" s="2622"/>
      <c r="ZS19" s="2622"/>
      <c r="ZT19" s="2622"/>
      <c r="ZU19" s="2622"/>
      <c r="ZV19" s="2622"/>
      <c r="ZW19" s="2622"/>
      <c r="ZX19" s="2622"/>
      <c r="ZY19" s="2622"/>
      <c r="ZZ19" s="2622"/>
      <c r="AAA19" s="2622"/>
      <c r="AAB19" s="2622"/>
      <c r="AAC19" s="2622"/>
      <c r="AAD19" s="2622"/>
      <c r="AAE19" s="2622"/>
      <c r="AAF19" s="2622"/>
      <c r="AAG19" s="2622"/>
      <c r="AAH19" s="2622"/>
      <c r="AAI19" s="2622"/>
      <c r="AAJ19" s="2622"/>
      <c r="AAK19" s="2622"/>
      <c r="AAL19" s="2622"/>
      <c r="AAM19" s="2622"/>
      <c r="AAN19" s="2622"/>
      <c r="AAO19" s="2622"/>
      <c r="AAP19" s="2622"/>
      <c r="AAQ19" s="2622"/>
      <c r="AAR19" s="2622"/>
      <c r="AAS19" s="2622"/>
      <c r="AAT19" s="2622"/>
      <c r="AAU19" s="2622"/>
      <c r="AAV19" s="2622"/>
      <c r="AAW19" s="2622"/>
      <c r="AAX19" s="2622"/>
      <c r="AAY19" s="2622"/>
      <c r="AAZ19" s="2622"/>
      <c r="ABA19" s="2622"/>
      <c r="ABB19" s="2737"/>
      <c r="ABC19" s="2737"/>
      <c r="ABD19" s="2737"/>
      <c r="ABE19" s="2737"/>
      <c r="ABF19" s="2737"/>
      <c r="ABG19" s="2737"/>
      <c r="ABH19" s="2737"/>
      <c r="ABI19" s="2737"/>
      <c r="ABJ19" s="2622"/>
      <c r="ABK19" s="2622"/>
      <c r="ABL19" s="2737"/>
      <c r="ABM19" s="2737"/>
      <c r="ABN19" s="2737"/>
      <c r="ABO19" s="2737"/>
      <c r="ABP19" s="2737"/>
      <c r="ABQ19" s="2737"/>
      <c r="ABR19" s="2737"/>
      <c r="ABS19" s="2737"/>
      <c r="ABT19" s="2737"/>
      <c r="ABU19" s="2737"/>
      <c r="ABV19" s="2737"/>
      <c r="ABW19" s="2737"/>
      <c r="ABX19" s="2737"/>
      <c r="ABY19" s="2737"/>
      <c r="ABZ19" s="2737"/>
      <c r="ACA19" s="2737"/>
      <c r="ACB19" s="2737"/>
      <c r="ACC19" s="2737"/>
      <c r="ACD19" s="2737"/>
      <c r="ACE19" s="2622"/>
      <c r="ACF19" s="2737"/>
      <c r="ACG19" s="2737"/>
      <c r="ACH19" s="2737"/>
      <c r="ACI19" s="2737"/>
      <c r="ACJ19" s="2737"/>
      <c r="ACK19" s="2737"/>
      <c r="ACL19" s="2737"/>
      <c r="ACM19" s="2737"/>
      <c r="ACN19" s="2622"/>
      <c r="ACO19" s="2737"/>
      <c r="ACP19" s="2737"/>
      <c r="ACQ19" s="2737"/>
      <c r="ACR19" s="2737"/>
      <c r="ACS19" s="2737"/>
      <c r="ACT19" s="2737"/>
      <c r="ACU19" s="2737"/>
      <c r="ACV19" s="2737"/>
      <c r="ACW19" s="2622"/>
      <c r="ACX19" s="2737"/>
      <c r="ACY19" s="2737"/>
      <c r="ACZ19" s="2737"/>
      <c r="ADA19" s="2737"/>
      <c r="ADB19" s="2737"/>
      <c r="ADC19" s="2737"/>
      <c r="ADD19" s="2737"/>
      <c r="ADE19" s="2737"/>
      <c r="ADF19" s="2737"/>
      <c r="ADH19" s="2737"/>
      <c r="ADI19" s="2737"/>
      <c r="ADJ19" s="2737"/>
      <c r="ADK19" s="2737"/>
      <c r="ADL19" s="2737"/>
      <c r="ADM19" s="2737"/>
      <c r="ADN19" s="2737"/>
      <c r="ADO19" s="2737"/>
      <c r="ADQ19" s="2737"/>
      <c r="ADR19" s="2737"/>
      <c r="ADS19" s="2737"/>
      <c r="ADT19" s="2737"/>
      <c r="ADU19" s="2737"/>
      <c r="ADV19" s="2737"/>
      <c r="ADW19" s="2737"/>
      <c r="ADX19" s="2737"/>
      <c r="ADY19" s="2737"/>
      <c r="ADZ19" s="2737"/>
      <c r="AEA19" s="2737"/>
      <c r="AEB19" s="2737"/>
      <c r="AEC19" s="2737"/>
      <c r="AED19" s="2737"/>
      <c r="AEE19" s="2737"/>
      <c r="AEF19" s="2737"/>
      <c r="AEG19" s="2737"/>
      <c r="AEH19" s="2737"/>
      <c r="AEI19" s="2737"/>
      <c r="AEJ19" s="2737"/>
      <c r="AEK19" s="2737"/>
      <c r="AEL19" s="2737"/>
      <c r="AEM19" s="2737"/>
      <c r="AEN19" s="2737"/>
      <c r="AEO19" s="2737"/>
      <c r="AEP19" s="2737"/>
      <c r="AEQ19" s="2737"/>
      <c r="AER19" s="2737"/>
      <c r="AES19" s="2737"/>
      <c r="AET19" s="2737"/>
      <c r="AEU19" s="2737"/>
      <c r="AEV19" s="2737"/>
      <c r="AEW19" s="2737"/>
      <c r="AEX19" s="2737"/>
      <c r="AFG19" s="2737"/>
      <c r="AFP19" s="2737"/>
      <c r="AGI19" s="2737"/>
      <c r="AGN19" s="2622"/>
      <c r="AGR19" s="2737"/>
      <c r="AHB19" s="2737"/>
      <c r="AHJ19" s="2737"/>
      <c r="AHV19" s="2737"/>
      <c r="AHY19" s="2622"/>
      <c r="AII19" s="2622"/>
      <c r="AIJ19" s="2622"/>
      <c r="AIR19" s="2622"/>
      <c r="AIS19" s="2622"/>
      <c r="AJP19" s="2737"/>
      <c r="AKD19" s="2737"/>
      <c r="AKU19" s="2622"/>
      <c r="ALL19" s="2622"/>
      <c r="ALM19" s="2737"/>
      <c r="ALW19" s="2737"/>
      <c r="ALX19" s="2737"/>
      <c r="AMG19" s="2737"/>
      <c r="AOI19" s="2737"/>
      <c r="AOV19" s="4124"/>
      <c r="AOW19" s="5162"/>
      <c r="AOX19" s="5162"/>
      <c r="AOY19" s="5162"/>
      <c r="AOZ19" s="5162"/>
      <c r="APA19" s="5162"/>
      <c r="APB19" s="5162"/>
      <c r="APC19" s="5162"/>
      <c r="APD19" s="5162"/>
      <c r="APE19" s="5162"/>
      <c r="APT19" s="2737"/>
      <c r="AQE19" s="2622"/>
      <c r="ARE19" s="2622"/>
      <c r="ASA19" s="2622"/>
      <c r="ASJ19" s="2622"/>
      <c r="ASK19" s="2737"/>
      <c r="ASL19" s="2737"/>
      <c r="ASM19" s="2737"/>
      <c r="ASN19" s="2737"/>
      <c r="ASO19" s="2737"/>
      <c r="ASP19" s="2737"/>
      <c r="ASQ19" s="2737"/>
      <c r="ASR19" s="2737"/>
      <c r="ASS19" s="2737"/>
      <c r="ATA19" s="2622"/>
      <c r="ATB19" s="2622"/>
      <c r="ATC19" s="2981"/>
      <c r="ATD19" s="2981"/>
      <c r="ATE19" s="2622"/>
      <c r="ATF19" s="2622"/>
      <c r="ATG19" s="2622"/>
      <c r="ATH19" s="2622"/>
      <c r="ATI19" s="2622"/>
      <c r="ATJ19" s="2622"/>
      <c r="ATK19" s="2622"/>
      <c r="ATL19" s="3530" t="str">
        <f>_List!BB7</f>
        <v>T4</v>
      </c>
      <c r="ATM19" s="3530" t="str">
        <f t="shared" ref="ATM19:ATM29" si="0">$ATL$13&amp;"_"&amp;ATL19</f>
        <v>Veg_T4</v>
      </c>
      <c r="ATN19" s="3433">
        <f t="shared" ref="ATN19:ATN30" si="1">ATU19</f>
        <v>4</v>
      </c>
      <c r="ATO19" s="3446">
        <f>_List!BC7</f>
        <v>20.32</v>
      </c>
      <c r="ATP19" s="3433">
        <f>_List!BD7</f>
        <v>13.57</v>
      </c>
      <c r="ATQ19" s="3430">
        <f>_List!BE7</f>
        <v>12.31</v>
      </c>
      <c r="ATR19" s="3430"/>
      <c r="ATS19" s="3433"/>
      <c r="ATT19" s="3525">
        <f t="shared" ref="ATT19:ATT30" si="2">ATQ19-(ATS19*2)</f>
        <v>12.31</v>
      </c>
      <c r="ATU19" s="3449">
        <f>_List!BF7</f>
        <v>4</v>
      </c>
      <c r="ATV19" s="2622"/>
      <c r="ATW19" s="2622"/>
      <c r="ATX19" s="2622"/>
      <c r="ATY19" s="2617"/>
      <c r="ATZ19" s="3458"/>
      <c r="AUA19" s="3458"/>
      <c r="AUB19" s="3458"/>
      <c r="AUC19" s="3458"/>
      <c r="AUD19" s="3458"/>
      <c r="AUE19" s="3458"/>
      <c r="AUF19" s="3458"/>
      <c r="AUG19" s="3458"/>
      <c r="AUH19" s="3458"/>
      <c r="AUI19" s="3458"/>
      <c r="AUJ19" s="3458"/>
      <c r="AUK19" s="3458"/>
      <c r="AUL19" s="3458"/>
      <c r="AUM19" s="2617"/>
      <c r="AUN19" s="2617"/>
      <c r="AUO19" s="2617"/>
      <c r="AUP19" s="2617"/>
      <c r="AUQ19" s="2617"/>
      <c r="AUR19" s="2617"/>
      <c r="AUS19" s="2617"/>
      <c r="AUT19" s="2617"/>
      <c r="AUU19" s="2617"/>
      <c r="AUV19" s="2625"/>
      <c r="AUW19" s="181"/>
      <c r="AUX19" s="181"/>
      <c r="AUY19" s="181"/>
      <c r="AUZ19" s="181"/>
      <c r="AVA19" s="181"/>
      <c r="AVB19" s="181"/>
      <c r="AVC19" s="181"/>
      <c r="AVD19" s="181"/>
      <c r="AVE19" s="181"/>
      <c r="AVF19" s="181"/>
      <c r="AVG19" s="181"/>
      <c r="AVH19" s="181"/>
      <c r="AVI19" s="181"/>
      <c r="AVJ19" s="181"/>
      <c r="AVK19" s="181"/>
      <c r="AVL19" s="181"/>
      <c r="AVM19" s="181"/>
      <c r="AVN19" s="181"/>
      <c r="AVO19" s="181"/>
      <c r="AVP19" s="2617"/>
      <c r="AVQ19" s="2617"/>
      <c r="AVR19" s="2617"/>
      <c r="AVS19" s="2617"/>
      <c r="AVT19" s="2617"/>
      <c r="AVU19" s="2617"/>
      <c r="AVV19" s="2617"/>
      <c r="AVW19" s="2617"/>
      <c r="AVX19" s="2617"/>
      <c r="AVY19" s="2617"/>
      <c r="AVZ19" s="2617"/>
      <c r="AWA19" s="2617"/>
      <c r="AWB19" s="2617"/>
      <c r="AWC19" s="2617"/>
      <c r="AWD19" s="2617"/>
      <c r="AWE19" s="2617"/>
      <c r="AWF19" s="2617"/>
      <c r="AWG19" s="2617"/>
      <c r="AWH19" s="2617"/>
      <c r="AWI19" s="2617"/>
      <c r="AWJ19" s="2617"/>
      <c r="AWK19" s="2617"/>
      <c r="AWL19" s="2617"/>
      <c r="AWM19" s="2617"/>
      <c r="AWN19" s="2617"/>
      <c r="AWO19" s="2617"/>
      <c r="AWP19" s="2617"/>
      <c r="AWQ19" s="2617"/>
      <c r="AWR19" s="2617"/>
      <c r="AWS19" s="2617"/>
      <c r="AWT19" s="2617"/>
      <c r="AWU19" s="2617"/>
      <c r="AWV19" s="2617"/>
      <c r="AWW19" s="2617"/>
      <c r="AWX19" s="2617"/>
      <c r="AWY19" s="2617"/>
      <c r="AWZ19" s="2617"/>
      <c r="AXA19" s="2617"/>
      <c r="AXB19" s="2617"/>
      <c r="AXC19" s="2617"/>
      <c r="AXD19" s="2617"/>
      <c r="AXE19" s="2617"/>
      <c r="AXF19" s="2617"/>
      <c r="AXG19" s="2617"/>
      <c r="AXH19" s="2617"/>
      <c r="AXI19" s="2617"/>
      <c r="AXJ19" s="2617"/>
      <c r="AXK19" s="2617"/>
      <c r="AYU19" s="2627" t="s">
        <v>951</v>
      </c>
      <c r="AYW19" s="2622"/>
      <c r="AYX19" s="2622"/>
      <c r="AYY19" s="2622"/>
      <c r="AYZ19" s="2622"/>
      <c r="AZA19" s="2622"/>
      <c r="AZB19" s="2622"/>
      <c r="AZC19" s="2622"/>
      <c r="AZD19" s="2622"/>
      <c r="AZE19" s="2622"/>
      <c r="AZF19" s="2622"/>
      <c r="AZG19" s="2622"/>
      <c r="AZH19" s="2622"/>
      <c r="AZI19" s="2622"/>
      <c r="AZJ19" s="2622"/>
      <c r="AZK19" s="2622"/>
      <c r="AZL19" s="2622"/>
      <c r="AZM19" s="2622"/>
      <c r="AZN19" s="2622"/>
      <c r="AZO19" s="2622"/>
      <c r="AZP19" s="2622"/>
      <c r="AZQ19" s="2622"/>
      <c r="AZR19" s="2622"/>
      <c r="AZS19" s="2622"/>
      <c r="AZT19" s="2622"/>
      <c r="AZU19" s="2622"/>
      <c r="AZV19" s="2622"/>
      <c r="AZY19" s="2622"/>
      <c r="AZZ19" s="2622"/>
      <c r="BAA19" s="2622"/>
      <c r="BAB19" s="2622"/>
      <c r="BAC19" s="2622"/>
      <c r="BAD19" s="2622"/>
      <c r="BAE19" s="2622"/>
      <c r="BAF19" s="2622"/>
      <c r="BAG19" s="2622"/>
      <c r="BAH19" s="2622"/>
      <c r="BAI19" s="2622"/>
      <c r="BAJ19" s="2622"/>
      <c r="BAM19" s="2622"/>
      <c r="BAN19" s="2622"/>
      <c r="BAO19" s="2622"/>
      <c r="BAP19" s="2622"/>
      <c r="BAQ19" s="2622"/>
      <c r="BAR19" s="2622"/>
      <c r="BAU19" s="2622"/>
      <c r="BAV19" s="242"/>
      <c r="BAW19" s="2683" t="s">
        <v>866</v>
      </c>
      <c r="BAX19" s="2683" t="s">
        <v>867</v>
      </c>
      <c r="BAY19" s="2683" t="s">
        <v>901</v>
      </c>
      <c r="BAZ19" s="2683"/>
      <c r="BBA19" s="2683" t="s">
        <v>105</v>
      </c>
      <c r="BBB19" s="2683"/>
      <c r="BBC19" s="2683" t="s">
        <v>869</v>
      </c>
      <c r="BBD19" s="2683"/>
      <c r="BBE19" s="2683" t="s">
        <v>870</v>
      </c>
      <c r="BBF19" s="2683"/>
      <c r="BBG19" s="2683" t="s">
        <v>883</v>
      </c>
      <c r="BBH19" s="2683"/>
      <c r="BBI19" s="2683" t="s">
        <v>885</v>
      </c>
      <c r="BBJ19" s="2683" t="s">
        <v>886</v>
      </c>
      <c r="BBK19" s="2679" t="s">
        <v>888</v>
      </c>
      <c r="BBL19" s="2683" t="s">
        <v>868</v>
      </c>
      <c r="BBR19" s="3398"/>
      <c r="BCJ19" s="2617"/>
      <c r="BCK19" s="2617"/>
      <c r="BCL19" s="2617"/>
      <c r="BCM19" s="2617"/>
      <c r="BCN19" s="2617"/>
      <c r="BCO19" s="2617"/>
      <c r="BCP19" s="2617"/>
      <c r="BCQ19" s="2617"/>
      <c r="BCR19" s="2617"/>
      <c r="BCS19" s="2617"/>
      <c r="BCT19" s="2617"/>
      <c r="BCU19" s="2617"/>
      <c r="BCV19" s="2617"/>
      <c r="BCW19" s="2617"/>
      <c r="BCX19" s="2617"/>
      <c r="BCY19" s="2617"/>
      <c r="BCZ19" s="2617"/>
      <c r="BDA19" s="2617"/>
      <c r="BDB19" s="2617"/>
      <c r="BDC19" s="2617"/>
      <c r="BDD19" s="2617"/>
      <c r="BDE19" s="2617"/>
      <c r="BDF19" s="2617"/>
      <c r="BDG19" s="2617"/>
      <c r="BDH19" s="2617"/>
      <c r="BDI19" s="2617"/>
      <c r="BDL19" s="2617"/>
      <c r="BDM19" s="2617"/>
      <c r="BDN19" s="2617"/>
      <c r="BDO19" s="2617"/>
      <c r="BDP19" s="2617"/>
      <c r="BDQ19" s="2617"/>
      <c r="BDR19" s="2617"/>
      <c r="BDS19" s="2617"/>
      <c r="BDT19" s="2617"/>
      <c r="BDU19" s="2617"/>
      <c r="BDV19" s="2617"/>
      <c r="BDW19" s="2617"/>
      <c r="BDZ19" s="2617"/>
      <c r="BEA19" s="2617"/>
      <c r="BEB19" s="2617"/>
      <c r="BEC19" s="2617"/>
      <c r="BED19" s="2617"/>
      <c r="BEE19" s="2617"/>
      <c r="BEH19" s="2617"/>
    </row>
    <row r="20" spans="1:1490" ht="66.75" customHeight="1" x14ac:dyDescent="0.2">
      <c r="B20" s="2617"/>
      <c r="C20" s="2617"/>
      <c r="D20" s="2617"/>
      <c r="G20" s="5598"/>
      <c r="H20" s="5598"/>
      <c r="I20" s="5598"/>
      <c r="J20" s="5598"/>
      <c r="K20" s="5598"/>
      <c r="L20" s="5598"/>
      <c r="M20" s="5598"/>
      <c r="AU20" s="2627" t="s">
        <v>2406</v>
      </c>
      <c r="AV20" s="2628"/>
      <c r="AW20" s="2628"/>
      <c r="AX20" s="2628"/>
      <c r="TK20" s="185" t="s">
        <v>1143</v>
      </c>
      <c r="TL20" s="185"/>
      <c r="TM20" s="206" t="s">
        <v>1080</v>
      </c>
      <c r="ZI20" s="2622"/>
      <c r="ZJ20" s="2622"/>
      <c r="ZK20" s="2622"/>
      <c r="ZL20" s="2622"/>
      <c r="ZM20" s="2622"/>
      <c r="ZN20" s="2622"/>
      <c r="ZO20" s="2622"/>
      <c r="ZP20" s="2622"/>
      <c r="ZQ20" s="2622"/>
      <c r="ZR20" s="2622"/>
      <c r="ZS20" s="2622"/>
      <c r="ZT20" s="2622"/>
      <c r="ZU20" s="2622"/>
      <c r="ZV20" s="2622"/>
      <c r="ZW20" s="2622"/>
      <c r="ZX20" s="2622"/>
      <c r="ZY20" s="2622"/>
      <c r="ZZ20" s="2622"/>
      <c r="AAA20" s="2622"/>
      <c r="AAB20" s="2622"/>
      <c r="AAC20" s="2622"/>
      <c r="AAD20" s="2622"/>
      <c r="AAE20" s="2622"/>
      <c r="AAF20" s="2622"/>
      <c r="AAG20" s="2622"/>
      <c r="AAH20" s="2622"/>
      <c r="AAI20" s="2622"/>
      <c r="AAJ20" s="2622"/>
      <c r="AAK20" s="2622"/>
      <c r="AAL20" s="2622"/>
      <c r="AAM20" s="2622"/>
      <c r="AAN20" s="2622"/>
      <c r="AAO20" s="2622"/>
      <c r="AAP20" s="2622"/>
      <c r="AAQ20" s="2622"/>
      <c r="AAR20" s="2622"/>
      <c r="AAS20" s="2622"/>
      <c r="AAT20" s="2622"/>
      <c r="AAU20" s="2622"/>
      <c r="AAV20" s="2622"/>
      <c r="AAW20" s="2622"/>
      <c r="AAX20" s="2622"/>
      <c r="AAY20" s="2622"/>
      <c r="AAZ20" s="2622"/>
      <c r="ABA20" s="2622"/>
      <c r="ABB20" s="2737"/>
      <c r="ABC20" s="2737"/>
      <c r="ABD20" s="2737"/>
      <c r="ABE20" s="2737"/>
      <c r="ABF20" s="2737"/>
      <c r="ABG20" s="2737"/>
      <c r="ABH20" s="2737"/>
      <c r="ABI20" s="2737"/>
      <c r="ABJ20" s="2622"/>
      <c r="ABK20" s="2622"/>
      <c r="ABL20" s="2737"/>
      <c r="ABM20" s="2737"/>
      <c r="ABN20" s="2737"/>
      <c r="ABO20" s="2737"/>
      <c r="ABP20" s="2737"/>
      <c r="ABQ20" s="2737"/>
      <c r="ABR20" s="2737"/>
      <c r="ABS20" s="2737"/>
      <c r="ABT20" s="2737"/>
      <c r="ABU20" s="2737"/>
      <c r="ABV20" s="2737"/>
      <c r="ABW20" s="2737"/>
      <c r="ABX20" s="2737"/>
      <c r="ABY20" s="2737"/>
      <c r="ABZ20" s="2737"/>
      <c r="ACA20" s="2737"/>
      <c r="ACB20" s="2737"/>
      <c r="ACC20" s="2737"/>
      <c r="ACD20" s="2737"/>
      <c r="ACE20" s="2622"/>
      <c r="ACF20" s="2737"/>
      <c r="ACG20" s="2737"/>
      <c r="ACH20" s="2737"/>
      <c r="ACI20" s="2737"/>
      <c r="ACJ20" s="2737"/>
      <c r="ACK20" s="2737"/>
      <c r="ACL20" s="2737"/>
      <c r="ACM20" s="2737"/>
      <c r="ACN20" s="2622"/>
      <c r="ACO20" s="2737"/>
      <c r="ACP20" s="2737"/>
      <c r="ACQ20" s="2737"/>
      <c r="ACR20" s="2737"/>
      <c r="ACS20" s="2737"/>
      <c r="ACT20" s="2737"/>
      <c r="ACU20" s="2737"/>
      <c r="ACV20" s="2737"/>
      <c r="ACW20" s="2622"/>
      <c r="ACX20" s="2737"/>
      <c r="ACY20" s="2737"/>
      <c r="ACZ20" s="2737"/>
      <c r="ADA20" s="2737"/>
      <c r="ADB20" s="2737"/>
      <c r="ADC20" s="2737"/>
      <c r="ADD20" s="2737"/>
      <c r="ADE20" s="2737"/>
      <c r="ADF20" s="2737"/>
      <c r="ADH20" s="2737"/>
      <c r="ADI20" s="2737"/>
      <c r="ADJ20" s="2737"/>
      <c r="ADK20" s="2737"/>
      <c r="ADL20" s="2737"/>
      <c r="ADM20" s="2737"/>
      <c r="ADN20" s="2737"/>
      <c r="ADO20" s="2737"/>
      <c r="ADQ20" s="2737"/>
      <c r="ADR20" s="2737"/>
      <c r="ADS20" s="2737"/>
      <c r="ADT20" s="2737"/>
      <c r="ADU20" s="2737"/>
      <c r="ADV20" s="2737"/>
      <c r="ADW20" s="2737"/>
      <c r="ADX20" s="2737"/>
      <c r="ADY20" s="2737"/>
      <c r="ADZ20" s="2737"/>
      <c r="AEA20" s="2737"/>
      <c r="AEB20" s="2737"/>
      <c r="AEC20" s="2737"/>
      <c r="AED20" s="2737"/>
      <c r="AEE20" s="2737"/>
      <c r="AEF20" s="2737"/>
      <c r="AEG20" s="2737"/>
      <c r="AEH20" s="2737"/>
      <c r="AEI20" s="2737"/>
      <c r="AEJ20" s="2737"/>
      <c r="AEK20" s="2737"/>
      <c r="AEL20" s="2737"/>
      <c r="AEM20" s="2737"/>
      <c r="AEN20" s="2737"/>
      <c r="AEO20" s="2737"/>
      <c r="AEP20" s="2737"/>
      <c r="AEQ20" s="2737"/>
      <c r="AER20" s="2737"/>
      <c r="AES20" s="2737"/>
      <c r="AET20" s="2737"/>
      <c r="AEU20" s="2737"/>
      <c r="AEV20" s="2737"/>
      <c r="AEW20" s="2737"/>
      <c r="AEX20" s="2737"/>
      <c r="AFG20" s="2737"/>
      <c r="AFP20" s="2737"/>
      <c r="AGI20" s="2737"/>
      <c r="AGN20" s="2622"/>
      <c r="AGR20" s="2737"/>
      <c r="AHB20" s="2737"/>
      <c r="AHJ20" s="2737"/>
      <c r="AHV20" s="2737"/>
      <c r="AHY20" s="2622"/>
      <c r="AII20" s="2622"/>
      <c r="AIJ20" s="2622"/>
      <c r="AIR20" s="2622"/>
      <c r="AIS20" s="2622"/>
      <c r="AJP20" s="2737"/>
      <c r="AKD20" s="2737"/>
      <c r="AKU20" s="2622"/>
      <c r="ALL20" s="2622"/>
      <c r="ALM20" s="2737"/>
      <c r="ALW20" s="2737"/>
      <c r="ALX20" s="2737"/>
      <c r="AMG20" s="2737"/>
      <c r="AOI20" s="2737"/>
      <c r="AOV20" s="4124"/>
      <c r="AOW20" s="5162"/>
      <c r="AOX20" s="5162"/>
      <c r="AOY20" s="5162"/>
      <c r="AOZ20" s="5162"/>
      <c r="APA20" s="5162"/>
      <c r="APB20" s="5162"/>
      <c r="APC20" s="5162"/>
      <c r="APD20" s="5162"/>
      <c r="APE20" s="5162"/>
      <c r="APT20" s="2737"/>
      <c r="AQE20" s="2622"/>
      <c r="ARE20" s="2622"/>
      <c r="ASA20" s="2622"/>
      <c r="ASJ20" s="2622"/>
      <c r="ASK20" s="2737"/>
      <c r="ASL20" s="2737"/>
      <c r="ASM20" s="2737"/>
      <c r="ASN20" s="2737"/>
      <c r="ASO20" s="2737"/>
      <c r="ASP20" s="2737"/>
      <c r="ASQ20" s="2737"/>
      <c r="ASR20" s="2737"/>
      <c r="ASS20" s="2737"/>
      <c r="ATA20" s="2622"/>
      <c r="ATB20" s="2622"/>
      <c r="ATC20" s="2981"/>
      <c r="ATD20" s="2981"/>
      <c r="ATE20" s="2622"/>
      <c r="ATF20" s="2622"/>
      <c r="ATG20" s="2622"/>
      <c r="ATH20" s="2622"/>
      <c r="ATI20" s="2622"/>
      <c r="ATJ20" s="2622"/>
      <c r="ATK20" s="2622"/>
      <c r="ATL20" s="3530" t="str">
        <f>_List!BB8</f>
        <v>T5,5</v>
      </c>
      <c r="ATM20" s="3530" t="str">
        <f t="shared" si="0"/>
        <v>Veg_T5,5</v>
      </c>
      <c r="ATN20" s="3433">
        <f t="shared" si="1"/>
        <v>5.5</v>
      </c>
      <c r="ATO20" s="3446">
        <f>_List!BC8</f>
        <v>39.1</v>
      </c>
      <c r="ATP20" s="3433">
        <f>_List!BD8</f>
        <v>29.72</v>
      </c>
      <c r="ATQ20" s="3430">
        <f>_List!BE8</f>
        <v>17.12</v>
      </c>
      <c r="ATR20" s="3430">
        <v>1.77</v>
      </c>
      <c r="ATS20" s="3526">
        <v>3.5910000000000002</v>
      </c>
      <c r="ATT20" s="3525">
        <f t="shared" si="2"/>
        <v>9.9380000000000006</v>
      </c>
      <c r="ATU20" s="3449">
        <f>_List!BF8</f>
        <v>5.5</v>
      </c>
      <c r="ATV20" s="2622"/>
      <c r="ATW20" s="2622"/>
      <c r="ATX20" s="2622"/>
      <c r="ATY20" s="2617"/>
      <c r="ATZ20" s="3458"/>
      <c r="AUA20" s="3458"/>
      <c r="AUB20" s="3458"/>
      <c r="AUC20" s="3458"/>
      <c r="AUD20" s="3458"/>
      <c r="AUE20" s="3458"/>
      <c r="AUF20" s="3458"/>
      <c r="AUG20" s="3458"/>
      <c r="AUH20" s="3458"/>
      <c r="AUI20" s="3458"/>
      <c r="AUJ20" s="3458"/>
      <c r="AUK20" s="3458"/>
      <c r="AUL20" s="3458"/>
      <c r="AUM20" s="2617"/>
      <c r="AUN20" s="2617"/>
      <c r="AUO20" s="2617"/>
      <c r="AUP20" s="2617"/>
      <c r="AUQ20" s="2617"/>
      <c r="AUR20" s="2617"/>
      <c r="AUS20" s="2617"/>
      <c r="AUT20" s="2617"/>
      <c r="AUU20" s="2617"/>
      <c r="AUV20" s="2617"/>
      <c r="AUW20" s="181"/>
      <c r="AUX20" s="181"/>
      <c r="AUY20" s="181"/>
      <c r="AUZ20" s="181"/>
      <c r="AVA20" s="181"/>
      <c r="AVB20" s="181"/>
      <c r="AVC20" s="181"/>
      <c r="AVD20" s="181"/>
      <c r="AVE20" s="181"/>
      <c r="AVF20" s="181"/>
      <c r="AVG20" s="181"/>
      <c r="AVH20" s="181"/>
      <c r="AVI20" s="181"/>
      <c r="AVJ20" s="181"/>
      <c r="AVK20" s="181"/>
      <c r="AVL20" s="181"/>
      <c r="AVM20" s="181"/>
      <c r="AVN20" s="181"/>
      <c r="AVO20" s="181"/>
      <c r="AVP20" s="2623"/>
      <c r="AVQ20" s="2623"/>
      <c r="AVR20" s="2623"/>
      <c r="AVS20" s="2623"/>
      <c r="AVT20" s="2623"/>
      <c r="AVU20" s="2623"/>
      <c r="AVV20" s="2623"/>
      <c r="AVW20" s="2623"/>
      <c r="AVX20" s="2623"/>
      <c r="AVY20" s="2623"/>
      <c r="AVZ20" s="2623"/>
      <c r="AWA20" s="2623"/>
      <c r="AWB20" s="2623"/>
      <c r="AWC20" s="2623"/>
      <c r="AWD20" s="2623"/>
      <c r="AWE20" s="2623"/>
      <c r="AWF20" s="2623"/>
      <c r="AWG20" s="2623"/>
      <c r="AWH20" s="2623"/>
      <c r="AWI20" s="2623"/>
      <c r="AWJ20" s="2623"/>
      <c r="AWK20" s="2623"/>
      <c r="AWL20" s="2623"/>
      <c r="AWM20" s="2623"/>
      <c r="AWN20" s="2623"/>
      <c r="AWO20" s="2623"/>
      <c r="AWP20" s="2623"/>
      <c r="AWQ20" s="2623"/>
      <c r="AWR20" s="2623"/>
      <c r="AWS20" s="2623"/>
      <c r="AWT20" s="2623"/>
      <c r="AWU20" s="2623"/>
      <c r="AWV20" s="2623"/>
      <c r="AWW20" s="2623"/>
      <c r="AWX20" s="2623"/>
      <c r="AWY20" s="2623"/>
      <c r="AWZ20" s="2623"/>
      <c r="AXA20" s="2623"/>
      <c r="AXB20" s="2623"/>
      <c r="AXC20" s="2623"/>
      <c r="AXD20" s="2623"/>
      <c r="AXE20" s="2623"/>
      <c r="AXF20" s="2623"/>
      <c r="AXG20" s="2623"/>
      <c r="AXH20" s="2623"/>
      <c r="AXI20" s="2623"/>
      <c r="AXJ20" s="2623"/>
      <c r="AXK20" s="2623"/>
      <c r="AXL20" s="2623"/>
      <c r="AXM20" s="2623"/>
      <c r="AXN20" s="2623"/>
      <c r="AXO20" s="2623"/>
      <c r="AXP20" s="2623"/>
      <c r="AXQ20" s="2623"/>
      <c r="AXR20" s="2623"/>
      <c r="AXS20" s="2623"/>
      <c r="AXT20" s="2623"/>
      <c r="AXU20" s="2623"/>
      <c r="AXV20" s="2623"/>
      <c r="AXW20" s="2623"/>
      <c r="AXX20" s="2623"/>
      <c r="AXY20" s="2623"/>
      <c r="AXZ20" s="2623"/>
      <c r="AYA20" s="2623"/>
      <c r="AYB20" s="2623"/>
      <c r="AYC20" s="2623"/>
      <c r="AYD20" s="2623"/>
      <c r="AYE20" s="2623"/>
      <c r="AYF20" s="2623"/>
      <c r="AYG20" s="2623"/>
      <c r="AYH20" s="2623"/>
      <c r="AYI20" s="2623"/>
      <c r="AYJ20" s="2623"/>
      <c r="AYK20" s="2623"/>
      <c r="AYL20" s="2623"/>
      <c r="AYM20" s="2623"/>
      <c r="AYN20" s="2623"/>
      <c r="AYO20" s="2623"/>
      <c r="AYP20" s="2623"/>
      <c r="AYQ20" s="2623"/>
      <c r="AYR20" s="2623"/>
      <c r="AYS20" s="2623"/>
      <c r="AYT20" s="2623"/>
      <c r="AYU20" s="2623"/>
      <c r="AYW20" s="2622"/>
      <c r="AYX20" s="2622"/>
      <c r="AYY20" s="2622"/>
      <c r="AYZ20" s="2622"/>
      <c r="AZA20" s="2622"/>
      <c r="AZB20" s="2622"/>
      <c r="AZC20" s="2622"/>
      <c r="AZD20" s="2622"/>
      <c r="AZE20" s="2622"/>
      <c r="AZF20" s="2622"/>
      <c r="AZG20" s="2622"/>
      <c r="AZH20" s="2622"/>
      <c r="AZI20" s="2622"/>
      <c r="AZJ20" s="2622"/>
      <c r="AZK20" s="2622"/>
      <c r="AZL20" s="2622"/>
      <c r="AZM20" s="2622"/>
      <c r="AZN20" s="2622"/>
      <c r="AZO20" s="2622"/>
      <c r="AZP20" s="2622"/>
      <c r="AZQ20" s="2622"/>
      <c r="AZR20" s="2622"/>
      <c r="AZS20" s="2622"/>
      <c r="AZT20" s="2622"/>
      <c r="AZU20" s="2622"/>
      <c r="AZV20" s="2622"/>
      <c r="AZY20" s="2622"/>
      <c r="AZZ20" s="2622"/>
      <c r="BAA20" s="2622"/>
      <c r="BAB20" s="2622"/>
      <c r="BAC20" s="2622"/>
      <c r="BAD20" s="2622"/>
      <c r="BAE20" s="2622"/>
      <c r="BAF20" s="2622"/>
      <c r="BAG20" s="2622"/>
      <c r="BAH20" s="2622"/>
      <c r="BAI20" s="2622"/>
      <c r="BAJ20" s="2622"/>
      <c r="BAM20" s="2622"/>
      <c r="BAN20" s="2622"/>
      <c r="BAO20" s="2622"/>
      <c r="BAP20" s="2622"/>
      <c r="BAQ20" s="2622"/>
      <c r="BAR20" s="2622"/>
      <c r="BAU20" s="2622"/>
      <c r="BAV20" s="185"/>
      <c r="BAW20" s="2680"/>
      <c r="BAX20" s="2680"/>
      <c r="BAY20" s="2680"/>
      <c r="BAZ20" s="2680"/>
      <c r="BBA20" s="2971" t="s">
        <v>882</v>
      </c>
      <c r="BBB20" s="2971"/>
      <c r="BBC20" s="2971" t="s">
        <v>881</v>
      </c>
      <c r="BBD20" s="2971"/>
      <c r="BBE20" s="2971" t="s">
        <v>881</v>
      </c>
      <c r="BBF20" s="2971"/>
      <c r="BBG20" s="2680"/>
      <c r="BBH20" s="2680"/>
      <c r="BBI20" s="2971" t="s">
        <v>884</v>
      </c>
      <c r="BBJ20" s="2971" t="s">
        <v>887</v>
      </c>
      <c r="BBK20" s="2680"/>
      <c r="BBL20" s="2622"/>
      <c r="BBR20" s="3398"/>
      <c r="BCJ20" s="2617"/>
      <c r="BCK20" s="2617"/>
      <c r="BCL20" s="2617"/>
      <c r="BCM20" s="2617"/>
      <c r="BCN20" s="2617"/>
      <c r="BCO20" s="2617"/>
      <c r="BCP20" s="2617"/>
      <c r="BCQ20" s="2617"/>
      <c r="BCR20" s="2617"/>
      <c r="BCS20" s="2617"/>
      <c r="BCT20" s="2617"/>
      <c r="BCU20" s="2617"/>
      <c r="BCV20" s="2617"/>
      <c r="BCW20" s="2617"/>
      <c r="BCX20" s="2617"/>
      <c r="BCY20" s="2617"/>
      <c r="BCZ20" s="2617"/>
      <c r="BDA20" s="2617"/>
      <c r="BDB20" s="2617"/>
      <c r="BDC20" s="2617"/>
      <c r="BDD20" s="2617"/>
      <c r="BDE20" s="2617"/>
      <c r="BDF20" s="2617"/>
      <c r="BDG20" s="2617"/>
      <c r="BDH20" s="2617"/>
      <c r="BDI20" s="2617"/>
      <c r="BDL20" s="2617"/>
      <c r="BDM20" s="2617"/>
      <c r="BDN20" s="2617"/>
      <c r="BDO20" s="2617"/>
      <c r="BDP20" s="2617"/>
      <c r="BDQ20" s="2617"/>
      <c r="BDR20" s="2617"/>
      <c r="BDS20" s="2617"/>
      <c r="BDT20" s="2617"/>
      <c r="BDU20" s="2617"/>
      <c r="BDV20" s="2617"/>
      <c r="BDW20" s="2617"/>
      <c r="BDZ20" s="2617"/>
      <c r="BEA20" s="2617"/>
      <c r="BEB20" s="2617"/>
      <c r="BEC20" s="2617"/>
      <c r="BED20" s="2617"/>
      <c r="BEE20" s="2617"/>
      <c r="BEH20" s="2617"/>
    </row>
    <row r="21" spans="1:1490" ht="42.75" customHeight="1" x14ac:dyDescent="0.2">
      <c r="B21" s="1665" t="s">
        <v>289</v>
      </c>
      <c r="C21" s="3680" t="s">
        <v>1514</v>
      </c>
      <c r="D21" s="1665"/>
      <c r="AJ21" s="2693"/>
      <c r="AK21" s="2693"/>
      <c r="AL21" s="2693"/>
      <c r="AM21" s="2693"/>
      <c r="AN21" s="2693"/>
      <c r="AO21" s="2693"/>
      <c r="AP21" s="2693"/>
      <c r="CG21" s="2987" t="s">
        <v>987</v>
      </c>
      <c r="CH21" s="2987"/>
      <c r="CI21" s="2987"/>
      <c r="CJ21" s="2988"/>
      <c r="CK21" s="2988"/>
      <c r="CL21" s="2988"/>
      <c r="CM21" s="2988"/>
      <c r="CN21" s="2988"/>
      <c r="CO21" s="2988"/>
      <c r="CP21" s="2988"/>
      <c r="CQ21" s="2988"/>
      <c r="CR21" s="2988"/>
      <c r="DL21" s="2693"/>
      <c r="DM21" s="2693"/>
      <c r="DN21" s="2693"/>
      <c r="DO21" s="2693"/>
      <c r="DP21" s="2693"/>
      <c r="DQ21" s="2693"/>
      <c r="DR21" s="2693"/>
      <c r="DS21" s="2693"/>
      <c r="DT21" s="2693"/>
      <c r="DU21" s="2693"/>
      <c r="DV21" s="2693"/>
      <c r="DW21" s="2693"/>
      <c r="DX21" s="2693"/>
      <c r="DY21" s="2693"/>
      <c r="DZ21" s="2693"/>
      <c r="EA21" s="2693"/>
      <c r="EB21" s="2693"/>
      <c r="EC21" s="2693"/>
      <c r="ED21" s="2693"/>
      <c r="EE21" s="2693"/>
      <c r="EF21" s="2693"/>
      <c r="EG21" s="2693"/>
      <c r="EH21" s="2693"/>
      <c r="EI21" s="2693"/>
      <c r="EJ21" s="2693"/>
      <c r="EK21" s="2693"/>
      <c r="EL21" s="2693"/>
      <c r="EM21" s="2693"/>
      <c r="EN21" s="2693"/>
      <c r="EO21" s="2693"/>
      <c r="EP21" s="2693"/>
      <c r="EQ21" s="2693"/>
      <c r="ER21" s="2693"/>
      <c r="ES21" s="2693"/>
      <c r="ET21" s="2693"/>
      <c r="EU21" s="2693"/>
      <c r="EV21" s="2693"/>
      <c r="EW21" s="2693"/>
      <c r="EX21" s="2693"/>
      <c r="EY21" s="2693"/>
      <c r="EZ21" s="2693"/>
      <c r="FA21" s="2693"/>
      <c r="FB21" s="2693"/>
      <c r="FC21" s="2693"/>
      <c r="FD21" s="2693"/>
      <c r="FE21" s="2693"/>
      <c r="FF21" s="2693"/>
      <c r="FG21" s="2693"/>
      <c r="FH21" s="2693"/>
      <c r="FI21" s="2693"/>
      <c r="FJ21" s="2693"/>
      <c r="FK21" s="2693"/>
      <c r="FL21" s="2693"/>
      <c r="FM21" s="2693"/>
      <c r="FN21" s="2693"/>
      <c r="FO21" s="2693"/>
      <c r="FP21" s="2693"/>
      <c r="FQ21" s="2693"/>
      <c r="FR21" s="2693"/>
      <c r="FS21" s="2693"/>
      <c r="FT21" s="2693"/>
      <c r="FU21" s="2693"/>
      <c r="FV21" s="2693"/>
      <c r="FW21" s="2693"/>
      <c r="FX21" s="2693"/>
      <c r="FY21" s="2693"/>
      <c r="FZ21" s="2693"/>
      <c r="GA21" s="2693"/>
      <c r="GB21" s="2693"/>
      <c r="GC21" s="2693"/>
      <c r="GD21" s="2693"/>
      <c r="GE21" s="2693"/>
      <c r="GF21" s="2693"/>
      <c r="GG21" s="2693"/>
      <c r="GH21" s="2693"/>
      <c r="GI21" s="2693"/>
      <c r="GJ21" s="2693"/>
      <c r="GK21" s="2693"/>
      <c r="GL21" s="2693"/>
      <c r="GM21" s="2693"/>
      <c r="GN21" s="2693"/>
      <c r="GO21" s="2693"/>
      <c r="GP21" s="2693"/>
      <c r="GQ21" s="2693"/>
      <c r="GR21" s="2693"/>
      <c r="GS21" s="2693"/>
      <c r="GT21" s="2693"/>
      <c r="GU21" s="2693"/>
      <c r="GV21" s="2693"/>
      <c r="GW21" s="2693"/>
      <c r="GX21" s="2693"/>
      <c r="GY21" s="2693"/>
      <c r="GZ21" s="2693"/>
      <c r="HA21" s="2693"/>
      <c r="HB21" s="2693"/>
      <c r="HC21" s="2693"/>
      <c r="HD21" s="2693"/>
      <c r="HE21" s="2693"/>
      <c r="HF21" s="2693"/>
      <c r="HG21" s="2693"/>
      <c r="HH21" s="2693"/>
      <c r="HI21" s="2693"/>
      <c r="HJ21" s="2693"/>
      <c r="HK21" s="2693"/>
      <c r="HL21" s="2693"/>
      <c r="HM21" s="2693"/>
      <c r="HN21" s="2693"/>
      <c r="HO21" s="2693"/>
      <c r="HP21" s="2693"/>
      <c r="HQ21" s="2693"/>
      <c r="LF21" s="2693"/>
      <c r="LG21" s="2693"/>
      <c r="LH21" s="2693"/>
      <c r="LI21" s="2693"/>
      <c r="LJ21" s="2693"/>
      <c r="LK21" s="2693"/>
      <c r="LL21" s="2693"/>
      <c r="LM21" s="2693"/>
      <c r="LN21" s="2693"/>
      <c r="LO21" s="2693"/>
      <c r="LP21" s="2693"/>
      <c r="LQ21" s="2693"/>
      <c r="TK21" s="185" t="s">
        <v>1106</v>
      </c>
      <c r="TL21" s="185"/>
      <c r="TM21" s="206" t="str">
        <f>_List!DO7</f>
        <v>Enkelt</v>
      </c>
      <c r="ZI21" s="2622"/>
      <c r="ZJ21" s="2622"/>
      <c r="ZK21" s="2622"/>
      <c r="ZL21" s="2622"/>
      <c r="ZM21" s="2622"/>
      <c r="ZN21" s="2622"/>
      <c r="ZO21" s="2622"/>
      <c r="ZP21" s="2622"/>
      <c r="ZQ21" s="2622"/>
      <c r="ZR21" s="2622"/>
      <c r="ZS21" s="2622"/>
      <c r="ZT21" s="2622"/>
      <c r="ZU21" s="2622"/>
      <c r="ZV21" s="2622"/>
      <c r="ZW21" s="2622"/>
      <c r="ZX21" s="2622"/>
      <c r="ZY21" s="2622"/>
      <c r="ZZ21" s="2622"/>
      <c r="AAA21" s="2622"/>
      <c r="AAB21" s="2622"/>
      <c r="AAC21" s="2622"/>
      <c r="AAD21" s="2622"/>
      <c r="AAE21" s="2622"/>
      <c r="AAF21" s="2622"/>
      <c r="AAG21" s="2622"/>
      <c r="AAH21" s="2622"/>
      <c r="AAI21" s="2622"/>
      <c r="AAJ21" s="2622"/>
      <c r="AAK21" s="2622"/>
      <c r="AAL21" s="2622"/>
      <c r="AAM21" s="2622"/>
      <c r="AAN21" s="2622"/>
      <c r="AAO21" s="2622"/>
      <c r="AAP21" s="2622"/>
      <c r="AAQ21" s="2622"/>
      <c r="AAR21" s="2622"/>
      <c r="AAS21" s="2622"/>
      <c r="AAT21" s="2622"/>
      <c r="AAU21" s="2622"/>
      <c r="AAV21" s="2622"/>
      <c r="AAW21" s="2622"/>
      <c r="AAX21" s="2622"/>
      <c r="AAY21" s="2622"/>
      <c r="AAZ21" s="2622"/>
      <c r="ABA21" s="2622"/>
      <c r="ABB21" s="2737"/>
      <c r="ABC21" s="2737"/>
      <c r="ABD21" s="2737"/>
      <c r="ABE21" s="2737"/>
      <c r="ABF21" s="2737"/>
      <c r="ABG21" s="2737"/>
      <c r="ABH21" s="2737"/>
      <c r="ABI21" s="2737"/>
      <c r="ABJ21" s="2622"/>
      <c r="ABK21" s="2622"/>
      <c r="ABL21" s="2737"/>
      <c r="ABM21" s="2737"/>
      <c r="ABN21" s="2737"/>
      <c r="ABO21" s="2737"/>
      <c r="ABP21" s="2737"/>
      <c r="ABQ21" s="2737"/>
      <c r="ABR21" s="2737"/>
      <c r="ABS21" s="2737"/>
      <c r="ABT21" s="2737"/>
      <c r="ABU21" s="2737"/>
      <c r="ABV21" s="2737"/>
      <c r="ABW21" s="2737"/>
      <c r="ABX21" s="2737"/>
      <c r="ABY21" s="2737"/>
      <c r="ABZ21" s="2737"/>
      <c r="ACA21" s="2737"/>
      <c r="ACB21" s="2737"/>
      <c r="ACC21" s="2737"/>
      <c r="ACD21" s="2737"/>
      <c r="ACE21" s="2622"/>
      <c r="ACF21" s="2737"/>
      <c r="ACG21" s="2737"/>
      <c r="ACH21" s="2737"/>
      <c r="ACI21" s="2737"/>
      <c r="ACJ21" s="2737"/>
      <c r="ACK21" s="2737"/>
      <c r="ACL21" s="2737"/>
      <c r="ACM21" s="2737"/>
      <c r="ACN21" s="2622"/>
      <c r="ACO21" s="2737"/>
      <c r="ACP21" s="2737"/>
      <c r="ACQ21" s="2737"/>
      <c r="ACR21" s="2737"/>
      <c r="ACS21" s="2737"/>
      <c r="ACT21" s="2737"/>
      <c r="ACU21" s="2737"/>
      <c r="ACV21" s="2737"/>
      <c r="ACW21" s="2622"/>
      <c r="ACX21" s="2737"/>
      <c r="ACY21" s="2737"/>
      <c r="ACZ21" s="2737"/>
      <c r="ADA21" s="2737"/>
      <c r="ADB21" s="2737"/>
      <c r="ADC21" s="2737"/>
      <c r="ADD21" s="2737"/>
      <c r="ADE21" s="2737"/>
      <c r="ADF21" s="2737"/>
      <c r="ADH21" s="2737"/>
      <c r="ADI21" s="2737"/>
      <c r="ADJ21" s="2737"/>
      <c r="ADK21" s="2737"/>
      <c r="ADL21" s="2737"/>
      <c r="ADM21" s="2737"/>
      <c r="ADN21" s="2737"/>
      <c r="ADO21" s="2737"/>
      <c r="ADQ21" s="2737"/>
      <c r="ADR21" s="2737"/>
      <c r="ADS21" s="2737"/>
      <c r="ADT21" s="2737"/>
      <c r="ADU21" s="2737"/>
      <c r="ADV21" s="2737"/>
      <c r="ADW21" s="2737"/>
      <c r="ADX21" s="2737"/>
      <c r="ADY21" s="2737"/>
      <c r="ADZ21" s="2737"/>
      <c r="AEA21" s="2737"/>
      <c r="AEB21" s="2737"/>
      <c r="AEC21" s="2737"/>
      <c r="AED21" s="2737"/>
      <c r="AEE21" s="2737"/>
      <c r="AEF21" s="2737"/>
      <c r="AEG21" s="2737"/>
      <c r="AEH21" s="2737"/>
      <c r="AEI21" s="2737"/>
      <c r="AEJ21" s="2737"/>
      <c r="AEK21" s="2737"/>
      <c r="AEL21" s="2737"/>
      <c r="AEM21" s="2737"/>
      <c r="AEN21" s="2737"/>
      <c r="AEO21" s="2737"/>
      <c r="AEP21" s="2737"/>
      <c r="AEQ21" s="2737"/>
      <c r="AER21" s="2737"/>
      <c r="AES21" s="2737"/>
      <c r="AET21" s="2737"/>
      <c r="AEU21" s="2737"/>
      <c r="AEV21" s="2737"/>
      <c r="AEW21" s="2737"/>
      <c r="AEX21" s="2737"/>
      <c r="AFG21" s="2737"/>
      <c r="AFP21" s="2737"/>
      <c r="AGI21" s="2737"/>
      <c r="AGN21" s="2622"/>
      <c r="AGR21" s="2737"/>
      <c r="AHB21" s="2737"/>
      <c r="AHJ21" s="2737"/>
      <c r="AHV21" s="2737"/>
      <c r="AHY21" s="2622"/>
      <c r="AII21" s="2622"/>
      <c r="AIJ21" s="2622"/>
      <c r="AIR21" s="2622"/>
      <c r="AIS21" s="2622"/>
      <c r="AJP21" s="2737"/>
      <c r="AKD21" s="2737"/>
      <c r="AKU21" s="2622"/>
      <c r="ALL21" s="2622"/>
      <c r="ALM21" s="2737"/>
      <c r="ALW21" s="2737"/>
      <c r="ALX21" s="2737"/>
      <c r="AMG21" s="2737"/>
      <c r="AOI21" s="2737"/>
      <c r="AOV21" s="4124"/>
      <c r="AOW21" s="5162"/>
      <c r="AOX21" s="5162"/>
      <c r="AOY21" s="5162"/>
      <c r="AOZ21" s="5162"/>
      <c r="APA21" s="5162"/>
      <c r="APB21" s="5162"/>
      <c r="APC21" s="5162"/>
      <c r="APD21" s="5162"/>
      <c r="APE21" s="5162"/>
      <c r="APT21" s="2737"/>
      <c r="AQE21" s="2622"/>
      <c r="ARE21" s="2622"/>
      <c r="ASA21" s="2622"/>
      <c r="ASJ21" s="2622"/>
      <c r="ASK21" s="2737"/>
      <c r="ASL21" s="2737"/>
      <c r="ASM21" s="2737"/>
      <c r="ASN21" s="2737"/>
      <c r="ASO21" s="2737"/>
      <c r="ASP21" s="2737"/>
      <c r="ASQ21" s="2737"/>
      <c r="ASR21" s="2737"/>
      <c r="ASS21" s="2737"/>
      <c r="ATA21" s="2622"/>
      <c r="ATB21" s="2622"/>
      <c r="ATC21" s="2981"/>
      <c r="ATD21" s="2981"/>
      <c r="ATE21" s="2622"/>
      <c r="ATF21" s="2622"/>
      <c r="ATG21" s="2622"/>
      <c r="ATH21" s="2622"/>
      <c r="ATI21" s="2622"/>
      <c r="ATJ21" s="2622"/>
      <c r="ATK21" s="2622"/>
      <c r="ATL21" s="3530" t="str">
        <f>_List!BB9</f>
        <v>T7,5</v>
      </c>
      <c r="ATM21" s="3530" t="str">
        <f t="shared" si="0"/>
        <v>Veg_T7,5</v>
      </c>
      <c r="ATN21" s="3433">
        <f t="shared" si="1"/>
        <v>7.5</v>
      </c>
      <c r="ATO21" s="3446">
        <f>_List!BC9</f>
        <v>51.56</v>
      </c>
      <c r="ATP21" s="3433">
        <f>_List!BD9</f>
        <v>40.46</v>
      </c>
      <c r="ATQ21" s="3430">
        <f>_List!BE9</f>
        <v>18.88</v>
      </c>
      <c r="ATR21" s="3430">
        <v>1.57</v>
      </c>
      <c r="ATS21" s="3526">
        <v>3.5779999999999998</v>
      </c>
      <c r="ATT21" s="3525">
        <f t="shared" si="2"/>
        <v>11.724</v>
      </c>
      <c r="ATU21" s="3449">
        <f>_List!BF9</f>
        <v>7.5</v>
      </c>
      <c r="ATV21" s="2622"/>
      <c r="ATW21" s="2622"/>
      <c r="ATX21" s="2622"/>
      <c r="ATY21" s="2617"/>
      <c r="ATZ21" s="3458"/>
      <c r="AUA21" s="3458"/>
      <c r="AUB21" s="3458"/>
      <c r="AUC21" s="3458"/>
      <c r="AUD21" s="3458"/>
      <c r="AUE21" s="3458"/>
      <c r="AUF21" s="3458"/>
      <c r="AUG21" s="3458"/>
      <c r="AUH21" s="3458"/>
      <c r="AUI21" s="3458"/>
      <c r="AUJ21" s="3458"/>
      <c r="AUK21" s="3458"/>
      <c r="AUL21" s="3458"/>
      <c r="AUM21" s="2617"/>
      <c r="AUN21" s="2617"/>
      <c r="AUO21" s="2617"/>
      <c r="AUP21" s="2617"/>
      <c r="AUQ21" s="2617"/>
      <c r="AUR21" s="2617"/>
      <c r="AUS21" s="2617"/>
      <c r="AUT21" s="2617"/>
      <c r="AUU21" s="2617"/>
      <c r="AUV21" s="2617"/>
      <c r="AUW21" s="181"/>
      <c r="AUX21" s="181"/>
      <c r="AUY21" s="181"/>
      <c r="AUZ21" s="181"/>
      <c r="AVA21" s="181"/>
      <c r="AVB21" s="181"/>
      <c r="AVC21" s="181"/>
      <c r="AVD21" s="181"/>
      <c r="AVE21" s="181"/>
      <c r="AVF21" s="181"/>
      <c r="AVG21" s="181"/>
      <c r="AVH21" s="181"/>
      <c r="AVI21" s="181"/>
      <c r="AVJ21" s="181"/>
      <c r="AVK21" s="181"/>
      <c r="AVL21" s="181"/>
      <c r="AVM21" s="181"/>
      <c r="AVN21" s="181"/>
      <c r="AVO21" s="181"/>
      <c r="AVP21" s="2617"/>
      <c r="AVQ21" s="2617"/>
      <c r="AVR21" s="2617"/>
      <c r="AVS21" s="2617"/>
      <c r="AVT21" s="2617"/>
      <c r="AVU21" s="2617"/>
      <c r="AVV21" s="2617"/>
      <c r="AVW21" s="2617"/>
      <c r="AVX21" s="2617"/>
      <c r="AVY21" s="2617"/>
      <c r="AVZ21" s="2617"/>
      <c r="AWA21" s="2617"/>
      <c r="AWB21" s="2617"/>
      <c r="AWC21" s="2617"/>
      <c r="AWD21" s="2617"/>
      <c r="AWE21" s="2617"/>
      <c r="AWF21" s="2617"/>
      <c r="AWG21" s="2617"/>
      <c r="AWH21" s="2617"/>
      <c r="AWI21" s="2617"/>
      <c r="AWJ21" s="2617"/>
      <c r="AWK21" s="2617"/>
      <c r="AWL21" s="2617"/>
      <c r="AWM21" s="2617"/>
      <c r="AWN21" s="2617"/>
      <c r="AWO21" s="2617"/>
      <c r="AWP21" s="2617"/>
      <c r="AWQ21" s="2617"/>
      <c r="AWR21" s="2617"/>
      <c r="AWS21" s="2624"/>
      <c r="AWT21" s="2624"/>
      <c r="AWU21" s="2624"/>
      <c r="AWV21" s="2624"/>
      <c r="AWW21" s="2624"/>
      <c r="AWX21" s="2624"/>
      <c r="AWY21" s="2624"/>
      <c r="AWZ21" s="2624"/>
      <c r="AXA21" s="2624"/>
      <c r="AXB21" s="2624"/>
      <c r="AXC21" s="2624"/>
      <c r="AXD21" s="2624"/>
      <c r="AXE21" s="2624"/>
      <c r="AXF21" s="2624"/>
      <c r="AXG21" s="2624"/>
      <c r="AXH21" s="2624"/>
      <c r="AXI21" s="2624"/>
      <c r="AXJ21" s="2624"/>
      <c r="AXK21" s="2624"/>
      <c r="AXL21" s="2624"/>
      <c r="AXM21" s="2624"/>
      <c r="AXN21" s="2624"/>
      <c r="AXO21" s="2624"/>
      <c r="AXP21" s="2624"/>
      <c r="AXQ21" s="2624"/>
      <c r="AXR21" s="2624"/>
      <c r="AXS21" s="2624"/>
      <c r="AXT21" s="2624"/>
      <c r="AXU21" s="2624"/>
      <c r="AXV21" s="2624"/>
      <c r="AXW21" s="2624"/>
      <c r="AXX21" s="2624"/>
      <c r="AXY21" s="2624"/>
      <c r="AXZ21" s="2624"/>
      <c r="AYA21" s="2624"/>
      <c r="AYB21" s="2624"/>
      <c r="AYC21" s="2624"/>
      <c r="AYD21" s="2624"/>
      <c r="AYE21" s="2624"/>
      <c r="AYF21" s="2624"/>
      <c r="AYG21" s="2624"/>
      <c r="AYH21" s="2624"/>
      <c r="AYI21" s="2624"/>
      <c r="AYJ21" s="2624"/>
      <c r="AYK21" s="2624"/>
      <c r="AYL21" s="2624"/>
      <c r="AYM21" s="2624"/>
      <c r="AYN21" s="2624"/>
      <c r="AYO21" s="2624"/>
      <c r="AYP21" s="2624"/>
      <c r="AYQ21" s="2624"/>
      <c r="AYR21" s="2624"/>
      <c r="AYS21" s="2624"/>
      <c r="AYT21" s="2624"/>
      <c r="AYU21" s="2624"/>
      <c r="AYW21" s="2693"/>
      <c r="AYX21" s="2817"/>
      <c r="AYY21" s="2817"/>
      <c r="AYZ21" s="2817"/>
      <c r="AZA21" s="2817"/>
      <c r="AZB21" s="2817"/>
      <c r="AZC21" s="2817"/>
      <c r="AZD21" s="2817"/>
      <c r="AZE21" s="2817"/>
      <c r="AZF21" s="2817"/>
      <c r="AZG21" s="2817"/>
      <c r="AZH21" s="2817"/>
      <c r="AZI21" s="2817"/>
      <c r="AZJ21" s="2817"/>
      <c r="AZK21" s="2817"/>
      <c r="AZL21" s="2817"/>
      <c r="AZM21" s="2817"/>
      <c r="AZN21" s="2817"/>
      <c r="AZO21" s="2817"/>
      <c r="AZP21" s="2817"/>
      <c r="AZQ21" s="2817"/>
      <c r="AZR21" s="2817"/>
      <c r="AZS21" s="2817"/>
      <c r="AZT21" s="2817"/>
      <c r="AZU21" s="2817"/>
      <c r="AZV21" s="2817"/>
      <c r="AZY21" s="2693"/>
      <c r="AZZ21" s="2817"/>
      <c r="BAA21" s="2817"/>
      <c r="BAB21" s="2817"/>
      <c r="BAC21" s="2817"/>
      <c r="BAD21" s="2817"/>
      <c r="BAE21" s="2817"/>
      <c r="BAF21" s="2817"/>
      <c r="BAG21" s="2817"/>
      <c r="BAH21" s="2817"/>
      <c r="BAI21" s="2817"/>
      <c r="BAJ21" s="2817"/>
      <c r="BAM21" s="2693"/>
      <c r="BAN21" s="2817"/>
      <c r="BAO21" s="2817"/>
      <c r="BAP21" s="2817"/>
      <c r="BAQ21" s="2817"/>
      <c r="BAR21" s="2817"/>
      <c r="BAU21" s="2622"/>
      <c r="BAV21" s="372" t="s">
        <v>865</v>
      </c>
      <c r="BAW21" s="194"/>
      <c r="BAX21" s="194"/>
      <c r="BAY21" s="194"/>
      <c r="BAZ21" s="194"/>
      <c r="BBA21" s="194" t="s">
        <v>871</v>
      </c>
      <c r="BBB21" s="194"/>
      <c r="BBC21" s="194" t="s">
        <v>873</v>
      </c>
      <c r="BBD21" s="194"/>
      <c r="BBE21" s="194" t="s">
        <v>874</v>
      </c>
      <c r="BBF21" s="194"/>
      <c r="BBG21" s="194" t="s">
        <v>878</v>
      </c>
      <c r="BBH21" s="194"/>
      <c r="BBI21" s="194" t="s">
        <v>879</v>
      </c>
      <c r="BBJ21" s="194" t="s">
        <v>896</v>
      </c>
      <c r="BBK21" s="194"/>
      <c r="BBL21" s="2622"/>
      <c r="BBR21" s="3398"/>
      <c r="BCJ21" s="2617"/>
      <c r="BCK21" s="2617"/>
      <c r="BCL21" s="2617"/>
      <c r="BCM21" s="2617"/>
      <c r="BCN21" s="2617"/>
      <c r="BCO21" s="2617"/>
      <c r="BCP21" s="2617"/>
      <c r="BCQ21" s="2617"/>
      <c r="BCR21" s="2617"/>
      <c r="BCS21" s="2617"/>
      <c r="BCT21" s="2617"/>
      <c r="BCU21" s="2617"/>
      <c r="BCV21" s="2617"/>
      <c r="BCW21" s="2617"/>
      <c r="BCX21" s="2617"/>
      <c r="BCY21" s="2617"/>
      <c r="BCZ21" s="2617"/>
      <c r="BDA21" s="2617"/>
      <c r="BDB21" s="2617"/>
      <c r="BDC21" s="2617"/>
      <c r="BDD21" s="2617"/>
      <c r="BDE21" s="2617"/>
      <c r="BDF21" s="2617"/>
      <c r="BDG21" s="2617"/>
      <c r="BDH21" s="2617"/>
      <c r="BDI21" s="2617"/>
      <c r="BDL21" s="2617"/>
      <c r="BDM21" s="2617"/>
      <c r="BDN21" s="2617"/>
      <c r="BDO21" s="2617"/>
      <c r="BDP21" s="2617"/>
      <c r="BDQ21" s="2617"/>
      <c r="BDR21" s="2617"/>
      <c r="BDS21" s="2617"/>
      <c r="BDT21" s="2617"/>
      <c r="BDU21" s="2617"/>
      <c r="BDV21" s="2617"/>
      <c r="BDW21" s="2617"/>
      <c r="BDZ21" s="2617"/>
      <c r="BEA21" s="2617"/>
      <c r="BEB21" s="2617"/>
      <c r="BEC21" s="2617"/>
      <c r="BED21" s="2617"/>
      <c r="BEE21" s="2617"/>
      <c r="BEH21" s="2617"/>
    </row>
    <row r="22" spans="1:1490" ht="15" x14ac:dyDescent="0.2">
      <c r="B22" s="1665"/>
      <c r="C22" s="1665"/>
      <c r="D22" s="1665"/>
      <c r="CG22" s="2622"/>
      <c r="CH22" s="2622"/>
      <c r="CI22" s="2622"/>
      <c r="CJ22" s="2622"/>
      <c r="TK22" s="185" t="s">
        <v>1107</v>
      </c>
      <c r="TL22" s="185"/>
      <c r="TM22" s="206" t="str">
        <f>_List!DO8</f>
        <v>Dobbelt</v>
      </c>
      <c r="ZI22" s="2622"/>
      <c r="ZJ22" s="2622"/>
      <c r="ZK22" s="2622"/>
      <c r="ZL22" s="2622"/>
      <c r="ZM22" s="2622"/>
      <c r="ZN22" s="2622"/>
      <c r="ZO22" s="2622"/>
      <c r="ZP22" s="2622"/>
      <c r="ZQ22" s="2622"/>
      <c r="ZR22" s="2622"/>
      <c r="ZS22" s="2622"/>
      <c r="ZT22" s="2622"/>
      <c r="ZU22" s="2622"/>
      <c r="ZV22" s="2622"/>
      <c r="ZW22" s="2622"/>
      <c r="ZX22" s="2622"/>
      <c r="ZY22" s="2622"/>
      <c r="ZZ22" s="2622"/>
      <c r="AAA22" s="2622"/>
      <c r="AAB22" s="2622"/>
      <c r="AAC22" s="2622"/>
      <c r="AAD22" s="2622"/>
      <c r="AAE22" s="2622"/>
      <c r="AAF22" s="2622"/>
      <c r="AAG22" s="2622"/>
      <c r="AAH22" s="2622"/>
      <c r="AAI22" s="2622"/>
      <c r="AAJ22" s="2622"/>
      <c r="AAK22" s="2622"/>
      <c r="AAL22" s="2622"/>
      <c r="AAM22" s="2622"/>
      <c r="AAN22" s="2622"/>
      <c r="AAO22" s="2622"/>
      <c r="AAP22" s="2622"/>
      <c r="AAQ22" s="2622"/>
      <c r="AAR22" s="2622"/>
      <c r="AAS22" s="2622"/>
      <c r="AAT22" s="2622"/>
      <c r="AAU22" s="2622"/>
      <c r="AAV22" s="2622"/>
      <c r="AAW22" s="2622"/>
      <c r="AAX22" s="2622"/>
      <c r="AAY22" s="2622"/>
      <c r="AAZ22" s="2622"/>
      <c r="ABA22" s="2622"/>
      <c r="ABB22" s="2737"/>
      <c r="ABC22" s="2737"/>
      <c r="ABD22" s="2737"/>
      <c r="ABE22" s="2737"/>
      <c r="ABF22" s="2737"/>
      <c r="ABG22" s="2737"/>
      <c r="ABH22" s="2737"/>
      <c r="ABI22" s="2737"/>
      <c r="ABJ22" s="2622"/>
      <c r="ABK22" s="2622"/>
      <c r="ABL22" s="2737"/>
      <c r="ABM22" s="2737"/>
      <c r="ABN22" s="2737"/>
      <c r="ABO22" s="2737"/>
      <c r="ABP22" s="2737"/>
      <c r="ABQ22" s="2737"/>
      <c r="ABR22" s="2737"/>
      <c r="ABS22" s="2737"/>
      <c r="ABT22" s="2737"/>
      <c r="ABU22" s="2737"/>
      <c r="ABV22" s="2737"/>
      <c r="ABW22" s="2737"/>
      <c r="ABX22" s="2737"/>
      <c r="ABY22" s="2737"/>
      <c r="ABZ22" s="2737"/>
      <c r="ACA22" s="2737"/>
      <c r="ACB22" s="2737"/>
      <c r="ACC22" s="2737"/>
      <c r="ACD22" s="2737"/>
      <c r="ACE22" s="2622"/>
      <c r="ACF22" s="2737"/>
      <c r="ACG22" s="2737"/>
      <c r="ACH22" s="2737"/>
      <c r="ACI22" s="2737"/>
      <c r="ACJ22" s="2737"/>
      <c r="ACK22" s="2737"/>
      <c r="ACL22" s="2737"/>
      <c r="ACM22" s="2737"/>
      <c r="ACN22" s="2622"/>
      <c r="ACO22" s="2737"/>
      <c r="ACP22" s="2737"/>
      <c r="ACQ22" s="2737"/>
      <c r="ACR22" s="2737"/>
      <c r="ACS22" s="2737"/>
      <c r="ACT22" s="2737"/>
      <c r="ACU22" s="2737"/>
      <c r="ACV22" s="2737"/>
      <c r="ACW22" s="2622"/>
      <c r="ACX22" s="2737"/>
      <c r="ACY22" s="2737"/>
      <c r="ACZ22" s="2737"/>
      <c r="ADA22" s="2737"/>
      <c r="ADB22" s="2737"/>
      <c r="ADC22" s="2737"/>
      <c r="ADD22" s="2737"/>
      <c r="ADE22" s="2737"/>
      <c r="ADF22" s="2737"/>
      <c r="ADH22" s="2737"/>
      <c r="ADI22" s="2737"/>
      <c r="ADJ22" s="2737"/>
      <c r="ADK22" s="2737"/>
      <c r="ADL22" s="2737"/>
      <c r="ADM22" s="2737"/>
      <c r="ADN22" s="2737"/>
      <c r="ADO22" s="2737"/>
      <c r="ADQ22" s="2737"/>
      <c r="ADR22" s="2737"/>
      <c r="ADS22" s="2737"/>
      <c r="ADT22" s="2737"/>
      <c r="ADU22" s="2737"/>
      <c r="ADV22" s="2737"/>
      <c r="ADW22" s="2737"/>
      <c r="ADX22" s="2737"/>
      <c r="ADY22" s="2737"/>
      <c r="ADZ22" s="2737"/>
      <c r="AEA22" s="2737"/>
      <c r="AEB22" s="2737"/>
      <c r="AEC22" s="2737"/>
      <c r="AED22" s="2737"/>
      <c r="AEE22" s="2737"/>
      <c r="AEF22" s="2737"/>
      <c r="AEG22" s="2737"/>
      <c r="AEH22" s="2737"/>
      <c r="AEI22" s="2737"/>
      <c r="AEJ22" s="2737"/>
      <c r="AEK22" s="2737"/>
      <c r="AEL22" s="2737"/>
      <c r="AEM22" s="2737"/>
      <c r="AEN22" s="2737"/>
      <c r="AEO22" s="2737"/>
      <c r="AEP22" s="2737"/>
      <c r="AEQ22" s="2737"/>
      <c r="AER22" s="2737"/>
      <c r="AES22" s="2737"/>
      <c r="AET22" s="2737"/>
      <c r="AEU22" s="2737"/>
      <c r="AEV22" s="2737"/>
      <c r="AEW22" s="2737"/>
      <c r="AEX22" s="2737"/>
      <c r="AFG22" s="2737"/>
      <c r="AFP22" s="2737"/>
      <c r="AGI22" s="2737"/>
      <c r="AGN22" s="2622"/>
      <c r="AGR22" s="2737"/>
      <c r="AHB22" s="2737"/>
      <c r="AHJ22" s="2737"/>
      <c r="AHV22" s="2737"/>
      <c r="AHY22" s="2622"/>
      <c r="AII22" s="2622"/>
      <c r="AIJ22" s="2622"/>
      <c r="AIR22" s="2622"/>
      <c r="AIS22" s="2622"/>
      <c r="AJP22" s="2737"/>
      <c r="AKD22" s="2737"/>
      <c r="AKU22" s="2622"/>
      <c r="ALL22" s="2622"/>
      <c r="ALM22" s="2737"/>
      <c r="ALW22" s="2737"/>
      <c r="ALX22" s="2737"/>
      <c r="AMG22" s="2737"/>
      <c r="AOI22" s="2737"/>
      <c r="AOV22" s="4124"/>
      <c r="AOW22" s="5162"/>
      <c r="AOX22" s="5162"/>
      <c r="AOY22" s="5162"/>
      <c r="AOZ22" s="5162"/>
      <c r="APA22" s="5162"/>
      <c r="APB22" s="5162"/>
      <c r="APC22" s="5162"/>
      <c r="APD22" s="5162"/>
      <c r="APE22" s="5162"/>
      <c r="APT22" s="2737"/>
      <c r="AQE22" s="2622"/>
      <c r="ARE22" s="2622"/>
      <c r="ASA22" s="2622"/>
      <c r="ASJ22" s="2622"/>
      <c r="ASK22" s="2737"/>
      <c r="ASL22" s="2737"/>
      <c r="ASM22" s="2737"/>
      <c r="ASN22" s="2737"/>
      <c r="ASO22" s="2737"/>
      <c r="ASP22" s="2737"/>
      <c r="ASQ22" s="2737"/>
      <c r="ASR22" s="2737"/>
      <c r="ASS22" s="2737"/>
      <c r="ATA22" s="2622"/>
      <c r="ATB22" s="2622"/>
      <c r="ATC22" s="2622"/>
      <c r="ATD22" s="2622"/>
      <c r="ATE22" s="2622"/>
      <c r="ATF22" s="2622"/>
      <c r="ATG22" s="2622"/>
      <c r="ATH22" s="2622"/>
      <c r="ATI22" s="2622"/>
      <c r="ATJ22" s="2622"/>
      <c r="ATK22" s="2622"/>
      <c r="ATL22" s="3530" t="str">
        <f>_List!BB10</f>
        <v>T8,5</v>
      </c>
      <c r="ATM22" s="3530" t="str">
        <f t="shared" si="0"/>
        <v>Veg_T8,5</v>
      </c>
      <c r="ATN22" s="3440">
        <f t="shared" si="1"/>
        <v>8.5</v>
      </c>
      <c r="ATO22" s="3446">
        <f>_List!BC10</f>
        <v>61.92</v>
      </c>
      <c r="ATP22" s="3433">
        <f>_List!BD10</f>
        <v>49.66</v>
      </c>
      <c r="ATQ22" s="3430">
        <f>_List!BE10</f>
        <v>20.56</v>
      </c>
      <c r="ATR22" s="3431">
        <v>1.77</v>
      </c>
      <c r="ATS22" s="3527">
        <v>3.5910000000000002</v>
      </c>
      <c r="ATT22" s="3525">
        <f t="shared" si="2"/>
        <v>13.377999999999998</v>
      </c>
      <c r="ATU22" s="3449">
        <f>_List!BF10</f>
        <v>8.5</v>
      </c>
      <c r="ATV22" s="2622"/>
      <c r="ATW22" s="2622"/>
      <c r="ATX22" s="2622"/>
      <c r="ATY22" s="2617"/>
      <c r="ATZ22" s="3458"/>
      <c r="AUA22" s="3458"/>
      <c r="AUB22" s="3458"/>
      <c r="AUC22" s="3458"/>
      <c r="AUD22" s="3458"/>
      <c r="AUE22" s="3458"/>
      <c r="AUF22" s="3458"/>
      <c r="AUG22" s="3458"/>
      <c r="AUH22" s="3458"/>
      <c r="AUI22" s="3458"/>
      <c r="AUJ22" s="3458"/>
      <c r="AUK22" s="3458"/>
      <c r="AUL22" s="3458"/>
      <c r="AUM22" s="2617"/>
      <c r="AUN22" s="2617"/>
      <c r="AUO22" s="2617"/>
      <c r="AUP22" s="2617"/>
      <c r="AUQ22" s="2617"/>
      <c r="AUR22" s="2617"/>
      <c r="AUS22" s="2617"/>
      <c r="AUT22" s="2617"/>
      <c r="AUU22" s="2617"/>
      <c r="AUV22" s="2617"/>
      <c r="AUW22" s="181"/>
      <c r="AUX22" s="181"/>
      <c r="AUY22" s="181"/>
      <c r="AUZ22" s="181"/>
      <c r="AVA22" s="181"/>
      <c r="AVB22" s="181"/>
      <c r="AVC22" s="181"/>
      <c r="AVD22" s="181"/>
      <c r="AVE22" s="181"/>
      <c r="AVF22" s="181"/>
      <c r="AVG22" s="181"/>
      <c r="AVH22" s="181"/>
      <c r="AVI22" s="181"/>
      <c r="AVJ22" s="181"/>
      <c r="AVK22" s="181"/>
      <c r="AVL22" s="181"/>
      <c r="AVM22" s="181"/>
      <c r="AVN22" s="181"/>
      <c r="AVO22" s="181"/>
      <c r="AVP22" s="2617"/>
      <c r="AVQ22" s="2617"/>
      <c r="AVR22" s="2617"/>
      <c r="AVS22" s="181"/>
      <c r="AVT22" s="181"/>
      <c r="AVU22" s="181"/>
      <c r="AVV22" s="181"/>
      <c r="AVW22" s="181"/>
      <c r="AVX22" s="181"/>
      <c r="AVY22" s="181"/>
      <c r="AVZ22" s="181"/>
      <c r="AWA22" s="181"/>
      <c r="AWB22" s="181"/>
      <c r="AWC22" s="181"/>
      <c r="AWD22" s="181"/>
      <c r="AWE22" s="181"/>
      <c r="AWF22" s="181"/>
      <c r="AWG22" s="181"/>
      <c r="AWH22" s="181"/>
      <c r="AWI22" s="181"/>
      <c r="AWJ22" s="181"/>
      <c r="AWK22" s="181"/>
      <c r="AWL22" s="181"/>
      <c r="AWM22" s="181"/>
      <c r="AWN22" s="181"/>
      <c r="AWO22" s="181"/>
      <c r="AWP22" s="2617"/>
      <c r="AWQ22" s="2617"/>
      <c r="AWR22" s="2617"/>
      <c r="AWS22" s="2625"/>
      <c r="AWT22" s="2625"/>
      <c r="AWU22" s="2625"/>
      <c r="AWV22" s="2625"/>
      <c r="AWW22" s="2625"/>
      <c r="AWX22" s="2625"/>
      <c r="AWY22" s="2625"/>
      <c r="AWZ22" s="2625"/>
      <c r="AXA22" s="2625"/>
      <c r="AXB22" s="2625"/>
      <c r="AXC22" s="2625"/>
      <c r="AXD22" s="2625"/>
      <c r="AXE22" s="2625"/>
      <c r="AXF22" s="2625"/>
      <c r="AXG22" s="2625"/>
      <c r="AXH22" s="2625"/>
      <c r="AXI22" s="2625"/>
      <c r="AXJ22" s="2625"/>
      <c r="AXK22" s="2625"/>
      <c r="AXL22" s="2625"/>
      <c r="AXM22" s="2625"/>
      <c r="AXN22" s="2625"/>
      <c r="AXO22" s="2625"/>
      <c r="AXP22" s="2625"/>
      <c r="AXQ22" s="2625"/>
      <c r="AXR22" s="2625"/>
      <c r="AXS22" s="2625"/>
      <c r="AXT22" s="2625"/>
      <c r="AXU22" s="2625"/>
      <c r="AXV22" s="2625"/>
      <c r="AXW22" s="2625"/>
      <c r="AXX22" s="2625"/>
      <c r="AXY22" s="2625"/>
      <c r="AXZ22" s="2625"/>
      <c r="AYA22" s="2625"/>
      <c r="AYB22" s="2625"/>
      <c r="AYC22" s="2625"/>
      <c r="AYD22" s="2625"/>
      <c r="AYE22" s="2625"/>
      <c r="AYF22" s="2625"/>
      <c r="AYG22" s="2625"/>
      <c r="AYH22" s="2625"/>
      <c r="AYI22" s="2625"/>
      <c r="AYJ22" s="2625"/>
      <c r="AYK22" s="2625"/>
      <c r="AYL22" s="2625"/>
      <c r="AYM22" s="2625"/>
      <c r="AYN22" s="2625"/>
      <c r="AYO22" s="2625"/>
      <c r="AYP22" s="2625"/>
      <c r="AYQ22" s="2625"/>
      <c r="AYR22" s="2625"/>
      <c r="AYS22" s="2625"/>
      <c r="AYT22" s="2625"/>
      <c r="AYU22" s="2625"/>
      <c r="AYW22" s="2622"/>
      <c r="AYX22" s="2622"/>
      <c r="AYY22" s="2622"/>
      <c r="AYZ22" s="2622"/>
      <c r="AZA22" s="2622"/>
      <c r="AZB22" s="2622"/>
      <c r="AZC22" s="2622"/>
      <c r="AZD22" s="2622"/>
      <c r="AZE22" s="2622"/>
      <c r="AZF22" s="2622"/>
      <c r="AZG22" s="2622"/>
      <c r="AZH22" s="2622"/>
      <c r="AZI22" s="2622"/>
      <c r="AZJ22" s="2622"/>
      <c r="AZK22" s="2622"/>
      <c r="AZL22" s="2622"/>
      <c r="AZM22" s="2622"/>
      <c r="AZN22" s="2622"/>
      <c r="AZO22" s="2622"/>
      <c r="AZP22" s="2622"/>
      <c r="AZQ22" s="2622"/>
      <c r="AZR22" s="2622"/>
      <c r="AZS22" s="2622"/>
      <c r="AZT22" s="2622"/>
      <c r="AZU22" s="2622"/>
      <c r="AZV22" s="2622"/>
      <c r="AZY22" s="2622"/>
      <c r="AZZ22" s="2622"/>
      <c r="BAA22" s="2622"/>
      <c r="BAB22" s="2622"/>
      <c r="BAC22" s="2622"/>
      <c r="BAD22" s="2622"/>
      <c r="BAE22" s="2622"/>
      <c r="BAF22" s="2622"/>
      <c r="BAG22" s="2622"/>
      <c r="BAH22" s="2622"/>
      <c r="BAI22" s="2622"/>
      <c r="BAJ22" s="2622"/>
      <c r="BAM22" s="2622"/>
      <c r="BAN22" s="2622"/>
      <c r="BAO22" s="2622"/>
      <c r="BAP22" s="2622"/>
      <c r="BAQ22" s="2622"/>
      <c r="BAR22" s="2622"/>
      <c r="BAU22" s="2622"/>
      <c r="BAV22" s="185" t="s">
        <v>189</v>
      </c>
      <c r="BAW22" s="199"/>
      <c r="BAX22" s="199" t="s">
        <v>893</v>
      </c>
      <c r="BAY22" s="2681" t="s">
        <v>872</v>
      </c>
      <c r="BAZ22" s="199"/>
      <c r="BBA22" s="199">
        <v>80</v>
      </c>
      <c r="BBB22" s="199"/>
      <c r="BBC22" s="2681" t="s">
        <v>872</v>
      </c>
      <c r="BBD22" s="2681"/>
      <c r="BBE22" s="2681" t="s">
        <v>872</v>
      </c>
      <c r="BBF22" s="2681"/>
      <c r="BBG22" s="199" t="s">
        <v>169</v>
      </c>
      <c r="BBH22" s="199"/>
      <c r="BBI22" s="199" t="s">
        <v>169</v>
      </c>
      <c r="BBJ22" s="199"/>
      <c r="BBK22" s="199"/>
      <c r="BBL22" s="2681" t="s">
        <v>902</v>
      </c>
      <c r="BBR22" s="3398"/>
      <c r="BCJ22" s="2617"/>
      <c r="BCK22" s="2617"/>
      <c r="BCL22" s="2617"/>
      <c r="BCM22" s="2617"/>
      <c r="BCN22" s="2617"/>
      <c r="BCO22" s="2617"/>
      <c r="BCP22" s="2617"/>
      <c r="BCQ22" s="2617"/>
      <c r="BCR22" s="2617"/>
      <c r="BCS22" s="2617"/>
      <c r="BCT22" s="2617"/>
      <c r="BCU22" s="2617"/>
      <c r="BCV22" s="2617"/>
      <c r="BCW22" s="2617"/>
      <c r="BCX22" s="2617"/>
      <c r="BCY22" s="2617"/>
      <c r="BCZ22" s="2617"/>
      <c r="BDA22" s="2617"/>
      <c r="BDB22" s="2617"/>
      <c r="BDC22" s="2617"/>
      <c r="BDD22" s="2617"/>
      <c r="BDE22" s="2617"/>
      <c r="BDF22" s="2617"/>
      <c r="BDG22" s="2617"/>
      <c r="BDH22" s="2617"/>
      <c r="BDI22" s="2617"/>
      <c r="BDL22" s="2617"/>
      <c r="BDM22" s="2617"/>
      <c r="BDN22" s="2617"/>
      <c r="BDO22" s="2617"/>
      <c r="BDP22" s="2617"/>
      <c r="BDQ22" s="2617"/>
      <c r="BDR22" s="2617"/>
      <c r="BDS22" s="2617"/>
      <c r="BDT22" s="2617"/>
      <c r="BDU22" s="2617"/>
      <c r="BDV22" s="2617"/>
      <c r="BDW22" s="2617"/>
      <c r="BDZ22" s="2617"/>
      <c r="BEA22" s="2617"/>
      <c r="BEB22" s="2617"/>
      <c r="BEC22" s="2617"/>
      <c r="BED22" s="2617"/>
      <c r="BEE22" s="2617"/>
      <c r="BEH22" s="2617"/>
    </row>
    <row r="23" spans="1:1490" ht="15" x14ac:dyDescent="0.2">
      <c r="B23" s="1665" t="s">
        <v>2258</v>
      </c>
      <c r="C23" s="3680" t="s">
        <v>2259</v>
      </c>
      <c r="D23" s="1665"/>
      <c r="E23" s="3594"/>
      <c r="F23" s="3594"/>
      <c r="CG23" s="433" t="s">
        <v>996</v>
      </c>
      <c r="CH23" s="2622"/>
      <c r="CI23" s="2622"/>
      <c r="CJ23" s="2622"/>
      <c r="ZI23" s="2622"/>
      <c r="ZJ23" s="2622"/>
      <c r="ZK23" s="2622"/>
      <c r="ZL23" s="2622"/>
      <c r="ZM23" s="2622"/>
      <c r="ZN23" s="2622"/>
      <c r="ZO23" s="2622"/>
      <c r="ZP23" s="2622"/>
      <c r="ZQ23" s="2622"/>
      <c r="ZR23" s="2622"/>
      <c r="ZS23" s="2622"/>
      <c r="ZT23" s="2622"/>
      <c r="ZU23" s="2622"/>
      <c r="ZV23" s="2622"/>
      <c r="ZW23" s="2622"/>
      <c r="ZX23" s="2622"/>
      <c r="ZY23" s="2622"/>
      <c r="ZZ23" s="2622"/>
      <c r="AAA23" s="2622"/>
      <c r="AAB23" s="2622"/>
      <c r="AAC23" s="2622"/>
      <c r="AAD23" s="2622"/>
      <c r="AAE23" s="2622"/>
      <c r="AAF23" s="2622"/>
      <c r="AAG23" s="2622"/>
      <c r="AAH23" s="2622"/>
      <c r="AAI23" s="2622"/>
      <c r="AAJ23" s="2622"/>
      <c r="AAK23" s="2622"/>
      <c r="AAL23" s="2622"/>
      <c r="AAM23" s="2622"/>
      <c r="AAN23" s="2622"/>
      <c r="AAO23" s="2622"/>
      <c r="AAP23" s="2622"/>
      <c r="AAQ23" s="2622"/>
      <c r="AAR23" s="2622"/>
      <c r="AAS23" s="2622"/>
      <c r="AAT23" s="2622"/>
      <c r="AAU23" s="2622"/>
      <c r="AAV23" s="2622"/>
      <c r="AAW23" s="2622"/>
      <c r="AAX23" s="2622"/>
      <c r="AAY23" s="2622"/>
      <c r="AAZ23" s="2622"/>
      <c r="ABA23" s="2622"/>
      <c r="ABB23" s="2737"/>
      <c r="ABC23" s="2737"/>
      <c r="ABD23" s="2737"/>
      <c r="ABE23" s="2737"/>
      <c r="ABF23" s="2737"/>
      <c r="ABG23" s="2737"/>
      <c r="ABH23" s="2737"/>
      <c r="ABI23" s="2737"/>
      <c r="ABJ23" s="2622"/>
      <c r="ABK23" s="2622"/>
      <c r="ABL23" s="2737"/>
      <c r="ABM23" s="2737"/>
      <c r="ABN23" s="2737"/>
      <c r="ABO23" s="2737"/>
      <c r="ABP23" s="2737"/>
      <c r="ABQ23" s="2737"/>
      <c r="ABR23" s="2737"/>
      <c r="ABS23" s="2737"/>
      <c r="ABT23" s="2737"/>
      <c r="ABU23" s="2737"/>
      <c r="ABV23" s="2737"/>
      <c r="ABW23" s="2737"/>
      <c r="ABX23" s="2737"/>
      <c r="ABY23" s="2737"/>
      <c r="ABZ23" s="2737"/>
      <c r="ACA23" s="2737"/>
      <c r="ACB23" s="2737"/>
      <c r="ACC23" s="2737"/>
      <c r="ACD23" s="2737"/>
      <c r="ACE23" s="2622"/>
      <c r="ACF23" s="2737"/>
      <c r="ACG23" s="2737"/>
      <c r="ACH23" s="2737"/>
      <c r="ACI23" s="2737"/>
      <c r="ACJ23" s="2737"/>
      <c r="ACK23" s="2737"/>
      <c r="ACL23" s="2737"/>
      <c r="ACM23" s="2737"/>
      <c r="ACN23" s="2622"/>
      <c r="ACO23" s="2737"/>
      <c r="ACP23" s="2737"/>
      <c r="ACQ23" s="2737"/>
      <c r="ACR23" s="2737"/>
      <c r="ACS23" s="2737"/>
      <c r="ACT23" s="2737"/>
      <c r="ACU23" s="2737"/>
      <c r="ACV23" s="2737"/>
      <c r="ACW23" s="2622"/>
      <c r="ACX23" s="2737"/>
      <c r="ACY23" s="2737"/>
      <c r="ACZ23" s="2737"/>
      <c r="ADA23" s="2737"/>
      <c r="ADB23" s="2737"/>
      <c r="ADC23" s="2737"/>
      <c r="ADD23" s="2737"/>
      <c r="ADE23" s="2737"/>
      <c r="ADF23" s="2737"/>
      <c r="ADH23" s="2737"/>
      <c r="ADI23" s="2737"/>
      <c r="ADJ23" s="2737"/>
      <c r="ADK23" s="2737"/>
      <c r="ADL23" s="2737"/>
      <c r="ADM23" s="2737"/>
      <c r="ADN23" s="2737"/>
      <c r="ADO23" s="2737"/>
      <c r="ADQ23" s="2737"/>
      <c r="ADR23" s="2737"/>
      <c r="ADS23" s="2737"/>
      <c r="ADT23" s="2737"/>
      <c r="ADU23" s="2737"/>
      <c r="ADV23" s="2737"/>
      <c r="ADW23" s="2737"/>
      <c r="ADX23" s="2737"/>
      <c r="ADY23" s="2737"/>
      <c r="ADZ23" s="2737"/>
      <c r="AEA23" s="2737"/>
      <c r="AEB23" s="2737"/>
      <c r="AEC23" s="2737"/>
      <c r="AED23" s="2737"/>
      <c r="AEE23" s="2737"/>
      <c r="AEF23" s="2737"/>
      <c r="AEG23" s="2737"/>
      <c r="AEH23" s="2737"/>
      <c r="AEI23" s="2737"/>
      <c r="AEJ23" s="2737"/>
      <c r="AEK23" s="2737"/>
      <c r="AEL23" s="2737"/>
      <c r="AEM23" s="2737"/>
      <c r="AEN23" s="2737"/>
      <c r="AEO23" s="2737"/>
      <c r="AEP23" s="2737"/>
      <c r="AEQ23" s="2737"/>
      <c r="AER23" s="2737"/>
      <c r="AES23" s="2737"/>
      <c r="AET23" s="2737"/>
      <c r="AEU23" s="2737"/>
      <c r="AEV23" s="2737"/>
      <c r="AEW23" s="2737"/>
      <c r="AEX23" s="2737"/>
      <c r="AFG23" s="2737"/>
      <c r="AFP23" s="2737"/>
      <c r="AGI23" s="2737"/>
      <c r="AGN23" s="2622"/>
      <c r="AGR23" s="2737"/>
      <c r="AHB23" s="2737"/>
      <c r="AHJ23" s="2737"/>
      <c r="AHV23" s="2737"/>
      <c r="AHY23" s="2622"/>
      <c r="AII23" s="2622"/>
      <c r="AIJ23" s="2622"/>
      <c r="AIR23" s="2622"/>
      <c r="AIS23" s="2622"/>
      <c r="AJP23" s="2737"/>
      <c r="AKD23" s="2737"/>
      <c r="AKU23" s="2622"/>
      <c r="ALL23" s="2622"/>
      <c r="ALM23" s="2737"/>
      <c r="ALW23" s="2737"/>
      <c r="ALX23" s="2737"/>
      <c r="AMG23" s="2737"/>
      <c r="AOI23" s="2737"/>
      <c r="AOV23" s="4124"/>
      <c r="AOW23" s="5162"/>
      <c r="AOX23" s="5162"/>
      <c r="AOY23" s="5162"/>
      <c r="AOZ23" s="5162"/>
      <c r="APA23" s="5162"/>
      <c r="APB23" s="5162"/>
      <c r="APC23" s="5162"/>
      <c r="APD23" s="5162"/>
      <c r="APE23" s="5162"/>
      <c r="APT23" s="2737"/>
      <c r="AQE23" s="2622"/>
      <c r="ARE23" s="2622"/>
      <c r="ASA23" s="2622"/>
      <c r="ASJ23" s="2622"/>
      <c r="ASK23" s="2737"/>
      <c r="ASL23" s="2737"/>
      <c r="ASM23" s="2737"/>
      <c r="ASN23" s="2737"/>
      <c r="ASO23" s="2737"/>
      <c r="ASP23" s="2737"/>
      <c r="ASQ23" s="2737"/>
      <c r="ASR23" s="2737"/>
      <c r="ASS23" s="2737"/>
      <c r="ATA23" s="2622"/>
      <c r="ATB23" s="2622"/>
      <c r="ATC23" s="2622"/>
      <c r="ATD23" s="2622"/>
      <c r="ATE23" s="2622"/>
      <c r="ATF23" s="2622"/>
      <c r="ATG23" s="2622"/>
      <c r="ATH23" s="2622"/>
      <c r="ATI23" s="2622"/>
      <c r="ATJ23" s="2622"/>
      <c r="ATK23" s="2622"/>
      <c r="ATL23" s="3530" t="str">
        <f>_List!BB11</f>
        <v>T9,5</v>
      </c>
      <c r="ATM23" s="3530" t="str">
        <f t="shared" si="0"/>
        <v>Veg_T9,5</v>
      </c>
      <c r="ATN23" s="3440">
        <f t="shared" si="1"/>
        <v>9.5</v>
      </c>
      <c r="ATO23" s="3446">
        <f>_List!BC11</f>
        <v>66.62</v>
      </c>
      <c r="ATP23" s="3433">
        <f>_List!BD11</f>
        <v>53.61</v>
      </c>
      <c r="ATQ23" s="3430">
        <f>_List!BE11</f>
        <v>21.04</v>
      </c>
      <c r="ATR23" s="3431">
        <v>1.57</v>
      </c>
      <c r="ATS23" s="3527">
        <v>3.5779999999999998</v>
      </c>
      <c r="ATT23" s="3525">
        <f t="shared" si="2"/>
        <v>13.884</v>
      </c>
      <c r="ATU23" s="3449">
        <f>_List!BF11</f>
        <v>9.5</v>
      </c>
      <c r="ATV23" s="2622"/>
      <c r="ATW23" s="2622"/>
      <c r="ATX23" s="2622"/>
      <c r="ATY23" s="2617"/>
      <c r="ATZ23" s="3458"/>
      <c r="AUA23" s="3458"/>
      <c r="AUB23" s="3458"/>
      <c r="AUC23" s="3458"/>
      <c r="AUD23" s="3458"/>
      <c r="AUE23" s="3458"/>
      <c r="AUF23" s="3458"/>
      <c r="AUG23" s="3458"/>
      <c r="AUH23" s="3458"/>
      <c r="AUI23" s="3458"/>
      <c r="AUJ23" s="3458"/>
      <c r="AUK23" s="3458"/>
      <c r="AUL23" s="3458"/>
      <c r="AUM23" s="2617"/>
      <c r="AUN23" s="2617"/>
      <c r="AUO23" s="2617"/>
      <c r="AUP23" s="2617"/>
      <c r="AUQ23" s="2617"/>
      <c r="AUR23" s="2617"/>
      <c r="AUS23" s="2617"/>
      <c r="AUT23" s="2617"/>
      <c r="AUU23" s="2617"/>
      <c r="AUV23" s="2617"/>
      <c r="AUW23" s="181"/>
      <c r="AUX23" s="181"/>
      <c r="AUY23" s="181"/>
      <c r="AUZ23" s="181"/>
      <c r="AVA23" s="181"/>
      <c r="AVB23" s="181"/>
      <c r="AVC23" s="181"/>
      <c r="AVD23" s="181"/>
      <c r="AVE23" s="181"/>
      <c r="AVF23" s="181"/>
      <c r="AVG23" s="181"/>
      <c r="AVH23" s="181"/>
      <c r="AVI23" s="181"/>
      <c r="AVJ23" s="181"/>
      <c r="AVK23" s="181"/>
      <c r="AVL23" s="181"/>
      <c r="AVM23" s="181"/>
      <c r="AVN23" s="181"/>
      <c r="AVO23" s="181"/>
      <c r="AVP23" s="2617"/>
      <c r="AVQ23" s="2617"/>
      <c r="AVR23" s="2617"/>
      <c r="AVS23" s="181"/>
      <c r="AVT23" s="181"/>
      <c r="AVU23" s="181"/>
      <c r="AVV23" s="181"/>
      <c r="AVW23" s="181"/>
      <c r="AVX23" s="181"/>
      <c r="AVY23" s="181"/>
      <c r="AVZ23" s="181"/>
      <c r="AWA23" s="181"/>
      <c r="AWB23" s="181"/>
      <c r="AWC23" s="181"/>
      <c r="AWD23" s="181"/>
      <c r="AWE23" s="181"/>
      <c r="AWF23" s="181"/>
      <c r="AWG23" s="181"/>
      <c r="AWH23" s="181"/>
      <c r="AWI23" s="181"/>
      <c r="AWJ23" s="181"/>
      <c r="AWK23" s="181"/>
      <c r="AWL23" s="181"/>
      <c r="AWM23" s="181"/>
      <c r="AWN23" s="181"/>
      <c r="AWO23" s="181"/>
      <c r="AWP23" s="2617"/>
      <c r="AWQ23" s="2617"/>
      <c r="AWR23" s="181"/>
      <c r="AWS23" s="2625"/>
      <c r="AWT23" s="2625"/>
      <c r="AWU23" s="2625"/>
      <c r="AWV23" s="2625"/>
      <c r="AWW23" s="2625"/>
      <c r="AWX23" s="2625"/>
      <c r="AWY23" s="2625"/>
      <c r="AWZ23" s="2625"/>
      <c r="AXA23" s="2625"/>
      <c r="AXB23" s="2625"/>
      <c r="AXC23" s="2625"/>
      <c r="AXD23" s="2625"/>
      <c r="AXE23" s="2625"/>
      <c r="AXF23" s="2625"/>
      <c r="AXG23" s="2625"/>
      <c r="AXH23" s="2625"/>
      <c r="AXI23" s="2625"/>
      <c r="AXJ23" s="2625"/>
      <c r="AXK23" s="2625"/>
      <c r="AXL23" s="2625"/>
      <c r="AXM23" s="2625"/>
      <c r="AXN23" s="2625"/>
      <c r="AXO23" s="2625"/>
      <c r="AXP23" s="2625"/>
      <c r="AXQ23" s="2625"/>
      <c r="AXR23" s="2625"/>
      <c r="AXS23" s="2625"/>
      <c r="AXT23" s="2625"/>
      <c r="AXU23" s="2625"/>
      <c r="AXV23" s="2625"/>
      <c r="AXW23" s="2625"/>
      <c r="AXX23" s="2625"/>
      <c r="AXY23" s="2625"/>
      <c r="AXZ23" s="2625"/>
      <c r="AYA23" s="2625"/>
      <c r="AYB23" s="2625"/>
      <c r="AYC23" s="2625"/>
      <c r="AYD23" s="2625"/>
      <c r="AYE23" s="2625"/>
      <c r="AYF23" s="2625"/>
      <c r="AYG23" s="2625"/>
      <c r="AYH23" s="2625"/>
      <c r="AYI23" s="2625"/>
      <c r="AYJ23" s="2625"/>
      <c r="AYK23" s="2625"/>
      <c r="AYL23" s="2625"/>
      <c r="AYM23" s="2625"/>
      <c r="AYN23" s="2625"/>
      <c r="AYO23" s="2625"/>
      <c r="AYP23" s="2625"/>
      <c r="AYQ23" s="2625"/>
      <c r="AYR23" s="2625"/>
      <c r="AYS23" s="2625"/>
      <c r="AYT23" s="2625"/>
      <c r="AYU23" s="3414" t="s">
        <v>1065</v>
      </c>
      <c r="AYW23" s="2622"/>
      <c r="AYX23" s="2622"/>
      <c r="AYY23" s="2622"/>
      <c r="AYZ23" s="2622"/>
      <c r="AZA23" s="2622"/>
      <c r="AZB23" s="2622"/>
      <c r="AZC23" s="2622"/>
      <c r="AZD23" s="2622"/>
      <c r="AZE23" s="2622"/>
      <c r="AZF23" s="2622"/>
      <c r="AZG23" s="2622"/>
      <c r="AZH23" s="2622"/>
      <c r="AZI23" s="2622"/>
      <c r="AZJ23" s="2622"/>
      <c r="AZK23" s="2622"/>
      <c r="AZL23" s="2622"/>
      <c r="AZM23" s="2622"/>
      <c r="AZN23" s="2622"/>
      <c r="AZO23" s="2622"/>
      <c r="AZP23" s="2622"/>
      <c r="AZQ23" s="2622"/>
      <c r="AZR23" s="2622"/>
      <c r="AZS23" s="2622"/>
      <c r="AZT23" s="2622"/>
      <c r="AZU23" s="2622"/>
      <c r="AZV23" s="2622"/>
      <c r="AZY23" s="2622"/>
      <c r="AZZ23" s="2622"/>
      <c r="BAA23" s="2622"/>
      <c r="BAB23" s="2622"/>
      <c r="BAC23" s="2622"/>
      <c r="BAD23" s="2622"/>
      <c r="BAE23" s="2622"/>
      <c r="BAF23" s="2622"/>
      <c r="BAG23" s="2622"/>
      <c r="BAH23" s="2622"/>
      <c r="BAI23" s="2622"/>
      <c r="BAJ23" s="2622"/>
      <c r="BAM23" s="2622"/>
      <c r="BAN23" s="2622"/>
      <c r="BAO23" s="2622"/>
      <c r="BAP23" s="2622"/>
      <c r="BAQ23" s="2622"/>
      <c r="BAR23" s="2622"/>
      <c r="BAU23" s="2622"/>
      <c r="BAV23" s="185" t="s">
        <v>190</v>
      </c>
      <c r="BAW23" s="199"/>
      <c r="BAX23" s="199" t="s">
        <v>893</v>
      </c>
      <c r="BAY23" s="2681" t="s">
        <v>872</v>
      </c>
      <c r="BAZ23" s="199"/>
      <c r="BBA23" s="199">
        <v>80</v>
      </c>
      <c r="BBB23" s="199"/>
      <c r="BBC23" s="2681" t="s">
        <v>872</v>
      </c>
      <c r="BBD23" s="2681"/>
      <c r="BBE23" s="2681" t="s">
        <v>872</v>
      </c>
      <c r="BBF23" s="2681"/>
      <c r="BBG23" s="199" t="s">
        <v>169</v>
      </c>
      <c r="BBH23" s="199"/>
      <c r="BBI23" s="199" t="s">
        <v>169</v>
      </c>
      <c r="BBJ23" s="199"/>
      <c r="BBK23" s="199"/>
      <c r="BBL23" s="2681" t="s">
        <v>902</v>
      </c>
      <c r="BBR23" s="3398"/>
      <c r="BCJ23" s="2617"/>
      <c r="BCK23" s="2617"/>
      <c r="BCL23" s="2617"/>
      <c r="BCM23" s="2617"/>
      <c r="BCN23" s="2617"/>
      <c r="BCO23" s="2617"/>
      <c r="BCP23" s="2617"/>
      <c r="BCQ23" s="2617"/>
      <c r="BCR23" s="2617"/>
      <c r="BCS23" s="2617"/>
      <c r="BCT23" s="2617"/>
      <c r="BCU23" s="2617"/>
      <c r="BCV23" s="2617"/>
      <c r="BCW23" s="2617"/>
      <c r="BCX23" s="2617"/>
      <c r="BCY23" s="2617"/>
      <c r="BCZ23" s="2617"/>
      <c r="BDA23" s="2617"/>
      <c r="BDB23" s="2617"/>
      <c r="BDC23" s="2617"/>
      <c r="BDD23" s="2617"/>
      <c r="BDE23" s="2617"/>
      <c r="BDF23" s="2617"/>
      <c r="BDG23" s="2617"/>
      <c r="BDH23" s="2617"/>
      <c r="BDI23" s="2617"/>
      <c r="BDL23" s="2617"/>
      <c r="BDM23" s="2617"/>
      <c r="BDN23" s="2617"/>
      <c r="BDO23" s="2617"/>
      <c r="BDP23" s="2617"/>
      <c r="BDQ23" s="2617"/>
      <c r="BDR23" s="2617"/>
      <c r="BDS23" s="2617"/>
      <c r="BDT23" s="2617"/>
      <c r="BDU23" s="2617"/>
      <c r="BDV23" s="2617"/>
      <c r="BDW23" s="2617"/>
      <c r="BDZ23" s="2617"/>
      <c r="BEA23" s="2617"/>
      <c r="BEB23" s="2617"/>
      <c r="BEC23" s="2617"/>
      <c r="BED23" s="2617"/>
      <c r="BEE23" s="2617"/>
      <c r="BEH23" s="2617"/>
    </row>
    <row r="24" spans="1:1490" ht="30.75" x14ac:dyDescent="0.2">
      <c r="B24" s="1665"/>
      <c r="C24" s="1665"/>
      <c r="D24" s="1665"/>
      <c r="AU24" s="2970" t="s">
        <v>938</v>
      </c>
      <c r="AW24" s="2622"/>
      <c r="AX24" s="2622"/>
      <c r="AY24" s="2622"/>
      <c r="AZ24" s="2622"/>
      <c r="DJ24" s="2625"/>
      <c r="DK24" s="2625"/>
      <c r="ZI24" s="2622"/>
      <c r="ZJ24" s="2622"/>
      <c r="ZK24" s="2622"/>
      <c r="ZL24" s="2622"/>
      <c r="ZM24" s="2622"/>
      <c r="ZN24" s="2622"/>
      <c r="ZO24" s="2622"/>
      <c r="ZP24" s="2622"/>
      <c r="ZQ24" s="2622"/>
      <c r="ZR24" s="2622"/>
      <c r="ZS24" s="2622"/>
      <c r="ZT24" s="2622"/>
      <c r="ZU24" s="2622"/>
      <c r="ZV24" s="2622"/>
      <c r="ZW24" s="2622"/>
      <c r="ZX24" s="2622"/>
      <c r="ZY24" s="2622"/>
      <c r="ZZ24" s="2622"/>
      <c r="AAA24" s="2622"/>
      <c r="AAB24" s="2622"/>
      <c r="AAC24" s="2622"/>
      <c r="AAD24" s="2622"/>
      <c r="AAE24" s="2622"/>
      <c r="AAF24" s="2622"/>
      <c r="AAG24" s="2622"/>
      <c r="AAH24" s="2622"/>
      <c r="AAI24" s="2622"/>
      <c r="AAJ24" s="2622"/>
      <c r="AAK24" s="2622"/>
      <c r="AAL24" s="2622"/>
      <c r="AAM24" s="2622"/>
      <c r="AAN24" s="2622"/>
      <c r="AAO24" s="2622"/>
      <c r="AAP24" s="2622"/>
      <c r="AAQ24" s="2622"/>
      <c r="AAR24" s="2622"/>
      <c r="AAS24" s="2622"/>
      <c r="AAT24" s="2622"/>
      <c r="AAU24" s="2622"/>
      <c r="AAV24" s="2622"/>
      <c r="AAW24" s="2622"/>
      <c r="AAX24" s="2622"/>
      <c r="AAY24" s="2622"/>
      <c r="AAZ24" s="2622"/>
      <c r="ABA24" s="2622"/>
      <c r="ABB24" s="2737"/>
      <c r="ABC24" s="2737"/>
      <c r="ABD24" s="2737"/>
      <c r="ABE24" s="2737"/>
      <c r="ABF24" s="2737"/>
      <c r="ABG24" s="2737"/>
      <c r="ABH24" s="2737"/>
      <c r="ABI24" s="2737"/>
      <c r="ABJ24" s="2622"/>
      <c r="ABK24" s="2622"/>
      <c r="ABL24" s="2737"/>
      <c r="ABM24" s="2737"/>
      <c r="ABN24" s="2737"/>
      <c r="ABO24" s="2737"/>
      <c r="ABP24" s="2737"/>
      <c r="ABQ24" s="2737"/>
      <c r="ABR24" s="2737"/>
      <c r="ABS24" s="2737"/>
      <c r="ABT24" s="2737"/>
      <c r="ABU24" s="2737"/>
      <c r="ABV24" s="2737"/>
      <c r="ABW24" s="2737"/>
      <c r="ABX24" s="2737"/>
      <c r="ABY24" s="2737"/>
      <c r="ABZ24" s="2737"/>
      <c r="ACA24" s="2737"/>
      <c r="ACB24" s="2737"/>
      <c r="ACC24" s="2737"/>
      <c r="ACD24" s="2737"/>
      <c r="ACE24" s="2622"/>
      <c r="ACF24" s="2737"/>
      <c r="ACG24" s="2737"/>
      <c r="ACH24" s="2737"/>
      <c r="ACI24" s="2737"/>
      <c r="ACJ24" s="2737"/>
      <c r="ACK24" s="2737"/>
      <c r="ACL24" s="2737"/>
      <c r="ACM24" s="2737"/>
      <c r="ACN24" s="2622"/>
      <c r="ACO24" s="2737"/>
      <c r="ACP24" s="2737"/>
      <c r="ACQ24" s="2737"/>
      <c r="ACR24" s="2737"/>
      <c r="ACS24" s="2737"/>
      <c r="ACT24" s="2737"/>
      <c r="ACU24" s="2737"/>
      <c r="ACV24" s="2737"/>
      <c r="ACW24" s="2622"/>
      <c r="ACX24" s="2737"/>
      <c r="ACY24" s="2737"/>
      <c r="ACZ24" s="2737"/>
      <c r="ADA24" s="2737"/>
      <c r="ADB24" s="2737"/>
      <c r="ADC24" s="2737"/>
      <c r="ADD24" s="2737"/>
      <c r="ADE24" s="2737"/>
      <c r="ADF24" s="2737"/>
      <c r="ADH24" s="2737"/>
      <c r="ADI24" s="2737"/>
      <c r="ADJ24" s="2737"/>
      <c r="ADK24" s="2737"/>
      <c r="ADL24" s="2737"/>
      <c r="ADM24" s="2737"/>
      <c r="ADN24" s="2737"/>
      <c r="ADO24" s="2737"/>
      <c r="ADQ24" s="2737"/>
      <c r="ADR24" s="2737"/>
      <c r="ADS24" s="2737"/>
      <c r="ADT24" s="2737"/>
      <c r="ADU24" s="2737"/>
      <c r="ADV24" s="2737"/>
      <c r="ADW24" s="2737"/>
      <c r="ADX24" s="2737"/>
      <c r="ADY24" s="2737"/>
      <c r="ADZ24" s="2737"/>
      <c r="AEA24" s="2737"/>
      <c r="AEB24" s="2737"/>
      <c r="AEC24" s="2737"/>
      <c r="AED24" s="2737"/>
      <c r="AEE24" s="2737"/>
      <c r="AEF24" s="2737"/>
      <c r="AEG24" s="2737"/>
      <c r="AEH24" s="2737"/>
      <c r="AEI24" s="2737"/>
      <c r="AEJ24" s="2737"/>
      <c r="AEK24" s="2737"/>
      <c r="AEL24" s="2737"/>
      <c r="AEM24" s="2737"/>
      <c r="AEN24" s="2737"/>
      <c r="AEO24" s="2737"/>
      <c r="AEP24" s="2737"/>
      <c r="AEQ24" s="2737"/>
      <c r="AER24" s="2737"/>
      <c r="AES24" s="2737"/>
      <c r="AET24" s="2737"/>
      <c r="AEU24" s="2737"/>
      <c r="AEV24" s="2737"/>
      <c r="AEW24" s="2737"/>
      <c r="AEX24" s="2737"/>
      <c r="AFG24" s="2737"/>
      <c r="AFP24" s="2737"/>
      <c r="AGI24" s="2737"/>
      <c r="AGN24" s="2622"/>
      <c r="AGR24" s="2737"/>
      <c r="AHB24" s="2737"/>
      <c r="AHJ24" s="2737"/>
      <c r="AHV24" s="2737"/>
      <c r="AHY24" s="2622"/>
      <c r="AII24" s="2622"/>
      <c r="AIJ24" s="2622"/>
      <c r="AIR24" s="2622"/>
      <c r="AIS24" s="2622"/>
      <c r="AJP24" s="2737"/>
      <c r="AKD24" s="2737"/>
      <c r="AKU24" s="2622"/>
      <c r="ALL24" s="2622"/>
      <c r="ALM24" s="2737"/>
      <c r="ALW24" s="2737"/>
      <c r="ALX24" s="2737"/>
      <c r="AMG24" s="2737"/>
      <c r="AOI24" s="2737"/>
      <c r="AOV24" s="4124"/>
      <c r="AOW24" s="5162"/>
      <c r="AOX24" s="5162"/>
      <c r="AOY24" s="5162"/>
      <c r="AOZ24" s="5162"/>
      <c r="APA24" s="5162"/>
      <c r="APB24" s="5162"/>
      <c r="APC24" s="5162"/>
      <c r="APD24" s="5162"/>
      <c r="APE24" s="5162"/>
      <c r="APT24" s="2737"/>
      <c r="AQE24" s="2622"/>
      <c r="ARE24" s="2622"/>
      <c r="ASA24" s="2622"/>
      <c r="ASJ24" s="2622"/>
      <c r="ASK24" s="2737"/>
      <c r="ASL24" s="2737"/>
      <c r="ASM24" s="2737"/>
      <c r="ASN24" s="2737"/>
      <c r="ASO24" s="2737"/>
      <c r="ASP24" s="2737"/>
      <c r="ASQ24" s="2737"/>
      <c r="ASR24" s="2737"/>
      <c r="ASS24" s="2737"/>
      <c r="ATA24" s="2622"/>
      <c r="ATB24" s="2622"/>
      <c r="ATC24" s="2622"/>
      <c r="ATD24" s="2622"/>
      <c r="ATE24" s="2622"/>
      <c r="ATF24" s="2622"/>
      <c r="ATG24" s="2622"/>
      <c r="ATH24" s="2622"/>
      <c r="ATI24" s="2622"/>
      <c r="ATJ24" s="2622"/>
      <c r="ATK24" s="2622"/>
      <c r="ATL24" s="3530" t="str">
        <f>_List!BB12</f>
        <v>T10,5</v>
      </c>
      <c r="ATM24" s="3530" t="str">
        <f t="shared" si="0"/>
        <v>Veg_T10,5</v>
      </c>
      <c r="ATN24" s="3440">
        <f t="shared" si="1"/>
        <v>10.5</v>
      </c>
      <c r="ATO24" s="3446">
        <f>_List!BC12</f>
        <v>74.59</v>
      </c>
      <c r="ATP24" s="3433">
        <f>_List!BD12</f>
        <v>60.64</v>
      </c>
      <c r="ATQ24" s="3430">
        <f>_List!BE12</f>
        <v>22.13</v>
      </c>
      <c r="ATR24" s="3431">
        <v>1.57</v>
      </c>
      <c r="ATS24" s="3527">
        <v>3.5779999999999998</v>
      </c>
      <c r="ATT24" s="3525">
        <f t="shared" si="2"/>
        <v>14.974</v>
      </c>
      <c r="ATU24" s="3449">
        <f>_List!BF12</f>
        <v>10.5</v>
      </c>
      <c r="ATV24" s="2622"/>
      <c r="ATW24" s="2622"/>
      <c r="ATX24" s="2622"/>
      <c r="ATY24" s="2617"/>
      <c r="ATZ24" s="3458"/>
      <c r="AUA24" s="3458"/>
      <c r="AUB24" s="3458"/>
      <c r="AUC24" s="3458"/>
      <c r="AUD24" s="3458"/>
      <c r="AUE24" s="3458"/>
      <c r="AUF24" s="3458"/>
      <c r="AUG24" s="3458"/>
      <c r="AUH24" s="3458"/>
      <c r="AUI24" s="3458"/>
      <c r="AUJ24" s="3458"/>
      <c r="AUK24" s="3458"/>
      <c r="AUL24" s="3458"/>
      <c r="AUM24" s="2617"/>
      <c r="AUN24" s="2617"/>
      <c r="AUO24" s="2617"/>
      <c r="AUP24" s="2617"/>
      <c r="AUQ24" s="2617"/>
      <c r="AUR24" s="2617"/>
      <c r="AUS24" s="2617"/>
      <c r="AUT24" s="2617"/>
      <c r="AUU24" s="2617"/>
      <c r="AUV24" s="2617"/>
      <c r="AUW24" s="181"/>
      <c r="AUX24" s="181"/>
      <c r="AUY24" s="181"/>
      <c r="AUZ24" s="181"/>
      <c r="AVA24" s="181"/>
      <c r="AVB24" s="181"/>
      <c r="AVC24" s="181"/>
      <c r="AVD24" s="181"/>
      <c r="AVE24" s="181"/>
      <c r="AVF24" s="181"/>
      <c r="AVG24" s="181"/>
      <c r="AVH24" s="181"/>
      <c r="AVI24" s="181"/>
      <c r="AVJ24" s="181"/>
      <c r="AVK24" s="181"/>
      <c r="AVL24" s="181"/>
      <c r="AVM24" s="181"/>
      <c r="AVN24" s="181"/>
      <c r="AVO24" s="181"/>
      <c r="AVP24" s="181"/>
      <c r="AVQ24" s="181"/>
      <c r="AVR24" s="181"/>
      <c r="AVS24" s="181"/>
      <c r="AVT24" s="181"/>
      <c r="AVU24" s="181"/>
      <c r="AVV24" s="181"/>
      <c r="AVW24" s="181"/>
      <c r="AVX24" s="181"/>
      <c r="AVY24" s="181"/>
      <c r="AVZ24" s="181"/>
      <c r="AWA24" s="181"/>
      <c r="AWB24" s="181"/>
      <c r="AWC24" s="181"/>
      <c r="AWD24" s="181"/>
      <c r="AWE24" s="181"/>
      <c r="AWF24" s="181"/>
      <c r="AWG24" s="181"/>
      <c r="AWH24" s="181"/>
      <c r="AWI24" s="181"/>
      <c r="AWJ24" s="181"/>
      <c r="AWK24" s="181"/>
      <c r="AWL24" s="181"/>
      <c r="AWM24" s="181"/>
      <c r="AWN24" s="181"/>
      <c r="AWO24" s="181"/>
      <c r="AWP24" s="181"/>
      <c r="AWQ24" s="181"/>
      <c r="AWR24" s="181"/>
      <c r="AWS24" s="2625"/>
      <c r="AWT24" s="2625"/>
      <c r="AWU24" s="2625"/>
      <c r="AWV24" s="2625"/>
      <c r="AWW24" s="2625"/>
      <c r="AWX24" s="2625"/>
      <c r="AWY24" s="2625"/>
      <c r="AWZ24" s="2625"/>
      <c r="AXA24" s="2625"/>
      <c r="AXB24" s="2625"/>
      <c r="AXC24" s="2625"/>
      <c r="AXD24" s="2625"/>
      <c r="AXE24" s="2625"/>
      <c r="AXF24" s="2625"/>
      <c r="AXG24" s="2625"/>
      <c r="AXH24" s="2625"/>
      <c r="AXI24" s="2625"/>
      <c r="AXJ24" s="2625"/>
      <c r="AXK24" s="2625"/>
      <c r="AXL24" s="2625"/>
      <c r="AXM24" s="2625"/>
      <c r="AXN24" s="2625"/>
      <c r="AXO24" s="2625"/>
      <c r="AXP24" s="2625"/>
      <c r="AXQ24" s="2625"/>
      <c r="AXR24" s="2625"/>
      <c r="AXS24" s="2625"/>
      <c r="AXT24" s="2625"/>
      <c r="AXU24" s="2625"/>
      <c r="AXV24" s="2625"/>
      <c r="AXW24" s="2625"/>
      <c r="AXX24" s="2625"/>
      <c r="AXY24" s="2625"/>
      <c r="AXZ24" s="2625"/>
      <c r="AYA24" s="2625"/>
      <c r="AYB24" s="2625"/>
      <c r="AYC24" s="2625"/>
      <c r="AYD24" s="2625"/>
      <c r="AYE24" s="2625"/>
      <c r="AYF24" s="2625"/>
      <c r="AYG24" s="2625"/>
      <c r="AYH24" s="2625"/>
      <c r="AYI24" s="2625"/>
      <c r="AYJ24" s="2625"/>
      <c r="AYK24" s="2625"/>
      <c r="AYL24" s="2625"/>
      <c r="AYM24" s="2625"/>
      <c r="AYN24" s="2625"/>
      <c r="AYO24" s="2625"/>
      <c r="AYP24" s="2625"/>
      <c r="AYQ24" s="2625"/>
      <c r="AYR24" s="2625"/>
      <c r="AYS24" s="2625"/>
      <c r="AYT24" s="2625"/>
      <c r="AYU24" s="3411" t="s">
        <v>1172</v>
      </c>
      <c r="AYW24" s="2622"/>
      <c r="AYX24" s="2622"/>
      <c r="AYY24" s="2622"/>
      <c r="AYZ24" s="2622"/>
      <c r="AZA24" s="2622"/>
      <c r="AZB24" s="2622"/>
      <c r="AZC24" s="2622"/>
      <c r="AZD24" s="2622"/>
      <c r="AZE24" s="2622"/>
      <c r="AZF24" s="2622"/>
      <c r="AZG24" s="2622"/>
      <c r="AZH24" s="2622"/>
      <c r="AZI24" s="2622"/>
      <c r="AZJ24" s="2622"/>
      <c r="AZK24" s="2622"/>
      <c r="AZL24" s="2622"/>
      <c r="AZM24" s="2622"/>
      <c r="AZN24" s="2622"/>
      <c r="AZO24" s="2622"/>
      <c r="AZP24" s="2622"/>
      <c r="AZQ24" s="2622"/>
      <c r="AZR24" s="2622"/>
      <c r="AZS24" s="2622"/>
      <c r="AZT24" s="2622"/>
      <c r="AZU24" s="2622"/>
      <c r="AZV24" s="2622"/>
      <c r="AZW24" s="2627" t="s">
        <v>952</v>
      </c>
      <c r="AZY24" s="2622"/>
      <c r="AZZ24" s="2622"/>
      <c r="BAA24" s="2622"/>
      <c r="BAB24" s="2622"/>
      <c r="BAC24" s="2622"/>
      <c r="BAD24" s="2622"/>
      <c r="BAE24" s="2622"/>
      <c r="BAF24" s="2622"/>
      <c r="BAG24" s="2622"/>
      <c r="BAH24" s="2622"/>
      <c r="BAI24" s="2622"/>
      <c r="BAJ24" s="2622"/>
      <c r="BAK24" s="2627" t="s">
        <v>961</v>
      </c>
      <c r="BAM24" s="2622"/>
      <c r="BAN24" s="2622"/>
      <c r="BAO24" s="2622"/>
      <c r="BAP24" s="2622"/>
      <c r="BAQ24" s="2622"/>
      <c r="BAR24" s="2622"/>
      <c r="BAU24" s="2622"/>
      <c r="BAV24" s="372" t="s">
        <v>191</v>
      </c>
      <c r="BAW24" s="194"/>
      <c r="BAX24" s="194" t="s">
        <v>891</v>
      </c>
      <c r="BAY24" s="2681" t="s">
        <v>872</v>
      </c>
      <c r="BAZ24" s="194"/>
      <c r="BBA24" s="194">
        <v>80</v>
      </c>
      <c r="BBB24" s="194"/>
      <c r="BBC24" s="194">
        <v>2</v>
      </c>
      <c r="BBD24" s="194"/>
      <c r="BBE24" s="451" t="s">
        <v>872</v>
      </c>
      <c r="BBF24" s="451"/>
      <c r="BBG24" s="194" t="s">
        <v>169</v>
      </c>
      <c r="BBH24" s="194"/>
      <c r="BBI24" s="194" t="s">
        <v>169</v>
      </c>
      <c r="BBJ24" s="194"/>
      <c r="BBK24" s="199"/>
      <c r="BBL24" s="2622"/>
      <c r="BBR24" s="3398"/>
      <c r="BCJ24" s="2617"/>
      <c r="BCK24" s="2617"/>
      <c r="BCL24" s="2617"/>
      <c r="BCM24" s="2617"/>
      <c r="BCN24" s="2617"/>
      <c r="BCO24" s="2617"/>
      <c r="BCP24" s="2617"/>
      <c r="BCQ24" s="2617"/>
      <c r="BCR24" s="2617"/>
      <c r="BCS24" s="2617"/>
      <c r="BCT24" s="2617"/>
      <c r="BCU24" s="2617"/>
      <c r="BCV24" s="2617"/>
      <c r="BCW24" s="2617"/>
      <c r="BCX24" s="2617"/>
      <c r="BCY24" s="2617"/>
      <c r="BCZ24" s="2617"/>
      <c r="BDA24" s="2617"/>
      <c r="BDB24" s="2617"/>
      <c r="BDC24" s="2617"/>
      <c r="BDD24" s="2617"/>
      <c r="BDE24" s="2617"/>
      <c r="BDF24" s="2617"/>
      <c r="BDG24" s="2617"/>
      <c r="BDH24" s="2617"/>
      <c r="BDI24" s="2617"/>
      <c r="BDL24" s="2617"/>
      <c r="BDM24" s="2617"/>
      <c r="BDN24" s="2617"/>
      <c r="BDO24" s="2617"/>
      <c r="BDP24" s="2617"/>
      <c r="BDQ24" s="2617"/>
      <c r="BDR24" s="2617"/>
      <c r="BDS24" s="2617"/>
      <c r="BDT24" s="2617"/>
      <c r="BDU24" s="2617"/>
      <c r="BDV24" s="2617"/>
      <c r="BDW24" s="2617"/>
      <c r="BDZ24" s="2617"/>
      <c r="BEA24" s="2617"/>
      <c r="BEB24" s="2617"/>
      <c r="BEC24" s="2617"/>
      <c r="BED24" s="2617"/>
      <c r="BEE24" s="2617"/>
      <c r="BEH24" s="2617"/>
    </row>
    <row r="25" spans="1:1490" s="2623" customFormat="1" ht="25.5" customHeight="1" x14ac:dyDescent="0.2">
      <c r="A25" s="3458"/>
      <c r="B25" s="1665" t="s">
        <v>1515</v>
      </c>
      <c r="C25" s="3680" t="s">
        <v>1516</v>
      </c>
      <c r="D25" s="1665"/>
      <c r="E25" s="3458"/>
      <c r="F25" s="3458"/>
      <c r="G25" s="3458"/>
      <c r="H25" s="3458"/>
      <c r="I25" s="3458"/>
      <c r="J25" s="3458"/>
      <c r="K25" s="3458"/>
      <c r="L25" s="3458"/>
      <c r="M25" s="3458"/>
      <c r="N25" s="3458"/>
      <c r="O25" s="3458"/>
      <c r="Z25" s="3458"/>
      <c r="AA25" s="3458"/>
      <c r="AB25" s="3458"/>
      <c r="AC25" s="3458"/>
      <c r="AD25" s="3458"/>
      <c r="AE25" s="3458"/>
      <c r="AF25" s="3458"/>
      <c r="AG25" s="3458"/>
      <c r="AH25" s="2617" t="s">
        <v>1489</v>
      </c>
      <c r="AI25" s="2617"/>
      <c r="AK25" s="2687"/>
      <c r="AL25" s="2687"/>
      <c r="AN25" s="2687"/>
      <c r="AU25" s="2617"/>
      <c r="AV25" s="2617"/>
      <c r="AW25" s="2617"/>
      <c r="AX25" s="2617"/>
      <c r="AY25" s="2622"/>
      <c r="AZ25" s="2617"/>
      <c r="BA25" s="2617"/>
      <c r="BB25" s="2622"/>
      <c r="BC25" s="2622"/>
      <c r="BD25" s="2622"/>
      <c r="BE25" s="2622"/>
      <c r="CG25" s="5667"/>
      <c r="CH25" s="5667"/>
      <c r="CI25" s="5667"/>
      <c r="CJ25" s="5667"/>
      <c r="CK25" s="5667"/>
      <c r="CL25" s="5667"/>
      <c r="CM25" s="5667"/>
      <c r="CN25" s="5667"/>
      <c r="CO25" s="5667"/>
      <c r="CP25" s="5667"/>
      <c r="CQ25" s="5667"/>
      <c r="CR25" s="5667"/>
      <c r="CS25" s="5667"/>
      <c r="CT25" s="5667"/>
      <c r="CU25" s="5667"/>
      <c r="CV25" s="5672" t="str">
        <f>$AJ$111</f>
        <v>Manuell driftsrensk</v>
      </c>
      <c r="CW25" s="5670"/>
      <c r="CX25" s="5670"/>
      <c r="CY25" s="5670"/>
      <c r="CZ25" s="5670"/>
      <c r="DA25" s="5670"/>
      <c r="DB25" s="5670"/>
      <c r="DC25" s="5670"/>
      <c r="DD25" s="5670"/>
      <c r="DE25" s="5670"/>
      <c r="DF25" s="5670"/>
      <c r="DG25" s="5670"/>
      <c r="DH25" s="5670"/>
      <c r="DI25" s="5670"/>
      <c r="DJ25" s="5671"/>
      <c r="DK25" s="5671"/>
      <c r="DL25" s="5670"/>
      <c r="DM25" s="5670"/>
      <c r="DN25" s="5670"/>
      <c r="DO25" s="5670"/>
      <c r="DP25" s="5670"/>
      <c r="DQ25" s="5670"/>
      <c r="DR25" s="5670"/>
      <c r="DS25" s="5670"/>
      <c r="DT25" s="5670"/>
      <c r="DU25" s="5670"/>
      <c r="DV25" s="5670"/>
      <c r="DW25" s="5670"/>
      <c r="DX25" s="5670"/>
      <c r="DY25" s="5670"/>
      <c r="DZ25" s="5670"/>
      <c r="EA25" s="5670"/>
      <c r="EB25" s="5670"/>
      <c r="EC25" s="5670"/>
      <c r="ED25" s="5670"/>
      <c r="EE25" s="5670"/>
      <c r="EF25" s="5642" t="s">
        <v>1264</v>
      </c>
      <c r="EG25" s="5642"/>
      <c r="EH25" s="5642"/>
      <c r="EI25" s="5642"/>
      <c r="EJ25" s="5642"/>
      <c r="EK25" s="5642"/>
      <c r="EL25" s="5642"/>
      <c r="EM25" s="5642"/>
      <c r="EN25" s="5642"/>
      <c r="EO25" s="5642"/>
      <c r="EP25" s="5642"/>
      <c r="EQ25" s="5642"/>
      <c r="ER25" s="5642"/>
      <c r="ES25" s="5642"/>
      <c r="ET25" s="5642"/>
      <c r="EU25" s="5642"/>
      <c r="EV25" s="5642"/>
      <c r="EW25" s="5642"/>
      <c r="EX25" s="5642"/>
      <c r="EY25" s="5642"/>
      <c r="EZ25" s="5642"/>
      <c r="FA25" s="5642"/>
      <c r="FB25" s="5642"/>
      <c r="FC25" s="5642"/>
      <c r="FD25" s="5642"/>
      <c r="FE25" s="5642"/>
      <c r="FF25" s="5642"/>
      <c r="FG25" s="5642"/>
      <c r="FH25" s="5642"/>
      <c r="FI25" s="5642"/>
      <c r="FJ25" s="5642"/>
      <c r="FK25" s="5642"/>
      <c r="FL25" s="5642"/>
      <c r="FM25" s="5642"/>
      <c r="FN25" s="5642"/>
      <c r="FO25" s="5642"/>
      <c r="FP25" s="5642" t="s">
        <v>1264</v>
      </c>
      <c r="FQ25" s="5642"/>
      <c r="FR25" s="5642"/>
      <c r="FS25" s="5642"/>
      <c r="FT25" s="5642"/>
      <c r="FU25" s="5642"/>
      <c r="FV25" s="5642"/>
      <c r="FW25" s="5642"/>
      <c r="FX25" s="5642"/>
      <c r="FY25" s="5642"/>
      <c r="FZ25" s="5642"/>
      <c r="GA25" s="5642"/>
      <c r="GB25" s="5643"/>
      <c r="GC25" s="5642"/>
      <c r="GD25" s="5644"/>
      <c r="GE25" s="5644"/>
      <c r="GF25" s="5644"/>
      <c r="GG25" s="5644"/>
      <c r="GH25" s="5644"/>
      <c r="GI25" s="5644"/>
      <c r="GJ25" s="5644"/>
      <c r="GK25" s="5644"/>
      <c r="GL25" s="5644"/>
      <c r="GM25" s="5644"/>
      <c r="GN25" s="5644"/>
      <c r="GO25" s="5644"/>
      <c r="GP25" s="5644"/>
      <c r="GQ25" s="5644"/>
      <c r="GR25" s="5644"/>
      <c r="GS25" s="5644"/>
      <c r="GT25" s="5644"/>
      <c r="GU25" s="5644"/>
      <c r="GV25" s="5644"/>
      <c r="GW25" s="5644"/>
      <c r="GX25" s="5644"/>
      <c r="GY25" s="5644"/>
      <c r="GZ25" s="5644"/>
      <c r="HA25" s="5644"/>
      <c r="HB25" s="5644"/>
      <c r="HC25" s="5644"/>
      <c r="HD25" s="5644"/>
      <c r="HE25" s="5644"/>
      <c r="HF25" s="5644"/>
      <c r="HG25" s="5644"/>
      <c r="HH25" s="5644"/>
      <c r="HI25" s="5644"/>
      <c r="HJ25" s="5644"/>
      <c r="HK25" s="5644"/>
      <c r="HL25" s="5644"/>
      <c r="HM25" s="5644"/>
      <c r="HN25" s="5644"/>
      <c r="HO25" s="5644"/>
      <c r="HP25" s="5644"/>
      <c r="HQ25" s="5644" t="s">
        <v>1264</v>
      </c>
      <c r="HR25" s="5635" t="str">
        <f>$AH$119</f>
        <v>Forbolter</v>
      </c>
      <c r="HS25" s="5636"/>
      <c r="HT25" s="5636"/>
      <c r="HU25" s="5636"/>
      <c r="HV25" s="5636"/>
      <c r="HW25" s="5636"/>
      <c r="HX25" s="5636"/>
      <c r="HY25" s="5636"/>
      <c r="HZ25" s="5636"/>
      <c r="IA25" s="5636"/>
      <c r="IB25" s="5636"/>
      <c r="IC25" s="5636"/>
      <c r="ID25" s="5636"/>
      <c r="IE25" s="5636"/>
      <c r="IF25" s="5636"/>
      <c r="IG25" s="5636"/>
      <c r="IH25" s="5636"/>
      <c r="II25" s="5636"/>
      <c r="IJ25" s="5636"/>
      <c r="IK25" s="5636"/>
      <c r="IL25" s="5636"/>
      <c r="IM25" s="5636"/>
      <c r="IN25" s="5636"/>
      <c r="IO25" s="5636"/>
      <c r="IP25" s="5636"/>
      <c r="IQ25" s="5636"/>
      <c r="IR25" s="5636"/>
      <c r="IS25" s="5636"/>
      <c r="IT25" s="5636"/>
      <c r="IU25" s="5636"/>
      <c r="IV25" s="5636"/>
      <c r="IW25" s="5636"/>
      <c r="IX25" s="5636"/>
      <c r="IY25" s="5636"/>
      <c r="IZ25" s="5636"/>
      <c r="JA25" s="5636"/>
      <c r="JB25" s="5636"/>
      <c r="JC25" s="5636"/>
      <c r="JD25" s="5636"/>
      <c r="JE25" s="5636"/>
      <c r="JF25" s="5636"/>
      <c r="JG25" s="5636"/>
      <c r="JH25" s="5636"/>
      <c r="JI25" s="5636"/>
      <c r="JJ25" s="5636"/>
      <c r="JK25" s="5636"/>
      <c r="JL25" s="5636"/>
      <c r="JM25" s="5636"/>
      <c r="JN25" s="5636"/>
      <c r="JO25" s="5636"/>
      <c r="JP25" s="5636"/>
      <c r="JQ25" s="5636"/>
      <c r="JR25" s="5636"/>
      <c r="JS25" s="5636"/>
      <c r="JT25" s="5636"/>
      <c r="JU25" s="5636"/>
      <c r="JV25" s="5636"/>
      <c r="JW25" s="5636" t="str">
        <f>$AH$119</f>
        <v>Forbolter</v>
      </c>
      <c r="JX25" s="5601" t="str">
        <f>$AH$123</f>
        <v>Radielle bolter (opphengbolter)</v>
      </c>
      <c r="JY25" s="5601"/>
      <c r="JZ25" s="5601"/>
      <c r="KA25" s="5601"/>
      <c r="KB25" s="5601"/>
      <c r="KC25" s="5601"/>
      <c r="KD25" s="5601"/>
      <c r="KE25" s="5601"/>
      <c r="KF25" s="5601"/>
      <c r="KG25" s="5601"/>
      <c r="KH25" s="5601"/>
      <c r="KI25" s="5601"/>
      <c r="KJ25" s="5601"/>
      <c r="KK25" s="5601"/>
      <c r="KL25" s="5601"/>
      <c r="KM25" s="5601"/>
      <c r="KN25" s="5601"/>
      <c r="KO25" s="5601"/>
      <c r="KP25" s="5601"/>
      <c r="KQ25" s="5601"/>
      <c r="KR25" s="5601"/>
      <c r="KS25" s="5601"/>
      <c r="KT25" s="5601"/>
      <c r="KU25" s="5601"/>
      <c r="KV25" s="5601"/>
      <c r="KW25" s="5601"/>
      <c r="KX25" s="5601"/>
      <c r="KY25" s="5601"/>
      <c r="KZ25" s="5601"/>
      <c r="LA25" s="5601"/>
      <c r="LB25" s="5601"/>
      <c r="LC25" s="5601"/>
      <c r="LD25" s="5601"/>
      <c r="LE25" s="5604" t="str">
        <f>$AH$123</f>
        <v>Radielle bolter (opphengbolter)</v>
      </c>
      <c r="LF25" s="5637" t="str">
        <f>$AH$127</f>
        <v>Bergbånd</v>
      </c>
      <c r="LG25" s="5656"/>
      <c r="LH25" s="5656"/>
      <c r="LI25" s="5656"/>
      <c r="LJ25" s="5656"/>
      <c r="LK25" s="5656"/>
      <c r="LL25" s="5656"/>
      <c r="LM25" s="5656"/>
      <c r="LN25" s="5656"/>
      <c r="LO25" s="5656"/>
      <c r="LP25" s="5656"/>
      <c r="LQ25" s="5656"/>
      <c r="LR25" s="5656"/>
      <c r="LS25" s="5656"/>
      <c r="LT25" s="5656"/>
      <c r="LU25" s="5656"/>
      <c r="LV25" s="5656"/>
      <c r="LW25" s="5656"/>
      <c r="LX25" s="5656"/>
      <c r="LY25" s="5656"/>
      <c r="LZ25" s="5656"/>
      <c r="MA25" s="5656"/>
      <c r="MB25" s="5656"/>
      <c r="MC25" s="5656"/>
      <c r="MD25" s="5656"/>
      <c r="ME25" s="5656"/>
      <c r="MF25" s="5656"/>
      <c r="MG25" s="5656"/>
      <c r="MH25" s="5656"/>
      <c r="MI25" s="5656"/>
      <c r="MJ25" s="5656"/>
      <c r="MK25" s="5656"/>
      <c r="ML25" s="5656"/>
      <c r="MM25" s="5656"/>
      <c r="MN25" s="5656"/>
      <c r="MO25" s="5656"/>
      <c r="MP25" s="5656"/>
      <c r="MQ25" s="5656"/>
      <c r="MR25" s="5656"/>
      <c r="MS25" s="5656"/>
      <c r="MT25" s="5656"/>
      <c r="MU25" s="5656"/>
      <c r="MV25" s="5656"/>
      <c r="MW25" s="5656"/>
      <c r="MX25" s="5656"/>
      <c r="MY25" s="5656"/>
      <c r="MZ25" s="5656"/>
      <c r="NA25" s="5656"/>
      <c r="NB25" s="5656"/>
      <c r="NC25" s="5656"/>
      <c r="ND25" s="5656"/>
      <c r="NE25" s="5656"/>
      <c r="NF25" s="5656"/>
      <c r="NG25" s="5656"/>
      <c r="NH25" s="5656"/>
      <c r="NI25" s="5656"/>
      <c r="NJ25" s="5656"/>
      <c r="NK25" s="5656"/>
      <c r="NL25" s="5656"/>
      <c r="NM25" s="5656"/>
      <c r="NN25" s="5656"/>
      <c r="NO25" s="5656"/>
      <c r="NP25" s="5656"/>
      <c r="NQ25" s="5656"/>
      <c r="NR25" s="5656"/>
      <c r="NS25" s="5656"/>
      <c r="NT25" s="5656"/>
      <c r="NU25" s="5656"/>
      <c r="NV25" s="5656"/>
      <c r="NW25" s="5656"/>
      <c r="NX25" s="5656"/>
      <c r="NY25" s="5656"/>
      <c r="NZ25" s="5656"/>
      <c r="OA25" s="5656"/>
      <c r="OB25" s="5656"/>
      <c r="OC25" s="5656"/>
      <c r="OD25" s="5656"/>
      <c r="OE25" s="5656"/>
      <c r="OF25" s="5656"/>
      <c r="OG25" s="5656"/>
      <c r="OH25" s="5656"/>
      <c r="OI25" s="5613" t="str">
        <f>$AH$131</f>
        <v>Nett</v>
      </c>
      <c r="OJ25" s="5613"/>
      <c r="OK25" s="5613"/>
      <c r="OL25" s="5613"/>
      <c r="OM25" s="5613"/>
      <c r="ON25" s="5613"/>
      <c r="OO25" s="5613"/>
      <c r="OP25" s="5613"/>
      <c r="OQ25" s="5613"/>
      <c r="OR25" s="5613"/>
      <c r="OS25" s="5613"/>
      <c r="OT25" s="5613"/>
      <c r="OU25" s="5613"/>
      <c r="OV25" s="5613"/>
      <c r="OW25" s="5613"/>
      <c r="OX25" s="5613"/>
      <c r="OY25" s="5613"/>
      <c r="OZ25" s="5613"/>
      <c r="PA25" s="5613"/>
      <c r="PB25" s="5613"/>
      <c r="PC25" s="5613"/>
      <c r="PD25" s="5613"/>
      <c r="PE25" s="5613"/>
      <c r="PF25" s="5613"/>
      <c r="PG25" s="5613"/>
      <c r="PH25" s="5613"/>
      <c r="PI25" s="5613"/>
      <c r="PJ25" s="5613"/>
      <c r="PK25" s="5613"/>
      <c r="PL25" s="5613"/>
      <c r="PM25" s="5613"/>
      <c r="PN25" s="5613"/>
      <c r="PO25" s="5613"/>
      <c r="PP25" s="5613"/>
      <c r="PQ25" s="5613"/>
      <c r="PR25" s="5613"/>
      <c r="PS25" s="5613"/>
      <c r="PT25" s="5613"/>
      <c r="PU25" s="5613"/>
      <c r="PV25" s="5613"/>
      <c r="PW25" s="5613"/>
      <c r="PX25" s="5613"/>
      <c r="PY25" s="5613"/>
      <c r="PZ25" s="5613"/>
      <c r="QA25" s="5613"/>
      <c r="QB25" s="5613"/>
      <c r="QC25" s="5613"/>
      <c r="QD25" s="5613"/>
      <c r="QE25" s="5613"/>
      <c r="QF25" s="5613"/>
      <c r="QG25" s="5613"/>
      <c r="QH25" s="5614" t="str">
        <f>$AH$131</f>
        <v>Nett</v>
      </c>
      <c r="QI25" s="5613"/>
      <c r="QJ25" s="5613"/>
      <c r="QK25" s="5613"/>
      <c r="QL25" s="5613"/>
      <c r="QM25" s="5613"/>
      <c r="QN25" s="5613"/>
      <c r="QO25" s="5613"/>
      <c r="QP25" s="5613"/>
      <c r="QQ25" s="5613"/>
      <c r="QR25" s="5645" t="str">
        <f>$AH$135</f>
        <v>Sprøytebetong</v>
      </c>
      <c r="QS25" s="5657"/>
      <c r="QT25" s="5657"/>
      <c r="QU25" s="5657"/>
      <c r="QV25" s="5657"/>
      <c r="QW25" s="5657"/>
      <c r="QX25" s="5657"/>
      <c r="QY25" s="5657"/>
      <c r="QZ25" s="5657"/>
      <c r="RA25" s="5657"/>
      <c r="RB25" s="5657"/>
      <c r="RC25" s="5657"/>
      <c r="RD25" s="5657"/>
      <c r="RE25" s="5657"/>
      <c r="RF25" s="5657"/>
      <c r="RG25" s="5657"/>
      <c r="RH25" s="5657"/>
      <c r="RI25" s="5657"/>
      <c r="RJ25" s="5657"/>
      <c r="RK25" s="5657"/>
      <c r="RL25" s="5657"/>
      <c r="RM25" s="5657"/>
      <c r="RN25" s="5657"/>
      <c r="RO25" s="5657"/>
      <c r="RP25" s="5657"/>
      <c r="RQ25" s="5657"/>
      <c r="RR25" s="5657"/>
      <c r="RS25" s="5657"/>
      <c r="RT25" s="5657"/>
      <c r="RU25" s="5657"/>
      <c r="RV25" s="5657"/>
      <c r="RW25" s="5657"/>
      <c r="RX25" s="5657"/>
      <c r="RY25" s="5657"/>
      <c r="RZ25" s="5657"/>
      <c r="SA25" s="5657"/>
      <c r="SB25" s="5657"/>
      <c r="SC25" s="5657"/>
      <c r="SD25" s="5657"/>
      <c r="SE25" s="5657"/>
      <c r="SF25" s="5657"/>
      <c r="SG25" s="5657"/>
      <c r="SH25" s="5657"/>
      <c r="SI25" s="5657"/>
      <c r="SJ25" s="5657"/>
      <c r="SK25" s="5657"/>
      <c r="SL25" s="5657"/>
      <c r="SM25" s="5657"/>
      <c r="SN25" s="5657"/>
      <c r="SO25" s="5657"/>
      <c r="SP25" s="5657"/>
      <c r="SQ25" s="5657"/>
      <c r="SR25" s="5657"/>
      <c r="SS25" s="5657"/>
      <c r="ST25" s="5657"/>
      <c r="SU25" s="5657"/>
      <c r="SV25" s="5657"/>
      <c r="SW25" s="5657"/>
      <c r="SX25" s="5657"/>
      <c r="SY25" s="5657"/>
      <c r="SZ25" s="5657"/>
      <c r="TA25" s="5657"/>
      <c r="TB25" s="5657"/>
      <c r="TC25" s="5657"/>
      <c r="TD25" s="5657"/>
      <c r="TE25" s="5657"/>
      <c r="TF25" s="5657"/>
      <c r="TG25" s="5657"/>
      <c r="TH25" s="5657"/>
      <c r="TI25" s="5657"/>
      <c r="TJ25" s="5657"/>
      <c r="TK25" s="5634" t="str">
        <f>$AH$139</f>
        <v>Buer</v>
      </c>
      <c r="TL25" s="5658"/>
      <c r="TM25" s="5658"/>
      <c r="TN25" s="5658"/>
      <c r="TO25" s="5658"/>
      <c r="TP25" s="5658"/>
      <c r="TQ25" s="5658"/>
      <c r="TR25" s="5658"/>
      <c r="TS25" s="5658"/>
      <c r="TT25" s="5658"/>
      <c r="TU25" s="5658"/>
      <c r="TV25" s="5658"/>
      <c r="TW25" s="5658"/>
      <c r="TX25" s="5658"/>
      <c r="TY25" s="5658"/>
      <c r="TZ25" s="5658"/>
      <c r="UA25" s="5658"/>
      <c r="UB25" s="5658"/>
      <c r="UC25" s="5658"/>
      <c r="UD25" s="5658"/>
      <c r="UE25" s="5658"/>
      <c r="UF25" s="5658"/>
      <c r="UG25" s="5658"/>
      <c r="UH25" s="5658"/>
      <c r="UI25" s="5658"/>
      <c r="UJ25" s="5658"/>
      <c r="UK25" s="5658"/>
      <c r="UL25" s="5658"/>
      <c r="UM25" s="5658"/>
      <c r="UN25" s="5658"/>
      <c r="UO25" s="5658"/>
      <c r="UP25" s="5658"/>
      <c r="UQ25" s="5658"/>
      <c r="UR25" s="5658"/>
      <c r="US25" s="5658"/>
      <c r="UT25" s="5658"/>
      <c r="UU25" s="5658"/>
      <c r="UV25" s="5658"/>
      <c r="UW25" s="5658"/>
      <c r="UX25" s="5658"/>
      <c r="UY25" s="5658"/>
      <c r="UZ25" s="5658"/>
      <c r="VA25" s="5658"/>
      <c r="VB25" s="5658"/>
      <c r="VC25" s="5658"/>
      <c r="VD25" s="5658"/>
      <c r="VE25" s="5658"/>
      <c r="VF25" s="5658"/>
      <c r="VG25" s="5658"/>
      <c r="VH25" s="5658"/>
      <c r="VI25" s="5658"/>
      <c r="VJ25" s="5658"/>
      <c r="VK25" s="5731"/>
      <c r="VL25" s="5731"/>
      <c r="VM25" s="5731"/>
      <c r="VN25" s="5731"/>
      <c r="VO25" s="5731"/>
      <c r="VP25" s="5731"/>
      <c r="VQ25" s="5731"/>
      <c r="VR25" s="5731"/>
      <c r="VS25" s="5731"/>
      <c r="VT25" s="5731"/>
      <c r="VU25" s="5731"/>
      <c r="VV25" s="5731"/>
      <c r="VW25" s="5731"/>
      <c r="VX25" s="5731"/>
      <c r="VY25" s="5731"/>
      <c r="VZ25" s="5731"/>
      <c r="WA25" s="5731" t="str">
        <f>$AH$139</f>
        <v>Buer</v>
      </c>
      <c r="WB25" s="5655"/>
      <c r="WC25" s="5655"/>
      <c r="WD25" s="5655"/>
      <c r="WE25" s="5655"/>
      <c r="WF25" s="5655"/>
      <c r="WG25" s="5655"/>
      <c r="WH25" s="5655"/>
      <c r="WI25" s="5655"/>
      <c r="WJ25" s="5655"/>
      <c r="WK25" s="5655"/>
      <c r="WL25" s="5655"/>
      <c r="WM25" s="5655"/>
      <c r="WN25" s="5655"/>
      <c r="WO25" s="5655"/>
      <c r="WP25" s="5655"/>
      <c r="WQ25" s="5655"/>
      <c r="WR25" s="5655"/>
      <c r="WS25" s="5655"/>
      <c r="WT25" s="5655"/>
      <c r="WU25" s="5655"/>
      <c r="WV25" s="5655"/>
      <c r="WW25" s="5655"/>
      <c r="WX25" s="5655"/>
      <c r="WY25" s="5655"/>
      <c r="WZ25" s="5655"/>
      <c r="XA25" s="5655"/>
      <c r="XB25" s="5655"/>
      <c r="XC25" s="5655"/>
      <c r="XD25" s="5655"/>
      <c r="XE25" s="5655"/>
      <c r="XF25" s="5655"/>
      <c r="XG25" s="5655"/>
      <c r="XH25" s="5655"/>
      <c r="XI25" s="5655"/>
      <c r="XJ25" s="5655"/>
      <c r="XK25" s="5655"/>
      <c r="XL25" s="5655"/>
      <c r="XM25" s="5655"/>
      <c r="XN25" s="5655"/>
      <c r="XO25" s="5655"/>
      <c r="XP25" s="5655"/>
      <c r="XQ25" s="5655"/>
      <c r="XR25" s="5655"/>
      <c r="XS25" s="5655"/>
      <c r="XT25" s="5655"/>
      <c r="XU25" s="5655"/>
      <c r="XV25" s="5655"/>
      <c r="XW25" s="5655"/>
      <c r="XX25" s="5655"/>
      <c r="XY25" s="5655"/>
      <c r="XZ25" s="5655"/>
      <c r="YA25" s="5655"/>
      <c r="YB25" s="5655"/>
      <c r="YC25" s="5655"/>
      <c r="YD25" s="5655"/>
      <c r="YE25" s="5655"/>
      <c r="YF25" s="5655"/>
      <c r="YG25" s="5655"/>
      <c r="YH25" s="5655"/>
      <c r="YI25" s="5655"/>
      <c r="YJ25" s="5655"/>
      <c r="YK25" s="5655"/>
      <c r="YL25" s="5655"/>
      <c r="YM25" s="5655"/>
      <c r="YN25" s="5655"/>
      <c r="YO25" s="5655"/>
      <c r="YP25" s="5655"/>
      <c r="YQ25" s="5655"/>
      <c r="YR25" s="5655"/>
      <c r="YS25" s="5655"/>
      <c r="YT25" s="5655"/>
      <c r="YU25" s="5655"/>
      <c r="YV25" s="5655"/>
      <c r="YW25" s="5655"/>
      <c r="YX25" s="5655"/>
      <c r="YY25" s="5655"/>
      <c r="YZ25" s="5655"/>
      <c r="ZA25" s="5655"/>
      <c r="ZB25" s="5655"/>
      <c r="ZC25" s="5655"/>
      <c r="ZD25" s="5655"/>
      <c r="ZE25" s="5655"/>
      <c r="ZF25" s="5655"/>
      <c r="ZG25" s="5655"/>
      <c r="ZH25" s="5655"/>
      <c r="ZI25" s="5655"/>
      <c r="ZJ25" s="5655"/>
      <c r="ZK25" s="5655"/>
      <c r="ZL25" s="5655"/>
      <c r="ZM25" s="5655"/>
      <c r="ABB25" s="2641"/>
      <c r="ABC25" s="2641"/>
      <c r="ABD25" s="2641"/>
      <c r="ABE25" s="2641"/>
      <c r="ABF25" s="2641"/>
      <c r="ABG25" s="2641"/>
      <c r="ABH25" s="2641"/>
      <c r="ABI25" s="2641"/>
      <c r="ABL25" s="2641"/>
      <c r="ABM25" s="2641"/>
      <c r="ABN25" s="2641"/>
      <c r="ABO25" s="2641"/>
      <c r="ABP25" s="2641"/>
      <c r="ABQ25" s="2641"/>
      <c r="ABR25" s="2641"/>
      <c r="ABS25" s="2641"/>
      <c r="ABT25" s="2737"/>
      <c r="ABU25" s="2737"/>
      <c r="ABV25" s="2737"/>
      <c r="ABW25" s="2737"/>
      <c r="ABX25" s="2737"/>
      <c r="ABY25" s="2737"/>
      <c r="ABZ25" s="2737"/>
      <c r="ACA25" s="2737"/>
      <c r="ACB25" s="2737"/>
      <c r="ACC25" s="2737"/>
      <c r="ACD25" s="2641"/>
      <c r="ACF25" s="2641"/>
      <c r="ACG25" s="2641"/>
      <c r="ACH25" s="2641"/>
      <c r="ACI25" s="2641"/>
      <c r="ACJ25" s="2641"/>
      <c r="ACK25" s="2641"/>
      <c r="ACL25" s="2641"/>
      <c r="ACM25" s="2641"/>
      <c r="ACO25" s="2641"/>
      <c r="ACP25" s="2641"/>
      <c r="ACQ25" s="2641"/>
      <c r="ACR25" s="2641"/>
      <c r="ACS25" s="2641"/>
      <c r="ACT25" s="2641"/>
      <c r="ACU25" s="2641"/>
      <c r="ACV25" s="2641"/>
      <c r="ACX25" s="2641"/>
      <c r="ACY25" s="2641"/>
      <c r="ACZ25" s="2641"/>
      <c r="ADA25" s="2641"/>
      <c r="ADB25" s="2641"/>
      <c r="ADC25" s="2641"/>
      <c r="ADD25" s="2641"/>
      <c r="ADE25" s="2641"/>
      <c r="ADF25" s="2641"/>
      <c r="ADH25" s="2641"/>
      <c r="ADI25" s="2641"/>
      <c r="ADJ25" s="2641"/>
      <c r="ADK25" s="2641"/>
      <c r="ADL25" s="2641"/>
      <c r="ADM25" s="2641"/>
      <c r="ADN25" s="2641"/>
      <c r="ADO25" s="2641"/>
      <c r="ADQ25" s="2641"/>
      <c r="ADR25" s="2641"/>
      <c r="ADS25" s="2641"/>
      <c r="ADT25" s="2641"/>
      <c r="ADU25" s="2641"/>
      <c r="ADV25" s="2641"/>
      <c r="ADW25" s="2641"/>
      <c r="ADX25" s="2641"/>
      <c r="ADY25" s="2641"/>
      <c r="ADZ25" s="2641"/>
      <c r="AEA25" s="2641"/>
      <c r="AEB25" s="2641"/>
      <c r="AEC25" s="2641"/>
      <c r="AED25" s="2641"/>
      <c r="AEE25" s="2641"/>
      <c r="AEF25" s="2641"/>
      <c r="AEG25" s="2641"/>
      <c r="AEH25" s="2641"/>
      <c r="AEI25" s="2641"/>
      <c r="AEJ25" s="2641"/>
      <c r="AEK25" s="2641"/>
      <c r="AEL25" s="2641"/>
      <c r="AEM25" s="2641"/>
      <c r="AEN25" s="2641"/>
      <c r="AEO25" s="2641"/>
      <c r="AEP25" s="2641"/>
      <c r="AEQ25" s="2641"/>
      <c r="AER25" s="2641"/>
      <c r="AES25" s="2641"/>
      <c r="AET25" s="2641"/>
      <c r="AEU25" s="2641"/>
      <c r="AEV25" s="2641"/>
      <c r="AEW25" s="2641"/>
      <c r="AEX25" s="2641"/>
      <c r="AEY25" s="2641"/>
      <c r="AEZ25" s="2641"/>
      <c r="AFA25" s="2641"/>
      <c r="AFB25" s="2641"/>
      <c r="AFC25" s="2641"/>
      <c r="AFD25" s="2641"/>
      <c r="AFE25" s="2641"/>
      <c r="AFF25" s="2641"/>
      <c r="AFG25" s="2641"/>
      <c r="AFH25" s="2641"/>
      <c r="AFI25" s="2641"/>
      <c r="AFJ25" s="2641"/>
      <c r="AFK25" s="2641"/>
      <c r="AFL25" s="2641"/>
      <c r="AFM25" s="2641"/>
      <c r="AFN25" s="2641"/>
      <c r="AFO25" s="2641"/>
      <c r="AFP25" s="2641"/>
      <c r="AFQ25" s="2641"/>
      <c r="AFR25" s="2641"/>
      <c r="AFS25" s="2641"/>
      <c r="AFT25" s="2641"/>
      <c r="AFU25" s="2641"/>
      <c r="AFV25" s="2641"/>
      <c r="AFW25" s="2641"/>
      <c r="AFX25" s="2641"/>
      <c r="AFY25" s="2641"/>
      <c r="AGA25" s="2641"/>
      <c r="AGB25" s="2641"/>
      <c r="AGC25" s="2641"/>
      <c r="AGD25" s="2641"/>
      <c r="AGE25" s="2641"/>
      <c r="AGF25" s="2641"/>
      <c r="AGG25" s="2641"/>
      <c r="AGH25" s="2641"/>
      <c r="AGI25" s="2641"/>
      <c r="AGJ25" s="2641"/>
      <c r="AGK25" s="2641"/>
      <c r="AGL25" s="2641"/>
      <c r="AGM25" s="2641"/>
      <c r="AGO25" s="2641"/>
      <c r="AGP25" s="2641"/>
      <c r="AGQ25" s="2641"/>
      <c r="AGR25" s="2641"/>
      <c r="AGS25" s="2641"/>
      <c r="AGT25" s="2641"/>
      <c r="AGU25" s="2641"/>
      <c r="AGV25" s="2641"/>
      <c r="AGW25" s="2641"/>
      <c r="AGX25" s="2641"/>
      <c r="AGY25" s="2641"/>
      <c r="AGZ25" s="2641"/>
      <c r="AHA25" s="2641"/>
      <c r="AHB25" s="2641"/>
      <c r="AHC25" s="2641"/>
      <c r="AHD25" s="2641"/>
      <c r="AHE25" s="2641"/>
      <c r="AHF25" s="2641"/>
      <c r="AHG25" s="2641"/>
      <c r="AHH25" s="2641"/>
      <c r="AHI25" s="2641"/>
      <c r="AHJ25" s="2641"/>
      <c r="AHK25" s="2641"/>
      <c r="AHL25" s="2641"/>
      <c r="AHM25" s="2641"/>
      <c r="AHN25" s="2641"/>
      <c r="AHO25" s="2641"/>
      <c r="AHP25" s="2641"/>
      <c r="AHQ25" s="2641"/>
      <c r="AHR25" s="2641"/>
      <c r="AHS25" s="2641"/>
      <c r="AHT25" s="2641"/>
      <c r="AHU25" s="2641"/>
      <c r="AHV25" s="2641"/>
      <c r="AHW25" s="2641"/>
      <c r="AHX25" s="2641"/>
      <c r="AHZ25" s="2641"/>
      <c r="AIA25" s="2641"/>
      <c r="AIB25" s="2641"/>
      <c r="AIC25" s="2641"/>
      <c r="AID25" s="2641"/>
      <c r="AIE25" s="2641"/>
      <c r="AIF25" s="2641"/>
      <c r="AIG25" s="2641"/>
      <c r="AIH25" s="2641"/>
      <c r="AIK25" s="2641"/>
      <c r="AIL25" s="2641"/>
      <c r="AIM25" s="2641"/>
      <c r="AIN25" s="2641"/>
      <c r="AIO25" s="2641"/>
      <c r="AIP25" s="2641"/>
      <c r="AIQ25" s="2641"/>
      <c r="AIT25" s="2641"/>
      <c r="AIU25" s="2641"/>
      <c r="AIV25" s="2641"/>
      <c r="AIW25" s="2641"/>
      <c r="AIX25" s="2641"/>
      <c r="AIY25" s="2641"/>
      <c r="AIZ25" s="2641"/>
      <c r="AJA25" s="2641"/>
      <c r="AJB25" s="2641"/>
      <c r="AJC25" s="2641"/>
      <c r="AJD25" s="2641"/>
      <c r="AJE25" s="2641"/>
      <c r="AJF25" s="2641"/>
      <c r="AJG25" s="2641"/>
      <c r="AJH25" s="2641"/>
      <c r="AJI25" s="2641"/>
      <c r="AJJ25" s="2641"/>
      <c r="AJK25" s="2641"/>
      <c r="AJL25" s="2641"/>
      <c r="AJM25" s="2641"/>
      <c r="AJN25" s="2641"/>
      <c r="AJO25" s="2641"/>
      <c r="AJP25" s="2641"/>
      <c r="AJQ25" s="2641"/>
      <c r="AJR25" s="2641"/>
      <c r="AJS25" s="2641"/>
      <c r="AJT25" s="2641"/>
      <c r="AJU25" s="2641"/>
      <c r="AJV25" s="2641"/>
      <c r="AJW25" s="2641"/>
      <c r="AJX25" s="2641"/>
      <c r="AJY25" s="2641"/>
      <c r="AJZ25" s="2641"/>
      <c r="AKA25" s="2641"/>
      <c r="AKB25" s="2641"/>
      <c r="AKC25" s="2641"/>
      <c r="AKD25" s="2641"/>
      <c r="AKE25" s="2641"/>
      <c r="AKF25" s="2641"/>
      <c r="AKG25" s="2641"/>
      <c r="AKH25" s="2641"/>
      <c r="AKI25" s="2641"/>
      <c r="AKJ25" s="2641"/>
      <c r="AKK25" s="2641"/>
      <c r="AKL25" s="2641"/>
      <c r="AKM25" s="2641"/>
      <c r="AKN25" s="2641"/>
      <c r="AKO25" s="2641"/>
      <c r="AKP25" s="2641"/>
      <c r="AKQ25" s="2641"/>
      <c r="AKR25" s="2641"/>
      <c r="AKS25" s="2641"/>
      <c r="AKT25" s="2641"/>
      <c r="AKV25" s="2641"/>
      <c r="AKW25" s="2641"/>
      <c r="AKX25" s="2641"/>
      <c r="AKY25" s="2641"/>
      <c r="AKZ25" s="2641"/>
      <c r="ALA25" s="2641"/>
      <c r="ALB25" s="2641"/>
      <c r="ALC25" s="2641"/>
      <c r="ALD25" s="2641"/>
      <c r="ALE25" s="2641"/>
      <c r="ALF25" s="2641"/>
      <c r="ALG25" s="2641"/>
      <c r="ALH25" s="2641"/>
      <c r="ALI25" s="2641"/>
      <c r="ALJ25" s="2641"/>
      <c r="ALK25" s="2641"/>
      <c r="ALM25" s="2641"/>
      <c r="ALN25" s="2641"/>
      <c r="ALO25" s="2641"/>
      <c r="ALP25" s="2641"/>
      <c r="ALQ25" s="2641"/>
      <c r="ALR25" s="2641"/>
      <c r="ALS25" s="2641"/>
      <c r="ALT25" s="2641"/>
      <c r="ALU25" s="2641"/>
      <c r="ALV25" s="2641"/>
      <c r="ALW25" s="2641"/>
      <c r="ALX25" s="2641"/>
      <c r="ALY25" s="2641"/>
      <c r="ALZ25" s="2641"/>
      <c r="AMA25" s="2641"/>
      <c r="AMB25" s="2641"/>
      <c r="AMC25" s="2641"/>
      <c r="AMD25" s="2641"/>
      <c r="AME25" s="2641"/>
      <c r="AMG25" s="2641"/>
      <c r="AMH25" s="2641"/>
      <c r="AMI25" s="2641"/>
      <c r="AMJ25" s="2641"/>
      <c r="AMK25" s="2641"/>
      <c r="AML25" s="2641"/>
      <c r="AMM25" s="2641"/>
      <c r="AMN25" s="2641"/>
      <c r="AMO25" s="2641"/>
      <c r="AMP25" s="2641"/>
      <c r="AMQ25" s="2641"/>
      <c r="AMR25" s="2641"/>
      <c r="AMS25" s="2641"/>
      <c r="AMT25" s="2641"/>
      <c r="AMU25" s="2641"/>
      <c r="AMV25" s="2641"/>
      <c r="AMW25" s="2641"/>
      <c r="AMX25" s="2641"/>
      <c r="AMY25" s="2641"/>
      <c r="AMZ25" s="2641"/>
      <c r="ANA25" s="2641"/>
      <c r="ANB25" s="2641"/>
      <c r="ANC25" s="2641"/>
      <c r="AND25" s="2641"/>
      <c r="ANE25" s="2641"/>
      <c r="ANF25" s="2641"/>
      <c r="ANG25" s="2641"/>
      <c r="ANH25" s="2641"/>
      <c r="ANI25" s="2641"/>
      <c r="ANJ25" s="2641"/>
      <c r="ANK25" s="2641"/>
      <c r="ANL25" s="2641"/>
      <c r="ANM25" s="2641"/>
      <c r="ANN25" s="2641"/>
      <c r="ANO25" s="2641"/>
      <c r="ANP25" s="2641"/>
      <c r="ANQ25" s="2641"/>
      <c r="ANR25" s="2641"/>
      <c r="ANS25" s="2641"/>
      <c r="ANT25" s="2641"/>
      <c r="ANU25" s="2641"/>
      <c r="ANV25" s="2641"/>
      <c r="ANW25" s="2641"/>
      <c r="ANX25" s="2641"/>
      <c r="ANY25" s="2641"/>
      <c r="ANZ25" s="2641"/>
      <c r="AOA25" s="2641"/>
      <c r="AOB25" s="2641"/>
      <c r="AOC25" s="2641"/>
      <c r="AOD25" s="2641"/>
      <c r="AOE25" s="2641"/>
      <c r="AOF25" s="2641"/>
      <c r="AOG25" s="2641"/>
      <c r="AOH25" s="2641"/>
      <c r="AOI25" s="2641"/>
      <c r="AOJ25" s="2641"/>
      <c r="AOK25" s="2641"/>
      <c r="AOL25" s="2641"/>
      <c r="AOM25" s="2641"/>
      <c r="AON25" s="2641"/>
      <c r="AOO25" s="2641"/>
      <c r="AOP25" s="2641"/>
      <c r="AOQ25" s="2641"/>
      <c r="AOR25" s="2641"/>
      <c r="AOS25" s="2641"/>
      <c r="AOT25" s="2641"/>
      <c r="AOU25" s="2641"/>
      <c r="AOV25" s="4135"/>
      <c r="AOW25" s="4135"/>
      <c r="AOX25" s="4135"/>
      <c r="AOY25" s="4135"/>
      <c r="AOZ25" s="4135"/>
      <c r="APA25" s="4135"/>
      <c r="APB25" s="4135"/>
      <c r="APC25" s="4135"/>
      <c r="APD25" s="4135"/>
      <c r="APE25" s="4135"/>
      <c r="APF25" s="2641"/>
      <c r="APG25" s="2641"/>
      <c r="APH25" s="2641"/>
      <c r="API25" s="2641"/>
      <c r="APJ25" s="2641"/>
      <c r="APK25" s="2641"/>
      <c r="APL25" s="2641"/>
      <c r="APM25" s="2641"/>
      <c r="APN25" s="2641"/>
      <c r="APO25" s="2641"/>
      <c r="APP25" s="2641"/>
      <c r="APQ25" s="2641"/>
      <c r="APR25" s="2641"/>
      <c r="APS25" s="2641"/>
      <c r="APT25" s="2641"/>
      <c r="APU25" s="2641"/>
      <c r="APV25" s="2641"/>
      <c r="APW25" s="2641"/>
      <c r="APX25" s="2641"/>
      <c r="APY25" s="2641"/>
      <c r="APZ25" s="2641"/>
      <c r="AQA25" s="2641"/>
      <c r="AQB25" s="2641"/>
      <c r="AQC25" s="2641"/>
      <c r="AQD25" s="2641"/>
      <c r="AQF25" s="2641"/>
      <c r="AQG25" s="2641"/>
      <c r="AQH25" s="2641"/>
      <c r="AQI25" s="2641"/>
      <c r="AQJ25" s="2641"/>
      <c r="AQK25" s="2641"/>
      <c r="AQL25" s="2641"/>
      <c r="AQM25" s="2641"/>
      <c r="AQN25" s="2641"/>
      <c r="AQO25" s="2641"/>
      <c r="AQP25" s="2641"/>
      <c r="AQQ25" s="2641"/>
      <c r="AQR25" s="2641"/>
      <c r="AQS25" s="2641"/>
      <c r="AQT25" s="2641"/>
      <c r="AQU25" s="2641"/>
      <c r="AQV25" s="2641"/>
      <c r="AQW25" s="2641"/>
      <c r="AQX25" s="2641"/>
      <c r="AQY25" s="2641"/>
      <c r="AQZ25" s="2641"/>
      <c r="ARA25" s="2641"/>
      <c r="ARB25" s="2641"/>
      <c r="ARC25" s="2641"/>
      <c r="ARD25" s="2641"/>
      <c r="ARF25" s="2641"/>
      <c r="ARG25" s="2641"/>
      <c r="ARH25" s="2641"/>
      <c r="ARI25" s="2641"/>
      <c r="ARJ25" s="2641"/>
      <c r="ARK25" s="2641"/>
      <c r="ARL25" s="2641"/>
      <c r="ARM25" s="2641"/>
      <c r="ARN25" s="2641"/>
      <c r="ARO25" s="2641"/>
      <c r="ARP25" s="2641"/>
      <c r="ARQ25" s="2641"/>
      <c r="ARR25" s="2641"/>
      <c r="ARS25" s="2641"/>
      <c r="ART25" s="2641"/>
      <c r="ARU25" s="2641"/>
      <c r="ARV25" s="2641"/>
      <c r="ARW25" s="2641"/>
      <c r="ARX25" s="2641"/>
      <c r="ARY25" s="2641"/>
      <c r="ARZ25" s="2641"/>
      <c r="ASB25" s="2641"/>
      <c r="ASC25" s="2641"/>
      <c r="ASD25" s="2641"/>
      <c r="ASE25" s="2641"/>
      <c r="ASF25" s="2641"/>
      <c r="ASG25" s="2641"/>
      <c r="ASH25" s="2641"/>
      <c r="ASI25" s="2641"/>
      <c r="ASK25" s="2641"/>
      <c r="ASL25" s="2641"/>
      <c r="ASM25" s="2641"/>
      <c r="ASN25" s="2641"/>
      <c r="ASO25" s="2641"/>
      <c r="ASP25" s="2641"/>
      <c r="ASQ25" s="2641"/>
      <c r="ASR25" s="2641"/>
      <c r="ASS25" s="2641"/>
      <c r="AST25" s="2641"/>
      <c r="ASU25" s="2641"/>
      <c r="ASV25" s="2641"/>
      <c r="ASW25" s="2641"/>
      <c r="ASX25" s="2641"/>
      <c r="ASY25" s="2641"/>
      <c r="ASZ25" s="2641"/>
      <c r="ATL25" s="3530" t="str">
        <f>_List!BB13</f>
        <v>T11,5</v>
      </c>
      <c r="ATM25" s="3530" t="str">
        <f t="shared" si="0"/>
        <v>Veg_T11,5</v>
      </c>
      <c r="ATN25" s="3440">
        <f t="shared" si="1"/>
        <v>11.5</v>
      </c>
      <c r="ATO25" s="3446">
        <f>_List!BC13</f>
        <v>85.92</v>
      </c>
      <c r="ATP25" s="3433">
        <f>_List!BD13</f>
        <v>70.89</v>
      </c>
      <c r="ATQ25" s="3430">
        <f>_List!BE13</f>
        <v>23.75</v>
      </c>
      <c r="ATR25" s="3431">
        <v>1.77</v>
      </c>
      <c r="ATS25" s="3528">
        <v>3.5910000000000002</v>
      </c>
      <c r="ATT25" s="3525">
        <f t="shared" si="2"/>
        <v>16.567999999999998</v>
      </c>
      <c r="ATU25" s="3449">
        <f>_List!BF13</f>
        <v>11.5</v>
      </c>
      <c r="ATZ25" s="3458"/>
      <c r="AUA25" s="3458"/>
      <c r="AUB25" s="3458"/>
      <c r="AUC25" s="3458"/>
      <c r="AUD25" s="3458"/>
      <c r="AUE25" s="3458"/>
      <c r="AUF25" s="3458"/>
      <c r="AUG25" s="3458"/>
      <c r="AUH25" s="3458"/>
      <c r="AUI25" s="3458"/>
      <c r="AUJ25" s="3458"/>
      <c r="AUK25" s="3458"/>
      <c r="AUL25" s="3458"/>
      <c r="AVP25" s="181"/>
      <c r="AVQ25" s="181"/>
      <c r="AVR25" s="181"/>
      <c r="AVS25" s="181"/>
      <c r="AVT25" s="181"/>
      <c r="AVU25" s="181"/>
      <c r="AVV25" s="181"/>
      <c r="AVW25" s="181"/>
      <c r="AVX25" s="181"/>
      <c r="AVY25" s="181"/>
      <c r="AVZ25" s="181"/>
      <c r="AWA25" s="181"/>
      <c r="AWB25" s="181"/>
      <c r="AWC25" s="181"/>
      <c r="AWD25" s="181"/>
      <c r="AWE25" s="181"/>
      <c r="AWF25" s="181"/>
      <c r="AWG25" s="181"/>
      <c r="AWH25" s="181"/>
      <c r="AWI25" s="181"/>
      <c r="AWJ25" s="181"/>
      <c r="AWK25" s="181"/>
      <c r="AWL25" s="181"/>
      <c r="AWM25" s="181"/>
      <c r="AWN25" s="181"/>
      <c r="AWO25" s="181"/>
      <c r="AWP25" s="181"/>
      <c r="AWQ25" s="181"/>
      <c r="AWR25" s="181"/>
      <c r="AWS25" s="2617"/>
      <c r="AWT25" s="2617"/>
      <c r="AWU25" s="2617"/>
      <c r="AWV25" s="2617"/>
      <c r="AWW25" s="2617"/>
      <c r="AWX25" s="2617"/>
      <c r="AWY25" s="2617"/>
      <c r="AWZ25" s="2617"/>
      <c r="AXA25" s="2617"/>
      <c r="AXB25" s="2617"/>
      <c r="AXC25" s="2617"/>
      <c r="AXD25" s="2617"/>
      <c r="AXE25" s="2617"/>
      <c r="AXF25" s="2617"/>
      <c r="AXG25" s="2617"/>
      <c r="AXH25" s="2617"/>
      <c r="AXI25" s="2617"/>
      <c r="AXJ25" s="2617"/>
      <c r="AXK25" s="2617"/>
      <c r="AXL25" s="2617"/>
      <c r="AXM25" s="2617"/>
      <c r="AXN25" s="2617"/>
      <c r="AXO25" s="2617"/>
      <c r="AXP25" s="2617"/>
      <c r="AXQ25" s="2617"/>
      <c r="AXR25" s="2617"/>
      <c r="AXS25" s="2617"/>
      <c r="AXT25" s="2617"/>
      <c r="AXU25" s="2617"/>
      <c r="AXV25" s="2617"/>
      <c r="AXW25" s="2617"/>
      <c r="AXX25" s="2617"/>
      <c r="AXY25" s="2617"/>
      <c r="AXZ25" s="2617"/>
      <c r="AYA25" s="2617"/>
      <c r="AYB25" s="2617"/>
      <c r="AYC25" s="2617"/>
      <c r="AYD25" s="2617"/>
      <c r="AYE25" s="2617"/>
      <c r="AYF25" s="2617"/>
      <c r="AYG25" s="2617"/>
      <c r="AYH25" s="2617"/>
      <c r="AYI25" s="2617"/>
      <c r="AYJ25" s="2617"/>
      <c r="AYK25" s="2617"/>
      <c r="AYL25" s="2617"/>
      <c r="AYM25" s="2617"/>
      <c r="AYN25" s="2617"/>
      <c r="AYO25" s="2617"/>
      <c r="AYP25" s="2617"/>
      <c r="AYQ25" s="2617"/>
      <c r="AYR25" s="2617"/>
      <c r="AYS25" s="2617"/>
      <c r="AYT25" s="2617"/>
      <c r="AYU25" s="3413" t="s">
        <v>931</v>
      </c>
      <c r="BAV25" s="185" t="s">
        <v>192</v>
      </c>
      <c r="BAW25" s="199"/>
      <c r="BAX25" s="199" t="s">
        <v>892</v>
      </c>
      <c r="BAY25" s="2681" t="s">
        <v>872</v>
      </c>
      <c r="BAZ25" s="199"/>
      <c r="BBA25" s="199">
        <v>100</v>
      </c>
      <c r="BBB25" s="199"/>
      <c r="BBC25" s="199">
        <v>1.75</v>
      </c>
      <c r="BBD25" s="199"/>
      <c r="BBE25" s="2681" t="s">
        <v>872</v>
      </c>
      <c r="BBF25" s="2681"/>
      <c r="BBG25" s="199" t="s">
        <v>169</v>
      </c>
      <c r="BBH25" s="199"/>
      <c r="BBI25" s="199" t="s">
        <v>169</v>
      </c>
      <c r="BBJ25" s="199"/>
      <c r="BBK25" s="199"/>
      <c r="BBL25" s="2622"/>
      <c r="BBM25" s="2617"/>
      <c r="BBN25" s="2617"/>
      <c r="BBO25" s="2617"/>
      <c r="BBR25" s="3398"/>
    </row>
    <row r="26" spans="1:1490" s="2624" customFormat="1" ht="51" x14ac:dyDescent="0.2">
      <c r="A26" s="3594"/>
      <c r="B26" s="3681"/>
      <c r="C26" s="3681"/>
      <c r="D26" s="3681"/>
      <c r="E26" s="3458"/>
      <c r="F26" s="3458"/>
      <c r="G26" s="3594"/>
      <c r="H26" s="3594"/>
      <c r="I26" s="3594"/>
      <c r="J26" s="3594"/>
      <c r="K26" s="3594"/>
      <c r="L26" s="3594"/>
      <c r="M26" s="3594"/>
      <c r="N26" s="3594"/>
      <c r="O26" s="3594"/>
      <c r="Z26" s="3594"/>
      <c r="AA26" s="3594"/>
      <c r="AB26" s="3594"/>
      <c r="AC26" s="3594"/>
      <c r="AD26" s="3594"/>
      <c r="AE26" s="3594"/>
      <c r="AF26" s="3594"/>
      <c r="AG26" s="3594"/>
      <c r="AH26" s="2617"/>
      <c r="AU26" s="249" t="s">
        <v>285</v>
      </c>
      <c r="AV26" s="247" t="s">
        <v>189</v>
      </c>
      <c r="AW26" s="247" t="s">
        <v>190</v>
      </c>
      <c r="AX26" s="247" t="s">
        <v>191</v>
      </c>
      <c r="AY26" s="247" t="s">
        <v>192</v>
      </c>
      <c r="AZ26" s="247" t="s">
        <v>899</v>
      </c>
      <c r="BA26" s="247" t="s">
        <v>898</v>
      </c>
      <c r="BB26" s="247" t="s">
        <v>877</v>
      </c>
      <c r="BC26" s="247" t="s">
        <v>894</v>
      </c>
      <c r="BD26" s="315" t="s">
        <v>187</v>
      </c>
      <c r="BE26" s="2622"/>
      <c r="CG26" s="5668" t="s">
        <v>2089</v>
      </c>
      <c r="CH26" s="5669"/>
      <c r="CI26" s="5669"/>
      <c r="CJ26" s="5669"/>
      <c r="CK26" s="5669"/>
      <c r="CL26" s="5669"/>
      <c r="CM26" s="5669"/>
      <c r="CN26" s="5669"/>
      <c r="CO26" s="5669"/>
      <c r="CP26" s="5669"/>
      <c r="CQ26" s="5669"/>
      <c r="CR26" s="5669"/>
      <c r="CS26" s="5669"/>
      <c r="CT26" s="5669"/>
      <c r="CU26" s="5669"/>
      <c r="CV26" s="5671"/>
      <c r="CW26" s="5671"/>
      <c r="CX26" s="5671"/>
      <c r="CY26" s="5671"/>
      <c r="CZ26" s="5671"/>
      <c r="DA26" s="5671"/>
      <c r="DB26" s="5671"/>
      <c r="DC26" s="5671"/>
      <c r="DD26" s="5671"/>
      <c r="DE26" s="5671"/>
      <c r="DF26" s="5671"/>
      <c r="DG26" s="5671"/>
      <c r="DH26" s="5671"/>
      <c r="DI26" s="5671"/>
      <c r="DJ26" s="5671"/>
      <c r="DK26" s="5671"/>
      <c r="DL26" s="5671"/>
      <c r="DM26" s="5671"/>
      <c r="DN26" s="5671" t="str">
        <f>$AJ$112</f>
        <v>Byggherretid / kartlegging</v>
      </c>
      <c r="DO26" s="5671"/>
      <c r="DP26" s="5671"/>
      <c r="DQ26" s="5671"/>
      <c r="DR26" s="5671"/>
      <c r="DS26" s="5671"/>
      <c r="DT26" s="5671"/>
      <c r="DU26" s="5671"/>
      <c r="DV26" s="5671"/>
      <c r="DW26" s="5671"/>
      <c r="DX26" s="5671"/>
      <c r="DY26" s="5671"/>
      <c r="DZ26" s="5671"/>
      <c r="EA26" s="5671"/>
      <c r="EB26" s="5671"/>
      <c r="EC26" s="5671"/>
      <c r="ED26" s="5671"/>
      <c r="EE26" s="5671"/>
      <c r="EF26" s="5646" t="s">
        <v>1231</v>
      </c>
      <c r="EG26" s="5659"/>
      <c r="EH26" s="5659"/>
      <c r="EI26" s="5659"/>
      <c r="EJ26" s="5659"/>
      <c r="EK26" s="5659"/>
      <c r="EL26" s="5659"/>
      <c r="EM26" s="5659"/>
      <c r="EN26" s="5659"/>
      <c r="EO26" s="5659"/>
      <c r="EP26" s="5659"/>
      <c r="EQ26" s="5659"/>
      <c r="ER26" s="5659"/>
      <c r="ES26" s="5659"/>
      <c r="ET26" s="5659"/>
      <c r="EU26" s="5659"/>
      <c r="EV26" s="5659"/>
      <c r="EW26" s="5659"/>
      <c r="EX26" s="5659"/>
      <c r="EY26" s="5659"/>
      <c r="EZ26" s="5659"/>
      <c r="FA26" s="5659"/>
      <c r="FB26" s="5659"/>
      <c r="FC26" s="5659"/>
      <c r="FD26" s="5659"/>
      <c r="FE26" s="5659"/>
      <c r="FF26" s="5659"/>
      <c r="FG26" s="5659"/>
      <c r="FH26" s="5659"/>
      <c r="FI26" s="5659"/>
      <c r="FJ26" s="5659"/>
      <c r="FK26" s="5659"/>
      <c r="FL26" s="5659"/>
      <c r="FM26" s="5659"/>
      <c r="FN26" s="5659"/>
      <c r="FO26" s="5659"/>
      <c r="FP26" s="5647" t="s">
        <v>1234</v>
      </c>
      <c r="FQ26" s="5647"/>
      <c r="FR26" s="5647"/>
      <c r="FS26" s="5647"/>
      <c r="FT26" s="5647"/>
      <c r="FU26" s="5647"/>
      <c r="FV26" s="5647"/>
      <c r="FW26" s="5647"/>
      <c r="FX26" s="5647"/>
      <c r="FY26" s="5647"/>
      <c r="FZ26" s="5647"/>
      <c r="GA26" s="5647"/>
      <c r="GB26" s="5647"/>
      <c r="GC26" s="5647"/>
      <c r="GD26" s="5648"/>
      <c r="GE26" s="5648"/>
      <c r="GF26" s="5648"/>
      <c r="GG26" s="5648"/>
      <c r="GH26" s="5648"/>
      <c r="GI26" s="5648"/>
      <c r="GJ26" s="5648"/>
      <c r="GK26" s="5648"/>
      <c r="GL26" s="5648"/>
      <c r="GM26" s="5648"/>
      <c r="GN26" s="5648"/>
      <c r="GO26" s="5648"/>
      <c r="GP26" s="5648"/>
      <c r="GQ26" s="5648"/>
      <c r="GR26" s="5648"/>
      <c r="GS26" s="5648"/>
      <c r="GT26" s="5648"/>
      <c r="GU26" s="5648"/>
      <c r="GV26" s="5648"/>
      <c r="GW26" s="5648"/>
      <c r="GX26" s="5648"/>
      <c r="GY26" s="5648"/>
      <c r="GZ26" s="5643" t="str">
        <f>$AJ$115</f>
        <v>Alle typer ≤ 4 m</v>
      </c>
      <c r="HA26" s="5643" t="str">
        <f>$AJ$116</f>
        <v>Alle typer &gt; 4 m</v>
      </c>
      <c r="HB26" s="5643"/>
      <c r="HC26" s="5643"/>
      <c r="HD26" s="5643"/>
      <c r="HE26" s="5643"/>
      <c r="HF26" s="5643"/>
      <c r="HG26" s="5643"/>
      <c r="HH26" s="5643"/>
      <c r="HI26" s="5643"/>
      <c r="HJ26" s="5643"/>
      <c r="HK26" s="5643"/>
      <c r="HL26" s="5643"/>
      <c r="HM26" s="5643"/>
      <c r="HN26" s="5643"/>
      <c r="HO26" s="5643"/>
      <c r="HP26" s="5643"/>
      <c r="HQ26" s="5643"/>
      <c r="HR26" s="5660"/>
      <c r="HS26" s="5660"/>
      <c r="HT26" s="5660"/>
      <c r="HU26" s="5660"/>
      <c r="HV26" s="5660"/>
      <c r="HW26" s="5660"/>
      <c r="HX26" s="5660"/>
      <c r="HY26" s="5660"/>
      <c r="HZ26" s="5660"/>
      <c r="IA26" s="5660"/>
      <c r="IB26" s="5660"/>
      <c r="IC26" s="5660"/>
      <c r="ID26" s="5660"/>
      <c r="IE26" s="5660"/>
      <c r="IF26" s="5660"/>
      <c r="IG26" s="5660"/>
      <c r="IH26" s="5660"/>
      <c r="II26" s="5660"/>
      <c r="IJ26" s="5660"/>
      <c r="IK26" s="5660"/>
      <c r="IL26" s="5660"/>
      <c r="IM26" s="5660"/>
      <c r="IN26" s="5660"/>
      <c r="IO26" s="5660"/>
      <c r="IP26" s="5660"/>
      <c r="IQ26" s="5660"/>
      <c r="IR26" s="5660"/>
      <c r="IS26" s="5660"/>
      <c r="IT26" s="5660"/>
      <c r="IU26" s="5660"/>
      <c r="IV26" s="5660"/>
      <c r="IW26" s="5660"/>
      <c r="IX26" s="5660"/>
      <c r="IY26" s="5660"/>
      <c r="IZ26" s="5660"/>
      <c r="JA26" s="5660"/>
      <c r="JB26" s="5660"/>
      <c r="JC26" s="5660"/>
      <c r="JD26" s="5660"/>
      <c r="JE26" s="5660"/>
      <c r="JF26" s="5660"/>
      <c r="JG26" s="5660"/>
      <c r="JH26" s="5660"/>
      <c r="JI26" s="5660"/>
      <c r="JJ26" s="5660"/>
      <c r="JK26" s="5660"/>
      <c r="JL26" s="5660"/>
      <c r="JM26" s="5660"/>
      <c r="JN26" s="5660"/>
      <c r="JO26" s="5660"/>
      <c r="JP26" s="5660"/>
      <c r="JQ26" s="5660"/>
      <c r="JR26" s="5660"/>
      <c r="JS26" s="5660"/>
      <c r="JT26" s="5660"/>
      <c r="JU26" s="5660"/>
      <c r="JV26" s="5638" t="str">
        <f>$AJ$120</f>
        <v>≤ 4 m</v>
      </c>
      <c r="JW26" s="5638" t="str">
        <f>$AJ$121</f>
        <v>&gt; 4 m</v>
      </c>
      <c r="JX26" s="5601"/>
      <c r="JY26" s="5602"/>
      <c r="JZ26" s="5602"/>
      <c r="KA26" s="5602"/>
      <c r="KB26" s="5602"/>
      <c r="KC26" s="5602"/>
      <c r="KD26" s="5602"/>
      <c r="KE26" s="5602"/>
      <c r="KF26" s="5602"/>
      <c r="KG26" s="5602"/>
      <c r="KH26" s="5602"/>
      <c r="KI26" s="5602"/>
      <c r="KJ26" s="5602"/>
      <c r="KK26" s="5602"/>
      <c r="KL26" s="5602"/>
      <c r="KM26" s="5602"/>
      <c r="KN26" s="5602"/>
      <c r="KO26" s="5602"/>
      <c r="KP26" s="5602"/>
      <c r="KQ26" s="5602"/>
      <c r="KR26" s="5602"/>
      <c r="KS26" s="5602"/>
      <c r="KT26" s="5602"/>
      <c r="KU26" s="5602"/>
      <c r="KV26" s="5602"/>
      <c r="KW26" s="5602"/>
      <c r="KX26" s="5602"/>
      <c r="KY26" s="5602"/>
      <c r="KZ26" s="5602"/>
      <c r="LA26" s="5602"/>
      <c r="LB26" s="5602"/>
      <c r="LC26" s="5602"/>
      <c r="LD26" s="5603" t="str">
        <f>$AJ$124</f>
        <v>≤ 4 m</v>
      </c>
      <c r="LE26" s="5603" t="str">
        <f>$AJ$125</f>
        <v>&gt; 4 m</v>
      </c>
      <c r="LF26" s="5637"/>
      <c r="LG26" s="5649"/>
      <c r="LH26" s="5637"/>
      <c r="LI26" s="5661"/>
      <c r="LJ26" s="5661"/>
      <c r="LK26" s="5661"/>
      <c r="LL26" s="5661"/>
      <c r="LM26" s="5661"/>
      <c r="LN26" s="5661"/>
      <c r="LO26" s="5661"/>
      <c r="LP26" s="5661"/>
      <c r="LQ26" s="5661"/>
      <c r="LR26" s="5661"/>
      <c r="LS26" s="5661"/>
      <c r="LT26" s="5661"/>
      <c r="LU26" s="5661"/>
      <c r="LV26" s="5637"/>
      <c r="LW26" s="5637" t="str">
        <f>$AJ$127</f>
        <v>Bergbånd langs forbolting</v>
      </c>
      <c r="LX26" s="5637"/>
      <c r="LY26" s="5637"/>
      <c r="LZ26" s="5637"/>
      <c r="MA26" s="5637"/>
      <c r="MB26" s="5637"/>
      <c r="MC26" s="5637"/>
      <c r="MD26" s="5637"/>
      <c r="ME26" s="5637"/>
      <c r="MF26" s="5637"/>
      <c r="MG26" s="5637"/>
      <c r="MH26" s="5637"/>
      <c r="MI26" s="5637"/>
      <c r="MJ26" s="5637"/>
      <c r="MK26" s="5637"/>
      <c r="ML26" s="5637"/>
      <c r="MM26" s="5637"/>
      <c r="MN26" s="5637" t="str">
        <f>$AJ$128</f>
        <v>Tilleggs-bergbånd</v>
      </c>
      <c r="MO26" s="5637"/>
      <c r="MP26" s="5637"/>
      <c r="MQ26" s="5637"/>
      <c r="MR26" s="5637"/>
      <c r="MS26" s="5637"/>
      <c r="MT26" s="5637"/>
      <c r="MU26" s="5637"/>
      <c r="MV26" s="5637"/>
      <c r="MW26" s="5637" t="str">
        <f>$AH$127&amp;" Total"</f>
        <v>Bergbånd Total</v>
      </c>
      <c r="MX26" s="5637"/>
      <c r="MY26" s="5637"/>
      <c r="MZ26" s="5637"/>
      <c r="NA26" s="5637"/>
      <c r="NB26" s="5637"/>
      <c r="NC26" s="5637"/>
      <c r="ND26" s="5637"/>
      <c r="NE26" s="5637"/>
      <c r="NF26" s="5637"/>
      <c r="NG26" s="5637"/>
      <c r="NH26" s="5637"/>
      <c r="NI26" s="5637"/>
      <c r="NJ26" s="5637"/>
      <c r="NK26" s="5637"/>
      <c r="NL26" s="5637"/>
      <c r="NM26" s="5637"/>
      <c r="NN26" s="5637" t="str">
        <f>$AJ$129</f>
        <v>Festebolter for bergbånd</v>
      </c>
      <c r="NO26" s="5637"/>
      <c r="NP26" s="5637"/>
      <c r="NQ26" s="5637"/>
      <c r="NR26" s="5661"/>
      <c r="NS26" s="5661"/>
      <c r="NT26" s="5661"/>
      <c r="NU26" s="5661"/>
      <c r="NV26" s="5661"/>
      <c r="NW26" s="5661"/>
      <c r="NX26" s="5661"/>
      <c r="NY26" s="5661"/>
      <c r="NZ26" s="5661"/>
      <c r="OA26" s="5661"/>
      <c r="OB26" s="5661"/>
      <c r="OC26" s="5661"/>
      <c r="OD26" s="5661"/>
      <c r="OE26" s="5661"/>
      <c r="OF26" s="5661"/>
      <c r="OG26" s="5661"/>
      <c r="OH26" s="5661"/>
      <c r="OI26" s="5613"/>
      <c r="OJ26" s="5615"/>
      <c r="OK26" s="5613"/>
      <c r="OL26" s="5615"/>
      <c r="OM26" s="5615"/>
      <c r="ON26" s="5615"/>
      <c r="OO26" s="5615"/>
      <c r="OP26" s="5615"/>
      <c r="OQ26" s="5615"/>
      <c r="OR26" s="5615"/>
      <c r="OS26" s="5615"/>
      <c r="OT26" s="5615"/>
      <c r="OU26" s="5615"/>
      <c r="OV26" s="5615"/>
      <c r="OW26" s="5615"/>
      <c r="OX26" s="5615"/>
      <c r="OY26" s="5615"/>
      <c r="OZ26" s="5616" t="str">
        <f>$AJ$131</f>
        <v>Nett</v>
      </c>
      <c r="PA26" s="5615"/>
      <c r="PB26" s="5615"/>
      <c r="PC26" s="5615"/>
      <c r="PD26" s="5615"/>
      <c r="PE26" s="5615"/>
      <c r="PF26" s="5615"/>
      <c r="PG26" s="5615"/>
      <c r="PH26" s="5615"/>
      <c r="PI26" s="5615"/>
      <c r="PJ26" s="5615"/>
      <c r="PK26" s="5615"/>
      <c r="PL26" s="5615"/>
      <c r="PM26" s="5615"/>
      <c r="PN26" s="5615"/>
      <c r="PO26" s="5615"/>
      <c r="PP26" s="5615"/>
      <c r="PQ26" s="5613" t="str">
        <f>$AJ$132</f>
        <v>Festebolter for nett</v>
      </c>
      <c r="PR26" s="5615"/>
      <c r="PS26" s="5615"/>
      <c r="PT26" s="5615"/>
      <c r="PU26" s="5615"/>
      <c r="PV26" s="5615"/>
      <c r="PW26" s="5615"/>
      <c r="PX26" s="5615"/>
      <c r="PY26" s="5615"/>
      <c r="PZ26" s="5615"/>
      <c r="QA26" s="5615"/>
      <c r="QB26" s="5615"/>
      <c r="QC26" s="5615"/>
      <c r="QD26" s="5615"/>
      <c r="QE26" s="5615"/>
      <c r="QF26" s="5615"/>
      <c r="QG26" s="5615"/>
      <c r="QH26" s="5614" t="str">
        <f>$AJ$133</f>
        <v>Sprøytebetong ved nett</v>
      </c>
      <c r="QI26" s="5615"/>
      <c r="QJ26" s="5615"/>
      <c r="QK26" s="5615"/>
      <c r="QL26" s="5615"/>
      <c r="QM26" s="5615"/>
      <c r="QN26" s="5615"/>
      <c r="QO26" s="5615"/>
      <c r="QP26" s="5615"/>
      <c r="QQ26" s="5615"/>
      <c r="QR26" s="5645"/>
      <c r="QS26" s="5645"/>
      <c r="QT26" s="5650"/>
      <c r="QU26" s="5645"/>
      <c r="QV26" s="5645"/>
      <c r="QW26" s="5662"/>
      <c r="QX26" s="5662"/>
      <c r="QY26" s="5662"/>
      <c r="QZ26" s="5662"/>
      <c r="RA26" s="5662"/>
      <c r="RB26" s="5662"/>
      <c r="RC26" s="5662"/>
      <c r="RD26" s="5662"/>
      <c r="RE26" s="5662"/>
      <c r="RF26" s="5662"/>
      <c r="RG26" s="5662"/>
      <c r="RH26" s="5662"/>
      <c r="RI26" s="5662"/>
      <c r="RJ26" s="5662"/>
      <c r="RK26" s="5662"/>
      <c r="RL26" s="5662"/>
      <c r="RM26" s="5662"/>
      <c r="RN26" s="5662"/>
      <c r="RO26" s="5662"/>
      <c r="RP26" s="5662"/>
      <c r="RQ26" s="5662"/>
      <c r="RR26" s="5662"/>
      <c r="RS26" s="5662"/>
      <c r="RT26" s="5662"/>
      <c r="RU26" s="5662"/>
      <c r="RV26" s="5662"/>
      <c r="RW26" s="5662"/>
      <c r="RX26" s="5662"/>
      <c r="RY26" s="5662"/>
      <c r="RZ26" s="5662"/>
      <c r="SA26" s="5662"/>
      <c r="SB26" s="5662"/>
      <c r="SC26" s="5662"/>
      <c r="SD26" s="5662"/>
      <c r="SE26" s="5662"/>
      <c r="SF26" s="5662"/>
      <c r="SG26" s="5662"/>
      <c r="SH26" s="5662"/>
      <c r="SI26" s="5662"/>
      <c r="SJ26" s="5662"/>
      <c r="SK26" s="5662"/>
      <c r="SL26" s="5662"/>
      <c r="SM26" s="5662"/>
      <c r="SN26" s="5662"/>
      <c r="SO26" s="5662"/>
      <c r="SP26" s="5662"/>
      <c r="SQ26" s="5662"/>
      <c r="SR26" s="5662"/>
      <c r="SS26" s="5662"/>
      <c r="ST26" s="5662"/>
      <c r="SU26" s="5662"/>
      <c r="SV26" s="5662"/>
      <c r="SW26" s="5662"/>
      <c r="SX26" s="5662"/>
      <c r="SY26" s="5662"/>
      <c r="SZ26" s="5662"/>
      <c r="TA26" s="5662"/>
      <c r="TB26" s="5662"/>
      <c r="TC26" s="5662"/>
      <c r="TD26" s="5662"/>
      <c r="TE26" s="5662"/>
      <c r="TF26" s="5662"/>
      <c r="TG26" s="5662"/>
      <c r="TH26" s="5662"/>
      <c r="TI26" s="5662"/>
      <c r="TJ26" s="5662"/>
      <c r="TK26" s="5634"/>
      <c r="TL26" s="5651"/>
      <c r="TM26" s="5634"/>
      <c r="TN26" s="5634"/>
      <c r="TO26" s="5634"/>
      <c r="TP26" s="5634"/>
      <c r="TQ26" s="5634"/>
      <c r="TR26" s="5663"/>
      <c r="TS26" s="5663"/>
      <c r="TT26" s="5663"/>
      <c r="TU26" s="5634"/>
      <c r="TV26" s="5634"/>
      <c r="TW26" s="5634"/>
      <c r="TX26" s="5663"/>
      <c r="TY26" s="5663"/>
      <c r="TZ26" s="5663"/>
      <c r="UA26" s="5663"/>
      <c r="UB26" s="5634"/>
      <c r="UC26" s="5634"/>
      <c r="UD26" s="5663"/>
      <c r="UE26" s="5663"/>
      <c r="UF26" s="5663"/>
      <c r="UG26" s="5663"/>
      <c r="UH26" s="5634"/>
      <c r="UI26" s="5634"/>
      <c r="UJ26" s="5663"/>
      <c r="UK26" s="5663"/>
      <c r="UL26" s="5663"/>
      <c r="UM26" s="5663"/>
      <c r="UN26" s="5634"/>
      <c r="UO26" s="5634"/>
      <c r="UP26" s="5663"/>
      <c r="UQ26" s="5663"/>
      <c r="UR26" s="5663"/>
      <c r="US26" s="5663"/>
      <c r="UT26" s="5634"/>
      <c r="UU26" s="5634"/>
      <c r="UV26" s="5663"/>
      <c r="UW26" s="5663"/>
      <c r="UX26" s="5663"/>
      <c r="UY26" s="5663"/>
      <c r="UZ26" s="5634"/>
      <c r="VA26" s="5634"/>
      <c r="VB26" s="5663"/>
      <c r="VC26" s="5663"/>
      <c r="VD26" s="5663"/>
      <c r="VE26" s="5663"/>
      <c r="VF26" s="5634"/>
      <c r="VG26" s="5634"/>
      <c r="VH26" s="5634"/>
      <c r="VI26" s="5634"/>
      <c r="VJ26" s="5634"/>
      <c r="VK26" s="5732" t="str">
        <f>$AJ$143</f>
        <v>Tilleggs-sprøytebetong ved buer</v>
      </c>
      <c r="VL26" s="5733"/>
      <c r="VM26" s="5732"/>
      <c r="VN26" s="5732"/>
      <c r="VO26" s="5732"/>
      <c r="VP26" s="5733"/>
      <c r="VQ26" s="5732"/>
      <c r="VR26" s="5732"/>
      <c r="VS26" s="5732"/>
      <c r="VT26" s="5732"/>
      <c r="VU26" s="5732"/>
      <c r="VV26" s="5732"/>
      <c r="VW26" s="5732"/>
      <c r="VX26" s="5732"/>
      <c r="VY26" s="5732"/>
      <c r="VZ26" s="5732"/>
      <c r="WA26" s="5731" t="s">
        <v>1649</v>
      </c>
      <c r="WB26" s="5652" t="s">
        <v>1853</v>
      </c>
      <c r="WC26" s="5652"/>
      <c r="WD26" s="5653"/>
      <c r="WE26" s="5652"/>
      <c r="WF26" s="5664"/>
      <c r="WG26" s="5664"/>
      <c r="WH26" s="5664"/>
      <c r="WI26" s="5664"/>
      <c r="WJ26" s="5664"/>
      <c r="WK26" s="5664"/>
      <c r="WL26" s="5664"/>
      <c r="WM26" s="5664"/>
      <c r="WN26" s="5664"/>
      <c r="WO26" s="5664"/>
      <c r="WP26" s="5664"/>
      <c r="WQ26" s="5664"/>
      <c r="WR26" s="5664"/>
      <c r="WS26" s="5664"/>
      <c r="WT26" s="5664"/>
      <c r="WU26" s="5664"/>
      <c r="WV26" s="5664"/>
      <c r="WW26" s="5664"/>
      <c r="WX26" s="5664"/>
      <c r="WY26" s="5664"/>
      <c r="WZ26" s="5664"/>
      <c r="XA26" s="5664"/>
      <c r="XB26" s="5664"/>
      <c r="XC26" s="5664"/>
      <c r="XD26" s="5664"/>
      <c r="XE26" s="5664"/>
      <c r="XF26" s="5664"/>
      <c r="XG26" s="5664"/>
      <c r="XH26" s="5664"/>
      <c r="XI26" s="5654" t="s">
        <v>1853</v>
      </c>
      <c r="XJ26" s="5639" t="s">
        <v>1534</v>
      </c>
      <c r="XK26" s="5665"/>
      <c r="XL26" s="5665"/>
      <c r="XM26" s="5665"/>
      <c r="XN26" s="5665"/>
      <c r="XO26" s="5665"/>
      <c r="XP26" s="5665"/>
      <c r="XQ26" s="5665"/>
      <c r="XR26" s="5665"/>
      <c r="XS26" s="5665"/>
      <c r="XT26" s="5665"/>
      <c r="XU26" s="5665"/>
      <c r="XV26" s="5665"/>
      <c r="XW26" s="5665"/>
      <c r="XX26" s="5665"/>
      <c r="XY26" s="5665"/>
      <c r="XZ26" s="5665"/>
      <c r="YA26" s="5665"/>
      <c r="YB26" s="5665"/>
      <c r="YC26" s="5665"/>
      <c r="YD26" s="5665"/>
      <c r="YE26" s="5665"/>
      <c r="YF26" s="5665"/>
      <c r="YG26" s="5665"/>
      <c r="YH26" s="5665"/>
      <c r="YI26" s="5665"/>
      <c r="YJ26" s="5665"/>
      <c r="YK26" s="5665"/>
      <c r="YL26" s="5665"/>
      <c r="YM26" s="5665"/>
      <c r="YN26" s="5665"/>
      <c r="YO26" s="5665"/>
      <c r="YP26" s="5665"/>
      <c r="YQ26" s="5640" t="s">
        <v>1534</v>
      </c>
      <c r="YR26" s="5641"/>
      <c r="YS26" s="5641"/>
      <c r="YT26" s="5641"/>
      <c r="YU26" s="5641"/>
      <c r="YV26" s="5641"/>
      <c r="YW26" s="5641"/>
      <c r="YX26" s="5641"/>
      <c r="YY26" s="5641"/>
      <c r="YZ26" s="5641"/>
      <c r="ZA26" s="5641"/>
      <c r="ZB26" s="5641"/>
      <c r="ZC26" s="5641"/>
      <c r="ZD26" s="5641"/>
      <c r="ZE26" s="5641"/>
      <c r="ZF26" s="5641"/>
      <c r="ZG26" s="5641"/>
      <c r="ZH26" s="5641"/>
      <c r="ZI26" s="5666"/>
      <c r="ZJ26" s="5666"/>
      <c r="ZK26" s="5666"/>
      <c r="ZL26" s="5666"/>
      <c r="ZM26" s="5666"/>
      <c r="ABB26" s="2642"/>
      <c r="ABC26" s="2642"/>
      <c r="ABD26" s="2642"/>
      <c r="ABE26" s="2642"/>
      <c r="ABF26" s="2642"/>
      <c r="ABG26" s="2642"/>
      <c r="ABH26" s="2642"/>
      <c r="ABI26" s="2642"/>
      <c r="ABL26" s="2642"/>
      <c r="ABM26" s="2642"/>
      <c r="ABN26" s="2642"/>
      <c r="ABO26" s="2642"/>
      <c r="ABP26" s="2642"/>
      <c r="ABQ26" s="2642"/>
      <c r="ABR26" s="2642"/>
      <c r="ABS26" s="2642"/>
      <c r="ABT26" s="2737"/>
      <c r="ABU26" s="2737"/>
      <c r="ABV26" s="2737"/>
      <c r="ABW26" s="2737"/>
      <c r="ABX26" s="2737"/>
      <c r="ABY26" s="2737"/>
      <c r="ABZ26" s="2737"/>
      <c r="ACA26" s="2737"/>
      <c r="ACB26" s="2737"/>
      <c r="ACC26" s="2737"/>
      <c r="ACD26" s="2642"/>
      <c r="ACF26" s="2642"/>
      <c r="ACG26" s="2642"/>
      <c r="ACH26" s="2642"/>
      <c r="ACI26" s="2642"/>
      <c r="ACJ26" s="2642"/>
      <c r="ACK26" s="2642"/>
      <c r="ACL26" s="2642"/>
      <c r="ACM26" s="2642"/>
      <c r="ACO26" s="2642"/>
      <c r="ACP26" s="2642"/>
      <c r="ACQ26" s="2642"/>
      <c r="ACR26" s="2642"/>
      <c r="ACS26" s="2642"/>
      <c r="ACT26" s="2642"/>
      <c r="ACU26" s="2642"/>
      <c r="ACV26" s="2642"/>
      <c r="ACX26" s="2642"/>
      <c r="ACY26" s="2642"/>
      <c r="ACZ26" s="2642"/>
      <c r="ADA26" s="2642"/>
      <c r="ADB26" s="2642"/>
      <c r="ADC26" s="2642"/>
      <c r="ADD26" s="2642"/>
      <c r="ADE26" s="2642"/>
      <c r="ADF26" s="2642"/>
      <c r="ADH26" s="2642"/>
      <c r="ADI26" s="2642"/>
      <c r="ADJ26" s="2642"/>
      <c r="ADK26" s="2642"/>
      <c r="ADL26" s="2642"/>
      <c r="ADM26" s="2642"/>
      <c r="ADN26" s="2642"/>
      <c r="ADO26" s="2642"/>
      <c r="ADQ26" s="2642"/>
      <c r="ADR26" s="2642"/>
      <c r="ADS26" s="2642"/>
      <c r="ADT26" s="2642"/>
      <c r="ADU26" s="2642"/>
      <c r="ADV26" s="2642"/>
      <c r="ADW26" s="2642"/>
      <c r="ADX26" s="2642"/>
      <c r="ADY26" s="2642"/>
      <c r="ADZ26" s="2642"/>
      <c r="AEA26" s="2642"/>
      <c r="AEB26" s="2642"/>
      <c r="AEC26" s="2642"/>
      <c r="AED26" s="2642"/>
      <c r="AEE26" s="2642"/>
      <c r="AEF26" s="2642"/>
      <c r="AEG26" s="2642"/>
      <c r="AEH26" s="2642"/>
      <c r="AEI26" s="2642"/>
      <c r="AEJ26" s="2642"/>
      <c r="AEK26" s="2642"/>
      <c r="AEL26" s="2642"/>
      <c r="AEM26" s="2642"/>
      <c r="AEN26" s="2642"/>
      <c r="AEO26" s="2642"/>
      <c r="AEP26" s="2642"/>
      <c r="AEQ26" s="2642"/>
      <c r="AER26" s="2642"/>
      <c r="AES26" s="2642"/>
      <c r="AET26" s="2642"/>
      <c r="AEU26" s="2642"/>
      <c r="AEV26" s="2642"/>
      <c r="AEW26" s="2642"/>
      <c r="AEX26" s="2642"/>
      <c r="AEY26" s="2642"/>
      <c r="AEZ26" s="2642"/>
      <c r="AFA26" s="2642"/>
      <c r="AFB26" s="2642"/>
      <c r="AFC26" s="2642"/>
      <c r="AFD26" s="2642"/>
      <c r="AFE26" s="2642"/>
      <c r="AFF26" s="2642"/>
      <c r="AFG26" s="2642"/>
      <c r="AFH26" s="2642"/>
      <c r="AFI26" s="2642"/>
      <c r="AFJ26" s="2642"/>
      <c r="AFK26" s="2642"/>
      <c r="AFL26" s="2642"/>
      <c r="AFM26" s="2642"/>
      <c r="AFN26" s="2642"/>
      <c r="AFO26" s="2642"/>
      <c r="AFP26" s="2642"/>
      <c r="AFQ26" s="2642"/>
      <c r="AFR26" s="2642"/>
      <c r="AFS26" s="2642"/>
      <c r="AFT26" s="2642"/>
      <c r="AFU26" s="2642"/>
      <c r="AFV26" s="2642"/>
      <c r="AFW26" s="2642"/>
      <c r="AFX26" s="2642"/>
      <c r="AFY26" s="2642"/>
      <c r="AGA26" s="2642"/>
      <c r="AGB26" s="2642"/>
      <c r="AGC26" s="2642"/>
      <c r="AGD26" s="2642"/>
      <c r="AGE26" s="2642"/>
      <c r="AGF26" s="2642"/>
      <c r="AGG26" s="2642"/>
      <c r="AGH26" s="2642"/>
      <c r="AGI26" s="2642"/>
      <c r="AGJ26" s="2642"/>
      <c r="AGK26" s="2642"/>
      <c r="AGL26" s="2642"/>
      <c r="AGM26" s="2642"/>
      <c r="AGO26" s="2642"/>
      <c r="AGP26" s="2642"/>
      <c r="AGQ26" s="2642"/>
      <c r="AGR26" s="2642"/>
      <c r="AGS26" s="2642"/>
      <c r="AGT26" s="2642"/>
      <c r="AGU26" s="2642"/>
      <c r="AGV26" s="2642"/>
      <c r="AGW26" s="2642"/>
      <c r="AGX26" s="2642"/>
      <c r="AGY26" s="2642"/>
      <c r="AGZ26" s="2642"/>
      <c r="AHA26" s="2642"/>
      <c r="AHB26" s="2642"/>
      <c r="AHC26" s="2642"/>
      <c r="AHD26" s="2642"/>
      <c r="AHE26" s="2642"/>
      <c r="AHF26" s="2642"/>
      <c r="AHG26" s="2642"/>
      <c r="AHH26" s="2642"/>
      <c r="AHI26" s="2642"/>
      <c r="AHJ26" s="2642"/>
      <c r="AHK26" s="2642"/>
      <c r="AHL26" s="2642"/>
      <c r="AHM26" s="2642"/>
      <c r="AHN26" s="2642"/>
      <c r="AHO26" s="2642"/>
      <c r="AHP26" s="2642"/>
      <c r="AHQ26" s="2642"/>
      <c r="AHR26" s="2642"/>
      <c r="AHS26" s="2642"/>
      <c r="AHT26" s="2642"/>
      <c r="AHU26" s="2642"/>
      <c r="AHV26" s="2642"/>
      <c r="AHW26" s="2642"/>
      <c r="AHX26" s="2642"/>
      <c r="AHZ26" s="2642"/>
      <c r="AIA26" s="2642"/>
      <c r="AIB26" s="2642"/>
      <c r="AIC26" s="2642"/>
      <c r="AID26" s="2642"/>
      <c r="AIE26" s="2642"/>
      <c r="AIF26" s="2642"/>
      <c r="AIG26" s="2642"/>
      <c r="AIH26" s="2642"/>
      <c r="AIK26" s="2642"/>
      <c r="AIL26" s="2642"/>
      <c r="AIM26" s="2642"/>
      <c r="AIN26" s="2642"/>
      <c r="AIO26" s="2642"/>
      <c r="AIP26" s="2642"/>
      <c r="AIQ26" s="2642"/>
      <c r="AIT26" s="2642"/>
      <c r="AIU26" s="2642"/>
      <c r="AIV26" s="2642"/>
      <c r="AIW26" s="2642"/>
      <c r="AIX26" s="2642"/>
      <c r="AIY26" s="2642"/>
      <c r="AIZ26" s="2642"/>
      <c r="AJA26" s="2642"/>
      <c r="AJB26" s="2642"/>
      <c r="AJC26" s="2642"/>
      <c r="AJD26" s="2642"/>
      <c r="AJE26" s="2642"/>
      <c r="AJF26" s="2642"/>
      <c r="AJG26" s="2642"/>
      <c r="AJH26" s="2642"/>
      <c r="AJI26" s="2642"/>
      <c r="AJJ26" s="2642"/>
      <c r="AJK26" s="2642"/>
      <c r="AJL26" s="2642"/>
      <c r="AJM26" s="2642"/>
      <c r="AJN26" s="2642"/>
      <c r="AJO26" s="2642"/>
      <c r="AJP26" s="2642"/>
      <c r="AJQ26" s="2642"/>
      <c r="AJR26" s="2642"/>
      <c r="AJS26" s="2642"/>
      <c r="AJT26" s="2642"/>
      <c r="AJU26" s="2642"/>
      <c r="AJV26" s="2642"/>
      <c r="AJW26" s="2642"/>
      <c r="AJX26" s="2642"/>
      <c r="AJY26" s="2642"/>
      <c r="AJZ26" s="2642"/>
      <c r="AKA26" s="2642"/>
      <c r="AKB26" s="2642"/>
      <c r="AKC26" s="2642"/>
      <c r="AKD26" s="2642"/>
      <c r="AKE26" s="2642"/>
      <c r="AKF26" s="2642"/>
      <c r="AKG26" s="2642"/>
      <c r="AKH26" s="2642"/>
      <c r="AKI26" s="2642"/>
      <c r="AKJ26" s="2642"/>
      <c r="AKK26" s="2642"/>
      <c r="AKL26" s="2642"/>
      <c r="AKM26" s="2642"/>
      <c r="AKN26" s="2642"/>
      <c r="AKO26" s="2642"/>
      <c r="AKP26" s="2642"/>
      <c r="AKQ26" s="2642"/>
      <c r="AKR26" s="2642"/>
      <c r="AKS26" s="2642"/>
      <c r="AKT26" s="2642"/>
      <c r="AKV26" s="2642"/>
      <c r="AKW26" s="2642"/>
      <c r="AKX26" s="2642"/>
      <c r="AKY26" s="2642"/>
      <c r="AKZ26" s="2642"/>
      <c r="ALA26" s="2642"/>
      <c r="ALB26" s="2642"/>
      <c r="ALC26" s="2642"/>
      <c r="ALD26" s="2642"/>
      <c r="ALE26" s="2642"/>
      <c r="ALF26" s="2642"/>
      <c r="ALG26" s="2642"/>
      <c r="ALH26" s="2642"/>
      <c r="ALI26" s="2642"/>
      <c r="ALJ26" s="2642"/>
      <c r="ALK26" s="2642"/>
      <c r="ALM26" s="2642"/>
      <c r="ALN26" s="2642"/>
      <c r="ALO26" s="2642"/>
      <c r="ALP26" s="2642"/>
      <c r="ALQ26" s="2642"/>
      <c r="ALR26" s="2642"/>
      <c r="ALS26" s="2642"/>
      <c r="ALT26" s="2642"/>
      <c r="ALU26" s="2642"/>
      <c r="ALV26" s="2642"/>
      <c r="ALW26" s="2642"/>
      <c r="ALX26" s="2642"/>
      <c r="ALY26" s="2642"/>
      <c r="ALZ26" s="2642"/>
      <c r="AMA26" s="2642"/>
      <c r="AMB26" s="2642"/>
      <c r="AMC26" s="2642"/>
      <c r="AMD26" s="2642"/>
      <c r="AME26" s="2642"/>
      <c r="AMG26" s="2642"/>
      <c r="AMH26" s="2642"/>
      <c r="AMI26" s="2642"/>
      <c r="AMJ26" s="2642"/>
      <c r="AMK26" s="2642"/>
      <c r="AML26" s="2642"/>
      <c r="AMM26" s="2642"/>
      <c r="AMN26" s="2642"/>
      <c r="AMO26" s="2642"/>
      <c r="AMP26" s="2642"/>
      <c r="AMQ26" s="2642"/>
      <c r="AMR26" s="2642"/>
      <c r="AMS26" s="2642"/>
      <c r="AMT26" s="2642"/>
      <c r="AMU26" s="2642"/>
      <c r="AMV26" s="2642"/>
      <c r="AMW26" s="2642"/>
      <c r="AMX26" s="2642"/>
      <c r="AMY26" s="2642"/>
      <c r="AMZ26" s="2642"/>
      <c r="ANA26" s="2642"/>
      <c r="ANB26" s="2642"/>
      <c r="ANC26" s="2642"/>
      <c r="AND26" s="2642"/>
      <c r="ANE26" s="2642"/>
      <c r="ANF26" s="2642"/>
      <c r="ANG26" s="2642"/>
      <c r="ANH26" s="2642"/>
      <c r="ANI26" s="2642"/>
      <c r="ANJ26" s="2642"/>
      <c r="ANK26" s="2642"/>
      <c r="ANL26" s="2642"/>
      <c r="ANM26" s="2642"/>
      <c r="ANN26" s="2642"/>
      <c r="ANO26" s="2642"/>
      <c r="ANP26" s="2642"/>
      <c r="ANQ26" s="2642"/>
      <c r="ANR26" s="2642"/>
      <c r="ANS26" s="2642"/>
      <c r="ANT26" s="2642"/>
      <c r="ANU26" s="2642"/>
      <c r="ANV26" s="2642"/>
      <c r="ANW26" s="2642"/>
      <c r="ANX26" s="2642"/>
      <c r="ANY26" s="2642"/>
      <c r="ANZ26" s="2642"/>
      <c r="AOA26" s="2642"/>
      <c r="AOB26" s="2642"/>
      <c r="AOC26" s="2642"/>
      <c r="AOD26" s="2642"/>
      <c r="AOE26" s="2642"/>
      <c r="AOF26" s="2642"/>
      <c r="AOG26" s="2642"/>
      <c r="AOH26" s="2642"/>
      <c r="AOI26" s="2642"/>
      <c r="AOJ26" s="2642"/>
      <c r="AOK26" s="2642"/>
      <c r="AOL26" s="2642"/>
      <c r="AOM26" s="2642"/>
      <c r="AON26" s="2642"/>
      <c r="AOO26" s="2642"/>
      <c r="AOP26" s="2642"/>
      <c r="AOQ26" s="2642"/>
      <c r="AOR26" s="2642"/>
      <c r="AOS26" s="2642"/>
      <c r="AOT26" s="2642"/>
      <c r="AOU26" s="2642"/>
      <c r="AOV26" s="4136"/>
      <c r="AOW26" s="4136"/>
      <c r="AOX26" s="4136"/>
      <c r="AOY26" s="4136"/>
      <c r="AOZ26" s="4136"/>
      <c r="APA26" s="4136"/>
      <c r="APB26" s="4136"/>
      <c r="APC26" s="4136"/>
      <c r="APD26" s="4136"/>
      <c r="APE26" s="4136"/>
      <c r="APF26" s="2642"/>
      <c r="APG26" s="2642"/>
      <c r="APH26" s="2642"/>
      <c r="API26" s="2642"/>
      <c r="APJ26" s="2642"/>
      <c r="APK26" s="2642"/>
      <c r="APL26" s="2642"/>
      <c r="APM26" s="2642"/>
      <c r="APN26" s="2642"/>
      <c r="APO26" s="2642"/>
      <c r="APP26" s="2642"/>
      <c r="APQ26" s="2642"/>
      <c r="APR26" s="2642"/>
      <c r="APS26" s="2642"/>
      <c r="APT26" s="2642"/>
      <c r="APU26" s="2642"/>
      <c r="APV26" s="2642"/>
      <c r="APW26" s="2642"/>
      <c r="APX26" s="2642"/>
      <c r="APY26" s="2642"/>
      <c r="APZ26" s="2642"/>
      <c r="AQA26" s="2642"/>
      <c r="AQB26" s="2642"/>
      <c r="AQC26" s="2642"/>
      <c r="AQD26" s="2642"/>
      <c r="AQF26" s="2642"/>
      <c r="AQG26" s="2642"/>
      <c r="AQH26" s="2642"/>
      <c r="AQI26" s="2642"/>
      <c r="AQJ26" s="2642"/>
      <c r="AQK26" s="2642"/>
      <c r="AQL26" s="2642"/>
      <c r="AQM26" s="2642"/>
      <c r="AQN26" s="2642"/>
      <c r="AQO26" s="2642"/>
      <c r="AQP26" s="2642"/>
      <c r="AQQ26" s="2642"/>
      <c r="AQR26" s="2642"/>
      <c r="AQS26" s="2642"/>
      <c r="AQT26" s="2642"/>
      <c r="AQU26" s="2642"/>
      <c r="AQV26" s="2642"/>
      <c r="AQW26" s="2642"/>
      <c r="AQX26" s="2642"/>
      <c r="AQY26" s="2642"/>
      <c r="AQZ26" s="2642"/>
      <c r="ARA26" s="2642"/>
      <c r="ARB26" s="2642"/>
      <c r="ARC26" s="2642"/>
      <c r="ARD26" s="2642"/>
      <c r="ARF26" s="2642"/>
      <c r="ARG26" s="2642"/>
      <c r="ARH26" s="2642"/>
      <c r="ARI26" s="2642"/>
      <c r="ARJ26" s="2642"/>
      <c r="ARK26" s="2642"/>
      <c r="ARL26" s="2642"/>
      <c r="ARM26" s="2642"/>
      <c r="ARN26" s="2642"/>
      <c r="ARO26" s="2642"/>
      <c r="ARP26" s="2642"/>
      <c r="ARQ26" s="2642"/>
      <c r="ARR26" s="2642"/>
      <c r="ARS26" s="2642"/>
      <c r="ART26" s="2642"/>
      <c r="ARU26" s="2642"/>
      <c r="ARV26" s="2642"/>
      <c r="ARW26" s="2642"/>
      <c r="ARX26" s="2642"/>
      <c r="ARY26" s="2642"/>
      <c r="ARZ26" s="2642"/>
      <c r="ASB26" s="2642"/>
      <c r="ASC26" s="2642"/>
      <c r="ASD26" s="2642"/>
      <c r="ASE26" s="2642"/>
      <c r="ASF26" s="2642"/>
      <c r="ASG26" s="2642"/>
      <c r="ASH26" s="2642"/>
      <c r="ASI26" s="2642"/>
      <c r="ASK26" s="2642"/>
      <c r="ASL26" s="2642"/>
      <c r="ASM26" s="2642"/>
      <c r="ASN26" s="2642"/>
      <c r="ASO26" s="2642"/>
      <c r="ASP26" s="2642"/>
      <c r="ASQ26" s="2642"/>
      <c r="ASR26" s="2642"/>
      <c r="ASS26" s="2642"/>
      <c r="AST26" s="2642"/>
      <c r="ASU26" s="2642"/>
      <c r="ASV26" s="2642"/>
      <c r="ASW26" s="2642"/>
      <c r="ASX26" s="2642"/>
      <c r="ASY26" s="2642"/>
      <c r="ASZ26" s="2642"/>
      <c r="ATL26" s="3530" t="str">
        <f>_List!BB14</f>
        <v>T12,5</v>
      </c>
      <c r="ATM26" s="3530" t="str">
        <f t="shared" si="0"/>
        <v>Veg_T12,5</v>
      </c>
      <c r="ATN26" s="3440">
        <f t="shared" si="1"/>
        <v>12.5</v>
      </c>
      <c r="ATO26" s="3446">
        <f>_List!BC14</f>
        <v>91.32</v>
      </c>
      <c r="ATP26" s="3433">
        <f>_List!BD14</f>
        <v>75.489999999999995</v>
      </c>
      <c r="ATQ26" s="3430">
        <f>_List!BE14</f>
        <v>24.32</v>
      </c>
      <c r="ATR26" s="3431">
        <v>1.57</v>
      </c>
      <c r="ATS26" s="3529">
        <v>3.5779999999999998</v>
      </c>
      <c r="ATT26" s="3525">
        <f t="shared" si="2"/>
        <v>17.164000000000001</v>
      </c>
      <c r="ATU26" s="3449">
        <f>_List!BF14</f>
        <v>12.5</v>
      </c>
      <c r="ATZ26" s="3594"/>
      <c r="AUA26" s="3458"/>
      <c r="AUB26" s="3458"/>
      <c r="AUC26" s="3594"/>
      <c r="AUD26" s="3594"/>
      <c r="AUE26" s="3594"/>
      <c r="AUF26" s="3594"/>
      <c r="AUG26" s="3594"/>
      <c r="AUH26" s="3594"/>
      <c r="AUI26" s="3594"/>
      <c r="AUJ26" s="3594"/>
      <c r="AUK26" s="3594"/>
      <c r="AUL26" s="3594"/>
      <c r="AVP26" s="181"/>
      <c r="AVQ26" s="181"/>
      <c r="AVR26" s="181"/>
      <c r="AVS26" s="181"/>
      <c r="AVT26" s="181"/>
      <c r="AVU26" s="181"/>
      <c r="AVV26" s="181"/>
      <c r="AVW26" s="181"/>
      <c r="AVX26" s="181"/>
      <c r="AVY26" s="181"/>
      <c r="AVZ26" s="181"/>
      <c r="AWA26" s="181"/>
      <c r="AWB26" s="181"/>
      <c r="AWC26" s="181"/>
      <c r="AWD26" s="181"/>
      <c r="AWE26" s="181"/>
      <c r="AWF26" s="181"/>
      <c r="AWG26" s="181"/>
      <c r="AWH26" s="181"/>
      <c r="AWI26" s="181"/>
      <c r="AWJ26" s="181"/>
      <c r="AWK26" s="181"/>
      <c r="AWL26" s="181"/>
      <c r="AWM26" s="181"/>
      <c r="AWN26" s="181"/>
      <c r="AWO26" s="181"/>
      <c r="AWP26" s="181"/>
      <c r="AWQ26" s="181"/>
      <c r="AWR26" s="181"/>
      <c r="AWS26" s="2617"/>
      <c r="AWT26" s="2617"/>
      <c r="AWU26" s="2617"/>
      <c r="AWV26" s="2617"/>
      <c r="AWW26" s="2617"/>
      <c r="AWX26" s="2617"/>
      <c r="AWY26" s="2617"/>
      <c r="AWZ26" s="2617"/>
      <c r="AXA26" s="2617"/>
      <c r="AXB26" s="2617"/>
      <c r="AXC26" s="2617"/>
      <c r="AXD26" s="2617"/>
      <c r="AXE26" s="2617"/>
      <c r="AXF26" s="2617"/>
      <c r="AXG26" s="2617"/>
      <c r="AXH26" s="2617"/>
      <c r="AXI26" s="2617"/>
      <c r="AXJ26" s="2617"/>
      <c r="AXK26" s="2617"/>
      <c r="AXL26" s="2617"/>
      <c r="AXM26" s="2617"/>
      <c r="AXN26" s="2617"/>
      <c r="AXO26" s="2617"/>
      <c r="AXP26" s="2617"/>
      <c r="AXQ26" s="2617"/>
      <c r="AXR26" s="2617"/>
      <c r="AXS26" s="2617"/>
      <c r="AXT26" s="2617"/>
      <c r="AXU26" s="2617"/>
      <c r="AXV26" s="2617"/>
      <c r="AXW26" s="2617"/>
      <c r="AXX26" s="2617"/>
      <c r="AXY26" s="2617"/>
      <c r="AXZ26" s="2617"/>
      <c r="AYA26" s="2617"/>
      <c r="AYB26" s="2617"/>
      <c r="AYC26" s="2617"/>
      <c r="AYD26" s="2617"/>
      <c r="AYE26" s="2617"/>
      <c r="AYF26" s="2617"/>
      <c r="AYG26" s="2617"/>
      <c r="AYH26" s="2617"/>
      <c r="AYI26" s="2617"/>
      <c r="AYJ26" s="2617"/>
      <c r="AYK26" s="2617"/>
      <c r="AYL26" s="2617"/>
      <c r="AYM26" s="2617"/>
      <c r="AYN26" s="2617"/>
      <c r="AYO26" s="2617"/>
      <c r="AYP26" s="2617"/>
      <c r="AYQ26" s="2617"/>
      <c r="AYR26" s="2617"/>
      <c r="AYS26" s="2617"/>
      <c r="AYT26" s="2617"/>
      <c r="AYU26" s="3412" t="s">
        <v>861</v>
      </c>
      <c r="BAV26" s="185" t="s">
        <v>876</v>
      </c>
      <c r="BAW26" s="199"/>
      <c r="BAX26" s="199" t="s">
        <v>890</v>
      </c>
      <c r="BAY26" s="2681" t="s">
        <v>872</v>
      </c>
      <c r="BAZ26" s="199"/>
      <c r="BBA26" s="199">
        <v>150</v>
      </c>
      <c r="BBB26" s="199"/>
      <c r="BBC26" s="199">
        <v>1.5</v>
      </c>
      <c r="BBD26" s="199"/>
      <c r="BBE26" s="2681" t="s">
        <v>872</v>
      </c>
      <c r="BBF26" s="2681"/>
      <c r="BBG26" s="199" t="s">
        <v>169</v>
      </c>
      <c r="BBH26" s="199"/>
      <c r="BBI26" s="199" t="s">
        <v>169</v>
      </c>
      <c r="BBJ26" s="199"/>
      <c r="BBK26" s="199"/>
      <c r="BBL26" s="2622"/>
      <c r="BBM26" s="2617"/>
      <c r="BBN26" s="2617"/>
      <c r="BBO26" s="2617"/>
      <c r="BBR26" s="3398"/>
    </row>
    <row r="27" spans="1:1490" s="2625" customFormat="1" ht="23.25" customHeight="1" x14ac:dyDescent="0.2">
      <c r="A27" s="3458"/>
      <c r="B27" s="1665" t="s">
        <v>1528</v>
      </c>
      <c r="C27" s="3680" t="s">
        <v>1658</v>
      </c>
      <c r="D27" s="1665"/>
      <c r="E27" s="3458"/>
      <c r="F27" s="3458"/>
      <c r="G27" s="3458"/>
      <c r="H27" s="3458"/>
      <c r="I27" s="3458"/>
      <c r="J27" s="3458"/>
      <c r="K27" s="3458"/>
      <c r="L27" s="3458"/>
      <c r="M27" s="3458"/>
      <c r="N27" s="3458"/>
      <c r="O27" s="3458"/>
      <c r="Z27" s="3458"/>
      <c r="AA27" s="3458"/>
      <c r="AB27" s="3458"/>
      <c r="AC27" s="3458"/>
      <c r="AD27" s="3458"/>
      <c r="AE27" s="3458"/>
      <c r="AF27" s="3458"/>
      <c r="AG27" s="3458"/>
      <c r="AH27" s="372" t="s">
        <v>863</v>
      </c>
      <c r="AI27" s="194">
        <f>IF($AH$28=_List!$CU$8,1,2)</f>
        <v>2</v>
      </c>
      <c r="AJ27" s="5547" t="s">
        <v>864</v>
      </c>
      <c r="AK27" s="2689"/>
      <c r="AL27" s="2685"/>
      <c r="AN27" s="2689"/>
      <c r="AQ27" s="2626"/>
      <c r="AR27" s="2626"/>
      <c r="AS27" s="2626"/>
      <c r="AT27" s="2626"/>
      <c r="AU27" s="235">
        <v>1</v>
      </c>
      <c r="AV27" s="185">
        <f>'!INN_SK'!$Z$55</f>
        <v>1000</v>
      </c>
      <c r="AW27" s="185">
        <f>'!INN_SK'!$Z$57</f>
        <v>500</v>
      </c>
      <c r="AX27" s="185">
        <f>'!INN_SK'!$Z$64</f>
        <v>0</v>
      </c>
      <c r="AY27" s="185">
        <f>'!INN_SK'!$Z$71</f>
        <v>0</v>
      </c>
      <c r="AZ27" s="185">
        <f>'!INN_SK'!$Z$78</f>
        <v>0</v>
      </c>
      <c r="BA27" s="185">
        <f>'!INN_SK'!$Z$80</f>
        <v>0</v>
      </c>
      <c r="BB27" s="185">
        <f>'!INN_SK'!$Z$87</f>
        <v>0</v>
      </c>
      <c r="BC27" s="185">
        <f>'!INN_SK'!$Z$94</f>
        <v>900</v>
      </c>
      <c r="BD27" s="185"/>
      <c r="BE27" s="2622"/>
      <c r="CV27" s="2625" t="s">
        <v>1035</v>
      </c>
      <c r="EF27" s="2617" t="s">
        <v>1035</v>
      </c>
      <c r="EG27" s="2617"/>
      <c r="EH27" s="2617"/>
      <c r="EI27" s="2617"/>
      <c r="EJ27" s="2617"/>
      <c r="EK27" s="2617"/>
      <c r="EL27" s="2617"/>
      <c r="EM27" s="2617"/>
      <c r="EN27" s="2617"/>
      <c r="EO27" s="2617"/>
      <c r="EP27" s="2617"/>
      <c r="EQ27" s="2617"/>
      <c r="ER27" s="2617"/>
      <c r="ES27" s="2617"/>
      <c r="ET27" s="2617"/>
      <c r="EU27" s="2617"/>
      <c r="EV27" s="2617"/>
      <c r="EW27" s="2617"/>
      <c r="EX27" s="2617"/>
      <c r="EY27" s="2617"/>
      <c r="EZ27" s="2617"/>
      <c r="FA27" s="2617"/>
      <c r="FB27" s="2617"/>
      <c r="FC27" s="2617"/>
      <c r="FD27" s="2617"/>
      <c r="FE27" s="2617"/>
      <c r="FF27" s="2617"/>
      <c r="FG27" s="2617"/>
      <c r="FH27" s="2617"/>
      <c r="FI27" s="2617"/>
      <c r="FJ27" s="2617"/>
      <c r="FK27" s="2617"/>
      <c r="FL27" s="2617"/>
      <c r="FM27" s="2617"/>
      <c r="FN27" s="2617"/>
      <c r="FO27" s="2617"/>
      <c r="FP27" s="2617"/>
      <c r="FQ27" s="2617"/>
      <c r="FR27" s="2617"/>
      <c r="FS27" s="2617"/>
      <c r="FT27" s="2617"/>
      <c r="FU27" s="2617"/>
      <c r="FV27" s="2617"/>
      <c r="FW27" s="2617"/>
      <c r="FX27" s="2617"/>
      <c r="FY27" s="2617"/>
      <c r="FZ27" s="2617"/>
      <c r="GA27" s="2617"/>
      <c r="GB27" s="2617"/>
      <c r="GC27" s="2617"/>
      <c r="LF27" s="2617" t="s">
        <v>1035</v>
      </c>
      <c r="LG27" s="2617"/>
      <c r="LH27" s="2617"/>
      <c r="OI27" s="2617" t="s">
        <v>1035</v>
      </c>
      <c r="OJ27" s="2617"/>
      <c r="OK27" s="2617"/>
      <c r="QR27" s="2617" t="s">
        <v>1035</v>
      </c>
      <c r="QS27" s="2617"/>
      <c r="QT27" s="2617"/>
      <c r="QU27" s="2617"/>
      <c r="QV27" s="2617"/>
      <c r="TK27" s="2617" t="s">
        <v>1035</v>
      </c>
      <c r="TL27" s="2617"/>
      <c r="TM27" s="2617"/>
      <c r="TO27" s="2617"/>
      <c r="TP27" s="2617"/>
      <c r="TQ27" s="2617"/>
      <c r="TU27" s="2617"/>
      <c r="TV27" s="2617"/>
      <c r="TW27" s="2617"/>
      <c r="UB27" s="2617"/>
      <c r="UC27" s="2617"/>
      <c r="UH27" s="2617"/>
      <c r="UI27" s="2617"/>
      <c r="UN27" s="2617"/>
      <c r="UO27" s="2617"/>
      <c r="UT27" s="2617"/>
      <c r="UU27" s="2617"/>
      <c r="UZ27" s="2617"/>
      <c r="VA27" s="2617"/>
      <c r="VF27" s="2617"/>
      <c r="VG27" s="2617"/>
      <c r="WC27" s="2617"/>
      <c r="WD27" s="2617"/>
      <c r="WE27" s="2617"/>
      <c r="ABB27" s="2737"/>
      <c r="ABC27" s="2737"/>
      <c r="ABD27" s="2737"/>
      <c r="ABE27" s="2737"/>
      <c r="ABF27" s="2737"/>
      <c r="ABG27" s="2737"/>
      <c r="ABH27" s="2737"/>
      <c r="ABI27" s="2737"/>
      <c r="ABL27" s="2737"/>
      <c r="ABM27" s="2737"/>
      <c r="ABN27" s="2737"/>
      <c r="ABO27" s="2737"/>
      <c r="ABP27" s="2737"/>
      <c r="ABQ27" s="2737"/>
      <c r="ABR27" s="2737"/>
      <c r="ABS27" s="2737"/>
      <c r="ABV27" s="2737"/>
      <c r="ABW27" s="2737"/>
      <c r="ABX27" s="2737"/>
      <c r="ABY27" s="2737"/>
      <c r="ABZ27" s="2737"/>
      <c r="ACA27" s="2737"/>
      <c r="ACB27" s="2737"/>
      <c r="ACC27" s="2737"/>
      <c r="ACD27" s="2737"/>
      <c r="ACF27" s="2737"/>
      <c r="ACG27" s="2737"/>
      <c r="ACH27" s="2737"/>
      <c r="ACI27" s="2737"/>
      <c r="ACJ27" s="2737"/>
      <c r="ACK27" s="2737"/>
      <c r="ACL27" s="2737"/>
      <c r="ACM27" s="2737"/>
      <c r="ACO27" s="2737"/>
      <c r="ACP27" s="2737"/>
      <c r="ACQ27" s="2737"/>
      <c r="ACR27" s="2737"/>
      <c r="ACS27" s="2737"/>
      <c r="ACT27" s="2737"/>
      <c r="ACU27" s="2737"/>
      <c r="ACV27" s="2737"/>
      <c r="ACX27" s="2737"/>
      <c r="ACY27" s="2737"/>
      <c r="ACZ27" s="2737"/>
      <c r="ADA27" s="2737"/>
      <c r="ADB27" s="2737"/>
      <c r="ADC27" s="2737"/>
      <c r="ADD27" s="2737"/>
      <c r="ADE27" s="2737"/>
      <c r="ADF27" s="2737"/>
      <c r="ADH27" s="2737"/>
      <c r="ADI27" s="2737"/>
      <c r="ADJ27" s="2737"/>
      <c r="ADK27" s="2737"/>
      <c r="ADL27" s="2737"/>
      <c r="ADM27" s="2737"/>
      <c r="ADN27" s="2737"/>
      <c r="ADO27" s="2737"/>
      <c r="ADQ27" s="2737"/>
      <c r="ADR27" s="2737"/>
      <c r="ADS27" s="2737"/>
      <c r="ADT27" s="2737"/>
      <c r="ADU27" s="2737"/>
      <c r="ADV27" s="2737"/>
      <c r="ADW27" s="2737"/>
      <c r="ADX27" s="2737"/>
      <c r="ADY27" s="2737"/>
      <c r="ADZ27" s="2737"/>
      <c r="AEA27" s="2737"/>
      <c r="AEB27" s="2737"/>
      <c r="AEC27" s="2737"/>
      <c r="AED27" s="2737"/>
      <c r="AEE27" s="2737"/>
      <c r="AEF27" s="2737"/>
      <c r="AEG27" s="2737"/>
      <c r="AEH27" s="2737"/>
      <c r="AEI27" s="2737"/>
      <c r="AEJ27" s="2737"/>
      <c r="AEK27" s="2737"/>
      <c r="AEL27" s="2737"/>
      <c r="AEM27" s="2737"/>
      <c r="AEN27" s="2737"/>
      <c r="AEO27" s="2737"/>
      <c r="AEP27" s="2737"/>
      <c r="AEQ27" s="2737"/>
      <c r="AER27" s="2737"/>
      <c r="AES27" s="2737"/>
      <c r="AET27" s="2737"/>
      <c r="AEU27" s="2737"/>
      <c r="AEV27" s="2737"/>
      <c r="AEW27" s="2737"/>
      <c r="AEX27" s="2737"/>
      <c r="AEY27" s="2737"/>
      <c r="AEZ27" s="2737"/>
      <c r="AFA27" s="2737"/>
      <c r="AFB27" s="2737"/>
      <c r="AFC27" s="2737"/>
      <c r="AFD27" s="2737"/>
      <c r="AFE27" s="2737"/>
      <c r="AFF27" s="2737"/>
      <c r="AFG27" s="2737"/>
      <c r="AFH27" s="2737"/>
      <c r="AFI27" s="2737"/>
      <c r="AFJ27" s="2737"/>
      <c r="AFK27" s="2737"/>
      <c r="AFL27" s="2737"/>
      <c r="AFM27" s="2737"/>
      <c r="AFN27" s="2737"/>
      <c r="AFO27" s="2737"/>
      <c r="AFP27" s="2737"/>
      <c r="AFQ27" s="2737"/>
      <c r="AFR27" s="2737"/>
      <c r="AFS27" s="2737"/>
      <c r="AFT27" s="2737"/>
      <c r="AFU27" s="2737"/>
      <c r="AFV27" s="2737"/>
      <c r="AFW27" s="2737"/>
      <c r="AFX27" s="2737"/>
      <c r="AFY27" s="2737"/>
      <c r="AGA27" s="2737"/>
      <c r="AGB27" s="2737"/>
      <c r="AGC27" s="2737"/>
      <c r="AGD27" s="2737"/>
      <c r="AGE27" s="2737"/>
      <c r="AGF27" s="2737"/>
      <c r="AGG27" s="2737"/>
      <c r="AGH27" s="2737"/>
      <c r="AGI27" s="2737"/>
      <c r="AGJ27" s="2737"/>
      <c r="AGK27" s="2737"/>
      <c r="AGL27" s="2737"/>
      <c r="AGM27" s="2737"/>
      <c r="AGO27" s="2737"/>
      <c r="AGP27" s="2737"/>
      <c r="AGQ27" s="2737"/>
      <c r="AGR27" s="2737"/>
      <c r="AGS27" s="2737"/>
      <c r="AGT27" s="2737"/>
      <c r="AGU27" s="2737"/>
      <c r="AGV27" s="2737"/>
      <c r="AGW27" s="2737"/>
      <c r="AGX27" s="2737"/>
      <c r="AGY27" s="2737"/>
      <c r="AGZ27" s="2737"/>
      <c r="AHA27" s="2737"/>
      <c r="AHB27" s="2737"/>
      <c r="AHC27" s="2737"/>
      <c r="AHD27" s="2737"/>
      <c r="AHE27" s="2737"/>
      <c r="AHF27" s="2737"/>
      <c r="AHG27" s="2737"/>
      <c r="AHH27" s="2737"/>
      <c r="AHI27" s="2737"/>
      <c r="AHJ27" s="2737"/>
      <c r="AHK27" s="2737"/>
      <c r="AHL27" s="2737"/>
      <c r="AHM27" s="2737"/>
      <c r="AHN27" s="2737"/>
      <c r="AHO27" s="2737"/>
      <c r="AHP27" s="2737"/>
      <c r="AHQ27" s="2737"/>
      <c r="AHR27" s="2737"/>
      <c r="AHS27" s="2737"/>
      <c r="AHT27" s="2737"/>
      <c r="AHU27" s="2737"/>
      <c r="AHV27" s="2737"/>
      <c r="AHW27" s="2737"/>
      <c r="AHX27" s="2737"/>
      <c r="AHZ27" s="2737"/>
      <c r="AIA27" s="2737"/>
      <c r="AIB27" s="2737"/>
      <c r="AIC27" s="2737"/>
      <c r="AID27" s="2737"/>
      <c r="AIE27" s="2737"/>
      <c r="AIF27" s="2737"/>
      <c r="AIG27" s="2737"/>
      <c r="AIH27" s="2737"/>
      <c r="AIK27" s="2737"/>
      <c r="AIL27" s="2737"/>
      <c r="AIM27" s="2737"/>
      <c r="AIN27" s="2737"/>
      <c r="AIO27" s="2737"/>
      <c r="AIP27" s="2737"/>
      <c r="AIQ27" s="2737"/>
      <c r="AIT27" s="2737"/>
      <c r="AIU27" s="2737"/>
      <c r="AIV27" s="2737"/>
      <c r="AIW27" s="2737"/>
      <c r="AIX27" s="2737"/>
      <c r="AIY27" s="2737"/>
      <c r="AIZ27" s="2737"/>
      <c r="AJA27" s="2737"/>
      <c r="AJB27" s="2737"/>
      <c r="AJC27" s="2737"/>
      <c r="AJD27" s="2737"/>
      <c r="AJE27" s="2737"/>
      <c r="AJF27" s="2737"/>
      <c r="AJG27" s="2737"/>
      <c r="AJH27" s="2737"/>
      <c r="AJI27" s="2737"/>
      <c r="AJJ27" s="2737"/>
      <c r="AJK27" s="2737"/>
      <c r="AJL27" s="2737"/>
      <c r="AJM27" s="2737"/>
      <c r="AJN27" s="2737"/>
      <c r="AJO27" s="2737"/>
      <c r="AJP27" s="2737"/>
      <c r="AJQ27" s="2737"/>
      <c r="AJR27" s="2737"/>
      <c r="AJS27" s="2737"/>
      <c r="AJT27" s="2737"/>
      <c r="AJU27" s="2737"/>
      <c r="AJV27" s="2737"/>
      <c r="AJW27" s="2737"/>
      <c r="AJX27" s="2737"/>
      <c r="AJY27" s="2737"/>
      <c r="AJZ27" s="2737"/>
      <c r="AKA27" s="2737"/>
      <c r="AKB27" s="2737"/>
      <c r="AKC27" s="2737"/>
      <c r="AKD27" s="2737"/>
      <c r="AKE27" s="2737"/>
      <c r="AKF27" s="2737"/>
      <c r="AKG27" s="2737"/>
      <c r="AKH27" s="2737"/>
      <c r="AKI27" s="2737"/>
      <c r="AKJ27" s="2737"/>
      <c r="AKK27" s="2737"/>
      <c r="AKL27" s="2737"/>
      <c r="AKM27" s="2737"/>
      <c r="AKN27" s="2737"/>
      <c r="AKO27" s="2737"/>
      <c r="AKP27" s="2737"/>
      <c r="AKQ27" s="2737"/>
      <c r="AKR27" s="2737"/>
      <c r="AKS27" s="2737"/>
      <c r="AKT27" s="2737"/>
      <c r="AKV27" s="2737"/>
      <c r="AKW27" s="2737"/>
      <c r="AKX27" s="2737"/>
      <c r="AKY27" s="2737"/>
      <c r="AKZ27" s="2737"/>
      <c r="ALA27" s="2737"/>
      <c r="ALB27" s="2737"/>
      <c r="ALC27" s="2737"/>
      <c r="ALD27" s="2737"/>
      <c r="ALE27" s="2737"/>
      <c r="ALF27" s="2737"/>
      <c r="ALG27" s="2737"/>
      <c r="ALH27" s="2737"/>
      <c r="ALI27" s="2737"/>
      <c r="ALJ27" s="2737"/>
      <c r="ALK27" s="2737"/>
      <c r="ALM27" s="2737"/>
      <c r="ALN27" s="2737"/>
      <c r="ALO27" s="2737"/>
      <c r="ALP27" s="2737"/>
      <c r="ALQ27" s="2737"/>
      <c r="ALR27" s="2737"/>
      <c r="ALS27" s="2737"/>
      <c r="ALT27" s="2737"/>
      <c r="ALU27" s="2737"/>
      <c r="ALV27" s="2737"/>
      <c r="ALW27" s="2737"/>
      <c r="ALX27" s="2737"/>
      <c r="ALY27" s="2737"/>
      <c r="ALZ27" s="2737"/>
      <c r="AMA27" s="2737"/>
      <c r="AMB27" s="2737"/>
      <c r="AMC27" s="2737"/>
      <c r="AMD27" s="2737"/>
      <c r="AME27" s="2737"/>
      <c r="AMG27" s="2737"/>
      <c r="AMH27" s="2737"/>
      <c r="AMI27" s="2737"/>
      <c r="AMJ27" s="2737"/>
      <c r="AMK27" s="2737"/>
      <c r="AML27" s="2737"/>
      <c r="AMM27" s="2737"/>
      <c r="AMN27" s="2737"/>
      <c r="AMO27" s="2737"/>
      <c r="AMP27" s="2737"/>
      <c r="AMQ27" s="2737"/>
      <c r="AMR27" s="2737"/>
      <c r="AMS27" s="2737"/>
      <c r="AMT27" s="2737"/>
      <c r="AMU27" s="2737"/>
      <c r="AMV27" s="2737"/>
      <c r="AMW27" s="2737"/>
      <c r="AMX27" s="2737"/>
      <c r="AMY27" s="2737"/>
      <c r="AMZ27" s="2737"/>
      <c r="ANA27" s="2737"/>
      <c r="ANB27" s="2737"/>
      <c r="ANC27" s="2737"/>
      <c r="AND27" s="2737"/>
      <c r="ANE27" s="2737"/>
      <c r="ANF27" s="2737"/>
      <c r="ANG27" s="2737"/>
      <c r="ANH27" s="2737"/>
      <c r="ANI27" s="2737"/>
      <c r="ANJ27" s="2737"/>
      <c r="ANK27" s="2737"/>
      <c r="ANL27" s="2737"/>
      <c r="ANM27" s="2737"/>
      <c r="ANN27" s="2737"/>
      <c r="ANO27" s="2737"/>
      <c r="ANP27" s="2737"/>
      <c r="ANQ27" s="2737"/>
      <c r="ANR27" s="2737"/>
      <c r="ANS27" s="2737"/>
      <c r="ANT27" s="2737"/>
      <c r="ANU27" s="2737"/>
      <c r="ANV27" s="2737"/>
      <c r="ANW27" s="2737"/>
      <c r="ANX27" s="2737"/>
      <c r="ANY27" s="2737"/>
      <c r="ANZ27" s="2737"/>
      <c r="AOA27" s="2737"/>
      <c r="AOB27" s="2737"/>
      <c r="AOC27" s="2737"/>
      <c r="AOD27" s="2737"/>
      <c r="AOE27" s="2737"/>
      <c r="AOF27" s="2737"/>
      <c r="AOG27" s="2737"/>
      <c r="AOH27" s="2737"/>
      <c r="AOI27" s="2737"/>
      <c r="AOJ27" s="2737"/>
      <c r="AOK27" s="2737"/>
      <c r="AOL27" s="2737"/>
      <c r="AOM27" s="2737"/>
      <c r="AON27" s="2737"/>
      <c r="AOO27" s="2737"/>
      <c r="AOP27" s="2737"/>
      <c r="AOQ27" s="2737"/>
      <c r="AOR27" s="2737"/>
      <c r="AOS27" s="2737"/>
      <c r="AOT27" s="2737"/>
      <c r="AOU27" s="2737"/>
      <c r="AOV27" s="4124"/>
      <c r="AOW27" s="5162"/>
      <c r="AOX27" s="5162"/>
      <c r="AOY27" s="5162"/>
      <c r="AOZ27" s="5162"/>
      <c r="APA27" s="5162"/>
      <c r="APB27" s="5162"/>
      <c r="APC27" s="5162"/>
      <c r="APD27" s="5162"/>
      <c r="APE27" s="5162"/>
      <c r="APF27" s="2737"/>
      <c r="APG27" s="2737"/>
      <c r="APH27" s="2737"/>
      <c r="API27" s="2737"/>
      <c r="APJ27" s="2737"/>
      <c r="APK27" s="2737"/>
      <c r="APL27" s="2737"/>
      <c r="APM27" s="2737"/>
      <c r="APN27" s="2737"/>
      <c r="APO27" s="2737"/>
      <c r="APP27" s="2737"/>
      <c r="APQ27" s="2737"/>
      <c r="APR27" s="2737"/>
      <c r="APS27" s="2737"/>
      <c r="APT27" s="2737"/>
      <c r="APU27" s="2737"/>
      <c r="APV27" s="2737"/>
      <c r="APW27" s="2737"/>
      <c r="APX27" s="2737"/>
      <c r="APY27" s="2737"/>
      <c r="APZ27" s="2737"/>
      <c r="AQA27" s="2737"/>
      <c r="AQB27" s="2737"/>
      <c r="AQC27" s="2737"/>
      <c r="AQD27" s="2737"/>
      <c r="AQF27" s="2737"/>
      <c r="AQG27" s="2737"/>
      <c r="AQH27" s="2737"/>
      <c r="AQI27" s="2737"/>
      <c r="AQJ27" s="2737"/>
      <c r="AQK27" s="2737"/>
      <c r="AQL27" s="2737"/>
      <c r="AQM27" s="2737"/>
      <c r="AQN27" s="2737"/>
      <c r="AQO27" s="2737"/>
      <c r="AQP27" s="2737"/>
      <c r="AQQ27" s="2737"/>
      <c r="AQR27" s="2737"/>
      <c r="AQS27" s="2737"/>
      <c r="AQT27" s="2737"/>
      <c r="AQU27" s="2737"/>
      <c r="AQV27" s="2737"/>
      <c r="AQW27" s="2737"/>
      <c r="AQX27" s="2737"/>
      <c r="AQY27" s="2737"/>
      <c r="AQZ27" s="2737"/>
      <c r="ARA27" s="2737"/>
      <c r="ARB27" s="2737"/>
      <c r="ARC27" s="2737"/>
      <c r="ARD27" s="2737"/>
      <c r="ARF27" s="2737"/>
      <c r="ARG27" s="2737"/>
      <c r="ARH27" s="2737"/>
      <c r="ARI27" s="2737"/>
      <c r="ARJ27" s="2737"/>
      <c r="ARK27" s="2737"/>
      <c r="ARL27" s="2737"/>
      <c r="ARM27" s="2737"/>
      <c r="ARN27" s="2737"/>
      <c r="ARO27" s="2737"/>
      <c r="ARP27" s="2737"/>
      <c r="ARQ27" s="2737"/>
      <c r="ARR27" s="2737"/>
      <c r="ARS27" s="2737"/>
      <c r="ART27" s="2737"/>
      <c r="ARU27" s="2737"/>
      <c r="ARV27" s="2737"/>
      <c r="ARW27" s="2737"/>
      <c r="ARX27" s="2737"/>
      <c r="ARY27" s="2737"/>
      <c r="ARZ27" s="2737"/>
      <c r="ASB27" s="2737"/>
      <c r="ASC27" s="2737"/>
      <c r="ASD27" s="2737"/>
      <c r="ASE27" s="2737"/>
      <c r="ASF27" s="2737"/>
      <c r="ASG27" s="2737"/>
      <c r="ASH27" s="2737"/>
      <c r="ASI27" s="2737"/>
      <c r="ASK27" s="2737"/>
      <c r="ASL27" s="2737"/>
      <c r="ASM27" s="2737"/>
      <c r="ASN27" s="2737"/>
      <c r="ASO27" s="2737"/>
      <c r="ASP27" s="2737"/>
      <c r="ASQ27" s="2737"/>
      <c r="ASR27" s="2737"/>
      <c r="ASS27" s="2737"/>
      <c r="AST27" s="2737"/>
      <c r="ASU27" s="2737"/>
      <c r="ASV27" s="2737"/>
      <c r="ASW27" s="2737"/>
      <c r="ASX27" s="2737"/>
      <c r="ASY27" s="2737"/>
      <c r="ASZ27" s="2737"/>
      <c r="ATL27" s="3530" t="str">
        <f>_List!BB15</f>
        <v>T13</v>
      </c>
      <c r="ATM27" s="3530" t="str">
        <f t="shared" si="0"/>
        <v>Veg_T13</v>
      </c>
      <c r="ATN27" s="3440">
        <f t="shared" si="1"/>
        <v>13</v>
      </c>
      <c r="ATO27" s="3446">
        <f>_List!BC15</f>
        <v>95.69</v>
      </c>
      <c r="ATP27" s="3433">
        <f>_List!BD15</f>
        <v>79.39</v>
      </c>
      <c r="ATQ27" s="3430">
        <f>_List!BE15</f>
        <v>24.86</v>
      </c>
      <c r="ATR27" s="3431">
        <v>1.57</v>
      </c>
      <c r="ATS27" s="3527">
        <v>3.5779999999999998</v>
      </c>
      <c r="ATT27" s="3525">
        <f t="shared" si="2"/>
        <v>17.704000000000001</v>
      </c>
      <c r="ATU27" s="3449">
        <f>_List!BF15</f>
        <v>13</v>
      </c>
      <c r="ATV27" s="251"/>
      <c r="ATW27" s="251"/>
      <c r="ATX27" s="251"/>
      <c r="ATZ27" s="3458"/>
      <c r="AUA27" s="3458"/>
      <c r="AUB27" s="3458"/>
      <c r="AUC27" s="3458"/>
      <c r="AUD27" s="3458"/>
      <c r="AUE27" s="3458"/>
      <c r="AUF27" s="3458"/>
      <c r="AUG27" s="3458"/>
      <c r="AUH27" s="3458"/>
      <c r="AUI27" s="3458"/>
      <c r="AUJ27" s="3458"/>
      <c r="AUK27" s="3458"/>
      <c r="AUL27" s="3458"/>
      <c r="AVP27" s="181"/>
      <c r="AVQ27" s="181"/>
      <c r="AVR27" s="181"/>
      <c r="AVS27" s="181"/>
      <c r="AVT27" s="181"/>
      <c r="AVU27" s="181"/>
      <c r="AVV27" s="181"/>
      <c r="AVW27" s="181"/>
      <c r="AVX27" s="181"/>
      <c r="AVY27" s="181"/>
      <c r="AVZ27" s="181"/>
      <c r="AWA27" s="181"/>
      <c r="AWB27" s="181"/>
      <c r="AWC27" s="181"/>
      <c r="AWD27" s="181"/>
      <c r="AWE27" s="181"/>
      <c r="AWF27" s="181"/>
      <c r="AWG27" s="181"/>
      <c r="AWH27" s="181"/>
      <c r="AWI27" s="181"/>
      <c r="AWJ27" s="181"/>
      <c r="AWK27" s="181"/>
      <c r="AWL27" s="181"/>
      <c r="AWM27" s="181"/>
      <c r="AWN27" s="181"/>
      <c r="AWO27" s="181"/>
      <c r="AWP27" s="181"/>
      <c r="AWQ27" s="181"/>
      <c r="AWR27" s="181"/>
      <c r="AWY27" s="3623"/>
      <c r="AWZ27" s="3623"/>
      <c r="AXA27" s="3623"/>
      <c r="AXB27" s="3623"/>
      <c r="AYU27" s="3409" t="s">
        <v>1181</v>
      </c>
      <c r="AZJ27" s="2626"/>
      <c r="AZK27" s="2626"/>
      <c r="AZL27" s="2626"/>
      <c r="AZM27" s="2626"/>
      <c r="AZN27" s="2626"/>
      <c r="AZO27" s="2626"/>
      <c r="AZP27" s="2626"/>
      <c r="AZQ27" s="2626"/>
      <c r="AZR27" s="2626"/>
      <c r="AZS27" s="2626"/>
      <c r="AZT27" s="2626"/>
      <c r="AZU27" s="2626"/>
      <c r="AZV27" s="2626"/>
      <c r="AZY27" s="2626"/>
      <c r="AZZ27" s="2626"/>
      <c r="BAB27" s="2626"/>
      <c r="BAC27" s="2626"/>
      <c r="BAD27" s="2626"/>
      <c r="BAE27" s="2626"/>
      <c r="BAF27" s="2626"/>
      <c r="BAG27" s="2626"/>
      <c r="BAH27" s="2626"/>
      <c r="BAI27" s="2626"/>
      <c r="BAJ27" s="2626"/>
      <c r="BAM27" s="2626"/>
      <c r="BAO27" s="2626"/>
      <c r="BAP27" s="2626"/>
      <c r="BAQ27" s="2626"/>
      <c r="BAR27" s="2626"/>
      <c r="BAV27" s="185" t="s">
        <v>875</v>
      </c>
      <c r="BAW27" s="199"/>
      <c r="BAX27" s="199" t="s">
        <v>890</v>
      </c>
      <c r="BAY27" s="2681" t="s">
        <v>872</v>
      </c>
      <c r="BAZ27" s="199"/>
      <c r="BBA27" s="199">
        <v>150</v>
      </c>
      <c r="BBB27" s="199"/>
      <c r="BBC27" s="199">
        <v>1.5</v>
      </c>
      <c r="BBD27" s="199"/>
      <c r="BBE27" s="2681" t="s">
        <v>872</v>
      </c>
      <c r="BBF27" s="2681"/>
      <c r="BBG27" s="199" t="s">
        <v>880</v>
      </c>
      <c r="BBH27" s="199"/>
      <c r="BBI27" s="199">
        <f>(2+3)/2</f>
        <v>2.5</v>
      </c>
      <c r="BBJ27" s="199">
        <v>1.5</v>
      </c>
      <c r="BBK27" s="199"/>
      <c r="BBL27" s="2622"/>
      <c r="BBM27" s="2617"/>
      <c r="BBN27" s="2617"/>
      <c r="BBO27" s="2617"/>
      <c r="BBR27" s="3398"/>
    </row>
    <row r="28" spans="1:1490" s="2625" customFormat="1" ht="23.25" customHeight="1" x14ac:dyDescent="0.2">
      <c r="A28" s="3458"/>
      <c r="B28" s="1665"/>
      <c r="C28" s="1665"/>
      <c r="D28" s="1665"/>
      <c r="E28" s="3458"/>
      <c r="F28" s="3458"/>
      <c r="G28" s="3458"/>
      <c r="H28" s="3458"/>
      <c r="I28" s="3458"/>
      <c r="J28" s="3458"/>
      <c r="K28" s="3458"/>
      <c r="L28" s="3458"/>
      <c r="M28" s="3458"/>
      <c r="N28" s="3458"/>
      <c r="O28" s="3458"/>
      <c r="Z28" s="3458"/>
      <c r="AA28" s="3458"/>
      <c r="AB28" s="3458"/>
      <c r="AC28" s="3458"/>
      <c r="AD28" s="3458"/>
      <c r="AE28" s="3458"/>
      <c r="AF28" s="3458"/>
      <c r="AG28" s="3458"/>
      <c r="AH28" s="185" t="str">
        <f>Tunneldrift!$E$127</f>
        <v>Mengdebasert</v>
      </c>
      <c r="AI28" s="433"/>
      <c r="AK28" s="2689"/>
      <c r="AL28" s="2685"/>
      <c r="AN28" s="2689"/>
      <c r="AQ28" s="2626"/>
      <c r="AR28" s="2626"/>
      <c r="AS28" s="2626"/>
      <c r="AT28" s="2626"/>
      <c r="AU28" s="235">
        <v>2</v>
      </c>
      <c r="AV28" s="185">
        <f>'!INN_SK'!$AH$55</f>
        <v>0</v>
      </c>
      <c r="AW28" s="185">
        <f>'!INN_SK'!$AH$57</f>
        <v>1000</v>
      </c>
      <c r="AX28" s="185">
        <f>'!INN_SK'!$AH$64</f>
        <v>0</v>
      </c>
      <c r="AY28" s="185">
        <f>'!INN_SK'!$AH$71</f>
        <v>0</v>
      </c>
      <c r="AZ28" s="185">
        <f>'!INN_SK'!$AH$78</f>
        <v>0</v>
      </c>
      <c r="BA28" s="185">
        <f>'!INN_SK'!$AH$80</f>
        <v>0</v>
      </c>
      <c r="BB28" s="185">
        <f>'!INN_SK'!$AH$87</f>
        <v>900</v>
      </c>
      <c r="BC28" s="185">
        <f>'!INN_SK'!$AH$94</f>
        <v>0</v>
      </c>
      <c r="BD28" s="193"/>
      <c r="BE28" s="2622"/>
      <c r="CV28" s="2984">
        <v>1</v>
      </c>
      <c r="CW28" s="2984" t="str">
        <f>_List!$CX$6</f>
        <v>Minutter per salve</v>
      </c>
      <c r="EF28" s="2984">
        <v>1</v>
      </c>
      <c r="EG28" s="2984"/>
      <c r="EH28" s="2984"/>
      <c r="EI28" s="2984"/>
      <c r="EJ28" s="2984"/>
      <c r="EK28" s="2984"/>
      <c r="EL28" s="2984"/>
      <c r="EM28" s="2984"/>
      <c r="EN28" s="2984"/>
      <c r="EO28" s="2984"/>
      <c r="EP28" s="2984"/>
      <c r="EQ28" s="2984"/>
      <c r="ER28" s="2984"/>
      <c r="ES28" s="2984"/>
      <c r="ET28" s="2984"/>
      <c r="EU28" s="2984"/>
      <c r="EV28" s="2984"/>
      <c r="EW28" s="2984"/>
      <c r="EX28" s="2984"/>
      <c r="EY28" s="2984"/>
      <c r="EZ28" s="2984"/>
      <c r="FA28" s="2984"/>
      <c r="FB28" s="2984"/>
      <c r="FC28" s="2984"/>
      <c r="FD28" s="2984"/>
      <c r="FE28" s="2984"/>
      <c r="FF28" s="2984"/>
      <c r="FG28" s="2984"/>
      <c r="FH28" s="2984"/>
      <c r="FI28" s="2984"/>
      <c r="FJ28" s="2984"/>
      <c r="FK28" s="2984"/>
      <c r="FL28" s="2984"/>
      <c r="FM28" s="2984"/>
      <c r="FN28" s="2984"/>
      <c r="FO28" s="2984"/>
      <c r="FP28" s="2984"/>
      <c r="FQ28" s="2984"/>
      <c r="FR28" s="2984"/>
      <c r="FS28" s="2984"/>
      <c r="FT28" s="2984"/>
      <c r="FU28" s="2984"/>
      <c r="FV28" s="2984"/>
      <c r="FW28" s="2984"/>
      <c r="FX28" s="2984"/>
      <c r="FY28" s="2984"/>
      <c r="FZ28" s="2984"/>
      <c r="GA28" s="2984"/>
      <c r="GB28" s="2984"/>
      <c r="GC28" s="2617"/>
      <c r="HR28"/>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c r="JJ28" s="251"/>
      <c r="JK28" s="251"/>
      <c r="JL28" s="251"/>
      <c r="JM28" s="251"/>
      <c r="JN28" s="251"/>
      <c r="JO28" s="251"/>
      <c r="JP28" s="251"/>
      <c r="JQ28" s="251"/>
      <c r="JR28" s="251"/>
      <c r="JS28" s="251"/>
      <c r="JT28" s="251"/>
      <c r="JU28" s="251"/>
      <c r="JV28" s="251"/>
      <c r="JW28" s="251"/>
      <c r="JX28" s="251"/>
      <c r="JY28" s="251"/>
      <c r="JZ28" s="251"/>
      <c r="KA28" s="251"/>
      <c r="KB28" s="251"/>
      <c r="KC28" s="251"/>
      <c r="KD28" s="251"/>
      <c r="KE28" s="251"/>
      <c r="KF28" s="251"/>
      <c r="KG28" s="251"/>
      <c r="KH28" s="251"/>
      <c r="KI28" s="251"/>
      <c r="KJ28" s="251"/>
      <c r="KK28" s="251"/>
      <c r="KL28" s="251"/>
      <c r="KM28" s="251"/>
      <c r="KN28" s="251"/>
      <c r="KO28" s="251"/>
      <c r="KP28" s="251"/>
      <c r="KQ28" s="251"/>
      <c r="KR28" s="251"/>
      <c r="KS28" s="251"/>
      <c r="KT28" s="251"/>
      <c r="KU28" s="251"/>
      <c r="KV28" s="251"/>
      <c r="KW28" s="251"/>
      <c r="KX28" s="251"/>
      <c r="KY28" s="251"/>
      <c r="KZ28" s="251"/>
      <c r="LA28" s="251"/>
      <c r="LB28" s="251"/>
      <c r="LC28" s="251"/>
      <c r="LD28" s="251"/>
      <c r="LE28" s="251"/>
      <c r="LF28" s="2984">
        <v>1</v>
      </c>
      <c r="LG28" s="2984" t="str" cm="1">
        <f t="array" ref="LG28">klasse_bånd[Method]</f>
        <v>Bergbånd overlappingsfaktor</v>
      </c>
      <c r="LH28" s="2617"/>
      <c r="LR28" s="251"/>
      <c r="LS28" s="251"/>
      <c r="LT28" s="251"/>
      <c r="LU28" s="251"/>
      <c r="LV28" s="251"/>
      <c r="LW28" s="251"/>
      <c r="LX28" s="251"/>
      <c r="LY28" s="251"/>
      <c r="LZ28" s="251"/>
      <c r="MA28" s="251"/>
      <c r="MB28" s="251"/>
      <c r="MC28" s="251"/>
      <c r="MD28" s="251"/>
      <c r="ME28" s="251"/>
      <c r="MF28" s="251"/>
      <c r="MG28" s="251"/>
      <c r="MH28" s="251"/>
      <c r="MI28" s="251"/>
      <c r="MJ28" s="251"/>
      <c r="MK28" s="251"/>
      <c r="ML28" s="251"/>
      <c r="MM28" s="251"/>
      <c r="MN28" s="251"/>
      <c r="MO28" s="251"/>
      <c r="MP28" s="251"/>
      <c r="MQ28" s="251"/>
      <c r="MR28" s="251"/>
      <c r="MS28" s="251"/>
      <c r="MT28" s="251"/>
      <c r="MU28" s="251"/>
      <c r="MV28" s="251"/>
      <c r="MW28" s="251"/>
      <c r="MX28" s="251"/>
      <c r="MY28" s="251"/>
      <c r="MZ28" s="251"/>
      <c r="NA28" s="251"/>
      <c r="NB28" s="251"/>
      <c r="NC28" s="251"/>
      <c r="ND28" s="251"/>
      <c r="NE28" s="251"/>
      <c r="NF28" s="251"/>
      <c r="NG28" s="251"/>
      <c r="NH28" s="251"/>
      <c r="NI28" s="251"/>
      <c r="NJ28" s="251"/>
      <c r="NK28" s="251"/>
      <c r="NL28" s="251"/>
      <c r="NM28" s="251"/>
      <c r="NN28" s="251"/>
      <c r="NO28" s="251"/>
      <c r="NP28" s="251"/>
      <c r="NQ28" s="251"/>
      <c r="NR28" s="251"/>
      <c r="NS28" s="251"/>
      <c r="NT28" s="251"/>
      <c r="NU28" s="251"/>
      <c r="NV28" s="251"/>
      <c r="NW28" s="251"/>
      <c r="NX28" s="251"/>
      <c r="NY28" s="251"/>
      <c r="NZ28" s="251"/>
      <c r="OA28" s="251"/>
      <c r="OB28" s="251"/>
      <c r="OC28" s="251"/>
      <c r="OD28" s="251"/>
      <c r="OE28" s="251"/>
      <c r="OF28" s="251"/>
      <c r="OG28" s="251"/>
      <c r="OH28" s="251"/>
      <c r="OI28" s="2984">
        <v>1</v>
      </c>
      <c r="OJ28" s="2984" t="str" cm="1">
        <f t="array" ref="OJ28">klasse_net[Method]</f>
        <v>Nett (kvadratmeter) per meter av tunnel</v>
      </c>
      <c r="OK28" s="2617"/>
      <c r="OL28" s="251"/>
      <c r="OM28" s="251"/>
      <c r="ON28" s="251"/>
      <c r="OO28" s="251"/>
      <c r="OP28" s="251"/>
      <c r="OQ28" s="251"/>
      <c r="OR28" s="251"/>
      <c r="OS28" s="251"/>
      <c r="OT28" s="251"/>
      <c r="OU28" s="251"/>
      <c r="OV28" s="251"/>
      <c r="OW28" s="251"/>
      <c r="OX28" s="251"/>
      <c r="OY28" s="251"/>
      <c r="OZ28" s="251"/>
      <c r="PA28" s="251"/>
      <c r="PB28" s="251"/>
      <c r="PC28" s="251"/>
      <c r="PD28" s="251"/>
      <c r="PE28" s="251"/>
      <c r="PF28" s="251"/>
      <c r="PG28" s="251"/>
      <c r="PH28" s="251"/>
      <c r="PI28" s="251"/>
      <c r="PJ28" s="251"/>
      <c r="PK28" s="251"/>
      <c r="PL28" s="251"/>
      <c r="PM28" s="251"/>
      <c r="PN28" s="251"/>
      <c r="PO28" s="251"/>
      <c r="PP28" s="251"/>
      <c r="PQ28" s="251"/>
      <c r="PR28" s="251"/>
      <c r="PS28" s="251"/>
      <c r="PT28" s="251"/>
      <c r="PU28" s="251"/>
      <c r="PV28" s="251"/>
      <c r="PW28" s="251"/>
      <c r="PX28" s="251"/>
      <c r="PY28" s="251"/>
      <c r="PZ28" s="251"/>
      <c r="QA28" s="251"/>
      <c r="QB28" s="251"/>
      <c r="QC28" s="251"/>
      <c r="QD28" s="251"/>
      <c r="QE28" s="251"/>
      <c r="QF28" s="251"/>
      <c r="QG28" s="251"/>
      <c r="QH28" s="251"/>
      <c r="QI28" s="251"/>
      <c r="QJ28" s="251"/>
      <c r="QK28" s="251"/>
      <c r="QL28" s="251"/>
      <c r="QM28" s="251"/>
      <c r="QN28" s="251"/>
      <c r="QO28" s="251"/>
      <c r="QP28" s="251"/>
      <c r="QQ28" s="251"/>
      <c r="QR28" s="2984">
        <v>1</v>
      </c>
      <c r="QS28" s="2984"/>
      <c r="QT28" s="2984" t="str">
        <f>_List!$DI$6</f>
        <v>Tykkelse lag</v>
      </c>
      <c r="QU28" s="2617"/>
      <c r="QV28" s="2617"/>
      <c r="QW28" s="251"/>
      <c r="QX28" s="251"/>
      <c r="QY28" s="251"/>
      <c r="QZ28" s="251"/>
      <c r="RA28" s="251"/>
      <c r="RB28" s="251"/>
      <c r="RC28" s="251"/>
      <c r="RD28" s="251"/>
      <c r="RE28" s="251"/>
      <c r="RF28" s="251"/>
      <c r="RG28" s="251"/>
      <c r="RH28" s="251"/>
      <c r="RI28" s="251"/>
      <c r="RJ28" s="251"/>
      <c r="RK28" s="251"/>
      <c r="RL28" s="251"/>
      <c r="RM28" s="251"/>
      <c r="RN28" s="251"/>
      <c r="RO28" s="251"/>
      <c r="RP28" s="251"/>
      <c r="RQ28" s="251"/>
      <c r="RR28" s="251"/>
      <c r="RS28" s="251"/>
      <c r="RT28" s="251"/>
      <c r="RU28" s="251"/>
      <c r="RV28" s="251"/>
      <c r="RW28" s="251"/>
      <c r="RX28" s="251"/>
      <c r="RY28" s="251"/>
      <c r="RZ28" s="251"/>
      <c r="SA28" s="251"/>
      <c r="SB28" s="251"/>
      <c r="SC28" s="251"/>
      <c r="SD28" s="251"/>
      <c r="SE28" s="251"/>
      <c r="SF28" s="251"/>
      <c r="SG28" s="251"/>
      <c r="SH28" s="251"/>
      <c r="SI28" s="251"/>
      <c r="SJ28" s="251"/>
      <c r="SK28" s="251"/>
      <c r="SL28" s="251"/>
      <c r="SM28" s="251"/>
      <c r="SN28" s="251"/>
      <c r="SO28" s="251"/>
      <c r="SP28" s="251"/>
      <c r="SQ28" s="251"/>
      <c r="SR28" s="251"/>
      <c r="SS28" s="251"/>
      <c r="ST28" s="251"/>
      <c r="SU28" s="251"/>
      <c r="SV28" s="251"/>
      <c r="SW28" s="251"/>
      <c r="SX28" s="251"/>
      <c r="SY28" s="251"/>
      <c r="SZ28" s="251"/>
      <c r="TA28" s="251"/>
      <c r="TB28" s="251"/>
      <c r="TC28" s="251"/>
      <c r="TD28" s="251"/>
      <c r="TE28" s="251"/>
      <c r="TF28" s="251"/>
      <c r="TG28" s="251"/>
      <c r="TH28" s="251"/>
      <c r="TI28" s="251"/>
      <c r="TJ28" s="251"/>
      <c r="TK28" s="2984">
        <v>1</v>
      </c>
      <c r="TL28" s="2984" t="str" cm="1">
        <f t="array" ref="TL28">klasse_buer[Method]</f>
        <v>Buedimensjon</v>
      </c>
      <c r="TM28" s="2617"/>
      <c r="TO28" s="2617"/>
      <c r="TP28" s="2617"/>
      <c r="TQ28" s="2617"/>
      <c r="TR28" s="251"/>
      <c r="TS28" s="251"/>
      <c r="TT28" s="251"/>
      <c r="TU28" s="2617"/>
      <c r="TV28" s="2617"/>
      <c r="TW28" s="2617"/>
      <c r="TX28" s="251"/>
      <c r="TY28" s="251"/>
      <c r="TZ28" s="251"/>
      <c r="UA28" s="251"/>
      <c r="UB28" s="2617"/>
      <c r="UC28" s="2617"/>
      <c r="UD28" s="251"/>
      <c r="UE28" s="251"/>
      <c r="UF28" s="251"/>
      <c r="UG28" s="251"/>
      <c r="UH28" s="2617"/>
      <c r="UI28" s="2617"/>
      <c r="UJ28" s="251"/>
      <c r="UK28" s="251"/>
      <c r="UL28" s="251"/>
      <c r="UM28" s="251"/>
      <c r="UN28" s="2617"/>
      <c r="UO28" s="2617"/>
      <c r="UP28" s="251"/>
      <c r="UQ28" s="251"/>
      <c r="UR28" s="251"/>
      <c r="US28" s="251"/>
      <c r="UT28" s="2617"/>
      <c r="UU28" s="2617"/>
      <c r="UV28" s="251"/>
      <c r="UW28" s="251"/>
      <c r="UX28" s="251"/>
      <c r="UY28" s="251"/>
      <c r="UZ28" s="2617"/>
      <c r="VA28" s="2617"/>
      <c r="VB28" s="251"/>
      <c r="VC28" s="251"/>
      <c r="VD28" s="251"/>
      <c r="VE28" s="251"/>
      <c r="VF28" s="2617"/>
      <c r="VG28" s="2617"/>
      <c r="VH28" s="2997" t="s">
        <v>1122</v>
      </c>
      <c r="VI28" s="2998" t="s">
        <v>1123</v>
      </c>
      <c r="VJ28" s="2998"/>
      <c r="VK28" s="2996"/>
      <c r="VL28" s="251"/>
      <c r="VM28" s="251"/>
      <c r="VN28" s="251"/>
      <c r="VO28" s="251"/>
      <c r="VP28" s="251"/>
      <c r="VQ28" s="251"/>
      <c r="VR28" s="251"/>
      <c r="VS28" s="251"/>
      <c r="VT28" s="251"/>
      <c r="VU28" s="251"/>
      <c r="VV28" s="251"/>
      <c r="VW28" s="251"/>
      <c r="VX28" s="251"/>
      <c r="VY28" s="251"/>
      <c r="VZ28" s="251"/>
      <c r="WA28" s="251"/>
      <c r="WB28" s="251"/>
      <c r="WC28" s="2984"/>
      <c r="WD28" s="2984"/>
      <c r="WE28" s="2617"/>
      <c r="WF28" s="251"/>
      <c r="WG28" s="251"/>
      <c r="WH28" s="251"/>
      <c r="WI28" s="251"/>
      <c r="WJ28" s="251"/>
      <c r="WK28" s="251"/>
      <c r="WL28" s="251"/>
      <c r="WM28" s="251"/>
      <c r="WN28" s="251"/>
      <c r="WO28" s="251"/>
      <c r="WP28" s="251"/>
      <c r="WQ28" s="251"/>
      <c r="WR28" s="251"/>
      <c r="WS28" s="251"/>
      <c r="WT28" s="251"/>
      <c r="WU28" s="251"/>
      <c r="WV28" s="251"/>
      <c r="WW28" s="251"/>
      <c r="WX28" s="251"/>
      <c r="WY28" s="251"/>
      <c r="WZ28" s="251"/>
      <c r="XA28" s="251"/>
      <c r="XB28" s="251"/>
      <c r="XC28" s="251"/>
      <c r="XD28" s="251"/>
      <c r="XE28" s="251"/>
      <c r="XF28" s="251"/>
      <c r="XG28" s="251"/>
      <c r="XH28" s="251"/>
      <c r="XI28" s="251"/>
      <c r="XJ28" s="251"/>
      <c r="XK28" s="251"/>
      <c r="XL28" s="251"/>
      <c r="XM28" s="251"/>
      <c r="XN28" s="251"/>
      <c r="XO28" s="251"/>
      <c r="XP28" s="251"/>
      <c r="XQ28" s="251"/>
      <c r="XR28" s="251"/>
      <c r="XS28" s="251"/>
      <c r="XT28" s="251"/>
      <c r="XU28" s="251"/>
      <c r="XV28" s="251"/>
      <c r="XW28" s="251"/>
      <c r="XX28" s="251"/>
      <c r="XY28" s="251"/>
      <c r="XZ28" s="251"/>
      <c r="YA28" s="251"/>
      <c r="YB28" s="251"/>
      <c r="YC28" s="251"/>
      <c r="YD28" s="251"/>
      <c r="YE28" s="251"/>
      <c r="YF28" s="251"/>
      <c r="YG28" s="251"/>
      <c r="YH28" s="251"/>
      <c r="YI28" s="251"/>
      <c r="YJ28" s="251"/>
      <c r="YK28" s="251"/>
      <c r="YL28" s="251"/>
      <c r="YM28" s="251"/>
      <c r="YN28" s="251"/>
      <c r="YO28" s="251"/>
      <c r="YP28" s="251"/>
      <c r="YQ28" s="251"/>
      <c r="YR28" s="251"/>
      <c r="YS28" s="251"/>
      <c r="YT28" s="251"/>
      <c r="YU28" s="251"/>
      <c r="YV28" s="251"/>
      <c r="YW28" s="251"/>
      <c r="YX28" s="251"/>
      <c r="YY28" s="251"/>
      <c r="YZ28" s="251"/>
      <c r="ZA28" s="251"/>
      <c r="ZB28" s="251"/>
      <c r="ZC28" s="251"/>
      <c r="ZD28" s="251"/>
      <c r="ZE28" s="251"/>
      <c r="ZF28" s="251"/>
      <c r="ZG28" s="251"/>
      <c r="ZH28" s="251"/>
      <c r="ZI28" s="251"/>
      <c r="ZJ28" s="251"/>
      <c r="ZK28" s="251"/>
      <c r="ZL28" s="251"/>
      <c r="ZM28" s="251"/>
      <c r="ZN28" s="251"/>
      <c r="ZO28" s="251"/>
      <c r="ZP28" s="251"/>
      <c r="ZQ28" s="251"/>
      <c r="ZR28" s="251"/>
      <c r="ZS28" s="251"/>
      <c r="ZT28" s="251"/>
      <c r="ZU28" s="251"/>
      <c r="ZV28" s="251"/>
      <c r="ZW28" s="251"/>
      <c r="ZX28" s="251"/>
      <c r="ZY28" s="251"/>
      <c r="ZZ28" s="251"/>
      <c r="AAA28" s="251"/>
      <c r="AAB28" s="251"/>
      <c r="AAC28" s="251"/>
      <c r="AAD28" s="251"/>
      <c r="AAE28" s="251"/>
      <c r="AAF28" s="251"/>
      <c r="AAG28" s="251"/>
      <c r="AAH28" s="251"/>
      <c r="AAI28" s="251"/>
      <c r="AAJ28" s="251"/>
      <c r="AAK28" s="251"/>
      <c r="AAL28" s="251"/>
      <c r="AAM28" s="251"/>
      <c r="AAN28" s="251"/>
      <c r="AAO28" s="251"/>
      <c r="AAP28" s="251"/>
      <c r="AAQ28" s="251"/>
      <c r="AAR28" s="251"/>
      <c r="AAS28" s="251"/>
      <c r="AAT28" s="251"/>
      <c r="AAU28" s="251"/>
      <c r="AAV28" s="251"/>
      <c r="AAW28" s="251"/>
      <c r="ABB28" s="2737"/>
      <c r="ABC28" s="2737"/>
      <c r="ABD28" s="2737"/>
      <c r="ABE28" s="2737"/>
      <c r="ABF28" s="2737"/>
      <c r="ABG28" s="2737"/>
      <c r="ABH28" s="2737"/>
      <c r="ABI28" s="2737"/>
      <c r="ABL28" s="2737"/>
      <c r="ABM28" s="2737"/>
      <c r="ABN28" s="2737"/>
      <c r="ABO28" s="2737"/>
      <c r="ABP28" s="2737"/>
      <c r="ABQ28" s="2737"/>
      <c r="ABR28" s="2737"/>
      <c r="ABS28" s="2737"/>
      <c r="ABV28" s="2737"/>
      <c r="ABW28" s="2737"/>
      <c r="ABX28" s="2737"/>
      <c r="ABY28" s="2737"/>
      <c r="ABZ28" s="2737"/>
      <c r="ACA28" s="2737"/>
      <c r="ACB28" s="2737"/>
      <c r="ACC28" s="2737"/>
      <c r="ACD28" s="2737"/>
      <c r="ACE28" s="251"/>
      <c r="ACF28" s="2737"/>
      <c r="ACG28" s="2737"/>
      <c r="ACH28" s="2737"/>
      <c r="ACI28" s="2737"/>
      <c r="ACJ28" s="2737"/>
      <c r="ACK28" s="2737"/>
      <c r="ACL28" s="2737"/>
      <c r="ACM28" s="2737"/>
      <c r="ACN28" s="251"/>
      <c r="ACO28" s="2737"/>
      <c r="ACP28" s="2737"/>
      <c r="ACQ28" s="2737"/>
      <c r="ACR28" s="2737"/>
      <c r="ACS28" s="2737"/>
      <c r="ACT28" s="2737"/>
      <c r="ACU28" s="2737"/>
      <c r="ACV28" s="2737"/>
      <c r="ACW28" s="251"/>
      <c r="ACX28" s="2737"/>
      <c r="ACY28" s="2737"/>
      <c r="ACZ28" s="2737"/>
      <c r="ADA28" s="2737"/>
      <c r="ADB28" s="2737"/>
      <c r="ADC28" s="2737"/>
      <c r="ADD28" s="2737"/>
      <c r="ADE28" s="2737"/>
      <c r="ADF28" s="2737"/>
      <c r="ADG28" s="251"/>
      <c r="ADH28" s="2737"/>
      <c r="ADI28" s="2737"/>
      <c r="ADJ28" s="2737"/>
      <c r="ADK28" s="2737"/>
      <c r="ADL28" s="2737"/>
      <c r="ADM28" s="2737"/>
      <c r="ADN28" s="2737"/>
      <c r="ADO28" s="2737"/>
      <c r="ADP28" s="251"/>
      <c r="ADQ28" s="2737"/>
      <c r="ADR28" s="2737"/>
      <c r="ADS28" s="2737"/>
      <c r="ADT28" s="2737"/>
      <c r="ADU28" s="2737"/>
      <c r="ADV28" s="2737"/>
      <c r="ADW28" s="2737"/>
      <c r="ADX28" s="2737"/>
      <c r="ADY28" s="2737"/>
      <c r="ADZ28" s="2737"/>
      <c r="AEA28" s="2737"/>
      <c r="AEB28" s="2737"/>
      <c r="AEC28" s="2737"/>
      <c r="AED28" s="2737"/>
      <c r="AEE28" s="2737"/>
      <c r="AEF28" s="2737"/>
      <c r="AEG28" s="2737"/>
      <c r="AEH28" s="2737"/>
      <c r="AEI28" s="2737"/>
      <c r="AEJ28" s="2737"/>
      <c r="AEK28" s="2737"/>
      <c r="AEL28" s="2737"/>
      <c r="AEM28" s="2737"/>
      <c r="AEN28" s="2737"/>
      <c r="AEO28" s="2737"/>
      <c r="AEP28" s="2737"/>
      <c r="AEQ28" s="2737"/>
      <c r="AER28" s="2737"/>
      <c r="AES28" s="2737"/>
      <c r="AET28" s="2737"/>
      <c r="AEU28" s="2737"/>
      <c r="AEV28" s="2737"/>
      <c r="AEW28" s="2737"/>
      <c r="AEX28" s="2737"/>
      <c r="AEY28" s="2737"/>
      <c r="AEZ28" s="2737"/>
      <c r="AFA28" s="2737"/>
      <c r="AFB28" s="2737"/>
      <c r="AFC28" s="2737"/>
      <c r="AFD28" s="2737"/>
      <c r="AFE28" s="2737"/>
      <c r="AFF28" s="2737"/>
      <c r="AFG28" s="2737"/>
      <c r="AFH28" s="2737"/>
      <c r="AFI28" s="2737"/>
      <c r="AFJ28" s="2737"/>
      <c r="AFK28" s="2737"/>
      <c r="AFL28" s="2737"/>
      <c r="AFM28" s="2737"/>
      <c r="AFN28" s="2737"/>
      <c r="AFO28" s="2737"/>
      <c r="AFP28" s="2737"/>
      <c r="AFQ28" s="2737"/>
      <c r="AFR28" s="2737"/>
      <c r="AFS28" s="2737"/>
      <c r="AFT28" s="2737"/>
      <c r="AFU28" s="2737"/>
      <c r="AFV28" s="2737"/>
      <c r="AFW28" s="2737"/>
      <c r="AFX28" s="2737"/>
      <c r="AFY28" s="2737"/>
      <c r="AFZ28" s="251"/>
      <c r="AGA28" s="2737"/>
      <c r="AGB28" s="2737"/>
      <c r="AGC28" s="2737"/>
      <c r="AGD28" s="2737"/>
      <c r="AGE28" s="2737"/>
      <c r="AGF28" s="2737"/>
      <c r="AGG28" s="2737"/>
      <c r="AGH28" s="2737"/>
      <c r="AGI28" s="2737"/>
      <c r="AGJ28" s="2737"/>
      <c r="AGK28" s="2737"/>
      <c r="AGL28" s="2737"/>
      <c r="AGM28" s="2737"/>
      <c r="AGO28" s="2737"/>
      <c r="AGP28" s="2737"/>
      <c r="AGQ28" s="2737"/>
      <c r="AGR28" s="2737"/>
      <c r="AGS28" s="2737"/>
      <c r="AGT28" s="2737"/>
      <c r="AGU28" s="2737"/>
      <c r="AGV28" s="2737"/>
      <c r="AGW28" s="2737"/>
      <c r="AGX28" s="2737"/>
      <c r="AGY28" s="2737"/>
      <c r="AGZ28" s="2737"/>
      <c r="AHA28" s="2737"/>
      <c r="AHB28" s="2737"/>
      <c r="AHC28" s="2737"/>
      <c r="AHD28" s="2737"/>
      <c r="AHE28" s="2737"/>
      <c r="AHF28" s="2737"/>
      <c r="AHG28" s="2737"/>
      <c r="AHH28" s="2737"/>
      <c r="AHI28" s="2737"/>
      <c r="AHJ28" s="2737"/>
      <c r="AHK28" s="2737"/>
      <c r="AHL28" s="2737"/>
      <c r="AHM28" s="2737"/>
      <c r="AHN28" s="2737"/>
      <c r="AHO28" s="2737"/>
      <c r="AHP28" s="2737"/>
      <c r="AHQ28" s="2737"/>
      <c r="AHR28" s="2737"/>
      <c r="AHS28" s="2737"/>
      <c r="AHT28" s="2737"/>
      <c r="AHU28" s="2737"/>
      <c r="AHV28" s="2737"/>
      <c r="AHW28" s="2737"/>
      <c r="AHX28" s="2737"/>
      <c r="AHY28" s="251"/>
      <c r="AHZ28" s="2737"/>
      <c r="AIA28" s="2737"/>
      <c r="AIB28" s="2737"/>
      <c r="AIC28" s="2737"/>
      <c r="AID28" s="2737"/>
      <c r="AIE28" s="2737"/>
      <c r="AIF28" s="2737"/>
      <c r="AIG28" s="2737"/>
      <c r="AIH28" s="2737"/>
      <c r="AII28" s="251"/>
      <c r="AIJ28" s="251"/>
      <c r="AIK28" s="2737"/>
      <c r="AIL28" s="2737"/>
      <c r="AIM28" s="2737"/>
      <c r="AIN28" s="2737"/>
      <c r="AIO28" s="2737"/>
      <c r="AIP28" s="2737"/>
      <c r="AIQ28" s="2737"/>
      <c r="AIR28" s="251"/>
      <c r="AIS28" s="251"/>
      <c r="AIT28" s="2622"/>
      <c r="AIU28" s="2737"/>
      <c r="AIV28" s="2737"/>
      <c r="AIW28" s="2622"/>
      <c r="AIX28" s="2622"/>
      <c r="AIY28" s="2622"/>
      <c r="AIZ28" s="2622"/>
      <c r="AJA28" s="2622"/>
      <c r="AJB28" s="2622"/>
      <c r="AJC28" s="2737"/>
      <c r="AJD28" s="2737"/>
      <c r="AJE28" s="2622"/>
      <c r="AJF28" s="2622"/>
      <c r="AJG28" s="2622"/>
      <c r="AJH28" s="2622"/>
      <c r="AJI28" s="2622"/>
      <c r="AJJ28" s="2622"/>
      <c r="AJK28" s="2737"/>
      <c r="AJL28" s="2737"/>
      <c r="AJM28" s="2622"/>
      <c r="AJN28" s="2622"/>
      <c r="AJO28" s="2622"/>
      <c r="AJP28" s="2622"/>
      <c r="AJQ28" s="2622"/>
      <c r="AJR28" s="2622"/>
      <c r="AJS28" s="2737"/>
      <c r="AJT28" s="2737"/>
      <c r="AJU28" s="2622"/>
      <c r="AJV28" s="2622"/>
      <c r="AJW28" s="2622"/>
      <c r="AJX28" s="2622"/>
      <c r="AJY28" s="2622"/>
      <c r="AJZ28" s="2622"/>
      <c r="AKA28" s="2622"/>
      <c r="AKB28" s="2622"/>
      <c r="AKC28" s="2622"/>
      <c r="AKD28" s="2622"/>
      <c r="AKE28" s="2737"/>
      <c r="AKF28" s="2737"/>
      <c r="AKG28" s="2622"/>
      <c r="AKH28" s="2622"/>
      <c r="AKI28" s="2622"/>
      <c r="AKJ28" s="2622"/>
      <c r="AKK28" s="2622"/>
      <c r="AKL28" s="2622"/>
      <c r="AKM28" s="2737"/>
      <c r="AKN28" s="2737"/>
      <c r="AKO28" s="2737"/>
      <c r="AKP28" s="2737"/>
      <c r="AKQ28" s="2737"/>
      <c r="AKR28" s="2737"/>
      <c r="AKS28" s="2737"/>
      <c r="AKT28" s="2737"/>
      <c r="AKU28" s="251"/>
      <c r="AKV28" s="2737"/>
      <c r="AKW28" s="2737"/>
      <c r="AKX28" s="2737"/>
      <c r="AKY28" s="2737"/>
      <c r="AKZ28" s="2737"/>
      <c r="ALA28" s="2737"/>
      <c r="ALB28" s="2737"/>
      <c r="ALC28" s="2737"/>
      <c r="ALD28" s="2737"/>
      <c r="ALE28" s="2737"/>
      <c r="ALF28" s="2737"/>
      <c r="ALG28" s="2737"/>
      <c r="ALH28" s="2737"/>
      <c r="ALI28" s="2737"/>
      <c r="ALJ28" s="2737"/>
      <c r="ALK28" s="2737"/>
      <c r="ALL28" s="251"/>
      <c r="ALM28" s="2737"/>
      <c r="ALN28" s="2622"/>
      <c r="ALO28" s="2737"/>
      <c r="ALP28" s="2737"/>
      <c r="ALQ28" s="2622"/>
      <c r="ALR28" s="2622"/>
      <c r="ALS28" s="2622"/>
      <c r="ALT28" s="2622"/>
      <c r="ALU28" s="2622"/>
      <c r="ALV28" s="2622"/>
      <c r="ALW28" s="2622"/>
      <c r="ALX28" s="2737"/>
      <c r="ALY28" s="2737"/>
      <c r="ALZ28" s="2737"/>
      <c r="AMA28" s="2737"/>
      <c r="AMB28" s="2737"/>
      <c r="AMC28" s="2737"/>
      <c r="AMD28" s="2737"/>
      <c r="AME28" s="2737"/>
      <c r="AMF28" s="251"/>
      <c r="AMG28" s="2737"/>
      <c r="AMH28" s="2737"/>
      <c r="AMI28" s="2737"/>
      <c r="AMJ28" s="2737"/>
      <c r="AMK28" s="2737"/>
      <c r="AML28" s="2737"/>
      <c r="AMM28" s="2737"/>
      <c r="AMN28" s="2737"/>
      <c r="AMO28" s="2737"/>
      <c r="AMP28" s="2737"/>
      <c r="AMQ28" s="2737"/>
      <c r="AMR28" s="2737"/>
      <c r="AMS28" s="2737"/>
      <c r="AMT28" s="2737"/>
      <c r="AMU28" s="2737"/>
      <c r="AMV28" s="2737"/>
      <c r="AMW28" s="2737"/>
      <c r="AMX28" s="2737"/>
      <c r="AMY28" s="2737"/>
      <c r="AMZ28" s="2737"/>
      <c r="ANA28" s="2737"/>
      <c r="ANB28" s="2737"/>
      <c r="ANC28" s="2737"/>
      <c r="AND28" s="2737"/>
      <c r="ANE28" s="2737"/>
      <c r="ANF28" s="2737"/>
      <c r="ANG28" s="2737"/>
      <c r="ANH28" s="2737"/>
      <c r="ANI28" s="2737"/>
      <c r="ANJ28" s="2737"/>
      <c r="ANK28" s="2737"/>
      <c r="ANL28" s="2737"/>
      <c r="ANM28" s="2737"/>
      <c r="ANN28" s="2737"/>
      <c r="ANO28" s="2737"/>
      <c r="ANP28" s="2737"/>
      <c r="ANQ28" s="2737"/>
      <c r="ANR28" s="2737"/>
      <c r="ANS28" s="2737"/>
      <c r="ANT28" s="2737"/>
      <c r="ANU28" s="2737"/>
      <c r="ANV28" s="2737"/>
      <c r="ANW28" s="2737"/>
      <c r="ANX28" s="2737"/>
      <c r="ANY28" s="2737"/>
      <c r="ANZ28" s="2737"/>
      <c r="AOA28" s="2737"/>
      <c r="AOB28" s="2737"/>
      <c r="AOC28" s="2737"/>
      <c r="AOD28" s="2737"/>
      <c r="AOE28" s="2737"/>
      <c r="AOF28" s="2737"/>
      <c r="AOG28" s="2737"/>
      <c r="AOH28" s="2737"/>
      <c r="AOI28" s="2737"/>
      <c r="AOJ28" s="2737"/>
      <c r="AOK28" s="2737"/>
      <c r="AOL28" s="2737"/>
      <c r="AOM28" s="2737"/>
      <c r="AON28" s="2737"/>
      <c r="AOO28" s="2622"/>
      <c r="AOP28" s="2737"/>
      <c r="AOQ28" s="2737"/>
      <c r="AOR28" s="2622"/>
      <c r="AOS28" s="2622"/>
      <c r="AOT28" s="2622"/>
      <c r="AOU28" s="2622"/>
      <c r="AOV28" s="184"/>
      <c r="AOW28" s="184"/>
      <c r="AOX28" s="184"/>
      <c r="AOY28" s="184"/>
      <c r="AOZ28" s="184"/>
      <c r="APA28" s="184"/>
      <c r="APB28" s="184"/>
      <c r="APC28" s="184"/>
      <c r="APD28" s="184"/>
      <c r="APE28" s="184"/>
      <c r="APF28" s="2622"/>
      <c r="APG28" s="2737"/>
      <c r="APH28" s="2737"/>
      <c r="API28" s="2622"/>
      <c r="APJ28" s="2622"/>
      <c r="APK28" s="2622"/>
      <c r="APL28" s="2622"/>
      <c r="APM28" s="2622"/>
      <c r="APN28" s="2622"/>
      <c r="APO28" s="2737"/>
      <c r="APP28" s="2737"/>
      <c r="APQ28" s="2622"/>
      <c r="APR28" s="2622"/>
      <c r="APS28" s="2622"/>
      <c r="APT28" s="2622"/>
      <c r="APU28" s="2622"/>
      <c r="APV28" s="2622"/>
      <c r="APW28" s="2737"/>
      <c r="APX28" s="2737"/>
      <c r="APY28" s="2737"/>
      <c r="APZ28" s="2737"/>
      <c r="AQA28" s="2737"/>
      <c r="AQB28" s="2737"/>
      <c r="AQC28" s="2737"/>
      <c r="AQD28" s="2737"/>
      <c r="AQE28" s="251"/>
      <c r="AQF28" s="2737"/>
      <c r="AQG28" s="2737"/>
      <c r="AQH28" s="2737"/>
      <c r="AQI28" s="2737"/>
      <c r="AQJ28" s="2737"/>
      <c r="AQK28" s="2737"/>
      <c r="AQL28" s="2737"/>
      <c r="AQM28" s="2737"/>
      <c r="AQN28" s="2622"/>
      <c r="AQO28" s="2737"/>
      <c r="AQP28" s="2737"/>
      <c r="AQQ28" s="2622"/>
      <c r="AQR28" s="2622"/>
      <c r="AQS28" s="2622"/>
      <c r="AQT28" s="2622"/>
      <c r="AQU28" s="2622"/>
      <c r="AQV28" s="2622"/>
      <c r="AQW28" s="2737"/>
      <c r="AQX28" s="2737"/>
      <c r="AQY28" s="2737"/>
      <c r="AQZ28" s="2737"/>
      <c r="ARA28" s="2737"/>
      <c r="ARB28" s="2737"/>
      <c r="ARC28" s="2737"/>
      <c r="ARD28" s="2737"/>
      <c r="ARE28" s="251"/>
      <c r="ARF28" s="2737"/>
      <c r="ARG28" s="2737"/>
      <c r="ARH28" s="2737"/>
      <c r="ARI28" s="2737"/>
      <c r="ARJ28" s="2737"/>
      <c r="ARK28" s="2737"/>
      <c r="ARL28" s="2737"/>
      <c r="ARM28" s="2737"/>
      <c r="ARN28" s="2737"/>
      <c r="ARO28" s="2737"/>
      <c r="ARP28" s="2737"/>
      <c r="ARQ28" s="2737"/>
      <c r="ARR28" s="2737"/>
      <c r="ARS28" s="2622"/>
      <c r="ART28" s="2737"/>
      <c r="ARU28" s="2737"/>
      <c r="ARV28" s="2737"/>
      <c r="ARW28" s="2737"/>
      <c r="ARX28" s="2737"/>
      <c r="ARY28" s="2737"/>
      <c r="ARZ28" s="2737"/>
      <c r="ASB28" s="2737"/>
      <c r="ASC28" s="2737"/>
      <c r="ASD28" s="2737"/>
      <c r="ASE28" s="2737"/>
      <c r="ASF28" s="2737"/>
      <c r="ASG28" s="2737"/>
      <c r="ASH28" s="2737"/>
      <c r="ASI28" s="2737"/>
      <c r="ASJ28" s="251"/>
      <c r="ASK28" s="2737"/>
      <c r="ASL28" s="2737"/>
      <c r="ASM28" s="2737"/>
      <c r="ASN28" s="2737"/>
      <c r="ASO28" s="2737"/>
      <c r="ASP28" s="2737"/>
      <c r="ASQ28" s="2737"/>
      <c r="ASR28" s="2737"/>
      <c r="ASS28" s="2737"/>
      <c r="AST28" s="2737"/>
      <c r="ASU28" s="2737"/>
      <c r="ASV28" s="2737"/>
      <c r="ASW28" s="2737"/>
      <c r="ASX28" s="2737"/>
      <c r="ASY28" s="2737"/>
      <c r="ASZ28" s="2737"/>
      <c r="ATA28" s="251"/>
      <c r="ATB28" s="251"/>
      <c r="ATC28" s="251"/>
      <c r="ATD28" s="251"/>
      <c r="ATE28" s="251"/>
      <c r="ATF28" s="251"/>
      <c r="ATG28" s="251"/>
      <c r="ATH28" s="251"/>
      <c r="ATI28" s="251"/>
      <c r="ATJ28" s="251"/>
      <c r="ATK28" s="251"/>
      <c r="ATL28" s="3530" t="str">
        <f>_List!BB16</f>
        <v>T13,5</v>
      </c>
      <c r="ATM28" s="3530" t="str">
        <f t="shared" si="0"/>
        <v>Veg_T13,5</v>
      </c>
      <c r="ATN28" s="3440">
        <f t="shared" si="1"/>
        <v>13.5</v>
      </c>
      <c r="ATO28" s="3446">
        <f>_List!BC16</f>
        <v>100.52</v>
      </c>
      <c r="ATP28" s="3433">
        <f>_List!BD16</f>
        <v>83.73</v>
      </c>
      <c r="ATQ28" s="3430">
        <f>_List!BE16</f>
        <v>25.46</v>
      </c>
      <c r="ATR28" s="3431">
        <v>1.57</v>
      </c>
      <c r="ATS28" s="3527">
        <v>3.5779999999999998</v>
      </c>
      <c r="ATT28" s="3525">
        <f t="shared" si="2"/>
        <v>18.304000000000002</v>
      </c>
      <c r="ATU28" s="3449">
        <f>_List!BF16</f>
        <v>13.5</v>
      </c>
      <c r="ATV28" s="251"/>
      <c r="ATW28" s="251"/>
      <c r="ATX28" s="251"/>
      <c r="ATZ28" s="3458"/>
      <c r="AUA28" s="3458"/>
      <c r="AUB28" s="3458"/>
      <c r="AUC28" s="3458"/>
      <c r="AUD28" s="3458"/>
      <c r="AUE28" s="3458"/>
      <c r="AUF28" s="3458"/>
      <c r="AUG28" s="3458"/>
      <c r="AUH28" s="3458"/>
      <c r="AUI28" s="3458"/>
      <c r="AUJ28" s="3458"/>
      <c r="AUK28" s="3458"/>
      <c r="AUL28" s="3458"/>
      <c r="AVP28" s="181"/>
      <c r="AVQ28" s="181"/>
      <c r="AVR28" s="181"/>
      <c r="AVS28" s="181"/>
      <c r="AVT28" s="181"/>
      <c r="AVU28" s="181"/>
      <c r="AVV28" s="181"/>
      <c r="AVW28" s="181"/>
      <c r="AVX28" s="181"/>
      <c r="AVY28" s="181"/>
      <c r="AVZ28" s="181"/>
      <c r="AWA28" s="181"/>
      <c r="AWB28" s="181"/>
      <c r="AWC28" s="181"/>
      <c r="AWD28" s="181"/>
      <c r="AWE28" s="181"/>
      <c r="AWF28" s="181"/>
      <c r="AWG28" s="181"/>
      <c r="AWH28" s="181"/>
      <c r="AWI28" s="181"/>
      <c r="AWJ28" s="181"/>
      <c r="AWK28" s="181"/>
      <c r="AWL28" s="181"/>
      <c r="AWM28" s="181"/>
      <c r="AWN28" s="181"/>
      <c r="AWO28" s="181"/>
      <c r="AWP28" s="181"/>
      <c r="AWQ28" s="181"/>
      <c r="AWR28" s="181"/>
      <c r="AWS28" s="2617"/>
      <c r="AWT28" s="2617"/>
      <c r="AWU28" s="2617"/>
      <c r="AWV28" s="2617"/>
      <c r="AWW28" s="2617"/>
      <c r="AWX28" s="2617"/>
      <c r="AWY28" s="3623"/>
      <c r="AWZ28" s="3623"/>
      <c r="AXA28" s="3623"/>
      <c r="AXB28" s="3623"/>
      <c r="AXC28" s="2617"/>
      <c r="AXD28" s="2617"/>
      <c r="AXE28" s="2617"/>
      <c r="AXF28" s="2617"/>
      <c r="AXG28" s="2617"/>
      <c r="AXH28" s="2617"/>
      <c r="AXI28" s="2617"/>
      <c r="AXJ28" s="2617"/>
      <c r="AXK28" s="2617"/>
      <c r="AXL28" s="2617"/>
      <c r="AXM28" s="2617"/>
      <c r="AXN28" s="2617"/>
      <c r="AXO28" s="2617"/>
      <c r="AXP28" s="2617"/>
      <c r="AXQ28" s="2617"/>
      <c r="AXR28" s="2617"/>
      <c r="AXS28" s="2617"/>
      <c r="AXT28" s="2617"/>
      <c r="AXU28" s="2617"/>
      <c r="AXV28" s="2617"/>
      <c r="AXW28" s="2617"/>
      <c r="AXX28" s="2617"/>
      <c r="AXY28" s="2617"/>
      <c r="AXZ28" s="2617"/>
      <c r="AYA28" s="2617"/>
      <c r="AYB28" s="2617"/>
      <c r="AYC28" s="2617"/>
      <c r="AYD28" s="2617"/>
      <c r="AYE28" s="2617"/>
      <c r="AYF28" s="2617"/>
      <c r="AYG28" s="2617"/>
      <c r="AYH28" s="2617"/>
      <c r="AYI28" s="2617"/>
      <c r="AYJ28" s="2617"/>
      <c r="AYK28" s="2617"/>
      <c r="AYL28" s="2617"/>
      <c r="AYM28" s="2617"/>
      <c r="AYN28" s="2617"/>
      <c r="AYO28" s="2617"/>
      <c r="AYP28" s="2617"/>
      <c r="AYQ28" s="2617"/>
      <c r="AYR28" s="2617"/>
      <c r="AYS28" s="2617"/>
      <c r="AYT28" s="2617"/>
      <c r="AYU28" s="3407" t="s">
        <v>985</v>
      </c>
      <c r="AZJ28" s="2626"/>
      <c r="AZK28" s="2626"/>
      <c r="AZL28" s="2626"/>
      <c r="AZM28" s="2626"/>
      <c r="AZN28" s="2626"/>
      <c r="AZO28" s="2626"/>
      <c r="AZP28" s="2626"/>
      <c r="AZQ28" s="2626"/>
      <c r="AZR28" s="2626"/>
      <c r="AZS28" s="2626"/>
      <c r="AZT28" s="2626"/>
      <c r="AZU28" s="2626"/>
      <c r="AZV28" s="2626"/>
      <c r="AZW28" s="2719" t="s">
        <v>930</v>
      </c>
      <c r="AZZ28" s="2626"/>
      <c r="BAC28" s="2626"/>
      <c r="BAD28" s="2626"/>
      <c r="BAE28" s="2626"/>
      <c r="BAF28" s="2626"/>
      <c r="BAG28" s="2626"/>
      <c r="BAH28" s="2626"/>
      <c r="BAI28" s="2626"/>
      <c r="BAJ28" s="2626"/>
      <c r="BAK28" s="2719" t="s">
        <v>930</v>
      </c>
      <c r="BAP28" s="2626"/>
      <c r="BAQ28" s="2626"/>
      <c r="BAR28" s="2626"/>
      <c r="BAT28" s="207"/>
      <c r="BAU28" s="251"/>
      <c r="BAV28" s="185" t="s">
        <v>877</v>
      </c>
      <c r="BAW28" s="199"/>
      <c r="BAX28" s="199" t="s">
        <v>889</v>
      </c>
      <c r="BAY28" s="2681" t="s">
        <v>872</v>
      </c>
      <c r="BAZ28" s="199"/>
      <c r="BBA28" s="199">
        <f>(150+250)/2</f>
        <v>200</v>
      </c>
      <c r="BBB28" s="199"/>
      <c r="BBC28" s="199">
        <f>(1+1.5)/2</f>
        <v>1.25</v>
      </c>
      <c r="BBD28" s="199"/>
      <c r="BBE28" s="2681" t="s">
        <v>872</v>
      </c>
      <c r="BBF28" s="2681"/>
      <c r="BBG28" s="199" t="s">
        <v>880</v>
      </c>
      <c r="BBH28" s="199"/>
      <c r="BBI28" s="199">
        <f>(1.5+2)/2</f>
        <v>1.75</v>
      </c>
      <c r="BBJ28" s="199">
        <v>1</v>
      </c>
      <c r="BBK28" s="199"/>
      <c r="BBL28" s="2622"/>
      <c r="BBM28" s="2617"/>
      <c r="BBN28" s="2617"/>
      <c r="BBO28" s="2617"/>
      <c r="BBR28" s="3398"/>
    </row>
    <row r="29" spans="1:1490" s="2625" customFormat="1" ht="38.25" customHeight="1" thickBot="1" x14ac:dyDescent="0.25">
      <c r="A29" s="3458"/>
      <c r="B29" s="1665"/>
      <c r="C29" s="1665"/>
      <c r="D29" s="1665"/>
      <c r="E29" s="3458"/>
      <c r="F29" s="3458"/>
      <c r="G29" s="3458"/>
      <c r="H29" s="3458"/>
      <c r="I29" s="3458"/>
      <c r="J29" s="3458"/>
      <c r="K29" s="3458"/>
      <c r="L29" s="3458"/>
      <c r="M29" s="3458"/>
      <c r="N29" s="3458"/>
      <c r="O29" s="3458"/>
      <c r="Z29" s="3458"/>
      <c r="AA29" s="3458"/>
      <c r="AB29" s="3458"/>
      <c r="AC29" s="3458"/>
      <c r="AD29" s="3458"/>
      <c r="AE29" s="3458"/>
      <c r="AF29" s="3458"/>
      <c r="AG29" s="3458"/>
      <c r="AK29" s="2689"/>
      <c r="AL29" s="2685"/>
      <c r="AN29" s="2689"/>
      <c r="AQ29" s="2626"/>
      <c r="AR29" s="2626"/>
      <c r="AS29" s="2626"/>
      <c r="AT29" s="2626"/>
      <c r="AU29" s="235">
        <v>3</v>
      </c>
      <c r="AV29" s="185">
        <f>'!INN_SK'!$AP$55</f>
        <v>0</v>
      </c>
      <c r="AW29" s="185">
        <f>'!INN_SK'!$AP$57</f>
        <v>0</v>
      </c>
      <c r="AX29" s="185">
        <f>'!INN_SK'!$AP$64</f>
        <v>1000</v>
      </c>
      <c r="AY29" s="185">
        <f>'!INN_SK'!$AP$71</f>
        <v>0</v>
      </c>
      <c r="AZ29" s="185">
        <f>'!INN_SK'!$AP$78</f>
        <v>0</v>
      </c>
      <c r="BA29" s="185">
        <f>'!INN_SK'!$AP$80</f>
        <v>0</v>
      </c>
      <c r="BB29" s="185">
        <f>'!INN_SK'!$AP$87</f>
        <v>0</v>
      </c>
      <c r="BC29" s="185">
        <f>'!INN_SK'!$AP$94</f>
        <v>100</v>
      </c>
      <c r="BD29" s="193"/>
      <c r="BE29" s="2622"/>
      <c r="CV29" s="2984">
        <v>2</v>
      </c>
      <c r="CW29" s="2984"/>
      <c r="CX29" s="2625" t="s">
        <v>1681</v>
      </c>
      <c r="EF29" s="2984">
        <v>2</v>
      </c>
      <c r="EG29" s="2984"/>
      <c r="EH29" s="2984"/>
      <c r="EI29" s="2984"/>
      <c r="EJ29" s="2984"/>
      <c r="EK29" s="2984"/>
      <c r="EL29" s="2984"/>
      <c r="EM29" s="2984"/>
      <c r="EN29" s="2984"/>
      <c r="EO29" s="2984"/>
      <c r="EP29" s="2984"/>
      <c r="EQ29" s="2984"/>
      <c r="ER29" s="2984"/>
      <c r="ES29" s="2984"/>
      <c r="ET29" s="2984"/>
      <c r="EU29" s="2984"/>
      <c r="EV29" s="2984"/>
      <c r="EW29" s="2984"/>
      <c r="EX29" s="2984"/>
      <c r="EY29" s="2984"/>
      <c r="EZ29" s="2984"/>
      <c r="FA29" s="2984"/>
      <c r="FB29" s="2984"/>
      <c r="FC29" s="2984"/>
      <c r="FD29" s="2984"/>
      <c r="FE29" s="2984"/>
      <c r="FF29" s="2984"/>
      <c r="FG29" s="2984"/>
      <c r="FH29" s="2984"/>
      <c r="FI29" s="2984"/>
      <c r="FJ29" s="2984"/>
      <c r="FK29" s="2984"/>
      <c r="FL29" s="2984"/>
      <c r="FM29" s="2984"/>
      <c r="FN29" s="2984"/>
      <c r="FO29" s="2984"/>
      <c r="FP29" s="2984"/>
      <c r="FQ29" s="2984"/>
      <c r="FR29" s="2984"/>
      <c r="FS29" s="2984"/>
      <c r="FT29" s="2984"/>
      <c r="FU29" s="2984"/>
      <c r="FV29" s="2984"/>
      <c r="FW29" s="2984"/>
      <c r="FX29" s="2984"/>
      <c r="FY29" s="2984"/>
      <c r="FZ29" s="2984"/>
      <c r="GA29" s="2984"/>
      <c r="GB29" s="2984"/>
      <c r="GC29" s="2617"/>
      <c r="HC29" s="433" t="s">
        <v>2649</v>
      </c>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c r="KA29" s="251"/>
      <c r="KB29" s="251"/>
      <c r="KC29" s="251"/>
      <c r="KD29" s="251"/>
      <c r="KE29" s="251"/>
      <c r="KF29" s="251"/>
      <c r="KG29" s="251"/>
      <c r="KH29" s="251"/>
      <c r="KI29" s="251"/>
      <c r="KJ29" s="251"/>
      <c r="KK29" s="251"/>
      <c r="KL29" s="251"/>
      <c r="KM29" s="251"/>
      <c r="KN29" s="251"/>
      <c r="KO29" s="251"/>
      <c r="KP29" s="251"/>
      <c r="KQ29" s="251"/>
      <c r="KR29" s="251"/>
      <c r="KS29" s="251"/>
      <c r="KT29" s="251"/>
      <c r="KU29" s="251"/>
      <c r="KV29" s="251"/>
      <c r="KW29" s="251"/>
      <c r="KX29" s="251"/>
      <c r="KY29" s="251"/>
      <c r="KZ29" s="251"/>
      <c r="LA29" s="251"/>
      <c r="LB29" s="251"/>
      <c r="LC29" s="251"/>
      <c r="LD29" s="251"/>
      <c r="LE29" s="251"/>
      <c r="LF29" s="2984">
        <v>2</v>
      </c>
      <c r="LG29" s="2984" t="s">
        <v>1042</v>
      </c>
      <c r="LH29" s="2617"/>
      <c r="LR29" s="251"/>
      <c r="LS29" s="251"/>
      <c r="LT29" s="251"/>
      <c r="LU29" s="251"/>
      <c r="LV29" s="251"/>
      <c r="LW29" s="251"/>
      <c r="LX29" s="251"/>
      <c r="LY29" s="251"/>
      <c r="LZ29" s="251"/>
      <c r="MA29" s="251"/>
      <c r="MB29" s="251"/>
      <c r="MC29" s="251"/>
      <c r="MD29" s="251"/>
      <c r="ME29" s="251"/>
      <c r="MF29" s="251"/>
      <c r="MG29" s="251"/>
      <c r="MH29" s="251"/>
      <c r="MI29" s="251"/>
      <c r="MJ29" s="251"/>
      <c r="MK29" s="251"/>
      <c r="ML29" s="251"/>
      <c r="MM29" s="251"/>
      <c r="MN29" s="251"/>
      <c r="MO29" s="251"/>
      <c r="MP29" s="251"/>
      <c r="MQ29" s="251"/>
      <c r="MR29" s="251"/>
      <c r="MS29" s="251"/>
      <c r="MT29" s="251"/>
      <c r="MU29" s="251"/>
      <c r="MV29" s="251"/>
      <c r="MW29" s="251"/>
      <c r="MX29" s="251"/>
      <c r="MY29" s="251"/>
      <c r="MZ29" s="251"/>
      <c r="NA29" s="251"/>
      <c r="NB29" s="251"/>
      <c r="NC29" s="251"/>
      <c r="ND29" s="251"/>
      <c r="NE29" s="251"/>
      <c r="NF29" s="251"/>
      <c r="NG29" s="251"/>
      <c r="NH29" s="251"/>
      <c r="NI29" s="251"/>
      <c r="NJ29" s="251"/>
      <c r="NK29" s="251"/>
      <c r="NL29" s="251"/>
      <c r="NM29" s="251"/>
      <c r="NN29" s="251"/>
      <c r="NO29" s="251"/>
      <c r="NP29" s="251"/>
      <c r="NQ29" s="251"/>
      <c r="NR29" s="251"/>
      <c r="NS29" s="251"/>
      <c r="NT29" s="251"/>
      <c r="NU29" s="251"/>
      <c r="NV29" s="251"/>
      <c r="NW29" s="251"/>
      <c r="NX29" s="251"/>
      <c r="NY29" s="251"/>
      <c r="NZ29" s="251"/>
      <c r="OA29" s="251"/>
      <c r="OB29" s="251"/>
      <c r="OC29" s="251"/>
      <c r="OD29" s="251"/>
      <c r="OE29" s="251"/>
      <c r="OF29" s="251"/>
      <c r="OG29" s="251"/>
      <c r="OH29" s="251"/>
      <c r="OI29" s="2984">
        <v>2</v>
      </c>
      <c r="OJ29" s="2984" t="s">
        <v>1042</v>
      </c>
      <c r="OK29" s="2617"/>
      <c r="OL29" s="251"/>
      <c r="OM29" s="251"/>
      <c r="ON29" s="251"/>
      <c r="OO29" s="251"/>
      <c r="OP29" s="251"/>
      <c r="OQ29" s="251"/>
      <c r="OR29" s="251"/>
      <c r="OS29" s="251"/>
      <c r="OT29" s="251"/>
      <c r="OU29" s="251"/>
      <c r="OV29" s="251"/>
      <c r="OW29" s="251"/>
      <c r="OX29" s="251"/>
      <c r="OY29" s="251"/>
      <c r="OZ29" s="251"/>
      <c r="PA29" s="251"/>
      <c r="PB29" s="251"/>
      <c r="PC29" s="251"/>
      <c r="PD29" s="251"/>
      <c r="PE29" s="251"/>
      <c r="PF29" s="251"/>
      <c r="PG29" s="251"/>
      <c r="PH29" s="251"/>
      <c r="PI29" s="251"/>
      <c r="PJ29" s="251"/>
      <c r="PK29" s="251"/>
      <c r="PL29" s="251"/>
      <c r="PM29" s="251"/>
      <c r="PN29" s="251"/>
      <c r="PO29" s="251"/>
      <c r="PP29" s="251"/>
      <c r="PQ29" s="251"/>
      <c r="PR29" s="251"/>
      <c r="PS29" s="251"/>
      <c r="PT29" s="251"/>
      <c r="PU29" s="251"/>
      <c r="PV29" s="251"/>
      <c r="PW29" s="251"/>
      <c r="PX29" s="251"/>
      <c r="PY29" s="251"/>
      <c r="PZ29" s="251"/>
      <c r="QA29" s="251"/>
      <c r="QB29" s="251"/>
      <c r="QC29" s="251"/>
      <c r="QD29" s="251"/>
      <c r="QE29" s="251"/>
      <c r="QF29" s="251"/>
      <c r="QG29" s="251"/>
      <c r="QH29" s="251"/>
      <c r="QI29" s="251"/>
      <c r="QJ29" s="251"/>
      <c r="QK29" s="251"/>
      <c r="QL29" s="251"/>
      <c r="QM29" s="251"/>
      <c r="QN29" s="251"/>
      <c r="QO29" s="251"/>
      <c r="QP29" s="251"/>
      <c r="QQ29" s="251"/>
      <c r="QR29" s="2984">
        <v>2</v>
      </c>
      <c r="QS29" s="2984"/>
      <c r="QT29" s="2984" t="e">
        <f>_List!$DI$7</f>
        <v>#REF!</v>
      </c>
      <c r="QU29" s="2617"/>
      <c r="QV29" s="2617"/>
      <c r="QW29" s="251"/>
      <c r="QX29" s="251"/>
      <c r="QY29" s="251"/>
      <c r="QZ29" s="251"/>
      <c r="RA29" s="251"/>
      <c r="RB29" s="251"/>
      <c r="RC29" s="251"/>
      <c r="RD29" s="251"/>
      <c r="RE29" s="251"/>
      <c r="RF29" s="251"/>
      <c r="RG29" s="251"/>
      <c r="RH29" s="251"/>
      <c r="RI29" s="251"/>
      <c r="RJ29" s="251"/>
      <c r="RK29" s="251"/>
      <c r="RL29" s="251"/>
      <c r="RM29" s="251"/>
      <c r="RN29" s="251"/>
      <c r="RO29" s="251"/>
      <c r="RP29" s="251"/>
      <c r="RQ29" s="251"/>
      <c r="RR29" s="251"/>
      <c r="RS29" s="251"/>
      <c r="RT29" s="251"/>
      <c r="RU29" s="251"/>
      <c r="RV29" s="251"/>
      <c r="RW29" s="251"/>
      <c r="RX29" s="251"/>
      <c r="RY29" s="251"/>
      <c r="RZ29" s="251"/>
      <c r="SA29" s="251"/>
      <c r="SB29" s="251"/>
      <c r="SC29" s="251"/>
      <c r="SD29" s="251"/>
      <c r="SE29" s="251"/>
      <c r="SF29" s="251"/>
      <c r="SG29" s="251"/>
      <c r="SH29" s="251"/>
      <c r="SI29" s="251"/>
      <c r="SJ29" s="251"/>
      <c r="SK29" s="251"/>
      <c r="SL29" s="251"/>
      <c r="SM29" s="251"/>
      <c r="SN29" s="251"/>
      <c r="SO29" s="251"/>
      <c r="SP29" s="251"/>
      <c r="SQ29" s="251"/>
      <c r="SR29" s="251"/>
      <c r="SS29" s="251"/>
      <c r="ST29" s="251"/>
      <c r="SU29" s="251"/>
      <c r="SV29" s="251"/>
      <c r="SW29" s="251"/>
      <c r="SX29" s="251"/>
      <c r="SY29" s="251"/>
      <c r="SZ29" s="251"/>
      <c r="TA29" s="251"/>
      <c r="TB29" s="251"/>
      <c r="TC29" s="251"/>
      <c r="TD29" s="251"/>
      <c r="TE29" s="251"/>
      <c r="TF29" s="251"/>
      <c r="TG29" s="251"/>
      <c r="TH29" s="251"/>
      <c r="TI29" s="251"/>
      <c r="TJ29" s="251"/>
      <c r="TK29" s="2984">
        <v>2</v>
      </c>
      <c r="TL29" s="2984"/>
      <c r="TM29" s="2617"/>
      <c r="TO29" s="2617"/>
      <c r="TP29" s="2617"/>
      <c r="TQ29" s="2617"/>
      <c r="TR29" s="251"/>
      <c r="TS29" s="251"/>
      <c r="TT29" s="251"/>
      <c r="TU29" s="2617"/>
      <c r="TV29" s="2617"/>
      <c r="TW29" s="2617"/>
      <c r="TX29" s="251"/>
      <c r="TY29" s="251"/>
      <c r="TZ29" s="251"/>
      <c r="UA29" s="251"/>
      <c r="UB29" s="2617"/>
      <c r="UC29" s="2617"/>
      <c r="UD29" s="251"/>
      <c r="UE29" s="251"/>
      <c r="UF29" s="251"/>
      <c r="UG29" s="251"/>
      <c r="UH29" s="2617"/>
      <c r="UI29" s="2617"/>
      <c r="UJ29" s="251"/>
      <c r="UK29" s="251"/>
      <c r="UL29" s="251"/>
      <c r="UM29" s="251"/>
      <c r="UN29" s="2617"/>
      <c r="UO29" s="2617"/>
      <c r="UP29" s="251"/>
      <c r="UQ29" s="251"/>
      <c r="UR29" s="251"/>
      <c r="US29" s="251"/>
      <c r="UT29" s="2617"/>
      <c r="UU29" s="2617"/>
      <c r="UV29" s="251"/>
      <c r="UW29" s="251"/>
      <c r="UX29" s="251"/>
      <c r="UY29" s="251"/>
      <c r="UZ29" s="2617"/>
      <c r="VA29" s="2617"/>
      <c r="VB29" s="251"/>
      <c r="VC29" s="251"/>
      <c r="VD29" s="251"/>
      <c r="VE29" s="251"/>
      <c r="VF29" s="2617"/>
      <c r="VG29" s="2617"/>
      <c r="VH29" s="2737" t="s">
        <v>1141</v>
      </c>
      <c r="VI29" s="2737" t="s">
        <v>1141</v>
      </c>
      <c r="VJ29" s="2737"/>
      <c r="VK29" s="2737"/>
      <c r="VL29" s="2996"/>
      <c r="VM29" s="2996"/>
      <c r="VN29" s="2996"/>
      <c r="VO29" s="2996"/>
      <c r="VP29" s="2996"/>
      <c r="VQ29" s="2996"/>
      <c r="VR29" s="2996"/>
      <c r="VS29" s="2996"/>
      <c r="VT29" s="2996"/>
      <c r="VU29" s="2996"/>
      <c r="VV29" s="2996"/>
      <c r="VW29" s="2996"/>
      <c r="VX29" s="2996"/>
      <c r="VY29" s="2996"/>
      <c r="VZ29" s="2996"/>
      <c r="WA29" s="2996"/>
      <c r="WB29" s="251"/>
      <c r="WC29" s="2984"/>
      <c r="WD29" s="2984"/>
      <c r="WE29" s="2617"/>
      <c r="WF29" s="251"/>
      <c r="WG29" s="251"/>
      <c r="WH29" s="251"/>
      <c r="WI29" s="251"/>
      <c r="WJ29" s="251"/>
      <c r="WK29" s="251"/>
      <c r="WL29" s="251"/>
      <c r="WM29" s="251"/>
      <c r="WN29" s="251"/>
      <c r="WO29" s="251"/>
      <c r="WP29" s="251"/>
      <c r="WQ29" s="251"/>
      <c r="WR29" s="251"/>
      <c r="WS29" s="251"/>
      <c r="WT29" s="251"/>
      <c r="WU29" s="251"/>
      <c r="WV29" s="251"/>
      <c r="WW29" s="251"/>
      <c r="WX29" s="251"/>
      <c r="WY29" s="251"/>
      <c r="WZ29" s="251"/>
      <c r="XA29" s="251"/>
      <c r="XB29" s="251"/>
      <c r="XC29" s="251"/>
      <c r="XD29" s="251"/>
      <c r="XE29" s="251"/>
      <c r="XF29" s="251"/>
      <c r="XG29" s="251"/>
      <c r="XH29" s="251"/>
      <c r="XI29" s="251"/>
      <c r="XJ29" s="251"/>
      <c r="XK29" s="251"/>
      <c r="XL29" s="251"/>
      <c r="XM29" s="251"/>
      <c r="XN29" s="251"/>
      <c r="XO29" s="251"/>
      <c r="XP29" s="251"/>
      <c r="XQ29" s="251"/>
      <c r="XR29" s="251"/>
      <c r="XS29" s="251"/>
      <c r="XT29" s="251"/>
      <c r="XU29" s="251"/>
      <c r="XV29" s="251"/>
      <c r="XW29" s="251"/>
      <c r="XX29" s="251"/>
      <c r="XY29" s="251"/>
      <c r="XZ29" s="251"/>
      <c r="YA29" s="251"/>
      <c r="YB29" s="251"/>
      <c r="YC29" s="251"/>
      <c r="YD29" s="251"/>
      <c r="YE29" s="251"/>
      <c r="YF29" s="251"/>
      <c r="YG29" s="251"/>
      <c r="YH29" s="251"/>
      <c r="YI29" s="251"/>
      <c r="YJ29" s="251"/>
      <c r="YK29" s="251"/>
      <c r="YL29" s="251"/>
      <c r="YM29" s="251"/>
      <c r="YN29" s="251"/>
      <c r="YO29" s="251"/>
      <c r="YP29" s="251"/>
      <c r="YQ29" s="251"/>
      <c r="YR29" s="251"/>
      <c r="YS29" s="251"/>
      <c r="YT29" s="251"/>
      <c r="YU29" s="251"/>
      <c r="YV29" s="251"/>
      <c r="YW29" s="251"/>
      <c r="YX29" s="251"/>
      <c r="YY29" s="251"/>
      <c r="YZ29" s="251"/>
      <c r="ZA29" s="251"/>
      <c r="ZB29" s="251"/>
      <c r="ZC29" s="251"/>
      <c r="ZD29" s="251"/>
      <c r="ZE29" s="251"/>
      <c r="ZF29" s="251"/>
      <c r="ZG29" s="251"/>
      <c r="ZH29" s="251"/>
      <c r="ZI29" s="251"/>
      <c r="ZJ29" s="251"/>
      <c r="ZK29" s="251"/>
      <c r="ZL29" s="251"/>
      <c r="ZM29" s="251"/>
      <c r="ZN29" s="251"/>
      <c r="ZO29" s="251"/>
      <c r="ZP29" s="251"/>
      <c r="ZQ29" s="251"/>
      <c r="ZR29" s="251"/>
      <c r="ZS29" s="251"/>
      <c r="ZT29" s="251"/>
      <c r="ZU29" s="251"/>
      <c r="ZV29" s="251"/>
      <c r="ZW29" s="251"/>
      <c r="ZX29" s="251"/>
      <c r="ZY29" s="251"/>
      <c r="ZZ29" s="251"/>
      <c r="AAA29" s="251"/>
      <c r="AAB29" s="251"/>
      <c r="AAC29" s="251"/>
      <c r="AAD29" s="251"/>
      <c r="AAE29" s="251"/>
      <c r="AAF29" s="251"/>
      <c r="AAG29" s="251"/>
      <c r="AAH29" s="251"/>
      <c r="AAI29" s="251"/>
      <c r="AAJ29" s="251"/>
      <c r="AAK29" s="251"/>
      <c r="AAL29" s="251"/>
      <c r="AAM29" s="251"/>
      <c r="AAN29" s="251"/>
      <c r="AAO29" s="251"/>
      <c r="AAP29" s="251"/>
      <c r="AAQ29" s="251"/>
      <c r="AAR29" s="251"/>
      <c r="AAS29" s="251"/>
      <c r="AAT29" s="251"/>
      <c r="AAU29" s="251"/>
      <c r="AAV29" s="251"/>
      <c r="AAW29" s="5792" t="s">
        <v>1009</v>
      </c>
      <c r="AAX29" s="5793"/>
      <c r="AAY29" s="5793"/>
      <c r="AAZ29" s="5793"/>
      <c r="ABA29" s="5793"/>
      <c r="ABB29" s="5794"/>
      <c r="ABC29" s="5794"/>
      <c r="ABD29" s="5794"/>
      <c r="ABE29" s="5794"/>
      <c r="ABF29" s="5794"/>
      <c r="ABG29" s="5794"/>
      <c r="ABH29" s="5794"/>
      <c r="ABI29" s="5794"/>
      <c r="ABJ29" s="5793"/>
      <c r="ABK29" s="5793"/>
      <c r="ABL29" s="5794"/>
      <c r="ABM29" s="5794"/>
      <c r="ABN29" s="5794"/>
      <c r="ABO29" s="5794"/>
      <c r="ABP29" s="5794"/>
      <c r="ABQ29" s="5794"/>
      <c r="ABR29" s="5794"/>
      <c r="ABS29" s="5794"/>
      <c r="ABT29" s="5793"/>
      <c r="ABU29" s="5793"/>
      <c r="ABV29" s="5794"/>
      <c r="ABW29" s="5794"/>
      <c r="ABX29" s="5794"/>
      <c r="ABY29" s="5794"/>
      <c r="ABZ29" s="5794"/>
      <c r="ACA29" s="5794"/>
      <c r="ACB29" s="5794"/>
      <c r="ACC29" s="5794"/>
      <c r="ACD29" s="5794"/>
      <c r="ACE29" s="5795"/>
      <c r="ACF29" s="5794"/>
      <c r="ACG29" s="5794"/>
      <c r="ACH29" s="5794"/>
      <c r="ACI29" s="5794"/>
      <c r="ACJ29" s="5794"/>
      <c r="ACK29" s="5794"/>
      <c r="ACL29" s="5794"/>
      <c r="ACM29" s="5794"/>
      <c r="ACN29" s="5795"/>
      <c r="ACO29" s="5794"/>
      <c r="ACP29" s="5794"/>
      <c r="ACQ29" s="5794"/>
      <c r="ACR29" s="5794"/>
      <c r="ACS29" s="5794"/>
      <c r="ACT29" s="5794"/>
      <c r="ACU29" s="5794"/>
      <c r="ACV29" s="5794"/>
      <c r="ACW29" s="5795"/>
      <c r="ACX29" s="5794"/>
      <c r="ACY29" s="5794"/>
      <c r="ACZ29" s="5794"/>
      <c r="ADA29" s="5794"/>
      <c r="ADB29" s="5794"/>
      <c r="ADC29" s="5794"/>
      <c r="ADD29" s="5794"/>
      <c r="ADE29" s="5794"/>
      <c r="ADF29" s="5794"/>
      <c r="ADG29" s="5795"/>
      <c r="ADH29" s="5794"/>
      <c r="ADI29" s="5794"/>
      <c r="ADJ29" s="5794"/>
      <c r="ADK29" s="5794"/>
      <c r="ADL29" s="5794"/>
      <c r="ADM29" s="5794"/>
      <c r="ADN29" s="5794"/>
      <c r="ADO29" s="5794"/>
      <c r="ADP29" s="5795"/>
      <c r="ADQ29" s="5794"/>
      <c r="ADR29" s="5794"/>
      <c r="ADS29" s="5794"/>
      <c r="ADT29" s="5794"/>
      <c r="ADU29" s="5794"/>
      <c r="ADV29" s="5794"/>
      <c r="ADW29" s="5794"/>
      <c r="ADX29" s="5794"/>
      <c r="ADY29" s="5794"/>
      <c r="ADZ29" s="5794"/>
      <c r="AEA29" s="5794"/>
      <c r="AEB29" s="5794"/>
      <c r="AEC29" s="5794"/>
      <c r="AED29" s="5794"/>
      <c r="AEE29" s="5794"/>
      <c r="AEF29" s="5794"/>
      <c r="AEG29" s="5794"/>
      <c r="AEH29" s="5794"/>
      <c r="AEI29" s="5794"/>
      <c r="AEJ29" s="5794"/>
      <c r="AEK29" s="5794"/>
      <c r="AEL29" s="5794"/>
      <c r="AEM29" s="5794"/>
      <c r="AEN29" s="5794"/>
      <c r="AEO29" s="5794"/>
      <c r="AEP29" s="5794"/>
      <c r="AEQ29" s="5794"/>
      <c r="AER29" s="5794"/>
      <c r="AES29" s="5794"/>
      <c r="AET29" s="5794"/>
      <c r="AEU29" s="5794"/>
      <c r="AEV29" s="5794"/>
      <c r="AEW29" s="5794"/>
      <c r="AEX29" s="5794"/>
      <c r="AEY29" s="5794"/>
      <c r="AEZ29" s="5794"/>
      <c r="AFA29" s="5794"/>
      <c r="AFB29" s="5794"/>
      <c r="AFC29" s="5794"/>
      <c r="AFD29" s="5794"/>
      <c r="AFE29" s="5794"/>
      <c r="AFF29" s="5794"/>
      <c r="AFG29" s="5794"/>
      <c r="AFH29" s="5794"/>
      <c r="AFI29" s="5794"/>
      <c r="AFJ29" s="5794"/>
      <c r="AFK29" s="5794"/>
      <c r="AFL29" s="5794"/>
      <c r="AFM29" s="5794"/>
      <c r="AFN29" s="5794"/>
      <c r="AFO29" s="5794"/>
      <c r="AFP29" s="5794"/>
      <c r="AFQ29" s="5794"/>
      <c r="AFR29" s="5794"/>
      <c r="AFS29" s="5794"/>
      <c r="AFT29" s="5794"/>
      <c r="AFU29" s="5794"/>
      <c r="AFV29" s="5794"/>
      <c r="AFW29" s="5794"/>
      <c r="AFX29" s="5794"/>
      <c r="AFY29" s="5794"/>
      <c r="AFZ29" s="5795"/>
      <c r="AGA29" s="5794"/>
      <c r="AGB29" s="5794"/>
      <c r="AGC29" s="5794"/>
      <c r="AGD29" s="5794"/>
      <c r="AGE29" s="5794"/>
      <c r="AGF29" s="5794"/>
      <c r="AGG29" s="5794"/>
      <c r="AGH29" s="5794"/>
      <c r="AGI29" s="5794"/>
      <c r="AGJ29" s="5794"/>
      <c r="AGK29" s="5794"/>
      <c r="AGL29" s="5794"/>
      <c r="AGM29" s="5794"/>
      <c r="AGN29" s="5795"/>
      <c r="AGO29" s="5794"/>
      <c r="AGP29" s="5794"/>
      <c r="AGQ29" s="5794"/>
      <c r="AGR29" s="5794"/>
      <c r="AGS29" s="5794"/>
      <c r="AGT29" s="5794"/>
      <c r="AGU29" s="5794"/>
      <c r="AGV29" s="5794"/>
      <c r="AGW29" s="5794"/>
      <c r="AGX29" s="5794"/>
      <c r="AGY29" s="5794"/>
      <c r="AGZ29" s="5794"/>
      <c r="AHA29" s="5794"/>
      <c r="AHB29" s="5794"/>
      <c r="AHC29" s="5794"/>
      <c r="AHD29" s="5794"/>
      <c r="AHE29" s="5794"/>
      <c r="AHF29" s="5794"/>
      <c r="AHG29" s="5794"/>
      <c r="AHH29" s="5794"/>
      <c r="AHI29" s="5794"/>
      <c r="AHJ29" s="5794"/>
      <c r="AHK29" s="5794"/>
      <c r="AHL29" s="5794"/>
      <c r="AHM29" s="5794"/>
      <c r="AHN29" s="5794"/>
      <c r="AHO29" s="5794"/>
      <c r="AHP29" s="5794"/>
      <c r="AHQ29" s="5794"/>
      <c r="AHR29" s="5794"/>
      <c r="AHS29" s="5794"/>
      <c r="AHT29" s="5794"/>
      <c r="AHU29" s="5794"/>
      <c r="AHV29" s="5794"/>
      <c r="AHW29" s="5794"/>
      <c r="AHX29" s="5794"/>
      <c r="AHY29" s="5795"/>
      <c r="AHZ29" s="5794"/>
      <c r="AIA29" s="5794"/>
      <c r="AIB29" s="5794"/>
      <c r="AIC29" s="5794"/>
      <c r="AID29" s="5794"/>
      <c r="AIE29" s="5794"/>
      <c r="AIF29" s="5794"/>
      <c r="AIG29" s="5794"/>
      <c r="AIH29" s="5794"/>
      <c r="AII29" s="5795"/>
      <c r="AIJ29" s="5795"/>
      <c r="AIK29" s="5794"/>
      <c r="AIL29" s="5794"/>
      <c r="AIM29" s="5794"/>
      <c r="AIN29" s="5794"/>
      <c r="AIO29" s="5794"/>
      <c r="AIP29" s="5794"/>
      <c r="AIQ29" s="5794"/>
      <c r="AIR29" s="5795"/>
      <c r="AIS29" s="5795"/>
      <c r="AIT29" s="5794"/>
      <c r="AIU29" s="5794"/>
      <c r="AIV29" s="5794"/>
      <c r="AIW29" s="5794"/>
      <c r="AIX29" s="5794"/>
      <c r="AIY29" s="5794"/>
      <c r="AIZ29" s="5794"/>
      <c r="AJA29" s="5794"/>
      <c r="AJB29" s="5794"/>
      <c r="AJC29" s="5794"/>
      <c r="AJD29" s="5794"/>
      <c r="AJE29" s="5794"/>
      <c r="AJF29" s="5794"/>
      <c r="AJG29" s="5794"/>
      <c r="AJH29" s="5794"/>
      <c r="AJI29" s="5794"/>
      <c r="AJJ29" s="5794"/>
      <c r="AJK29" s="5794"/>
      <c r="AJL29" s="5794"/>
      <c r="AJM29" s="5794"/>
      <c r="AJN29" s="5794"/>
      <c r="AJO29" s="5794"/>
      <c r="AJP29" s="5794"/>
      <c r="AJQ29" s="5794"/>
      <c r="AJR29" s="5794"/>
      <c r="AJS29" s="5794"/>
      <c r="AJT29" s="5794"/>
      <c r="AJU29" s="5794"/>
      <c r="AJV29" s="5794"/>
      <c r="AJW29" s="5794"/>
      <c r="AJX29" s="5794"/>
      <c r="AJY29" s="5794"/>
      <c r="AJZ29" s="5794"/>
      <c r="AKA29" s="5794"/>
      <c r="AKB29" s="5794"/>
      <c r="AKC29" s="5794"/>
      <c r="AKD29" s="5794"/>
      <c r="AKE29" s="5794"/>
      <c r="AKF29" s="5794"/>
      <c r="AKG29" s="5794"/>
      <c r="AKH29" s="5794"/>
      <c r="AKI29" s="5794"/>
      <c r="AKJ29" s="5794"/>
      <c r="AKK29" s="5794"/>
      <c r="AKL29" s="5794"/>
      <c r="AKM29" s="5794"/>
      <c r="AKN29" s="5794"/>
      <c r="AKO29" s="5794"/>
      <c r="AKP29" s="5794"/>
      <c r="AKQ29" s="5794"/>
      <c r="AKR29" s="5794"/>
      <c r="AKS29" s="5794"/>
      <c r="AKT29" s="5794"/>
      <c r="AKU29" s="5795"/>
      <c r="AKV29" s="5794"/>
      <c r="AKW29" s="5794"/>
      <c r="AKX29" s="5794"/>
      <c r="AKY29" s="5794"/>
      <c r="AKZ29" s="5794"/>
      <c r="ALA29" s="5794"/>
      <c r="ALB29" s="5794"/>
      <c r="ALC29" s="5794"/>
      <c r="ALD29" s="5794"/>
      <c r="ALE29" s="5794"/>
      <c r="ALF29" s="5794"/>
      <c r="ALG29" s="5794"/>
      <c r="ALH29" s="5794"/>
      <c r="ALI29" s="5794"/>
      <c r="ALJ29" s="5794"/>
      <c r="ALK29" s="5794"/>
      <c r="ALL29" s="5795"/>
      <c r="ALM29" s="5794"/>
      <c r="ALN29" s="5794"/>
      <c r="ALO29" s="5794"/>
      <c r="ALP29" s="5794"/>
      <c r="ALQ29" s="5794"/>
      <c r="ALR29" s="5794"/>
      <c r="ALS29" s="5794"/>
      <c r="ALT29" s="5794"/>
      <c r="ALU29" s="5794"/>
      <c r="ALV29" s="5794"/>
      <c r="ALW29" s="5794"/>
      <c r="ALX29" s="5794"/>
      <c r="ALY29" s="5794"/>
      <c r="ALZ29" s="5794"/>
      <c r="AMA29" s="5794"/>
      <c r="AMB29" s="5794"/>
      <c r="AMC29" s="5794"/>
      <c r="AMD29" s="5794"/>
      <c r="AME29" s="5794"/>
      <c r="AMF29" s="5795"/>
      <c r="AMG29" s="5794"/>
      <c r="AMH29" s="5794"/>
      <c r="AMI29" s="5794"/>
      <c r="AMJ29" s="5794"/>
      <c r="AMK29" s="5794"/>
      <c r="AML29" s="5794"/>
      <c r="AMM29" s="5794"/>
      <c r="AMN29" s="5794"/>
      <c r="AMO29" s="5794"/>
      <c r="AMP29" s="5794"/>
      <c r="AMQ29" s="5794"/>
      <c r="AMR29" s="5794"/>
      <c r="AMS29" s="5794"/>
      <c r="AMT29" s="5794"/>
      <c r="AMU29" s="5794"/>
      <c r="AMV29" s="5794"/>
      <c r="AMW29" s="5794"/>
      <c r="AMX29" s="5794"/>
      <c r="AMY29" s="5794"/>
      <c r="AMZ29" s="5794"/>
      <c r="ANA29" s="5794"/>
      <c r="ANB29" s="5794"/>
      <c r="ANC29" s="5794"/>
      <c r="AND29" s="5794"/>
      <c r="ANE29" s="5794"/>
      <c r="ANF29" s="5794"/>
      <c r="ANG29" s="5794"/>
      <c r="ANH29" s="5794"/>
      <c r="ANI29" s="5794"/>
      <c r="ANJ29" s="5794"/>
      <c r="ANK29" s="5794"/>
      <c r="ANL29" s="5794"/>
      <c r="ANM29" s="5794"/>
      <c r="ANN29" s="5794"/>
      <c r="ANO29" s="5794"/>
      <c r="ANP29" s="5794"/>
      <c r="ANQ29" s="5794"/>
      <c r="ANR29" s="5794"/>
      <c r="ANS29" s="5794"/>
      <c r="ANT29" s="5794"/>
      <c r="ANU29" s="5794"/>
      <c r="ANV29" s="5794"/>
      <c r="ANW29" s="5794"/>
      <c r="ANX29" s="5794"/>
      <c r="ANY29" s="5794"/>
      <c r="ANZ29" s="5794"/>
      <c r="AOA29" s="5794"/>
      <c r="AOB29" s="5794"/>
      <c r="AOC29" s="5794"/>
      <c r="AOD29" s="5794"/>
      <c r="AOE29" s="5794"/>
      <c r="AOF29" s="5794"/>
      <c r="AOG29" s="5794"/>
      <c r="AOH29" s="5794"/>
      <c r="AOI29" s="5794"/>
      <c r="AOJ29" s="5794"/>
      <c r="AOK29" s="5794"/>
      <c r="AOL29" s="5794"/>
      <c r="AOM29" s="5794"/>
      <c r="AON29" s="5794"/>
      <c r="AOO29" s="5794"/>
      <c r="AOP29" s="5794"/>
      <c r="AOQ29" s="5794"/>
      <c r="AOR29" s="5794"/>
      <c r="AOS29" s="5794"/>
      <c r="AOT29" s="5794"/>
      <c r="AOU29" s="5794"/>
      <c r="AOV29" s="5796"/>
      <c r="AOW29" s="5796"/>
      <c r="AOX29" s="5796"/>
      <c r="AOY29" s="5796"/>
      <c r="AOZ29" s="5796"/>
      <c r="APA29" s="5796"/>
      <c r="APB29" s="5796"/>
      <c r="APC29" s="5796"/>
      <c r="APD29" s="5796"/>
      <c r="APE29" s="5796"/>
      <c r="APF29" s="5794"/>
      <c r="APG29" s="5794"/>
      <c r="APH29" s="5794"/>
      <c r="API29" s="5794"/>
      <c r="APJ29" s="5794"/>
      <c r="APK29" s="5794"/>
      <c r="APL29" s="5794"/>
      <c r="APM29" s="5794"/>
      <c r="APN29" s="5794"/>
      <c r="APO29" s="5794"/>
      <c r="APP29" s="5794"/>
      <c r="APQ29" s="5794"/>
      <c r="APR29" s="5794"/>
      <c r="APS29" s="5794"/>
      <c r="APT29" s="5794"/>
      <c r="APU29" s="5794"/>
      <c r="APV29" s="5794"/>
      <c r="APW29" s="5794"/>
      <c r="APX29" s="5794"/>
      <c r="APY29" s="5794"/>
      <c r="APZ29" s="5794"/>
      <c r="AQA29" s="5794"/>
      <c r="AQB29" s="5794"/>
      <c r="AQC29" s="5794"/>
      <c r="AQD29" s="5794"/>
      <c r="AQE29" s="5795"/>
      <c r="AQF29" s="5794"/>
      <c r="AQG29" s="5794"/>
      <c r="AQH29" s="5794"/>
      <c r="AQI29" s="5794"/>
      <c r="AQJ29" s="5794"/>
      <c r="AQK29" s="5794"/>
      <c r="AQL29" s="5794"/>
      <c r="AQM29" s="5794"/>
      <c r="AQN29" s="5794"/>
      <c r="AQO29" s="5794"/>
      <c r="AQP29" s="5794"/>
      <c r="AQQ29" s="5794"/>
      <c r="AQR29" s="5794"/>
      <c r="AQS29" s="5794"/>
      <c r="AQT29" s="5794"/>
      <c r="AQU29" s="5794"/>
      <c r="AQV29" s="5794"/>
      <c r="AQW29" s="5794"/>
      <c r="AQX29" s="5794"/>
      <c r="AQY29" s="5794"/>
      <c r="AQZ29" s="5794"/>
      <c r="ARA29" s="5794"/>
      <c r="ARB29" s="5794"/>
      <c r="ARC29" s="5794"/>
      <c r="ARD29" s="5794"/>
      <c r="ARE29" s="5795"/>
      <c r="ARF29" s="5794"/>
      <c r="ARG29" s="5794"/>
      <c r="ARH29" s="5794"/>
      <c r="ARI29" s="5794"/>
      <c r="ARJ29" s="5794"/>
      <c r="ARK29" s="5794"/>
      <c r="ARL29" s="5794"/>
      <c r="ARM29" s="5794"/>
      <c r="ARN29" s="5794"/>
      <c r="ARO29" s="5794"/>
      <c r="ARP29" s="5794"/>
      <c r="ARQ29" s="5794"/>
      <c r="ARR29" s="5794"/>
      <c r="ARS29" s="5794"/>
      <c r="ART29" s="5794"/>
      <c r="ARU29" s="5794"/>
      <c r="ARV29" s="5794"/>
      <c r="ARW29" s="5794"/>
      <c r="ARX29" s="5794"/>
      <c r="ARY29" s="5794"/>
      <c r="ARZ29" s="5794"/>
      <c r="ASA29" s="5795"/>
      <c r="ASB29" s="5794"/>
      <c r="ASC29" s="5794"/>
      <c r="ASD29" s="5794"/>
      <c r="ASE29" s="5794"/>
      <c r="ASF29" s="5794"/>
      <c r="ASG29" s="5794"/>
      <c r="ASH29" s="5794"/>
      <c r="ASI29" s="5794"/>
      <c r="ASJ29" s="5795"/>
      <c r="ASK29" s="5794"/>
      <c r="ASL29" s="5794"/>
      <c r="ASM29" s="5794"/>
      <c r="ASN29" s="5794"/>
      <c r="ASO29" s="5794"/>
      <c r="ASP29" s="5794"/>
      <c r="ASQ29" s="5794"/>
      <c r="ASR29" s="2737"/>
      <c r="ASS29" s="2737"/>
      <c r="AST29" s="2737"/>
      <c r="ASU29" s="2737"/>
      <c r="ASV29" s="2737"/>
      <c r="ASW29" s="2737"/>
      <c r="ASX29" s="2737"/>
      <c r="ASY29" s="2737"/>
      <c r="ASZ29" s="2737"/>
      <c r="ATC29" s="251"/>
      <c r="ATE29" s="251"/>
      <c r="ATF29" s="251"/>
      <c r="ATG29" s="251"/>
      <c r="ATH29" s="251"/>
      <c r="ATI29" s="251"/>
      <c r="ATJ29" s="251"/>
      <c r="ATK29" s="251"/>
      <c r="ATL29" s="3598" t="str">
        <f>_List!BB17</f>
        <v>T14,0</v>
      </c>
      <c r="ATM29" s="3598" t="str">
        <f t="shared" si="0"/>
        <v>Veg_T14,0</v>
      </c>
      <c r="ATN29" s="3534">
        <f t="shared" si="1"/>
        <v>14</v>
      </c>
      <c r="ATO29" s="3599">
        <f>_List!BC17</f>
        <v>104.58</v>
      </c>
      <c r="ATP29" s="3591">
        <f>_List!BD17</f>
        <v>87.35</v>
      </c>
      <c r="ATQ29" s="3600">
        <f>_List!BE17</f>
        <v>25.96</v>
      </c>
      <c r="ATR29" s="3537">
        <v>1.57</v>
      </c>
      <c r="ATS29" s="3601">
        <v>3.5779999999999998</v>
      </c>
      <c r="ATT29" s="3538">
        <f t="shared" si="2"/>
        <v>18.804000000000002</v>
      </c>
      <c r="ATU29" s="3602">
        <f>_List!BF17</f>
        <v>14</v>
      </c>
      <c r="ATV29" s="251"/>
      <c r="ATW29" s="251"/>
      <c r="ATX29" s="251"/>
      <c r="ATZ29" s="3458"/>
      <c r="AUA29" s="3458"/>
      <c r="AUB29" s="3458"/>
      <c r="AUC29" s="3458"/>
      <c r="AUD29" s="3458"/>
      <c r="AUE29" s="3458"/>
      <c r="AUF29" s="3458"/>
      <c r="AUG29" s="3458"/>
      <c r="AUH29" s="3458"/>
      <c r="AUI29" s="3458"/>
      <c r="AUJ29" s="3458"/>
      <c r="AUK29" s="3458"/>
      <c r="AUL29" s="3458"/>
      <c r="AUV29" s="2627" t="s">
        <v>1513</v>
      </c>
      <c r="AVP29" s="3434"/>
      <c r="AVQ29" s="3434"/>
      <c r="AVR29" s="3434"/>
      <c r="AVS29" s="181"/>
      <c r="AVT29" s="181"/>
      <c r="AVU29" s="181"/>
      <c r="AVV29" s="181"/>
      <c r="AVW29" s="181"/>
      <c r="AVX29" s="181"/>
      <c r="AVY29" s="181"/>
      <c r="AVZ29" s="181"/>
      <c r="AWA29" s="181"/>
      <c r="AWB29" s="181"/>
      <c r="AWC29" s="181"/>
      <c r="AWD29" s="181"/>
      <c r="AWE29" s="181"/>
      <c r="AWF29" s="181"/>
      <c r="AWG29" s="181"/>
      <c r="AWH29" s="181"/>
      <c r="AWI29" s="181"/>
      <c r="AWJ29" s="181"/>
      <c r="AWK29" s="181"/>
      <c r="AWL29" s="181"/>
      <c r="AWM29" s="181"/>
      <c r="AWN29" s="181"/>
      <c r="AWO29" s="181"/>
      <c r="AWP29" s="3434"/>
      <c r="AWQ29" s="3434"/>
      <c r="AWR29" s="181"/>
      <c r="AWS29" s="2617"/>
      <c r="AWT29" s="2617"/>
      <c r="AWU29" s="2617"/>
      <c r="AWV29" s="2617"/>
      <c r="AWW29" s="2617"/>
      <c r="AWX29" s="2617"/>
      <c r="AWY29" s="3623"/>
      <c r="AWZ29" s="3623"/>
      <c r="AXA29" s="3623"/>
      <c r="AXB29" s="3623"/>
      <c r="AXC29" s="2617"/>
      <c r="AXD29" s="2617"/>
      <c r="AXE29" s="2617"/>
      <c r="AXF29" s="2617"/>
      <c r="AXG29" s="2617"/>
      <c r="AXH29" s="2617"/>
      <c r="AXI29" s="2617"/>
      <c r="AXJ29" s="2617"/>
      <c r="AXK29" s="2617"/>
      <c r="AXL29" s="2617"/>
      <c r="AXM29" s="2617"/>
      <c r="AXN29" s="2617"/>
      <c r="AXO29" s="2617"/>
      <c r="AXP29" s="2617"/>
      <c r="AXQ29" s="2617"/>
      <c r="AXR29" s="2617"/>
      <c r="AXS29" s="2617"/>
      <c r="AXT29" s="2617"/>
      <c r="AXU29" s="2617"/>
      <c r="AXV29" s="2617"/>
      <c r="AXW29" s="2617"/>
      <c r="AXX29" s="2617"/>
      <c r="AXY29" s="2617"/>
      <c r="AXZ29" s="2617"/>
      <c r="AYA29" s="2617"/>
      <c r="AYB29" s="2617"/>
      <c r="AYC29" s="2617"/>
      <c r="AYD29" s="2617"/>
      <c r="AYE29" s="2617"/>
      <c r="AYF29" s="2617"/>
      <c r="AYG29" s="2617"/>
      <c r="AYH29" s="2617"/>
      <c r="AYI29" s="2617"/>
      <c r="AYJ29" s="2617"/>
      <c r="AYK29" s="2617"/>
      <c r="AYL29" s="2617"/>
      <c r="AYM29" s="2617"/>
      <c r="AYN29" s="2617"/>
      <c r="AYO29" s="2617"/>
      <c r="AYP29" s="2617"/>
      <c r="AYQ29" s="2617"/>
      <c r="AYR29" s="2617"/>
      <c r="AYS29" s="2617"/>
      <c r="AYT29" s="2617"/>
      <c r="AYU29" s="3429" t="s">
        <v>1173</v>
      </c>
      <c r="AZJ29" s="2626"/>
      <c r="AZK29" s="2626"/>
      <c r="AZL29" s="2626"/>
      <c r="AZM29" s="2626"/>
      <c r="AZN29" s="2626"/>
      <c r="AZO29" s="2626"/>
      <c r="AZP29" s="2626"/>
      <c r="AZQ29" s="2626"/>
      <c r="AZR29" s="2626"/>
      <c r="AZS29" s="2626"/>
      <c r="AZT29" s="2626"/>
      <c r="AZU29" s="2626"/>
      <c r="AZV29" s="2626"/>
      <c r="AZW29" s="2712" t="s">
        <v>931</v>
      </c>
      <c r="AZZ29" s="2626"/>
      <c r="BAC29" s="2626"/>
      <c r="BAD29" s="2626"/>
      <c r="BAE29" s="2626"/>
      <c r="BAF29" s="2626"/>
      <c r="BAG29" s="2626"/>
      <c r="BAH29" s="2626"/>
      <c r="BAI29" s="2626"/>
      <c r="BAJ29" s="2626"/>
      <c r="BAK29" s="2712" t="s">
        <v>931</v>
      </c>
      <c r="BAP29" s="2626"/>
      <c r="BAQ29" s="2626"/>
      <c r="BAR29" s="2626"/>
      <c r="BAT29" s="207"/>
      <c r="BAU29" s="251"/>
      <c r="BAV29" s="185" t="s">
        <v>894</v>
      </c>
      <c r="BAW29" s="199"/>
      <c r="BAX29" s="199" t="s">
        <v>895</v>
      </c>
      <c r="BAY29" s="2681" t="s">
        <v>872</v>
      </c>
      <c r="BAZ29" s="199"/>
      <c r="BBA29" s="2682" t="s">
        <v>872</v>
      </c>
      <c r="BBB29" s="2682"/>
      <c r="BBC29" s="2682" t="s">
        <v>872</v>
      </c>
      <c r="BBD29" s="2682"/>
      <c r="BBE29" s="2682" t="s">
        <v>872</v>
      </c>
      <c r="BBF29" s="2682"/>
      <c r="BBG29" s="2682" t="s">
        <v>872</v>
      </c>
      <c r="BBH29" s="2682"/>
      <c r="BBI29" s="2682" t="s">
        <v>872</v>
      </c>
      <c r="BBJ29" s="2682" t="s">
        <v>872</v>
      </c>
      <c r="BBK29" s="199"/>
      <c r="BBL29" s="2622"/>
      <c r="BBM29" s="2617"/>
      <c r="BBN29" s="2617"/>
      <c r="BBO29" s="2617"/>
      <c r="BBR29" s="3398"/>
    </row>
    <row r="30" spans="1:1490" ht="29.25" thickTop="1" x14ac:dyDescent="0.2">
      <c r="B30" s="1665" t="s">
        <v>2116</v>
      </c>
      <c r="C30" s="3680" t="s">
        <v>2115</v>
      </c>
      <c r="D30" s="1665"/>
      <c r="AH30" s="5478" t="s">
        <v>2403</v>
      </c>
      <c r="AI30" s="5478" t="str">
        <f>'!INN_SK'!$M$31</f>
        <v>Brukerdefinert</v>
      </c>
      <c r="AJ30" s="2625"/>
      <c r="AU30" s="462">
        <v>4</v>
      </c>
      <c r="AV30" s="372">
        <f>'!INN_SK'!$AX$55</f>
        <v>0</v>
      </c>
      <c r="AW30" s="372">
        <f>'!INN_SK'!$AX$57</f>
        <v>0</v>
      </c>
      <c r="AX30" s="372">
        <f>'!INN_SK'!$AX$64</f>
        <v>0</v>
      </c>
      <c r="AY30" s="372">
        <f>'!INN_SK'!$AX$71</f>
        <v>1000</v>
      </c>
      <c r="AZ30" s="372">
        <f>'!INN_SK'!$AX$78</f>
        <v>0</v>
      </c>
      <c r="BA30" s="372">
        <f>'!INN_SK'!$AX$80</f>
        <v>0</v>
      </c>
      <c r="BB30" s="372">
        <f>'!INN_SK'!$AX$87</f>
        <v>0</v>
      </c>
      <c r="BC30" s="372">
        <f>'!INN_SK'!$AX$94</f>
        <v>100</v>
      </c>
      <c r="BD30" s="193"/>
      <c r="BE30" s="2622"/>
      <c r="EF30" s="433" t="s">
        <v>1764</v>
      </c>
      <c r="OI30" s="2617"/>
      <c r="OJ30" s="2617"/>
      <c r="OK30" s="2617"/>
      <c r="QR30" s="2617"/>
      <c r="QS30" s="2617"/>
      <c r="QT30" s="2617"/>
      <c r="QU30" s="2617"/>
      <c r="QV30" s="2617"/>
      <c r="TK30" s="2617"/>
      <c r="TL30" s="2617"/>
      <c r="TM30" s="2617"/>
      <c r="TN30" s="2617"/>
      <c r="TO30" s="2617"/>
      <c r="TP30" s="2617"/>
      <c r="TQ30" s="2617"/>
      <c r="TU30" s="2617"/>
      <c r="TV30" s="2617"/>
      <c r="TW30" s="2617"/>
      <c r="UB30" s="2617"/>
      <c r="UC30" s="2617"/>
      <c r="UH30" s="2617"/>
      <c r="UI30" s="2617"/>
      <c r="UN30" s="2617"/>
      <c r="UO30" s="2617"/>
      <c r="UT30" s="2617"/>
      <c r="UU30" s="2617"/>
      <c r="UZ30" s="2617"/>
      <c r="VA30" s="2617"/>
      <c r="VF30" s="2617"/>
      <c r="VG30" s="2617"/>
      <c r="WC30" s="2617"/>
      <c r="WD30" s="2617"/>
      <c r="WE30" s="2617"/>
      <c r="ZI30" s="2622"/>
      <c r="ZJ30" s="2622"/>
      <c r="ZK30" s="2622"/>
      <c r="ZL30" s="2622"/>
      <c r="ZM30" s="2622"/>
      <c r="ZN30" s="2622"/>
      <c r="ZO30" s="2622"/>
      <c r="ZP30" s="2622"/>
      <c r="ZQ30" s="2622"/>
      <c r="ZR30" s="2622"/>
      <c r="ZS30" s="2622"/>
      <c r="ZT30" s="2622"/>
      <c r="ZU30" s="2622"/>
      <c r="ZV30" s="2622"/>
      <c r="ZW30" s="2622"/>
      <c r="ZX30" s="2622"/>
      <c r="ZY30" s="2622"/>
      <c r="ZZ30" s="2622" t="s">
        <v>2041</v>
      </c>
      <c r="AAA30" s="2622" t="s">
        <v>2042</v>
      </c>
      <c r="AAB30" s="2622" t="s">
        <v>2043</v>
      </c>
      <c r="AAC30" s="2622" t="s">
        <v>2044</v>
      </c>
      <c r="AAD30" s="2622" t="s">
        <v>2045</v>
      </c>
      <c r="AAE30" s="2622" t="s">
        <v>2046</v>
      </c>
      <c r="AAF30" s="2622" t="s">
        <v>2047</v>
      </c>
      <c r="AAG30" s="2622" t="s">
        <v>2048</v>
      </c>
      <c r="AAH30" s="2622" t="s">
        <v>2049</v>
      </c>
      <c r="AAI30" s="2622" t="s">
        <v>2050</v>
      </c>
      <c r="AAJ30" s="2622" t="s">
        <v>2051</v>
      </c>
      <c r="AAK30" s="2622" t="s">
        <v>2052</v>
      </c>
      <c r="AAL30" s="2622" t="s">
        <v>2053</v>
      </c>
      <c r="AAM30" s="2622" t="s">
        <v>2054</v>
      </c>
      <c r="AAN30" s="2622" t="s">
        <v>2055</v>
      </c>
      <c r="AAO30" s="2622" t="s">
        <v>2056</v>
      </c>
      <c r="AAP30" s="2622" t="s">
        <v>2057</v>
      </c>
      <c r="AAQ30" s="2622" t="s">
        <v>2058</v>
      </c>
      <c r="AAR30" s="2622"/>
      <c r="AAS30" s="2622"/>
      <c r="AAT30" s="2622"/>
      <c r="AAU30" s="2622"/>
      <c r="AAV30" s="2622"/>
      <c r="AAW30" s="2622"/>
      <c r="AAX30" s="2622"/>
      <c r="AAY30" s="2622"/>
      <c r="AAZ30" s="2622"/>
      <c r="ABA30" s="2622"/>
      <c r="ABB30" s="2737"/>
      <c r="ABC30" s="2737"/>
      <c r="ABD30" s="2737"/>
      <c r="ABE30" s="2737"/>
      <c r="ABF30" s="2737"/>
      <c r="ABG30" s="2737"/>
      <c r="ABH30" s="2737"/>
      <c r="ABI30" s="2737"/>
      <c r="ABJ30" s="2622"/>
      <c r="ABK30" s="2622"/>
      <c r="ABL30" s="2737"/>
      <c r="ABM30" s="2737"/>
      <c r="ABN30" s="2737"/>
      <c r="ABO30" s="2737"/>
      <c r="ABP30" s="2737"/>
      <c r="ABQ30" s="2737"/>
      <c r="ABR30" s="2737"/>
      <c r="ABS30" s="2737"/>
      <c r="ABT30" s="2622"/>
      <c r="ABU30" s="2622"/>
      <c r="ABV30" s="2737"/>
      <c r="ABW30" s="2737"/>
      <c r="ABX30" s="2737"/>
      <c r="ABY30" s="2737"/>
      <c r="ABZ30" s="2737"/>
      <c r="ACA30" s="2737"/>
      <c r="ACB30" s="2737"/>
      <c r="ACC30" s="2737"/>
      <c r="ACD30" s="2737"/>
      <c r="ACE30" s="2622"/>
      <c r="ACF30" s="2737"/>
      <c r="ACG30" s="2737"/>
      <c r="ACH30" s="2737"/>
      <c r="ACI30" s="2737"/>
      <c r="ACJ30" s="2737"/>
      <c r="ACK30" s="2737"/>
      <c r="ACL30" s="2737"/>
      <c r="ACM30" s="2737"/>
      <c r="ACN30" s="2622"/>
      <c r="ACO30" s="2737"/>
      <c r="ACP30" s="2737"/>
      <c r="ACQ30" s="2737"/>
      <c r="ACR30" s="2737"/>
      <c r="ACS30" s="2737"/>
      <c r="ACT30" s="2737"/>
      <c r="ACU30" s="2737"/>
      <c r="ACV30" s="2737"/>
      <c r="ACW30" s="2622"/>
      <c r="ACX30" s="2737"/>
      <c r="ACY30" s="2737"/>
      <c r="ACZ30" s="2737"/>
      <c r="ADA30" s="2737"/>
      <c r="ADB30" s="2737"/>
      <c r="ADC30" s="2737"/>
      <c r="ADD30" s="2737"/>
      <c r="ADE30" s="2737"/>
      <c r="ADF30" s="2737"/>
      <c r="ADH30" s="2737"/>
      <c r="ADI30" s="2737"/>
      <c r="ADJ30" s="2737"/>
      <c r="ADK30" s="2737"/>
      <c r="ADL30" s="2737"/>
      <c r="ADM30" s="2737"/>
      <c r="ADN30" s="2737"/>
      <c r="ADO30" s="2737"/>
      <c r="ADQ30" s="2737"/>
      <c r="ADR30" s="2737"/>
      <c r="ADS30" s="2737"/>
      <c r="ADT30" s="2737"/>
      <c r="ADU30" s="2737"/>
      <c r="ADV30" s="2737"/>
      <c r="ADW30" s="2737"/>
      <c r="ADX30" s="2737"/>
      <c r="ADY30" s="2737"/>
      <c r="ADZ30" s="2737"/>
      <c r="AEA30" s="2737"/>
      <c r="AEB30" s="2737"/>
      <c r="AEC30" s="2737"/>
      <c r="AED30" s="2737"/>
      <c r="AEE30" s="2737"/>
      <c r="AEF30" s="2737"/>
      <c r="AEG30" s="2737"/>
      <c r="AEH30" s="2737"/>
      <c r="AEI30" s="2737"/>
      <c r="AEJ30" s="2737"/>
      <c r="AEK30" s="2737"/>
      <c r="AEL30" s="2737"/>
      <c r="AEM30" s="2737"/>
      <c r="AEN30" s="2737"/>
      <c r="AEO30" s="2737"/>
      <c r="AEP30" s="2737"/>
      <c r="AEQ30" s="2737"/>
      <c r="AER30" s="2737"/>
      <c r="AES30" s="2737"/>
      <c r="AET30" s="2737"/>
      <c r="AEU30" s="2737"/>
      <c r="AEV30" s="2737"/>
      <c r="AEW30" s="2737"/>
      <c r="AEX30" s="2737"/>
      <c r="AFG30" s="2737"/>
      <c r="AFP30" s="2737"/>
      <c r="AGI30" s="2737"/>
      <c r="AGN30" s="2622"/>
      <c r="AGR30" s="2737"/>
      <c r="AHB30" s="2737"/>
      <c r="AHJ30" s="2737"/>
      <c r="AHV30" s="2737"/>
      <c r="AHY30" s="2622"/>
      <c r="AII30" s="2622"/>
      <c r="AIJ30" s="2622"/>
      <c r="AIR30" s="2622"/>
      <c r="AIS30" s="2622"/>
      <c r="AJP30" s="2737"/>
      <c r="AKD30" s="2737"/>
      <c r="AKU30" s="2622"/>
      <c r="ALL30" s="2622"/>
      <c r="ALM30" s="2737"/>
      <c r="ALW30" s="2737"/>
      <c r="ALX30" s="2737"/>
      <c r="AMG30" s="2737"/>
      <c r="AOI30" s="2737"/>
      <c r="AOV30" s="4124"/>
      <c r="AOW30" s="5162"/>
      <c r="AOX30" s="5162"/>
      <c r="AOY30" s="5162"/>
      <c r="AOZ30" s="5162"/>
      <c r="APA30" s="5162"/>
      <c r="APB30" s="5162"/>
      <c r="APC30" s="5162"/>
      <c r="APD30" s="5162"/>
      <c r="APE30" s="5162"/>
      <c r="APT30" s="2737"/>
      <c r="AQE30" s="2622"/>
      <c r="ARE30" s="2622"/>
      <c r="ASA30" s="2622"/>
      <c r="ASJ30" s="2622"/>
      <c r="ASK30" s="2737"/>
      <c r="ASL30" s="2737"/>
      <c r="ASM30" s="2737"/>
      <c r="ASN30" s="2737"/>
      <c r="ASO30" s="2737"/>
      <c r="ASP30" s="2737"/>
      <c r="ASQ30" s="2737"/>
      <c r="ASR30" s="2737"/>
      <c r="ASS30" s="2737"/>
      <c r="ATA30" s="2622"/>
      <c r="ATB30" s="2622"/>
      <c r="ATC30" s="2622"/>
      <c r="ATD30" s="2622"/>
      <c r="ATE30" s="2622"/>
      <c r="ATF30" s="2622"/>
      <c r="ATG30" s="2622"/>
      <c r="ATH30" s="2622"/>
      <c r="ATI30" s="2622"/>
      <c r="ATJ30" s="2622"/>
      <c r="ATK30" s="3610" t="s">
        <v>931</v>
      </c>
      <c r="ATL30" s="3603" t="s">
        <v>1491</v>
      </c>
      <c r="ATM30" s="3604" t="str">
        <f>$ATL$14&amp;"_"&amp;ATL30</f>
        <v>Jern_Enkeltspor</v>
      </c>
      <c r="ATN30" s="3605">
        <f t="shared" si="1"/>
        <v>10.5</v>
      </c>
      <c r="ATO30" s="3606" t="e">
        <f>#REF!</f>
        <v>#REF!</v>
      </c>
      <c r="ATP30" s="3605"/>
      <c r="ATQ30" s="3611">
        <f>$ATM$49+$ATM$50*ATN30</f>
        <v>22.303000000000001</v>
      </c>
      <c r="ATR30" s="3607"/>
      <c r="ATS30" s="3605">
        <v>4.3859000000000004</v>
      </c>
      <c r="ATT30" s="3608">
        <f t="shared" si="2"/>
        <v>13.5312</v>
      </c>
      <c r="ATU30" s="3609">
        <v>10.5</v>
      </c>
      <c r="ATV30" s="2622"/>
      <c r="ATW30" s="2622"/>
      <c r="ATX30" s="2622"/>
      <c r="ATY30" s="2617"/>
      <c r="ATZ30" s="3458"/>
      <c r="AUA30" s="3458"/>
      <c r="AUB30" s="3458"/>
      <c r="AUC30" s="3458"/>
      <c r="AUD30" s="3458"/>
      <c r="AUE30" s="3458"/>
      <c r="AUF30" s="3458"/>
      <c r="AUG30" s="3458"/>
      <c r="AUH30" s="3458"/>
      <c r="AUI30" s="3458"/>
      <c r="AUJ30" s="3458"/>
      <c r="AUK30" s="3458"/>
      <c r="AUL30" s="3458"/>
      <c r="AUM30" s="2617"/>
      <c r="AUN30" s="2617"/>
      <c r="AUO30" s="2617"/>
      <c r="AUP30" s="2617"/>
      <c r="AUQ30" s="2617"/>
      <c r="AUR30" s="2617"/>
      <c r="AUS30" s="2617"/>
      <c r="AUT30" s="2617"/>
      <c r="AUU30" s="2617"/>
      <c r="AUV30" s="2970"/>
      <c r="AUW30" s="2617"/>
      <c r="AUX30" s="2617"/>
      <c r="AUY30" s="2617"/>
      <c r="AUZ30" s="2617"/>
      <c r="AVA30" s="2617"/>
      <c r="AVB30" s="2617"/>
      <c r="AVC30" s="2617"/>
      <c r="AVD30" s="2617"/>
      <c r="AVE30" s="2617"/>
      <c r="AVF30" s="2617"/>
      <c r="AVG30" s="2617"/>
      <c r="AVH30" s="2617"/>
      <c r="AVI30" s="2617"/>
      <c r="AVJ30" s="2617"/>
      <c r="AVK30" s="2617"/>
      <c r="AVL30" s="2617"/>
      <c r="AVM30" s="2617"/>
      <c r="AVN30" s="2617"/>
      <c r="AVO30" s="2617"/>
      <c r="AVP30" s="3540"/>
      <c r="AVQ30" s="3540"/>
      <c r="AVR30" s="3540"/>
      <c r="AVS30" s="181"/>
      <c r="AVT30" s="181"/>
      <c r="AVU30" s="181"/>
      <c r="AVV30" s="181"/>
      <c r="AVW30" s="181"/>
      <c r="AVX30" s="181"/>
      <c r="AVY30" s="181"/>
      <c r="AVZ30" s="181"/>
      <c r="AWA30" s="181"/>
      <c r="AWB30" s="181"/>
      <c r="AWC30" s="181"/>
      <c r="AWD30" s="181"/>
      <c r="AWE30" s="181"/>
      <c r="AWF30" s="181"/>
      <c r="AWG30" s="181"/>
      <c r="AWH30" s="181"/>
      <c r="AWI30" s="181"/>
      <c r="AWJ30" s="181"/>
      <c r="AWK30" s="181"/>
      <c r="AWL30" s="181"/>
      <c r="AWM30" s="181"/>
      <c r="AWN30" s="181"/>
      <c r="AWO30" s="181"/>
      <c r="AWP30" s="3540"/>
      <c r="AWQ30" s="3540"/>
      <c r="AWR30" s="181"/>
      <c r="AWS30" s="2617"/>
      <c r="AWT30" s="2617"/>
      <c r="AWU30" s="2617"/>
      <c r="AWV30" s="2617"/>
      <c r="AWW30" s="2617"/>
      <c r="AWX30" s="2617"/>
      <c r="AWY30" s="3623"/>
      <c r="AWZ30" s="3623"/>
      <c r="AXA30" s="3623"/>
      <c r="AXB30" s="3623"/>
      <c r="AXC30" s="2617"/>
      <c r="AXD30" s="2617"/>
      <c r="AXE30" s="2617"/>
      <c r="AXF30" s="2617"/>
      <c r="AXG30" s="2617"/>
      <c r="AXH30" s="2617"/>
      <c r="AXI30" s="2617"/>
      <c r="AXJ30" s="2617"/>
      <c r="AXK30" s="2617"/>
      <c r="AYU30" s="181"/>
      <c r="AYW30" s="2622"/>
      <c r="AYX30" s="2622"/>
      <c r="AYY30" s="2622"/>
      <c r="AYZ30" s="2622"/>
      <c r="AZA30" s="2622"/>
      <c r="AZB30" s="2622"/>
      <c r="AZC30" s="2622"/>
      <c r="AZD30" s="2622"/>
      <c r="AZE30" s="2622"/>
      <c r="AZF30" s="2622"/>
      <c r="AZG30" s="2622"/>
      <c r="AZH30" s="2622"/>
      <c r="AZI30" s="2622"/>
      <c r="AZJ30" s="2622"/>
      <c r="AZK30" s="2622"/>
      <c r="AZL30" s="2622"/>
      <c r="AZM30" s="2622"/>
      <c r="AZN30" s="2622"/>
      <c r="AZO30" s="2622"/>
      <c r="AZP30" s="2622"/>
      <c r="AZQ30" s="2622"/>
      <c r="AZR30" s="2622"/>
      <c r="AZS30" s="2622"/>
      <c r="AZT30" s="2622"/>
      <c r="AZU30" s="2622"/>
      <c r="AZV30" s="2622"/>
      <c r="AZW30" s="2713" t="s">
        <v>861</v>
      </c>
      <c r="AZX30" s="2625"/>
      <c r="AZZ30" s="2622"/>
      <c r="BAA30" s="2683" t="s">
        <v>885</v>
      </c>
      <c r="BAC30" s="2622"/>
      <c r="BAD30" s="2622"/>
      <c r="BAE30" s="2622"/>
      <c r="BAF30" s="2622"/>
      <c r="BAG30" s="2622"/>
      <c r="BAH30" s="2622"/>
      <c r="BAI30" s="2622"/>
      <c r="BAJ30" s="2622"/>
      <c r="BAK30" s="2713" t="s">
        <v>861</v>
      </c>
      <c r="BAL30" s="2625"/>
      <c r="BAP30" s="2622"/>
      <c r="BAQ30" s="2622"/>
      <c r="BAR30" s="2622"/>
      <c r="BAU30" s="2622"/>
      <c r="BAV30" s="2622"/>
      <c r="BAW30" s="2622"/>
      <c r="BAX30" s="2622"/>
      <c r="BAY30" s="2622"/>
      <c r="BAZ30" s="2622"/>
      <c r="BBA30" s="2622"/>
      <c r="BBB30" s="2622"/>
      <c r="BBC30" s="2622"/>
      <c r="BBD30" s="2622"/>
      <c r="BBE30" s="2622"/>
      <c r="BBF30" s="2622"/>
      <c r="BBG30" s="2622"/>
      <c r="BBH30" s="2622"/>
      <c r="BBI30" s="2622"/>
      <c r="BBL30" s="2622"/>
      <c r="BBR30" s="3398"/>
      <c r="BCJ30" s="2617"/>
      <c r="BCK30" s="2617"/>
      <c r="BCL30" s="2617"/>
      <c r="BCM30" s="2617"/>
      <c r="BCN30" s="2617"/>
      <c r="BCO30" s="2617"/>
      <c r="BCP30" s="2617"/>
      <c r="BCQ30" s="2617"/>
      <c r="BCR30" s="2617"/>
      <c r="BCS30" s="2617"/>
      <c r="BCT30" s="2617"/>
      <c r="BCU30" s="2617"/>
      <c r="BCV30" s="2617"/>
      <c r="BCW30" s="2617"/>
      <c r="BCX30" s="2617"/>
      <c r="BCY30" s="2617"/>
      <c r="BCZ30" s="2617"/>
      <c r="BDA30" s="2617"/>
      <c r="BDB30" s="2617"/>
      <c r="BDC30" s="2617"/>
      <c r="BDD30" s="2617"/>
      <c r="BDE30" s="2617"/>
      <c r="BDF30" s="2617"/>
      <c r="BDG30" s="2617"/>
      <c r="BDH30" s="2617"/>
      <c r="BDI30" s="2617"/>
      <c r="BDL30" s="2617"/>
      <c r="BDM30" s="2617"/>
      <c r="BDN30" s="2617"/>
      <c r="BDO30" s="2617"/>
      <c r="BDP30" s="2617"/>
      <c r="BDQ30" s="2617"/>
      <c r="BDR30" s="2617"/>
      <c r="BDS30" s="2617"/>
      <c r="BDT30" s="2617"/>
      <c r="BDU30" s="2617"/>
      <c r="BDV30" s="2617"/>
      <c r="BDW30" s="2617"/>
      <c r="BDZ30" s="2617"/>
      <c r="BEA30" s="2617"/>
      <c r="BEB30" s="2617"/>
      <c r="BEC30" s="2617"/>
      <c r="BED30" s="2617"/>
      <c r="BEE30" s="2617"/>
      <c r="BEH30" s="2617"/>
    </row>
    <row r="31" spans="1:1490" ht="72.75" customHeight="1" x14ac:dyDescent="0.2">
      <c r="AH31" s="5478" t="s">
        <v>1036</v>
      </c>
      <c r="AI31" s="5478">
        <f>IF($AI$30=_List!CQ$7,1,IF(_Calcs_Klasse!$AI$30=_List!$CQ$8,2,2))</f>
        <v>2</v>
      </c>
      <c r="AJ31" s="433" t="s">
        <v>1037</v>
      </c>
      <c r="AU31" s="235">
        <v>5</v>
      </c>
      <c r="AV31" s="185">
        <f>'!INN_SK'!$BF$55</f>
        <v>0</v>
      </c>
      <c r="AW31" s="185">
        <f>'!INN_SK'!$BF$57</f>
        <v>0</v>
      </c>
      <c r="AX31" s="185">
        <f>'!INN_SK'!$BF$64</f>
        <v>0</v>
      </c>
      <c r="AY31" s="185">
        <f>'!INN_SK'!$BF$71</f>
        <v>0</v>
      </c>
      <c r="AZ31" s="185">
        <f>'!INN_SK'!$BF$78</f>
        <v>1000</v>
      </c>
      <c r="BA31" s="185">
        <f>'!INN_SK'!$BF$80</f>
        <v>0</v>
      </c>
      <c r="BB31" s="185">
        <f>'!INN_SK'!$BF$87</f>
        <v>0</v>
      </c>
      <c r="BC31" s="185">
        <f>'!INN_SK'!$BF$94</f>
        <v>250</v>
      </c>
      <c r="BD31" s="193"/>
      <c r="BE31" s="2622"/>
      <c r="CF31" s="2624"/>
      <c r="CG31" s="4193" t="s">
        <v>257</v>
      </c>
      <c r="CH31" s="5557" t="s">
        <v>283</v>
      </c>
      <c r="CI31" s="4194" t="s">
        <v>284</v>
      </c>
      <c r="CJ31" s="4194" t="s">
        <v>285</v>
      </c>
      <c r="CK31" s="4195" t="s">
        <v>1153</v>
      </c>
      <c r="CL31" s="5619" t="s">
        <v>1996</v>
      </c>
      <c r="CM31" s="5619" t="s">
        <v>1997</v>
      </c>
      <c r="CN31" s="5619" t="s">
        <v>1998</v>
      </c>
      <c r="CO31" s="5619" t="s">
        <v>1999</v>
      </c>
      <c r="CP31" s="5619" t="s">
        <v>2000</v>
      </c>
      <c r="CQ31" s="5619" t="s">
        <v>2001</v>
      </c>
      <c r="CR31" s="5619" t="s">
        <v>2002</v>
      </c>
      <c r="CS31" s="5619" t="s">
        <v>2003</v>
      </c>
      <c r="CT31" s="5619" t="s">
        <v>618</v>
      </c>
      <c r="CU31" s="5619" t="s">
        <v>651</v>
      </c>
      <c r="CV31" s="5673" t="s">
        <v>953</v>
      </c>
      <c r="CW31" s="5619" t="s">
        <v>998</v>
      </c>
      <c r="CX31" s="5619" t="s">
        <v>997</v>
      </c>
      <c r="CY31" s="5619" t="s">
        <v>1011</v>
      </c>
      <c r="CZ31" s="5619" t="s">
        <v>1012</v>
      </c>
      <c r="DA31" s="5619" t="s">
        <v>1013</v>
      </c>
      <c r="DB31" s="5619" t="s">
        <v>1014</v>
      </c>
      <c r="DC31" s="5619" t="s">
        <v>1025</v>
      </c>
      <c r="DD31" s="5619" t="s">
        <v>1026</v>
      </c>
      <c r="DE31" s="5619" t="s">
        <v>1030</v>
      </c>
      <c r="DF31" s="5619" t="s">
        <v>1029</v>
      </c>
      <c r="DG31" s="5619" t="s">
        <v>1027</v>
      </c>
      <c r="DH31" s="5619" t="s">
        <v>1028</v>
      </c>
      <c r="DI31" s="5619" t="s">
        <v>1031</v>
      </c>
      <c r="DJ31" s="5619" t="s">
        <v>1032</v>
      </c>
      <c r="DK31" s="5619" t="s">
        <v>1033</v>
      </c>
      <c r="DL31" s="5619" t="s">
        <v>1034</v>
      </c>
      <c r="DM31" s="5674" t="s">
        <v>1784</v>
      </c>
      <c r="DN31" s="5619" t="s">
        <v>1767</v>
      </c>
      <c r="DO31" s="5619" t="s">
        <v>1768</v>
      </c>
      <c r="DP31" s="5619" t="s">
        <v>1769</v>
      </c>
      <c r="DQ31" s="5619" t="s">
        <v>1770</v>
      </c>
      <c r="DR31" s="5619" t="s">
        <v>1771</v>
      </c>
      <c r="DS31" s="5619" t="s">
        <v>1772</v>
      </c>
      <c r="DT31" s="5619" t="s">
        <v>1773</v>
      </c>
      <c r="DU31" s="5619" t="s">
        <v>1774</v>
      </c>
      <c r="DV31" s="5619" t="s">
        <v>1775</v>
      </c>
      <c r="DW31" s="5619" t="s">
        <v>1776</v>
      </c>
      <c r="DX31" s="5619" t="s">
        <v>1777</v>
      </c>
      <c r="DY31" s="5619" t="s">
        <v>1778</v>
      </c>
      <c r="DZ31" s="5619" t="s">
        <v>1779</v>
      </c>
      <c r="EA31" s="5619" t="s">
        <v>1780</v>
      </c>
      <c r="EB31" s="5619" t="s">
        <v>1781</v>
      </c>
      <c r="EC31" s="5619" t="s">
        <v>1782</v>
      </c>
      <c r="ED31" s="5619" t="s">
        <v>1783</v>
      </c>
      <c r="EE31" s="5619" t="s">
        <v>1785</v>
      </c>
      <c r="EF31" s="5673" t="s">
        <v>1724</v>
      </c>
      <c r="EG31" s="5619" t="s">
        <v>1692</v>
      </c>
      <c r="EH31" s="5619" t="s">
        <v>1693</v>
      </c>
      <c r="EI31" s="5619" t="s">
        <v>1694</v>
      </c>
      <c r="EJ31" s="5619" t="s">
        <v>1695</v>
      </c>
      <c r="EK31" s="5619" t="s">
        <v>1696</v>
      </c>
      <c r="EL31" s="5619" t="s">
        <v>1697</v>
      </c>
      <c r="EM31" s="5619" t="s">
        <v>1698</v>
      </c>
      <c r="EN31" s="5619" t="s">
        <v>1699</v>
      </c>
      <c r="EO31" s="5619" t="s">
        <v>1700</v>
      </c>
      <c r="EP31" s="5619" t="s">
        <v>1701</v>
      </c>
      <c r="EQ31" s="5619" t="s">
        <v>1702</v>
      </c>
      <c r="ER31" s="5619" t="s">
        <v>1703</v>
      </c>
      <c r="ES31" s="5619" t="s">
        <v>1704</v>
      </c>
      <c r="ET31" s="5619" t="s">
        <v>1705</v>
      </c>
      <c r="EU31" s="5619" t="s">
        <v>1706</v>
      </c>
      <c r="EV31" s="5619" t="s">
        <v>1707</v>
      </c>
      <c r="EW31" s="5675" t="s">
        <v>1725</v>
      </c>
      <c r="EX31" s="5619" t="s">
        <v>1726</v>
      </c>
      <c r="EY31" s="5619" t="s">
        <v>1727</v>
      </c>
      <c r="EZ31" s="5619" t="s">
        <v>1728</v>
      </c>
      <c r="FA31" s="5619" t="s">
        <v>1729</v>
      </c>
      <c r="FB31" s="5619" t="s">
        <v>1730</v>
      </c>
      <c r="FC31" s="5619" t="s">
        <v>1731</v>
      </c>
      <c r="FD31" s="5619" t="s">
        <v>1732</v>
      </c>
      <c r="FE31" s="5619" t="s">
        <v>1733</v>
      </c>
      <c r="FF31" s="5619" t="s">
        <v>1734</v>
      </c>
      <c r="FG31" s="5619" t="s">
        <v>1735</v>
      </c>
      <c r="FH31" s="5619" t="s">
        <v>1736</v>
      </c>
      <c r="FI31" s="5619" t="s">
        <v>1737</v>
      </c>
      <c r="FJ31" s="5619" t="s">
        <v>1738</v>
      </c>
      <c r="FK31" s="5619" t="s">
        <v>1739</v>
      </c>
      <c r="FL31" s="5619" t="s">
        <v>1740</v>
      </c>
      <c r="FM31" s="5619" t="s">
        <v>1741</v>
      </c>
      <c r="FN31" s="5847" t="s">
        <v>1743</v>
      </c>
      <c r="FO31" s="5847" t="s">
        <v>1742</v>
      </c>
      <c r="FP31" s="5619" t="s">
        <v>1744</v>
      </c>
      <c r="FQ31" s="5619" t="s">
        <v>1708</v>
      </c>
      <c r="FR31" s="5619" t="s">
        <v>1709</v>
      </c>
      <c r="FS31" s="5619" t="s">
        <v>1710</v>
      </c>
      <c r="FT31" s="5619" t="s">
        <v>1711</v>
      </c>
      <c r="FU31" s="5619" t="s">
        <v>1712</v>
      </c>
      <c r="FV31" s="5619" t="s">
        <v>1713</v>
      </c>
      <c r="FW31" s="5619" t="s">
        <v>1714</v>
      </c>
      <c r="FX31" s="5619" t="s">
        <v>1715</v>
      </c>
      <c r="FY31" s="5619" t="s">
        <v>1716</v>
      </c>
      <c r="FZ31" s="5619" t="s">
        <v>1717</v>
      </c>
      <c r="GA31" s="5619" t="s">
        <v>1718</v>
      </c>
      <c r="GB31" s="5619" t="s">
        <v>1719</v>
      </c>
      <c r="GC31" s="5619" t="s">
        <v>1720</v>
      </c>
      <c r="GD31" s="5619" t="s">
        <v>1721</v>
      </c>
      <c r="GE31" s="5619" t="s">
        <v>1722</v>
      </c>
      <c r="GF31" s="5619" t="s">
        <v>1723</v>
      </c>
      <c r="GG31" s="5675" t="s">
        <v>1745</v>
      </c>
      <c r="GH31" s="5619" t="s">
        <v>1746</v>
      </c>
      <c r="GI31" s="5619" t="s">
        <v>1747</v>
      </c>
      <c r="GJ31" s="5619" t="s">
        <v>1748</v>
      </c>
      <c r="GK31" s="5619" t="s">
        <v>1749</v>
      </c>
      <c r="GL31" s="5619" t="s">
        <v>1750</v>
      </c>
      <c r="GM31" s="5619" t="s">
        <v>1751</v>
      </c>
      <c r="GN31" s="5619" t="s">
        <v>1752</v>
      </c>
      <c r="GO31" s="5619" t="s">
        <v>1753</v>
      </c>
      <c r="GP31" s="5619" t="s">
        <v>1754</v>
      </c>
      <c r="GQ31" s="5619" t="s">
        <v>1755</v>
      </c>
      <c r="GR31" s="5619" t="s">
        <v>1756</v>
      </c>
      <c r="GS31" s="5619" t="s">
        <v>1757</v>
      </c>
      <c r="GT31" s="5619" t="s">
        <v>1758</v>
      </c>
      <c r="GU31" s="5619" t="s">
        <v>1759</v>
      </c>
      <c r="GV31" s="5619" t="s">
        <v>1760</v>
      </c>
      <c r="GW31" s="5619" t="s">
        <v>1761</v>
      </c>
      <c r="GX31" s="5619" t="s">
        <v>1762</v>
      </c>
      <c r="GY31" s="5619" t="s">
        <v>1763</v>
      </c>
      <c r="GZ31" s="5675" t="s">
        <v>2027</v>
      </c>
      <c r="HA31" s="5675" t="s">
        <v>2028</v>
      </c>
      <c r="HB31" s="5619" t="s">
        <v>1661</v>
      </c>
      <c r="HC31" s="5619" t="s">
        <v>1662</v>
      </c>
      <c r="HD31" s="5619" t="s">
        <v>1240</v>
      </c>
      <c r="HE31" s="5619" t="s">
        <v>1241</v>
      </c>
      <c r="HF31" s="5619" t="s">
        <v>1242</v>
      </c>
      <c r="HG31" s="5619" t="s">
        <v>1683</v>
      </c>
      <c r="HH31" s="5619" t="s">
        <v>1684</v>
      </c>
      <c r="HI31" s="5619" t="s">
        <v>2650</v>
      </c>
      <c r="HJ31" s="5619" t="s">
        <v>2651</v>
      </c>
      <c r="HK31" s="5619" t="s">
        <v>999</v>
      </c>
      <c r="HL31" s="5619" t="s">
        <v>1000</v>
      </c>
      <c r="HM31" s="5619" t="s">
        <v>1063</v>
      </c>
      <c r="HN31" s="5619" t="s">
        <v>1064</v>
      </c>
      <c r="HO31" s="5676" t="s">
        <v>1682</v>
      </c>
      <c r="HP31" s="5676" t="s">
        <v>1591</v>
      </c>
      <c r="HQ31" s="5676" t="s">
        <v>1685</v>
      </c>
      <c r="HR31" s="5677" t="s">
        <v>1925</v>
      </c>
      <c r="HS31" s="5677" t="s">
        <v>1926</v>
      </c>
      <c r="HT31" s="5677" t="s">
        <v>1429</v>
      </c>
      <c r="HU31" s="5678" t="s">
        <v>2461</v>
      </c>
      <c r="HV31" s="5679" t="s">
        <v>1941</v>
      </c>
      <c r="HW31" s="5677" t="s">
        <v>1927</v>
      </c>
      <c r="HX31" s="5677" t="s">
        <v>1928</v>
      </c>
      <c r="HY31" s="5677" t="s">
        <v>1430</v>
      </c>
      <c r="HZ31" s="5678" t="s">
        <v>2462</v>
      </c>
      <c r="IA31" s="5679" t="s">
        <v>1942</v>
      </c>
      <c r="IB31" s="5677" t="s">
        <v>1930</v>
      </c>
      <c r="IC31" s="5677" t="s">
        <v>1929</v>
      </c>
      <c r="ID31" s="5677" t="s">
        <v>1431</v>
      </c>
      <c r="IE31" s="5678" t="s">
        <v>2463</v>
      </c>
      <c r="IF31" s="5679" t="s">
        <v>1943</v>
      </c>
      <c r="IG31" s="5677" t="s">
        <v>1931</v>
      </c>
      <c r="IH31" s="5677" t="s">
        <v>1932</v>
      </c>
      <c r="II31" s="5677" t="s">
        <v>1432</v>
      </c>
      <c r="IJ31" s="5678" t="s">
        <v>2464</v>
      </c>
      <c r="IK31" s="5679" t="s">
        <v>1944</v>
      </c>
      <c r="IL31" s="5677" t="s">
        <v>1933</v>
      </c>
      <c r="IM31" s="5677" t="s">
        <v>1934</v>
      </c>
      <c r="IN31" s="5677" t="s">
        <v>1433</v>
      </c>
      <c r="IO31" s="5678" t="s">
        <v>2465</v>
      </c>
      <c r="IP31" s="5679" t="s">
        <v>1945</v>
      </c>
      <c r="IQ31" s="5677" t="s">
        <v>1935</v>
      </c>
      <c r="IR31" s="5677" t="s">
        <v>1936</v>
      </c>
      <c r="IS31" s="5677" t="s">
        <v>1434</v>
      </c>
      <c r="IT31" s="5678" t="s">
        <v>2466</v>
      </c>
      <c r="IU31" s="5679" t="s">
        <v>1946</v>
      </c>
      <c r="IV31" s="5677" t="s">
        <v>1937</v>
      </c>
      <c r="IW31" s="5677" t="s">
        <v>1938</v>
      </c>
      <c r="IX31" s="5677" t="s">
        <v>1435</v>
      </c>
      <c r="IY31" s="5678" t="s">
        <v>2467</v>
      </c>
      <c r="IZ31" s="5679" t="s">
        <v>1947</v>
      </c>
      <c r="JA31" s="5677" t="s">
        <v>1939</v>
      </c>
      <c r="JB31" s="5677" t="s">
        <v>1940</v>
      </c>
      <c r="JC31" s="5677" t="s">
        <v>1436</v>
      </c>
      <c r="JD31" s="5678" t="s">
        <v>2468</v>
      </c>
      <c r="JE31" s="5679" t="s">
        <v>1948</v>
      </c>
      <c r="JF31" s="5680" t="s">
        <v>1873</v>
      </c>
      <c r="JG31" s="5680" t="s">
        <v>1874</v>
      </c>
      <c r="JH31" s="5680" t="s">
        <v>1875</v>
      </c>
      <c r="JI31" s="5680" t="s">
        <v>1876</v>
      </c>
      <c r="JJ31" s="5680" t="s">
        <v>1877</v>
      </c>
      <c r="JK31" s="5680" t="s">
        <v>1878</v>
      </c>
      <c r="JL31" s="5680" t="s">
        <v>1879</v>
      </c>
      <c r="JM31" s="5680" t="s">
        <v>1880</v>
      </c>
      <c r="JN31" s="5680" t="s">
        <v>1881</v>
      </c>
      <c r="JO31" s="5680" t="s">
        <v>1882</v>
      </c>
      <c r="JP31" s="5680" t="s">
        <v>1883</v>
      </c>
      <c r="JQ31" s="5680" t="s">
        <v>1884</v>
      </c>
      <c r="JR31" s="5680" t="s">
        <v>1885</v>
      </c>
      <c r="JS31" s="5680" t="s">
        <v>1886</v>
      </c>
      <c r="JT31" s="5680" t="s">
        <v>1887</v>
      </c>
      <c r="JU31" s="5680" t="s">
        <v>1888</v>
      </c>
      <c r="JV31" s="5681" t="s">
        <v>1889</v>
      </c>
      <c r="JW31" s="5681" t="s">
        <v>1890</v>
      </c>
      <c r="JX31" s="5677" t="s">
        <v>1967</v>
      </c>
      <c r="JY31" s="5679" t="s">
        <v>1975</v>
      </c>
      <c r="JZ31" s="5677" t="s">
        <v>1968</v>
      </c>
      <c r="KA31" s="5679" t="s">
        <v>1976</v>
      </c>
      <c r="KB31" s="5677" t="s">
        <v>1969</v>
      </c>
      <c r="KC31" s="5679" t="s">
        <v>1977</v>
      </c>
      <c r="KD31" s="5677" t="s">
        <v>1970</v>
      </c>
      <c r="KE31" s="5679" t="s">
        <v>1978</v>
      </c>
      <c r="KF31" s="5677" t="s">
        <v>1971</v>
      </c>
      <c r="KG31" s="5679" t="s">
        <v>1979</v>
      </c>
      <c r="KH31" s="5677" t="s">
        <v>1972</v>
      </c>
      <c r="KI31" s="5679" t="s">
        <v>1980</v>
      </c>
      <c r="KJ31" s="5677" t="s">
        <v>1973</v>
      </c>
      <c r="KK31" s="5679" t="s">
        <v>1981</v>
      </c>
      <c r="KL31" s="5677" t="s">
        <v>1974</v>
      </c>
      <c r="KM31" s="5679" t="s">
        <v>1982</v>
      </c>
      <c r="KN31" s="5677" t="s">
        <v>1949</v>
      </c>
      <c r="KO31" s="5677" t="s">
        <v>1950</v>
      </c>
      <c r="KP31" s="5677" t="s">
        <v>1951</v>
      </c>
      <c r="KQ31" s="5677" t="s">
        <v>1952</v>
      </c>
      <c r="KR31" s="5677" t="s">
        <v>1953</v>
      </c>
      <c r="KS31" s="5677" t="s">
        <v>1954</v>
      </c>
      <c r="KT31" s="5677" t="s">
        <v>1955</v>
      </c>
      <c r="KU31" s="5677" t="s">
        <v>1956</v>
      </c>
      <c r="KV31" s="5677" t="s">
        <v>1957</v>
      </c>
      <c r="KW31" s="5677" t="s">
        <v>1958</v>
      </c>
      <c r="KX31" s="5677" t="s">
        <v>1959</v>
      </c>
      <c r="KY31" s="5677" t="s">
        <v>1960</v>
      </c>
      <c r="KZ31" s="5677" t="s">
        <v>1961</v>
      </c>
      <c r="LA31" s="5677" t="s">
        <v>1962</v>
      </c>
      <c r="LB31" s="5677" t="s">
        <v>1963</v>
      </c>
      <c r="LC31" s="5677" t="s">
        <v>1964</v>
      </c>
      <c r="LD31" s="5682" t="s">
        <v>1965</v>
      </c>
      <c r="LE31" s="5682" t="s">
        <v>1966</v>
      </c>
      <c r="LF31" s="5673" t="s">
        <v>1043</v>
      </c>
      <c r="LG31" s="5619" t="s">
        <v>2469</v>
      </c>
      <c r="LH31" s="5619" t="s">
        <v>2470</v>
      </c>
      <c r="LI31" s="5619" t="s">
        <v>2471</v>
      </c>
      <c r="LJ31" s="5619" t="s">
        <v>2472</v>
      </c>
      <c r="LK31" s="5619" t="s">
        <v>2473</v>
      </c>
      <c r="LL31" s="5619" t="s">
        <v>2474</v>
      </c>
      <c r="LM31" s="5619" t="s">
        <v>2475</v>
      </c>
      <c r="LN31" s="5619" t="s">
        <v>2476</v>
      </c>
      <c r="LO31" s="5619" t="s">
        <v>2477</v>
      </c>
      <c r="LP31" s="5619" t="s">
        <v>2478</v>
      </c>
      <c r="LQ31" s="5619" t="s">
        <v>2479</v>
      </c>
      <c r="LR31" s="5619" t="s">
        <v>2480</v>
      </c>
      <c r="LS31" s="5619" t="s">
        <v>2481</v>
      </c>
      <c r="LT31" s="5619" t="s">
        <v>2482</v>
      </c>
      <c r="LU31" s="5619" t="s">
        <v>2483</v>
      </c>
      <c r="LV31" s="5619" t="s">
        <v>2484</v>
      </c>
      <c r="LW31" s="5683" t="s">
        <v>2485</v>
      </c>
      <c r="LX31" s="5619" t="s">
        <v>2149</v>
      </c>
      <c r="LY31" s="5684" t="s">
        <v>2150</v>
      </c>
      <c r="LZ31" s="5619" t="s">
        <v>2151</v>
      </c>
      <c r="MA31" s="5684" t="s">
        <v>2152</v>
      </c>
      <c r="MB31" s="5619" t="s">
        <v>2153</v>
      </c>
      <c r="MC31" s="5684" t="s">
        <v>2154</v>
      </c>
      <c r="MD31" s="5619" t="s">
        <v>2155</v>
      </c>
      <c r="ME31" s="5684" t="s">
        <v>2156</v>
      </c>
      <c r="MF31" s="5619" t="s">
        <v>2157</v>
      </c>
      <c r="MG31" s="5684" t="s">
        <v>2158</v>
      </c>
      <c r="MH31" s="5619" t="s">
        <v>2159</v>
      </c>
      <c r="MI31" s="5684" t="s">
        <v>2160</v>
      </c>
      <c r="MJ31" s="5619" t="s">
        <v>2161</v>
      </c>
      <c r="MK31" s="5684" t="s">
        <v>2162</v>
      </c>
      <c r="ML31" s="5619" t="s">
        <v>2163</v>
      </c>
      <c r="MM31" s="5684" t="s">
        <v>2164</v>
      </c>
      <c r="MN31" s="5685" t="s">
        <v>2165</v>
      </c>
      <c r="MO31" s="5686" t="s">
        <v>2486</v>
      </c>
      <c r="MP31" s="5686" t="s">
        <v>2487</v>
      </c>
      <c r="MQ31" s="5686" t="s">
        <v>2488</v>
      </c>
      <c r="MR31" s="5686" t="s">
        <v>2489</v>
      </c>
      <c r="MS31" s="5686" t="s">
        <v>2490</v>
      </c>
      <c r="MT31" s="5686" t="s">
        <v>2491</v>
      </c>
      <c r="MU31" s="5686" t="s">
        <v>2492</v>
      </c>
      <c r="MV31" s="5686" t="s">
        <v>2493</v>
      </c>
      <c r="MW31" s="5687" t="s">
        <v>2494</v>
      </c>
      <c r="MX31" s="5619" t="s">
        <v>2523</v>
      </c>
      <c r="MY31" s="5688" t="s">
        <v>2508</v>
      </c>
      <c r="MZ31" s="5619" t="s">
        <v>2509</v>
      </c>
      <c r="NA31" s="5688" t="s">
        <v>2510</v>
      </c>
      <c r="NB31" s="5619" t="s">
        <v>2511</v>
      </c>
      <c r="NC31" s="5688" t="s">
        <v>2512</v>
      </c>
      <c r="ND31" s="5619" t="s">
        <v>2513</v>
      </c>
      <c r="NE31" s="5688" t="s">
        <v>2514</v>
      </c>
      <c r="NF31" s="5619" t="s">
        <v>2515</v>
      </c>
      <c r="NG31" s="5688" t="s">
        <v>2516</v>
      </c>
      <c r="NH31" s="5619" t="s">
        <v>2517</v>
      </c>
      <c r="NI31" s="5688" t="s">
        <v>2518</v>
      </c>
      <c r="NJ31" s="5619" t="s">
        <v>2519</v>
      </c>
      <c r="NK31" s="5688" t="s">
        <v>2520</v>
      </c>
      <c r="NL31" s="5619" t="s">
        <v>2521</v>
      </c>
      <c r="NM31" s="5688" t="s">
        <v>2522</v>
      </c>
      <c r="NN31" s="5689" t="s">
        <v>2507</v>
      </c>
      <c r="NO31" s="5619" t="s">
        <v>2184</v>
      </c>
      <c r="NP31" s="5619" t="s">
        <v>2185</v>
      </c>
      <c r="NQ31" s="5619" t="s">
        <v>2166</v>
      </c>
      <c r="NR31" s="5619" t="s">
        <v>2167</v>
      </c>
      <c r="NS31" s="5619" t="s">
        <v>2168</v>
      </c>
      <c r="NT31" s="5619" t="s">
        <v>2169</v>
      </c>
      <c r="NU31" s="5619" t="s">
        <v>2170</v>
      </c>
      <c r="NV31" s="5619" t="s">
        <v>2171</v>
      </c>
      <c r="NW31" s="5619" t="s">
        <v>2172</v>
      </c>
      <c r="NX31" s="5619" t="s">
        <v>2173</v>
      </c>
      <c r="NY31" s="5619" t="s">
        <v>2174</v>
      </c>
      <c r="NZ31" s="5619" t="s">
        <v>2175</v>
      </c>
      <c r="OA31" s="5619" t="s">
        <v>2176</v>
      </c>
      <c r="OB31" s="5619" t="s">
        <v>2177</v>
      </c>
      <c r="OC31" s="5619" t="s">
        <v>2178</v>
      </c>
      <c r="OD31" s="5619" t="s">
        <v>2179</v>
      </c>
      <c r="OE31" s="5619" t="s">
        <v>2180</v>
      </c>
      <c r="OF31" s="5619" t="s">
        <v>2181</v>
      </c>
      <c r="OG31" s="5619" t="s">
        <v>2182</v>
      </c>
      <c r="OH31" s="5619" t="s">
        <v>2183</v>
      </c>
      <c r="OI31" s="5673" t="s">
        <v>1045</v>
      </c>
      <c r="OJ31" s="5619" t="s">
        <v>1046</v>
      </c>
      <c r="OK31" s="5690" t="s">
        <v>1047</v>
      </c>
      <c r="OL31" s="5619" t="s">
        <v>1048</v>
      </c>
      <c r="OM31" s="5690" t="s">
        <v>1049</v>
      </c>
      <c r="ON31" s="5619" t="s">
        <v>1050</v>
      </c>
      <c r="OO31" s="5690" t="s">
        <v>1051</v>
      </c>
      <c r="OP31" s="5619" t="s">
        <v>1052</v>
      </c>
      <c r="OQ31" s="5690" t="s">
        <v>1053</v>
      </c>
      <c r="OR31" s="5619" t="s">
        <v>1054</v>
      </c>
      <c r="OS31" s="5690" t="s">
        <v>1055</v>
      </c>
      <c r="OT31" s="5619" t="s">
        <v>1056</v>
      </c>
      <c r="OU31" s="5690" t="s">
        <v>1057</v>
      </c>
      <c r="OV31" s="5619" t="s">
        <v>1058</v>
      </c>
      <c r="OW31" s="5690" t="s">
        <v>1059</v>
      </c>
      <c r="OX31" s="5619" t="s">
        <v>1060</v>
      </c>
      <c r="OY31" s="5690" t="s">
        <v>1061</v>
      </c>
      <c r="OZ31" s="5691" t="s">
        <v>1062</v>
      </c>
      <c r="PA31" s="5619" t="s">
        <v>2564</v>
      </c>
      <c r="PB31" s="5623" t="s">
        <v>2572</v>
      </c>
      <c r="PC31" s="5619" t="s">
        <v>2565</v>
      </c>
      <c r="PD31" s="5623" t="s">
        <v>2579</v>
      </c>
      <c r="PE31" s="5619" t="s">
        <v>2566</v>
      </c>
      <c r="PF31" s="5623" t="s">
        <v>2578</v>
      </c>
      <c r="PG31" s="5619" t="s">
        <v>2567</v>
      </c>
      <c r="PH31" s="5623" t="s">
        <v>2577</v>
      </c>
      <c r="PI31" s="5619" t="s">
        <v>2568</v>
      </c>
      <c r="PJ31" s="5623" t="s">
        <v>2576</v>
      </c>
      <c r="PK31" s="5619" t="s">
        <v>2569</v>
      </c>
      <c r="PL31" s="5623" t="s">
        <v>2575</v>
      </c>
      <c r="PM31" s="5619" t="s">
        <v>2570</v>
      </c>
      <c r="PN31" s="5623" t="s">
        <v>2574</v>
      </c>
      <c r="PO31" s="5619" t="s">
        <v>2571</v>
      </c>
      <c r="PP31" s="5623" t="s">
        <v>2573</v>
      </c>
      <c r="PQ31" s="5625" t="s">
        <v>2580</v>
      </c>
      <c r="PR31" s="5619" t="s">
        <v>2593</v>
      </c>
      <c r="PS31" s="5692" t="s">
        <v>2584</v>
      </c>
      <c r="PT31" s="5619" t="s">
        <v>2594</v>
      </c>
      <c r="PU31" s="5692" t="s">
        <v>2585</v>
      </c>
      <c r="PV31" s="5619" t="s">
        <v>2595</v>
      </c>
      <c r="PW31" s="5692" t="s">
        <v>2586</v>
      </c>
      <c r="PX31" s="5619" t="s">
        <v>2596</v>
      </c>
      <c r="PY31" s="5692" t="s">
        <v>2587</v>
      </c>
      <c r="PZ31" s="5619" t="s">
        <v>2597</v>
      </c>
      <c r="QA31" s="5692" t="s">
        <v>2588</v>
      </c>
      <c r="QB31" s="5619" t="s">
        <v>2598</v>
      </c>
      <c r="QC31" s="5692" t="s">
        <v>2589</v>
      </c>
      <c r="QD31" s="5619" t="s">
        <v>2599</v>
      </c>
      <c r="QE31" s="5692" t="s">
        <v>2590</v>
      </c>
      <c r="QF31" s="5619" t="s">
        <v>2600</v>
      </c>
      <c r="QG31" s="5692" t="s">
        <v>2591</v>
      </c>
      <c r="QH31" s="5693" t="s">
        <v>2592</v>
      </c>
      <c r="QI31" s="5619" t="s">
        <v>2581</v>
      </c>
      <c r="QJ31" s="5619" t="s">
        <v>2582</v>
      </c>
      <c r="QK31" s="5619" t="s">
        <v>2583</v>
      </c>
      <c r="QL31" s="5619" t="s">
        <v>2526</v>
      </c>
      <c r="QM31" s="5619" t="s">
        <v>2527</v>
      </c>
      <c r="QN31" s="5619" t="s">
        <v>2528</v>
      </c>
      <c r="QO31" s="5619" t="s">
        <v>2529</v>
      </c>
      <c r="QP31" s="5619" t="s">
        <v>2530</v>
      </c>
      <c r="QQ31" s="5619" t="s">
        <v>2531</v>
      </c>
      <c r="QR31" s="5673" t="s">
        <v>1786</v>
      </c>
      <c r="QS31" s="5694" t="s">
        <v>1787</v>
      </c>
      <c r="QT31" s="5619" t="s">
        <v>1788</v>
      </c>
      <c r="QU31" s="5619" t="s">
        <v>1789</v>
      </c>
      <c r="QV31" s="5694" t="s">
        <v>1790</v>
      </c>
      <c r="QW31" s="5619" t="s">
        <v>1791</v>
      </c>
      <c r="QX31" s="5619" t="s">
        <v>1792</v>
      </c>
      <c r="QY31" s="5694" t="s">
        <v>1793</v>
      </c>
      <c r="QZ31" s="5619" t="s">
        <v>1794</v>
      </c>
      <c r="RA31" s="5619" t="s">
        <v>1795</v>
      </c>
      <c r="RB31" s="5694" t="s">
        <v>1796</v>
      </c>
      <c r="RC31" s="5619" t="s">
        <v>1797</v>
      </c>
      <c r="RD31" s="5619" t="s">
        <v>1798</v>
      </c>
      <c r="RE31" s="5694" t="s">
        <v>1799</v>
      </c>
      <c r="RF31" s="5619" t="s">
        <v>1800</v>
      </c>
      <c r="RG31" s="5619" t="s">
        <v>1801</v>
      </c>
      <c r="RH31" s="5694" t="s">
        <v>1802</v>
      </c>
      <c r="RI31" s="5619" t="s">
        <v>1803</v>
      </c>
      <c r="RJ31" s="5619" t="s">
        <v>1804</v>
      </c>
      <c r="RK31" s="5694" t="s">
        <v>1805</v>
      </c>
      <c r="RL31" s="5619" t="s">
        <v>1806</v>
      </c>
      <c r="RM31" s="5619" t="s">
        <v>1807</v>
      </c>
      <c r="RN31" s="5694" t="s">
        <v>1808</v>
      </c>
      <c r="RO31" s="5619" t="s">
        <v>1809</v>
      </c>
      <c r="RP31" s="5619" t="s">
        <v>1810</v>
      </c>
      <c r="RQ31" s="5619" t="s">
        <v>1811</v>
      </c>
      <c r="RR31" s="5619" t="s">
        <v>1824</v>
      </c>
      <c r="RS31" s="5619" t="s">
        <v>1825</v>
      </c>
      <c r="RT31" s="5619" t="s">
        <v>1826</v>
      </c>
      <c r="RU31" s="5619" t="s">
        <v>1827</v>
      </c>
      <c r="RV31" s="5619" t="s">
        <v>1828</v>
      </c>
      <c r="RW31" s="5619" t="s">
        <v>1829</v>
      </c>
      <c r="RX31" s="5619" t="s">
        <v>1830</v>
      </c>
      <c r="RY31" s="5619" t="s">
        <v>1831</v>
      </c>
      <c r="RZ31" s="5619" t="s">
        <v>1832</v>
      </c>
      <c r="SA31" s="5619" t="s">
        <v>1833</v>
      </c>
      <c r="SB31" s="5619" t="s">
        <v>1834</v>
      </c>
      <c r="SC31" s="5619" t="s">
        <v>1835</v>
      </c>
      <c r="SD31" s="5619" t="s">
        <v>1836</v>
      </c>
      <c r="SE31" s="5619" t="s">
        <v>1837</v>
      </c>
      <c r="SF31" s="5619" t="s">
        <v>1838</v>
      </c>
      <c r="SG31" s="5619" t="s">
        <v>1839</v>
      </c>
      <c r="SH31" s="5619" t="s">
        <v>1840</v>
      </c>
      <c r="SI31" s="5619" t="s">
        <v>1841</v>
      </c>
      <c r="SJ31" s="5619" t="s">
        <v>1842</v>
      </c>
      <c r="SK31" s="5619" t="s">
        <v>1843</v>
      </c>
      <c r="SL31" s="5619" t="s">
        <v>1844</v>
      </c>
      <c r="SM31" s="5619" t="s">
        <v>1845</v>
      </c>
      <c r="SN31" s="5619" t="s">
        <v>1846</v>
      </c>
      <c r="SO31" s="5619" t="s">
        <v>1847</v>
      </c>
      <c r="SP31" s="5619" t="s">
        <v>1848</v>
      </c>
      <c r="SQ31" s="5619" t="s">
        <v>1849</v>
      </c>
      <c r="SR31" s="5695" t="s">
        <v>2012</v>
      </c>
      <c r="SS31" s="5619" t="s">
        <v>1815</v>
      </c>
      <c r="ST31" s="5619" t="s">
        <v>1816</v>
      </c>
      <c r="SU31" s="5619" t="s">
        <v>1817</v>
      </c>
      <c r="SV31" s="5619" t="s">
        <v>1818</v>
      </c>
      <c r="SW31" s="5619" t="s">
        <v>1819</v>
      </c>
      <c r="SX31" s="5619" t="s">
        <v>1820</v>
      </c>
      <c r="SY31" s="5619" t="s">
        <v>1821</v>
      </c>
      <c r="SZ31" s="5619" t="s">
        <v>1822</v>
      </c>
      <c r="TA31" s="5619" t="s">
        <v>1823</v>
      </c>
      <c r="TB31" s="5619" t="s">
        <v>1686</v>
      </c>
      <c r="TC31" s="5619" t="s">
        <v>1687</v>
      </c>
      <c r="TD31" s="5619" t="s">
        <v>1688</v>
      </c>
      <c r="TE31" s="5619" t="s">
        <v>1689</v>
      </c>
      <c r="TF31" s="5619" t="s">
        <v>1690</v>
      </c>
      <c r="TG31" s="5619" t="s">
        <v>1691</v>
      </c>
      <c r="TH31" s="5619" t="s">
        <v>1812</v>
      </c>
      <c r="TI31" s="5619" t="s">
        <v>1813</v>
      </c>
      <c r="TJ31" s="5619" t="s">
        <v>1814</v>
      </c>
      <c r="TK31" s="5677" t="s">
        <v>1068</v>
      </c>
      <c r="TL31" s="5677" t="s">
        <v>2236</v>
      </c>
      <c r="TM31" s="5677" t="s">
        <v>2244</v>
      </c>
      <c r="TN31" s="5677" t="s">
        <v>1088</v>
      </c>
      <c r="TO31" s="5677" t="s">
        <v>1096</v>
      </c>
      <c r="TP31" s="5677" t="s">
        <v>1104</v>
      </c>
      <c r="TQ31" s="5677" t="s">
        <v>1105</v>
      </c>
      <c r="TR31" s="5677" t="s">
        <v>2237</v>
      </c>
      <c r="TS31" s="5677" t="s">
        <v>2245</v>
      </c>
      <c r="TT31" s="5677" t="s">
        <v>1089</v>
      </c>
      <c r="TU31" s="5677" t="s">
        <v>1097</v>
      </c>
      <c r="TV31" s="5677" t="s">
        <v>1108</v>
      </c>
      <c r="TW31" s="5677" t="s">
        <v>1109</v>
      </c>
      <c r="TX31" s="5677" t="s">
        <v>2238</v>
      </c>
      <c r="TY31" s="5677" t="s">
        <v>2246</v>
      </c>
      <c r="TZ31" s="5677" t="s">
        <v>1090</v>
      </c>
      <c r="UA31" s="5677" t="s">
        <v>1098</v>
      </c>
      <c r="UB31" s="5677" t="s">
        <v>1110</v>
      </c>
      <c r="UC31" s="5677" t="s">
        <v>1111</v>
      </c>
      <c r="UD31" s="5677" t="s">
        <v>2239</v>
      </c>
      <c r="UE31" s="5677" t="s">
        <v>2247</v>
      </c>
      <c r="UF31" s="5677" t="s">
        <v>1091</v>
      </c>
      <c r="UG31" s="5677" t="s">
        <v>1099</v>
      </c>
      <c r="UH31" s="5677" t="s">
        <v>1112</v>
      </c>
      <c r="UI31" s="5677" t="s">
        <v>1113</v>
      </c>
      <c r="UJ31" s="5677" t="s">
        <v>2240</v>
      </c>
      <c r="UK31" s="5677" t="s">
        <v>2248</v>
      </c>
      <c r="UL31" s="5677" t="s">
        <v>1092</v>
      </c>
      <c r="UM31" s="5677" t="s">
        <v>1100</v>
      </c>
      <c r="UN31" s="5677" t="s">
        <v>1114</v>
      </c>
      <c r="UO31" s="5677" t="s">
        <v>1115</v>
      </c>
      <c r="UP31" s="5677" t="s">
        <v>2241</v>
      </c>
      <c r="UQ31" s="5677" t="s">
        <v>2249</v>
      </c>
      <c r="UR31" s="5677" t="s">
        <v>1093</v>
      </c>
      <c r="US31" s="5677" t="s">
        <v>1101</v>
      </c>
      <c r="UT31" s="5677" t="s">
        <v>1118</v>
      </c>
      <c r="UU31" s="5677" t="s">
        <v>1119</v>
      </c>
      <c r="UV31" s="5677" t="s">
        <v>2242</v>
      </c>
      <c r="UW31" s="5677" t="s">
        <v>2250</v>
      </c>
      <c r="UX31" s="5677" t="s">
        <v>1094</v>
      </c>
      <c r="UY31" s="5677" t="s">
        <v>1102</v>
      </c>
      <c r="UZ31" s="5677" t="s">
        <v>1116</v>
      </c>
      <c r="VA31" s="5677" t="s">
        <v>1117</v>
      </c>
      <c r="VB31" s="5677" t="s">
        <v>2243</v>
      </c>
      <c r="VC31" s="5677" t="s">
        <v>2251</v>
      </c>
      <c r="VD31" s="5677" t="s">
        <v>1095</v>
      </c>
      <c r="VE31" s="5677" t="s">
        <v>1103</v>
      </c>
      <c r="VF31" s="5677" t="s">
        <v>1120</v>
      </c>
      <c r="VG31" s="5677" t="s">
        <v>1121</v>
      </c>
      <c r="VH31" s="5677" t="s">
        <v>2029</v>
      </c>
      <c r="VI31" s="5677" t="s">
        <v>2030</v>
      </c>
      <c r="VJ31" s="5677" t="s">
        <v>2031</v>
      </c>
      <c r="VK31" s="5619" t="s">
        <v>2603</v>
      </c>
      <c r="VL31" s="5619" t="s">
        <v>2604</v>
      </c>
      <c r="VM31" s="5619" t="s">
        <v>2605</v>
      </c>
      <c r="VN31" s="5619" t="s">
        <v>2606</v>
      </c>
      <c r="VO31" s="5619" t="s">
        <v>2607</v>
      </c>
      <c r="VP31" s="5619" t="s">
        <v>2608</v>
      </c>
      <c r="VQ31" s="5619" t="s">
        <v>2609</v>
      </c>
      <c r="VR31" s="5619" t="s">
        <v>2610</v>
      </c>
      <c r="VS31" s="5619" t="s">
        <v>2611</v>
      </c>
      <c r="VT31" s="5619" t="s">
        <v>2612</v>
      </c>
      <c r="VU31" s="5619" t="s">
        <v>2613</v>
      </c>
      <c r="VV31" s="5619" t="s">
        <v>2614</v>
      </c>
      <c r="VW31" s="5619" t="s">
        <v>2615</v>
      </c>
      <c r="VX31" s="5619" t="s">
        <v>2616</v>
      </c>
      <c r="VY31" s="5619" t="s">
        <v>2617</v>
      </c>
      <c r="VZ31" s="5619" t="s">
        <v>2618</v>
      </c>
      <c r="WA31" s="5696" t="s">
        <v>2619</v>
      </c>
      <c r="WB31" s="5677" t="s">
        <v>1854</v>
      </c>
      <c r="WC31" s="5677" t="s">
        <v>1862</v>
      </c>
      <c r="WD31" s="5677" t="s">
        <v>1855</v>
      </c>
      <c r="WE31" s="5677" t="s">
        <v>1863</v>
      </c>
      <c r="WF31" s="5677" t="s">
        <v>1856</v>
      </c>
      <c r="WG31" s="5677" t="s">
        <v>1864</v>
      </c>
      <c r="WH31" s="5677" t="s">
        <v>1857</v>
      </c>
      <c r="WI31" s="5677" t="s">
        <v>1865</v>
      </c>
      <c r="WJ31" s="5677" t="s">
        <v>1858</v>
      </c>
      <c r="WK31" s="5677" t="s">
        <v>1866</v>
      </c>
      <c r="WL31" s="5677" t="s">
        <v>1859</v>
      </c>
      <c r="WM31" s="5677" t="s">
        <v>1867</v>
      </c>
      <c r="WN31" s="5677" t="s">
        <v>1860</v>
      </c>
      <c r="WO31" s="5677" t="s">
        <v>1868</v>
      </c>
      <c r="WP31" s="5677" t="s">
        <v>1861</v>
      </c>
      <c r="WQ31" s="5677" t="s">
        <v>1869</v>
      </c>
      <c r="WR31" s="5677" t="s">
        <v>1401</v>
      </c>
      <c r="WS31" s="5677" t="s">
        <v>1409</v>
      </c>
      <c r="WT31" s="5677" t="s">
        <v>1402</v>
      </c>
      <c r="WU31" s="5677" t="s">
        <v>1410</v>
      </c>
      <c r="WV31" s="5677" t="s">
        <v>1403</v>
      </c>
      <c r="WW31" s="5677" t="s">
        <v>1411</v>
      </c>
      <c r="WX31" s="5677" t="s">
        <v>1404</v>
      </c>
      <c r="WY31" s="5677" t="s">
        <v>1412</v>
      </c>
      <c r="WZ31" s="5677" t="s">
        <v>1405</v>
      </c>
      <c r="XA31" s="5677" t="s">
        <v>1413</v>
      </c>
      <c r="XB31" s="5677" t="s">
        <v>1406</v>
      </c>
      <c r="XC31" s="5677" t="s">
        <v>1414</v>
      </c>
      <c r="XD31" s="5677" t="s">
        <v>1407</v>
      </c>
      <c r="XE31" s="5677" t="s">
        <v>1415</v>
      </c>
      <c r="XF31" s="5619" t="s">
        <v>1408</v>
      </c>
      <c r="XG31" s="5697" t="s">
        <v>1416</v>
      </c>
      <c r="XH31" s="5619" t="s">
        <v>1870</v>
      </c>
      <c r="XI31" s="5619" t="s">
        <v>1871</v>
      </c>
      <c r="XJ31" s="5619" t="s">
        <v>1891</v>
      </c>
      <c r="XK31" s="5619" t="s">
        <v>1892</v>
      </c>
      <c r="XL31" s="5619" t="s">
        <v>1893</v>
      </c>
      <c r="XM31" s="5619" t="s">
        <v>1894</v>
      </c>
      <c r="XN31" s="5619" t="s">
        <v>1895</v>
      </c>
      <c r="XO31" s="5619" t="s">
        <v>1896</v>
      </c>
      <c r="XP31" s="5619" t="s">
        <v>1897</v>
      </c>
      <c r="XQ31" s="5619" t="s">
        <v>1898</v>
      </c>
      <c r="XR31" s="5619" t="s">
        <v>1899</v>
      </c>
      <c r="XS31" s="5619" t="s">
        <v>1900</v>
      </c>
      <c r="XT31" s="5619" t="s">
        <v>1901</v>
      </c>
      <c r="XU31" s="5619" t="s">
        <v>1902</v>
      </c>
      <c r="XV31" s="5619" t="s">
        <v>1903</v>
      </c>
      <c r="XW31" s="5619" t="s">
        <v>1904</v>
      </c>
      <c r="XX31" s="5619" t="s">
        <v>1905</v>
      </c>
      <c r="XY31" s="5619" t="s">
        <v>1906</v>
      </c>
      <c r="XZ31" s="5619" t="s">
        <v>1907</v>
      </c>
      <c r="YA31" s="5619" t="s">
        <v>1908</v>
      </c>
      <c r="YB31" s="5619" t="s">
        <v>1909</v>
      </c>
      <c r="YC31" s="5619" t="s">
        <v>1910</v>
      </c>
      <c r="YD31" s="5619" t="s">
        <v>1911</v>
      </c>
      <c r="YE31" s="5619" t="s">
        <v>1912</v>
      </c>
      <c r="YF31" s="5619" t="s">
        <v>1913</v>
      </c>
      <c r="YG31" s="5619" t="s">
        <v>1914</v>
      </c>
      <c r="YH31" s="5619" t="s">
        <v>1915</v>
      </c>
      <c r="YI31" s="5619" t="s">
        <v>1916</v>
      </c>
      <c r="YJ31" s="5619" t="s">
        <v>1917</v>
      </c>
      <c r="YK31" s="5619" t="s">
        <v>1918</v>
      </c>
      <c r="YL31" s="5619" t="s">
        <v>1919</v>
      </c>
      <c r="YM31" s="5619" t="s">
        <v>1920</v>
      </c>
      <c r="YN31" s="5619" t="s">
        <v>1921</v>
      </c>
      <c r="YO31" s="5619" t="s">
        <v>1922</v>
      </c>
      <c r="YP31" s="5693" t="s">
        <v>1923</v>
      </c>
      <c r="YQ31" s="5693" t="s">
        <v>1924</v>
      </c>
      <c r="YR31" s="5619" t="s">
        <v>187</v>
      </c>
      <c r="YS31" s="5619" t="s">
        <v>2443</v>
      </c>
      <c r="YT31" s="5619" t="s">
        <v>2444</v>
      </c>
      <c r="YU31" s="5619" t="s">
        <v>2445</v>
      </c>
      <c r="YV31" s="5619" t="s">
        <v>2446</v>
      </c>
      <c r="YW31" s="5619" t="s">
        <v>2447</v>
      </c>
      <c r="YX31" s="5619" t="s">
        <v>2448</v>
      </c>
      <c r="YY31" s="5619" t="s">
        <v>2449</v>
      </c>
      <c r="YZ31" s="5619" t="s">
        <v>2450</v>
      </c>
      <c r="ZA31" s="5619" t="s">
        <v>2451</v>
      </c>
      <c r="ZB31" s="5619" t="s">
        <v>2452</v>
      </c>
      <c r="ZC31" s="5619" t="s">
        <v>2453</v>
      </c>
      <c r="ZD31" s="5619" t="s">
        <v>2454</v>
      </c>
      <c r="ZE31" s="5619" t="s">
        <v>2455</v>
      </c>
      <c r="ZF31" s="5619" t="s">
        <v>2456</v>
      </c>
      <c r="ZG31" s="5619" t="s">
        <v>2457</v>
      </c>
      <c r="ZH31" s="5619" t="s">
        <v>2458</v>
      </c>
      <c r="ZI31" s="5677" t="s">
        <v>2549</v>
      </c>
      <c r="ZJ31" s="5677" t="s">
        <v>2550</v>
      </c>
      <c r="ZK31" s="5677" t="s">
        <v>2551</v>
      </c>
      <c r="ZL31" s="5677" t="s">
        <v>2552</v>
      </c>
      <c r="ZM31" s="5677" t="s">
        <v>2553</v>
      </c>
      <c r="ZN31" s="2684"/>
      <c r="ZO31" s="2684"/>
      <c r="ZP31" s="2684"/>
      <c r="ZQ31" s="2684"/>
      <c r="ZR31" s="2684"/>
      <c r="ZS31" s="2684"/>
      <c r="ZT31" s="2684"/>
      <c r="ZU31" s="2684"/>
      <c r="ZV31" s="2684"/>
      <c r="ZW31" s="2684"/>
      <c r="ZX31" s="2684"/>
      <c r="ZY31" s="2684"/>
      <c r="ZZ31" s="2684"/>
      <c r="AAA31" s="2684"/>
      <c r="AAB31" s="2684"/>
      <c r="AAC31" s="2684"/>
      <c r="AAD31" s="2684"/>
      <c r="AAE31" s="2684"/>
      <c r="AAF31" s="2684"/>
      <c r="AAG31" s="2684"/>
      <c r="AAH31" s="2684"/>
      <c r="AAI31" s="2684"/>
      <c r="AAJ31" s="2684"/>
      <c r="AAK31" s="2684"/>
      <c r="AAL31" s="2684"/>
      <c r="AAM31" s="2684"/>
      <c r="AAN31" s="2684"/>
      <c r="AAO31" s="2684"/>
      <c r="AAP31" s="2684"/>
      <c r="AAQ31" s="2684"/>
      <c r="AAR31" s="2684"/>
      <c r="AAS31" s="2684"/>
      <c r="AAT31" s="2684"/>
      <c r="AAU31" s="2684"/>
      <c r="AAV31" s="2622"/>
      <c r="AAX31" s="2622"/>
      <c r="AAY31" s="2622"/>
      <c r="AAZ31" s="2622"/>
      <c r="ABA31" s="2622"/>
      <c r="ABB31" s="2737"/>
      <c r="ABC31" s="2737"/>
      <c r="ABD31" s="2737"/>
      <c r="ABE31" s="2737"/>
      <c r="ABF31" s="2737"/>
      <c r="ABG31" s="2737"/>
      <c r="ABH31" s="2737"/>
      <c r="ABI31" s="2737"/>
      <c r="ABJ31" s="2622"/>
      <c r="ABK31" s="2622"/>
      <c r="ABL31" s="2737"/>
      <c r="ABM31" s="2737"/>
      <c r="ABN31" s="2737"/>
      <c r="ABO31" s="2737"/>
      <c r="ABP31" s="2737"/>
      <c r="ABQ31" s="2737"/>
      <c r="ABR31" s="2737"/>
      <c r="ABS31" s="2737"/>
      <c r="ABT31" s="2622"/>
      <c r="ABU31" s="2622"/>
      <c r="ABV31" s="2737"/>
      <c r="ABW31" s="2737"/>
      <c r="ABX31" s="2737"/>
      <c r="ABY31" s="2737"/>
      <c r="ABZ31" s="2737"/>
      <c r="ACA31" s="2737"/>
      <c r="ACB31" s="2737"/>
      <c r="ACC31" s="2737"/>
      <c r="ACD31" s="2737"/>
      <c r="ACE31" s="2622"/>
      <c r="ACF31" s="2737"/>
      <c r="ACG31" s="2737"/>
      <c r="ACH31" s="2737"/>
      <c r="ACI31" s="2737"/>
      <c r="ACJ31" s="2737"/>
      <c r="ACK31" s="2737"/>
      <c r="ACL31" s="2737"/>
      <c r="ACM31" s="2737"/>
      <c r="ACN31" s="2622"/>
      <c r="ACO31" s="2737"/>
      <c r="ACP31" s="2737"/>
      <c r="ACQ31" s="2737"/>
      <c r="ACR31" s="2737"/>
      <c r="ACS31" s="2737"/>
      <c r="ACT31" s="2737"/>
      <c r="ACU31" s="2737"/>
      <c r="ACV31" s="2737"/>
      <c r="ACW31" s="2622"/>
      <c r="ACX31" s="2737"/>
      <c r="ACY31" s="2737"/>
      <c r="ACZ31" s="2737"/>
      <c r="ADA31" s="2737"/>
      <c r="ADB31" s="2737"/>
      <c r="ADC31" s="2737"/>
      <c r="ADD31" s="2737"/>
      <c r="ADE31" s="2737"/>
      <c r="ADF31" s="2737"/>
      <c r="ADH31" s="2737"/>
      <c r="ADI31" s="2737"/>
      <c r="ADJ31" s="2737"/>
      <c r="ADK31" s="2737"/>
      <c r="ADL31" s="2737"/>
      <c r="ADM31" s="2737"/>
      <c r="ADN31" s="2737"/>
      <c r="ADO31" s="2737"/>
      <c r="ADQ31" s="2737"/>
      <c r="ADR31" s="2737"/>
      <c r="ADS31" s="2737"/>
      <c r="ADT31" s="2737"/>
      <c r="ADU31" s="2737"/>
      <c r="ADV31" s="2737"/>
      <c r="ADW31" s="2737"/>
      <c r="ADX31" s="2737"/>
      <c r="ADY31" s="2737"/>
      <c r="ADZ31" s="2737"/>
      <c r="AEA31" s="2737"/>
      <c r="AEB31" s="2737"/>
      <c r="AEC31" s="2737"/>
      <c r="AED31" s="2737"/>
      <c r="AEE31" s="2737"/>
      <c r="AEF31" s="2737"/>
      <c r="AEG31" s="2737"/>
      <c r="AEH31" s="2737"/>
      <c r="AEI31" s="2737"/>
      <c r="AEJ31" s="2737"/>
      <c r="AEK31" s="2737"/>
      <c r="AEL31" s="2737"/>
      <c r="AEM31" s="2737"/>
      <c r="AEN31" s="2737"/>
      <c r="AEO31" s="2737"/>
      <c r="AEP31" s="2737"/>
      <c r="AEQ31" s="2737"/>
      <c r="AER31" s="2737"/>
      <c r="AES31" s="2737"/>
      <c r="AET31" s="2737"/>
      <c r="AEU31" s="2737"/>
      <c r="AEV31" s="2737"/>
      <c r="AEW31" s="2737"/>
      <c r="AEX31" s="2737"/>
      <c r="AFG31" s="2737"/>
      <c r="AFP31" s="2737"/>
      <c r="AGI31" s="2737"/>
      <c r="AGN31" s="2622"/>
      <c r="AGR31" s="2737"/>
      <c r="AHB31" s="2737"/>
      <c r="AHJ31" s="2737"/>
      <c r="AHV31" s="2737"/>
      <c r="AHY31" s="2622"/>
      <c r="AII31" s="2622"/>
      <c r="AIJ31" s="2622"/>
      <c r="AIR31" s="2622"/>
      <c r="AIS31" s="2622"/>
      <c r="AJP31" s="2737"/>
      <c r="AKD31" s="2737"/>
      <c r="AKU31" s="2622"/>
      <c r="ALL31" s="2622"/>
      <c r="ALM31" s="2737"/>
      <c r="ALW31" s="2737"/>
      <c r="ALX31" s="2737"/>
      <c r="AMG31" s="2737"/>
      <c r="AOI31" s="2737"/>
      <c r="AOV31" s="4124"/>
      <c r="AOW31" s="5162"/>
      <c r="AOX31" s="5162"/>
      <c r="AOY31" s="5162"/>
      <c r="AOZ31" s="5162"/>
      <c r="APA31" s="5162"/>
      <c r="APB31" s="5162"/>
      <c r="APC31" s="5162"/>
      <c r="APD31" s="5162"/>
      <c r="APE31" s="5162"/>
      <c r="APT31" s="2737"/>
      <c r="AQE31" s="2622"/>
      <c r="ARE31" s="2622"/>
      <c r="ASA31" s="2622"/>
      <c r="ASJ31" s="2622"/>
      <c r="ASK31" s="2737"/>
      <c r="ASL31" s="2737"/>
      <c r="ASM31" s="2737"/>
      <c r="ASN31" s="2737"/>
      <c r="ASO31" s="2737"/>
      <c r="ASP31" s="2737"/>
      <c r="ASQ31" s="2737"/>
      <c r="ASR31" s="2737"/>
      <c r="ASS31" s="2737"/>
      <c r="ATA31" s="2622"/>
      <c r="ATB31" s="2622"/>
      <c r="ATC31" s="2622"/>
      <c r="ATD31" s="2622"/>
      <c r="ATE31" s="2622"/>
      <c r="ATF31" s="2622"/>
      <c r="ATG31" s="2622"/>
      <c r="ATH31" s="2622"/>
      <c r="ATI31" s="2622"/>
      <c r="ATJ31" s="2622"/>
      <c r="ATK31" s="2622"/>
      <c r="ATL31" s="3532" t="s">
        <v>1263</v>
      </c>
      <c r="ATM31" s="3530" t="str">
        <f>$ATL$14&amp;"_"&amp;ATL31</f>
        <v>Jern_Dobbeltspor</v>
      </c>
      <c r="ATN31" s="3433">
        <f>ATU31</f>
        <v>16.5</v>
      </c>
      <c r="ATO31" s="3447" t="e">
        <f>#REF!</f>
        <v>#REF!</v>
      </c>
      <c r="ATP31" s="3433"/>
      <c r="ATQ31" s="3612">
        <f>$ATM$49+$ATM$50*ATN31</f>
        <v>28.603000000000002</v>
      </c>
      <c r="ATR31" s="3451"/>
      <c r="ATS31" s="3433">
        <v>4.3859000000000004</v>
      </c>
      <c r="ATT31" s="3525">
        <f t="shared" ref="ATT31:ATT38" si="3">ATQ31-(ATS31*2)</f>
        <v>19.831200000000003</v>
      </c>
      <c r="ATU31" s="3449">
        <v>16.5</v>
      </c>
      <c r="ATV31" s="2622"/>
      <c r="ATW31" s="2622"/>
      <c r="ATX31" s="2622"/>
      <c r="ATY31" s="2617"/>
      <c r="ATZ31" s="3458"/>
      <c r="AUA31" s="3458"/>
      <c r="AUB31" s="3458"/>
      <c r="AUC31" s="3458"/>
      <c r="AUD31" s="3458"/>
      <c r="AUE31" s="3458"/>
      <c r="AUF31" s="3458"/>
      <c r="AUG31" s="3458"/>
      <c r="AUH31" s="3458"/>
      <c r="AUI31" s="3458"/>
      <c r="AUJ31" s="3458"/>
      <c r="AUK31" s="3458"/>
      <c r="AUL31" s="3458"/>
      <c r="AUM31" s="2617"/>
      <c r="AUN31" s="2617"/>
      <c r="AUO31" s="2617"/>
      <c r="AUP31" s="2617"/>
      <c r="AUQ31" s="2617"/>
      <c r="AUR31" s="2617"/>
      <c r="AUS31" s="2617"/>
      <c r="AUT31" s="2617"/>
      <c r="AUU31" s="2617"/>
      <c r="AUV31" s="2617"/>
      <c r="AUW31" s="2617"/>
      <c r="AUX31" s="2617"/>
      <c r="AUY31" s="2617"/>
      <c r="AUZ31" s="2617"/>
      <c r="AVA31" s="2617"/>
      <c r="AVB31" s="2617"/>
      <c r="AVC31" s="2617"/>
      <c r="AVD31" s="2617"/>
      <c r="AVE31" s="2617"/>
      <c r="AVF31" s="2617"/>
      <c r="AVG31" s="2617"/>
      <c r="AVH31" s="2617"/>
      <c r="AVI31" s="2617"/>
      <c r="AVJ31" s="2617"/>
      <c r="AVK31" s="2617"/>
      <c r="AVL31" s="2617"/>
      <c r="AVM31" s="2617"/>
      <c r="AVN31" s="2617"/>
      <c r="AVO31" s="2617"/>
      <c r="AVP31" s="3540"/>
      <c r="AVQ31" s="3540"/>
      <c r="AVR31" s="3540"/>
      <c r="AVS31" s="181"/>
      <c r="AVT31" s="181"/>
      <c r="AVU31" s="181"/>
      <c r="AVV31" s="181"/>
      <c r="AVW31" s="181"/>
      <c r="AVX31" s="181"/>
      <c r="AVY31" s="181"/>
      <c r="AVZ31" s="181"/>
      <c r="AWA31" s="181"/>
      <c r="AWB31" s="181"/>
      <c r="AWC31" s="181"/>
      <c r="AWD31" s="181"/>
      <c r="AWE31" s="181"/>
      <c r="AWF31" s="181"/>
      <c r="AWG31" s="181"/>
      <c r="AWH31" s="181"/>
      <c r="AWI31" s="181"/>
      <c r="AWJ31" s="181"/>
      <c r="AWK31" s="181"/>
      <c r="AWL31" s="181"/>
      <c r="AWM31" s="181"/>
      <c r="AWN31" s="181"/>
      <c r="AWO31" s="181"/>
      <c r="AWP31" s="3540"/>
      <c r="AWQ31" s="3540"/>
      <c r="AWR31" s="181"/>
      <c r="AWS31" s="2617"/>
      <c r="AWT31" s="2617"/>
      <c r="AWU31" s="2617"/>
      <c r="AWV31" s="2617"/>
      <c r="AWW31" s="2617"/>
      <c r="AWX31" s="2617"/>
      <c r="AWY31" s="1271" t="s">
        <v>1526</v>
      </c>
      <c r="AWZ31" s="3629"/>
      <c r="AXA31" s="3629"/>
      <c r="AXB31" s="3623"/>
      <c r="AXC31" s="2617"/>
      <c r="AXD31" s="2617"/>
      <c r="AXE31" s="2617"/>
      <c r="AXF31" s="2617"/>
      <c r="AXG31" s="2617"/>
      <c r="AXH31" s="2617"/>
      <c r="AXI31" s="2617"/>
      <c r="AXJ31" s="2617"/>
      <c r="AXK31" s="2617"/>
      <c r="AYW31" s="2622"/>
      <c r="AYX31" s="2622"/>
      <c r="AYY31" s="2622"/>
      <c r="AYZ31" s="2622"/>
      <c r="AZA31" s="2622"/>
      <c r="AZB31" s="2622"/>
      <c r="AZC31" s="2622"/>
      <c r="AZD31" s="2622"/>
      <c r="AZE31" s="2622"/>
      <c r="AZF31" s="2622"/>
      <c r="AZG31" s="2622"/>
      <c r="AZH31" s="2622"/>
      <c r="AZI31" s="2622"/>
      <c r="AZJ31" s="2622"/>
      <c r="AZK31" s="2622"/>
      <c r="AZL31" s="2622"/>
      <c r="AZM31" s="2622"/>
      <c r="AZN31" s="2622"/>
      <c r="AZO31" s="2622"/>
      <c r="AZP31" s="2622"/>
      <c r="AZQ31" s="2622"/>
      <c r="AZR31" s="2622"/>
      <c r="AZS31" s="2622"/>
      <c r="AZT31" s="2622"/>
      <c r="AZU31" s="2622"/>
      <c r="AZV31" s="2622"/>
      <c r="AZZ31" s="2622"/>
      <c r="BAA31" s="2971" t="s">
        <v>884</v>
      </c>
      <c r="BAC31" s="2622"/>
      <c r="BAD31" s="2622"/>
      <c r="BAE31" s="2622"/>
      <c r="BAF31" s="2622"/>
      <c r="BAG31" s="2622"/>
      <c r="BAH31" s="2622"/>
      <c r="BAI31" s="2622"/>
      <c r="BAJ31" s="2622"/>
      <c r="BAP31" s="2622"/>
      <c r="BAQ31" s="2622"/>
      <c r="BAR31" s="2622"/>
      <c r="BAU31" s="2622"/>
      <c r="BAV31" s="2622"/>
      <c r="BAW31" s="2622"/>
      <c r="BAX31" s="2622"/>
      <c r="BAY31" s="2622"/>
      <c r="BAZ31" s="2622"/>
      <c r="BBA31" s="2622"/>
      <c r="BBB31" s="2622"/>
      <c r="BBC31" s="2622"/>
      <c r="BBD31" s="2622"/>
      <c r="BBE31" s="2622"/>
      <c r="BBF31" s="2622"/>
      <c r="BBG31" s="2622"/>
      <c r="BBH31" s="2622"/>
      <c r="BBI31" s="2622"/>
      <c r="BBL31" s="2622"/>
      <c r="BBR31" s="3398"/>
      <c r="BCJ31" s="2617"/>
      <c r="BCK31" s="2617"/>
      <c r="BCL31" s="2617"/>
      <c r="BCM31" s="2617"/>
      <c r="BCN31" s="2617"/>
      <c r="BCO31" s="2617"/>
      <c r="BCP31" s="2617"/>
      <c r="BCQ31" s="2617"/>
      <c r="BCR31" s="2617"/>
      <c r="BCS31" s="2617"/>
      <c r="BCT31" s="2617"/>
      <c r="BCU31" s="2617"/>
      <c r="BCV31" s="2617"/>
      <c r="BCW31" s="2617"/>
      <c r="BCX31" s="2617"/>
      <c r="BCY31" s="2617"/>
      <c r="BCZ31" s="2617"/>
      <c r="BDA31" s="2617"/>
      <c r="BDB31" s="2617"/>
      <c r="BDC31" s="2617"/>
      <c r="BDD31" s="2617"/>
      <c r="BDE31" s="2617"/>
      <c r="BDF31" s="2617"/>
      <c r="BDG31" s="2617"/>
      <c r="BDH31" s="2617"/>
      <c r="BDI31" s="2617"/>
      <c r="BDL31" s="2617"/>
      <c r="BDM31" s="2617"/>
      <c r="BDN31" s="2617"/>
      <c r="BDO31" s="2617"/>
      <c r="BDP31" s="2617"/>
      <c r="BDQ31" s="2617"/>
      <c r="BDR31" s="2617"/>
      <c r="BDS31" s="2617"/>
      <c r="BDT31" s="2617"/>
      <c r="BDU31" s="2617"/>
      <c r="BDV31" s="2617"/>
      <c r="BDW31" s="2617"/>
      <c r="BDZ31" s="2617"/>
      <c r="BEA31" s="2617"/>
      <c r="BEB31" s="2617"/>
      <c r="BEC31" s="2617"/>
      <c r="BED31" s="2617"/>
      <c r="BEE31" s="2617"/>
      <c r="BEH31" s="2617"/>
    </row>
    <row r="32" spans="1:1490" s="2625" customFormat="1" ht="17.25" customHeight="1" x14ac:dyDescent="0.3">
      <c r="A32" s="3458"/>
      <c r="G32" s="3458"/>
      <c r="H32" s="3458"/>
      <c r="I32" s="3458"/>
      <c r="J32" s="3458"/>
      <c r="K32" s="3458"/>
      <c r="L32" s="3458"/>
      <c r="M32" s="3458"/>
      <c r="N32" s="3458"/>
      <c r="O32" s="3458"/>
      <c r="Z32" s="3458"/>
      <c r="AA32" s="3458"/>
      <c r="AB32" s="3458"/>
      <c r="AC32" s="3458"/>
      <c r="AD32" s="3458"/>
      <c r="AE32" s="3458"/>
      <c r="AF32" s="3458"/>
      <c r="AG32" s="3458"/>
      <c r="AH32" s="183"/>
      <c r="AI32" s="183"/>
      <c r="AJ32" s="433" t="s">
        <v>1038</v>
      </c>
      <c r="AL32" s="2685"/>
      <c r="AN32" s="2689"/>
      <c r="AQ32" s="2626"/>
      <c r="AR32" s="2626"/>
      <c r="AS32" s="2626"/>
      <c r="AT32" s="2626"/>
      <c r="AU32" s="235">
        <v>6</v>
      </c>
      <c r="AV32" s="185">
        <f>'!INN_SK'!$BN$55</f>
        <v>0</v>
      </c>
      <c r="AW32" s="185">
        <f>'!INN_SK'!$BN$57</f>
        <v>0</v>
      </c>
      <c r="AX32" s="185">
        <f>'!INN_SK'!$BN$64</f>
        <v>0</v>
      </c>
      <c r="AY32" s="185">
        <f>'!INN_SK'!$BN$71</f>
        <v>0</v>
      </c>
      <c r="AZ32" s="185">
        <f>'!INN_SK'!$BN$78</f>
        <v>0</v>
      </c>
      <c r="BA32" s="185">
        <f>'!INN_SK'!$BN$80</f>
        <v>1000</v>
      </c>
      <c r="BB32" s="185">
        <f>'!INN_SK'!$BN$87</f>
        <v>0</v>
      </c>
      <c r="BC32" s="185">
        <f>'!INN_SK'!$BN$94</f>
        <v>200</v>
      </c>
      <c r="BD32" s="2640"/>
      <c r="BE32" s="2626"/>
      <c r="CG32" s="462" t="str">
        <f>_Calcs!$BD$67</f>
        <v>Hele tunnelen</v>
      </c>
      <c r="CH32" s="5844"/>
      <c r="CI32" s="1172">
        <f>IF(AI31=1,1,0)</f>
        <v>0</v>
      </c>
      <c r="CJ32" s="238">
        <f>IF(AI31=1,outputs_klasse_qty[[#This Row],[on/off]],0)</f>
        <v>0</v>
      </c>
      <c r="CK32" s="194"/>
      <c r="CL32" s="3453" t="e">
        <f t="shared" ref="CL32:CS32" si="4">AY107</f>
        <v>#VALUE!</v>
      </c>
      <c r="CM32" s="3453" t="e">
        <f t="shared" si="4"/>
        <v>#VALUE!</v>
      </c>
      <c r="CN32" s="3453" t="e">
        <f t="shared" si="4"/>
        <v>#VALUE!</v>
      </c>
      <c r="CO32" s="3453" t="e">
        <f t="shared" si="4"/>
        <v>#VALUE!</v>
      </c>
      <c r="CP32" s="3453" t="e">
        <f t="shared" si="4"/>
        <v>#VALUE!</v>
      </c>
      <c r="CQ32" s="3453" t="e">
        <f t="shared" si="4"/>
        <v>#VALUE!</v>
      </c>
      <c r="CR32" s="3453" t="e">
        <f t="shared" si="4"/>
        <v>#VALUE!</v>
      </c>
      <c r="CS32" s="3453" t="e">
        <f t="shared" si="4"/>
        <v>#VALUE!</v>
      </c>
      <c r="CT32" s="3453"/>
      <c r="CU32" s="3453"/>
      <c r="CV32" s="5712">
        <f>IF($AK$213=_List!$CX$6,$CV$28,IF($AK$213=_List!$CX$7,$CV$29,0))</f>
        <v>1</v>
      </c>
      <c r="CW32" s="3453">
        <f>IF(outputs_klasse_qty[[#This Row],[man_metode]]=1,$ABR$42)</f>
        <v>20</v>
      </c>
      <c r="CX32" s="3453">
        <f>IFERROR(IF(outputs_klasse_qty[[#This Row],[man_metode]]=1,outputs_klasse_qty[[#This Row],[man_a_rate]]*$BG107),0)</f>
        <v>0</v>
      </c>
      <c r="CY32" s="3453" t="e">
        <f>IF(outputs_klasse_qty[[#This Row],[man_metode]]=1,$ABR$43)</f>
        <v>#N/A</v>
      </c>
      <c r="CZ32" s="3453">
        <f>IFERROR(IF(outputs_klasse_qty[[#This Row],[man_metode]]=1,outputs_klasse_qty[[#This Row],[man_b_rate]]*$BH107),0)</f>
        <v>0</v>
      </c>
      <c r="DA32" s="3453" t="e">
        <f>IF(outputs_klasse_qty[[#This Row],[man_metode]]=1,$ABR$44)</f>
        <v>#N/A</v>
      </c>
      <c r="DB32" s="3453">
        <f>IFERROR(IF(outputs_klasse_qty[[#This Row],[man_metode]]=1,outputs_klasse_qty[[#This Row],[man_c_rate]]*$BI107),0)</f>
        <v>0</v>
      </c>
      <c r="DC32" s="3453" t="e">
        <f>IF(outputs_klasse_qty[[#This Row],[man_metode]]=1,$ABR$45)</f>
        <v>#N/A</v>
      </c>
      <c r="DD32" s="3453">
        <f>IFERROR(IF(outputs_klasse_qty[[#This Row],[man_metode]]=1,outputs_klasse_qty[[#This Row],[man_d_rate]]*$BJ107),0)</f>
        <v>0</v>
      </c>
      <c r="DE32" s="3453" t="e">
        <f>IF(outputs_klasse_qty[[#This Row],[man_metode]]=1,$ABR$46)</f>
        <v>#N/A</v>
      </c>
      <c r="DF32" s="3453">
        <f>IFERROR(IF(outputs_klasse_qty[[#This Row],[man_metode]]=1,outputs_klasse_qty[[#This Row],[man_e1_rate]]*$BK107),0)</f>
        <v>0</v>
      </c>
      <c r="DG32" s="3453" t="e">
        <f>IF(outputs_klasse_qty[[#This Row],[man_metode]]=1,$ABR$47)</f>
        <v>#N/A</v>
      </c>
      <c r="DH32" s="3453">
        <f>IFERROR(IF(outputs_klasse_qty[[#This Row],[man_metode]]=1,outputs_klasse_qty[[#This Row],[man_e2_rate]]*$BL107),0)</f>
        <v>0</v>
      </c>
      <c r="DI32" s="3453" t="e">
        <f>IF(outputs_klasse_qty[[#This Row],[man_metode]]=1,$ABR$48)</f>
        <v>#N/A</v>
      </c>
      <c r="DJ32" s="3453">
        <f>IFERROR(IF(outputs_klasse_qty[[#This Row],[man_metode]]=1,outputs_klasse_qty[[#This Row],[man_f_rate]]*$BM107),0)</f>
        <v>0</v>
      </c>
      <c r="DK32" s="3453" t="e">
        <f>IF(outputs_klasse_qty[[#This Row],[man_metode]]=1,$ABR$49)</f>
        <v>#N/A</v>
      </c>
      <c r="DL32" s="3453">
        <f>IFERROR(IF(outputs_klasse_qty[[#This Row],[man_metode]]=1,outputs_klasse_qty[[#This Row],[man_g_rate]]*$BN107),0)</f>
        <v>0</v>
      </c>
      <c r="DM32"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2" s="5712">
        <v>1</v>
      </c>
      <c r="DO32" s="3453" t="e">
        <f>IF(outputs_klasse_qty[[#This Row],[kartlegg_metode]]=1,$ACB$42)</f>
        <v>#N/A</v>
      </c>
      <c r="DP32" s="3453">
        <f>IFERROR(IF(outputs_klasse_qty[[#This Row],[kartlegg_metode]]=1,outputs_klasse_qty[[#This Row],[kartlegg_a_rate]]*$BG107),0)</f>
        <v>0</v>
      </c>
      <c r="DQ32" s="3453" t="e">
        <f>IF(outputs_klasse_qty[[#This Row],[kartlegg_metode]]=1,$ACB$43)</f>
        <v>#N/A</v>
      </c>
      <c r="DR32" s="3453">
        <f>IFERROR(IF(outputs_klasse_qty[[#This Row],[kartlegg_metode]]=1,outputs_klasse_qty[[#This Row],[kartlegg_b_rate]]*$BH107),0)</f>
        <v>0</v>
      </c>
      <c r="DS32" s="3453" t="e">
        <f>IF(outputs_klasse_qty[[#This Row],[kartlegg_metode]]=1,$ACB$44)</f>
        <v>#N/A</v>
      </c>
      <c r="DT32" s="3453">
        <f>IFERROR(IF(outputs_klasse_qty[[#This Row],[kartlegg_metode]]=1,outputs_klasse_qty[[#This Row],[kartlegg_c_rate]]*$BI107),0)</f>
        <v>0</v>
      </c>
      <c r="DU32" s="3453" t="e">
        <f>IF(outputs_klasse_qty[[#This Row],[kartlegg_metode]]=1,$ACB$45)</f>
        <v>#N/A</v>
      </c>
      <c r="DV32" s="3453">
        <f>IFERROR(IF(outputs_klasse_qty[[#This Row],[kartlegg_metode]]=1,outputs_klasse_qty[[#This Row],[kartlegg_d_rate]]*$BJ107),0)</f>
        <v>0</v>
      </c>
      <c r="DW32" s="3453" t="e">
        <f>IF(outputs_klasse_qty[[#This Row],[kartlegg_metode]]=1,$ACB$46)</f>
        <v>#N/A</v>
      </c>
      <c r="DX32" s="3453">
        <f>IFERROR(IF(outputs_klasse_qty[[#This Row],[kartlegg_metode]]=1,outputs_klasse_qty[[#This Row],[kartlegg_e1_rate]]*$BK107),0)</f>
        <v>0</v>
      </c>
      <c r="DY32" s="3453" t="e">
        <f>IF(outputs_klasse_qty[[#This Row],[kartlegg_metode]]=1,$ACB$47)</f>
        <v>#N/A</v>
      </c>
      <c r="DZ32" s="3453">
        <f>IFERROR(IF(outputs_klasse_qty[[#This Row],[kartlegg_metode]]=1,outputs_klasse_qty[[#This Row],[kartlegg_e2_rate]]*$BL107),0)</f>
        <v>0</v>
      </c>
      <c r="EA32" s="3453" t="e">
        <f>IF(outputs_klasse_qty[[#This Row],[kartlegg_metode]]=1,$ACB$48)</f>
        <v>#N/A</v>
      </c>
      <c r="EB32" s="3453">
        <f>IFERROR(IF(outputs_klasse_qty[[#This Row],[kartlegg_metode]]=1,outputs_klasse_qty[[#This Row],[kartlegg_f_rate]]*$BM107),0)</f>
        <v>0</v>
      </c>
      <c r="EC32" s="3453" t="e">
        <f>IF(outputs_klasse_qty[[#This Row],[kartlegg_metode]]=1,$ACB$49)</f>
        <v>#N/A</v>
      </c>
      <c r="ED32" s="3453">
        <f>IFERROR(IF(outputs_klasse_qty[[#This Row],[kartlegg_metode]]=1,outputs_klasse_qty[[#This Row],[kartlegg_g_rate]]*$BN107),0)</f>
        <v>0</v>
      </c>
      <c r="EE32"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2" s="5712">
        <f>IF($AK$215=_List!$DA$6,$EF$28,IF($AK$215=_List!$DA$7,$EF$29,0))</f>
        <v>1</v>
      </c>
      <c r="EG32" s="3453" t="e">
        <f>$ACL$42</f>
        <v>#N/A</v>
      </c>
      <c r="EH32" s="5719">
        <f>IFERROR(($AY84*$AI$46)/(outputs_klasse_qty[[#This Row],[bolt_veder_a_rate]]^2),0)</f>
        <v>0</v>
      </c>
      <c r="EI32" s="3453" t="e">
        <f>$ACL$43</f>
        <v>#N/A</v>
      </c>
      <c r="EJ32" s="5719">
        <f>IFERROR(($AZ84*$AI$46)/(outputs_klasse_qty[[#This Row],[bolt_veder_b_rate]]^2),0)</f>
        <v>0</v>
      </c>
      <c r="EK32" s="3453" t="e">
        <f>$ACL$44</f>
        <v>#N/A</v>
      </c>
      <c r="EL32" s="5719">
        <f>IFERROR(($BA84*$AI$46)/(outputs_klasse_qty[[#This Row],[bolt_veder_c_rate]]^2),0)</f>
        <v>0</v>
      </c>
      <c r="EM32" s="3453" t="e">
        <f>$ACL$45</f>
        <v>#N/A</v>
      </c>
      <c r="EN32" s="5719">
        <f>IFERROR(($BB84*$AI$46)/(outputs_klasse_qty[[#This Row],[bolt_veder_d_rate]]^2),0)</f>
        <v>0</v>
      </c>
      <c r="EO32" s="3453" t="e">
        <f>$ACL$46</f>
        <v>#N/A</v>
      </c>
      <c r="EP32" s="5719">
        <f>IFERROR(($BC84*$AI$46)/(outputs_klasse_qty[[#This Row],[bolt_veder_e1_rate]]^2),0)</f>
        <v>0</v>
      </c>
      <c r="EQ32" s="3453" t="e">
        <f>$ACL$47</f>
        <v>#N/A</v>
      </c>
      <c r="ER32" s="5719">
        <f>IFERROR(($BD84*$AI$46)/(outputs_klasse_qty[[#This Row],[bolt_veder_e2_rate]]^2),0)</f>
        <v>0</v>
      </c>
      <c r="ES32" s="3453" t="e">
        <f>$ACL$48</f>
        <v>#N/A</v>
      </c>
      <c r="ET32" s="5719">
        <f>IFERROR(($BE84*$AI$46)/(outputs_klasse_qty[[#This Row],[bolt_veder_f_rate]]^2),0)</f>
        <v>0</v>
      </c>
      <c r="EU32" s="3453" t="e">
        <f>$ACL$49</f>
        <v>#N/A</v>
      </c>
      <c r="EV32" s="5719">
        <f>IFERROR(($BF84*$AI$46)/(outputs_klasse_qty[[#This Row],[bolt_veder_g_rate]]^2),0)</f>
        <v>0</v>
      </c>
      <c r="EW32"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2" s="3453" t="e">
        <f>outputs_klasse_qty[[#This Row],[bolt_veder_a_output]]*$ACU$42</f>
        <v>#N/A</v>
      </c>
      <c r="EY32" s="3453" t="e">
        <f>outputs_klasse_qty[[#This Row],[bolt_veder_a_output]]*$ADD$42</f>
        <v>#N/A</v>
      </c>
      <c r="EZ32" s="3453" t="e">
        <f>outputs_klasse_qty[[#This Row],[bolt_veder_b_output]]*$ACU$43</f>
        <v>#N/A</v>
      </c>
      <c r="FA32" s="3453" t="e">
        <f>outputs_klasse_qty[[#This Row],[bolt_veder_b_output]]*$ADD$43</f>
        <v>#N/A</v>
      </c>
      <c r="FB32" s="3453" t="e">
        <f>outputs_klasse_qty[[#This Row],[bolt_veder_c_output]]*$ACU$44</f>
        <v>#N/A</v>
      </c>
      <c r="FC32" s="3453" t="e">
        <f>outputs_klasse_qty[[#This Row],[bolt_veder_c_output]]*$ADD$44</f>
        <v>#N/A</v>
      </c>
      <c r="FD32" s="3453" t="e">
        <f>outputs_klasse_qty[[#This Row],[bolt_veder_d_output]]*$ACU$45</f>
        <v>#N/A</v>
      </c>
      <c r="FE32" s="3453" t="e">
        <f>outputs_klasse_qty[[#This Row],[bolt_veder_d_output]]*$ADD$45</f>
        <v>#N/A</v>
      </c>
      <c r="FF32" s="3453" t="e">
        <f>outputs_klasse_qty[[#This Row],[bolt_veder_e1_output]]*$ACU$46</f>
        <v>#N/A</v>
      </c>
      <c r="FG32" s="3453" t="e">
        <f>outputs_klasse_qty[[#This Row],[bolt_veder_e1_output]]*$ADD$46</f>
        <v>#N/A</v>
      </c>
      <c r="FH32" s="3453" t="e">
        <f>outputs_klasse_qty[[#This Row],[bolt_veder_e2_output]]*$ACU$47</f>
        <v>#N/A</v>
      </c>
      <c r="FI32" s="3453" t="e">
        <f>outputs_klasse_qty[[#This Row],[bolt_veder_e2_output]]*$ADD$47</f>
        <v>#N/A</v>
      </c>
      <c r="FJ32" s="3453" t="e">
        <f>outputs_klasse_qty[[#This Row],[bolt_veder_f_output]]*$ACU$48</f>
        <v>#N/A</v>
      </c>
      <c r="FK32" s="3453" t="e">
        <f>outputs_klasse_qty[[#This Row],[bolt_veder_f_output]]*$ADD$48</f>
        <v>#N/A</v>
      </c>
      <c r="FL32" s="3453" t="e">
        <f>outputs_klasse_qty[[#This Row],[bolt_veder_g_output]]*$ACU$49</f>
        <v>#N/A</v>
      </c>
      <c r="FM32" s="3453" t="e">
        <f>outputs_klasse_qty[[#This Row],[bolt_veder_g_output]]*$ADD$49</f>
        <v>#N/A</v>
      </c>
      <c r="FN32"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2"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2" s="3453">
        <v>1</v>
      </c>
      <c r="FQ32" s="3453" t="e">
        <f>$ADN$42</f>
        <v>#N/A</v>
      </c>
      <c r="FR32" s="5854">
        <f>IFERROR(($AY84*$AI$42*2)/(outputs_klasse_qty[[#This Row],[bolt_vegg_a_rate]]^2),0)</f>
        <v>0</v>
      </c>
      <c r="FS32" s="3453" t="e">
        <f>$ADN$43</f>
        <v>#N/A</v>
      </c>
      <c r="FT32" s="5854">
        <f>IFERROR(($AZ84*$AI$42*2)/(outputs_klasse_qty[[#This Row],[bolt_vegg_b_rate]]^2),0)</f>
        <v>0</v>
      </c>
      <c r="FU32" s="3453" t="e">
        <f>$ADN$44</f>
        <v>#N/A</v>
      </c>
      <c r="FV32" s="5854">
        <f>IFERROR(($BA84*$AI$42*2)/(outputs_klasse_qty[[#This Row],[bolt_vegg_c_rate]]^2),0)</f>
        <v>0</v>
      </c>
      <c r="FW32" s="3453" t="e">
        <f>$ADN$45</f>
        <v>#N/A</v>
      </c>
      <c r="FX32" s="5854">
        <f>IFERROR(($BB84*$AI$42*2)/(outputs_klasse_qty[[#This Row],[bolt_vegg_d_rate]]^2),0)</f>
        <v>0</v>
      </c>
      <c r="FY32" s="3453" t="e">
        <f>$ADN$46</f>
        <v>#N/A</v>
      </c>
      <c r="FZ32" s="5854">
        <f>IFERROR(($BC84*$AI$42*2)/(outputs_klasse_qty[[#This Row],[bolt_vegg_e1_rate]]^2),0)</f>
        <v>0</v>
      </c>
      <c r="GA32" s="3453" t="e">
        <f>$ADN$47</f>
        <v>#N/A</v>
      </c>
      <c r="GB32" s="5854">
        <f>IFERROR(($BD84*$AI$42*2)/(outputs_klasse_qty[[#This Row],[bolt_vegg_e2_rate]]^2),0)</f>
        <v>0</v>
      </c>
      <c r="GC32" s="3453" t="e">
        <f>$ADN$48</f>
        <v>#N/A</v>
      </c>
      <c r="GD32" s="5854">
        <f>IFERROR(($BE84*$AI$42*2)/(outputs_klasse_qty[[#This Row],[bolt_vegg_f_rate]]^2),0)</f>
        <v>0</v>
      </c>
      <c r="GE32" s="3453" t="e">
        <f>$ADN$49</f>
        <v>#N/A</v>
      </c>
      <c r="GF32" s="5854">
        <f>IFERROR(($BF84*$AI$42*2)/(outputs_klasse_qty[[#This Row],[bolt_vegg_g_rate]]^2),0)</f>
        <v>0</v>
      </c>
      <c r="GG32"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2" s="3453" t="e">
        <f>outputs_klasse_qty[[#This Row],[bolt_vegg_a_output]]*$ADX$42</f>
        <v>#N/A</v>
      </c>
      <c r="GI32" s="3453" t="e">
        <f>outputs_klasse_qty[[#This Row],[bolt_vegg_a_output]]*$AEF$42</f>
        <v>#N/A</v>
      </c>
      <c r="GJ32" s="3453" t="e">
        <f>outputs_klasse_qty[[#This Row],[bolt_vegg_b_output]]*$ADX$43</f>
        <v>#N/A</v>
      </c>
      <c r="GK32" s="3453" t="e">
        <f>outputs_klasse_qty[[#This Row],[bolt_vegg_b_output]]*$AEF$43</f>
        <v>#N/A</v>
      </c>
      <c r="GL32" s="3453" t="e">
        <f>outputs_klasse_qty[[#This Row],[bolt_vegg_c_output]]*$ADX$44</f>
        <v>#N/A</v>
      </c>
      <c r="GM32" s="3453" t="e">
        <f>outputs_klasse_qty[[#This Row],[bolt_vegg_c_output]]*$AEF$44</f>
        <v>#N/A</v>
      </c>
      <c r="GN32" s="3453" t="e">
        <f>outputs_klasse_qty[[#This Row],[bolt_vegg_d_output]]*$ADX$45</f>
        <v>#N/A</v>
      </c>
      <c r="GO32" s="3453" t="e">
        <f>outputs_klasse_qty[[#This Row],[bolt_vegg_d_output]]*$AEF$45</f>
        <v>#N/A</v>
      </c>
      <c r="GP32" s="3453" t="e">
        <f>outputs_klasse_qty[[#This Row],[bolt_vegg_e1_output]]*$ADX$46</f>
        <v>#N/A</v>
      </c>
      <c r="GQ32" s="3453" t="e">
        <f>outputs_klasse_qty[[#This Row],[bolt_vegg_e1_output]]*$AEF$46</f>
        <v>#N/A</v>
      </c>
      <c r="GR32" s="3453" t="e">
        <f>outputs_klasse_qty[[#This Row],[bolt_vegg_e2_output]]*$ADX$47</f>
        <v>#N/A</v>
      </c>
      <c r="GS32" s="3453" t="e">
        <f>outputs_klasse_qty[[#This Row],[bolt_vegg_e2_output]]*$AEF$47</f>
        <v>#N/A</v>
      </c>
      <c r="GT32" s="3453" t="e">
        <f>outputs_klasse_qty[[#This Row],[bolt_vegg_f_output]]*$ADX$48</f>
        <v>#N/A</v>
      </c>
      <c r="GU32" s="3453" t="e">
        <f>outputs_klasse_qty[[#This Row],[bolt_vegg_f_output]]*$AEF$48</f>
        <v>#N/A</v>
      </c>
      <c r="GV32" s="3453" t="e">
        <f>outputs_klasse_qty[[#This Row],[bolt_vegg_g_output]]*$ADX$49</f>
        <v>#N/A</v>
      </c>
      <c r="GW32" s="3453" t="e">
        <f>outputs_klasse_qty[[#This Row],[bolt_vegg_g_output]]*$AEF$49</f>
        <v>#N/A</v>
      </c>
      <c r="GX32"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2"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2" s="5698" t="str">
        <f>IFERROR(outputs_klasse_qty[[#This Row],[bolt_veder_lt4_sum]]+outputs_klasse_qty[[#This Row],[bolt_vegg_lt4_sum]],"")</f>
        <v/>
      </c>
      <c r="HA32" s="5698" t="str">
        <f>IFERROR(outputs_klasse_qty[[#This Row],[bolt_veder_gt4_sum]]+outputs_klasse_qty[[#This Row],[bolt_vegg_gt4_sum]],"")</f>
        <v/>
      </c>
      <c r="HB32" s="3453"/>
      <c r="HC32" s="3453"/>
      <c r="HD32" s="3453"/>
      <c r="HE32" s="3453"/>
      <c r="HF32" s="3453"/>
      <c r="HG32" s="3453"/>
      <c r="HH32" s="3453"/>
      <c r="HI32" s="3453"/>
      <c r="HJ32" s="3453"/>
      <c r="HK32" s="3453"/>
      <c r="HL32" s="3453"/>
      <c r="HM32" s="3453"/>
      <c r="HN32" s="3453"/>
      <c r="HO32" s="3453"/>
      <c r="HP32" s="3453"/>
      <c r="HQ32" s="3453"/>
      <c r="HR32" s="5819" t="e">
        <f t="shared" ref="HR32:HR40" si="5">$APM$42</f>
        <v>#N/A</v>
      </c>
      <c r="HS32" s="5819">
        <f t="shared" ref="HS32:HS41" si="6">$AOV$42</f>
        <v>1</v>
      </c>
      <c r="HT32" s="5819">
        <f t="shared" ref="HT32:HT41" si="7">$APU$42</f>
        <v>5</v>
      </c>
      <c r="HU32" s="5855">
        <f>IFERROR(IF(outputs_klasse_qty[[#This Row],[forbolting_bueområde_a]]=_List!$DQ$7,_Calcs_Klasse!$AI$46*$BG107,IF(outputs_klasse_qty[[#This Row],[forbolting_bueområde_a]]=_List!$DQ$8,$AI$40*$BG107)),0)</f>
        <v>0</v>
      </c>
      <c r="HV32" s="5856" t="e">
        <f>IF(outputs_klasse_qty[[#This Row],[forbolting_bueområde_a]]=_List!$DQ$7,($AI$46*BG107)/outputs_klasse_qty[[#This Row],[forbolting_senteravstand_a]]*outputs_klasse_qty[[#This Row],[forbolting_andel_a]],IF(outputs_klasse_qty[[#This Row],[forbolting_bueområde_a]]=_List!$DQ$8,($AI$40*BG107)/outputs_klasse_qty[[#This Row],[forbolting_senteravstand_a]]*outputs_klasse_qty[[#This Row],[forbolting_andel_a]],0))</f>
        <v>#N/A</v>
      </c>
      <c r="HW32" s="5819" t="str">
        <f t="shared" ref="HW32:HW41" si="8">$APM$43</f>
        <v>Ingen</v>
      </c>
      <c r="HX32" s="5819">
        <f t="shared" ref="HX32:HX41" si="9">$AOV$43</f>
        <v>1</v>
      </c>
      <c r="HY32" s="5819" t="e">
        <f t="shared" ref="HY32:HY41" si="10">$APU$43</f>
        <v>#N/A</v>
      </c>
      <c r="HZ32" s="5855" t="b">
        <f>IFERROR(IF(outputs_klasse_qty[[#This Row],[forbolting_bueområde_b]]=_List!$DQ$7,_Calcs_Klasse!$AI$46*$BH107,IF(outputs_klasse_qty[[#This Row],[forbolting_bueområde_b]]=_List!$DQ$8,$AI$40*$BH107)),0)</f>
        <v>0</v>
      </c>
      <c r="IA32" s="5856">
        <f>IF(outputs_klasse_qty[[#This Row],[forbolting_bueområde_b]]=_List!$DQ$7,($AI$46*BH107)/outputs_klasse_qty[[#This Row],[forbolting_senteravstand_b]]*outputs_klasse_qty[[#This Row],[forbolting_andel_b]],IF(outputs_klasse_qty[[#This Row],[forbolting_bueområde_b]]=_List!$DQ$8,($AI$40*BH107)/outputs_klasse_qty[[#This Row],[forbolting_senteravstand_b]]*outputs_klasse_qty[[#This Row],[forbolting_andel_b]],0))</f>
        <v>0</v>
      </c>
      <c r="IB32" s="5819" t="str">
        <f t="shared" ref="IB32:IB41" si="11">$APM$44</f>
        <v>Ingen</v>
      </c>
      <c r="IC32" s="5819">
        <f t="shared" ref="IC32:IC41" si="12">$AOV$44</f>
        <v>1</v>
      </c>
      <c r="ID32" s="5819" t="e">
        <f t="shared" ref="ID32:ID41" si="13">$APU$44</f>
        <v>#N/A</v>
      </c>
      <c r="IE32" s="5855" t="b">
        <f>IFERROR(IF(outputs_klasse_qty[[#This Row],[forbolting_bueområde_c]]=_List!$DQ$7,_Calcs_Klasse!$AI$46*$BI107,IF(outputs_klasse_qty[[#This Row],[forbolting_bueområde_c]]=_List!$DQ$8,$AI$40*$BI107)),0)</f>
        <v>0</v>
      </c>
      <c r="IF32" s="5856">
        <f>IF(outputs_klasse_qty[[#This Row],[forbolting_bueområde_c]]=_List!$DQ$7,($AI$46*BI107)/outputs_klasse_qty[[#This Row],[forbolting_senteravstand_c]]*outputs_klasse_qty[[#This Row],[forbolting_andel_c]],IF(outputs_klasse_qty[[#This Row],[forbolting_bueområde_c]]=_List!$DQ$8,($AI$40*BI107)/outputs_klasse_qty[[#This Row],[forbolting_senteravstand_c]]*outputs_klasse_qty[[#This Row],[forbolting_andel_c]],0))</f>
        <v>0</v>
      </c>
      <c r="IG32" s="5819" t="e">
        <f t="shared" ref="IG32:IG41" si="14">$APM$45</f>
        <v>#N/A</v>
      </c>
      <c r="IH32" s="5819">
        <f t="shared" ref="IH32:IH41" si="15">$AOV$45</f>
        <v>1</v>
      </c>
      <c r="II32" s="5819">
        <f t="shared" ref="II32:II41" si="16">$APU$45</f>
        <v>0.5</v>
      </c>
      <c r="IJ32" s="5855">
        <f>IFERROR(IF(outputs_klasse_qty[[#This Row],[forbolting_bueområde_d]]=_List!$DQ$7,_Calcs_Klasse!$AI$46*$BJ107,IF(outputs_klasse_qty[[#This Row],[forbolting_bueområde_d]]=_List!$DQ$8,$AI$40*$BJ107)),0)</f>
        <v>0</v>
      </c>
      <c r="IK32" s="5856" t="e">
        <f>IF(outputs_klasse_qty[[#This Row],[forbolting_bueområde_d]]=_List!$DQ$7,($AI$46*BJ107)/outputs_klasse_qty[[#This Row],[forbolting_senteravstand_d]]*outputs_klasse_qty[[#This Row],[forbolting_andel_d]],IF(outputs_klasse_qty[[#This Row],[forbolting_bueområde_d]]=_List!$DQ$8,($AI$40*BJ107)/outputs_klasse_qty[[#This Row],[forbolting_senteravstand_d]]*outputs_klasse_qty[[#This Row],[forbolting_andel_d]],0))</f>
        <v>#N/A</v>
      </c>
      <c r="IL32" s="5819" t="e">
        <f t="shared" ref="IL32:IL41" si="17">$APM$46</f>
        <v>#N/A</v>
      </c>
      <c r="IM32" s="5819">
        <f t="shared" ref="IM32:IM41" si="18">$AOV$46</f>
        <v>1</v>
      </c>
      <c r="IN32" s="5819" t="e">
        <f t="shared" ref="IN32:IN41" si="19">$APU$46</f>
        <v>#N/A</v>
      </c>
      <c r="IO32" s="5855">
        <f>IFERROR(IF(outputs_klasse_qty[[#This Row],[forbolting_bueområde_e1]]=_List!$DQ$7,_Calcs_Klasse!$AI$46*$BK107,IF(outputs_klasse_qty[[#This Row],[forbolting_bueområde_e1]]=_List!$DQ$8,$AI$40*$BK107)),0)</f>
        <v>0</v>
      </c>
      <c r="IP32" s="5856" t="e">
        <f>IF(outputs_klasse_qty[[#This Row],[forbolting_bueområde_e1]]=_List!$DQ$7,($AI$46*BK107)/outputs_klasse_qty[[#This Row],[forbolting_senteravstand_e1]]*outputs_klasse_qty[[#This Row],[forbolting_andel_e1]],IF(outputs_klasse_qty[[#This Row],[forbolting_bueområde_e1]]=_List!$DQ$8,($AI$40*BK107)/outputs_klasse_qty[[#This Row],[forbolting_senteravstand_e1]]*outputs_klasse_qty[[#This Row],[forbolting_andel_e1]],0))</f>
        <v>#N/A</v>
      </c>
      <c r="IQ32" s="5819" t="e">
        <f t="shared" ref="IQ32:IQ41" si="20">$APM$47</f>
        <v>#N/A</v>
      </c>
      <c r="IR32" s="5819" t="e">
        <f t="shared" ref="IR32:IR41" si="21">$AOV$47</f>
        <v>#N/A</v>
      </c>
      <c r="IS32" s="5819" t="e">
        <f t="shared" ref="IS32:IS41" si="22">$APU$47</f>
        <v>#N/A</v>
      </c>
      <c r="IT32" s="5855">
        <f>IFERROR(IF(outputs_klasse_qty[[#This Row],[forbolting_bueområde_e2]]=_List!$DQ$7,_Calcs_Klasse!$AI$46*$BL107,IF(outputs_klasse_qty[[#This Row],[forbolting_bueområde_e2]]=_List!$DQ$8,$AI$40*$BL107)),0)</f>
        <v>0</v>
      </c>
      <c r="IU32" s="5856" t="e">
        <f>IF(outputs_klasse_qty[[#This Row],[forbolting_bueområde_e2]]=_List!$DQ$7,($AI$46*BL107)/outputs_klasse_qty[[#This Row],[forbolting_senteravstand_e2]]*outputs_klasse_qty[[#This Row],[forbolting_andel_e2]],IF(outputs_klasse_qty[[#This Row],[forbolting_bueområde_e2]]=_List!$DQ$8,($AI$40*BL107)/outputs_klasse_qty[[#This Row],[forbolting_senteravstand_e2]]*outputs_klasse_qty[[#This Row],[forbolting_andel_e2]],0))</f>
        <v>#N/A</v>
      </c>
      <c r="IV32" s="5819" t="e">
        <f t="shared" ref="IV32:IV41" si="23">$APM$48</f>
        <v>#N/A</v>
      </c>
      <c r="IW32" s="5819" t="e">
        <f t="shared" ref="IW32:IW41" si="24">$AOV$48</f>
        <v>#N/A</v>
      </c>
      <c r="IX32" s="5819" t="e">
        <f t="shared" ref="IX32:IX41" si="25">$APU$48</f>
        <v>#N/A</v>
      </c>
      <c r="IY32" s="5855">
        <f>IFERROR(IF(outputs_klasse_qty[[#This Row],[forbolting_bueområde_f]]=_List!$DQ$7,_Calcs_Klasse!$AI$46*$BM107,IF(outputs_klasse_qty[[#This Row],[forbolting_bueområde_f]]=_List!$DQ$8,$AI$40*$BM107)),0)</f>
        <v>0</v>
      </c>
      <c r="IZ32" s="5856" t="e">
        <f>IF(outputs_klasse_qty[[#This Row],[forbolting_bueområde_f]]=_List!$DQ$7,($AI$46*BM107)/outputs_klasse_qty[[#This Row],[forbolting_senteravstand_f]]*outputs_klasse_qty[[#This Row],[forbolting_andel_f]],IF(outputs_klasse_qty[[#This Row],[forbolting_bueområde_f]]=_List!$DQ$8,($AI$40*BM107)/outputs_klasse_qty[[#This Row],[forbolting_senteravstand_f]]*outputs_klasse_qty[[#This Row],[forbolting_andel_f]],0))</f>
        <v>#N/A</v>
      </c>
      <c r="JA32" s="5819" t="e">
        <f t="shared" ref="JA32:JA41" si="26">$APM$49</f>
        <v>#N/A</v>
      </c>
      <c r="JB32" s="5819" t="e">
        <f t="shared" ref="JB32:JB41" si="27">$AOV$49</f>
        <v>#N/A</v>
      </c>
      <c r="JC32" s="5819" t="e">
        <f t="shared" ref="JC32:JC41" si="28">$APU$49</f>
        <v>#N/A</v>
      </c>
      <c r="JD32" s="5855">
        <f>IFERROR(IF(outputs_klasse_qty[[#This Row],[forbolting_bueområde_g]]=_List!$DQ$7,_Calcs_Klasse!$AI$46*$BN107,IF(outputs_klasse_qty[[#This Row],[forbolting_bueområde_g]]=_List!$DQ$8,$AI$40*$BN107)),0)</f>
        <v>0</v>
      </c>
      <c r="JE32" s="5856" t="e">
        <f>IF(outputs_klasse_qty[[#This Row],[forbolting_bueområde_g]]=_List!$DQ$7,($AI$46*BN107)/outputs_klasse_qty[[#This Row],[forbolting_senteravstand_g]]*outputs_klasse_qty[[#This Row],[forbolting_andel_g]],IF(outputs_klasse_qty[[#This Row],[forbolting_bueområde_g]]=_List!$DQ$8,($AI$40*BN107)/outputs_klasse_qty[[#This Row],[forbolting_senteravstand_g]]*outputs_klasse_qty[[#This Row],[forbolting_andel_g]],0))</f>
        <v>#N/A</v>
      </c>
      <c r="JF32" s="3453">
        <f>IFERROR(outputs_klasse_qty[[#This Row],[forbolting_bolter_output_a]]*$AQC$42,0)</f>
        <v>0</v>
      </c>
      <c r="JG32" s="3453">
        <f>IFERROR(outputs_klasse_qty[[#This Row],[forbolting_bolter_output_a]]*$AQL$42,0)</f>
        <v>0</v>
      </c>
      <c r="JH32" s="3453">
        <f>IFERROR(outputs_klasse_qty[[#This Row],[forbolting_bolter_output_b]]*$AQC$43,0)</f>
        <v>0</v>
      </c>
      <c r="JI32" s="3453">
        <f>IFERROR(outputs_klasse_qty[[#This Row],[forbolting_bolter_output_b]]*$AQL$43,0)</f>
        <v>0</v>
      </c>
      <c r="JJ32" s="3453">
        <f>IFERROR(outputs_klasse_qty[[#This Row],[forbolting_bolter_output_c]]*$AQC$44,0)</f>
        <v>0</v>
      </c>
      <c r="JK32" s="3453">
        <f>IFERROR(outputs_klasse_qty[[#This Row],[forbolting_bolter_output_c]]*$AQL$44,0)</f>
        <v>0</v>
      </c>
      <c r="JL32" s="3453">
        <f>IFERROR(outputs_klasse_qty[[#This Row],[forbolting_bolter_output_d]]*$AQC$45,0)</f>
        <v>0</v>
      </c>
      <c r="JM32" s="3453">
        <f>IFERROR(outputs_klasse_qty[[#This Row],[forbolting_bolter_output_d]]*$AQL$45,0)</f>
        <v>0</v>
      </c>
      <c r="JN32" s="3453">
        <f>IFERROR(outputs_klasse_qty[[#This Row],[forbolting_bolter_output_e1]]*$AQC$46,0)</f>
        <v>0</v>
      </c>
      <c r="JO32" s="3453">
        <f>IFERROR(outputs_klasse_qty[[#This Row],[forbolting_bolter_output_e1]]*$AQL$46,0)</f>
        <v>0</v>
      </c>
      <c r="JP32" s="3453">
        <f>IFERROR(outputs_klasse_qty[[#This Row],[forbolting_bolter_output_e2]]*$AQC$47,0)</f>
        <v>0</v>
      </c>
      <c r="JQ32" s="3453">
        <f>IFERROR(outputs_klasse_qty[[#This Row],[forbolting_bolter_output_e2]]*$AQL$47,0)</f>
        <v>0</v>
      </c>
      <c r="JR32" s="3453">
        <f>IFERROR(outputs_klasse_qty[[#This Row],[forbolting_bolter_output_f]]*$AQC$48,0)</f>
        <v>0</v>
      </c>
      <c r="JS32" s="3453">
        <f>IFERROR(outputs_klasse_qty[[#This Row],[forbolting_bolter_output_f]]*$AQL$48,0)</f>
        <v>0</v>
      </c>
      <c r="JT32" s="3453">
        <f>IFERROR(outputs_klasse_qty[[#This Row],[forbolting_bolter_output_g]]*$AQC$49,0)</f>
        <v>0</v>
      </c>
      <c r="JU32" s="3453">
        <f>IFERROR(outputs_klasse_qty[[#This Row],[forbolting_bolter_output_g]]*$AQL$49,0)</f>
        <v>0</v>
      </c>
      <c r="JV32"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2"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2" s="5819" t="e">
        <f t="shared" ref="JX32:JX41" si="29">$AQU$42</f>
        <v>#N/A</v>
      </c>
      <c r="JY32" s="5856" t="e">
        <f>IF(outputs_klasse_qty[[#This Row],[forbolting_bueområde_a]]=_List!$DQ$7,($AI$46*BG107)/outputs_klasse_qty[[#This Row],[opphengbolter_senteravstand_a]]*outputs_klasse_qty[[#This Row],[forbolting_andel_a]],IF(outputs_klasse_qty[[#This Row],[forbolting_bueområde_a]]=_List!$DQ$8,($AI$40*BG107)/outputs_klasse_qty[[#This Row],[opphengbolter_senteravstand_a]]*outputs_klasse_qty[[#This Row],[forbolting_andel_a]],0))</f>
        <v>#N/A</v>
      </c>
      <c r="JZ32" s="5819" t="e">
        <f t="shared" ref="JZ32:JZ41" si="30">$AQU$43</f>
        <v>#N/A</v>
      </c>
      <c r="KA32" s="5856">
        <f>IF(outputs_klasse_qty[[#This Row],[forbolting_bueområde_b]]=_List!$DQ$7,($AI$46*BH107)/outputs_klasse_qty[[#This Row],[opphengbolter_senteravstand_b]]*outputs_klasse_qty[[#This Row],[forbolting_andel_b]],IF(outputs_klasse_qty[[#This Row],[forbolting_bueområde_b]]=_List!$DQ$8,($AI$40*BH107)/outputs_klasse_qty[[#This Row],[opphengbolter_senteravstand_b]]*outputs_klasse_qty[[#This Row],[forbolting_andel_b]],0))</f>
        <v>0</v>
      </c>
      <c r="KB32" s="5819" t="e">
        <f t="shared" ref="KB32:KB41" si="31">$AQU$44</f>
        <v>#N/A</v>
      </c>
      <c r="KC32" s="5856">
        <f>IF(outputs_klasse_qty[[#This Row],[forbolting_bueområde_c]]=_List!$DQ$7,($AI$46*BI107)/outputs_klasse_qty[[#This Row],[opphengbolter_senteravstand_c]]*outputs_klasse_qty[[#This Row],[forbolting_andel_c]],IF(outputs_klasse_qty[[#This Row],[forbolting_bueområde_c]]=_List!$DQ$8,($AI$40*BI107)/outputs_klasse_qty[[#This Row],[opphengbolter_senteravstand_c]]*outputs_klasse_qty[[#This Row],[forbolting_andel_c]],0))</f>
        <v>0</v>
      </c>
      <c r="KD32" s="5819" t="e">
        <f t="shared" ref="KD32:KD41" si="32">$AQU$45</f>
        <v>#N/A</v>
      </c>
      <c r="KE32" s="5856" t="e">
        <f>IF(outputs_klasse_qty[[#This Row],[forbolting_bueområde_d]]=_List!$DQ$7,($AI$46*BJ107)/outputs_klasse_qty[[#This Row],[opphengbolter_senteravstand_d]]*outputs_klasse_qty[[#This Row],[forbolting_andel_d]],IF(outputs_klasse_qty[[#This Row],[forbolting_bueområde_d]]=_List!$DQ$8,($AI$40*BJ107)/outputs_klasse_qty[[#This Row],[opphengbolter_senteravstand_d]]*outputs_klasse_qty[[#This Row],[forbolting_andel_d]],0))</f>
        <v>#N/A</v>
      </c>
      <c r="KF32" s="5819" t="e">
        <f t="shared" ref="KF32:KF41" si="33">$AQU$46</f>
        <v>#N/A</v>
      </c>
      <c r="KG32" s="5856" t="e">
        <f>IF(outputs_klasse_qty[[#This Row],[forbolting_bueområde_e1]]=_List!$DQ$7,($AI$46*BK107)/outputs_klasse_qty[[#This Row],[opphengbolter_senteravstand_e1]]*outputs_klasse_qty[[#This Row],[forbolting_andel_e1]],IF(outputs_klasse_qty[[#This Row],[forbolting_bueområde_e1]]=_List!$DQ$8,($AI$40*BK107)/outputs_klasse_qty[[#This Row],[opphengbolter_senteravstand_e1]]*outputs_klasse_qty[[#This Row],[forbolting_andel_e1]],0))</f>
        <v>#N/A</v>
      </c>
      <c r="KH32" s="5819" t="e">
        <f t="shared" ref="KH32:KH41" si="34">$AQU$47</f>
        <v>#N/A</v>
      </c>
      <c r="KI32" s="5856" t="e">
        <f>IF(outputs_klasse_qty[[#This Row],[forbolting_bueområde_e2]]=_List!$DQ$7,($AI$46*BL107)/outputs_klasse_qty[[#This Row],[opphengbolter_senteravstand_e2]]*outputs_klasse_qty[[#This Row],[forbolting_andel_e2]],IF(outputs_klasse_qty[[#This Row],[forbolting_bueområde_e2]]=_List!$DQ$8,($AI$40*BL107)/outputs_klasse_qty[[#This Row],[opphengbolter_senteravstand_e2]]*outputs_klasse_qty[[#This Row],[forbolting_andel_e2]],0))</f>
        <v>#N/A</v>
      </c>
      <c r="KJ32" s="5819" t="e">
        <f t="shared" ref="KJ32:KJ41" si="35">$AQU$48</f>
        <v>#N/A</v>
      </c>
      <c r="KK32" s="5856" t="e">
        <f>IF(outputs_klasse_qty[[#This Row],[forbolting_bueområde_f]]=_List!$DQ$7,($AI$46*BM107)/outputs_klasse_qty[[#This Row],[opphengbolter_senteravstand_f]]*outputs_klasse_qty[[#This Row],[forbolting_andel_f]],IF(outputs_klasse_qty[[#This Row],[forbolting_bueområde_f]]=_List!$DQ$8,($AI$40*BM107)/outputs_klasse_qty[[#This Row],[opphengbolter_senteravstand_f]]*outputs_klasse_qty[[#This Row],[forbolting_andel_f]],0))</f>
        <v>#N/A</v>
      </c>
      <c r="KL32" s="5819" t="e">
        <f t="shared" ref="KL32:KL41" si="36">$AQU$49</f>
        <v>#N/A</v>
      </c>
      <c r="KM32" s="5856" t="e">
        <f>IF(outputs_klasse_qty[[#This Row],[forbolting_bueområde_g]]=_List!$DQ$7,($AI$46*BN107)/outputs_klasse_qty[[#This Row],[opphengbolter_senteravstand_g]]*outputs_klasse_qty[[#This Row],[forbolting_andel_g]],IF(outputs_klasse_qty[[#This Row],[forbolting_bueområde_g]]=_List!$DQ$8,($AI$40*BN107)/outputs_klasse_qty[[#This Row],[opphengbolter_senteravstand_g]]*outputs_klasse_qty[[#This Row],[forbolting_andel_g]],0))</f>
        <v>#N/A</v>
      </c>
      <c r="KN32" s="5819">
        <f>IFERROR(outputs_klasse_qty[[#This Row],[opphengbolter_output_a]]*$ARC$42,0)</f>
        <v>0</v>
      </c>
      <c r="KO32" s="5819">
        <f>IFERROR(outputs_klasse_qty[[#This Row],[opphengbolter_output_a]]*$ARL$42,0)</f>
        <v>0</v>
      </c>
      <c r="KP32" s="5819">
        <f>IFERROR(outputs_klasse_qty[[#This Row],[opphengbolter_output_b]]*$ARC$43,0)</f>
        <v>0</v>
      </c>
      <c r="KQ32" s="5819">
        <f>IFERROR(outputs_klasse_qty[[#This Row],[opphengbolter_output_b]]*$ARL$43,0)</f>
        <v>0</v>
      </c>
      <c r="KR32" s="5819">
        <f>IFERROR(outputs_klasse_qty[[#This Row],[opphengbolter_output_c]]*$ARC$44,0)</f>
        <v>0</v>
      </c>
      <c r="KS32" s="5819">
        <f>IFERROR(outputs_klasse_qty[[#This Row],[opphengbolter_output_c]]*$ARL$44,0)</f>
        <v>0</v>
      </c>
      <c r="KT32" s="5819">
        <f>IFERROR(outputs_klasse_qty[[#This Row],[opphengbolter_output_d]]*$ARC$45,0)</f>
        <v>0</v>
      </c>
      <c r="KU32" s="5819">
        <f>IFERROR(outputs_klasse_qty[[#This Row],[opphengbolter_output_d]]*$ARL$45,0)</f>
        <v>0</v>
      </c>
      <c r="KV32" s="5819">
        <f>IFERROR(outputs_klasse_qty[[#This Row],[opphengbolter_output_e1]]*$ARC$46,0)</f>
        <v>0</v>
      </c>
      <c r="KW32" s="5819">
        <f>IFERROR(outputs_klasse_qty[[#This Row],[opphengbolter_output_e1]]*$ARL$46,0)</f>
        <v>0</v>
      </c>
      <c r="KX32" s="5819">
        <f>IFERROR(outputs_klasse_qty[[#This Row],[opphengbolter_output_e2]]*$ARC$47,0)</f>
        <v>0</v>
      </c>
      <c r="KY32" s="5819">
        <f>IFERROR(outputs_klasse_qty[[#This Row],[opphengbolter_output_e2]]*$ARL$47,0)</f>
        <v>0</v>
      </c>
      <c r="KZ32" s="5819">
        <f>IFERROR(outputs_klasse_qty[[#This Row],[opphengbolter_output_f]]*$ARC$48,0)</f>
        <v>0</v>
      </c>
      <c r="LA32" s="5819">
        <f>IFERROR(outputs_klasse_qty[[#This Row],[opphengbolter_output_f]]*$ARL$48,0)</f>
        <v>0</v>
      </c>
      <c r="LB32" s="5819">
        <f>IFERROR(outputs_klasse_qty[[#This Row],[opphengbolter_output_g]]*$ARC$49,0)</f>
        <v>0</v>
      </c>
      <c r="LC32" s="5819">
        <f>IFERROR(outputs_klasse_qty[[#This Row],[opphengbolter_output_g]]*$ARL$49,0)</f>
        <v>0</v>
      </c>
      <c r="LD32"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2"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2" s="5712" cm="1">
        <f t="array" ref="LF32">IF($AK$217=klasse_bånd[Method],$LF$28,IF($AK$217="",$LF$29,0))</f>
        <v>1</v>
      </c>
      <c r="LG32" s="3453">
        <f>IF($LF32=$LF$28,$AEZ$42,0)</f>
        <v>1.5</v>
      </c>
      <c r="LH32" s="3453">
        <f>IFERROR(outputs_klasse_qty[[#This Row],[bergbånd_langs_forbolting_a_rate]]*outputs_klasse_qty[[#This Row],[forbolting_bue_lengde_a]],0)</f>
        <v>0</v>
      </c>
      <c r="LI32" s="3453">
        <f>IF($LF32=$LF$28,$AEZ$43,0)</f>
        <v>2</v>
      </c>
      <c r="LJ32" s="3453">
        <f>IFERROR(outputs_klasse_qty[[#This Row],[bergbånd_langs_forbolting_b_rate]]*outputs_klasse_qty[[#This Row],[forbolting_bue_lengde_b]],0)</f>
        <v>0</v>
      </c>
      <c r="LK32" s="3453">
        <f>IF($LF32=$LF$28,$AEZ$44,0)</f>
        <v>2</v>
      </c>
      <c r="LL32" s="3453">
        <f>IFERROR(outputs_klasse_qty[[#This Row],[bergbånd_langs_forbolting_c_rate]]*outputs_klasse_qty[[#This Row],[forbolting_bue_lengde_c]],0)</f>
        <v>0</v>
      </c>
      <c r="LM32" s="3453">
        <f>IF($LF32=$LF$28,$AEZ$45,0)</f>
        <v>2</v>
      </c>
      <c r="LN32" s="3453">
        <f>IFERROR(outputs_klasse_qty[[#This Row],[bergbånd_langs_forbolting_d_rate]]*outputs_klasse_qty[[#This Row],[forbolting_bue_lengde_d]],0)</f>
        <v>0</v>
      </c>
      <c r="LO32" s="3453">
        <f>IF($LF32=$LF$28,$AEZ$46,0)</f>
        <v>2</v>
      </c>
      <c r="LP32" s="3453">
        <f>IFERROR(outputs_klasse_qty[[#This Row],[bergbånd_langs_forbolting_e1_rate]]*outputs_klasse_qty[[#This Row],[forbolting_bue_lengde_e1]],0)</f>
        <v>0</v>
      </c>
      <c r="LQ32" s="3453">
        <f>IF($LF32=$LF$28,$AEZ$47,0)</f>
        <v>2</v>
      </c>
      <c r="LR32" s="3453">
        <f>IFERROR(outputs_klasse_qty[[#This Row],[bergbånd_langs_forbolting_e2_rate]]*outputs_klasse_qty[[#This Row],[forbolting_bue_lengde_e2]],0)</f>
        <v>0</v>
      </c>
      <c r="LS32" s="3453" t="e">
        <f>IF($LF32=$LF$28,$AEZ$48,0)</f>
        <v>#N/A</v>
      </c>
      <c r="LT32" s="3453">
        <f>IFERROR(outputs_klasse_qty[[#This Row],[bergbånd_langs_forbolting_f_rate]]*outputs_klasse_qty[[#This Row],[forbolting_bue_lengde_f]],0)</f>
        <v>0</v>
      </c>
      <c r="LU32" s="3453" t="e">
        <f>IF($LF32=$LF$28,$AEZ$49,0)</f>
        <v>#N/A</v>
      </c>
      <c r="LV32" s="3453">
        <f>IFERROR(outputs_klasse_qty[[#This Row],[bergbånd_langs_forbolting_g_rate]]*outputs_klasse_qty[[#This Row],[forbolting_bue_lengde_g]],0)</f>
        <v>0</v>
      </c>
      <c r="LW32"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2" s="3453" t="e">
        <f t="shared" ref="LX32:LX41" si="37">$AFH$42</f>
        <v>#N/A</v>
      </c>
      <c r="LY32" s="5703">
        <f>IFERROR(outputs_klasse_qty[[#This Row],[bånd_ekstra_a_rate]]*$AY84,0)</f>
        <v>0</v>
      </c>
      <c r="LZ32" s="3453" t="e">
        <f t="shared" ref="LZ32:LZ41" si="38">$AFH$43</f>
        <v>#N/A</v>
      </c>
      <c r="MA32" s="5703">
        <f>IFERROR(outputs_klasse_qty[[#This Row],[bånd_ekstra_b_rate]]*$AZ84,0)</f>
        <v>0</v>
      </c>
      <c r="MB32" s="3453" t="e">
        <f t="shared" ref="MB32:MB41" si="39">$AFH$44</f>
        <v>#N/A</v>
      </c>
      <c r="MC32" s="5703">
        <f>IFERROR(outputs_klasse_qty[[#This Row],[bånd_ekstra_c_rate]]*$BA84,0)</f>
        <v>0</v>
      </c>
      <c r="MD32" s="3453" t="e">
        <f t="shared" ref="MD32:MD41" si="40">$AFH$45</f>
        <v>#N/A</v>
      </c>
      <c r="ME32" s="5703">
        <f>IFERROR(outputs_klasse_qty[[#This Row],[bånd_ekstra_d_rate]]*$BB84,0)</f>
        <v>0</v>
      </c>
      <c r="MF32" s="3453" t="e">
        <f t="shared" ref="MF32:MF41" si="41">$AFH$46</f>
        <v>#N/A</v>
      </c>
      <c r="MG32" s="5703">
        <f>IFERROR(outputs_klasse_qty[[#This Row],[bånd_ekstra_e1_rate]]*$BC84,0)</f>
        <v>0</v>
      </c>
      <c r="MH32" s="3453" t="e">
        <f t="shared" ref="MH32:MH41" si="42">$AFH$47</f>
        <v>#N/A</v>
      </c>
      <c r="MI32" s="5703">
        <f>IFERROR(outputs_klasse_qty[[#This Row],[bånd_ekstra_e2_rate]]*$BD84,0)</f>
        <v>0</v>
      </c>
      <c r="MJ32" s="3453" t="e">
        <f t="shared" ref="MJ32:MJ41" si="43">$AFH$48</f>
        <v>#N/A</v>
      </c>
      <c r="MK32" s="5703">
        <f>IFERROR(outputs_klasse_qty[[#This Row],[bånd_ekstra_f_rate]]*$BE84,0)</f>
        <v>0</v>
      </c>
      <c r="ML32" s="3453" t="e">
        <f t="shared" ref="ML32:ML41" si="44">$AFH$49</f>
        <v>#N/A</v>
      </c>
      <c r="MM32" s="5703">
        <f>IFERROR(outputs_klasse_qty[[#This Row],[bånd_ekstra_g_rate]]*$BF84,0)</f>
        <v>0</v>
      </c>
      <c r="MN32"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2" s="5705">
        <f>outputs_klasse_qty[[#This Row],[bergbånd_langs_forbolting_a_output]]+outputs_klasse_qty[[#This Row],[bånd_ekstra_a_output]]</f>
        <v>0</v>
      </c>
      <c r="MP32" s="5705">
        <f>outputs_klasse_qty[[#This Row],[bergbånd_langs_forbolting_b_output]]+outputs_klasse_qty[[#This Row],[bånd_ekstra_b_output]]</f>
        <v>0</v>
      </c>
      <c r="MQ32" s="5705">
        <f>outputs_klasse_qty[[#This Row],[bergbånd_langs_forbolting_c_output]]+outputs_klasse_qty[[#This Row],[bånd_ekstra_c_output]]</f>
        <v>0</v>
      </c>
      <c r="MR32" s="5705">
        <f>outputs_klasse_qty[[#This Row],[bergbånd_langs_forbolting_d_output]]+outputs_klasse_qty[[#This Row],[bånd_ekstra_d_output]]</f>
        <v>0</v>
      </c>
      <c r="MS32" s="5705">
        <f>outputs_klasse_qty[[#This Row],[bergbånd_langs_forbolting_e1_output]]+outputs_klasse_qty[[#This Row],[bånd_ekstra_e1_output]]</f>
        <v>0</v>
      </c>
      <c r="MT32" s="5705">
        <f>outputs_klasse_qty[[#This Row],[bergbånd_langs_forbolting_e2_output]]+outputs_klasse_qty[[#This Row],[bånd_ekstra_e2_output]]</f>
        <v>0</v>
      </c>
      <c r="MU32" s="5705">
        <f>outputs_klasse_qty[[#This Row],[bergbånd_langs_forbolting_f_output]]+outputs_klasse_qty[[#This Row],[bånd_ekstra_f_output]]</f>
        <v>0</v>
      </c>
      <c r="MV32" s="5705">
        <f>outputs_klasse_qty[[#This Row],[bergbånd_langs_forbolting_g_output]]+outputs_klasse_qty[[#This Row],[bånd_ekstra_g_output]]</f>
        <v>0</v>
      </c>
      <c r="MW32" s="5706">
        <f>SUM(outputs_klasse_qty[[#This Row],[bergbånd_sum_a]:[bergbånd_sum_g]])</f>
        <v>0</v>
      </c>
      <c r="MX32" s="3453" t="e">
        <f t="shared" ref="MX32:MX41" si="45">$AFP$42</f>
        <v>#N/A</v>
      </c>
      <c r="MY32" s="5707">
        <f>IFERROR(outputs_klasse_qty[[#This Row],[bergbånd_sum_a]]/outputs_klasse_qty[[#This Row],[festebolter_for_bergbånd_a_senteravstand]],0)</f>
        <v>0</v>
      </c>
      <c r="MZ32" s="3453" t="e">
        <f t="shared" ref="MZ32:MZ41" si="46">$AFP$43</f>
        <v>#N/A</v>
      </c>
      <c r="NA32" s="5707">
        <f>IFERROR(outputs_klasse_qty[[#This Row],[bergbånd_sum_b]]/outputs_klasse_qty[[#This Row],[festebolter_for_bergbånd_b_senteravstand]],0)</f>
        <v>0</v>
      </c>
      <c r="NB32" s="3453" t="e">
        <f t="shared" ref="NB32:NB41" si="47">$AFP$44</f>
        <v>#N/A</v>
      </c>
      <c r="NC32" s="5707">
        <f>IFERROR(outputs_klasse_qty[[#This Row],[bergbånd_sum_c]]/outputs_klasse_qty[[#This Row],[festebolter_for_bergbånd_c_senteravstand]],0)</f>
        <v>0</v>
      </c>
      <c r="ND32" s="3453" t="e">
        <f t="shared" ref="ND32:ND41" si="48">$AFP$45</f>
        <v>#N/A</v>
      </c>
      <c r="NE32" s="5707">
        <f>IFERROR(outputs_klasse_qty[[#This Row],[bergbånd_sum_d]]/outputs_klasse_qty[[#This Row],[festebolter_for_bergbånd_d_senteravstand]],0)</f>
        <v>0</v>
      </c>
      <c r="NF32" s="3453" t="e">
        <f t="shared" ref="NF32:NF41" si="49">$AFP$46</f>
        <v>#N/A</v>
      </c>
      <c r="NG32" s="5707">
        <f>IFERROR(outputs_klasse_qty[[#This Row],[bergbånd_sum_e1]]/outputs_klasse_qty[[#This Row],[festebolter_for_bergbånd_e1_senteravstand]],0)</f>
        <v>0</v>
      </c>
      <c r="NH32" s="3453" t="e">
        <f t="shared" ref="NH32:NH41" si="50">$AFP$47</f>
        <v>#N/A</v>
      </c>
      <c r="NI32" s="5707">
        <f>IFERROR(outputs_klasse_qty[[#This Row],[bergbånd_sum_e2]]/outputs_klasse_qty[[#This Row],[festebolter_for_bergbånd_e2_senteravstand]],0)</f>
        <v>0</v>
      </c>
      <c r="NJ32" s="3453" t="e">
        <f t="shared" ref="NJ32:NJ41" si="51">$AFP$48</f>
        <v>#N/A</v>
      </c>
      <c r="NK32" s="5707">
        <f>IFERROR(outputs_klasse_qty[[#This Row],[bergbånd_sum_f]]/outputs_klasse_qty[[#This Row],[festebolter_for_bergbånd_f_senteravstand]],0)</f>
        <v>0</v>
      </c>
      <c r="NL32" s="3453" t="e">
        <f t="shared" ref="NL32:NL41" si="52">$AFP$49</f>
        <v>#N/A</v>
      </c>
      <c r="NM32" s="5707">
        <f>IFERROR(outputs_klasse_qty[[#This Row],[bergbånd_sum_g]]/outputs_klasse_qty[[#This Row],[festebolter_for_bergbånd_g_senteravstand]],0)</f>
        <v>0</v>
      </c>
      <c r="NN32"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2" s="3453"/>
      <c r="NP32" s="3453"/>
      <c r="NQ32" s="3453"/>
      <c r="NR32" s="3453"/>
      <c r="NS32" s="3453"/>
      <c r="NT32" s="3453"/>
      <c r="NU32" s="3453"/>
      <c r="NV32" s="3453"/>
      <c r="NW32" s="3453"/>
      <c r="NX32" s="3453"/>
      <c r="NY32" s="3453"/>
      <c r="NZ32" s="3453"/>
      <c r="OA32" s="3453"/>
      <c r="OB32" s="3453"/>
      <c r="OC32" s="3453"/>
      <c r="OD32" s="3453"/>
      <c r="OE32" s="3453"/>
      <c r="OF32" s="3453"/>
      <c r="OG32" s="3453"/>
      <c r="OH32" s="3453"/>
      <c r="OI32" s="5712" cm="1">
        <f t="array" ref="OI32">IF($AK$218=klasse_net[Method],$OI$28,IF($AK$218="",$OI$29,0))</f>
        <v>1</v>
      </c>
      <c r="OJ32" s="3453" t="e">
        <f>IF($OI32=$OI$28,$AGU$42,0)</f>
        <v>#N/A</v>
      </c>
      <c r="OK32" s="5720">
        <f>IFERROR(outputs_klasse_qty[[#This Row],[nett_a_rate]]*$AY84,0)</f>
        <v>0</v>
      </c>
      <c r="OL32" s="3453" t="e">
        <f>IF($OI32=$OI$28,$AGU$43,0)</f>
        <v>#N/A</v>
      </c>
      <c r="OM32" s="5720">
        <f>IFERROR(outputs_klasse_qty[[#This Row],[nett_b_rate]]*$AZ84,0)</f>
        <v>0</v>
      </c>
      <c r="ON32" s="3453" t="e">
        <f>IF($OI32=$OI$28,$AGU$44,0)</f>
        <v>#N/A</v>
      </c>
      <c r="OO32" s="5720">
        <f>IFERROR(outputs_klasse_qty[[#This Row],[nett_c_rate]]*$BA84,0)</f>
        <v>0</v>
      </c>
      <c r="OP32" s="3453" t="e">
        <f>IF($OI32=$OI$28,$AGU$45,0)</f>
        <v>#N/A</v>
      </c>
      <c r="OQ32" s="5720">
        <f>IFERROR(outputs_klasse_qty[[#This Row],[nett_d_rate]]*$BB84,0)</f>
        <v>0</v>
      </c>
      <c r="OR32" s="3453" t="e">
        <f>IF($OI32=$OI$28,$AGU$46,0)</f>
        <v>#N/A</v>
      </c>
      <c r="OS32" s="5720">
        <f>IFERROR(outputs_klasse_qty[[#This Row],[nett_e1_rate]]*$BC84,0)</f>
        <v>0</v>
      </c>
      <c r="OT32" s="3453" t="e">
        <f>IF($OI32=$OI$28,$AGU$47,0)</f>
        <v>#N/A</v>
      </c>
      <c r="OU32" s="5720">
        <f>IFERROR(outputs_klasse_qty[[#This Row],[nett_e2_rate]]*$BD84,0)</f>
        <v>0</v>
      </c>
      <c r="OV32" s="3453" t="e">
        <f>IF($OI32=$OI$28,$AGU$48,0)</f>
        <v>#N/A</v>
      </c>
      <c r="OW32" s="5720">
        <f>IFERROR(outputs_klasse_qty[[#This Row],[nett_f_rate]]*$BE84,0)</f>
        <v>0</v>
      </c>
      <c r="OX32" s="3453" t="e">
        <f>IF($OI32=$OI$28,$AGU$49,0)</f>
        <v>#N/A</v>
      </c>
      <c r="OY32" s="5720">
        <f>IFERROR(outputs_klasse_qty[[#This Row],[nett_g_rate]]*$BF84,0)</f>
        <v>0</v>
      </c>
      <c r="OZ32" s="5709">
        <f>IFERROR(OK32+OM32+OO32+OQ32+OS32+OU32+OW32+OY32,0)</f>
        <v>0</v>
      </c>
      <c r="PA32" s="3453" t="e">
        <f t="shared" ref="PA32:PA41" si="53">$AHC$42</f>
        <v>#N/A</v>
      </c>
      <c r="PB32" s="5618">
        <f>IFERROR(outputs_klasse_qty[[#This Row],[nett_a_output]]/(outputs_klasse_qty[[#This Row],[festebolter_for_nett_senteravstand_a]]^2),0)</f>
        <v>0</v>
      </c>
      <c r="PC32" s="3453" t="e">
        <f t="shared" ref="PC32:PC41" si="54">$AHC$43</f>
        <v>#N/A</v>
      </c>
      <c r="PD32" s="5618">
        <f>IFERROR(outputs_klasse_qty[[#This Row],[nett_b_output]]/(outputs_klasse_qty[[#This Row],[festebolter_for_nett_senteravstand_b]]^2),0)</f>
        <v>0</v>
      </c>
      <c r="PE32" s="3453" t="e">
        <f t="shared" ref="PE32:PE41" si="55">$AHC$44</f>
        <v>#N/A</v>
      </c>
      <c r="PF32" s="5618">
        <f>IFERROR(outputs_klasse_qty[[#This Row],[nett_c_output]]/(outputs_klasse_qty[[#This Row],[festebolter_for_nett_senteravstand_c]]^2),0)</f>
        <v>0</v>
      </c>
      <c r="PG32" s="3453" t="e">
        <f t="shared" ref="PG32:PG41" si="56">$AHC$45</f>
        <v>#N/A</v>
      </c>
      <c r="PH32" s="5618">
        <f>IFERROR(outputs_klasse_qty[[#This Row],[nett_d_output]]/(outputs_klasse_qty[[#This Row],[festebolter_for_nett_senteravstand_d]]^2),0)</f>
        <v>0</v>
      </c>
      <c r="PI32" s="3453" t="e">
        <f t="shared" ref="PI32:PI41" si="57">$AHC$46</f>
        <v>#N/A</v>
      </c>
      <c r="PJ32" s="5618">
        <f>IFERROR(outputs_klasse_qty[[#This Row],[nett_e1_output]]/(outputs_klasse_qty[[#This Row],[festebolter_for_nett_senteravstand_e1]]^2),0)</f>
        <v>0</v>
      </c>
      <c r="PK32" s="3453" t="e">
        <f t="shared" ref="PK32:PK41" si="58">$AHC$47</f>
        <v>#N/A</v>
      </c>
      <c r="PL32" s="5618">
        <f>IFERROR(outputs_klasse_qty[[#This Row],[nett_e2_output]]/(outputs_klasse_qty[[#This Row],[festebolter_for_nett_senteravstand_e2]]^2),0)</f>
        <v>0</v>
      </c>
      <c r="PM32" s="3453" t="e">
        <f t="shared" ref="PM32:PM41" si="59">$AHC$48</f>
        <v>#N/A</v>
      </c>
      <c r="PN32" s="5618">
        <f>IFERROR(outputs_klasse_qty[[#This Row],[nett_f_output]]/(outputs_klasse_qty[[#This Row],[festebolter_for_nett_senteravstand_f]]^2),0)</f>
        <v>0</v>
      </c>
      <c r="PO32" s="3453" t="e">
        <f t="shared" ref="PO32:PO41" si="60">$AHC$49</f>
        <v>#N/A</v>
      </c>
      <c r="PP32" s="5618">
        <f>IFERROR(outputs_klasse_qty[[#This Row],[nett_g_output]]/(outputs_klasse_qty[[#This Row],[festebolter_for_nett_senteravstand_g]]^2),0)</f>
        <v>0</v>
      </c>
      <c r="PQ32"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2" s="3453" t="e">
        <f>$AHL$42</f>
        <v>#N/A</v>
      </c>
      <c r="PS32" s="5710" t="e">
        <f>outputs_klasse_qty[[#This Row],[nett_a_output]]*outputs_klasse_qty[[#This Row],[sprøytebetong_ved_nett_tykkelse_a]]/1000</f>
        <v>#N/A</v>
      </c>
      <c r="PT32" s="3453" t="e">
        <f>$AHL$43</f>
        <v>#N/A</v>
      </c>
      <c r="PU32" s="5710" t="e">
        <f>outputs_klasse_qty[[#This Row],[nett_b_output]]*outputs_klasse_qty[[#This Row],[sprøytebetong_ved_nett_tykkelse_b]]/1000</f>
        <v>#N/A</v>
      </c>
      <c r="PV32" s="3453" t="e">
        <f>$AHL$44</f>
        <v>#N/A</v>
      </c>
      <c r="PW32" s="5710" t="e">
        <f>outputs_klasse_qty[[#This Row],[nett_c_output]]*outputs_klasse_qty[[#This Row],[sprøytebetong_ved_nett_tykkelse_c]]/1000</f>
        <v>#N/A</v>
      </c>
      <c r="PX32" s="3453" t="e">
        <f>$AHL$45</f>
        <v>#N/A</v>
      </c>
      <c r="PY32" s="5710" t="e">
        <f>outputs_klasse_qty[[#This Row],[nett_d_output]]*outputs_klasse_qty[[#This Row],[sprøytebetong_ved_nett_tykkelse_d]]/1000</f>
        <v>#N/A</v>
      </c>
      <c r="PZ32" s="3453" t="e">
        <f>$AHL$46</f>
        <v>#N/A</v>
      </c>
      <c r="QA32" s="5710" t="e">
        <f>outputs_klasse_qty[[#This Row],[nett_e1_output]]*outputs_klasse_qty[[#This Row],[sprøytebetong_ved_nett_tykkelse_e1]]/1000</f>
        <v>#N/A</v>
      </c>
      <c r="QB32" s="3453" t="e">
        <f>$AHL$47</f>
        <v>#N/A</v>
      </c>
      <c r="QC32" s="5710" t="e">
        <f>outputs_klasse_qty[[#This Row],[nett_e2_output]]*outputs_klasse_qty[[#This Row],[sprøytebetong_ved_nett_tykkelse_e2]]/1000</f>
        <v>#N/A</v>
      </c>
      <c r="QD32" s="3453" t="e">
        <f>$AHL$48</f>
        <v>#N/A</v>
      </c>
      <c r="QE32" s="5710" t="e">
        <f>outputs_klasse_qty[[#This Row],[nett_f_output]]*outputs_klasse_qty[[#This Row],[sprøytebetong_ved_nett_tykkelse_f]]/1000</f>
        <v>#N/A</v>
      </c>
      <c r="QF32" s="3453" t="e">
        <f>$AHL$49</f>
        <v>#N/A</v>
      </c>
      <c r="QG32" s="5710" t="e">
        <f>outputs_klasse_qty[[#This Row],[nett_g_output]]*outputs_klasse_qty[[#This Row],[sprøytebetong_ved_nett_tykkelse_g]]/1000</f>
        <v>#N/A</v>
      </c>
      <c r="QH32"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2" s="3453"/>
      <c r="QJ32" s="3453"/>
      <c r="QK32" s="3453"/>
      <c r="QL32" s="3453"/>
      <c r="QM32" s="3453"/>
      <c r="QN32" s="3453"/>
      <c r="QO32" s="3453"/>
      <c r="QP32" s="3453"/>
      <c r="QQ32" s="3453"/>
      <c r="QR32" s="5712">
        <f>IF($AK$219=_List!$DI$6,_Calcs_Klasse!$QR$28,IF($AK$219=_List!$DI$7,$QR$29,0))</f>
        <v>1</v>
      </c>
      <c r="QS32" s="5713" t="e">
        <f>$AIQ$42</f>
        <v>#N/A</v>
      </c>
      <c r="QT32" s="3453" t="e">
        <f>$AHW$42</f>
        <v>#N/A</v>
      </c>
      <c r="QU32" s="3453">
        <f>IFERROR((outputs_klasse_qty[[#This Row],[shot_veder_a_faktor]]*outputs_klasse_qty[[#This Row],[shot_veder_a_rate]]*$AI$46*$AY84)/1000,0)</f>
        <v>0</v>
      </c>
      <c r="QV32" s="5713" t="e">
        <f>$AIQ$43</f>
        <v>#N/A</v>
      </c>
      <c r="QW32" s="3453" t="e">
        <f>$AHW$43</f>
        <v>#N/A</v>
      </c>
      <c r="QX32" s="3453">
        <f>IFERROR((outputs_klasse_qty[[#This Row],[shot_veder_b_faktor]]*outputs_klasse_qty[[#This Row],[shot_veder_b_rate]]*$AI$46*$AZ84)/1000,0)</f>
        <v>0</v>
      </c>
      <c r="QY32" s="5713" t="e">
        <f>$AIQ$44</f>
        <v>#N/A</v>
      </c>
      <c r="QZ32" s="3453" t="e">
        <f>$AHW$44</f>
        <v>#N/A</v>
      </c>
      <c r="RA32" s="3453">
        <f>IFERROR((outputs_klasse_qty[[#This Row],[shot_veder_c_faktor]]*outputs_klasse_qty[[#This Row],[shot_veder_c_rate]]*$AI$46*$BA84)/1000,0)</f>
        <v>0</v>
      </c>
      <c r="RB32" s="5713" t="e">
        <f>$AIQ$45</f>
        <v>#N/A</v>
      </c>
      <c r="RC32" s="3453" t="e">
        <f>$AHW$45</f>
        <v>#N/A</v>
      </c>
      <c r="RD32" s="3453">
        <f>IFERROR((outputs_klasse_qty[[#This Row],[shot_veder_d_faktor]]*outputs_klasse_qty[[#This Row],[shot_veder_d_rate]]*$AI$46*$BB84)/1000,0)</f>
        <v>0</v>
      </c>
      <c r="RE32" s="5713" t="e">
        <f>$AIQ$46</f>
        <v>#N/A</v>
      </c>
      <c r="RF32" s="3453" t="e">
        <f>$AHW$46</f>
        <v>#N/A</v>
      </c>
      <c r="RG32" s="3453">
        <f>IFERROR((outputs_klasse_qty[[#This Row],[shot_veder_e1_faktor]]*outputs_klasse_qty[[#This Row],[shot_veder_e1_rate]]*$AI$46*$BC84)/1000,0)</f>
        <v>0</v>
      </c>
      <c r="RH32" s="5713" t="e">
        <f>$AIQ$47</f>
        <v>#N/A</v>
      </c>
      <c r="RI32" s="3453" t="e">
        <f>$AHW$47</f>
        <v>#N/A</v>
      </c>
      <c r="RJ32" s="3453">
        <f>IFERROR((outputs_klasse_qty[[#This Row],[shot_veder_e2_faktor]]*outputs_klasse_qty[[#This Row],[shot_veder_e2_rate]]*$AI$46*$BD84)/1000,0)</f>
        <v>0</v>
      </c>
      <c r="RK32" s="5713" t="e">
        <f>$AIQ$48</f>
        <v>#N/A</v>
      </c>
      <c r="RL32" s="3453" t="e">
        <f>$AHW$48</f>
        <v>#N/A</v>
      </c>
      <c r="RM32" s="3453">
        <f>IFERROR((outputs_klasse_qty[[#This Row],[shot_veder_f_faktor]]*outputs_klasse_qty[[#This Row],[shot_veder_f_rate]]*$AI$46*$BE84)/1000,0)</f>
        <v>0</v>
      </c>
      <c r="RN32" s="5713" t="e">
        <f>$AIQ$49</f>
        <v>#N/A</v>
      </c>
      <c r="RO32" s="3453" t="e">
        <f>$AHW$49</f>
        <v>#N/A</v>
      </c>
      <c r="RP32" s="3453">
        <f>IFERROR((outputs_klasse_qty[[#This Row],[shot_veder_g_faktor]]*outputs_klasse_qty[[#This Row],[shot_veder_g_rate]]*$AI$46*$BF84)/1000,0)</f>
        <v>0</v>
      </c>
      <c r="RQ32"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2" s="5712">
        <v>1</v>
      </c>
      <c r="RS32" s="5713" t="e">
        <f>$AIQ$42</f>
        <v>#N/A</v>
      </c>
      <c r="RT32" s="3453" t="e">
        <f>$AIG$42</f>
        <v>#N/A</v>
      </c>
      <c r="RU32" s="3453">
        <f>IFERROR((outputs_klasse_qty[[#This Row],[shot_vegg_a_faktor]]*outputs_klasse_qty[[#This Row],[shot_vegg_a_rate]]*$AI$42*2*$AY84)/1000,0)</f>
        <v>0</v>
      </c>
      <c r="RV32" s="5713" t="e">
        <f>$AIQ$43</f>
        <v>#N/A</v>
      </c>
      <c r="RW32" s="3453" t="e">
        <f>$AIG$43</f>
        <v>#N/A</v>
      </c>
      <c r="RX32" s="3453">
        <f>IFERROR((outputs_klasse_qty[[#This Row],[shot_vegg_b_faktor]]*outputs_klasse_qty[[#This Row],[shot_vegg_b_rate]]*$AI$42*2*$AZ84)/1000,0)</f>
        <v>0</v>
      </c>
      <c r="RY32" s="5713" t="e">
        <f>$AIQ$44</f>
        <v>#N/A</v>
      </c>
      <c r="RZ32" s="3453" t="e">
        <f>$AIG$44</f>
        <v>#N/A</v>
      </c>
      <c r="SA32" s="3453">
        <f>IFERROR((outputs_klasse_qty[[#This Row],[shot_vegg_c_faktor]]*outputs_klasse_qty[[#This Row],[shot_vegg_c_rate]]*$AI$42*2*$BA84)/1000,0)</f>
        <v>0</v>
      </c>
      <c r="SB32" s="5713" t="e">
        <f>$AIQ$45</f>
        <v>#N/A</v>
      </c>
      <c r="SC32" s="3453" t="e">
        <f>$AIG$45</f>
        <v>#N/A</v>
      </c>
      <c r="SD32" s="3453">
        <f>IFERROR((outputs_klasse_qty[[#This Row],[shot_vegg_d_faktor]]*outputs_klasse_qty[[#This Row],[shot_vegg_d_rate]]*$AI$42*2*$BB84)/1000,0)</f>
        <v>0</v>
      </c>
      <c r="SE32" s="5713" t="e">
        <f>$AIQ$46</f>
        <v>#N/A</v>
      </c>
      <c r="SF32" s="3453" t="e">
        <f>$AIG$46</f>
        <v>#N/A</v>
      </c>
      <c r="SG32" s="3453">
        <f>IFERROR((outputs_klasse_qty[[#This Row],[shot_vegg_e1_faktor]]*outputs_klasse_qty[[#This Row],[shot_vegg_e1_rate]]*$AI$42*2*$BC84)/1000,0)</f>
        <v>0</v>
      </c>
      <c r="SH32" s="5713" t="e">
        <f>$AIQ$47</f>
        <v>#N/A</v>
      </c>
      <c r="SI32" s="3453" t="e">
        <f>$AIG$47</f>
        <v>#N/A</v>
      </c>
      <c r="SJ32" s="3453">
        <f>IFERROR((outputs_klasse_qty[[#This Row],[shot_vegg_e2_faktor]]*outputs_klasse_qty[[#This Row],[shot_vegg_e2_rate]]*$AI$42*2*$BD84)/1000,0)</f>
        <v>0</v>
      </c>
      <c r="SK32" s="5713" t="e">
        <f>$AIQ$48</f>
        <v>#N/A</v>
      </c>
      <c r="SL32" s="3453" t="e">
        <f>$AIG$48</f>
        <v>#N/A</v>
      </c>
      <c r="SM32" s="3453">
        <f>IFERROR((outputs_klasse_qty[[#This Row],[shot_vegg_f_faktor]]*outputs_klasse_qty[[#This Row],[shot_vegg_f_rate]]*$AI$42*2*$BE84)/1000,0)</f>
        <v>0</v>
      </c>
      <c r="SN32" s="5713" t="e">
        <f>$AIQ$49</f>
        <v>#N/A</v>
      </c>
      <c r="SO32" s="3453" t="e">
        <f>$AIG$49</f>
        <v>#N/A</v>
      </c>
      <c r="SP32" s="3453">
        <f>IFERROR((outputs_klasse_qty[[#This Row],[shot_vegg_g_faktor]]*outputs_klasse_qty[[#This Row],[shot_vegg_g_rate]]*$AI$42*2*$BF84)/1000,0)</f>
        <v>0</v>
      </c>
      <c r="SQ32"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2" s="5715">
        <f>outputs_klasse_qty[[#This Row],[shot_veder_sum]]+outputs_klasse_qty[[#This Row],[shot_vegg_sum]]</f>
        <v>0</v>
      </c>
      <c r="SS32" s="3453"/>
      <c r="ST32" s="3453"/>
      <c r="SU32" s="3453"/>
      <c r="SV32" s="3453"/>
      <c r="SW32" s="3453"/>
      <c r="SX32" s="3453"/>
      <c r="SY32" s="3453"/>
      <c r="SZ32" s="3453"/>
      <c r="TA32" s="3453"/>
      <c r="TB32" s="3453"/>
      <c r="TC32" s="3453"/>
      <c r="TD32" s="3453"/>
      <c r="TE32" s="3453"/>
      <c r="TF32" s="3453"/>
      <c r="TG32" s="3453"/>
      <c r="TH32" s="3453"/>
      <c r="TI32" s="3453"/>
      <c r="TJ32" s="3453"/>
      <c r="TK32" s="5721" cm="1">
        <f t="array" ref="TK32">IF($AK$221=klasse_buer[Method],_Calcs_Klasse!$TK$28,IF($AK$221="",_Calcs_Klasse!TK29,""))</f>
        <v>1</v>
      </c>
      <c r="TL32" s="3453" t="e">
        <f>$AJQ$42</f>
        <v>#N/A</v>
      </c>
      <c r="TM32" s="3453" t="e">
        <f t="shared" ref="TM32:TM41" si="61">$AJI$42</f>
        <v>#N/A</v>
      </c>
      <c r="TN32" s="3453">
        <f>IFERROR((IF(OR(outputs_klasse_qty[[#This Row],[bue_a_dim]]=_List!$DO$7,outputs_klasse_qty[[#This Row],[bue_a_dim]]=_List!$DO$8),($AY84*$AI$40)/outputs_klasse_qty[[#This Row],[bue_a_senteravstand]]*outputs_klasse_qty[[#This Row],[bue_a_andel]],0)),0)</f>
        <v>0</v>
      </c>
      <c r="TO32" s="5722" t="e">
        <f>$AJA$42</f>
        <v>#N/A</v>
      </c>
      <c r="TP32" s="5702" t="e">
        <f>IF($TO32=$TM$21,$TN32,0)</f>
        <v>#N/A</v>
      </c>
      <c r="TQ32" s="5723" t="e">
        <f>IF($TO32=$TM$22,$TN32,0)</f>
        <v>#N/A</v>
      </c>
      <c r="TR32" s="3453" t="e">
        <f>$AJQ$43</f>
        <v>#N/A</v>
      </c>
      <c r="TS32" s="3453" t="e">
        <f t="shared" ref="TS32:TS41" si="62">$AJI$43</f>
        <v>#N/A</v>
      </c>
      <c r="TT32" s="3453">
        <f>IFERROR((IF(OR(outputs_klasse_qty[[#This Row],[bue_b_dim]]=_List!$DO$7,outputs_klasse_qty[[#This Row],[bue_b_dim]]=_List!$DO$8),($AZ84*$AI$40)/outputs_klasse_qty[[#This Row],[bue_b_senteravstand]]*outputs_klasse_qty[[#This Row],[bue_b_andel]],0)),0)</f>
        <v>0</v>
      </c>
      <c r="TU32" s="5722" t="e">
        <f>$AJA$43</f>
        <v>#N/A</v>
      </c>
      <c r="TV32" s="5702" t="e">
        <f>IF($TU32=$TM$21,$TT32,0)</f>
        <v>#N/A</v>
      </c>
      <c r="TW32" s="5723" t="e">
        <f>IF($TU32=$TM$22,$TT32,0)</f>
        <v>#N/A</v>
      </c>
      <c r="TX32" s="3453" t="e">
        <f>$AJQ$44</f>
        <v>#N/A</v>
      </c>
      <c r="TY32" s="3453" t="e">
        <f t="shared" ref="TY32:TY41" si="63">$AJI$44</f>
        <v>#N/A</v>
      </c>
      <c r="TZ32" s="3453">
        <f>IFERROR((IF(OR(outputs_klasse_qty[[#This Row],[bue_c_dim]]=_List!$DO$7,outputs_klasse_qty[[#This Row],[bue_c_dim]]=_List!$DO$8),($BA84*$AI$40)/outputs_klasse_qty[[#This Row],[bue_c_senteravstand]]*outputs_klasse_qty[[#This Row],[bue_c_andel]],0)),0)</f>
        <v>0</v>
      </c>
      <c r="UA32" s="5722" t="e">
        <f>$AJA$44</f>
        <v>#N/A</v>
      </c>
      <c r="UB32" s="5702" t="e">
        <f>IF($UA32=$TM$21,$TZ32,0)</f>
        <v>#N/A</v>
      </c>
      <c r="UC32" s="5723" t="e">
        <f>IF($UA32=$TM$22,$TZ32,0)</f>
        <v>#N/A</v>
      </c>
      <c r="UD32" s="3453" t="e">
        <f>$AJQ$45</f>
        <v>#N/A</v>
      </c>
      <c r="UE32" s="3453" t="e">
        <f t="shared" ref="UE32:UE41" si="64">$AJI$45</f>
        <v>#N/A</v>
      </c>
      <c r="UF32" s="3453">
        <f>IFERROR((IF(OR(outputs_klasse_qty[[#This Row],[bue_d_dim]]=_List!$DO$7,outputs_klasse_qty[[#This Row],[bue_d_dim]]=_List!$DO$8),($BB84*$AI$40)/outputs_klasse_qty[[#This Row],[bue_d_senteravstand]]*outputs_klasse_qty[[#This Row],[bue_d_andel]],0)),0)</f>
        <v>0</v>
      </c>
      <c r="UG32" s="5722" t="e">
        <f>$AJA$45</f>
        <v>#N/A</v>
      </c>
      <c r="UH32" s="5702" t="e">
        <f>IF($UG32=$TM$21,$UF32,0)</f>
        <v>#N/A</v>
      </c>
      <c r="UI32" s="5723" t="e">
        <f>IF($UG32=$TM$22,$UF32,0)</f>
        <v>#N/A</v>
      </c>
      <c r="UJ32" s="3453" t="e">
        <f>$AJQ$46</f>
        <v>#N/A</v>
      </c>
      <c r="UK32" s="3453" t="e">
        <f t="shared" ref="UK32:UK41" si="65">$AJI$46</f>
        <v>#N/A</v>
      </c>
      <c r="UL32" s="3453">
        <f>IFERROR((IF(OR(outputs_klasse_qty[[#This Row],[bue_e1_dim]]=_List!$DO$7,outputs_klasse_qty[[#This Row],[bue_e1_dim]]=_List!$DO$8),($BC84*$AI$40)/outputs_klasse_qty[[#This Row],[bue_e1_senteravstand]]*outputs_klasse_qty[[#This Row],[bue_e1_andel]],0)),0)</f>
        <v>0</v>
      </c>
      <c r="UM32" s="5722" t="e">
        <f>$AJA$46</f>
        <v>#N/A</v>
      </c>
      <c r="UN32" s="5702" t="e">
        <f>IF($UM32=$TM$21,$UL32,0)</f>
        <v>#N/A</v>
      </c>
      <c r="UO32" s="5723" t="e">
        <f>IF($UM32=$TM$22,$UL32,0)</f>
        <v>#N/A</v>
      </c>
      <c r="UP32" s="3453" t="e">
        <f>$AJQ$47</f>
        <v>#N/A</v>
      </c>
      <c r="UQ32" s="3453" t="e">
        <f t="shared" ref="UQ32:UQ41" si="66">$AJI$47</f>
        <v>#N/A</v>
      </c>
      <c r="UR32" s="3453">
        <f>IFERROR((IF(OR(outputs_klasse_qty[[#This Row],[bue_e2_dim]]=_List!$DO$7,outputs_klasse_qty[[#This Row],[bue_e2_dim]]=_List!$DO$8),($BD84*$AI$40)/outputs_klasse_qty[[#This Row],[bue_e2_senteravstand]]*outputs_klasse_qty[[#This Row],[bue_e2_andel]],0)),0)</f>
        <v>0</v>
      </c>
      <c r="US32" s="5722" t="e">
        <f>$AJA$47</f>
        <v>#N/A</v>
      </c>
      <c r="UT32" s="5702" t="e">
        <f>IF($US32=$TM$21,$UR32,0)</f>
        <v>#N/A</v>
      </c>
      <c r="UU32" s="5723" t="e">
        <f>IF($US32=$TM$22,$UR32,0)</f>
        <v>#N/A</v>
      </c>
      <c r="UV32" s="3453" t="e">
        <f>$AJQ$48</f>
        <v>#N/A</v>
      </c>
      <c r="UW32" s="3453" t="e">
        <f t="shared" ref="UW32:UW41" si="67">$AJI$48</f>
        <v>#N/A</v>
      </c>
      <c r="UX32" s="3453">
        <f>IFERROR((IF(OR(outputs_klasse_qty[[#This Row],[bue_f_dim]]=_List!$DO$7,outputs_klasse_qty[[#This Row],[bue_f_dim]]=_List!$DO$8),($BE84*$AI$40)/outputs_klasse_qty[[#This Row],[bue_f_senteravstand]]*outputs_klasse_qty[[#This Row],[bue_f_andel]],0)),0)</f>
        <v>0</v>
      </c>
      <c r="UY32" s="5722" t="e">
        <f>$AJA$48</f>
        <v>#N/A</v>
      </c>
      <c r="UZ32" s="5702" t="e">
        <f>IF($UY32=$TM$21,$UX32,0)</f>
        <v>#N/A</v>
      </c>
      <c r="VA32" s="5723" t="e">
        <f>IF($UY32=$TM$22,$UX32,0)</f>
        <v>#N/A</v>
      </c>
      <c r="VB32" s="3453" t="e">
        <f>$AJQ$49</f>
        <v>#N/A</v>
      </c>
      <c r="VC32" s="3453" t="e">
        <f t="shared" ref="VC32:VC41" si="68">$AJI$49</f>
        <v>#N/A</v>
      </c>
      <c r="VD32" s="3453">
        <f>IFERROR((IF(OR(outputs_klasse_qty[[#This Row],[bue_g_dim]]=_List!$DO$7,outputs_klasse_qty[[#This Row],[bue_g_dim]]=_List!$DO$8),($BF84*$AI$40)/outputs_klasse_qty[[#This Row],[bue_g_senteravstand]]*outputs_klasse_qty[[#This Row],[bue_g_andel]],0)),0)</f>
        <v>0</v>
      </c>
      <c r="VE32" s="5722" t="e">
        <f>$AJA$49</f>
        <v>#N/A</v>
      </c>
      <c r="VF32" s="5702" t="e">
        <f>IF($VE32=$TM$21,$VD32,0)</f>
        <v>#N/A</v>
      </c>
      <c r="VG32" s="5723" t="e">
        <f>IF($VE32=$TM$22,$VD32,0)</f>
        <v>#N/A</v>
      </c>
      <c r="VH32"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2"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2" s="5719" t="str">
        <f>IFERROR(outputs_klasse_qty[[#This Row],[bue_e30_sum]]+outputs_klasse_qty[[#This Row],[bue_d60_sum]],"")</f>
        <v/>
      </c>
      <c r="VK32" s="3453">
        <f>IFERROR($ALK$42,0)</f>
        <v>0</v>
      </c>
      <c r="VL32" s="3453">
        <f>outputs_klasse_qty[[#This Row],[bue_a_output]]*outputs_klasse_qty[[#This Row],[sprøytebetong_ved_bue_rate_a]]</f>
        <v>0</v>
      </c>
      <c r="VM32" s="3453">
        <f>IFERROR($ALK$43,0)</f>
        <v>0</v>
      </c>
      <c r="VN32" s="3453">
        <f>outputs_klasse_qty[[#This Row],[bue_b_output]]*outputs_klasse_qty[[#This Row],[sprøytebetong_ved_bue_rate_b]]</f>
        <v>0</v>
      </c>
      <c r="VO32" s="3453">
        <f>IFERROR($ALK$44,0)</f>
        <v>0</v>
      </c>
      <c r="VP32" s="3453">
        <f>outputs_klasse_qty[[#This Row],[bue_c_output]]*outputs_klasse_qty[[#This Row],[sprøytebetong_ved_bue_rate_c]]</f>
        <v>0</v>
      </c>
      <c r="VQ32" s="3453">
        <f>IFERROR($ALK$45,0)</f>
        <v>0</v>
      </c>
      <c r="VR32" s="3453">
        <f>outputs_klasse_qty[[#This Row],[bue_d_output]]*outputs_klasse_qty[[#This Row],[sprøytebetong_ved_bue_rate_d]]</f>
        <v>0</v>
      </c>
      <c r="VS32" s="3453">
        <f>IFERROR($ALK$46,0)</f>
        <v>0</v>
      </c>
      <c r="VT32" s="3453">
        <f>outputs_klasse_qty[[#This Row],[bue_e1_output]]*outputs_klasse_qty[[#This Row],[sprøytebetong_ved_bue_rate_e1]]</f>
        <v>0</v>
      </c>
      <c r="VU32" s="3453">
        <f>IFERROR($ALK$47,0)</f>
        <v>0</v>
      </c>
      <c r="VV32" s="3453">
        <f>outputs_klasse_qty[[#This Row],[bue_e2_output]]*outputs_klasse_qty[[#This Row],[sprøytebetong_ved_bue_rate_e2]]</f>
        <v>0</v>
      </c>
      <c r="VW32" s="3453">
        <f>IFERROR($ALK$48,0)</f>
        <v>0</v>
      </c>
      <c r="VX32" s="3453">
        <f>outputs_klasse_qty[[#This Row],[bue_f_output]]*outputs_klasse_qty[[#This Row],[sprøytebetong_ved_bue_rate_f]]</f>
        <v>0</v>
      </c>
      <c r="VY32" s="3453">
        <f>IFERROR($ALK$49,0)</f>
        <v>0</v>
      </c>
      <c r="VZ32" s="3453">
        <f>outputs_klasse_qty[[#This Row],[bue_g_output]]*outputs_klasse_qty[[#This Row],[sprøytebetong_ved_bue_rate_g]]</f>
        <v>0</v>
      </c>
      <c r="WA32"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2" s="3453" t="e">
        <f>$ALU$42</f>
        <v>#N/A</v>
      </c>
      <c r="WC32" s="3453">
        <f>IFERROR((IF(OR(outputs_klasse_qty[[#This Row],[bue_a_dim]]=_List!$DO$7,outputs_klasse_qty[[#This Row],[bue_a_dim]]=_List!$DO$8),_Calcs_Klasse!AY84/$AJQ$42*outputs_klasse_qty[[#This Row],[forankring_bolter_rate_a]],0)),0)</f>
        <v>0</v>
      </c>
      <c r="WD32" s="3453" t="e">
        <f>$ALU$43</f>
        <v>#N/A</v>
      </c>
      <c r="WE32" s="3453">
        <f>IFERROR((IF(OR(outputs_klasse_qty[[#This Row],[bue_b_dim]]=_List!$DO$7,outputs_klasse_qty[[#This Row],[bue_b_dim]]=_List!$DO$8),_Calcs_Klasse!AZ84/$AJQ$43*outputs_klasse_qty[[#This Row],[forankring_bolter_rate_b]],0)),0)</f>
        <v>0</v>
      </c>
      <c r="WF32" s="3453" t="e">
        <f>$ALU$44</f>
        <v>#N/A</v>
      </c>
      <c r="WG32" s="3453">
        <f>IFERROR((IF(OR(outputs_klasse_qty[[#This Row],[bue_c_dim]]=_List!$DO$7,outputs_klasse_qty[[#This Row],[bue_c_dim]]=_List!$DO$8),_Calcs_Klasse!BA84/$AJQ$44*outputs_klasse_qty[[#This Row],[forankring_bolter_rate_c]],0)),0)</f>
        <v>0</v>
      </c>
      <c r="WH32" s="3453" t="e">
        <f>$ALU$45</f>
        <v>#N/A</v>
      </c>
      <c r="WI32" s="3453">
        <f>IFERROR((IF(OR(outputs_klasse_qty[[#This Row],[bue_d_dim]]=_List!$DO$7,outputs_klasse_qty[[#This Row],[bue_d_dim]]=_List!$DO$8),_Calcs_Klasse!BB84/$AJQ$45*outputs_klasse_qty[[#This Row],[forankring_bolter_rate_d]],0)),0)</f>
        <v>0</v>
      </c>
      <c r="WJ32" s="3453" t="e">
        <f>$ALU$46</f>
        <v>#N/A</v>
      </c>
      <c r="WK32" s="3453">
        <f>IFERROR((IF(OR(outputs_klasse_qty[[#This Row],[bue_e1_dim]]=_List!$DO$7,outputs_klasse_qty[[#This Row],[bue_e1_dim]]=_List!$DO$8),_Calcs_Klasse!BC84/$AJQ$46*outputs_klasse_qty[[#This Row],[forankring_bolter_rate_e1]],0)),0)</f>
        <v>0</v>
      </c>
      <c r="WL32" s="3453" t="e">
        <f>$ALU$47</f>
        <v>#N/A</v>
      </c>
      <c r="WM32" s="3453">
        <f>IFERROR((IF(OR(outputs_klasse_qty[[#This Row],[bue_e2_dim]]=_List!$DO$7,outputs_klasse_qty[[#This Row],[bue_e2_dim]]=_List!$DO$8),_Calcs_Klasse!BD84/$AJQ$47*outputs_klasse_qty[[#This Row],[forankring_bolter_rate_e2]],0)),0)</f>
        <v>0</v>
      </c>
      <c r="WN32" s="3453" t="e">
        <f>$ALU$48</f>
        <v>#N/A</v>
      </c>
      <c r="WO32" s="3453">
        <f>IFERROR((IF(OR(outputs_klasse_qty[[#This Row],[bue_f_dim]]=_List!$DO$7,outputs_klasse_qty[[#This Row],[bue_f_dim]]=_List!$DO$8),_Calcs_Klasse!BE84/$AJQ$48*outputs_klasse_qty[[#This Row],[forankring_bolter_rate_f]],0)),0)</f>
        <v>0</v>
      </c>
      <c r="WP32" s="3453" t="e">
        <f>$ALU$49</f>
        <v>#N/A</v>
      </c>
      <c r="WQ32" s="3453">
        <f>IFERROR((IF(OR(outputs_klasse_qty[[#This Row],[bue_g_dim]]=_List!$DO$7,outputs_klasse_qty[[#This Row],[bue_g_dim]]=_List!$DO$8),_Calcs_Klasse!BF84/$AJQ$49*outputs_klasse_qty[[#This Row],[forankring_bolter_rate_g]],0)),0)</f>
        <v>0</v>
      </c>
      <c r="WR32" s="3453">
        <f>IFERROR(outputs_klasse_qty[[#This Row],[forankring_bolter_output_a]]*$AMD$42,0)</f>
        <v>0</v>
      </c>
      <c r="WS32" s="3453">
        <f>IFERROR(outputs_klasse_qty[[#This Row],[forankring_bolter_output_a]]*$AMM$42,0)</f>
        <v>0</v>
      </c>
      <c r="WT32" s="3453">
        <f>IFERROR(outputs_klasse_qty[[#This Row],[forankring_bolter_output_b]]*$AMD$43,0)</f>
        <v>0</v>
      </c>
      <c r="WU32" s="3453">
        <f>IFERROR(outputs_klasse_qty[[#This Row],[forankring_bolter_output_b]]*$AMM$43,0)</f>
        <v>0</v>
      </c>
      <c r="WV32" s="3453">
        <f>IFERROR(outputs_klasse_qty[[#This Row],[forankring_bolter_output_c]]*$AMD$44,0)</f>
        <v>0</v>
      </c>
      <c r="WW32" s="3453">
        <f>IFERROR(outputs_klasse_qty[[#This Row],[forankring_bolter_output_c]]*$AMM$44,0)</f>
        <v>0</v>
      </c>
      <c r="WX32" s="3453">
        <f>IFERROR(outputs_klasse_qty[[#This Row],[forankring_bolter_output_d]]*$AMD$45,0)</f>
        <v>0</v>
      </c>
      <c r="WY32" s="3453">
        <f>IFERROR(outputs_klasse_qty[[#This Row],[forankring_bolter_output_d]]*$AMM$45,0)</f>
        <v>0</v>
      </c>
      <c r="WZ32" s="3453">
        <f>IFERROR(outputs_klasse_qty[[#This Row],[forankring_bolter_output_e1]]*$AMD$46,0)</f>
        <v>0</v>
      </c>
      <c r="XA32" s="3453">
        <f>IFERROR(outputs_klasse_qty[[#This Row],[forankring_bolter_output_e1]]*$AMM$46,0)</f>
        <v>0</v>
      </c>
      <c r="XB32" s="3453">
        <f>IFERROR(outputs_klasse_qty[[#This Row],[forankring_bolter_output_e2]]*$AMD$47,0)</f>
        <v>0</v>
      </c>
      <c r="XC32" s="3453">
        <f>IFERROR(outputs_klasse_qty[[#This Row],[forankring_bolter_output_e2]]*$AMM$47,0)</f>
        <v>0</v>
      </c>
      <c r="XD32" s="3453">
        <f>IFERROR(outputs_klasse_qty[[#This Row],[forankring_bolter_output_f]]*$AMD$48,0)</f>
        <v>0</v>
      </c>
      <c r="XE32" s="3453">
        <f>IFERROR(outputs_klasse_qty[[#This Row],[forankring_bolter_output_f]]*$AMM$48,0)</f>
        <v>0</v>
      </c>
      <c r="XF32" s="3453">
        <f>IFERROR(outputs_klasse_qty[[#This Row],[forankring_bolter_output_g]]*$AMD$49,0)</f>
        <v>0</v>
      </c>
      <c r="XG32" s="3453">
        <f>IFERROR(outputs_klasse_qty[[#This Row],[forankring_bolter_output_g]]*$AMM$49,0)</f>
        <v>0</v>
      </c>
      <c r="XH32"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2"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2" s="5819" t="e">
        <f t="shared" ref="XJ32:XJ41" si="69">$AKK$42</f>
        <v>#N/A</v>
      </c>
      <c r="XK32" s="5819" t="e">
        <f>outputs_klasse_qty[[#This Row],[bue_a_output]]/outputs_klasse_qty[[#This Row],[bue_radielle_bolter_rate_a]]</f>
        <v>#N/A</v>
      </c>
      <c r="XL32" s="5819" t="e">
        <f t="shared" ref="XL32:XL41" si="70">$AKK$43</f>
        <v>#N/A</v>
      </c>
      <c r="XM32" s="5819" t="e">
        <f>outputs_klasse_qty[[#This Row],[bue_b_output]]/outputs_klasse_qty[[#This Row],[bue_radielle_bolter_rate_b]]</f>
        <v>#N/A</v>
      </c>
      <c r="XN32" s="5819" t="e">
        <f t="shared" ref="XN32:XN41" si="71">$AKK$44</f>
        <v>#N/A</v>
      </c>
      <c r="XO32" s="5819" t="e">
        <f>outputs_klasse_qty[[#This Row],[bue_c_output]]/outputs_klasse_qty[[#This Row],[bue_radielle_bolter_rate_c]]</f>
        <v>#N/A</v>
      </c>
      <c r="XP32" s="5819" t="e">
        <f t="shared" ref="XP32:XP41" si="72">$AKK$45</f>
        <v>#N/A</v>
      </c>
      <c r="XQ32" s="5819" t="e">
        <f>outputs_klasse_qty[[#This Row],[bue_d_output]]/outputs_klasse_qty[[#This Row],[bue_radielle_bolter_rate_d]]</f>
        <v>#N/A</v>
      </c>
      <c r="XR32" s="5819" t="e">
        <f t="shared" ref="XR32:XR41" si="73">$AKK$46</f>
        <v>#N/A</v>
      </c>
      <c r="XS32" s="5819" t="e">
        <f>outputs_klasse_qty[[#This Row],[bue_e1_output]]/outputs_klasse_qty[[#This Row],[bue_radielle_bolter_rate_e1]]</f>
        <v>#N/A</v>
      </c>
      <c r="XT32" s="5819" t="e">
        <f t="shared" ref="XT32:XT41" si="74">$AKK$47</f>
        <v>#N/A</v>
      </c>
      <c r="XU32" s="5819" t="e">
        <f>outputs_klasse_qty[[#This Row],[bue_e2_output]]/outputs_klasse_qty[[#This Row],[bue_radielle_bolter_rate_e2]]</f>
        <v>#N/A</v>
      </c>
      <c r="XV32" s="5819" t="e">
        <f t="shared" ref="XV32:XV41" si="75">$AKK$48</f>
        <v>#N/A</v>
      </c>
      <c r="XW32" s="5819" t="e">
        <f>outputs_klasse_qty[[#This Row],[bue_f_output]]/outputs_klasse_qty[[#This Row],[bue_radielle_bolter_rate_f]]</f>
        <v>#N/A</v>
      </c>
      <c r="XX32" s="5819" t="e">
        <f t="shared" ref="XX32:XX41" si="76">$AKK$49</f>
        <v>#N/A</v>
      </c>
      <c r="XY32" s="5819" t="e">
        <f>outputs_klasse_qty[[#This Row],[bue_g_output]]/outputs_klasse_qty[[#This Row],[bue_radielle_bolter_rate_g]]</f>
        <v>#N/A</v>
      </c>
      <c r="XZ32" s="5819">
        <f>IFERROR(outputs_klasse_qty[[#This Row],[bue_radielle_bolter_output_a]]*$AKS$42,0)</f>
        <v>0</v>
      </c>
      <c r="YA32" s="5819">
        <f>IFERROR(outputs_klasse_qty[[#This Row],[bue_radielle_bolter_output_a]]*$ALB$42,0)</f>
        <v>0</v>
      </c>
      <c r="YB32" s="5819">
        <f>IFERROR(outputs_klasse_qty[[#This Row],[bue_radielle_bolter_output_b]]*$AKS$43,0)</f>
        <v>0</v>
      </c>
      <c r="YC32" s="5819">
        <f>IFERROR(outputs_klasse_qty[[#This Row],[bue_radielle_bolter_output_b]]*$ALB$43,0)</f>
        <v>0</v>
      </c>
      <c r="YD32" s="5819">
        <f>IFERROR(outputs_klasse_qty[[#This Row],[bue_radielle_bolter_output_c]]*$AKS$44,0)</f>
        <v>0</v>
      </c>
      <c r="YE32" s="5819">
        <f>IFERROR(outputs_klasse_qty[[#This Row],[bue_radielle_bolter_output_c]]*$ALB$44,0)</f>
        <v>0</v>
      </c>
      <c r="YF32" s="5819">
        <f>IFERROR(outputs_klasse_qty[[#This Row],[bue_radielle_bolter_output_d]]*$AKS$45,0)</f>
        <v>0</v>
      </c>
      <c r="YG32" s="5819">
        <f>IFERROR(outputs_klasse_qty[[#This Row],[bue_radielle_bolter_output_d]]*$ALB$45,0)</f>
        <v>0</v>
      </c>
      <c r="YH32" s="5819">
        <f>IFERROR(outputs_klasse_qty[[#This Row],[bue_radielle_bolter_output_e1]]*$AKS$46,0)</f>
        <v>0</v>
      </c>
      <c r="YI32" s="5819">
        <f>IFERROR(outputs_klasse_qty[[#This Row],[bue_radielle_bolter_output_e1]]*$ALB$46,0)</f>
        <v>0</v>
      </c>
      <c r="YJ32" s="5819">
        <f>IFERROR(outputs_klasse_qty[[#This Row],[bue_radielle_bolter_output_e2]]*$AKS$47,0)</f>
        <v>0</v>
      </c>
      <c r="YK32" s="5819">
        <f>IFERROR(outputs_klasse_qty[[#This Row],[bue_radielle_bolter_output_e2]]*$ALB$47,0)</f>
        <v>0</v>
      </c>
      <c r="YL32" s="5819">
        <f>IFERROR(outputs_klasse_qty[[#This Row],[bue_radielle_bolter_output_f]]*$AKS$48,0)</f>
        <v>0</v>
      </c>
      <c r="YM32" s="5819">
        <f>IFERROR(outputs_klasse_qty[[#This Row],[bue_radielle_bolter_output_f]]*$ALB$48,0)</f>
        <v>0</v>
      </c>
      <c r="YN32" s="5819">
        <f>IFERROR(outputs_klasse_qty[[#This Row],[bue_radielle_bolter_output_g]]*$AKS$49,0)</f>
        <v>0</v>
      </c>
      <c r="YO32" s="5819">
        <f>IFERROR(outputs_klasse_qty[[#This Row],[bue_radielle_bolter_output_g]]*$ALB$49,0)</f>
        <v>0</v>
      </c>
      <c r="YP32"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2"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2" s="5819"/>
      <c r="YS32" s="5819"/>
      <c r="YT32" s="5819"/>
      <c r="YU32" s="5819"/>
      <c r="YV32" s="5819"/>
      <c r="YW32" s="5819"/>
      <c r="YX32" s="5819"/>
      <c r="YY32" s="5819"/>
      <c r="YZ32" s="5819"/>
      <c r="ZA32" s="5819"/>
      <c r="ZB32" s="5819"/>
      <c r="ZC32" s="5819"/>
      <c r="ZD32" s="5819"/>
      <c r="ZE32" s="5819"/>
      <c r="ZF32" s="5819"/>
      <c r="ZG32" s="5819"/>
      <c r="ZH32" s="5819"/>
      <c r="ZI32" s="5819"/>
      <c r="ZJ32" s="5819"/>
      <c r="ZK32" s="5819"/>
      <c r="ZL32" s="5819"/>
      <c r="ZM32" s="5819"/>
      <c r="ZN32" s="837"/>
      <c r="ZO32" s="837"/>
      <c r="ZP32" s="837"/>
      <c r="ZQ32" s="837"/>
      <c r="ZR32" s="837"/>
      <c r="ZS32" s="837"/>
      <c r="ZT32" s="837"/>
      <c r="ZU32" s="837"/>
      <c r="ZV32" s="837"/>
      <c r="ZW32" s="837"/>
      <c r="ZX32" s="837"/>
      <c r="ZY32" s="837"/>
      <c r="ZZ32" s="837"/>
      <c r="AAA32" s="837"/>
      <c r="ABB32" s="2737"/>
      <c r="ABC32" s="2737"/>
      <c r="ABD32" s="2737"/>
      <c r="ABE32" s="2737"/>
      <c r="ABF32" s="2737"/>
      <c r="ABG32" s="2737"/>
      <c r="ABH32" s="2737"/>
      <c r="ABI32" s="2737"/>
      <c r="ABL32" s="2737"/>
      <c r="ABM32" s="2737"/>
      <c r="ABN32" s="2737"/>
      <c r="ABO32" s="2737"/>
      <c r="ABP32" s="2737"/>
      <c r="ABQ32" s="2737"/>
      <c r="ABR32" s="2737"/>
      <c r="ABS32" s="2737"/>
      <c r="ABV32" s="2737"/>
      <c r="ABW32" s="2737"/>
      <c r="ABX32" s="2737"/>
      <c r="ABY32" s="2737"/>
      <c r="ABZ32" s="2737"/>
      <c r="ACA32" s="2737"/>
      <c r="ACB32" s="2737"/>
      <c r="ACC32" s="2737"/>
      <c r="ACD32" s="2737"/>
      <c r="ACF32" s="2737"/>
      <c r="ACG32" s="2737"/>
      <c r="ACH32" s="2737"/>
      <c r="ACI32" s="2737"/>
      <c r="ACJ32" s="2737"/>
      <c r="ACK32" s="2737"/>
      <c r="ACL32" s="2737"/>
      <c r="ACM32" s="2737"/>
      <c r="ACO32" s="2737"/>
      <c r="ACP32" s="2737"/>
      <c r="ACQ32" s="2737"/>
      <c r="ACR32" s="2737"/>
      <c r="ACS32" s="2737"/>
      <c r="ACT32" s="2737"/>
      <c r="ACU32" s="2737"/>
      <c r="ACV32" s="2737"/>
      <c r="ACX32" s="2737"/>
      <c r="ACY32" s="2737"/>
      <c r="ACZ32" s="2737"/>
      <c r="ADA32" s="2737"/>
      <c r="ADB32" s="2737"/>
      <c r="ADC32" s="2737"/>
      <c r="ADD32" s="2737"/>
      <c r="ADE32" s="2737"/>
      <c r="ADF32" s="2737"/>
      <c r="ADH32" s="2737"/>
      <c r="ADI32" s="2737"/>
      <c r="ADJ32" s="2737"/>
      <c r="ADK32" s="2737"/>
      <c r="ADL32" s="2737"/>
      <c r="ADM32" s="2737"/>
      <c r="ADN32" s="2737"/>
      <c r="ADO32" s="2737"/>
      <c r="ADQ32" s="2737"/>
      <c r="ADR32" s="2737"/>
      <c r="ADS32" s="2737"/>
      <c r="ADT32" s="2737"/>
      <c r="ADU32" s="2737"/>
      <c r="ADV32" s="2737"/>
      <c r="ADW32" s="2737"/>
      <c r="ADX32" s="2737"/>
      <c r="ADY32" s="2737"/>
      <c r="ADZ32" s="2737"/>
      <c r="AEA32" s="2737"/>
      <c r="AEB32" s="2737"/>
      <c r="AEC32" s="2737"/>
      <c r="AED32" s="2737"/>
      <c r="AEE32" s="2737"/>
      <c r="AEF32" s="2737"/>
      <c r="AEG32" s="2737"/>
      <c r="AEH32" s="2737"/>
      <c r="AEI32" s="2737"/>
      <c r="AEJ32" s="2737"/>
      <c r="AEK32" s="2737"/>
      <c r="AEL32" s="2737"/>
      <c r="AEM32" s="2737"/>
      <c r="AEN32" s="2737"/>
      <c r="AEO32" s="2737"/>
      <c r="AEP32" s="2737"/>
      <c r="AEQ32" s="2737"/>
      <c r="AER32" s="2737"/>
      <c r="AES32" s="2737"/>
      <c r="AET32" s="2737"/>
      <c r="AEU32" s="2737"/>
      <c r="AEV32" s="2737"/>
      <c r="AEW32" s="2737"/>
      <c r="AEX32" s="2737"/>
      <c r="AEY32" s="2737"/>
      <c r="AEZ32" s="2737"/>
      <c r="AFA32" s="2737"/>
      <c r="AFB32" s="2737"/>
      <c r="AFC32" s="2737"/>
      <c r="AFD32" s="2737"/>
      <c r="AFE32" s="2737"/>
      <c r="AFF32" s="2737"/>
      <c r="AFG32" s="2737"/>
      <c r="AFH32" s="2737"/>
      <c r="AFI32" s="2737"/>
      <c r="AFJ32" s="2737"/>
      <c r="AFK32" s="2737"/>
      <c r="AFL32" s="2737"/>
      <c r="AFM32" s="2737"/>
      <c r="AFN32" s="2737"/>
      <c r="AFO32" s="2737"/>
      <c r="AFP32" s="2737"/>
      <c r="AFQ32" s="2737"/>
      <c r="AFR32" s="2737"/>
      <c r="AFS32" s="2737"/>
      <c r="AFT32" s="2737"/>
      <c r="AFU32" s="2737"/>
      <c r="AFV32" s="2737"/>
      <c r="AFW32" s="2737"/>
      <c r="AFX32" s="2737"/>
      <c r="AFY32" s="2737"/>
      <c r="AGA32" s="2737"/>
      <c r="AGB32" s="2737"/>
      <c r="AGC32" s="2737"/>
      <c r="AGD32" s="2737"/>
      <c r="AGE32" s="2737"/>
      <c r="AGF32" s="2737"/>
      <c r="AGG32" s="2737"/>
      <c r="AGH32" s="2737"/>
      <c r="AGI32" s="2737"/>
      <c r="AGJ32" s="2737"/>
      <c r="AGK32" s="2737"/>
      <c r="AGL32" s="2737"/>
      <c r="AGM32" s="2737"/>
      <c r="AGO32" s="2737"/>
      <c r="AGP32" s="2737"/>
      <c r="AGQ32" s="2737"/>
      <c r="AGR32" s="2737"/>
      <c r="AGS32" s="2737"/>
      <c r="AGT32" s="2737"/>
      <c r="AGU32" s="2737"/>
      <c r="AGV32" s="2737"/>
      <c r="AGW32" s="2737"/>
      <c r="AGX32" s="2737"/>
      <c r="AGY32" s="2737"/>
      <c r="AGZ32" s="2737"/>
      <c r="AHA32" s="2737"/>
      <c r="AHB32" s="2737"/>
      <c r="AHC32" s="2737"/>
      <c r="AHD32" s="2737"/>
      <c r="AHE32" s="2737"/>
      <c r="AHF32" s="2737"/>
      <c r="AHG32" s="2737"/>
      <c r="AHH32" s="2737"/>
      <c r="AHI32" s="2737"/>
      <c r="AHJ32" s="2737"/>
      <c r="AHK32" s="2737"/>
      <c r="AHL32" s="2737"/>
      <c r="AHM32" s="2737"/>
      <c r="AHN32" s="2737"/>
      <c r="AHO32" s="2737"/>
      <c r="AHP32" s="2737"/>
      <c r="AHQ32" s="2737"/>
      <c r="AHR32" s="2737"/>
      <c r="AHS32" s="2737"/>
      <c r="AHT32" s="2737"/>
      <c r="AHU32" s="2737"/>
      <c r="AHV32" s="2737"/>
      <c r="AHW32" s="2737"/>
      <c r="AHX32" s="2737"/>
      <c r="AHZ32" s="2737"/>
      <c r="AIA32" s="2737"/>
      <c r="AIB32" s="2737"/>
      <c r="AIC32" s="2737"/>
      <c r="AID32" s="2737"/>
      <c r="AIE32" s="2737"/>
      <c r="AIF32" s="2737"/>
      <c r="AIG32" s="2737"/>
      <c r="AIH32" s="2737"/>
      <c r="AIK32" s="2737"/>
      <c r="AIL32" s="2737"/>
      <c r="AIM32" s="2737"/>
      <c r="AIN32" s="2737"/>
      <c r="AIO32" s="2737"/>
      <c r="AIP32" s="2737"/>
      <c r="AIQ32" s="2737"/>
      <c r="AIT32" s="3711"/>
      <c r="AIU32" s="3711"/>
      <c r="AIV32" s="3711"/>
      <c r="AIW32" s="3711" t="s">
        <v>1553</v>
      </c>
      <c r="AIX32" s="3711"/>
      <c r="AIY32" s="3711"/>
      <c r="AIZ32" s="3711"/>
      <c r="AJA32" s="3711"/>
      <c r="AJB32" s="3711"/>
      <c r="AJC32" s="3711"/>
      <c r="AJD32" s="3711"/>
      <c r="AJE32" s="3711" t="s">
        <v>1553</v>
      </c>
      <c r="AJF32" s="3711"/>
      <c r="AJG32" s="3711"/>
      <c r="AJH32" s="3711"/>
      <c r="AJI32" s="3711"/>
      <c r="AJJ32" s="3711"/>
      <c r="AJK32" s="3711"/>
      <c r="AJL32" s="3711"/>
      <c r="AJM32" s="3711"/>
      <c r="AJN32" s="3711"/>
      <c r="AJO32" s="3711"/>
      <c r="AJP32" s="3711"/>
      <c r="AJQ32" s="3711"/>
      <c r="AJR32" s="3711"/>
      <c r="AJS32" s="3711"/>
      <c r="AJT32" s="3711"/>
      <c r="AJU32" s="3711"/>
      <c r="AJV32" s="3711"/>
      <c r="AJW32" s="3711"/>
      <c r="AJX32" s="3711"/>
      <c r="AJY32" s="3711"/>
      <c r="AJZ32" s="3711"/>
      <c r="AKA32" s="3801"/>
      <c r="AKB32" s="3801"/>
      <c r="AKC32" s="2737"/>
      <c r="AKD32" s="3711"/>
      <c r="AKE32" s="3711" t="s">
        <v>1553</v>
      </c>
      <c r="AKF32" s="3711"/>
      <c r="AKG32" s="3711"/>
      <c r="AKH32" s="3711"/>
      <c r="AKI32" s="3711"/>
      <c r="AKJ32" s="3711"/>
      <c r="AKK32" s="3711"/>
      <c r="AKL32" s="3711"/>
      <c r="AKM32" s="3711"/>
      <c r="AKN32" s="3711"/>
      <c r="AKO32" s="3711"/>
      <c r="AKP32" s="3711"/>
      <c r="AKQ32" s="3711"/>
      <c r="AKR32" s="3711"/>
      <c r="AKS32" s="3711"/>
      <c r="AKT32" s="3711"/>
      <c r="AKU32" s="3714"/>
      <c r="AKV32" s="3711"/>
      <c r="AKW32" s="3711"/>
      <c r="AKX32" s="3711"/>
      <c r="AKY32" s="3711"/>
      <c r="AKZ32" s="3711"/>
      <c r="ALA32" s="3711"/>
      <c r="ALB32" s="3711"/>
      <c r="ALC32" s="2737"/>
      <c r="ALD32" s="3711"/>
      <c r="ALE32" s="3711" t="s">
        <v>1553</v>
      </c>
      <c r="ALF32" s="3711"/>
      <c r="ALG32" s="3711"/>
      <c r="ALH32" s="3711"/>
      <c r="ALI32" s="3711"/>
      <c r="ALJ32" s="3711"/>
      <c r="ALK32" s="3711"/>
      <c r="ALL32" s="3714"/>
      <c r="ALM32" s="2737"/>
      <c r="ALN32" s="3711" t="s">
        <v>1553</v>
      </c>
      <c r="ALO32" s="3711"/>
      <c r="ALP32" s="3711"/>
      <c r="ALQ32" s="3711"/>
      <c r="ALR32" s="3711"/>
      <c r="ALS32" s="3711"/>
      <c r="ALT32" s="3711"/>
      <c r="ALU32" s="3711"/>
      <c r="ALV32" s="3711"/>
      <c r="ALW32" s="3711"/>
      <c r="ALX32" s="3711"/>
      <c r="ALY32" s="3711"/>
      <c r="ALZ32" s="3711"/>
      <c r="AMA32" s="3711"/>
      <c r="AMB32" s="3711"/>
      <c r="AMC32" s="3711"/>
      <c r="AMD32" s="3711"/>
      <c r="AME32" s="3711"/>
      <c r="AMF32" s="3714"/>
      <c r="AMG32" s="3711"/>
      <c r="AMH32" s="3711"/>
      <c r="AMI32" s="3711"/>
      <c r="AMJ32" s="3711"/>
      <c r="AMK32" s="3711"/>
      <c r="AML32" s="3711"/>
      <c r="AMM32" s="3711"/>
      <c r="AMN32" s="3801"/>
      <c r="AMO32" s="3801"/>
      <c r="AMP32" s="3801"/>
      <c r="AMQ32" s="3801"/>
      <c r="AMR32" s="3801"/>
      <c r="AMS32" s="3801"/>
      <c r="AMT32" s="3801"/>
      <c r="AMU32" s="3801"/>
      <c r="AMV32" s="3801"/>
      <c r="AMW32" s="3801"/>
      <c r="AMX32" s="3801"/>
      <c r="AMY32" s="3801"/>
      <c r="AMZ32" s="3801"/>
      <c r="ANA32" s="3801"/>
      <c r="ANB32" s="3801"/>
      <c r="ANC32" s="3801"/>
      <c r="AND32" s="3801"/>
      <c r="ANE32" s="3801"/>
      <c r="ANF32" s="3801"/>
      <c r="ANG32" s="3801"/>
      <c r="ANH32" s="3801"/>
      <c r="ANI32" s="3801"/>
      <c r="ANJ32" s="3801"/>
      <c r="ANK32" s="3801"/>
      <c r="ANL32" s="3801"/>
      <c r="ANM32" s="3801"/>
      <c r="ANN32" s="3801"/>
      <c r="ANO32" s="3801"/>
      <c r="ANP32" s="3801"/>
      <c r="ANQ32" s="3801"/>
      <c r="ANR32" s="3801"/>
      <c r="ANS32" s="3801"/>
      <c r="ANT32" s="3801"/>
      <c r="ANU32" s="3801"/>
      <c r="ANV32" s="3801"/>
      <c r="ANW32" s="3801"/>
      <c r="ANX32" s="3801"/>
      <c r="ANY32" s="3801"/>
      <c r="ANZ32" s="3801"/>
      <c r="AOA32" s="3801"/>
      <c r="AOB32" s="3801"/>
      <c r="AOC32" s="3801"/>
      <c r="AOD32" s="3801"/>
      <c r="AOE32" s="3801"/>
      <c r="AOF32" s="3801"/>
      <c r="AOG32" s="3801"/>
      <c r="AOH32" s="3801"/>
      <c r="AOI32" s="3801"/>
      <c r="AOJ32" s="3801"/>
      <c r="AOK32" s="3801"/>
      <c r="AOL32" s="3801"/>
      <c r="AOM32" s="3801"/>
      <c r="AON32" s="181"/>
      <c r="AOO32" s="3817"/>
      <c r="AOP32" s="3817" t="s">
        <v>1553</v>
      </c>
      <c r="AOQ32" s="3817"/>
      <c r="AOR32" s="3817"/>
      <c r="AOS32" s="3817"/>
      <c r="AOT32" s="3817"/>
      <c r="AOU32" s="3817"/>
      <c r="AOV32" s="4137"/>
      <c r="AOW32" s="4137"/>
      <c r="AOX32" s="4137"/>
      <c r="AOY32" s="4137"/>
      <c r="AOZ32" s="4137"/>
      <c r="APA32" s="4137"/>
      <c r="APB32" s="4137"/>
      <c r="APC32" s="4137"/>
      <c r="APD32" s="4137"/>
      <c r="APE32" s="4137"/>
      <c r="APF32" s="3817"/>
      <c r="APG32" s="3817"/>
      <c r="APH32" s="3817"/>
      <c r="API32" s="3817"/>
      <c r="APJ32" s="3817"/>
      <c r="APK32" s="3817"/>
      <c r="APL32" s="3817"/>
      <c r="APM32" s="3817"/>
      <c r="APN32" s="3817"/>
      <c r="APO32" s="3817"/>
      <c r="APP32" s="3817"/>
      <c r="APQ32" s="3817"/>
      <c r="APR32" s="3817"/>
      <c r="APS32" s="3817"/>
      <c r="APT32" s="3817"/>
      <c r="APU32" s="3817"/>
      <c r="APV32" s="3817"/>
      <c r="APW32" s="3817"/>
      <c r="APX32" s="3817"/>
      <c r="APY32" s="3817"/>
      <c r="APZ32" s="3817"/>
      <c r="AQA32" s="3817"/>
      <c r="AQB32" s="3817"/>
      <c r="AQC32" s="3817"/>
      <c r="AQD32" s="3817"/>
      <c r="AQE32" s="3817"/>
      <c r="AQF32" s="3817"/>
      <c r="AQG32" s="3817"/>
      <c r="AQH32" s="3817"/>
      <c r="AQI32" s="3817"/>
      <c r="AQJ32" s="3817"/>
      <c r="AQK32" s="3817"/>
      <c r="AQL32" s="3817"/>
      <c r="AQM32" s="3801"/>
      <c r="AQN32" s="3817"/>
      <c r="AQO32" s="3817"/>
      <c r="AQP32" s="3817"/>
      <c r="AQQ32" s="3817"/>
      <c r="AQR32" s="3817"/>
      <c r="AQS32" s="3817"/>
      <c r="AQT32" s="3817"/>
      <c r="AQU32" s="3817"/>
      <c r="AQV32" s="3817"/>
      <c r="AQW32" s="3817"/>
      <c r="AQX32" s="3817"/>
      <c r="AQY32" s="3817"/>
      <c r="AQZ32" s="3817"/>
      <c r="ARA32" s="3817"/>
      <c r="ARB32" s="3817"/>
      <c r="ARC32" s="3817"/>
      <c r="ARD32" s="3817"/>
      <c r="ARE32" s="3817"/>
      <c r="ARF32" s="3817" t="s">
        <v>1553</v>
      </c>
      <c r="ARG32" s="3817"/>
      <c r="ARH32" s="3817"/>
      <c r="ARI32" s="3817"/>
      <c r="ARJ32" s="3817"/>
      <c r="ARK32" s="3817"/>
      <c r="ARL32" s="3817"/>
      <c r="ARM32" s="2737"/>
      <c r="ARN32" s="2737"/>
      <c r="ARO32" s="2737"/>
      <c r="ARP32" s="2737"/>
      <c r="ARQ32" s="2737"/>
      <c r="ARR32" s="2737"/>
      <c r="ARS32" s="2737"/>
      <c r="ART32" s="3766" t="s">
        <v>949</v>
      </c>
      <c r="ARU32" s="2737"/>
      <c r="ARV32" s="2737"/>
      <c r="ARW32" s="2737"/>
      <c r="ARX32" s="2737"/>
      <c r="ARY32" s="2737"/>
      <c r="ARZ32" s="2737"/>
      <c r="ASB32" s="2737"/>
      <c r="ASC32" s="2737"/>
      <c r="ASD32" s="2737"/>
      <c r="ASE32" s="2737"/>
      <c r="ASF32" s="2737"/>
      <c r="ASG32" s="2737"/>
      <c r="ASH32" s="2737"/>
      <c r="ASI32" s="2737"/>
      <c r="ASK32" s="2737"/>
      <c r="ASL32" s="2737"/>
      <c r="ASM32" s="2737"/>
      <c r="ASN32" s="2737"/>
      <c r="ASO32" s="2737"/>
      <c r="ASP32" s="2737"/>
      <c r="ASQ32" s="2737"/>
      <c r="ASR32" s="2737"/>
      <c r="ASS32" s="2737"/>
      <c r="AST32" s="2737"/>
      <c r="ASU32" s="2737"/>
      <c r="ASV32" s="2737"/>
      <c r="ASW32" s="2737"/>
      <c r="ASX32" s="2737"/>
      <c r="ASY32" s="2737"/>
      <c r="ASZ32" s="2737"/>
      <c r="ATL32" s="3595" t="s">
        <v>156</v>
      </c>
      <c r="ATM32" s="3532"/>
      <c r="ATN32" s="3433"/>
      <c r="ATO32" s="3447"/>
      <c r="ATP32" s="3433"/>
      <c r="ATQ32" s="3451">
        <f>ATQ19</f>
        <v>12.31</v>
      </c>
      <c r="ATR32" s="3451"/>
      <c r="ATS32" s="3433">
        <f>ATS19</f>
        <v>0</v>
      </c>
      <c r="ATT32" s="3525">
        <f t="shared" si="3"/>
        <v>12.31</v>
      </c>
      <c r="ATU32" s="3449"/>
      <c r="ATV32" s="2626"/>
      <c r="ATW32" s="2626"/>
      <c r="ATX32" s="2626"/>
      <c r="ATZ32" s="3458"/>
      <c r="AUA32" s="3458"/>
      <c r="AUB32" s="3458"/>
      <c r="AUC32" s="3458"/>
      <c r="AUD32" s="3458"/>
      <c r="AUE32" s="3458"/>
      <c r="AUF32" s="3458"/>
      <c r="AUG32" s="3458"/>
      <c r="AUH32" s="3458"/>
      <c r="AUI32" s="3458"/>
      <c r="AUJ32" s="3458"/>
      <c r="AUK32" s="3458"/>
      <c r="AUL32" s="3458"/>
      <c r="AUV32" s="2627" t="s">
        <v>1517</v>
      </c>
      <c r="AVP32" s="3540"/>
      <c r="AVQ32" s="3540"/>
      <c r="AVR32" s="3540"/>
      <c r="AVS32" s="181"/>
      <c r="AVT32" s="181"/>
      <c r="AVU32" s="181"/>
      <c r="AVV32" s="181"/>
      <c r="AVW32" s="181"/>
      <c r="AVX32" s="181"/>
      <c r="AVY32" s="181"/>
      <c r="AVZ32" s="181"/>
      <c r="AWA32" s="181"/>
      <c r="AWB32" s="181"/>
      <c r="AWC32" s="181"/>
      <c r="AWD32" s="181"/>
      <c r="AWE32" s="181"/>
      <c r="AWF32" s="181"/>
      <c r="AWG32" s="181"/>
      <c r="AWH32" s="181"/>
      <c r="AWI32" s="181"/>
      <c r="AWJ32" s="181"/>
      <c r="AWK32" s="181"/>
      <c r="AWL32" s="181"/>
      <c r="AWM32" s="181"/>
      <c r="AWN32" s="181"/>
      <c r="AWO32" s="181"/>
      <c r="AWP32" s="3540"/>
      <c r="AWQ32" s="3540"/>
      <c r="AWR32" s="181"/>
      <c r="AWY32" s="3623"/>
      <c r="AWZ32" s="3623"/>
      <c r="AXA32" s="3623"/>
      <c r="AXB32" s="3623"/>
      <c r="AYW32" s="2626"/>
      <c r="AYX32" s="2626"/>
      <c r="AYY32" s="2626"/>
      <c r="AYZ32" s="2626"/>
      <c r="AZA32" s="2626"/>
      <c r="AZB32" s="2626"/>
      <c r="AZC32" s="2626"/>
      <c r="AZD32" s="2626"/>
      <c r="AZE32" s="2626"/>
      <c r="AZF32" s="2626"/>
      <c r="AZG32" s="2626"/>
      <c r="AZH32" s="2626"/>
      <c r="AZI32" s="2626"/>
      <c r="AZJ32" s="2626"/>
      <c r="AZK32" s="2626"/>
      <c r="AZL32" s="2626"/>
      <c r="AZM32" s="2626"/>
      <c r="AZN32" s="2626"/>
      <c r="AZO32" s="2626"/>
      <c r="AZP32" s="2626"/>
      <c r="AZQ32" s="2626"/>
      <c r="AZR32" s="2626"/>
      <c r="AZS32" s="2626"/>
      <c r="AZT32" s="2626"/>
      <c r="AZU32" s="2626"/>
      <c r="AZV32" s="2626"/>
      <c r="AZZ32" s="2626"/>
      <c r="BAC32" s="2626"/>
      <c r="BAD32" s="2626"/>
      <c r="BAE32" s="2626"/>
      <c r="BAF32" s="2626"/>
      <c r="BAG32" s="2626"/>
      <c r="BAH32" s="2626"/>
      <c r="BAI32" s="2626"/>
      <c r="BAJ32" s="2626"/>
      <c r="BAP32" s="2626"/>
      <c r="BAQ32" s="2626"/>
      <c r="BAR32" s="2626"/>
      <c r="BAV32" s="2622"/>
      <c r="BAW32" s="2622"/>
      <c r="BAX32" s="2622"/>
      <c r="BAY32" s="2622"/>
      <c r="BAZ32" s="2622"/>
      <c r="BBA32" s="2622"/>
      <c r="BBB32" s="2622"/>
      <c r="BBC32" s="2622"/>
      <c r="BBD32" s="2622"/>
      <c r="BBE32" s="2622"/>
      <c r="BBF32" s="2622"/>
      <c r="BBG32" s="2622"/>
      <c r="BBH32" s="2622"/>
      <c r="BBI32" s="2622"/>
      <c r="BBJ32" s="2617"/>
      <c r="BBK32" s="2617"/>
      <c r="BBL32" s="2622"/>
      <c r="BBM32" s="2617"/>
      <c r="BBN32" s="2617"/>
      <c r="BBO32" s="2617"/>
      <c r="BBR32" s="3398"/>
    </row>
    <row r="33" spans="1:1490" ht="15" x14ac:dyDescent="0.2">
      <c r="AH33" s="2625"/>
      <c r="AI33" s="2625"/>
      <c r="AJ33" s="2625"/>
      <c r="AU33" s="235">
        <v>7</v>
      </c>
      <c r="AV33" s="185">
        <f>'!INN_SK'!$BV$55</f>
        <v>0</v>
      </c>
      <c r="AW33" s="185">
        <f>'!INN_SK'!$BV$57</f>
        <v>0</v>
      </c>
      <c r="AX33" s="185">
        <f>'!INN_SK'!$BV$64</f>
        <v>0</v>
      </c>
      <c r="AY33" s="185">
        <f>'!INN_SK'!$BV$71</f>
        <v>0</v>
      </c>
      <c r="AZ33" s="185">
        <f>'!INN_SK'!$BV$78</f>
        <v>0</v>
      </c>
      <c r="BA33" s="185">
        <f>'!INN_SK'!$BV$80</f>
        <v>0</v>
      </c>
      <c r="BB33" s="185">
        <f>'!INN_SK'!$BV$87</f>
        <v>1000</v>
      </c>
      <c r="BC33" s="185">
        <f>'!INN_SK'!$BV$94</f>
        <v>350</v>
      </c>
      <c r="BD33" s="193"/>
      <c r="BE33" s="2622"/>
      <c r="CF33" s="2625"/>
      <c r="CG33" s="462"/>
      <c r="CH33" s="5844"/>
      <c r="CI33" s="1172"/>
      <c r="CJ33" s="238"/>
      <c r="CK33" s="194"/>
      <c r="CL33" s="3453"/>
      <c r="CM33" s="3453"/>
      <c r="CN33" s="3453"/>
      <c r="CO33" s="3453"/>
      <c r="CP33" s="3453"/>
      <c r="CQ33" s="3453"/>
      <c r="CR33" s="3453"/>
      <c r="CS33" s="3453"/>
      <c r="CT33" s="3453"/>
      <c r="CU33" s="3453"/>
      <c r="CV33" s="3453"/>
      <c r="CW33" s="3453"/>
      <c r="CX33" s="3453"/>
      <c r="CY33" s="3453"/>
      <c r="CZ33" s="3453"/>
      <c r="DA33" s="3453"/>
      <c r="DB33" s="3453"/>
      <c r="DC33" s="3453"/>
      <c r="DD33" s="3453"/>
      <c r="DE33" s="3453"/>
      <c r="DF33" s="3453"/>
      <c r="DG33" s="3453"/>
      <c r="DH33" s="3453"/>
      <c r="DI33" s="3453"/>
      <c r="DJ33" s="3453"/>
      <c r="DK33" s="3453"/>
      <c r="DL33" s="3453"/>
      <c r="DM33" s="5722"/>
      <c r="DN33" s="3453"/>
      <c r="DO33" s="3453"/>
      <c r="DP33" s="3453"/>
      <c r="DQ33" s="3453"/>
      <c r="DR33" s="3453"/>
      <c r="DS33" s="3453"/>
      <c r="DT33" s="3453"/>
      <c r="DU33" s="3453"/>
      <c r="DV33" s="3453"/>
      <c r="DW33" s="3453"/>
      <c r="DX33" s="3453"/>
      <c r="DY33" s="3453"/>
      <c r="DZ33" s="3453"/>
      <c r="EA33" s="3453"/>
      <c r="EB33" s="3453"/>
      <c r="EC33" s="3453"/>
      <c r="ED33" s="3453"/>
      <c r="EE33" s="5722"/>
      <c r="EF33" s="3453"/>
      <c r="EG33" s="3453"/>
      <c r="EH33" s="5719"/>
      <c r="EI33" s="3453"/>
      <c r="EJ33" s="5719"/>
      <c r="EK33" s="3453"/>
      <c r="EL33" s="5719"/>
      <c r="EM33" s="3453"/>
      <c r="EN33" s="5719"/>
      <c r="EO33" s="3453"/>
      <c r="EP33" s="5719"/>
      <c r="EQ33" s="3453"/>
      <c r="ER33" s="5719"/>
      <c r="ES33" s="3453"/>
      <c r="ET33" s="5719"/>
      <c r="EU33" s="3453"/>
      <c r="EV33" s="5719"/>
      <c r="EW33" s="5698"/>
      <c r="EX33" s="3453"/>
      <c r="EY33" s="3453"/>
      <c r="EZ33" s="3453"/>
      <c r="FA33" s="3453"/>
      <c r="FB33" s="3453"/>
      <c r="FC33" s="3453"/>
      <c r="FD33" s="3453"/>
      <c r="FE33" s="3453"/>
      <c r="FF33" s="3453"/>
      <c r="FG33" s="3453"/>
      <c r="FH33" s="3453"/>
      <c r="FI33" s="3453"/>
      <c r="FJ33" s="3453"/>
      <c r="FK33" s="3453"/>
      <c r="FL33" s="3453"/>
      <c r="FM33" s="3453"/>
      <c r="FN33" s="5719"/>
      <c r="FO33" s="5719"/>
      <c r="FP33" s="3453"/>
      <c r="FQ33" s="3453"/>
      <c r="FR33" s="5854"/>
      <c r="FS33" s="3453"/>
      <c r="FT33" s="5854"/>
      <c r="FU33" s="3453"/>
      <c r="FV33" s="5854"/>
      <c r="FW33" s="3453"/>
      <c r="FX33" s="5854"/>
      <c r="FY33" s="3453"/>
      <c r="FZ33" s="5854"/>
      <c r="GA33" s="3453"/>
      <c r="GB33" s="5854"/>
      <c r="GC33" s="3453"/>
      <c r="GD33" s="5854"/>
      <c r="GE33" s="3453"/>
      <c r="GF33" s="5854"/>
      <c r="GG33" s="5698"/>
      <c r="GH33" s="3453"/>
      <c r="GI33" s="3453"/>
      <c r="GJ33" s="3453"/>
      <c r="GK33" s="3453"/>
      <c r="GL33" s="3453"/>
      <c r="GM33" s="3453"/>
      <c r="GN33" s="3453"/>
      <c r="GO33" s="3453"/>
      <c r="GP33" s="3453"/>
      <c r="GQ33" s="3453"/>
      <c r="GR33" s="3453"/>
      <c r="GS33" s="3453"/>
      <c r="GT33" s="3453"/>
      <c r="GU33" s="3453"/>
      <c r="GV33" s="3453"/>
      <c r="GW33" s="3453"/>
      <c r="GX33" s="3453"/>
      <c r="GY33" s="3453"/>
      <c r="GZ33" s="5698"/>
      <c r="HA33" s="5698"/>
      <c r="HB33" s="3453"/>
      <c r="HC33" s="3453"/>
      <c r="HD33" s="3453"/>
      <c r="HE33" s="3453"/>
      <c r="HF33" s="3453"/>
      <c r="HG33" s="3453"/>
      <c r="HH33" s="3453"/>
      <c r="HI33" s="3453"/>
      <c r="HJ33" s="3453"/>
      <c r="HK33" s="3453"/>
      <c r="HL33" s="3453"/>
      <c r="HM33" s="3453"/>
      <c r="HN33" s="3453"/>
      <c r="HO33" s="3453"/>
      <c r="HP33" s="3453"/>
      <c r="HQ33" s="3453"/>
      <c r="HR33" s="5819" t="e">
        <f t="shared" si="5"/>
        <v>#N/A</v>
      </c>
      <c r="HS33" s="5819">
        <f t="shared" si="6"/>
        <v>1</v>
      </c>
      <c r="HT33" s="5819">
        <f t="shared" si="7"/>
        <v>5</v>
      </c>
      <c r="HU33" s="5855">
        <f>IFERROR(IF(outputs_klasse_qty[[#This Row],[forbolting_bueområde_a]]=_List!$DQ$7,_Calcs_Klasse!$AI$46*$BG108,IF(outputs_klasse_qty[[#This Row],[forbolting_bueområde_a]]=_List!$DQ$8,$AI$40*$BG108)),0)</f>
        <v>0</v>
      </c>
      <c r="HV33" s="5856" t="e">
        <f>IF(outputs_klasse_qty[[#This Row],[forbolting_bueområde_a]]=_List!$DQ$7,($AI$46*BG108)/outputs_klasse_qty[[#This Row],[forbolting_senteravstand_a]]*outputs_klasse_qty[[#This Row],[forbolting_andel_a]],IF(outputs_klasse_qty[[#This Row],[forbolting_bueområde_a]]=_List!$DQ$8,($AI$40*BG108)/outputs_klasse_qty[[#This Row],[forbolting_senteravstand_a]]*outputs_klasse_qty[[#This Row],[forbolting_andel_a]],0))</f>
        <v>#N/A</v>
      </c>
      <c r="HW33" s="5819" t="str">
        <f t="shared" si="8"/>
        <v>Ingen</v>
      </c>
      <c r="HX33" s="5819">
        <f t="shared" si="9"/>
        <v>1</v>
      </c>
      <c r="HY33" s="5819" t="e">
        <f t="shared" si="10"/>
        <v>#N/A</v>
      </c>
      <c r="HZ33" s="5855" t="b">
        <f>IFERROR(IF(outputs_klasse_qty[[#This Row],[forbolting_bueområde_b]]=_List!$DQ$7,_Calcs_Klasse!$AI$46*$BH108,IF(outputs_klasse_qty[[#This Row],[forbolting_bueområde_b]]=_List!$DQ$8,$AI$40*$BH108)),0)</f>
        <v>0</v>
      </c>
      <c r="IA33" s="5856">
        <f>IF(outputs_klasse_qty[[#This Row],[forbolting_bueområde_b]]=_List!$DQ$7,($AI$46*BH108)/outputs_klasse_qty[[#This Row],[forbolting_senteravstand_b]]*outputs_klasse_qty[[#This Row],[forbolting_andel_b]],IF(outputs_klasse_qty[[#This Row],[forbolting_bueområde_b]]=_List!$DQ$8,($AI$40*BH108)/outputs_klasse_qty[[#This Row],[forbolting_senteravstand_b]]*outputs_klasse_qty[[#This Row],[forbolting_andel_b]],0))</f>
        <v>0</v>
      </c>
      <c r="IB33" s="5819" t="str">
        <f t="shared" si="11"/>
        <v>Ingen</v>
      </c>
      <c r="IC33" s="5819">
        <f t="shared" si="12"/>
        <v>1</v>
      </c>
      <c r="ID33" s="5819" t="e">
        <f t="shared" si="13"/>
        <v>#N/A</v>
      </c>
      <c r="IE33" s="5855" t="b">
        <f>IFERROR(IF(outputs_klasse_qty[[#This Row],[forbolting_bueområde_c]]=_List!$DQ$7,_Calcs_Klasse!$AI$46*$BI108,IF(outputs_klasse_qty[[#This Row],[forbolting_bueområde_c]]=_List!$DQ$8,$AI$40*$BI108)),0)</f>
        <v>0</v>
      </c>
      <c r="IF33" s="5856">
        <f>IF(outputs_klasse_qty[[#This Row],[forbolting_bueområde_c]]=_List!$DQ$7,($AI$46*BI108)/outputs_klasse_qty[[#This Row],[forbolting_senteravstand_c]]*outputs_klasse_qty[[#This Row],[forbolting_andel_c]],IF(outputs_klasse_qty[[#This Row],[forbolting_bueområde_c]]=_List!$DQ$8,($AI$40*BI108)/outputs_klasse_qty[[#This Row],[forbolting_senteravstand_c]]*outputs_klasse_qty[[#This Row],[forbolting_andel_c]],0))</f>
        <v>0</v>
      </c>
      <c r="IG33" s="5819" t="e">
        <f t="shared" si="14"/>
        <v>#N/A</v>
      </c>
      <c r="IH33" s="5819">
        <f t="shared" si="15"/>
        <v>1</v>
      </c>
      <c r="II33" s="5819">
        <f t="shared" si="16"/>
        <v>0.5</v>
      </c>
      <c r="IJ33" s="5855">
        <f>IFERROR(IF(outputs_klasse_qty[[#This Row],[forbolting_bueområde_d]]=_List!$DQ$7,_Calcs_Klasse!$AI$46*$BJ108,IF(outputs_klasse_qty[[#This Row],[forbolting_bueområde_d]]=_List!$DQ$8,$AI$40*$BJ108)),0)</f>
        <v>0</v>
      </c>
      <c r="IK33" s="5856" t="e">
        <f>IF(outputs_klasse_qty[[#This Row],[forbolting_bueområde_d]]=_List!$DQ$7,($AI$46*BJ108)/outputs_klasse_qty[[#This Row],[forbolting_senteravstand_d]]*outputs_klasse_qty[[#This Row],[forbolting_andel_d]],IF(outputs_klasse_qty[[#This Row],[forbolting_bueområde_d]]=_List!$DQ$8,($AI$40*BJ108)/outputs_klasse_qty[[#This Row],[forbolting_senteravstand_d]]*outputs_klasse_qty[[#This Row],[forbolting_andel_d]],0))</f>
        <v>#N/A</v>
      </c>
      <c r="IL33" s="5819" t="e">
        <f t="shared" si="17"/>
        <v>#N/A</v>
      </c>
      <c r="IM33" s="5819">
        <f t="shared" si="18"/>
        <v>1</v>
      </c>
      <c r="IN33" s="5819" t="e">
        <f t="shared" si="19"/>
        <v>#N/A</v>
      </c>
      <c r="IO33" s="5855">
        <f>IFERROR(IF(outputs_klasse_qty[[#This Row],[forbolting_bueområde_e1]]=_List!$DQ$7,_Calcs_Klasse!$AI$46*$BK108,IF(outputs_klasse_qty[[#This Row],[forbolting_bueområde_e1]]=_List!$DQ$8,$AI$40*$BK108)),0)</f>
        <v>0</v>
      </c>
      <c r="IP33" s="5856" t="e">
        <f>IF(outputs_klasse_qty[[#This Row],[forbolting_bueområde_e1]]=_List!$DQ$7,($AI$46*BK108)/outputs_klasse_qty[[#This Row],[forbolting_senteravstand_e1]]*outputs_klasse_qty[[#This Row],[forbolting_andel_e1]],IF(outputs_klasse_qty[[#This Row],[forbolting_bueområde_e1]]=_List!$DQ$8,($AI$40*BK108)/outputs_klasse_qty[[#This Row],[forbolting_senteravstand_e1]]*outputs_klasse_qty[[#This Row],[forbolting_andel_e1]],0))</f>
        <v>#N/A</v>
      </c>
      <c r="IQ33" s="5819" t="e">
        <f t="shared" si="20"/>
        <v>#N/A</v>
      </c>
      <c r="IR33" s="5819" t="e">
        <f t="shared" si="21"/>
        <v>#N/A</v>
      </c>
      <c r="IS33" s="5819" t="e">
        <f t="shared" si="22"/>
        <v>#N/A</v>
      </c>
      <c r="IT33" s="5855">
        <f>IFERROR(IF(outputs_klasse_qty[[#This Row],[forbolting_bueområde_e2]]=_List!$DQ$7,_Calcs_Klasse!$AI$46*$BL108,IF(outputs_klasse_qty[[#This Row],[forbolting_bueområde_e2]]=_List!$DQ$8,$AI$40*$BL108)),0)</f>
        <v>0</v>
      </c>
      <c r="IU33" s="5856" t="e">
        <f>IF(outputs_klasse_qty[[#This Row],[forbolting_bueområde_e2]]=_List!$DQ$7,($AI$46*BL108)/outputs_klasse_qty[[#This Row],[forbolting_senteravstand_e2]]*outputs_klasse_qty[[#This Row],[forbolting_andel_e2]],IF(outputs_klasse_qty[[#This Row],[forbolting_bueområde_e2]]=_List!$DQ$8,($AI$40*BL108)/outputs_klasse_qty[[#This Row],[forbolting_senteravstand_e2]]*outputs_klasse_qty[[#This Row],[forbolting_andel_e2]],0))</f>
        <v>#N/A</v>
      </c>
      <c r="IV33" s="5819" t="e">
        <f t="shared" si="23"/>
        <v>#N/A</v>
      </c>
      <c r="IW33" s="5819" t="e">
        <f t="shared" si="24"/>
        <v>#N/A</v>
      </c>
      <c r="IX33" s="5819" t="e">
        <f t="shared" si="25"/>
        <v>#N/A</v>
      </c>
      <c r="IY33" s="5855">
        <f>IFERROR(IF(outputs_klasse_qty[[#This Row],[forbolting_bueområde_f]]=_List!$DQ$7,_Calcs_Klasse!$AI$46*$BM108,IF(outputs_klasse_qty[[#This Row],[forbolting_bueområde_f]]=_List!$DQ$8,$AI$40*$BM108)),0)</f>
        <v>0</v>
      </c>
      <c r="IZ33" s="5856" t="e">
        <f>IF(outputs_klasse_qty[[#This Row],[forbolting_bueområde_f]]=_List!$DQ$7,($AI$46*BM108)/outputs_klasse_qty[[#This Row],[forbolting_senteravstand_f]]*outputs_klasse_qty[[#This Row],[forbolting_andel_f]],IF(outputs_klasse_qty[[#This Row],[forbolting_bueområde_f]]=_List!$DQ$8,($AI$40*BM108)/outputs_klasse_qty[[#This Row],[forbolting_senteravstand_f]]*outputs_klasse_qty[[#This Row],[forbolting_andel_f]],0))</f>
        <v>#N/A</v>
      </c>
      <c r="JA33" s="5819" t="e">
        <f t="shared" si="26"/>
        <v>#N/A</v>
      </c>
      <c r="JB33" s="5819" t="e">
        <f t="shared" si="27"/>
        <v>#N/A</v>
      </c>
      <c r="JC33" s="5819" t="e">
        <f t="shared" si="28"/>
        <v>#N/A</v>
      </c>
      <c r="JD33" s="5855">
        <f>IFERROR(IF(outputs_klasse_qty[[#This Row],[forbolting_bueområde_g]]=_List!$DQ$7,_Calcs_Klasse!$AI$46*$BN108,IF(outputs_klasse_qty[[#This Row],[forbolting_bueområde_g]]=_List!$DQ$8,$AI$40*$BN108)),0)</f>
        <v>0</v>
      </c>
      <c r="JE33" s="5856" t="e">
        <f>IF(outputs_klasse_qty[[#This Row],[forbolting_bueområde_g]]=_List!$DQ$7,($AI$46*BN108)/outputs_klasse_qty[[#This Row],[forbolting_senteravstand_g]]*outputs_klasse_qty[[#This Row],[forbolting_andel_g]],IF(outputs_klasse_qty[[#This Row],[forbolting_bueområde_g]]=_List!$DQ$8,($AI$40*BN108)/outputs_klasse_qty[[#This Row],[forbolting_senteravstand_g]]*outputs_klasse_qty[[#This Row],[forbolting_andel_g]],0))</f>
        <v>#N/A</v>
      </c>
      <c r="JF33" s="3453">
        <f>IFERROR(outputs_klasse_qty[[#This Row],[forbolting_bolter_output_a]]*$AQC$42,0)</f>
        <v>0</v>
      </c>
      <c r="JG33" s="3453">
        <f>IFERROR(outputs_klasse_qty[[#This Row],[forbolting_bolter_output_a]]*$AQL$42,0)</f>
        <v>0</v>
      </c>
      <c r="JH33" s="3453">
        <f>IFERROR(outputs_klasse_qty[[#This Row],[forbolting_bolter_output_b]]*$AQC$43,0)</f>
        <v>0</v>
      </c>
      <c r="JI33" s="3453">
        <f>IFERROR(outputs_klasse_qty[[#This Row],[forbolting_bolter_output_b]]*$AQL$43,0)</f>
        <v>0</v>
      </c>
      <c r="JJ33" s="3453">
        <f>IFERROR(outputs_klasse_qty[[#This Row],[forbolting_bolter_output_c]]*$AQC$44,0)</f>
        <v>0</v>
      </c>
      <c r="JK33" s="3453">
        <f>IFERROR(outputs_klasse_qty[[#This Row],[forbolting_bolter_output_c]]*$AQL$44,0)</f>
        <v>0</v>
      </c>
      <c r="JL33" s="3453">
        <f>IFERROR(outputs_klasse_qty[[#This Row],[forbolting_bolter_output_d]]*$AQC$45,0)</f>
        <v>0</v>
      </c>
      <c r="JM33" s="3453">
        <f>IFERROR(outputs_klasse_qty[[#This Row],[forbolting_bolter_output_d]]*$AQL$45,0)</f>
        <v>0</v>
      </c>
      <c r="JN33" s="3453">
        <f>IFERROR(outputs_klasse_qty[[#This Row],[forbolting_bolter_output_e1]]*$AQC$46,0)</f>
        <v>0</v>
      </c>
      <c r="JO33" s="3453">
        <f>IFERROR(outputs_klasse_qty[[#This Row],[forbolting_bolter_output_e1]]*$AQL$46,0)</f>
        <v>0</v>
      </c>
      <c r="JP33" s="3453">
        <f>IFERROR(outputs_klasse_qty[[#This Row],[forbolting_bolter_output_e2]]*$AQC$47,0)</f>
        <v>0</v>
      </c>
      <c r="JQ33" s="3453">
        <f>IFERROR(outputs_klasse_qty[[#This Row],[forbolting_bolter_output_e2]]*$AQL$47,0)</f>
        <v>0</v>
      </c>
      <c r="JR33" s="3453">
        <f>IFERROR(outputs_klasse_qty[[#This Row],[forbolting_bolter_output_f]]*$AQC$48,0)</f>
        <v>0</v>
      </c>
      <c r="JS33" s="3453">
        <f>IFERROR(outputs_klasse_qty[[#This Row],[forbolting_bolter_output_f]]*$AQL$48,0)</f>
        <v>0</v>
      </c>
      <c r="JT33" s="3453">
        <f>IFERROR(outputs_klasse_qty[[#This Row],[forbolting_bolter_output_g]]*$AQC$49,0)</f>
        <v>0</v>
      </c>
      <c r="JU33" s="3453">
        <f>IFERROR(outputs_klasse_qty[[#This Row],[forbolting_bolter_output_g]]*$AQL$49,0)</f>
        <v>0</v>
      </c>
      <c r="JV33"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3"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3" s="5819" t="e">
        <f t="shared" si="29"/>
        <v>#N/A</v>
      </c>
      <c r="JY33" s="5856" t="e">
        <f>IF(outputs_klasse_qty[[#This Row],[forbolting_bueområde_a]]=_List!$DQ$7,($AI$46*BG108)/outputs_klasse_qty[[#This Row],[opphengbolter_senteravstand_a]]*outputs_klasse_qty[[#This Row],[forbolting_andel_a]],IF(outputs_klasse_qty[[#This Row],[forbolting_bueområde_a]]=_List!$DQ$8,($AI$40*BG108)/outputs_klasse_qty[[#This Row],[opphengbolter_senteravstand_a]]*outputs_klasse_qty[[#This Row],[forbolting_andel_a]],0))</f>
        <v>#N/A</v>
      </c>
      <c r="JZ33" s="5819" t="e">
        <f t="shared" si="30"/>
        <v>#N/A</v>
      </c>
      <c r="KA33" s="5856">
        <f>IF(outputs_klasse_qty[[#This Row],[forbolting_bueområde_b]]=_List!$DQ$7,($AI$46*BH108)/outputs_klasse_qty[[#This Row],[opphengbolter_senteravstand_b]]*outputs_klasse_qty[[#This Row],[forbolting_andel_b]],IF(outputs_klasse_qty[[#This Row],[forbolting_bueområde_b]]=_List!$DQ$8,($AI$40*BH108)/outputs_klasse_qty[[#This Row],[opphengbolter_senteravstand_b]]*outputs_klasse_qty[[#This Row],[forbolting_andel_b]],0))</f>
        <v>0</v>
      </c>
      <c r="KB33" s="5819" t="e">
        <f t="shared" si="31"/>
        <v>#N/A</v>
      </c>
      <c r="KC33" s="5856">
        <f>IF(outputs_klasse_qty[[#This Row],[forbolting_bueområde_c]]=_List!$DQ$7,($AI$46*BI108)/outputs_klasse_qty[[#This Row],[opphengbolter_senteravstand_c]]*outputs_klasse_qty[[#This Row],[forbolting_andel_c]],IF(outputs_klasse_qty[[#This Row],[forbolting_bueområde_c]]=_List!$DQ$8,($AI$40*BI108)/outputs_klasse_qty[[#This Row],[opphengbolter_senteravstand_c]]*outputs_klasse_qty[[#This Row],[forbolting_andel_c]],0))</f>
        <v>0</v>
      </c>
      <c r="KD33" s="5819" t="e">
        <f t="shared" si="32"/>
        <v>#N/A</v>
      </c>
      <c r="KE33" s="5856" t="e">
        <f>IF(outputs_klasse_qty[[#This Row],[forbolting_bueområde_d]]=_List!$DQ$7,($AI$46*BJ108)/outputs_klasse_qty[[#This Row],[opphengbolter_senteravstand_d]]*outputs_klasse_qty[[#This Row],[forbolting_andel_d]],IF(outputs_klasse_qty[[#This Row],[forbolting_bueområde_d]]=_List!$DQ$8,($AI$40*BJ108)/outputs_klasse_qty[[#This Row],[opphengbolter_senteravstand_d]]*outputs_klasse_qty[[#This Row],[forbolting_andel_d]],0))</f>
        <v>#N/A</v>
      </c>
      <c r="KF33" s="5819" t="e">
        <f t="shared" si="33"/>
        <v>#N/A</v>
      </c>
      <c r="KG33" s="5856" t="e">
        <f>IF(outputs_klasse_qty[[#This Row],[forbolting_bueområde_e1]]=_List!$DQ$7,($AI$46*BK108)/outputs_klasse_qty[[#This Row],[opphengbolter_senteravstand_e1]]*outputs_klasse_qty[[#This Row],[forbolting_andel_e1]],IF(outputs_klasse_qty[[#This Row],[forbolting_bueområde_e1]]=_List!$DQ$8,($AI$40*BK108)/outputs_klasse_qty[[#This Row],[opphengbolter_senteravstand_e1]]*outputs_klasse_qty[[#This Row],[forbolting_andel_e1]],0))</f>
        <v>#N/A</v>
      </c>
      <c r="KH33" s="5819" t="e">
        <f t="shared" si="34"/>
        <v>#N/A</v>
      </c>
      <c r="KI33" s="5856" t="e">
        <f>IF(outputs_klasse_qty[[#This Row],[forbolting_bueområde_e2]]=_List!$DQ$7,($AI$46*BL108)/outputs_klasse_qty[[#This Row],[opphengbolter_senteravstand_e2]]*outputs_klasse_qty[[#This Row],[forbolting_andel_e2]],IF(outputs_klasse_qty[[#This Row],[forbolting_bueområde_e2]]=_List!$DQ$8,($AI$40*BL108)/outputs_klasse_qty[[#This Row],[opphengbolter_senteravstand_e2]]*outputs_klasse_qty[[#This Row],[forbolting_andel_e2]],0))</f>
        <v>#N/A</v>
      </c>
      <c r="KJ33" s="5819" t="e">
        <f t="shared" si="35"/>
        <v>#N/A</v>
      </c>
      <c r="KK33" s="5856" t="e">
        <f>IF(outputs_klasse_qty[[#This Row],[forbolting_bueområde_f]]=_List!$DQ$7,($AI$46*BM108)/outputs_klasse_qty[[#This Row],[opphengbolter_senteravstand_f]]*outputs_klasse_qty[[#This Row],[forbolting_andel_f]],IF(outputs_klasse_qty[[#This Row],[forbolting_bueområde_f]]=_List!$DQ$8,($AI$40*BM108)/outputs_klasse_qty[[#This Row],[opphengbolter_senteravstand_f]]*outputs_klasse_qty[[#This Row],[forbolting_andel_f]],0))</f>
        <v>#N/A</v>
      </c>
      <c r="KL33" s="5819" t="e">
        <f t="shared" si="36"/>
        <v>#N/A</v>
      </c>
      <c r="KM33" s="5856" t="e">
        <f>IF(outputs_klasse_qty[[#This Row],[forbolting_bueområde_g]]=_List!$DQ$7,($AI$46*BN108)/outputs_klasse_qty[[#This Row],[opphengbolter_senteravstand_g]]*outputs_klasse_qty[[#This Row],[forbolting_andel_g]],IF(outputs_klasse_qty[[#This Row],[forbolting_bueområde_g]]=_List!$DQ$8,($AI$40*BN108)/outputs_klasse_qty[[#This Row],[opphengbolter_senteravstand_g]]*outputs_klasse_qty[[#This Row],[forbolting_andel_g]],0))</f>
        <v>#N/A</v>
      </c>
      <c r="KN33" s="5819">
        <f>IFERROR(outputs_klasse_qty[[#This Row],[opphengbolter_output_a]]*$ARC$42,0)</f>
        <v>0</v>
      </c>
      <c r="KO33" s="5819">
        <f>IFERROR(outputs_klasse_qty[[#This Row],[opphengbolter_output_a]]*$ARL$42,0)</f>
        <v>0</v>
      </c>
      <c r="KP33" s="5819">
        <f>IFERROR(outputs_klasse_qty[[#This Row],[opphengbolter_output_b]]*$ARC$43,0)</f>
        <v>0</v>
      </c>
      <c r="KQ33" s="5819">
        <f>IFERROR(outputs_klasse_qty[[#This Row],[opphengbolter_output_b]]*$ARL$43,0)</f>
        <v>0</v>
      </c>
      <c r="KR33" s="5819">
        <f>IFERROR(outputs_klasse_qty[[#This Row],[opphengbolter_output_c]]*$ARC$44,0)</f>
        <v>0</v>
      </c>
      <c r="KS33" s="5819">
        <f>IFERROR(outputs_klasse_qty[[#This Row],[opphengbolter_output_c]]*$ARL$44,0)</f>
        <v>0</v>
      </c>
      <c r="KT33" s="5819">
        <f>IFERROR(outputs_klasse_qty[[#This Row],[opphengbolter_output_d]]*$ARC$45,0)</f>
        <v>0</v>
      </c>
      <c r="KU33" s="5819">
        <f>IFERROR(outputs_klasse_qty[[#This Row],[opphengbolter_output_d]]*$ARL$45,0)</f>
        <v>0</v>
      </c>
      <c r="KV33" s="5819">
        <f>IFERROR(outputs_klasse_qty[[#This Row],[opphengbolter_output_e1]]*$ARC$46,0)</f>
        <v>0</v>
      </c>
      <c r="KW33" s="5819">
        <f>IFERROR(outputs_klasse_qty[[#This Row],[opphengbolter_output_e1]]*$ARL$46,0)</f>
        <v>0</v>
      </c>
      <c r="KX33" s="5819">
        <f>IFERROR(outputs_klasse_qty[[#This Row],[opphengbolter_output_e2]]*$ARC$47,0)</f>
        <v>0</v>
      </c>
      <c r="KY33" s="5819">
        <f>IFERROR(outputs_klasse_qty[[#This Row],[opphengbolter_output_e2]]*$ARL$47,0)</f>
        <v>0</v>
      </c>
      <c r="KZ33" s="5819">
        <f>IFERROR(outputs_klasse_qty[[#This Row],[opphengbolter_output_f]]*$ARC$48,0)</f>
        <v>0</v>
      </c>
      <c r="LA33" s="5819">
        <f>IFERROR(outputs_klasse_qty[[#This Row],[opphengbolter_output_f]]*$ARL$48,0)</f>
        <v>0</v>
      </c>
      <c r="LB33" s="5819">
        <f>IFERROR(outputs_klasse_qty[[#This Row],[opphengbolter_output_g]]*$ARC$49,0)</f>
        <v>0</v>
      </c>
      <c r="LC33" s="5819">
        <f>IFERROR(outputs_klasse_qty[[#This Row],[opphengbolter_output_g]]*$ARL$49,0)</f>
        <v>0</v>
      </c>
      <c r="LD33"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3"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3" s="3453"/>
      <c r="LG33" s="3453"/>
      <c r="LH33" s="3453">
        <f>IFERROR(outputs_klasse_qty[[#This Row],[bergbånd_langs_forbolting_a_rate]]*outputs_klasse_qty[[#This Row],[forbolting_bue_lengde_a]],0)</f>
        <v>0</v>
      </c>
      <c r="LI33" s="3453"/>
      <c r="LJ33" s="3453">
        <f>IFERROR(outputs_klasse_qty[[#This Row],[bergbånd_langs_forbolting_b_rate]]*outputs_klasse_qty[[#This Row],[forbolting_bue_lengde_b]],0)</f>
        <v>0</v>
      </c>
      <c r="LK33" s="3453"/>
      <c r="LL33" s="3453">
        <f>IFERROR(outputs_klasse_qty[[#This Row],[bergbånd_langs_forbolting_c_rate]]*outputs_klasse_qty[[#This Row],[forbolting_bue_lengde_c]],0)</f>
        <v>0</v>
      </c>
      <c r="LM33" s="3453"/>
      <c r="LN33" s="3453">
        <f>IFERROR(outputs_klasse_qty[[#This Row],[bergbånd_langs_forbolting_d_rate]]*outputs_klasse_qty[[#This Row],[forbolting_bue_lengde_d]],0)</f>
        <v>0</v>
      </c>
      <c r="LO33" s="3453"/>
      <c r="LP33" s="3453">
        <f>IFERROR(outputs_klasse_qty[[#This Row],[bergbånd_langs_forbolting_e1_rate]]*outputs_klasse_qty[[#This Row],[forbolting_bue_lengde_e1]],0)</f>
        <v>0</v>
      </c>
      <c r="LQ33" s="3453"/>
      <c r="LR33" s="3453">
        <f>IFERROR(outputs_klasse_qty[[#This Row],[bergbånd_langs_forbolting_e2_rate]]*outputs_klasse_qty[[#This Row],[forbolting_bue_lengde_e2]],0)</f>
        <v>0</v>
      </c>
      <c r="LS33" s="3453"/>
      <c r="LT33" s="3453">
        <f>IFERROR(outputs_klasse_qty[[#This Row],[bergbånd_langs_forbolting_f_rate]]*outputs_klasse_qty[[#This Row],[forbolting_bue_lengde_f]],0)</f>
        <v>0</v>
      </c>
      <c r="LU33" s="3453"/>
      <c r="LV33" s="3453">
        <f>IFERROR(outputs_klasse_qty[[#This Row],[bergbånd_langs_forbolting_g_rate]]*outputs_klasse_qty[[#This Row],[forbolting_bue_lengde_g]],0)</f>
        <v>0</v>
      </c>
      <c r="LW33"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3" s="3453" t="e">
        <f t="shared" si="37"/>
        <v>#N/A</v>
      </c>
      <c r="LY33" s="5703">
        <f>IFERROR(outputs_klasse_qty[[#This Row],[bånd_ekstra_a_rate]]*$AY85,0)</f>
        <v>0</v>
      </c>
      <c r="LZ33" s="3453" t="e">
        <f t="shared" si="38"/>
        <v>#N/A</v>
      </c>
      <c r="MA33" s="5703">
        <f>IFERROR(outputs_klasse_qty[[#This Row],[bånd_ekstra_b_rate]]*$AZ85,0)</f>
        <v>0</v>
      </c>
      <c r="MB33" s="3453" t="e">
        <f t="shared" si="39"/>
        <v>#N/A</v>
      </c>
      <c r="MC33" s="5703">
        <f>IFERROR(outputs_klasse_qty[[#This Row],[bånd_ekstra_c_rate]]*$BA85,0)</f>
        <v>0</v>
      </c>
      <c r="MD33" s="3453" t="e">
        <f t="shared" si="40"/>
        <v>#N/A</v>
      </c>
      <c r="ME33" s="5703">
        <f>IFERROR(outputs_klasse_qty[[#This Row],[bånd_ekstra_d_rate]]*$BB85,0)</f>
        <v>0</v>
      </c>
      <c r="MF33" s="3453" t="e">
        <f t="shared" si="41"/>
        <v>#N/A</v>
      </c>
      <c r="MG33" s="5703">
        <f>IFERROR(outputs_klasse_qty[[#This Row],[bånd_ekstra_e1_rate]]*$BC85,0)</f>
        <v>0</v>
      </c>
      <c r="MH33" s="3453" t="e">
        <f t="shared" si="42"/>
        <v>#N/A</v>
      </c>
      <c r="MI33" s="5703">
        <f>IFERROR(outputs_klasse_qty[[#This Row],[bånd_ekstra_e2_rate]]*$BD85,0)</f>
        <v>0</v>
      </c>
      <c r="MJ33" s="3453" t="e">
        <f t="shared" si="43"/>
        <v>#N/A</v>
      </c>
      <c r="MK33" s="5703">
        <f>IFERROR(outputs_klasse_qty[[#This Row],[bånd_ekstra_f_rate]]*$BE85,0)</f>
        <v>0</v>
      </c>
      <c r="ML33" s="3453" t="e">
        <f t="shared" si="44"/>
        <v>#N/A</v>
      </c>
      <c r="MM33" s="5703">
        <f>IFERROR(outputs_klasse_qty[[#This Row],[bånd_ekstra_g_rate]]*$BF85,0)</f>
        <v>0</v>
      </c>
      <c r="MN33"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3" s="5705">
        <f>outputs_klasse_qty[[#This Row],[bergbånd_langs_forbolting_a_output]]+outputs_klasse_qty[[#This Row],[bånd_ekstra_a_output]]</f>
        <v>0</v>
      </c>
      <c r="MP33" s="5705">
        <f>outputs_klasse_qty[[#This Row],[bergbånd_langs_forbolting_b_output]]+outputs_klasse_qty[[#This Row],[bånd_ekstra_b_output]]</f>
        <v>0</v>
      </c>
      <c r="MQ33" s="5705">
        <f>outputs_klasse_qty[[#This Row],[bergbånd_langs_forbolting_c_output]]+outputs_klasse_qty[[#This Row],[bånd_ekstra_c_output]]</f>
        <v>0</v>
      </c>
      <c r="MR33" s="5705">
        <f>outputs_klasse_qty[[#This Row],[bergbånd_langs_forbolting_d_output]]+outputs_klasse_qty[[#This Row],[bånd_ekstra_d_output]]</f>
        <v>0</v>
      </c>
      <c r="MS33" s="5705">
        <f>outputs_klasse_qty[[#This Row],[bergbånd_langs_forbolting_e1_output]]+outputs_klasse_qty[[#This Row],[bånd_ekstra_e1_output]]</f>
        <v>0</v>
      </c>
      <c r="MT33" s="5705">
        <f>outputs_klasse_qty[[#This Row],[bergbånd_langs_forbolting_e2_output]]+outputs_klasse_qty[[#This Row],[bånd_ekstra_e2_output]]</f>
        <v>0</v>
      </c>
      <c r="MU33" s="5705">
        <f>outputs_klasse_qty[[#This Row],[bergbånd_langs_forbolting_f_output]]+outputs_klasse_qty[[#This Row],[bånd_ekstra_f_output]]</f>
        <v>0</v>
      </c>
      <c r="MV33" s="5705">
        <f>outputs_klasse_qty[[#This Row],[bergbånd_langs_forbolting_g_output]]+outputs_klasse_qty[[#This Row],[bånd_ekstra_g_output]]</f>
        <v>0</v>
      </c>
      <c r="MW33" s="5706">
        <f>SUM(outputs_klasse_qty[[#This Row],[bergbånd_sum_a]:[bergbånd_sum_g]])</f>
        <v>0</v>
      </c>
      <c r="MX33" s="3453" t="e">
        <f t="shared" si="45"/>
        <v>#N/A</v>
      </c>
      <c r="MY33" s="5707">
        <f>IFERROR(outputs_klasse_qty[[#This Row],[bergbånd_sum_a]]/outputs_klasse_qty[[#This Row],[festebolter_for_bergbånd_a_senteravstand]],0)</f>
        <v>0</v>
      </c>
      <c r="MZ33" s="3453" t="e">
        <f t="shared" si="46"/>
        <v>#N/A</v>
      </c>
      <c r="NA33" s="5707">
        <f>IFERROR(outputs_klasse_qty[[#This Row],[bergbånd_sum_b]]/outputs_klasse_qty[[#This Row],[festebolter_for_bergbånd_b_senteravstand]],0)</f>
        <v>0</v>
      </c>
      <c r="NB33" s="3453" t="e">
        <f t="shared" si="47"/>
        <v>#N/A</v>
      </c>
      <c r="NC33" s="5707">
        <f>IFERROR(outputs_klasse_qty[[#This Row],[bergbånd_sum_c]]/outputs_klasse_qty[[#This Row],[festebolter_for_bergbånd_c_senteravstand]],0)</f>
        <v>0</v>
      </c>
      <c r="ND33" s="3453" t="e">
        <f t="shared" si="48"/>
        <v>#N/A</v>
      </c>
      <c r="NE33" s="5707">
        <f>IFERROR(outputs_klasse_qty[[#This Row],[bergbånd_sum_d]]/outputs_klasse_qty[[#This Row],[festebolter_for_bergbånd_d_senteravstand]],0)</f>
        <v>0</v>
      </c>
      <c r="NF33" s="3453" t="e">
        <f t="shared" si="49"/>
        <v>#N/A</v>
      </c>
      <c r="NG33" s="5707">
        <f>IFERROR(outputs_klasse_qty[[#This Row],[bergbånd_sum_e1]]/outputs_klasse_qty[[#This Row],[festebolter_for_bergbånd_e1_senteravstand]],0)</f>
        <v>0</v>
      </c>
      <c r="NH33" s="3453" t="e">
        <f t="shared" si="50"/>
        <v>#N/A</v>
      </c>
      <c r="NI33" s="5707">
        <f>IFERROR(outputs_klasse_qty[[#This Row],[bergbånd_sum_e2]]/outputs_klasse_qty[[#This Row],[festebolter_for_bergbånd_e2_senteravstand]],0)</f>
        <v>0</v>
      </c>
      <c r="NJ33" s="3453" t="e">
        <f t="shared" si="51"/>
        <v>#N/A</v>
      </c>
      <c r="NK33" s="5707">
        <f>IFERROR(outputs_klasse_qty[[#This Row],[bergbånd_sum_f]]/outputs_klasse_qty[[#This Row],[festebolter_for_bergbånd_f_senteravstand]],0)</f>
        <v>0</v>
      </c>
      <c r="NL33" s="3453" t="e">
        <f t="shared" si="52"/>
        <v>#N/A</v>
      </c>
      <c r="NM33" s="5707">
        <f>IFERROR(outputs_klasse_qty[[#This Row],[bergbånd_sum_g]]/outputs_klasse_qty[[#This Row],[festebolter_for_bergbånd_g_senteravstand]],0)</f>
        <v>0</v>
      </c>
      <c r="NN33"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3" s="3453"/>
      <c r="NP33" s="3453"/>
      <c r="NQ33" s="3453"/>
      <c r="NR33" s="3453"/>
      <c r="NS33" s="3453"/>
      <c r="NT33" s="3453"/>
      <c r="NU33" s="3453"/>
      <c r="NV33" s="3453"/>
      <c r="NW33" s="3453"/>
      <c r="NX33" s="3453"/>
      <c r="NY33" s="3453"/>
      <c r="NZ33" s="3453"/>
      <c r="OA33" s="3453"/>
      <c r="OB33" s="3453"/>
      <c r="OC33" s="3453"/>
      <c r="OD33" s="3453"/>
      <c r="OE33" s="3453"/>
      <c r="OF33" s="3453"/>
      <c r="OG33" s="3453"/>
      <c r="OH33" s="3453"/>
      <c r="OI33" s="5712"/>
      <c r="OJ33" s="3453"/>
      <c r="OK33" s="5720">
        <f>IFERROR(outputs_klasse_qty[[#This Row],[nett_a_rate]]*$AY85,0)</f>
        <v>0</v>
      </c>
      <c r="OL33" s="3453"/>
      <c r="OM33" s="5720">
        <f>IFERROR(outputs_klasse_qty[[#This Row],[nett_b_rate]]*$AZ85,0)</f>
        <v>0</v>
      </c>
      <c r="ON33" s="3453"/>
      <c r="OO33" s="5720">
        <f>IFERROR(outputs_klasse_qty[[#This Row],[nett_c_rate]]*$BA85,0)</f>
        <v>0</v>
      </c>
      <c r="OP33" s="3453"/>
      <c r="OQ33" s="5720">
        <f>IFERROR(outputs_klasse_qty[[#This Row],[nett_d_rate]]*$BB85,0)</f>
        <v>0</v>
      </c>
      <c r="OR33" s="3453"/>
      <c r="OS33" s="5720">
        <f>IFERROR(outputs_klasse_qty[[#This Row],[nett_e1_rate]]*$BC85,0)</f>
        <v>0</v>
      </c>
      <c r="OT33" s="3453"/>
      <c r="OU33" s="5720">
        <f>IFERROR(outputs_klasse_qty[[#This Row],[nett_e2_rate]]*$BD85,0)</f>
        <v>0</v>
      </c>
      <c r="OV33" s="3453"/>
      <c r="OW33" s="5720">
        <f>IFERROR(outputs_klasse_qty[[#This Row],[nett_f_rate]]*$BE85,0)</f>
        <v>0</v>
      </c>
      <c r="OX33" s="3453"/>
      <c r="OY33" s="5720">
        <f>IFERROR(outputs_klasse_qty[[#This Row],[nett_g_rate]]*$BF85,0)</f>
        <v>0</v>
      </c>
      <c r="OZ33" s="5709"/>
      <c r="PA33" s="3453" t="e">
        <f t="shared" si="53"/>
        <v>#N/A</v>
      </c>
      <c r="PB33" s="5618">
        <f>IFERROR(outputs_klasse_qty[[#This Row],[nett_a_output]]/(outputs_klasse_qty[[#This Row],[festebolter_for_nett_senteravstand_a]]^2),0)</f>
        <v>0</v>
      </c>
      <c r="PC33" s="3453" t="e">
        <f t="shared" si="54"/>
        <v>#N/A</v>
      </c>
      <c r="PD33" s="5618">
        <f>IFERROR(outputs_klasse_qty[[#This Row],[nett_b_output]]/(outputs_klasse_qty[[#This Row],[festebolter_for_nett_senteravstand_b]]^2),0)</f>
        <v>0</v>
      </c>
      <c r="PE33" s="3453" t="e">
        <f t="shared" si="55"/>
        <v>#N/A</v>
      </c>
      <c r="PF33" s="5618">
        <f>IFERROR(outputs_klasse_qty[[#This Row],[nett_c_output]]/(outputs_klasse_qty[[#This Row],[festebolter_for_nett_senteravstand_c]]^2),0)</f>
        <v>0</v>
      </c>
      <c r="PG33" s="3453" t="e">
        <f t="shared" si="56"/>
        <v>#N/A</v>
      </c>
      <c r="PH33" s="5618">
        <f>IFERROR(outputs_klasse_qty[[#This Row],[nett_d_output]]/(outputs_klasse_qty[[#This Row],[festebolter_for_nett_senteravstand_d]]^2),0)</f>
        <v>0</v>
      </c>
      <c r="PI33" s="3453" t="e">
        <f t="shared" si="57"/>
        <v>#N/A</v>
      </c>
      <c r="PJ33" s="5618">
        <f>IFERROR(outputs_klasse_qty[[#This Row],[nett_e1_output]]/(outputs_klasse_qty[[#This Row],[festebolter_for_nett_senteravstand_e1]]^2),0)</f>
        <v>0</v>
      </c>
      <c r="PK33" s="3453" t="e">
        <f t="shared" si="58"/>
        <v>#N/A</v>
      </c>
      <c r="PL33" s="5618">
        <f>IFERROR(outputs_klasse_qty[[#This Row],[nett_e2_output]]/(outputs_klasse_qty[[#This Row],[festebolter_for_nett_senteravstand_e2]]^2),0)</f>
        <v>0</v>
      </c>
      <c r="PM33" s="3453" t="e">
        <f t="shared" si="59"/>
        <v>#N/A</v>
      </c>
      <c r="PN33" s="5618">
        <f>IFERROR(outputs_klasse_qty[[#This Row],[nett_f_output]]/(outputs_klasse_qty[[#This Row],[festebolter_for_nett_senteravstand_f]]^2),0)</f>
        <v>0</v>
      </c>
      <c r="PO33" s="3453" t="e">
        <f t="shared" si="60"/>
        <v>#N/A</v>
      </c>
      <c r="PP33" s="5618">
        <f>IFERROR(outputs_klasse_qty[[#This Row],[nett_g_output]]/(outputs_klasse_qty[[#This Row],[festebolter_for_nett_senteravstand_g]]^2),0)</f>
        <v>0</v>
      </c>
      <c r="PQ33"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3" s="3453" t="e">
        <f t="shared" ref="PR33:PR41" si="77">$AHL$42</f>
        <v>#N/A</v>
      </c>
      <c r="PS33" s="5710" t="e">
        <f>outputs_klasse_qty[[#This Row],[nett_a_output]]*outputs_klasse_qty[[#This Row],[sprøytebetong_ved_nett_tykkelse_a]]/1000</f>
        <v>#N/A</v>
      </c>
      <c r="PT33" s="3453" t="e">
        <f t="shared" ref="PT33:PT41" si="78">$AHL$43</f>
        <v>#N/A</v>
      </c>
      <c r="PU33" s="5710" t="e">
        <f>outputs_klasse_qty[[#This Row],[nett_b_output]]*outputs_klasse_qty[[#This Row],[sprøytebetong_ved_nett_tykkelse_b]]/1000</f>
        <v>#N/A</v>
      </c>
      <c r="PV33" s="3453" t="e">
        <f t="shared" ref="PV33:PV41" si="79">$AHL$44</f>
        <v>#N/A</v>
      </c>
      <c r="PW33" s="5710" t="e">
        <f>outputs_klasse_qty[[#This Row],[nett_c_output]]*outputs_klasse_qty[[#This Row],[sprøytebetong_ved_nett_tykkelse_c]]/1000</f>
        <v>#N/A</v>
      </c>
      <c r="PX33" s="3453" t="e">
        <f t="shared" ref="PX33:PX41" si="80">$AHL$45</f>
        <v>#N/A</v>
      </c>
      <c r="PY33" s="5710" t="e">
        <f>outputs_klasse_qty[[#This Row],[nett_d_output]]*outputs_klasse_qty[[#This Row],[sprøytebetong_ved_nett_tykkelse_d]]/1000</f>
        <v>#N/A</v>
      </c>
      <c r="PZ33" s="3453" t="e">
        <f t="shared" ref="PZ33:PZ41" si="81">$AHL$46</f>
        <v>#N/A</v>
      </c>
      <c r="QA33" s="5710" t="e">
        <f>outputs_klasse_qty[[#This Row],[nett_e1_output]]*outputs_klasse_qty[[#This Row],[sprøytebetong_ved_nett_tykkelse_e1]]/1000</f>
        <v>#N/A</v>
      </c>
      <c r="QB33" s="3453" t="e">
        <f t="shared" ref="QB33:QB41" si="82">$AHL$47</f>
        <v>#N/A</v>
      </c>
      <c r="QC33" s="5710" t="e">
        <f>outputs_klasse_qty[[#This Row],[nett_e2_output]]*outputs_klasse_qty[[#This Row],[sprøytebetong_ved_nett_tykkelse_e2]]/1000</f>
        <v>#N/A</v>
      </c>
      <c r="QD33" s="3453" t="e">
        <f t="shared" ref="QD33:QD41" si="83">$AHL$48</f>
        <v>#N/A</v>
      </c>
      <c r="QE33" s="5710" t="e">
        <f>outputs_klasse_qty[[#This Row],[nett_f_output]]*outputs_klasse_qty[[#This Row],[sprøytebetong_ved_nett_tykkelse_f]]/1000</f>
        <v>#N/A</v>
      </c>
      <c r="QF33" s="3453" t="e">
        <f t="shared" ref="QF33:QF41" si="84">$AHL$49</f>
        <v>#N/A</v>
      </c>
      <c r="QG33" s="5710" t="e">
        <f>outputs_klasse_qty[[#This Row],[nett_g_output]]*outputs_klasse_qty[[#This Row],[sprøytebetong_ved_nett_tykkelse_g]]/1000</f>
        <v>#N/A</v>
      </c>
      <c r="QH33"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3" s="3453"/>
      <c r="QJ33" s="3453"/>
      <c r="QK33" s="3453"/>
      <c r="QL33" s="3453"/>
      <c r="QM33" s="3453"/>
      <c r="QN33" s="3453"/>
      <c r="QO33" s="3453"/>
      <c r="QP33" s="3453"/>
      <c r="QQ33" s="3453"/>
      <c r="QR33" s="5712"/>
      <c r="QS33" s="5713"/>
      <c r="QT33" s="3453"/>
      <c r="QU33" s="3453"/>
      <c r="QV33" s="5713"/>
      <c r="QW33" s="3453"/>
      <c r="QX33" s="3453"/>
      <c r="QY33" s="5713"/>
      <c r="QZ33" s="3453"/>
      <c r="RA33" s="3453"/>
      <c r="RB33" s="5713"/>
      <c r="RC33" s="3453"/>
      <c r="RD33" s="3453"/>
      <c r="RE33" s="5713"/>
      <c r="RF33" s="3453"/>
      <c r="RG33" s="3453"/>
      <c r="RH33" s="5713"/>
      <c r="RI33" s="3453"/>
      <c r="RJ33" s="3453"/>
      <c r="RK33" s="5713"/>
      <c r="RL33" s="3453"/>
      <c r="RM33" s="3453"/>
      <c r="RN33" s="5713"/>
      <c r="RO33" s="3453"/>
      <c r="RP33" s="3453"/>
      <c r="RQ33" s="5714"/>
      <c r="RR33" s="5712"/>
      <c r="RS33" s="5713"/>
      <c r="RT33" s="3453"/>
      <c r="RU33" s="3453"/>
      <c r="RV33" s="5713"/>
      <c r="RW33" s="3453"/>
      <c r="RX33" s="3453"/>
      <c r="RY33" s="5713"/>
      <c r="RZ33" s="3453"/>
      <c r="SA33" s="3453"/>
      <c r="SB33" s="5713"/>
      <c r="SC33" s="3453"/>
      <c r="SD33" s="3453"/>
      <c r="SE33" s="5713"/>
      <c r="SF33" s="3453"/>
      <c r="SG33" s="3453"/>
      <c r="SH33" s="5713"/>
      <c r="SI33" s="3453"/>
      <c r="SJ33" s="3453"/>
      <c r="SK33" s="5713"/>
      <c r="SL33" s="3453"/>
      <c r="SM33" s="3453"/>
      <c r="SN33" s="5713"/>
      <c r="SO33" s="3453"/>
      <c r="SP33" s="3453"/>
      <c r="SQ33" s="5714"/>
      <c r="SR33" s="5715"/>
      <c r="SS33" s="3453"/>
      <c r="ST33" s="3453"/>
      <c r="SU33" s="3453"/>
      <c r="SV33" s="3453"/>
      <c r="SW33" s="3453"/>
      <c r="SX33" s="3453"/>
      <c r="SY33" s="3453"/>
      <c r="SZ33" s="3453"/>
      <c r="TA33" s="3453"/>
      <c r="TB33" s="3453"/>
      <c r="TC33" s="3453"/>
      <c r="TD33" s="3453"/>
      <c r="TE33" s="3453"/>
      <c r="TF33" s="3453"/>
      <c r="TG33" s="3453"/>
      <c r="TH33" s="3453"/>
      <c r="TI33" s="3453"/>
      <c r="TJ33" s="3453"/>
      <c r="TK33" s="5721"/>
      <c r="TL33" s="3453"/>
      <c r="TM33" s="3453" t="e">
        <f t="shared" si="61"/>
        <v>#N/A</v>
      </c>
      <c r="TN33" s="3453">
        <f>IFERROR((IF(OR(outputs_klasse_qty[[#This Row],[bue_a_dim]]=_List!$DO$7,outputs_klasse_qty[[#This Row],[bue_a_dim]]=_List!$DO$8),($AY85*$AI$40)/outputs_klasse_qty[[#This Row],[bue_a_senteravstand]]*outputs_klasse_qty[[#This Row],[bue_a_andel]],0)),0)</f>
        <v>0</v>
      </c>
      <c r="TO33" s="5722"/>
      <c r="TP33" s="5702"/>
      <c r="TQ33" s="5723"/>
      <c r="TR33" s="3453"/>
      <c r="TS33" s="3453" t="e">
        <f t="shared" si="62"/>
        <v>#N/A</v>
      </c>
      <c r="TT33" s="3453">
        <f>IFERROR((IF(OR(outputs_klasse_qty[[#This Row],[bue_b_dim]]=_List!$DO$7,outputs_klasse_qty[[#This Row],[bue_b_dim]]=_List!$DO$8),($AZ85*$AI$40)/outputs_klasse_qty[[#This Row],[bue_b_senteravstand]]*outputs_klasse_qty[[#This Row],[bue_b_andel]],0)),0)</f>
        <v>0</v>
      </c>
      <c r="TU33" s="5722"/>
      <c r="TV33" s="5702"/>
      <c r="TW33" s="5723"/>
      <c r="TX33" s="3453"/>
      <c r="TY33" s="3453" t="e">
        <f t="shared" si="63"/>
        <v>#N/A</v>
      </c>
      <c r="TZ33" s="3453">
        <f>IFERROR((IF(OR(outputs_klasse_qty[[#This Row],[bue_c_dim]]=_List!$DO$7,outputs_klasse_qty[[#This Row],[bue_c_dim]]=_List!$DO$8),($BA85*$AI$40)/outputs_klasse_qty[[#This Row],[bue_c_senteravstand]]*outputs_klasse_qty[[#This Row],[bue_c_andel]],0)),0)</f>
        <v>0</v>
      </c>
      <c r="UA33" s="5722"/>
      <c r="UB33" s="5702"/>
      <c r="UC33" s="5723"/>
      <c r="UD33" s="3453"/>
      <c r="UE33" s="3453" t="e">
        <f t="shared" si="64"/>
        <v>#N/A</v>
      </c>
      <c r="UF33" s="3453">
        <f>IFERROR((IF(OR(outputs_klasse_qty[[#This Row],[bue_d_dim]]=_List!$DO$7,outputs_klasse_qty[[#This Row],[bue_d_dim]]=_List!$DO$8),($BB85*$AI$40)/outputs_klasse_qty[[#This Row],[bue_d_senteravstand]]*outputs_klasse_qty[[#This Row],[bue_d_andel]],0)),0)</f>
        <v>0</v>
      </c>
      <c r="UG33" s="5722"/>
      <c r="UH33" s="5702"/>
      <c r="UI33" s="5723"/>
      <c r="UJ33" s="3453"/>
      <c r="UK33" s="3453" t="e">
        <f t="shared" si="65"/>
        <v>#N/A</v>
      </c>
      <c r="UL33" s="3453">
        <f>IFERROR((IF(OR(outputs_klasse_qty[[#This Row],[bue_e1_dim]]=_List!$DO$7,outputs_klasse_qty[[#This Row],[bue_e1_dim]]=_List!$DO$8),($BC85*$AI$40)/outputs_klasse_qty[[#This Row],[bue_e1_senteravstand]]*outputs_klasse_qty[[#This Row],[bue_e1_andel]],0)),0)</f>
        <v>0</v>
      </c>
      <c r="UM33" s="5722"/>
      <c r="UN33" s="5702"/>
      <c r="UO33" s="5723"/>
      <c r="UP33" s="3453"/>
      <c r="UQ33" s="3453" t="e">
        <f t="shared" si="66"/>
        <v>#N/A</v>
      </c>
      <c r="UR33" s="3453">
        <f>IFERROR((IF(OR(outputs_klasse_qty[[#This Row],[bue_e2_dim]]=_List!$DO$7,outputs_klasse_qty[[#This Row],[bue_e2_dim]]=_List!$DO$8),($BD85*$AI$40)/outputs_klasse_qty[[#This Row],[bue_e2_senteravstand]]*outputs_klasse_qty[[#This Row],[bue_e2_andel]],0)),0)</f>
        <v>0</v>
      </c>
      <c r="US33" s="5722"/>
      <c r="UT33" s="5702"/>
      <c r="UU33" s="5723"/>
      <c r="UV33" s="3453"/>
      <c r="UW33" s="3453" t="e">
        <f t="shared" si="67"/>
        <v>#N/A</v>
      </c>
      <c r="UX33" s="3453">
        <f>IFERROR((IF(OR(outputs_klasse_qty[[#This Row],[bue_f_dim]]=_List!$DO$7,outputs_klasse_qty[[#This Row],[bue_f_dim]]=_List!$DO$8),($BE85*$AI$40)/outputs_klasse_qty[[#This Row],[bue_f_senteravstand]]*outputs_klasse_qty[[#This Row],[bue_f_andel]],0)),0)</f>
        <v>0</v>
      </c>
      <c r="UY33" s="5722"/>
      <c r="UZ33" s="5702"/>
      <c r="VA33" s="5723"/>
      <c r="VB33" s="3453"/>
      <c r="VC33" s="3453" t="e">
        <f t="shared" si="68"/>
        <v>#N/A</v>
      </c>
      <c r="VD33" s="3453">
        <f>IFERROR((IF(OR(outputs_klasse_qty[[#This Row],[bue_g_dim]]=_List!$DO$7,outputs_klasse_qty[[#This Row],[bue_g_dim]]=_List!$DO$8),($BF85*$AI$40)/outputs_klasse_qty[[#This Row],[bue_g_senteravstand]]*outputs_klasse_qty[[#This Row],[bue_g_andel]],0)),0)</f>
        <v>0</v>
      </c>
      <c r="VE33" s="5722"/>
      <c r="VF33" s="5702"/>
      <c r="VG33" s="5723"/>
      <c r="VH33" s="5717"/>
      <c r="VI33" s="5718"/>
      <c r="VJ33" s="5719"/>
      <c r="VK33" s="3453"/>
      <c r="VL33" s="3453"/>
      <c r="VM33" s="3453"/>
      <c r="VN33" s="3453"/>
      <c r="VO33" s="3453"/>
      <c r="VP33" s="3453"/>
      <c r="VQ33" s="3453"/>
      <c r="VR33" s="3453"/>
      <c r="VS33" s="3453"/>
      <c r="VT33" s="3453"/>
      <c r="VU33" s="3453"/>
      <c r="VV33" s="3453"/>
      <c r="VW33" s="3453"/>
      <c r="VX33" s="3453"/>
      <c r="VY33" s="3453"/>
      <c r="VZ33" s="3453"/>
      <c r="WA33" s="5859"/>
      <c r="WB33" s="3453"/>
      <c r="WC33" s="3453"/>
      <c r="WD33" s="3453"/>
      <c r="WE33" s="3453">
        <f>IFERROR((IF(OR(outputs_klasse_qty[[#This Row],[bue_b_dim]]=_List!$DO$7,outputs_klasse_qty[[#This Row],[bue_b_dim]]=_List!$DO$8),_Calcs_Klasse!AZ85/$AJQ$43*outputs_klasse_qty[[#This Row],[forankring_bolter_rate_b]],0)),0)</f>
        <v>0</v>
      </c>
      <c r="WF33" s="3453"/>
      <c r="WG33" s="3453">
        <f>IFERROR((IF(OR(outputs_klasse_qty[[#This Row],[bue_c_dim]]=_List!$DO$7,outputs_klasse_qty[[#This Row],[bue_c_dim]]=_List!$DO$8),_Calcs_Klasse!BA85/$AJQ$44*outputs_klasse_qty[[#This Row],[forankring_bolter_rate_c]],0)),0)</f>
        <v>0</v>
      </c>
      <c r="WH33" s="3453"/>
      <c r="WI33" s="3453">
        <f>IFERROR((IF(OR(outputs_klasse_qty[[#This Row],[bue_d_dim]]=_List!$DO$7,outputs_klasse_qty[[#This Row],[bue_d_dim]]=_List!$DO$8),_Calcs_Klasse!BB85/$AJQ$45*outputs_klasse_qty[[#This Row],[forankring_bolter_rate_d]],0)),0)</f>
        <v>0</v>
      </c>
      <c r="WJ33" s="3453"/>
      <c r="WK33" s="3453">
        <f>IFERROR((IF(OR(outputs_klasse_qty[[#This Row],[bue_e1_dim]]=_List!$DO$7,outputs_klasse_qty[[#This Row],[bue_e1_dim]]=_List!$DO$8),_Calcs_Klasse!BC85/$AJQ$46*outputs_klasse_qty[[#This Row],[forankring_bolter_rate_e1]],0)),0)</f>
        <v>0</v>
      </c>
      <c r="WL33" s="3453"/>
      <c r="WM33" s="3453">
        <f>IFERROR((IF(OR(outputs_klasse_qty[[#This Row],[bue_e2_dim]]=_List!$DO$7,outputs_klasse_qty[[#This Row],[bue_e2_dim]]=_List!$DO$8),_Calcs_Klasse!BD85/$AJQ$47*outputs_klasse_qty[[#This Row],[forankring_bolter_rate_e2]],0)),0)</f>
        <v>0</v>
      </c>
      <c r="WN33" s="3453"/>
      <c r="WO33" s="3453">
        <f>IFERROR((IF(OR(outputs_klasse_qty[[#This Row],[bue_f_dim]]=_List!$DO$7,outputs_klasse_qty[[#This Row],[bue_f_dim]]=_List!$DO$8),_Calcs_Klasse!BE85/$AJQ$48*outputs_klasse_qty[[#This Row],[forankring_bolter_rate_f]],0)),0)</f>
        <v>0</v>
      </c>
      <c r="WP33" s="3453"/>
      <c r="WQ33" s="3453">
        <f>IFERROR((IF(OR(outputs_klasse_qty[[#This Row],[bue_g_dim]]=_List!$DO$7,outputs_klasse_qty[[#This Row],[bue_g_dim]]=_List!$DO$8),_Calcs_Klasse!BF85/$AJQ$49*outputs_klasse_qty[[#This Row],[forankring_bolter_rate_g]],0)),0)</f>
        <v>0</v>
      </c>
      <c r="WR33" s="3453">
        <f>IFERROR(outputs_klasse_qty[[#This Row],[forankring_bolter_output_a]]*$AMD$42,0)</f>
        <v>0</v>
      </c>
      <c r="WS33" s="3453">
        <f>IFERROR(outputs_klasse_qty[[#This Row],[forankring_bolter_output_a]]*$AMM$42,0)</f>
        <v>0</v>
      </c>
      <c r="WT33" s="3453">
        <f>IFERROR(outputs_klasse_qty[[#This Row],[forankring_bolter_output_b]]*$AMD$43,0)</f>
        <v>0</v>
      </c>
      <c r="WU33" s="3453">
        <f>IFERROR(outputs_klasse_qty[[#This Row],[forankring_bolter_output_b]]*$AMM$43,0)</f>
        <v>0</v>
      </c>
      <c r="WV33" s="3453">
        <f>IFERROR(outputs_klasse_qty[[#This Row],[forankring_bolter_output_c]]*$AMD$44,0)</f>
        <v>0</v>
      </c>
      <c r="WW33" s="3453">
        <f>IFERROR(outputs_klasse_qty[[#This Row],[forankring_bolter_output_c]]*$AMM$44,0)</f>
        <v>0</v>
      </c>
      <c r="WX33" s="3453">
        <f>IFERROR(outputs_klasse_qty[[#This Row],[forankring_bolter_output_d]]*$AMD$45,0)</f>
        <v>0</v>
      </c>
      <c r="WY33" s="3453">
        <f>IFERROR(outputs_klasse_qty[[#This Row],[forankring_bolter_output_d]]*$AMM$45,0)</f>
        <v>0</v>
      </c>
      <c r="WZ33" s="3453">
        <f>IFERROR(outputs_klasse_qty[[#This Row],[forankring_bolter_output_e1]]*$AMD$46,0)</f>
        <v>0</v>
      </c>
      <c r="XA33" s="3453">
        <f>IFERROR(outputs_klasse_qty[[#This Row],[forankring_bolter_output_e1]]*$AMM$46,0)</f>
        <v>0</v>
      </c>
      <c r="XB33" s="3453">
        <f>IFERROR(outputs_klasse_qty[[#This Row],[forankring_bolter_output_e2]]*$AMD$47,0)</f>
        <v>0</v>
      </c>
      <c r="XC33" s="3453">
        <f>IFERROR(outputs_klasse_qty[[#This Row],[forankring_bolter_output_e2]]*$AMM$47,0)</f>
        <v>0</v>
      </c>
      <c r="XD33" s="3453">
        <f>IFERROR(outputs_klasse_qty[[#This Row],[forankring_bolter_output_f]]*$AMD$48,0)</f>
        <v>0</v>
      </c>
      <c r="XE33" s="3453">
        <f>IFERROR(outputs_klasse_qty[[#This Row],[forankring_bolter_output_f]]*$AMM$48,0)</f>
        <v>0</v>
      </c>
      <c r="XF33" s="3453">
        <f>IFERROR(outputs_klasse_qty[[#This Row],[forankring_bolter_output_g]]*$AMD$49,0)</f>
        <v>0</v>
      </c>
      <c r="XG33" s="3453">
        <f>IFERROR(outputs_klasse_qty[[#This Row],[forankring_bolter_output_g]]*$AMM$49,0)</f>
        <v>0</v>
      </c>
      <c r="XH33"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3"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3" s="3453" t="e">
        <f t="shared" si="69"/>
        <v>#N/A</v>
      </c>
      <c r="XK33" s="5819" t="e">
        <f>outputs_klasse_qty[[#This Row],[bue_a_output]]/outputs_klasse_qty[[#This Row],[bue_radielle_bolter_rate_a]]</f>
        <v>#N/A</v>
      </c>
      <c r="XL33" s="5819" t="e">
        <f t="shared" si="70"/>
        <v>#N/A</v>
      </c>
      <c r="XM33" s="5819" t="e">
        <f>outputs_klasse_qty[[#This Row],[bue_b_output]]/outputs_klasse_qty[[#This Row],[bue_radielle_bolter_rate_b]]</f>
        <v>#N/A</v>
      </c>
      <c r="XN33" s="5819" t="e">
        <f t="shared" si="71"/>
        <v>#N/A</v>
      </c>
      <c r="XO33" s="5819" t="e">
        <f>outputs_klasse_qty[[#This Row],[bue_c_output]]/outputs_klasse_qty[[#This Row],[bue_radielle_bolter_rate_c]]</f>
        <v>#N/A</v>
      </c>
      <c r="XP33" s="5819" t="e">
        <f t="shared" si="72"/>
        <v>#N/A</v>
      </c>
      <c r="XQ33" s="5819" t="e">
        <f>outputs_klasse_qty[[#This Row],[bue_d_output]]/outputs_klasse_qty[[#This Row],[bue_radielle_bolter_rate_d]]</f>
        <v>#N/A</v>
      </c>
      <c r="XR33" s="5819" t="e">
        <f t="shared" si="73"/>
        <v>#N/A</v>
      </c>
      <c r="XS33" s="5819" t="e">
        <f>outputs_klasse_qty[[#This Row],[bue_e1_output]]/outputs_klasse_qty[[#This Row],[bue_radielle_bolter_rate_e1]]</f>
        <v>#N/A</v>
      </c>
      <c r="XT33" s="5819" t="e">
        <f t="shared" si="74"/>
        <v>#N/A</v>
      </c>
      <c r="XU33" s="5819" t="e">
        <f>outputs_klasse_qty[[#This Row],[bue_e2_output]]/outputs_klasse_qty[[#This Row],[bue_radielle_bolter_rate_e2]]</f>
        <v>#N/A</v>
      </c>
      <c r="XV33" s="5819" t="e">
        <f t="shared" si="75"/>
        <v>#N/A</v>
      </c>
      <c r="XW33" s="5819" t="e">
        <f>outputs_klasse_qty[[#This Row],[bue_f_output]]/outputs_klasse_qty[[#This Row],[bue_radielle_bolter_rate_f]]</f>
        <v>#N/A</v>
      </c>
      <c r="XX33" s="5819" t="e">
        <f t="shared" si="76"/>
        <v>#N/A</v>
      </c>
      <c r="XY33" s="5819" t="e">
        <f>outputs_klasse_qty[[#This Row],[bue_g_output]]/outputs_klasse_qty[[#This Row],[bue_radielle_bolter_rate_g]]</f>
        <v>#N/A</v>
      </c>
      <c r="XZ33" s="5819">
        <f>IFERROR(outputs_klasse_qty[[#This Row],[bue_radielle_bolter_output_a]]*$AKS$42,0)</f>
        <v>0</v>
      </c>
      <c r="YA33" s="5819">
        <f>IFERROR(outputs_klasse_qty[[#This Row],[bue_radielle_bolter_output_a]]*$ALB$42,0)</f>
        <v>0</v>
      </c>
      <c r="YB33" s="5819">
        <f>IFERROR(outputs_klasse_qty[[#This Row],[bue_radielle_bolter_output_b]]*$AKS$43,0)</f>
        <v>0</v>
      </c>
      <c r="YC33" s="5819">
        <f>IFERROR(outputs_klasse_qty[[#This Row],[bue_radielle_bolter_output_b]]*$ALB$43,0)</f>
        <v>0</v>
      </c>
      <c r="YD33" s="5819">
        <f>IFERROR(outputs_klasse_qty[[#This Row],[bue_radielle_bolter_output_c]]*$AKS$44,0)</f>
        <v>0</v>
      </c>
      <c r="YE33" s="5819">
        <f>IFERROR(outputs_klasse_qty[[#This Row],[bue_radielle_bolter_output_c]]*$ALB$44,0)</f>
        <v>0</v>
      </c>
      <c r="YF33" s="5819">
        <f>IFERROR(outputs_klasse_qty[[#This Row],[bue_radielle_bolter_output_d]]*$AKS$45,0)</f>
        <v>0</v>
      </c>
      <c r="YG33" s="5819">
        <f>IFERROR(outputs_klasse_qty[[#This Row],[bue_radielle_bolter_output_d]]*$ALB$45,0)</f>
        <v>0</v>
      </c>
      <c r="YH33" s="5819">
        <f>IFERROR(outputs_klasse_qty[[#This Row],[bue_radielle_bolter_output_e1]]*$AKS$46,0)</f>
        <v>0</v>
      </c>
      <c r="YI33" s="5819">
        <f>IFERROR(outputs_klasse_qty[[#This Row],[bue_radielle_bolter_output_e1]]*$ALB$46,0)</f>
        <v>0</v>
      </c>
      <c r="YJ33" s="5819">
        <f>IFERROR(outputs_klasse_qty[[#This Row],[bue_radielle_bolter_output_e2]]*$AKS$47,0)</f>
        <v>0</v>
      </c>
      <c r="YK33" s="5819">
        <f>IFERROR(outputs_klasse_qty[[#This Row],[bue_radielle_bolter_output_e2]]*$ALB$47,0)</f>
        <v>0</v>
      </c>
      <c r="YL33" s="5819">
        <f>IFERROR(outputs_klasse_qty[[#This Row],[bue_radielle_bolter_output_f]]*$AKS$48,0)</f>
        <v>0</v>
      </c>
      <c r="YM33" s="5819">
        <f>IFERROR(outputs_klasse_qty[[#This Row],[bue_radielle_bolter_output_f]]*$ALB$48,0)</f>
        <v>0</v>
      </c>
      <c r="YN33" s="5819">
        <f>IFERROR(outputs_klasse_qty[[#This Row],[bue_radielle_bolter_output_g]]*$AKS$49,0)</f>
        <v>0</v>
      </c>
      <c r="YO33" s="5819">
        <f>IFERROR(outputs_klasse_qty[[#This Row],[bue_radielle_bolter_output_g]]*$ALB$49,0)</f>
        <v>0</v>
      </c>
      <c r="YP33"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3"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3" s="5819"/>
      <c r="YS33" s="5819"/>
      <c r="YT33" s="5819"/>
      <c r="YU33" s="5819"/>
      <c r="YV33" s="5819"/>
      <c r="YW33" s="5819"/>
      <c r="YX33" s="5819"/>
      <c r="YY33" s="5819"/>
      <c r="YZ33" s="5819"/>
      <c r="ZA33" s="5819"/>
      <c r="ZB33" s="5819"/>
      <c r="ZC33" s="5819"/>
      <c r="ZD33" s="5819"/>
      <c r="ZE33" s="5819"/>
      <c r="ZF33" s="5819"/>
      <c r="ZG33" s="5819"/>
      <c r="ZH33" s="5819"/>
      <c r="ZI33" s="3453"/>
      <c r="ZJ33" s="3453"/>
      <c r="ZK33" s="3453"/>
      <c r="ZL33" s="3453"/>
      <c r="ZM33" s="3453"/>
      <c r="ZN33" s="837"/>
      <c r="ZO33" s="837"/>
      <c r="ZP33" s="837"/>
      <c r="ZQ33" s="837"/>
      <c r="ZR33" s="837"/>
      <c r="ZS33" s="837"/>
      <c r="ZT33" s="837"/>
      <c r="ZU33" s="837"/>
      <c r="ZV33" s="837"/>
      <c r="ZW33" s="837"/>
      <c r="ZX33" s="837"/>
      <c r="ZY33" s="837"/>
      <c r="ZZ33" s="837"/>
      <c r="AAA33" s="837"/>
      <c r="AAB33" s="2622"/>
      <c r="AAC33" s="2622"/>
      <c r="AAD33" s="2622"/>
      <c r="AAE33" s="2622"/>
      <c r="AAF33" s="2622"/>
      <c r="AAG33" s="2622"/>
      <c r="AAH33" s="2622"/>
      <c r="AAI33" s="2622"/>
      <c r="AAJ33" s="2622"/>
      <c r="AAK33" s="2622"/>
      <c r="AAL33" s="2622"/>
      <c r="AAM33" s="2622"/>
      <c r="AAN33" s="2622"/>
      <c r="AAO33" s="2622"/>
      <c r="AAP33" s="2622"/>
      <c r="AAQ33" s="2622"/>
      <c r="AAR33" s="2622"/>
      <c r="AAS33" s="2622"/>
      <c r="AAT33" s="2622"/>
      <c r="AAU33" s="2622"/>
      <c r="AAV33" s="2622"/>
      <c r="AAW33" s="2622"/>
      <c r="AAX33" s="2622"/>
      <c r="AAY33" s="2622"/>
      <c r="AAZ33" s="2622"/>
      <c r="ABA33" s="3771"/>
      <c r="ABB33" s="3770" t="s">
        <v>1553</v>
      </c>
      <c r="ABC33" s="3770"/>
      <c r="ABD33" s="3770"/>
      <c r="ABE33" s="3770"/>
      <c r="ABF33" s="3770"/>
      <c r="ABG33" s="3770"/>
      <c r="ABH33" s="3770"/>
      <c r="ABI33" s="3770"/>
      <c r="ABJ33" s="3771"/>
      <c r="ABK33" s="3771"/>
      <c r="ABL33" s="3770" t="s">
        <v>1553</v>
      </c>
      <c r="ABM33" s="3770"/>
      <c r="ABN33" s="3770"/>
      <c r="ABO33" s="3770"/>
      <c r="ABP33" s="3770"/>
      <c r="ABQ33" s="3770"/>
      <c r="ABR33" s="3770"/>
      <c r="ABS33" s="3770"/>
      <c r="ABT33" s="3771"/>
      <c r="ABU33" s="3771"/>
      <c r="ABV33" s="3770" t="s">
        <v>1553</v>
      </c>
      <c r="ABW33" s="3770"/>
      <c r="ABX33" s="3770"/>
      <c r="ABY33" s="3770"/>
      <c r="ABZ33" s="3770"/>
      <c r="ACA33" s="3770"/>
      <c r="ACB33" s="3770"/>
      <c r="ACC33" s="3770"/>
      <c r="ACD33" s="2737"/>
      <c r="ACE33" s="3771" t="s">
        <v>1553</v>
      </c>
      <c r="ACF33" s="3770"/>
      <c r="ACG33" s="3770"/>
      <c r="ACH33" s="3770"/>
      <c r="ACI33" s="3770"/>
      <c r="ACJ33" s="3770"/>
      <c r="ACK33" s="3770"/>
      <c r="ACL33" s="3770"/>
      <c r="ACM33" s="3770"/>
      <c r="ACN33" s="3771"/>
      <c r="ACO33" s="3770"/>
      <c r="ACP33" s="3770"/>
      <c r="ACQ33" s="3770"/>
      <c r="ACR33" s="3770"/>
      <c r="ACS33" s="3770"/>
      <c r="ACT33" s="3770"/>
      <c r="ACU33" s="3770"/>
      <c r="ACV33" s="3770"/>
      <c r="ACW33" s="3771"/>
      <c r="ACX33" s="3771"/>
      <c r="ACY33" s="3771"/>
      <c r="ACZ33" s="3771"/>
      <c r="ADA33" s="3771"/>
      <c r="ADB33" s="3771"/>
      <c r="ADC33" s="3771"/>
      <c r="ADD33" s="3771"/>
      <c r="ADE33" s="3771"/>
      <c r="ADF33" s="2737"/>
      <c r="ADG33" s="3771" t="s">
        <v>1553</v>
      </c>
      <c r="ADH33" s="3770"/>
      <c r="ADI33" s="3770"/>
      <c r="ADJ33" s="3770"/>
      <c r="ADK33" s="3770"/>
      <c r="ADL33" s="3770"/>
      <c r="ADM33" s="3770"/>
      <c r="ADN33" s="3770"/>
      <c r="ADO33" s="3770"/>
      <c r="ADP33" s="3771"/>
      <c r="ADQ33" s="3770"/>
      <c r="ADR33" s="3770"/>
      <c r="ADS33" s="3770"/>
      <c r="ADT33" s="3770"/>
      <c r="ADU33" s="3770"/>
      <c r="ADV33" s="3770"/>
      <c r="ADW33" s="3770"/>
      <c r="ADX33" s="3770"/>
      <c r="ADY33" s="3770"/>
      <c r="ADZ33" s="3770"/>
      <c r="AEA33" s="3770"/>
      <c r="AEB33" s="3770"/>
      <c r="AEC33" s="3770"/>
      <c r="AED33" s="3770"/>
      <c r="AEE33" s="3770"/>
      <c r="AEF33" s="3770"/>
      <c r="AEG33" s="3770"/>
      <c r="AEH33" s="2737"/>
      <c r="AEI33" s="2737"/>
      <c r="AEJ33" s="2737"/>
      <c r="AEK33" s="2737"/>
      <c r="AEL33" s="2737"/>
      <c r="AEM33" s="2737"/>
      <c r="AEN33" s="2737"/>
      <c r="AEO33" s="2737"/>
      <c r="AEP33" s="2737"/>
      <c r="AEQ33" s="2737"/>
      <c r="AER33" s="2737"/>
      <c r="AES33" s="3770"/>
      <c r="AET33" s="3770"/>
      <c r="AEU33" s="3770"/>
      <c r="AEV33" s="3770"/>
      <c r="AEW33" s="3770"/>
      <c r="AEX33" s="3770"/>
      <c r="AEY33" s="3770"/>
      <c r="AEZ33" s="3770" t="s">
        <v>1553</v>
      </c>
      <c r="AFB33" s="3770"/>
      <c r="AFC33" s="3770"/>
      <c r="AFD33" s="3770"/>
      <c r="AFE33" s="3770"/>
      <c r="AFF33" s="3770" t="s">
        <v>1553</v>
      </c>
      <c r="AFG33" s="3770"/>
      <c r="AFH33" s="3770"/>
      <c r="AFJ33" s="3770" t="s">
        <v>1553</v>
      </c>
      <c r="AFK33" s="3770"/>
      <c r="AFL33" s="3770"/>
      <c r="AFM33" s="3770"/>
      <c r="AFN33" s="3770"/>
      <c r="AFO33" s="3770"/>
      <c r="AFP33" s="3770"/>
      <c r="AFQ33" s="3770"/>
      <c r="AFZ33" s="2737"/>
      <c r="AGI33" s="2737"/>
      <c r="AGN33" s="2622"/>
      <c r="AGR33" s="2737"/>
      <c r="AHB33" s="2737"/>
      <c r="AHJ33" s="2737"/>
      <c r="AHP33" s="3770"/>
      <c r="AHQ33" s="3770" t="s">
        <v>1553</v>
      </c>
      <c r="AHR33" s="3770"/>
      <c r="AHS33" s="3770"/>
      <c r="AHT33" s="3770"/>
      <c r="AHU33" s="3770"/>
      <c r="AHV33" s="3770"/>
      <c r="AHW33" s="3770"/>
      <c r="AHX33" s="3770"/>
      <c r="AHY33" s="3771"/>
      <c r="AHZ33" s="3770"/>
      <c r="AIA33" s="3770"/>
      <c r="AIB33" s="3770"/>
      <c r="AIC33" s="3770"/>
      <c r="AID33" s="3770"/>
      <c r="AIE33" s="3770"/>
      <c r="AIF33" s="3770"/>
      <c r="AIG33" s="3770"/>
      <c r="AIH33" s="3770"/>
      <c r="AII33" s="3771"/>
      <c r="AIJ33" s="3771"/>
      <c r="AIK33" s="3770"/>
      <c r="AIL33" s="3770"/>
      <c r="AIM33" s="3770"/>
      <c r="AIN33" s="3770"/>
      <c r="AIO33" s="3770"/>
      <c r="AIP33" s="3770"/>
      <c r="AIQ33" s="3770"/>
      <c r="AIR33" s="3771"/>
      <c r="AIS33" s="2622"/>
      <c r="AJP33" s="2737"/>
      <c r="AKD33" s="2737"/>
      <c r="AKU33" s="2622"/>
      <c r="ALL33" s="2622"/>
      <c r="ALM33" s="2737"/>
      <c r="ALW33" s="2737"/>
      <c r="ALX33" s="2737"/>
      <c r="AMG33" s="2737"/>
      <c r="AOI33" s="2737"/>
      <c r="AON33" s="181"/>
      <c r="AOO33" s="181"/>
      <c r="AOP33" s="181"/>
      <c r="AOQ33" s="181"/>
      <c r="AOR33" s="181"/>
      <c r="AOS33" s="181"/>
      <c r="AOT33" s="181"/>
      <c r="AOU33" s="181"/>
      <c r="AOV33" s="2720"/>
      <c r="AOW33" s="2720"/>
      <c r="AOX33" s="2720"/>
      <c r="AOY33" s="2720"/>
      <c r="AOZ33" s="2720"/>
      <c r="APA33" s="2720"/>
      <c r="APB33" s="2720"/>
      <c r="APC33" s="2720"/>
      <c r="APD33" s="2720"/>
      <c r="APE33" s="2720"/>
      <c r="APF33" s="181"/>
      <c r="APG33" s="181"/>
      <c r="APH33" s="181"/>
      <c r="API33" s="181"/>
      <c r="APJ33" s="181"/>
      <c r="APK33" s="181"/>
      <c r="APL33" s="181"/>
      <c r="APM33" s="181"/>
      <c r="APN33" s="181"/>
      <c r="APO33" s="181"/>
      <c r="APP33" s="181"/>
      <c r="APQ33" s="181"/>
      <c r="APR33" s="181"/>
      <c r="APS33" s="181"/>
      <c r="APT33" s="181"/>
      <c r="APU33" s="181"/>
      <c r="APV33" s="181"/>
      <c r="APW33" s="181"/>
      <c r="APX33" s="181"/>
      <c r="APY33" s="181"/>
      <c r="APZ33" s="181"/>
      <c r="AQA33" s="181"/>
      <c r="AQB33" s="181"/>
      <c r="AQC33" s="181"/>
      <c r="AQD33" s="181"/>
      <c r="AQE33" s="181"/>
      <c r="AQF33" s="181"/>
      <c r="AQG33" s="181"/>
      <c r="AQH33" s="181"/>
      <c r="AQI33" s="181"/>
      <c r="AQJ33" s="181"/>
      <c r="AQK33" s="181"/>
      <c r="AQL33" s="181"/>
      <c r="AQN33" s="181"/>
      <c r="AQO33" s="181"/>
      <c r="AQP33" s="181"/>
      <c r="AQQ33" s="181"/>
      <c r="AQR33" s="181"/>
      <c r="AQS33" s="181"/>
      <c r="AQT33" s="181"/>
      <c r="AQU33" s="181"/>
      <c r="AQV33" s="181"/>
      <c r="AQW33" s="181"/>
      <c r="AQX33" s="181"/>
      <c r="AQY33" s="181"/>
      <c r="AQZ33" s="181"/>
      <c r="ARA33" s="181"/>
      <c r="ARB33" s="181"/>
      <c r="ARC33" s="181"/>
      <c r="ARD33" s="181"/>
      <c r="ARE33" s="181"/>
      <c r="ARF33" s="181"/>
      <c r="ARG33" s="181"/>
      <c r="ARH33" s="181"/>
      <c r="ARI33" s="181"/>
      <c r="ARJ33" s="181"/>
      <c r="ARK33" s="181"/>
      <c r="ARL33" s="181"/>
      <c r="ASA33" s="2622"/>
      <c r="ASJ33" s="2622"/>
      <c r="ASK33" s="2737"/>
      <c r="ASL33" s="2737"/>
      <c r="ASM33" s="2737"/>
      <c r="ASN33" s="2737"/>
      <c r="ASO33" s="2737"/>
      <c r="ASP33" s="2737"/>
      <c r="ASQ33" s="2737"/>
      <c r="ASR33" s="2737"/>
      <c r="ASS33" s="2737"/>
      <c r="ATA33" s="2622"/>
      <c r="ATB33" s="2622"/>
      <c r="ATC33" s="2622"/>
      <c r="ATD33" s="2622"/>
      <c r="ATE33" s="2622"/>
      <c r="ATF33" s="2622"/>
      <c r="ATG33" s="2622"/>
      <c r="ATH33" s="2622"/>
      <c r="ATI33" s="2622"/>
      <c r="ATJ33" s="2622"/>
      <c r="ATK33" s="2622"/>
      <c r="ATL33" s="3596" t="s">
        <v>157</v>
      </c>
      <c r="ATM33" s="3531"/>
      <c r="ATN33" s="3433"/>
      <c r="ATO33" s="3447"/>
      <c r="ATP33" s="3431"/>
      <c r="ATQ33" s="3451">
        <f t="shared" ref="ATQ33:ATQ42" si="85">ATQ20</f>
        <v>17.12</v>
      </c>
      <c r="ATR33" s="3451"/>
      <c r="ATS33" s="3433">
        <f t="shared" ref="ATS33:ATS42" si="86">ATS20</f>
        <v>3.5910000000000002</v>
      </c>
      <c r="ATT33" s="3525">
        <f t="shared" si="3"/>
        <v>9.9380000000000006</v>
      </c>
      <c r="ATU33" s="3449"/>
      <c r="ATV33" s="2622"/>
      <c r="ATW33" s="2622"/>
      <c r="ATX33" s="2622"/>
      <c r="ATY33" s="2617"/>
      <c r="ATZ33" s="3458"/>
      <c r="AUA33" s="3458"/>
      <c r="AUB33" s="3458"/>
      <c r="AUC33" s="3458"/>
      <c r="AUD33" s="3458"/>
      <c r="AUE33" s="3458"/>
      <c r="AUF33" s="3458"/>
      <c r="AUG33" s="3458"/>
      <c r="AUH33" s="3458"/>
      <c r="AUI33" s="3458"/>
      <c r="AUJ33" s="3458"/>
      <c r="AUK33" s="3458"/>
      <c r="AUL33" s="3458"/>
      <c r="AUM33" s="2617"/>
      <c r="AUN33" s="2617"/>
      <c r="AUO33" s="2617"/>
      <c r="AUP33" s="2617"/>
      <c r="AUQ33" s="2617"/>
      <c r="AUR33" s="2617"/>
      <c r="AUS33" s="2617"/>
      <c r="AUT33" s="2617"/>
      <c r="AUU33" s="2617"/>
      <c r="AUV33" s="2623"/>
      <c r="AUW33" s="2617"/>
      <c r="AUX33" s="2617"/>
      <c r="AUY33" s="2617"/>
      <c r="AUZ33" s="2617"/>
      <c r="AVA33" s="2617"/>
      <c r="AVB33" s="2617"/>
      <c r="AVC33" s="2617"/>
      <c r="AVD33" s="2617"/>
      <c r="AVE33" s="2617"/>
      <c r="AVF33" s="2617"/>
      <c r="AVG33" s="2617"/>
      <c r="AVH33" s="2617"/>
      <c r="AVI33" s="2617"/>
      <c r="AVJ33" s="2617"/>
      <c r="AVK33" s="2617"/>
      <c r="AVL33" s="2617"/>
      <c r="AVM33" s="2617"/>
      <c r="AVN33" s="2617"/>
      <c r="AVO33" s="2617"/>
      <c r="AVP33" s="3540"/>
      <c r="AVQ33" s="3540"/>
      <c r="AVR33" s="3540"/>
      <c r="AVS33" s="181"/>
      <c r="AVT33" s="181"/>
      <c r="AVU33" s="181"/>
      <c r="AVV33" s="181"/>
      <c r="AVW33" s="181"/>
      <c r="AVX33" s="181"/>
      <c r="AVY33" s="181"/>
      <c r="AVZ33" s="181"/>
      <c r="AWA33" s="181"/>
      <c r="AWB33" s="181"/>
      <c r="AWC33" s="181"/>
      <c r="AWD33" s="181"/>
      <c r="AWE33" s="181"/>
      <c r="AWF33" s="181"/>
      <c r="AWG33" s="181"/>
      <c r="AWH33" s="181"/>
      <c r="AWI33" s="181"/>
      <c r="AWJ33" s="181"/>
      <c r="AWK33" s="181"/>
      <c r="AWL33" s="181"/>
      <c r="AWM33" s="181"/>
      <c r="AWN33" s="181"/>
      <c r="AWO33" s="181"/>
      <c r="AWP33" s="3540"/>
      <c r="AWQ33" s="3540"/>
      <c r="AWR33" s="181"/>
      <c r="AWS33" s="2617"/>
      <c r="AWT33" s="2617"/>
      <c r="AWU33" s="2617"/>
      <c r="AWV33" s="2617"/>
      <c r="AWW33" s="2617"/>
      <c r="AWX33" s="2617"/>
      <c r="AWY33" s="3623"/>
      <c r="AWZ33" s="3623"/>
      <c r="AXA33" s="3623"/>
      <c r="AXB33" s="3623"/>
      <c r="AXC33" s="2617"/>
      <c r="AXD33" s="2617"/>
      <c r="AXE33" s="2617"/>
      <c r="AXF33" s="2617"/>
      <c r="AXG33" s="2617"/>
      <c r="AXH33" s="2617"/>
      <c r="AXI33" s="2617"/>
      <c r="AXJ33" s="2617"/>
      <c r="AXK33" s="2617"/>
      <c r="AYV33" s="2625"/>
      <c r="AYW33" s="2625"/>
      <c r="AYX33" s="2625"/>
      <c r="AYY33" s="2625"/>
      <c r="AYZ33" s="2626"/>
      <c r="AZA33" s="2626"/>
      <c r="AZB33" s="2626"/>
      <c r="AZC33" s="2626"/>
      <c r="AZD33" s="2626"/>
      <c r="AZE33" s="2626"/>
      <c r="AZF33" s="2626"/>
      <c r="AZG33" s="2626"/>
      <c r="AZH33" s="2626"/>
      <c r="AZI33" s="2626"/>
      <c r="AZJ33" s="2622"/>
      <c r="AZK33" s="2622"/>
      <c r="AZL33" s="2622"/>
      <c r="AZM33" s="2622"/>
      <c r="AZN33" s="2622"/>
      <c r="AZO33" s="2622"/>
      <c r="AZP33" s="2622"/>
      <c r="AZQ33" s="2622"/>
      <c r="AZR33" s="2622"/>
      <c r="AZS33" s="2622"/>
      <c r="AZT33" s="2622"/>
      <c r="AZU33" s="2622"/>
      <c r="AZV33" s="2622"/>
      <c r="AZZ33" s="2622"/>
      <c r="BAC33" s="2622"/>
      <c r="BAD33" s="2622"/>
      <c r="BAE33" s="2622"/>
      <c r="BAF33" s="2622"/>
      <c r="BAG33" s="2622"/>
      <c r="BAH33" s="2622"/>
      <c r="BAI33" s="2622"/>
      <c r="BAJ33" s="2622"/>
      <c r="BAP33" s="2622"/>
      <c r="BAQ33" s="2622"/>
      <c r="BAR33" s="2622"/>
      <c r="BAU33" s="2622"/>
      <c r="BAV33" s="2622"/>
      <c r="BAW33" s="2622"/>
      <c r="BAX33" s="2622"/>
      <c r="BAY33" s="2622"/>
      <c r="BAZ33" s="2622"/>
      <c r="BBA33" s="2622"/>
      <c r="BBB33" s="2622"/>
      <c r="BBC33" s="2622"/>
      <c r="BBD33" s="2622"/>
      <c r="BBE33" s="2622"/>
      <c r="BBF33" s="2622"/>
      <c r="BBG33" s="2622"/>
      <c r="BBH33" s="2622"/>
      <c r="BBI33" s="2622"/>
      <c r="BBL33" s="2622"/>
      <c r="BBR33" s="3398"/>
      <c r="BCJ33" s="2617"/>
      <c r="BCK33" s="2617"/>
      <c r="BCL33" s="2617"/>
      <c r="BCM33" s="2617"/>
      <c r="BCN33" s="2617"/>
      <c r="BCO33" s="2617"/>
      <c r="BCP33" s="2617"/>
      <c r="BCQ33" s="2617"/>
      <c r="BCR33" s="2617"/>
      <c r="BCS33" s="2617"/>
      <c r="BCT33" s="2617"/>
      <c r="BCU33" s="2617"/>
      <c r="BCV33" s="2617"/>
      <c r="BCW33" s="2617"/>
      <c r="BCX33" s="2617"/>
      <c r="BCY33" s="2617"/>
      <c r="BCZ33" s="2617"/>
      <c r="BDA33" s="2617"/>
      <c r="BDB33" s="2617"/>
      <c r="BDC33" s="2617"/>
      <c r="BDD33" s="2617"/>
      <c r="BDE33" s="2617"/>
      <c r="BDF33" s="2617"/>
      <c r="BDG33" s="2617"/>
      <c r="BDH33" s="2617"/>
      <c r="BDI33" s="2617"/>
      <c r="BDL33" s="2617"/>
      <c r="BDM33" s="2617"/>
      <c r="BDN33" s="2617"/>
      <c r="BDO33" s="2617"/>
      <c r="BDP33" s="2617"/>
      <c r="BDQ33" s="2617"/>
      <c r="BDR33" s="2617"/>
      <c r="BDS33" s="2617"/>
      <c r="BDT33" s="2617"/>
      <c r="BDU33" s="2617"/>
      <c r="BDV33" s="2617"/>
      <c r="BDW33" s="2617"/>
      <c r="BDZ33" s="2617"/>
      <c r="BEA33" s="2617"/>
      <c r="BEB33" s="2617"/>
      <c r="BEC33" s="2617"/>
      <c r="BED33" s="2617"/>
      <c r="BEE33" s="2617"/>
      <c r="BEH33" s="2617"/>
    </row>
    <row r="34" spans="1:1490" ht="15.75" thickBot="1" x14ac:dyDescent="0.25">
      <c r="AJ34" s="181"/>
      <c r="AK34" s="181"/>
      <c r="AU34" s="235">
        <v>8</v>
      </c>
      <c r="AV34" s="185">
        <f>'!INN_SK'!$CD$55</f>
        <v>0</v>
      </c>
      <c r="AW34" s="185">
        <f>'!INN_SK'!$CD$57</f>
        <v>0</v>
      </c>
      <c r="AX34" s="185">
        <f>'!INN_SK'!$CD$64</f>
        <v>0</v>
      </c>
      <c r="AY34" s="185">
        <f>'!INN_SK'!$CD$71</f>
        <v>0</v>
      </c>
      <c r="AZ34" s="185">
        <f>'!INN_SK'!$CD$78</f>
        <v>0</v>
      </c>
      <c r="BA34" s="185">
        <f>'!INN_SK'!$CD$80</f>
        <v>0</v>
      </c>
      <c r="BB34" s="185">
        <f>'!INN_SK'!$CD$87</f>
        <v>0</v>
      </c>
      <c r="BC34" s="185">
        <f>'!INN_SK'!$CD$94</f>
        <v>1300</v>
      </c>
      <c r="BD34" s="193"/>
      <c r="BE34" s="2622"/>
      <c r="CF34" s="2625"/>
      <c r="CG34" s="2986" t="str">
        <f>_Calcs!$QO$135</f>
        <v>Stuff 1-1</v>
      </c>
      <c r="CH34" s="5558">
        <f>IF(_Calcs!$BC$38=1,0,IF(_Calcs!$BC$38=2,1,0))</f>
        <v>1</v>
      </c>
      <c r="CI34" s="1665">
        <f>IF(_Calcs!$BC$34&gt;0,1,0)</f>
        <v>1</v>
      </c>
      <c r="CJ34" s="238">
        <f>IF($AI$31=2,INDEX(outputs_position[11],MATCH(_Calcs!$BC$35,outputs_position[lopstuff],0)),0)</f>
        <v>1</v>
      </c>
      <c r="CK34" s="194">
        <v>12</v>
      </c>
      <c r="CL34" s="3453" t="e">
        <f t="shared" ref="CL34:CL42" si="87">AY109</f>
        <v>#N/A</v>
      </c>
      <c r="CM34" s="3453" t="e">
        <f t="shared" ref="CM34:CM42" si="88">AZ109</f>
        <v>#N/A</v>
      </c>
      <c r="CN34" s="3453" t="e">
        <f t="shared" ref="CN34:CN42" si="89">BA109</f>
        <v>#N/A</v>
      </c>
      <c r="CO34" s="3453" t="e">
        <f t="shared" ref="CO34:CO42" si="90">BB109</f>
        <v>#N/A</v>
      </c>
      <c r="CP34" s="3453" t="e">
        <f>BC109</f>
        <v>#N/A</v>
      </c>
      <c r="CQ34" s="3453" t="e">
        <f t="shared" ref="CQ34:CQ42" si="91">BD109</f>
        <v>#N/A</v>
      </c>
      <c r="CR34" s="3453" t="e">
        <f t="shared" ref="CR34:CR42" si="92">BE109</f>
        <v>#N/A</v>
      </c>
      <c r="CS34" s="3453" t="e">
        <f t="shared" ref="CS34:CS42" si="93">BF109</f>
        <v>#N/A</v>
      </c>
      <c r="CT34" s="3453"/>
      <c r="CU34" s="3453"/>
      <c r="CV34" s="5712">
        <f>IF($AK$213=_List!$CX$6,$CV$28,IF($AK$213=_List!$CX$7,$CV$29,0))</f>
        <v>1</v>
      </c>
      <c r="CW34" s="3453">
        <f>IF(outputs_klasse_qty[[#This Row],[man_metode]]=1,$ABR$42)</f>
        <v>20</v>
      </c>
      <c r="CX34" s="3453">
        <f>IFERROR(IF(outputs_klasse_qty[[#This Row],[man_metode]]=1,outputs_klasse_qty[[#This Row],[man_a_rate]]*$BG109),0)</f>
        <v>0</v>
      </c>
      <c r="CY34" s="3453" t="e">
        <f>IF(outputs_klasse_qty[[#This Row],[man_metode]]=1,$ABR$43)</f>
        <v>#N/A</v>
      </c>
      <c r="CZ34" s="3453">
        <f>IFERROR(IF(outputs_klasse_qty[[#This Row],[man_metode]]=1,outputs_klasse_qty[[#This Row],[man_b_rate]]*$BH109),0)</f>
        <v>0</v>
      </c>
      <c r="DA34" s="3453" t="e">
        <f>IF(outputs_klasse_qty[[#This Row],[man_metode]]=1,$ABR$44)</f>
        <v>#N/A</v>
      </c>
      <c r="DB34" s="3453">
        <f>IFERROR(IF(outputs_klasse_qty[[#This Row],[man_metode]]=1,outputs_klasse_qty[[#This Row],[man_c_rate]]*$BI109),0)</f>
        <v>0</v>
      </c>
      <c r="DC34" s="3453" t="e">
        <f>IF(outputs_klasse_qty[[#This Row],[man_metode]]=1,$ABR$45)</f>
        <v>#N/A</v>
      </c>
      <c r="DD34" s="3453">
        <f>IFERROR(IF(outputs_klasse_qty[[#This Row],[man_metode]]=1,outputs_klasse_qty[[#This Row],[man_d_rate]]*$BJ109),0)</f>
        <v>0</v>
      </c>
      <c r="DE34" s="3453" t="e">
        <f>IF(outputs_klasse_qty[[#This Row],[man_metode]]=1,$ABR$46)</f>
        <v>#N/A</v>
      </c>
      <c r="DF34" s="3453">
        <f>IFERROR(IF(outputs_klasse_qty[[#This Row],[man_metode]]=1,outputs_klasse_qty[[#This Row],[man_e1_rate]]*$BK109),0)</f>
        <v>0</v>
      </c>
      <c r="DG34" s="3453" t="e">
        <f>IF(outputs_klasse_qty[[#This Row],[man_metode]]=1,$ABR$47)</f>
        <v>#N/A</v>
      </c>
      <c r="DH34" s="3453">
        <f>IFERROR(IF(outputs_klasse_qty[[#This Row],[man_metode]]=1,outputs_klasse_qty[[#This Row],[man_e2_rate]]*$BL109),0)</f>
        <v>0</v>
      </c>
      <c r="DI34" s="3453" t="e">
        <f>IF(outputs_klasse_qty[[#This Row],[man_metode]]=1,$ABR$48)</f>
        <v>#N/A</v>
      </c>
      <c r="DJ34" s="3453">
        <f>IFERROR(IF(outputs_klasse_qty[[#This Row],[man_metode]]=1,outputs_klasse_qty[[#This Row],[man_f_rate]]*$BM109),0)</f>
        <v>0</v>
      </c>
      <c r="DK34" s="3453" t="e">
        <f>IF(outputs_klasse_qty[[#This Row],[man_metode]]=1,$ABR$49)</f>
        <v>#N/A</v>
      </c>
      <c r="DL34" s="3453">
        <f>IFERROR(IF(outputs_klasse_qty[[#This Row],[man_metode]]=1,outputs_klasse_qty[[#This Row],[man_g_rate]]*$BN109),0)</f>
        <v>0</v>
      </c>
      <c r="DM34"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4" s="5712">
        <v>1</v>
      </c>
      <c r="DO34" s="3453" t="e">
        <f>IF(outputs_klasse_qty[[#This Row],[kartlegg_metode]]=1,$ACB$42)</f>
        <v>#N/A</v>
      </c>
      <c r="DP34" s="3453">
        <f>IFERROR(IF(outputs_klasse_qty[[#This Row],[kartlegg_metode]]=1,outputs_klasse_qty[[#This Row],[kartlegg_a_rate]]*$BG109),0)</f>
        <v>0</v>
      </c>
      <c r="DQ34" s="3453" t="e">
        <f>IF(outputs_klasse_qty[[#This Row],[kartlegg_metode]]=1,$ACB$43)</f>
        <v>#N/A</v>
      </c>
      <c r="DR34" s="3453">
        <f>IFERROR(IF(outputs_klasse_qty[[#This Row],[kartlegg_metode]]=1,outputs_klasse_qty[[#This Row],[kartlegg_b_rate]]*$BH109),0)</f>
        <v>0</v>
      </c>
      <c r="DS34" s="3453" t="e">
        <f>IF(outputs_klasse_qty[[#This Row],[kartlegg_metode]]=1,$ACB$44)</f>
        <v>#N/A</v>
      </c>
      <c r="DT34" s="3453">
        <f>IFERROR(IF(outputs_klasse_qty[[#This Row],[kartlegg_metode]]=1,outputs_klasse_qty[[#This Row],[kartlegg_c_rate]]*$BI109),0)</f>
        <v>0</v>
      </c>
      <c r="DU34" s="3453" t="e">
        <f>IF(outputs_klasse_qty[[#This Row],[kartlegg_metode]]=1,$ACB$45)</f>
        <v>#N/A</v>
      </c>
      <c r="DV34" s="3453">
        <f>IFERROR(IF(outputs_klasse_qty[[#This Row],[kartlegg_metode]]=1,outputs_klasse_qty[[#This Row],[kartlegg_d_rate]]*$BJ109),0)</f>
        <v>0</v>
      </c>
      <c r="DW34" s="3453" t="e">
        <f>IF(outputs_klasse_qty[[#This Row],[kartlegg_metode]]=1,$ACB$46)</f>
        <v>#N/A</v>
      </c>
      <c r="DX34" s="3453">
        <f>IFERROR(IF(outputs_klasse_qty[[#This Row],[kartlegg_metode]]=1,outputs_klasse_qty[[#This Row],[kartlegg_e1_rate]]*$BK109),0)</f>
        <v>0</v>
      </c>
      <c r="DY34" s="3453" t="e">
        <f>IF(outputs_klasse_qty[[#This Row],[kartlegg_metode]]=1,$ACB$47)</f>
        <v>#N/A</v>
      </c>
      <c r="DZ34" s="3453">
        <f>IFERROR(IF(outputs_klasse_qty[[#This Row],[kartlegg_metode]]=1,outputs_klasse_qty[[#This Row],[kartlegg_e2_rate]]*$BL109),0)</f>
        <v>0</v>
      </c>
      <c r="EA34" s="3453" t="e">
        <f>IF(outputs_klasse_qty[[#This Row],[kartlegg_metode]]=1,$ACB$48)</f>
        <v>#N/A</v>
      </c>
      <c r="EB34" s="3453">
        <f>IFERROR(IF(outputs_klasse_qty[[#This Row],[kartlegg_metode]]=1,outputs_klasse_qty[[#This Row],[kartlegg_f_rate]]*$BM109),0)</f>
        <v>0</v>
      </c>
      <c r="EC34" s="3453" t="e">
        <f>IF(outputs_klasse_qty[[#This Row],[kartlegg_metode]]=1,$ACB$49)</f>
        <v>#N/A</v>
      </c>
      <c r="ED34" s="3453">
        <f>IFERROR(IF(outputs_klasse_qty[[#This Row],[kartlegg_metode]]=1,outputs_klasse_qty[[#This Row],[kartlegg_g_rate]]*$BN109),0)</f>
        <v>0</v>
      </c>
      <c r="EE34"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4" s="5712">
        <f>IF($AK$215=_List!$DA$6,$EF$28,IF($AK$215=_List!$DA$7,$EF$29,0))</f>
        <v>1</v>
      </c>
      <c r="EG34" s="3453" t="e">
        <f t="shared" ref="EG34:EG41" si="94">$ACL$42</f>
        <v>#N/A</v>
      </c>
      <c r="EH34" s="5719">
        <f>IFERROR(($AY86*$AI$46)/(outputs_klasse_qty[[#This Row],[bolt_veder_a_rate]]^2),0)</f>
        <v>0</v>
      </c>
      <c r="EI34" s="3453" t="e">
        <f t="shared" ref="EI34:EI41" si="95">$ACL$43</f>
        <v>#N/A</v>
      </c>
      <c r="EJ34" s="5719">
        <f>IFERROR(($AZ86*$AI$46)/(outputs_klasse_qty[[#This Row],[bolt_veder_b_rate]]^2),0)</f>
        <v>0</v>
      </c>
      <c r="EK34" s="3453" t="e">
        <f t="shared" ref="EK34:EK41" si="96">$ACL$44</f>
        <v>#N/A</v>
      </c>
      <c r="EL34" s="5719">
        <f>IFERROR(($BA86*$AI$46)/(outputs_klasse_qty[[#This Row],[bolt_veder_c_rate]]^2),0)</f>
        <v>0</v>
      </c>
      <c r="EM34" s="3453" t="e">
        <f t="shared" ref="EM34:EM41" si="97">$ACL$45</f>
        <v>#N/A</v>
      </c>
      <c r="EN34" s="5719">
        <f>IFERROR(($BB86*$AI$46)/(outputs_klasse_qty[[#This Row],[bolt_veder_d_rate]]^2),0)</f>
        <v>0</v>
      </c>
      <c r="EO34" s="3453" t="e">
        <f t="shared" ref="EO34:EO41" si="98">$ACL$46</f>
        <v>#N/A</v>
      </c>
      <c r="EP34" s="5719">
        <f>IFERROR(($BC86*$AI$46)/(outputs_klasse_qty[[#This Row],[bolt_veder_e1_rate]]^2),0)</f>
        <v>0</v>
      </c>
      <c r="EQ34" s="3453" t="e">
        <f t="shared" ref="EQ34:EQ41" si="99">$ACL$47</f>
        <v>#N/A</v>
      </c>
      <c r="ER34" s="5719">
        <f>IFERROR(($BD86*$AI$46)/(outputs_klasse_qty[[#This Row],[bolt_veder_e2_rate]]^2),0)</f>
        <v>0</v>
      </c>
      <c r="ES34" s="3453" t="e">
        <f t="shared" ref="ES34:ES41" si="100">$ACL$48</f>
        <v>#N/A</v>
      </c>
      <c r="ET34" s="5719">
        <f>IFERROR(($BE86*$AI$46)/(outputs_klasse_qty[[#This Row],[bolt_veder_f_rate]]^2),0)</f>
        <v>0</v>
      </c>
      <c r="EU34" s="3453" t="e">
        <f t="shared" ref="EU34:EU41" si="101">$ACL$49</f>
        <v>#N/A</v>
      </c>
      <c r="EV34" s="5719">
        <f>IFERROR(($BF86*$AI$46)/(outputs_klasse_qty[[#This Row],[bolt_veder_g_rate]]^2),0)</f>
        <v>0</v>
      </c>
      <c r="EW34"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4" s="3453" t="e">
        <f>outputs_klasse_qty[[#This Row],[bolt_veder_a_output]]*$ACU$42</f>
        <v>#N/A</v>
      </c>
      <c r="EY34" s="3453" t="e">
        <f>outputs_klasse_qty[[#This Row],[bolt_veder_a_output]]*$ADD$42</f>
        <v>#N/A</v>
      </c>
      <c r="EZ34" s="3453" t="e">
        <f>outputs_klasse_qty[[#This Row],[bolt_veder_b_output]]*$ACU$43</f>
        <v>#N/A</v>
      </c>
      <c r="FA34" s="3453" t="e">
        <f>outputs_klasse_qty[[#This Row],[bolt_veder_b_output]]*$ADD$43</f>
        <v>#N/A</v>
      </c>
      <c r="FB34" s="3453" t="e">
        <f>outputs_klasse_qty[[#This Row],[bolt_veder_c_output]]*$ACU$44</f>
        <v>#N/A</v>
      </c>
      <c r="FC34" s="3453" t="e">
        <f>outputs_klasse_qty[[#This Row],[bolt_veder_c_output]]*$ADD$44</f>
        <v>#N/A</v>
      </c>
      <c r="FD34" s="3453" t="e">
        <f>outputs_klasse_qty[[#This Row],[bolt_veder_d_output]]*$ACU$45</f>
        <v>#N/A</v>
      </c>
      <c r="FE34" s="3453" t="e">
        <f>outputs_klasse_qty[[#This Row],[bolt_veder_d_output]]*$ADD$45</f>
        <v>#N/A</v>
      </c>
      <c r="FF34" s="3453" t="e">
        <f>outputs_klasse_qty[[#This Row],[bolt_veder_e1_output]]*$ACU$46</f>
        <v>#N/A</v>
      </c>
      <c r="FG34" s="3453" t="e">
        <f>outputs_klasse_qty[[#This Row],[bolt_veder_e1_output]]*$ADD$46</f>
        <v>#N/A</v>
      </c>
      <c r="FH34" s="3453" t="e">
        <f>outputs_klasse_qty[[#This Row],[bolt_veder_e2_output]]*$ACU$47</f>
        <v>#N/A</v>
      </c>
      <c r="FI34" s="3453" t="e">
        <f>outputs_klasse_qty[[#This Row],[bolt_veder_e2_output]]*$ADD$47</f>
        <v>#N/A</v>
      </c>
      <c r="FJ34" s="3453" t="e">
        <f>outputs_klasse_qty[[#This Row],[bolt_veder_f_output]]*$ACU$48</f>
        <v>#N/A</v>
      </c>
      <c r="FK34" s="3453" t="e">
        <f>outputs_klasse_qty[[#This Row],[bolt_veder_f_output]]*$ADD$48</f>
        <v>#N/A</v>
      </c>
      <c r="FL34" s="3453" t="e">
        <f>outputs_klasse_qty[[#This Row],[bolt_veder_g_output]]*$ACU$49</f>
        <v>#N/A</v>
      </c>
      <c r="FM34" s="3453" t="e">
        <f>outputs_klasse_qty[[#This Row],[bolt_veder_g_output]]*$ADD$49</f>
        <v>#N/A</v>
      </c>
      <c r="FN34"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4"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4" s="3453">
        <v>1</v>
      </c>
      <c r="FQ34" s="3453" t="e">
        <f t="shared" ref="FQ34:FQ41" si="102">$ADN$42</f>
        <v>#N/A</v>
      </c>
      <c r="FR34" s="5854">
        <f>IFERROR(($AY86*$AI$42*2)/(outputs_klasse_qty[[#This Row],[bolt_vegg_a_rate]]^2),0)</f>
        <v>0</v>
      </c>
      <c r="FS34" s="3453" t="e">
        <f t="shared" ref="FS34:FS41" si="103">$ADN$43</f>
        <v>#N/A</v>
      </c>
      <c r="FT34" s="5854">
        <f>IFERROR(($AZ86*$AI$42*2)/(outputs_klasse_qty[[#This Row],[bolt_vegg_b_rate]]^2),0)</f>
        <v>0</v>
      </c>
      <c r="FU34" s="3453" t="e">
        <f t="shared" ref="FU34:FU41" si="104">$ADN$44</f>
        <v>#N/A</v>
      </c>
      <c r="FV34" s="5854">
        <f>IFERROR(($BA86*$AI$42*2)/(outputs_klasse_qty[[#This Row],[bolt_vegg_c_rate]]^2),0)</f>
        <v>0</v>
      </c>
      <c r="FW34" s="3453" t="e">
        <f t="shared" ref="FW34:FW41" si="105">$ADN$45</f>
        <v>#N/A</v>
      </c>
      <c r="FX34" s="5854">
        <f>IFERROR(($BB86*$AI$42*2)/(outputs_klasse_qty[[#This Row],[bolt_vegg_d_rate]]^2),0)</f>
        <v>0</v>
      </c>
      <c r="FY34" s="3453" t="e">
        <f t="shared" ref="FY34:FY41" si="106">$ADN$46</f>
        <v>#N/A</v>
      </c>
      <c r="FZ34" s="5854">
        <f>IFERROR(($BC86*$AI$42*2)/(outputs_klasse_qty[[#This Row],[bolt_vegg_e1_rate]]^2),0)</f>
        <v>0</v>
      </c>
      <c r="GA34" s="3453" t="e">
        <f t="shared" ref="GA34:GA41" si="107">$ADN$47</f>
        <v>#N/A</v>
      </c>
      <c r="GB34" s="5854">
        <f>IFERROR(($BD86*$AI$42*2)/(outputs_klasse_qty[[#This Row],[bolt_vegg_e2_rate]]^2),0)</f>
        <v>0</v>
      </c>
      <c r="GC34" s="3453" t="e">
        <f t="shared" ref="GC34:GC41" si="108">$ADN$48</f>
        <v>#N/A</v>
      </c>
      <c r="GD34" s="5854">
        <f>IFERROR(($BE86*$AI$42*2)/(outputs_klasse_qty[[#This Row],[bolt_vegg_f_rate]]^2),0)</f>
        <v>0</v>
      </c>
      <c r="GE34" s="3453" t="e">
        <f t="shared" ref="GE34:GE41" si="109">$ADN$49</f>
        <v>#N/A</v>
      </c>
      <c r="GF34" s="5854">
        <f>IFERROR(($BF86*$AI$42*2)/(outputs_klasse_qty[[#This Row],[bolt_vegg_g_rate]]^2),0)</f>
        <v>0</v>
      </c>
      <c r="GG34"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4" s="3453" t="e">
        <f>outputs_klasse_qty[[#This Row],[bolt_vegg_a_output]]*$ADX$42</f>
        <v>#N/A</v>
      </c>
      <c r="GI34" s="3453" t="e">
        <f>outputs_klasse_qty[[#This Row],[bolt_vegg_a_output]]*$AEF$42</f>
        <v>#N/A</v>
      </c>
      <c r="GJ34" s="3453" t="e">
        <f>outputs_klasse_qty[[#This Row],[bolt_vegg_b_output]]*$ADX$43</f>
        <v>#N/A</v>
      </c>
      <c r="GK34" s="3453" t="e">
        <f>outputs_klasse_qty[[#This Row],[bolt_vegg_b_output]]*$AEF$43</f>
        <v>#N/A</v>
      </c>
      <c r="GL34" s="3453" t="e">
        <f>outputs_klasse_qty[[#This Row],[bolt_vegg_c_output]]*$ADX$44</f>
        <v>#N/A</v>
      </c>
      <c r="GM34" s="3453" t="e">
        <f>outputs_klasse_qty[[#This Row],[bolt_vegg_c_output]]*$AEF$44</f>
        <v>#N/A</v>
      </c>
      <c r="GN34" s="3453" t="e">
        <f>outputs_klasse_qty[[#This Row],[bolt_vegg_d_output]]*$ADX$45</f>
        <v>#N/A</v>
      </c>
      <c r="GO34" s="3453" t="e">
        <f>outputs_klasse_qty[[#This Row],[bolt_vegg_d_output]]*$AEF$45</f>
        <v>#N/A</v>
      </c>
      <c r="GP34" s="3453" t="e">
        <f>outputs_klasse_qty[[#This Row],[bolt_vegg_e1_output]]*$ADX$46</f>
        <v>#N/A</v>
      </c>
      <c r="GQ34" s="3453" t="e">
        <f>outputs_klasse_qty[[#This Row],[bolt_vegg_e1_output]]*$AEF$46</f>
        <v>#N/A</v>
      </c>
      <c r="GR34" s="3453" t="e">
        <f>outputs_klasse_qty[[#This Row],[bolt_vegg_e2_output]]*$ADX$47</f>
        <v>#N/A</v>
      </c>
      <c r="GS34" s="3453" t="e">
        <f>outputs_klasse_qty[[#This Row],[bolt_vegg_e2_output]]*$AEF$47</f>
        <v>#N/A</v>
      </c>
      <c r="GT34" s="3453" t="e">
        <f>outputs_klasse_qty[[#This Row],[bolt_vegg_f_output]]*$ADX$48</f>
        <v>#N/A</v>
      </c>
      <c r="GU34" s="3453" t="e">
        <f>outputs_klasse_qty[[#This Row],[bolt_vegg_f_output]]*$AEF$48</f>
        <v>#N/A</v>
      </c>
      <c r="GV34" s="3453" t="e">
        <f>outputs_klasse_qty[[#This Row],[bolt_vegg_g_output]]*$ADX$49</f>
        <v>#N/A</v>
      </c>
      <c r="GW34" s="3453" t="e">
        <f>outputs_klasse_qty[[#This Row],[bolt_vegg_g_output]]*$AEF$49</f>
        <v>#N/A</v>
      </c>
      <c r="GX34"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4"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4" s="5698" t="str">
        <f>IFERROR(outputs_klasse_qty[[#This Row],[bolt_veder_lt4_sum]]+outputs_klasse_qty[[#This Row],[bolt_vegg_lt4_sum]],"")</f>
        <v/>
      </c>
      <c r="HA34" s="5698" t="str">
        <f>IFERROR(outputs_klasse_qty[[#This Row],[bolt_veder_gt4_sum]]+outputs_klasse_qty[[#This Row],[bolt_vegg_gt4_sum]],"")</f>
        <v/>
      </c>
      <c r="HB34" s="3453"/>
      <c r="HC34" s="3453"/>
      <c r="HD34" s="3453"/>
      <c r="HE34" s="3453"/>
      <c r="HF34" s="3453"/>
      <c r="HG34" s="3453"/>
      <c r="HH34" s="3453"/>
      <c r="HI34" s="3453"/>
      <c r="HJ34" s="3453"/>
      <c r="HK34" s="3453"/>
      <c r="HL34" s="3453"/>
      <c r="HM34" s="3453"/>
      <c r="HN34" s="3453"/>
      <c r="HO34" s="3453"/>
      <c r="HP34" s="3453"/>
      <c r="HQ34" s="3453"/>
      <c r="HR34" s="5819" t="e">
        <f t="shared" si="5"/>
        <v>#N/A</v>
      </c>
      <c r="HS34" s="5819">
        <f t="shared" si="6"/>
        <v>1</v>
      </c>
      <c r="HT34" s="5819">
        <f t="shared" si="7"/>
        <v>5</v>
      </c>
      <c r="HU34" s="5855">
        <f>IFERROR(IF(outputs_klasse_qty[[#This Row],[forbolting_bueområde_a]]=_List!$DQ$7,_Calcs_Klasse!$AI$46*$BG109,IF(outputs_klasse_qty[[#This Row],[forbolting_bueområde_a]]=_List!$DQ$8,$AI$40*$BG109)),0)</f>
        <v>0</v>
      </c>
      <c r="HV34" s="5856" t="e">
        <f>IF(outputs_klasse_qty[[#This Row],[forbolting_bueområde_a]]=_List!$DQ$7,($AI$46*BG109)/outputs_klasse_qty[[#This Row],[forbolting_senteravstand_a]]*outputs_klasse_qty[[#This Row],[forbolting_andel_a]],IF(outputs_klasse_qty[[#This Row],[forbolting_bueområde_a]]=_List!$DQ$8,($AI$40*BG109)/outputs_klasse_qty[[#This Row],[forbolting_senteravstand_a]]*outputs_klasse_qty[[#This Row],[forbolting_andel_a]],0))</f>
        <v>#N/A</v>
      </c>
      <c r="HW34" s="5819" t="str">
        <f t="shared" si="8"/>
        <v>Ingen</v>
      </c>
      <c r="HX34" s="5819">
        <f t="shared" si="9"/>
        <v>1</v>
      </c>
      <c r="HY34" s="5819" t="e">
        <f t="shared" si="10"/>
        <v>#N/A</v>
      </c>
      <c r="HZ34" s="5855" t="b">
        <f>IFERROR(IF(outputs_klasse_qty[[#This Row],[forbolting_bueområde_b]]=_List!$DQ$7,_Calcs_Klasse!$AI$46*$BH109,IF(outputs_klasse_qty[[#This Row],[forbolting_bueområde_b]]=_List!$DQ$8,$AI$40*$BH109)),0)</f>
        <v>0</v>
      </c>
      <c r="IA34" s="5856">
        <f>IF(outputs_klasse_qty[[#This Row],[forbolting_bueområde_b]]=_List!$DQ$7,($AI$46*BH109)/outputs_klasse_qty[[#This Row],[forbolting_senteravstand_b]]*outputs_klasse_qty[[#This Row],[forbolting_andel_b]],IF(outputs_klasse_qty[[#This Row],[forbolting_bueområde_b]]=_List!$DQ$8,($AI$40*BH109)/outputs_klasse_qty[[#This Row],[forbolting_senteravstand_b]]*outputs_klasse_qty[[#This Row],[forbolting_andel_b]],0))</f>
        <v>0</v>
      </c>
      <c r="IB34" s="5819" t="str">
        <f t="shared" si="11"/>
        <v>Ingen</v>
      </c>
      <c r="IC34" s="5819">
        <f t="shared" si="12"/>
        <v>1</v>
      </c>
      <c r="ID34" s="5819" t="e">
        <f t="shared" si="13"/>
        <v>#N/A</v>
      </c>
      <c r="IE34" s="5855" t="b">
        <f>IFERROR(IF(outputs_klasse_qty[[#This Row],[forbolting_bueområde_c]]=_List!$DQ$7,_Calcs_Klasse!$AI$46*$BI109,IF(outputs_klasse_qty[[#This Row],[forbolting_bueområde_c]]=_List!$DQ$8,$AI$40*$BI109)),0)</f>
        <v>0</v>
      </c>
      <c r="IF34" s="5856">
        <f>IF(outputs_klasse_qty[[#This Row],[forbolting_bueområde_c]]=_List!$DQ$7,($AI$46*BI109)/outputs_klasse_qty[[#This Row],[forbolting_senteravstand_c]]*outputs_klasse_qty[[#This Row],[forbolting_andel_c]],IF(outputs_klasse_qty[[#This Row],[forbolting_bueområde_c]]=_List!$DQ$8,($AI$40*BI109)/outputs_klasse_qty[[#This Row],[forbolting_senteravstand_c]]*outputs_klasse_qty[[#This Row],[forbolting_andel_c]],0))</f>
        <v>0</v>
      </c>
      <c r="IG34" s="5819" t="e">
        <f t="shared" si="14"/>
        <v>#N/A</v>
      </c>
      <c r="IH34" s="5819">
        <f t="shared" si="15"/>
        <v>1</v>
      </c>
      <c r="II34" s="5819">
        <f t="shared" si="16"/>
        <v>0.5</v>
      </c>
      <c r="IJ34" s="5855">
        <f>IFERROR(IF(outputs_klasse_qty[[#This Row],[forbolting_bueområde_d]]=_List!$DQ$7,_Calcs_Klasse!$AI$46*$BJ109,IF(outputs_klasse_qty[[#This Row],[forbolting_bueområde_d]]=_List!$DQ$8,$AI$40*$BJ109)),0)</f>
        <v>0</v>
      </c>
      <c r="IK34" s="5856" t="e">
        <f>IF(outputs_klasse_qty[[#This Row],[forbolting_bueområde_d]]=_List!$DQ$7,($AI$46*BJ109)/outputs_klasse_qty[[#This Row],[forbolting_senteravstand_d]]*outputs_klasse_qty[[#This Row],[forbolting_andel_d]],IF(outputs_klasse_qty[[#This Row],[forbolting_bueområde_d]]=_List!$DQ$8,($AI$40*BJ109)/outputs_klasse_qty[[#This Row],[forbolting_senteravstand_d]]*outputs_klasse_qty[[#This Row],[forbolting_andel_d]],0))</f>
        <v>#N/A</v>
      </c>
      <c r="IL34" s="5819" t="e">
        <f t="shared" si="17"/>
        <v>#N/A</v>
      </c>
      <c r="IM34" s="5819">
        <f t="shared" si="18"/>
        <v>1</v>
      </c>
      <c r="IN34" s="5819" t="e">
        <f t="shared" si="19"/>
        <v>#N/A</v>
      </c>
      <c r="IO34" s="5855">
        <f>IFERROR(IF(outputs_klasse_qty[[#This Row],[forbolting_bueområde_e1]]=_List!$DQ$7,_Calcs_Klasse!$AI$46*$BK109,IF(outputs_klasse_qty[[#This Row],[forbolting_bueområde_e1]]=_List!$DQ$8,$AI$40*$BK109)),0)</f>
        <v>0</v>
      </c>
      <c r="IP34" s="5856" t="e">
        <f>IF(outputs_klasse_qty[[#This Row],[forbolting_bueområde_e1]]=_List!$DQ$7,($AI$46*BK109)/outputs_klasse_qty[[#This Row],[forbolting_senteravstand_e1]]*outputs_klasse_qty[[#This Row],[forbolting_andel_e1]],IF(outputs_klasse_qty[[#This Row],[forbolting_bueområde_e1]]=_List!$DQ$8,($AI$40*BK109)/outputs_klasse_qty[[#This Row],[forbolting_senteravstand_e1]]*outputs_klasse_qty[[#This Row],[forbolting_andel_e1]],0))</f>
        <v>#N/A</v>
      </c>
      <c r="IQ34" s="5819" t="e">
        <f t="shared" si="20"/>
        <v>#N/A</v>
      </c>
      <c r="IR34" s="5819" t="e">
        <f t="shared" si="21"/>
        <v>#N/A</v>
      </c>
      <c r="IS34" s="5819" t="e">
        <f t="shared" si="22"/>
        <v>#N/A</v>
      </c>
      <c r="IT34" s="5855">
        <f>IFERROR(IF(outputs_klasse_qty[[#This Row],[forbolting_bueområde_e2]]=_List!$DQ$7,_Calcs_Klasse!$AI$46*$BL109,IF(outputs_klasse_qty[[#This Row],[forbolting_bueområde_e2]]=_List!$DQ$8,$AI$40*$BL109)),0)</f>
        <v>0</v>
      </c>
      <c r="IU34" s="5856" t="e">
        <f>IF(outputs_klasse_qty[[#This Row],[forbolting_bueområde_e2]]=_List!$DQ$7,($AI$46*BL109)/outputs_klasse_qty[[#This Row],[forbolting_senteravstand_e2]]*outputs_klasse_qty[[#This Row],[forbolting_andel_e2]],IF(outputs_klasse_qty[[#This Row],[forbolting_bueområde_e2]]=_List!$DQ$8,($AI$40*BL109)/outputs_klasse_qty[[#This Row],[forbolting_senteravstand_e2]]*outputs_klasse_qty[[#This Row],[forbolting_andel_e2]],0))</f>
        <v>#N/A</v>
      </c>
      <c r="IV34" s="5819" t="e">
        <f t="shared" si="23"/>
        <v>#N/A</v>
      </c>
      <c r="IW34" s="5819" t="e">
        <f t="shared" si="24"/>
        <v>#N/A</v>
      </c>
      <c r="IX34" s="5819" t="e">
        <f t="shared" si="25"/>
        <v>#N/A</v>
      </c>
      <c r="IY34" s="5855">
        <f>IFERROR(IF(outputs_klasse_qty[[#This Row],[forbolting_bueområde_f]]=_List!$DQ$7,_Calcs_Klasse!$AI$46*$BM109,IF(outputs_klasse_qty[[#This Row],[forbolting_bueområde_f]]=_List!$DQ$8,$AI$40*$BM109)),0)</f>
        <v>0</v>
      </c>
      <c r="IZ34" s="5856" t="e">
        <f>IF(outputs_klasse_qty[[#This Row],[forbolting_bueområde_f]]=_List!$DQ$7,($AI$46*BM109)/outputs_klasse_qty[[#This Row],[forbolting_senteravstand_f]]*outputs_klasse_qty[[#This Row],[forbolting_andel_f]],IF(outputs_klasse_qty[[#This Row],[forbolting_bueområde_f]]=_List!$DQ$8,($AI$40*BM109)/outputs_klasse_qty[[#This Row],[forbolting_senteravstand_f]]*outputs_klasse_qty[[#This Row],[forbolting_andel_f]],0))</f>
        <v>#N/A</v>
      </c>
      <c r="JA34" s="5819" t="e">
        <f t="shared" si="26"/>
        <v>#N/A</v>
      </c>
      <c r="JB34" s="5819" t="e">
        <f t="shared" si="27"/>
        <v>#N/A</v>
      </c>
      <c r="JC34" s="5819" t="e">
        <f t="shared" si="28"/>
        <v>#N/A</v>
      </c>
      <c r="JD34" s="5855">
        <f>IFERROR(IF(outputs_klasse_qty[[#This Row],[forbolting_bueområde_g]]=_List!$DQ$7,_Calcs_Klasse!$AI$46*$BN109,IF(outputs_klasse_qty[[#This Row],[forbolting_bueområde_g]]=_List!$DQ$8,$AI$40*$BN109)),0)</f>
        <v>0</v>
      </c>
      <c r="JE34" s="5856" t="e">
        <f>outputs_klasse_qty[[#This Row],[forbolting_bue_lengde_g]]/outputs_klasse_qty[[#This Row],[forbolting_senteravstand_g]]</f>
        <v>#N/A</v>
      </c>
      <c r="JF34" s="3453">
        <f>IFERROR(outputs_klasse_qty[[#This Row],[forbolting_bolter_output_a]]*$AQC$42,0)</f>
        <v>0</v>
      </c>
      <c r="JG34" s="3453">
        <f>IFERROR(outputs_klasse_qty[[#This Row],[forbolting_bolter_output_a]]*$AQL$42,0)</f>
        <v>0</v>
      </c>
      <c r="JH34" s="3453">
        <f>IFERROR(outputs_klasse_qty[[#This Row],[forbolting_bolter_output_b]]*$AQC$43,0)</f>
        <v>0</v>
      </c>
      <c r="JI34" s="3453">
        <f>IFERROR(outputs_klasse_qty[[#This Row],[forbolting_bolter_output_b]]*$AQL$43,0)</f>
        <v>0</v>
      </c>
      <c r="JJ34" s="3453">
        <f>IFERROR(outputs_klasse_qty[[#This Row],[forbolting_bolter_output_c]]*$AQC$44,0)</f>
        <v>0</v>
      </c>
      <c r="JK34" s="3453">
        <f>IFERROR(outputs_klasse_qty[[#This Row],[forbolting_bolter_output_c]]*$AQL$44,0)</f>
        <v>0</v>
      </c>
      <c r="JL34" s="3453">
        <f>IFERROR(outputs_klasse_qty[[#This Row],[forbolting_bolter_output_d]]*$AQC$45,0)</f>
        <v>0</v>
      </c>
      <c r="JM34" s="3453">
        <f>IFERROR(outputs_klasse_qty[[#This Row],[forbolting_bolter_output_d]]*$AQL$45,0)</f>
        <v>0</v>
      </c>
      <c r="JN34" s="3453">
        <f>IFERROR(outputs_klasse_qty[[#This Row],[forbolting_bolter_output_e1]]*$AQC$46,0)</f>
        <v>0</v>
      </c>
      <c r="JO34" s="3453">
        <f>IFERROR(outputs_klasse_qty[[#This Row],[forbolting_bolter_output_e1]]*$AQL$46,0)</f>
        <v>0</v>
      </c>
      <c r="JP34" s="3453">
        <f>IFERROR(outputs_klasse_qty[[#This Row],[forbolting_bolter_output_e2]]*$AQC$47,0)</f>
        <v>0</v>
      </c>
      <c r="JQ34" s="3453">
        <f>IFERROR(outputs_klasse_qty[[#This Row],[forbolting_bolter_output_e2]]*$AQL$47,0)</f>
        <v>0</v>
      </c>
      <c r="JR34" s="3453">
        <f>IFERROR(outputs_klasse_qty[[#This Row],[forbolting_bolter_output_f]]*$AQC$48,0)</f>
        <v>0</v>
      </c>
      <c r="JS34" s="3453">
        <f>IFERROR(outputs_klasse_qty[[#This Row],[forbolting_bolter_output_f]]*$AQL$48,0)</f>
        <v>0</v>
      </c>
      <c r="JT34" s="3453">
        <f>IFERROR(outputs_klasse_qty[[#This Row],[forbolting_bolter_output_g]]*$AQC$49,0)</f>
        <v>0</v>
      </c>
      <c r="JU34" s="3453">
        <f>IFERROR(outputs_klasse_qty[[#This Row],[forbolting_bolter_output_g]]*$AQL$49,0)</f>
        <v>0</v>
      </c>
      <c r="JV34"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4"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4" s="5819" t="e">
        <f t="shared" si="29"/>
        <v>#N/A</v>
      </c>
      <c r="JY34" s="5856" t="e">
        <f>IF(outputs_klasse_qty[[#This Row],[forbolting_bueområde_a]]=_List!$DQ$7,($AI$46*BG109)/outputs_klasse_qty[[#This Row],[opphengbolter_senteravstand_a]]*outputs_klasse_qty[[#This Row],[forbolting_andel_a]],IF(outputs_klasse_qty[[#This Row],[forbolting_bueområde_a]]=_List!$DQ$8,($AI$40*BG109)/outputs_klasse_qty[[#This Row],[opphengbolter_senteravstand_a]]*outputs_klasse_qty[[#This Row],[forbolting_andel_a]],0))</f>
        <v>#N/A</v>
      </c>
      <c r="JZ34" s="5819" t="e">
        <f t="shared" si="30"/>
        <v>#N/A</v>
      </c>
      <c r="KA34" s="5856">
        <f>IF(outputs_klasse_qty[[#This Row],[forbolting_bueområde_b]]=_List!$DQ$7,($AI$46*BH109)/outputs_klasse_qty[[#This Row],[opphengbolter_senteravstand_b]]*outputs_klasse_qty[[#This Row],[forbolting_andel_b]],IF(outputs_klasse_qty[[#This Row],[forbolting_bueområde_b]]=_List!$DQ$8,($AI$40*BH109)/outputs_klasse_qty[[#This Row],[opphengbolter_senteravstand_b]]*outputs_klasse_qty[[#This Row],[forbolting_andel_b]],0))</f>
        <v>0</v>
      </c>
      <c r="KB34" s="5819" t="e">
        <f t="shared" si="31"/>
        <v>#N/A</v>
      </c>
      <c r="KC34" s="5856">
        <f>IF(outputs_klasse_qty[[#This Row],[forbolting_bueområde_c]]=_List!$DQ$7,($AI$46*BI109)/outputs_klasse_qty[[#This Row],[opphengbolter_senteravstand_c]]*outputs_klasse_qty[[#This Row],[forbolting_andel_c]],IF(outputs_klasse_qty[[#This Row],[forbolting_bueområde_c]]=_List!$DQ$8,($AI$40*BI109)/outputs_klasse_qty[[#This Row],[opphengbolter_senteravstand_c]]*outputs_klasse_qty[[#This Row],[forbolting_andel_c]],0))</f>
        <v>0</v>
      </c>
      <c r="KD34" s="5819" t="e">
        <f t="shared" si="32"/>
        <v>#N/A</v>
      </c>
      <c r="KE34" s="5856" t="e">
        <f>IF(outputs_klasse_qty[[#This Row],[forbolting_bueområde_d]]=_List!$DQ$7,($AI$46*BJ109)/outputs_klasse_qty[[#This Row],[opphengbolter_senteravstand_d]]*outputs_klasse_qty[[#This Row],[forbolting_andel_d]],IF(outputs_klasse_qty[[#This Row],[forbolting_bueområde_d]]=_List!$DQ$8,($AI$40*BJ109)/outputs_klasse_qty[[#This Row],[opphengbolter_senteravstand_d]]*outputs_klasse_qty[[#This Row],[forbolting_andel_d]],0))</f>
        <v>#N/A</v>
      </c>
      <c r="KF34" s="5819" t="e">
        <f t="shared" si="33"/>
        <v>#N/A</v>
      </c>
      <c r="KG34" s="5856" t="e">
        <f>IF(outputs_klasse_qty[[#This Row],[forbolting_bueområde_e1]]=_List!$DQ$7,($AI$46*BK109)/outputs_klasse_qty[[#This Row],[opphengbolter_senteravstand_e1]]*outputs_klasse_qty[[#This Row],[forbolting_andel_e1]],IF(outputs_klasse_qty[[#This Row],[forbolting_bueområde_e1]]=_List!$DQ$8,($AI$40*BK109)/outputs_klasse_qty[[#This Row],[opphengbolter_senteravstand_e1]]*outputs_klasse_qty[[#This Row],[forbolting_andel_e1]],0))</f>
        <v>#N/A</v>
      </c>
      <c r="KH34" s="5819" t="e">
        <f t="shared" si="34"/>
        <v>#N/A</v>
      </c>
      <c r="KI34" s="5856" t="e">
        <f>IF(outputs_klasse_qty[[#This Row],[forbolting_bueområde_e2]]=_List!$DQ$7,($AI$46*BL109)/outputs_klasse_qty[[#This Row],[opphengbolter_senteravstand_e2]]*outputs_klasse_qty[[#This Row],[forbolting_andel_e2]],IF(outputs_klasse_qty[[#This Row],[forbolting_bueområde_e2]]=_List!$DQ$8,($AI$40*BL109)/outputs_klasse_qty[[#This Row],[opphengbolter_senteravstand_e2]]*outputs_klasse_qty[[#This Row],[forbolting_andel_e2]],0))</f>
        <v>#N/A</v>
      </c>
      <c r="KJ34" s="5819" t="e">
        <f t="shared" si="35"/>
        <v>#N/A</v>
      </c>
      <c r="KK34" s="5856" t="e">
        <f>IF(outputs_klasse_qty[[#This Row],[forbolting_bueområde_f]]=_List!$DQ$7,($AI$46*BM109)/outputs_klasse_qty[[#This Row],[opphengbolter_senteravstand_f]]*outputs_klasse_qty[[#This Row],[forbolting_andel_f]],IF(outputs_klasse_qty[[#This Row],[forbolting_bueområde_f]]=_List!$DQ$8,($AI$40*BM109)/outputs_klasse_qty[[#This Row],[opphengbolter_senteravstand_f]]*outputs_klasse_qty[[#This Row],[forbolting_andel_f]],0))</f>
        <v>#N/A</v>
      </c>
      <c r="KL34" s="5819" t="e">
        <f t="shared" si="36"/>
        <v>#N/A</v>
      </c>
      <c r="KM34" s="5856" t="e">
        <f>IF(outputs_klasse_qty[[#This Row],[forbolting_bueområde_g]]=_List!$DQ$7,($AI$46*BN109)/outputs_klasse_qty[[#This Row],[opphengbolter_senteravstand_g]]*outputs_klasse_qty[[#This Row],[forbolting_andel_g]],IF(outputs_klasse_qty[[#This Row],[forbolting_bueområde_g]]=_List!$DQ$8,($AI$40*BN109)/outputs_klasse_qty[[#This Row],[opphengbolter_senteravstand_g]]*outputs_klasse_qty[[#This Row],[forbolting_andel_g]],0))</f>
        <v>#N/A</v>
      </c>
      <c r="KN34" s="5819">
        <f>IFERROR(outputs_klasse_qty[[#This Row],[opphengbolter_output_a]]*$ARC$42,0)</f>
        <v>0</v>
      </c>
      <c r="KO34" s="5819">
        <f>IFERROR(outputs_klasse_qty[[#This Row],[opphengbolter_output_a]]*$ARL$42,0)</f>
        <v>0</v>
      </c>
      <c r="KP34" s="5819">
        <f>IFERROR(outputs_klasse_qty[[#This Row],[opphengbolter_output_b]]*$ARC$43,0)</f>
        <v>0</v>
      </c>
      <c r="KQ34" s="5819">
        <f>IFERROR(outputs_klasse_qty[[#This Row],[opphengbolter_output_b]]*$ARL$43,0)</f>
        <v>0</v>
      </c>
      <c r="KR34" s="5819">
        <f>IFERROR(outputs_klasse_qty[[#This Row],[opphengbolter_output_c]]*$ARC$44,0)</f>
        <v>0</v>
      </c>
      <c r="KS34" s="5819">
        <f>IFERROR(outputs_klasse_qty[[#This Row],[opphengbolter_output_c]]*$ARL$44,0)</f>
        <v>0</v>
      </c>
      <c r="KT34" s="5819">
        <f>IFERROR(outputs_klasse_qty[[#This Row],[opphengbolter_output_d]]*$ARC$45,0)</f>
        <v>0</v>
      </c>
      <c r="KU34" s="5819">
        <f>IFERROR(outputs_klasse_qty[[#This Row],[opphengbolter_output_d]]*$ARL$45,0)</f>
        <v>0</v>
      </c>
      <c r="KV34" s="5819">
        <f>IFERROR(outputs_klasse_qty[[#This Row],[opphengbolter_output_e1]]*$ARC$46,0)</f>
        <v>0</v>
      </c>
      <c r="KW34" s="5819">
        <f>IFERROR(outputs_klasse_qty[[#This Row],[opphengbolter_output_e1]]*$ARL$46,0)</f>
        <v>0</v>
      </c>
      <c r="KX34" s="5819">
        <f>IFERROR(outputs_klasse_qty[[#This Row],[opphengbolter_output_e2]]*$ARC$47,0)</f>
        <v>0</v>
      </c>
      <c r="KY34" s="5819">
        <f>IFERROR(outputs_klasse_qty[[#This Row],[opphengbolter_output_e2]]*$ARL$47,0)</f>
        <v>0</v>
      </c>
      <c r="KZ34" s="5819">
        <f>IFERROR(outputs_klasse_qty[[#This Row],[opphengbolter_output_f]]*$ARC$48,0)</f>
        <v>0</v>
      </c>
      <c r="LA34" s="5819">
        <f>IFERROR(outputs_klasse_qty[[#This Row],[opphengbolter_output_f]]*$ARL$48,0)</f>
        <v>0</v>
      </c>
      <c r="LB34" s="5819">
        <f>IFERROR(outputs_klasse_qty[[#This Row],[opphengbolter_output_g]]*$ARC$49,0)</f>
        <v>0</v>
      </c>
      <c r="LC34" s="5819">
        <f>IFERROR(outputs_klasse_qty[[#This Row],[opphengbolter_output_g]]*$ARL$49,0)</f>
        <v>0</v>
      </c>
      <c r="LD34"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4"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4" s="5712" cm="1">
        <f t="array" ref="LF34">IF($AK$217=klasse_bånd[Method],$LF$28,IF($AK$217="",$LF$29,0))</f>
        <v>1</v>
      </c>
      <c r="LG34" s="3453">
        <f t="shared" ref="LG34:LG41" si="110">IF($LF34=$LF$28,$AEZ$42,0)</f>
        <v>1.5</v>
      </c>
      <c r="LH34" s="3453">
        <f>IFERROR(outputs_klasse_qty[[#This Row],[bergbånd_langs_forbolting_a_rate]]*outputs_klasse_qty[[#This Row],[forbolting_bue_lengde_a]],0)</f>
        <v>0</v>
      </c>
      <c r="LI34" s="3453">
        <f t="shared" ref="LI34:LI41" si="111">IF($LF34=$LF$28,$AEZ$43,0)</f>
        <v>2</v>
      </c>
      <c r="LJ34" s="3453">
        <f>IFERROR(outputs_klasse_qty[[#This Row],[bergbånd_langs_forbolting_b_rate]]*outputs_klasse_qty[[#This Row],[forbolting_bue_lengde_b]],0)</f>
        <v>0</v>
      </c>
      <c r="LK34" s="3453">
        <f t="shared" ref="LK34:LK41" si="112">IF($LF34=$LF$28,$AEZ$44,0)</f>
        <v>2</v>
      </c>
      <c r="LL34" s="3453">
        <f>IFERROR(outputs_klasse_qty[[#This Row],[bergbånd_langs_forbolting_c_rate]]*outputs_klasse_qty[[#This Row],[forbolting_bue_lengde_c]],0)</f>
        <v>0</v>
      </c>
      <c r="LM34" s="3453">
        <f t="shared" ref="LM34:LM41" si="113">IF($LF34=$LF$28,$AEZ$45,0)</f>
        <v>2</v>
      </c>
      <c r="LN34" s="3453">
        <f>IFERROR(outputs_klasse_qty[[#This Row],[bergbånd_langs_forbolting_d_rate]]*outputs_klasse_qty[[#This Row],[forbolting_bue_lengde_d]],0)</f>
        <v>0</v>
      </c>
      <c r="LO34" s="3453">
        <f t="shared" ref="LO34:LO41" si="114">IF($LF34=$LF$28,$AEZ$46,0)</f>
        <v>2</v>
      </c>
      <c r="LP34" s="3453">
        <f>IFERROR(outputs_klasse_qty[[#This Row],[bergbånd_langs_forbolting_e1_rate]]*outputs_klasse_qty[[#This Row],[forbolting_bue_lengde_e1]],0)</f>
        <v>0</v>
      </c>
      <c r="LQ34" s="3453">
        <f t="shared" ref="LQ34:LQ41" si="115">IF($LF34=$LF$28,$AEZ$47,0)</f>
        <v>2</v>
      </c>
      <c r="LR34" s="3453">
        <f>IFERROR(outputs_klasse_qty[[#This Row],[bergbånd_langs_forbolting_e2_rate]]*outputs_klasse_qty[[#This Row],[forbolting_bue_lengde_e2]],0)</f>
        <v>0</v>
      </c>
      <c r="LS34" s="3453" t="e">
        <f t="shared" ref="LS34:LS41" si="116">IF($LF34=$LF$28,$AEZ$48,0)</f>
        <v>#N/A</v>
      </c>
      <c r="LT34" s="3453">
        <f>IFERROR(outputs_klasse_qty[[#This Row],[bergbånd_langs_forbolting_f_rate]]*outputs_klasse_qty[[#This Row],[forbolting_bue_lengde_f]],0)</f>
        <v>0</v>
      </c>
      <c r="LU34" s="3453" t="e">
        <f t="shared" ref="LU34:LU41" si="117">IF($LF34=$LF$28,$AEZ$49,0)</f>
        <v>#N/A</v>
      </c>
      <c r="LV34" s="3453">
        <f>IFERROR(outputs_klasse_qty[[#This Row],[bergbånd_langs_forbolting_g_rate]]*outputs_klasse_qty[[#This Row],[forbolting_bue_lengde_g]],0)</f>
        <v>0</v>
      </c>
      <c r="LW34"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4" s="3453" t="e">
        <f t="shared" si="37"/>
        <v>#N/A</v>
      </c>
      <c r="LY34" s="5703">
        <f>IFERROR(outputs_klasse_qty[[#This Row],[bånd_ekstra_a_rate]]*$AY86,0)</f>
        <v>0</v>
      </c>
      <c r="LZ34" s="3453" t="e">
        <f t="shared" si="38"/>
        <v>#N/A</v>
      </c>
      <c r="MA34" s="5703">
        <f>IFERROR(outputs_klasse_qty[[#This Row],[bånd_ekstra_b_rate]]*$AZ86,0)</f>
        <v>0</v>
      </c>
      <c r="MB34" s="3453" t="e">
        <f t="shared" si="39"/>
        <v>#N/A</v>
      </c>
      <c r="MC34" s="5703">
        <f>IFERROR(outputs_klasse_qty[[#This Row],[bånd_ekstra_c_rate]]*$BA86,0)</f>
        <v>0</v>
      </c>
      <c r="MD34" s="3453" t="e">
        <f t="shared" si="40"/>
        <v>#N/A</v>
      </c>
      <c r="ME34" s="5703">
        <f>IFERROR(outputs_klasse_qty[[#This Row],[bånd_ekstra_d_rate]]*$BB86,0)</f>
        <v>0</v>
      </c>
      <c r="MF34" s="3453" t="e">
        <f t="shared" si="41"/>
        <v>#N/A</v>
      </c>
      <c r="MG34" s="5703">
        <f>IFERROR(outputs_klasse_qty[[#This Row],[bånd_ekstra_e1_rate]]*$BC86,0)</f>
        <v>0</v>
      </c>
      <c r="MH34" s="3453" t="e">
        <f t="shared" si="42"/>
        <v>#N/A</v>
      </c>
      <c r="MI34" s="5703">
        <f>IFERROR(outputs_klasse_qty[[#This Row],[bånd_ekstra_e2_rate]]*$BD86,0)</f>
        <v>0</v>
      </c>
      <c r="MJ34" s="3453" t="e">
        <f t="shared" si="43"/>
        <v>#N/A</v>
      </c>
      <c r="MK34" s="5703">
        <f>IFERROR(outputs_klasse_qty[[#This Row],[bånd_ekstra_f_rate]]*$BE86,0)</f>
        <v>0</v>
      </c>
      <c r="ML34" s="3453" t="e">
        <f t="shared" si="44"/>
        <v>#N/A</v>
      </c>
      <c r="MM34" s="5703">
        <f>IFERROR(outputs_klasse_qty[[#This Row],[bånd_ekstra_g_rate]]*$BF86,0)</f>
        <v>0</v>
      </c>
      <c r="MN34"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4" s="5705">
        <f>outputs_klasse_qty[[#This Row],[bergbånd_langs_forbolting_a_output]]+outputs_klasse_qty[[#This Row],[bånd_ekstra_a_output]]</f>
        <v>0</v>
      </c>
      <c r="MP34" s="5705">
        <f>outputs_klasse_qty[[#This Row],[bergbånd_langs_forbolting_b_output]]+outputs_klasse_qty[[#This Row],[bånd_ekstra_b_output]]</f>
        <v>0</v>
      </c>
      <c r="MQ34" s="5705">
        <f>outputs_klasse_qty[[#This Row],[bergbånd_langs_forbolting_c_output]]+outputs_klasse_qty[[#This Row],[bånd_ekstra_c_output]]</f>
        <v>0</v>
      </c>
      <c r="MR34" s="5705">
        <f>outputs_klasse_qty[[#This Row],[bergbånd_langs_forbolting_d_output]]+outputs_klasse_qty[[#This Row],[bånd_ekstra_d_output]]</f>
        <v>0</v>
      </c>
      <c r="MS34" s="5705">
        <f>outputs_klasse_qty[[#This Row],[bergbånd_langs_forbolting_e1_output]]+outputs_klasse_qty[[#This Row],[bånd_ekstra_e1_output]]</f>
        <v>0</v>
      </c>
      <c r="MT34" s="5705">
        <f>outputs_klasse_qty[[#This Row],[bergbånd_langs_forbolting_e2_output]]+outputs_klasse_qty[[#This Row],[bånd_ekstra_e2_output]]</f>
        <v>0</v>
      </c>
      <c r="MU34" s="5705">
        <f>outputs_klasse_qty[[#This Row],[bergbånd_langs_forbolting_f_output]]+outputs_klasse_qty[[#This Row],[bånd_ekstra_f_output]]</f>
        <v>0</v>
      </c>
      <c r="MV34" s="5705">
        <f>outputs_klasse_qty[[#This Row],[bergbånd_langs_forbolting_g_output]]+outputs_klasse_qty[[#This Row],[bånd_ekstra_g_output]]</f>
        <v>0</v>
      </c>
      <c r="MW34" s="5706">
        <f>SUM(outputs_klasse_qty[[#This Row],[bergbånd_sum_a]:[bergbånd_sum_g]])</f>
        <v>0</v>
      </c>
      <c r="MX34" s="3453" t="e">
        <f t="shared" si="45"/>
        <v>#N/A</v>
      </c>
      <c r="MY34" s="5707">
        <f>IFERROR(outputs_klasse_qty[[#This Row],[bergbånd_sum_a]]/outputs_klasse_qty[[#This Row],[festebolter_for_bergbånd_a_senteravstand]],0)</f>
        <v>0</v>
      </c>
      <c r="MZ34" s="3453" t="e">
        <f t="shared" si="46"/>
        <v>#N/A</v>
      </c>
      <c r="NA34" s="5707">
        <f>IFERROR(outputs_klasse_qty[[#This Row],[bergbånd_sum_b]]/outputs_klasse_qty[[#This Row],[festebolter_for_bergbånd_b_senteravstand]],0)</f>
        <v>0</v>
      </c>
      <c r="NB34" s="3453" t="e">
        <f t="shared" si="47"/>
        <v>#N/A</v>
      </c>
      <c r="NC34" s="5707">
        <f>IFERROR(outputs_klasse_qty[[#This Row],[bergbånd_sum_c]]/outputs_klasse_qty[[#This Row],[festebolter_for_bergbånd_c_senteravstand]],0)</f>
        <v>0</v>
      </c>
      <c r="ND34" s="3453" t="e">
        <f t="shared" si="48"/>
        <v>#N/A</v>
      </c>
      <c r="NE34" s="5707">
        <f>IFERROR(outputs_klasse_qty[[#This Row],[bergbånd_sum_d]]/outputs_klasse_qty[[#This Row],[festebolter_for_bergbånd_d_senteravstand]],0)</f>
        <v>0</v>
      </c>
      <c r="NF34" s="3453" t="e">
        <f t="shared" si="49"/>
        <v>#N/A</v>
      </c>
      <c r="NG34" s="5707">
        <f>IFERROR(outputs_klasse_qty[[#This Row],[bergbånd_sum_e1]]/outputs_klasse_qty[[#This Row],[festebolter_for_bergbånd_e1_senteravstand]],0)</f>
        <v>0</v>
      </c>
      <c r="NH34" s="3453" t="e">
        <f t="shared" si="50"/>
        <v>#N/A</v>
      </c>
      <c r="NI34" s="5707">
        <f>IFERROR(outputs_klasse_qty[[#This Row],[bergbånd_sum_e2]]/outputs_klasse_qty[[#This Row],[festebolter_for_bergbånd_e2_senteravstand]],0)</f>
        <v>0</v>
      </c>
      <c r="NJ34" s="3453" t="e">
        <f t="shared" si="51"/>
        <v>#N/A</v>
      </c>
      <c r="NK34" s="5707">
        <f>IFERROR(outputs_klasse_qty[[#This Row],[bergbånd_sum_f]]/outputs_klasse_qty[[#This Row],[festebolter_for_bergbånd_f_senteravstand]],0)</f>
        <v>0</v>
      </c>
      <c r="NL34" s="3453" t="e">
        <f t="shared" si="52"/>
        <v>#N/A</v>
      </c>
      <c r="NM34" s="5707">
        <f>IFERROR(outputs_klasse_qty[[#This Row],[bergbånd_sum_g]]/outputs_klasse_qty[[#This Row],[festebolter_for_bergbånd_g_senteravstand]],0)</f>
        <v>0</v>
      </c>
      <c r="NN34"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4" s="3453"/>
      <c r="NP34" s="3453"/>
      <c r="NQ34" s="3453"/>
      <c r="NR34" s="3453"/>
      <c r="NS34" s="3453"/>
      <c r="NT34" s="3453"/>
      <c r="NU34" s="3453"/>
      <c r="NV34" s="3453"/>
      <c r="NW34" s="3453"/>
      <c r="NX34" s="3453"/>
      <c r="NY34" s="3453"/>
      <c r="NZ34" s="3453"/>
      <c r="OA34" s="3453"/>
      <c r="OB34" s="3453"/>
      <c r="OC34" s="3453"/>
      <c r="OD34" s="3453"/>
      <c r="OE34" s="3453"/>
      <c r="OF34" s="3453"/>
      <c r="OG34" s="3453"/>
      <c r="OH34" s="3453"/>
      <c r="OI34" s="5712" cm="1">
        <f t="array" ref="OI34">IF($AK$218=klasse_net[Method],$OI$28,IF($AK$218="",$OI$29,0))</f>
        <v>1</v>
      </c>
      <c r="OJ34" s="3453" t="e">
        <f t="shared" ref="OJ34:OJ41" si="118">IF($OI34=$OI$28,$AGU$42,0)</f>
        <v>#N/A</v>
      </c>
      <c r="OK34" s="5720">
        <f>IFERROR(outputs_klasse_qty[[#This Row],[nett_a_rate]]*$AY86,0)</f>
        <v>0</v>
      </c>
      <c r="OL34" s="3453" t="e">
        <f t="shared" ref="OL34:OL41" si="119">IF($OI34=$OI$28,$AGU$43,0)</f>
        <v>#N/A</v>
      </c>
      <c r="OM34" s="5720">
        <f>IFERROR(outputs_klasse_qty[[#This Row],[nett_b_rate]]*$AZ86,0)</f>
        <v>0</v>
      </c>
      <c r="ON34" s="3453" t="e">
        <f t="shared" ref="ON34:ON41" si="120">IF($OI34=$OI$28,$AGU$44,0)</f>
        <v>#N/A</v>
      </c>
      <c r="OO34" s="5720">
        <f>IFERROR(outputs_klasse_qty[[#This Row],[nett_c_rate]]*$BA86,0)</f>
        <v>0</v>
      </c>
      <c r="OP34" s="3453" t="e">
        <f t="shared" ref="OP34:OP41" si="121">IF($OI34=$OI$28,$AGU$45,0)</f>
        <v>#N/A</v>
      </c>
      <c r="OQ34" s="5720">
        <f>IFERROR(outputs_klasse_qty[[#This Row],[nett_d_rate]]*$BB86,0)</f>
        <v>0</v>
      </c>
      <c r="OR34" s="3453" t="e">
        <f t="shared" ref="OR34:OR41" si="122">IF($OI34=$OI$28,$AGU$46,0)</f>
        <v>#N/A</v>
      </c>
      <c r="OS34" s="5720">
        <f>IFERROR(outputs_klasse_qty[[#This Row],[nett_e1_rate]]*$BC86,0)</f>
        <v>0</v>
      </c>
      <c r="OT34" s="3453" t="e">
        <f t="shared" ref="OT34:OT41" si="123">IF($OI34=$OI$28,$AGU$47,0)</f>
        <v>#N/A</v>
      </c>
      <c r="OU34" s="5720">
        <f>IFERROR(outputs_klasse_qty[[#This Row],[nett_e2_rate]]*$BD86,0)</f>
        <v>0</v>
      </c>
      <c r="OV34" s="3453" t="e">
        <f t="shared" ref="OV34:OV41" si="124">IF($OI34=$OI$28,$AGU$48,0)</f>
        <v>#N/A</v>
      </c>
      <c r="OW34" s="5720">
        <f>IFERROR(outputs_klasse_qty[[#This Row],[nett_f_rate]]*$BE86,0)</f>
        <v>0</v>
      </c>
      <c r="OX34" s="3453" t="e">
        <f t="shared" ref="OX34:OX41" si="125">IF($OI34=$OI$28,$AGU$49,0)</f>
        <v>#N/A</v>
      </c>
      <c r="OY34" s="5720">
        <f>IFERROR(outputs_klasse_qty[[#This Row],[nett_g_rate]]*$BF86,0)</f>
        <v>0</v>
      </c>
      <c r="OZ34" s="5709">
        <f t="shared" ref="OZ34:OZ41" si="126">IFERROR(OK34+OM34+OO34+OQ34+OS34+OU34+OW34+OY34,0)</f>
        <v>0</v>
      </c>
      <c r="PA34" s="3453" t="e">
        <f t="shared" si="53"/>
        <v>#N/A</v>
      </c>
      <c r="PB34" s="5618">
        <f>IFERROR(outputs_klasse_qty[[#This Row],[nett_a_output]]/(outputs_klasse_qty[[#This Row],[festebolter_for_nett_senteravstand_a]]^2),0)</f>
        <v>0</v>
      </c>
      <c r="PC34" s="3453" t="e">
        <f t="shared" si="54"/>
        <v>#N/A</v>
      </c>
      <c r="PD34" s="5618">
        <f>IFERROR(outputs_klasse_qty[[#This Row],[nett_b_output]]/(outputs_klasse_qty[[#This Row],[festebolter_for_nett_senteravstand_b]]^2),0)</f>
        <v>0</v>
      </c>
      <c r="PE34" s="3453" t="e">
        <f t="shared" si="55"/>
        <v>#N/A</v>
      </c>
      <c r="PF34" s="5618">
        <f>IFERROR(outputs_klasse_qty[[#This Row],[nett_c_output]]/(outputs_klasse_qty[[#This Row],[festebolter_for_nett_senteravstand_c]]^2),0)</f>
        <v>0</v>
      </c>
      <c r="PG34" s="3453" t="e">
        <f t="shared" si="56"/>
        <v>#N/A</v>
      </c>
      <c r="PH34" s="5618">
        <f>IFERROR(outputs_klasse_qty[[#This Row],[nett_d_output]]/(outputs_klasse_qty[[#This Row],[festebolter_for_nett_senteravstand_d]]^2),0)</f>
        <v>0</v>
      </c>
      <c r="PI34" s="3453" t="e">
        <f t="shared" si="57"/>
        <v>#N/A</v>
      </c>
      <c r="PJ34" s="5618">
        <f>IFERROR(outputs_klasse_qty[[#This Row],[nett_e1_output]]/(outputs_klasse_qty[[#This Row],[festebolter_for_nett_senteravstand_e1]]^2),0)</f>
        <v>0</v>
      </c>
      <c r="PK34" s="3453" t="e">
        <f t="shared" si="58"/>
        <v>#N/A</v>
      </c>
      <c r="PL34" s="5618">
        <f>IFERROR(outputs_klasse_qty[[#This Row],[nett_e2_output]]/(outputs_klasse_qty[[#This Row],[festebolter_for_nett_senteravstand_e2]]^2),0)</f>
        <v>0</v>
      </c>
      <c r="PM34" s="3453" t="e">
        <f t="shared" si="59"/>
        <v>#N/A</v>
      </c>
      <c r="PN34" s="5618">
        <f>IFERROR(outputs_klasse_qty[[#This Row],[nett_f_output]]/(outputs_klasse_qty[[#This Row],[festebolter_for_nett_senteravstand_f]]^2),0)</f>
        <v>0</v>
      </c>
      <c r="PO34" s="3453" t="e">
        <f t="shared" si="60"/>
        <v>#N/A</v>
      </c>
      <c r="PP34" s="5618">
        <f>IFERROR(outputs_klasse_qty[[#This Row],[nett_g_output]]/(outputs_klasse_qty[[#This Row],[festebolter_for_nett_senteravstand_g]]^2),0)</f>
        <v>0</v>
      </c>
      <c r="PQ34"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4" s="3453" t="e">
        <f t="shared" si="77"/>
        <v>#N/A</v>
      </c>
      <c r="PS34" s="5710" t="e">
        <f>outputs_klasse_qty[[#This Row],[nett_a_output]]*outputs_klasse_qty[[#This Row],[sprøytebetong_ved_nett_tykkelse_a]]/1000</f>
        <v>#N/A</v>
      </c>
      <c r="PT34" s="3453" t="e">
        <f t="shared" si="78"/>
        <v>#N/A</v>
      </c>
      <c r="PU34" s="5710" t="e">
        <f>outputs_klasse_qty[[#This Row],[nett_b_output]]*outputs_klasse_qty[[#This Row],[sprøytebetong_ved_nett_tykkelse_b]]/1000</f>
        <v>#N/A</v>
      </c>
      <c r="PV34" s="3453" t="e">
        <f t="shared" si="79"/>
        <v>#N/A</v>
      </c>
      <c r="PW34" s="5710" t="e">
        <f>outputs_klasse_qty[[#This Row],[nett_c_output]]*outputs_klasse_qty[[#This Row],[sprøytebetong_ved_nett_tykkelse_c]]/1000</f>
        <v>#N/A</v>
      </c>
      <c r="PX34" s="3453" t="e">
        <f t="shared" si="80"/>
        <v>#N/A</v>
      </c>
      <c r="PY34" s="5710" t="e">
        <f>outputs_klasse_qty[[#This Row],[nett_d_output]]*outputs_klasse_qty[[#This Row],[sprøytebetong_ved_nett_tykkelse_d]]/1000</f>
        <v>#N/A</v>
      </c>
      <c r="PZ34" s="3453" t="e">
        <f t="shared" si="81"/>
        <v>#N/A</v>
      </c>
      <c r="QA34" s="5710" t="e">
        <f>outputs_klasse_qty[[#This Row],[nett_e1_output]]*outputs_klasse_qty[[#This Row],[sprøytebetong_ved_nett_tykkelse_e1]]/1000</f>
        <v>#N/A</v>
      </c>
      <c r="QB34" s="3453" t="e">
        <f t="shared" si="82"/>
        <v>#N/A</v>
      </c>
      <c r="QC34" s="5710" t="e">
        <f>outputs_klasse_qty[[#This Row],[nett_e2_output]]*outputs_klasse_qty[[#This Row],[sprøytebetong_ved_nett_tykkelse_e2]]/1000</f>
        <v>#N/A</v>
      </c>
      <c r="QD34" s="3453" t="e">
        <f t="shared" si="83"/>
        <v>#N/A</v>
      </c>
      <c r="QE34" s="5710" t="e">
        <f>outputs_klasse_qty[[#This Row],[nett_f_output]]*outputs_klasse_qty[[#This Row],[sprøytebetong_ved_nett_tykkelse_f]]/1000</f>
        <v>#N/A</v>
      </c>
      <c r="QF34" s="3453" t="e">
        <f t="shared" si="84"/>
        <v>#N/A</v>
      </c>
      <c r="QG34" s="5710" t="e">
        <f>outputs_klasse_qty[[#This Row],[nett_g_output]]*outputs_klasse_qty[[#This Row],[sprøytebetong_ved_nett_tykkelse_g]]/1000</f>
        <v>#N/A</v>
      </c>
      <c r="QH34"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4" s="3453"/>
      <c r="QJ34" s="3453"/>
      <c r="QK34" s="3453"/>
      <c r="QL34" s="3453"/>
      <c r="QM34" s="3453"/>
      <c r="QN34" s="3453"/>
      <c r="QO34" s="3453"/>
      <c r="QP34" s="3453"/>
      <c r="QQ34" s="3453"/>
      <c r="QR34" s="5712">
        <f>IF($AK$219=_List!$DI$6,_Calcs_Klasse!$QR$28,IF($AK$219=_List!$DI$7,$QR$29,0))</f>
        <v>1</v>
      </c>
      <c r="QS34" s="5713" t="e">
        <f t="shared" ref="QS34:QS41" si="127">$AIQ$42</f>
        <v>#N/A</v>
      </c>
      <c r="QT34" s="3453" t="e">
        <f t="shared" ref="QT34:QT41" si="128">$AHW$42</f>
        <v>#N/A</v>
      </c>
      <c r="QU34" s="3453">
        <f>IFERROR((outputs_klasse_qty[[#This Row],[shot_veder_a_faktor]]*outputs_klasse_qty[[#This Row],[shot_veder_a_rate]]*$AI$46*$AY86)/1000,0)</f>
        <v>0</v>
      </c>
      <c r="QV34" s="5713" t="e">
        <f t="shared" ref="QV34:QV41" si="129">$AIQ$43</f>
        <v>#N/A</v>
      </c>
      <c r="QW34" s="3453" t="e">
        <f t="shared" ref="QW34:QW41" si="130">$AHW$43</f>
        <v>#N/A</v>
      </c>
      <c r="QX34" s="3453">
        <f>IFERROR((outputs_klasse_qty[[#This Row],[shot_veder_b_faktor]]*outputs_klasse_qty[[#This Row],[shot_veder_b_rate]]*$AI$46*$AZ86)/1000,0)</f>
        <v>0</v>
      </c>
      <c r="QY34" s="5713" t="e">
        <f t="shared" ref="QY34:QY41" si="131">$AIQ$44</f>
        <v>#N/A</v>
      </c>
      <c r="QZ34" s="3453" t="e">
        <f t="shared" ref="QZ34:QZ41" si="132">$AHW$44</f>
        <v>#N/A</v>
      </c>
      <c r="RA34" s="3453">
        <f>IFERROR((outputs_klasse_qty[[#This Row],[shot_veder_c_faktor]]*outputs_klasse_qty[[#This Row],[shot_veder_c_rate]]*$AI$46*$BA86)/1000,0)</f>
        <v>0</v>
      </c>
      <c r="RB34" s="5713" t="e">
        <f t="shared" ref="RB34:RB41" si="133">$AIQ$45</f>
        <v>#N/A</v>
      </c>
      <c r="RC34" s="3453" t="e">
        <f t="shared" ref="RC34:RC41" si="134">$AHW$45</f>
        <v>#N/A</v>
      </c>
      <c r="RD34" s="3453">
        <f>IFERROR((outputs_klasse_qty[[#This Row],[shot_veder_d_faktor]]*outputs_klasse_qty[[#This Row],[shot_veder_d_rate]]*$AI$46*$BB86)/1000,0)</f>
        <v>0</v>
      </c>
      <c r="RE34" s="5713" t="e">
        <f t="shared" ref="RE34:RE41" si="135">$AIQ$46</f>
        <v>#N/A</v>
      </c>
      <c r="RF34" s="3453" t="e">
        <f t="shared" ref="RF34:RF41" si="136">$AHW$46</f>
        <v>#N/A</v>
      </c>
      <c r="RG34" s="3453">
        <f>IFERROR((outputs_klasse_qty[[#This Row],[shot_veder_e1_faktor]]*outputs_klasse_qty[[#This Row],[shot_veder_e1_rate]]*$AI$46*$BC86)/1000,0)</f>
        <v>0</v>
      </c>
      <c r="RH34" s="5713" t="e">
        <f t="shared" ref="RH34:RH41" si="137">$AIQ$47</f>
        <v>#N/A</v>
      </c>
      <c r="RI34" s="3453" t="e">
        <f t="shared" ref="RI34:RI41" si="138">$AHW$47</f>
        <v>#N/A</v>
      </c>
      <c r="RJ34" s="3453">
        <f>IFERROR((outputs_klasse_qty[[#This Row],[shot_veder_e2_faktor]]*outputs_klasse_qty[[#This Row],[shot_veder_e2_rate]]*$AI$46*$BD86)/1000,0)</f>
        <v>0</v>
      </c>
      <c r="RK34" s="5713" t="e">
        <f t="shared" ref="RK34:RK41" si="139">$AIQ$48</f>
        <v>#N/A</v>
      </c>
      <c r="RL34" s="3453" t="e">
        <f t="shared" ref="RL34:RL41" si="140">$AHW$48</f>
        <v>#N/A</v>
      </c>
      <c r="RM34" s="3453">
        <f>IFERROR((outputs_klasse_qty[[#This Row],[shot_veder_f_faktor]]*outputs_klasse_qty[[#This Row],[shot_veder_f_rate]]*$AI$46*$BE86)/1000,0)</f>
        <v>0</v>
      </c>
      <c r="RN34" s="5713" t="e">
        <f t="shared" ref="RN34:RN41" si="141">$AIQ$49</f>
        <v>#N/A</v>
      </c>
      <c r="RO34" s="3453" t="e">
        <f t="shared" ref="RO34:RO41" si="142">$AHW$49</f>
        <v>#N/A</v>
      </c>
      <c r="RP34" s="3453">
        <f>IFERROR((outputs_klasse_qty[[#This Row],[shot_veder_g_faktor]]*outputs_klasse_qty[[#This Row],[shot_veder_g_rate]]*$AI$46*$BF86)/1000,0)</f>
        <v>0</v>
      </c>
      <c r="RQ34"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4" s="5712">
        <v>1</v>
      </c>
      <c r="RS34" s="5713" t="e">
        <f t="shared" ref="RS34:RS41" si="143">$AIQ$42</f>
        <v>#N/A</v>
      </c>
      <c r="RT34" s="3453" t="e">
        <f t="shared" ref="RT34:RT41" si="144">$AIG$42</f>
        <v>#N/A</v>
      </c>
      <c r="RU34" s="3453">
        <f>IFERROR((outputs_klasse_qty[[#This Row],[shot_vegg_a_faktor]]*outputs_klasse_qty[[#This Row],[shot_vegg_a_rate]]*$AI$42*2*$AY86)/1000,0)</f>
        <v>0</v>
      </c>
      <c r="RV34" s="5713" t="e">
        <f t="shared" ref="RV34:RV41" si="145">$AIQ$43</f>
        <v>#N/A</v>
      </c>
      <c r="RW34" s="3453" t="e">
        <f t="shared" ref="RW34:RW41" si="146">$AIG$43</f>
        <v>#N/A</v>
      </c>
      <c r="RX34" s="3453">
        <f>IFERROR((outputs_klasse_qty[[#This Row],[shot_vegg_b_faktor]]*outputs_klasse_qty[[#This Row],[shot_vegg_b_rate]]*$AI$42*2*$AZ86)/1000,0)</f>
        <v>0</v>
      </c>
      <c r="RY34" s="5713" t="e">
        <f t="shared" ref="RY34:RY41" si="147">$AIQ$44</f>
        <v>#N/A</v>
      </c>
      <c r="RZ34" s="3453" t="e">
        <f t="shared" ref="RZ34:RZ41" si="148">$AIG$44</f>
        <v>#N/A</v>
      </c>
      <c r="SA34" s="3453">
        <f>IFERROR((outputs_klasse_qty[[#This Row],[shot_vegg_c_faktor]]*outputs_klasse_qty[[#This Row],[shot_vegg_c_rate]]*$AI$42*2*$BA86)/1000,0)</f>
        <v>0</v>
      </c>
      <c r="SB34" s="5713" t="e">
        <f t="shared" ref="SB34:SB41" si="149">$AIQ$45</f>
        <v>#N/A</v>
      </c>
      <c r="SC34" s="3453" t="e">
        <f t="shared" ref="SC34:SC41" si="150">$AIG$45</f>
        <v>#N/A</v>
      </c>
      <c r="SD34" s="3453">
        <f>IFERROR((outputs_klasse_qty[[#This Row],[shot_vegg_d_faktor]]*outputs_klasse_qty[[#This Row],[shot_vegg_d_rate]]*$AI$42*2*$BB86)/1000,0)</f>
        <v>0</v>
      </c>
      <c r="SE34" s="5713" t="e">
        <f t="shared" ref="SE34:SE41" si="151">$AIQ$46</f>
        <v>#N/A</v>
      </c>
      <c r="SF34" s="3453" t="e">
        <f t="shared" ref="SF34:SF41" si="152">$AIG$46</f>
        <v>#N/A</v>
      </c>
      <c r="SG34" s="3453">
        <f>IFERROR((outputs_klasse_qty[[#This Row],[shot_vegg_e1_faktor]]*outputs_klasse_qty[[#This Row],[shot_vegg_e1_rate]]*$AI$42*2*$BC86)/1000,0)</f>
        <v>0</v>
      </c>
      <c r="SH34" s="5713" t="e">
        <f t="shared" ref="SH34:SH41" si="153">$AIQ$47</f>
        <v>#N/A</v>
      </c>
      <c r="SI34" s="3453" t="e">
        <f t="shared" ref="SI34:SI41" si="154">$AIG$47</f>
        <v>#N/A</v>
      </c>
      <c r="SJ34" s="3453">
        <f>IFERROR((outputs_klasse_qty[[#This Row],[shot_vegg_e2_faktor]]*outputs_klasse_qty[[#This Row],[shot_vegg_e2_rate]]*$AI$42*2*$BD86)/1000,0)</f>
        <v>0</v>
      </c>
      <c r="SK34" s="5713" t="e">
        <f t="shared" ref="SK34:SK41" si="155">$AIQ$48</f>
        <v>#N/A</v>
      </c>
      <c r="SL34" s="3453" t="e">
        <f t="shared" ref="SL34:SL41" si="156">$AIG$48</f>
        <v>#N/A</v>
      </c>
      <c r="SM34" s="3453">
        <f>IFERROR((outputs_klasse_qty[[#This Row],[shot_vegg_f_faktor]]*outputs_klasse_qty[[#This Row],[shot_vegg_f_rate]]*$AI$42*2*$BE86)/1000,0)</f>
        <v>0</v>
      </c>
      <c r="SN34" s="5713" t="e">
        <f t="shared" ref="SN34:SN41" si="157">$AIQ$49</f>
        <v>#N/A</v>
      </c>
      <c r="SO34" s="3453" t="e">
        <f t="shared" ref="SO34:SO41" si="158">$AIG$49</f>
        <v>#N/A</v>
      </c>
      <c r="SP34" s="3453">
        <f>IFERROR((outputs_klasse_qty[[#This Row],[shot_vegg_g_faktor]]*outputs_klasse_qty[[#This Row],[shot_vegg_g_rate]]*$AI$42*2*$BF86)/1000,0)</f>
        <v>0</v>
      </c>
      <c r="SQ34"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4" s="5715">
        <f>outputs_klasse_qty[[#This Row],[shot_veder_sum]]+outputs_klasse_qty[[#This Row],[shot_vegg_sum]]</f>
        <v>0</v>
      </c>
      <c r="SS34" s="3453"/>
      <c r="ST34" s="3453"/>
      <c r="SU34" s="3453"/>
      <c r="SV34" s="3453"/>
      <c r="SW34" s="3453"/>
      <c r="SX34" s="3453"/>
      <c r="SY34" s="3453"/>
      <c r="SZ34" s="3453"/>
      <c r="TA34" s="3453"/>
      <c r="TB34" s="3453"/>
      <c r="TC34" s="3453"/>
      <c r="TD34" s="3453"/>
      <c r="TE34" s="3453"/>
      <c r="TF34" s="3453"/>
      <c r="TG34" s="3453"/>
      <c r="TH34" s="3453"/>
      <c r="TI34" s="3453"/>
      <c r="TJ34" s="3453"/>
      <c r="TK34" s="5721" cm="1">
        <f t="array" ref="TK34">IF($AK$221=klasse_buer[Method],_Calcs_Klasse!$TK$28,IF($AK$221="",_Calcs_Klasse!TK31,""))</f>
        <v>1</v>
      </c>
      <c r="TL34" s="3453" t="e">
        <f t="shared" ref="TL34:TL41" si="159">$AJQ$42</f>
        <v>#N/A</v>
      </c>
      <c r="TM34" s="3453" t="e">
        <f t="shared" si="61"/>
        <v>#N/A</v>
      </c>
      <c r="TN34" s="3453">
        <f>IFERROR((IF(OR(outputs_klasse_qty[[#This Row],[bue_a_dim]]=_List!$DO$7,outputs_klasse_qty[[#This Row],[bue_a_dim]]=_List!$DO$8),($AY86*$AI$40)/outputs_klasse_qty[[#This Row],[bue_a_senteravstand]]*outputs_klasse_qty[[#This Row],[bue_a_andel]],0)),0)</f>
        <v>0</v>
      </c>
      <c r="TO34" s="5722" t="e">
        <f t="shared" ref="TO34:TO41" si="160">$AJA$42</f>
        <v>#N/A</v>
      </c>
      <c r="TP34" s="5702" t="e">
        <f t="shared" ref="TP34:TP41" si="161">IF($TO34=$TM$21,$TN34,0)</f>
        <v>#N/A</v>
      </c>
      <c r="TQ34" s="5723" t="e">
        <f t="shared" ref="TQ34:TQ41" si="162">IF($TO34=$TM$22,$TN34,0)</f>
        <v>#N/A</v>
      </c>
      <c r="TR34" s="3453" t="e">
        <f t="shared" ref="TR34:TR41" si="163">$AJQ$43</f>
        <v>#N/A</v>
      </c>
      <c r="TS34" s="3453" t="e">
        <f t="shared" si="62"/>
        <v>#N/A</v>
      </c>
      <c r="TT34" s="3453">
        <f>IFERROR((IF(OR(outputs_klasse_qty[[#This Row],[bue_b_dim]]=_List!$DO$7,outputs_klasse_qty[[#This Row],[bue_b_dim]]=_List!$DO$8),($AZ86*$AI$40)/outputs_klasse_qty[[#This Row],[bue_b_senteravstand]]*outputs_klasse_qty[[#This Row],[bue_b_andel]],0)),0)</f>
        <v>0</v>
      </c>
      <c r="TU34" s="5722" t="e">
        <f t="shared" ref="TU34:TU41" si="164">$AJA$43</f>
        <v>#N/A</v>
      </c>
      <c r="TV34" s="5702" t="e">
        <f t="shared" ref="TV34:TV41" si="165">IF($TU34=$TM$21,$TT34,0)</f>
        <v>#N/A</v>
      </c>
      <c r="TW34" s="5723" t="e">
        <f t="shared" ref="TW34:TW41" si="166">IF($TU34=$TM$22,$TT34,0)</f>
        <v>#N/A</v>
      </c>
      <c r="TX34" s="3453" t="e">
        <f t="shared" ref="TX34:TX41" si="167">$AJQ$44</f>
        <v>#N/A</v>
      </c>
      <c r="TY34" s="3453" t="e">
        <f t="shared" si="63"/>
        <v>#N/A</v>
      </c>
      <c r="TZ34" s="3453">
        <f>IFERROR((IF(OR(outputs_klasse_qty[[#This Row],[bue_c_dim]]=_List!$DO$7,outputs_klasse_qty[[#This Row],[bue_c_dim]]=_List!$DO$8),($BA86*$AI$40)/outputs_klasse_qty[[#This Row],[bue_c_senteravstand]]*outputs_klasse_qty[[#This Row],[bue_c_andel]],0)),0)</f>
        <v>0</v>
      </c>
      <c r="UA34" s="5722" t="e">
        <f t="shared" ref="UA34:UA41" si="168">$AJA$44</f>
        <v>#N/A</v>
      </c>
      <c r="UB34" s="5702" t="e">
        <f t="shared" ref="UB34:UB41" si="169">IF($UA34=$TM$21,$TZ34,0)</f>
        <v>#N/A</v>
      </c>
      <c r="UC34" s="5723" t="e">
        <f t="shared" ref="UC34:UC41" si="170">IF($UA34=$TM$22,$TZ34,0)</f>
        <v>#N/A</v>
      </c>
      <c r="UD34" s="3453" t="e">
        <f t="shared" ref="UD34:UD41" si="171">$AJQ$45</f>
        <v>#N/A</v>
      </c>
      <c r="UE34" s="3453" t="e">
        <f t="shared" si="64"/>
        <v>#N/A</v>
      </c>
      <c r="UF34" s="3453">
        <f>IFERROR((IF(OR(outputs_klasse_qty[[#This Row],[bue_d_dim]]=_List!$DO$7,outputs_klasse_qty[[#This Row],[bue_d_dim]]=_List!$DO$8),($BB86*$AI$40)/outputs_klasse_qty[[#This Row],[bue_d_senteravstand]]*outputs_klasse_qty[[#This Row],[bue_d_andel]],0)),0)</f>
        <v>0</v>
      </c>
      <c r="UG34" s="5722" t="e">
        <f t="shared" ref="UG34:UG41" si="172">$AJA$45</f>
        <v>#N/A</v>
      </c>
      <c r="UH34" s="5702" t="e">
        <f t="shared" ref="UH34:UH41" si="173">IF($UG34=$TM$21,$UF34,0)</f>
        <v>#N/A</v>
      </c>
      <c r="UI34" s="5723" t="e">
        <f t="shared" ref="UI34:UI41" si="174">IF($UG34=$TM$22,$UF34,0)</f>
        <v>#N/A</v>
      </c>
      <c r="UJ34" s="3453" t="e">
        <f t="shared" ref="UJ34:UJ41" si="175">$AJQ$46</f>
        <v>#N/A</v>
      </c>
      <c r="UK34" s="3453" t="e">
        <f t="shared" si="65"/>
        <v>#N/A</v>
      </c>
      <c r="UL34" s="3453">
        <f>IFERROR((IF(OR(outputs_klasse_qty[[#This Row],[bue_e1_dim]]=_List!$DO$7,outputs_klasse_qty[[#This Row],[bue_e1_dim]]=_List!$DO$8),($BC86*$AI$40)/outputs_klasse_qty[[#This Row],[bue_e1_senteravstand]]*outputs_klasse_qty[[#This Row],[bue_e1_andel]],0)),0)</f>
        <v>0</v>
      </c>
      <c r="UM34" s="5722" t="e">
        <f t="shared" ref="UM34:UM41" si="176">$AJA$46</f>
        <v>#N/A</v>
      </c>
      <c r="UN34" s="5702" t="e">
        <f t="shared" ref="UN34:UN41" si="177">IF($UM34=$TM$21,$UL34,0)</f>
        <v>#N/A</v>
      </c>
      <c r="UO34" s="5723" t="e">
        <f t="shared" ref="UO34:UO41" si="178">IF($UM34=$TM$22,$UL34,0)</f>
        <v>#N/A</v>
      </c>
      <c r="UP34" s="3453" t="e">
        <f t="shared" ref="UP34:UP41" si="179">$AJQ$47</f>
        <v>#N/A</v>
      </c>
      <c r="UQ34" s="3453" t="e">
        <f t="shared" si="66"/>
        <v>#N/A</v>
      </c>
      <c r="UR34" s="3453">
        <f>IFERROR((IF(OR(outputs_klasse_qty[[#This Row],[bue_e2_dim]]=_List!$DO$7,outputs_klasse_qty[[#This Row],[bue_e2_dim]]=_List!$DO$8),($BD86*$AI$40)/outputs_klasse_qty[[#This Row],[bue_e2_senteravstand]]*outputs_klasse_qty[[#This Row],[bue_e2_andel]],0)),0)</f>
        <v>0</v>
      </c>
      <c r="US34" s="5722" t="e">
        <f t="shared" ref="US34:US41" si="180">$AJA$47</f>
        <v>#N/A</v>
      </c>
      <c r="UT34" s="5702" t="e">
        <f t="shared" ref="UT34:UT41" si="181">IF($US34=$TM$21,$UR34,0)</f>
        <v>#N/A</v>
      </c>
      <c r="UU34" s="5723" t="e">
        <f t="shared" ref="UU34:UU41" si="182">IF($US34=$TM$22,$UR34,0)</f>
        <v>#N/A</v>
      </c>
      <c r="UV34" s="3453" t="e">
        <f t="shared" ref="UV34:UV41" si="183">$AJQ$48</f>
        <v>#N/A</v>
      </c>
      <c r="UW34" s="3453" t="e">
        <f t="shared" si="67"/>
        <v>#N/A</v>
      </c>
      <c r="UX34" s="3453">
        <f>IFERROR((IF(OR(outputs_klasse_qty[[#This Row],[bue_f_dim]]=_List!$DO$7,outputs_klasse_qty[[#This Row],[bue_f_dim]]=_List!$DO$8),($BE86*$AI$40)/outputs_klasse_qty[[#This Row],[bue_f_senteravstand]]*outputs_klasse_qty[[#This Row],[bue_f_andel]],0)),0)</f>
        <v>0</v>
      </c>
      <c r="UY34" s="5722" t="e">
        <f t="shared" ref="UY34:UY41" si="184">$AJA$48</f>
        <v>#N/A</v>
      </c>
      <c r="UZ34" s="5702" t="e">
        <f t="shared" ref="UZ34:UZ41" si="185">IF($UY34=$TM$21,$UX34,0)</f>
        <v>#N/A</v>
      </c>
      <c r="VA34" s="5723" t="e">
        <f t="shared" ref="VA34:VA41" si="186">IF($UY34=$TM$22,$UX34,0)</f>
        <v>#N/A</v>
      </c>
      <c r="VB34" s="3453" t="e">
        <f t="shared" ref="VB34:VB41" si="187">$AJQ$49</f>
        <v>#N/A</v>
      </c>
      <c r="VC34" s="3453" t="e">
        <f t="shared" si="68"/>
        <v>#N/A</v>
      </c>
      <c r="VD34" s="3453">
        <f>IFERROR((IF(OR(outputs_klasse_qty[[#This Row],[bue_g_dim]]=_List!$DO$7,outputs_klasse_qty[[#This Row],[bue_g_dim]]=_List!$DO$8),($BF86*$AI$40)/outputs_klasse_qty[[#This Row],[bue_g_senteravstand]]*outputs_klasse_qty[[#This Row],[bue_g_andel]],0)),0)</f>
        <v>0</v>
      </c>
      <c r="VE34" s="5722" t="e">
        <f t="shared" ref="VE34:VE41" si="188">$AJA$49</f>
        <v>#N/A</v>
      </c>
      <c r="VF34" s="5702" t="e">
        <f t="shared" ref="VF34:VF41" si="189">IF($VE34=$TM$21,$VD34,0)</f>
        <v>#N/A</v>
      </c>
      <c r="VG34" s="5723" t="e">
        <f t="shared" ref="VG34:VG41" si="190">IF($VE34=$TM$22,$VD34,0)</f>
        <v>#N/A</v>
      </c>
      <c r="VH34"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4"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4" s="5719" t="str">
        <f>IFERROR(outputs_klasse_qty[[#This Row],[bue_e30_sum]]+outputs_klasse_qty[[#This Row],[bue_d60_sum]],"")</f>
        <v/>
      </c>
      <c r="VK34" s="3453">
        <f t="shared" ref="VK34:VK41" si="191">IFERROR($ALK$42,0)</f>
        <v>0</v>
      </c>
      <c r="VL34" s="3453">
        <f>outputs_klasse_qty[[#This Row],[bue_a_output]]*outputs_klasse_qty[[#This Row],[sprøytebetong_ved_bue_rate_a]]</f>
        <v>0</v>
      </c>
      <c r="VM34" s="3453">
        <f t="shared" ref="VM34:VM41" si="192">IFERROR($ALK$43,0)</f>
        <v>0</v>
      </c>
      <c r="VN34" s="3453">
        <f>outputs_klasse_qty[[#This Row],[bue_b_output]]*outputs_klasse_qty[[#This Row],[sprøytebetong_ved_bue_rate_b]]</f>
        <v>0</v>
      </c>
      <c r="VO34" s="3453">
        <f t="shared" ref="VO34:VO41" si="193">IFERROR($ALK$44,0)</f>
        <v>0</v>
      </c>
      <c r="VP34" s="3453">
        <f>outputs_klasse_qty[[#This Row],[bue_c_output]]*outputs_klasse_qty[[#This Row],[sprøytebetong_ved_bue_rate_c]]</f>
        <v>0</v>
      </c>
      <c r="VQ34" s="3453">
        <f t="shared" ref="VQ34:VQ41" si="194">IFERROR($ALK$45,0)</f>
        <v>0</v>
      </c>
      <c r="VR34" s="3453">
        <f>outputs_klasse_qty[[#This Row],[bue_d_output]]*outputs_klasse_qty[[#This Row],[sprøytebetong_ved_bue_rate_d]]</f>
        <v>0</v>
      </c>
      <c r="VS34" s="3453">
        <f t="shared" ref="VS34:VS41" si="195">IFERROR($ALK$46,0)</f>
        <v>0</v>
      </c>
      <c r="VT34" s="3453">
        <f>outputs_klasse_qty[[#This Row],[bue_e1_output]]*outputs_klasse_qty[[#This Row],[sprøytebetong_ved_bue_rate_e1]]</f>
        <v>0</v>
      </c>
      <c r="VU34" s="3453">
        <f t="shared" ref="VU34:VU41" si="196">IFERROR($ALK$47,0)</f>
        <v>0</v>
      </c>
      <c r="VV34" s="3453">
        <f>outputs_klasse_qty[[#This Row],[bue_e2_output]]*outputs_klasse_qty[[#This Row],[sprøytebetong_ved_bue_rate_e2]]</f>
        <v>0</v>
      </c>
      <c r="VW34" s="3453">
        <f t="shared" ref="VW34:VW41" si="197">IFERROR($ALK$48,0)</f>
        <v>0</v>
      </c>
      <c r="VX34" s="3453">
        <f>outputs_klasse_qty[[#This Row],[bue_f_output]]*outputs_klasse_qty[[#This Row],[sprøytebetong_ved_bue_rate_f]]</f>
        <v>0</v>
      </c>
      <c r="VY34" s="3453">
        <f t="shared" ref="VY34:VY41" si="198">IFERROR($ALK$49,0)</f>
        <v>0</v>
      </c>
      <c r="VZ34" s="3453">
        <f>outputs_klasse_qty[[#This Row],[bue_g_output]]*outputs_klasse_qty[[#This Row],[sprøytebetong_ved_bue_rate_g]]</f>
        <v>0</v>
      </c>
      <c r="WA34"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4" s="3453" t="e">
        <f t="shared" ref="WB34:WB41" si="199">$ALU$42</f>
        <v>#N/A</v>
      </c>
      <c r="WC34" s="3453">
        <f>IFERROR((IF(OR(outputs_klasse_qty[[#This Row],[bue_a_dim]]=_List!$DO$7,outputs_klasse_qty[[#This Row],[bue_a_dim]]=_List!$DO$8),_Calcs_Klasse!AY86/$AJQ$42*outputs_klasse_qty[[#This Row],[forankring_bolter_rate_a]],0)),0)</f>
        <v>0</v>
      </c>
      <c r="WD34" s="3453" t="e">
        <f t="shared" ref="WD34:WD41" si="200">$ALU$43</f>
        <v>#N/A</v>
      </c>
      <c r="WE34" s="3453">
        <f>IFERROR((IF(OR(outputs_klasse_qty[[#This Row],[bue_b_dim]]=_List!$DO$7,outputs_klasse_qty[[#This Row],[bue_b_dim]]=_List!$DO$8),_Calcs_Klasse!AZ86/$AJQ$43*outputs_klasse_qty[[#This Row],[forankring_bolter_rate_b]],0)),0)</f>
        <v>0</v>
      </c>
      <c r="WF34" s="3453" t="e">
        <f t="shared" ref="WF34:WF41" si="201">$ALU$44</f>
        <v>#N/A</v>
      </c>
      <c r="WG34" s="3453">
        <f>IFERROR((IF(OR(outputs_klasse_qty[[#This Row],[bue_c_dim]]=_List!$DO$7,outputs_klasse_qty[[#This Row],[bue_c_dim]]=_List!$DO$8),_Calcs_Klasse!BA86/$AJQ$44*outputs_klasse_qty[[#This Row],[forankring_bolter_rate_c]],0)),0)</f>
        <v>0</v>
      </c>
      <c r="WH34" s="3453" t="e">
        <f t="shared" ref="WH34:WH41" si="202">$ALU$45</f>
        <v>#N/A</v>
      </c>
      <c r="WI34" s="3453">
        <f>IFERROR((IF(OR(outputs_klasse_qty[[#This Row],[bue_d_dim]]=_List!$DO$7,outputs_klasse_qty[[#This Row],[bue_d_dim]]=_List!$DO$8),_Calcs_Klasse!BB86/$AJQ$45*outputs_klasse_qty[[#This Row],[forankring_bolter_rate_d]],0)),0)</f>
        <v>0</v>
      </c>
      <c r="WJ34" s="3453" t="e">
        <f t="shared" ref="WJ34:WJ41" si="203">$ALU$46</f>
        <v>#N/A</v>
      </c>
      <c r="WK34" s="3453">
        <f>IFERROR((IF(OR(outputs_klasse_qty[[#This Row],[bue_e1_dim]]=_List!$DO$7,outputs_klasse_qty[[#This Row],[bue_e1_dim]]=_List!$DO$8),_Calcs_Klasse!BC86/$AJQ$46*outputs_klasse_qty[[#This Row],[forankring_bolter_rate_e1]],0)),0)</f>
        <v>0</v>
      </c>
      <c r="WL34" s="3453" t="e">
        <f t="shared" ref="WL34:WL41" si="204">$ALU$47</f>
        <v>#N/A</v>
      </c>
      <c r="WM34" s="3453">
        <f>IFERROR((IF(OR(outputs_klasse_qty[[#This Row],[bue_e2_dim]]=_List!$DO$7,outputs_klasse_qty[[#This Row],[bue_e2_dim]]=_List!$DO$8),_Calcs_Klasse!BD86/$AJQ$47*outputs_klasse_qty[[#This Row],[forankring_bolter_rate_e2]],0)),0)</f>
        <v>0</v>
      </c>
      <c r="WN34" s="3453" t="e">
        <f t="shared" ref="WN34:WN41" si="205">$ALU$48</f>
        <v>#N/A</v>
      </c>
      <c r="WO34" s="3453">
        <f>IFERROR((IF(OR(outputs_klasse_qty[[#This Row],[bue_f_dim]]=_List!$DO$7,outputs_klasse_qty[[#This Row],[bue_f_dim]]=_List!$DO$8),_Calcs_Klasse!BE86/$AJQ$48*outputs_klasse_qty[[#This Row],[forankring_bolter_rate_f]],0)),0)</f>
        <v>0</v>
      </c>
      <c r="WP34" s="3453" t="e">
        <f t="shared" ref="WP34:WP41" si="206">$ALU$49</f>
        <v>#N/A</v>
      </c>
      <c r="WQ34" s="3453">
        <f>IFERROR((IF(OR(outputs_klasse_qty[[#This Row],[bue_g_dim]]=_List!$DO$7,outputs_klasse_qty[[#This Row],[bue_g_dim]]=_List!$DO$8),_Calcs_Klasse!BF86/$AJQ$49*outputs_klasse_qty[[#This Row],[forankring_bolter_rate_g]],0)),0)</f>
        <v>0</v>
      </c>
      <c r="WR34" s="3453">
        <f>IFERROR(outputs_klasse_qty[[#This Row],[forankring_bolter_output_a]]*$AMD$42,0)</f>
        <v>0</v>
      </c>
      <c r="WS34" s="3453">
        <f>IFERROR(outputs_klasse_qty[[#This Row],[forankring_bolter_output_a]]*$AMM$42,0)</f>
        <v>0</v>
      </c>
      <c r="WT34" s="3453">
        <f>IFERROR(outputs_klasse_qty[[#This Row],[forankring_bolter_output_b]]*$AMD$43,0)</f>
        <v>0</v>
      </c>
      <c r="WU34" s="3453">
        <f>IFERROR(outputs_klasse_qty[[#This Row],[forankring_bolter_output_b]]*$AMM$43,0)</f>
        <v>0</v>
      </c>
      <c r="WV34" s="3453">
        <f>IFERROR(outputs_klasse_qty[[#This Row],[forankring_bolter_output_c]]*$AMD$44,0)</f>
        <v>0</v>
      </c>
      <c r="WW34" s="3453">
        <f>IFERROR(outputs_klasse_qty[[#This Row],[forankring_bolter_output_c]]*$AMM$44,0)</f>
        <v>0</v>
      </c>
      <c r="WX34" s="3453">
        <f>IFERROR(outputs_klasse_qty[[#This Row],[forankring_bolter_output_d]]*$AMD$45,0)</f>
        <v>0</v>
      </c>
      <c r="WY34" s="3453">
        <f>IFERROR(outputs_klasse_qty[[#This Row],[forankring_bolter_output_d]]*$AMM$45,0)</f>
        <v>0</v>
      </c>
      <c r="WZ34" s="3453">
        <f>IFERROR(outputs_klasse_qty[[#This Row],[forankring_bolter_output_e1]]*$AMD$46,0)</f>
        <v>0</v>
      </c>
      <c r="XA34" s="3453">
        <f>IFERROR(outputs_klasse_qty[[#This Row],[forankring_bolter_output_e1]]*$AMM$46,0)</f>
        <v>0</v>
      </c>
      <c r="XB34" s="3453">
        <f>IFERROR(outputs_klasse_qty[[#This Row],[forankring_bolter_output_e2]]*$AMD$47,0)</f>
        <v>0</v>
      </c>
      <c r="XC34" s="3453">
        <f>IFERROR(outputs_klasse_qty[[#This Row],[forankring_bolter_output_e2]]*$AMM$47,0)</f>
        <v>0</v>
      </c>
      <c r="XD34" s="3453">
        <f>IFERROR(outputs_klasse_qty[[#This Row],[forankring_bolter_output_f]]*$AMD$48,0)</f>
        <v>0</v>
      </c>
      <c r="XE34" s="3453">
        <f>IFERROR(outputs_klasse_qty[[#This Row],[forankring_bolter_output_f]]*$AMM$48,0)</f>
        <v>0</v>
      </c>
      <c r="XF34" s="3453">
        <f>IFERROR(outputs_klasse_qty[[#This Row],[forankring_bolter_output_g]]*$AMD$49,0)</f>
        <v>0</v>
      </c>
      <c r="XG34" s="3453">
        <f>IFERROR(outputs_klasse_qty[[#This Row],[forankring_bolter_output_g]]*$AMM$49,0)</f>
        <v>0</v>
      </c>
      <c r="XH34"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4"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4" s="3453" t="e">
        <f t="shared" si="69"/>
        <v>#N/A</v>
      </c>
      <c r="XK34" s="5819" t="e">
        <f>outputs_klasse_qty[[#This Row],[bue_a_output]]/outputs_klasse_qty[[#This Row],[bue_radielle_bolter_rate_a]]</f>
        <v>#N/A</v>
      </c>
      <c r="XL34" s="5819" t="e">
        <f t="shared" si="70"/>
        <v>#N/A</v>
      </c>
      <c r="XM34" s="5819" t="e">
        <f>outputs_klasse_qty[[#This Row],[bue_b_output]]/outputs_klasse_qty[[#This Row],[bue_radielle_bolter_rate_b]]</f>
        <v>#N/A</v>
      </c>
      <c r="XN34" s="5819" t="e">
        <f t="shared" si="71"/>
        <v>#N/A</v>
      </c>
      <c r="XO34" s="5819" t="e">
        <f>outputs_klasse_qty[[#This Row],[bue_c_output]]/outputs_klasse_qty[[#This Row],[bue_radielle_bolter_rate_c]]</f>
        <v>#N/A</v>
      </c>
      <c r="XP34" s="5819" t="e">
        <f t="shared" si="72"/>
        <v>#N/A</v>
      </c>
      <c r="XQ34" s="5819" t="e">
        <f>outputs_klasse_qty[[#This Row],[bue_d_output]]/outputs_klasse_qty[[#This Row],[bue_radielle_bolter_rate_d]]</f>
        <v>#N/A</v>
      </c>
      <c r="XR34" s="5819" t="e">
        <f t="shared" si="73"/>
        <v>#N/A</v>
      </c>
      <c r="XS34" s="5819" t="e">
        <f>outputs_klasse_qty[[#This Row],[bue_e1_output]]/outputs_klasse_qty[[#This Row],[bue_radielle_bolter_rate_e1]]</f>
        <v>#N/A</v>
      </c>
      <c r="XT34" s="5819" t="e">
        <f t="shared" si="74"/>
        <v>#N/A</v>
      </c>
      <c r="XU34" s="5819" t="e">
        <f>outputs_klasse_qty[[#This Row],[bue_e2_output]]/outputs_klasse_qty[[#This Row],[bue_radielle_bolter_rate_e2]]</f>
        <v>#N/A</v>
      </c>
      <c r="XV34" s="5819" t="e">
        <f t="shared" si="75"/>
        <v>#N/A</v>
      </c>
      <c r="XW34" s="5819" t="e">
        <f>outputs_klasse_qty[[#This Row],[bue_f_output]]/outputs_klasse_qty[[#This Row],[bue_radielle_bolter_rate_f]]</f>
        <v>#N/A</v>
      </c>
      <c r="XX34" s="5819" t="e">
        <f t="shared" si="76"/>
        <v>#N/A</v>
      </c>
      <c r="XY34" s="5819" t="e">
        <f>outputs_klasse_qty[[#This Row],[bue_g_output]]/outputs_klasse_qty[[#This Row],[bue_radielle_bolter_rate_g]]</f>
        <v>#N/A</v>
      </c>
      <c r="XZ34" s="5819">
        <f>IFERROR(outputs_klasse_qty[[#This Row],[bue_radielle_bolter_output_a]]*$AKS$42,0)</f>
        <v>0</v>
      </c>
      <c r="YA34" s="5819">
        <f>IFERROR(outputs_klasse_qty[[#This Row],[bue_radielle_bolter_output_a]]*$ALB$42,0)</f>
        <v>0</v>
      </c>
      <c r="YB34" s="5819">
        <f>IFERROR(outputs_klasse_qty[[#This Row],[bue_radielle_bolter_output_b]]*$AKS$43,0)</f>
        <v>0</v>
      </c>
      <c r="YC34" s="5819">
        <f>IFERROR(outputs_klasse_qty[[#This Row],[bue_radielle_bolter_output_b]]*$ALB$43,0)</f>
        <v>0</v>
      </c>
      <c r="YD34" s="5819">
        <f>IFERROR(outputs_klasse_qty[[#This Row],[bue_radielle_bolter_output_c]]*$AKS$44,0)</f>
        <v>0</v>
      </c>
      <c r="YE34" s="5819">
        <f>IFERROR(outputs_klasse_qty[[#This Row],[bue_radielle_bolter_output_c]]*$ALB$44,0)</f>
        <v>0</v>
      </c>
      <c r="YF34" s="5819">
        <f>IFERROR(outputs_klasse_qty[[#This Row],[bue_radielle_bolter_output_d]]*$AKS$45,0)</f>
        <v>0</v>
      </c>
      <c r="YG34" s="5819">
        <f>IFERROR(outputs_klasse_qty[[#This Row],[bue_radielle_bolter_output_d]]*$ALB$45,0)</f>
        <v>0</v>
      </c>
      <c r="YH34" s="5819">
        <f>IFERROR(outputs_klasse_qty[[#This Row],[bue_radielle_bolter_output_e1]]*$AKS$46,0)</f>
        <v>0</v>
      </c>
      <c r="YI34" s="5819">
        <f>IFERROR(outputs_klasse_qty[[#This Row],[bue_radielle_bolter_output_e1]]*$ALB$46,0)</f>
        <v>0</v>
      </c>
      <c r="YJ34" s="5819">
        <f>IFERROR(outputs_klasse_qty[[#This Row],[bue_radielle_bolter_output_e2]]*$AKS$47,0)</f>
        <v>0</v>
      </c>
      <c r="YK34" s="5819">
        <f>IFERROR(outputs_klasse_qty[[#This Row],[bue_radielle_bolter_output_e2]]*$ALB$47,0)</f>
        <v>0</v>
      </c>
      <c r="YL34" s="5819">
        <f>IFERROR(outputs_klasse_qty[[#This Row],[bue_radielle_bolter_output_f]]*$AKS$48,0)</f>
        <v>0</v>
      </c>
      <c r="YM34" s="5819">
        <f>IFERROR(outputs_klasse_qty[[#This Row],[bue_radielle_bolter_output_f]]*$ALB$48,0)</f>
        <v>0</v>
      </c>
      <c r="YN34" s="5819">
        <f>IFERROR(outputs_klasse_qty[[#This Row],[bue_radielle_bolter_output_g]]*$AKS$49,0)</f>
        <v>0</v>
      </c>
      <c r="YO34" s="5819">
        <f>IFERROR(outputs_klasse_qty[[#This Row],[bue_radielle_bolter_output_g]]*$ALB$49,0)</f>
        <v>0</v>
      </c>
      <c r="YP34"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4"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4" s="5819"/>
      <c r="YS34" s="5819"/>
      <c r="YT34" s="5819"/>
      <c r="YU34" s="5819"/>
      <c r="YV34" s="5819"/>
      <c r="YW34" s="5819"/>
      <c r="YX34" s="5819"/>
      <c r="YY34" s="5819"/>
      <c r="YZ34" s="5819"/>
      <c r="ZA34" s="5819"/>
      <c r="ZB34" s="5819"/>
      <c r="ZC34" s="5819"/>
      <c r="ZD34" s="5819"/>
      <c r="ZE34" s="5819"/>
      <c r="ZF34" s="5819"/>
      <c r="ZG34" s="5819"/>
      <c r="ZH34" s="5819"/>
      <c r="ZI34" s="3453"/>
      <c r="ZJ34" s="3453"/>
      <c r="ZK34" s="3453"/>
      <c r="ZL34" s="3453"/>
      <c r="ZM34" s="3453"/>
      <c r="ZN34" s="837"/>
      <c r="ZO34" s="837"/>
      <c r="ZP34" s="837"/>
      <c r="ZQ34" s="837"/>
      <c r="ZR34" s="837"/>
      <c r="ZS34" s="837"/>
      <c r="ZT34" s="837"/>
      <c r="ZU34" s="837"/>
      <c r="ZV34" s="837"/>
      <c r="ZW34" s="837"/>
      <c r="ZX34" s="837"/>
      <c r="ZY34" s="837"/>
      <c r="ZZ34" s="837"/>
      <c r="AAA34" s="837"/>
      <c r="AAB34" s="2622"/>
      <c r="AAC34" s="2622"/>
      <c r="AAD34" s="2622"/>
      <c r="AAE34" s="2622"/>
      <c r="AAF34" s="2622"/>
      <c r="AAG34" s="2622"/>
      <c r="AAH34" s="2622"/>
      <c r="AAI34" s="2622"/>
      <c r="AAJ34" s="2622"/>
      <c r="AAK34" s="2622"/>
      <c r="AAL34" s="2622"/>
      <c r="AAM34" s="2622"/>
      <c r="AAN34" s="2622"/>
      <c r="AAO34" s="2622"/>
      <c r="AAP34" s="2622"/>
      <c r="AAQ34" s="2622"/>
      <c r="AAR34" s="2622"/>
      <c r="AAS34" s="2622"/>
      <c r="AAT34" s="2622"/>
      <c r="AAU34" s="2622"/>
      <c r="AAV34" s="2622"/>
      <c r="AAW34" s="2622"/>
      <c r="AAX34" s="2622"/>
      <c r="AAY34" s="2622"/>
      <c r="AAZ34" s="2622"/>
      <c r="ABA34" s="2622"/>
      <c r="ABB34" s="2737"/>
      <c r="ABC34" s="2737"/>
      <c r="ABD34" s="2737"/>
      <c r="ABE34" s="2737"/>
      <c r="ABF34" s="2737"/>
      <c r="ABG34" s="2737"/>
      <c r="ABH34" s="2737"/>
      <c r="ABI34" s="2737"/>
      <c r="ABJ34" s="2622"/>
      <c r="ABK34" s="2737"/>
      <c r="ABM34" s="2737"/>
      <c r="ABN34" s="2737"/>
      <c r="ABO34" s="2737"/>
      <c r="ABP34" s="2737"/>
      <c r="ABQ34" s="2737"/>
      <c r="ABR34" s="2737"/>
      <c r="ABS34" s="2737"/>
      <c r="ABT34" s="2622"/>
      <c r="ABU34" s="2622"/>
      <c r="ABV34" s="2737"/>
      <c r="ABW34" s="2737"/>
      <c r="ABX34" s="2737"/>
      <c r="ABY34" s="2737"/>
      <c r="ABZ34" s="2737"/>
      <c r="ACA34" s="2737"/>
      <c r="ACB34" s="2737"/>
      <c r="ACC34" s="2737"/>
      <c r="ACD34" s="2737"/>
      <c r="ACE34" s="2622"/>
      <c r="ACF34" s="2737"/>
      <c r="ACG34" s="2737"/>
      <c r="ACH34" s="2737"/>
      <c r="ACI34" s="2737"/>
      <c r="ACJ34" s="2737"/>
      <c r="ACK34" s="2737"/>
      <c r="ACL34" s="2737"/>
      <c r="ACM34" s="2737"/>
      <c r="ACN34" s="2622"/>
      <c r="ACO34" s="2737"/>
      <c r="ACP34" s="2737"/>
      <c r="ACQ34" s="2737"/>
      <c r="ACR34" s="2737"/>
      <c r="ACS34" s="2737"/>
      <c r="ACT34" s="2737"/>
      <c r="ACU34" s="2737"/>
      <c r="ACV34" s="2737"/>
      <c r="ACW34" s="2622"/>
      <c r="ACX34" s="2737"/>
      <c r="ACY34" s="2737"/>
      <c r="ACZ34" s="2737"/>
      <c r="ADA34" s="2737"/>
      <c r="ADB34" s="2737"/>
      <c r="ADC34" s="2737"/>
      <c r="ADD34" s="2737"/>
      <c r="ADE34" s="2737"/>
      <c r="ADF34" s="2737"/>
      <c r="ADH34" s="2737"/>
      <c r="ADI34" s="2737"/>
      <c r="ADJ34" s="2737"/>
      <c r="ADK34" s="2737"/>
      <c r="ADL34" s="2737"/>
      <c r="ADM34" s="2737"/>
      <c r="ADN34" s="2737"/>
      <c r="ADO34" s="2737"/>
      <c r="ADQ34" s="2737"/>
      <c r="ADR34" s="2737"/>
      <c r="ADS34" s="2737"/>
      <c r="ADT34" s="2737"/>
      <c r="ADU34" s="2737"/>
      <c r="ADV34" s="2737"/>
      <c r="ADW34" s="2737"/>
      <c r="ADX34" s="2737"/>
      <c r="ADY34" s="2737"/>
      <c r="ADZ34" s="2737"/>
      <c r="AEA34" s="2737"/>
      <c r="AEB34" s="2737"/>
      <c r="AEC34" s="2737"/>
      <c r="AED34" s="2737"/>
      <c r="AEE34" s="2737"/>
      <c r="AEF34" s="2737"/>
      <c r="AEG34" s="2737"/>
      <c r="AEH34" s="2737"/>
      <c r="AEI34" s="2737"/>
      <c r="AEJ34" s="2737"/>
      <c r="AEK34" s="2737"/>
      <c r="AEL34" s="2737"/>
      <c r="AEM34" s="2737"/>
      <c r="AEN34" s="2737"/>
      <c r="AEO34" s="2737"/>
      <c r="AEP34" s="2737"/>
      <c r="AEQ34" s="2737"/>
      <c r="AER34" s="2737"/>
      <c r="AES34" s="2737"/>
      <c r="AET34" s="2737"/>
      <c r="AEU34" s="2737"/>
      <c r="AEV34" s="2737"/>
      <c r="AEW34" s="2737"/>
      <c r="AEX34" s="2737"/>
      <c r="AFG34" s="2737"/>
      <c r="AFP34" s="2737"/>
      <c r="AGI34" s="2737"/>
      <c r="AGN34" s="2622"/>
      <c r="AGR34" s="2737"/>
      <c r="AHB34" s="2737"/>
      <c r="AHJ34" s="2737"/>
      <c r="AHV34" s="2737"/>
      <c r="AHY34" s="2622"/>
      <c r="AII34" s="2622"/>
      <c r="AIJ34" s="2622"/>
      <c r="AIR34" s="2622"/>
      <c r="AIS34" s="2622"/>
      <c r="AJP34" s="2737"/>
      <c r="AKC34" s="3582"/>
      <c r="AKD34" s="2737"/>
      <c r="AKU34" s="2622"/>
      <c r="ALL34" s="2622"/>
      <c r="ALM34" s="2737"/>
      <c r="ALW34" s="2737"/>
      <c r="ALX34" s="2737"/>
      <c r="AMG34" s="2737"/>
      <c r="AOI34" s="2737"/>
      <c r="AOV34" s="4124"/>
      <c r="AOW34" s="5162"/>
      <c r="AOX34" s="5162"/>
      <c r="AOY34" s="5162"/>
      <c r="AOZ34" s="5162"/>
      <c r="APA34" s="5162"/>
      <c r="APB34" s="5162"/>
      <c r="APC34" s="5162"/>
      <c r="APD34" s="5162"/>
      <c r="APE34" s="5162"/>
      <c r="APT34" s="2737"/>
      <c r="AQE34" s="2622"/>
      <c r="ARE34" s="2622"/>
      <c r="ASA34" s="2622"/>
      <c r="ASJ34" s="2622"/>
      <c r="ASK34" s="2737"/>
      <c r="ASL34" s="2737"/>
      <c r="ASM34" s="2737"/>
      <c r="ASN34" s="2737"/>
      <c r="ASO34" s="2737"/>
      <c r="ASP34" s="2737"/>
      <c r="ASQ34" s="2737"/>
      <c r="ASR34" s="2737"/>
      <c r="ASS34" s="2737"/>
      <c r="ATA34" s="2622"/>
      <c r="ATB34" s="2622"/>
      <c r="ATC34" s="2622"/>
      <c r="ATD34" s="2622"/>
      <c r="ATE34" s="2622"/>
      <c r="ATF34" s="2622"/>
      <c r="ATG34" s="2622"/>
      <c r="ATH34" s="2622"/>
      <c r="ATI34" s="2622"/>
      <c r="ATJ34" s="2622"/>
      <c r="ATK34" s="2622"/>
      <c r="ATL34" s="3595" t="s">
        <v>159</v>
      </c>
      <c r="ATM34" s="3532"/>
      <c r="ATN34" s="3433"/>
      <c r="ATO34" s="3447"/>
      <c r="ATP34" s="3433"/>
      <c r="ATQ34" s="3451">
        <f t="shared" si="85"/>
        <v>18.88</v>
      </c>
      <c r="ATR34" s="3451"/>
      <c r="ATS34" s="3433">
        <f t="shared" si="86"/>
        <v>3.5779999999999998</v>
      </c>
      <c r="ATT34" s="3525">
        <f t="shared" si="3"/>
        <v>11.724</v>
      </c>
      <c r="ATU34" s="3449"/>
      <c r="ATV34" s="2622"/>
      <c r="ATW34" s="2622"/>
      <c r="ATX34" s="2622"/>
      <c r="ATY34" s="2617"/>
      <c r="ATZ34" s="3458"/>
      <c r="AUA34" s="3458"/>
      <c r="AUB34" s="2617"/>
      <c r="AUC34" s="2617"/>
      <c r="AUD34" s="2617"/>
      <c r="AUE34" s="2617"/>
      <c r="AUF34" s="2617"/>
      <c r="AUG34" s="2617"/>
      <c r="AUH34" s="2617"/>
      <c r="AUI34" s="2617"/>
      <c r="AUJ34" s="2617"/>
      <c r="AUK34" s="2617"/>
      <c r="AUL34" s="2617"/>
      <c r="AUM34" s="2617"/>
      <c r="AUN34" s="2617"/>
      <c r="AUO34" s="2617"/>
      <c r="AUP34" s="2617"/>
      <c r="AUQ34" s="2617"/>
      <c r="AUR34" s="2617"/>
      <c r="AUS34" s="2617"/>
      <c r="AUT34" s="2617"/>
      <c r="AUU34" s="2617"/>
      <c r="AUV34" s="3397"/>
      <c r="AUW34" s="2617"/>
      <c r="AUX34" s="2617"/>
      <c r="AUY34" s="2617"/>
      <c r="AUZ34" s="2617"/>
      <c r="AVA34" s="2617"/>
      <c r="AVB34" s="2617"/>
      <c r="AVC34" s="2617"/>
      <c r="AVD34" s="2617"/>
      <c r="AVE34" s="2617"/>
      <c r="AVF34" s="2617"/>
      <c r="AVG34" s="2617"/>
      <c r="AVH34" s="2617"/>
      <c r="AVI34" s="2617"/>
      <c r="AVJ34" s="2617"/>
      <c r="AVK34" s="2617"/>
      <c r="AVL34" s="2617"/>
      <c r="AVM34" s="2617"/>
      <c r="AVN34" s="2617"/>
      <c r="AVO34" s="2617"/>
      <c r="AVP34" s="3540"/>
      <c r="AVQ34" s="3540"/>
      <c r="AVR34" s="3540"/>
      <c r="AVS34" s="181"/>
      <c r="AVT34" s="181"/>
      <c r="AVU34" s="181"/>
      <c r="AVV34" s="181"/>
      <c r="AVW34" s="181"/>
      <c r="AVX34" s="181"/>
      <c r="AVY34" s="181"/>
      <c r="AVZ34" s="181"/>
      <c r="AWA34" s="181"/>
      <c r="AWB34" s="181"/>
      <c r="AWC34" s="181"/>
      <c r="AWD34" s="181"/>
      <c r="AWE34" s="181"/>
      <c r="AWF34" s="181"/>
      <c r="AWG34" s="181"/>
      <c r="AWH34" s="181"/>
      <c r="AWI34" s="181"/>
      <c r="AWJ34" s="181"/>
      <c r="AWK34" s="181"/>
      <c r="AWL34" s="181"/>
      <c r="AWM34" s="181"/>
      <c r="AWN34" s="181"/>
      <c r="AWO34" s="181"/>
      <c r="AWP34" s="3540"/>
      <c r="AWQ34" s="3540"/>
      <c r="AWR34" s="181"/>
      <c r="AWS34" s="2617"/>
      <c r="AWT34" s="2617"/>
      <c r="AWU34" s="2617"/>
      <c r="AWV34" s="2617"/>
      <c r="AWW34" s="2617"/>
      <c r="AWX34" s="2617"/>
      <c r="AWY34" s="433" t="s">
        <v>1527</v>
      </c>
      <c r="AWZ34" s="3623"/>
      <c r="AXA34" s="3623"/>
      <c r="AXB34" s="3623"/>
      <c r="AXC34" s="2617"/>
      <c r="AXD34" s="2617"/>
      <c r="AXE34" s="2617"/>
      <c r="AXF34" s="2617"/>
      <c r="AXG34" s="2617"/>
      <c r="AXH34" s="2617"/>
      <c r="AXI34" s="2617"/>
      <c r="AXJ34" s="2617"/>
      <c r="AXK34" s="2617"/>
      <c r="AYV34" s="2625"/>
      <c r="AYW34" s="2625"/>
      <c r="AYX34" s="2625"/>
      <c r="AYY34" s="2625"/>
      <c r="AYZ34" s="2626"/>
      <c r="AZA34" s="2626"/>
      <c r="AZB34" s="2626"/>
      <c r="AZC34" s="2626"/>
      <c r="AZD34" s="2626"/>
      <c r="AZE34" s="2626"/>
      <c r="AZF34" s="2626"/>
      <c r="AZG34" s="2626"/>
      <c r="AZH34" s="2626"/>
      <c r="AZI34" s="2626"/>
      <c r="AZJ34" s="2622"/>
      <c r="AZK34" s="2622"/>
      <c r="AZL34" s="2622"/>
      <c r="AZM34" s="2622"/>
      <c r="AZN34" s="2622"/>
      <c r="AZO34" s="2622"/>
      <c r="AZP34" s="2622"/>
      <c r="AZQ34" s="2622"/>
      <c r="AZR34" s="2622"/>
      <c r="AZS34" s="2622"/>
      <c r="AZT34" s="2622"/>
      <c r="AZU34" s="2622"/>
      <c r="AZV34" s="2622"/>
      <c r="AZW34" s="185" t="s">
        <v>865</v>
      </c>
      <c r="AZX34" s="185" t="s">
        <v>928</v>
      </c>
      <c r="AZY34" s="185" t="s">
        <v>881</v>
      </c>
      <c r="AZZ34" s="2682" t="s">
        <v>1087</v>
      </c>
      <c r="BAA34" s="185" t="s">
        <v>1081</v>
      </c>
      <c r="BAB34" s="185" t="s">
        <v>932</v>
      </c>
      <c r="BAC34" s="2622" t="s">
        <v>933</v>
      </c>
      <c r="BAD34" s="2622"/>
      <c r="BAE34" s="2622"/>
      <c r="BAF34" s="2622"/>
      <c r="BAG34" s="2622"/>
      <c r="BAH34" s="2622"/>
      <c r="BAI34" s="2622"/>
      <c r="BAJ34" s="2622"/>
      <c r="BAK34" s="185" t="s">
        <v>865</v>
      </c>
      <c r="BAL34" s="185" t="s">
        <v>962</v>
      </c>
      <c r="BAM34" s="2794">
        <v>1.23</v>
      </c>
      <c r="BAN34" s="2794">
        <v>0.04</v>
      </c>
      <c r="BAO34" s="185"/>
      <c r="BAP34" s="2622"/>
      <c r="BAQ34" s="2622"/>
      <c r="BAR34" s="2622"/>
      <c r="BAU34" s="2622"/>
      <c r="BAV34" s="2622"/>
      <c r="BAW34" s="2622"/>
      <c r="BAX34" s="2622"/>
      <c r="BAY34" s="2622"/>
      <c r="BAZ34" s="2622"/>
      <c r="BBA34" s="2622"/>
      <c r="BBB34" s="2622"/>
      <c r="BBC34" s="2622"/>
      <c r="BBD34" s="2622"/>
      <c r="BBE34" s="2622"/>
      <c r="BBF34" s="2622"/>
      <c r="BBG34" s="2622"/>
      <c r="BBH34" s="2622"/>
      <c r="BBI34" s="2622"/>
      <c r="BBL34" s="2622"/>
      <c r="BBR34" s="3398"/>
      <c r="BCJ34" s="2617"/>
      <c r="BCK34" s="2617"/>
      <c r="BCL34" s="2617"/>
      <c r="BCM34" s="2617"/>
      <c r="BCN34" s="2617"/>
      <c r="BCO34" s="2617"/>
      <c r="BCP34" s="2617"/>
      <c r="BCQ34" s="2617"/>
      <c r="BCR34" s="2617"/>
      <c r="BCS34" s="2617"/>
      <c r="BCT34" s="2617"/>
      <c r="BCU34" s="2617"/>
      <c r="BCV34" s="2617"/>
      <c r="BCW34" s="2617"/>
      <c r="BCX34" s="2617"/>
      <c r="BCY34" s="2617"/>
      <c r="BCZ34" s="2617"/>
      <c r="BDA34" s="2617"/>
      <c r="BDB34" s="2617"/>
      <c r="BDC34" s="2617"/>
      <c r="BDD34" s="2617"/>
      <c r="BDE34" s="2617"/>
      <c r="BDF34" s="2617"/>
      <c r="BDG34" s="2617"/>
      <c r="BDH34" s="2617"/>
      <c r="BDI34" s="2617"/>
      <c r="BDL34" s="2617"/>
      <c r="BDM34" s="2617"/>
      <c r="BDN34" s="2617"/>
      <c r="BDO34" s="2617"/>
      <c r="BDP34" s="2617"/>
      <c r="BDQ34" s="2617"/>
      <c r="BDR34" s="2617"/>
      <c r="BDS34" s="2617"/>
      <c r="BDT34" s="2617"/>
      <c r="BDU34" s="2617"/>
      <c r="BDV34" s="2617"/>
      <c r="BDW34" s="2617"/>
      <c r="BDZ34" s="2617"/>
      <c r="BEA34" s="2617"/>
      <c r="BEB34" s="2617"/>
      <c r="BEC34" s="2617"/>
      <c r="BED34" s="2617"/>
      <c r="BEE34" s="2617"/>
      <c r="BEH34" s="2617"/>
    </row>
    <row r="35" spans="1:1490" ht="15" x14ac:dyDescent="0.2">
      <c r="AU35" s="235">
        <v>9</v>
      </c>
      <c r="AV35" s="185">
        <f>'!INN_SK'!$CL$55</f>
        <v>10</v>
      </c>
      <c r="AW35" s="185">
        <f>'!INN_SK'!$CL$57</f>
        <v>20</v>
      </c>
      <c r="AX35" s="185">
        <f>'!INN_SK'!$CL$64</f>
        <v>30</v>
      </c>
      <c r="AY35" s="185">
        <f>'!INN_SK'!$CL$71</f>
        <v>40</v>
      </c>
      <c r="AZ35" s="185">
        <f>'!INN_SK'!$CL$78</f>
        <v>50</v>
      </c>
      <c r="BA35" s="185">
        <f>'!INN_SK'!$CL$80</f>
        <v>250</v>
      </c>
      <c r="BB35" s="185">
        <f>'!INN_SK'!$CL$87</f>
        <v>500</v>
      </c>
      <c r="BC35" s="185">
        <f>'!INN_SK'!$CL$94</f>
        <v>1000</v>
      </c>
      <c r="BD35" s="193"/>
      <c r="BE35" s="2622"/>
      <c r="CG35" s="2986" t="str">
        <f>_Calcs!$QP$135</f>
        <v>Stuff 1-2</v>
      </c>
      <c r="CH35" s="5558">
        <f>IF(_Calcs!$BC$38=1,0,IF(_Calcs!$BC$38=2,2,0))</f>
        <v>2</v>
      </c>
      <c r="CI35" s="1665">
        <f>IF(_Calcs!$BC$34&gt;1,1,0)</f>
        <v>0</v>
      </c>
      <c r="CJ35" s="238">
        <f>IF($AI$31=2,INDEX(outputs_position[12],MATCH(_Calcs!$BC$35,outputs_position[lopstuff],0)),0)</f>
        <v>0</v>
      </c>
      <c r="CK35" s="194">
        <v>22</v>
      </c>
      <c r="CL35" s="3453" t="e">
        <f t="shared" si="87"/>
        <v>#VALUE!</v>
      </c>
      <c r="CM35" s="3453" t="e">
        <f t="shared" si="88"/>
        <v>#VALUE!</v>
      </c>
      <c r="CN35" s="3453" t="e">
        <f t="shared" si="89"/>
        <v>#VALUE!</v>
      </c>
      <c r="CO35" s="3453" t="e">
        <f t="shared" si="90"/>
        <v>#VALUE!</v>
      </c>
      <c r="CP35" s="3453" t="e">
        <f t="shared" ref="CP35:CP42" si="207">BC110</f>
        <v>#VALUE!</v>
      </c>
      <c r="CQ35" s="3453" t="e">
        <f t="shared" si="91"/>
        <v>#VALUE!</v>
      </c>
      <c r="CR35" s="3453" t="e">
        <f t="shared" si="92"/>
        <v>#VALUE!</v>
      </c>
      <c r="CS35" s="3453" t="e">
        <f t="shared" si="93"/>
        <v>#VALUE!</v>
      </c>
      <c r="CT35" s="3453"/>
      <c r="CU35" s="3453"/>
      <c r="CV35" s="5712">
        <f>IF($AK$213=_List!$CX$6,$CV$28,IF($AK$213=_List!$CX$7,$CV$29,0))</f>
        <v>1</v>
      </c>
      <c r="CW35" s="3453">
        <f>IF(outputs_klasse_qty[[#This Row],[man_metode]]=1,$ABR$42)</f>
        <v>20</v>
      </c>
      <c r="CX35" s="3453">
        <f>IFERROR(IF(outputs_klasse_qty[[#This Row],[man_metode]]=1,outputs_klasse_qty[[#This Row],[man_a_rate]]*$BG110),0)</f>
        <v>0</v>
      </c>
      <c r="CY35" s="3453" t="e">
        <f>IF(outputs_klasse_qty[[#This Row],[man_metode]]=1,$ABR$43)</f>
        <v>#N/A</v>
      </c>
      <c r="CZ35" s="3453">
        <f>IFERROR(IF(outputs_klasse_qty[[#This Row],[man_metode]]=1,outputs_klasse_qty[[#This Row],[man_b_rate]]*$BH110),0)</f>
        <v>0</v>
      </c>
      <c r="DA35" s="3453" t="e">
        <f>IF(outputs_klasse_qty[[#This Row],[man_metode]]=1,$ABR$44)</f>
        <v>#N/A</v>
      </c>
      <c r="DB35" s="3453">
        <f>IFERROR(IF(outputs_klasse_qty[[#This Row],[man_metode]]=1,outputs_klasse_qty[[#This Row],[man_c_rate]]*$BI110),0)</f>
        <v>0</v>
      </c>
      <c r="DC35" s="3453" t="e">
        <f>IF(outputs_klasse_qty[[#This Row],[man_metode]]=1,$ABR$45)</f>
        <v>#N/A</v>
      </c>
      <c r="DD35" s="3453">
        <f>IFERROR(IF(outputs_klasse_qty[[#This Row],[man_metode]]=1,outputs_klasse_qty[[#This Row],[man_d_rate]]*$BJ110),0)</f>
        <v>0</v>
      </c>
      <c r="DE35" s="3453" t="e">
        <f>IF(outputs_klasse_qty[[#This Row],[man_metode]]=1,$ABR$46)</f>
        <v>#N/A</v>
      </c>
      <c r="DF35" s="3453">
        <f>IFERROR(IF(outputs_klasse_qty[[#This Row],[man_metode]]=1,outputs_klasse_qty[[#This Row],[man_e1_rate]]*$BK110),0)</f>
        <v>0</v>
      </c>
      <c r="DG35" s="3453" t="e">
        <f>IF(outputs_klasse_qty[[#This Row],[man_metode]]=1,$ABR$47)</f>
        <v>#N/A</v>
      </c>
      <c r="DH35" s="3453">
        <f>IFERROR(IF(outputs_klasse_qty[[#This Row],[man_metode]]=1,outputs_klasse_qty[[#This Row],[man_e2_rate]]*$BL110),0)</f>
        <v>0</v>
      </c>
      <c r="DI35" s="3453" t="e">
        <f>IF(outputs_klasse_qty[[#This Row],[man_metode]]=1,$ABR$48)</f>
        <v>#N/A</v>
      </c>
      <c r="DJ35" s="3453">
        <f>IFERROR(IF(outputs_klasse_qty[[#This Row],[man_metode]]=1,outputs_klasse_qty[[#This Row],[man_f_rate]]*$BM110),0)</f>
        <v>0</v>
      </c>
      <c r="DK35" s="3453" t="e">
        <f>IF(outputs_klasse_qty[[#This Row],[man_metode]]=1,$ABR$49)</f>
        <v>#N/A</v>
      </c>
      <c r="DL35" s="3453">
        <f>IFERROR(IF(outputs_klasse_qty[[#This Row],[man_metode]]=1,outputs_klasse_qty[[#This Row],[man_g_rate]]*$BN110),0)</f>
        <v>0</v>
      </c>
      <c r="DM35"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5" s="5712">
        <v>1</v>
      </c>
      <c r="DO35" s="3453" t="e">
        <f>IF(outputs_klasse_qty[[#This Row],[kartlegg_metode]]=1,$ACB$42)</f>
        <v>#N/A</v>
      </c>
      <c r="DP35" s="3453">
        <f>IFERROR(IF(outputs_klasse_qty[[#This Row],[kartlegg_metode]]=1,outputs_klasse_qty[[#This Row],[kartlegg_a_rate]]*$BG110),0)</f>
        <v>0</v>
      </c>
      <c r="DQ35" s="3453" t="e">
        <f>IF(outputs_klasse_qty[[#This Row],[kartlegg_metode]]=1,$ACB$43)</f>
        <v>#N/A</v>
      </c>
      <c r="DR35" s="3453">
        <f>IFERROR(IF(outputs_klasse_qty[[#This Row],[kartlegg_metode]]=1,outputs_klasse_qty[[#This Row],[kartlegg_b_rate]]*$BH110),0)</f>
        <v>0</v>
      </c>
      <c r="DS35" s="3453" t="e">
        <f>IF(outputs_klasse_qty[[#This Row],[kartlegg_metode]]=1,$ACB$44)</f>
        <v>#N/A</v>
      </c>
      <c r="DT35" s="3453">
        <f>IFERROR(IF(outputs_klasse_qty[[#This Row],[kartlegg_metode]]=1,outputs_klasse_qty[[#This Row],[kartlegg_c_rate]]*$BI110),0)</f>
        <v>0</v>
      </c>
      <c r="DU35" s="3453" t="e">
        <f>IF(outputs_klasse_qty[[#This Row],[kartlegg_metode]]=1,$ACB$45)</f>
        <v>#N/A</v>
      </c>
      <c r="DV35" s="3453">
        <f>IFERROR(IF(outputs_klasse_qty[[#This Row],[kartlegg_metode]]=1,outputs_klasse_qty[[#This Row],[kartlegg_d_rate]]*$BJ110),0)</f>
        <v>0</v>
      </c>
      <c r="DW35" s="3453" t="e">
        <f>IF(outputs_klasse_qty[[#This Row],[kartlegg_metode]]=1,$ACB$46)</f>
        <v>#N/A</v>
      </c>
      <c r="DX35" s="3453">
        <f>IFERROR(IF(outputs_klasse_qty[[#This Row],[kartlegg_metode]]=1,outputs_klasse_qty[[#This Row],[kartlegg_e1_rate]]*$BK110),0)</f>
        <v>0</v>
      </c>
      <c r="DY35" s="3453" t="e">
        <f>IF(outputs_klasse_qty[[#This Row],[kartlegg_metode]]=1,$ACB$47)</f>
        <v>#N/A</v>
      </c>
      <c r="DZ35" s="3453">
        <f>IFERROR(IF(outputs_klasse_qty[[#This Row],[kartlegg_metode]]=1,outputs_klasse_qty[[#This Row],[kartlegg_e2_rate]]*$BL110),0)</f>
        <v>0</v>
      </c>
      <c r="EA35" s="3453" t="e">
        <f>IF(outputs_klasse_qty[[#This Row],[kartlegg_metode]]=1,$ACB$48)</f>
        <v>#N/A</v>
      </c>
      <c r="EB35" s="3453">
        <f>IFERROR(IF(outputs_klasse_qty[[#This Row],[kartlegg_metode]]=1,outputs_klasse_qty[[#This Row],[kartlegg_f_rate]]*$BM110),0)</f>
        <v>0</v>
      </c>
      <c r="EC35" s="3453" t="e">
        <f>IF(outputs_klasse_qty[[#This Row],[kartlegg_metode]]=1,$ACB$49)</f>
        <v>#N/A</v>
      </c>
      <c r="ED35" s="3453">
        <f>IFERROR(IF(outputs_klasse_qty[[#This Row],[kartlegg_metode]]=1,outputs_klasse_qty[[#This Row],[kartlegg_g_rate]]*$BN110),0)</f>
        <v>0</v>
      </c>
      <c r="EE35"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5" s="5712">
        <f>IF($AK$215=_List!$DA$6,$EF$28,IF($AK$215=_List!$DA$7,$EF$29,0))</f>
        <v>1</v>
      </c>
      <c r="EG35" s="3453" t="e">
        <f t="shared" si="94"/>
        <v>#N/A</v>
      </c>
      <c r="EH35" s="5719">
        <f>IFERROR(($AY87*$AI$46)/(outputs_klasse_qty[[#This Row],[bolt_veder_a_rate]]^2),0)</f>
        <v>0</v>
      </c>
      <c r="EI35" s="3453" t="e">
        <f t="shared" si="95"/>
        <v>#N/A</v>
      </c>
      <c r="EJ35" s="5719">
        <f>IFERROR(($AZ87*$AI$46)/(outputs_klasse_qty[[#This Row],[bolt_veder_b_rate]]^2),0)</f>
        <v>0</v>
      </c>
      <c r="EK35" s="3453" t="e">
        <f t="shared" si="96"/>
        <v>#N/A</v>
      </c>
      <c r="EL35" s="5719">
        <f>IFERROR(($BA87*$AI$46)/(outputs_klasse_qty[[#This Row],[bolt_veder_c_rate]]^2),0)</f>
        <v>0</v>
      </c>
      <c r="EM35" s="3453" t="e">
        <f t="shared" si="97"/>
        <v>#N/A</v>
      </c>
      <c r="EN35" s="5719">
        <f>IFERROR(($BB87*$AI$46)/(outputs_klasse_qty[[#This Row],[bolt_veder_d_rate]]^2),0)</f>
        <v>0</v>
      </c>
      <c r="EO35" s="3453" t="e">
        <f t="shared" si="98"/>
        <v>#N/A</v>
      </c>
      <c r="EP35" s="5719">
        <f>IFERROR(($BC87*$AI$46)/(outputs_klasse_qty[[#This Row],[bolt_veder_e1_rate]]^2),0)</f>
        <v>0</v>
      </c>
      <c r="EQ35" s="3453" t="e">
        <f t="shared" si="99"/>
        <v>#N/A</v>
      </c>
      <c r="ER35" s="5719">
        <f>IFERROR(($BD87*$AI$46)/(outputs_klasse_qty[[#This Row],[bolt_veder_e2_rate]]^2),0)</f>
        <v>0</v>
      </c>
      <c r="ES35" s="3453" t="e">
        <f t="shared" si="100"/>
        <v>#N/A</v>
      </c>
      <c r="ET35" s="5719">
        <f>IFERROR(($BE87*$AI$46)/(outputs_klasse_qty[[#This Row],[bolt_veder_f_rate]]^2),0)</f>
        <v>0</v>
      </c>
      <c r="EU35" s="3453" t="e">
        <f t="shared" si="101"/>
        <v>#N/A</v>
      </c>
      <c r="EV35" s="5719">
        <f>IFERROR(($BF87*$AI$46)/(outputs_klasse_qty[[#This Row],[bolt_veder_g_rate]]^2),0)</f>
        <v>0</v>
      </c>
      <c r="EW35"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5" s="3453" t="e">
        <f>outputs_klasse_qty[[#This Row],[bolt_veder_a_output]]*$ACU$42</f>
        <v>#N/A</v>
      </c>
      <c r="EY35" s="3453" t="e">
        <f>outputs_klasse_qty[[#This Row],[bolt_veder_a_output]]*$ADD$42</f>
        <v>#N/A</v>
      </c>
      <c r="EZ35" s="3453" t="e">
        <f>outputs_klasse_qty[[#This Row],[bolt_veder_b_output]]*$ACU$43</f>
        <v>#N/A</v>
      </c>
      <c r="FA35" s="3453" t="e">
        <f>outputs_klasse_qty[[#This Row],[bolt_veder_b_output]]*$ADD$43</f>
        <v>#N/A</v>
      </c>
      <c r="FB35" s="3453" t="e">
        <f>outputs_klasse_qty[[#This Row],[bolt_veder_c_output]]*$ACU$44</f>
        <v>#N/A</v>
      </c>
      <c r="FC35" s="3453" t="e">
        <f>outputs_klasse_qty[[#This Row],[bolt_veder_c_output]]*$ADD$44</f>
        <v>#N/A</v>
      </c>
      <c r="FD35" s="3453" t="e">
        <f>outputs_klasse_qty[[#This Row],[bolt_veder_d_output]]*$ACU$45</f>
        <v>#N/A</v>
      </c>
      <c r="FE35" s="3453" t="e">
        <f>outputs_klasse_qty[[#This Row],[bolt_veder_d_output]]*$ADD$45</f>
        <v>#N/A</v>
      </c>
      <c r="FF35" s="3453" t="e">
        <f>outputs_klasse_qty[[#This Row],[bolt_veder_e1_output]]*$ACU$46</f>
        <v>#N/A</v>
      </c>
      <c r="FG35" s="3453" t="e">
        <f>outputs_klasse_qty[[#This Row],[bolt_veder_e1_output]]*$ADD$46</f>
        <v>#N/A</v>
      </c>
      <c r="FH35" s="3453" t="e">
        <f>outputs_klasse_qty[[#This Row],[bolt_veder_e2_output]]*$ACU$47</f>
        <v>#N/A</v>
      </c>
      <c r="FI35" s="3453" t="e">
        <f>outputs_klasse_qty[[#This Row],[bolt_veder_e2_output]]*$ADD$47</f>
        <v>#N/A</v>
      </c>
      <c r="FJ35" s="3453" t="e">
        <f>outputs_klasse_qty[[#This Row],[bolt_veder_f_output]]*$ACU$48</f>
        <v>#N/A</v>
      </c>
      <c r="FK35" s="3453" t="e">
        <f>outputs_klasse_qty[[#This Row],[bolt_veder_f_output]]*$ADD$48</f>
        <v>#N/A</v>
      </c>
      <c r="FL35" s="3453" t="e">
        <f>outputs_klasse_qty[[#This Row],[bolt_veder_g_output]]*$ACU$49</f>
        <v>#N/A</v>
      </c>
      <c r="FM35" s="3453" t="e">
        <f>outputs_klasse_qty[[#This Row],[bolt_veder_g_output]]*$ADD$49</f>
        <v>#N/A</v>
      </c>
      <c r="FN35"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5"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5" s="3453">
        <v>1</v>
      </c>
      <c r="FQ35" s="3453" t="e">
        <f t="shared" si="102"/>
        <v>#N/A</v>
      </c>
      <c r="FR35" s="5854">
        <f>IFERROR(($AY87*$AI$42*2)/(outputs_klasse_qty[[#This Row],[bolt_vegg_a_rate]]^2),0)</f>
        <v>0</v>
      </c>
      <c r="FS35" s="3453" t="e">
        <f t="shared" si="103"/>
        <v>#N/A</v>
      </c>
      <c r="FT35" s="5854">
        <f>IFERROR(($AZ87*$AI$42*2)/(outputs_klasse_qty[[#This Row],[bolt_vegg_b_rate]]^2),0)</f>
        <v>0</v>
      </c>
      <c r="FU35" s="3453" t="e">
        <f t="shared" si="104"/>
        <v>#N/A</v>
      </c>
      <c r="FV35" s="5854">
        <f>IFERROR(($BA87*$AI$42*2)/(outputs_klasse_qty[[#This Row],[bolt_vegg_c_rate]]^2),0)</f>
        <v>0</v>
      </c>
      <c r="FW35" s="3453" t="e">
        <f t="shared" si="105"/>
        <v>#N/A</v>
      </c>
      <c r="FX35" s="5854">
        <f>IFERROR(($BB87*$AI$42*2)/(outputs_klasse_qty[[#This Row],[bolt_vegg_d_rate]]^2),0)</f>
        <v>0</v>
      </c>
      <c r="FY35" s="3453" t="e">
        <f t="shared" si="106"/>
        <v>#N/A</v>
      </c>
      <c r="FZ35" s="5854">
        <f>IFERROR(($BC87*$AI$42*2)/(outputs_klasse_qty[[#This Row],[bolt_vegg_e1_rate]]^2),0)</f>
        <v>0</v>
      </c>
      <c r="GA35" s="3453" t="e">
        <f t="shared" si="107"/>
        <v>#N/A</v>
      </c>
      <c r="GB35" s="5854">
        <f>IFERROR(($BD87*$AI$42*2)/(outputs_klasse_qty[[#This Row],[bolt_vegg_e2_rate]]^2),0)</f>
        <v>0</v>
      </c>
      <c r="GC35" s="3453" t="e">
        <f t="shared" si="108"/>
        <v>#N/A</v>
      </c>
      <c r="GD35" s="5854">
        <f>IFERROR(($BE87*$AI$42*2)/(outputs_klasse_qty[[#This Row],[bolt_vegg_f_rate]]^2),0)</f>
        <v>0</v>
      </c>
      <c r="GE35" s="3453" t="e">
        <f t="shared" si="109"/>
        <v>#N/A</v>
      </c>
      <c r="GF35" s="5854">
        <f>IFERROR(($BF87*$AI$42*2)/(outputs_klasse_qty[[#This Row],[bolt_vegg_g_rate]]^2),0)</f>
        <v>0</v>
      </c>
      <c r="GG35"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5" s="3453" t="e">
        <f>outputs_klasse_qty[[#This Row],[bolt_vegg_a_output]]*$ADX$42</f>
        <v>#N/A</v>
      </c>
      <c r="GI35" s="3453" t="e">
        <f>outputs_klasse_qty[[#This Row],[bolt_vegg_a_output]]*$AEF$42</f>
        <v>#N/A</v>
      </c>
      <c r="GJ35" s="3453" t="e">
        <f>outputs_klasse_qty[[#This Row],[bolt_vegg_b_output]]*$ADX$43</f>
        <v>#N/A</v>
      </c>
      <c r="GK35" s="3453" t="e">
        <f>outputs_klasse_qty[[#This Row],[bolt_vegg_b_output]]*$AEF$43</f>
        <v>#N/A</v>
      </c>
      <c r="GL35" s="3453" t="e">
        <f>outputs_klasse_qty[[#This Row],[bolt_vegg_c_output]]*$ADX$44</f>
        <v>#N/A</v>
      </c>
      <c r="GM35" s="3453" t="e">
        <f>outputs_klasse_qty[[#This Row],[bolt_vegg_c_output]]*$AEF$44</f>
        <v>#N/A</v>
      </c>
      <c r="GN35" s="3453" t="e">
        <f>outputs_klasse_qty[[#This Row],[bolt_vegg_d_output]]*$ADX$45</f>
        <v>#N/A</v>
      </c>
      <c r="GO35" s="3453" t="e">
        <f>outputs_klasse_qty[[#This Row],[bolt_vegg_d_output]]*$AEF$45</f>
        <v>#N/A</v>
      </c>
      <c r="GP35" s="3453" t="e">
        <f>outputs_klasse_qty[[#This Row],[bolt_vegg_e1_output]]*$ADX$46</f>
        <v>#N/A</v>
      </c>
      <c r="GQ35" s="3453" t="e">
        <f>outputs_klasse_qty[[#This Row],[bolt_vegg_e1_output]]*$AEF$46</f>
        <v>#N/A</v>
      </c>
      <c r="GR35" s="3453" t="e">
        <f>outputs_klasse_qty[[#This Row],[bolt_vegg_e2_output]]*$ADX$47</f>
        <v>#N/A</v>
      </c>
      <c r="GS35" s="3453" t="e">
        <f>outputs_klasse_qty[[#This Row],[bolt_vegg_e2_output]]*$AEF$47</f>
        <v>#N/A</v>
      </c>
      <c r="GT35" s="3453" t="e">
        <f>outputs_klasse_qty[[#This Row],[bolt_vegg_f_output]]*$ADX$48</f>
        <v>#N/A</v>
      </c>
      <c r="GU35" s="3453" t="e">
        <f>outputs_klasse_qty[[#This Row],[bolt_vegg_f_output]]*$AEF$48</f>
        <v>#N/A</v>
      </c>
      <c r="GV35" s="3453" t="e">
        <f>outputs_klasse_qty[[#This Row],[bolt_vegg_g_output]]*$ADX$49</f>
        <v>#N/A</v>
      </c>
      <c r="GW35" s="3453" t="e">
        <f>outputs_klasse_qty[[#This Row],[bolt_vegg_g_output]]*$AEF$49</f>
        <v>#N/A</v>
      </c>
      <c r="GX35"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5"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5" s="5698" t="str">
        <f>IFERROR(outputs_klasse_qty[[#This Row],[bolt_veder_lt4_sum]]+outputs_klasse_qty[[#This Row],[bolt_vegg_lt4_sum]],"")</f>
        <v/>
      </c>
      <c r="HA35" s="5698" t="str">
        <f>IFERROR(outputs_klasse_qty[[#This Row],[bolt_veder_gt4_sum]]+outputs_klasse_qty[[#This Row],[bolt_vegg_gt4_sum]],"")</f>
        <v/>
      </c>
      <c r="HB35" s="3453"/>
      <c r="HC35" s="3453"/>
      <c r="HD35" s="3453"/>
      <c r="HE35" s="3453"/>
      <c r="HF35" s="3453"/>
      <c r="HG35" s="3453"/>
      <c r="HH35" s="3453"/>
      <c r="HI35" s="3453"/>
      <c r="HJ35" s="3453"/>
      <c r="HK35" s="3453"/>
      <c r="HL35" s="3453"/>
      <c r="HM35" s="3453"/>
      <c r="HN35" s="3453"/>
      <c r="HO35" s="3453"/>
      <c r="HP35" s="3453"/>
      <c r="HQ35" s="3453"/>
      <c r="HR35" s="5819" t="e">
        <f t="shared" si="5"/>
        <v>#N/A</v>
      </c>
      <c r="HS35" s="5819">
        <f t="shared" si="6"/>
        <v>1</v>
      </c>
      <c r="HT35" s="5819">
        <f t="shared" si="7"/>
        <v>5</v>
      </c>
      <c r="HU35" s="5855">
        <f>IFERROR(IF(outputs_klasse_qty[[#This Row],[forbolting_bueområde_a]]=_List!$DQ$7,_Calcs_Klasse!$AI$46*$BG110,IF(outputs_klasse_qty[[#This Row],[forbolting_bueområde_a]]=_List!$DQ$8,$AI$40*$BG110)),0)</f>
        <v>0</v>
      </c>
      <c r="HV35" s="5856" t="e">
        <f>IF(outputs_klasse_qty[[#This Row],[forbolting_bueområde_a]]=_List!$DQ$7,($AI$46*BG110)/outputs_klasse_qty[[#This Row],[forbolting_senteravstand_a]]*outputs_klasse_qty[[#This Row],[forbolting_andel_a]],IF(outputs_klasse_qty[[#This Row],[forbolting_bueområde_a]]=_List!$DQ$8,($AI$40*BG110)/outputs_klasse_qty[[#This Row],[forbolting_senteravstand_a]]*outputs_klasse_qty[[#This Row],[forbolting_andel_a]],0))</f>
        <v>#N/A</v>
      </c>
      <c r="HW35" s="5819" t="str">
        <f t="shared" si="8"/>
        <v>Ingen</v>
      </c>
      <c r="HX35" s="5819">
        <f t="shared" si="9"/>
        <v>1</v>
      </c>
      <c r="HY35" s="5819" t="e">
        <f t="shared" si="10"/>
        <v>#N/A</v>
      </c>
      <c r="HZ35" s="5855" t="b">
        <f>IFERROR(IF(outputs_klasse_qty[[#This Row],[forbolting_bueområde_b]]=_List!$DQ$7,_Calcs_Klasse!$AI$46*$BH110,IF(outputs_klasse_qty[[#This Row],[forbolting_bueområde_b]]=_List!$DQ$8,$AI$40*$BH110)),0)</f>
        <v>0</v>
      </c>
      <c r="IA35" s="5856">
        <f>IF(outputs_klasse_qty[[#This Row],[forbolting_bueområde_b]]=_List!$DQ$7,($AI$46*BH110)/outputs_klasse_qty[[#This Row],[forbolting_senteravstand_b]]*outputs_klasse_qty[[#This Row],[forbolting_andel_b]],IF(outputs_klasse_qty[[#This Row],[forbolting_bueområde_b]]=_List!$DQ$8,($AI$40*BH110)/outputs_klasse_qty[[#This Row],[forbolting_senteravstand_b]]*outputs_klasse_qty[[#This Row],[forbolting_andel_b]],0))</f>
        <v>0</v>
      </c>
      <c r="IB35" s="5819" t="str">
        <f t="shared" si="11"/>
        <v>Ingen</v>
      </c>
      <c r="IC35" s="5819">
        <f t="shared" si="12"/>
        <v>1</v>
      </c>
      <c r="ID35" s="5819" t="e">
        <f t="shared" si="13"/>
        <v>#N/A</v>
      </c>
      <c r="IE35" s="5855" t="b">
        <f>IFERROR(IF(outputs_klasse_qty[[#This Row],[forbolting_bueområde_c]]=_List!$DQ$7,_Calcs_Klasse!$AI$46*$BI110,IF(outputs_klasse_qty[[#This Row],[forbolting_bueområde_c]]=_List!$DQ$8,$AI$40*$BI110)),0)</f>
        <v>0</v>
      </c>
      <c r="IF35" s="5856">
        <f>IF(outputs_klasse_qty[[#This Row],[forbolting_bueområde_c]]=_List!$DQ$7,($AI$46*BI110)/outputs_klasse_qty[[#This Row],[forbolting_senteravstand_c]]*outputs_klasse_qty[[#This Row],[forbolting_andel_c]],IF(outputs_klasse_qty[[#This Row],[forbolting_bueområde_c]]=_List!$DQ$8,($AI$40*BI110)/outputs_klasse_qty[[#This Row],[forbolting_senteravstand_c]]*outputs_klasse_qty[[#This Row],[forbolting_andel_c]],0))</f>
        <v>0</v>
      </c>
      <c r="IG35" s="5819" t="e">
        <f t="shared" si="14"/>
        <v>#N/A</v>
      </c>
      <c r="IH35" s="5819">
        <f t="shared" si="15"/>
        <v>1</v>
      </c>
      <c r="II35" s="5819">
        <f t="shared" si="16"/>
        <v>0.5</v>
      </c>
      <c r="IJ35" s="5855">
        <f>IFERROR(IF(outputs_klasse_qty[[#This Row],[forbolting_bueområde_d]]=_List!$DQ$7,_Calcs_Klasse!$AI$46*$BJ110,IF(outputs_klasse_qty[[#This Row],[forbolting_bueområde_d]]=_List!$DQ$8,$AI$40*$BJ110)),0)</f>
        <v>0</v>
      </c>
      <c r="IK35" s="5856" t="e">
        <f>IF(outputs_klasse_qty[[#This Row],[forbolting_bueområde_d]]=_List!$DQ$7,($AI$46*BJ110)/outputs_klasse_qty[[#This Row],[forbolting_senteravstand_d]]*outputs_klasse_qty[[#This Row],[forbolting_andel_d]],IF(outputs_klasse_qty[[#This Row],[forbolting_bueområde_d]]=_List!$DQ$8,($AI$40*BJ110)/outputs_klasse_qty[[#This Row],[forbolting_senteravstand_d]]*outputs_klasse_qty[[#This Row],[forbolting_andel_d]],0))</f>
        <v>#N/A</v>
      </c>
      <c r="IL35" s="5819" t="e">
        <f t="shared" si="17"/>
        <v>#N/A</v>
      </c>
      <c r="IM35" s="5819">
        <f t="shared" si="18"/>
        <v>1</v>
      </c>
      <c r="IN35" s="5819" t="e">
        <f t="shared" si="19"/>
        <v>#N/A</v>
      </c>
      <c r="IO35" s="5855">
        <f>IFERROR(IF(outputs_klasse_qty[[#This Row],[forbolting_bueområde_e1]]=_List!$DQ$7,_Calcs_Klasse!$AI$46*$BK110,IF(outputs_klasse_qty[[#This Row],[forbolting_bueområde_e1]]=_List!$DQ$8,$AI$40*$BK110)),0)</f>
        <v>0</v>
      </c>
      <c r="IP35" s="5856" t="e">
        <f>IF(outputs_klasse_qty[[#This Row],[forbolting_bueområde_e1]]=_List!$DQ$7,($AI$46*BK110)/outputs_klasse_qty[[#This Row],[forbolting_senteravstand_e1]]*outputs_klasse_qty[[#This Row],[forbolting_andel_e1]],IF(outputs_klasse_qty[[#This Row],[forbolting_bueområde_e1]]=_List!$DQ$8,($AI$40*BK110)/outputs_klasse_qty[[#This Row],[forbolting_senteravstand_e1]]*outputs_klasse_qty[[#This Row],[forbolting_andel_e1]],0))</f>
        <v>#N/A</v>
      </c>
      <c r="IQ35" s="5819" t="e">
        <f t="shared" si="20"/>
        <v>#N/A</v>
      </c>
      <c r="IR35" s="5819" t="e">
        <f t="shared" si="21"/>
        <v>#N/A</v>
      </c>
      <c r="IS35" s="5819" t="e">
        <f t="shared" si="22"/>
        <v>#N/A</v>
      </c>
      <c r="IT35" s="5855">
        <f>IFERROR(IF(outputs_klasse_qty[[#This Row],[forbolting_bueområde_e2]]=_List!$DQ$7,_Calcs_Klasse!$AI$46*$BL110,IF(outputs_klasse_qty[[#This Row],[forbolting_bueområde_e2]]=_List!$DQ$8,$AI$40*$BL110)),0)</f>
        <v>0</v>
      </c>
      <c r="IU35" s="5856" t="e">
        <f>IF(outputs_klasse_qty[[#This Row],[forbolting_bueområde_e2]]=_List!$DQ$7,($AI$46*BL110)/outputs_klasse_qty[[#This Row],[forbolting_senteravstand_e2]]*outputs_klasse_qty[[#This Row],[forbolting_andel_e2]],IF(outputs_klasse_qty[[#This Row],[forbolting_bueområde_e2]]=_List!$DQ$8,($AI$40*BL110)/outputs_klasse_qty[[#This Row],[forbolting_senteravstand_e2]]*outputs_klasse_qty[[#This Row],[forbolting_andel_e2]],0))</f>
        <v>#N/A</v>
      </c>
      <c r="IV35" s="5819" t="e">
        <f t="shared" si="23"/>
        <v>#N/A</v>
      </c>
      <c r="IW35" s="5819" t="e">
        <f t="shared" si="24"/>
        <v>#N/A</v>
      </c>
      <c r="IX35" s="5819" t="e">
        <f t="shared" si="25"/>
        <v>#N/A</v>
      </c>
      <c r="IY35" s="5855">
        <f>IFERROR(IF(outputs_klasse_qty[[#This Row],[forbolting_bueområde_f]]=_List!$DQ$7,_Calcs_Klasse!$AI$46*$BM110,IF(outputs_klasse_qty[[#This Row],[forbolting_bueområde_f]]=_List!$DQ$8,$AI$40*$BM110)),0)</f>
        <v>0</v>
      </c>
      <c r="IZ35" s="5856" t="e">
        <f>IF(outputs_klasse_qty[[#This Row],[forbolting_bueområde_f]]=_List!$DQ$7,($AI$46*BM110)/outputs_klasse_qty[[#This Row],[forbolting_senteravstand_f]]*outputs_klasse_qty[[#This Row],[forbolting_andel_f]],IF(outputs_klasse_qty[[#This Row],[forbolting_bueområde_f]]=_List!$DQ$8,($AI$40*BM110)/outputs_klasse_qty[[#This Row],[forbolting_senteravstand_f]]*outputs_klasse_qty[[#This Row],[forbolting_andel_f]],0))</f>
        <v>#N/A</v>
      </c>
      <c r="JA35" s="5819" t="e">
        <f t="shared" si="26"/>
        <v>#N/A</v>
      </c>
      <c r="JB35" s="5819" t="e">
        <f t="shared" si="27"/>
        <v>#N/A</v>
      </c>
      <c r="JC35" s="5819" t="e">
        <f t="shared" si="28"/>
        <v>#N/A</v>
      </c>
      <c r="JD35" s="5855">
        <f>IFERROR(IF(outputs_klasse_qty[[#This Row],[forbolting_bueområde_g]]=_List!$DQ$7,_Calcs_Klasse!$AI$46*$BN110,IF(outputs_klasse_qty[[#This Row],[forbolting_bueområde_g]]=_List!$DQ$8,$AI$40*$BN110)),0)</f>
        <v>0</v>
      </c>
      <c r="JE35" s="5856" t="e">
        <f>IF(outputs_klasse_qty[[#This Row],[forbolting_bueområde_g]]=_List!$DQ$7,($AI$46*BN110)/outputs_klasse_qty[[#This Row],[forbolting_senteravstand_g]]*outputs_klasse_qty[[#This Row],[forbolting_andel_g]],IF(outputs_klasse_qty[[#This Row],[forbolting_bueområde_g]]=_List!$DQ$8,($AI$40*BN110)/outputs_klasse_qty[[#This Row],[forbolting_senteravstand_g]]*outputs_klasse_qty[[#This Row],[forbolting_andel_g]],0))</f>
        <v>#N/A</v>
      </c>
      <c r="JF35" s="3453">
        <f>IFERROR(outputs_klasse_qty[[#This Row],[forbolting_bolter_output_a]]*$AQC$42,0)</f>
        <v>0</v>
      </c>
      <c r="JG35" s="3453">
        <f>IFERROR(outputs_klasse_qty[[#This Row],[forbolting_bolter_output_a]]*$AQL$42,0)</f>
        <v>0</v>
      </c>
      <c r="JH35" s="3453">
        <f>IFERROR(outputs_klasse_qty[[#This Row],[forbolting_bolter_output_b]]*$AQC$43,0)</f>
        <v>0</v>
      </c>
      <c r="JI35" s="3453">
        <f>IFERROR(outputs_klasse_qty[[#This Row],[forbolting_bolter_output_b]]*$AQL$43,0)</f>
        <v>0</v>
      </c>
      <c r="JJ35" s="3453">
        <f>IFERROR(outputs_klasse_qty[[#This Row],[forbolting_bolter_output_c]]*$AQC$44,0)</f>
        <v>0</v>
      </c>
      <c r="JK35" s="3453">
        <f>IFERROR(outputs_klasse_qty[[#This Row],[forbolting_bolter_output_c]]*$AQL$44,0)</f>
        <v>0</v>
      </c>
      <c r="JL35" s="3453">
        <f>IFERROR(outputs_klasse_qty[[#This Row],[forbolting_bolter_output_d]]*$AQC$45,0)</f>
        <v>0</v>
      </c>
      <c r="JM35" s="3453">
        <f>IFERROR(outputs_klasse_qty[[#This Row],[forbolting_bolter_output_d]]*$AQL$45,0)</f>
        <v>0</v>
      </c>
      <c r="JN35" s="3453">
        <f>IFERROR(outputs_klasse_qty[[#This Row],[forbolting_bolter_output_e1]]*$AQC$46,0)</f>
        <v>0</v>
      </c>
      <c r="JO35" s="3453">
        <f>IFERROR(outputs_klasse_qty[[#This Row],[forbolting_bolter_output_e1]]*$AQL$46,0)</f>
        <v>0</v>
      </c>
      <c r="JP35" s="3453">
        <f>IFERROR(outputs_klasse_qty[[#This Row],[forbolting_bolter_output_e2]]*$AQC$47,0)</f>
        <v>0</v>
      </c>
      <c r="JQ35" s="3453">
        <f>IFERROR(outputs_klasse_qty[[#This Row],[forbolting_bolter_output_e2]]*$AQL$47,0)</f>
        <v>0</v>
      </c>
      <c r="JR35" s="3453">
        <f>IFERROR(outputs_klasse_qty[[#This Row],[forbolting_bolter_output_f]]*$AQC$48,0)</f>
        <v>0</v>
      </c>
      <c r="JS35" s="3453">
        <f>IFERROR(outputs_klasse_qty[[#This Row],[forbolting_bolter_output_f]]*$AQL$48,0)</f>
        <v>0</v>
      </c>
      <c r="JT35" s="3453">
        <f>IFERROR(outputs_klasse_qty[[#This Row],[forbolting_bolter_output_g]]*$AQC$49,0)</f>
        <v>0</v>
      </c>
      <c r="JU35" s="3453">
        <f>IFERROR(outputs_klasse_qty[[#This Row],[forbolting_bolter_output_g]]*$AQL$49,0)</f>
        <v>0</v>
      </c>
      <c r="JV35"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5"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5" s="5819" t="e">
        <f t="shared" si="29"/>
        <v>#N/A</v>
      </c>
      <c r="JY35" s="5856" t="e">
        <f>IF(outputs_klasse_qty[[#This Row],[forbolting_bueområde_a]]=_List!$DQ$7,($AI$46*BG110)/outputs_klasse_qty[[#This Row],[opphengbolter_senteravstand_a]]*outputs_klasse_qty[[#This Row],[forbolting_andel_a]],IF(outputs_klasse_qty[[#This Row],[forbolting_bueområde_a]]=_List!$DQ$8,($AI$40*BG110)/outputs_klasse_qty[[#This Row],[opphengbolter_senteravstand_a]]*outputs_klasse_qty[[#This Row],[forbolting_andel_a]],0))</f>
        <v>#N/A</v>
      </c>
      <c r="JZ35" s="5819" t="e">
        <f t="shared" si="30"/>
        <v>#N/A</v>
      </c>
      <c r="KA35" s="5856">
        <f>IF(outputs_klasse_qty[[#This Row],[forbolting_bueområde_b]]=_List!$DQ$7,($AI$46*BH110)/outputs_klasse_qty[[#This Row],[opphengbolter_senteravstand_b]]*outputs_klasse_qty[[#This Row],[forbolting_andel_b]],IF(outputs_klasse_qty[[#This Row],[forbolting_bueområde_b]]=_List!$DQ$8,($AI$40*BH110)/outputs_klasse_qty[[#This Row],[opphengbolter_senteravstand_b]]*outputs_klasse_qty[[#This Row],[forbolting_andel_b]],0))</f>
        <v>0</v>
      </c>
      <c r="KB35" s="5819" t="e">
        <f t="shared" si="31"/>
        <v>#N/A</v>
      </c>
      <c r="KC35" s="5856">
        <f>IF(outputs_klasse_qty[[#This Row],[forbolting_bueområde_c]]=_List!$DQ$7,($AI$46*BI110)/outputs_klasse_qty[[#This Row],[opphengbolter_senteravstand_c]]*outputs_klasse_qty[[#This Row],[forbolting_andel_c]],IF(outputs_klasse_qty[[#This Row],[forbolting_bueområde_c]]=_List!$DQ$8,($AI$40*BI110)/outputs_klasse_qty[[#This Row],[opphengbolter_senteravstand_c]]*outputs_klasse_qty[[#This Row],[forbolting_andel_c]],0))</f>
        <v>0</v>
      </c>
      <c r="KD35" s="5819" t="e">
        <f t="shared" si="32"/>
        <v>#N/A</v>
      </c>
      <c r="KE35" s="5856" t="e">
        <f>IF(outputs_klasse_qty[[#This Row],[forbolting_bueområde_d]]=_List!$DQ$7,($AI$46*BJ110)/outputs_klasse_qty[[#This Row],[opphengbolter_senteravstand_d]]*outputs_klasse_qty[[#This Row],[forbolting_andel_d]],IF(outputs_klasse_qty[[#This Row],[forbolting_bueområde_d]]=_List!$DQ$8,($AI$40*BJ110)/outputs_klasse_qty[[#This Row],[opphengbolter_senteravstand_d]]*outputs_klasse_qty[[#This Row],[forbolting_andel_d]],0))</f>
        <v>#N/A</v>
      </c>
      <c r="KF35" s="5819" t="e">
        <f t="shared" si="33"/>
        <v>#N/A</v>
      </c>
      <c r="KG35" s="5856" t="e">
        <f>IF(outputs_klasse_qty[[#This Row],[forbolting_bueområde_e1]]=_List!$DQ$7,($AI$46*BK110)/outputs_klasse_qty[[#This Row],[opphengbolter_senteravstand_e1]]*outputs_klasse_qty[[#This Row],[forbolting_andel_e1]],IF(outputs_klasse_qty[[#This Row],[forbolting_bueområde_e1]]=_List!$DQ$8,($AI$40*BK110)/outputs_klasse_qty[[#This Row],[opphengbolter_senteravstand_e1]]*outputs_klasse_qty[[#This Row],[forbolting_andel_e1]],0))</f>
        <v>#N/A</v>
      </c>
      <c r="KH35" s="5819" t="e">
        <f t="shared" si="34"/>
        <v>#N/A</v>
      </c>
      <c r="KI35" s="5856" t="e">
        <f>IF(outputs_klasse_qty[[#This Row],[forbolting_bueområde_e2]]=_List!$DQ$7,($AI$46*BL110)/outputs_klasse_qty[[#This Row],[opphengbolter_senteravstand_e2]]*outputs_klasse_qty[[#This Row],[forbolting_andel_e2]],IF(outputs_klasse_qty[[#This Row],[forbolting_bueområde_e2]]=_List!$DQ$8,($AI$40*BL110)/outputs_klasse_qty[[#This Row],[opphengbolter_senteravstand_e2]]*outputs_klasse_qty[[#This Row],[forbolting_andel_e2]],0))</f>
        <v>#N/A</v>
      </c>
      <c r="KJ35" s="5819" t="e">
        <f t="shared" si="35"/>
        <v>#N/A</v>
      </c>
      <c r="KK35" s="5856" t="e">
        <f>IF(outputs_klasse_qty[[#This Row],[forbolting_bueområde_f]]=_List!$DQ$7,($AI$46*BM110)/outputs_klasse_qty[[#This Row],[opphengbolter_senteravstand_f]]*outputs_klasse_qty[[#This Row],[forbolting_andel_f]],IF(outputs_klasse_qty[[#This Row],[forbolting_bueområde_f]]=_List!$DQ$8,($AI$40*BM110)/outputs_klasse_qty[[#This Row],[opphengbolter_senteravstand_f]]*outputs_klasse_qty[[#This Row],[forbolting_andel_f]],0))</f>
        <v>#N/A</v>
      </c>
      <c r="KL35" s="5819" t="e">
        <f t="shared" si="36"/>
        <v>#N/A</v>
      </c>
      <c r="KM35" s="5856" t="e">
        <f>IF(outputs_klasse_qty[[#This Row],[forbolting_bueområde_g]]=_List!$DQ$7,($AI$46*BN110)/outputs_klasse_qty[[#This Row],[opphengbolter_senteravstand_g]]*outputs_klasse_qty[[#This Row],[forbolting_andel_g]],IF(outputs_klasse_qty[[#This Row],[forbolting_bueområde_g]]=_List!$DQ$8,($AI$40*BN110)/outputs_klasse_qty[[#This Row],[opphengbolter_senteravstand_g]]*outputs_klasse_qty[[#This Row],[forbolting_andel_g]],0))</f>
        <v>#N/A</v>
      </c>
      <c r="KN35" s="5819">
        <f>IFERROR(outputs_klasse_qty[[#This Row],[opphengbolter_output_a]]*$ARC$42,0)</f>
        <v>0</v>
      </c>
      <c r="KO35" s="5819">
        <f>IFERROR(outputs_klasse_qty[[#This Row],[opphengbolter_output_a]]*$ARL$42,0)</f>
        <v>0</v>
      </c>
      <c r="KP35" s="5819">
        <f>IFERROR(outputs_klasse_qty[[#This Row],[opphengbolter_output_b]]*$ARC$43,0)</f>
        <v>0</v>
      </c>
      <c r="KQ35" s="5819">
        <f>IFERROR(outputs_klasse_qty[[#This Row],[opphengbolter_output_b]]*$ARL$43,0)</f>
        <v>0</v>
      </c>
      <c r="KR35" s="5819">
        <f>IFERROR(outputs_klasse_qty[[#This Row],[opphengbolter_output_c]]*$ARC$44,0)</f>
        <v>0</v>
      </c>
      <c r="KS35" s="5819">
        <f>IFERROR(outputs_klasse_qty[[#This Row],[opphengbolter_output_c]]*$ARL$44,0)</f>
        <v>0</v>
      </c>
      <c r="KT35" s="5819">
        <f>IFERROR(outputs_klasse_qty[[#This Row],[opphengbolter_output_d]]*$ARC$45,0)</f>
        <v>0</v>
      </c>
      <c r="KU35" s="5819">
        <f>IFERROR(outputs_klasse_qty[[#This Row],[opphengbolter_output_d]]*$ARL$45,0)</f>
        <v>0</v>
      </c>
      <c r="KV35" s="5819">
        <f>IFERROR(outputs_klasse_qty[[#This Row],[opphengbolter_output_e1]]*$ARC$46,0)</f>
        <v>0</v>
      </c>
      <c r="KW35" s="5819">
        <f>IFERROR(outputs_klasse_qty[[#This Row],[opphengbolter_output_e1]]*$ARL$46,0)</f>
        <v>0</v>
      </c>
      <c r="KX35" s="5819">
        <f>IFERROR(outputs_klasse_qty[[#This Row],[opphengbolter_output_e2]]*$ARC$47,0)</f>
        <v>0</v>
      </c>
      <c r="KY35" s="5819">
        <f>IFERROR(outputs_klasse_qty[[#This Row],[opphengbolter_output_e2]]*$ARL$47,0)</f>
        <v>0</v>
      </c>
      <c r="KZ35" s="5819">
        <f>IFERROR(outputs_klasse_qty[[#This Row],[opphengbolter_output_f]]*$ARC$48,0)</f>
        <v>0</v>
      </c>
      <c r="LA35" s="5819">
        <f>IFERROR(outputs_klasse_qty[[#This Row],[opphengbolter_output_f]]*$ARL$48,0)</f>
        <v>0</v>
      </c>
      <c r="LB35" s="5819">
        <f>IFERROR(outputs_klasse_qty[[#This Row],[opphengbolter_output_g]]*$ARC$49,0)</f>
        <v>0</v>
      </c>
      <c r="LC35" s="5819">
        <f>IFERROR(outputs_klasse_qty[[#This Row],[opphengbolter_output_g]]*$ARL$49,0)</f>
        <v>0</v>
      </c>
      <c r="LD35"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5"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5" s="5712" cm="1">
        <f t="array" ref="LF35">IF($AK$217=klasse_bånd[Method],$LF$28,IF($AK$217="",$LF$29,0))</f>
        <v>1</v>
      </c>
      <c r="LG35" s="3453">
        <f t="shared" si="110"/>
        <v>1.5</v>
      </c>
      <c r="LH35" s="3453">
        <f>IFERROR(outputs_klasse_qty[[#This Row],[bergbånd_langs_forbolting_a_rate]]*outputs_klasse_qty[[#This Row],[forbolting_bue_lengde_a]],0)</f>
        <v>0</v>
      </c>
      <c r="LI35" s="3453">
        <f t="shared" si="111"/>
        <v>2</v>
      </c>
      <c r="LJ35" s="3453">
        <f>IFERROR(outputs_klasse_qty[[#This Row],[bergbånd_langs_forbolting_b_rate]]*outputs_klasse_qty[[#This Row],[forbolting_bue_lengde_b]],0)</f>
        <v>0</v>
      </c>
      <c r="LK35" s="3453">
        <f t="shared" si="112"/>
        <v>2</v>
      </c>
      <c r="LL35" s="3453">
        <f>IFERROR(outputs_klasse_qty[[#This Row],[bergbånd_langs_forbolting_c_rate]]*outputs_klasse_qty[[#This Row],[forbolting_bue_lengde_c]],0)</f>
        <v>0</v>
      </c>
      <c r="LM35" s="3453">
        <f t="shared" si="113"/>
        <v>2</v>
      </c>
      <c r="LN35" s="3453">
        <f>IFERROR(outputs_klasse_qty[[#This Row],[bergbånd_langs_forbolting_d_rate]]*outputs_klasse_qty[[#This Row],[forbolting_bue_lengde_d]],0)</f>
        <v>0</v>
      </c>
      <c r="LO35" s="3453">
        <f t="shared" si="114"/>
        <v>2</v>
      </c>
      <c r="LP35" s="3453">
        <f>IFERROR(outputs_klasse_qty[[#This Row],[bergbånd_langs_forbolting_e1_rate]]*outputs_klasse_qty[[#This Row],[forbolting_bue_lengde_e1]],0)</f>
        <v>0</v>
      </c>
      <c r="LQ35" s="3453">
        <f t="shared" si="115"/>
        <v>2</v>
      </c>
      <c r="LR35" s="3453">
        <f>IFERROR(outputs_klasse_qty[[#This Row],[bergbånd_langs_forbolting_e2_rate]]*outputs_klasse_qty[[#This Row],[forbolting_bue_lengde_e2]],0)</f>
        <v>0</v>
      </c>
      <c r="LS35" s="3453" t="e">
        <f t="shared" si="116"/>
        <v>#N/A</v>
      </c>
      <c r="LT35" s="3453">
        <f>IFERROR(outputs_klasse_qty[[#This Row],[bergbånd_langs_forbolting_f_rate]]*outputs_klasse_qty[[#This Row],[forbolting_bue_lengde_f]],0)</f>
        <v>0</v>
      </c>
      <c r="LU35" s="3453" t="e">
        <f t="shared" si="117"/>
        <v>#N/A</v>
      </c>
      <c r="LV35" s="3453">
        <f>IFERROR(outputs_klasse_qty[[#This Row],[bergbånd_langs_forbolting_g_rate]]*outputs_klasse_qty[[#This Row],[forbolting_bue_lengde_g]],0)</f>
        <v>0</v>
      </c>
      <c r="LW35"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5" s="3453" t="e">
        <f t="shared" si="37"/>
        <v>#N/A</v>
      </c>
      <c r="LY35" s="5703">
        <f>IFERROR(outputs_klasse_qty[[#This Row],[bånd_ekstra_a_rate]]*$AY87,0)</f>
        <v>0</v>
      </c>
      <c r="LZ35" s="3453" t="e">
        <f t="shared" si="38"/>
        <v>#N/A</v>
      </c>
      <c r="MA35" s="5703">
        <f>IFERROR(outputs_klasse_qty[[#This Row],[bånd_ekstra_b_rate]]*$AZ87,0)</f>
        <v>0</v>
      </c>
      <c r="MB35" s="3453" t="e">
        <f t="shared" si="39"/>
        <v>#N/A</v>
      </c>
      <c r="MC35" s="5703">
        <f>IFERROR(outputs_klasse_qty[[#This Row],[bånd_ekstra_c_rate]]*$BA87,0)</f>
        <v>0</v>
      </c>
      <c r="MD35" s="3453" t="e">
        <f t="shared" si="40"/>
        <v>#N/A</v>
      </c>
      <c r="ME35" s="5703">
        <f>IFERROR(outputs_klasse_qty[[#This Row],[bånd_ekstra_d_rate]]*$BB87,0)</f>
        <v>0</v>
      </c>
      <c r="MF35" s="3453" t="e">
        <f t="shared" si="41"/>
        <v>#N/A</v>
      </c>
      <c r="MG35" s="5703">
        <f>IFERROR(outputs_klasse_qty[[#This Row],[bånd_ekstra_e1_rate]]*$BC87,0)</f>
        <v>0</v>
      </c>
      <c r="MH35" s="3453" t="e">
        <f t="shared" si="42"/>
        <v>#N/A</v>
      </c>
      <c r="MI35" s="5703">
        <f>IFERROR(outputs_klasse_qty[[#This Row],[bånd_ekstra_e2_rate]]*$BD87,0)</f>
        <v>0</v>
      </c>
      <c r="MJ35" s="3453" t="e">
        <f t="shared" si="43"/>
        <v>#N/A</v>
      </c>
      <c r="MK35" s="5703">
        <f>IFERROR(outputs_klasse_qty[[#This Row],[bånd_ekstra_f_rate]]*$BE87,0)</f>
        <v>0</v>
      </c>
      <c r="ML35" s="3453" t="e">
        <f t="shared" si="44"/>
        <v>#N/A</v>
      </c>
      <c r="MM35" s="5703">
        <f>IFERROR(outputs_klasse_qty[[#This Row],[bånd_ekstra_g_rate]]*$BF87,0)</f>
        <v>0</v>
      </c>
      <c r="MN35"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5" s="5705">
        <f>outputs_klasse_qty[[#This Row],[bergbånd_langs_forbolting_a_output]]+outputs_klasse_qty[[#This Row],[bånd_ekstra_a_output]]</f>
        <v>0</v>
      </c>
      <c r="MP35" s="5705">
        <f>outputs_klasse_qty[[#This Row],[bergbånd_langs_forbolting_b_output]]+outputs_klasse_qty[[#This Row],[bånd_ekstra_b_output]]</f>
        <v>0</v>
      </c>
      <c r="MQ35" s="5705">
        <f>outputs_klasse_qty[[#This Row],[bergbånd_langs_forbolting_c_output]]+outputs_klasse_qty[[#This Row],[bånd_ekstra_c_output]]</f>
        <v>0</v>
      </c>
      <c r="MR35" s="5705">
        <f>outputs_klasse_qty[[#This Row],[bergbånd_langs_forbolting_d_output]]+outputs_klasse_qty[[#This Row],[bånd_ekstra_d_output]]</f>
        <v>0</v>
      </c>
      <c r="MS35" s="5705">
        <f>outputs_klasse_qty[[#This Row],[bergbånd_langs_forbolting_e1_output]]+outputs_klasse_qty[[#This Row],[bånd_ekstra_e1_output]]</f>
        <v>0</v>
      </c>
      <c r="MT35" s="5705">
        <f>outputs_klasse_qty[[#This Row],[bergbånd_langs_forbolting_e2_output]]+outputs_klasse_qty[[#This Row],[bånd_ekstra_e2_output]]</f>
        <v>0</v>
      </c>
      <c r="MU35" s="5705">
        <f>outputs_klasse_qty[[#This Row],[bergbånd_langs_forbolting_f_output]]+outputs_klasse_qty[[#This Row],[bånd_ekstra_f_output]]</f>
        <v>0</v>
      </c>
      <c r="MV35" s="5705">
        <f>outputs_klasse_qty[[#This Row],[bergbånd_langs_forbolting_g_output]]+outputs_klasse_qty[[#This Row],[bånd_ekstra_g_output]]</f>
        <v>0</v>
      </c>
      <c r="MW35" s="5706">
        <f>SUM(outputs_klasse_qty[[#This Row],[bergbånd_sum_a]:[bergbånd_sum_g]])</f>
        <v>0</v>
      </c>
      <c r="MX35" s="3453" t="e">
        <f t="shared" si="45"/>
        <v>#N/A</v>
      </c>
      <c r="MY35" s="5707">
        <f>IFERROR(outputs_klasse_qty[[#This Row],[bergbånd_sum_a]]/outputs_klasse_qty[[#This Row],[festebolter_for_bergbånd_a_senteravstand]],0)</f>
        <v>0</v>
      </c>
      <c r="MZ35" s="3453" t="e">
        <f t="shared" si="46"/>
        <v>#N/A</v>
      </c>
      <c r="NA35" s="5707">
        <f>IFERROR(outputs_klasse_qty[[#This Row],[bergbånd_sum_b]]/outputs_klasse_qty[[#This Row],[festebolter_for_bergbånd_b_senteravstand]],0)</f>
        <v>0</v>
      </c>
      <c r="NB35" s="3453" t="e">
        <f t="shared" si="47"/>
        <v>#N/A</v>
      </c>
      <c r="NC35" s="5707">
        <f>IFERROR(outputs_klasse_qty[[#This Row],[bergbånd_sum_c]]/outputs_klasse_qty[[#This Row],[festebolter_for_bergbånd_c_senteravstand]],0)</f>
        <v>0</v>
      </c>
      <c r="ND35" s="3453" t="e">
        <f t="shared" si="48"/>
        <v>#N/A</v>
      </c>
      <c r="NE35" s="5707">
        <f>IFERROR(outputs_klasse_qty[[#This Row],[bergbånd_sum_d]]/outputs_klasse_qty[[#This Row],[festebolter_for_bergbånd_d_senteravstand]],0)</f>
        <v>0</v>
      </c>
      <c r="NF35" s="3453" t="e">
        <f t="shared" si="49"/>
        <v>#N/A</v>
      </c>
      <c r="NG35" s="5707">
        <f>IFERROR(outputs_klasse_qty[[#This Row],[bergbånd_sum_e1]]/outputs_klasse_qty[[#This Row],[festebolter_for_bergbånd_e1_senteravstand]],0)</f>
        <v>0</v>
      </c>
      <c r="NH35" s="3453" t="e">
        <f t="shared" si="50"/>
        <v>#N/A</v>
      </c>
      <c r="NI35" s="5707">
        <f>IFERROR(outputs_klasse_qty[[#This Row],[bergbånd_sum_e2]]/outputs_klasse_qty[[#This Row],[festebolter_for_bergbånd_e2_senteravstand]],0)</f>
        <v>0</v>
      </c>
      <c r="NJ35" s="3453" t="e">
        <f t="shared" si="51"/>
        <v>#N/A</v>
      </c>
      <c r="NK35" s="5707">
        <f>IFERROR(outputs_klasse_qty[[#This Row],[bergbånd_sum_f]]/outputs_klasse_qty[[#This Row],[festebolter_for_bergbånd_f_senteravstand]],0)</f>
        <v>0</v>
      </c>
      <c r="NL35" s="3453" t="e">
        <f t="shared" si="52"/>
        <v>#N/A</v>
      </c>
      <c r="NM35" s="5707">
        <f>IFERROR(outputs_klasse_qty[[#This Row],[bergbånd_sum_g]]/outputs_klasse_qty[[#This Row],[festebolter_for_bergbånd_g_senteravstand]],0)</f>
        <v>0</v>
      </c>
      <c r="NN35"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5" s="3453"/>
      <c r="NP35" s="3453"/>
      <c r="NQ35" s="3453"/>
      <c r="NR35" s="3453"/>
      <c r="NS35" s="3453"/>
      <c r="NT35" s="3453"/>
      <c r="NU35" s="3453"/>
      <c r="NV35" s="3453"/>
      <c r="NW35" s="3453"/>
      <c r="NX35" s="3453"/>
      <c r="NY35" s="3453"/>
      <c r="NZ35" s="3453"/>
      <c r="OA35" s="3453"/>
      <c r="OB35" s="3453"/>
      <c r="OC35" s="3453"/>
      <c r="OD35" s="3453"/>
      <c r="OE35" s="3453"/>
      <c r="OF35" s="3453"/>
      <c r="OG35" s="3453"/>
      <c r="OH35" s="3453"/>
      <c r="OI35" s="5712" cm="1">
        <f t="array" ref="OI35">IF($AK$218=klasse_net[Method],$OI$28,IF($AK$218="",$OI$29,0))</f>
        <v>1</v>
      </c>
      <c r="OJ35" s="3453" t="e">
        <f t="shared" si="118"/>
        <v>#N/A</v>
      </c>
      <c r="OK35" s="5720">
        <f>IFERROR(outputs_klasse_qty[[#This Row],[nett_a_rate]]*$AY87,0)</f>
        <v>0</v>
      </c>
      <c r="OL35" s="3453" t="e">
        <f t="shared" si="119"/>
        <v>#N/A</v>
      </c>
      <c r="OM35" s="5720">
        <f>IFERROR(outputs_klasse_qty[[#This Row],[nett_b_rate]]*$AZ87,0)</f>
        <v>0</v>
      </c>
      <c r="ON35" s="3453" t="e">
        <f t="shared" si="120"/>
        <v>#N/A</v>
      </c>
      <c r="OO35" s="5720">
        <f>IFERROR(outputs_klasse_qty[[#This Row],[nett_c_rate]]*$BA87,0)</f>
        <v>0</v>
      </c>
      <c r="OP35" s="3453" t="e">
        <f t="shared" si="121"/>
        <v>#N/A</v>
      </c>
      <c r="OQ35" s="5720">
        <f>IFERROR(outputs_klasse_qty[[#This Row],[nett_d_rate]]*$BB87,0)</f>
        <v>0</v>
      </c>
      <c r="OR35" s="3453" t="e">
        <f t="shared" si="122"/>
        <v>#N/A</v>
      </c>
      <c r="OS35" s="5720">
        <f>IFERROR(outputs_klasse_qty[[#This Row],[nett_e1_rate]]*$BC87,0)</f>
        <v>0</v>
      </c>
      <c r="OT35" s="3453" t="e">
        <f t="shared" si="123"/>
        <v>#N/A</v>
      </c>
      <c r="OU35" s="5720">
        <f>IFERROR(outputs_klasse_qty[[#This Row],[nett_e2_rate]]*$BD87,0)</f>
        <v>0</v>
      </c>
      <c r="OV35" s="3453" t="e">
        <f t="shared" si="124"/>
        <v>#N/A</v>
      </c>
      <c r="OW35" s="5720">
        <f>IFERROR(outputs_klasse_qty[[#This Row],[nett_f_rate]]*$BE87,0)</f>
        <v>0</v>
      </c>
      <c r="OX35" s="3453" t="e">
        <f t="shared" si="125"/>
        <v>#N/A</v>
      </c>
      <c r="OY35" s="5720">
        <f>IFERROR(outputs_klasse_qty[[#This Row],[nett_g_rate]]*$BF87,0)</f>
        <v>0</v>
      </c>
      <c r="OZ35" s="5709">
        <f t="shared" si="126"/>
        <v>0</v>
      </c>
      <c r="PA35" s="3453" t="e">
        <f t="shared" si="53"/>
        <v>#N/A</v>
      </c>
      <c r="PB35" s="5618">
        <f>IFERROR(outputs_klasse_qty[[#This Row],[nett_a_output]]/(outputs_klasse_qty[[#This Row],[festebolter_for_nett_senteravstand_a]]^2),0)</f>
        <v>0</v>
      </c>
      <c r="PC35" s="3453" t="e">
        <f t="shared" si="54"/>
        <v>#N/A</v>
      </c>
      <c r="PD35" s="5618">
        <f>IFERROR(outputs_klasse_qty[[#This Row],[nett_b_output]]/(outputs_klasse_qty[[#This Row],[festebolter_for_nett_senteravstand_b]]^2),0)</f>
        <v>0</v>
      </c>
      <c r="PE35" s="3453" t="e">
        <f t="shared" si="55"/>
        <v>#N/A</v>
      </c>
      <c r="PF35" s="5618">
        <f>IFERROR(outputs_klasse_qty[[#This Row],[nett_c_output]]/(outputs_klasse_qty[[#This Row],[festebolter_for_nett_senteravstand_c]]^2),0)</f>
        <v>0</v>
      </c>
      <c r="PG35" s="3453" t="e">
        <f t="shared" si="56"/>
        <v>#N/A</v>
      </c>
      <c r="PH35" s="5618">
        <f>IFERROR(outputs_klasse_qty[[#This Row],[nett_d_output]]/(outputs_klasse_qty[[#This Row],[festebolter_for_nett_senteravstand_d]]^2),0)</f>
        <v>0</v>
      </c>
      <c r="PI35" s="3453" t="e">
        <f t="shared" si="57"/>
        <v>#N/A</v>
      </c>
      <c r="PJ35" s="5618">
        <f>IFERROR(outputs_klasse_qty[[#This Row],[nett_e1_output]]/(outputs_klasse_qty[[#This Row],[festebolter_for_nett_senteravstand_e1]]^2),0)</f>
        <v>0</v>
      </c>
      <c r="PK35" s="3453" t="e">
        <f t="shared" si="58"/>
        <v>#N/A</v>
      </c>
      <c r="PL35" s="5618">
        <f>IFERROR(outputs_klasse_qty[[#This Row],[nett_e2_output]]/(outputs_klasse_qty[[#This Row],[festebolter_for_nett_senteravstand_e2]]^2),0)</f>
        <v>0</v>
      </c>
      <c r="PM35" s="3453" t="e">
        <f t="shared" si="59"/>
        <v>#N/A</v>
      </c>
      <c r="PN35" s="5618">
        <f>IFERROR(outputs_klasse_qty[[#This Row],[nett_f_output]]/(outputs_klasse_qty[[#This Row],[festebolter_for_nett_senteravstand_f]]^2),0)</f>
        <v>0</v>
      </c>
      <c r="PO35" s="3453" t="e">
        <f t="shared" si="60"/>
        <v>#N/A</v>
      </c>
      <c r="PP35" s="5618">
        <f>IFERROR(outputs_klasse_qty[[#This Row],[nett_g_output]]/(outputs_klasse_qty[[#This Row],[festebolter_for_nett_senteravstand_g]]^2),0)</f>
        <v>0</v>
      </c>
      <c r="PQ35"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5" s="3453" t="e">
        <f t="shared" si="77"/>
        <v>#N/A</v>
      </c>
      <c r="PS35" s="5710" t="e">
        <f>outputs_klasse_qty[[#This Row],[nett_a_output]]*outputs_klasse_qty[[#This Row],[sprøytebetong_ved_nett_tykkelse_a]]/1000</f>
        <v>#N/A</v>
      </c>
      <c r="PT35" s="3453" t="e">
        <f t="shared" si="78"/>
        <v>#N/A</v>
      </c>
      <c r="PU35" s="5710" t="e">
        <f>outputs_klasse_qty[[#This Row],[nett_b_output]]*outputs_klasse_qty[[#This Row],[sprøytebetong_ved_nett_tykkelse_b]]/1000</f>
        <v>#N/A</v>
      </c>
      <c r="PV35" s="3453" t="e">
        <f t="shared" si="79"/>
        <v>#N/A</v>
      </c>
      <c r="PW35" s="5710" t="e">
        <f>outputs_klasse_qty[[#This Row],[nett_c_output]]*outputs_klasse_qty[[#This Row],[sprøytebetong_ved_nett_tykkelse_c]]/1000</f>
        <v>#N/A</v>
      </c>
      <c r="PX35" s="3453" t="e">
        <f t="shared" si="80"/>
        <v>#N/A</v>
      </c>
      <c r="PY35" s="5710" t="e">
        <f>outputs_klasse_qty[[#This Row],[nett_d_output]]*outputs_klasse_qty[[#This Row],[sprøytebetong_ved_nett_tykkelse_d]]/1000</f>
        <v>#N/A</v>
      </c>
      <c r="PZ35" s="3453" t="e">
        <f t="shared" si="81"/>
        <v>#N/A</v>
      </c>
      <c r="QA35" s="5710" t="e">
        <f>outputs_klasse_qty[[#This Row],[nett_e1_output]]*outputs_klasse_qty[[#This Row],[sprøytebetong_ved_nett_tykkelse_e1]]/1000</f>
        <v>#N/A</v>
      </c>
      <c r="QB35" s="3453" t="e">
        <f t="shared" si="82"/>
        <v>#N/A</v>
      </c>
      <c r="QC35" s="5710" t="e">
        <f>outputs_klasse_qty[[#This Row],[nett_e2_output]]*outputs_klasse_qty[[#This Row],[sprøytebetong_ved_nett_tykkelse_e2]]/1000</f>
        <v>#N/A</v>
      </c>
      <c r="QD35" s="3453" t="e">
        <f t="shared" si="83"/>
        <v>#N/A</v>
      </c>
      <c r="QE35" s="5710" t="e">
        <f>outputs_klasse_qty[[#This Row],[nett_f_output]]*outputs_klasse_qty[[#This Row],[sprøytebetong_ved_nett_tykkelse_f]]/1000</f>
        <v>#N/A</v>
      </c>
      <c r="QF35" s="3453" t="e">
        <f t="shared" si="84"/>
        <v>#N/A</v>
      </c>
      <c r="QG35" s="5710" t="e">
        <f>outputs_klasse_qty[[#This Row],[nett_g_output]]*outputs_klasse_qty[[#This Row],[sprøytebetong_ved_nett_tykkelse_g]]/1000</f>
        <v>#N/A</v>
      </c>
      <c r="QH35"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5" s="3453"/>
      <c r="QJ35" s="3453"/>
      <c r="QK35" s="3453"/>
      <c r="QL35" s="3453"/>
      <c r="QM35" s="3453"/>
      <c r="QN35" s="3453"/>
      <c r="QO35" s="3453"/>
      <c r="QP35" s="3453"/>
      <c r="QQ35" s="3453"/>
      <c r="QR35" s="5712">
        <f>IF($AK$219=_List!$DI$6,_Calcs_Klasse!$QR$28,IF($AK$219=_List!$DI$7,$QR$29,0))</f>
        <v>1</v>
      </c>
      <c r="QS35" s="5713" t="e">
        <f t="shared" si="127"/>
        <v>#N/A</v>
      </c>
      <c r="QT35" s="3453" t="e">
        <f t="shared" si="128"/>
        <v>#N/A</v>
      </c>
      <c r="QU35" s="3453">
        <f>IFERROR((outputs_klasse_qty[[#This Row],[shot_veder_a_faktor]]*outputs_klasse_qty[[#This Row],[shot_veder_a_rate]]*$AI$46*$AY87)/1000,0)</f>
        <v>0</v>
      </c>
      <c r="QV35" s="5713" t="e">
        <f t="shared" si="129"/>
        <v>#N/A</v>
      </c>
      <c r="QW35" s="3453" t="e">
        <f t="shared" si="130"/>
        <v>#N/A</v>
      </c>
      <c r="QX35" s="3453">
        <f>IFERROR((outputs_klasse_qty[[#This Row],[shot_veder_b_faktor]]*outputs_klasse_qty[[#This Row],[shot_veder_b_rate]]*$AI$46*$AZ87)/1000,0)</f>
        <v>0</v>
      </c>
      <c r="QY35" s="5713" t="e">
        <f t="shared" si="131"/>
        <v>#N/A</v>
      </c>
      <c r="QZ35" s="3453" t="e">
        <f t="shared" si="132"/>
        <v>#N/A</v>
      </c>
      <c r="RA35" s="3453">
        <f>IFERROR((outputs_klasse_qty[[#This Row],[shot_veder_c_faktor]]*outputs_klasse_qty[[#This Row],[shot_veder_c_rate]]*$AI$46*$BA87)/1000,0)</f>
        <v>0</v>
      </c>
      <c r="RB35" s="5713" t="e">
        <f t="shared" si="133"/>
        <v>#N/A</v>
      </c>
      <c r="RC35" s="3453" t="e">
        <f t="shared" si="134"/>
        <v>#N/A</v>
      </c>
      <c r="RD35" s="3453">
        <f>IFERROR((outputs_klasse_qty[[#This Row],[shot_veder_d_faktor]]*outputs_klasse_qty[[#This Row],[shot_veder_d_rate]]*$AI$46*$BB87)/1000,0)</f>
        <v>0</v>
      </c>
      <c r="RE35" s="5713" t="e">
        <f t="shared" si="135"/>
        <v>#N/A</v>
      </c>
      <c r="RF35" s="3453" t="e">
        <f t="shared" si="136"/>
        <v>#N/A</v>
      </c>
      <c r="RG35" s="3453">
        <f>IFERROR((outputs_klasse_qty[[#This Row],[shot_veder_e1_faktor]]*outputs_klasse_qty[[#This Row],[shot_veder_e1_rate]]*$AI$46*$BC87)/1000,0)</f>
        <v>0</v>
      </c>
      <c r="RH35" s="5713" t="e">
        <f t="shared" si="137"/>
        <v>#N/A</v>
      </c>
      <c r="RI35" s="3453" t="e">
        <f t="shared" si="138"/>
        <v>#N/A</v>
      </c>
      <c r="RJ35" s="3453">
        <f>IFERROR((outputs_klasse_qty[[#This Row],[shot_veder_e2_faktor]]*outputs_klasse_qty[[#This Row],[shot_veder_e2_rate]]*$AI$46*$BD87)/1000,0)</f>
        <v>0</v>
      </c>
      <c r="RK35" s="5713" t="e">
        <f t="shared" si="139"/>
        <v>#N/A</v>
      </c>
      <c r="RL35" s="3453" t="e">
        <f t="shared" si="140"/>
        <v>#N/A</v>
      </c>
      <c r="RM35" s="3453">
        <f>IFERROR((outputs_klasse_qty[[#This Row],[shot_veder_f_faktor]]*outputs_klasse_qty[[#This Row],[shot_veder_f_rate]]*$AI$46*$BE87)/1000,0)</f>
        <v>0</v>
      </c>
      <c r="RN35" s="5713" t="e">
        <f t="shared" si="141"/>
        <v>#N/A</v>
      </c>
      <c r="RO35" s="3453" t="e">
        <f t="shared" si="142"/>
        <v>#N/A</v>
      </c>
      <c r="RP35" s="3453">
        <f>IFERROR((outputs_klasse_qty[[#This Row],[shot_veder_g_faktor]]*outputs_klasse_qty[[#This Row],[shot_veder_g_rate]]*$AI$46*$BF87)/1000,0)</f>
        <v>0</v>
      </c>
      <c r="RQ35"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5" s="5712">
        <v>1</v>
      </c>
      <c r="RS35" s="5713" t="e">
        <f t="shared" si="143"/>
        <v>#N/A</v>
      </c>
      <c r="RT35" s="3453" t="e">
        <f t="shared" si="144"/>
        <v>#N/A</v>
      </c>
      <c r="RU35" s="3453">
        <f>IFERROR((outputs_klasse_qty[[#This Row],[shot_vegg_a_faktor]]*outputs_klasse_qty[[#This Row],[shot_vegg_a_rate]]*$AI$42*2*$AY87)/1000,0)</f>
        <v>0</v>
      </c>
      <c r="RV35" s="5713" t="e">
        <f t="shared" si="145"/>
        <v>#N/A</v>
      </c>
      <c r="RW35" s="3453" t="e">
        <f t="shared" si="146"/>
        <v>#N/A</v>
      </c>
      <c r="RX35" s="3453">
        <f>IFERROR((outputs_klasse_qty[[#This Row],[shot_vegg_b_faktor]]*outputs_klasse_qty[[#This Row],[shot_vegg_b_rate]]*$AI$42*2*$AZ87)/1000,0)</f>
        <v>0</v>
      </c>
      <c r="RY35" s="5713" t="e">
        <f t="shared" si="147"/>
        <v>#N/A</v>
      </c>
      <c r="RZ35" s="3453" t="e">
        <f t="shared" si="148"/>
        <v>#N/A</v>
      </c>
      <c r="SA35" s="3453">
        <f>IFERROR((outputs_klasse_qty[[#This Row],[shot_vegg_c_faktor]]*outputs_klasse_qty[[#This Row],[shot_vegg_c_rate]]*$AI$42*2*$BA87)/1000,0)</f>
        <v>0</v>
      </c>
      <c r="SB35" s="5713" t="e">
        <f t="shared" si="149"/>
        <v>#N/A</v>
      </c>
      <c r="SC35" s="3453" t="e">
        <f t="shared" si="150"/>
        <v>#N/A</v>
      </c>
      <c r="SD35" s="3453">
        <f>IFERROR((outputs_klasse_qty[[#This Row],[shot_vegg_d_faktor]]*outputs_klasse_qty[[#This Row],[shot_vegg_d_rate]]*$AI$42*2*$BB87)/1000,0)</f>
        <v>0</v>
      </c>
      <c r="SE35" s="5713" t="e">
        <f t="shared" si="151"/>
        <v>#N/A</v>
      </c>
      <c r="SF35" s="3453" t="e">
        <f t="shared" si="152"/>
        <v>#N/A</v>
      </c>
      <c r="SG35" s="3453">
        <f>IFERROR((outputs_klasse_qty[[#This Row],[shot_vegg_e1_faktor]]*outputs_klasse_qty[[#This Row],[shot_vegg_e1_rate]]*$AI$42*2*$BC87)/1000,0)</f>
        <v>0</v>
      </c>
      <c r="SH35" s="5713" t="e">
        <f t="shared" si="153"/>
        <v>#N/A</v>
      </c>
      <c r="SI35" s="3453" t="e">
        <f t="shared" si="154"/>
        <v>#N/A</v>
      </c>
      <c r="SJ35" s="3453">
        <f>IFERROR((outputs_klasse_qty[[#This Row],[shot_vegg_e2_faktor]]*outputs_klasse_qty[[#This Row],[shot_vegg_e2_rate]]*$AI$42*2*$BD87)/1000,0)</f>
        <v>0</v>
      </c>
      <c r="SK35" s="5713" t="e">
        <f t="shared" si="155"/>
        <v>#N/A</v>
      </c>
      <c r="SL35" s="3453" t="e">
        <f t="shared" si="156"/>
        <v>#N/A</v>
      </c>
      <c r="SM35" s="3453">
        <f>IFERROR((outputs_klasse_qty[[#This Row],[shot_vegg_f_faktor]]*outputs_klasse_qty[[#This Row],[shot_vegg_f_rate]]*$AI$42*2*$BE87)/1000,0)</f>
        <v>0</v>
      </c>
      <c r="SN35" s="5713" t="e">
        <f t="shared" si="157"/>
        <v>#N/A</v>
      </c>
      <c r="SO35" s="3453" t="e">
        <f t="shared" si="158"/>
        <v>#N/A</v>
      </c>
      <c r="SP35" s="3453">
        <f>IFERROR((outputs_klasse_qty[[#This Row],[shot_vegg_g_faktor]]*outputs_klasse_qty[[#This Row],[shot_vegg_g_rate]]*$AI$42*2*$BF87)/1000,0)</f>
        <v>0</v>
      </c>
      <c r="SQ35"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5" s="5715">
        <f>outputs_klasse_qty[[#This Row],[shot_veder_sum]]+outputs_klasse_qty[[#This Row],[shot_vegg_sum]]</f>
        <v>0</v>
      </c>
      <c r="SS35" s="3453"/>
      <c r="ST35" s="3453"/>
      <c r="SU35" s="3453"/>
      <c r="SV35" s="3453"/>
      <c r="SW35" s="3453"/>
      <c r="SX35" s="3453"/>
      <c r="SY35" s="3453"/>
      <c r="SZ35" s="3453"/>
      <c r="TA35" s="3453"/>
      <c r="TB35" s="3453"/>
      <c r="TC35" s="3453"/>
      <c r="TD35" s="3453"/>
      <c r="TE35" s="3453"/>
      <c r="TF35" s="3453"/>
      <c r="TG35" s="3453"/>
      <c r="TH35" s="3453"/>
      <c r="TI35" s="3453"/>
      <c r="TJ35" s="3453"/>
      <c r="TK35" s="5721" cm="1">
        <f t="array" ref="TK35">IF($AK$221=klasse_buer[Method],_Calcs_Klasse!$TK$28,IF($AK$221="",_Calcs_Klasse!TK32,""))</f>
        <v>1</v>
      </c>
      <c r="TL35" s="3453" t="e">
        <f t="shared" si="159"/>
        <v>#N/A</v>
      </c>
      <c r="TM35" s="3453" t="e">
        <f t="shared" si="61"/>
        <v>#N/A</v>
      </c>
      <c r="TN35" s="3453">
        <f>IFERROR((IF(OR(outputs_klasse_qty[[#This Row],[bue_a_dim]]=_List!$DO$7,outputs_klasse_qty[[#This Row],[bue_a_dim]]=_List!$DO$8),($AY87*$AI$40)/outputs_klasse_qty[[#This Row],[bue_a_senteravstand]]*outputs_klasse_qty[[#This Row],[bue_a_andel]],0)),0)</f>
        <v>0</v>
      </c>
      <c r="TO35" s="5722" t="e">
        <f t="shared" si="160"/>
        <v>#N/A</v>
      </c>
      <c r="TP35" s="5702" t="e">
        <f t="shared" si="161"/>
        <v>#N/A</v>
      </c>
      <c r="TQ35" s="5723" t="e">
        <f t="shared" si="162"/>
        <v>#N/A</v>
      </c>
      <c r="TR35" s="3453" t="e">
        <f t="shared" si="163"/>
        <v>#N/A</v>
      </c>
      <c r="TS35" s="3453" t="e">
        <f t="shared" si="62"/>
        <v>#N/A</v>
      </c>
      <c r="TT35" s="3453">
        <f>IFERROR((IF(OR(outputs_klasse_qty[[#This Row],[bue_b_dim]]=_List!$DO$7,outputs_klasse_qty[[#This Row],[bue_b_dim]]=_List!$DO$8),($AZ87*$AI$40)/outputs_klasse_qty[[#This Row],[bue_b_senteravstand]]*outputs_klasse_qty[[#This Row],[bue_b_andel]],0)),0)</f>
        <v>0</v>
      </c>
      <c r="TU35" s="5722" t="e">
        <f t="shared" si="164"/>
        <v>#N/A</v>
      </c>
      <c r="TV35" s="5702" t="e">
        <f t="shared" si="165"/>
        <v>#N/A</v>
      </c>
      <c r="TW35" s="5723" t="e">
        <f t="shared" si="166"/>
        <v>#N/A</v>
      </c>
      <c r="TX35" s="3453" t="e">
        <f t="shared" si="167"/>
        <v>#N/A</v>
      </c>
      <c r="TY35" s="3453" t="e">
        <f t="shared" si="63"/>
        <v>#N/A</v>
      </c>
      <c r="TZ35" s="3453">
        <f>IFERROR((IF(OR(outputs_klasse_qty[[#This Row],[bue_c_dim]]=_List!$DO$7,outputs_klasse_qty[[#This Row],[bue_c_dim]]=_List!$DO$8),($BA87*$AI$40)/outputs_klasse_qty[[#This Row],[bue_c_senteravstand]]*outputs_klasse_qty[[#This Row],[bue_c_andel]],0)),0)</f>
        <v>0</v>
      </c>
      <c r="UA35" s="5722" t="e">
        <f t="shared" si="168"/>
        <v>#N/A</v>
      </c>
      <c r="UB35" s="5702" t="e">
        <f t="shared" si="169"/>
        <v>#N/A</v>
      </c>
      <c r="UC35" s="5723" t="e">
        <f t="shared" si="170"/>
        <v>#N/A</v>
      </c>
      <c r="UD35" s="3453" t="e">
        <f t="shared" si="171"/>
        <v>#N/A</v>
      </c>
      <c r="UE35" s="3453" t="e">
        <f t="shared" si="64"/>
        <v>#N/A</v>
      </c>
      <c r="UF35" s="3453">
        <f>IFERROR((IF(OR(outputs_klasse_qty[[#This Row],[bue_d_dim]]=_List!$DO$7,outputs_klasse_qty[[#This Row],[bue_d_dim]]=_List!$DO$8),($BB87*$AI$40)/outputs_klasse_qty[[#This Row],[bue_d_senteravstand]]*outputs_klasse_qty[[#This Row],[bue_d_andel]],0)),0)</f>
        <v>0</v>
      </c>
      <c r="UG35" s="5722" t="e">
        <f t="shared" si="172"/>
        <v>#N/A</v>
      </c>
      <c r="UH35" s="5702" t="e">
        <f t="shared" si="173"/>
        <v>#N/A</v>
      </c>
      <c r="UI35" s="5723" t="e">
        <f t="shared" si="174"/>
        <v>#N/A</v>
      </c>
      <c r="UJ35" s="3453" t="e">
        <f t="shared" si="175"/>
        <v>#N/A</v>
      </c>
      <c r="UK35" s="3453" t="e">
        <f t="shared" si="65"/>
        <v>#N/A</v>
      </c>
      <c r="UL35" s="3453">
        <f>IFERROR((IF(OR(outputs_klasse_qty[[#This Row],[bue_e1_dim]]=_List!$DO$7,outputs_klasse_qty[[#This Row],[bue_e1_dim]]=_List!$DO$8),($BC87*$AI$40)/outputs_klasse_qty[[#This Row],[bue_e1_senteravstand]]*outputs_klasse_qty[[#This Row],[bue_e1_andel]],0)),0)</f>
        <v>0</v>
      </c>
      <c r="UM35" s="5722" t="e">
        <f t="shared" si="176"/>
        <v>#N/A</v>
      </c>
      <c r="UN35" s="5702" t="e">
        <f t="shared" si="177"/>
        <v>#N/A</v>
      </c>
      <c r="UO35" s="5723" t="e">
        <f t="shared" si="178"/>
        <v>#N/A</v>
      </c>
      <c r="UP35" s="3453" t="e">
        <f t="shared" si="179"/>
        <v>#N/A</v>
      </c>
      <c r="UQ35" s="3453" t="e">
        <f t="shared" si="66"/>
        <v>#N/A</v>
      </c>
      <c r="UR35" s="3453">
        <f>IFERROR((IF(OR(outputs_klasse_qty[[#This Row],[bue_e2_dim]]=_List!$DO$7,outputs_klasse_qty[[#This Row],[bue_e2_dim]]=_List!$DO$8),($BD87*$AI$40)/outputs_klasse_qty[[#This Row],[bue_e2_senteravstand]]*outputs_klasse_qty[[#This Row],[bue_e2_andel]],0)),0)</f>
        <v>0</v>
      </c>
      <c r="US35" s="5722" t="e">
        <f t="shared" si="180"/>
        <v>#N/A</v>
      </c>
      <c r="UT35" s="5702" t="e">
        <f t="shared" si="181"/>
        <v>#N/A</v>
      </c>
      <c r="UU35" s="5723" t="e">
        <f t="shared" si="182"/>
        <v>#N/A</v>
      </c>
      <c r="UV35" s="3453" t="e">
        <f t="shared" si="183"/>
        <v>#N/A</v>
      </c>
      <c r="UW35" s="3453" t="e">
        <f t="shared" si="67"/>
        <v>#N/A</v>
      </c>
      <c r="UX35" s="3453">
        <f>IFERROR((IF(OR(outputs_klasse_qty[[#This Row],[bue_f_dim]]=_List!$DO$7,outputs_klasse_qty[[#This Row],[bue_f_dim]]=_List!$DO$8),($BE87*$AI$40)/outputs_klasse_qty[[#This Row],[bue_f_senteravstand]]*outputs_klasse_qty[[#This Row],[bue_f_andel]],0)),0)</f>
        <v>0</v>
      </c>
      <c r="UY35" s="5722" t="e">
        <f t="shared" si="184"/>
        <v>#N/A</v>
      </c>
      <c r="UZ35" s="5702" t="e">
        <f t="shared" si="185"/>
        <v>#N/A</v>
      </c>
      <c r="VA35" s="5723" t="e">
        <f t="shared" si="186"/>
        <v>#N/A</v>
      </c>
      <c r="VB35" s="3453" t="e">
        <f t="shared" si="187"/>
        <v>#N/A</v>
      </c>
      <c r="VC35" s="3453" t="e">
        <f t="shared" si="68"/>
        <v>#N/A</v>
      </c>
      <c r="VD35" s="3453">
        <f>IFERROR((IF(OR(outputs_klasse_qty[[#This Row],[bue_g_dim]]=_List!$DO$7,outputs_klasse_qty[[#This Row],[bue_g_dim]]=_List!$DO$8),($BF87*$AI$40)/outputs_klasse_qty[[#This Row],[bue_g_senteravstand]]*outputs_klasse_qty[[#This Row],[bue_g_andel]],0)),0)</f>
        <v>0</v>
      </c>
      <c r="VE35" s="5722" t="e">
        <f t="shared" si="188"/>
        <v>#N/A</v>
      </c>
      <c r="VF35" s="5702" t="e">
        <f t="shared" si="189"/>
        <v>#N/A</v>
      </c>
      <c r="VG35" s="5723" t="e">
        <f t="shared" si="190"/>
        <v>#N/A</v>
      </c>
      <c r="VH35"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5"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5" s="5719" t="str">
        <f>IFERROR(outputs_klasse_qty[[#This Row],[bue_e30_sum]]+outputs_klasse_qty[[#This Row],[bue_d60_sum]],"")</f>
        <v/>
      </c>
      <c r="VK35" s="3453">
        <f t="shared" si="191"/>
        <v>0</v>
      </c>
      <c r="VL35" s="3453">
        <f>outputs_klasse_qty[[#This Row],[bue_a_output]]*outputs_klasse_qty[[#This Row],[sprøytebetong_ved_bue_rate_a]]</f>
        <v>0</v>
      </c>
      <c r="VM35" s="3453">
        <f t="shared" si="192"/>
        <v>0</v>
      </c>
      <c r="VN35" s="3453">
        <f>outputs_klasse_qty[[#This Row],[bue_b_output]]*outputs_klasse_qty[[#This Row],[sprøytebetong_ved_bue_rate_b]]</f>
        <v>0</v>
      </c>
      <c r="VO35" s="3453">
        <f t="shared" si="193"/>
        <v>0</v>
      </c>
      <c r="VP35" s="3453">
        <f>outputs_klasse_qty[[#This Row],[bue_c_output]]*outputs_klasse_qty[[#This Row],[sprøytebetong_ved_bue_rate_c]]</f>
        <v>0</v>
      </c>
      <c r="VQ35" s="3453">
        <f t="shared" si="194"/>
        <v>0</v>
      </c>
      <c r="VR35" s="3453">
        <f>outputs_klasse_qty[[#This Row],[bue_d_output]]*outputs_klasse_qty[[#This Row],[sprøytebetong_ved_bue_rate_d]]</f>
        <v>0</v>
      </c>
      <c r="VS35" s="3453">
        <f t="shared" si="195"/>
        <v>0</v>
      </c>
      <c r="VT35" s="3453">
        <f>outputs_klasse_qty[[#This Row],[bue_e1_output]]*outputs_klasse_qty[[#This Row],[sprøytebetong_ved_bue_rate_e1]]</f>
        <v>0</v>
      </c>
      <c r="VU35" s="3453">
        <f t="shared" si="196"/>
        <v>0</v>
      </c>
      <c r="VV35" s="3453">
        <f>outputs_klasse_qty[[#This Row],[bue_e2_output]]*outputs_klasse_qty[[#This Row],[sprøytebetong_ved_bue_rate_e2]]</f>
        <v>0</v>
      </c>
      <c r="VW35" s="3453">
        <f t="shared" si="197"/>
        <v>0</v>
      </c>
      <c r="VX35" s="3453">
        <f>outputs_klasse_qty[[#This Row],[bue_f_output]]*outputs_klasse_qty[[#This Row],[sprøytebetong_ved_bue_rate_f]]</f>
        <v>0</v>
      </c>
      <c r="VY35" s="3453">
        <f t="shared" si="198"/>
        <v>0</v>
      </c>
      <c r="VZ35" s="3453">
        <f>outputs_klasse_qty[[#This Row],[bue_g_output]]*outputs_klasse_qty[[#This Row],[sprøytebetong_ved_bue_rate_g]]</f>
        <v>0</v>
      </c>
      <c r="WA35"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5" s="3453" t="e">
        <f t="shared" si="199"/>
        <v>#N/A</v>
      </c>
      <c r="WC35" s="3453">
        <f>IFERROR((IF(OR(outputs_klasse_qty[[#This Row],[bue_a_dim]]=_List!$DO$7,outputs_klasse_qty[[#This Row],[bue_a_dim]]=_List!$DO$8),_Calcs_Klasse!AY87/$AJQ$42*outputs_klasse_qty[[#This Row],[forankring_bolter_rate_a]],0)),0)</f>
        <v>0</v>
      </c>
      <c r="WD35" s="3453" t="e">
        <f t="shared" si="200"/>
        <v>#N/A</v>
      </c>
      <c r="WE35" s="3453">
        <f>IFERROR((IF(OR(outputs_klasse_qty[[#This Row],[bue_b_dim]]=_List!$DO$7,outputs_klasse_qty[[#This Row],[bue_b_dim]]=_List!$DO$8),_Calcs_Klasse!AZ87/$AJQ$43*outputs_klasse_qty[[#This Row],[forankring_bolter_rate_b]],0)),0)</f>
        <v>0</v>
      </c>
      <c r="WF35" s="3453" t="e">
        <f t="shared" si="201"/>
        <v>#N/A</v>
      </c>
      <c r="WG35" s="3453">
        <f>IFERROR((IF(OR(outputs_klasse_qty[[#This Row],[bue_c_dim]]=_List!$DO$7,outputs_klasse_qty[[#This Row],[bue_c_dim]]=_List!$DO$8),_Calcs_Klasse!BA87/$AJQ$44*outputs_klasse_qty[[#This Row],[forankring_bolter_rate_c]],0)),0)</f>
        <v>0</v>
      </c>
      <c r="WH35" s="3453" t="e">
        <f t="shared" si="202"/>
        <v>#N/A</v>
      </c>
      <c r="WI35" s="3453">
        <f>IFERROR((IF(OR(outputs_klasse_qty[[#This Row],[bue_d_dim]]=_List!$DO$7,outputs_klasse_qty[[#This Row],[bue_d_dim]]=_List!$DO$8),_Calcs_Klasse!BB87/$AJQ$45*outputs_klasse_qty[[#This Row],[forankring_bolter_rate_d]],0)),0)</f>
        <v>0</v>
      </c>
      <c r="WJ35" s="3453" t="e">
        <f t="shared" si="203"/>
        <v>#N/A</v>
      </c>
      <c r="WK35" s="3453">
        <f>IFERROR((IF(OR(outputs_klasse_qty[[#This Row],[bue_e1_dim]]=_List!$DO$7,outputs_klasse_qty[[#This Row],[bue_e1_dim]]=_List!$DO$8),_Calcs_Klasse!BC87/$AJQ$46*outputs_klasse_qty[[#This Row],[forankring_bolter_rate_e1]],0)),0)</f>
        <v>0</v>
      </c>
      <c r="WL35" s="3453" t="e">
        <f t="shared" si="204"/>
        <v>#N/A</v>
      </c>
      <c r="WM35" s="3453">
        <f>IFERROR((IF(OR(outputs_klasse_qty[[#This Row],[bue_e2_dim]]=_List!$DO$7,outputs_klasse_qty[[#This Row],[bue_e2_dim]]=_List!$DO$8),_Calcs_Klasse!BD87/$AJQ$47*outputs_klasse_qty[[#This Row],[forankring_bolter_rate_e2]],0)),0)</f>
        <v>0</v>
      </c>
      <c r="WN35" s="3453" t="e">
        <f t="shared" si="205"/>
        <v>#N/A</v>
      </c>
      <c r="WO35" s="3453">
        <f>IFERROR((IF(OR(outputs_klasse_qty[[#This Row],[bue_f_dim]]=_List!$DO$7,outputs_klasse_qty[[#This Row],[bue_f_dim]]=_List!$DO$8),_Calcs_Klasse!BE87/$AJQ$48*outputs_klasse_qty[[#This Row],[forankring_bolter_rate_f]],0)),0)</f>
        <v>0</v>
      </c>
      <c r="WP35" s="3453" t="e">
        <f t="shared" si="206"/>
        <v>#N/A</v>
      </c>
      <c r="WQ35" s="3453">
        <f>IFERROR((IF(OR(outputs_klasse_qty[[#This Row],[bue_g_dim]]=_List!$DO$7,outputs_klasse_qty[[#This Row],[bue_g_dim]]=_List!$DO$8),_Calcs_Klasse!BF87/$AJQ$49*outputs_klasse_qty[[#This Row],[forankring_bolter_rate_g]],0)),0)</f>
        <v>0</v>
      </c>
      <c r="WR35" s="3453">
        <f>IFERROR(outputs_klasse_qty[[#This Row],[forankring_bolter_output_a]]*$AMD$42,0)</f>
        <v>0</v>
      </c>
      <c r="WS35" s="3453">
        <f>IFERROR(outputs_klasse_qty[[#This Row],[forankring_bolter_output_a]]*$AMM$42,0)</f>
        <v>0</v>
      </c>
      <c r="WT35" s="3453">
        <f>IFERROR(outputs_klasse_qty[[#This Row],[forankring_bolter_output_b]]*$AMD$43,0)</f>
        <v>0</v>
      </c>
      <c r="WU35" s="3453">
        <f>IFERROR(outputs_klasse_qty[[#This Row],[forankring_bolter_output_b]]*$AMM$43,0)</f>
        <v>0</v>
      </c>
      <c r="WV35" s="3453">
        <f>IFERROR(outputs_klasse_qty[[#This Row],[forankring_bolter_output_c]]*$AMD$44,0)</f>
        <v>0</v>
      </c>
      <c r="WW35" s="3453">
        <f>IFERROR(outputs_klasse_qty[[#This Row],[forankring_bolter_output_c]]*$AMM$44,0)</f>
        <v>0</v>
      </c>
      <c r="WX35" s="3453">
        <f>IFERROR(outputs_klasse_qty[[#This Row],[forankring_bolter_output_d]]*$AMD$45,0)</f>
        <v>0</v>
      </c>
      <c r="WY35" s="3453">
        <f>IFERROR(outputs_klasse_qty[[#This Row],[forankring_bolter_output_d]]*$AMM$45,0)</f>
        <v>0</v>
      </c>
      <c r="WZ35" s="3453">
        <f>IFERROR(outputs_klasse_qty[[#This Row],[forankring_bolter_output_e1]]*$AMD$46,0)</f>
        <v>0</v>
      </c>
      <c r="XA35" s="3453">
        <f>IFERROR(outputs_klasse_qty[[#This Row],[forankring_bolter_output_e1]]*$AMM$46,0)</f>
        <v>0</v>
      </c>
      <c r="XB35" s="3453">
        <f>IFERROR(outputs_klasse_qty[[#This Row],[forankring_bolter_output_e2]]*$AMD$47,0)</f>
        <v>0</v>
      </c>
      <c r="XC35" s="3453">
        <f>IFERROR(outputs_klasse_qty[[#This Row],[forankring_bolter_output_e2]]*$AMM$47,0)</f>
        <v>0</v>
      </c>
      <c r="XD35" s="3453">
        <f>IFERROR(outputs_klasse_qty[[#This Row],[forankring_bolter_output_f]]*$AMD$48,0)</f>
        <v>0</v>
      </c>
      <c r="XE35" s="3453">
        <f>IFERROR(outputs_klasse_qty[[#This Row],[forankring_bolter_output_f]]*$AMM$48,0)</f>
        <v>0</v>
      </c>
      <c r="XF35" s="3453">
        <f>IFERROR(outputs_klasse_qty[[#This Row],[forankring_bolter_output_g]]*$AMD$49,0)</f>
        <v>0</v>
      </c>
      <c r="XG35" s="3453">
        <f>IFERROR(outputs_klasse_qty[[#This Row],[forankring_bolter_output_g]]*$AMM$49,0)</f>
        <v>0</v>
      </c>
      <c r="XH35"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5"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5" s="3453" t="e">
        <f t="shared" si="69"/>
        <v>#N/A</v>
      </c>
      <c r="XK35" s="5819" t="e">
        <f>outputs_klasse_qty[[#This Row],[bue_a_output]]/outputs_klasse_qty[[#This Row],[bue_radielle_bolter_rate_a]]</f>
        <v>#N/A</v>
      </c>
      <c r="XL35" s="5819" t="e">
        <f t="shared" si="70"/>
        <v>#N/A</v>
      </c>
      <c r="XM35" s="5819" t="e">
        <f>outputs_klasse_qty[[#This Row],[bue_b_output]]/outputs_klasse_qty[[#This Row],[bue_radielle_bolter_rate_b]]</f>
        <v>#N/A</v>
      </c>
      <c r="XN35" s="5819" t="e">
        <f t="shared" si="71"/>
        <v>#N/A</v>
      </c>
      <c r="XO35" s="5819" t="e">
        <f>outputs_klasse_qty[[#This Row],[bue_c_output]]/outputs_klasse_qty[[#This Row],[bue_radielle_bolter_rate_c]]</f>
        <v>#N/A</v>
      </c>
      <c r="XP35" s="5819" t="e">
        <f t="shared" si="72"/>
        <v>#N/A</v>
      </c>
      <c r="XQ35" s="5819" t="e">
        <f>outputs_klasse_qty[[#This Row],[bue_d_output]]/outputs_klasse_qty[[#This Row],[bue_radielle_bolter_rate_d]]</f>
        <v>#N/A</v>
      </c>
      <c r="XR35" s="5819" t="e">
        <f t="shared" si="73"/>
        <v>#N/A</v>
      </c>
      <c r="XS35" s="5819" t="e">
        <f>outputs_klasse_qty[[#This Row],[bue_e1_output]]/outputs_klasse_qty[[#This Row],[bue_radielle_bolter_rate_e1]]</f>
        <v>#N/A</v>
      </c>
      <c r="XT35" s="5819" t="e">
        <f t="shared" si="74"/>
        <v>#N/A</v>
      </c>
      <c r="XU35" s="5819" t="e">
        <f>outputs_klasse_qty[[#This Row],[bue_e2_output]]/outputs_klasse_qty[[#This Row],[bue_radielle_bolter_rate_e2]]</f>
        <v>#N/A</v>
      </c>
      <c r="XV35" s="5819" t="e">
        <f t="shared" si="75"/>
        <v>#N/A</v>
      </c>
      <c r="XW35" s="5819" t="e">
        <f>outputs_klasse_qty[[#This Row],[bue_f_output]]/outputs_klasse_qty[[#This Row],[bue_radielle_bolter_rate_f]]</f>
        <v>#N/A</v>
      </c>
      <c r="XX35" s="5819" t="e">
        <f t="shared" si="76"/>
        <v>#N/A</v>
      </c>
      <c r="XY35" s="5819" t="e">
        <f>outputs_klasse_qty[[#This Row],[bue_g_output]]/outputs_klasse_qty[[#This Row],[bue_radielle_bolter_rate_g]]</f>
        <v>#N/A</v>
      </c>
      <c r="XZ35" s="5819">
        <f>IFERROR(outputs_klasse_qty[[#This Row],[bue_radielle_bolter_output_a]]*$AKS$42,0)</f>
        <v>0</v>
      </c>
      <c r="YA35" s="5819">
        <f>IFERROR(outputs_klasse_qty[[#This Row],[bue_radielle_bolter_output_a]]*$ALB$42,0)</f>
        <v>0</v>
      </c>
      <c r="YB35" s="5819">
        <f>IFERROR(outputs_klasse_qty[[#This Row],[bue_radielle_bolter_output_b]]*$AKS$43,0)</f>
        <v>0</v>
      </c>
      <c r="YC35" s="5819">
        <f>IFERROR(outputs_klasse_qty[[#This Row],[bue_radielle_bolter_output_b]]*$ALB$43,0)</f>
        <v>0</v>
      </c>
      <c r="YD35" s="5819">
        <f>IFERROR(outputs_klasse_qty[[#This Row],[bue_radielle_bolter_output_c]]*$AKS$44,0)</f>
        <v>0</v>
      </c>
      <c r="YE35" s="5819">
        <f>IFERROR(outputs_klasse_qty[[#This Row],[bue_radielle_bolter_output_c]]*$ALB$44,0)</f>
        <v>0</v>
      </c>
      <c r="YF35" s="5819">
        <f>IFERROR(outputs_klasse_qty[[#This Row],[bue_radielle_bolter_output_d]]*$AKS$45,0)</f>
        <v>0</v>
      </c>
      <c r="YG35" s="5819">
        <f>IFERROR(outputs_klasse_qty[[#This Row],[bue_radielle_bolter_output_d]]*$ALB$45,0)</f>
        <v>0</v>
      </c>
      <c r="YH35" s="5819">
        <f>IFERROR(outputs_klasse_qty[[#This Row],[bue_radielle_bolter_output_e1]]*$AKS$46,0)</f>
        <v>0</v>
      </c>
      <c r="YI35" s="5819">
        <f>IFERROR(outputs_klasse_qty[[#This Row],[bue_radielle_bolter_output_e1]]*$ALB$46,0)</f>
        <v>0</v>
      </c>
      <c r="YJ35" s="5819">
        <f>IFERROR(outputs_klasse_qty[[#This Row],[bue_radielle_bolter_output_e2]]*$AKS$47,0)</f>
        <v>0</v>
      </c>
      <c r="YK35" s="5819">
        <f>IFERROR(outputs_klasse_qty[[#This Row],[bue_radielle_bolter_output_e2]]*$ALB$47,0)</f>
        <v>0</v>
      </c>
      <c r="YL35" s="5819">
        <f>IFERROR(outputs_klasse_qty[[#This Row],[bue_radielle_bolter_output_f]]*$AKS$48,0)</f>
        <v>0</v>
      </c>
      <c r="YM35" s="5819">
        <f>IFERROR(outputs_klasse_qty[[#This Row],[bue_radielle_bolter_output_f]]*$ALB$48,0)</f>
        <v>0</v>
      </c>
      <c r="YN35" s="5819">
        <f>IFERROR(outputs_klasse_qty[[#This Row],[bue_radielle_bolter_output_g]]*$AKS$49,0)</f>
        <v>0</v>
      </c>
      <c r="YO35" s="5819">
        <f>IFERROR(outputs_klasse_qty[[#This Row],[bue_radielle_bolter_output_g]]*$ALB$49,0)</f>
        <v>0</v>
      </c>
      <c r="YP35"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5"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5" s="5819"/>
      <c r="YS35" s="5819"/>
      <c r="YT35" s="5819"/>
      <c r="YU35" s="5819"/>
      <c r="YV35" s="5819"/>
      <c r="YW35" s="5819"/>
      <c r="YX35" s="5819"/>
      <c r="YY35" s="5819"/>
      <c r="YZ35" s="5819"/>
      <c r="ZA35" s="5819"/>
      <c r="ZB35" s="5819"/>
      <c r="ZC35" s="5819"/>
      <c r="ZD35" s="5819"/>
      <c r="ZE35" s="5819"/>
      <c r="ZF35" s="5819"/>
      <c r="ZG35" s="5819"/>
      <c r="ZH35" s="5819"/>
      <c r="ZI35" s="3453"/>
      <c r="ZJ35" s="3453"/>
      <c r="ZK35" s="3453"/>
      <c r="ZL35" s="3453"/>
      <c r="ZM35" s="3453"/>
      <c r="ZN35" s="837"/>
      <c r="ZO35" s="837"/>
      <c r="ZP35" s="837"/>
      <c r="ZQ35" s="837"/>
      <c r="ZR35" s="837"/>
      <c r="ZS35" s="837"/>
      <c r="ZT35" s="837"/>
      <c r="ZU35" s="837"/>
      <c r="ZV35" s="837"/>
      <c r="ZW35" s="837"/>
      <c r="ZX35" s="837"/>
      <c r="ZY35" s="837"/>
      <c r="ZZ35" s="837"/>
      <c r="AAA35" s="837"/>
      <c r="AAB35" s="2622"/>
      <c r="AAC35" s="2622"/>
      <c r="AAD35" s="2622"/>
      <c r="AAE35" s="2622"/>
      <c r="AAF35" s="2622"/>
      <c r="AAG35" s="2622"/>
      <c r="AAH35" s="2622"/>
      <c r="AAI35" s="2622"/>
      <c r="AAJ35" s="2622"/>
      <c r="AAK35" s="2622"/>
      <c r="AAL35" s="2622"/>
      <c r="AAM35" s="2622"/>
      <c r="AAN35" s="2622"/>
      <c r="AAO35" s="2622"/>
      <c r="AAP35" s="2622"/>
      <c r="AAQ35" s="2622"/>
      <c r="AAR35" s="2622"/>
      <c r="AAS35" s="2622"/>
      <c r="AAT35" s="2622"/>
      <c r="AAU35" s="2622"/>
      <c r="AAV35" s="2622"/>
      <c r="AAW35" s="2622"/>
      <c r="AAX35" s="2622"/>
      <c r="AAY35" s="2622"/>
      <c r="AAZ35" s="2622"/>
      <c r="ABA35" s="3767" t="s">
        <v>1262</v>
      </c>
      <c r="ABB35" s="3768"/>
      <c r="ABC35" s="3768"/>
      <c r="ABD35" s="3768"/>
      <c r="ABE35" s="3768"/>
      <c r="ABF35" s="3768"/>
      <c r="ABG35" s="3768"/>
      <c r="ABH35" s="3768"/>
      <c r="ABI35" s="5806"/>
      <c r="ABJ35" s="2622"/>
      <c r="ABK35" s="3767" t="str">
        <f>_Calcs!$M$54</f>
        <v>Manuell driftsrensk</v>
      </c>
      <c r="ABL35" s="3768"/>
      <c r="ABM35" s="3768"/>
      <c r="ABN35" s="3768"/>
      <c r="ABO35" s="3768"/>
      <c r="ABP35" s="3768"/>
      <c r="ABQ35" s="3768"/>
      <c r="ABR35" s="3768"/>
      <c r="ABS35" s="3769"/>
      <c r="ABT35" s="2622"/>
      <c r="ABU35" s="3767" t="str">
        <f>_Calcs!$M$55</f>
        <v>Registrering og kartlegging</v>
      </c>
      <c r="ABV35" s="3768"/>
      <c r="ABW35" s="3768"/>
      <c r="ABX35" s="3768"/>
      <c r="ABY35" s="3768"/>
      <c r="ABZ35" s="3768"/>
      <c r="ACA35" s="3768"/>
      <c r="ACB35" s="3768"/>
      <c r="ACC35" s="3769"/>
      <c r="ACD35" s="2737"/>
      <c r="ACE35" s="3630" t="s">
        <v>1180</v>
      </c>
      <c r="ACF35" s="3631"/>
      <c r="ACG35" s="3631"/>
      <c r="ACH35" s="3631"/>
      <c r="ACI35" s="3631"/>
      <c r="ACJ35" s="3631"/>
      <c r="ACK35" s="3631"/>
      <c r="ACL35" s="3631"/>
      <c r="ACM35" s="3631"/>
      <c r="ACN35" s="3590"/>
      <c r="ACO35" s="3590"/>
      <c r="ACP35" s="3590"/>
      <c r="ACQ35" s="3590"/>
      <c r="ACR35" s="3590"/>
      <c r="ACS35" s="3590"/>
      <c r="ACT35" s="3590"/>
      <c r="ACU35" s="3590"/>
      <c r="ACV35" s="3590"/>
      <c r="ACW35" s="3590"/>
      <c r="ACX35" s="3590"/>
      <c r="ACY35" s="3590"/>
      <c r="ACZ35" s="3590"/>
      <c r="ADA35" s="3590"/>
      <c r="ADB35" s="3590"/>
      <c r="ADC35" s="3590"/>
      <c r="ADD35" s="3590"/>
      <c r="ADE35" s="3362"/>
      <c r="ADF35" s="2737"/>
      <c r="ADG35" s="3630" t="s">
        <v>1550</v>
      </c>
      <c r="ADH35" s="3631"/>
      <c r="ADI35" s="3631"/>
      <c r="ADJ35" s="3631"/>
      <c r="ADK35" s="3631"/>
      <c r="ADL35" s="3631"/>
      <c r="ADM35" s="3631"/>
      <c r="ADN35" s="3631"/>
      <c r="ADO35" s="3631"/>
      <c r="ADP35" s="3590"/>
      <c r="ADQ35" s="3631"/>
      <c r="ADR35" s="3590"/>
      <c r="ADS35" s="3590"/>
      <c r="ADT35" s="3590"/>
      <c r="ADU35" s="3590"/>
      <c r="ADV35" s="3590"/>
      <c r="ADW35" s="3590"/>
      <c r="ADX35" s="3590"/>
      <c r="ADY35" s="3590"/>
      <c r="ADZ35" s="3590"/>
      <c r="AEA35" s="3590"/>
      <c r="AEB35" s="3590"/>
      <c r="AEC35" s="3590"/>
      <c r="AED35" s="3590"/>
      <c r="AEE35" s="3590"/>
      <c r="AEF35" s="3590"/>
      <c r="AEG35" s="3362"/>
      <c r="AEH35" s="2737"/>
      <c r="AEI35" s="2737"/>
      <c r="AEJ35" s="2737"/>
      <c r="AEK35" s="2737"/>
      <c r="AEL35" s="2737"/>
      <c r="AEM35" s="2737"/>
      <c r="AEN35" s="2737"/>
      <c r="AEO35" s="2737"/>
      <c r="AEP35" s="2737"/>
      <c r="AEQ35" s="2737"/>
      <c r="AER35" s="2737"/>
      <c r="AES35" s="5803" t="str">
        <f>_Calcs!$M$59</f>
        <v>Bergbånd langs forbolting</v>
      </c>
      <c r="AET35" s="5804"/>
      <c r="AEU35" s="5804"/>
      <c r="AEV35" s="5804"/>
      <c r="AEW35" s="5804"/>
      <c r="AEX35" s="5804"/>
      <c r="AEY35" s="5804"/>
      <c r="AEZ35" s="5805"/>
      <c r="AFB35" s="7248" t="str">
        <f>_Calcs!$M$60</f>
        <v>Tilleggs-bergbånd</v>
      </c>
      <c r="AFC35" s="7249"/>
      <c r="AFD35" s="7249"/>
      <c r="AFE35" s="7249"/>
      <c r="AFF35" s="7249"/>
      <c r="AFG35" s="7249"/>
      <c r="AFH35" s="7250"/>
      <c r="AFJ35" s="7248" t="str">
        <f>_Calcs!$M$61</f>
        <v>Festebolter for bergbånd og nett</v>
      </c>
      <c r="AFK35" s="7249"/>
      <c r="AFL35" s="7249"/>
      <c r="AFM35" s="7249"/>
      <c r="AFN35" s="7249"/>
      <c r="AFO35" s="7249"/>
      <c r="AFP35" s="7249"/>
      <c r="AFQ35" s="5151"/>
      <c r="AFR35" s="5143"/>
      <c r="AFS35" s="5143"/>
      <c r="AFT35" s="5143"/>
      <c r="AFU35" s="5143"/>
      <c r="AFV35" s="5143"/>
      <c r="AFW35" s="5143"/>
      <c r="AFX35" s="5143"/>
      <c r="AFY35" s="5143"/>
      <c r="AFZ35" s="5143"/>
      <c r="AGA35" s="5143"/>
      <c r="AGB35" s="5143"/>
      <c r="AGC35" s="5143"/>
      <c r="AGD35" s="5143"/>
      <c r="AGE35" s="5143"/>
      <c r="AGF35" s="5143"/>
      <c r="AGG35" s="5143"/>
      <c r="AGH35" s="5143"/>
      <c r="AGI35" s="5144"/>
      <c r="AGJ35" s="5142"/>
      <c r="AGK35" s="5142"/>
      <c r="AGL35" s="5142"/>
      <c r="AGM35" s="5142"/>
      <c r="AGN35" s="2622"/>
      <c r="AGO35" s="7236" t="str">
        <f>_Calcs!$L$62</f>
        <v>Nett</v>
      </c>
      <c r="AGP35" s="7237"/>
      <c r="AGQ35" s="7237"/>
      <c r="AGR35" s="7237"/>
      <c r="AGS35" s="7237"/>
      <c r="AGT35" s="7237"/>
      <c r="AGU35" s="7238"/>
      <c r="AGV35" s="5561"/>
      <c r="AGW35" s="7245" t="str">
        <f>_Calcs!$L$64</f>
        <v>Festebolter for nett</v>
      </c>
      <c r="AGX35" s="7246"/>
      <c r="AGY35" s="7246"/>
      <c r="AGZ35" s="7246"/>
      <c r="AHA35" s="7246"/>
      <c r="AHB35" s="7246"/>
      <c r="AHC35" s="7247"/>
      <c r="AHD35" s="5561"/>
      <c r="AHF35" s="7236" t="str">
        <f>_Calcs!$L$63</f>
        <v>Sprøytebetong ved nett</v>
      </c>
      <c r="AHG35" s="7237"/>
      <c r="AHH35" s="7237"/>
      <c r="AHI35" s="7237"/>
      <c r="AHJ35" s="7237"/>
      <c r="AHK35" s="7237"/>
      <c r="AHL35" s="7238"/>
      <c r="AHP35" s="5627"/>
      <c r="AHQ35" s="5628" t="s">
        <v>1552</v>
      </c>
      <c r="AHR35" s="5628"/>
      <c r="AHS35" s="5628"/>
      <c r="AHT35" s="5628"/>
      <c r="AHU35" s="5628"/>
      <c r="AHV35" s="5628"/>
      <c r="AHW35" s="5628"/>
      <c r="AHX35" s="5629"/>
      <c r="AHY35" s="2622"/>
      <c r="AHZ35" s="5627"/>
      <c r="AIA35" s="5628" t="s">
        <v>1551</v>
      </c>
      <c r="AIB35" s="5628"/>
      <c r="AIC35" s="5628"/>
      <c r="AID35" s="5628"/>
      <c r="AIE35" s="5628"/>
      <c r="AIF35" s="5628"/>
      <c r="AIG35" s="5628"/>
      <c r="AIH35" s="5630"/>
      <c r="AII35" s="207"/>
      <c r="AIJ35" s="5631"/>
      <c r="AIK35" s="5632"/>
      <c r="AIL35" s="5632"/>
      <c r="AIM35" s="5632"/>
      <c r="AIN35" s="5632"/>
      <c r="AIO35" s="5632"/>
      <c r="AIP35" s="5632"/>
      <c r="AIQ35" s="5632"/>
      <c r="AIR35" s="5633"/>
      <c r="AIS35" s="2622"/>
      <c r="AIT35" s="7251" t="s">
        <v>1349</v>
      </c>
      <c r="AIU35" s="7252"/>
      <c r="AIV35" s="7252"/>
      <c r="AIW35" s="7252"/>
      <c r="AIX35" s="7252"/>
      <c r="AIY35" s="7252"/>
      <c r="AIZ35" s="7252"/>
      <c r="AJA35" s="7252"/>
      <c r="AJB35" s="7252"/>
      <c r="AJC35" s="7252"/>
      <c r="AJD35" s="7252"/>
      <c r="AJE35" s="7252"/>
      <c r="AJF35" s="7252"/>
      <c r="AJG35" s="7252"/>
      <c r="AJH35" s="7252"/>
      <c r="AJI35" s="7252"/>
      <c r="AJJ35" s="7252"/>
      <c r="AJK35" s="7252"/>
      <c r="AJL35" s="7252"/>
      <c r="AJM35" s="7252"/>
      <c r="AJN35" s="7252"/>
      <c r="AJO35" s="7252"/>
      <c r="AJP35" s="7252"/>
      <c r="AJQ35" s="7252"/>
      <c r="AJR35" s="3678"/>
      <c r="AJS35" s="3678"/>
      <c r="AJT35" s="3678"/>
      <c r="AJU35" s="3678"/>
      <c r="AJV35" s="3678"/>
      <c r="AJW35" s="3678"/>
      <c r="AJX35" s="3678"/>
      <c r="AJY35" s="3678"/>
      <c r="AJZ35" s="3641"/>
      <c r="AKA35" s="3675"/>
      <c r="AKB35" s="3675"/>
      <c r="AKC35" s="3582"/>
      <c r="AKD35" s="3640"/>
      <c r="AKE35" s="3638" t="s">
        <v>1534</v>
      </c>
      <c r="AKF35" s="3638"/>
      <c r="AKG35" s="3638"/>
      <c r="AKH35" s="3638"/>
      <c r="AKI35" s="3638"/>
      <c r="AKJ35" s="3638"/>
      <c r="AKK35" s="3638"/>
      <c r="AKL35" s="3638"/>
      <c r="AKM35" s="3638"/>
      <c r="AKN35" s="3638"/>
      <c r="AKO35" s="3638"/>
      <c r="AKP35" s="3638"/>
      <c r="AKQ35" s="3638"/>
      <c r="AKR35" s="3638"/>
      <c r="AKS35" s="3638"/>
      <c r="AKT35" s="3638"/>
      <c r="AKU35" s="3638"/>
      <c r="AKV35" s="3638"/>
      <c r="AKW35" s="3638"/>
      <c r="AKX35" s="3638"/>
      <c r="AKY35" s="3638"/>
      <c r="AKZ35" s="3638"/>
      <c r="ALA35" s="3638"/>
      <c r="ALB35" s="3639"/>
      <c r="ALC35" s="3642"/>
      <c r="ALD35" s="3644"/>
      <c r="ALE35" s="3645" t="s">
        <v>1199</v>
      </c>
      <c r="ALF35" s="3645"/>
      <c r="ALG35" s="3645"/>
      <c r="ALH35" s="3645"/>
      <c r="ALI35" s="3645"/>
      <c r="ALJ35" s="3645"/>
      <c r="ALK35" s="3645"/>
      <c r="ALL35" s="3752"/>
      <c r="ALM35" s="2737"/>
      <c r="ALN35" s="3583"/>
      <c r="ALO35" s="3637" t="s">
        <v>1536</v>
      </c>
      <c r="ALP35" s="3584"/>
      <c r="ALQ35" s="3584"/>
      <c r="ALR35" s="3584"/>
      <c r="ALS35" s="3584"/>
      <c r="ALT35" s="3584"/>
      <c r="ALU35" s="3584"/>
      <c r="ALV35" s="3584"/>
      <c r="ALW35" s="3584"/>
      <c r="ALX35" s="3584"/>
      <c r="ALY35" s="3584"/>
      <c r="ALZ35" s="3584"/>
      <c r="AMA35" s="3584"/>
      <c r="AMB35" s="3584"/>
      <c r="AMC35" s="3584"/>
      <c r="AMD35" s="3584"/>
      <c r="AME35" s="3584"/>
      <c r="AMF35" s="3584"/>
      <c r="AMG35" s="3584"/>
      <c r="AMH35" s="3584"/>
      <c r="AMI35" s="3584"/>
      <c r="AMJ35" s="3584"/>
      <c r="AMK35" s="3584"/>
      <c r="AML35" s="3584"/>
      <c r="AMM35" s="3362"/>
      <c r="AMN35" s="5517"/>
      <c r="AMO35" s="5517"/>
      <c r="AMP35" s="5517"/>
      <c r="AMQ35" s="5517"/>
      <c r="AMR35" s="5517"/>
      <c r="AMS35" s="5517"/>
      <c r="AMT35" s="5517"/>
      <c r="AMU35" s="5517"/>
      <c r="AMV35" s="5517"/>
      <c r="AMW35" s="5517"/>
      <c r="AMX35" s="5517"/>
      <c r="AMY35" s="5517"/>
      <c r="AMZ35" s="5517"/>
      <c r="ANA35" s="5517"/>
      <c r="ANB35" s="5517"/>
      <c r="ANC35" s="5517"/>
      <c r="AND35" s="5517"/>
      <c r="ANE35" s="5517"/>
      <c r="ANF35" s="5517"/>
      <c r="ANG35" s="5517"/>
      <c r="ANH35" s="5517"/>
      <c r="ANI35" s="5517"/>
      <c r="ANJ35" s="5517"/>
      <c r="ANK35" s="5517"/>
      <c r="ANL35" s="5517"/>
      <c r="ANM35" s="5517"/>
      <c r="ANN35" s="5517"/>
      <c r="ANO35" s="5517"/>
      <c r="ANP35" s="5517"/>
      <c r="ANQ35" s="5517"/>
      <c r="ANR35" s="5517"/>
      <c r="ANS35" s="5517"/>
      <c r="ANT35" s="5517"/>
      <c r="ANU35" s="5517"/>
      <c r="ANV35" s="5517"/>
      <c r="ANW35" s="5517"/>
      <c r="ANX35" s="5517"/>
      <c r="ANY35" s="5517"/>
      <c r="ANZ35" s="5517"/>
      <c r="AOA35" s="5517"/>
      <c r="AOB35" s="5517"/>
      <c r="AOC35" s="5517"/>
      <c r="AOD35" s="5517"/>
      <c r="AOE35" s="5517"/>
      <c r="AOF35" s="5517"/>
      <c r="AOG35" s="5517"/>
      <c r="AOH35" s="5517"/>
      <c r="AOI35" s="5517"/>
      <c r="AOJ35" s="5517"/>
      <c r="AOK35" s="5517"/>
      <c r="AOL35" s="5517"/>
      <c r="AOM35" s="5517"/>
      <c r="AOO35" s="3721"/>
      <c r="AOP35" s="3722" t="s">
        <v>1417</v>
      </c>
      <c r="AOQ35" s="3722"/>
      <c r="AOR35" s="3722"/>
      <c r="AOS35" s="3722"/>
      <c r="AOT35" s="3722"/>
      <c r="AOU35" s="3722"/>
      <c r="AOV35" s="3722"/>
      <c r="AOW35" s="3722"/>
      <c r="AOX35" s="3722"/>
      <c r="AOY35" s="3722" t="s">
        <v>1417</v>
      </c>
      <c r="AOZ35" s="3722"/>
      <c r="APA35" s="3722"/>
      <c r="APB35" s="3722"/>
      <c r="APC35" s="3722"/>
      <c r="APD35" s="3722"/>
      <c r="APE35" s="3722"/>
      <c r="APF35" s="3722"/>
      <c r="APG35" s="3722" t="s">
        <v>1417</v>
      </c>
      <c r="APH35" s="3722"/>
      <c r="API35" s="3722"/>
      <c r="APJ35" s="3722"/>
      <c r="APK35" s="3722"/>
      <c r="APL35" s="3722"/>
      <c r="APM35" s="3722"/>
      <c r="APN35" s="3722"/>
      <c r="APO35" s="3722"/>
      <c r="APP35" s="3722"/>
      <c r="APQ35" s="3722"/>
      <c r="APR35" s="3722"/>
      <c r="APS35" s="3722"/>
      <c r="APT35" s="3722"/>
      <c r="APU35" s="3722"/>
      <c r="APV35" s="3722"/>
      <c r="APW35" s="3722"/>
      <c r="APX35" s="3722"/>
      <c r="APY35" s="3722"/>
      <c r="APZ35" s="3722"/>
      <c r="AQA35" s="3722"/>
      <c r="AQB35" s="3722"/>
      <c r="AQC35" s="3722"/>
      <c r="AQD35" s="3722"/>
      <c r="AQE35" s="3722"/>
      <c r="AQF35" s="3722"/>
      <c r="AQG35" s="3722"/>
      <c r="AQH35" s="3722"/>
      <c r="AQI35" s="3722"/>
      <c r="AQJ35" s="3722"/>
      <c r="AQK35" s="3722"/>
      <c r="AQL35" s="3723"/>
      <c r="AQN35" s="3721"/>
      <c r="AQO35" s="3722" t="s">
        <v>1418</v>
      </c>
      <c r="AQP35" s="3722"/>
      <c r="AQQ35" s="3722"/>
      <c r="AQR35" s="3722"/>
      <c r="AQS35" s="3722"/>
      <c r="AQT35" s="3722"/>
      <c r="AQU35" s="3722"/>
      <c r="AQV35" s="3722"/>
      <c r="AQW35" s="3722"/>
      <c r="AQX35" s="3722"/>
      <c r="AQY35" s="3722"/>
      <c r="AQZ35" s="3722"/>
      <c r="ARA35" s="3722"/>
      <c r="ARB35" s="3722"/>
      <c r="ARC35" s="3722"/>
      <c r="ARD35" s="3722"/>
      <c r="ARE35" s="3722"/>
      <c r="ARF35" s="3722"/>
      <c r="ARG35" s="3722"/>
      <c r="ARH35" s="3722"/>
      <c r="ARI35" s="3722"/>
      <c r="ARJ35" s="3722"/>
      <c r="ARK35" s="3722"/>
      <c r="ARL35" s="3723"/>
      <c r="ART35" s="7241" t="s">
        <v>107</v>
      </c>
      <c r="ARU35" s="7242"/>
      <c r="ARV35" s="7242"/>
      <c r="ARW35" s="7242"/>
      <c r="ARX35" s="7242"/>
      <c r="ARY35" s="7242"/>
      <c r="ARZ35" s="7242"/>
      <c r="ASA35" s="7242"/>
      <c r="ASB35" s="7242"/>
      <c r="ASC35" s="7242"/>
      <c r="ASD35" s="7242"/>
      <c r="ASE35" s="7242"/>
      <c r="ASF35" s="7242"/>
      <c r="ASG35" s="7242"/>
      <c r="ASH35" s="7242"/>
      <c r="ASI35" s="7242"/>
      <c r="ASJ35" s="7242"/>
      <c r="ASK35" s="7242"/>
      <c r="ASL35" s="7242"/>
      <c r="ASM35" s="7242"/>
      <c r="ASN35" s="7242"/>
      <c r="ASO35" s="7242"/>
      <c r="ASP35" s="7242"/>
      <c r="ASQ35" s="7243"/>
      <c r="ASR35" s="2737"/>
      <c r="ASS35" s="2737"/>
      <c r="AST35" s="7235" t="s">
        <v>990</v>
      </c>
      <c r="ASU35" s="7235"/>
      <c r="ASV35" s="7235"/>
      <c r="ASW35" s="7235"/>
      <c r="ASX35" s="7235"/>
      <c r="ASY35" s="7235"/>
      <c r="ASZ35" s="7235"/>
      <c r="ATA35" s="2622"/>
      <c r="ATB35" s="2622"/>
      <c r="ATC35" s="2622"/>
      <c r="ATD35" s="2622"/>
      <c r="ATE35" s="2622"/>
      <c r="ATF35" s="2622"/>
      <c r="ATG35" s="2622"/>
      <c r="ATH35" s="2622"/>
      <c r="ATI35" s="2622"/>
      <c r="ATJ35" s="2622"/>
      <c r="ATK35" s="2622"/>
      <c r="ATL35" s="3595" t="s">
        <v>142</v>
      </c>
      <c r="ATM35" s="3532"/>
      <c r="ATN35" s="3433"/>
      <c r="ATO35" s="3447"/>
      <c r="ATP35" s="3433"/>
      <c r="ATQ35" s="3451">
        <f t="shared" si="85"/>
        <v>20.56</v>
      </c>
      <c r="ATR35" s="3451"/>
      <c r="ATS35" s="3433">
        <f t="shared" si="86"/>
        <v>3.5910000000000002</v>
      </c>
      <c r="ATT35" s="3525">
        <f t="shared" si="3"/>
        <v>13.377999999999998</v>
      </c>
      <c r="ATU35" s="3449"/>
      <c r="ATV35" s="2622"/>
      <c r="ATW35" s="2622"/>
      <c r="ATX35" s="2622"/>
      <c r="ATY35" s="2617"/>
      <c r="ATZ35" s="3458"/>
      <c r="AUA35" s="3458"/>
      <c r="AUB35" s="2617"/>
      <c r="AUC35" s="2617"/>
      <c r="AUD35" s="2617"/>
      <c r="AUE35" s="2617"/>
      <c r="AUF35" s="2617"/>
      <c r="AUG35" s="2617"/>
      <c r="AUH35" s="2617"/>
      <c r="AUI35" s="2617"/>
      <c r="AUJ35" s="2617"/>
      <c r="AUK35" s="2617"/>
      <c r="AUL35" s="2617"/>
      <c r="AUM35" s="2617"/>
      <c r="AUN35" s="2617"/>
      <c r="AUO35" s="2617"/>
      <c r="AUP35" s="2617"/>
      <c r="AUQ35" s="2617"/>
      <c r="AUR35" s="2617"/>
      <c r="AUS35" s="2617"/>
      <c r="AUT35" s="2617"/>
      <c r="AUU35" s="2617"/>
      <c r="AUV35" s="181"/>
      <c r="AUW35" s="2617"/>
      <c r="AUX35" s="2617"/>
      <c r="AUY35" s="2617"/>
      <c r="AUZ35" s="2617"/>
      <c r="AVA35" s="2617"/>
      <c r="AVB35" s="2617"/>
      <c r="AVC35" s="2617"/>
      <c r="AVD35" s="2617"/>
      <c r="AVE35" s="2617"/>
      <c r="AVF35" s="2617"/>
      <c r="AVG35" s="2617"/>
      <c r="AVH35" s="2617"/>
      <c r="AVI35" s="2617"/>
      <c r="AVJ35" s="2617"/>
      <c r="AVK35" s="2617"/>
      <c r="AVL35" s="2617"/>
      <c r="AVM35" s="2617"/>
      <c r="AVN35" s="2617"/>
      <c r="AVO35" s="2617"/>
      <c r="AVP35" s="3540"/>
      <c r="AVQ35" s="3540"/>
      <c r="AVR35" s="3540"/>
      <c r="AVS35" s="181"/>
      <c r="AVT35" s="181"/>
      <c r="AVU35" s="181"/>
      <c r="AVV35" s="181"/>
      <c r="AVW35" s="181"/>
      <c r="AVX35" s="181"/>
      <c r="AVY35" s="181"/>
      <c r="AVZ35" s="181"/>
      <c r="AWA35" s="181"/>
      <c r="AWB35" s="181"/>
      <c r="AWC35" s="181"/>
      <c r="AWD35" s="181"/>
      <c r="AWE35" s="181"/>
      <c r="AWF35" s="181"/>
      <c r="AWG35" s="181"/>
      <c r="AWH35" s="181"/>
      <c r="AWI35" s="181"/>
      <c r="AWJ35" s="181"/>
      <c r="AWK35" s="181"/>
      <c r="AWL35" s="181"/>
      <c r="AWM35" s="181"/>
      <c r="AWN35" s="181"/>
      <c r="AWO35" s="181"/>
      <c r="AWP35" s="3540"/>
      <c r="AWQ35" s="3540"/>
      <c r="AWR35" s="181"/>
      <c r="AWS35" s="2617"/>
      <c r="AWT35" s="2617"/>
      <c r="AWU35" s="2617"/>
      <c r="AWV35" s="2617"/>
      <c r="AWW35" s="2617"/>
      <c r="AWX35" s="2617"/>
      <c r="AWY35" s="3623"/>
      <c r="AWZ35" s="3623"/>
      <c r="AXA35" s="3623"/>
      <c r="AXB35" s="3623"/>
      <c r="AXC35" s="2617"/>
      <c r="AXD35" s="2617"/>
      <c r="AXE35" s="2617"/>
      <c r="AXF35" s="2617"/>
      <c r="AXG35" s="2617"/>
      <c r="AXH35" s="2617"/>
      <c r="AXI35" s="2617"/>
      <c r="AXJ35" s="2617"/>
      <c r="AXK35" s="2617"/>
      <c r="AYV35" s="2625"/>
      <c r="AYZ35" s="2622"/>
      <c r="AZA35" s="2622"/>
      <c r="AZB35" s="2622"/>
      <c r="AZC35" s="2622"/>
      <c r="AZD35" s="2622"/>
      <c r="AZE35" s="2622"/>
      <c r="AZF35" s="2622"/>
      <c r="AZG35" s="2622"/>
      <c r="AZH35" s="2622"/>
      <c r="AZI35" s="2622"/>
      <c r="AZJ35" s="2622"/>
      <c r="AZK35" s="2622"/>
      <c r="AZL35" s="2622"/>
      <c r="AZM35" s="2622"/>
      <c r="AZN35" s="2622"/>
      <c r="AZO35" s="2622"/>
      <c r="AZP35" s="2622"/>
      <c r="AZQ35" s="2622"/>
      <c r="AZR35" s="2622"/>
      <c r="AZS35" s="2622"/>
      <c r="AZT35" s="2622"/>
      <c r="AZU35" s="2622"/>
      <c r="AZV35" s="2622"/>
      <c r="AZW35" s="372" t="s">
        <v>189</v>
      </c>
      <c r="AZX35" s="2717" t="str">
        <f>IF(AZZ35=$TM$20,"-")</f>
        <v>-</v>
      </c>
      <c r="AZY35" s="2778" t="str">
        <f>IF(AZZ35=$TM$20,"-")</f>
        <v>-</v>
      </c>
      <c r="AZZ35" s="2682" t="str">
        <f>$TM$20</f>
        <v>Ingen</v>
      </c>
      <c r="BAA35" s="2714"/>
      <c r="BAB35" s="2780"/>
      <c r="BAC35" s="2993"/>
      <c r="BAD35" s="2622"/>
      <c r="BAE35" s="2622"/>
      <c r="BAF35" s="2622"/>
      <c r="BAG35" s="2622"/>
      <c r="BAH35" s="2622"/>
      <c r="BAI35" s="2622"/>
      <c r="BAJ35" s="2622"/>
      <c r="BAK35" s="372" t="s">
        <v>189</v>
      </c>
      <c r="BAL35" s="2717">
        <v>1</v>
      </c>
      <c r="BAM35" s="2795">
        <v>0.5</v>
      </c>
      <c r="BAN35" s="2779">
        <f>1-BAM35</f>
        <v>0.5</v>
      </c>
      <c r="BAO35" s="2715"/>
      <c r="BAP35" s="2622"/>
      <c r="BAQ35" s="2622"/>
      <c r="BAR35" s="2622"/>
      <c r="BAU35" s="2622"/>
      <c r="BAV35" s="2622"/>
      <c r="BAW35" s="2622"/>
      <c r="BAX35" s="2622"/>
      <c r="BAY35" s="2622"/>
      <c r="BAZ35" s="2622"/>
      <c r="BBA35" s="2622"/>
      <c r="BBB35" s="2622"/>
      <c r="BBC35" s="2622"/>
      <c r="BBD35" s="2622"/>
      <c r="BBE35" s="2622"/>
      <c r="BBF35" s="2622"/>
      <c r="BBG35" s="2622"/>
      <c r="BBH35" s="2622"/>
      <c r="BBI35" s="2622"/>
      <c r="BBL35" s="2622"/>
      <c r="BBR35" s="3398"/>
      <c r="BCJ35" s="2617"/>
      <c r="BCK35" s="2617"/>
      <c r="BCL35" s="2617"/>
      <c r="BCM35" s="2617"/>
      <c r="BCN35" s="2617"/>
      <c r="BCO35" s="2617"/>
      <c r="BCP35" s="2617"/>
      <c r="BCQ35" s="2617"/>
      <c r="BCR35" s="2617"/>
      <c r="BCS35" s="2617"/>
      <c r="BCT35" s="2617"/>
      <c r="BCU35" s="2617"/>
      <c r="BCV35" s="2617"/>
      <c r="BCW35" s="2617"/>
      <c r="BCX35" s="2617"/>
      <c r="BCY35" s="2617"/>
      <c r="BCZ35" s="2617"/>
      <c r="BDA35" s="2617"/>
      <c r="BDB35" s="2617"/>
      <c r="BDC35" s="2617"/>
      <c r="BDD35" s="2617"/>
      <c r="BDE35" s="2617"/>
      <c r="BDF35" s="2617"/>
      <c r="BDG35" s="2617"/>
      <c r="BDH35" s="2617"/>
      <c r="BDI35" s="2617"/>
      <c r="BDL35" s="2617"/>
      <c r="BDM35" s="2617"/>
      <c r="BDN35" s="2617"/>
      <c r="BDO35" s="2617"/>
      <c r="BDP35" s="2617"/>
      <c r="BDQ35" s="2617"/>
      <c r="BDR35" s="2617"/>
      <c r="BDS35" s="2617"/>
      <c r="BDT35" s="2617"/>
      <c r="BDU35" s="2617"/>
      <c r="BDV35" s="2617"/>
      <c r="BDW35" s="2617"/>
      <c r="BDZ35" s="2617"/>
      <c r="BEA35" s="2617"/>
      <c r="BEB35" s="2617"/>
      <c r="BEC35" s="2617"/>
      <c r="BED35" s="2617"/>
      <c r="BEE35" s="2617"/>
      <c r="BEH35" s="2617"/>
    </row>
    <row r="36" spans="1:1490" ht="15" x14ac:dyDescent="0.2">
      <c r="AU36" s="280"/>
      <c r="AV36" s="279"/>
      <c r="AW36" s="279"/>
      <c r="AX36" s="279"/>
      <c r="AY36" s="279"/>
      <c r="AZ36" s="279"/>
      <c r="BA36" s="279"/>
      <c r="BB36" s="279"/>
      <c r="BC36" s="279"/>
      <c r="BD36" s="279"/>
      <c r="BE36" s="2622"/>
      <c r="CG36" s="2986" t="str">
        <f>_Calcs!$QQ$135</f>
        <v>Stuff 1-3</v>
      </c>
      <c r="CH36" s="5558">
        <f>IF(_Calcs!$BC$38=1,0,IF(_Calcs!$BC$38=2,3,0))</f>
        <v>3</v>
      </c>
      <c r="CI36" s="1665">
        <f>IF(_Calcs!$BC$34&gt;2,1,0)</f>
        <v>0</v>
      </c>
      <c r="CJ36" s="238">
        <f>IF($AI$31=2,INDEX(outputs_position[13],MATCH(_Calcs!$BC$35,outputs_position[lopstuff],0)),0)</f>
        <v>0</v>
      </c>
      <c r="CK36" s="194">
        <v>32</v>
      </c>
      <c r="CL36" s="3453" t="e">
        <f t="shared" si="87"/>
        <v>#VALUE!</v>
      </c>
      <c r="CM36" s="3453" t="e">
        <f t="shared" si="88"/>
        <v>#VALUE!</v>
      </c>
      <c r="CN36" s="3453" t="e">
        <f t="shared" si="89"/>
        <v>#VALUE!</v>
      </c>
      <c r="CO36" s="3453" t="e">
        <f t="shared" si="90"/>
        <v>#VALUE!</v>
      </c>
      <c r="CP36" s="3453" t="e">
        <f t="shared" si="207"/>
        <v>#VALUE!</v>
      </c>
      <c r="CQ36" s="3453" t="e">
        <f t="shared" si="91"/>
        <v>#VALUE!</v>
      </c>
      <c r="CR36" s="3453" t="e">
        <f t="shared" si="92"/>
        <v>#VALUE!</v>
      </c>
      <c r="CS36" s="3453" t="e">
        <f t="shared" si="93"/>
        <v>#VALUE!</v>
      </c>
      <c r="CT36" s="3453"/>
      <c r="CU36" s="3453"/>
      <c r="CV36" s="5712">
        <f>IF($AK$213=_List!$CX$6,$CV$28,IF($AK$213=_List!$CX$7,$CV$29,0))</f>
        <v>1</v>
      </c>
      <c r="CW36" s="3453">
        <f>IF(outputs_klasse_qty[[#This Row],[man_metode]]=1,$ABR$42)</f>
        <v>20</v>
      </c>
      <c r="CX36" s="3453">
        <f>IFERROR(IF(outputs_klasse_qty[[#This Row],[man_metode]]=1,outputs_klasse_qty[[#This Row],[man_a_rate]]*$BG111),0)</f>
        <v>0</v>
      </c>
      <c r="CY36" s="3453" t="e">
        <f>IF(outputs_klasse_qty[[#This Row],[man_metode]]=1,$ABR$43)</f>
        <v>#N/A</v>
      </c>
      <c r="CZ36" s="3453">
        <f>IFERROR(IF(outputs_klasse_qty[[#This Row],[man_metode]]=1,outputs_klasse_qty[[#This Row],[man_b_rate]]*$BH111),0)</f>
        <v>0</v>
      </c>
      <c r="DA36" s="3453" t="e">
        <f>IF(outputs_klasse_qty[[#This Row],[man_metode]]=1,$ABR$44)</f>
        <v>#N/A</v>
      </c>
      <c r="DB36" s="3453">
        <f>IFERROR(IF(outputs_klasse_qty[[#This Row],[man_metode]]=1,outputs_klasse_qty[[#This Row],[man_c_rate]]*$BI111),0)</f>
        <v>0</v>
      </c>
      <c r="DC36" s="3453" t="e">
        <f>IF(outputs_klasse_qty[[#This Row],[man_metode]]=1,$ABR$45)</f>
        <v>#N/A</v>
      </c>
      <c r="DD36" s="3453">
        <f>IFERROR(IF(outputs_klasse_qty[[#This Row],[man_metode]]=1,outputs_klasse_qty[[#This Row],[man_d_rate]]*$BJ111),0)</f>
        <v>0</v>
      </c>
      <c r="DE36" s="3453" t="e">
        <f>IF(outputs_klasse_qty[[#This Row],[man_metode]]=1,$ABR$46)</f>
        <v>#N/A</v>
      </c>
      <c r="DF36" s="3453">
        <f>IFERROR(IF(outputs_klasse_qty[[#This Row],[man_metode]]=1,outputs_klasse_qty[[#This Row],[man_e1_rate]]*$BK111),0)</f>
        <v>0</v>
      </c>
      <c r="DG36" s="3453" t="e">
        <f>IF(outputs_klasse_qty[[#This Row],[man_metode]]=1,$ABR$47)</f>
        <v>#N/A</v>
      </c>
      <c r="DH36" s="3453">
        <f>IFERROR(IF(outputs_klasse_qty[[#This Row],[man_metode]]=1,outputs_klasse_qty[[#This Row],[man_e2_rate]]*$BL111),0)</f>
        <v>0</v>
      </c>
      <c r="DI36" s="3453" t="e">
        <f>IF(outputs_klasse_qty[[#This Row],[man_metode]]=1,$ABR$48)</f>
        <v>#N/A</v>
      </c>
      <c r="DJ36" s="3453">
        <f>IFERROR(IF(outputs_klasse_qty[[#This Row],[man_metode]]=1,outputs_klasse_qty[[#This Row],[man_f_rate]]*$BM111),0)</f>
        <v>0</v>
      </c>
      <c r="DK36" s="3453" t="e">
        <f>IF(outputs_klasse_qty[[#This Row],[man_metode]]=1,$ABR$49)</f>
        <v>#N/A</v>
      </c>
      <c r="DL36" s="3453">
        <f>IFERROR(IF(outputs_klasse_qty[[#This Row],[man_metode]]=1,outputs_klasse_qty[[#This Row],[man_g_rate]]*$BN111),0)</f>
        <v>0</v>
      </c>
      <c r="DM36"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6" s="5712">
        <v>1</v>
      </c>
      <c r="DO36" s="3453" t="e">
        <f>IF(outputs_klasse_qty[[#This Row],[kartlegg_metode]]=1,$ACB$42)</f>
        <v>#N/A</v>
      </c>
      <c r="DP36" s="3453">
        <f>IFERROR(IF(outputs_klasse_qty[[#This Row],[kartlegg_metode]]=1,outputs_klasse_qty[[#This Row],[kartlegg_a_rate]]*$BG111),0)</f>
        <v>0</v>
      </c>
      <c r="DQ36" s="3453" t="e">
        <f>IF(outputs_klasse_qty[[#This Row],[kartlegg_metode]]=1,$ACB$43)</f>
        <v>#N/A</v>
      </c>
      <c r="DR36" s="3453">
        <f>IFERROR(IF(outputs_klasse_qty[[#This Row],[kartlegg_metode]]=1,outputs_klasse_qty[[#This Row],[kartlegg_b_rate]]*$BH111),0)</f>
        <v>0</v>
      </c>
      <c r="DS36" s="3453" t="e">
        <f>IF(outputs_klasse_qty[[#This Row],[kartlegg_metode]]=1,$ACB$44)</f>
        <v>#N/A</v>
      </c>
      <c r="DT36" s="3453">
        <f>IFERROR(IF(outputs_klasse_qty[[#This Row],[kartlegg_metode]]=1,outputs_klasse_qty[[#This Row],[kartlegg_c_rate]]*$BI111),0)</f>
        <v>0</v>
      </c>
      <c r="DU36" s="3453" t="e">
        <f>IF(outputs_klasse_qty[[#This Row],[kartlegg_metode]]=1,$ACB$45)</f>
        <v>#N/A</v>
      </c>
      <c r="DV36" s="3453">
        <f>IFERROR(IF(outputs_klasse_qty[[#This Row],[kartlegg_metode]]=1,outputs_klasse_qty[[#This Row],[kartlegg_d_rate]]*$BJ111),0)</f>
        <v>0</v>
      </c>
      <c r="DW36" s="3453" t="e">
        <f>IF(outputs_klasse_qty[[#This Row],[kartlegg_metode]]=1,$ACB$46)</f>
        <v>#N/A</v>
      </c>
      <c r="DX36" s="3453">
        <f>IFERROR(IF(outputs_klasse_qty[[#This Row],[kartlegg_metode]]=1,outputs_klasse_qty[[#This Row],[kartlegg_e1_rate]]*$BK111),0)</f>
        <v>0</v>
      </c>
      <c r="DY36" s="3453" t="e">
        <f>IF(outputs_klasse_qty[[#This Row],[kartlegg_metode]]=1,$ACB$47)</f>
        <v>#N/A</v>
      </c>
      <c r="DZ36" s="3453">
        <f>IFERROR(IF(outputs_klasse_qty[[#This Row],[kartlegg_metode]]=1,outputs_klasse_qty[[#This Row],[kartlegg_e2_rate]]*$BL111),0)</f>
        <v>0</v>
      </c>
      <c r="EA36" s="3453" t="e">
        <f>IF(outputs_klasse_qty[[#This Row],[kartlegg_metode]]=1,$ACB$48)</f>
        <v>#N/A</v>
      </c>
      <c r="EB36" s="3453">
        <f>IFERROR(IF(outputs_klasse_qty[[#This Row],[kartlegg_metode]]=1,outputs_klasse_qty[[#This Row],[kartlegg_f_rate]]*$BM111),0)</f>
        <v>0</v>
      </c>
      <c r="EC36" s="3453" t="e">
        <f>IF(outputs_klasse_qty[[#This Row],[kartlegg_metode]]=1,$ACB$49)</f>
        <v>#N/A</v>
      </c>
      <c r="ED36" s="3453">
        <f>IFERROR(IF(outputs_klasse_qty[[#This Row],[kartlegg_metode]]=1,outputs_klasse_qty[[#This Row],[kartlegg_g_rate]]*$BN111),0)</f>
        <v>0</v>
      </c>
      <c r="EE36"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6" s="5712">
        <f>IF($AK$215=_List!$DA$6,$EF$28,IF($AK$215=_List!$DA$7,$EF$29,0))</f>
        <v>1</v>
      </c>
      <c r="EG36" s="3453" t="e">
        <f t="shared" si="94"/>
        <v>#N/A</v>
      </c>
      <c r="EH36" s="5719">
        <f>IFERROR(($AY88*$AI$46)/(outputs_klasse_qty[[#This Row],[bolt_veder_a_rate]]^2),0)</f>
        <v>0</v>
      </c>
      <c r="EI36" s="3453" t="e">
        <f t="shared" si="95"/>
        <v>#N/A</v>
      </c>
      <c r="EJ36" s="5719">
        <f>IFERROR(($AZ88*$AI$46)/(outputs_klasse_qty[[#This Row],[bolt_veder_b_rate]]^2),0)</f>
        <v>0</v>
      </c>
      <c r="EK36" s="3453" t="e">
        <f t="shared" si="96"/>
        <v>#N/A</v>
      </c>
      <c r="EL36" s="5719">
        <f>IFERROR(($BA88*$AI$46)/(outputs_klasse_qty[[#This Row],[bolt_veder_c_rate]]^2),0)</f>
        <v>0</v>
      </c>
      <c r="EM36" s="3453" t="e">
        <f t="shared" si="97"/>
        <v>#N/A</v>
      </c>
      <c r="EN36" s="5719">
        <f>IFERROR(($BB88*$AI$46)/(outputs_klasse_qty[[#This Row],[bolt_veder_d_rate]]^2),0)</f>
        <v>0</v>
      </c>
      <c r="EO36" s="3453" t="e">
        <f t="shared" si="98"/>
        <v>#N/A</v>
      </c>
      <c r="EP36" s="5719">
        <f>IFERROR(($BC88*$AI$46)/(outputs_klasse_qty[[#This Row],[bolt_veder_e1_rate]]^2),0)</f>
        <v>0</v>
      </c>
      <c r="EQ36" s="3453" t="e">
        <f t="shared" si="99"/>
        <v>#N/A</v>
      </c>
      <c r="ER36" s="5719">
        <f>IFERROR(($BD88*$AI$46)/(outputs_klasse_qty[[#This Row],[bolt_veder_e2_rate]]^2),0)</f>
        <v>0</v>
      </c>
      <c r="ES36" s="3453" t="e">
        <f t="shared" si="100"/>
        <v>#N/A</v>
      </c>
      <c r="ET36" s="5719">
        <f>IFERROR(($BE88*$AI$46)/(outputs_klasse_qty[[#This Row],[bolt_veder_f_rate]]^2),0)</f>
        <v>0</v>
      </c>
      <c r="EU36" s="3453" t="e">
        <f t="shared" si="101"/>
        <v>#N/A</v>
      </c>
      <c r="EV36" s="5719">
        <f>IFERROR(($BF88*$AI$46)/(outputs_klasse_qty[[#This Row],[bolt_veder_g_rate]]^2),0)</f>
        <v>0</v>
      </c>
      <c r="EW36"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6" s="3453" t="e">
        <f>outputs_klasse_qty[[#This Row],[bolt_veder_a_output]]*$ACU$42</f>
        <v>#N/A</v>
      </c>
      <c r="EY36" s="3453" t="e">
        <f>outputs_klasse_qty[[#This Row],[bolt_veder_a_output]]*$ADD$42</f>
        <v>#N/A</v>
      </c>
      <c r="EZ36" s="3453" t="e">
        <f>outputs_klasse_qty[[#This Row],[bolt_veder_b_output]]*$ACU$43</f>
        <v>#N/A</v>
      </c>
      <c r="FA36" s="3453" t="e">
        <f>outputs_klasse_qty[[#This Row],[bolt_veder_b_output]]*$ADD$43</f>
        <v>#N/A</v>
      </c>
      <c r="FB36" s="3453" t="e">
        <f>outputs_klasse_qty[[#This Row],[bolt_veder_c_output]]*$ACU$44</f>
        <v>#N/A</v>
      </c>
      <c r="FC36" s="3453" t="e">
        <f>outputs_klasse_qty[[#This Row],[bolt_veder_c_output]]*$ADD$44</f>
        <v>#N/A</v>
      </c>
      <c r="FD36" s="3453" t="e">
        <f>outputs_klasse_qty[[#This Row],[bolt_veder_d_output]]*$ACU$45</f>
        <v>#N/A</v>
      </c>
      <c r="FE36" s="3453" t="e">
        <f>outputs_klasse_qty[[#This Row],[bolt_veder_d_output]]*$ADD$45</f>
        <v>#N/A</v>
      </c>
      <c r="FF36" s="3453" t="e">
        <f>outputs_klasse_qty[[#This Row],[bolt_veder_e1_output]]*$ACU$46</f>
        <v>#N/A</v>
      </c>
      <c r="FG36" s="3453" t="e">
        <f>outputs_klasse_qty[[#This Row],[bolt_veder_e1_output]]*$ADD$46</f>
        <v>#N/A</v>
      </c>
      <c r="FH36" s="3453" t="e">
        <f>outputs_klasse_qty[[#This Row],[bolt_veder_e2_output]]*$ACU$47</f>
        <v>#N/A</v>
      </c>
      <c r="FI36" s="3453" t="e">
        <f>outputs_klasse_qty[[#This Row],[bolt_veder_e2_output]]*$ADD$47</f>
        <v>#N/A</v>
      </c>
      <c r="FJ36" s="3453" t="e">
        <f>outputs_klasse_qty[[#This Row],[bolt_veder_f_output]]*$ACU$48</f>
        <v>#N/A</v>
      </c>
      <c r="FK36" s="3453" t="e">
        <f>outputs_klasse_qty[[#This Row],[bolt_veder_f_output]]*$ADD$48</f>
        <v>#N/A</v>
      </c>
      <c r="FL36" s="3453" t="e">
        <f>outputs_klasse_qty[[#This Row],[bolt_veder_g_output]]*$ACU$49</f>
        <v>#N/A</v>
      </c>
      <c r="FM36" s="3453" t="e">
        <f>outputs_klasse_qty[[#This Row],[bolt_veder_g_output]]*$ADD$49</f>
        <v>#N/A</v>
      </c>
      <c r="FN36"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6"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6" s="3453">
        <v>1</v>
      </c>
      <c r="FQ36" s="3453" t="e">
        <f t="shared" si="102"/>
        <v>#N/A</v>
      </c>
      <c r="FR36" s="5854">
        <f>IFERROR(($AY88*$AI$42*2)/(outputs_klasse_qty[[#This Row],[bolt_vegg_a_rate]]^2),0)</f>
        <v>0</v>
      </c>
      <c r="FS36" s="3453" t="e">
        <f t="shared" si="103"/>
        <v>#N/A</v>
      </c>
      <c r="FT36" s="5854">
        <f>IFERROR(($AZ88*$AI$42*2)/(outputs_klasse_qty[[#This Row],[bolt_vegg_b_rate]]^2),0)</f>
        <v>0</v>
      </c>
      <c r="FU36" s="3453" t="e">
        <f t="shared" si="104"/>
        <v>#N/A</v>
      </c>
      <c r="FV36" s="5854">
        <f>IFERROR(($BA88*$AI$42*2)/(outputs_klasse_qty[[#This Row],[bolt_vegg_c_rate]]^2),0)</f>
        <v>0</v>
      </c>
      <c r="FW36" s="3453" t="e">
        <f t="shared" si="105"/>
        <v>#N/A</v>
      </c>
      <c r="FX36" s="5854">
        <f>IFERROR(($BB88*$AI$42*2)/(outputs_klasse_qty[[#This Row],[bolt_vegg_d_rate]]^2),0)</f>
        <v>0</v>
      </c>
      <c r="FY36" s="3453" t="e">
        <f t="shared" si="106"/>
        <v>#N/A</v>
      </c>
      <c r="FZ36" s="5854">
        <f>IFERROR(($BC88*$AI$42*2)/(outputs_klasse_qty[[#This Row],[bolt_vegg_e1_rate]]^2),0)</f>
        <v>0</v>
      </c>
      <c r="GA36" s="3453" t="e">
        <f t="shared" si="107"/>
        <v>#N/A</v>
      </c>
      <c r="GB36" s="5854">
        <f>IFERROR(($BD88*$AI$42*2)/(outputs_klasse_qty[[#This Row],[bolt_vegg_e2_rate]]^2),0)</f>
        <v>0</v>
      </c>
      <c r="GC36" s="3453" t="e">
        <f t="shared" si="108"/>
        <v>#N/A</v>
      </c>
      <c r="GD36" s="5854">
        <f>IFERROR(($BE88*$AI$42*2)/(outputs_klasse_qty[[#This Row],[bolt_vegg_f_rate]]^2),0)</f>
        <v>0</v>
      </c>
      <c r="GE36" s="3453" t="e">
        <f t="shared" si="109"/>
        <v>#N/A</v>
      </c>
      <c r="GF36" s="5854">
        <f>IFERROR(($BF88*$AI$42*2)/(outputs_klasse_qty[[#This Row],[bolt_vegg_g_rate]]^2),0)</f>
        <v>0</v>
      </c>
      <c r="GG36"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6" s="3453" t="e">
        <f>outputs_klasse_qty[[#This Row],[bolt_vegg_a_output]]*$ADX$42</f>
        <v>#N/A</v>
      </c>
      <c r="GI36" s="3453" t="e">
        <f>outputs_klasse_qty[[#This Row],[bolt_vegg_a_output]]*$AEF$42</f>
        <v>#N/A</v>
      </c>
      <c r="GJ36" s="3453" t="e">
        <f>outputs_klasse_qty[[#This Row],[bolt_vegg_b_output]]*$ADX$43</f>
        <v>#N/A</v>
      </c>
      <c r="GK36" s="3453" t="e">
        <f>outputs_klasse_qty[[#This Row],[bolt_vegg_b_output]]*$AEF$43</f>
        <v>#N/A</v>
      </c>
      <c r="GL36" s="3453" t="e">
        <f>outputs_klasse_qty[[#This Row],[bolt_vegg_c_output]]*$ADX$44</f>
        <v>#N/A</v>
      </c>
      <c r="GM36" s="3453" t="e">
        <f>outputs_klasse_qty[[#This Row],[bolt_vegg_c_output]]*$AEF$44</f>
        <v>#N/A</v>
      </c>
      <c r="GN36" s="3453" t="e">
        <f>outputs_klasse_qty[[#This Row],[bolt_vegg_d_output]]*$ADX$45</f>
        <v>#N/A</v>
      </c>
      <c r="GO36" s="3453" t="e">
        <f>outputs_klasse_qty[[#This Row],[bolt_vegg_d_output]]*$AEF$45</f>
        <v>#N/A</v>
      </c>
      <c r="GP36" s="3453" t="e">
        <f>outputs_klasse_qty[[#This Row],[bolt_vegg_e1_output]]*$ADX$46</f>
        <v>#N/A</v>
      </c>
      <c r="GQ36" s="3453" t="e">
        <f>outputs_klasse_qty[[#This Row],[bolt_vegg_e1_output]]*$AEF$46</f>
        <v>#N/A</v>
      </c>
      <c r="GR36" s="3453" t="e">
        <f>outputs_klasse_qty[[#This Row],[bolt_vegg_e2_output]]*$ADX$47</f>
        <v>#N/A</v>
      </c>
      <c r="GS36" s="3453" t="e">
        <f>outputs_klasse_qty[[#This Row],[bolt_vegg_e2_output]]*$AEF$47</f>
        <v>#N/A</v>
      </c>
      <c r="GT36" s="3453" t="e">
        <f>outputs_klasse_qty[[#This Row],[bolt_vegg_f_output]]*$ADX$48</f>
        <v>#N/A</v>
      </c>
      <c r="GU36" s="3453" t="e">
        <f>outputs_klasse_qty[[#This Row],[bolt_vegg_f_output]]*$AEF$48</f>
        <v>#N/A</v>
      </c>
      <c r="GV36" s="3453" t="e">
        <f>outputs_klasse_qty[[#This Row],[bolt_vegg_g_output]]*$ADX$49</f>
        <v>#N/A</v>
      </c>
      <c r="GW36" s="3453" t="e">
        <f>outputs_klasse_qty[[#This Row],[bolt_vegg_g_output]]*$AEF$49</f>
        <v>#N/A</v>
      </c>
      <c r="GX36"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6"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6" s="5698" t="str">
        <f>IFERROR(outputs_klasse_qty[[#This Row],[bolt_veder_lt4_sum]]+outputs_klasse_qty[[#This Row],[bolt_vegg_lt4_sum]],"")</f>
        <v/>
      </c>
      <c r="HA36" s="5698" t="str">
        <f>IFERROR(outputs_klasse_qty[[#This Row],[bolt_veder_gt4_sum]]+outputs_klasse_qty[[#This Row],[bolt_vegg_gt4_sum]],"")</f>
        <v/>
      </c>
      <c r="HB36" s="3453"/>
      <c r="HC36" s="3453"/>
      <c r="HD36" s="3453"/>
      <c r="HE36" s="3453"/>
      <c r="HF36" s="3453"/>
      <c r="HG36" s="3453"/>
      <c r="HH36" s="3453"/>
      <c r="HI36" s="3453"/>
      <c r="HJ36" s="3453"/>
      <c r="HK36" s="3453"/>
      <c r="HL36" s="3453"/>
      <c r="HM36" s="3453"/>
      <c r="HN36" s="3453"/>
      <c r="HO36" s="3453"/>
      <c r="HP36" s="3453"/>
      <c r="HQ36" s="3453"/>
      <c r="HR36" s="5819" t="e">
        <f t="shared" si="5"/>
        <v>#N/A</v>
      </c>
      <c r="HS36" s="5819">
        <f t="shared" si="6"/>
        <v>1</v>
      </c>
      <c r="HT36" s="5819">
        <f t="shared" si="7"/>
        <v>5</v>
      </c>
      <c r="HU36" s="5855">
        <f>IFERROR(IF(outputs_klasse_qty[[#This Row],[forbolting_bueområde_a]]=_List!$DQ$7,_Calcs_Klasse!$AI$46*$BG111,IF(outputs_klasse_qty[[#This Row],[forbolting_bueområde_a]]=_List!$DQ$8,$AI$40*$BG111)),0)</f>
        <v>0</v>
      </c>
      <c r="HV36" s="5856" t="e">
        <f>IF(outputs_klasse_qty[[#This Row],[forbolting_bueområde_a]]=_List!$DQ$7,($AI$46*BG111)/outputs_klasse_qty[[#This Row],[forbolting_senteravstand_a]]*outputs_klasse_qty[[#This Row],[forbolting_andel_a]],IF(outputs_klasse_qty[[#This Row],[forbolting_bueområde_a]]=_List!$DQ$8,($AI$40*BG111)/outputs_klasse_qty[[#This Row],[forbolting_senteravstand_a]]*outputs_klasse_qty[[#This Row],[forbolting_andel_a]],0))</f>
        <v>#N/A</v>
      </c>
      <c r="HW36" s="5819" t="str">
        <f t="shared" si="8"/>
        <v>Ingen</v>
      </c>
      <c r="HX36" s="5819">
        <f t="shared" si="9"/>
        <v>1</v>
      </c>
      <c r="HY36" s="5819" t="e">
        <f t="shared" si="10"/>
        <v>#N/A</v>
      </c>
      <c r="HZ36" s="5855" t="b">
        <f>IFERROR(IF(outputs_klasse_qty[[#This Row],[forbolting_bueområde_b]]=_List!$DQ$7,_Calcs_Klasse!$AI$46*$BH111,IF(outputs_klasse_qty[[#This Row],[forbolting_bueområde_b]]=_List!$DQ$8,$AI$40*$BH111)),0)</f>
        <v>0</v>
      </c>
      <c r="IA36" s="5856">
        <f>IF(outputs_klasse_qty[[#This Row],[forbolting_bueområde_b]]=_List!$DQ$7,($AI$46*BH111)/outputs_klasse_qty[[#This Row],[forbolting_senteravstand_b]]*outputs_klasse_qty[[#This Row],[forbolting_andel_b]],IF(outputs_klasse_qty[[#This Row],[forbolting_bueområde_b]]=_List!$DQ$8,($AI$40*BH111)/outputs_klasse_qty[[#This Row],[forbolting_senteravstand_b]]*outputs_klasse_qty[[#This Row],[forbolting_andel_b]],0))</f>
        <v>0</v>
      </c>
      <c r="IB36" s="5819" t="str">
        <f t="shared" si="11"/>
        <v>Ingen</v>
      </c>
      <c r="IC36" s="5819">
        <f t="shared" si="12"/>
        <v>1</v>
      </c>
      <c r="ID36" s="5819" t="e">
        <f t="shared" si="13"/>
        <v>#N/A</v>
      </c>
      <c r="IE36" s="5855" t="b">
        <f>IFERROR(IF(outputs_klasse_qty[[#This Row],[forbolting_bueområde_c]]=_List!$DQ$7,_Calcs_Klasse!$AI$46*$BI111,IF(outputs_klasse_qty[[#This Row],[forbolting_bueområde_c]]=_List!$DQ$8,$AI$40*$BI111)),0)</f>
        <v>0</v>
      </c>
      <c r="IF36" s="5856">
        <f>IF(outputs_klasse_qty[[#This Row],[forbolting_bueområde_c]]=_List!$DQ$7,($AI$46*BI111)/outputs_klasse_qty[[#This Row],[forbolting_senteravstand_c]]*outputs_klasse_qty[[#This Row],[forbolting_andel_c]],IF(outputs_klasse_qty[[#This Row],[forbolting_bueområde_c]]=_List!$DQ$8,($AI$40*BI111)/outputs_klasse_qty[[#This Row],[forbolting_senteravstand_c]]*outputs_klasse_qty[[#This Row],[forbolting_andel_c]],0))</f>
        <v>0</v>
      </c>
      <c r="IG36" s="5819" t="e">
        <f t="shared" si="14"/>
        <v>#N/A</v>
      </c>
      <c r="IH36" s="5819">
        <f t="shared" si="15"/>
        <v>1</v>
      </c>
      <c r="II36" s="5819">
        <f t="shared" si="16"/>
        <v>0.5</v>
      </c>
      <c r="IJ36" s="5855">
        <f>IFERROR(IF(outputs_klasse_qty[[#This Row],[forbolting_bueområde_d]]=_List!$DQ$7,_Calcs_Klasse!$AI$46*$BJ111,IF(outputs_klasse_qty[[#This Row],[forbolting_bueområde_d]]=_List!$DQ$8,$AI$40*$BJ111)),0)</f>
        <v>0</v>
      </c>
      <c r="IK36" s="5856" t="e">
        <f>IF(outputs_klasse_qty[[#This Row],[forbolting_bueområde_d]]=_List!$DQ$7,($AI$46*BJ111)/outputs_klasse_qty[[#This Row],[forbolting_senteravstand_d]]*outputs_klasse_qty[[#This Row],[forbolting_andel_d]],IF(outputs_klasse_qty[[#This Row],[forbolting_bueområde_d]]=_List!$DQ$8,($AI$40*BJ111)/outputs_klasse_qty[[#This Row],[forbolting_senteravstand_d]]*outputs_klasse_qty[[#This Row],[forbolting_andel_d]],0))</f>
        <v>#N/A</v>
      </c>
      <c r="IL36" s="5819" t="e">
        <f t="shared" si="17"/>
        <v>#N/A</v>
      </c>
      <c r="IM36" s="5819">
        <f t="shared" si="18"/>
        <v>1</v>
      </c>
      <c r="IN36" s="5819" t="e">
        <f t="shared" si="19"/>
        <v>#N/A</v>
      </c>
      <c r="IO36" s="5855">
        <f>IFERROR(IF(outputs_klasse_qty[[#This Row],[forbolting_bueområde_e1]]=_List!$DQ$7,_Calcs_Klasse!$AI$46*$BK111,IF(outputs_klasse_qty[[#This Row],[forbolting_bueområde_e1]]=_List!$DQ$8,$AI$40*$BK111)),0)</f>
        <v>0</v>
      </c>
      <c r="IP36" s="5856" t="e">
        <f>IF(outputs_klasse_qty[[#This Row],[forbolting_bueområde_e1]]=_List!$DQ$7,($AI$46*BK111)/outputs_klasse_qty[[#This Row],[forbolting_senteravstand_e1]]*outputs_klasse_qty[[#This Row],[forbolting_andel_e1]],IF(outputs_klasse_qty[[#This Row],[forbolting_bueområde_e1]]=_List!$DQ$8,($AI$40*BK111)/outputs_klasse_qty[[#This Row],[forbolting_senteravstand_e1]]*outputs_klasse_qty[[#This Row],[forbolting_andel_e1]],0))</f>
        <v>#N/A</v>
      </c>
      <c r="IQ36" s="5819" t="e">
        <f t="shared" si="20"/>
        <v>#N/A</v>
      </c>
      <c r="IR36" s="5819" t="e">
        <f t="shared" si="21"/>
        <v>#N/A</v>
      </c>
      <c r="IS36" s="5819" t="e">
        <f t="shared" si="22"/>
        <v>#N/A</v>
      </c>
      <c r="IT36" s="5855">
        <f>IFERROR(IF(outputs_klasse_qty[[#This Row],[forbolting_bueområde_e2]]=_List!$DQ$7,_Calcs_Klasse!$AI$46*$BL111,IF(outputs_klasse_qty[[#This Row],[forbolting_bueområde_e2]]=_List!$DQ$8,$AI$40*$BL111)),0)</f>
        <v>0</v>
      </c>
      <c r="IU36" s="5856" t="e">
        <f>IF(outputs_klasse_qty[[#This Row],[forbolting_bueområde_e2]]=_List!$DQ$7,($AI$46*BL111)/outputs_klasse_qty[[#This Row],[forbolting_senteravstand_e2]]*outputs_klasse_qty[[#This Row],[forbolting_andel_e2]],IF(outputs_klasse_qty[[#This Row],[forbolting_bueområde_e2]]=_List!$DQ$8,($AI$40*BL111)/outputs_klasse_qty[[#This Row],[forbolting_senteravstand_e2]]*outputs_klasse_qty[[#This Row],[forbolting_andel_e2]],0))</f>
        <v>#N/A</v>
      </c>
      <c r="IV36" s="5819" t="e">
        <f t="shared" si="23"/>
        <v>#N/A</v>
      </c>
      <c r="IW36" s="5819" t="e">
        <f t="shared" si="24"/>
        <v>#N/A</v>
      </c>
      <c r="IX36" s="5819" t="e">
        <f t="shared" si="25"/>
        <v>#N/A</v>
      </c>
      <c r="IY36" s="5855">
        <f>IFERROR(IF(outputs_klasse_qty[[#This Row],[forbolting_bueområde_f]]=_List!$DQ$7,_Calcs_Klasse!$AI$46*$BM111,IF(outputs_klasse_qty[[#This Row],[forbolting_bueområde_f]]=_List!$DQ$8,$AI$40*$BM111)),0)</f>
        <v>0</v>
      </c>
      <c r="IZ36" s="5856" t="e">
        <f>IF(outputs_klasse_qty[[#This Row],[forbolting_bueområde_f]]=_List!$DQ$7,($AI$46*BM111)/outputs_klasse_qty[[#This Row],[forbolting_senteravstand_f]]*outputs_klasse_qty[[#This Row],[forbolting_andel_f]],IF(outputs_klasse_qty[[#This Row],[forbolting_bueområde_f]]=_List!$DQ$8,($AI$40*BM111)/outputs_klasse_qty[[#This Row],[forbolting_senteravstand_f]]*outputs_klasse_qty[[#This Row],[forbolting_andel_f]],0))</f>
        <v>#N/A</v>
      </c>
      <c r="JA36" s="5819" t="e">
        <f t="shared" si="26"/>
        <v>#N/A</v>
      </c>
      <c r="JB36" s="5819" t="e">
        <f t="shared" si="27"/>
        <v>#N/A</v>
      </c>
      <c r="JC36" s="5819" t="e">
        <f t="shared" si="28"/>
        <v>#N/A</v>
      </c>
      <c r="JD36" s="5855">
        <f>IFERROR(IF(outputs_klasse_qty[[#This Row],[forbolting_bueområde_g]]=_List!$DQ$7,_Calcs_Klasse!$AI$46*$BN111,IF(outputs_klasse_qty[[#This Row],[forbolting_bueområde_g]]=_List!$DQ$8,$AI$40*$BN111)),0)</f>
        <v>0</v>
      </c>
      <c r="JE36" s="5856" t="e">
        <f>IF(outputs_klasse_qty[[#This Row],[forbolting_bueområde_g]]=_List!$DQ$7,($AI$46*BN111)/outputs_klasse_qty[[#This Row],[forbolting_senteravstand_g]]*outputs_klasse_qty[[#This Row],[forbolting_andel_g]],IF(outputs_klasse_qty[[#This Row],[forbolting_bueområde_g]]=_List!$DQ$8,($AI$40*BN111)/outputs_klasse_qty[[#This Row],[forbolting_senteravstand_g]]*outputs_klasse_qty[[#This Row],[forbolting_andel_g]],0))</f>
        <v>#N/A</v>
      </c>
      <c r="JF36" s="3453">
        <f>IFERROR(outputs_klasse_qty[[#This Row],[forbolting_bolter_output_a]]*$AQC$42,0)</f>
        <v>0</v>
      </c>
      <c r="JG36" s="3453">
        <f>IFERROR(outputs_klasse_qty[[#This Row],[forbolting_bolter_output_a]]*$AQL$42,0)</f>
        <v>0</v>
      </c>
      <c r="JH36" s="3453">
        <f>IFERROR(outputs_klasse_qty[[#This Row],[forbolting_bolter_output_b]]*$AQC$43,0)</f>
        <v>0</v>
      </c>
      <c r="JI36" s="3453">
        <f>IFERROR(outputs_klasse_qty[[#This Row],[forbolting_bolter_output_b]]*$AQL$43,0)</f>
        <v>0</v>
      </c>
      <c r="JJ36" s="3453">
        <f>IFERROR(outputs_klasse_qty[[#This Row],[forbolting_bolter_output_c]]*$AQC$44,0)</f>
        <v>0</v>
      </c>
      <c r="JK36" s="3453">
        <f>IFERROR(outputs_klasse_qty[[#This Row],[forbolting_bolter_output_c]]*$AQL$44,0)</f>
        <v>0</v>
      </c>
      <c r="JL36" s="3453">
        <f>IFERROR(outputs_klasse_qty[[#This Row],[forbolting_bolter_output_d]]*$AQC$45,0)</f>
        <v>0</v>
      </c>
      <c r="JM36" s="3453">
        <f>IFERROR(outputs_klasse_qty[[#This Row],[forbolting_bolter_output_d]]*$AQL$45,0)</f>
        <v>0</v>
      </c>
      <c r="JN36" s="3453">
        <f>IFERROR(outputs_klasse_qty[[#This Row],[forbolting_bolter_output_e1]]*$AQC$46,0)</f>
        <v>0</v>
      </c>
      <c r="JO36" s="3453">
        <f>IFERROR(outputs_klasse_qty[[#This Row],[forbolting_bolter_output_e1]]*$AQL$46,0)</f>
        <v>0</v>
      </c>
      <c r="JP36" s="3453">
        <f>IFERROR(outputs_klasse_qty[[#This Row],[forbolting_bolter_output_e2]]*$AQC$47,0)</f>
        <v>0</v>
      </c>
      <c r="JQ36" s="3453">
        <f>IFERROR(outputs_klasse_qty[[#This Row],[forbolting_bolter_output_e2]]*$AQL$47,0)</f>
        <v>0</v>
      </c>
      <c r="JR36" s="3453">
        <f>IFERROR(outputs_klasse_qty[[#This Row],[forbolting_bolter_output_f]]*$AQC$48,0)</f>
        <v>0</v>
      </c>
      <c r="JS36" s="3453">
        <f>IFERROR(outputs_klasse_qty[[#This Row],[forbolting_bolter_output_f]]*$AQL$48,0)</f>
        <v>0</v>
      </c>
      <c r="JT36" s="3453">
        <f>IFERROR(outputs_klasse_qty[[#This Row],[forbolting_bolter_output_g]]*$AQC$49,0)</f>
        <v>0</v>
      </c>
      <c r="JU36" s="3453">
        <f>IFERROR(outputs_klasse_qty[[#This Row],[forbolting_bolter_output_g]]*$AQL$49,0)</f>
        <v>0</v>
      </c>
      <c r="JV36"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6"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6" s="5819" t="e">
        <f t="shared" si="29"/>
        <v>#N/A</v>
      </c>
      <c r="JY36" s="5856" t="e">
        <f>IF(outputs_klasse_qty[[#This Row],[forbolting_bueområde_a]]=_List!$DQ$7,($AI$46*BG111)/outputs_klasse_qty[[#This Row],[opphengbolter_senteravstand_a]]*outputs_klasse_qty[[#This Row],[forbolting_andel_a]],IF(outputs_klasse_qty[[#This Row],[forbolting_bueområde_a]]=_List!$DQ$8,($AI$40*BG111)/outputs_klasse_qty[[#This Row],[opphengbolter_senteravstand_a]]*outputs_klasse_qty[[#This Row],[forbolting_andel_a]],0))</f>
        <v>#N/A</v>
      </c>
      <c r="JZ36" s="5819" t="e">
        <f t="shared" si="30"/>
        <v>#N/A</v>
      </c>
      <c r="KA36" s="5856">
        <f>IF(outputs_klasse_qty[[#This Row],[forbolting_bueområde_b]]=_List!$DQ$7,($AI$46*BH111)/outputs_klasse_qty[[#This Row],[opphengbolter_senteravstand_b]]*outputs_klasse_qty[[#This Row],[forbolting_andel_b]],IF(outputs_klasse_qty[[#This Row],[forbolting_bueområde_b]]=_List!$DQ$8,($AI$40*BH111)/outputs_klasse_qty[[#This Row],[opphengbolter_senteravstand_b]]*outputs_klasse_qty[[#This Row],[forbolting_andel_b]],0))</f>
        <v>0</v>
      </c>
      <c r="KB36" s="5819" t="e">
        <f t="shared" si="31"/>
        <v>#N/A</v>
      </c>
      <c r="KC36" s="5856">
        <f>IF(outputs_klasse_qty[[#This Row],[forbolting_bueområde_c]]=_List!$DQ$7,($AI$46*BI111)/outputs_klasse_qty[[#This Row],[opphengbolter_senteravstand_c]]*outputs_klasse_qty[[#This Row],[forbolting_andel_c]],IF(outputs_klasse_qty[[#This Row],[forbolting_bueområde_c]]=_List!$DQ$8,($AI$40*BI111)/outputs_klasse_qty[[#This Row],[opphengbolter_senteravstand_c]]*outputs_klasse_qty[[#This Row],[forbolting_andel_c]],0))</f>
        <v>0</v>
      </c>
      <c r="KD36" s="5819" t="e">
        <f t="shared" si="32"/>
        <v>#N/A</v>
      </c>
      <c r="KE36" s="5856" t="e">
        <f>IF(outputs_klasse_qty[[#This Row],[forbolting_bueområde_d]]=_List!$DQ$7,($AI$46*BJ111)/outputs_klasse_qty[[#This Row],[opphengbolter_senteravstand_d]]*outputs_klasse_qty[[#This Row],[forbolting_andel_d]],IF(outputs_klasse_qty[[#This Row],[forbolting_bueområde_d]]=_List!$DQ$8,($AI$40*BJ111)/outputs_klasse_qty[[#This Row],[opphengbolter_senteravstand_d]]*outputs_klasse_qty[[#This Row],[forbolting_andel_d]],0))</f>
        <v>#N/A</v>
      </c>
      <c r="KF36" s="5819" t="e">
        <f t="shared" si="33"/>
        <v>#N/A</v>
      </c>
      <c r="KG36" s="5856" t="e">
        <f>IF(outputs_klasse_qty[[#This Row],[forbolting_bueområde_e1]]=_List!$DQ$7,($AI$46*BK111)/outputs_klasse_qty[[#This Row],[opphengbolter_senteravstand_e1]]*outputs_klasse_qty[[#This Row],[forbolting_andel_e1]],IF(outputs_klasse_qty[[#This Row],[forbolting_bueområde_e1]]=_List!$DQ$8,($AI$40*BK111)/outputs_klasse_qty[[#This Row],[opphengbolter_senteravstand_e1]]*outputs_klasse_qty[[#This Row],[forbolting_andel_e1]],0))</f>
        <v>#N/A</v>
      </c>
      <c r="KH36" s="5819" t="e">
        <f t="shared" si="34"/>
        <v>#N/A</v>
      </c>
      <c r="KI36" s="5856" t="e">
        <f>IF(outputs_klasse_qty[[#This Row],[forbolting_bueområde_e2]]=_List!$DQ$7,($AI$46*BL111)/outputs_klasse_qty[[#This Row],[opphengbolter_senteravstand_e2]]*outputs_klasse_qty[[#This Row],[forbolting_andel_e2]],IF(outputs_klasse_qty[[#This Row],[forbolting_bueområde_e2]]=_List!$DQ$8,($AI$40*BL111)/outputs_klasse_qty[[#This Row],[opphengbolter_senteravstand_e2]]*outputs_klasse_qty[[#This Row],[forbolting_andel_e2]],0))</f>
        <v>#N/A</v>
      </c>
      <c r="KJ36" s="5819" t="e">
        <f t="shared" si="35"/>
        <v>#N/A</v>
      </c>
      <c r="KK36" s="5856" t="e">
        <f>IF(outputs_klasse_qty[[#This Row],[forbolting_bueområde_f]]=_List!$DQ$7,($AI$46*BM111)/outputs_klasse_qty[[#This Row],[opphengbolter_senteravstand_f]]*outputs_klasse_qty[[#This Row],[forbolting_andel_f]],IF(outputs_klasse_qty[[#This Row],[forbolting_bueområde_f]]=_List!$DQ$8,($AI$40*BM111)/outputs_klasse_qty[[#This Row],[opphengbolter_senteravstand_f]]*outputs_klasse_qty[[#This Row],[forbolting_andel_f]],0))</f>
        <v>#N/A</v>
      </c>
      <c r="KL36" s="5819" t="e">
        <f t="shared" si="36"/>
        <v>#N/A</v>
      </c>
      <c r="KM36" s="5856" t="e">
        <f>IF(outputs_klasse_qty[[#This Row],[forbolting_bueområde_g]]=_List!$DQ$7,($AI$46*BN111)/outputs_klasse_qty[[#This Row],[opphengbolter_senteravstand_g]]*outputs_klasse_qty[[#This Row],[forbolting_andel_g]],IF(outputs_klasse_qty[[#This Row],[forbolting_bueområde_g]]=_List!$DQ$8,($AI$40*BN111)/outputs_klasse_qty[[#This Row],[opphengbolter_senteravstand_g]]*outputs_klasse_qty[[#This Row],[forbolting_andel_g]],0))</f>
        <v>#N/A</v>
      </c>
      <c r="KN36" s="5819">
        <f>IFERROR(outputs_klasse_qty[[#This Row],[opphengbolter_output_a]]*$ARC$42,0)</f>
        <v>0</v>
      </c>
      <c r="KO36" s="5819">
        <f>IFERROR(outputs_klasse_qty[[#This Row],[opphengbolter_output_a]]*$ARL$42,0)</f>
        <v>0</v>
      </c>
      <c r="KP36" s="5819">
        <f>IFERROR(outputs_klasse_qty[[#This Row],[opphengbolter_output_b]]*$ARC$43,0)</f>
        <v>0</v>
      </c>
      <c r="KQ36" s="5819">
        <f>IFERROR(outputs_klasse_qty[[#This Row],[opphengbolter_output_b]]*$ARL$43,0)</f>
        <v>0</v>
      </c>
      <c r="KR36" s="5819">
        <f>IFERROR(outputs_klasse_qty[[#This Row],[opphengbolter_output_c]]*$ARC$44,0)</f>
        <v>0</v>
      </c>
      <c r="KS36" s="5819">
        <f>IFERROR(outputs_klasse_qty[[#This Row],[opphengbolter_output_c]]*$ARL$44,0)</f>
        <v>0</v>
      </c>
      <c r="KT36" s="5819">
        <f>IFERROR(outputs_klasse_qty[[#This Row],[opphengbolter_output_d]]*$ARC$45,0)</f>
        <v>0</v>
      </c>
      <c r="KU36" s="5819">
        <f>IFERROR(outputs_klasse_qty[[#This Row],[opphengbolter_output_d]]*$ARL$45,0)</f>
        <v>0</v>
      </c>
      <c r="KV36" s="5819">
        <f>IFERROR(outputs_klasse_qty[[#This Row],[opphengbolter_output_e1]]*$ARC$46,0)</f>
        <v>0</v>
      </c>
      <c r="KW36" s="5819">
        <f>IFERROR(outputs_klasse_qty[[#This Row],[opphengbolter_output_e1]]*$ARL$46,0)</f>
        <v>0</v>
      </c>
      <c r="KX36" s="5819">
        <f>IFERROR(outputs_klasse_qty[[#This Row],[opphengbolter_output_e2]]*$ARC$47,0)</f>
        <v>0</v>
      </c>
      <c r="KY36" s="5819">
        <f>IFERROR(outputs_klasse_qty[[#This Row],[opphengbolter_output_e2]]*$ARL$47,0)</f>
        <v>0</v>
      </c>
      <c r="KZ36" s="5819">
        <f>IFERROR(outputs_klasse_qty[[#This Row],[opphengbolter_output_f]]*$ARC$48,0)</f>
        <v>0</v>
      </c>
      <c r="LA36" s="5819">
        <f>IFERROR(outputs_klasse_qty[[#This Row],[opphengbolter_output_f]]*$ARL$48,0)</f>
        <v>0</v>
      </c>
      <c r="LB36" s="5819">
        <f>IFERROR(outputs_klasse_qty[[#This Row],[opphengbolter_output_g]]*$ARC$49,0)</f>
        <v>0</v>
      </c>
      <c r="LC36" s="5819">
        <f>IFERROR(outputs_klasse_qty[[#This Row],[opphengbolter_output_g]]*$ARL$49,0)</f>
        <v>0</v>
      </c>
      <c r="LD36"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6"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6" s="5712" cm="1">
        <f t="array" ref="LF36">IF($AK$217=klasse_bånd[Method],$LF$28,IF($AK$217="",$LF$29,0))</f>
        <v>1</v>
      </c>
      <c r="LG36" s="3453">
        <f t="shared" si="110"/>
        <v>1.5</v>
      </c>
      <c r="LH36" s="3453">
        <f>IFERROR(outputs_klasse_qty[[#This Row],[bergbånd_langs_forbolting_a_rate]]*outputs_klasse_qty[[#This Row],[forbolting_bue_lengde_a]],0)</f>
        <v>0</v>
      </c>
      <c r="LI36" s="3453">
        <f t="shared" si="111"/>
        <v>2</v>
      </c>
      <c r="LJ36" s="3453">
        <f>IFERROR(outputs_klasse_qty[[#This Row],[bergbånd_langs_forbolting_b_rate]]*outputs_klasse_qty[[#This Row],[forbolting_bue_lengde_b]],0)</f>
        <v>0</v>
      </c>
      <c r="LK36" s="3453">
        <f t="shared" si="112"/>
        <v>2</v>
      </c>
      <c r="LL36" s="3453">
        <f>IFERROR(outputs_klasse_qty[[#This Row],[bergbånd_langs_forbolting_c_rate]]*outputs_klasse_qty[[#This Row],[forbolting_bue_lengde_c]],0)</f>
        <v>0</v>
      </c>
      <c r="LM36" s="3453">
        <f t="shared" si="113"/>
        <v>2</v>
      </c>
      <c r="LN36" s="3453">
        <f>IFERROR(outputs_klasse_qty[[#This Row],[bergbånd_langs_forbolting_d_rate]]*outputs_klasse_qty[[#This Row],[forbolting_bue_lengde_d]],0)</f>
        <v>0</v>
      </c>
      <c r="LO36" s="3453">
        <f t="shared" si="114"/>
        <v>2</v>
      </c>
      <c r="LP36" s="3453">
        <f>IFERROR(outputs_klasse_qty[[#This Row],[bergbånd_langs_forbolting_e1_rate]]*outputs_klasse_qty[[#This Row],[forbolting_bue_lengde_e1]],0)</f>
        <v>0</v>
      </c>
      <c r="LQ36" s="3453">
        <f t="shared" si="115"/>
        <v>2</v>
      </c>
      <c r="LR36" s="3453">
        <f>IFERROR(outputs_klasse_qty[[#This Row],[bergbånd_langs_forbolting_e2_rate]]*outputs_klasse_qty[[#This Row],[forbolting_bue_lengde_e2]],0)</f>
        <v>0</v>
      </c>
      <c r="LS36" s="3453" t="e">
        <f t="shared" si="116"/>
        <v>#N/A</v>
      </c>
      <c r="LT36" s="3453">
        <f>IFERROR(outputs_klasse_qty[[#This Row],[bergbånd_langs_forbolting_f_rate]]*outputs_klasse_qty[[#This Row],[forbolting_bue_lengde_f]],0)</f>
        <v>0</v>
      </c>
      <c r="LU36" s="3453" t="e">
        <f t="shared" si="117"/>
        <v>#N/A</v>
      </c>
      <c r="LV36" s="3453">
        <f>IFERROR(outputs_klasse_qty[[#This Row],[bergbånd_langs_forbolting_g_rate]]*outputs_klasse_qty[[#This Row],[forbolting_bue_lengde_g]],0)</f>
        <v>0</v>
      </c>
      <c r="LW36"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6" s="3453" t="e">
        <f t="shared" si="37"/>
        <v>#N/A</v>
      </c>
      <c r="LY36" s="5703">
        <f>IFERROR(outputs_klasse_qty[[#This Row],[bånd_ekstra_a_rate]]*$AY88,0)</f>
        <v>0</v>
      </c>
      <c r="LZ36" s="3453" t="e">
        <f t="shared" si="38"/>
        <v>#N/A</v>
      </c>
      <c r="MA36" s="5703">
        <f>IFERROR(outputs_klasse_qty[[#This Row],[bånd_ekstra_b_rate]]*$AZ88,0)</f>
        <v>0</v>
      </c>
      <c r="MB36" s="3453" t="e">
        <f t="shared" si="39"/>
        <v>#N/A</v>
      </c>
      <c r="MC36" s="5703">
        <f>IFERROR(outputs_klasse_qty[[#This Row],[bånd_ekstra_c_rate]]*$BA88,0)</f>
        <v>0</v>
      </c>
      <c r="MD36" s="3453" t="e">
        <f t="shared" si="40"/>
        <v>#N/A</v>
      </c>
      <c r="ME36" s="5703">
        <f>IFERROR(outputs_klasse_qty[[#This Row],[bånd_ekstra_d_rate]]*$BB88,0)</f>
        <v>0</v>
      </c>
      <c r="MF36" s="3453" t="e">
        <f t="shared" si="41"/>
        <v>#N/A</v>
      </c>
      <c r="MG36" s="5703">
        <f>IFERROR(outputs_klasse_qty[[#This Row],[bånd_ekstra_e1_rate]]*$BC88,0)</f>
        <v>0</v>
      </c>
      <c r="MH36" s="3453" t="e">
        <f t="shared" si="42"/>
        <v>#N/A</v>
      </c>
      <c r="MI36" s="5703">
        <f>IFERROR(outputs_klasse_qty[[#This Row],[bånd_ekstra_e2_rate]]*$BD88,0)</f>
        <v>0</v>
      </c>
      <c r="MJ36" s="3453" t="e">
        <f t="shared" si="43"/>
        <v>#N/A</v>
      </c>
      <c r="MK36" s="5703">
        <f>IFERROR(outputs_klasse_qty[[#This Row],[bånd_ekstra_f_rate]]*$BE88,0)</f>
        <v>0</v>
      </c>
      <c r="ML36" s="3453" t="e">
        <f t="shared" si="44"/>
        <v>#N/A</v>
      </c>
      <c r="MM36" s="5703">
        <f>IFERROR(outputs_klasse_qty[[#This Row],[bånd_ekstra_g_rate]]*$BF88,0)</f>
        <v>0</v>
      </c>
      <c r="MN36"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6" s="5705">
        <f>outputs_klasse_qty[[#This Row],[bergbånd_langs_forbolting_a_output]]+outputs_klasse_qty[[#This Row],[bånd_ekstra_a_output]]</f>
        <v>0</v>
      </c>
      <c r="MP36" s="5705">
        <f>outputs_klasse_qty[[#This Row],[bergbånd_langs_forbolting_b_output]]+outputs_klasse_qty[[#This Row],[bånd_ekstra_b_output]]</f>
        <v>0</v>
      </c>
      <c r="MQ36" s="5705">
        <f>outputs_klasse_qty[[#This Row],[bergbånd_langs_forbolting_c_output]]+outputs_klasse_qty[[#This Row],[bånd_ekstra_c_output]]</f>
        <v>0</v>
      </c>
      <c r="MR36" s="5705">
        <f>outputs_klasse_qty[[#This Row],[bergbånd_langs_forbolting_d_output]]+outputs_klasse_qty[[#This Row],[bånd_ekstra_d_output]]</f>
        <v>0</v>
      </c>
      <c r="MS36" s="5705">
        <f>outputs_klasse_qty[[#This Row],[bergbånd_langs_forbolting_e1_output]]+outputs_klasse_qty[[#This Row],[bånd_ekstra_e1_output]]</f>
        <v>0</v>
      </c>
      <c r="MT36" s="5705">
        <f>outputs_klasse_qty[[#This Row],[bergbånd_langs_forbolting_e2_output]]+outputs_klasse_qty[[#This Row],[bånd_ekstra_e2_output]]</f>
        <v>0</v>
      </c>
      <c r="MU36" s="5705">
        <f>outputs_klasse_qty[[#This Row],[bergbånd_langs_forbolting_f_output]]+outputs_klasse_qty[[#This Row],[bånd_ekstra_f_output]]</f>
        <v>0</v>
      </c>
      <c r="MV36" s="5705">
        <f>outputs_klasse_qty[[#This Row],[bergbånd_langs_forbolting_g_output]]+outputs_klasse_qty[[#This Row],[bånd_ekstra_g_output]]</f>
        <v>0</v>
      </c>
      <c r="MW36" s="5706">
        <f>SUM(outputs_klasse_qty[[#This Row],[bergbånd_sum_a]:[bergbånd_sum_g]])</f>
        <v>0</v>
      </c>
      <c r="MX36" s="3453" t="e">
        <f t="shared" si="45"/>
        <v>#N/A</v>
      </c>
      <c r="MY36" s="5707">
        <f>IFERROR(outputs_klasse_qty[[#This Row],[bergbånd_sum_a]]/outputs_klasse_qty[[#This Row],[festebolter_for_bergbånd_a_senteravstand]],0)</f>
        <v>0</v>
      </c>
      <c r="MZ36" s="3453" t="e">
        <f t="shared" si="46"/>
        <v>#N/A</v>
      </c>
      <c r="NA36" s="5707">
        <f>IFERROR(outputs_klasse_qty[[#This Row],[bergbånd_sum_b]]/outputs_klasse_qty[[#This Row],[festebolter_for_bergbånd_b_senteravstand]],0)</f>
        <v>0</v>
      </c>
      <c r="NB36" s="3453" t="e">
        <f t="shared" si="47"/>
        <v>#N/A</v>
      </c>
      <c r="NC36" s="5707">
        <f>IFERROR(outputs_klasse_qty[[#This Row],[bergbånd_sum_c]]/outputs_klasse_qty[[#This Row],[festebolter_for_bergbånd_c_senteravstand]],0)</f>
        <v>0</v>
      </c>
      <c r="ND36" s="3453" t="e">
        <f t="shared" si="48"/>
        <v>#N/A</v>
      </c>
      <c r="NE36" s="5707">
        <f>IFERROR(outputs_klasse_qty[[#This Row],[bergbånd_sum_d]]/outputs_klasse_qty[[#This Row],[festebolter_for_bergbånd_d_senteravstand]],0)</f>
        <v>0</v>
      </c>
      <c r="NF36" s="3453" t="e">
        <f t="shared" si="49"/>
        <v>#N/A</v>
      </c>
      <c r="NG36" s="5707">
        <f>IFERROR(outputs_klasse_qty[[#This Row],[bergbånd_sum_e1]]/outputs_klasse_qty[[#This Row],[festebolter_for_bergbånd_e1_senteravstand]],0)</f>
        <v>0</v>
      </c>
      <c r="NH36" s="3453" t="e">
        <f t="shared" si="50"/>
        <v>#N/A</v>
      </c>
      <c r="NI36" s="5707">
        <f>IFERROR(outputs_klasse_qty[[#This Row],[bergbånd_sum_e2]]/outputs_klasse_qty[[#This Row],[festebolter_for_bergbånd_e2_senteravstand]],0)</f>
        <v>0</v>
      </c>
      <c r="NJ36" s="3453" t="e">
        <f t="shared" si="51"/>
        <v>#N/A</v>
      </c>
      <c r="NK36" s="5707">
        <f>IFERROR(outputs_klasse_qty[[#This Row],[bergbånd_sum_f]]/outputs_klasse_qty[[#This Row],[festebolter_for_bergbånd_f_senteravstand]],0)</f>
        <v>0</v>
      </c>
      <c r="NL36" s="3453" t="e">
        <f t="shared" si="52"/>
        <v>#N/A</v>
      </c>
      <c r="NM36" s="5707">
        <f>IFERROR(outputs_klasse_qty[[#This Row],[bergbånd_sum_g]]/outputs_klasse_qty[[#This Row],[festebolter_for_bergbånd_g_senteravstand]],0)</f>
        <v>0</v>
      </c>
      <c r="NN36"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6" s="3453"/>
      <c r="NP36" s="3453"/>
      <c r="NQ36" s="3453"/>
      <c r="NR36" s="3453"/>
      <c r="NS36" s="3453"/>
      <c r="NT36" s="3453"/>
      <c r="NU36" s="3453"/>
      <c r="NV36" s="3453"/>
      <c r="NW36" s="3453"/>
      <c r="NX36" s="3453"/>
      <c r="NY36" s="3453"/>
      <c r="NZ36" s="3453"/>
      <c r="OA36" s="3453"/>
      <c r="OB36" s="3453"/>
      <c r="OC36" s="3453"/>
      <c r="OD36" s="3453"/>
      <c r="OE36" s="3453"/>
      <c r="OF36" s="3453"/>
      <c r="OG36" s="3453"/>
      <c r="OH36" s="3453"/>
      <c r="OI36" s="5712" cm="1">
        <f t="array" ref="OI36">IF($AK$218=klasse_net[Method],$OI$28,IF($AK$218="",$OI$29,0))</f>
        <v>1</v>
      </c>
      <c r="OJ36" s="3453" t="e">
        <f t="shared" si="118"/>
        <v>#N/A</v>
      </c>
      <c r="OK36" s="5720">
        <f>IFERROR(outputs_klasse_qty[[#This Row],[nett_a_rate]]*$AY88,0)</f>
        <v>0</v>
      </c>
      <c r="OL36" s="3453" t="e">
        <f t="shared" si="119"/>
        <v>#N/A</v>
      </c>
      <c r="OM36" s="5720">
        <f>IFERROR(outputs_klasse_qty[[#This Row],[nett_b_rate]]*$AZ88,0)</f>
        <v>0</v>
      </c>
      <c r="ON36" s="3453" t="e">
        <f t="shared" si="120"/>
        <v>#N/A</v>
      </c>
      <c r="OO36" s="5720">
        <f>IFERROR(outputs_klasse_qty[[#This Row],[nett_c_rate]]*$BA88,0)</f>
        <v>0</v>
      </c>
      <c r="OP36" s="3453" t="e">
        <f t="shared" si="121"/>
        <v>#N/A</v>
      </c>
      <c r="OQ36" s="5720">
        <f>IFERROR(outputs_klasse_qty[[#This Row],[nett_d_rate]]*$BB88,0)</f>
        <v>0</v>
      </c>
      <c r="OR36" s="3453" t="e">
        <f t="shared" si="122"/>
        <v>#N/A</v>
      </c>
      <c r="OS36" s="5720">
        <f>IFERROR(outputs_klasse_qty[[#This Row],[nett_e1_rate]]*$BC88,0)</f>
        <v>0</v>
      </c>
      <c r="OT36" s="3453" t="e">
        <f t="shared" si="123"/>
        <v>#N/A</v>
      </c>
      <c r="OU36" s="5720">
        <f>IFERROR(outputs_klasse_qty[[#This Row],[nett_e2_rate]]*$BD88,0)</f>
        <v>0</v>
      </c>
      <c r="OV36" s="3453" t="e">
        <f t="shared" si="124"/>
        <v>#N/A</v>
      </c>
      <c r="OW36" s="5720">
        <f>IFERROR(outputs_klasse_qty[[#This Row],[nett_f_rate]]*$BE88,0)</f>
        <v>0</v>
      </c>
      <c r="OX36" s="3453" t="e">
        <f t="shared" si="125"/>
        <v>#N/A</v>
      </c>
      <c r="OY36" s="5720">
        <f>IFERROR(outputs_klasse_qty[[#This Row],[nett_g_rate]]*$BF88,0)</f>
        <v>0</v>
      </c>
      <c r="OZ36" s="5709">
        <f t="shared" si="126"/>
        <v>0</v>
      </c>
      <c r="PA36" s="3453" t="e">
        <f t="shared" si="53"/>
        <v>#N/A</v>
      </c>
      <c r="PB36" s="5618">
        <f>IFERROR(outputs_klasse_qty[[#This Row],[nett_a_output]]/(outputs_klasse_qty[[#This Row],[festebolter_for_nett_senteravstand_a]]^2),0)</f>
        <v>0</v>
      </c>
      <c r="PC36" s="3453" t="e">
        <f t="shared" si="54"/>
        <v>#N/A</v>
      </c>
      <c r="PD36" s="5618">
        <f>IFERROR(outputs_klasse_qty[[#This Row],[nett_b_output]]/(outputs_klasse_qty[[#This Row],[festebolter_for_nett_senteravstand_b]]^2),0)</f>
        <v>0</v>
      </c>
      <c r="PE36" s="3453" t="e">
        <f t="shared" si="55"/>
        <v>#N/A</v>
      </c>
      <c r="PF36" s="5618">
        <f>IFERROR(outputs_klasse_qty[[#This Row],[nett_c_output]]/(outputs_klasse_qty[[#This Row],[festebolter_for_nett_senteravstand_c]]^2),0)</f>
        <v>0</v>
      </c>
      <c r="PG36" s="3453" t="e">
        <f t="shared" si="56"/>
        <v>#N/A</v>
      </c>
      <c r="PH36" s="5618">
        <f>IFERROR(outputs_klasse_qty[[#This Row],[nett_d_output]]/(outputs_klasse_qty[[#This Row],[festebolter_for_nett_senteravstand_d]]^2),0)</f>
        <v>0</v>
      </c>
      <c r="PI36" s="3453" t="e">
        <f t="shared" si="57"/>
        <v>#N/A</v>
      </c>
      <c r="PJ36" s="5618">
        <f>IFERROR(outputs_klasse_qty[[#This Row],[nett_e1_output]]/(outputs_klasse_qty[[#This Row],[festebolter_for_nett_senteravstand_e1]]^2),0)</f>
        <v>0</v>
      </c>
      <c r="PK36" s="3453" t="e">
        <f t="shared" si="58"/>
        <v>#N/A</v>
      </c>
      <c r="PL36" s="5618">
        <f>IFERROR(outputs_klasse_qty[[#This Row],[nett_e2_output]]/(outputs_klasse_qty[[#This Row],[festebolter_for_nett_senteravstand_e2]]^2),0)</f>
        <v>0</v>
      </c>
      <c r="PM36" s="3453" t="e">
        <f t="shared" si="59"/>
        <v>#N/A</v>
      </c>
      <c r="PN36" s="5618">
        <f>IFERROR(outputs_klasse_qty[[#This Row],[nett_f_output]]/(outputs_klasse_qty[[#This Row],[festebolter_for_nett_senteravstand_f]]^2),0)</f>
        <v>0</v>
      </c>
      <c r="PO36" s="3453" t="e">
        <f t="shared" si="60"/>
        <v>#N/A</v>
      </c>
      <c r="PP36" s="5618">
        <f>IFERROR(outputs_klasse_qty[[#This Row],[nett_g_output]]/(outputs_klasse_qty[[#This Row],[festebolter_for_nett_senteravstand_g]]^2),0)</f>
        <v>0</v>
      </c>
      <c r="PQ36"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6" s="3453" t="e">
        <f t="shared" si="77"/>
        <v>#N/A</v>
      </c>
      <c r="PS36" s="5710" t="e">
        <f>outputs_klasse_qty[[#This Row],[nett_a_output]]*outputs_klasse_qty[[#This Row],[sprøytebetong_ved_nett_tykkelse_a]]/1000</f>
        <v>#N/A</v>
      </c>
      <c r="PT36" s="3453" t="e">
        <f t="shared" si="78"/>
        <v>#N/A</v>
      </c>
      <c r="PU36" s="5710" t="e">
        <f>outputs_klasse_qty[[#This Row],[nett_b_output]]*outputs_klasse_qty[[#This Row],[sprøytebetong_ved_nett_tykkelse_b]]/1000</f>
        <v>#N/A</v>
      </c>
      <c r="PV36" s="3453" t="e">
        <f t="shared" si="79"/>
        <v>#N/A</v>
      </c>
      <c r="PW36" s="5710" t="e">
        <f>outputs_klasse_qty[[#This Row],[nett_c_output]]*outputs_klasse_qty[[#This Row],[sprøytebetong_ved_nett_tykkelse_c]]/1000</f>
        <v>#N/A</v>
      </c>
      <c r="PX36" s="3453" t="e">
        <f t="shared" si="80"/>
        <v>#N/A</v>
      </c>
      <c r="PY36" s="5710" t="e">
        <f>outputs_klasse_qty[[#This Row],[nett_d_output]]*outputs_klasse_qty[[#This Row],[sprøytebetong_ved_nett_tykkelse_d]]/1000</f>
        <v>#N/A</v>
      </c>
      <c r="PZ36" s="3453" t="e">
        <f t="shared" si="81"/>
        <v>#N/A</v>
      </c>
      <c r="QA36" s="5710" t="e">
        <f>outputs_klasse_qty[[#This Row],[nett_e1_output]]*outputs_klasse_qty[[#This Row],[sprøytebetong_ved_nett_tykkelse_e1]]/1000</f>
        <v>#N/A</v>
      </c>
      <c r="QB36" s="3453" t="e">
        <f t="shared" si="82"/>
        <v>#N/A</v>
      </c>
      <c r="QC36" s="5710" t="e">
        <f>outputs_klasse_qty[[#This Row],[nett_e2_output]]*outputs_klasse_qty[[#This Row],[sprøytebetong_ved_nett_tykkelse_e2]]/1000</f>
        <v>#N/A</v>
      </c>
      <c r="QD36" s="3453" t="e">
        <f t="shared" si="83"/>
        <v>#N/A</v>
      </c>
      <c r="QE36" s="5710" t="e">
        <f>outputs_klasse_qty[[#This Row],[nett_f_output]]*outputs_klasse_qty[[#This Row],[sprøytebetong_ved_nett_tykkelse_f]]/1000</f>
        <v>#N/A</v>
      </c>
      <c r="QF36" s="3453" t="e">
        <f t="shared" si="84"/>
        <v>#N/A</v>
      </c>
      <c r="QG36" s="5710" t="e">
        <f>outputs_klasse_qty[[#This Row],[nett_g_output]]*outputs_klasse_qty[[#This Row],[sprøytebetong_ved_nett_tykkelse_g]]/1000</f>
        <v>#N/A</v>
      </c>
      <c r="QH36"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6" s="3453"/>
      <c r="QJ36" s="3453"/>
      <c r="QK36" s="3453"/>
      <c r="QL36" s="3453"/>
      <c r="QM36" s="3453"/>
      <c r="QN36" s="3453"/>
      <c r="QO36" s="3453"/>
      <c r="QP36" s="3453"/>
      <c r="QQ36" s="3453"/>
      <c r="QR36" s="5712">
        <f>IF($AK$219=_List!$DI$6,_Calcs_Klasse!$QR$28,IF($AK$219=_List!$DI$7,$QR$29,0))</f>
        <v>1</v>
      </c>
      <c r="QS36" s="5713" t="e">
        <f t="shared" si="127"/>
        <v>#N/A</v>
      </c>
      <c r="QT36" s="3453" t="e">
        <f t="shared" si="128"/>
        <v>#N/A</v>
      </c>
      <c r="QU36" s="3453">
        <f>IFERROR((outputs_klasse_qty[[#This Row],[shot_veder_a_faktor]]*outputs_klasse_qty[[#This Row],[shot_veder_a_rate]]*$AI$46*$AY88)/1000,0)</f>
        <v>0</v>
      </c>
      <c r="QV36" s="5713" t="e">
        <f t="shared" si="129"/>
        <v>#N/A</v>
      </c>
      <c r="QW36" s="3453" t="e">
        <f t="shared" si="130"/>
        <v>#N/A</v>
      </c>
      <c r="QX36" s="3453">
        <f>IFERROR((outputs_klasse_qty[[#This Row],[shot_veder_b_faktor]]*outputs_klasse_qty[[#This Row],[shot_veder_b_rate]]*$AI$46*$AZ88)/1000,0)</f>
        <v>0</v>
      </c>
      <c r="QY36" s="5713" t="e">
        <f t="shared" si="131"/>
        <v>#N/A</v>
      </c>
      <c r="QZ36" s="3453" t="e">
        <f t="shared" si="132"/>
        <v>#N/A</v>
      </c>
      <c r="RA36" s="3453">
        <f>IFERROR((outputs_klasse_qty[[#This Row],[shot_veder_c_faktor]]*outputs_klasse_qty[[#This Row],[shot_veder_c_rate]]*$AI$46*$BA88)/1000,0)</f>
        <v>0</v>
      </c>
      <c r="RB36" s="5713" t="e">
        <f t="shared" si="133"/>
        <v>#N/A</v>
      </c>
      <c r="RC36" s="3453" t="e">
        <f t="shared" si="134"/>
        <v>#N/A</v>
      </c>
      <c r="RD36" s="3453">
        <f>IFERROR((outputs_klasse_qty[[#This Row],[shot_veder_d_faktor]]*outputs_klasse_qty[[#This Row],[shot_veder_d_rate]]*$AI$46*$BB88)/1000,0)</f>
        <v>0</v>
      </c>
      <c r="RE36" s="5713" t="e">
        <f t="shared" si="135"/>
        <v>#N/A</v>
      </c>
      <c r="RF36" s="3453" t="e">
        <f t="shared" si="136"/>
        <v>#N/A</v>
      </c>
      <c r="RG36" s="3453">
        <f>IFERROR((outputs_klasse_qty[[#This Row],[shot_veder_e1_faktor]]*outputs_klasse_qty[[#This Row],[shot_veder_e1_rate]]*$AI$46*$BC88)/1000,0)</f>
        <v>0</v>
      </c>
      <c r="RH36" s="5713" t="e">
        <f t="shared" si="137"/>
        <v>#N/A</v>
      </c>
      <c r="RI36" s="3453" t="e">
        <f t="shared" si="138"/>
        <v>#N/A</v>
      </c>
      <c r="RJ36" s="3453">
        <f>IFERROR((outputs_klasse_qty[[#This Row],[shot_veder_e2_faktor]]*outputs_klasse_qty[[#This Row],[shot_veder_e2_rate]]*$AI$46*$BD88)/1000,0)</f>
        <v>0</v>
      </c>
      <c r="RK36" s="5713" t="e">
        <f t="shared" si="139"/>
        <v>#N/A</v>
      </c>
      <c r="RL36" s="3453" t="e">
        <f t="shared" si="140"/>
        <v>#N/A</v>
      </c>
      <c r="RM36" s="3453">
        <f>IFERROR((outputs_klasse_qty[[#This Row],[shot_veder_f_faktor]]*outputs_klasse_qty[[#This Row],[shot_veder_f_rate]]*$AI$46*$BE88)/1000,0)</f>
        <v>0</v>
      </c>
      <c r="RN36" s="5713" t="e">
        <f t="shared" si="141"/>
        <v>#N/A</v>
      </c>
      <c r="RO36" s="3453" t="e">
        <f t="shared" si="142"/>
        <v>#N/A</v>
      </c>
      <c r="RP36" s="3453">
        <f>IFERROR((outputs_klasse_qty[[#This Row],[shot_veder_g_faktor]]*outputs_klasse_qty[[#This Row],[shot_veder_g_rate]]*$AI$46*$BF88)/1000,0)</f>
        <v>0</v>
      </c>
      <c r="RQ36"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6" s="5712">
        <v>1</v>
      </c>
      <c r="RS36" s="5713" t="e">
        <f t="shared" si="143"/>
        <v>#N/A</v>
      </c>
      <c r="RT36" s="3453" t="e">
        <f t="shared" si="144"/>
        <v>#N/A</v>
      </c>
      <c r="RU36" s="3453">
        <f>IFERROR((outputs_klasse_qty[[#This Row],[shot_vegg_a_faktor]]*outputs_klasse_qty[[#This Row],[shot_vegg_a_rate]]*$AI$42*2*$AY88)/1000,0)</f>
        <v>0</v>
      </c>
      <c r="RV36" s="5713" t="e">
        <f t="shared" si="145"/>
        <v>#N/A</v>
      </c>
      <c r="RW36" s="3453" t="e">
        <f t="shared" si="146"/>
        <v>#N/A</v>
      </c>
      <c r="RX36" s="3453">
        <f>IFERROR((outputs_klasse_qty[[#This Row],[shot_vegg_b_faktor]]*outputs_klasse_qty[[#This Row],[shot_vegg_b_rate]]*$AI$42*2*$AZ88)/1000,0)</f>
        <v>0</v>
      </c>
      <c r="RY36" s="5713" t="e">
        <f t="shared" si="147"/>
        <v>#N/A</v>
      </c>
      <c r="RZ36" s="3453" t="e">
        <f t="shared" si="148"/>
        <v>#N/A</v>
      </c>
      <c r="SA36" s="3453">
        <f>IFERROR((outputs_klasse_qty[[#This Row],[shot_vegg_c_faktor]]*outputs_klasse_qty[[#This Row],[shot_vegg_c_rate]]*$AI$42*2*$BA88)/1000,0)</f>
        <v>0</v>
      </c>
      <c r="SB36" s="5713" t="e">
        <f t="shared" si="149"/>
        <v>#N/A</v>
      </c>
      <c r="SC36" s="3453" t="e">
        <f t="shared" si="150"/>
        <v>#N/A</v>
      </c>
      <c r="SD36" s="3453">
        <f>IFERROR((outputs_klasse_qty[[#This Row],[shot_vegg_d_faktor]]*outputs_klasse_qty[[#This Row],[shot_vegg_d_rate]]*$AI$42*2*$BB88)/1000,0)</f>
        <v>0</v>
      </c>
      <c r="SE36" s="5713" t="e">
        <f t="shared" si="151"/>
        <v>#N/A</v>
      </c>
      <c r="SF36" s="3453" t="e">
        <f t="shared" si="152"/>
        <v>#N/A</v>
      </c>
      <c r="SG36" s="3453">
        <f>IFERROR((outputs_klasse_qty[[#This Row],[shot_vegg_e1_faktor]]*outputs_klasse_qty[[#This Row],[shot_vegg_e1_rate]]*$AI$42*2*$BC88)/1000,0)</f>
        <v>0</v>
      </c>
      <c r="SH36" s="5713" t="e">
        <f t="shared" si="153"/>
        <v>#N/A</v>
      </c>
      <c r="SI36" s="3453" t="e">
        <f t="shared" si="154"/>
        <v>#N/A</v>
      </c>
      <c r="SJ36" s="3453">
        <f>IFERROR((outputs_klasse_qty[[#This Row],[shot_vegg_e2_faktor]]*outputs_klasse_qty[[#This Row],[shot_vegg_e2_rate]]*$AI$42*2*$BD88)/1000,0)</f>
        <v>0</v>
      </c>
      <c r="SK36" s="5713" t="e">
        <f t="shared" si="155"/>
        <v>#N/A</v>
      </c>
      <c r="SL36" s="3453" t="e">
        <f t="shared" si="156"/>
        <v>#N/A</v>
      </c>
      <c r="SM36" s="3453">
        <f>IFERROR((outputs_klasse_qty[[#This Row],[shot_vegg_f_faktor]]*outputs_klasse_qty[[#This Row],[shot_vegg_f_rate]]*$AI$42*2*$BE88)/1000,0)</f>
        <v>0</v>
      </c>
      <c r="SN36" s="5713" t="e">
        <f t="shared" si="157"/>
        <v>#N/A</v>
      </c>
      <c r="SO36" s="3453" t="e">
        <f t="shared" si="158"/>
        <v>#N/A</v>
      </c>
      <c r="SP36" s="3453">
        <f>IFERROR((outputs_klasse_qty[[#This Row],[shot_vegg_g_faktor]]*outputs_klasse_qty[[#This Row],[shot_vegg_g_rate]]*$AI$42*2*$BF88)/1000,0)</f>
        <v>0</v>
      </c>
      <c r="SQ36"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6" s="5715">
        <f>outputs_klasse_qty[[#This Row],[shot_veder_sum]]+outputs_klasse_qty[[#This Row],[shot_vegg_sum]]</f>
        <v>0</v>
      </c>
      <c r="SS36" s="3453"/>
      <c r="ST36" s="3453"/>
      <c r="SU36" s="3453"/>
      <c r="SV36" s="3453"/>
      <c r="SW36" s="3453"/>
      <c r="SX36" s="3453"/>
      <c r="SY36" s="3453"/>
      <c r="SZ36" s="3453"/>
      <c r="TA36" s="3453"/>
      <c r="TB36" s="3453"/>
      <c r="TC36" s="3453"/>
      <c r="TD36" s="3453"/>
      <c r="TE36" s="3453"/>
      <c r="TF36" s="3453"/>
      <c r="TG36" s="3453"/>
      <c r="TH36" s="3453"/>
      <c r="TI36" s="3453"/>
      <c r="TJ36" s="3453"/>
      <c r="TK36" s="5721" cm="1">
        <f t="array" ref="TK36">IF($AK$221=klasse_buer[Method],_Calcs_Klasse!$TK$28,IF($AK$221="",_Calcs_Klasse!TK33,""))</f>
        <v>1</v>
      </c>
      <c r="TL36" s="3453" t="e">
        <f t="shared" si="159"/>
        <v>#N/A</v>
      </c>
      <c r="TM36" s="3453" t="e">
        <f t="shared" si="61"/>
        <v>#N/A</v>
      </c>
      <c r="TN36" s="3453">
        <f>IFERROR((IF(OR(outputs_klasse_qty[[#This Row],[bue_a_dim]]=_List!$DO$7,outputs_klasse_qty[[#This Row],[bue_a_dim]]=_List!$DO$8),($AY88*$AI$40)/outputs_klasse_qty[[#This Row],[bue_a_senteravstand]]*outputs_klasse_qty[[#This Row],[bue_a_andel]],0)),0)</f>
        <v>0</v>
      </c>
      <c r="TO36" s="5722" t="e">
        <f t="shared" si="160"/>
        <v>#N/A</v>
      </c>
      <c r="TP36" s="5702" t="e">
        <f t="shared" si="161"/>
        <v>#N/A</v>
      </c>
      <c r="TQ36" s="5723" t="e">
        <f t="shared" si="162"/>
        <v>#N/A</v>
      </c>
      <c r="TR36" s="3453" t="e">
        <f t="shared" si="163"/>
        <v>#N/A</v>
      </c>
      <c r="TS36" s="3453" t="e">
        <f t="shared" si="62"/>
        <v>#N/A</v>
      </c>
      <c r="TT36" s="3453">
        <f>IFERROR((IF(OR(outputs_klasse_qty[[#This Row],[bue_b_dim]]=_List!$DO$7,outputs_klasse_qty[[#This Row],[bue_b_dim]]=_List!$DO$8),($AZ88*$AI$40)/outputs_klasse_qty[[#This Row],[bue_b_senteravstand]]*outputs_klasse_qty[[#This Row],[bue_b_andel]],0)),0)</f>
        <v>0</v>
      </c>
      <c r="TU36" s="5722" t="e">
        <f t="shared" si="164"/>
        <v>#N/A</v>
      </c>
      <c r="TV36" s="5702" t="e">
        <f t="shared" si="165"/>
        <v>#N/A</v>
      </c>
      <c r="TW36" s="5723" t="e">
        <f t="shared" si="166"/>
        <v>#N/A</v>
      </c>
      <c r="TX36" s="3453" t="e">
        <f t="shared" si="167"/>
        <v>#N/A</v>
      </c>
      <c r="TY36" s="3453" t="e">
        <f t="shared" si="63"/>
        <v>#N/A</v>
      </c>
      <c r="TZ36" s="3453">
        <f>IFERROR((IF(OR(outputs_klasse_qty[[#This Row],[bue_c_dim]]=_List!$DO$7,outputs_klasse_qty[[#This Row],[bue_c_dim]]=_List!$DO$8),($BA88*$AI$40)/outputs_klasse_qty[[#This Row],[bue_c_senteravstand]]*outputs_klasse_qty[[#This Row],[bue_c_andel]],0)),0)</f>
        <v>0</v>
      </c>
      <c r="UA36" s="5722" t="e">
        <f t="shared" si="168"/>
        <v>#N/A</v>
      </c>
      <c r="UB36" s="5702" t="e">
        <f t="shared" si="169"/>
        <v>#N/A</v>
      </c>
      <c r="UC36" s="5723" t="e">
        <f t="shared" si="170"/>
        <v>#N/A</v>
      </c>
      <c r="UD36" s="3453" t="e">
        <f t="shared" si="171"/>
        <v>#N/A</v>
      </c>
      <c r="UE36" s="3453" t="e">
        <f t="shared" si="64"/>
        <v>#N/A</v>
      </c>
      <c r="UF36" s="3453">
        <f>IFERROR((IF(OR(outputs_klasse_qty[[#This Row],[bue_d_dim]]=_List!$DO$7,outputs_klasse_qty[[#This Row],[bue_d_dim]]=_List!$DO$8),($BB88*$AI$40)/outputs_klasse_qty[[#This Row],[bue_d_senteravstand]]*outputs_klasse_qty[[#This Row],[bue_d_andel]],0)),0)</f>
        <v>0</v>
      </c>
      <c r="UG36" s="5722" t="e">
        <f t="shared" si="172"/>
        <v>#N/A</v>
      </c>
      <c r="UH36" s="5702" t="e">
        <f t="shared" si="173"/>
        <v>#N/A</v>
      </c>
      <c r="UI36" s="5723" t="e">
        <f t="shared" si="174"/>
        <v>#N/A</v>
      </c>
      <c r="UJ36" s="3453" t="e">
        <f t="shared" si="175"/>
        <v>#N/A</v>
      </c>
      <c r="UK36" s="3453" t="e">
        <f t="shared" si="65"/>
        <v>#N/A</v>
      </c>
      <c r="UL36" s="3453">
        <f>IFERROR((IF(OR(outputs_klasse_qty[[#This Row],[bue_e1_dim]]=_List!$DO$7,outputs_klasse_qty[[#This Row],[bue_e1_dim]]=_List!$DO$8),($BC88*$AI$40)/outputs_klasse_qty[[#This Row],[bue_e1_senteravstand]]*outputs_klasse_qty[[#This Row],[bue_e1_andel]],0)),0)</f>
        <v>0</v>
      </c>
      <c r="UM36" s="5722" t="e">
        <f t="shared" si="176"/>
        <v>#N/A</v>
      </c>
      <c r="UN36" s="5702" t="e">
        <f t="shared" si="177"/>
        <v>#N/A</v>
      </c>
      <c r="UO36" s="5723" t="e">
        <f t="shared" si="178"/>
        <v>#N/A</v>
      </c>
      <c r="UP36" s="3453" t="e">
        <f t="shared" si="179"/>
        <v>#N/A</v>
      </c>
      <c r="UQ36" s="3453" t="e">
        <f t="shared" si="66"/>
        <v>#N/A</v>
      </c>
      <c r="UR36" s="3453">
        <f>IFERROR((IF(OR(outputs_klasse_qty[[#This Row],[bue_e2_dim]]=_List!$DO$7,outputs_klasse_qty[[#This Row],[bue_e2_dim]]=_List!$DO$8),($BD88*$AI$40)/outputs_klasse_qty[[#This Row],[bue_e2_senteravstand]]*outputs_klasse_qty[[#This Row],[bue_e2_andel]],0)),0)</f>
        <v>0</v>
      </c>
      <c r="US36" s="5722" t="e">
        <f t="shared" si="180"/>
        <v>#N/A</v>
      </c>
      <c r="UT36" s="5702" t="e">
        <f t="shared" si="181"/>
        <v>#N/A</v>
      </c>
      <c r="UU36" s="5723" t="e">
        <f t="shared" si="182"/>
        <v>#N/A</v>
      </c>
      <c r="UV36" s="3453" t="e">
        <f t="shared" si="183"/>
        <v>#N/A</v>
      </c>
      <c r="UW36" s="3453" t="e">
        <f t="shared" si="67"/>
        <v>#N/A</v>
      </c>
      <c r="UX36" s="3453">
        <f>IFERROR((IF(OR(outputs_klasse_qty[[#This Row],[bue_f_dim]]=_List!$DO$7,outputs_klasse_qty[[#This Row],[bue_f_dim]]=_List!$DO$8),($BE88*$AI$40)/outputs_klasse_qty[[#This Row],[bue_f_senteravstand]]*outputs_klasse_qty[[#This Row],[bue_f_andel]],0)),0)</f>
        <v>0</v>
      </c>
      <c r="UY36" s="5722" t="e">
        <f t="shared" si="184"/>
        <v>#N/A</v>
      </c>
      <c r="UZ36" s="5702" t="e">
        <f t="shared" si="185"/>
        <v>#N/A</v>
      </c>
      <c r="VA36" s="5723" t="e">
        <f t="shared" si="186"/>
        <v>#N/A</v>
      </c>
      <c r="VB36" s="3453" t="e">
        <f t="shared" si="187"/>
        <v>#N/A</v>
      </c>
      <c r="VC36" s="3453" t="e">
        <f t="shared" si="68"/>
        <v>#N/A</v>
      </c>
      <c r="VD36" s="3453">
        <f>IFERROR((IF(OR(outputs_klasse_qty[[#This Row],[bue_g_dim]]=_List!$DO$7,outputs_klasse_qty[[#This Row],[bue_g_dim]]=_List!$DO$8),($BF88*$AI$40)/outputs_klasse_qty[[#This Row],[bue_g_senteravstand]]*outputs_klasse_qty[[#This Row],[bue_g_andel]],0)),0)</f>
        <v>0</v>
      </c>
      <c r="VE36" s="5722" t="e">
        <f t="shared" si="188"/>
        <v>#N/A</v>
      </c>
      <c r="VF36" s="5702" t="e">
        <f t="shared" si="189"/>
        <v>#N/A</v>
      </c>
      <c r="VG36" s="5723" t="e">
        <f t="shared" si="190"/>
        <v>#N/A</v>
      </c>
      <c r="VH36"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6"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6" s="5719" t="str">
        <f>IFERROR(outputs_klasse_qty[[#This Row],[bue_e30_sum]]+outputs_klasse_qty[[#This Row],[bue_d60_sum]],"")</f>
        <v/>
      </c>
      <c r="VK36" s="3453">
        <f t="shared" si="191"/>
        <v>0</v>
      </c>
      <c r="VL36" s="3453">
        <f>outputs_klasse_qty[[#This Row],[bue_a_output]]*outputs_klasse_qty[[#This Row],[sprøytebetong_ved_bue_rate_a]]</f>
        <v>0</v>
      </c>
      <c r="VM36" s="3453">
        <f t="shared" si="192"/>
        <v>0</v>
      </c>
      <c r="VN36" s="3453">
        <f>outputs_klasse_qty[[#This Row],[bue_b_output]]*outputs_klasse_qty[[#This Row],[sprøytebetong_ved_bue_rate_b]]</f>
        <v>0</v>
      </c>
      <c r="VO36" s="3453">
        <f t="shared" si="193"/>
        <v>0</v>
      </c>
      <c r="VP36" s="3453">
        <f>outputs_klasse_qty[[#This Row],[bue_c_output]]*outputs_klasse_qty[[#This Row],[sprøytebetong_ved_bue_rate_c]]</f>
        <v>0</v>
      </c>
      <c r="VQ36" s="3453">
        <f t="shared" si="194"/>
        <v>0</v>
      </c>
      <c r="VR36" s="3453">
        <f>outputs_klasse_qty[[#This Row],[bue_d_output]]*outputs_klasse_qty[[#This Row],[sprøytebetong_ved_bue_rate_d]]</f>
        <v>0</v>
      </c>
      <c r="VS36" s="3453">
        <f t="shared" si="195"/>
        <v>0</v>
      </c>
      <c r="VT36" s="3453">
        <f>outputs_klasse_qty[[#This Row],[bue_e1_output]]*outputs_klasse_qty[[#This Row],[sprøytebetong_ved_bue_rate_e1]]</f>
        <v>0</v>
      </c>
      <c r="VU36" s="3453">
        <f t="shared" si="196"/>
        <v>0</v>
      </c>
      <c r="VV36" s="3453">
        <f>outputs_klasse_qty[[#This Row],[bue_e2_output]]*outputs_klasse_qty[[#This Row],[sprøytebetong_ved_bue_rate_e2]]</f>
        <v>0</v>
      </c>
      <c r="VW36" s="3453">
        <f t="shared" si="197"/>
        <v>0</v>
      </c>
      <c r="VX36" s="3453">
        <f>outputs_klasse_qty[[#This Row],[bue_f_output]]*outputs_klasse_qty[[#This Row],[sprøytebetong_ved_bue_rate_f]]</f>
        <v>0</v>
      </c>
      <c r="VY36" s="3453">
        <f t="shared" si="198"/>
        <v>0</v>
      </c>
      <c r="VZ36" s="3453">
        <f>outputs_klasse_qty[[#This Row],[bue_g_output]]*outputs_klasse_qty[[#This Row],[sprøytebetong_ved_bue_rate_g]]</f>
        <v>0</v>
      </c>
      <c r="WA36"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6" s="3453" t="e">
        <f t="shared" si="199"/>
        <v>#N/A</v>
      </c>
      <c r="WC36" s="3453">
        <f>IFERROR((IF(OR(outputs_klasse_qty[[#This Row],[bue_a_dim]]=_List!$DO$7,outputs_klasse_qty[[#This Row],[bue_a_dim]]=_List!$DO$8),_Calcs_Klasse!AY88/$AJQ$42*outputs_klasse_qty[[#This Row],[forankring_bolter_rate_a]],0)),0)</f>
        <v>0</v>
      </c>
      <c r="WD36" s="3453" t="e">
        <f t="shared" si="200"/>
        <v>#N/A</v>
      </c>
      <c r="WE36" s="3453">
        <f>IFERROR((IF(OR(outputs_klasse_qty[[#This Row],[bue_b_dim]]=_List!$DO$7,outputs_klasse_qty[[#This Row],[bue_b_dim]]=_List!$DO$8),_Calcs_Klasse!AZ88/$AJQ$43*outputs_klasse_qty[[#This Row],[forankring_bolter_rate_b]],0)),0)</f>
        <v>0</v>
      </c>
      <c r="WF36" s="3453" t="e">
        <f t="shared" si="201"/>
        <v>#N/A</v>
      </c>
      <c r="WG36" s="3453">
        <f>IFERROR((IF(OR(outputs_klasse_qty[[#This Row],[bue_c_dim]]=_List!$DO$7,outputs_klasse_qty[[#This Row],[bue_c_dim]]=_List!$DO$8),_Calcs_Klasse!BA88/$AJQ$44*outputs_klasse_qty[[#This Row],[forankring_bolter_rate_c]],0)),0)</f>
        <v>0</v>
      </c>
      <c r="WH36" s="3453" t="e">
        <f t="shared" si="202"/>
        <v>#N/A</v>
      </c>
      <c r="WI36" s="3453">
        <f>IFERROR((IF(OR(outputs_klasse_qty[[#This Row],[bue_d_dim]]=_List!$DO$7,outputs_klasse_qty[[#This Row],[bue_d_dim]]=_List!$DO$8),_Calcs_Klasse!BB88/$AJQ$45*outputs_klasse_qty[[#This Row],[forankring_bolter_rate_d]],0)),0)</f>
        <v>0</v>
      </c>
      <c r="WJ36" s="3453" t="e">
        <f t="shared" si="203"/>
        <v>#N/A</v>
      </c>
      <c r="WK36" s="3453">
        <f>IFERROR((IF(OR(outputs_klasse_qty[[#This Row],[bue_e1_dim]]=_List!$DO$7,outputs_klasse_qty[[#This Row],[bue_e1_dim]]=_List!$DO$8),_Calcs_Klasse!BC88/$AJQ$46*outputs_klasse_qty[[#This Row],[forankring_bolter_rate_e1]],0)),0)</f>
        <v>0</v>
      </c>
      <c r="WL36" s="3453" t="e">
        <f t="shared" si="204"/>
        <v>#N/A</v>
      </c>
      <c r="WM36" s="3453">
        <f>IFERROR((IF(OR(outputs_klasse_qty[[#This Row],[bue_e2_dim]]=_List!$DO$7,outputs_klasse_qty[[#This Row],[bue_e2_dim]]=_List!$DO$8),_Calcs_Klasse!BD88/$AJQ$47*outputs_klasse_qty[[#This Row],[forankring_bolter_rate_e2]],0)),0)</f>
        <v>0</v>
      </c>
      <c r="WN36" s="3453" t="e">
        <f t="shared" si="205"/>
        <v>#N/A</v>
      </c>
      <c r="WO36" s="3453">
        <f>IFERROR((IF(OR(outputs_klasse_qty[[#This Row],[bue_f_dim]]=_List!$DO$7,outputs_klasse_qty[[#This Row],[bue_f_dim]]=_List!$DO$8),_Calcs_Klasse!BE88/$AJQ$48*outputs_klasse_qty[[#This Row],[forankring_bolter_rate_f]],0)),0)</f>
        <v>0</v>
      </c>
      <c r="WP36" s="3453" t="e">
        <f t="shared" si="206"/>
        <v>#N/A</v>
      </c>
      <c r="WQ36" s="3453">
        <f>IFERROR((IF(OR(outputs_klasse_qty[[#This Row],[bue_g_dim]]=_List!$DO$7,outputs_klasse_qty[[#This Row],[bue_g_dim]]=_List!$DO$8),_Calcs_Klasse!BF88/$AJQ$49*outputs_klasse_qty[[#This Row],[forankring_bolter_rate_g]],0)),0)</f>
        <v>0</v>
      </c>
      <c r="WR36" s="3453">
        <f>IFERROR(outputs_klasse_qty[[#This Row],[forankring_bolter_output_a]]*$AMD$42,0)</f>
        <v>0</v>
      </c>
      <c r="WS36" s="3453">
        <f>IFERROR(outputs_klasse_qty[[#This Row],[forankring_bolter_output_a]]*$AMM$42,0)</f>
        <v>0</v>
      </c>
      <c r="WT36" s="3453">
        <f>IFERROR(outputs_klasse_qty[[#This Row],[forankring_bolter_output_b]]*$AMD$43,0)</f>
        <v>0</v>
      </c>
      <c r="WU36" s="3453">
        <f>IFERROR(outputs_klasse_qty[[#This Row],[forankring_bolter_output_b]]*$AMM$43,0)</f>
        <v>0</v>
      </c>
      <c r="WV36" s="3453">
        <f>IFERROR(outputs_klasse_qty[[#This Row],[forankring_bolter_output_c]]*$AMD$44,0)</f>
        <v>0</v>
      </c>
      <c r="WW36" s="3453">
        <f>IFERROR(outputs_klasse_qty[[#This Row],[forankring_bolter_output_c]]*$AMM$44,0)</f>
        <v>0</v>
      </c>
      <c r="WX36" s="3453">
        <f>IFERROR(outputs_klasse_qty[[#This Row],[forankring_bolter_output_d]]*$AMD$45,0)</f>
        <v>0</v>
      </c>
      <c r="WY36" s="3453">
        <f>IFERROR(outputs_klasse_qty[[#This Row],[forankring_bolter_output_d]]*$AMM$45,0)</f>
        <v>0</v>
      </c>
      <c r="WZ36" s="3453">
        <f>IFERROR(outputs_klasse_qty[[#This Row],[forankring_bolter_output_e1]]*$AMD$46,0)</f>
        <v>0</v>
      </c>
      <c r="XA36" s="3453">
        <f>IFERROR(outputs_klasse_qty[[#This Row],[forankring_bolter_output_e1]]*$AMM$46,0)</f>
        <v>0</v>
      </c>
      <c r="XB36" s="3453">
        <f>IFERROR(outputs_klasse_qty[[#This Row],[forankring_bolter_output_e2]]*$AMD$47,0)</f>
        <v>0</v>
      </c>
      <c r="XC36" s="3453">
        <f>IFERROR(outputs_klasse_qty[[#This Row],[forankring_bolter_output_e2]]*$AMM$47,0)</f>
        <v>0</v>
      </c>
      <c r="XD36" s="3453">
        <f>IFERROR(outputs_klasse_qty[[#This Row],[forankring_bolter_output_f]]*$AMD$48,0)</f>
        <v>0</v>
      </c>
      <c r="XE36" s="3453">
        <f>IFERROR(outputs_klasse_qty[[#This Row],[forankring_bolter_output_f]]*$AMM$48,0)</f>
        <v>0</v>
      </c>
      <c r="XF36" s="3453">
        <f>IFERROR(outputs_klasse_qty[[#This Row],[forankring_bolter_output_g]]*$AMD$49,0)</f>
        <v>0</v>
      </c>
      <c r="XG36" s="3453">
        <f>IFERROR(outputs_klasse_qty[[#This Row],[forankring_bolter_output_g]]*$AMM$49,0)</f>
        <v>0</v>
      </c>
      <c r="XH36"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6"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6" s="3453" t="e">
        <f t="shared" si="69"/>
        <v>#N/A</v>
      </c>
      <c r="XK36" s="5819" t="e">
        <f>outputs_klasse_qty[[#This Row],[bue_a_output]]/outputs_klasse_qty[[#This Row],[bue_radielle_bolter_rate_a]]</f>
        <v>#N/A</v>
      </c>
      <c r="XL36" s="5819" t="e">
        <f t="shared" si="70"/>
        <v>#N/A</v>
      </c>
      <c r="XM36" s="5819" t="e">
        <f>outputs_klasse_qty[[#This Row],[bue_b_output]]/outputs_klasse_qty[[#This Row],[bue_radielle_bolter_rate_b]]</f>
        <v>#N/A</v>
      </c>
      <c r="XN36" s="5819" t="e">
        <f t="shared" si="71"/>
        <v>#N/A</v>
      </c>
      <c r="XO36" s="5819" t="e">
        <f>outputs_klasse_qty[[#This Row],[bue_c_output]]/outputs_klasse_qty[[#This Row],[bue_radielle_bolter_rate_c]]</f>
        <v>#N/A</v>
      </c>
      <c r="XP36" s="5819" t="e">
        <f t="shared" si="72"/>
        <v>#N/A</v>
      </c>
      <c r="XQ36" s="5819" t="e">
        <f>outputs_klasse_qty[[#This Row],[bue_d_output]]/outputs_klasse_qty[[#This Row],[bue_radielle_bolter_rate_d]]</f>
        <v>#N/A</v>
      </c>
      <c r="XR36" s="5819" t="e">
        <f t="shared" si="73"/>
        <v>#N/A</v>
      </c>
      <c r="XS36" s="5819" t="e">
        <f>outputs_klasse_qty[[#This Row],[bue_e1_output]]/outputs_klasse_qty[[#This Row],[bue_radielle_bolter_rate_e1]]</f>
        <v>#N/A</v>
      </c>
      <c r="XT36" s="5819" t="e">
        <f t="shared" si="74"/>
        <v>#N/A</v>
      </c>
      <c r="XU36" s="5819" t="e">
        <f>outputs_klasse_qty[[#This Row],[bue_e2_output]]/outputs_klasse_qty[[#This Row],[bue_radielle_bolter_rate_e2]]</f>
        <v>#N/A</v>
      </c>
      <c r="XV36" s="5819" t="e">
        <f t="shared" si="75"/>
        <v>#N/A</v>
      </c>
      <c r="XW36" s="5819" t="e">
        <f>outputs_klasse_qty[[#This Row],[bue_f_output]]/outputs_klasse_qty[[#This Row],[bue_radielle_bolter_rate_f]]</f>
        <v>#N/A</v>
      </c>
      <c r="XX36" s="5819" t="e">
        <f t="shared" si="76"/>
        <v>#N/A</v>
      </c>
      <c r="XY36" s="5819" t="e">
        <f>outputs_klasse_qty[[#This Row],[bue_g_output]]/outputs_klasse_qty[[#This Row],[bue_radielle_bolter_rate_g]]</f>
        <v>#N/A</v>
      </c>
      <c r="XZ36" s="5819">
        <f>IFERROR(outputs_klasse_qty[[#This Row],[bue_radielle_bolter_output_a]]*$AKS$42,0)</f>
        <v>0</v>
      </c>
      <c r="YA36" s="5819">
        <f>IFERROR(outputs_klasse_qty[[#This Row],[bue_radielle_bolter_output_a]]*$ALB$42,0)</f>
        <v>0</v>
      </c>
      <c r="YB36" s="5819">
        <f>IFERROR(outputs_klasse_qty[[#This Row],[bue_radielle_bolter_output_b]]*$AKS$43,0)</f>
        <v>0</v>
      </c>
      <c r="YC36" s="5819">
        <f>IFERROR(outputs_klasse_qty[[#This Row],[bue_radielle_bolter_output_b]]*$ALB$43,0)</f>
        <v>0</v>
      </c>
      <c r="YD36" s="5819">
        <f>IFERROR(outputs_klasse_qty[[#This Row],[bue_radielle_bolter_output_c]]*$AKS$44,0)</f>
        <v>0</v>
      </c>
      <c r="YE36" s="5819">
        <f>IFERROR(outputs_klasse_qty[[#This Row],[bue_radielle_bolter_output_c]]*$ALB$44,0)</f>
        <v>0</v>
      </c>
      <c r="YF36" s="5819">
        <f>IFERROR(outputs_klasse_qty[[#This Row],[bue_radielle_bolter_output_d]]*$AKS$45,0)</f>
        <v>0</v>
      </c>
      <c r="YG36" s="5819">
        <f>IFERROR(outputs_klasse_qty[[#This Row],[bue_radielle_bolter_output_d]]*$ALB$45,0)</f>
        <v>0</v>
      </c>
      <c r="YH36" s="5819">
        <f>IFERROR(outputs_klasse_qty[[#This Row],[bue_radielle_bolter_output_e1]]*$AKS$46,0)</f>
        <v>0</v>
      </c>
      <c r="YI36" s="5819">
        <f>IFERROR(outputs_klasse_qty[[#This Row],[bue_radielle_bolter_output_e1]]*$ALB$46,0)</f>
        <v>0</v>
      </c>
      <c r="YJ36" s="5819">
        <f>IFERROR(outputs_klasse_qty[[#This Row],[bue_radielle_bolter_output_e2]]*$AKS$47,0)</f>
        <v>0</v>
      </c>
      <c r="YK36" s="5819">
        <f>IFERROR(outputs_klasse_qty[[#This Row],[bue_radielle_bolter_output_e2]]*$ALB$47,0)</f>
        <v>0</v>
      </c>
      <c r="YL36" s="5819">
        <f>IFERROR(outputs_klasse_qty[[#This Row],[bue_radielle_bolter_output_f]]*$AKS$48,0)</f>
        <v>0</v>
      </c>
      <c r="YM36" s="5819">
        <f>IFERROR(outputs_klasse_qty[[#This Row],[bue_radielle_bolter_output_f]]*$ALB$48,0)</f>
        <v>0</v>
      </c>
      <c r="YN36" s="5819">
        <f>IFERROR(outputs_klasse_qty[[#This Row],[bue_radielle_bolter_output_g]]*$AKS$49,0)</f>
        <v>0</v>
      </c>
      <c r="YO36" s="5819">
        <f>IFERROR(outputs_klasse_qty[[#This Row],[bue_radielle_bolter_output_g]]*$ALB$49,0)</f>
        <v>0</v>
      </c>
      <c r="YP36"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6"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6" s="5819"/>
      <c r="YS36" s="5819"/>
      <c r="YT36" s="5819"/>
      <c r="YU36" s="5819"/>
      <c r="YV36" s="5819"/>
      <c r="YW36" s="5819"/>
      <c r="YX36" s="5819"/>
      <c r="YY36" s="5819"/>
      <c r="YZ36" s="5819"/>
      <c r="ZA36" s="5819"/>
      <c r="ZB36" s="5819"/>
      <c r="ZC36" s="5819"/>
      <c r="ZD36" s="5819"/>
      <c r="ZE36" s="5819"/>
      <c r="ZF36" s="5819"/>
      <c r="ZG36" s="5819"/>
      <c r="ZH36" s="5819"/>
      <c r="ZI36" s="3453"/>
      <c r="ZJ36" s="3453"/>
      <c r="ZK36" s="3453"/>
      <c r="ZL36" s="3453"/>
      <c r="ZM36" s="3453"/>
      <c r="ZN36" s="837"/>
      <c r="ZO36" s="837"/>
      <c r="ZP36" s="837"/>
      <c r="ZQ36" s="837"/>
      <c r="ZR36" s="837"/>
      <c r="ZS36" s="837"/>
      <c r="ZT36" s="837"/>
      <c r="ZU36" s="837"/>
      <c r="ZV36" s="837"/>
      <c r="ZW36" s="837"/>
      <c r="ZX36" s="837"/>
      <c r="ZY36" s="837"/>
      <c r="ZZ36" s="837"/>
      <c r="AAA36" s="837"/>
      <c r="AAB36" s="2622"/>
      <c r="AAC36" s="2622"/>
      <c r="AAD36" s="2622"/>
      <c r="AAE36" s="2622"/>
      <c r="AAF36" s="2622"/>
      <c r="AAG36" s="2622"/>
      <c r="AAH36" s="2622"/>
      <c r="AAI36" s="2622"/>
      <c r="AAJ36" s="2622"/>
      <c r="AAK36" s="2622"/>
      <c r="AAL36" s="2622"/>
      <c r="AAM36" s="2622"/>
      <c r="AAN36" s="2622"/>
      <c r="AAO36" s="2622"/>
      <c r="AAP36" s="2622"/>
      <c r="AAQ36" s="2622"/>
      <c r="AAR36" s="2622"/>
      <c r="AAS36" s="2622"/>
      <c r="AAT36" s="2622"/>
      <c r="AAU36" s="2622"/>
      <c r="AAV36" s="2622"/>
      <c r="AAW36" s="2622"/>
      <c r="AAX36" s="2622"/>
      <c r="AAY36" s="2772" t="s">
        <v>923</v>
      </c>
      <c r="AAZ36" s="2622"/>
      <c r="ABA36" s="3351" t="s">
        <v>1503</v>
      </c>
      <c r="ABB36" s="5797"/>
      <c r="ABC36" s="5797"/>
      <c r="ABD36" s="5797"/>
      <c r="ABE36" s="5797"/>
      <c r="ABF36" s="5797"/>
      <c r="ABG36" s="5797"/>
      <c r="ABH36" s="5797"/>
      <c r="ABI36" s="3618"/>
      <c r="ABJ36" s="2622"/>
      <c r="ABK36" s="3351" t="s">
        <v>1530</v>
      </c>
      <c r="ABL36" s="5797"/>
      <c r="ABM36" s="5797"/>
      <c r="ABN36" s="5797"/>
      <c r="ABO36" s="5797"/>
      <c r="ABP36" s="5797"/>
      <c r="ABQ36" s="5797"/>
      <c r="ABR36" s="5797"/>
      <c r="ABS36" s="5799"/>
      <c r="ABT36" s="2622"/>
      <c r="ABU36" s="3351" t="s">
        <v>1530</v>
      </c>
      <c r="ABV36" s="2720"/>
      <c r="ABW36" s="5797"/>
      <c r="ABX36" s="5797"/>
      <c r="ABY36" s="5797"/>
      <c r="ABZ36" s="5797"/>
      <c r="ACA36" s="5797"/>
      <c r="ACB36" s="5797"/>
      <c r="ACC36" s="5799"/>
      <c r="ACD36" s="2737"/>
      <c r="ACE36" s="3351" t="s">
        <v>1531</v>
      </c>
      <c r="ACF36" s="3363"/>
      <c r="ACG36" s="3363"/>
      <c r="ACH36" s="3363"/>
      <c r="ACI36" s="3363"/>
      <c r="ACJ36" s="3363"/>
      <c r="ACK36" s="3363"/>
      <c r="ACL36" s="3363"/>
      <c r="ACM36" s="5797"/>
      <c r="ACN36" s="184"/>
      <c r="ACO36" s="3364" t="s">
        <v>1532</v>
      </c>
      <c r="ACP36" s="3365"/>
      <c r="ACQ36" s="3365"/>
      <c r="ACR36" s="5797"/>
      <c r="ACS36" s="5797"/>
      <c r="ACT36" s="5797"/>
      <c r="ACU36" s="5797"/>
      <c r="ACV36" s="5797"/>
      <c r="ACW36" s="184"/>
      <c r="ACX36" s="3364" t="s">
        <v>1533</v>
      </c>
      <c r="ACY36" s="3365"/>
      <c r="ACZ36" s="3365"/>
      <c r="ADA36" s="5797"/>
      <c r="ADB36" s="5797"/>
      <c r="ADC36" s="5797"/>
      <c r="ADD36" s="5797"/>
      <c r="ADE36" s="5799"/>
      <c r="ADF36" s="2737"/>
      <c r="ADG36" s="3351" t="str">
        <f>ACE36</f>
        <v>Bolting senteravstand</v>
      </c>
      <c r="ADH36" s="3587"/>
      <c r="ADI36" s="3587"/>
      <c r="ADJ36" s="3587"/>
      <c r="ADK36" s="3587"/>
      <c r="ADL36" s="3587"/>
      <c r="ADM36" s="3587"/>
      <c r="ADN36" s="3587"/>
      <c r="ADO36" s="3587"/>
      <c r="ADP36" s="184"/>
      <c r="ADQ36" s="3675"/>
      <c r="ADR36" s="3364" t="s">
        <v>1532</v>
      </c>
      <c r="ADS36" s="3365"/>
      <c r="ADT36" s="3365"/>
      <c r="ADU36" s="3587"/>
      <c r="ADV36" s="3587"/>
      <c r="ADW36" s="3587"/>
      <c r="ADX36" s="3587"/>
      <c r="ADY36" s="3675"/>
      <c r="ADZ36" s="3364" t="s">
        <v>1533</v>
      </c>
      <c r="AEA36" s="3365"/>
      <c r="AEB36" s="3365"/>
      <c r="AEC36" s="3675"/>
      <c r="AED36" s="3675"/>
      <c r="AEE36" s="3675"/>
      <c r="AEF36" s="3675"/>
      <c r="AEG36" s="3676"/>
      <c r="AEH36" s="2737"/>
      <c r="AEI36" s="2737"/>
      <c r="AEJ36" s="2737"/>
      <c r="AEK36" s="2737"/>
      <c r="AEL36" s="2737"/>
      <c r="AEM36" s="2737"/>
      <c r="AEN36" s="2737"/>
      <c r="AEO36" s="2737"/>
      <c r="AEP36" s="2737"/>
      <c r="AEQ36" s="2737"/>
      <c r="AER36" s="2737"/>
      <c r="AES36" s="3351" t="s">
        <v>1261</v>
      </c>
      <c r="AET36" s="184"/>
      <c r="AEU36" s="5789"/>
      <c r="AEV36" s="5789"/>
      <c r="AEW36" s="5789"/>
      <c r="AEX36" s="5789"/>
      <c r="AEY36" s="5789"/>
      <c r="AEZ36" s="5791"/>
      <c r="AFB36" s="3351" t="str">
        <f>_Calcs!$O$60</f>
        <v>Tilleggs-bergbånd per metre av tunnel</v>
      </c>
      <c r="AFC36" s="5142"/>
      <c r="AFD36" s="5142"/>
      <c r="AFE36" s="5142"/>
      <c r="AFF36" s="5142"/>
      <c r="AFG36" s="5142"/>
      <c r="AFH36" s="5146"/>
      <c r="AFJ36" s="3351" t="str">
        <f>_Calcs!$O$61</f>
        <v>Festebolter for bergbånd senteravstand</v>
      </c>
      <c r="AFK36" s="5142"/>
      <c r="AFL36" s="5142"/>
      <c r="AFM36" s="5142"/>
      <c r="AFN36" s="5142"/>
      <c r="AFO36" s="5142"/>
      <c r="AFP36" s="5142"/>
      <c r="AFQ36" s="5142"/>
      <c r="AFR36" s="3364" t="s">
        <v>1532</v>
      </c>
      <c r="AFS36" s="3365"/>
      <c r="AFT36" s="3365"/>
      <c r="AFU36" s="5142"/>
      <c r="AFV36" s="5142"/>
      <c r="AFW36" s="5142"/>
      <c r="AFX36" s="5142"/>
      <c r="AFY36" s="5142"/>
      <c r="AFZ36" s="184"/>
      <c r="AGA36" s="5142"/>
      <c r="AGB36" s="3364" t="s">
        <v>1533</v>
      </c>
      <c r="AGC36" s="3365"/>
      <c r="AGD36" s="3365"/>
      <c r="AGE36" s="5142"/>
      <c r="AGF36" s="5142"/>
      <c r="AGG36" s="5142"/>
      <c r="AGH36" s="5142"/>
      <c r="AGI36" s="5146"/>
      <c r="AGJ36" s="5142"/>
      <c r="AGK36" s="5142"/>
      <c r="AGL36" s="5142"/>
      <c r="AGM36" s="5142"/>
      <c r="AGN36" s="2622"/>
      <c r="AGO36" s="3351" t="str">
        <f>_Calcs!$M$62</f>
        <v>Nett (kvadratmeter) per meter av tunnel</v>
      </c>
      <c r="AGP36" s="3352"/>
      <c r="AGQ36" s="3352"/>
      <c r="AGR36" s="3318"/>
      <c r="AGS36" s="3318"/>
      <c r="AGT36" s="3318"/>
      <c r="AGU36" s="3353"/>
      <c r="AGV36" s="5561"/>
      <c r="AGW36" s="3351" t="str">
        <f>_Calcs!$M$64</f>
        <v>Festebolter for nett senteravstand</v>
      </c>
      <c r="AGX36" s="3352"/>
      <c r="AGY36" s="3352"/>
      <c r="AGZ36" s="5517"/>
      <c r="AHA36" s="5517"/>
      <c r="AHB36" s="5517"/>
      <c r="AHC36" s="5519"/>
      <c r="AHD36" s="5561"/>
      <c r="AHF36" s="3351" t="str">
        <f>_Calcs!$M$63</f>
        <v>Tilleggs-sprøytebetong (tykkelse) per nett areal</v>
      </c>
      <c r="AHG36" s="3352"/>
      <c r="AHH36" s="3352"/>
      <c r="AHI36" s="5517"/>
      <c r="AHJ36" s="5517"/>
      <c r="AHK36" s="5517"/>
      <c r="AHL36" s="5519"/>
      <c r="AHP36" s="3589" t="s">
        <v>1066</v>
      </c>
      <c r="AHQ36" s="2639"/>
      <c r="AHR36" s="3587"/>
      <c r="AHS36" s="3587"/>
      <c r="AHT36" s="3587"/>
      <c r="AHU36" s="3587"/>
      <c r="AHV36" s="3587"/>
      <c r="AHW36" s="3587"/>
      <c r="AHX36" s="3588"/>
      <c r="AHY36" s="2622"/>
      <c r="AHZ36" s="3677" t="s">
        <v>1066</v>
      </c>
      <c r="AIB36" s="3675"/>
      <c r="AIC36" s="3675"/>
      <c r="AID36" s="3675"/>
      <c r="AIE36" s="3675"/>
      <c r="AIF36" s="3675"/>
      <c r="AIG36" s="3675"/>
      <c r="AIH36" s="3676"/>
      <c r="AII36" s="184"/>
      <c r="AIJ36" s="3811"/>
      <c r="AIK36" s="402" t="s">
        <v>1167</v>
      </c>
      <c r="AIL36" s="3675"/>
      <c r="AIM36" s="3675"/>
      <c r="AIN36" s="3675"/>
      <c r="AIO36" s="3675"/>
      <c r="AIP36" s="3675"/>
      <c r="AIQ36" s="3675"/>
      <c r="AIR36" s="3753"/>
      <c r="AIS36" s="2622"/>
      <c r="AIT36" s="3677"/>
      <c r="AIU36" s="3675" t="s">
        <v>1077</v>
      </c>
      <c r="AIV36" s="3675"/>
      <c r="AIW36" s="3675"/>
      <c r="AIX36" s="3675"/>
      <c r="AIY36" s="3675"/>
      <c r="AIZ36" s="3675"/>
      <c r="AJA36" s="3675"/>
      <c r="AJB36" s="3675"/>
      <c r="AJC36" s="5162" t="s">
        <v>1618</v>
      </c>
      <c r="AJD36" s="5162"/>
      <c r="AJE36" s="5162"/>
      <c r="AJF36" s="5162"/>
      <c r="AJG36" s="5162"/>
      <c r="AJH36" s="5162"/>
      <c r="AJI36" s="5162"/>
      <c r="AJJ36" s="5162"/>
      <c r="AJK36" s="3675" t="s">
        <v>2226</v>
      </c>
      <c r="AJL36" s="3675"/>
      <c r="AJM36" s="3675"/>
      <c r="AJN36" s="3675"/>
      <c r="AJO36" s="3675"/>
      <c r="AJP36" s="3675"/>
      <c r="AJQ36" s="3675"/>
      <c r="AJR36" s="3675"/>
      <c r="AJS36" s="3675" t="s">
        <v>1579</v>
      </c>
      <c r="AJT36" s="3675"/>
      <c r="AJU36" s="3675"/>
      <c r="AJV36" s="3675"/>
      <c r="AJW36" s="3675"/>
      <c r="AJX36" s="3675"/>
      <c r="AJY36" s="3675"/>
      <c r="AJZ36" s="3676"/>
      <c r="AKA36" s="3675"/>
      <c r="AKB36" s="3675"/>
      <c r="AKC36" s="3582"/>
      <c r="AKD36" s="3581"/>
      <c r="AKE36" s="3364" t="s">
        <v>1535</v>
      </c>
      <c r="AKF36" s="3582"/>
      <c r="AKG36" s="3582"/>
      <c r="AKH36" s="3582"/>
      <c r="AKI36" s="3582"/>
      <c r="AKJ36" s="3582"/>
      <c r="AKK36" s="3582"/>
      <c r="AKL36" s="3582"/>
      <c r="AKM36" s="3364" t="s">
        <v>1532</v>
      </c>
      <c r="AKN36" s="3365"/>
      <c r="AKO36" s="3365"/>
      <c r="AKP36" s="3582"/>
      <c r="AKQ36" s="3582"/>
      <c r="AKR36" s="3582"/>
      <c r="AKS36" s="3582"/>
      <c r="AKT36" s="3582"/>
      <c r="AKU36" s="184"/>
      <c r="AKV36" s="3364" t="s">
        <v>1533</v>
      </c>
      <c r="AKW36" s="3365"/>
      <c r="AKX36" s="3365"/>
      <c r="AKY36" s="3582"/>
      <c r="AKZ36" s="3582"/>
      <c r="ALA36" s="3582"/>
      <c r="ALB36" s="3585"/>
      <c r="ALC36" s="3642"/>
      <c r="ALD36" s="3589"/>
      <c r="ALE36" s="402" t="s">
        <v>1537</v>
      </c>
      <c r="ALF36" s="3587"/>
      <c r="ALG36" s="3587"/>
      <c r="ALH36" s="3587"/>
      <c r="ALI36" s="3587"/>
      <c r="ALJ36" s="3587"/>
      <c r="ALK36" s="3587"/>
      <c r="ALL36" s="3753"/>
      <c r="ALM36" s="2737"/>
      <c r="ALN36" s="3581"/>
      <c r="ALO36" s="402" t="s">
        <v>1538</v>
      </c>
      <c r="ALP36" s="3582"/>
      <c r="ALQ36" s="3582"/>
      <c r="ALR36" s="3582"/>
      <c r="ALS36" s="3582"/>
      <c r="ALT36" s="3582"/>
      <c r="ALU36" s="3582"/>
      <c r="ALV36" s="3582"/>
      <c r="ALW36" s="3582"/>
      <c r="ALX36" s="3364" t="s">
        <v>1532</v>
      </c>
      <c r="ALY36" s="3365"/>
      <c r="ALZ36" s="3365"/>
      <c r="AMA36" s="3582"/>
      <c r="AMB36" s="3582"/>
      <c r="AMC36" s="3582"/>
      <c r="AMD36" s="3582"/>
      <c r="AME36" s="3582"/>
      <c r="AMF36" s="184"/>
      <c r="AMG36" s="3364" t="s">
        <v>1533</v>
      </c>
      <c r="AMH36" s="3365"/>
      <c r="AMI36" s="3365"/>
      <c r="AMJ36" s="3582"/>
      <c r="AMK36" s="3582"/>
      <c r="AML36" s="3582"/>
      <c r="AMM36" s="3585"/>
      <c r="AMN36" s="5517"/>
      <c r="AMO36" s="5517"/>
      <c r="AMP36" s="5517"/>
      <c r="AMQ36" s="5517"/>
      <c r="AMR36" s="5517"/>
      <c r="AMS36" s="5517"/>
      <c r="AMT36" s="5517"/>
      <c r="AMU36" s="5517"/>
      <c r="AMV36" s="5517"/>
      <c r="AMW36" s="5517"/>
      <c r="AMX36" s="5517"/>
      <c r="AMY36" s="5517"/>
      <c r="AMZ36" s="5517"/>
      <c r="ANA36" s="5517"/>
      <c r="ANB36" s="5517"/>
      <c r="ANC36" s="5517"/>
      <c r="AND36" s="5517"/>
      <c r="ANE36" s="5517"/>
      <c r="ANF36" s="5517"/>
      <c r="ANG36" s="5517"/>
      <c r="ANH36" s="5517"/>
      <c r="ANI36" s="5517"/>
      <c r="ANJ36" s="5517"/>
      <c r="ANK36" s="5517"/>
      <c r="ANL36" s="5517"/>
      <c r="ANM36" s="5517"/>
      <c r="ANN36" s="5517"/>
      <c r="ANO36" s="5517"/>
      <c r="ANP36" s="5517"/>
      <c r="ANQ36" s="5517"/>
      <c r="ANR36" s="5517"/>
      <c r="ANS36" s="5517"/>
      <c r="ANT36" s="5517"/>
      <c r="ANU36" s="5517"/>
      <c r="ANV36" s="5517"/>
      <c r="ANW36" s="5517"/>
      <c r="ANX36" s="5517"/>
      <c r="ANY36" s="5517"/>
      <c r="ANZ36" s="5517"/>
      <c r="AOA36" s="5517"/>
      <c r="AOB36" s="5517"/>
      <c r="AOC36" s="5517"/>
      <c r="AOD36" s="5517"/>
      <c r="AOE36" s="5517"/>
      <c r="AOF36" s="5517"/>
      <c r="AOG36" s="5517"/>
      <c r="AOH36" s="5517"/>
      <c r="AOI36" s="5517"/>
      <c r="AOJ36" s="5517"/>
      <c r="AOK36" s="5517"/>
      <c r="AOL36" s="5517"/>
      <c r="AOM36" s="5517"/>
      <c r="AOO36" s="4125"/>
      <c r="AOP36" s="3364" t="s">
        <v>1618</v>
      </c>
      <c r="AOQ36" s="4124"/>
      <c r="AOR36" s="4124"/>
      <c r="AOS36" s="4124"/>
      <c r="AOT36" s="4124"/>
      <c r="AOU36" s="4124"/>
      <c r="AOV36" s="4124"/>
      <c r="AOW36" s="5162"/>
      <c r="AOX36" s="5162"/>
      <c r="AOY36" s="3364" t="s">
        <v>2252</v>
      </c>
      <c r="AOZ36" s="5162"/>
      <c r="APA36" s="5162"/>
      <c r="APB36" s="5162"/>
      <c r="APC36" s="5162"/>
      <c r="APD36" s="5162"/>
      <c r="APE36" s="5162"/>
      <c r="APF36" s="4124"/>
      <c r="APG36" s="3364" t="s">
        <v>1555</v>
      </c>
      <c r="APH36" s="3587"/>
      <c r="API36" s="3587"/>
      <c r="APJ36" s="3587"/>
      <c r="APK36" s="3587"/>
      <c r="APL36" s="3587"/>
      <c r="APM36" s="3587"/>
      <c r="APN36" s="3587"/>
      <c r="APO36" s="3364" t="s">
        <v>1991</v>
      </c>
      <c r="APP36" s="3587"/>
      <c r="APQ36" s="3587"/>
      <c r="APR36" s="3587"/>
      <c r="APS36" s="3587"/>
      <c r="APT36" s="3587"/>
      <c r="APU36" s="3587"/>
      <c r="APV36" s="3587"/>
      <c r="APW36" s="3364" t="s">
        <v>1558</v>
      </c>
      <c r="APX36" s="3365"/>
      <c r="APY36" s="3365"/>
      <c r="APZ36" s="3587"/>
      <c r="AQA36" s="3587"/>
      <c r="AQB36" s="3587"/>
      <c r="AQC36" s="3587"/>
      <c r="AQD36" s="3587"/>
      <c r="AQE36" s="184"/>
      <c r="AQF36" s="3364" t="s">
        <v>1559</v>
      </c>
      <c r="AQG36" s="3365"/>
      <c r="AQH36" s="3365"/>
      <c r="AQI36" s="3587"/>
      <c r="AQJ36" s="3587"/>
      <c r="AQK36" s="3587"/>
      <c r="AQL36" s="3588"/>
      <c r="AQN36" s="3589"/>
      <c r="AQO36" s="3364" t="s">
        <v>1992</v>
      </c>
      <c r="AQP36" s="3587"/>
      <c r="AQQ36" s="3587"/>
      <c r="AQR36" s="3587"/>
      <c r="AQS36" s="3587"/>
      <c r="AQT36" s="3587"/>
      <c r="AQU36" s="3587"/>
      <c r="AQV36" s="3587"/>
      <c r="AQW36" s="3364" t="s">
        <v>1560</v>
      </c>
      <c r="AQX36" s="3365"/>
      <c r="AQY36" s="3365"/>
      <c r="AQZ36" s="3587"/>
      <c r="ARA36" s="3587"/>
      <c r="ARB36" s="3587"/>
      <c r="ARC36" s="3587"/>
      <c r="ARD36" s="3587"/>
      <c r="ARE36" s="184"/>
      <c r="ARF36" s="3364" t="s">
        <v>1561</v>
      </c>
      <c r="ARG36" s="3365"/>
      <c r="ARH36" s="3365"/>
      <c r="ARI36" s="3587"/>
      <c r="ARJ36" s="3587"/>
      <c r="ARK36" s="3587"/>
      <c r="ARL36" s="3588"/>
      <c r="ART36" s="3351" t="s">
        <v>963</v>
      </c>
      <c r="ARU36" s="3363"/>
      <c r="ARV36" s="3363"/>
      <c r="ARW36" s="3318"/>
      <c r="ARX36" s="3318"/>
      <c r="ARY36" s="3318"/>
      <c r="ARZ36" s="3318"/>
      <c r="ASA36" s="184"/>
      <c r="ASB36" s="3364" t="s">
        <v>2063</v>
      </c>
      <c r="ASC36" s="3365"/>
      <c r="ASD36" s="3365"/>
      <c r="ASE36" s="3318"/>
      <c r="ASF36" s="3318"/>
      <c r="ASG36" s="3318"/>
      <c r="ASH36" s="3318"/>
      <c r="ASI36" s="3318"/>
      <c r="ASJ36" s="184"/>
      <c r="ASK36" s="3364" t="s">
        <v>2064</v>
      </c>
      <c r="ASL36" s="3365"/>
      <c r="ASM36" s="3365"/>
      <c r="ASN36" s="3318"/>
      <c r="ASO36" s="3318"/>
      <c r="ASP36" s="3318"/>
      <c r="ASQ36" s="3353"/>
      <c r="ASR36" s="2737"/>
      <c r="ASS36" s="2737"/>
      <c r="AST36" s="2816" t="s">
        <v>834</v>
      </c>
      <c r="ASU36" s="2816"/>
      <c r="ASV36" s="2816" t="s">
        <v>838</v>
      </c>
      <c r="ASW36" s="2816"/>
      <c r="ASX36" s="2816" t="s">
        <v>21</v>
      </c>
      <c r="ASY36" s="2816"/>
      <c r="ASZ36" s="2816" t="s">
        <v>839</v>
      </c>
      <c r="ATA36" s="2622"/>
      <c r="ATB36" s="2622"/>
      <c r="ATC36" s="2622"/>
      <c r="ATD36" s="2622"/>
      <c r="ATE36" s="2622"/>
      <c r="ATF36" s="2622"/>
      <c r="ATG36" s="2622"/>
      <c r="ATH36" s="2622"/>
      <c r="ATI36" s="2622"/>
      <c r="ATJ36" s="2622"/>
      <c r="ATK36" s="2622"/>
      <c r="ATL36" s="3595" t="s">
        <v>140</v>
      </c>
      <c r="ATM36" s="3532"/>
      <c r="ATN36" s="3433"/>
      <c r="ATO36" s="3447"/>
      <c r="ATP36" s="3433"/>
      <c r="ATQ36" s="3451">
        <f t="shared" si="85"/>
        <v>21.04</v>
      </c>
      <c r="ATR36" s="3451"/>
      <c r="ATS36" s="3433">
        <f t="shared" si="86"/>
        <v>3.5779999999999998</v>
      </c>
      <c r="ATT36" s="3525">
        <f t="shared" si="3"/>
        <v>13.884</v>
      </c>
      <c r="ATU36" s="3449"/>
      <c r="ATV36" s="2622"/>
      <c r="ATW36" s="2622"/>
      <c r="ATX36" s="2622"/>
      <c r="ATY36" s="2617"/>
      <c r="ATZ36" s="3458"/>
      <c r="AUA36" s="3458"/>
      <c r="AUB36" s="2617"/>
      <c r="AUC36" s="2617"/>
      <c r="AUD36" s="2617"/>
      <c r="AUE36" s="2617"/>
      <c r="AUF36" s="2617"/>
      <c r="AUG36" s="2617"/>
      <c r="AUH36" s="2617"/>
      <c r="AUI36" s="2617"/>
      <c r="AUJ36" s="2617"/>
      <c r="AUK36" s="2617"/>
      <c r="AUL36" s="2617"/>
      <c r="AUM36" s="2617"/>
      <c r="AUN36" s="2617"/>
      <c r="AUO36" s="2617"/>
      <c r="AUP36" s="2617"/>
      <c r="AUQ36" s="2617"/>
      <c r="AUR36" s="2617"/>
      <c r="AUS36" s="2617"/>
      <c r="AUT36" s="2617"/>
      <c r="AUU36" s="2617"/>
      <c r="AUV36" s="181"/>
      <c r="AUW36" s="2617"/>
      <c r="AUX36" s="2617"/>
      <c r="AUY36" s="2617"/>
      <c r="AUZ36" s="2617"/>
      <c r="AVA36" s="2617"/>
      <c r="AVB36" s="2617"/>
      <c r="AVC36" s="2617"/>
      <c r="AVD36" s="2617"/>
      <c r="AVE36" s="2617"/>
      <c r="AVF36" s="2617"/>
      <c r="AVG36" s="2617"/>
      <c r="AVH36" s="2617"/>
      <c r="AVI36" s="2617"/>
      <c r="AVJ36" s="2617"/>
      <c r="AVK36" s="2617"/>
      <c r="AVL36" s="2617"/>
      <c r="AVM36" s="2617"/>
      <c r="AVN36" s="2617"/>
      <c r="AVO36" s="2617"/>
      <c r="AVP36" s="3540"/>
      <c r="AVQ36" s="3540"/>
      <c r="AVR36" s="3540"/>
      <c r="AVS36" s="181"/>
      <c r="AVT36" s="181"/>
      <c r="AVU36" s="181"/>
      <c r="AVV36" s="181"/>
      <c r="AVW36" s="181"/>
      <c r="AVX36" s="181"/>
      <c r="AVY36" s="181"/>
      <c r="AVZ36" s="181"/>
      <c r="AWA36" s="181"/>
      <c r="AWB36" s="181"/>
      <c r="AWC36" s="181"/>
      <c r="AWD36" s="181"/>
      <c r="AWE36" s="181"/>
      <c r="AWF36" s="181"/>
      <c r="AWG36" s="181"/>
      <c r="AWH36" s="181"/>
      <c r="AWI36" s="181"/>
      <c r="AWJ36" s="181"/>
      <c r="AWK36" s="181"/>
      <c r="AWL36" s="181"/>
      <c r="AWM36" s="181"/>
      <c r="AWN36" s="181"/>
      <c r="AWO36" s="181"/>
      <c r="AWP36" s="3540"/>
      <c r="AWQ36" s="3540"/>
      <c r="AWR36" s="181"/>
      <c r="AWS36" s="2617"/>
      <c r="AWT36" s="2617"/>
      <c r="AWU36" s="2617"/>
      <c r="AWV36" s="2617"/>
      <c r="AWW36" s="2617"/>
      <c r="AWX36" s="2617"/>
      <c r="AWY36" s="3623"/>
      <c r="AWZ36" s="3623"/>
      <c r="AXA36" s="3623"/>
      <c r="AXB36" s="3623"/>
      <c r="AXC36" s="2617"/>
      <c r="AXD36" s="2617"/>
      <c r="AXE36" s="2617"/>
      <c r="AXF36" s="2617"/>
      <c r="AXG36" s="2617"/>
      <c r="AXH36" s="2617"/>
      <c r="AXI36" s="2617"/>
      <c r="AXJ36" s="2617"/>
      <c r="AXK36" s="2617"/>
      <c r="AYH36" s="433" t="s">
        <v>1183</v>
      </c>
      <c r="AYX36" s="2970"/>
      <c r="AYZ36" s="2622"/>
      <c r="AZA36" s="2622"/>
      <c r="AZB36" s="2622"/>
      <c r="AZC36" s="2622"/>
      <c r="AZD36" s="2622"/>
      <c r="AZE36" s="2622"/>
      <c r="AZF36" s="2622"/>
      <c r="AZG36" s="2622"/>
      <c r="AZH36" s="2622"/>
      <c r="AZI36" s="2622"/>
      <c r="AZJ36" s="2622"/>
      <c r="AZK36" s="2622"/>
      <c r="AZL36" s="2622"/>
      <c r="AZM36" s="433" t="s">
        <v>1183</v>
      </c>
      <c r="AZN36" s="2622"/>
      <c r="AZO36" s="2622"/>
      <c r="AZP36" s="2622"/>
      <c r="AZQ36" s="2622"/>
      <c r="AZR36" s="2622"/>
      <c r="AZS36" s="2622"/>
      <c r="AZT36" s="2622"/>
      <c r="AZU36" s="2622"/>
      <c r="AZV36" s="2622"/>
      <c r="AZW36" s="372" t="s">
        <v>190</v>
      </c>
      <c r="AZX36" s="2717" t="str">
        <f>IF(AZZ36=$TM$20,"-")</f>
        <v>-</v>
      </c>
      <c r="AZY36" s="2778" t="str">
        <f>IF(AZZ36=$TM$20,"-")</f>
        <v>-</v>
      </c>
      <c r="AZZ36" s="2682" t="str">
        <f>$TM$20</f>
        <v>Ingen</v>
      </c>
      <c r="BAA36" s="2714"/>
      <c r="BAB36" s="2780"/>
      <c r="BAC36" s="2993"/>
      <c r="BAD36" s="2622"/>
      <c r="BAE36" s="2622"/>
      <c r="BAF36" s="2622"/>
      <c r="BAG36" s="2622"/>
      <c r="BAH36" s="2622"/>
      <c r="BAI36" s="2622"/>
      <c r="BAJ36" s="2622"/>
      <c r="BAK36" s="372" t="s">
        <v>190</v>
      </c>
      <c r="BAL36" s="2717">
        <v>2</v>
      </c>
      <c r="BAM36" s="2795">
        <v>0.5</v>
      </c>
      <c r="BAN36" s="2779">
        <f t="shared" ref="BAM36:BAN42" si="208">1-BAM36</f>
        <v>0.5</v>
      </c>
      <c r="BAO36" s="2715"/>
      <c r="BAP36" s="2622"/>
      <c r="BAQ36" s="2622"/>
      <c r="BAR36" s="2622"/>
      <c r="BAU36" s="2622"/>
      <c r="BBH36" s="2622"/>
      <c r="BBI36" s="2622"/>
      <c r="BBL36" s="2622"/>
      <c r="BBR36" s="3398"/>
      <c r="BCJ36" s="2617"/>
      <c r="BCK36" s="2617"/>
      <c r="BCL36" s="2617"/>
      <c r="BCM36" s="2617"/>
      <c r="BCN36" s="2617"/>
      <c r="BCO36" s="2617"/>
      <c r="BCP36" s="2617"/>
      <c r="BCQ36" s="2617"/>
      <c r="BCR36" s="2617"/>
      <c r="BCS36" s="2617"/>
      <c r="BCT36" s="2617"/>
      <c r="BCU36" s="2617"/>
      <c r="BCV36" s="2617"/>
      <c r="BCW36" s="2617"/>
      <c r="BCX36" s="2617"/>
      <c r="BCY36" s="2617"/>
      <c r="BCZ36" s="2617"/>
      <c r="BDA36" s="2617"/>
      <c r="BDB36" s="2617"/>
      <c r="BDC36" s="2617"/>
      <c r="BDD36" s="2617"/>
      <c r="BDE36" s="2617"/>
      <c r="BDF36" s="2617"/>
      <c r="BDG36" s="2617"/>
      <c r="BDH36" s="2617"/>
      <c r="BDI36" s="2617"/>
      <c r="BDL36" s="2617"/>
      <c r="BDM36" s="2617"/>
      <c r="BDN36" s="2617"/>
      <c r="BDO36" s="2617"/>
      <c r="BDP36" s="2617"/>
      <c r="BDQ36" s="2617"/>
      <c r="BDR36" s="2617"/>
      <c r="BDS36" s="2617"/>
      <c r="BDT36" s="2617"/>
      <c r="BDU36" s="2617"/>
      <c r="BDV36" s="2617"/>
      <c r="BDW36" s="2617"/>
      <c r="BDZ36" s="2617"/>
      <c r="BEA36" s="2617"/>
      <c r="BEB36" s="2617"/>
      <c r="BEC36" s="2617"/>
      <c r="BED36" s="2617"/>
      <c r="BEE36" s="2617"/>
      <c r="BEH36" s="2617"/>
    </row>
    <row r="37" spans="1:1490" ht="30" customHeight="1" x14ac:dyDescent="0.3">
      <c r="AH37" s="7227" t="s">
        <v>1009</v>
      </c>
      <c r="AI37" s="7227"/>
      <c r="AJ37" s="2625"/>
      <c r="AK37" s="2689" t="s">
        <v>1671</v>
      </c>
      <c r="AU37" s="184"/>
      <c r="AV37" s="183"/>
      <c r="AW37" s="183"/>
      <c r="AX37" s="183"/>
      <c r="AY37" s="183"/>
      <c r="AZ37" s="183"/>
      <c r="BA37" s="183"/>
      <c r="BB37" s="183"/>
      <c r="BC37" s="183"/>
      <c r="BD37" s="183"/>
      <c r="BE37" s="2622"/>
      <c r="CC37" s="433" t="s">
        <v>1146</v>
      </c>
      <c r="CF37" s="2625"/>
      <c r="CG37" s="2986" t="str">
        <f>_Calcs!$QR$135</f>
        <v>Stuff 1-4</v>
      </c>
      <c r="CH37" s="5558">
        <f>IF(_Calcs!$BC$38=1,0,IF(_Calcs!$BC$38=2,4,0))</f>
        <v>4</v>
      </c>
      <c r="CI37" s="1665">
        <f>IF(_Calcs!$BC$34&gt;3,1,0)</f>
        <v>0</v>
      </c>
      <c r="CJ37" s="238">
        <f>IF($AI$31=2,INDEX(outputs_position[14],MATCH(_Calcs!$BC$35,outputs_position[lopstuff],0)),0)</f>
        <v>0</v>
      </c>
      <c r="CK37" s="194">
        <v>42</v>
      </c>
      <c r="CL37" s="3453" t="e">
        <f t="shared" si="87"/>
        <v>#VALUE!</v>
      </c>
      <c r="CM37" s="3453" t="e">
        <f t="shared" si="88"/>
        <v>#VALUE!</v>
      </c>
      <c r="CN37" s="3453" t="e">
        <f t="shared" si="89"/>
        <v>#VALUE!</v>
      </c>
      <c r="CO37" s="3453" t="e">
        <f t="shared" si="90"/>
        <v>#VALUE!</v>
      </c>
      <c r="CP37" s="3453" t="e">
        <f t="shared" si="207"/>
        <v>#VALUE!</v>
      </c>
      <c r="CQ37" s="3453" t="e">
        <f t="shared" si="91"/>
        <v>#VALUE!</v>
      </c>
      <c r="CR37" s="3453" t="e">
        <f t="shared" si="92"/>
        <v>#VALUE!</v>
      </c>
      <c r="CS37" s="3453" t="e">
        <f t="shared" si="93"/>
        <v>#VALUE!</v>
      </c>
      <c r="CT37" s="3453"/>
      <c r="CU37" s="3453"/>
      <c r="CV37" s="5712">
        <f>IF($AK$213=_List!$CX$6,$CV$28,IF($AK$213=_List!$CX$7,$CV$29,0))</f>
        <v>1</v>
      </c>
      <c r="CW37" s="3453">
        <f>IF(outputs_klasse_qty[[#This Row],[man_metode]]=1,$ABR$42)</f>
        <v>20</v>
      </c>
      <c r="CX37" s="3453">
        <f>IFERROR(IF(outputs_klasse_qty[[#This Row],[man_metode]]=1,outputs_klasse_qty[[#This Row],[man_a_rate]]*$BG112),0)</f>
        <v>0</v>
      </c>
      <c r="CY37" s="3453" t="e">
        <f>IF(outputs_klasse_qty[[#This Row],[man_metode]]=1,$ABR$43)</f>
        <v>#N/A</v>
      </c>
      <c r="CZ37" s="3453">
        <f>IFERROR(IF(outputs_klasse_qty[[#This Row],[man_metode]]=1,outputs_klasse_qty[[#This Row],[man_b_rate]]*$BH112),0)</f>
        <v>0</v>
      </c>
      <c r="DA37" s="3453" t="e">
        <f>IF(outputs_klasse_qty[[#This Row],[man_metode]]=1,$ABR$44)</f>
        <v>#N/A</v>
      </c>
      <c r="DB37" s="3453">
        <f>IFERROR(IF(outputs_klasse_qty[[#This Row],[man_metode]]=1,outputs_klasse_qty[[#This Row],[man_c_rate]]*$BI112),0)</f>
        <v>0</v>
      </c>
      <c r="DC37" s="3453" t="e">
        <f>IF(outputs_klasse_qty[[#This Row],[man_metode]]=1,$ABR$45)</f>
        <v>#N/A</v>
      </c>
      <c r="DD37" s="3453">
        <f>IFERROR(IF(outputs_klasse_qty[[#This Row],[man_metode]]=1,outputs_klasse_qty[[#This Row],[man_d_rate]]*$BJ112),0)</f>
        <v>0</v>
      </c>
      <c r="DE37" s="3453" t="e">
        <f>IF(outputs_klasse_qty[[#This Row],[man_metode]]=1,$ABR$46)</f>
        <v>#N/A</v>
      </c>
      <c r="DF37" s="3453">
        <f>IFERROR(IF(outputs_klasse_qty[[#This Row],[man_metode]]=1,outputs_klasse_qty[[#This Row],[man_e1_rate]]*$BK112),0)</f>
        <v>0</v>
      </c>
      <c r="DG37" s="3453" t="e">
        <f>IF(outputs_klasse_qty[[#This Row],[man_metode]]=1,$ABR$47)</f>
        <v>#N/A</v>
      </c>
      <c r="DH37" s="3453">
        <f>IFERROR(IF(outputs_klasse_qty[[#This Row],[man_metode]]=1,outputs_klasse_qty[[#This Row],[man_e2_rate]]*$BL112),0)</f>
        <v>0</v>
      </c>
      <c r="DI37" s="3453" t="e">
        <f>IF(outputs_klasse_qty[[#This Row],[man_metode]]=1,$ABR$48)</f>
        <v>#N/A</v>
      </c>
      <c r="DJ37" s="3453">
        <f>IFERROR(IF(outputs_klasse_qty[[#This Row],[man_metode]]=1,outputs_klasse_qty[[#This Row],[man_f_rate]]*$BM112),0)</f>
        <v>0</v>
      </c>
      <c r="DK37" s="3453" t="e">
        <f>IF(outputs_klasse_qty[[#This Row],[man_metode]]=1,$ABR$49)</f>
        <v>#N/A</v>
      </c>
      <c r="DL37" s="3453">
        <f>IFERROR(IF(outputs_klasse_qty[[#This Row],[man_metode]]=1,outputs_klasse_qty[[#This Row],[man_g_rate]]*$BN112),0)</f>
        <v>0</v>
      </c>
      <c r="DM37"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7" s="5712">
        <v>1</v>
      </c>
      <c r="DO37" s="3453" t="e">
        <f>IF(outputs_klasse_qty[[#This Row],[kartlegg_metode]]=1,$ACB$42)</f>
        <v>#N/A</v>
      </c>
      <c r="DP37" s="3453">
        <f>IFERROR(IF(outputs_klasse_qty[[#This Row],[kartlegg_metode]]=1,outputs_klasse_qty[[#This Row],[kartlegg_a_rate]]*$BG112),0)</f>
        <v>0</v>
      </c>
      <c r="DQ37" s="3453" t="e">
        <f>IF(outputs_klasse_qty[[#This Row],[kartlegg_metode]]=1,$ACB$43)</f>
        <v>#N/A</v>
      </c>
      <c r="DR37" s="3453">
        <f>IFERROR(IF(outputs_klasse_qty[[#This Row],[kartlegg_metode]]=1,outputs_klasse_qty[[#This Row],[kartlegg_b_rate]]*$BH112),0)</f>
        <v>0</v>
      </c>
      <c r="DS37" s="3453" t="e">
        <f>IF(outputs_klasse_qty[[#This Row],[kartlegg_metode]]=1,$ACB$44)</f>
        <v>#N/A</v>
      </c>
      <c r="DT37" s="3453">
        <f>IFERROR(IF(outputs_klasse_qty[[#This Row],[kartlegg_metode]]=1,outputs_klasse_qty[[#This Row],[kartlegg_c_rate]]*$BI112),0)</f>
        <v>0</v>
      </c>
      <c r="DU37" s="3453" t="e">
        <f>IF(outputs_klasse_qty[[#This Row],[kartlegg_metode]]=1,$ACB$45)</f>
        <v>#N/A</v>
      </c>
      <c r="DV37" s="3453">
        <f>IFERROR(IF(outputs_klasse_qty[[#This Row],[kartlegg_metode]]=1,outputs_klasse_qty[[#This Row],[kartlegg_d_rate]]*$BJ112),0)</f>
        <v>0</v>
      </c>
      <c r="DW37" s="3453" t="e">
        <f>IF(outputs_klasse_qty[[#This Row],[kartlegg_metode]]=1,$ACB$46)</f>
        <v>#N/A</v>
      </c>
      <c r="DX37" s="3453">
        <f>IFERROR(IF(outputs_klasse_qty[[#This Row],[kartlegg_metode]]=1,outputs_klasse_qty[[#This Row],[kartlegg_e1_rate]]*$BK112),0)</f>
        <v>0</v>
      </c>
      <c r="DY37" s="3453" t="e">
        <f>IF(outputs_klasse_qty[[#This Row],[kartlegg_metode]]=1,$ACB$47)</f>
        <v>#N/A</v>
      </c>
      <c r="DZ37" s="3453">
        <f>IFERROR(IF(outputs_klasse_qty[[#This Row],[kartlegg_metode]]=1,outputs_klasse_qty[[#This Row],[kartlegg_e2_rate]]*$BL112),0)</f>
        <v>0</v>
      </c>
      <c r="EA37" s="3453" t="e">
        <f>IF(outputs_klasse_qty[[#This Row],[kartlegg_metode]]=1,$ACB$48)</f>
        <v>#N/A</v>
      </c>
      <c r="EB37" s="3453">
        <f>IFERROR(IF(outputs_klasse_qty[[#This Row],[kartlegg_metode]]=1,outputs_klasse_qty[[#This Row],[kartlegg_f_rate]]*$BM112),0)</f>
        <v>0</v>
      </c>
      <c r="EC37" s="3453" t="e">
        <f>IF(outputs_klasse_qty[[#This Row],[kartlegg_metode]]=1,$ACB$49)</f>
        <v>#N/A</v>
      </c>
      <c r="ED37" s="3453">
        <f>IFERROR(IF(outputs_klasse_qty[[#This Row],[kartlegg_metode]]=1,outputs_klasse_qty[[#This Row],[kartlegg_g_rate]]*$BN112),0)</f>
        <v>0</v>
      </c>
      <c r="EE37"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7" s="5712">
        <f>IF($AK$215=_List!$DA$6,$EF$28,IF($AK$215=_List!$DA$7,$EF$29,0))</f>
        <v>1</v>
      </c>
      <c r="EG37" s="3453" t="e">
        <f t="shared" si="94"/>
        <v>#N/A</v>
      </c>
      <c r="EH37" s="5719">
        <f>IFERROR(($AY89*$AI$46)/(outputs_klasse_qty[[#This Row],[bolt_veder_a_rate]]^2),0)</f>
        <v>0</v>
      </c>
      <c r="EI37" s="3453" t="e">
        <f t="shared" si="95"/>
        <v>#N/A</v>
      </c>
      <c r="EJ37" s="5719">
        <f>IFERROR(($AZ89*$AI$46)/(outputs_klasse_qty[[#This Row],[bolt_veder_b_rate]]^2),0)</f>
        <v>0</v>
      </c>
      <c r="EK37" s="3453" t="e">
        <f t="shared" si="96"/>
        <v>#N/A</v>
      </c>
      <c r="EL37" s="5719">
        <f>IFERROR(($BA89*$AI$46)/(outputs_klasse_qty[[#This Row],[bolt_veder_c_rate]]^2),0)</f>
        <v>0</v>
      </c>
      <c r="EM37" s="3453" t="e">
        <f t="shared" si="97"/>
        <v>#N/A</v>
      </c>
      <c r="EN37" s="5719">
        <f>IFERROR(($BB89*$AI$46)/(outputs_klasse_qty[[#This Row],[bolt_veder_d_rate]]^2),0)</f>
        <v>0</v>
      </c>
      <c r="EO37" s="3453" t="e">
        <f t="shared" si="98"/>
        <v>#N/A</v>
      </c>
      <c r="EP37" s="5719">
        <f>IFERROR(($BC89*$AI$46)/(outputs_klasse_qty[[#This Row],[bolt_veder_e1_rate]]^2),0)</f>
        <v>0</v>
      </c>
      <c r="EQ37" s="3453" t="e">
        <f t="shared" si="99"/>
        <v>#N/A</v>
      </c>
      <c r="ER37" s="5719">
        <f>IFERROR(($BD89*$AI$46)/(outputs_klasse_qty[[#This Row],[bolt_veder_e2_rate]]^2),0)</f>
        <v>0</v>
      </c>
      <c r="ES37" s="3453" t="e">
        <f t="shared" si="100"/>
        <v>#N/A</v>
      </c>
      <c r="ET37" s="5719">
        <f>IFERROR(($BE89*$AI$46)/(outputs_klasse_qty[[#This Row],[bolt_veder_f_rate]]^2),0)</f>
        <v>0</v>
      </c>
      <c r="EU37" s="3453" t="e">
        <f t="shared" si="101"/>
        <v>#N/A</v>
      </c>
      <c r="EV37" s="5719">
        <f>IFERROR(($BF89*$AI$46)/(outputs_klasse_qty[[#This Row],[bolt_veder_g_rate]]^2),0)</f>
        <v>0</v>
      </c>
      <c r="EW37"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7" s="3453" t="e">
        <f>outputs_klasse_qty[[#This Row],[bolt_veder_a_output]]*$ACU$42</f>
        <v>#N/A</v>
      </c>
      <c r="EY37" s="3453" t="e">
        <f>outputs_klasse_qty[[#This Row],[bolt_veder_a_output]]*$ADD$42</f>
        <v>#N/A</v>
      </c>
      <c r="EZ37" s="3453" t="e">
        <f>outputs_klasse_qty[[#This Row],[bolt_veder_b_output]]*$ACU$43</f>
        <v>#N/A</v>
      </c>
      <c r="FA37" s="3453" t="e">
        <f>outputs_klasse_qty[[#This Row],[bolt_veder_b_output]]*$ADD$43</f>
        <v>#N/A</v>
      </c>
      <c r="FB37" s="3453" t="e">
        <f>outputs_klasse_qty[[#This Row],[bolt_veder_c_output]]*$ACU$44</f>
        <v>#N/A</v>
      </c>
      <c r="FC37" s="3453" t="e">
        <f>outputs_klasse_qty[[#This Row],[bolt_veder_c_output]]*$ADD$44</f>
        <v>#N/A</v>
      </c>
      <c r="FD37" s="3453" t="e">
        <f>outputs_klasse_qty[[#This Row],[bolt_veder_d_output]]*$ACU$45</f>
        <v>#N/A</v>
      </c>
      <c r="FE37" s="3453" t="e">
        <f>outputs_klasse_qty[[#This Row],[bolt_veder_d_output]]*$ADD$45</f>
        <v>#N/A</v>
      </c>
      <c r="FF37" s="3453" t="e">
        <f>outputs_klasse_qty[[#This Row],[bolt_veder_e1_output]]*$ACU$46</f>
        <v>#N/A</v>
      </c>
      <c r="FG37" s="3453" t="e">
        <f>outputs_klasse_qty[[#This Row],[bolt_veder_e1_output]]*$ADD$46</f>
        <v>#N/A</v>
      </c>
      <c r="FH37" s="3453" t="e">
        <f>outputs_klasse_qty[[#This Row],[bolt_veder_e2_output]]*$ACU$47</f>
        <v>#N/A</v>
      </c>
      <c r="FI37" s="3453" t="e">
        <f>outputs_klasse_qty[[#This Row],[bolt_veder_e2_output]]*$ADD$47</f>
        <v>#N/A</v>
      </c>
      <c r="FJ37" s="3453" t="e">
        <f>outputs_klasse_qty[[#This Row],[bolt_veder_f_output]]*$ACU$48</f>
        <v>#N/A</v>
      </c>
      <c r="FK37" s="3453" t="e">
        <f>outputs_klasse_qty[[#This Row],[bolt_veder_f_output]]*$ADD$48</f>
        <v>#N/A</v>
      </c>
      <c r="FL37" s="3453" t="e">
        <f>outputs_klasse_qty[[#This Row],[bolt_veder_g_output]]*$ACU$49</f>
        <v>#N/A</v>
      </c>
      <c r="FM37" s="3453" t="e">
        <f>outputs_klasse_qty[[#This Row],[bolt_veder_g_output]]*$ADD$49</f>
        <v>#N/A</v>
      </c>
      <c r="FN37"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7"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7" s="3453">
        <v>1</v>
      </c>
      <c r="FQ37" s="3453" t="e">
        <f t="shared" si="102"/>
        <v>#N/A</v>
      </c>
      <c r="FR37" s="5854">
        <f>IFERROR(($AY89*$AI$42*2)/(outputs_klasse_qty[[#This Row],[bolt_vegg_a_rate]]^2),0)</f>
        <v>0</v>
      </c>
      <c r="FS37" s="3453" t="e">
        <f t="shared" si="103"/>
        <v>#N/A</v>
      </c>
      <c r="FT37" s="5854">
        <f>IFERROR(($AZ89*$AI$42*2)/(outputs_klasse_qty[[#This Row],[bolt_vegg_b_rate]]^2),0)</f>
        <v>0</v>
      </c>
      <c r="FU37" s="3453" t="e">
        <f t="shared" si="104"/>
        <v>#N/A</v>
      </c>
      <c r="FV37" s="5854">
        <f>IFERROR(($BA89*$AI$42*2)/(outputs_klasse_qty[[#This Row],[bolt_vegg_c_rate]]^2),0)</f>
        <v>0</v>
      </c>
      <c r="FW37" s="3453" t="e">
        <f t="shared" si="105"/>
        <v>#N/A</v>
      </c>
      <c r="FX37" s="5854">
        <f>IFERROR(($BB89*$AI$42*2)/(outputs_klasse_qty[[#This Row],[bolt_vegg_d_rate]]^2),0)</f>
        <v>0</v>
      </c>
      <c r="FY37" s="3453" t="e">
        <f t="shared" si="106"/>
        <v>#N/A</v>
      </c>
      <c r="FZ37" s="5854">
        <f>IFERROR(($BC89*$AI$42*2)/(outputs_klasse_qty[[#This Row],[bolt_vegg_e1_rate]]^2),0)</f>
        <v>0</v>
      </c>
      <c r="GA37" s="3453" t="e">
        <f t="shared" si="107"/>
        <v>#N/A</v>
      </c>
      <c r="GB37" s="5854">
        <f>IFERROR(($BD89*$AI$42*2)/(outputs_klasse_qty[[#This Row],[bolt_vegg_e2_rate]]^2),0)</f>
        <v>0</v>
      </c>
      <c r="GC37" s="3453" t="e">
        <f t="shared" si="108"/>
        <v>#N/A</v>
      </c>
      <c r="GD37" s="5854">
        <f>IFERROR(($BE89*$AI$42*2)/(outputs_klasse_qty[[#This Row],[bolt_vegg_f_rate]]^2),0)</f>
        <v>0</v>
      </c>
      <c r="GE37" s="3453" t="e">
        <f t="shared" si="109"/>
        <v>#N/A</v>
      </c>
      <c r="GF37" s="5854">
        <f>IFERROR(($BF89*$AI$42*2)/(outputs_klasse_qty[[#This Row],[bolt_vegg_g_rate]]^2),0)</f>
        <v>0</v>
      </c>
      <c r="GG37"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7" s="3453" t="e">
        <f>outputs_klasse_qty[[#This Row],[bolt_vegg_a_output]]*$ADX$42</f>
        <v>#N/A</v>
      </c>
      <c r="GI37" s="3453" t="e">
        <f>outputs_klasse_qty[[#This Row],[bolt_vegg_a_output]]*$AEF$42</f>
        <v>#N/A</v>
      </c>
      <c r="GJ37" s="3453" t="e">
        <f>outputs_klasse_qty[[#This Row],[bolt_vegg_b_output]]*$ADX$43</f>
        <v>#N/A</v>
      </c>
      <c r="GK37" s="3453" t="e">
        <f>outputs_klasse_qty[[#This Row],[bolt_vegg_b_output]]*$AEF$43</f>
        <v>#N/A</v>
      </c>
      <c r="GL37" s="3453" t="e">
        <f>outputs_klasse_qty[[#This Row],[bolt_vegg_c_output]]*$ADX$44</f>
        <v>#N/A</v>
      </c>
      <c r="GM37" s="3453" t="e">
        <f>outputs_klasse_qty[[#This Row],[bolt_vegg_c_output]]*$AEF$44</f>
        <v>#N/A</v>
      </c>
      <c r="GN37" s="3453" t="e">
        <f>outputs_klasse_qty[[#This Row],[bolt_vegg_d_output]]*$ADX$45</f>
        <v>#N/A</v>
      </c>
      <c r="GO37" s="3453" t="e">
        <f>outputs_klasse_qty[[#This Row],[bolt_vegg_d_output]]*$AEF$45</f>
        <v>#N/A</v>
      </c>
      <c r="GP37" s="3453" t="e">
        <f>outputs_klasse_qty[[#This Row],[bolt_vegg_e1_output]]*$ADX$46</f>
        <v>#N/A</v>
      </c>
      <c r="GQ37" s="3453" t="e">
        <f>outputs_klasse_qty[[#This Row],[bolt_vegg_e1_output]]*$AEF$46</f>
        <v>#N/A</v>
      </c>
      <c r="GR37" s="3453" t="e">
        <f>outputs_klasse_qty[[#This Row],[bolt_vegg_e2_output]]*$ADX$47</f>
        <v>#N/A</v>
      </c>
      <c r="GS37" s="3453" t="e">
        <f>outputs_klasse_qty[[#This Row],[bolt_vegg_e2_output]]*$AEF$47</f>
        <v>#N/A</v>
      </c>
      <c r="GT37" s="3453" t="e">
        <f>outputs_klasse_qty[[#This Row],[bolt_vegg_f_output]]*$ADX$48</f>
        <v>#N/A</v>
      </c>
      <c r="GU37" s="3453" t="e">
        <f>outputs_klasse_qty[[#This Row],[bolt_vegg_f_output]]*$AEF$48</f>
        <v>#N/A</v>
      </c>
      <c r="GV37" s="3453" t="e">
        <f>outputs_klasse_qty[[#This Row],[bolt_vegg_g_output]]*$ADX$49</f>
        <v>#N/A</v>
      </c>
      <c r="GW37" s="3453" t="e">
        <f>outputs_klasse_qty[[#This Row],[bolt_vegg_g_output]]*$AEF$49</f>
        <v>#N/A</v>
      </c>
      <c r="GX37"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7"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7" s="5698" t="str">
        <f>IFERROR(outputs_klasse_qty[[#This Row],[bolt_veder_lt4_sum]]+outputs_klasse_qty[[#This Row],[bolt_vegg_lt4_sum]],"")</f>
        <v/>
      </c>
      <c r="HA37" s="5698" t="str">
        <f>IFERROR(outputs_klasse_qty[[#This Row],[bolt_veder_gt4_sum]]+outputs_klasse_qty[[#This Row],[bolt_vegg_gt4_sum]],"")</f>
        <v/>
      </c>
      <c r="HB37" s="3453"/>
      <c r="HC37" s="3453"/>
      <c r="HD37" s="3453"/>
      <c r="HE37" s="3453"/>
      <c r="HF37" s="3453"/>
      <c r="HG37" s="3453"/>
      <c r="HH37" s="3453"/>
      <c r="HI37" s="3453"/>
      <c r="HJ37" s="3453"/>
      <c r="HK37" s="3453"/>
      <c r="HL37" s="3453"/>
      <c r="HM37" s="3453"/>
      <c r="HN37" s="3453"/>
      <c r="HO37" s="3453"/>
      <c r="HP37" s="3453"/>
      <c r="HQ37" s="3453"/>
      <c r="HR37" s="5819" t="e">
        <f t="shared" si="5"/>
        <v>#N/A</v>
      </c>
      <c r="HS37" s="5819">
        <f t="shared" si="6"/>
        <v>1</v>
      </c>
      <c r="HT37" s="5819">
        <f t="shared" si="7"/>
        <v>5</v>
      </c>
      <c r="HU37" s="5855">
        <f>IFERROR(IF(outputs_klasse_qty[[#This Row],[forbolting_bueområde_a]]=_List!$DQ$7,_Calcs_Klasse!$AI$46*$BG112,IF(outputs_klasse_qty[[#This Row],[forbolting_bueområde_a]]=_List!$DQ$8,$AI$40*$BG112)),0)</f>
        <v>0</v>
      </c>
      <c r="HV37" s="5856" t="e">
        <f>IF(outputs_klasse_qty[[#This Row],[forbolting_bueområde_a]]=_List!$DQ$7,($AI$46*BG112)/outputs_klasse_qty[[#This Row],[forbolting_senteravstand_a]]*outputs_klasse_qty[[#This Row],[forbolting_andel_a]],IF(outputs_klasse_qty[[#This Row],[forbolting_bueområde_a]]=_List!$DQ$8,($AI$40*BG112)/outputs_klasse_qty[[#This Row],[forbolting_senteravstand_a]]*outputs_klasse_qty[[#This Row],[forbolting_andel_a]],0))</f>
        <v>#N/A</v>
      </c>
      <c r="HW37" s="5819" t="str">
        <f t="shared" si="8"/>
        <v>Ingen</v>
      </c>
      <c r="HX37" s="5819">
        <f t="shared" si="9"/>
        <v>1</v>
      </c>
      <c r="HY37" s="5819" t="e">
        <f t="shared" si="10"/>
        <v>#N/A</v>
      </c>
      <c r="HZ37" s="5855" t="b">
        <f>IFERROR(IF(outputs_klasse_qty[[#This Row],[forbolting_bueområde_b]]=_List!$DQ$7,_Calcs_Klasse!$AI$46*$BH112,IF(outputs_klasse_qty[[#This Row],[forbolting_bueområde_b]]=_List!$DQ$8,$AI$40*$BH112)),0)</f>
        <v>0</v>
      </c>
      <c r="IA37" s="5856">
        <f>IF(outputs_klasse_qty[[#This Row],[forbolting_bueområde_b]]=_List!$DQ$7,($AI$46*BH112)/outputs_klasse_qty[[#This Row],[forbolting_senteravstand_b]]*outputs_klasse_qty[[#This Row],[forbolting_andel_b]],IF(outputs_klasse_qty[[#This Row],[forbolting_bueområde_b]]=_List!$DQ$8,($AI$40*BH112)/outputs_klasse_qty[[#This Row],[forbolting_senteravstand_b]]*outputs_klasse_qty[[#This Row],[forbolting_andel_b]],0))</f>
        <v>0</v>
      </c>
      <c r="IB37" s="5819" t="str">
        <f t="shared" si="11"/>
        <v>Ingen</v>
      </c>
      <c r="IC37" s="5819">
        <f t="shared" si="12"/>
        <v>1</v>
      </c>
      <c r="ID37" s="5819" t="e">
        <f t="shared" si="13"/>
        <v>#N/A</v>
      </c>
      <c r="IE37" s="5855" t="b">
        <f>IFERROR(IF(outputs_klasse_qty[[#This Row],[forbolting_bueområde_c]]=_List!$DQ$7,_Calcs_Klasse!$AI$46*$BI112,IF(outputs_klasse_qty[[#This Row],[forbolting_bueområde_c]]=_List!$DQ$8,$AI$40*$BI112)),0)</f>
        <v>0</v>
      </c>
      <c r="IF37" s="5856">
        <f>IF(outputs_klasse_qty[[#This Row],[forbolting_bueområde_c]]=_List!$DQ$7,($AI$46*BI112)/outputs_klasse_qty[[#This Row],[forbolting_senteravstand_c]]*outputs_klasse_qty[[#This Row],[forbolting_andel_c]],IF(outputs_klasse_qty[[#This Row],[forbolting_bueområde_c]]=_List!$DQ$8,($AI$40*BI112)/outputs_klasse_qty[[#This Row],[forbolting_senteravstand_c]]*outputs_klasse_qty[[#This Row],[forbolting_andel_c]],0))</f>
        <v>0</v>
      </c>
      <c r="IG37" s="5819" t="e">
        <f t="shared" si="14"/>
        <v>#N/A</v>
      </c>
      <c r="IH37" s="5819">
        <f t="shared" si="15"/>
        <v>1</v>
      </c>
      <c r="II37" s="5819">
        <f t="shared" si="16"/>
        <v>0.5</v>
      </c>
      <c r="IJ37" s="5855">
        <f>IFERROR(IF(outputs_klasse_qty[[#This Row],[forbolting_bueområde_d]]=_List!$DQ$7,_Calcs_Klasse!$AI$46*$BJ112,IF(outputs_klasse_qty[[#This Row],[forbolting_bueområde_d]]=_List!$DQ$8,$AI$40*$BJ112)),0)</f>
        <v>0</v>
      </c>
      <c r="IK37" s="5856" t="e">
        <f>IF(outputs_klasse_qty[[#This Row],[forbolting_bueområde_d]]=_List!$DQ$7,($AI$46*BJ112)/outputs_klasse_qty[[#This Row],[forbolting_senteravstand_d]]*outputs_klasse_qty[[#This Row],[forbolting_andel_d]],IF(outputs_klasse_qty[[#This Row],[forbolting_bueområde_d]]=_List!$DQ$8,($AI$40*BJ112)/outputs_klasse_qty[[#This Row],[forbolting_senteravstand_d]]*outputs_klasse_qty[[#This Row],[forbolting_andel_d]],0))</f>
        <v>#N/A</v>
      </c>
      <c r="IL37" s="5819" t="e">
        <f t="shared" si="17"/>
        <v>#N/A</v>
      </c>
      <c r="IM37" s="5819">
        <f t="shared" si="18"/>
        <v>1</v>
      </c>
      <c r="IN37" s="5819" t="e">
        <f t="shared" si="19"/>
        <v>#N/A</v>
      </c>
      <c r="IO37" s="5855">
        <f>IFERROR(IF(outputs_klasse_qty[[#This Row],[forbolting_bueområde_e1]]=_List!$DQ$7,_Calcs_Klasse!$AI$46*$BK112,IF(outputs_klasse_qty[[#This Row],[forbolting_bueområde_e1]]=_List!$DQ$8,$AI$40*$BK112)),0)</f>
        <v>0</v>
      </c>
      <c r="IP37" s="5856" t="e">
        <f>IF(outputs_klasse_qty[[#This Row],[forbolting_bueområde_e1]]=_List!$DQ$7,($AI$46*BK112)/outputs_klasse_qty[[#This Row],[forbolting_senteravstand_e1]]*outputs_klasse_qty[[#This Row],[forbolting_andel_e1]],IF(outputs_klasse_qty[[#This Row],[forbolting_bueområde_e1]]=_List!$DQ$8,($AI$40*BK112)/outputs_klasse_qty[[#This Row],[forbolting_senteravstand_e1]]*outputs_klasse_qty[[#This Row],[forbolting_andel_e1]],0))</f>
        <v>#N/A</v>
      </c>
      <c r="IQ37" s="5819" t="e">
        <f t="shared" si="20"/>
        <v>#N/A</v>
      </c>
      <c r="IR37" s="5819" t="e">
        <f t="shared" si="21"/>
        <v>#N/A</v>
      </c>
      <c r="IS37" s="5819" t="e">
        <f t="shared" si="22"/>
        <v>#N/A</v>
      </c>
      <c r="IT37" s="5855">
        <f>IFERROR(IF(outputs_klasse_qty[[#This Row],[forbolting_bueområde_e2]]=_List!$DQ$7,_Calcs_Klasse!$AI$46*$BL112,IF(outputs_klasse_qty[[#This Row],[forbolting_bueområde_e2]]=_List!$DQ$8,$AI$40*$BL112)),0)</f>
        <v>0</v>
      </c>
      <c r="IU37" s="5856" t="e">
        <f>IF(outputs_klasse_qty[[#This Row],[forbolting_bueområde_e2]]=_List!$DQ$7,($AI$46*BL112)/outputs_klasse_qty[[#This Row],[forbolting_senteravstand_e2]]*outputs_klasse_qty[[#This Row],[forbolting_andel_e2]],IF(outputs_klasse_qty[[#This Row],[forbolting_bueområde_e2]]=_List!$DQ$8,($AI$40*BL112)/outputs_klasse_qty[[#This Row],[forbolting_senteravstand_e2]]*outputs_klasse_qty[[#This Row],[forbolting_andel_e2]],0))</f>
        <v>#N/A</v>
      </c>
      <c r="IV37" s="5819" t="e">
        <f t="shared" si="23"/>
        <v>#N/A</v>
      </c>
      <c r="IW37" s="5819" t="e">
        <f t="shared" si="24"/>
        <v>#N/A</v>
      </c>
      <c r="IX37" s="5819" t="e">
        <f t="shared" si="25"/>
        <v>#N/A</v>
      </c>
      <c r="IY37" s="5855">
        <f>IFERROR(IF(outputs_klasse_qty[[#This Row],[forbolting_bueområde_f]]=_List!$DQ$7,_Calcs_Klasse!$AI$46*$BM112,IF(outputs_klasse_qty[[#This Row],[forbolting_bueområde_f]]=_List!$DQ$8,$AI$40*$BM112)),0)</f>
        <v>0</v>
      </c>
      <c r="IZ37" s="5856" t="e">
        <f>IF(outputs_klasse_qty[[#This Row],[forbolting_bueområde_f]]=_List!$DQ$7,($AI$46*BM112)/outputs_klasse_qty[[#This Row],[forbolting_senteravstand_f]]*outputs_klasse_qty[[#This Row],[forbolting_andel_f]],IF(outputs_klasse_qty[[#This Row],[forbolting_bueområde_f]]=_List!$DQ$8,($AI$40*BM112)/outputs_klasse_qty[[#This Row],[forbolting_senteravstand_f]]*outputs_klasse_qty[[#This Row],[forbolting_andel_f]],0))</f>
        <v>#N/A</v>
      </c>
      <c r="JA37" s="5819" t="e">
        <f t="shared" si="26"/>
        <v>#N/A</v>
      </c>
      <c r="JB37" s="5819" t="e">
        <f t="shared" si="27"/>
        <v>#N/A</v>
      </c>
      <c r="JC37" s="5819" t="e">
        <f t="shared" si="28"/>
        <v>#N/A</v>
      </c>
      <c r="JD37" s="5855">
        <f>IFERROR(IF(outputs_klasse_qty[[#This Row],[forbolting_bueområde_g]]=_List!$DQ$7,_Calcs_Klasse!$AI$46*$BN112,IF(outputs_klasse_qty[[#This Row],[forbolting_bueområde_g]]=_List!$DQ$8,$AI$40*$BN112)),0)</f>
        <v>0</v>
      </c>
      <c r="JE37" s="5856" t="e">
        <f>IF(outputs_klasse_qty[[#This Row],[forbolting_bueområde_g]]=_List!$DQ$7,($AI$46*BN112)/outputs_klasse_qty[[#This Row],[forbolting_senteravstand_g]]*outputs_klasse_qty[[#This Row],[forbolting_andel_g]],IF(outputs_klasse_qty[[#This Row],[forbolting_bueområde_g]]=_List!$DQ$8,($AI$40*BN112)/outputs_klasse_qty[[#This Row],[forbolting_senteravstand_g]]*outputs_klasse_qty[[#This Row],[forbolting_andel_g]],0))</f>
        <v>#N/A</v>
      </c>
      <c r="JF37" s="3453">
        <f>IFERROR(outputs_klasse_qty[[#This Row],[forbolting_bolter_output_a]]*$AQC$42,0)</f>
        <v>0</v>
      </c>
      <c r="JG37" s="3453">
        <f>IFERROR(outputs_klasse_qty[[#This Row],[forbolting_bolter_output_a]]*$AQL$42,0)</f>
        <v>0</v>
      </c>
      <c r="JH37" s="3453">
        <f>IFERROR(outputs_klasse_qty[[#This Row],[forbolting_bolter_output_b]]*$AQC$43,0)</f>
        <v>0</v>
      </c>
      <c r="JI37" s="3453">
        <f>IFERROR(outputs_klasse_qty[[#This Row],[forbolting_bolter_output_b]]*$AQL$43,0)</f>
        <v>0</v>
      </c>
      <c r="JJ37" s="3453">
        <f>IFERROR(outputs_klasse_qty[[#This Row],[forbolting_bolter_output_c]]*$AQC$44,0)</f>
        <v>0</v>
      </c>
      <c r="JK37" s="3453">
        <f>IFERROR(outputs_klasse_qty[[#This Row],[forbolting_bolter_output_c]]*$AQL$44,0)</f>
        <v>0</v>
      </c>
      <c r="JL37" s="3453">
        <f>IFERROR(outputs_klasse_qty[[#This Row],[forbolting_bolter_output_d]]*$AQC$45,0)</f>
        <v>0</v>
      </c>
      <c r="JM37" s="3453">
        <f>IFERROR(outputs_klasse_qty[[#This Row],[forbolting_bolter_output_d]]*$AQL$45,0)</f>
        <v>0</v>
      </c>
      <c r="JN37" s="3453">
        <f>IFERROR(outputs_klasse_qty[[#This Row],[forbolting_bolter_output_e1]]*$AQC$46,0)</f>
        <v>0</v>
      </c>
      <c r="JO37" s="3453">
        <f>IFERROR(outputs_klasse_qty[[#This Row],[forbolting_bolter_output_e1]]*$AQL$46,0)</f>
        <v>0</v>
      </c>
      <c r="JP37" s="3453">
        <f>IFERROR(outputs_klasse_qty[[#This Row],[forbolting_bolter_output_e2]]*$AQC$47,0)</f>
        <v>0</v>
      </c>
      <c r="JQ37" s="3453">
        <f>IFERROR(outputs_klasse_qty[[#This Row],[forbolting_bolter_output_e2]]*$AQL$47,0)</f>
        <v>0</v>
      </c>
      <c r="JR37" s="3453">
        <f>IFERROR(outputs_klasse_qty[[#This Row],[forbolting_bolter_output_f]]*$AQC$48,0)</f>
        <v>0</v>
      </c>
      <c r="JS37" s="3453">
        <f>IFERROR(outputs_klasse_qty[[#This Row],[forbolting_bolter_output_f]]*$AQL$48,0)</f>
        <v>0</v>
      </c>
      <c r="JT37" s="3453">
        <f>IFERROR(outputs_klasse_qty[[#This Row],[forbolting_bolter_output_g]]*$AQC$49,0)</f>
        <v>0</v>
      </c>
      <c r="JU37" s="3453">
        <f>IFERROR(outputs_klasse_qty[[#This Row],[forbolting_bolter_output_g]]*$AQL$49,0)</f>
        <v>0</v>
      </c>
      <c r="JV37"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7"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7" s="5819" t="e">
        <f t="shared" si="29"/>
        <v>#N/A</v>
      </c>
      <c r="JY37" s="5856" t="e">
        <f>IF(outputs_klasse_qty[[#This Row],[forbolting_bueområde_a]]=_List!$DQ$7,($AI$46*BG112)/outputs_klasse_qty[[#This Row],[opphengbolter_senteravstand_a]]*outputs_klasse_qty[[#This Row],[forbolting_andel_a]],IF(outputs_klasse_qty[[#This Row],[forbolting_bueområde_a]]=_List!$DQ$8,($AI$40*BG112)/outputs_klasse_qty[[#This Row],[opphengbolter_senteravstand_a]]*outputs_klasse_qty[[#This Row],[forbolting_andel_a]],0))</f>
        <v>#N/A</v>
      </c>
      <c r="JZ37" s="5819" t="e">
        <f t="shared" si="30"/>
        <v>#N/A</v>
      </c>
      <c r="KA37" s="5856">
        <f>IF(outputs_klasse_qty[[#This Row],[forbolting_bueområde_b]]=_List!$DQ$7,($AI$46*BH112)/outputs_klasse_qty[[#This Row],[opphengbolter_senteravstand_b]]*outputs_klasse_qty[[#This Row],[forbolting_andel_b]],IF(outputs_klasse_qty[[#This Row],[forbolting_bueområde_b]]=_List!$DQ$8,($AI$40*BH112)/outputs_klasse_qty[[#This Row],[opphengbolter_senteravstand_b]]*outputs_klasse_qty[[#This Row],[forbolting_andel_b]],0))</f>
        <v>0</v>
      </c>
      <c r="KB37" s="5819" t="e">
        <f t="shared" si="31"/>
        <v>#N/A</v>
      </c>
      <c r="KC37" s="5856">
        <f>IF(outputs_klasse_qty[[#This Row],[forbolting_bueområde_c]]=_List!$DQ$7,($AI$46*BI112)/outputs_klasse_qty[[#This Row],[opphengbolter_senteravstand_c]]*outputs_klasse_qty[[#This Row],[forbolting_andel_c]],IF(outputs_klasse_qty[[#This Row],[forbolting_bueområde_c]]=_List!$DQ$8,($AI$40*BI112)/outputs_klasse_qty[[#This Row],[opphengbolter_senteravstand_c]]*outputs_klasse_qty[[#This Row],[forbolting_andel_c]],0))</f>
        <v>0</v>
      </c>
      <c r="KD37" s="5819" t="e">
        <f t="shared" si="32"/>
        <v>#N/A</v>
      </c>
      <c r="KE37" s="5856" t="e">
        <f>IF(outputs_klasse_qty[[#This Row],[forbolting_bueområde_d]]=_List!$DQ$7,($AI$46*BJ112)/outputs_klasse_qty[[#This Row],[opphengbolter_senteravstand_d]]*outputs_klasse_qty[[#This Row],[forbolting_andel_d]],IF(outputs_klasse_qty[[#This Row],[forbolting_bueområde_d]]=_List!$DQ$8,($AI$40*BJ112)/outputs_klasse_qty[[#This Row],[opphengbolter_senteravstand_d]]*outputs_klasse_qty[[#This Row],[forbolting_andel_d]],0))</f>
        <v>#N/A</v>
      </c>
      <c r="KF37" s="5819" t="e">
        <f t="shared" si="33"/>
        <v>#N/A</v>
      </c>
      <c r="KG37" s="5856" t="e">
        <f>IF(outputs_klasse_qty[[#This Row],[forbolting_bueområde_e1]]=_List!$DQ$7,($AI$46*BK112)/outputs_klasse_qty[[#This Row],[opphengbolter_senteravstand_e1]]*outputs_klasse_qty[[#This Row],[forbolting_andel_e1]],IF(outputs_klasse_qty[[#This Row],[forbolting_bueområde_e1]]=_List!$DQ$8,($AI$40*BK112)/outputs_klasse_qty[[#This Row],[opphengbolter_senteravstand_e1]]*outputs_klasse_qty[[#This Row],[forbolting_andel_e1]],0))</f>
        <v>#N/A</v>
      </c>
      <c r="KH37" s="5819" t="e">
        <f t="shared" si="34"/>
        <v>#N/A</v>
      </c>
      <c r="KI37" s="5856" t="e">
        <f>IF(outputs_klasse_qty[[#This Row],[forbolting_bueområde_e2]]=_List!$DQ$7,($AI$46*BL112)/outputs_klasse_qty[[#This Row],[opphengbolter_senteravstand_e2]]*outputs_klasse_qty[[#This Row],[forbolting_andel_e2]],IF(outputs_klasse_qty[[#This Row],[forbolting_bueområde_e2]]=_List!$DQ$8,($AI$40*BL112)/outputs_klasse_qty[[#This Row],[opphengbolter_senteravstand_e2]]*outputs_klasse_qty[[#This Row],[forbolting_andel_e2]],0))</f>
        <v>#N/A</v>
      </c>
      <c r="KJ37" s="5819" t="e">
        <f t="shared" si="35"/>
        <v>#N/A</v>
      </c>
      <c r="KK37" s="5856" t="e">
        <f>IF(outputs_klasse_qty[[#This Row],[forbolting_bueområde_f]]=_List!$DQ$7,($AI$46*BM112)/outputs_klasse_qty[[#This Row],[opphengbolter_senteravstand_f]]*outputs_klasse_qty[[#This Row],[forbolting_andel_f]],IF(outputs_klasse_qty[[#This Row],[forbolting_bueområde_f]]=_List!$DQ$8,($AI$40*BM112)/outputs_klasse_qty[[#This Row],[opphengbolter_senteravstand_f]]*outputs_klasse_qty[[#This Row],[forbolting_andel_f]],0))</f>
        <v>#N/A</v>
      </c>
      <c r="KL37" s="5819" t="e">
        <f t="shared" si="36"/>
        <v>#N/A</v>
      </c>
      <c r="KM37" s="5856" t="e">
        <f>IF(outputs_klasse_qty[[#This Row],[forbolting_bueområde_g]]=_List!$DQ$7,($AI$46*BN112)/outputs_klasse_qty[[#This Row],[opphengbolter_senteravstand_g]]*outputs_klasse_qty[[#This Row],[forbolting_andel_g]],IF(outputs_klasse_qty[[#This Row],[forbolting_bueområde_g]]=_List!$DQ$8,($AI$40*BN112)/outputs_klasse_qty[[#This Row],[opphengbolter_senteravstand_g]]*outputs_klasse_qty[[#This Row],[forbolting_andel_g]],0))</f>
        <v>#N/A</v>
      </c>
      <c r="KN37" s="5819">
        <f>IFERROR(outputs_klasse_qty[[#This Row],[opphengbolter_output_a]]*$ARC$42,0)</f>
        <v>0</v>
      </c>
      <c r="KO37" s="5819">
        <f>IFERROR(outputs_klasse_qty[[#This Row],[opphengbolter_output_a]]*$ARL$42,0)</f>
        <v>0</v>
      </c>
      <c r="KP37" s="5819">
        <f>IFERROR(outputs_klasse_qty[[#This Row],[opphengbolter_output_b]]*$ARC$43,0)</f>
        <v>0</v>
      </c>
      <c r="KQ37" s="5819">
        <f>IFERROR(outputs_klasse_qty[[#This Row],[opphengbolter_output_b]]*$ARL$43,0)</f>
        <v>0</v>
      </c>
      <c r="KR37" s="5819">
        <f>IFERROR(outputs_klasse_qty[[#This Row],[opphengbolter_output_c]]*$ARC$44,0)</f>
        <v>0</v>
      </c>
      <c r="KS37" s="5819">
        <f>IFERROR(outputs_klasse_qty[[#This Row],[opphengbolter_output_c]]*$ARL$44,0)</f>
        <v>0</v>
      </c>
      <c r="KT37" s="5819">
        <f>IFERROR(outputs_klasse_qty[[#This Row],[opphengbolter_output_d]]*$ARC$45,0)</f>
        <v>0</v>
      </c>
      <c r="KU37" s="5819">
        <f>IFERROR(outputs_klasse_qty[[#This Row],[opphengbolter_output_d]]*$ARL$45,0)</f>
        <v>0</v>
      </c>
      <c r="KV37" s="5819">
        <f>IFERROR(outputs_klasse_qty[[#This Row],[opphengbolter_output_e1]]*$ARC$46,0)</f>
        <v>0</v>
      </c>
      <c r="KW37" s="5819">
        <f>IFERROR(outputs_klasse_qty[[#This Row],[opphengbolter_output_e1]]*$ARL$46,0)</f>
        <v>0</v>
      </c>
      <c r="KX37" s="5819">
        <f>IFERROR(outputs_klasse_qty[[#This Row],[opphengbolter_output_e2]]*$ARC$47,0)</f>
        <v>0</v>
      </c>
      <c r="KY37" s="5819">
        <f>IFERROR(outputs_klasse_qty[[#This Row],[opphengbolter_output_e2]]*$ARL$47,0)</f>
        <v>0</v>
      </c>
      <c r="KZ37" s="5819">
        <f>IFERROR(outputs_klasse_qty[[#This Row],[opphengbolter_output_f]]*$ARC$48,0)</f>
        <v>0</v>
      </c>
      <c r="LA37" s="5819">
        <f>IFERROR(outputs_klasse_qty[[#This Row],[opphengbolter_output_f]]*$ARL$48,0)</f>
        <v>0</v>
      </c>
      <c r="LB37" s="5819">
        <f>IFERROR(outputs_klasse_qty[[#This Row],[opphengbolter_output_g]]*$ARC$49,0)</f>
        <v>0</v>
      </c>
      <c r="LC37" s="5819">
        <f>IFERROR(outputs_klasse_qty[[#This Row],[opphengbolter_output_g]]*$ARL$49,0)</f>
        <v>0</v>
      </c>
      <c r="LD37"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7"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7" s="5712" cm="1">
        <f t="array" ref="LF37">IF($AK$217=klasse_bånd[Method],$LF$28,IF($AK$217="",$LF$29,0))</f>
        <v>1</v>
      </c>
      <c r="LG37" s="3453">
        <f t="shared" si="110"/>
        <v>1.5</v>
      </c>
      <c r="LH37" s="3453">
        <f>IFERROR(outputs_klasse_qty[[#This Row],[bergbånd_langs_forbolting_a_rate]]*outputs_klasse_qty[[#This Row],[forbolting_bue_lengde_a]],0)</f>
        <v>0</v>
      </c>
      <c r="LI37" s="3453">
        <f t="shared" si="111"/>
        <v>2</v>
      </c>
      <c r="LJ37" s="3453">
        <f>IFERROR(outputs_klasse_qty[[#This Row],[bergbånd_langs_forbolting_b_rate]]*outputs_klasse_qty[[#This Row],[forbolting_bue_lengde_b]],0)</f>
        <v>0</v>
      </c>
      <c r="LK37" s="3453">
        <f t="shared" si="112"/>
        <v>2</v>
      </c>
      <c r="LL37" s="3453">
        <f>IFERROR(outputs_klasse_qty[[#This Row],[bergbånd_langs_forbolting_c_rate]]*outputs_klasse_qty[[#This Row],[forbolting_bue_lengde_c]],0)</f>
        <v>0</v>
      </c>
      <c r="LM37" s="3453">
        <f t="shared" si="113"/>
        <v>2</v>
      </c>
      <c r="LN37" s="3453">
        <f>IFERROR(outputs_klasse_qty[[#This Row],[bergbånd_langs_forbolting_d_rate]]*outputs_klasse_qty[[#This Row],[forbolting_bue_lengde_d]],0)</f>
        <v>0</v>
      </c>
      <c r="LO37" s="3453">
        <f t="shared" si="114"/>
        <v>2</v>
      </c>
      <c r="LP37" s="3453">
        <f>IFERROR(outputs_klasse_qty[[#This Row],[bergbånd_langs_forbolting_e1_rate]]*outputs_klasse_qty[[#This Row],[forbolting_bue_lengde_e1]],0)</f>
        <v>0</v>
      </c>
      <c r="LQ37" s="3453">
        <f t="shared" si="115"/>
        <v>2</v>
      </c>
      <c r="LR37" s="3453">
        <f>IFERROR(outputs_klasse_qty[[#This Row],[bergbånd_langs_forbolting_e2_rate]]*outputs_klasse_qty[[#This Row],[forbolting_bue_lengde_e2]],0)</f>
        <v>0</v>
      </c>
      <c r="LS37" s="3453" t="e">
        <f t="shared" si="116"/>
        <v>#N/A</v>
      </c>
      <c r="LT37" s="3453">
        <f>IFERROR(outputs_klasse_qty[[#This Row],[bergbånd_langs_forbolting_f_rate]]*outputs_klasse_qty[[#This Row],[forbolting_bue_lengde_f]],0)</f>
        <v>0</v>
      </c>
      <c r="LU37" s="3453" t="e">
        <f t="shared" si="117"/>
        <v>#N/A</v>
      </c>
      <c r="LV37" s="3453">
        <f>IFERROR(outputs_klasse_qty[[#This Row],[bergbånd_langs_forbolting_g_rate]]*outputs_klasse_qty[[#This Row],[forbolting_bue_lengde_g]],0)</f>
        <v>0</v>
      </c>
      <c r="LW37"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7" s="3453" t="e">
        <f t="shared" si="37"/>
        <v>#N/A</v>
      </c>
      <c r="LY37" s="5703">
        <f>IFERROR(outputs_klasse_qty[[#This Row],[bånd_ekstra_a_rate]]*$AY89,0)</f>
        <v>0</v>
      </c>
      <c r="LZ37" s="3453" t="e">
        <f t="shared" si="38"/>
        <v>#N/A</v>
      </c>
      <c r="MA37" s="5703">
        <f>IFERROR(outputs_klasse_qty[[#This Row],[bånd_ekstra_b_rate]]*$AZ89,0)</f>
        <v>0</v>
      </c>
      <c r="MB37" s="3453" t="e">
        <f t="shared" si="39"/>
        <v>#N/A</v>
      </c>
      <c r="MC37" s="5703">
        <f>IFERROR(outputs_klasse_qty[[#This Row],[bånd_ekstra_c_rate]]*$BA89,0)</f>
        <v>0</v>
      </c>
      <c r="MD37" s="3453" t="e">
        <f t="shared" si="40"/>
        <v>#N/A</v>
      </c>
      <c r="ME37" s="5703">
        <f>IFERROR(outputs_klasse_qty[[#This Row],[bånd_ekstra_d_rate]]*$BB89,0)</f>
        <v>0</v>
      </c>
      <c r="MF37" s="3453" t="e">
        <f t="shared" si="41"/>
        <v>#N/A</v>
      </c>
      <c r="MG37" s="5703">
        <f>IFERROR(outputs_klasse_qty[[#This Row],[bånd_ekstra_e1_rate]]*$BC89,0)</f>
        <v>0</v>
      </c>
      <c r="MH37" s="3453" t="e">
        <f t="shared" si="42"/>
        <v>#N/A</v>
      </c>
      <c r="MI37" s="5703">
        <f>IFERROR(outputs_klasse_qty[[#This Row],[bånd_ekstra_e2_rate]]*$BD89,0)</f>
        <v>0</v>
      </c>
      <c r="MJ37" s="3453" t="e">
        <f t="shared" si="43"/>
        <v>#N/A</v>
      </c>
      <c r="MK37" s="5703">
        <f>IFERROR(outputs_klasse_qty[[#This Row],[bånd_ekstra_f_rate]]*$BE89,0)</f>
        <v>0</v>
      </c>
      <c r="ML37" s="3453" t="e">
        <f t="shared" si="44"/>
        <v>#N/A</v>
      </c>
      <c r="MM37" s="5703">
        <f>IFERROR(outputs_klasse_qty[[#This Row],[bånd_ekstra_g_rate]]*$BF89,0)</f>
        <v>0</v>
      </c>
      <c r="MN37"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7" s="5705">
        <f>outputs_klasse_qty[[#This Row],[bergbånd_langs_forbolting_a_output]]+outputs_klasse_qty[[#This Row],[bånd_ekstra_a_output]]</f>
        <v>0</v>
      </c>
      <c r="MP37" s="5705">
        <f>outputs_klasse_qty[[#This Row],[bergbånd_langs_forbolting_b_output]]+outputs_klasse_qty[[#This Row],[bånd_ekstra_b_output]]</f>
        <v>0</v>
      </c>
      <c r="MQ37" s="5705">
        <f>outputs_klasse_qty[[#This Row],[bergbånd_langs_forbolting_c_output]]+outputs_klasse_qty[[#This Row],[bånd_ekstra_c_output]]</f>
        <v>0</v>
      </c>
      <c r="MR37" s="5705">
        <f>outputs_klasse_qty[[#This Row],[bergbånd_langs_forbolting_d_output]]+outputs_klasse_qty[[#This Row],[bånd_ekstra_d_output]]</f>
        <v>0</v>
      </c>
      <c r="MS37" s="5705">
        <f>outputs_klasse_qty[[#This Row],[bergbånd_langs_forbolting_e1_output]]+outputs_klasse_qty[[#This Row],[bånd_ekstra_e1_output]]</f>
        <v>0</v>
      </c>
      <c r="MT37" s="5705">
        <f>outputs_klasse_qty[[#This Row],[bergbånd_langs_forbolting_e2_output]]+outputs_klasse_qty[[#This Row],[bånd_ekstra_e2_output]]</f>
        <v>0</v>
      </c>
      <c r="MU37" s="5705">
        <f>outputs_klasse_qty[[#This Row],[bergbånd_langs_forbolting_f_output]]+outputs_klasse_qty[[#This Row],[bånd_ekstra_f_output]]</f>
        <v>0</v>
      </c>
      <c r="MV37" s="5705">
        <f>outputs_klasse_qty[[#This Row],[bergbånd_langs_forbolting_g_output]]+outputs_klasse_qty[[#This Row],[bånd_ekstra_g_output]]</f>
        <v>0</v>
      </c>
      <c r="MW37" s="5706">
        <f>SUM(outputs_klasse_qty[[#This Row],[bergbånd_sum_a]:[bergbånd_sum_g]])</f>
        <v>0</v>
      </c>
      <c r="MX37" s="3453" t="e">
        <f t="shared" si="45"/>
        <v>#N/A</v>
      </c>
      <c r="MY37" s="5707">
        <f>IFERROR(outputs_klasse_qty[[#This Row],[bergbånd_sum_a]]/outputs_klasse_qty[[#This Row],[festebolter_for_bergbånd_a_senteravstand]],0)</f>
        <v>0</v>
      </c>
      <c r="MZ37" s="3453" t="e">
        <f t="shared" si="46"/>
        <v>#N/A</v>
      </c>
      <c r="NA37" s="5707">
        <f>IFERROR(outputs_klasse_qty[[#This Row],[bergbånd_sum_b]]/outputs_klasse_qty[[#This Row],[festebolter_for_bergbånd_b_senteravstand]],0)</f>
        <v>0</v>
      </c>
      <c r="NB37" s="3453" t="e">
        <f t="shared" si="47"/>
        <v>#N/A</v>
      </c>
      <c r="NC37" s="5707">
        <f>IFERROR(outputs_klasse_qty[[#This Row],[bergbånd_sum_c]]/outputs_klasse_qty[[#This Row],[festebolter_for_bergbånd_c_senteravstand]],0)</f>
        <v>0</v>
      </c>
      <c r="ND37" s="3453" t="e">
        <f t="shared" si="48"/>
        <v>#N/A</v>
      </c>
      <c r="NE37" s="5707">
        <f>IFERROR(outputs_klasse_qty[[#This Row],[bergbånd_sum_d]]/outputs_klasse_qty[[#This Row],[festebolter_for_bergbånd_d_senteravstand]],0)</f>
        <v>0</v>
      </c>
      <c r="NF37" s="3453" t="e">
        <f t="shared" si="49"/>
        <v>#N/A</v>
      </c>
      <c r="NG37" s="5707">
        <f>IFERROR(outputs_klasse_qty[[#This Row],[bergbånd_sum_e1]]/outputs_klasse_qty[[#This Row],[festebolter_for_bergbånd_e1_senteravstand]],0)</f>
        <v>0</v>
      </c>
      <c r="NH37" s="3453" t="e">
        <f t="shared" si="50"/>
        <v>#N/A</v>
      </c>
      <c r="NI37" s="5707">
        <f>IFERROR(outputs_klasse_qty[[#This Row],[bergbånd_sum_e2]]/outputs_klasse_qty[[#This Row],[festebolter_for_bergbånd_e2_senteravstand]],0)</f>
        <v>0</v>
      </c>
      <c r="NJ37" s="3453" t="e">
        <f t="shared" si="51"/>
        <v>#N/A</v>
      </c>
      <c r="NK37" s="5707">
        <f>IFERROR(outputs_klasse_qty[[#This Row],[bergbånd_sum_f]]/outputs_klasse_qty[[#This Row],[festebolter_for_bergbånd_f_senteravstand]],0)</f>
        <v>0</v>
      </c>
      <c r="NL37" s="3453" t="e">
        <f t="shared" si="52"/>
        <v>#N/A</v>
      </c>
      <c r="NM37" s="5707">
        <f>IFERROR(outputs_klasse_qty[[#This Row],[bergbånd_sum_g]]/outputs_klasse_qty[[#This Row],[festebolter_for_bergbånd_g_senteravstand]],0)</f>
        <v>0</v>
      </c>
      <c r="NN37"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7" s="3453"/>
      <c r="NP37" s="3453"/>
      <c r="NQ37" s="3453"/>
      <c r="NR37" s="3453"/>
      <c r="NS37" s="3453"/>
      <c r="NT37" s="3453"/>
      <c r="NU37" s="3453"/>
      <c r="NV37" s="3453"/>
      <c r="NW37" s="3453"/>
      <c r="NX37" s="3453"/>
      <c r="NY37" s="3453"/>
      <c r="NZ37" s="3453"/>
      <c r="OA37" s="3453"/>
      <c r="OB37" s="3453"/>
      <c r="OC37" s="3453"/>
      <c r="OD37" s="3453"/>
      <c r="OE37" s="3453"/>
      <c r="OF37" s="3453"/>
      <c r="OG37" s="3453"/>
      <c r="OH37" s="3453"/>
      <c r="OI37" s="5712" cm="1">
        <f t="array" ref="OI37">IF($AK$218=klasse_net[Method],$OI$28,IF($AK$218="",$OI$29,0))</f>
        <v>1</v>
      </c>
      <c r="OJ37" s="3453" t="e">
        <f t="shared" si="118"/>
        <v>#N/A</v>
      </c>
      <c r="OK37" s="5720">
        <f>IFERROR(outputs_klasse_qty[[#This Row],[nett_a_rate]]*$AY89,0)</f>
        <v>0</v>
      </c>
      <c r="OL37" s="3453" t="e">
        <f t="shared" si="119"/>
        <v>#N/A</v>
      </c>
      <c r="OM37" s="5720">
        <f>IFERROR(outputs_klasse_qty[[#This Row],[nett_b_rate]]*$AZ89,0)</f>
        <v>0</v>
      </c>
      <c r="ON37" s="3453" t="e">
        <f t="shared" si="120"/>
        <v>#N/A</v>
      </c>
      <c r="OO37" s="5720">
        <f>IFERROR(outputs_klasse_qty[[#This Row],[nett_c_rate]]*$BA89,0)</f>
        <v>0</v>
      </c>
      <c r="OP37" s="3453" t="e">
        <f t="shared" si="121"/>
        <v>#N/A</v>
      </c>
      <c r="OQ37" s="5720">
        <f>IFERROR(outputs_klasse_qty[[#This Row],[nett_d_rate]]*$BB89,0)</f>
        <v>0</v>
      </c>
      <c r="OR37" s="3453" t="e">
        <f t="shared" si="122"/>
        <v>#N/A</v>
      </c>
      <c r="OS37" s="5720">
        <f>IFERROR(outputs_klasse_qty[[#This Row],[nett_e1_rate]]*$BC89,0)</f>
        <v>0</v>
      </c>
      <c r="OT37" s="3453" t="e">
        <f t="shared" si="123"/>
        <v>#N/A</v>
      </c>
      <c r="OU37" s="5720">
        <f>IFERROR(outputs_klasse_qty[[#This Row],[nett_e2_rate]]*$BD89,0)</f>
        <v>0</v>
      </c>
      <c r="OV37" s="3453" t="e">
        <f t="shared" si="124"/>
        <v>#N/A</v>
      </c>
      <c r="OW37" s="5720">
        <f>IFERROR(outputs_klasse_qty[[#This Row],[nett_f_rate]]*$BE89,0)</f>
        <v>0</v>
      </c>
      <c r="OX37" s="3453" t="e">
        <f t="shared" si="125"/>
        <v>#N/A</v>
      </c>
      <c r="OY37" s="5720">
        <f>IFERROR(outputs_klasse_qty[[#This Row],[nett_g_rate]]*$BF89,0)</f>
        <v>0</v>
      </c>
      <c r="OZ37" s="5709">
        <f t="shared" si="126"/>
        <v>0</v>
      </c>
      <c r="PA37" s="3453" t="e">
        <f t="shared" si="53"/>
        <v>#N/A</v>
      </c>
      <c r="PB37" s="5618">
        <f>IFERROR(outputs_klasse_qty[[#This Row],[nett_a_output]]/(outputs_klasse_qty[[#This Row],[festebolter_for_nett_senteravstand_a]]^2),0)</f>
        <v>0</v>
      </c>
      <c r="PC37" s="3453" t="e">
        <f t="shared" si="54"/>
        <v>#N/A</v>
      </c>
      <c r="PD37" s="5618">
        <f>IFERROR(outputs_klasse_qty[[#This Row],[nett_b_output]]/(outputs_klasse_qty[[#This Row],[festebolter_for_nett_senteravstand_b]]^2),0)</f>
        <v>0</v>
      </c>
      <c r="PE37" s="3453" t="e">
        <f t="shared" si="55"/>
        <v>#N/A</v>
      </c>
      <c r="PF37" s="5618">
        <f>IFERROR(outputs_klasse_qty[[#This Row],[nett_c_output]]/(outputs_klasse_qty[[#This Row],[festebolter_for_nett_senteravstand_c]]^2),0)</f>
        <v>0</v>
      </c>
      <c r="PG37" s="3453" t="e">
        <f t="shared" si="56"/>
        <v>#N/A</v>
      </c>
      <c r="PH37" s="5618">
        <f>IFERROR(outputs_klasse_qty[[#This Row],[nett_d_output]]/(outputs_klasse_qty[[#This Row],[festebolter_for_nett_senteravstand_d]]^2),0)</f>
        <v>0</v>
      </c>
      <c r="PI37" s="3453" t="e">
        <f t="shared" si="57"/>
        <v>#N/A</v>
      </c>
      <c r="PJ37" s="5618">
        <f>IFERROR(outputs_klasse_qty[[#This Row],[nett_e1_output]]/(outputs_klasse_qty[[#This Row],[festebolter_for_nett_senteravstand_e1]]^2),0)</f>
        <v>0</v>
      </c>
      <c r="PK37" s="3453" t="e">
        <f t="shared" si="58"/>
        <v>#N/A</v>
      </c>
      <c r="PL37" s="5618">
        <f>IFERROR(outputs_klasse_qty[[#This Row],[nett_e2_output]]/(outputs_klasse_qty[[#This Row],[festebolter_for_nett_senteravstand_e2]]^2),0)</f>
        <v>0</v>
      </c>
      <c r="PM37" s="3453" t="e">
        <f t="shared" si="59"/>
        <v>#N/A</v>
      </c>
      <c r="PN37" s="5618">
        <f>IFERROR(outputs_klasse_qty[[#This Row],[nett_f_output]]/(outputs_klasse_qty[[#This Row],[festebolter_for_nett_senteravstand_f]]^2),0)</f>
        <v>0</v>
      </c>
      <c r="PO37" s="3453" t="e">
        <f t="shared" si="60"/>
        <v>#N/A</v>
      </c>
      <c r="PP37" s="5618">
        <f>IFERROR(outputs_klasse_qty[[#This Row],[nett_g_output]]/(outputs_klasse_qty[[#This Row],[festebolter_for_nett_senteravstand_g]]^2),0)</f>
        <v>0</v>
      </c>
      <c r="PQ37"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7" s="3453" t="e">
        <f t="shared" si="77"/>
        <v>#N/A</v>
      </c>
      <c r="PS37" s="5710" t="e">
        <f>outputs_klasse_qty[[#This Row],[nett_a_output]]*outputs_klasse_qty[[#This Row],[sprøytebetong_ved_nett_tykkelse_a]]/1000</f>
        <v>#N/A</v>
      </c>
      <c r="PT37" s="3453" t="e">
        <f t="shared" si="78"/>
        <v>#N/A</v>
      </c>
      <c r="PU37" s="5710" t="e">
        <f>outputs_klasse_qty[[#This Row],[nett_b_output]]*outputs_klasse_qty[[#This Row],[sprøytebetong_ved_nett_tykkelse_b]]/1000</f>
        <v>#N/A</v>
      </c>
      <c r="PV37" s="3453" t="e">
        <f t="shared" si="79"/>
        <v>#N/A</v>
      </c>
      <c r="PW37" s="5710" t="e">
        <f>outputs_klasse_qty[[#This Row],[nett_c_output]]*outputs_klasse_qty[[#This Row],[sprøytebetong_ved_nett_tykkelse_c]]/1000</f>
        <v>#N/A</v>
      </c>
      <c r="PX37" s="3453" t="e">
        <f t="shared" si="80"/>
        <v>#N/A</v>
      </c>
      <c r="PY37" s="5710" t="e">
        <f>outputs_klasse_qty[[#This Row],[nett_d_output]]*outputs_klasse_qty[[#This Row],[sprøytebetong_ved_nett_tykkelse_d]]/1000</f>
        <v>#N/A</v>
      </c>
      <c r="PZ37" s="3453" t="e">
        <f t="shared" si="81"/>
        <v>#N/A</v>
      </c>
      <c r="QA37" s="5710" t="e">
        <f>outputs_klasse_qty[[#This Row],[nett_e1_output]]*outputs_klasse_qty[[#This Row],[sprøytebetong_ved_nett_tykkelse_e1]]/1000</f>
        <v>#N/A</v>
      </c>
      <c r="QB37" s="3453" t="e">
        <f t="shared" si="82"/>
        <v>#N/A</v>
      </c>
      <c r="QC37" s="5710" t="e">
        <f>outputs_klasse_qty[[#This Row],[nett_e2_output]]*outputs_klasse_qty[[#This Row],[sprøytebetong_ved_nett_tykkelse_e2]]/1000</f>
        <v>#N/A</v>
      </c>
      <c r="QD37" s="3453" t="e">
        <f t="shared" si="83"/>
        <v>#N/A</v>
      </c>
      <c r="QE37" s="5710" t="e">
        <f>outputs_klasse_qty[[#This Row],[nett_f_output]]*outputs_klasse_qty[[#This Row],[sprøytebetong_ved_nett_tykkelse_f]]/1000</f>
        <v>#N/A</v>
      </c>
      <c r="QF37" s="3453" t="e">
        <f t="shared" si="84"/>
        <v>#N/A</v>
      </c>
      <c r="QG37" s="5710" t="e">
        <f>outputs_klasse_qty[[#This Row],[nett_g_output]]*outputs_klasse_qty[[#This Row],[sprøytebetong_ved_nett_tykkelse_g]]/1000</f>
        <v>#N/A</v>
      </c>
      <c r="QH37"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7" s="3453"/>
      <c r="QJ37" s="3453"/>
      <c r="QK37" s="3453"/>
      <c r="QL37" s="3453"/>
      <c r="QM37" s="3453"/>
      <c r="QN37" s="3453"/>
      <c r="QO37" s="3453"/>
      <c r="QP37" s="3453"/>
      <c r="QQ37" s="3453"/>
      <c r="QR37" s="5712">
        <f>IF($AK$219=_List!$DI$6,_Calcs_Klasse!$QR$28,IF($AK$219=_List!$DI$7,$QR$29,0))</f>
        <v>1</v>
      </c>
      <c r="QS37" s="5713" t="e">
        <f t="shared" si="127"/>
        <v>#N/A</v>
      </c>
      <c r="QT37" s="3453" t="e">
        <f t="shared" si="128"/>
        <v>#N/A</v>
      </c>
      <c r="QU37" s="3453">
        <f>IFERROR((outputs_klasse_qty[[#This Row],[shot_veder_a_faktor]]*outputs_klasse_qty[[#This Row],[shot_veder_a_rate]]*$AI$46*$AY89)/1000,0)</f>
        <v>0</v>
      </c>
      <c r="QV37" s="5713" t="e">
        <f t="shared" si="129"/>
        <v>#N/A</v>
      </c>
      <c r="QW37" s="3453" t="e">
        <f t="shared" si="130"/>
        <v>#N/A</v>
      </c>
      <c r="QX37" s="3453">
        <f>IFERROR((outputs_klasse_qty[[#This Row],[shot_veder_b_faktor]]*outputs_klasse_qty[[#This Row],[shot_veder_b_rate]]*$AI$46*$AZ89)/1000,0)</f>
        <v>0</v>
      </c>
      <c r="QY37" s="5713" t="e">
        <f t="shared" si="131"/>
        <v>#N/A</v>
      </c>
      <c r="QZ37" s="3453" t="e">
        <f t="shared" si="132"/>
        <v>#N/A</v>
      </c>
      <c r="RA37" s="3453">
        <f>IFERROR((outputs_klasse_qty[[#This Row],[shot_veder_c_faktor]]*outputs_klasse_qty[[#This Row],[shot_veder_c_rate]]*$AI$46*$BA89)/1000,0)</f>
        <v>0</v>
      </c>
      <c r="RB37" s="5713" t="e">
        <f t="shared" si="133"/>
        <v>#N/A</v>
      </c>
      <c r="RC37" s="3453" t="e">
        <f t="shared" si="134"/>
        <v>#N/A</v>
      </c>
      <c r="RD37" s="3453">
        <f>IFERROR((outputs_klasse_qty[[#This Row],[shot_veder_d_faktor]]*outputs_klasse_qty[[#This Row],[shot_veder_d_rate]]*$AI$46*$BB89)/1000,0)</f>
        <v>0</v>
      </c>
      <c r="RE37" s="5713" t="e">
        <f t="shared" si="135"/>
        <v>#N/A</v>
      </c>
      <c r="RF37" s="3453" t="e">
        <f t="shared" si="136"/>
        <v>#N/A</v>
      </c>
      <c r="RG37" s="3453">
        <f>IFERROR((outputs_klasse_qty[[#This Row],[shot_veder_e1_faktor]]*outputs_klasse_qty[[#This Row],[shot_veder_e1_rate]]*$AI$46*$BC89)/1000,0)</f>
        <v>0</v>
      </c>
      <c r="RH37" s="5713" t="e">
        <f t="shared" si="137"/>
        <v>#N/A</v>
      </c>
      <c r="RI37" s="3453" t="e">
        <f t="shared" si="138"/>
        <v>#N/A</v>
      </c>
      <c r="RJ37" s="3453">
        <f>IFERROR((outputs_klasse_qty[[#This Row],[shot_veder_e2_faktor]]*outputs_klasse_qty[[#This Row],[shot_veder_e2_rate]]*$AI$46*$BD89)/1000,0)</f>
        <v>0</v>
      </c>
      <c r="RK37" s="5713" t="e">
        <f t="shared" si="139"/>
        <v>#N/A</v>
      </c>
      <c r="RL37" s="3453" t="e">
        <f t="shared" si="140"/>
        <v>#N/A</v>
      </c>
      <c r="RM37" s="3453">
        <f>IFERROR((outputs_klasse_qty[[#This Row],[shot_veder_f_faktor]]*outputs_klasse_qty[[#This Row],[shot_veder_f_rate]]*$AI$46*$BE89)/1000,0)</f>
        <v>0</v>
      </c>
      <c r="RN37" s="5713" t="e">
        <f t="shared" si="141"/>
        <v>#N/A</v>
      </c>
      <c r="RO37" s="3453" t="e">
        <f t="shared" si="142"/>
        <v>#N/A</v>
      </c>
      <c r="RP37" s="3453">
        <f>IFERROR((outputs_klasse_qty[[#This Row],[shot_veder_g_faktor]]*outputs_klasse_qty[[#This Row],[shot_veder_g_rate]]*$AI$46*$BF89)/1000,0)</f>
        <v>0</v>
      </c>
      <c r="RQ37"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7" s="5712">
        <v>1</v>
      </c>
      <c r="RS37" s="5713" t="e">
        <f t="shared" si="143"/>
        <v>#N/A</v>
      </c>
      <c r="RT37" s="3453" t="e">
        <f t="shared" si="144"/>
        <v>#N/A</v>
      </c>
      <c r="RU37" s="3453">
        <f>IFERROR((outputs_klasse_qty[[#This Row],[shot_vegg_a_faktor]]*outputs_klasse_qty[[#This Row],[shot_vegg_a_rate]]*$AI$42*2*$AY89)/1000,0)</f>
        <v>0</v>
      </c>
      <c r="RV37" s="5713" t="e">
        <f t="shared" si="145"/>
        <v>#N/A</v>
      </c>
      <c r="RW37" s="3453" t="e">
        <f t="shared" si="146"/>
        <v>#N/A</v>
      </c>
      <c r="RX37" s="3453">
        <f>IFERROR((outputs_klasse_qty[[#This Row],[shot_vegg_b_faktor]]*outputs_klasse_qty[[#This Row],[shot_vegg_b_rate]]*$AI$42*2*$AZ89)/1000,0)</f>
        <v>0</v>
      </c>
      <c r="RY37" s="5713" t="e">
        <f t="shared" si="147"/>
        <v>#N/A</v>
      </c>
      <c r="RZ37" s="3453" t="e">
        <f t="shared" si="148"/>
        <v>#N/A</v>
      </c>
      <c r="SA37" s="3453">
        <f>IFERROR((outputs_klasse_qty[[#This Row],[shot_vegg_c_faktor]]*outputs_klasse_qty[[#This Row],[shot_vegg_c_rate]]*$AI$42*2*$BA89)/1000,0)</f>
        <v>0</v>
      </c>
      <c r="SB37" s="5713" t="e">
        <f t="shared" si="149"/>
        <v>#N/A</v>
      </c>
      <c r="SC37" s="3453" t="e">
        <f t="shared" si="150"/>
        <v>#N/A</v>
      </c>
      <c r="SD37" s="3453">
        <f>IFERROR((outputs_klasse_qty[[#This Row],[shot_vegg_d_faktor]]*outputs_klasse_qty[[#This Row],[shot_vegg_d_rate]]*$AI$42*2*$BB89)/1000,0)</f>
        <v>0</v>
      </c>
      <c r="SE37" s="5713" t="e">
        <f t="shared" si="151"/>
        <v>#N/A</v>
      </c>
      <c r="SF37" s="3453" t="e">
        <f t="shared" si="152"/>
        <v>#N/A</v>
      </c>
      <c r="SG37" s="3453">
        <f>IFERROR((outputs_klasse_qty[[#This Row],[shot_vegg_e1_faktor]]*outputs_klasse_qty[[#This Row],[shot_vegg_e1_rate]]*$AI$42*2*$BC89)/1000,0)</f>
        <v>0</v>
      </c>
      <c r="SH37" s="5713" t="e">
        <f t="shared" si="153"/>
        <v>#N/A</v>
      </c>
      <c r="SI37" s="3453" t="e">
        <f t="shared" si="154"/>
        <v>#N/A</v>
      </c>
      <c r="SJ37" s="3453">
        <f>IFERROR((outputs_klasse_qty[[#This Row],[shot_vegg_e2_faktor]]*outputs_klasse_qty[[#This Row],[shot_vegg_e2_rate]]*$AI$42*2*$BD89)/1000,0)</f>
        <v>0</v>
      </c>
      <c r="SK37" s="5713" t="e">
        <f t="shared" si="155"/>
        <v>#N/A</v>
      </c>
      <c r="SL37" s="3453" t="e">
        <f t="shared" si="156"/>
        <v>#N/A</v>
      </c>
      <c r="SM37" s="3453">
        <f>IFERROR((outputs_klasse_qty[[#This Row],[shot_vegg_f_faktor]]*outputs_klasse_qty[[#This Row],[shot_vegg_f_rate]]*$AI$42*2*$BE89)/1000,0)</f>
        <v>0</v>
      </c>
      <c r="SN37" s="5713" t="e">
        <f t="shared" si="157"/>
        <v>#N/A</v>
      </c>
      <c r="SO37" s="3453" t="e">
        <f t="shared" si="158"/>
        <v>#N/A</v>
      </c>
      <c r="SP37" s="3453">
        <f>IFERROR((outputs_klasse_qty[[#This Row],[shot_vegg_g_faktor]]*outputs_klasse_qty[[#This Row],[shot_vegg_g_rate]]*$AI$42*2*$BF89)/1000,0)</f>
        <v>0</v>
      </c>
      <c r="SQ37"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7" s="5715">
        <f>outputs_klasse_qty[[#This Row],[shot_veder_sum]]+outputs_klasse_qty[[#This Row],[shot_vegg_sum]]</f>
        <v>0</v>
      </c>
      <c r="SS37" s="3453"/>
      <c r="ST37" s="3453"/>
      <c r="SU37" s="3453"/>
      <c r="SV37" s="3453"/>
      <c r="SW37" s="3453"/>
      <c r="SX37" s="3453"/>
      <c r="SY37" s="3453"/>
      <c r="SZ37" s="3453"/>
      <c r="TA37" s="3453"/>
      <c r="TB37" s="3453"/>
      <c r="TC37" s="3453"/>
      <c r="TD37" s="3453"/>
      <c r="TE37" s="3453"/>
      <c r="TF37" s="3453"/>
      <c r="TG37" s="3453"/>
      <c r="TH37" s="3453"/>
      <c r="TI37" s="3453"/>
      <c r="TJ37" s="3453"/>
      <c r="TK37" s="5721" cm="1">
        <f t="array" ref="TK37">IF($AK$221=klasse_buer[Method],_Calcs_Klasse!$TK$28,IF($AK$221="",_Calcs_Klasse!TK34,""))</f>
        <v>1</v>
      </c>
      <c r="TL37" s="3453" t="e">
        <f t="shared" si="159"/>
        <v>#N/A</v>
      </c>
      <c r="TM37" s="3453" t="e">
        <f t="shared" si="61"/>
        <v>#N/A</v>
      </c>
      <c r="TN37" s="3453">
        <f>IFERROR((IF(OR(outputs_klasse_qty[[#This Row],[bue_a_dim]]=_List!$DO$7,outputs_klasse_qty[[#This Row],[bue_a_dim]]=_List!$DO$8),($AY89*$AI$40)/outputs_klasse_qty[[#This Row],[bue_a_senteravstand]]*outputs_klasse_qty[[#This Row],[bue_a_andel]],0)),0)</f>
        <v>0</v>
      </c>
      <c r="TO37" s="5722" t="e">
        <f t="shared" si="160"/>
        <v>#N/A</v>
      </c>
      <c r="TP37" s="5702" t="e">
        <f t="shared" si="161"/>
        <v>#N/A</v>
      </c>
      <c r="TQ37" s="5723" t="e">
        <f t="shared" si="162"/>
        <v>#N/A</v>
      </c>
      <c r="TR37" s="3453" t="e">
        <f t="shared" si="163"/>
        <v>#N/A</v>
      </c>
      <c r="TS37" s="3453" t="e">
        <f t="shared" si="62"/>
        <v>#N/A</v>
      </c>
      <c r="TT37" s="3453">
        <f>IFERROR((IF(OR(outputs_klasse_qty[[#This Row],[bue_b_dim]]=_List!$DO$7,outputs_klasse_qty[[#This Row],[bue_b_dim]]=_List!$DO$8),($AZ89*$AI$40)/outputs_klasse_qty[[#This Row],[bue_b_senteravstand]]*outputs_klasse_qty[[#This Row],[bue_b_andel]],0)),0)</f>
        <v>0</v>
      </c>
      <c r="TU37" s="5722" t="e">
        <f t="shared" si="164"/>
        <v>#N/A</v>
      </c>
      <c r="TV37" s="5702" t="e">
        <f t="shared" si="165"/>
        <v>#N/A</v>
      </c>
      <c r="TW37" s="5723" t="e">
        <f t="shared" si="166"/>
        <v>#N/A</v>
      </c>
      <c r="TX37" s="3453" t="e">
        <f t="shared" si="167"/>
        <v>#N/A</v>
      </c>
      <c r="TY37" s="3453" t="e">
        <f t="shared" si="63"/>
        <v>#N/A</v>
      </c>
      <c r="TZ37" s="3453">
        <f>IFERROR((IF(OR(outputs_klasse_qty[[#This Row],[bue_c_dim]]=_List!$DO$7,outputs_klasse_qty[[#This Row],[bue_c_dim]]=_List!$DO$8),($BA89*$AI$40)/outputs_klasse_qty[[#This Row],[bue_c_senteravstand]]*outputs_klasse_qty[[#This Row],[bue_c_andel]],0)),0)</f>
        <v>0</v>
      </c>
      <c r="UA37" s="5722" t="e">
        <f t="shared" si="168"/>
        <v>#N/A</v>
      </c>
      <c r="UB37" s="5702" t="e">
        <f t="shared" si="169"/>
        <v>#N/A</v>
      </c>
      <c r="UC37" s="5723" t="e">
        <f t="shared" si="170"/>
        <v>#N/A</v>
      </c>
      <c r="UD37" s="3453" t="e">
        <f t="shared" si="171"/>
        <v>#N/A</v>
      </c>
      <c r="UE37" s="3453" t="e">
        <f t="shared" si="64"/>
        <v>#N/A</v>
      </c>
      <c r="UF37" s="3453">
        <f>IFERROR((IF(OR(outputs_klasse_qty[[#This Row],[bue_d_dim]]=_List!$DO$7,outputs_klasse_qty[[#This Row],[bue_d_dim]]=_List!$DO$8),($BB89*$AI$40)/outputs_klasse_qty[[#This Row],[bue_d_senteravstand]]*outputs_klasse_qty[[#This Row],[bue_d_andel]],0)),0)</f>
        <v>0</v>
      </c>
      <c r="UG37" s="5722" t="e">
        <f t="shared" si="172"/>
        <v>#N/A</v>
      </c>
      <c r="UH37" s="5702" t="e">
        <f t="shared" si="173"/>
        <v>#N/A</v>
      </c>
      <c r="UI37" s="5723" t="e">
        <f t="shared" si="174"/>
        <v>#N/A</v>
      </c>
      <c r="UJ37" s="3453" t="e">
        <f t="shared" si="175"/>
        <v>#N/A</v>
      </c>
      <c r="UK37" s="3453" t="e">
        <f t="shared" si="65"/>
        <v>#N/A</v>
      </c>
      <c r="UL37" s="3453">
        <f>IFERROR((IF(OR(outputs_klasse_qty[[#This Row],[bue_e1_dim]]=_List!$DO$7,outputs_klasse_qty[[#This Row],[bue_e1_dim]]=_List!$DO$8),($BC89*$AI$40)/outputs_klasse_qty[[#This Row],[bue_e1_senteravstand]]*outputs_klasse_qty[[#This Row],[bue_e1_andel]],0)),0)</f>
        <v>0</v>
      </c>
      <c r="UM37" s="5722" t="e">
        <f t="shared" si="176"/>
        <v>#N/A</v>
      </c>
      <c r="UN37" s="5702" t="e">
        <f t="shared" si="177"/>
        <v>#N/A</v>
      </c>
      <c r="UO37" s="5723" t="e">
        <f t="shared" si="178"/>
        <v>#N/A</v>
      </c>
      <c r="UP37" s="3453" t="e">
        <f t="shared" si="179"/>
        <v>#N/A</v>
      </c>
      <c r="UQ37" s="3453" t="e">
        <f t="shared" si="66"/>
        <v>#N/A</v>
      </c>
      <c r="UR37" s="3453">
        <f>IFERROR((IF(OR(outputs_klasse_qty[[#This Row],[bue_e2_dim]]=_List!$DO$7,outputs_klasse_qty[[#This Row],[bue_e2_dim]]=_List!$DO$8),($BD89*$AI$40)/outputs_klasse_qty[[#This Row],[bue_e2_senteravstand]]*outputs_klasse_qty[[#This Row],[bue_e2_andel]],0)),0)</f>
        <v>0</v>
      </c>
      <c r="US37" s="5722" t="e">
        <f t="shared" si="180"/>
        <v>#N/A</v>
      </c>
      <c r="UT37" s="5702" t="e">
        <f t="shared" si="181"/>
        <v>#N/A</v>
      </c>
      <c r="UU37" s="5723" t="e">
        <f t="shared" si="182"/>
        <v>#N/A</v>
      </c>
      <c r="UV37" s="3453" t="e">
        <f t="shared" si="183"/>
        <v>#N/A</v>
      </c>
      <c r="UW37" s="3453" t="e">
        <f t="shared" si="67"/>
        <v>#N/A</v>
      </c>
      <c r="UX37" s="3453">
        <f>IFERROR((IF(OR(outputs_klasse_qty[[#This Row],[bue_f_dim]]=_List!$DO$7,outputs_klasse_qty[[#This Row],[bue_f_dim]]=_List!$DO$8),($BE89*$AI$40)/outputs_klasse_qty[[#This Row],[bue_f_senteravstand]]*outputs_klasse_qty[[#This Row],[bue_f_andel]],0)),0)</f>
        <v>0</v>
      </c>
      <c r="UY37" s="5722" t="e">
        <f t="shared" si="184"/>
        <v>#N/A</v>
      </c>
      <c r="UZ37" s="5702" t="e">
        <f t="shared" si="185"/>
        <v>#N/A</v>
      </c>
      <c r="VA37" s="5723" t="e">
        <f t="shared" si="186"/>
        <v>#N/A</v>
      </c>
      <c r="VB37" s="3453" t="e">
        <f t="shared" si="187"/>
        <v>#N/A</v>
      </c>
      <c r="VC37" s="3453" t="e">
        <f t="shared" si="68"/>
        <v>#N/A</v>
      </c>
      <c r="VD37" s="3453">
        <f>IFERROR((IF(OR(outputs_klasse_qty[[#This Row],[bue_g_dim]]=_List!$DO$7,outputs_klasse_qty[[#This Row],[bue_g_dim]]=_List!$DO$8),($BF89*$AI$40)/outputs_klasse_qty[[#This Row],[bue_g_senteravstand]]*outputs_klasse_qty[[#This Row],[bue_g_andel]],0)),0)</f>
        <v>0</v>
      </c>
      <c r="VE37" s="5722" t="e">
        <f t="shared" si="188"/>
        <v>#N/A</v>
      </c>
      <c r="VF37" s="5702" t="e">
        <f t="shared" si="189"/>
        <v>#N/A</v>
      </c>
      <c r="VG37" s="5723" t="e">
        <f t="shared" si="190"/>
        <v>#N/A</v>
      </c>
      <c r="VH37"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7"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7" s="5719" t="str">
        <f>IFERROR(outputs_klasse_qty[[#This Row],[bue_e30_sum]]+outputs_klasse_qty[[#This Row],[bue_d60_sum]],"")</f>
        <v/>
      </c>
      <c r="VK37" s="3453">
        <f t="shared" si="191"/>
        <v>0</v>
      </c>
      <c r="VL37" s="3453">
        <f>outputs_klasse_qty[[#This Row],[bue_a_output]]*outputs_klasse_qty[[#This Row],[sprøytebetong_ved_bue_rate_a]]</f>
        <v>0</v>
      </c>
      <c r="VM37" s="3453">
        <f t="shared" si="192"/>
        <v>0</v>
      </c>
      <c r="VN37" s="3453">
        <f>outputs_klasse_qty[[#This Row],[bue_b_output]]*outputs_klasse_qty[[#This Row],[sprøytebetong_ved_bue_rate_b]]</f>
        <v>0</v>
      </c>
      <c r="VO37" s="3453">
        <f t="shared" si="193"/>
        <v>0</v>
      </c>
      <c r="VP37" s="3453">
        <f>outputs_klasse_qty[[#This Row],[bue_c_output]]*outputs_klasse_qty[[#This Row],[sprøytebetong_ved_bue_rate_c]]</f>
        <v>0</v>
      </c>
      <c r="VQ37" s="3453">
        <f t="shared" si="194"/>
        <v>0</v>
      </c>
      <c r="VR37" s="3453">
        <f>outputs_klasse_qty[[#This Row],[bue_d_output]]*outputs_klasse_qty[[#This Row],[sprøytebetong_ved_bue_rate_d]]</f>
        <v>0</v>
      </c>
      <c r="VS37" s="3453">
        <f t="shared" si="195"/>
        <v>0</v>
      </c>
      <c r="VT37" s="3453">
        <f>outputs_klasse_qty[[#This Row],[bue_e1_output]]*outputs_klasse_qty[[#This Row],[sprøytebetong_ved_bue_rate_e1]]</f>
        <v>0</v>
      </c>
      <c r="VU37" s="3453">
        <f t="shared" si="196"/>
        <v>0</v>
      </c>
      <c r="VV37" s="3453">
        <f>outputs_klasse_qty[[#This Row],[bue_e2_output]]*outputs_klasse_qty[[#This Row],[sprøytebetong_ved_bue_rate_e2]]</f>
        <v>0</v>
      </c>
      <c r="VW37" s="3453">
        <f t="shared" si="197"/>
        <v>0</v>
      </c>
      <c r="VX37" s="3453">
        <f>outputs_klasse_qty[[#This Row],[bue_f_output]]*outputs_klasse_qty[[#This Row],[sprøytebetong_ved_bue_rate_f]]</f>
        <v>0</v>
      </c>
      <c r="VY37" s="3453">
        <f t="shared" si="198"/>
        <v>0</v>
      </c>
      <c r="VZ37" s="3453">
        <f>outputs_klasse_qty[[#This Row],[bue_g_output]]*outputs_klasse_qty[[#This Row],[sprøytebetong_ved_bue_rate_g]]</f>
        <v>0</v>
      </c>
      <c r="WA37"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7" s="3453" t="e">
        <f t="shared" si="199"/>
        <v>#N/A</v>
      </c>
      <c r="WC37" s="3453">
        <f>IFERROR((IF(OR(outputs_klasse_qty[[#This Row],[bue_a_dim]]=_List!$DO$7,outputs_klasse_qty[[#This Row],[bue_a_dim]]=_List!$DO$8),_Calcs_Klasse!AY89/$AJQ$42*outputs_klasse_qty[[#This Row],[forankring_bolter_rate_a]],0)),0)</f>
        <v>0</v>
      </c>
      <c r="WD37" s="3453" t="e">
        <f t="shared" si="200"/>
        <v>#N/A</v>
      </c>
      <c r="WE37" s="3453">
        <f>IFERROR((IF(OR(outputs_klasse_qty[[#This Row],[bue_b_dim]]=_List!$DO$7,outputs_klasse_qty[[#This Row],[bue_b_dim]]=_List!$DO$8),_Calcs_Klasse!AZ89/$AJQ$43*outputs_klasse_qty[[#This Row],[forankring_bolter_rate_b]],0)),0)</f>
        <v>0</v>
      </c>
      <c r="WF37" s="3453" t="e">
        <f t="shared" si="201"/>
        <v>#N/A</v>
      </c>
      <c r="WG37" s="3453">
        <f>IFERROR((IF(OR(outputs_klasse_qty[[#This Row],[bue_c_dim]]=_List!$DO$7,outputs_klasse_qty[[#This Row],[bue_c_dim]]=_List!$DO$8),_Calcs_Klasse!BA89/$AJQ$44*outputs_klasse_qty[[#This Row],[forankring_bolter_rate_c]],0)),0)</f>
        <v>0</v>
      </c>
      <c r="WH37" s="3453" t="e">
        <f t="shared" si="202"/>
        <v>#N/A</v>
      </c>
      <c r="WI37" s="3453">
        <f>IFERROR((IF(OR(outputs_klasse_qty[[#This Row],[bue_d_dim]]=_List!$DO$7,outputs_klasse_qty[[#This Row],[bue_d_dim]]=_List!$DO$8),_Calcs_Klasse!BB89/$AJQ$45*outputs_klasse_qty[[#This Row],[forankring_bolter_rate_d]],0)),0)</f>
        <v>0</v>
      </c>
      <c r="WJ37" s="3453" t="e">
        <f t="shared" si="203"/>
        <v>#N/A</v>
      </c>
      <c r="WK37" s="3453">
        <f>IFERROR((IF(OR(outputs_klasse_qty[[#This Row],[bue_e1_dim]]=_List!$DO$7,outputs_klasse_qty[[#This Row],[bue_e1_dim]]=_List!$DO$8),_Calcs_Klasse!BC89/$AJQ$46*outputs_klasse_qty[[#This Row],[forankring_bolter_rate_e1]],0)),0)</f>
        <v>0</v>
      </c>
      <c r="WL37" s="3453" t="e">
        <f t="shared" si="204"/>
        <v>#N/A</v>
      </c>
      <c r="WM37" s="3453">
        <f>IFERROR((IF(OR(outputs_klasse_qty[[#This Row],[bue_e2_dim]]=_List!$DO$7,outputs_klasse_qty[[#This Row],[bue_e2_dim]]=_List!$DO$8),_Calcs_Klasse!BD89/$AJQ$47*outputs_klasse_qty[[#This Row],[forankring_bolter_rate_e2]],0)),0)</f>
        <v>0</v>
      </c>
      <c r="WN37" s="3453" t="e">
        <f t="shared" si="205"/>
        <v>#N/A</v>
      </c>
      <c r="WO37" s="3453">
        <f>IFERROR((IF(OR(outputs_klasse_qty[[#This Row],[bue_f_dim]]=_List!$DO$7,outputs_klasse_qty[[#This Row],[bue_f_dim]]=_List!$DO$8),_Calcs_Klasse!BE89/$AJQ$48*outputs_klasse_qty[[#This Row],[forankring_bolter_rate_f]],0)),0)</f>
        <v>0</v>
      </c>
      <c r="WP37" s="3453" t="e">
        <f t="shared" si="206"/>
        <v>#N/A</v>
      </c>
      <c r="WQ37" s="3453">
        <f>IFERROR((IF(OR(outputs_klasse_qty[[#This Row],[bue_g_dim]]=_List!$DO$7,outputs_klasse_qty[[#This Row],[bue_g_dim]]=_List!$DO$8),_Calcs_Klasse!BF89/$AJQ$49*outputs_klasse_qty[[#This Row],[forankring_bolter_rate_g]],0)),0)</f>
        <v>0</v>
      </c>
      <c r="WR37" s="3453">
        <f>IFERROR(outputs_klasse_qty[[#This Row],[forankring_bolter_output_a]]*$AMD$42,0)</f>
        <v>0</v>
      </c>
      <c r="WS37" s="3453">
        <f>IFERROR(outputs_klasse_qty[[#This Row],[forankring_bolter_output_a]]*$AMM$42,0)</f>
        <v>0</v>
      </c>
      <c r="WT37" s="3453">
        <f>IFERROR(outputs_klasse_qty[[#This Row],[forankring_bolter_output_b]]*$AMD$43,0)</f>
        <v>0</v>
      </c>
      <c r="WU37" s="3453">
        <f>IFERROR(outputs_klasse_qty[[#This Row],[forankring_bolter_output_b]]*$AMM$43,0)</f>
        <v>0</v>
      </c>
      <c r="WV37" s="3453">
        <f>IFERROR(outputs_klasse_qty[[#This Row],[forankring_bolter_output_c]]*$AMD$44,0)</f>
        <v>0</v>
      </c>
      <c r="WW37" s="3453">
        <f>IFERROR(outputs_klasse_qty[[#This Row],[forankring_bolter_output_c]]*$AMM$44,0)</f>
        <v>0</v>
      </c>
      <c r="WX37" s="3453">
        <f>IFERROR(outputs_klasse_qty[[#This Row],[forankring_bolter_output_d]]*$AMD$45,0)</f>
        <v>0</v>
      </c>
      <c r="WY37" s="3453">
        <f>IFERROR(outputs_klasse_qty[[#This Row],[forankring_bolter_output_d]]*$AMM$45,0)</f>
        <v>0</v>
      </c>
      <c r="WZ37" s="3453">
        <f>IFERROR(outputs_klasse_qty[[#This Row],[forankring_bolter_output_e1]]*$AMD$46,0)</f>
        <v>0</v>
      </c>
      <c r="XA37" s="3453">
        <f>IFERROR(outputs_klasse_qty[[#This Row],[forankring_bolter_output_e1]]*$AMM$46,0)</f>
        <v>0</v>
      </c>
      <c r="XB37" s="3453">
        <f>IFERROR(outputs_klasse_qty[[#This Row],[forankring_bolter_output_e2]]*$AMD$47,0)</f>
        <v>0</v>
      </c>
      <c r="XC37" s="3453">
        <f>IFERROR(outputs_klasse_qty[[#This Row],[forankring_bolter_output_e2]]*$AMM$47,0)</f>
        <v>0</v>
      </c>
      <c r="XD37" s="3453">
        <f>IFERROR(outputs_klasse_qty[[#This Row],[forankring_bolter_output_f]]*$AMD$48,0)</f>
        <v>0</v>
      </c>
      <c r="XE37" s="3453">
        <f>IFERROR(outputs_klasse_qty[[#This Row],[forankring_bolter_output_f]]*$AMM$48,0)</f>
        <v>0</v>
      </c>
      <c r="XF37" s="3453">
        <f>IFERROR(outputs_klasse_qty[[#This Row],[forankring_bolter_output_g]]*$AMD$49,0)</f>
        <v>0</v>
      </c>
      <c r="XG37" s="3453">
        <f>IFERROR(outputs_klasse_qty[[#This Row],[forankring_bolter_output_g]]*$AMM$49,0)</f>
        <v>0</v>
      </c>
      <c r="XH37"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7"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7" s="3453" t="e">
        <f t="shared" si="69"/>
        <v>#N/A</v>
      </c>
      <c r="XK37" s="5819" t="e">
        <f>outputs_klasse_qty[[#This Row],[bue_a_output]]/outputs_klasse_qty[[#This Row],[bue_radielle_bolter_rate_a]]</f>
        <v>#N/A</v>
      </c>
      <c r="XL37" s="5819" t="e">
        <f t="shared" si="70"/>
        <v>#N/A</v>
      </c>
      <c r="XM37" s="5819" t="e">
        <f>outputs_klasse_qty[[#This Row],[bue_b_output]]/outputs_klasse_qty[[#This Row],[bue_radielle_bolter_rate_b]]</f>
        <v>#N/A</v>
      </c>
      <c r="XN37" s="5819" t="e">
        <f t="shared" si="71"/>
        <v>#N/A</v>
      </c>
      <c r="XO37" s="5819" t="e">
        <f>outputs_klasse_qty[[#This Row],[bue_c_output]]/outputs_klasse_qty[[#This Row],[bue_radielle_bolter_rate_c]]</f>
        <v>#N/A</v>
      </c>
      <c r="XP37" s="5819" t="e">
        <f t="shared" si="72"/>
        <v>#N/A</v>
      </c>
      <c r="XQ37" s="5819" t="e">
        <f>outputs_klasse_qty[[#This Row],[bue_d_output]]/outputs_klasse_qty[[#This Row],[bue_radielle_bolter_rate_d]]</f>
        <v>#N/A</v>
      </c>
      <c r="XR37" s="5819" t="e">
        <f t="shared" si="73"/>
        <v>#N/A</v>
      </c>
      <c r="XS37" s="5819" t="e">
        <f>outputs_klasse_qty[[#This Row],[bue_e1_output]]/outputs_klasse_qty[[#This Row],[bue_radielle_bolter_rate_e1]]</f>
        <v>#N/A</v>
      </c>
      <c r="XT37" s="5819" t="e">
        <f t="shared" si="74"/>
        <v>#N/A</v>
      </c>
      <c r="XU37" s="5819" t="e">
        <f>outputs_klasse_qty[[#This Row],[bue_e2_output]]/outputs_klasse_qty[[#This Row],[bue_radielle_bolter_rate_e2]]</f>
        <v>#N/A</v>
      </c>
      <c r="XV37" s="5819" t="e">
        <f t="shared" si="75"/>
        <v>#N/A</v>
      </c>
      <c r="XW37" s="5819" t="e">
        <f>outputs_klasse_qty[[#This Row],[bue_f_output]]/outputs_klasse_qty[[#This Row],[bue_radielle_bolter_rate_f]]</f>
        <v>#N/A</v>
      </c>
      <c r="XX37" s="5819" t="e">
        <f t="shared" si="76"/>
        <v>#N/A</v>
      </c>
      <c r="XY37" s="5819" t="e">
        <f>outputs_klasse_qty[[#This Row],[bue_g_output]]/outputs_klasse_qty[[#This Row],[bue_radielle_bolter_rate_g]]</f>
        <v>#N/A</v>
      </c>
      <c r="XZ37" s="5819">
        <f>IFERROR(outputs_klasse_qty[[#This Row],[bue_radielle_bolter_output_a]]*$AKS$42,0)</f>
        <v>0</v>
      </c>
      <c r="YA37" s="5819">
        <f>IFERROR(outputs_klasse_qty[[#This Row],[bue_radielle_bolter_output_a]]*$ALB$42,0)</f>
        <v>0</v>
      </c>
      <c r="YB37" s="5819">
        <f>IFERROR(outputs_klasse_qty[[#This Row],[bue_radielle_bolter_output_b]]*$AKS$43,0)</f>
        <v>0</v>
      </c>
      <c r="YC37" s="5819">
        <f>IFERROR(outputs_klasse_qty[[#This Row],[bue_radielle_bolter_output_b]]*$ALB$43,0)</f>
        <v>0</v>
      </c>
      <c r="YD37" s="5819">
        <f>IFERROR(outputs_klasse_qty[[#This Row],[bue_radielle_bolter_output_c]]*$AKS$44,0)</f>
        <v>0</v>
      </c>
      <c r="YE37" s="5819">
        <f>IFERROR(outputs_klasse_qty[[#This Row],[bue_radielle_bolter_output_c]]*$ALB$44,0)</f>
        <v>0</v>
      </c>
      <c r="YF37" s="5819">
        <f>IFERROR(outputs_klasse_qty[[#This Row],[bue_radielle_bolter_output_d]]*$AKS$45,0)</f>
        <v>0</v>
      </c>
      <c r="YG37" s="5819">
        <f>IFERROR(outputs_klasse_qty[[#This Row],[bue_radielle_bolter_output_d]]*$ALB$45,0)</f>
        <v>0</v>
      </c>
      <c r="YH37" s="5819">
        <f>IFERROR(outputs_klasse_qty[[#This Row],[bue_radielle_bolter_output_e1]]*$AKS$46,0)</f>
        <v>0</v>
      </c>
      <c r="YI37" s="5819">
        <f>IFERROR(outputs_klasse_qty[[#This Row],[bue_radielle_bolter_output_e1]]*$ALB$46,0)</f>
        <v>0</v>
      </c>
      <c r="YJ37" s="5819">
        <f>IFERROR(outputs_klasse_qty[[#This Row],[bue_radielle_bolter_output_e2]]*$AKS$47,0)</f>
        <v>0</v>
      </c>
      <c r="YK37" s="5819">
        <f>IFERROR(outputs_klasse_qty[[#This Row],[bue_radielle_bolter_output_e2]]*$ALB$47,0)</f>
        <v>0</v>
      </c>
      <c r="YL37" s="5819">
        <f>IFERROR(outputs_klasse_qty[[#This Row],[bue_radielle_bolter_output_f]]*$AKS$48,0)</f>
        <v>0</v>
      </c>
      <c r="YM37" s="5819">
        <f>IFERROR(outputs_klasse_qty[[#This Row],[bue_radielle_bolter_output_f]]*$ALB$48,0)</f>
        <v>0</v>
      </c>
      <c r="YN37" s="5819">
        <f>IFERROR(outputs_klasse_qty[[#This Row],[bue_radielle_bolter_output_g]]*$AKS$49,0)</f>
        <v>0</v>
      </c>
      <c r="YO37" s="5819">
        <f>IFERROR(outputs_klasse_qty[[#This Row],[bue_radielle_bolter_output_g]]*$ALB$49,0)</f>
        <v>0</v>
      </c>
      <c r="YP37"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7"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7" s="5819"/>
      <c r="YS37" s="5819"/>
      <c r="YT37" s="5819"/>
      <c r="YU37" s="5819"/>
      <c r="YV37" s="5819"/>
      <c r="YW37" s="5819"/>
      <c r="YX37" s="5819"/>
      <c r="YY37" s="5819"/>
      <c r="YZ37" s="5819"/>
      <c r="ZA37" s="5819"/>
      <c r="ZB37" s="5819"/>
      <c r="ZC37" s="5819"/>
      <c r="ZD37" s="5819"/>
      <c r="ZE37" s="5819"/>
      <c r="ZF37" s="5819"/>
      <c r="ZG37" s="5819"/>
      <c r="ZH37" s="5819"/>
      <c r="ZI37" s="3453"/>
      <c r="ZJ37" s="3453"/>
      <c r="ZK37" s="3453"/>
      <c r="ZL37" s="3453"/>
      <c r="ZM37" s="3453"/>
      <c r="ZN37" s="837"/>
      <c r="ZO37" s="837"/>
      <c r="ZP37" s="837"/>
      <c r="ZQ37" s="837"/>
      <c r="ZR37" s="837"/>
      <c r="ZS37" s="837"/>
      <c r="ZT37" s="837"/>
      <c r="ZU37" s="837"/>
      <c r="ZV37" s="837"/>
      <c r="ZW37" s="837"/>
      <c r="ZX37" s="837"/>
      <c r="ZY37" s="837"/>
      <c r="ZZ37" s="837"/>
      <c r="AAA37" s="837"/>
      <c r="AAB37" s="2622"/>
      <c r="AAC37" s="2622"/>
      <c r="AAD37" s="2622"/>
      <c r="AAE37" s="2622"/>
      <c r="AAF37" s="2622"/>
      <c r="AAG37" s="2622"/>
      <c r="AAH37" s="2622"/>
      <c r="AAI37" s="2622"/>
      <c r="AAJ37" s="2622"/>
      <c r="AAK37" s="2622"/>
      <c r="AAL37" s="2622"/>
      <c r="AAM37" s="2622"/>
      <c r="AAN37" s="2622"/>
      <c r="AAO37" s="2622"/>
      <c r="AAP37" s="2622"/>
      <c r="AAQ37" s="2622"/>
      <c r="AAR37" s="2622"/>
      <c r="AAS37" s="2622"/>
      <c r="AAT37" s="2622"/>
      <c r="AAU37" s="2622"/>
      <c r="AAV37" s="2622"/>
      <c r="AAW37" s="2622"/>
      <c r="AAX37" s="2622"/>
      <c r="AAY37" s="2622"/>
      <c r="AAZ37" s="2622"/>
      <c r="ABA37" s="5800"/>
      <c r="ABB37" s="5797"/>
      <c r="ABC37" s="5797"/>
      <c r="ABD37" s="5797"/>
      <c r="ABE37" s="5797"/>
      <c r="ABF37" s="5797"/>
      <c r="ABG37" s="5797"/>
      <c r="ABH37" s="5797"/>
      <c r="ABI37" s="3618"/>
      <c r="ABJ37" s="2622"/>
      <c r="ABK37" s="5800"/>
      <c r="ABL37" s="2720"/>
      <c r="ABM37" s="5797"/>
      <c r="ABN37" s="5797"/>
      <c r="ABO37" s="5797"/>
      <c r="ABP37" s="5797"/>
      <c r="ABQ37" s="5797"/>
      <c r="ABR37" s="5797"/>
      <c r="ABS37" s="5799"/>
      <c r="ABT37" s="2622"/>
      <c r="ABU37" s="5800"/>
      <c r="ABV37" s="2720"/>
      <c r="ABW37" s="5797"/>
      <c r="ABX37" s="5797"/>
      <c r="ABY37" s="5797"/>
      <c r="ABZ37" s="5797"/>
      <c r="ACA37" s="5797"/>
      <c r="ACB37" s="5797"/>
      <c r="ACC37" s="5799"/>
      <c r="ACD37" s="2737"/>
      <c r="ACE37" s="5800"/>
      <c r="ACF37" s="5797"/>
      <c r="ACG37" s="5797"/>
      <c r="ACH37" s="5797"/>
      <c r="ACI37" s="5797"/>
      <c r="ACJ37" s="3366"/>
      <c r="ACK37" s="5797"/>
      <c r="ACL37" s="5797"/>
      <c r="ACM37" s="5797"/>
      <c r="ACN37" s="184"/>
      <c r="ACO37" s="3367"/>
      <c r="ACP37" s="5797"/>
      <c r="ACQ37" s="5797"/>
      <c r="ACR37" s="5797"/>
      <c r="ACS37" s="3366"/>
      <c r="ACT37" s="5797"/>
      <c r="ACU37" s="5797"/>
      <c r="ACV37" s="5797"/>
      <c r="ACW37" s="184"/>
      <c r="ACX37" s="3367"/>
      <c r="ACY37" s="5797"/>
      <c r="ACZ37" s="5797"/>
      <c r="ADA37" s="5797"/>
      <c r="ADB37" s="3366"/>
      <c r="ADC37" s="5797"/>
      <c r="ADD37" s="5797"/>
      <c r="ADE37" s="5799"/>
      <c r="ADF37" s="2737"/>
      <c r="ADG37" s="3589"/>
      <c r="ADH37" s="3587"/>
      <c r="ADI37" s="3587"/>
      <c r="ADJ37" s="3587"/>
      <c r="ADK37" s="3587"/>
      <c r="ADL37" s="3366"/>
      <c r="ADM37" s="3587"/>
      <c r="ADN37" s="3587"/>
      <c r="ADO37" s="3587"/>
      <c r="ADP37" s="184"/>
      <c r="ADQ37" s="3675"/>
      <c r="ADR37" s="3367"/>
      <c r="ADS37" s="3587"/>
      <c r="ADT37" s="3587"/>
      <c r="ADU37" s="3587"/>
      <c r="ADV37" s="3366"/>
      <c r="ADW37" s="3587"/>
      <c r="ADX37" s="3587"/>
      <c r="ADY37" s="3675"/>
      <c r="ADZ37" s="3367"/>
      <c r="AEA37" s="3675"/>
      <c r="AEB37" s="3675"/>
      <c r="AEC37" s="3675"/>
      <c r="AED37" s="3366"/>
      <c r="AEE37" s="3675"/>
      <c r="AEF37" s="3675"/>
      <c r="AEG37" s="3676"/>
      <c r="AEH37" s="2737"/>
      <c r="AEI37" s="2737"/>
      <c r="AEJ37" s="2737"/>
      <c r="AEK37" s="2737"/>
      <c r="AEL37" s="2737"/>
      <c r="AEM37" s="2737"/>
      <c r="AEN37" s="2737"/>
      <c r="AEO37" s="2737"/>
      <c r="AEP37" s="2737"/>
      <c r="AEQ37" s="2737"/>
      <c r="AER37" s="2737"/>
      <c r="AES37" s="3378" t="s">
        <v>949</v>
      </c>
      <c r="AET37" s="184"/>
      <c r="AEU37" s="5789"/>
      <c r="AEV37" s="5789"/>
      <c r="AEW37" s="5789"/>
      <c r="AEX37" s="5789"/>
      <c r="AEY37" s="5789"/>
      <c r="AEZ37" s="5791"/>
      <c r="AFB37" s="3378" t="s">
        <v>949</v>
      </c>
      <c r="AFC37" s="5142"/>
      <c r="AFD37" s="5142"/>
      <c r="AFE37" s="5142"/>
      <c r="AFF37" s="5142"/>
      <c r="AFG37" s="5142"/>
      <c r="AFH37" s="5146"/>
      <c r="AFJ37" s="3378" t="s">
        <v>949</v>
      </c>
      <c r="AFK37" s="5142"/>
      <c r="AFL37" s="5142"/>
      <c r="AFM37" s="5142"/>
      <c r="AFN37" s="5142"/>
      <c r="AFO37" s="5142"/>
      <c r="AFP37" s="5142"/>
      <c r="AFQ37" s="5142"/>
      <c r="AFR37" s="3367"/>
      <c r="AFS37" s="5142"/>
      <c r="AFT37" s="5142"/>
      <c r="AFU37" s="5142"/>
      <c r="AFV37" s="3366"/>
      <c r="AFW37" s="5142"/>
      <c r="AFX37" s="5142"/>
      <c r="AFY37" s="5142"/>
      <c r="AFZ37" s="184"/>
      <c r="AGA37" s="5142"/>
      <c r="AGB37" s="3367"/>
      <c r="AGC37" s="5142"/>
      <c r="AGD37" s="5142"/>
      <c r="AGE37" s="5142"/>
      <c r="AGF37" s="3366"/>
      <c r="AGG37" s="5142"/>
      <c r="AGH37" s="5142"/>
      <c r="AGI37" s="5146"/>
      <c r="AGJ37" s="5142"/>
      <c r="AGK37" s="5142"/>
      <c r="AGL37" s="5142"/>
      <c r="AGM37" s="5142"/>
      <c r="AGN37" s="2622"/>
      <c r="AGO37" s="3378" t="s">
        <v>949</v>
      </c>
      <c r="AGP37" s="3318"/>
      <c r="AGQ37" s="3318"/>
      <c r="AGR37" s="3318"/>
      <c r="AGS37" s="3318"/>
      <c r="AGT37" s="3318"/>
      <c r="AGU37" s="3353"/>
      <c r="AGV37" s="5561"/>
      <c r="AGW37" s="3378" t="s">
        <v>949</v>
      </c>
      <c r="AGX37" s="5517"/>
      <c r="AGY37" s="5517"/>
      <c r="AGZ37" s="5517"/>
      <c r="AHA37" s="5517"/>
      <c r="AHB37" s="5517"/>
      <c r="AHC37" s="5519"/>
      <c r="AHD37" s="5561"/>
      <c r="AHF37" s="3378" t="s">
        <v>949</v>
      </c>
      <c r="AHG37" s="5517"/>
      <c r="AHH37" s="5517"/>
      <c r="AHI37" s="5517"/>
      <c r="AHJ37" s="5517"/>
      <c r="AHK37" s="5517"/>
      <c r="AHL37" s="5519"/>
      <c r="AHP37" s="3589"/>
      <c r="AHQ37" s="3587"/>
      <c r="AHR37" s="3587"/>
      <c r="AHS37" s="3587"/>
      <c r="AHT37" s="3587"/>
      <c r="AHU37" s="3587"/>
      <c r="AHV37" s="3587"/>
      <c r="AHW37" s="3587"/>
      <c r="AHX37" s="3588"/>
      <c r="AHY37" s="2622"/>
      <c r="AHZ37" s="3677"/>
      <c r="AIA37" s="3675"/>
      <c r="AIB37" s="3675"/>
      <c r="AIC37" s="3675"/>
      <c r="AID37" s="3675"/>
      <c r="AIE37" s="3675"/>
      <c r="AIF37" s="3675"/>
      <c r="AIG37" s="3675"/>
      <c r="AIH37" s="3676"/>
      <c r="AII37" s="184"/>
      <c r="AIJ37" s="3811"/>
      <c r="AIK37" s="3675"/>
      <c r="AIL37" s="3675"/>
      <c r="AIM37" s="3675"/>
      <c r="AIN37" s="3675"/>
      <c r="AIO37" s="3675"/>
      <c r="AIP37" s="3675"/>
      <c r="AIQ37" s="3675"/>
      <c r="AIR37" s="3753"/>
      <c r="AIS37" s="2622"/>
      <c r="AIT37" s="3677"/>
      <c r="AIU37" s="3675"/>
      <c r="AIV37" s="3675"/>
      <c r="AIW37" s="3675"/>
      <c r="AIX37" s="3675"/>
      <c r="AIY37" s="3675"/>
      <c r="AIZ37" s="3675"/>
      <c r="AJA37" s="3675"/>
      <c r="AJB37" s="3675"/>
      <c r="AJC37" s="5162"/>
      <c r="AJD37" s="5162"/>
      <c r="AJE37" s="5162"/>
      <c r="AJF37" s="5162"/>
      <c r="AJG37" s="5162"/>
      <c r="AJH37" s="5162"/>
      <c r="AJI37" s="5162"/>
      <c r="AJJ37" s="5162"/>
      <c r="AJK37" s="3675"/>
      <c r="AJL37" s="3675"/>
      <c r="AJM37" s="3675"/>
      <c r="AJN37" s="3675"/>
      <c r="AJO37" s="3675"/>
      <c r="AJP37" s="3675"/>
      <c r="AJQ37" s="3675"/>
      <c r="AJR37" s="3675"/>
      <c r="AJS37" s="3675"/>
      <c r="AJT37" s="3675"/>
      <c r="AJU37" s="3675"/>
      <c r="AJV37" s="3675"/>
      <c r="AJW37" s="3675"/>
      <c r="AJX37" s="3675"/>
      <c r="AJY37" s="3675"/>
      <c r="AJZ37" s="3676"/>
      <c r="AKA37" s="3675"/>
      <c r="AKB37" s="3675"/>
      <c r="AKC37" s="3582"/>
      <c r="AKD37" s="3581"/>
      <c r="AKE37" s="3582"/>
      <c r="AKF37" s="3582"/>
      <c r="AKG37" s="3582"/>
      <c r="AKH37" s="3582"/>
      <c r="AKI37" s="3582"/>
      <c r="AKJ37" s="3582"/>
      <c r="AKK37" s="3582"/>
      <c r="AKL37" s="3582"/>
      <c r="AKM37" s="3367" t="s">
        <v>949</v>
      </c>
      <c r="AKN37" s="3582"/>
      <c r="AKO37" s="3582"/>
      <c r="AKP37" s="3582"/>
      <c r="AKQ37" s="3366"/>
      <c r="AKR37" s="3582"/>
      <c r="AKS37" s="3582"/>
      <c r="AKT37" s="3582"/>
      <c r="AKU37" s="184"/>
      <c r="AKV37" s="3367" t="s">
        <v>949</v>
      </c>
      <c r="AKW37" s="3582"/>
      <c r="AKX37" s="3582"/>
      <c r="AKY37" s="3582"/>
      <c r="AKZ37" s="3366"/>
      <c r="ALA37" s="3582"/>
      <c r="ALB37" s="3585"/>
      <c r="ALC37" s="3642"/>
      <c r="ALD37" s="3589"/>
      <c r="ALE37" s="3587"/>
      <c r="ALF37" s="3587"/>
      <c r="ALG37" s="3587"/>
      <c r="ALH37" s="3587"/>
      <c r="ALI37" s="3587"/>
      <c r="ALJ37" s="3587"/>
      <c r="ALK37" s="3587"/>
      <c r="ALL37" s="3753"/>
      <c r="ALM37" s="2737"/>
      <c r="ALN37" s="3581"/>
      <c r="ALO37" s="3582"/>
      <c r="ALP37" s="3582"/>
      <c r="ALQ37" s="3582"/>
      <c r="ALR37" s="3582"/>
      <c r="ALS37" s="3582"/>
      <c r="ALT37" s="3582"/>
      <c r="ALU37" s="3582"/>
      <c r="ALV37" s="3582"/>
      <c r="ALW37" s="3582"/>
      <c r="ALX37" s="3367" t="s">
        <v>949</v>
      </c>
      <c r="ALY37" s="3582"/>
      <c r="ALZ37" s="3582"/>
      <c r="AMA37" s="3582"/>
      <c r="AMB37" s="3366"/>
      <c r="AMC37" s="3582"/>
      <c r="AMD37" s="3582"/>
      <c r="AME37" s="3582"/>
      <c r="AMF37" s="184"/>
      <c r="AMG37" s="3367" t="s">
        <v>949</v>
      </c>
      <c r="AMH37" s="3582"/>
      <c r="AMI37" s="3582"/>
      <c r="AMJ37" s="3582"/>
      <c r="AMK37" s="3366"/>
      <c r="AML37" s="3582"/>
      <c r="AMM37" s="3585"/>
      <c r="AMN37" s="5517"/>
      <c r="AMO37" s="5517"/>
      <c r="AMP37" s="5517"/>
      <c r="AMQ37" s="5517"/>
      <c r="AMR37" s="5517"/>
      <c r="AMS37" s="5517"/>
      <c r="AMT37" s="5517"/>
      <c r="AMU37" s="5517"/>
      <c r="AMV37" s="5517"/>
      <c r="AMW37" s="5517"/>
      <c r="AMX37" s="5517"/>
      <c r="AMY37" s="5517"/>
      <c r="AMZ37" s="5517"/>
      <c r="ANA37" s="5517"/>
      <c r="ANB37" s="5517"/>
      <c r="ANC37" s="5517"/>
      <c r="AND37" s="5517"/>
      <c r="ANE37" s="5517"/>
      <c r="ANF37" s="5517"/>
      <c r="ANG37" s="5517"/>
      <c r="ANH37" s="5517"/>
      <c r="ANI37" s="5517"/>
      <c r="ANJ37" s="5517"/>
      <c r="ANK37" s="5517"/>
      <c r="ANL37" s="5517"/>
      <c r="ANM37" s="5517"/>
      <c r="ANN37" s="5517"/>
      <c r="ANO37" s="5517"/>
      <c r="ANP37" s="5517"/>
      <c r="ANQ37" s="5517"/>
      <c r="ANR37" s="5517"/>
      <c r="ANS37" s="5517"/>
      <c r="ANT37" s="5517"/>
      <c r="ANU37" s="5517"/>
      <c r="ANV37" s="5517"/>
      <c r="ANW37" s="5517"/>
      <c r="ANX37" s="5517"/>
      <c r="ANY37" s="5517"/>
      <c r="ANZ37" s="5517"/>
      <c r="AOA37" s="5517"/>
      <c r="AOB37" s="5517"/>
      <c r="AOC37" s="5517"/>
      <c r="AOD37" s="5517"/>
      <c r="AOE37" s="5517"/>
      <c r="AOF37" s="5517"/>
      <c r="AOG37" s="5517"/>
      <c r="AOH37" s="5517"/>
      <c r="AOI37" s="5517"/>
      <c r="AOJ37" s="5517"/>
      <c r="AOK37" s="5517"/>
      <c r="AOL37" s="5517"/>
      <c r="AOM37" s="5517"/>
      <c r="AOO37" s="4125"/>
      <c r="AOP37" s="4124"/>
      <c r="AOQ37" s="4124"/>
      <c r="AOR37" s="4124"/>
      <c r="AOS37" s="4124"/>
      <c r="AOT37" s="4124"/>
      <c r="AOU37" s="4124"/>
      <c r="AOV37" s="4124"/>
      <c r="AOW37" s="5162"/>
      <c r="AOX37" s="5162"/>
      <c r="AOY37" s="5162"/>
      <c r="AOZ37" s="5162"/>
      <c r="APA37" s="5162"/>
      <c r="APB37" s="5162"/>
      <c r="APC37" s="5162"/>
      <c r="APD37" s="5162"/>
      <c r="APE37" s="5162"/>
      <c r="APF37" s="4124"/>
      <c r="APG37" s="3587"/>
      <c r="APH37" s="3587"/>
      <c r="API37" s="3587"/>
      <c r="APJ37" s="3587"/>
      <c r="APK37" s="3587"/>
      <c r="APL37" s="3587"/>
      <c r="APM37" s="3587"/>
      <c r="APN37" s="3587"/>
      <c r="APO37" s="3587"/>
      <c r="APP37" s="3587"/>
      <c r="APQ37" s="3587"/>
      <c r="APR37" s="3587"/>
      <c r="APS37" s="3587"/>
      <c r="APT37" s="3587"/>
      <c r="APU37" s="3587"/>
      <c r="APV37" s="3587"/>
      <c r="APW37" s="3367"/>
      <c r="APX37" s="3587"/>
      <c r="APY37" s="3587"/>
      <c r="APZ37" s="3587"/>
      <c r="AQA37" s="3366"/>
      <c r="AQB37" s="3587"/>
      <c r="AQC37" s="3587"/>
      <c r="AQD37" s="3587"/>
      <c r="AQE37" s="184"/>
      <c r="AQF37" s="3367" t="s">
        <v>949</v>
      </c>
      <c r="AQG37" s="3587"/>
      <c r="AQH37" s="3587"/>
      <c r="AQI37" s="3587"/>
      <c r="AQJ37" s="3366"/>
      <c r="AQK37" s="3587"/>
      <c r="AQL37" s="3588"/>
      <c r="AQN37" s="3589"/>
      <c r="AQO37" s="3587"/>
      <c r="AQP37" s="3587"/>
      <c r="AQQ37" s="3587"/>
      <c r="AQR37" s="3587"/>
      <c r="AQS37" s="3587"/>
      <c r="AQT37" s="3587"/>
      <c r="AQU37" s="3587"/>
      <c r="AQV37" s="3587"/>
      <c r="AQW37" s="3367"/>
      <c r="AQX37" s="3587"/>
      <c r="AQY37" s="3587"/>
      <c r="AQZ37" s="3587"/>
      <c r="ARA37" s="3366"/>
      <c r="ARB37" s="3587"/>
      <c r="ARC37" s="3587"/>
      <c r="ARD37" s="3587"/>
      <c r="ARE37" s="184"/>
      <c r="ARF37" s="3367" t="s">
        <v>949</v>
      </c>
      <c r="ARG37" s="3587"/>
      <c r="ARH37" s="3587"/>
      <c r="ARI37" s="3587"/>
      <c r="ARJ37" s="3366"/>
      <c r="ARK37" s="3587"/>
      <c r="ARL37" s="3588"/>
      <c r="ART37" s="3354"/>
      <c r="ARU37" s="3318"/>
      <c r="ARV37" s="3318"/>
      <c r="ARW37" s="3318"/>
      <c r="ARX37" s="3318"/>
      <c r="ARY37" s="3318"/>
      <c r="ARZ37" s="3318"/>
      <c r="ASA37" s="184"/>
      <c r="ASC37" s="3318"/>
      <c r="ASD37" s="3318"/>
      <c r="ASE37" s="3318"/>
      <c r="ASF37" s="3366"/>
      <c r="ASG37" s="3318"/>
      <c r="ASH37" s="3318"/>
      <c r="ASI37" s="3318"/>
      <c r="ASJ37" s="184"/>
      <c r="ASK37" s="3367" t="s">
        <v>949</v>
      </c>
      <c r="ASL37" s="3318"/>
      <c r="ASM37" s="3318"/>
      <c r="ASN37" s="3318"/>
      <c r="ASO37" s="3366"/>
      <c r="ASP37" s="3318"/>
      <c r="ASQ37" s="3353"/>
      <c r="ASR37" s="2737"/>
      <c r="ASS37" s="2737"/>
      <c r="AST37" s="2816"/>
      <c r="ASU37" s="2816"/>
      <c r="ASV37" s="2816"/>
      <c r="ASW37" s="2816"/>
      <c r="ASX37" s="2816"/>
      <c r="ASY37" s="2816"/>
      <c r="ASZ37" s="2816"/>
      <c r="ATA37" s="2622"/>
      <c r="ATB37" s="2622"/>
      <c r="ATC37" s="2622"/>
      <c r="ATD37" s="2622"/>
      <c r="ATE37" s="2622"/>
      <c r="ATF37" s="2622"/>
      <c r="ATG37" s="2622"/>
      <c r="ATH37" s="2622"/>
      <c r="ATI37" s="2622"/>
      <c r="ATJ37" s="2622"/>
      <c r="ATK37" s="2622"/>
      <c r="ATL37" s="3595" t="s">
        <v>160</v>
      </c>
      <c r="ATM37" s="3532"/>
      <c r="ATN37" s="3433"/>
      <c r="ATO37" s="3447"/>
      <c r="ATP37" s="3433"/>
      <c r="ATQ37" s="3451">
        <f t="shared" si="85"/>
        <v>22.13</v>
      </c>
      <c r="ATR37" s="3451"/>
      <c r="ATS37" s="3433">
        <f t="shared" si="86"/>
        <v>3.5779999999999998</v>
      </c>
      <c r="ATT37" s="3525">
        <f t="shared" si="3"/>
        <v>14.974</v>
      </c>
      <c r="ATU37" s="3449"/>
      <c r="ATV37" s="2622"/>
      <c r="ATW37" s="2622"/>
      <c r="ATX37" s="2622"/>
      <c r="ATY37" s="2617"/>
      <c r="ATZ37" s="3458"/>
      <c r="AUA37" s="3458"/>
      <c r="AUB37" s="2617"/>
      <c r="AUC37" s="2617"/>
      <c r="AUD37" s="2617"/>
      <c r="AUE37" s="2617"/>
      <c r="AUF37" s="2617"/>
      <c r="AUG37" s="2617"/>
      <c r="AUH37" s="2617"/>
      <c r="AUI37" s="2617"/>
      <c r="AUJ37" s="2617"/>
      <c r="AUK37" s="2617"/>
      <c r="AUL37" s="2617"/>
      <c r="AUM37" s="2617"/>
      <c r="AUN37" s="2617"/>
      <c r="AUO37" s="2617"/>
      <c r="AUP37" s="2617"/>
      <c r="AUQ37" s="2617"/>
      <c r="AUR37" s="2617"/>
      <c r="AUS37" s="2617"/>
      <c r="AUT37" s="2617"/>
      <c r="AUU37" s="2617"/>
      <c r="AUV37" s="249" t="s">
        <v>1359</v>
      </c>
      <c r="AUW37" s="247" t="s">
        <v>1640</v>
      </c>
      <c r="AUX37" s="247" t="s">
        <v>1641</v>
      </c>
      <c r="AUY37" s="247" t="s">
        <v>1642</v>
      </c>
      <c r="AUZ37" s="247" t="s">
        <v>1643</v>
      </c>
      <c r="AVA37" s="247" t="s">
        <v>1644</v>
      </c>
      <c r="AVB37" s="247" t="s">
        <v>1645</v>
      </c>
      <c r="AVC37" s="247" t="s">
        <v>1646</v>
      </c>
      <c r="AVD37" s="247" t="s">
        <v>1647</v>
      </c>
      <c r="AVE37" s="247" t="s">
        <v>1518</v>
      </c>
      <c r="AVF37" s="247" t="s">
        <v>1519</v>
      </c>
      <c r="AVG37" s="247" t="s">
        <v>1520</v>
      </c>
      <c r="AVH37" s="247" t="s">
        <v>1521</v>
      </c>
      <c r="AVI37" s="247" t="s">
        <v>1522</v>
      </c>
      <c r="AVJ37" s="247" t="s">
        <v>1523</v>
      </c>
      <c r="AVK37" s="247" t="s">
        <v>1524</v>
      </c>
      <c r="AVL37" s="315" t="s">
        <v>1525</v>
      </c>
      <c r="AVM37" s="2617"/>
      <c r="AVN37" s="2617"/>
      <c r="AVO37" s="2617"/>
      <c r="AVP37" s="3540"/>
      <c r="AVQ37" s="3540"/>
      <c r="AVR37" s="3540"/>
      <c r="AVS37" s="181"/>
      <c r="AVT37" s="181"/>
      <c r="AVU37" s="181"/>
      <c r="AVV37" s="181"/>
      <c r="AVW37" s="181"/>
      <c r="AVX37" s="181"/>
      <c r="AVY37" s="181"/>
      <c r="AVZ37" s="181"/>
      <c r="AWA37" s="181"/>
      <c r="AWB37" s="181"/>
      <c r="AWC37" s="181"/>
      <c r="AWD37" s="181"/>
      <c r="AWE37" s="181"/>
      <c r="AWF37" s="181"/>
      <c r="AWG37" s="181"/>
      <c r="AWH37" s="181"/>
      <c r="AWI37" s="181"/>
      <c r="AWJ37" s="181"/>
      <c r="AWK37" s="181"/>
      <c r="AWL37" s="181"/>
      <c r="AWM37" s="181"/>
      <c r="AWN37" s="181"/>
      <c r="AWO37" s="181"/>
      <c r="AWP37" s="3540"/>
      <c r="AWQ37" s="3540"/>
      <c r="AWR37" s="181"/>
      <c r="AWS37" s="2617"/>
      <c r="AWT37" s="2617"/>
      <c r="AWU37" s="2617"/>
      <c r="AWV37" s="2617"/>
      <c r="AWW37" s="2617"/>
      <c r="AWX37" s="2617"/>
      <c r="AWY37" s="3623"/>
      <c r="AWZ37" s="3623"/>
      <c r="AXA37" s="3623"/>
      <c r="AXB37" s="3623"/>
      <c r="AXC37" s="2617"/>
      <c r="AXD37" s="2617"/>
      <c r="AXE37" s="2617"/>
      <c r="AXF37" s="2617"/>
      <c r="AXG37" s="2617"/>
      <c r="AXH37" s="2617"/>
      <c r="AXI37" s="2617"/>
      <c r="AXJ37" s="2617"/>
      <c r="AXK37" s="2617"/>
      <c r="AYH37" s="433" t="s">
        <v>1184</v>
      </c>
      <c r="AYU37" s="2625"/>
      <c r="AYV37" s="2625"/>
      <c r="AYW37" s="2625"/>
      <c r="AYX37" s="2625"/>
      <c r="AYY37" s="2625"/>
      <c r="AYZ37" s="2626"/>
      <c r="AZA37" s="2626"/>
      <c r="AZB37" s="2626"/>
      <c r="AZC37" s="2626"/>
      <c r="AZD37" s="2626"/>
      <c r="AZE37" s="2626"/>
      <c r="AZF37" s="2626"/>
      <c r="AZG37" s="2626"/>
      <c r="AZH37" s="2626"/>
      <c r="AZI37" s="2626"/>
      <c r="AZJ37" s="2622"/>
      <c r="AZK37" s="2622"/>
      <c r="AZL37" s="2622"/>
      <c r="AZM37" s="433" t="s">
        <v>1184</v>
      </c>
      <c r="AZN37" s="2622"/>
      <c r="AZO37" s="2622"/>
      <c r="AZP37" s="2622"/>
      <c r="AZQ37" s="2622"/>
      <c r="AZR37" s="2622"/>
      <c r="AZS37" s="2622"/>
      <c r="AZT37" s="2622"/>
      <c r="AZU37" s="2622"/>
      <c r="AZV37" s="2622"/>
      <c r="AZW37" s="2691" t="s">
        <v>191</v>
      </c>
      <c r="AZX37" s="2717" t="str">
        <f>IF(AZZ37=$TM$20,"-")</f>
        <v>-</v>
      </c>
      <c r="AZY37" s="2778" t="str">
        <f>IF(AZZ37=$TM$20,"-")</f>
        <v>-</v>
      </c>
      <c r="AZZ37" s="2682" t="str">
        <f>$TM$20</f>
        <v>Ingen</v>
      </c>
      <c r="BAA37" s="2714"/>
      <c r="BAB37" s="2780"/>
      <c r="BAC37" s="2993"/>
      <c r="BAD37" s="2622"/>
      <c r="BAE37" s="2622"/>
      <c r="BAF37" s="2622"/>
      <c r="BAG37" s="2622"/>
      <c r="BAH37" s="2622"/>
      <c r="BAI37" s="2622"/>
      <c r="BAJ37" s="2622"/>
      <c r="BAK37" s="2691" t="s">
        <v>191</v>
      </c>
      <c r="BAL37" s="2717">
        <v>3</v>
      </c>
      <c r="BAM37" s="2795">
        <v>0.5</v>
      </c>
      <c r="BAN37" s="2779">
        <f t="shared" si="208"/>
        <v>0.5</v>
      </c>
      <c r="BAO37" s="2715"/>
      <c r="BAP37" s="2622"/>
      <c r="BAQ37" s="2622"/>
      <c r="BAR37" s="2622"/>
      <c r="BAU37" s="2622"/>
      <c r="BBL37" s="2622"/>
      <c r="BBR37" s="3398"/>
      <c r="BCJ37" s="2617"/>
      <c r="BCK37" s="2617"/>
      <c r="BCL37" s="2617"/>
      <c r="BCM37" s="2617"/>
      <c r="BCN37" s="2617"/>
      <c r="BCO37" s="2617"/>
      <c r="BCP37" s="2617"/>
      <c r="BCQ37" s="2617"/>
      <c r="BCR37" s="2617"/>
      <c r="BCS37" s="2617"/>
      <c r="BCT37" s="2617"/>
      <c r="BCU37" s="2617"/>
      <c r="BCV37" s="2617"/>
      <c r="BCW37" s="2617"/>
      <c r="BCX37" s="2617"/>
      <c r="BCY37" s="2617"/>
      <c r="BCZ37" s="2617"/>
      <c r="BDA37" s="2617"/>
      <c r="BDB37" s="2617"/>
      <c r="BDC37" s="2617"/>
      <c r="BDD37" s="2617"/>
      <c r="BDE37" s="2617"/>
      <c r="BDF37" s="2617"/>
      <c r="BDG37" s="2617"/>
      <c r="BDH37" s="2617"/>
      <c r="BDI37" s="2617"/>
      <c r="BDL37" s="2617"/>
      <c r="BDM37" s="2617"/>
      <c r="BDN37" s="2617"/>
      <c r="BDO37" s="2617"/>
      <c r="BDP37" s="2617"/>
      <c r="BDQ37" s="2617"/>
      <c r="BDR37" s="2617"/>
      <c r="BDS37" s="2617"/>
      <c r="BDT37" s="2617"/>
      <c r="BDU37" s="2617"/>
      <c r="BDV37" s="2617"/>
      <c r="BDW37" s="2617"/>
      <c r="BDZ37" s="2617"/>
      <c r="BEA37" s="2617"/>
      <c r="BEB37" s="2617"/>
      <c r="BEC37" s="2617"/>
      <c r="BED37" s="2617"/>
      <c r="BEE37" s="2617"/>
      <c r="BEH37" s="2617"/>
    </row>
    <row r="38" spans="1:1490" ht="21.95" customHeight="1" x14ac:dyDescent="0.2">
      <c r="AH38" s="3443" t="s">
        <v>62</v>
      </c>
      <c r="AI38" s="199">
        <f>Prosjektinfo!AC55</f>
        <v>0</v>
      </c>
      <c r="AK38" s="3403" t="s">
        <v>1673</v>
      </c>
      <c r="AL38" s="2690" t="s">
        <v>501</v>
      </c>
      <c r="AM38" s="194" t="s">
        <v>1672</v>
      </c>
      <c r="AU38" s="2617"/>
      <c r="BB38" s="2622"/>
      <c r="BC38" s="2622"/>
      <c r="BD38" s="2622"/>
      <c r="BE38" s="2622"/>
      <c r="CG38" s="2986" t="str">
        <f>_Calcs!$QS$135</f>
        <v>Stuff 2-1</v>
      </c>
      <c r="CH38" s="5558">
        <f>IF(_Calcs!$BC$38=1,0,IF(_Calcs!$BC$38=2,5,0))</f>
        <v>5</v>
      </c>
      <c r="CI38" s="1665">
        <f>IF(_Calcs!$BC$34&gt;4,1,0)</f>
        <v>0</v>
      </c>
      <c r="CJ38" s="238">
        <f>IF($AI$31=2,INDEX(outputs_position[21],MATCH(_Calcs!$BC$35,outputs_position[lopstuff],0)),0)</f>
        <v>0</v>
      </c>
      <c r="CK38" s="194">
        <v>52</v>
      </c>
      <c r="CL38" s="3453" t="e">
        <f t="shared" si="87"/>
        <v>#VALUE!</v>
      </c>
      <c r="CM38" s="3453" t="e">
        <f t="shared" si="88"/>
        <v>#VALUE!</v>
      </c>
      <c r="CN38" s="3453" t="e">
        <f t="shared" si="89"/>
        <v>#VALUE!</v>
      </c>
      <c r="CO38" s="3453" t="e">
        <f t="shared" si="90"/>
        <v>#VALUE!</v>
      </c>
      <c r="CP38" s="3453" t="e">
        <f t="shared" si="207"/>
        <v>#VALUE!</v>
      </c>
      <c r="CQ38" s="3453" t="e">
        <f t="shared" si="91"/>
        <v>#VALUE!</v>
      </c>
      <c r="CR38" s="3453" t="e">
        <f t="shared" si="92"/>
        <v>#VALUE!</v>
      </c>
      <c r="CS38" s="3453" t="e">
        <f t="shared" si="93"/>
        <v>#VALUE!</v>
      </c>
      <c r="CT38" s="3453"/>
      <c r="CU38" s="3453"/>
      <c r="CV38" s="5712">
        <f>IF($AK$213=_List!$CX$6,$CV$28,IF($AK$213=_List!$CX$7,$CV$29,0))</f>
        <v>1</v>
      </c>
      <c r="CW38" s="3453">
        <f>IF(outputs_klasse_qty[[#This Row],[man_metode]]=1,$ABR$42)</f>
        <v>20</v>
      </c>
      <c r="CX38" s="3453">
        <f>IFERROR(IF(outputs_klasse_qty[[#This Row],[man_metode]]=1,outputs_klasse_qty[[#This Row],[man_a_rate]]*$BG113),0)</f>
        <v>0</v>
      </c>
      <c r="CY38" s="3453" t="e">
        <f>IF(outputs_klasse_qty[[#This Row],[man_metode]]=1,$ABR$43)</f>
        <v>#N/A</v>
      </c>
      <c r="CZ38" s="3453">
        <f>IFERROR(IF(outputs_klasse_qty[[#This Row],[man_metode]]=1,outputs_klasse_qty[[#This Row],[man_b_rate]]*$BH113),0)</f>
        <v>0</v>
      </c>
      <c r="DA38" s="3453" t="e">
        <f>IF(outputs_klasse_qty[[#This Row],[man_metode]]=1,$ABR$44)</f>
        <v>#N/A</v>
      </c>
      <c r="DB38" s="3453">
        <f>IFERROR(IF(outputs_klasse_qty[[#This Row],[man_metode]]=1,outputs_klasse_qty[[#This Row],[man_c_rate]]*$BI113),0)</f>
        <v>0</v>
      </c>
      <c r="DC38" s="3453" t="e">
        <f>IF(outputs_klasse_qty[[#This Row],[man_metode]]=1,$ABR$45)</f>
        <v>#N/A</v>
      </c>
      <c r="DD38" s="3453">
        <f>IFERROR(IF(outputs_klasse_qty[[#This Row],[man_metode]]=1,outputs_klasse_qty[[#This Row],[man_d_rate]]*$BJ113),0)</f>
        <v>0</v>
      </c>
      <c r="DE38" s="3453" t="e">
        <f>IF(outputs_klasse_qty[[#This Row],[man_metode]]=1,$ABR$46)</f>
        <v>#N/A</v>
      </c>
      <c r="DF38" s="3453">
        <f>IFERROR(IF(outputs_klasse_qty[[#This Row],[man_metode]]=1,outputs_klasse_qty[[#This Row],[man_e1_rate]]*$BK113),0)</f>
        <v>0</v>
      </c>
      <c r="DG38" s="3453" t="e">
        <f>IF(outputs_klasse_qty[[#This Row],[man_metode]]=1,$ABR$47)</f>
        <v>#N/A</v>
      </c>
      <c r="DH38" s="3453">
        <f>IFERROR(IF(outputs_klasse_qty[[#This Row],[man_metode]]=1,outputs_klasse_qty[[#This Row],[man_e2_rate]]*$BL113),0)</f>
        <v>0</v>
      </c>
      <c r="DI38" s="3453" t="e">
        <f>IF(outputs_klasse_qty[[#This Row],[man_metode]]=1,$ABR$48)</f>
        <v>#N/A</v>
      </c>
      <c r="DJ38" s="3453">
        <f>IFERROR(IF(outputs_klasse_qty[[#This Row],[man_metode]]=1,outputs_klasse_qty[[#This Row],[man_f_rate]]*$BM113),0)</f>
        <v>0</v>
      </c>
      <c r="DK38" s="3453" t="e">
        <f>IF(outputs_klasse_qty[[#This Row],[man_metode]]=1,$ABR$49)</f>
        <v>#N/A</v>
      </c>
      <c r="DL38" s="3453">
        <f>IFERROR(IF(outputs_klasse_qty[[#This Row],[man_metode]]=1,outputs_klasse_qty[[#This Row],[man_g_rate]]*$BN113),0)</f>
        <v>0</v>
      </c>
      <c r="DM38"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8" s="5712">
        <v>1</v>
      </c>
      <c r="DO38" s="3453" t="e">
        <f>IF(outputs_klasse_qty[[#This Row],[kartlegg_metode]]=1,$ACB$42)</f>
        <v>#N/A</v>
      </c>
      <c r="DP38" s="3453">
        <f>IFERROR(IF(outputs_klasse_qty[[#This Row],[kartlegg_metode]]=1,outputs_klasse_qty[[#This Row],[kartlegg_a_rate]]*$BG113),0)</f>
        <v>0</v>
      </c>
      <c r="DQ38" s="3453" t="e">
        <f>IF(outputs_klasse_qty[[#This Row],[kartlegg_metode]]=1,$ACB$43)</f>
        <v>#N/A</v>
      </c>
      <c r="DR38" s="3453">
        <f>IFERROR(IF(outputs_klasse_qty[[#This Row],[kartlegg_metode]]=1,outputs_klasse_qty[[#This Row],[kartlegg_b_rate]]*$BH113),0)</f>
        <v>0</v>
      </c>
      <c r="DS38" s="3453" t="e">
        <f>IF(outputs_klasse_qty[[#This Row],[kartlegg_metode]]=1,$ACB$44)</f>
        <v>#N/A</v>
      </c>
      <c r="DT38" s="3453">
        <f>IFERROR(IF(outputs_klasse_qty[[#This Row],[kartlegg_metode]]=1,outputs_klasse_qty[[#This Row],[kartlegg_c_rate]]*$BI113),0)</f>
        <v>0</v>
      </c>
      <c r="DU38" s="3453" t="e">
        <f>IF(outputs_klasse_qty[[#This Row],[kartlegg_metode]]=1,$ACB$45)</f>
        <v>#N/A</v>
      </c>
      <c r="DV38" s="3453">
        <f>IFERROR(IF(outputs_klasse_qty[[#This Row],[kartlegg_metode]]=1,outputs_klasse_qty[[#This Row],[kartlegg_d_rate]]*$BJ113),0)</f>
        <v>0</v>
      </c>
      <c r="DW38" s="3453" t="e">
        <f>IF(outputs_klasse_qty[[#This Row],[kartlegg_metode]]=1,$ACB$46)</f>
        <v>#N/A</v>
      </c>
      <c r="DX38" s="3453">
        <f>IFERROR(IF(outputs_klasse_qty[[#This Row],[kartlegg_metode]]=1,outputs_klasse_qty[[#This Row],[kartlegg_e1_rate]]*$BK113),0)</f>
        <v>0</v>
      </c>
      <c r="DY38" s="3453" t="e">
        <f>IF(outputs_klasse_qty[[#This Row],[kartlegg_metode]]=1,$ACB$47)</f>
        <v>#N/A</v>
      </c>
      <c r="DZ38" s="3453">
        <f>IFERROR(IF(outputs_klasse_qty[[#This Row],[kartlegg_metode]]=1,outputs_klasse_qty[[#This Row],[kartlegg_e2_rate]]*$BL113),0)</f>
        <v>0</v>
      </c>
      <c r="EA38" s="3453" t="e">
        <f>IF(outputs_klasse_qty[[#This Row],[kartlegg_metode]]=1,$ACB$48)</f>
        <v>#N/A</v>
      </c>
      <c r="EB38" s="3453">
        <f>IFERROR(IF(outputs_klasse_qty[[#This Row],[kartlegg_metode]]=1,outputs_klasse_qty[[#This Row],[kartlegg_f_rate]]*$BM113),0)</f>
        <v>0</v>
      </c>
      <c r="EC38" s="3453" t="e">
        <f>IF(outputs_klasse_qty[[#This Row],[kartlegg_metode]]=1,$ACB$49)</f>
        <v>#N/A</v>
      </c>
      <c r="ED38" s="3453">
        <f>IFERROR(IF(outputs_klasse_qty[[#This Row],[kartlegg_metode]]=1,outputs_klasse_qty[[#This Row],[kartlegg_g_rate]]*$BN113),0)</f>
        <v>0</v>
      </c>
      <c r="EE38"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8" s="5712">
        <f>IF($AK$215=_List!$DA$6,$EF$28,IF($AK$215=_List!$DA$7,$EF$29,0))</f>
        <v>1</v>
      </c>
      <c r="EG38" s="3453" t="e">
        <f t="shared" si="94"/>
        <v>#N/A</v>
      </c>
      <c r="EH38" s="5719">
        <f>IFERROR(($AY90*$AI$46)/(outputs_klasse_qty[[#This Row],[bolt_veder_a_rate]]^2),0)</f>
        <v>0</v>
      </c>
      <c r="EI38" s="3453" t="e">
        <f t="shared" si="95"/>
        <v>#N/A</v>
      </c>
      <c r="EJ38" s="5719">
        <f>IFERROR(($AZ90*$AI$46)/(outputs_klasse_qty[[#This Row],[bolt_veder_b_rate]]^2),0)</f>
        <v>0</v>
      </c>
      <c r="EK38" s="3453" t="e">
        <f t="shared" si="96"/>
        <v>#N/A</v>
      </c>
      <c r="EL38" s="5719">
        <f>IFERROR(($BA90*$AI$46)/(outputs_klasse_qty[[#This Row],[bolt_veder_c_rate]]^2),0)</f>
        <v>0</v>
      </c>
      <c r="EM38" s="3453" t="e">
        <f t="shared" si="97"/>
        <v>#N/A</v>
      </c>
      <c r="EN38" s="5719">
        <f>IFERROR(($BB90*$AI$46)/(outputs_klasse_qty[[#This Row],[bolt_veder_d_rate]]^2),0)</f>
        <v>0</v>
      </c>
      <c r="EO38" s="3453" t="e">
        <f t="shared" si="98"/>
        <v>#N/A</v>
      </c>
      <c r="EP38" s="5719">
        <f>IFERROR(($BC90*$AI$46)/(outputs_klasse_qty[[#This Row],[bolt_veder_e1_rate]]^2),0)</f>
        <v>0</v>
      </c>
      <c r="EQ38" s="3453" t="e">
        <f t="shared" si="99"/>
        <v>#N/A</v>
      </c>
      <c r="ER38" s="5719">
        <f>IFERROR(($BD90*$AI$46)/(outputs_klasse_qty[[#This Row],[bolt_veder_e2_rate]]^2),0)</f>
        <v>0</v>
      </c>
      <c r="ES38" s="3453" t="e">
        <f t="shared" si="100"/>
        <v>#N/A</v>
      </c>
      <c r="ET38" s="5719">
        <f>IFERROR(($BE90*$AI$46)/(outputs_klasse_qty[[#This Row],[bolt_veder_f_rate]]^2),0)</f>
        <v>0</v>
      </c>
      <c r="EU38" s="3453" t="e">
        <f t="shared" si="101"/>
        <v>#N/A</v>
      </c>
      <c r="EV38" s="5719">
        <f>IFERROR(($BF90*$AI$46)/(outputs_klasse_qty[[#This Row],[bolt_veder_g_rate]]^2),0)</f>
        <v>0</v>
      </c>
      <c r="EW38"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8" s="3453" t="e">
        <f>outputs_klasse_qty[[#This Row],[bolt_veder_a_output]]*$ACU$42</f>
        <v>#N/A</v>
      </c>
      <c r="EY38" s="3453" t="e">
        <f>outputs_klasse_qty[[#This Row],[bolt_veder_a_output]]*$ADD$42</f>
        <v>#N/A</v>
      </c>
      <c r="EZ38" s="3453" t="e">
        <f>outputs_klasse_qty[[#This Row],[bolt_veder_b_output]]*$ACU$43</f>
        <v>#N/A</v>
      </c>
      <c r="FA38" s="3453" t="e">
        <f>outputs_klasse_qty[[#This Row],[bolt_veder_b_output]]*$ADD$43</f>
        <v>#N/A</v>
      </c>
      <c r="FB38" s="3453" t="e">
        <f>outputs_klasse_qty[[#This Row],[bolt_veder_c_output]]*$ACU$44</f>
        <v>#N/A</v>
      </c>
      <c r="FC38" s="3453" t="e">
        <f>outputs_klasse_qty[[#This Row],[bolt_veder_c_output]]*$ADD$44</f>
        <v>#N/A</v>
      </c>
      <c r="FD38" s="3453" t="e">
        <f>outputs_klasse_qty[[#This Row],[bolt_veder_d_output]]*$ACU$45</f>
        <v>#N/A</v>
      </c>
      <c r="FE38" s="3453" t="e">
        <f>outputs_klasse_qty[[#This Row],[bolt_veder_d_output]]*$ADD$45</f>
        <v>#N/A</v>
      </c>
      <c r="FF38" s="3453" t="e">
        <f>outputs_klasse_qty[[#This Row],[bolt_veder_e1_output]]*$ACU$46</f>
        <v>#N/A</v>
      </c>
      <c r="FG38" s="3453" t="e">
        <f>outputs_klasse_qty[[#This Row],[bolt_veder_e1_output]]*$ADD$46</f>
        <v>#N/A</v>
      </c>
      <c r="FH38" s="3453" t="e">
        <f>outputs_klasse_qty[[#This Row],[bolt_veder_e2_output]]*$ACU$47</f>
        <v>#N/A</v>
      </c>
      <c r="FI38" s="3453" t="e">
        <f>outputs_klasse_qty[[#This Row],[bolt_veder_e2_output]]*$ADD$47</f>
        <v>#N/A</v>
      </c>
      <c r="FJ38" s="3453" t="e">
        <f>outputs_klasse_qty[[#This Row],[bolt_veder_f_output]]*$ACU$48</f>
        <v>#N/A</v>
      </c>
      <c r="FK38" s="3453" t="e">
        <f>outputs_klasse_qty[[#This Row],[bolt_veder_f_output]]*$ADD$48</f>
        <v>#N/A</v>
      </c>
      <c r="FL38" s="3453" t="e">
        <f>outputs_klasse_qty[[#This Row],[bolt_veder_g_output]]*$ACU$49</f>
        <v>#N/A</v>
      </c>
      <c r="FM38" s="3453" t="e">
        <f>outputs_klasse_qty[[#This Row],[bolt_veder_g_output]]*$ADD$49</f>
        <v>#N/A</v>
      </c>
      <c r="FN38"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8"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8" s="3453">
        <v>1</v>
      </c>
      <c r="FQ38" s="3453" t="e">
        <f t="shared" si="102"/>
        <v>#N/A</v>
      </c>
      <c r="FR38" s="5854">
        <f>IFERROR(($AY90*$AI$42*2)/(outputs_klasse_qty[[#This Row],[bolt_vegg_a_rate]]^2),0)</f>
        <v>0</v>
      </c>
      <c r="FS38" s="3453" t="e">
        <f t="shared" si="103"/>
        <v>#N/A</v>
      </c>
      <c r="FT38" s="5854">
        <f>IFERROR(($AZ90*$AI$42*2)/(outputs_klasse_qty[[#This Row],[bolt_vegg_b_rate]]^2),0)</f>
        <v>0</v>
      </c>
      <c r="FU38" s="3453" t="e">
        <f t="shared" si="104"/>
        <v>#N/A</v>
      </c>
      <c r="FV38" s="5854">
        <f>IFERROR(($BA90*$AI$42*2)/(outputs_klasse_qty[[#This Row],[bolt_vegg_c_rate]]^2),0)</f>
        <v>0</v>
      </c>
      <c r="FW38" s="3453" t="e">
        <f t="shared" si="105"/>
        <v>#N/A</v>
      </c>
      <c r="FX38" s="5854">
        <f>IFERROR(($BB90*$AI$42*2)/(outputs_klasse_qty[[#This Row],[bolt_vegg_d_rate]]^2),0)</f>
        <v>0</v>
      </c>
      <c r="FY38" s="3453" t="e">
        <f t="shared" si="106"/>
        <v>#N/A</v>
      </c>
      <c r="FZ38" s="5854">
        <f>IFERROR(($BC90*$AI$42*2)/(outputs_klasse_qty[[#This Row],[bolt_vegg_e1_rate]]^2),0)</f>
        <v>0</v>
      </c>
      <c r="GA38" s="3453" t="e">
        <f t="shared" si="107"/>
        <v>#N/A</v>
      </c>
      <c r="GB38" s="5854">
        <f>IFERROR(($BD90*$AI$42*2)/(outputs_klasse_qty[[#This Row],[bolt_vegg_e2_rate]]^2),0)</f>
        <v>0</v>
      </c>
      <c r="GC38" s="3453" t="e">
        <f t="shared" si="108"/>
        <v>#N/A</v>
      </c>
      <c r="GD38" s="5854">
        <f>IFERROR(($BE90*$AI$42*2)/(outputs_klasse_qty[[#This Row],[bolt_vegg_f_rate]]^2),0)</f>
        <v>0</v>
      </c>
      <c r="GE38" s="3453" t="e">
        <f t="shared" si="109"/>
        <v>#N/A</v>
      </c>
      <c r="GF38" s="5854">
        <f>IFERROR(($BF90*$AI$42*2)/(outputs_klasse_qty[[#This Row],[bolt_vegg_g_rate]]^2),0)</f>
        <v>0</v>
      </c>
      <c r="GG38"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8" s="3453" t="e">
        <f>outputs_klasse_qty[[#This Row],[bolt_vegg_a_output]]*$ADX$42</f>
        <v>#N/A</v>
      </c>
      <c r="GI38" s="3453" t="e">
        <f>outputs_klasse_qty[[#This Row],[bolt_vegg_a_output]]*$AEF$42</f>
        <v>#N/A</v>
      </c>
      <c r="GJ38" s="3453" t="e">
        <f>outputs_klasse_qty[[#This Row],[bolt_vegg_b_output]]*$ADX$43</f>
        <v>#N/A</v>
      </c>
      <c r="GK38" s="3453" t="e">
        <f>outputs_klasse_qty[[#This Row],[bolt_vegg_b_output]]*$AEF$43</f>
        <v>#N/A</v>
      </c>
      <c r="GL38" s="3453" t="e">
        <f>outputs_klasse_qty[[#This Row],[bolt_vegg_c_output]]*$ADX$44</f>
        <v>#N/A</v>
      </c>
      <c r="GM38" s="3453" t="e">
        <f>outputs_klasse_qty[[#This Row],[bolt_vegg_c_output]]*$AEF$44</f>
        <v>#N/A</v>
      </c>
      <c r="GN38" s="3453" t="e">
        <f>outputs_klasse_qty[[#This Row],[bolt_vegg_d_output]]*$ADX$45</f>
        <v>#N/A</v>
      </c>
      <c r="GO38" s="3453" t="e">
        <f>outputs_klasse_qty[[#This Row],[bolt_vegg_d_output]]*$AEF$45</f>
        <v>#N/A</v>
      </c>
      <c r="GP38" s="3453" t="e">
        <f>outputs_klasse_qty[[#This Row],[bolt_vegg_e1_output]]*$ADX$46</f>
        <v>#N/A</v>
      </c>
      <c r="GQ38" s="3453" t="e">
        <f>outputs_klasse_qty[[#This Row],[bolt_vegg_e1_output]]*$AEF$46</f>
        <v>#N/A</v>
      </c>
      <c r="GR38" s="3453" t="e">
        <f>outputs_klasse_qty[[#This Row],[bolt_vegg_e2_output]]*$ADX$47</f>
        <v>#N/A</v>
      </c>
      <c r="GS38" s="3453" t="e">
        <f>outputs_klasse_qty[[#This Row],[bolt_vegg_e2_output]]*$AEF$47</f>
        <v>#N/A</v>
      </c>
      <c r="GT38" s="3453" t="e">
        <f>outputs_klasse_qty[[#This Row],[bolt_vegg_f_output]]*$ADX$48</f>
        <v>#N/A</v>
      </c>
      <c r="GU38" s="3453" t="e">
        <f>outputs_klasse_qty[[#This Row],[bolt_vegg_f_output]]*$AEF$48</f>
        <v>#N/A</v>
      </c>
      <c r="GV38" s="3453" t="e">
        <f>outputs_klasse_qty[[#This Row],[bolt_vegg_g_output]]*$ADX$49</f>
        <v>#N/A</v>
      </c>
      <c r="GW38" s="3453" t="e">
        <f>outputs_klasse_qty[[#This Row],[bolt_vegg_g_output]]*$AEF$49</f>
        <v>#N/A</v>
      </c>
      <c r="GX38"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8"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8" s="5698" t="str">
        <f>IFERROR(outputs_klasse_qty[[#This Row],[bolt_veder_lt4_sum]]+outputs_klasse_qty[[#This Row],[bolt_vegg_lt4_sum]],"")</f>
        <v/>
      </c>
      <c r="HA38" s="5698" t="str">
        <f>IFERROR(outputs_klasse_qty[[#This Row],[bolt_veder_gt4_sum]]+outputs_klasse_qty[[#This Row],[bolt_vegg_gt4_sum]],"")</f>
        <v/>
      </c>
      <c r="HB38" s="3453"/>
      <c r="HC38" s="3453"/>
      <c r="HD38" s="3453"/>
      <c r="HE38" s="3453"/>
      <c r="HF38" s="3453"/>
      <c r="HG38" s="3453"/>
      <c r="HH38" s="3453"/>
      <c r="HI38" s="3453"/>
      <c r="HJ38" s="3453"/>
      <c r="HK38" s="3453"/>
      <c r="HL38" s="3453"/>
      <c r="HM38" s="3453"/>
      <c r="HN38" s="3453"/>
      <c r="HO38" s="3453"/>
      <c r="HP38" s="3453"/>
      <c r="HQ38" s="3453"/>
      <c r="HR38" s="5819" t="e">
        <f t="shared" si="5"/>
        <v>#N/A</v>
      </c>
      <c r="HS38" s="5819">
        <f t="shared" si="6"/>
        <v>1</v>
      </c>
      <c r="HT38" s="5819">
        <f t="shared" si="7"/>
        <v>5</v>
      </c>
      <c r="HU38" s="5855">
        <f>IFERROR(IF(outputs_klasse_qty[[#This Row],[forbolting_bueområde_a]]=_List!$DQ$7,_Calcs_Klasse!$AI$46*$BG113,IF(outputs_klasse_qty[[#This Row],[forbolting_bueområde_a]]=_List!$DQ$8,$AI$40*$BG113)),0)</f>
        <v>0</v>
      </c>
      <c r="HV38" s="5856" t="e">
        <f>IF(outputs_klasse_qty[[#This Row],[forbolting_bueområde_a]]=_List!$DQ$7,($AI$46*BG113)/outputs_klasse_qty[[#This Row],[forbolting_senteravstand_a]]*outputs_klasse_qty[[#This Row],[forbolting_andel_a]],IF(outputs_klasse_qty[[#This Row],[forbolting_bueområde_a]]=_List!$DQ$8,($AI$40*BG113)/outputs_klasse_qty[[#This Row],[forbolting_senteravstand_a]]*outputs_klasse_qty[[#This Row],[forbolting_andel_a]],0))</f>
        <v>#N/A</v>
      </c>
      <c r="HW38" s="5819" t="str">
        <f t="shared" si="8"/>
        <v>Ingen</v>
      </c>
      <c r="HX38" s="5819">
        <f t="shared" si="9"/>
        <v>1</v>
      </c>
      <c r="HY38" s="5819" t="e">
        <f t="shared" si="10"/>
        <v>#N/A</v>
      </c>
      <c r="HZ38" s="5855" t="b">
        <f>IFERROR(IF(outputs_klasse_qty[[#This Row],[forbolting_bueområde_b]]=_List!$DQ$7,_Calcs_Klasse!$AI$46*$BH113,IF(outputs_klasse_qty[[#This Row],[forbolting_bueområde_b]]=_List!$DQ$8,$AI$40*$BH113)),0)</f>
        <v>0</v>
      </c>
      <c r="IA38" s="5856">
        <f>IF(outputs_klasse_qty[[#This Row],[forbolting_bueområde_b]]=_List!$DQ$7,($AI$46*BH113)/outputs_klasse_qty[[#This Row],[forbolting_senteravstand_b]]*outputs_klasse_qty[[#This Row],[forbolting_andel_b]],IF(outputs_klasse_qty[[#This Row],[forbolting_bueområde_b]]=_List!$DQ$8,($AI$40*BH113)/outputs_klasse_qty[[#This Row],[forbolting_senteravstand_b]]*outputs_klasse_qty[[#This Row],[forbolting_andel_b]],0))</f>
        <v>0</v>
      </c>
      <c r="IB38" s="5819" t="str">
        <f t="shared" si="11"/>
        <v>Ingen</v>
      </c>
      <c r="IC38" s="5819">
        <f t="shared" si="12"/>
        <v>1</v>
      </c>
      <c r="ID38" s="5819" t="e">
        <f t="shared" si="13"/>
        <v>#N/A</v>
      </c>
      <c r="IE38" s="5855" t="b">
        <f>IFERROR(IF(outputs_klasse_qty[[#This Row],[forbolting_bueområde_c]]=_List!$DQ$7,_Calcs_Klasse!$AI$46*$BI113,IF(outputs_klasse_qty[[#This Row],[forbolting_bueområde_c]]=_List!$DQ$8,$AI$40*$BI113)),0)</f>
        <v>0</v>
      </c>
      <c r="IF38" s="5856">
        <f>IF(outputs_klasse_qty[[#This Row],[forbolting_bueområde_c]]=_List!$DQ$7,($AI$46*BI113)/outputs_klasse_qty[[#This Row],[forbolting_senteravstand_c]]*outputs_klasse_qty[[#This Row],[forbolting_andel_c]],IF(outputs_klasse_qty[[#This Row],[forbolting_bueområde_c]]=_List!$DQ$8,($AI$40*BI113)/outputs_klasse_qty[[#This Row],[forbolting_senteravstand_c]]*outputs_klasse_qty[[#This Row],[forbolting_andel_c]],0))</f>
        <v>0</v>
      </c>
      <c r="IG38" s="5819" t="e">
        <f t="shared" si="14"/>
        <v>#N/A</v>
      </c>
      <c r="IH38" s="5819">
        <f t="shared" si="15"/>
        <v>1</v>
      </c>
      <c r="II38" s="5819">
        <f t="shared" si="16"/>
        <v>0.5</v>
      </c>
      <c r="IJ38" s="5855">
        <f>IFERROR(IF(outputs_klasse_qty[[#This Row],[forbolting_bueområde_d]]=_List!$DQ$7,_Calcs_Klasse!$AI$46*$BJ113,IF(outputs_klasse_qty[[#This Row],[forbolting_bueområde_d]]=_List!$DQ$8,$AI$40*$BJ113)),0)</f>
        <v>0</v>
      </c>
      <c r="IK38" s="5856" t="e">
        <f>IF(outputs_klasse_qty[[#This Row],[forbolting_bueområde_d]]=_List!$DQ$7,($AI$46*BJ113)/outputs_klasse_qty[[#This Row],[forbolting_senteravstand_d]]*outputs_klasse_qty[[#This Row],[forbolting_andel_d]],IF(outputs_klasse_qty[[#This Row],[forbolting_bueområde_d]]=_List!$DQ$8,($AI$40*BJ113)/outputs_klasse_qty[[#This Row],[forbolting_senteravstand_d]]*outputs_klasse_qty[[#This Row],[forbolting_andel_d]],0))</f>
        <v>#N/A</v>
      </c>
      <c r="IL38" s="5819" t="e">
        <f t="shared" si="17"/>
        <v>#N/A</v>
      </c>
      <c r="IM38" s="5819">
        <f t="shared" si="18"/>
        <v>1</v>
      </c>
      <c r="IN38" s="5819" t="e">
        <f t="shared" si="19"/>
        <v>#N/A</v>
      </c>
      <c r="IO38" s="5855">
        <f>IFERROR(IF(outputs_klasse_qty[[#This Row],[forbolting_bueområde_e1]]=_List!$DQ$7,_Calcs_Klasse!$AI$46*$BK113,IF(outputs_klasse_qty[[#This Row],[forbolting_bueområde_e1]]=_List!$DQ$8,$AI$40*$BK113)),0)</f>
        <v>0</v>
      </c>
      <c r="IP38" s="5856" t="e">
        <f>IF(outputs_klasse_qty[[#This Row],[forbolting_bueområde_e1]]=_List!$DQ$7,($AI$46*BK113)/outputs_klasse_qty[[#This Row],[forbolting_senteravstand_e1]]*outputs_klasse_qty[[#This Row],[forbolting_andel_e1]],IF(outputs_klasse_qty[[#This Row],[forbolting_bueområde_e1]]=_List!$DQ$8,($AI$40*BK113)/outputs_klasse_qty[[#This Row],[forbolting_senteravstand_e1]]*outputs_klasse_qty[[#This Row],[forbolting_andel_e1]],0))</f>
        <v>#N/A</v>
      </c>
      <c r="IQ38" s="5819" t="e">
        <f t="shared" si="20"/>
        <v>#N/A</v>
      </c>
      <c r="IR38" s="5819" t="e">
        <f t="shared" si="21"/>
        <v>#N/A</v>
      </c>
      <c r="IS38" s="5819" t="e">
        <f t="shared" si="22"/>
        <v>#N/A</v>
      </c>
      <c r="IT38" s="5855">
        <f>IFERROR(IF(outputs_klasse_qty[[#This Row],[forbolting_bueområde_e2]]=_List!$DQ$7,_Calcs_Klasse!$AI$46*$BL113,IF(outputs_klasse_qty[[#This Row],[forbolting_bueområde_e2]]=_List!$DQ$8,$AI$40*$BL113)),0)</f>
        <v>0</v>
      </c>
      <c r="IU38" s="5856" t="e">
        <f>IF(outputs_klasse_qty[[#This Row],[forbolting_bueområde_e2]]=_List!$DQ$7,($AI$46*BL113)/outputs_klasse_qty[[#This Row],[forbolting_senteravstand_e2]]*outputs_klasse_qty[[#This Row],[forbolting_andel_e2]],IF(outputs_klasse_qty[[#This Row],[forbolting_bueområde_e2]]=_List!$DQ$8,($AI$40*BL113)/outputs_klasse_qty[[#This Row],[forbolting_senteravstand_e2]]*outputs_klasse_qty[[#This Row],[forbolting_andel_e2]],0))</f>
        <v>#N/A</v>
      </c>
      <c r="IV38" s="5819" t="e">
        <f t="shared" si="23"/>
        <v>#N/A</v>
      </c>
      <c r="IW38" s="5819" t="e">
        <f t="shared" si="24"/>
        <v>#N/A</v>
      </c>
      <c r="IX38" s="5819" t="e">
        <f t="shared" si="25"/>
        <v>#N/A</v>
      </c>
      <c r="IY38" s="5855">
        <f>IFERROR(IF(outputs_klasse_qty[[#This Row],[forbolting_bueområde_f]]=_List!$DQ$7,_Calcs_Klasse!$AI$46*$BM113,IF(outputs_klasse_qty[[#This Row],[forbolting_bueområde_f]]=_List!$DQ$8,$AI$40*$BM113)),0)</f>
        <v>0</v>
      </c>
      <c r="IZ38" s="5856" t="e">
        <f>IF(outputs_klasse_qty[[#This Row],[forbolting_bueområde_f]]=_List!$DQ$7,($AI$46*BM113)/outputs_klasse_qty[[#This Row],[forbolting_senteravstand_f]]*outputs_klasse_qty[[#This Row],[forbolting_andel_f]],IF(outputs_klasse_qty[[#This Row],[forbolting_bueområde_f]]=_List!$DQ$8,($AI$40*BM113)/outputs_klasse_qty[[#This Row],[forbolting_senteravstand_f]]*outputs_klasse_qty[[#This Row],[forbolting_andel_f]],0))</f>
        <v>#N/A</v>
      </c>
      <c r="JA38" s="5819" t="e">
        <f t="shared" si="26"/>
        <v>#N/A</v>
      </c>
      <c r="JB38" s="5819" t="e">
        <f t="shared" si="27"/>
        <v>#N/A</v>
      </c>
      <c r="JC38" s="5819" t="e">
        <f t="shared" si="28"/>
        <v>#N/A</v>
      </c>
      <c r="JD38" s="5855">
        <f>IFERROR(IF(outputs_klasse_qty[[#This Row],[forbolting_bueområde_g]]=_List!$DQ$7,_Calcs_Klasse!$AI$46*$BN113,IF(outputs_klasse_qty[[#This Row],[forbolting_bueområde_g]]=_List!$DQ$8,$AI$40*$BN113)),0)</f>
        <v>0</v>
      </c>
      <c r="JE38" s="5856" t="e">
        <f>IF(outputs_klasse_qty[[#This Row],[forbolting_bueområde_g]]=_List!$DQ$7,($AI$46*BN113)/outputs_klasse_qty[[#This Row],[forbolting_senteravstand_g]]*outputs_klasse_qty[[#This Row],[forbolting_andel_g]],IF(outputs_klasse_qty[[#This Row],[forbolting_bueområde_g]]=_List!$DQ$8,($AI$40*BN113)/outputs_klasse_qty[[#This Row],[forbolting_senteravstand_g]]*outputs_klasse_qty[[#This Row],[forbolting_andel_g]],0))</f>
        <v>#N/A</v>
      </c>
      <c r="JF38" s="3453">
        <f>IFERROR(outputs_klasse_qty[[#This Row],[forbolting_bolter_output_a]]*$AQC$42,0)</f>
        <v>0</v>
      </c>
      <c r="JG38" s="3453">
        <f>IFERROR(outputs_klasse_qty[[#This Row],[forbolting_bolter_output_a]]*$AQL$42,0)</f>
        <v>0</v>
      </c>
      <c r="JH38" s="3453">
        <f>IFERROR(outputs_klasse_qty[[#This Row],[forbolting_bolter_output_b]]*$AQC$43,0)</f>
        <v>0</v>
      </c>
      <c r="JI38" s="3453">
        <f>IFERROR(outputs_klasse_qty[[#This Row],[forbolting_bolter_output_b]]*$AQL$43,0)</f>
        <v>0</v>
      </c>
      <c r="JJ38" s="3453">
        <f>IFERROR(outputs_klasse_qty[[#This Row],[forbolting_bolter_output_c]]*$AQC$44,0)</f>
        <v>0</v>
      </c>
      <c r="JK38" s="3453">
        <f>IFERROR(outputs_klasse_qty[[#This Row],[forbolting_bolter_output_c]]*$AQL$44,0)</f>
        <v>0</v>
      </c>
      <c r="JL38" s="3453">
        <f>IFERROR(outputs_klasse_qty[[#This Row],[forbolting_bolter_output_d]]*$AQC$45,0)</f>
        <v>0</v>
      </c>
      <c r="JM38" s="3453">
        <f>IFERROR(outputs_klasse_qty[[#This Row],[forbolting_bolter_output_d]]*$AQL$45,0)</f>
        <v>0</v>
      </c>
      <c r="JN38" s="3453">
        <f>IFERROR(outputs_klasse_qty[[#This Row],[forbolting_bolter_output_e1]]*$AQC$46,0)</f>
        <v>0</v>
      </c>
      <c r="JO38" s="3453">
        <f>IFERROR(outputs_klasse_qty[[#This Row],[forbolting_bolter_output_e1]]*$AQL$46,0)</f>
        <v>0</v>
      </c>
      <c r="JP38" s="3453">
        <f>IFERROR(outputs_klasse_qty[[#This Row],[forbolting_bolter_output_e2]]*$AQC$47,0)</f>
        <v>0</v>
      </c>
      <c r="JQ38" s="3453">
        <f>IFERROR(outputs_klasse_qty[[#This Row],[forbolting_bolter_output_e2]]*$AQL$47,0)</f>
        <v>0</v>
      </c>
      <c r="JR38" s="3453">
        <f>IFERROR(outputs_klasse_qty[[#This Row],[forbolting_bolter_output_f]]*$AQC$48,0)</f>
        <v>0</v>
      </c>
      <c r="JS38" s="3453">
        <f>IFERROR(outputs_klasse_qty[[#This Row],[forbolting_bolter_output_f]]*$AQL$48,0)</f>
        <v>0</v>
      </c>
      <c r="JT38" s="3453">
        <f>IFERROR(outputs_klasse_qty[[#This Row],[forbolting_bolter_output_g]]*$AQC$49,0)</f>
        <v>0</v>
      </c>
      <c r="JU38" s="3453">
        <f>IFERROR(outputs_klasse_qty[[#This Row],[forbolting_bolter_output_g]]*$AQL$49,0)</f>
        <v>0</v>
      </c>
      <c r="JV38"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8"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8" s="5819" t="e">
        <f t="shared" si="29"/>
        <v>#N/A</v>
      </c>
      <c r="JY38" s="5856" t="e">
        <f>IF(outputs_klasse_qty[[#This Row],[forbolting_bueområde_a]]=_List!$DQ$7,($AI$46*BG113)/outputs_klasse_qty[[#This Row],[opphengbolter_senteravstand_a]]*outputs_klasse_qty[[#This Row],[forbolting_andel_a]],IF(outputs_klasse_qty[[#This Row],[forbolting_bueområde_a]]=_List!$DQ$8,($AI$40*BG113)/outputs_klasse_qty[[#This Row],[opphengbolter_senteravstand_a]]*outputs_klasse_qty[[#This Row],[forbolting_andel_a]],0))</f>
        <v>#N/A</v>
      </c>
      <c r="JZ38" s="5819" t="e">
        <f t="shared" si="30"/>
        <v>#N/A</v>
      </c>
      <c r="KA38" s="5856">
        <f>IF(outputs_klasse_qty[[#This Row],[forbolting_bueområde_b]]=_List!$DQ$7,($AI$46*BH113)/outputs_klasse_qty[[#This Row],[opphengbolter_senteravstand_b]]*outputs_klasse_qty[[#This Row],[forbolting_andel_b]],IF(outputs_klasse_qty[[#This Row],[forbolting_bueområde_b]]=_List!$DQ$8,($AI$40*BH113)/outputs_klasse_qty[[#This Row],[opphengbolter_senteravstand_b]]*outputs_klasse_qty[[#This Row],[forbolting_andel_b]],0))</f>
        <v>0</v>
      </c>
      <c r="KB38" s="5819" t="e">
        <f t="shared" si="31"/>
        <v>#N/A</v>
      </c>
      <c r="KC38" s="5856">
        <f>IF(outputs_klasse_qty[[#This Row],[forbolting_bueområde_c]]=_List!$DQ$7,($AI$46*BI113)/outputs_klasse_qty[[#This Row],[opphengbolter_senteravstand_c]]*outputs_klasse_qty[[#This Row],[forbolting_andel_c]],IF(outputs_klasse_qty[[#This Row],[forbolting_bueområde_c]]=_List!$DQ$8,($AI$40*BI113)/outputs_klasse_qty[[#This Row],[opphengbolter_senteravstand_c]]*outputs_klasse_qty[[#This Row],[forbolting_andel_c]],0))</f>
        <v>0</v>
      </c>
      <c r="KD38" s="5819" t="e">
        <f t="shared" si="32"/>
        <v>#N/A</v>
      </c>
      <c r="KE38" s="5856" t="e">
        <f>IF(outputs_klasse_qty[[#This Row],[forbolting_bueområde_d]]=_List!$DQ$7,($AI$46*BJ113)/outputs_klasse_qty[[#This Row],[opphengbolter_senteravstand_d]]*outputs_klasse_qty[[#This Row],[forbolting_andel_d]],IF(outputs_klasse_qty[[#This Row],[forbolting_bueområde_d]]=_List!$DQ$8,($AI$40*BJ113)/outputs_klasse_qty[[#This Row],[opphengbolter_senteravstand_d]]*outputs_klasse_qty[[#This Row],[forbolting_andel_d]],0))</f>
        <v>#N/A</v>
      </c>
      <c r="KF38" s="5819" t="e">
        <f t="shared" si="33"/>
        <v>#N/A</v>
      </c>
      <c r="KG38" s="5856" t="e">
        <f>IF(outputs_klasse_qty[[#This Row],[forbolting_bueområde_e1]]=_List!$DQ$7,($AI$46*BK113)/outputs_klasse_qty[[#This Row],[opphengbolter_senteravstand_e1]]*outputs_klasse_qty[[#This Row],[forbolting_andel_e1]],IF(outputs_klasse_qty[[#This Row],[forbolting_bueområde_e1]]=_List!$DQ$8,($AI$40*BK113)/outputs_klasse_qty[[#This Row],[opphengbolter_senteravstand_e1]]*outputs_klasse_qty[[#This Row],[forbolting_andel_e1]],0))</f>
        <v>#N/A</v>
      </c>
      <c r="KH38" s="5819" t="e">
        <f t="shared" si="34"/>
        <v>#N/A</v>
      </c>
      <c r="KI38" s="5856" t="e">
        <f>IF(outputs_klasse_qty[[#This Row],[forbolting_bueområde_e2]]=_List!$DQ$7,($AI$46*BL113)/outputs_klasse_qty[[#This Row],[opphengbolter_senteravstand_e2]]*outputs_klasse_qty[[#This Row],[forbolting_andel_e2]],IF(outputs_klasse_qty[[#This Row],[forbolting_bueområde_e2]]=_List!$DQ$8,($AI$40*BL113)/outputs_klasse_qty[[#This Row],[opphengbolter_senteravstand_e2]]*outputs_klasse_qty[[#This Row],[forbolting_andel_e2]],0))</f>
        <v>#N/A</v>
      </c>
      <c r="KJ38" s="5819" t="e">
        <f t="shared" si="35"/>
        <v>#N/A</v>
      </c>
      <c r="KK38" s="5856" t="e">
        <f>IF(outputs_klasse_qty[[#This Row],[forbolting_bueområde_f]]=_List!$DQ$7,($AI$46*BM113)/outputs_klasse_qty[[#This Row],[opphengbolter_senteravstand_f]]*outputs_klasse_qty[[#This Row],[forbolting_andel_f]],IF(outputs_klasse_qty[[#This Row],[forbolting_bueområde_f]]=_List!$DQ$8,($AI$40*BM113)/outputs_klasse_qty[[#This Row],[opphengbolter_senteravstand_f]]*outputs_klasse_qty[[#This Row],[forbolting_andel_f]],0))</f>
        <v>#N/A</v>
      </c>
      <c r="KL38" s="5819" t="e">
        <f t="shared" si="36"/>
        <v>#N/A</v>
      </c>
      <c r="KM38" s="5856" t="e">
        <f>IF(outputs_klasse_qty[[#This Row],[forbolting_bueområde_g]]=_List!$DQ$7,($AI$46*BN113)/outputs_klasse_qty[[#This Row],[opphengbolter_senteravstand_g]]*outputs_klasse_qty[[#This Row],[forbolting_andel_g]],IF(outputs_klasse_qty[[#This Row],[forbolting_bueområde_g]]=_List!$DQ$8,($AI$40*BN113)/outputs_klasse_qty[[#This Row],[opphengbolter_senteravstand_g]]*outputs_klasse_qty[[#This Row],[forbolting_andel_g]],0))</f>
        <v>#N/A</v>
      </c>
      <c r="KN38" s="5819">
        <f>IFERROR(outputs_klasse_qty[[#This Row],[opphengbolter_output_a]]*$ARC$42,0)</f>
        <v>0</v>
      </c>
      <c r="KO38" s="5819">
        <f>IFERROR(outputs_klasse_qty[[#This Row],[opphengbolter_output_a]]*$ARL$42,0)</f>
        <v>0</v>
      </c>
      <c r="KP38" s="5819">
        <f>IFERROR(outputs_klasse_qty[[#This Row],[opphengbolter_output_b]]*$ARC$43,0)</f>
        <v>0</v>
      </c>
      <c r="KQ38" s="5819">
        <f>IFERROR(outputs_klasse_qty[[#This Row],[opphengbolter_output_b]]*$ARL$43,0)</f>
        <v>0</v>
      </c>
      <c r="KR38" s="5819">
        <f>IFERROR(outputs_klasse_qty[[#This Row],[opphengbolter_output_c]]*$ARC$44,0)</f>
        <v>0</v>
      </c>
      <c r="KS38" s="5819">
        <f>IFERROR(outputs_klasse_qty[[#This Row],[opphengbolter_output_c]]*$ARL$44,0)</f>
        <v>0</v>
      </c>
      <c r="KT38" s="5819">
        <f>IFERROR(outputs_klasse_qty[[#This Row],[opphengbolter_output_d]]*$ARC$45,0)</f>
        <v>0</v>
      </c>
      <c r="KU38" s="5819">
        <f>IFERROR(outputs_klasse_qty[[#This Row],[opphengbolter_output_d]]*$ARL$45,0)</f>
        <v>0</v>
      </c>
      <c r="KV38" s="5819">
        <f>IFERROR(outputs_klasse_qty[[#This Row],[opphengbolter_output_e1]]*$ARC$46,0)</f>
        <v>0</v>
      </c>
      <c r="KW38" s="5819">
        <f>IFERROR(outputs_klasse_qty[[#This Row],[opphengbolter_output_e1]]*$ARL$46,0)</f>
        <v>0</v>
      </c>
      <c r="KX38" s="5819">
        <f>IFERROR(outputs_klasse_qty[[#This Row],[opphengbolter_output_e2]]*$ARC$47,0)</f>
        <v>0</v>
      </c>
      <c r="KY38" s="5819">
        <f>IFERROR(outputs_klasse_qty[[#This Row],[opphengbolter_output_e2]]*$ARL$47,0)</f>
        <v>0</v>
      </c>
      <c r="KZ38" s="5819">
        <f>IFERROR(outputs_klasse_qty[[#This Row],[opphengbolter_output_f]]*$ARC$48,0)</f>
        <v>0</v>
      </c>
      <c r="LA38" s="5819">
        <f>IFERROR(outputs_klasse_qty[[#This Row],[opphengbolter_output_f]]*$ARL$48,0)</f>
        <v>0</v>
      </c>
      <c r="LB38" s="5819">
        <f>IFERROR(outputs_klasse_qty[[#This Row],[opphengbolter_output_g]]*$ARC$49,0)</f>
        <v>0</v>
      </c>
      <c r="LC38" s="5819">
        <f>IFERROR(outputs_klasse_qty[[#This Row],[opphengbolter_output_g]]*$ARL$49,0)</f>
        <v>0</v>
      </c>
      <c r="LD38"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8"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8" s="5712" cm="1">
        <f t="array" ref="LF38">IF($AK$217=klasse_bånd[Method],$LF$28,IF($AK$217="",$LF$29,0))</f>
        <v>1</v>
      </c>
      <c r="LG38" s="3453">
        <f t="shared" si="110"/>
        <v>1.5</v>
      </c>
      <c r="LH38" s="3453">
        <f>IFERROR(outputs_klasse_qty[[#This Row],[bergbånd_langs_forbolting_a_rate]]*outputs_klasse_qty[[#This Row],[forbolting_bue_lengde_a]],0)</f>
        <v>0</v>
      </c>
      <c r="LI38" s="3453">
        <f t="shared" si="111"/>
        <v>2</v>
      </c>
      <c r="LJ38" s="3453">
        <f>IFERROR(outputs_klasse_qty[[#This Row],[bergbånd_langs_forbolting_b_rate]]*outputs_klasse_qty[[#This Row],[forbolting_bue_lengde_b]],0)</f>
        <v>0</v>
      </c>
      <c r="LK38" s="3453">
        <f t="shared" si="112"/>
        <v>2</v>
      </c>
      <c r="LL38" s="3453">
        <f>IFERROR(outputs_klasse_qty[[#This Row],[bergbånd_langs_forbolting_c_rate]]*outputs_klasse_qty[[#This Row],[forbolting_bue_lengde_c]],0)</f>
        <v>0</v>
      </c>
      <c r="LM38" s="3453">
        <f t="shared" si="113"/>
        <v>2</v>
      </c>
      <c r="LN38" s="3453">
        <f>IFERROR(outputs_klasse_qty[[#This Row],[bergbånd_langs_forbolting_d_rate]]*outputs_klasse_qty[[#This Row],[forbolting_bue_lengde_d]],0)</f>
        <v>0</v>
      </c>
      <c r="LO38" s="3453">
        <f t="shared" si="114"/>
        <v>2</v>
      </c>
      <c r="LP38" s="3453">
        <f>IFERROR(outputs_klasse_qty[[#This Row],[bergbånd_langs_forbolting_e1_rate]]*outputs_klasse_qty[[#This Row],[forbolting_bue_lengde_e1]],0)</f>
        <v>0</v>
      </c>
      <c r="LQ38" s="3453">
        <f t="shared" si="115"/>
        <v>2</v>
      </c>
      <c r="LR38" s="3453">
        <f>IFERROR(outputs_klasse_qty[[#This Row],[bergbånd_langs_forbolting_e2_rate]]*outputs_klasse_qty[[#This Row],[forbolting_bue_lengde_e2]],0)</f>
        <v>0</v>
      </c>
      <c r="LS38" s="3453" t="e">
        <f t="shared" si="116"/>
        <v>#N/A</v>
      </c>
      <c r="LT38" s="3453">
        <f>IFERROR(outputs_klasse_qty[[#This Row],[bergbånd_langs_forbolting_f_rate]]*outputs_klasse_qty[[#This Row],[forbolting_bue_lengde_f]],0)</f>
        <v>0</v>
      </c>
      <c r="LU38" s="3453" t="e">
        <f t="shared" si="117"/>
        <v>#N/A</v>
      </c>
      <c r="LV38" s="3453">
        <f>IFERROR(outputs_klasse_qty[[#This Row],[bergbånd_langs_forbolting_g_rate]]*outputs_klasse_qty[[#This Row],[forbolting_bue_lengde_g]],0)</f>
        <v>0</v>
      </c>
      <c r="LW38"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8" s="3453" t="e">
        <f t="shared" si="37"/>
        <v>#N/A</v>
      </c>
      <c r="LY38" s="5703">
        <f>IFERROR(outputs_klasse_qty[[#This Row],[bånd_ekstra_a_rate]]*$AY90,0)</f>
        <v>0</v>
      </c>
      <c r="LZ38" s="3453" t="e">
        <f t="shared" si="38"/>
        <v>#N/A</v>
      </c>
      <c r="MA38" s="5703">
        <f>IFERROR(outputs_klasse_qty[[#This Row],[bånd_ekstra_b_rate]]*$AZ90,0)</f>
        <v>0</v>
      </c>
      <c r="MB38" s="3453" t="e">
        <f t="shared" si="39"/>
        <v>#N/A</v>
      </c>
      <c r="MC38" s="5703">
        <f>IFERROR(outputs_klasse_qty[[#This Row],[bånd_ekstra_c_rate]]*$BA90,0)</f>
        <v>0</v>
      </c>
      <c r="MD38" s="3453" t="e">
        <f t="shared" si="40"/>
        <v>#N/A</v>
      </c>
      <c r="ME38" s="5703">
        <f>IFERROR(outputs_klasse_qty[[#This Row],[bånd_ekstra_d_rate]]*$BB90,0)</f>
        <v>0</v>
      </c>
      <c r="MF38" s="3453" t="e">
        <f t="shared" si="41"/>
        <v>#N/A</v>
      </c>
      <c r="MG38" s="5703">
        <f>IFERROR(outputs_klasse_qty[[#This Row],[bånd_ekstra_e1_rate]]*$BC90,0)</f>
        <v>0</v>
      </c>
      <c r="MH38" s="3453" t="e">
        <f t="shared" si="42"/>
        <v>#N/A</v>
      </c>
      <c r="MI38" s="5703">
        <f>IFERROR(outputs_klasse_qty[[#This Row],[bånd_ekstra_e2_rate]]*$BD90,0)</f>
        <v>0</v>
      </c>
      <c r="MJ38" s="3453" t="e">
        <f t="shared" si="43"/>
        <v>#N/A</v>
      </c>
      <c r="MK38" s="5703">
        <f>IFERROR(outputs_klasse_qty[[#This Row],[bånd_ekstra_f_rate]]*$BE90,0)</f>
        <v>0</v>
      </c>
      <c r="ML38" s="3453" t="e">
        <f t="shared" si="44"/>
        <v>#N/A</v>
      </c>
      <c r="MM38" s="5703">
        <f>IFERROR(outputs_klasse_qty[[#This Row],[bånd_ekstra_g_rate]]*$BF90,0)</f>
        <v>0</v>
      </c>
      <c r="MN38"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8" s="5705">
        <f>outputs_klasse_qty[[#This Row],[bergbånd_langs_forbolting_a_output]]+outputs_klasse_qty[[#This Row],[bånd_ekstra_a_output]]</f>
        <v>0</v>
      </c>
      <c r="MP38" s="5705">
        <f>outputs_klasse_qty[[#This Row],[bergbånd_langs_forbolting_b_output]]+outputs_klasse_qty[[#This Row],[bånd_ekstra_b_output]]</f>
        <v>0</v>
      </c>
      <c r="MQ38" s="5705">
        <f>outputs_klasse_qty[[#This Row],[bergbånd_langs_forbolting_c_output]]+outputs_klasse_qty[[#This Row],[bånd_ekstra_c_output]]</f>
        <v>0</v>
      </c>
      <c r="MR38" s="5705">
        <f>outputs_klasse_qty[[#This Row],[bergbånd_langs_forbolting_d_output]]+outputs_klasse_qty[[#This Row],[bånd_ekstra_d_output]]</f>
        <v>0</v>
      </c>
      <c r="MS38" s="5705">
        <f>outputs_klasse_qty[[#This Row],[bergbånd_langs_forbolting_e1_output]]+outputs_klasse_qty[[#This Row],[bånd_ekstra_e1_output]]</f>
        <v>0</v>
      </c>
      <c r="MT38" s="5705">
        <f>outputs_klasse_qty[[#This Row],[bergbånd_langs_forbolting_e2_output]]+outputs_klasse_qty[[#This Row],[bånd_ekstra_e2_output]]</f>
        <v>0</v>
      </c>
      <c r="MU38" s="5705">
        <f>outputs_klasse_qty[[#This Row],[bergbånd_langs_forbolting_f_output]]+outputs_klasse_qty[[#This Row],[bånd_ekstra_f_output]]</f>
        <v>0</v>
      </c>
      <c r="MV38" s="5705">
        <f>outputs_klasse_qty[[#This Row],[bergbånd_langs_forbolting_g_output]]+outputs_klasse_qty[[#This Row],[bånd_ekstra_g_output]]</f>
        <v>0</v>
      </c>
      <c r="MW38" s="5706">
        <f>SUM(outputs_klasse_qty[[#This Row],[bergbånd_sum_a]:[bergbånd_sum_g]])</f>
        <v>0</v>
      </c>
      <c r="MX38" s="3453" t="e">
        <f t="shared" si="45"/>
        <v>#N/A</v>
      </c>
      <c r="MY38" s="5707">
        <f>IFERROR(outputs_klasse_qty[[#This Row],[bergbånd_sum_a]]/outputs_klasse_qty[[#This Row],[festebolter_for_bergbånd_a_senteravstand]],0)</f>
        <v>0</v>
      </c>
      <c r="MZ38" s="3453" t="e">
        <f t="shared" si="46"/>
        <v>#N/A</v>
      </c>
      <c r="NA38" s="5707">
        <f>IFERROR(outputs_klasse_qty[[#This Row],[bergbånd_sum_b]]/outputs_klasse_qty[[#This Row],[festebolter_for_bergbånd_b_senteravstand]],0)</f>
        <v>0</v>
      </c>
      <c r="NB38" s="3453" t="e">
        <f t="shared" si="47"/>
        <v>#N/A</v>
      </c>
      <c r="NC38" s="5707">
        <f>IFERROR(outputs_klasse_qty[[#This Row],[bergbånd_sum_c]]/outputs_klasse_qty[[#This Row],[festebolter_for_bergbånd_c_senteravstand]],0)</f>
        <v>0</v>
      </c>
      <c r="ND38" s="3453" t="e">
        <f t="shared" si="48"/>
        <v>#N/A</v>
      </c>
      <c r="NE38" s="5707">
        <f>IFERROR(outputs_klasse_qty[[#This Row],[bergbånd_sum_d]]/outputs_klasse_qty[[#This Row],[festebolter_for_bergbånd_d_senteravstand]],0)</f>
        <v>0</v>
      </c>
      <c r="NF38" s="3453" t="e">
        <f t="shared" si="49"/>
        <v>#N/A</v>
      </c>
      <c r="NG38" s="5707">
        <f>IFERROR(outputs_klasse_qty[[#This Row],[bergbånd_sum_e1]]/outputs_klasse_qty[[#This Row],[festebolter_for_bergbånd_e1_senteravstand]],0)</f>
        <v>0</v>
      </c>
      <c r="NH38" s="3453" t="e">
        <f t="shared" si="50"/>
        <v>#N/A</v>
      </c>
      <c r="NI38" s="5707">
        <f>IFERROR(outputs_klasse_qty[[#This Row],[bergbånd_sum_e2]]/outputs_klasse_qty[[#This Row],[festebolter_for_bergbånd_e2_senteravstand]],0)</f>
        <v>0</v>
      </c>
      <c r="NJ38" s="3453" t="e">
        <f t="shared" si="51"/>
        <v>#N/A</v>
      </c>
      <c r="NK38" s="5707">
        <f>IFERROR(outputs_klasse_qty[[#This Row],[bergbånd_sum_f]]/outputs_klasse_qty[[#This Row],[festebolter_for_bergbånd_f_senteravstand]],0)</f>
        <v>0</v>
      </c>
      <c r="NL38" s="3453" t="e">
        <f t="shared" si="52"/>
        <v>#N/A</v>
      </c>
      <c r="NM38" s="5707">
        <f>IFERROR(outputs_klasse_qty[[#This Row],[bergbånd_sum_g]]/outputs_klasse_qty[[#This Row],[festebolter_for_bergbånd_g_senteravstand]],0)</f>
        <v>0</v>
      </c>
      <c r="NN38"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8" s="3453"/>
      <c r="NP38" s="3453"/>
      <c r="NQ38" s="3453"/>
      <c r="NR38" s="3453"/>
      <c r="NS38" s="3453"/>
      <c r="NT38" s="3453"/>
      <c r="NU38" s="3453"/>
      <c r="NV38" s="3453"/>
      <c r="NW38" s="3453"/>
      <c r="NX38" s="3453"/>
      <c r="NY38" s="3453"/>
      <c r="NZ38" s="3453"/>
      <c r="OA38" s="3453"/>
      <c r="OB38" s="3453"/>
      <c r="OC38" s="3453"/>
      <c r="OD38" s="3453"/>
      <c r="OE38" s="3453"/>
      <c r="OF38" s="3453"/>
      <c r="OG38" s="3453"/>
      <c r="OH38" s="3453"/>
      <c r="OI38" s="5712" cm="1">
        <f t="array" ref="OI38">IF($AK$218=klasse_net[Method],$OI$28,IF($AK$218="",$OI$29,0))</f>
        <v>1</v>
      </c>
      <c r="OJ38" s="3453" t="e">
        <f t="shared" si="118"/>
        <v>#N/A</v>
      </c>
      <c r="OK38" s="5720">
        <f>IFERROR(outputs_klasse_qty[[#This Row],[nett_a_rate]]*$AY90,0)</f>
        <v>0</v>
      </c>
      <c r="OL38" s="3453" t="e">
        <f t="shared" si="119"/>
        <v>#N/A</v>
      </c>
      <c r="OM38" s="5720">
        <f>IFERROR(outputs_klasse_qty[[#This Row],[nett_b_rate]]*$AZ90,0)</f>
        <v>0</v>
      </c>
      <c r="ON38" s="3453" t="e">
        <f t="shared" si="120"/>
        <v>#N/A</v>
      </c>
      <c r="OO38" s="5720">
        <f>IFERROR(outputs_klasse_qty[[#This Row],[nett_c_rate]]*$BA90,0)</f>
        <v>0</v>
      </c>
      <c r="OP38" s="3453" t="e">
        <f t="shared" si="121"/>
        <v>#N/A</v>
      </c>
      <c r="OQ38" s="5720">
        <f>IFERROR(outputs_klasse_qty[[#This Row],[nett_d_rate]]*$BB90,0)</f>
        <v>0</v>
      </c>
      <c r="OR38" s="3453" t="e">
        <f t="shared" si="122"/>
        <v>#N/A</v>
      </c>
      <c r="OS38" s="5720">
        <f>IFERROR(outputs_klasse_qty[[#This Row],[nett_e1_rate]]*$BC90,0)</f>
        <v>0</v>
      </c>
      <c r="OT38" s="3453" t="e">
        <f t="shared" si="123"/>
        <v>#N/A</v>
      </c>
      <c r="OU38" s="5720">
        <f>IFERROR(outputs_klasse_qty[[#This Row],[nett_e2_rate]]*$BD90,0)</f>
        <v>0</v>
      </c>
      <c r="OV38" s="3453" t="e">
        <f t="shared" si="124"/>
        <v>#N/A</v>
      </c>
      <c r="OW38" s="5720">
        <f>IFERROR(outputs_klasse_qty[[#This Row],[nett_f_rate]]*$BE90,0)</f>
        <v>0</v>
      </c>
      <c r="OX38" s="3453" t="e">
        <f t="shared" si="125"/>
        <v>#N/A</v>
      </c>
      <c r="OY38" s="5720">
        <f>IFERROR(outputs_klasse_qty[[#This Row],[nett_g_rate]]*$BF90,0)</f>
        <v>0</v>
      </c>
      <c r="OZ38" s="5709">
        <f t="shared" si="126"/>
        <v>0</v>
      </c>
      <c r="PA38" s="3453" t="e">
        <f t="shared" si="53"/>
        <v>#N/A</v>
      </c>
      <c r="PB38" s="5618">
        <f>IFERROR(outputs_klasse_qty[[#This Row],[nett_a_output]]/(outputs_klasse_qty[[#This Row],[festebolter_for_nett_senteravstand_a]]^2),0)</f>
        <v>0</v>
      </c>
      <c r="PC38" s="3453" t="e">
        <f t="shared" si="54"/>
        <v>#N/A</v>
      </c>
      <c r="PD38" s="5618">
        <f>IFERROR(outputs_klasse_qty[[#This Row],[nett_b_output]]/(outputs_klasse_qty[[#This Row],[festebolter_for_nett_senteravstand_b]]^2),0)</f>
        <v>0</v>
      </c>
      <c r="PE38" s="3453" t="e">
        <f t="shared" si="55"/>
        <v>#N/A</v>
      </c>
      <c r="PF38" s="5618">
        <f>IFERROR(outputs_klasse_qty[[#This Row],[nett_c_output]]/(outputs_klasse_qty[[#This Row],[festebolter_for_nett_senteravstand_c]]^2),0)</f>
        <v>0</v>
      </c>
      <c r="PG38" s="3453" t="e">
        <f t="shared" si="56"/>
        <v>#N/A</v>
      </c>
      <c r="PH38" s="5618">
        <f>IFERROR(outputs_klasse_qty[[#This Row],[nett_d_output]]/(outputs_klasse_qty[[#This Row],[festebolter_for_nett_senteravstand_d]]^2),0)</f>
        <v>0</v>
      </c>
      <c r="PI38" s="3453" t="e">
        <f t="shared" si="57"/>
        <v>#N/A</v>
      </c>
      <c r="PJ38" s="5618">
        <f>IFERROR(outputs_klasse_qty[[#This Row],[nett_e1_output]]/(outputs_klasse_qty[[#This Row],[festebolter_for_nett_senteravstand_e1]]^2),0)</f>
        <v>0</v>
      </c>
      <c r="PK38" s="3453" t="e">
        <f t="shared" si="58"/>
        <v>#N/A</v>
      </c>
      <c r="PL38" s="5618">
        <f>IFERROR(outputs_klasse_qty[[#This Row],[nett_e2_output]]/(outputs_klasse_qty[[#This Row],[festebolter_for_nett_senteravstand_e2]]^2),0)</f>
        <v>0</v>
      </c>
      <c r="PM38" s="3453" t="e">
        <f t="shared" si="59"/>
        <v>#N/A</v>
      </c>
      <c r="PN38" s="5618">
        <f>IFERROR(outputs_klasse_qty[[#This Row],[nett_f_output]]/(outputs_klasse_qty[[#This Row],[festebolter_for_nett_senteravstand_f]]^2),0)</f>
        <v>0</v>
      </c>
      <c r="PO38" s="3453" t="e">
        <f t="shared" si="60"/>
        <v>#N/A</v>
      </c>
      <c r="PP38" s="5618">
        <f>IFERROR(outputs_klasse_qty[[#This Row],[nett_g_output]]/(outputs_klasse_qty[[#This Row],[festebolter_for_nett_senteravstand_g]]^2),0)</f>
        <v>0</v>
      </c>
      <c r="PQ38"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8" s="3453" t="e">
        <f t="shared" si="77"/>
        <v>#N/A</v>
      </c>
      <c r="PS38" s="5710" t="e">
        <f>outputs_klasse_qty[[#This Row],[nett_a_output]]*outputs_klasse_qty[[#This Row],[sprøytebetong_ved_nett_tykkelse_a]]/1000</f>
        <v>#N/A</v>
      </c>
      <c r="PT38" s="3453" t="e">
        <f t="shared" si="78"/>
        <v>#N/A</v>
      </c>
      <c r="PU38" s="5710" t="e">
        <f>outputs_klasse_qty[[#This Row],[nett_b_output]]*outputs_klasse_qty[[#This Row],[sprøytebetong_ved_nett_tykkelse_b]]/1000</f>
        <v>#N/A</v>
      </c>
      <c r="PV38" s="3453" t="e">
        <f t="shared" si="79"/>
        <v>#N/A</v>
      </c>
      <c r="PW38" s="5710" t="e">
        <f>outputs_klasse_qty[[#This Row],[nett_c_output]]*outputs_klasse_qty[[#This Row],[sprøytebetong_ved_nett_tykkelse_c]]/1000</f>
        <v>#N/A</v>
      </c>
      <c r="PX38" s="3453" t="e">
        <f t="shared" si="80"/>
        <v>#N/A</v>
      </c>
      <c r="PY38" s="5710" t="e">
        <f>outputs_klasse_qty[[#This Row],[nett_d_output]]*outputs_klasse_qty[[#This Row],[sprøytebetong_ved_nett_tykkelse_d]]/1000</f>
        <v>#N/A</v>
      </c>
      <c r="PZ38" s="3453" t="e">
        <f t="shared" si="81"/>
        <v>#N/A</v>
      </c>
      <c r="QA38" s="5710" t="e">
        <f>outputs_klasse_qty[[#This Row],[nett_e1_output]]*outputs_klasse_qty[[#This Row],[sprøytebetong_ved_nett_tykkelse_e1]]/1000</f>
        <v>#N/A</v>
      </c>
      <c r="QB38" s="3453" t="e">
        <f t="shared" si="82"/>
        <v>#N/A</v>
      </c>
      <c r="QC38" s="5710" t="e">
        <f>outputs_klasse_qty[[#This Row],[nett_e2_output]]*outputs_klasse_qty[[#This Row],[sprøytebetong_ved_nett_tykkelse_e2]]/1000</f>
        <v>#N/A</v>
      </c>
      <c r="QD38" s="3453" t="e">
        <f t="shared" si="83"/>
        <v>#N/A</v>
      </c>
      <c r="QE38" s="5710" t="e">
        <f>outputs_klasse_qty[[#This Row],[nett_f_output]]*outputs_klasse_qty[[#This Row],[sprøytebetong_ved_nett_tykkelse_f]]/1000</f>
        <v>#N/A</v>
      </c>
      <c r="QF38" s="3453" t="e">
        <f t="shared" si="84"/>
        <v>#N/A</v>
      </c>
      <c r="QG38" s="5710" t="e">
        <f>outputs_klasse_qty[[#This Row],[nett_g_output]]*outputs_klasse_qty[[#This Row],[sprøytebetong_ved_nett_tykkelse_g]]/1000</f>
        <v>#N/A</v>
      </c>
      <c r="QH38"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8" s="3453"/>
      <c r="QJ38" s="3453"/>
      <c r="QK38" s="3453"/>
      <c r="QL38" s="3453"/>
      <c r="QM38" s="3453"/>
      <c r="QN38" s="3453"/>
      <c r="QO38" s="3453"/>
      <c r="QP38" s="3453"/>
      <c r="QQ38" s="3453"/>
      <c r="QR38" s="5712">
        <f>IF($AK$219=_List!$DI$6,_Calcs_Klasse!$QR$28,IF($AK$219=_List!$DI$7,$QR$29,0))</f>
        <v>1</v>
      </c>
      <c r="QS38" s="5713" t="e">
        <f t="shared" si="127"/>
        <v>#N/A</v>
      </c>
      <c r="QT38" s="3453" t="e">
        <f t="shared" si="128"/>
        <v>#N/A</v>
      </c>
      <c r="QU38" s="3453">
        <f>IFERROR((outputs_klasse_qty[[#This Row],[shot_veder_a_faktor]]*outputs_klasse_qty[[#This Row],[shot_veder_a_rate]]*$AI$46*$AY90)/1000,0)</f>
        <v>0</v>
      </c>
      <c r="QV38" s="5713" t="e">
        <f t="shared" si="129"/>
        <v>#N/A</v>
      </c>
      <c r="QW38" s="3453" t="e">
        <f t="shared" si="130"/>
        <v>#N/A</v>
      </c>
      <c r="QX38" s="3453">
        <f>IFERROR((outputs_klasse_qty[[#This Row],[shot_veder_b_faktor]]*outputs_klasse_qty[[#This Row],[shot_veder_b_rate]]*$AI$46*$AZ90)/1000,0)</f>
        <v>0</v>
      </c>
      <c r="QY38" s="5713" t="e">
        <f t="shared" si="131"/>
        <v>#N/A</v>
      </c>
      <c r="QZ38" s="3453" t="e">
        <f t="shared" si="132"/>
        <v>#N/A</v>
      </c>
      <c r="RA38" s="3453">
        <f>IFERROR((outputs_klasse_qty[[#This Row],[shot_veder_c_faktor]]*outputs_klasse_qty[[#This Row],[shot_veder_c_rate]]*$AI$46*$BA90)/1000,0)</f>
        <v>0</v>
      </c>
      <c r="RB38" s="5713" t="e">
        <f t="shared" si="133"/>
        <v>#N/A</v>
      </c>
      <c r="RC38" s="3453" t="e">
        <f t="shared" si="134"/>
        <v>#N/A</v>
      </c>
      <c r="RD38" s="3453">
        <f>IFERROR((outputs_klasse_qty[[#This Row],[shot_veder_d_faktor]]*outputs_klasse_qty[[#This Row],[shot_veder_d_rate]]*$AI$46*$BB90)/1000,0)</f>
        <v>0</v>
      </c>
      <c r="RE38" s="5713" t="e">
        <f t="shared" si="135"/>
        <v>#N/A</v>
      </c>
      <c r="RF38" s="3453" t="e">
        <f t="shared" si="136"/>
        <v>#N/A</v>
      </c>
      <c r="RG38" s="3453">
        <f>IFERROR((outputs_klasse_qty[[#This Row],[shot_veder_e1_faktor]]*outputs_klasse_qty[[#This Row],[shot_veder_e1_rate]]*$AI$46*$BC90)/1000,0)</f>
        <v>0</v>
      </c>
      <c r="RH38" s="5713" t="e">
        <f t="shared" si="137"/>
        <v>#N/A</v>
      </c>
      <c r="RI38" s="3453" t="e">
        <f t="shared" si="138"/>
        <v>#N/A</v>
      </c>
      <c r="RJ38" s="3453">
        <f>IFERROR((outputs_klasse_qty[[#This Row],[shot_veder_e2_faktor]]*outputs_klasse_qty[[#This Row],[shot_veder_e2_rate]]*$AI$46*$BD90)/1000,0)</f>
        <v>0</v>
      </c>
      <c r="RK38" s="5713" t="e">
        <f t="shared" si="139"/>
        <v>#N/A</v>
      </c>
      <c r="RL38" s="3453" t="e">
        <f t="shared" si="140"/>
        <v>#N/A</v>
      </c>
      <c r="RM38" s="3453">
        <f>IFERROR((outputs_klasse_qty[[#This Row],[shot_veder_f_faktor]]*outputs_klasse_qty[[#This Row],[shot_veder_f_rate]]*$AI$46*$BE90)/1000,0)</f>
        <v>0</v>
      </c>
      <c r="RN38" s="5713" t="e">
        <f t="shared" si="141"/>
        <v>#N/A</v>
      </c>
      <c r="RO38" s="3453" t="e">
        <f t="shared" si="142"/>
        <v>#N/A</v>
      </c>
      <c r="RP38" s="3453">
        <f>IFERROR((outputs_klasse_qty[[#This Row],[shot_veder_g_faktor]]*outputs_klasse_qty[[#This Row],[shot_veder_g_rate]]*$AI$46*$BF90)/1000,0)</f>
        <v>0</v>
      </c>
      <c r="RQ38"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8" s="5712">
        <v>1</v>
      </c>
      <c r="RS38" s="5713" t="e">
        <f t="shared" si="143"/>
        <v>#N/A</v>
      </c>
      <c r="RT38" s="3453" t="e">
        <f t="shared" si="144"/>
        <v>#N/A</v>
      </c>
      <c r="RU38" s="3453">
        <f>IFERROR((outputs_klasse_qty[[#This Row],[shot_vegg_a_faktor]]*outputs_klasse_qty[[#This Row],[shot_vegg_a_rate]]*$AI$42*2*$AY90)/1000,0)</f>
        <v>0</v>
      </c>
      <c r="RV38" s="5713" t="e">
        <f t="shared" si="145"/>
        <v>#N/A</v>
      </c>
      <c r="RW38" s="3453" t="e">
        <f t="shared" si="146"/>
        <v>#N/A</v>
      </c>
      <c r="RX38" s="3453">
        <f>IFERROR((outputs_klasse_qty[[#This Row],[shot_vegg_b_faktor]]*outputs_klasse_qty[[#This Row],[shot_vegg_b_rate]]*$AI$42*2*$AZ90)/1000,0)</f>
        <v>0</v>
      </c>
      <c r="RY38" s="5713" t="e">
        <f t="shared" si="147"/>
        <v>#N/A</v>
      </c>
      <c r="RZ38" s="3453" t="e">
        <f t="shared" si="148"/>
        <v>#N/A</v>
      </c>
      <c r="SA38" s="3453">
        <f>IFERROR((outputs_klasse_qty[[#This Row],[shot_vegg_c_faktor]]*outputs_klasse_qty[[#This Row],[shot_vegg_c_rate]]*$AI$42*2*$BA90)/1000,0)</f>
        <v>0</v>
      </c>
      <c r="SB38" s="5713" t="e">
        <f t="shared" si="149"/>
        <v>#N/A</v>
      </c>
      <c r="SC38" s="3453" t="e">
        <f t="shared" si="150"/>
        <v>#N/A</v>
      </c>
      <c r="SD38" s="3453">
        <f>IFERROR((outputs_klasse_qty[[#This Row],[shot_vegg_d_faktor]]*outputs_klasse_qty[[#This Row],[shot_vegg_d_rate]]*$AI$42*2*$BB90)/1000,0)</f>
        <v>0</v>
      </c>
      <c r="SE38" s="5713" t="e">
        <f t="shared" si="151"/>
        <v>#N/A</v>
      </c>
      <c r="SF38" s="3453" t="e">
        <f t="shared" si="152"/>
        <v>#N/A</v>
      </c>
      <c r="SG38" s="3453">
        <f>IFERROR((outputs_klasse_qty[[#This Row],[shot_vegg_e1_faktor]]*outputs_klasse_qty[[#This Row],[shot_vegg_e1_rate]]*$AI$42*2*$BC90)/1000,0)</f>
        <v>0</v>
      </c>
      <c r="SH38" s="5713" t="e">
        <f t="shared" si="153"/>
        <v>#N/A</v>
      </c>
      <c r="SI38" s="3453" t="e">
        <f t="shared" si="154"/>
        <v>#N/A</v>
      </c>
      <c r="SJ38" s="3453">
        <f>IFERROR((outputs_klasse_qty[[#This Row],[shot_vegg_e2_faktor]]*outputs_klasse_qty[[#This Row],[shot_vegg_e2_rate]]*$AI$42*2*$BD90)/1000,0)</f>
        <v>0</v>
      </c>
      <c r="SK38" s="5713" t="e">
        <f t="shared" si="155"/>
        <v>#N/A</v>
      </c>
      <c r="SL38" s="3453" t="e">
        <f t="shared" si="156"/>
        <v>#N/A</v>
      </c>
      <c r="SM38" s="3453">
        <f>IFERROR((outputs_klasse_qty[[#This Row],[shot_vegg_f_faktor]]*outputs_klasse_qty[[#This Row],[shot_vegg_f_rate]]*$AI$42*2*$BE90)/1000,0)</f>
        <v>0</v>
      </c>
      <c r="SN38" s="5713" t="e">
        <f t="shared" si="157"/>
        <v>#N/A</v>
      </c>
      <c r="SO38" s="3453" t="e">
        <f t="shared" si="158"/>
        <v>#N/A</v>
      </c>
      <c r="SP38" s="3453">
        <f>IFERROR((outputs_klasse_qty[[#This Row],[shot_vegg_g_faktor]]*outputs_klasse_qty[[#This Row],[shot_vegg_g_rate]]*$AI$42*2*$BF90)/1000,0)</f>
        <v>0</v>
      </c>
      <c r="SQ38"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8" s="5715">
        <f>outputs_klasse_qty[[#This Row],[shot_veder_sum]]+outputs_klasse_qty[[#This Row],[shot_vegg_sum]]</f>
        <v>0</v>
      </c>
      <c r="SS38" s="3453"/>
      <c r="ST38" s="3453"/>
      <c r="SU38" s="3453"/>
      <c r="SV38" s="3453"/>
      <c r="SW38" s="3453"/>
      <c r="SX38" s="3453"/>
      <c r="SY38" s="3453"/>
      <c r="SZ38" s="3453"/>
      <c r="TA38" s="3453"/>
      <c r="TB38" s="3453"/>
      <c r="TC38" s="3453"/>
      <c r="TD38" s="3453"/>
      <c r="TE38" s="3453"/>
      <c r="TF38" s="3453"/>
      <c r="TG38" s="3453"/>
      <c r="TH38" s="3453"/>
      <c r="TI38" s="3453"/>
      <c r="TJ38" s="3453"/>
      <c r="TK38" s="5721" cm="1">
        <f t="array" ref="TK38">IF($AK$221=klasse_buer[Method],_Calcs_Klasse!$TK$28,IF($AK$221="",_Calcs_Klasse!TK35,""))</f>
        <v>1</v>
      </c>
      <c r="TL38" s="3453" t="e">
        <f t="shared" si="159"/>
        <v>#N/A</v>
      </c>
      <c r="TM38" s="3453" t="e">
        <f t="shared" si="61"/>
        <v>#N/A</v>
      </c>
      <c r="TN38" s="3453">
        <f>IFERROR((IF(OR(outputs_klasse_qty[[#This Row],[bue_a_dim]]=_List!$DO$7,outputs_klasse_qty[[#This Row],[bue_a_dim]]=_List!$DO$8),($AY90*$AI$40)/outputs_klasse_qty[[#This Row],[bue_a_senteravstand]]*outputs_klasse_qty[[#This Row],[bue_a_andel]],0)),0)</f>
        <v>0</v>
      </c>
      <c r="TO38" s="5722" t="e">
        <f t="shared" si="160"/>
        <v>#N/A</v>
      </c>
      <c r="TP38" s="5702" t="e">
        <f t="shared" si="161"/>
        <v>#N/A</v>
      </c>
      <c r="TQ38" s="5723" t="e">
        <f t="shared" si="162"/>
        <v>#N/A</v>
      </c>
      <c r="TR38" s="3453" t="e">
        <f t="shared" si="163"/>
        <v>#N/A</v>
      </c>
      <c r="TS38" s="3453" t="e">
        <f t="shared" si="62"/>
        <v>#N/A</v>
      </c>
      <c r="TT38" s="3453">
        <f>IFERROR((IF(OR(outputs_klasse_qty[[#This Row],[bue_b_dim]]=_List!$DO$7,outputs_klasse_qty[[#This Row],[bue_b_dim]]=_List!$DO$8),($AZ90*$AI$40)/outputs_klasse_qty[[#This Row],[bue_b_senteravstand]]*outputs_klasse_qty[[#This Row],[bue_b_andel]],0)),0)</f>
        <v>0</v>
      </c>
      <c r="TU38" s="5722" t="e">
        <f t="shared" si="164"/>
        <v>#N/A</v>
      </c>
      <c r="TV38" s="5702" t="e">
        <f t="shared" si="165"/>
        <v>#N/A</v>
      </c>
      <c r="TW38" s="5723" t="e">
        <f t="shared" si="166"/>
        <v>#N/A</v>
      </c>
      <c r="TX38" s="3453" t="e">
        <f t="shared" si="167"/>
        <v>#N/A</v>
      </c>
      <c r="TY38" s="3453" t="e">
        <f t="shared" si="63"/>
        <v>#N/A</v>
      </c>
      <c r="TZ38" s="3453">
        <f>IFERROR((IF(OR(outputs_klasse_qty[[#This Row],[bue_c_dim]]=_List!$DO$7,outputs_klasse_qty[[#This Row],[bue_c_dim]]=_List!$DO$8),($BA90*$AI$40)/outputs_klasse_qty[[#This Row],[bue_c_senteravstand]]*outputs_klasse_qty[[#This Row],[bue_c_andel]],0)),0)</f>
        <v>0</v>
      </c>
      <c r="UA38" s="5722" t="e">
        <f t="shared" si="168"/>
        <v>#N/A</v>
      </c>
      <c r="UB38" s="5702" t="e">
        <f t="shared" si="169"/>
        <v>#N/A</v>
      </c>
      <c r="UC38" s="5723" t="e">
        <f t="shared" si="170"/>
        <v>#N/A</v>
      </c>
      <c r="UD38" s="3453" t="e">
        <f t="shared" si="171"/>
        <v>#N/A</v>
      </c>
      <c r="UE38" s="3453" t="e">
        <f t="shared" si="64"/>
        <v>#N/A</v>
      </c>
      <c r="UF38" s="3453">
        <f>IFERROR((IF(OR(outputs_klasse_qty[[#This Row],[bue_d_dim]]=_List!$DO$7,outputs_klasse_qty[[#This Row],[bue_d_dim]]=_List!$DO$8),($BB90*$AI$40)/outputs_klasse_qty[[#This Row],[bue_d_senteravstand]]*outputs_klasse_qty[[#This Row],[bue_d_andel]],0)),0)</f>
        <v>0</v>
      </c>
      <c r="UG38" s="5722" t="e">
        <f t="shared" si="172"/>
        <v>#N/A</v>
      </c>
      <c r="UH38" s="5702" t="e">
        <f t="shared" si="173"/>
        <v>#N/A</v>
      </c>
      <c r="UI38" s="5723" t="e">
        <f t="shared" si="174"/>
        <v>#N/A</v>
      </c>
      <c r="UJ38" s="3453" t="e">
        <f t="shared" si="175"/>
        <v>#N/A</v>
      </c>
      <c r="UK38" s="3453" t="e">
        <f t="shared" si="65"/>
        <v>#N/A</v>
      </c>
      <c r="UL38" s="3453">
        <f>IFERROR((IF(OR(outputs_klasse_qty[[#This Row],[bue_e1_dim]]=_List!$DO$7,outputs_klasse_qty[[#This Row],[bue_e1_dim]]=_List!$DO$8),($BC90*$AI$40)/outputs_klasse_qty[[#This Row],[bue_e1_senteravstand]]*outputs_klasse_qty[[#This Row],[bue_e1_andel]],0)),0)</f>
        <v>0</v>
      </c>
      <c r="UM38" s="5722" t="e">
        <f t="shared" si="176"/>
        <v>#N/A</v>
      </c>
      <c r="UN38" s="5702" t="e">
        <f t="shared" si="177"/>
        <v>#N/A</v>
      </c>
      <c r="UO38" s="5723" t="e">
        <f t="shared" si="178"/>
        <v>#N/A</v>
      </c>
      <c r="UP38" s="3453" t="e">
        <f t="shared" si="179"/>
        <v>#N/A</v>
      </c>
      <c r="UQ38" s="3453" t="e">
        <f t="shared" si="66"/>
        <v>#N/A</v>
      </c>
      <c r="UR38" s="3453">
        <f>IFERROR((IF(OR(outputs_klasse_qty[[#This Row],[bue_e2_dim]]=_List!$DO$7,outputs_klasse_qty[[#This Row],[bue_e2_dim]]=_List!$DO$8),($BD90*$AI$40)/outputs_klasse_qty[[#This Row],[bue_e2_senteravstand]]*outputs_klasse_qty[[#This Row],[bue_e2_andel]],0)),0)</f>
        <v>0</v>
      </c>
      <c r="US38" s="5722" t="e">
        <f t="shared" si="180"/>
        <v>#N/A</v>
      </c>
      <c r="UT38" s="5702" t="e">
        <f t="shared" si="181"/>
        <v>#N/A</v>
      </c>
      <c r="UU38" s="5723" t="e">
        <f t="shared" si="182"/>
        <v>#N/A</v>
      </c>
      <c r="UV38" s="3453" t="e">
        <f t="shared" si="183"/>
        <v>#N/A</v>
      </c>
      <c r="UW38" s="3453" t="e">
        <f t="shared" si="67"/>
        <v>#N/A</v>
      </c>
      <c r="UX38" s="3453">
        <f>IFERROR((IF(OR(outputs_klasse_qty[[#This Row],[bue_f_dim]]=_List!$DO$7,outputs_klasse_qty[[#This Row],[bue_f_dim]]=_List!$DO$8),($BE90*$AI$40)/outputs_klasse_qty[[#This Row],[bue_f_senteravstand]]*outputs_klasse_qty[[#This Row],[bue_f_andel]],0)),0)</f>
        <v>0</v>
      </c>
      <c r="UY38" s="5722" t="e">
        <f t="shared" si="184"/>
        <v>#N/A</v>
      </c>
      <c r="UZ38" s="5702" t="e">
        <f t="shared" si="185"/>
        <v>#N/A</v>
      </c>
      <c r="VA38" s="5723" t="e">
        <f t="shared" si="186"/>
        <v>#N/A</v>
      </c>
      <c r="VB38" s="3453" t="e">
        <f t="shared" si="187"/>
        <v>#N/A</v>
      </c>
      <c r="VC38" s="3453" t="e">
        <f t="shared" si="68"/>
        <v>#N/A</v>
      </c>
      <c r="VD38" s="3453">
        <f>IFERROR((IF(OR(outputs_klasse_qty[[#This Row],[bue_g_dim]]=_List!$DO$7,outputs_klasse_qty[[#This Row],[bue_g_dim]]=_List!$DO$8),($BF90*$AI$40)/outputs_klasse_qty[[#This Row],[bue_g_senteravstand]]*outputs_klasse_qty[[#This Row],[bue_g_andel]],0)),0)</f>
        <v>0</v>
      </c>
      <c r="VE38" s="5722" t="e">
        <f t="shared" si="188"/>
        <v>#N/A</v>
      </c>
      <c r="VF38" s="5702" t="e">
        <f t="shared" si="189"/>
        <v>#N/A</v>
      </c>
      <c r="VG38" s="5723" t="e">
        <f t="shared" si="190"/>
        <v>#N/A</v>
      </c>
      <c r="VH38"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8"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8" s="5719" t="str">
        <f>IFERROR(outputs_klasse_qty[[#This Row],[bue_e30_sum]]+outputs_klasse_qty[[#This Row],[bue_d60_sum]],"")</f>
        <v/>
      </c>
      <c r="VK38" s="3453">
        <f t="shared" si="191"/>
        <v>0</v>
      </c>
      <c r="VL38" s="3453">
        <f>outputs_klasse_qty[[#This Row],[bue_a_output]]*outputs_klasse_qty[[#This Row],[sprøytebetong_ved_bue_rate_a]]</f>
        <v>0</v>
      </c>
      <c r="VM38" s="3453">
        <f t="shared" si="192"/>
        <v>0</v>
      </c>
      <c r="VN38" s="3453">
        <f>outputs_klasse_qty[[#This Row],[bue_b_output]]*outputs_klasse_qty[[#This Row],[sprøytebetong_ved_bue_rate_b]]</f>
        <v>0</v>
      </c>
      <c r="VO38" s="3453">
        <f t="shared" si="193"/>
        <v>0</v>
      </c>
      <c r="VP38" s="3453">
        <f>outputs_klasse_qty[[#This Row],[bue_c_output]]*outputs_klasse_qty[[#This Row],[sprøytebetong_ved_bue_rate_c]]</f>
        <v>0</v>
      </c>
      <c r="VQ38" s="3453">
        <f t="shared" si="194"/>
        <v>0</v>
      </c>
      <c r="VR38" s="3453">
        <f>outputs_klasse_qty[[#This Row],[bue_d_output]]*outputs_klasse_qty[[#This Row],[sprøytebetong_ved_bue_rate_d]]</f>
        <v>0</v>
      </c>
      <c r="VS38" s="3453">
        <f t="shared" si="195"/>
        <v>0</v>
      </c>
      <c r="VT38" s="3453">
        <f>outputs_klasse_qty[[#This Row],[bue_e1_output]]*outputs_klasse_qty[[#This Row],[sprøytebetong_ved_bue_rate_e1]]</f>
        <v>0</v>
      </c>
      <c r="VU38" s="3453">
        <f t="shared" si="196"/>
        <v>0</v>
      </c>
      <c r="VV38" s="3453">
        <f>outputs_klasse_qty[[#This Row],[bue_e2_output]]*outputs_klasse_qty[[#This Row],[sprøytebetong_ved_bue_rate_e2]]</f>
        <v>0</v>
      </c>
      <c r="VW38" s="3453">
        <f t="shared" si="197"/>
        <v>0</v>
      </c>
      <c r="VX38" s="3453">
        <f>outputs_klasse_qty[[#This Row],[bue_f_output]]*outputs_klasse_qty[[#This Row],[sprøytebetong_ved_bue_rate_f]]</f>
        <v>0</v>
      </c>
      <c r="VY38" s="3453">
        <f t="shared" si="198"/>
        <v>0</v>
      </c>
      <c r="VZ38" s="3453">
        <f>outputs_klasse_qty[[#This Row],[bue_g_output]]*outputs_klasse_qty[[#This Row],[sprøytebetong_ved_bue_rate_g]]</f>
        <v>0</v>
      </c>
      <c r="WA38"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8" s="3453" t="e">
        <f t="shared" si="199"/>
        <v>#N/A</v>
      </c>
      <c r="WC38" s="3453">
        <f>IFERROR((IF(OR(outputs_klasse_qty[[#This Row],[bue_a_dim]]=_List!$DO$7,outputs_klasse_qty[[#This Row],[bue_a_dim]]=_List!$DO$8),_Calcs_Klasse!AY90/$AJQ$42*outputs_klasse_qty[[#This Row],[forankring_bolter_rate_a]],0)),0)</f>
        <v>0</v>
      </c>
      <c r="WD38" s="3453" t="e">
        <f t="shared" si="200"/>
        <v>#N/A</v>
      </c>
      <c r="WE38" s="3453">
        <f>IFERROR((IF(OR(outputs_klasse_qty[[#This Row],[bue_b_dim]]=_List!$DO$7,outputs_klasse_qty[[#This Row],[bue_b_dim]]=_List!$DO$8),_Calcs_Klasse!AZ90/$AJQ$43*outputs_klasse_qty[[#This Row],[forankring_bolter_rate_b]],0)),0)</f>
        <v>0</v>
      </c>
      <c r="WF38" s="3453" t="e">
        <f t="shared" si="201"/>
        <v>#N/A</v>
      </c>
      <c r="WG38" s="3453">
        <f>IFERROR((IF(OR(outputs_klasse_qty[[#This Row],[bue_c_dim]]=_List!$DO$7,outputs_klasse_qty[[#This Row],[bue_c_dim]]=_List!$DO$8),_Calcs_Klasse!BA90/$AJQ$44*outputs_klasse_qty[[#This Row],[forankring_bolter_rate_c]],0)),0)</f>
        <v>0</v>
      </c>
      <c r="WH38" s="3453" t="e">
        <f t="shared" si="202"/>
        <v>#N/A</v>
      </c>
      <c r="WI38" s="3453">
        <f>IFERROR((IF(OR(outputs_klasse_qty[[#This Row],[bue_d_dim]]=_List!$DO$7,outputs_klasse_qty[[#This Row],[bue_d_dim]]=_List!$DO$8),_Calcs_Klasse!BB90/$AJQ$45*outputs_klasse_qty[[#This Row],[forankring_bolter_rate_d]],0)),0)</f>
        <v>0</v>
      </c>
      <c r="WJ38" s="3453" t="e">
        <f t="shared" si="203"/>
        <v>#N/A</v>
      </c>
      <c r="WK38" s="3453">
        <f>IFERROR((IF(OR(outputs_klasse_qty[[#This Row],[bue_e1_dim]]=_List!$DO$7,outputs_klasse_qty[[#This Row],[bue_e1_dim]]=_List!$DO$8),_Calcs_Klasse!BC90/$AJQ$46*outputs_klasse_qty[[#This Row],[forankring_bolter_rate_e1]],0)),0)</f>
        <v>0</v>
      </c>
      <c r="WL38" s="3453" t="e">
        <f t="shared" si="204"/>
        <v>#N/A</v>
      </c>
      <c r="WM38" s="3453">
        <f>IFERROR((IF(OR(outputs_klasse_qty[[#This Row],[bue_e2_dim]]=_List!$DO$7,outputs_klasse_qty[[#This Row],[bue_e2_dim]]=_List!$DO$8),_Calcs_Klasse!BD90/$AJQ$47*outputs_klasse_qty[[#This Row],[forankring_bolter_rate_e2]],0)),0)</f>
        <v>0</v>
      </c>
      <c r="WN38" s="3453" t="e">
        <f t="shared" si="205"/>
        <v>#N/A</v>
      </c>
      <c r="WO38" s="3453">
        <f>IFERROR((IF(OR(outputs_klasse_qty[[#This Row],[bue_f_dim]]=_List!$DO$7,outputs_klasse_qty[[#This Row],[bue_f_dim]]=_List!$DO$8),_Calcs_Klasse!BE90/$AJQ$48*outputs_klasse_qty[[#This Row],[forankring_bolter_rate_f]],0)),0)</f>
        <v>0</v>
      </c>
      <c r="WP38" s="3453" t="e">
        <f t="shared" si="206"/>
        <v>#N/A</v>
      </c>
      <c r="WQ38" s="3453">
        <f>IFERROR((IF(OR(outputs_klasse_qty[[#This Row],[bue_g_dim]]=_List!$DO$7,outputs_klasse_qty[[#This Row],[bue_g_dim]]=_List!$DO$8),_Calcs_Klasse!BF90/$AJQ$49*outputs_klasse_qty[[#This Row],[forankring_bolter_rate_g]],0)),0)</f>
        <v>0</v>
      </c>
      <c r="WR38" s="3453">
        <f>IFERROR(outputs_klasse_qty[[#This Row],[forankring_bolter_output_a]]*$AMD$42,0)</f>
        <v>0</v>
      </c>
      <c r="WS38" s="3453">
        <f>IFERROR(outputs_klasse_qty[[#This Row],[forankring_bolter_output_a]]*$AMM$42,0)</f>
        <v>0</v>
      </c>
      <c r="WT38" s="3453">
        <f>IFERROR(outputs_klasse_qty[[#This Row],[forankring_bolter_output_b]]*$AMD$43,0)</f>
        <v>0</v>
      </c>
      <c r="WU38" s="3453">
        <f>IFERROR(outputs_klasse_qty[[#This Row],[forankring_bolter_output_b]]*$AMM$43,0)</f>
        <v>0</v>
      </c>
      <c r="WV38" s="3453">
        <f>IFERROR(outputs_klasse_qty[[#This Row],[forankring_bolter_output_c]]*$AMD$44,0)</f>
        <v>0</v>
      </c>
      <c r="WW38" s="3453">
        <f>IFERROR(outputs_klasse_qty[[#This Row],[forankring_bolter_output_c]]*$AMM$44,0)</f>
        <v>0</v>
      </c>
      <c r="WX38" s="3453">
        <f>IFERROR(outputs_klasse_qty[[#This Row],[forankring_bolter_output_d]]*$AMD$45,0)</f>
        <v>0</v>
      </c>
      <c r="WY38" s="3453">
        <f>IFERROR(outputs_klasse_qty[[#This Row],[forankring_bolter_output_d]]*$AMM$45,0)</f>
        <v>0</v>
      </c>
      <c r="WZ38" s="3453">
        <f>IFERROR(outputs_klasse_qty[[#This Row],[forankring_bolter_output_e1]]*$AMD$46,0)</f>
        <v>0</v>
      </c>
      <c r="XA38" s="3453">
        <f>IFERROR(outputs_klasse_qty[[#This Row],[forankring_bolter_output_e1]]*$AMM$46,0)</f>
        <v>0</v>
      </c>
      <c r="XB38" s="3453">
        <f>IFERROR(outputs_klasse_qty[[#This Row],[forankring_bolter_output_e2]]*$AMD$47,0)</f>
        <v>0</v>
      </c>
      <c r="XC38" s="3453">
        <f>IFERROR(outputs_klasse_qty[[#This Row],[forankring_bolter_output_e2]]*$AMM$47,0)</f>
        <v>0</v>
      </c>
      <c r="XD38" s="3453">
        <f>IFERROR(outputs_klasse_qty[[#This Row],[forankring_bolter_output_f]]*$AMD$48,0)</f>
        <v>0</v>
      </c>
      <c r="XE38" s="3453">
        <f>IFERROR(outputs_klasse_qty[[#This Row],[forankring_bolter_output_f]]*$AMM$48,0)</f>
        <v>0</v>
      </c>
      <c r="XF38" s="3453">
        <f>IFERROR(outputs_klasse_qty[[#This Row],[forankring_bolter_output_g]]*$AMD$49,0)</f>
        <v>0</v>
      </c>
      <c r="XG38" s="3453">
        <f>IFERROR(outputs_klasse_qty[[#This Row],[forankring_bolter_output_g]]*$AMM$49,0)</f>
        <v>0</v>
      </c>
      <c r="XH38"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8"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8" s="3453" t="e">
        <f t="shared" si="69"/>
        <v>#N/A</v>
      </c>
      <c r="XK38" s="5819" t="e">
        <f>outputs_klasse_qty[[#This Row],[bue_a_output]]/outputs_klasse_qty[[#This Row],[bue_radielle_bolter_rate_a]]</f>
        <v>#N/A</v>
      </c>
      <c r="XL38" s="5819" t="e">
        <f t="shared" si="70"/>
        <v>#N/A</v>
      </c>
      <c r="XM38" s="5819" t="e">
        <f>outputs_klasse_qty[[#This Row],[bue_b_output]]/outputs_klasse_qty[[#This Row],[bue_radielle_bolter_rate_b]]</f>
        <v>#N/A</v>
      </c>
      <c r="XN38" s="5819" t="e">
        <f t="shared" si="71"/>
        <v>#N/A</v>
      </c>
      <c r="XO38" s="5819" t="e">
        <f>outputs_klasse_qty[[#This Row],[bue_c_output]]/outputs_klasse_qty[[#This Row],[bue_radielle_bolter_rate_c]]</f>
        <v>#N/A</v>
      </c>
      <c r="XP38" s="5819" t="e">
        <f t="shared" si="72"/>
        <v>#N/A</v>
      </c>
      <c r="XQ38" s="5819" t="e">
        <f>outputs_klasse_qty[[#This Row],[bue_d_output]]/outputs_klasse_qty[[#This Row],[bue_radielle_bolter_rate_d]]</f>
        <v>#N/A</v>
      </c>
      <c r="XR38" s="5819" t="e">
        <f t="shared" si="73"/>
        <v>#N/A</v>
      </c>
      <c r="XS38" s="5819" t="e">
        <f>outputs_klasse_qty[[#This Row],[bue_e1_output]]/outputs_klasse_qty[[#This Row],[bue_radielle_bolter_rate_e1]]</f>
        <v>#N/A</v>
      </c>
      <c r="XT38" s="5819" t="e">
        <f t="shared" si="74"/>
        <v>#N/A</v>
      </c>
      <c r="XU38" s="5819" t="e">
        <f>outputs_klasse_qty[[#This Row],[bue_e2_output]]/outputs_klasse_qty[[#This Row],[bue_radielle_bolter_rate_e2]]</f>
        <v>#N/A</v>
      </c>
      <c r="XV38" s="5819" t="e">
        <f t="shared" si="75"/>
        <v>#N/A</v>
      </c>
      <c r="XW38" s="5819" t="e">
        <f>outputs_klasse_qty[[#This Row],[bue_f_output]]/outputs_klasse_qty[[#This Row],[bue_radielle_bolter_rate_f]]</f>
        <v>#N/A</v>
      </c>
      <c r="XX38" s="5819" t="e">
        <f t="shared" si="76"/>
        <v>#N/A</v>
      </c>
      <c r="XY38" s="5819" t="e">
        <f>outputs_klasse_qty[[#This Row],[bue_g_output]]/outputs_klasse_qty[[#This Row],[bue_radielle_bolter_rate_g]]</f>
        <v>#N/A</v>
      </c>
      <c r="XZ38" s="5819">
        <f>IFERROR(outputs_klasse_qty[[#This Row],[bue_radielle_bolter_output_a]]*$AKS$42,0)</f>
        <v>0</v>
      </c>
      <c r="YA38" s="5819">
        <f>IFERROR(outputs_klasse_qty[[#This Row],[bue_radielle_bolter_output_a]]*$ALB$42,0)</f>
        <v>0</v>
      </c>
      <c r="YB38" s="5819">
        <f>IFERROR(outputs_klasse_qty[[#This Row],[bue_radielle_bolter_output_b]]*$AKS$43,0)</f>
        <v>0</v>
      </c>
      <c r="YC38" s="5819">
        <f>IFERROR(outputs_klasse_qty[[#This Row],[bue_radielle_bolter_output_b]]*$ALB$43,0)</f>
        <v>0</v>
      </c>
      <c r="YD38" s="5819">
        <f>IFERROR(outputs_klasse_qty[[#This Row],[bue_radielle_bolter_output_c]]*$AKS$44,0)</f>
        <v>0</v>
      </c>
      <c r="YE38" s="5819">
        <f>IFERROR(outputs_klasse_qty[[#This Row],[bue_radielle_bolter_output_c]]*$ALB$44,0)</f>
        <v>0</v>
      </c>
      <c r="YF38" s="5819">
        <f>IFERROR(outputs_klasse_qty[[#This Row],[bue_radielle_bolter_output_d]]*$AKS$45,0)</f>
        <v>0</v>
      </c>
      <c r="YG38" s="5819">
        <f>IFERROR(outputs_klasse_qty[[#This Row],[bue_radielle_bolter_output_d]]*$ALB$45,0)</f>
        <v>0</v>
      </c>
      <c r="YH38" s="5819">
        <f>IFERROR(outputs_klasse_qty[[#This Row],[bue_radielle_bolter_output_e1]]*$AKS$46,0)</f>
        <v>0</v>
      </c>
      <c r="YI38" s="5819">
        <f>IFERROR(outputs_klasse_qty[[#This Row],[bue_radielle_bolter_output_e1]]*$ALB$46,0)</f>
        <v>0</v>
      </c>
      <c r="YJ38" s="5819">
        <f>IFERROR(outputs_klasse_qty[[#This Row],[bue_radielle_bolter_output_e2]]*$AKS$47,0)</f>
        <v>0</v>
      </c>
      <c r="YK38" s="5819">
        <f>IFERROR(outputs_klasse_qty[[#This Row],[bue_radielle_bolter_output_e2]]*$ALB$47,0)</f>
        <v>0</v>
      </c>
      <c r="YL38" s="5819">
        <f>IFERROR(outputs_klasse_qty[[#This Row],[bue_radielle_bolter_output_f]]*$AKS$48,0)</f>
        <v>0</v>
      </c>
      <c r="YM38" s="5819">
        <f>IFERROR(outputs_klasse_qty[[#This Row],[bue_radielle_bolter_output_f]]*$ALB$48,0)</f>
        <v>0</v>
      </c>
      <c r="YN38" s="5819">
        <f>IFERROR(outputs_klasse_qty[[#This Row],[bue_radielle_bolter_output_g]]*$AKS$49,0)</f>
        <v>0</v>
      </c>
      <c r="YO38" s="5819">
        <f>IFERROR(outputs_klasse_qty[[#This Row],[bue_radielle_bolter_output_g]]*$ALB$49,0)</f>
        <v>0</v>
      </c>
      <c r="YP38"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8"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8" s="5819"/>
      <c r="YS38" s="5819"/>
      <c r="YT38" s="5819"/>
      <c r="YU38" s="5819"/>
      <c r="YV38" s="5819"/>
      <c r="YW38" s="5819"/>
      <c r="YX38" s="5819"/>
      <c r="YY38" s="5819"/>
      <c r="YZ38" s="5819"/>
      <c r="ZA38" s="5819"/>
      <c r="ZB38" s="5819"/>
      <c r="ZC38" s="5819"/>
      <c r="ZD38" s="5819"/>
      <c r="ZE38" s="5819"/>
      <c r="ZF38" s="5819"/>
      <c r="ZG38" s="5819"/>
      <c r="ZH38" s="5819"/>
      <c r="ZI38" s="3453"/>
      <c r="ZJ38" s="3453"/>
      <c r="ZK38" s="3453"/>
      <c r="ZL38" s="3453"/>
      <c r="ZM38" s="3453"/>
      <c r="ZN38" s="837"/>
      <c r="ZO38" s="837"/>
      <c r="ZP38" s="837"/>
      <c r="ZQ38" s="837"/>
      <c r="ZR38" s="837"/>
      <c r="ZS38" s="837"/>
      <c r="ZT38" s="837"/>
      <c r="ZU38" s="837"/>
      <c r="ZV38" s="837"/>
      <c r="ZW38" s="837"/>
      <c r="ZX38" s="837"/>
      <c r="ZY38" s="837"/>
      <c r="ZZ38" s="837"/>
      <c r="AAA38" s="837"/>
      <c r="AAB38" s="2622"/>
      <c r="AAC38" s="2622"/>
      <c r="AAD38" s="2622"/>
      <c r="AAE38" s="2622"/>
      <c r="AAF38" s="2622"/>
      <c r="AAG38" s="2622"/>
      <c r="AAH38" s="2622"/>
      <c r="AAI38" s="2622"/>
      <c r="AAJ38" s="2622"/>
      <c r="AAK38" s="2622"/>
      <c r="AAL38" s="2622"/>
      <c r="AAM38" s="2622"/>
      <c r="AAN38" s="2622"/>
      <c r="AAO38" s="2622"/>
      <c r="AAP38" s="2622"/>
      <c r="AAQ38" s="2622"/>
      <c r="AAR38" s="2622"/>
      <c r="AAS38" s="2622"/>
      <c r="AAT38" s="2622"/>
      <c r="AAU38" s="2622"/>
      <c r="AAV38" s="2622"/>
      <c r="AAW38" s="2622"/>
      <c r="AAX38" s="2622"/>
      <c r="AAY38" s="2622"/>
      <c r="AAZ38" s="2622"/>
      <c r="ABA38" s="5800"/>
      <c r="ABB38" s="5797"/>
      <c r="ABC38" s="5797"/>
      <c r="ABD38" s="5797"/>
      <c r="ABE38" s="5797"/>
      <c r="ABF38" s="5797"/>
      <c r="ABG38" s="5797"/>
      <c r="ABH38" s="5797"/>
      <c r="ABI38" s="3618"/>
      <c r="ABJ38" s="2622"/>
      <c r="ABK38" s="5800"/>
      <c r="ABL38" s="2720"/>
      <c r="ABM38" s="5797"/>
      <c r="ABN38" s="5797"/>
      <c r="ABO38" s="5797"/>
      <c r="ABP38" s="5797"/>
      <c r="ABQ38" s="5797"/>
      <c r="ABR38" s="5797"/>
      <c r="ABS38" s="5799"/>
      <c r="ABT38" s="2622"/>
      <c r="ABU38" s="5800"/>
      <c r="ABV38" s="2720"/>
      <c r="ABW38" s="5797"/>
      <c r="ABX38" s="5797"/>
      <c r="ABY38" s="5797"/>
      <c r="ABZ38" s="5797"/>
      <c r="ACA38" s="5797"/>
      <c r="ACB38" s="5797"/>
      <c r="ACC38" s="5799"/>
      <c r="ACD38" s="2737"/>
      <c r="ACE38" s="5800"/>
      <c r="ACF38" s="5797"/>
      <c r="ACG38" s="5797"/>
      <c r="ACH38" s="5797"/>
      <c r="ACI38" s="5797"/>
      <c r="ACJ38" s="5797"/>
      <c r="ACK38" s="5797"/>
      <c r="ACL38" s="5797"/>
      <c r="ACM38" s="5797"/>
      <c r="ACN38" s="184"/>
      <c r="ACO38" s="5797"/>
      <c r="ACP38" s="5797"/>
      <c r="ACQ38" s="5797"/>
      <c r="ACR38" s="5797"/>
      <c r="ACS38" s="5797"/>
      <c r="ACT38" s="5797"/>
      <c r="ACU38" s="5797"/>
      <c r="ACV38" s="5797"/>
      <c r="ACW38" s="184"/>
      <c r="ACX38" s="5797"/>
      <c r="ACY38" s="5797"/>
      <c r="ACZ38" s="5797"/>
      <c r="ADA38" s="5797"/>
      <c r="ADB38" s="5797"/>
      <c r="ADC38" s="5797"/>
      <c r="ADD38" s="5797"/>
      <c r="ADE38" s="5799"/>
      <c r="ADF38" s="2737"/>
      <c r="ADG38" s="3589"/>
      <c r="ADH38" s="3587"/>
      <c r="ADI38" s="3587"/>
      <c r="ADJ38" s="3587"/>
      <c r="ADK38" s="3587"/>
      <c r="ADL38" s="3587"/>
      <c r="ADM38" s="3587"/>
      <c r="ADN38" s="3587"/>
      <c r="ADO38" s="3587"/>
      <c r="ADP38" s="184"/>
      <c r="ADQ38" s="3675"/>
      <c r="ADR38" s="3587"/>
      <c r="ADS38" s="3587"/>
      <c r="ADT38" s="3587"/>
      <c r="ADU38" s="3587"/>
      <c r="ADV38" s="3587"/>
      <c r="ADW38" s="3587"/>
      <c r="ADX38" s="3587"/>
      <c r="ADY38" s="3675"/>
      <c r="ADZ38" s="3675"/>
      <c r="AEA38" s="3675"/>
      <c r="AEB38" s="3675"/>
      <c r="AEC38" s="3675"/>
      <c r="AED38" s="3675"/>
      <c r="AEE38" s="3675"/>
      <c r="AEF38" s="3675"/>
      <c r="AEG38" s="3676"/>
      <c r="AEH38" s="2737"/>
      <c r="AEI38" s="2737"/>
      <c r="AEJ38" s="2737"/>
      <c r="AEK38" s="2737"/>
      <c r="AEL38" s="2737"/>
      <c r="AEM38" s="2737"/>
      <c r="AEN38" s="2737"/>
      <c r="AEO38" s="2737"/>
      <c r="AEP38" s="2737"/>
      <c r="AEQ38" s="2737"/>
      <c r="AER38" s="2737"/>
      <c r="AES38" s="5790"/>
      <c r="AET38" s="184"/>
      <c r="AEU38" s="5789"/>
      <c r="AEV38" s="5789"/>
      <c r="AEW38" s="5789"/>
      <c r="AEX38" s="5789"/>
      <c r="AEY38" s="5789"/>
      <c r="AEZ38" s="5791"/>
      <c r="AFB38" s="5145"/>
      <c r="AFC38" s="5142"/>
      <c r="AFD38" s="5142"/>
      <c r="AFE38" s="5142"/>
      <c r="AFF38" s="5142"/>
      <c r="AFG38" s="5142"/>
      <c r="AFH38" s="5146"/>
      <c r="AFJ38" s="5145"/>
      <c r="AFK38" s="5142"/>
      <c r="AFL38" s="5142"/>
      <c r="AFM38" s="5142"/>
      <c r="AFN38" s="5142"/>
      <c r="AFO38" s="5142"/>
      <c r="AFP38" s="5142"/>
      <c r="AFQ38" s="5142"/>
      <c r="AFR38" s="5142"/>
      <c r="AFS38" s="5142"/>
      <c r="AFT38" s="5142"/>
      <c r="AFU38" s="5142"/>
      <c r="AFV38" s="5142"/>
      <c r="AFW38" s="5142"/>
      <c r="AFX38" s="5142"/>
      <c r="AFY38" s="5142"/>
      <c r="AFZ38" s="184"/>
      <c r="AGA38" s="5142"/>
      <c r="AGB38" s="5142"/>
      <c r="AGC38" s="5142"/>
      <c r="AGD38" s="5142"/>
      <c r="AGE38" s="5142"/>
      <c r="AGF38" s="5142"/>
      <c r="AGG38" s="5142"/>
      <c r="AGH38" s="5142"/>
      <c r="AGI38" s="5146"/>
      <c r="AGJ38" s="5142"/>
      <c r="AGK38" s="5142"/>
      <c r="AGL38" s="5142"/>
      <c r="AGM38" s="5142"/>
      <c r="AGN38" s="2622"/>
      <c r="AGO38" s="3354"/>
      <c r="AGP38" s="3318"/>
      <c r="AGQ38" s="3318"/>
      <c r="AGR38" s="3318"/>
      <c r="AGS38" s="3318"/>
      <c r="AGT38" s="3318"/>
      <c r="AGU38" s="3353"/>
      <c r="AGV38" s="5561"/>
      <c r="AGW38" s="5518"/>
      <c r="AGX38" s="5517"/>
      <c r="AGY38" s="5517"/>
      <c r="AGZ38" s="5517"/>
      <c r="AHA38" s="5517"/>
      <c r="AHB38" s="5517"/>
      <c r="AHC38" s="5519"/>
      <c r="AHD38" s="5561"/>
      <c r="AHF38" s="5518"/>
      <c r="AHG38" s="5517"/>
      <c r="AHH38" s="5517"/>
      <c r="AHI38" s="5517"/>
      <c r="AHJ38" s="5517"/>
      <c r="AHK38" s="5517"/>
      <c r="AHL38" s="5519"/>
      <c r="AHP38" s="3589"/>
      <c r="AHQ38" s="3587"/>
      <c r="AHR38" s="3587"/>
      <c r="AHS38" s="3587"/>
      <c r="AHT38" s="3587"/>
      <c r="AHU38" s="3587"/>
      <c r="AHV38" s="3587"/>
      <c r="AHW38" s="3587"/>
      <c r="AHX38" s="3588"/>
      <c r="AHY38" s="2622"/>
      <c r="AHZ38" s="3677"/>
      <c r="AIA38" s="3675"/>
      <c r="AIB38" s="3675"/>
      <c r="AIC38" s="3675"/>
      <c r="AID38" s="3675"/>
      <c r="AIE38" s="3675"/>
      <c r="AIF38" s="3675"/>
      <c r="AIG38" s="3675"/>
      <c r="AIH38" s="3676"/>
      <c r="AII38" s="184"/>
      <c r="AIJ38" s="3811"/>
      <c r="AIK38" s="3675"/>
      <c r="AIL38" s="3675"/>
      <c r="AIM38" s="3675"/>
      <c r="AIN38" s="3675"/>
      <c r="AIO38" s="3675"/>
      <c r="AIP38" s="3675"/>
      <c r="AIQ38" s="3675"/>
      <c r="AIR38" s="3753"/>
      <c r="AIS38" s="2622"/>
      <c r="AIT38" s="3677"/>
      <c r="AIU38" s="3675"/>
      <c r="AIV38" s="3675"/>
      <c r="AIW38" s="3675"/>
      <c r="AIX38" s="3675"/>
      <c r="AIY38" s="3675"/>
      <c r="AIZ38" s="3675"/>
      <c r="AJA38" s="3675"/>
      <c r="AJB38" s="3675"/>
      <c r="AJC38" s="5162"/>
      <c r="AJD38" s="5162"/>
      <c r="AJE38" s="5162"/>
      <c r="AJF38" s="5162"/>
      <c r="AJG38" s="5162"/>
      <c r="AJH38" s="5162"/>
      <c r="AJI38" s="5162"/>
      <c r="AJJ38" s="5162"/>
      <c r="AJK38" s="3675"/>
      <c r="AJL38" s="3675"/>
      <c r="AJM38" s="3675"/>
      <c r="AJN38" s="3675"/>
      <c r="AJO38" s="3675"/>
      <c r="AJP38" s="3675"/>
      <c r="AJQ38" s="3675"/>
      <c r="AJR38" s="3675"/>
      <c r="AJS38" s="3675"/>
      <c r="AJT38" s="3675"/>
      <c r="AJU38" s="3675"/>
      <c r="AJV38" s="3675"/>
      <c r="AJW38" s="3675"/>
      <c r="AJX38" s="3675"/>
      <c r="AJY38" s="3675"/>
      <c r="AJZ38" s="3676"/>
      <c r="AKA38" s="3675"/>
      <c r="AKB38" s="3675"/>
      <c r="AKC38" s="3582"/>
      <c r="AKD38" s="3581"/>
      <c r="AKE38" s="3582"/>
      <c r="AKF38" s="3582"/>
      <c r="AKG38" s="3582"/>
      <c r="AKH38" s="3582"/>
      <c r="AKI38" s="3582"/>
      <c r="AKJ38" s="3582"/>
      <c r="AKK38" s="3582"/>
      <c r="AKL38" s="3582"/>
      <c r="AKM38" s="3582"/>
      <c r="AKN38" s="3582"/>
      <c r="AKO38" s="3582"/>
      <c r="AKP38" s="3582"/>
      <c r="AKQ38" s="3582"/>
      <c r="AKR38" s="3582"/>
      <c r="AKS38" s="3582"/>
      <c r="AKT38" s="3582"/>
      <c r="AKU38" s="184"/>
      <c r="AKV38" s="3582"/>
      <c r="AKW38" s="3582"/>
      <c r="AKX38" s="3582"/>
      <c r="AKY38" s="3582"/>
      <c r="AKZ38" s="3582"/>
      <c r="ALA38" s="3582"/>
      <c r="ALB38" s="3585"/>
      <c r="ALC38" s="3642"/>
      <c r="ALD38" s="3589"/>
      <c r="ALE38" s="3587"/>
      <c r="ALF38" s="3587"/>
      <c r="ALG38" s="3587"/>
      <c r="ALH38" s="3587"/>
      <c r="ALI38" s="3587"/>
      <c r="ALJ38" s="3587"/>
      <c r="ALK38" s="3587"/>
      <c r="ALL38" s="3753"/>
      <c r="ALM38" s="2737"/>
      <c r="ALN38" s="3581"/>
      <c r="ALO38" s="3582"/>
      <c r="ALP38" s="3582"/>
      <c r="ALQ38" s="3582"/>
      <c r="ALR38" s="3582"/>
      <c r="ALS38" s="3582"/>
      <c r="ALT38" s="3582"/>
      <c r="ALU38" s="3582"/>
      <c r="ALV38" s="3582"/>
      <c r="ALW38" s="3582"/>
      <c r="ALX38" s="3582"/>
      <c r="ALY38" s="3582"/>
      <c r="ALZ38" s="3582"/>
      <c r="AMA38" s="3582"/>
      <c r="AMB38" s="3582"/>
      <c r="AMC38" s="3582"/>
      <c r="AMD38" s="3582"/>
      <c r="AME38" s="3582"/>
      <c r="AMF38" s="184"/>
      <c r="AMG38" s="3582"/>
      <c r="AMH38" s="3582"/>
      <c r="AMI38" s="3582"/>
      <c r="AMJ38" s="3582"/>
      <c r="AMK38" s="3582"/>
      <c r="AML38" s="3582"/>
      <c r="AMM38" s="3585"/>
      <c r="AMN38" s="5517"/>
      <c r="AMO38" s="5517"/>
      <c r="AMP38" s="5517"/>
      <c r="AMQ38" s="5517"/>
      <c r="AMR38" s="5517"/>
      <c r="AMS38" s="5517"/>
      <c r="AMT38" s="5517"/>
      <c r="AMU38" s="5517"/>
      <c r="AMV38" s="5517"/>
      <c r="AMW38" s="5517"/>
      <c r="AMX38" s="5517"/>
      <c r="AMY38" s="5517"/>
      <c r="AMZ38" s="5517"/>
      <c r="ANA38" s="5517"/>
      <c r="ANB38" s="5517"/>
      <c r="ANC38" s="5517"/>
      <c r="AND38" s="5517"/>
      <c r="ANE38" s="5517"/>
      <c r="ANF38" s="5517"/>
      <c r="ANG38" s="5517"/>
      <c r="ANH38" s="5517"/>
      <c r="ANI38" s="5517"/>
      <c r="ANJ38" s="5517"/>
      <c r="ANK38" s="5517"/>
      <c r="ANL38" s="5517"/>
      <c r="ANM38" s="5517"/>
      <c r="ANN38" s="5517"/>
      <c r="ANO38" s="5517"/>
      <c r="ANP38" s="5517"/>
      <c r="ANQ38" s="5517"/>
      <c r="ANR38" s="5517"/>
      <c r="ANS38" s="5517"/>
      <c r="ANT38" s="5517"/>
      <c r="ANU38" s="5517"/>
      <c r="ANV38" s="5517"/>
      <c r="ANW38" s="5517"/>
      <c r="ANX38" s="5517"/>
      <c r="ANY38" s="5517"/>
      <c r="ANZ38" s="5517"/>
      <c r="AOA38" s="5517"/>
      <c r="AOB38" s="5517"/>
      <c r="AOC38" s="5517"/>
      <c r="AOD38" s="5517"/>
      <c r="AOE38" s="5517"/>
      <c r="AOF38" s="5517"/>
      <c r="AOG38" s="5517"/>
      <c r="AOH38" s="5517"/>
      <c r="AOI38" s="5517"/>
      <c r="AOJ38" s="5517"/>
      <c r="AOK38" s="5517"/>
      <c r="AOL38" s="5517"/>
      <c r="AOM38" s="5517"/>
      <c r="AOO38" s="4125"/>
      <c r="AOP38" s="4124"/>
      <c r="AOQ38" s="4124"/>
      <c r="AOR38" s="4124"/>
      <c r="AOS38" s="4124"/>
      <c r="AOT38" s="4124"/>
      <c r="AOU38" s="4124"/>
      <c r="AOV38" s="4124"/>
      <c r="AOW38" s="5162"/>
      <c r="AOX38" s="5162"/>
      <c r="AOY38" s="5162"/>
      <c r="AOZ38" s="5162"/>
      <c r="APA38" s="5162"/>
      <c r="APB38" s="5162"/>
      <c r="APC38" s="5162"/>
      <c r="APD38" s="5162"/>
      <c r="APE38" s="5162"/>
      <c r="APF38" s="4124"/>
      <c r="APG38" s="3587"/>
      <c r="APH38" s="3587"/>
      <c r="API38" s="3587"/>
      <c r="APJ38" s="3587"/>
      <c r="APK38" s="3587"/>
      <c r="APL38" s="3587"/>
      <c r="APM38" s="3587"/>
      <c r="APN38" s="3587"/>
      <c r="APO38" s="3587"/>
      <c r="APP38" s="3587"/>
      <c r="APQ38" s="3587"/>
      <c r="APR38" s="3587"/>
      <c r="APS38" s="3587"/>
      <c r="APT38" s="3587"/>
      <c r="APU38" s="3587"/>
      <c r="APV38" s="3587"/>
      <c r="APW38" s="3587"/>
      <c r="APX38" s="3587"/>
      <c r="APY38" s="3587"/>
      <c r="APZ38" s="3587"/>
      <c r="AQA38" s="3587"/>
      <c r="AQB38" s="3587"/>
      <c r="AQC38" s="3587"/>
      <c r="AQD38" s="3587"/>
      <c r="AQE38" s="184"/>
      <c r="AQF38" s="3587"/>
      <c r="AQG38" s="3587"/>
      <c r="AQH38" s="3587"/>
      <c r="AQI38" s="3587"/>
      <c r="AQJ38" s="3587"/>
      <c r="AQK38" s="3587"/>
      <c r="AQL38" s="3588"/>
      <c r="AQN38" s="3589"/>
      <c r="AQO38" s="3587"/>
      <c r="AQP38" s="3587"/>
      <c r="AQQ38" s="3587"/>
      <c r="AQR38" s="3587"/>
      <c r="AQS38" s="3587"/>
      <c r="AQT38" s="3587"/>
      <c r="AQU38" s="3587"/>
      <c r="AQV38" s="3587"/>
      <c r="AQW38" s="3587"/>
      <c r="AQX38" s="3587"/>
      <c r="AQY38" s="3587"/>
      <c r="AQZ38" s="3587"/>
      <c r="ARA38" s="3587"/>
      <c r="ARB38" s="3587"/>
      <c r="ARC38" s="3587"/>
      <c r="ARD38" s="3587"/>
      <c r="ARE38" s="184"/>
      <c r="ARF38" s="3587"/>
      <c r="ARG38" s="3587"/>
      <c r="ARH38" s="3587"/>
      <c r="ARI38" s="3587"/>
      <c r="ARJ38" s="3587"/>
      <c r="ARK38" s="3587"/>
      <c r="ARL38" s="3588"/>
      <c r="ART38" s="3354"/>
      <c r="ARU38" s="3318"/>
      <c r="ARV38" s="3318"/>
      <c r="ARW38" s="3318"/>
      <c r="ARX38" s="3318"/>
      <c r="ARY38" s="3318"/>
      <c r="ARZ38" s="3318"/>
      <c r="ASA38" s="184"/>
      <c r="ASB38" s="3318"/>
      <c r="ASC38" s="3318"/>
      <c r="ASD38" s="3318"/>
      <c r="ASE38" s="3318"/>
      <c r="ASF38" s="3318"/>
      <c r="ASG38" s="3318"/>
      <c r="ASH38" s="3318"/>
      <c r="ASI38" s="3318"/>
      <c r="ASJ38" s="184"/>
      <c r="ASK38" s="3318"/>
      <c r="ASL38" s="3318"/>
      <c r="ASM38" s="3318"/>
      <c r="ASN38" s="3318"/>
      <c r="ASO38" s="3318"/>
      <c r="ASP38" s="3318"/>
      <c r="ASQ38" s="3353"/>
      <c r="ASR38" s="2737"/>
      <c r="ASS38" s="2737"/>
      <c r="ATA38" s="2622"/>
      <c r="ATB38" s="2622"/>
      <c r="ATC38" s="2622"/>
      <c r="ATD38" s="2622"/>
      <c r="ATE38" s="2622"/>
      <c r="ATF38" s="2622"/>
      <c r="ATG38" s="2622"/>
      <c r="ATH38" s="2622"/>
      <c r="ATI38" s="2622"/>
      <c r="ATJ38" s="2622"/>
      <c r="ATK38" s="2622"/>
      <c r="ATL38" s="3597" t="s">
        <v>158</v>
      </c>
      <c r="ATM38" s="3533"/>
      <c r="ATN38" s="3534"/>
      <c r="ATO38" s="3535"/>
      <c r="ATP38" s="3534"/>
      <c r="ATQ38" s="3451">
        <f t="shared" si="85"/>
        <v>23.75</v>
      </c>
      <c r="ATR38" s="3536"/>
      <c r="ATS38" s="3433">
        <f t="shared" si="86"/>
        <v>3.5910000000000002</v>
      </c>
      <c r="ATT38" s="3525">
        <f t="shared" si="3"/>
        <v>16.567999999999998</v>
      </c>
      <c r="ATU38" s="3539"/>
      <c r="ATV38" s="2622"/>
      <c r="ATW38" s="2622"/>
      <c r="ATX38" s="2622"/>
      <c r="ATY38" s="2617"/>
      <c r="ATZ38" s="3458"/>
      <c r="AUA38" s="3458"/>
      <c r="AUB38" s="2617"/>
      <c r="AUC38" s="2617"/>
      <c r="AUD38" s="2617"/>
      <c r="AUE38" s="2617"/>
      <c r="AUF38" s="2617"/>
      <c r="AUG38" s="2617"/>
      <c r="AUH38" s="2617"/>
      <c r="AUI38" s="2617"/>
      <c r="AUJ38" s="2617"/>
      <c r="AUK38" s="2617"/>
      <c r="AUL38" s="2617"/>
      <c r="AUM38" s="2617"/>
      <c r="AUN38" s="2617"/>
      <c r="AUO38" s="2617"/>
      <c r="AUP38" s="2617"/>
      <c r="AUQ38" s="2617"/>
      <c r="AUR38" s="2617"/>
      <c r="AUS38" s="2617"/>
      <c r="AUT38" s="2617"/>
      <c r="AUU38" s="2617"/>
      <c r="AUV38" s="235" t="s">
        <v>1267</v>
      </c>
      <c r="AUW38" s="185">
        <v>15</v>
      </c>
      <c r="AUX38" s="185">
        <v>24</v>
      </c>
      <c r="AUY38" s="185">
        <v>36</v>
      </c>
      <c r="AUZ38" s="185">
        <v>48</v>
      </c>
      <c r="AVA38" s="185">
        <v>0</v>
      </c>
      <c r="AVB38" s="185">
        <v>0</v>
      </c>
      <c r="AVC38" s="185">
        <v>0</v>
      </c>
      <c r="AVD38" s="185">
        <v>0</v>
      </c>
      <c r="AVE38" s="185">
        <v>5</v>
      </c>
      <c r="AVF38" s="185">
        <v>10</v>
      </c>
      <c r="AVG38" s="185">
        <v>15</v>
      </c>
      <c r="AVH38" s="185">
        <v>15</v>
      </c>
      <c r="AVI38" s="185">
        <v>20</v>
      </c>
      <c r="AVJ38" s="185">
        <v>25</v>
      </c>
      <c r="AVK38" s="185">
        <v>30</v>
      </c>
      <c r="AVL38" s="193">
        <v>30</v>
      </c>
      <c r="AVM38" s="2617"/>
      <c r="AVN38" s="2617"/>
      <c r="AVO38" s="2617"/>
      <c r="AVP38" s="2617"/>
      <c r="AVQ38" s="2617"/>
      <c r="AVR38" s="2617"/>
      <c r="AVS38" s="2617"/>
      <c r="AVT38" s="2617"/>
      <c r="AVU38" s="2617"/>
      <c r="AVV38" s="2617"/>
      <c r="AVW38" s="2617"/>
      <c r="AVX38" s="2617"/>
      <c r="AVY38" s="2617"/>
      <c r="AVZ38" s="2617"/>
      <c r="AWA38" s="2617"/>
      <c r="AWB38" s="2617"/>
      <c r="AWC38" s="2617"/>
      <c r="AWD38" s="2617"/>
      <c r="AWE38" s="2617"/>
      <c r="AWF38" s="2617"/>
      <c r="AWG38" s="2617"/>
      <c r="AWH38" s="2617"/>
      <c r="AWI38" s="2617"/>
      <c r="AWJ38" s="2617"/>
      <c r="AWK38" s="2617"/>
      <c r="AWL38" s="2617"/>
      <c r="AWM38" s="2617"/>
      <c r="AWN38" s="2617"/>
      <c r="AWO38" s="2617"/>
      <c r="AWP38" s="2617"/>
      <c r="AWQ38" s="2617"/>
      <c r="AWR38" s="2617"/>
      <c r="AWS38" s="181"/>
      <c r="AWT38" s="181"/>
      <c r="AWU38" s="181"/>
      <c r="AWV38" s="181"/>
      <c r="AWW38" s="181"/>
      <c r="AWX38" s="181"/>
      <c r="AWY38" s="3623"/>
      <c r="AWZ38" s="3623"/>
      <c r="AXA38" s="3623"/>
      <c r="AXB38" s="3623"/>
      <c r="AXC38" s="181"/>
      <c r="AXD38" s="181"/>
      <c r="AXE38" s="181"/>
      <c r="AXF38" s="181"/>
      <c r="AXG38" s="181"/>
      <c r="AXH38" s="181"/>
      <c r="AXI38" s="181"/>
      <c r="AXJ38" s="181"/>
      <c r="AXK38" s="181"/>
      <c r="AXL38" s="181"/>
      <c r="AXM38" s="181"/>
      <c r="AXN38" s="181"/>
      <c r="AXO38" s="181"/>
      <c r="AXP38" s="181"/>
      <c r="AXQ38" s="181"/>
      <c r="AXR38" s="181"/>
      <c r="AXS38" s="181"/>
      <c r="AXT38" s="181"/>
      <c r="AXU38" s="181"/>
      <c r="AXV38" s="181"/>
      <c r="AXW38" s="181"/>
      <c r="AXX38" s="181"/>
      <c r="AXY38" s="181"/>
      <c r="AXZ38" s="181"/>
      <c r="AYA38" s="181"/>
      <c r="AYB38" s="181"/>
      <c r="AYC38" s="181"/>
      <c r="AYD38" s="181"/>
      <c r="AYE38" s="181"/>
      <c r="AYF38" s="181"/>
      <c r="AYG38" s="181"/>
      <c r="AYH38" s="181"/>
      <c r="AYI38" s="181"/>
      <c r="AYJ38" s="181"/>
      <c r="AYK38" s="181"/>
      <c r="AYL38" s="181"/>
      <c r="AYM38" s="181"/>
      <c r="AYN38" s="181"/>
      <c r="AYO38" s="181"/>
      <c r="AYW38" s="7234" t="s">
        <v>1182</v>
      </c>
      <c r="AYX38" s="7234"/>
      <c r="AYY38" s="7234"/>
      <c r="AYZ38" s="7234"/>
      <c r="AZA38" s="7234"/>
      <c r="AZB38" s="7234"/>
      <c r="AZC38" s="7234"/>
      <c r="AZD38" s="3428"/>
      <c r="AZE38" s="3428"/>
      <c r="AZF38" s="2622"/>
      <c r="AZG38" s="2622"/>
      <c r="AZH38" s="2622"/>
      <c r="AZI38" s="2622"/>
      <c r="AZJ38" s="2622"/>
      <c r="AZK38" s="2622"/>
      <c r="AZL38" s="2622"/>
      <c r="AZM38" s="2622"/>
      <c r="AZN38" s="2622"/>
      <c r="AZO38" s="2622"/>
      <c r="AZP38" s="2622"/>
      <c r="AZQ38" s="2622"/>
      <c r="AZR38" s="2622"/>
      <c r="AZS38" s="2622"/>
      <c r="AZT38" s="2622"/>
      <c r="AZU38" s="2622"/>
      <c r="AZV38" s="2622"/>
      <c r="AZW38" s="2691" t="s">
        <v>192</v>
      </c>
      <c r="AZX38" s="2717" t="str">
        <f>IF(AZZ38=$TM$20,"-")</f>
        <v>-</v>
      </c>
      <c r="AZY38" s="2778" t="str">
        <f>IF(AZZ38=$TM$20,"-")</f>
        <v>-</v>
      </c>
      <c r="AZZ38" s="2682" t="str">
        <f>$TM$20</f>
        <v>Ingen</v>
      </c>
      <c r="BAA38" s="2716"/>
      <c r="BAB38" s="2780"/>
      <c r="BAC38" s="2993"/>
      <c r="BAD38" s="2622"/>
      <c r="BAE38" s="2622"/>
      <c r="BAF38" s="2622"/>
      <c r="BAG38" s="2622"/>
      <c r="BAH38" s="2622"/>
      <c r="BAI38" s="2622"/>
      <c r="BAJ38" s="2622"/>
      <c r="BAK38" s="2691" t="s">
        <v>192</v>
      </c>
      <c r="BAL38" s="2717">
        <v>4</v>
      </c>
      <c r="BAM38" s="2795">
        <v>0.5</v>
      </c>
      <c r="BAN38" s="2779">
        <f t="shared" si="208"/>
        <v>0.5</v>
      </c>
      <c r="BAO38" s="2715"/>
      <c r="BAP38" s="2622"/>
      <c r="BAQ38" s="2622"/>
      <c r="BAR38" s="2622"/>
      <c r="BAU38" s="2622"/>
      <c r="BBL38" s="2622"/>
      <c r="BBR38" s="3398"/>
      <c r="BCJ38" s="2617"/>
      <c r="BCK38" s="2617"/>
      <c r="BCL38" s="2617"/>
      <c r="BCM38" s="2617"/>
      <c r="BCN38" s="2617"/>
      <c r="BCO38" s="2617"/>
      <c r="BCP38" s="2617"/>
      <c r="BCQ38" s="2617"/>
      <c r="BCR38" s="2617"/>
      <c r="BCS38" s="2617"/>
      <c r="BCT38" s="2617"/>
      <c r="BCU38" s="2617"/>
      <c r="BCV38" s="2617"/>
      <c r="BCW38" s="2617"/>
      <c r="BCX38" s="2617"/>
      <c r="BCY38" s="2617"/>
      <c r="BCZ38" s="2617"/>
      <c r="BDA38" s="2617"/>
      <c r="BDB38" s="2617"/>
      <c r="BDC38" s="2617"/>
      <c r="BDD38" s="2617"/>
      <c r="BDE38" s="2617"/>
      <c r="BDF38" s="2617"/>
      <c r="BDG38" s="2617"/>
      <c r="BDH38" s="2617"/>
      <c r="BDI38" s="2617"/>
      <c r="BDL38" s="2617"/>
      <c r="BDM38" s="2617"/>
      <c r="BDN38" s="2617"/>
      <c r="BDO38" s="2617"/>
      <c r="BDP38" s="2617"/>
      <c r="BDQ38" s="2617"/>
      <c r="BDR38" s="2617"/>
      <c r="BDS38" s="2617"/>
      <c r="BDT38" s="2617"/>
      <c r="BDU38" s="2617"/>
      <c r="BDV38" s="2617"/>
      <c r="BDW38" s="2617"/>
      <c r="BDZ38" s="2617"/>
      <c r="BEA38" s="2617"/>
      <c r="BEB38" s="2617"/>
      <c r="BEC38" s="2617"/>
      <c r="BED38" s="2617"/>
      <c r="BEE38" s="2617"/>
      <c r="BEH38" s="2617"/>
    </row>
    <row r="39" spans="1:1490" s="2625" customFormat="1" ht="39.75" customHeight="1" x14ac:dyDescent="0.2">
      <c r="A39" s="3458"/>
      <c r="B39" s="3458"/>
      <c r="C39" s="3458"/>
      <c r="D39" s="3458"/>
      <c r="E39" s="3458"/>
      <c r="F39" s="3458"/>
      <c r="G39" s="3458"/>
      <c r="H39" s="3458"/>
      <c r="I39" s="3458"/>
      <c r="J39" s="3458"/>
      <c r="K39" s="3458"/>
      <c r="L39" s="3458"/>
      <c r="M39" s="3458"/>
      <c r="N39" s="3458"/>
      <c r="O39" s="3458"/>
      <c r="P39" s="3458"/>
      <c r="Q39" s="3458"/>
      <c r="R39" s="3458"/>
      <c r="S39" s="3458"/>
      <c r="T39" s="3458"/>
      <c r="U39" s="3458"/>
      <c r="V39" s="3458"/>
      <c r="W39" s="3458"/>
      <c r="X39" s="3458"/>
      <c r="Y39" s="3458"/>
      <c r="Z39" s="3458"/>
      <c r="AA39" s="3458"/>
      <c r="AB39" s="3458"/>
      <c r="AC39" s="3458"/>
      <c r="AD39" s="3458"/>
      <c r="AE39" s="3458"/>
      <c r="AF39" s="3458"/>
      <c r="AG39" s="3458"/>
      <c r="AH39" s="206" t="s">
        <v>1040</v>
      </c>
      <c r="AI39" s="199">
        <f>'!Egen_SK'!$V$34</f>
        <v>0</v>
      </c>
      <c r="AK39" s="3403">
        <f>_Calcs!AI34</f>
        <v>1</v>
      </c>
      <c r="AL39" s="4144">
        <f>_Calcs!AJ25</f>
        <v>0</v>
      </c>
      <c r="AM39" s="4145" t="e">
        <f>_Calcs!AJ34</f>
        <v>#DIV/0!</v>
      </c>
      <c r="AN39" s="2689"/>
      <c r="AQ39" s="2626"/>
      <c r="AR39" s="2626"/>
      <c r="AS39" s="2626"/>
      <c r="AT39" s="2626"/>
      <c r="AU39" s="2622"/>
      <c r="AV39" s="2617"/>
      <c r="AW39" s="2617"/>
      <c r="CG39" s="2986" t="str">
        <f>_Calcs!$QT$135</f>
        <v>Stuff 2-2</v>
      </c>
      <c r="CH39" s="5558">
        <f>IF(_Calcs!$BC$38=1,0,IF(_Calcs!$BC$38=2,6,0))</f>
        <v>6</v>
      </c>
      <c r="CI39" s="1665">
        <f>IF(_Calcs!$BC$34&gt;5,1,0)</f>
        <v>0</v>
      </c>
      <c r="CJ39" s="238">
        <f>IF($AI$31=2,INDEX(outputs_position[22],MATCH(_Calcs!$BC$35,outputs_position[lopstuff],0)),0)</f>
        <v>0</v>
      </c>
      <c r="CK39" s="194">
        <v>62</v>
      </c>
      <c r="CL39" s="3453" t="e">
        <f t="shared" si="87"/>
        <v>#VALUE!</v>
      </c>
      <c r="CM39" s="3453" t="e">
        <f t="shared" si="88"/>
        <v>#VALUE!</v>
      </c>
      <c r="CN39" s="3453" t="e">
        <f t="shared" si="89"/>
        <v>#VALUE!</v>
      </c>
      <c r="CO39" s="3453" t="e">
        <f t="shared" si="90"/>
        <v>#VALUE!</v>
      </c>
      <c r="CP39" s="3453" t="e">
        <f t="shared" si="207"/>
        <v>#VALUE!</v>
      </c>
      <c r="CQ39" s="3453" t="e">
        <f t="shared" si="91"/>
        <v>#VALUE!</v>
      </c>
      <c r="CR39" s="3453" t="e">
        <f t="shared" si="92"/>
        <v>#VALUE!</v>
      </c>
      <c r="CS39" s="3453" t="e">
        <f t="shared" si="93"/>
        <v>#VALUE!</v>
      </c>
      <c r="CT39" s="3453"/>
      <c r="CU39" s="3453"/>
      <c r="CV39" s="5712">
        <f>IF($AK$213=_List!$CX$6,$CV$28,IF($AK$213=_List!$CX$7,$CV$29,0))</f>
        <v>1</v>
      </c>
      <c r="CW39" s="3453">
        <f>IF(outputs_klasse_qty[[#This Row],[man_metode]]=1,$ABR$42)</f>
        <v>20</v>
      </c>
      <c r="CX39" s="3453">
        <f>IFERROR(IF(outputs_klasse_qty[[#This Row],[man_metode]]=1,outputs_klasse_qty[[#This Row],[man_a_rate]]*$BG114),0)</f>
        <v>0</v>
      </c>
      <c r="CY39" s="3453" t="e">
        <f>IF(outputs_klasse_qty[[#This Row],[man_metode]]=1,$ABR$43)</f>
        <v>#N/A</v>
      </c>
      <c r="CZ39" s="3453">
        <f>IFERROR(IF(outputs_klasse_qty[[#This Row],[man_metode]]=1,outputs_klasse_qty[[#This Row],[man_b_rate]]*$BH114),0)</f>
        <v>0</v>
      </c>
      <c r="DA39" s="3453" t="e">
        <f>IF(outputs_klasse_qty[[#This Row],[man_metode]]=1,$ABR$44)</f>
        <v>#N/A</v>
      </c>
      <c r="DB39" s="3453">
        <f>IFERROR(IF(outputs_klasse_qty[[#This Row],[man_metode]]=1,outputs_klasse_qty[[#This Row],[man_c_rate]]*$BI114),0)</f>
        <v>0</v>
      </c>
      <c r="DC39" s="3453" t="e">
        <f>IF(outputs_klasse_qty[[#This Row],[man_metode]]=1,$ABR$45)</f>
        <v>#N/A</v>
      </c>
      <c r="DD39" s="3453">
        <f>IFERROR(IF(outputs_klasse_qty[[#This Row],[man_metode]]=1,outputs_klasse_qty[[#This Row],[man_d_rate]]*$BJ114),0)</f>
        <v>0</v>
      </c>
      <c r="DE39" s="3453" t="e">
        <f>IF(outputs_klasse_qty[[#This Row],[man_metode]]=1,$ABR$46)</f>
        <v>#N/A</v>
      </c>
      <c r="DF39" s="3453">
        <f>IFERROR(IF(outputs_klasse_qty[[#This Row],[man_metode]]=1,outputs_klasse_qty[[#This Row],[man_e1_rate]]*$BK114),0)</f>
        <v>0</v>
      </c>
      <c r="DG39" s="3453" t="e">
        <f>IF(outputs_klasse_qty[[#This Row],[man_metode]]=1,$ABR$47)</f>
        <v>#N/A</v>
      </c>
      <c r="DH39" s="3453">
        <f>IFERROR(IF(outputs_klasse_qty[[#This Row],[man_metode]]=1,outputs_klasse_qty[[#This Row],[man_e2_rate]]*$BL114),0)</f>
        <v>0</v>
      </c>
      <c r="DI39" s="3453" t="e">
        <f>IF(outputs_klasse_qty[[#This Row],[man_metode]]=1,$ABR$48)</f>
        <v>#N/A</v>
      </c>
      <c r="DJ39" s="3453">
        <f>IFERROR(IF(outputs_klasse_qty[[#This Row],[man_metode]]=1,outputs_klasse_qty[[#This Row],[man_f_rate]]*$BM114),0)</f>
        <v>0</v>
      </c>
      <c r="DK39" s="3453" t="e">
        <f>IF(outputs_klasse_qty[[#This Row],[man_metode]]=1,$ABR$49)</f>
        <v>#N/A</v>
      </c>
      <c r="DL39" s="3453">
        <f>IFERROR(IF(outputs_klasse_qty[[#This Row],[man_metode]]=1,outputs_klasse_qty[[#This Row],[man_g_rate]]*$BN114),0)</f>
        <v>0</v>
      </c>
      <c r="DM39"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39" s="5712">
        <v>1</v>
      </c>
      <c r="DO39" s="3453" t="e">
        <f>IF(outputs_klasse_qty[[#This Row],[kartlegg_metode]]=1,$ACB$42)</f>
        <v>#N/A</v>
      </c>
      <c r="DP39" s="3453">
        <f>IFERROR(IF(outputs_klasse_qty[[#This Row],[kartlegg_metode]]=1,outputs_klasse_qty[[#This Row],[kartlegg_a_rate]]*$BG114),0)</f>
        <v>0</v>
      </c>
      <c r="DQ39" s="3453" t="e">
        <f>IF(outputs_klasse_qty[[#This Row],[kartlegg_metode]]=1,$ACB$43)</f>
        <v>#N/A</v>
      </c>
      <c r="DR39" s="3453">
        <f>IFERROR(IF(outputs_klasse_qty[[#This Row],[kartlegg_metode]]=1,outputs_klasse_qty[[#This Row],[kartlegg_b_rate]]*$BH114),0)</f>
        <v>0</v>
      </c>
      <c r="DS39" s="3453" t="e">
        <f>IF(outputs_klasse_qty[[#This Row],[kartlegg_metode]]=1,$ACB$44)</f>
        <v>#N/A</v>
      </c>
      <c r="DT39" s="3453">
        <f>IFERROR(IF(outputs_klasse_qty[[#This Row],[kartlegg_metode]]=1,outputs_klasse_qty[[#This Row],[kartlegg_c_rate]]*$BI114),0)</f>
        <v>0</v>
      </c>
      <c r="DU39" s="3453" t="e">
        <f>IF(outputs_klasse_qty[[#This Row],[kartlegg_metode]]=1,$ACB$45)</f>
        <v>#N/A</v>
      </c>
      <c r="DV39" s="3453">
        <f>IFERROR(IF(outputs_klasse_qty[[#This Row],[kartlegg_metode]]=1,outputs_klasse_qty[[#This Row],[kartlegg_d_rate]]*$BJ114),0)</f>
        <v>0</v>
      </c>
      <c r="DW39" s="3453" t="e">
        <f>IF(outputs_klasse_qty[[#This Row],[kartlegg_metode]]=1,$ACB$46)</f>
        <v>#N/A</v>
      </c>
      <c r="DX39" s="3453">
        <f>IFERROR(IF(outputs_klasse_qty[[#This Row],[kartlegg_metode]]=1,outputs_klasse_qty[[#This Row],[kartlegg_e1_rate]]*$BK114),0)</f>
        <v>0</v>
      </c>
      <c r="DY39" s="3453" t="e">
        <f>IF(outputs_klasse_qty[[#This Row],[kartlegg_metode]]=1,$ACB$47)</f>
        <v>#N/A</v>
      </c>
      <c r="DZ39" s="3453">
        <f>IFERROR(IF(outputs_klasse_qty[[#This Row],[kartlegg_metode]]=1,outputs_klasse_qty[[#This Row],[kartlegg_e2_rate]]*$BL114),0)</f>
        <v>0</v>
      </c>
      <c r="EA39" s="3453" t="e">
        <f>IF(outputs_klasse_qty[[#This Row],[kartlegg_metode]]=1,$ACB$48)</f>
        <v>#N/A</v>
      </c>
      <c r="EB39" s="3453">
        <f>IFERROR(IF(outputs_klasse_qty[[#This Row],[kartlegg_metode]]=1,outputs_klasse_qty[[#This Row],[kartlegg_f_rate]]*$BM114),0)</f>
        <v>0</v>
      </c>
      <c r="EC39" s="3453" t="e">
        <f>IF(outputs_klasse_qty[[#This Row],[kartlegg_metode]]=1,$ACB$49)</f>
        <v>#N/A</v>
      </c>
      <c r="ED39" s="3453">
        <f>IFERROR(IF(outputs_klasse_qty[[#This Row],[kartlegg_metode]]=1,outputs_klasse_qty[[#This Row],[kartlegg_g_rate]]*$BN114),0)</f>
        <v>0</v>
      </c>
      <c r="EE39"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39" s="5712">
        <f>IF($AK$215=_List!$DA$6,$EF$28,IF($AK$215=_List!$DA$7,$EF$29,0))</f>
        <v>1</v>
      </c>
      <c r="EG39" s="3453" t="e">
        <f t="shared" si="94"/>
        <v>#N/A</v>
      </c>
      <c r="EH39" s="5719">
        <f>IFERROR(($AY91*$AI$46)/(outputs_klasse_qty[[#This Row],[bolt_veder_a_rate]]^2),0)</f>
        <v>0</v>
      </c>
      <c r="EI39" s="3453" t="e">
        <f t="shared" si="95"/>
        <v>#N/A</v>
      </c>
      <c r="EJ39" s="5719">
        <f>IFERROR(($AZ91*$AI$46)/(outputs_klasse_qty[[#This Row],[bolt_veder_b_rate]]^2),0)</f>
        <v>0</v>
      </c>
      <c r="EK39" s="3453" t="e">
        <f t="shared" si="96"/>
        <v>#N/A</v>
      </c>
      <c r="EL39" s="5719">
        <f>IFERROR(($BA91*$AI$46)/(outputs_klasse_qty[[#This Row],[bolt_veder_c_rate]]^2),0)</f>
        <v>0</v>
      </c>
      <c r="EM39" s="3453" t="e">
        <f t="shared" si="97"/>
        <v>#N/A</v>
      </c>
      <c r="EN39" s="5719">
        <f>IFERROR(($BB91*$AI$46)/(outputs_klasse_qty[[#This Row],[bolt_veder_d_rate]]^2),0)</f>
        <v>0</v>
      </c>
      <c r="EO39" s="3453" t="e">
        <f t="shared" si="98"/>
        <v>#N/A</v>
      </c>
      <c r="EP39" s="5719">
        <f>IFERROR(($BC91*$AI$46)/(outputs_klasse_qty[[#This Row],[bolt_veder_e1_rate]]^2),0)</f>
        <v>0</v>
      </c>
      <c r="EQ39" s="3453" t="e">
        <f t="shared" si="99"/>
        <v>#N/A</v>
      </c>
      <c r="ER39" s="5719">
        <f>IFERROR(($BD91*$AI$46)/(outputs_klasse_qty[[#This Row],[bolt_veder_e2_rate]]^2),0)</f>
        <v>0</v>
      </c>
      <c r="ES39" s="3453" t="e">
        <f t="shared" si="100"/>
        <v>#N/A</v>
      </c>
      <c r="ET39" s="5719">
        <f>IFERROR(($BE91*$AI$46)/(outputs_klasse_qty[[#This Row],[bolt_veder_f_rate]]^2),0)</f>
        <v>0</v>
      </c>
      <c r="EU39" s="3453" t="e">
        <f t="shared" si="101"/>
        <v>#N/A</v>
      </c>
      <c r="EV39" s="5719">
        <f>IFERROR(($BF91*$AI$46)/(outputs_klasse_qty[[#This Row],[bolt_veder_g_rate]]^2),0)</f>
        <v>0</v>
      </c>
      <c r="EW39"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39" s="3453" t="e">
        <f>outputs_klasse_qty[[#This Row],[bolt_veder_a_output]]*$ACU$42</f>
        <v>#N/A</v>
      </c>
      <c r="EY39" s="3453" t="e">
        <f>outputs_klasse_qty[[#This Row],[bolt_veder_a_output]]*$ADD$42</f>
        <v>#N/A</v>
      </c>
      <c r="EZ39" s="3453" t="e">
        <f>outputs_klasse_qty[[#This Row],[bolt_veder_b_output]]*$ACU$43</f>
        <v>#N/A</v>
      </c>
      <c r="FA39" s="3453" t="e">
        <f>outputs_klasse_qty[[#This Row],[bolt_veder_b_output]]*$ADD$43</f>
        <v>#N/A</v>
      </c>
      <c r="FB39" s="3453" t="e">
        <f>outputs_klasse_qty[[#This Row],[bolt_veder_c_output]]*$ACU$44</f>
        <v>#N/A</v>
      </c>
      <c r="FC39" s="3453" t="e">
        <f>outputs_klasse_qty[[#This Row],[bolt_veder_c_output]]*$ADD$44</f>
        <v>#N/A</v>
      </c>
      <c r="FD39" s="3453" t="e">
        <f>outputs_klasse_qty[[#This Row],[bolt_veder_d_output]]*$ACU$45</f>
        <v>#N/A</v>
      </c>
      <c r="FE39" s="3453" t="e">
        <f>outputs_klasse_qty[[#This Row],[bolt_veder_d_output]]*$ADD$45</f>
        <v>#N/A</v>
      </c>
      <c r="FF39" s="3453" t="e">
        <f>outputs_klasse_qty[[#This Row],[bolt_veder_e1_output]]*$ACU$46</f>
        <v>#N/A</v>
      </c>
      <c r="FG39" s="3453" t="e">
        <f>outputs_klasse_qty[[#This Row],[bolt_veder_e1_output]]*$ADD$46</f>
        <v>#N/A</v>
      </c>
      <c r="FH39" s="3453" t="e">
        <f>outputs_klasse_qty[[#This Row],[bolt_veder_e2_output]]*$ACU$47</f>
        <v>#N/A</v>
      </c>
      <c r="FI39" s="3453" t="e">
        <f>outputs_klasse_qty[[#This Row],[bolt_veder_e2_output]]*$ADD$47</f>
        <v>#N/A</v>
      </c>
      <c r="FJ39" s="3453" t="e">
        <f>outputs_klasse_qty[[#This Row],[bolt_veder_f_output]]*$ACU$48</f>
        <v>#N/A</v>
      </c>
      <c r="FK39" s="3453" t="e">
        <f>outputs_klasse_qty[[#This Row],[bolt_veder_f_output]]*$ADD$48</f>
        <v>#N/A</v>
      </c>
      <c r="FL39" s="3453" t="e">
        <f>outputs_klasse_qty[[#This Row],[bolt_veder_g_output]]*$ACU$49</f>
        <v>#N/A</v>
      </c>
      <c r="FM39" s="3453" t="e">
        <f>outputs_klasse_qty[[#This Row],[bolt_veder_g_output]]*$ADD$49</f>
        <v>#N/A</v>
      </c>
      <c r="FN39"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39"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39" s="3453">
        <v>1</v>
      </c>
      <c r="FQ39" s="3453" t="e">
        <f t="shared" si="102"/>
        <v>#N/A</v>
      </c>
      <c r="FR39" s="5854">
        <f>IFERROR(($AY91*$AI$42*2)/(outputs_klasse_qty[[#This Row],[bolt_vegg_a_rate]]^2),0)</f>
        <v>0</v>
      </c>
      <c r="FS39" s="3453" t="e">
        <f t="shared" si="103"/>
        <v>#N/A</v>
      </c>
      <c r="FT39" s="5854">
        <f>IFERROR(($AZ91*$AI$42*2)/(outputs_klasse_qty[[#This Row],[bolt_vegg_b_rate]]^2),0)</f>
        <v>0</v>
      </c>
      <c r="FU39" s="3453" t="e">
        <f t="shared" si="104"/>
        <v>#N/A</v>
      </c>
      <c r="FV39" s="5854">
        <f>IFERROR(($BA91*$AI$42*2)/(outputs_klasse_qty[[#This Row],[bolt_vegg_c_rate]]^2),0)</f>
        <v>0</v>
      </c>
      <c r="FW39" s="3453" t="e">
        <f t="shared" si="105"/>
        <v>#N/A</v>
      </c>
      <c r="FX39" s="5854">
        <f>IFERROR(($BB91*$AI$42*2)/(outputs_klasse_qty[[#This Row],[bolt_vegg_d_rate]]^2),0)</f>
        <v>0</v>
      </c>
      <c r="FY39" s="3453" t="e">
        <f t="shared" si="106"/>
        <v>#N/A</v>
      </c>
      <c r="FZ39" s="5854">
        <f>IFERROR(($BC91*$AI$42*2)/(outputs_klasse_qty[[#This Row],[bolt_vegg_e1_rate]]^2),0)</f>
        <v>0</v>
      </c>
      <c r="GA39" s="3453" t="e">
        <f t="shared" si="107"/>
        <v>#N/A</v>
      </c>
      <c r="GB39" s="5854">
        <f>IFERROR(($BD91*$AI$42*2)/(outputs_klasse_qty[[#This Row],[bolt_vegg_e2_rate]]^2),0)</f>
        <v>0</v>
      </c>
      <c r="GC39" s="3453" t="e">
        <f t="shared" si="108"/>
        <v>#N/A</v>
      </c>
      <c r="GD39" s="5854">
        <f>IFERROR(($BE91*$AI$42*2)/(outputs_klasse_qty[[#This Row],[bolt_vegg_f_rate]]^2),0)</f>
        <v>0</v>
      </c>
      <c r="GE39" s="3453" t="e">
        <f t="shared" si="109"/>
        <v>#N/A</v>
      </c>
      <c r="GF39" s="5854">
        <f>IFERROR(($BF91*$AI$42*2)/(outputs_klasse_qty[[#This Row],[bolt_vegg_g_rate]]^2),0)</f>
        <v>0</v>
      </c>
      <c r="GG39"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39" s="3453" t="e">
        <f>outputs_klasse_qty[[#This Row],[bolt_vegg_a_output]]*$ADX$42</f>
        <v>#N/A</v>
      </c>
      <c r="GI39" s="3453" t="e">
        <f>outputs_klasse_qty[[#This Row],[bolt_vegg_a_output]]*$AEF$42</f>
        <v>#N/A</v>
      </c>
      <c r="GJ39" s="3453" t="e">
        <f>outputs_klasse_qty[[#This Row],[bolt_vegg_b_output]]*$ADX$43</f>
        <v>#N/A</v>
      </c>
      <c r="GK39" s="3453" t="e">
        <f>outputs_klasse_qty[[#This Row],[bolt_vegg_b_output]]*$AEF$43</f>
        <v>#N/A</v>
      </c>
      <c r="GL39" s="3453" t="e">
        <f>outputs_klasse_qty[[#This Row],[bolt_vegg_c_output]]*$ADX$44</f>
        <v>#N/A</v>
      </c>
      <c r="GM39" s="3453" t="e">
        <f>outputs_klasse_qty[[#This Row],[bolt_vegg_c_output]]*$AEF$44</f>
        <v>#N/A</v>
      </c>
      <c r="GN39" s="3453" t="e">
        <f>outputs_klasse_qty[[#This Row],[bolt_vegg_d_output]]*$ADX$45</f>
        <v>#N/A</v>
      </c>
      <c r="GO39" s="3453" t="e">
        <f>outputs_klasse_qty[[#This Row],[bolt_vegg_d_output]]*$AEF$45</f>
        <v>#N/A</v>
      </c>
      <c r="GP39" s="3453" t="e">
        <f>outputs_klasse_qty[[#This Row],[bolt_vegg_e1_output]]*$ADX$46</f>
        <v>#N/A</v>
      </c>
      <c r="GQ39" s="3453" t="e">
        <f>outputs_klasse_qty[[#This Row],[bolt_vegg_e1_output]]*$AEF$46</f>
        <v>#N/A</v>
      </c>
      <c r="GR39" s="3453" t="e">
        <f>outputs_klasse_qty[[#This Row],[bolt_vegg_e2_output]]*$ADX$47</f>
        <v>#N/A</v>
      </c>
      <c r="GS39" s="3453" t="e">
        <f>outputs_klasse_qty[[#This Row],[bolt_vegg_e2_output]]*$AEF$47</f>
        <v>#N/A</v>
      </c>
      <c r="GT39" s="3453" t="e">
        <f>outputs_klasse_qty[[#This Row],[bolt_vegg_f_output]]*$ADX$48</f>
        <v>#N/A</v>
      </c>
      <c r="GU39" s="3453" t="e">
        <f>outputs_klasse_qty[[#This Row],[bolt_vegg_f_output]]*$AEF$48</f>
        <v>#N/A</v>
      </c>
      <c r="GV39" s="3453" t="e">
        <f>outputs_klasse_qty[[#This Row],[bolt_vegg_g_output]]*$ADX$49</f>
        <v>#N/A</v>
      </c>
      <c r="GW39" s="3453" t="e">
        <f>outputs_klasse_qty[[#This Row],[bolt_vegg_g_output]]*$AEF$49</f>
        <v>#N/A</v>
      </c>
      <c r="GX39"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39"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39" s="5698" t="str">
        <f>IFERROR(outputs_klasse_qty[[#This Row],[bolt_veder_lt4_sum]]+outputs_klasse_qty[[#This Row],[bolt_vegg_lt4_sum]],"")</f>
        <v/>
      </c>
      <c r="HA39" s="5698" t="str">
        <f>IFERROR(outputs_klasse_qty[[#This Row],[bolt_veder_gt4_sum]]+outputs_klasse_qty[[#This Row],[bolt_vegg_gt4_sum]],"")</f>
        <v/>
      </c>
      <c r="HB39" s="3453"/>
      <c r="HC39" s="3453"/>
      <c r="HD39" s="3453"/>
      <c r="HE39" s="3453"/>
      <c r="HF39" s="3453"/>
      <c r="HG39" s="3453"/>
      <c r="HH39" s="3453"/>
      <c r="HI39" s="3453"/>
      <c r="HJ39" s="3453"/>
      <c r="HK39" s="3453"/>
      <c r="HL39" s="3453"/>
      <c r="HM39" s="3453"/>
      <c r="HN39" s="3453"/>
      <c r="HO39" s="3453"/>
      <c r="HP39" s="3453"/>
      <c r="HQ39" s="3453"/>
      <c r="HR39" s="5819" t="e">
        <f t="shared" si="5"/>
        <v>#N/A</v>
      </c>
      <c r="HS39" s="5819">
        <f t="shared" si="6"/>
        <v>1</v>
      </c>
      <c r="HT39" s="5819">
        <f t="shared" si="7"/>
        <v>5</v>
      </c>
      <c r="HU39" s="5855">
        <f>IFERROR(IF(outputs_klasse_qty[[#This Row],[forbolting_bueområde_a]]=_List!$DQ$7,_Calcs_Klasse!$AI$46*$BG114,IF(outputs_klasse_qty[[#This Row],[forbolting_bueområde_a]]=_List!$DQ$8,$AI$40*$BG114)),0)</f>
        <v>0</v>
      </c>
      <c r="HV39" s="5856" t="e">
        <f>IF(outputs_klasse_qty[[#This Row],[forbolting_bueområde_a]]=_List!$DQ$7,($AI$46*BG114)/outputs_klasse_qty[[#This Row],[forbolting_senteravstand_a]]*outputs_klasse_qty[[#This Row],[forbolting_andel_a]],IF(outputs_klasse_qty[[#This Row],[forbolting_bueområde_a]]=_List!$DQ$8,($AI$40*BG114)/outputs_klasse_qty[[#This Row],[forbolting_senteravstand_a]]*outputs_klasse_qty[[#This Row],[forbolting_andel_a]],0))</f>
        <v>#N/A</v>
      </c>
      <c r="HW39" s="5819" t="str">
        <f t="shared" si="8"/>
        <v>Ingen</v>
      </c>
      <c r="HX39" s="5819">
        <f t="shared" si="9"/>
        <v>1</v>
      </c>
      <c r="HY39" s="5819" t="e">
        <f t="shared" si="10"/>
        <v>#N/A</v>
      </c>
      <c r="HZ39" s="5855" t="b">
        <f>IFERROR(IF(outputs_klasse_qty[[#This Row],[forbolting_bueområde_b]]=_List!$DQ$7,_Calcs_Klasse!$AI$46*$BH114,IF(outputs_klasse_qty[[#This Row],[forbolting_bueområde_b]]=_List!$DQ$8,$AI$40*$BH114)),0)</f>
        <v>0</v>
      </c>
      <c r="IA39" s="5856">
        <f>IF(outputs_klasse_qty[[#This Row],[forbolting_bueområde_b]]=_List!$DQ$7,($AI$46*BH114)/outputs_klasse_qty[[#This Row],[forbolting_senteravstand_b]]*outputs_klasse_qty[[#This Row],[forbolting_andel_b]],IF(outputs_klasse_qty[[#This Row],[forbolting_bueområde_b]]=_List!$DQ$8,($AI$40*BH114)/outputs_klasse_qty[[#This Row],[forbolting_senteravstand_b]]*outputs_klasse_qty[[#This Row],[forbolting_andel_b]],0))</f>
        <v>0</v>
      </c>
      <c r="IB39" s="5819" t="str">
        <f t="shared" si="11"/>
        <v>Ingen</v>
      </c>
      <c r="IC39" s="5819">
        <f t="shared" si="12"/>
        <v>1</v>
      </c>
      <c r="ID39" s="5819" t="e">
        <f t="shared" si="13"/>
        <v>#N/A</v>
      </c>
      <c r="IE39" s="5855" t="b">
        <f>IFERROR(IF(outputs_klasse_qty[[#This Row],[forbolting_bueområde_c]]=_List!$DQ$7,_Calcs_Klasse!$AI$46*$BI114,IF(outputs_klasse_qty[[#This Row],[forbolting_bueområde_c]]=_List!$DQ$8,$AI$40*$BI114)),0)</f>
        <v>0</v>
      </c>
      <c r="IF39" s="5856">
        <f>IF(outputs_klasse_qty[[#This Row],[forbolting_bueområde_c]]=_List!$DQ$7,($AI$46*BI114)/outputs_klasse_qty[[#This Row],[forbolting_senteravstand_c]]*outputs_klasse_qty[[#This Row],[forbolting_andel_c]],IF(outputs_klasse_qty[[#This Row],[forbolting_bueområde_c]]=_List!$DQ$8,($AI$40*BI114)/outputs_klasse_qty[[#This Row],[forbolting_senteravstand_c]]*outputs_klasse_qty[[#This Row],[forbolting_andel_c]],0))</f>
        <v>0</v>
      </c>
      <c r="IG39" s="5819" t="e">
        <f t="shared" si="14"/>
        <v>#N/A</v>
      </c>
      <c r="IH39" s="5819">
        <f t="shared" si="15"/>
        <v>1</v>
      </c>
      <c r="II39" s="5819">
        <f t="shared" si="16"/>
        <v>0.5</v>
      </c>
      <c r="IJ39" s="5855">
        <f>IFERROR(IF(outputs_klasse_qty[[#This Row],[forbolting_bueområde_d]]=_List!$DQ$7,_Calcs_Klasse!$AI$46*$BJ114,IF(outputs_klasse_qty[[#This Row],[forbolting_bueområde_d]]=_List!$DQ$8,$AI$40*$BJ114)),0)</f>
        <v>0</v>
      </c>
      <c r="IK39" s="5856" t="e">
        <f>IF(outputs_klasse_qty[[#This Row],[forbolting_bueområde_d]]=_List!$DQ$7,($AI$46*BJ114)/outputs_klasse_qty[[#This Row],[forbolting_senteravstand_d]]*outputs_klasse_qty[[#This Row],[forbolting_andel_d]],IF(outputs_klasse_qty[[#This Row],[forbolting_bueområde_d]]=_List!$DQ$8,($AI$40*BJ114)/outputs_klasse_qty[[#This Row],[forbolting_senteravstand_d]]*outputs_klasse_qty[[#This Row],[forbolting_andel_d]],0))</f>
        <v>#N/A</v>
      </c>
      <c r="IL39" s="5819" t="e">
        <f t="shared" si="17"/>
        <v>#N/A</v>
      </c>
      <c r="IM39" s="5819">
        <f t="shared" si="18"/>
        <v>1</v>
      </c>
      <c r="IN39" s="5819" t="e">
        <f t="shared" si="19"/>
        <v>#N/A</v>
      </c>
      <c r="IO39" s="5855">
        <f>IFERROR(IF(outputs_klasse_qty[[#This Row],[forbolting_bueområde_e1]]=_List!$DQ$7,_Calcs_Klasse!$AI$46*$BK114,IF(outputs_klasse_qty[[#This Row],[forbolting_bueområde_e1]]=_List!$DQ$8,$AI$40*$BK114)),0)</f>
        <v>0</v>
      </c>
      <c r="IP39" s="5856" t="e">
        <f>IF(outputs_klasse_qty[[#This Row],[forbolting_bueområde_e1]]=_List!$DQ$7,($AI$46*BK114)/outputs_klasse_qty[[#This Row],[forbolting_senteravstand_e1]]*outputs_klasse_qty[[#This Row],[forbolting_andel_e1]],IF(outputs_klasse_qty[[#This Row],[forbolting_bueområde_e1]]=_List!$DQ$8,($AI$40*BK114)/outputs_klasse_qty[[#This Row],[forbolting_senteravstand_e1]]*outputs_klasse_qty[[#This Row],[forbolting_andel_e1]],0))</f>
        <v>#N/A</v>
      </c>
      <c r="IQ39" s="5819" t="e">
        <f t="shared" si="20"/>
        <v>#N/A</v>
      </c>
      <c r="IR39" s="5819" t="e">
        <f t="shared" si="21"/>
        <v>#N/A</v>
      </c>
      <c r="IS39" s="5819" t="e">
        <f t="shared" si="22"/>
        <v>#N/A</v>
      </c>
      <c r="IT39" s="5855">
        <f>IFERROR(IF(outputs_klasse_qty[[#This Row],[forbolting_bueområde_e2]]=_List!$DQ$7,_Calcs_Klasse!$AI$46*$BL114,IF(outputs_klasse_qty[[#This Row],[forbolting_bueområde_e2]]=_List!$DQ$8,$AI$40*$BL114)),0)</f>
        <v>0</v>
      </c>
      <c r="IU39" s="5856" t="e">
        <f>IF(outputs_klasse_qty[[#This Row],[forbolting_bueområde_e2]]=_List!$DQ$7,($AI$46*BL114)/outputs_klasse_qty[[#This Row],[forbolting_senteravstand_e2]]*outputs_klasse_qty[[#This Row],[forbolting_andel_e2]],IF(outputs_klasse_qty[[#This Row],[forbolting_bueområde_e2]]=_List!$DQ$8,($AI$40*BL114)/outputs_klasse_qty[[#This Row],[forbolting_senteravstand_e2]]*outputs_klasse_qty[[#This Row],[forbolting_andel_e2]],0))</f>
        <v>#N/A</v>
      </c>
      <c r="IV39" s="5819" t="e">
        <f t="shared" si="23"/>
        <v>#N/A</v>
      </c>
      <c r="IW39" s="5819" t="e">
        <f t="shared" si="24"/>
        <v>#N/A</v>
      </c>
      <c r="IX39" s="5819" t="e">
        <f t="shared" si="25"/>
        <v>#N/A</v>
      </c>
      <c r="IY39" s="5855">
        <f>IFERROR(IF(outputs_klasse_qty[[#This Row],[forbolting_bueområde_f]]=_List!$DQ$7,_Calcs_Klasse!$AI$46*$BM114,IF(outputs_klasse_qty[[#This Row],[forbolting_bueområde_f]]=_List!$DQ$8,$AI$40*$BM114)),0)</f>
        <v>0</v>
      </c>
      <c r="IZ39" s="5856" t="e">
        <f>IF(outputs_klasse_qty[[#This Row],[forbolting_bueområde_f]]=_List!$DQ$7,($AI$46*BM114)/outputs_klasse_qty[[#This Row],[forbolting_senteravstand_f]]*outputs_klasse_qty[[#This Row],[forbolting_andel_f]],IF(outputs_klasse_qty[[#This Row],[forbolting_bueområde_f]]=_List!$DQ$8,($AI$40*BM114)/outputs_klasse_qty[[#This Row],[forbolting_senteravstand_f]]*outputs_klasse_qty[[#This Row],[forbolting_andel_f]],0))</f>
        <v>#N/A</v>
      </c>
      <c r="JA39" s="5819" t="e">
        <f t="shared" si="26"/>
        <v>#N/A</v>
      </c>
      <c r="JB39" s="5819" t="e">
        <f t="shared" si="27"/>
        <v>#N/A</v>
      </c>
      <c r="JC39" s="5819" t="e">
        <f t="shared" si="28"/>
        <v>#N/A</v>
      </c>
      <c r="JD39" s="5855">
        <f>IFERROR(IF(outputs_klasse_qty[[#This Row],[forbolting_bueområde_g]]=_List!$DQ$7,_Calcs_Klasse!$AI$46*$BN114,IF(outputs_klasse_qty[[#This Row],[forbolting_bueområde_g]]=_List!$DQ$8,$AI$40*$BN114)),0)</f>
        <v>0</v>
      </c>
      <c r="JE39" s="5856" t="e">
        <f>IF(outputs_klasse_qty[[#This Row],[forbolting_bueområde_g]]=_List!$DQ$7,($AI$46*BN114)/outputs_klasse_qty[[#This Row],[forbolting_senteravstand_g]]*outputs_klasse_qty[[#This Row],[forbolting_andel_g]],IF(outputs_klasse_qty[[#This Row],[forbolting_bueområde_g]]=_List!$DQ$8,($AI$40*BN114)/outputs_klasse_qty[[#This Row],[forbolting_senteravstand_g]]*outputs_klasse_qty[[#This Row],[forbolting_andel_g]],0))</f>
        <v>#N/A</v>
      </c>
      <c r="JF39" s="3453">
        <f>IFERROR(outputs_klasse_qty[[#This Row],[forbolting_bolter_output_a]]*$AQC$42,0)</f>
        <v>0</v>
      </c>
      <c r="JG39" s="3453">
        <f>IFERROR(outputs_klasse_qty[[#This Row],[forbolting_bolter_output_a]]*$AQL$42,0)</f>
        <v>0</v>
      </c>
      <c r="JH39" s="3453">
        <f>IFERROR(outputs_klasse_qty[[#This Row],[forbolting_bolter_output_b]]*$AQC$43,0)</f>
        <v>0</v>
      </c>
      <c r="JI39" s="3453">
        <f>IFERROR(outputs_klasse_qty[[#This Row],[forbolting_bolter_output_b]]*$AQL$43,0)</f>
        <v>0</v>
      </c>
      <c r="JJ39" s="3453">
        <f>IFERROR(outputs_klasse_qty[[#This Row],[forbolting_bolter_output_c]]*$AQC$44,0)</f>
        <v>0</v>
      </c>
      <c r="JK39" s="3453">
        <f>IFERROR(outputs_klasse_qty[[#This Row],[forbolting_bolter_output_c]]*$AQL$44,0)</f>
        <v>0</v>
      </c>
      <c r="JL39" s="3453">
        <f>IFERROR(outputs_klasse_qty[[#This Row],[forbolting_bolter_output_d]]*$AQC$45,0)</f>
        <v>0</v>
      </c>
      <c r="JM39" s="3453">
        <f>IFERROR(outputs_klasse_qty[[#This Row],[forbolting_bolter_output_d]]*$AQL$45,0)</f>
        <v>0</v>
      </c>
      <c r="JN39" s="3453">
        <f>IFERROR(outputs_klasse_qty[[#This Row],[forbolting_bolter_output_e1]]*$AQC$46,0)</f>
        <v>0</v>
      </c>
      <c r="JO39" s="3453">
        <f>IFERROR(outputs_klasse_qty[[#This Row],[forbolting_bolter_output_e1]]*$AQL$46,0)</f>
        <v>0</v>
      </c>
      <c r="JP39" s="3453">
        <f>IFERROR(outputs_klasse_qty[[#This Row],[forbolting_bolter_output_e2]]*$AQC$47,0)</f>
        <v>0</v>
      </c>
      <c r="JQ39" s="3453">
        <f>IFERROR(outputs_klasse_qty[[#This Row],[forbolting_bolter_output_e2]]*$AQL$47,0)</f>
        <v>0</v>
      </c>
      <c r="JR39" s="3453">
        <f>IFERROR(outputs_klasse_qty[[#This Row],[forbolting_bolter_output_f]]*$AQC$48,0)</f>
        <v>0</v>
      </c>
      <c r="JS39" s="3453">
        <f>IFERROR(outputs_klasse_qty[[#This Row],[forbolting_bolter_output_f]]*$AQL$48,0)</f>
        <v>0</v>
      </c>
      <c r="JT39" s="3453">
        <f>IFERROR(outputs_klasse_qty[[#This Row],[forbolting_bolter_output_g]]*$AQC$49,0)</f>
        <v>0</v>
      </c>
      <c r="JU39" s="3453">
        <f>IFERROR(outputs_klasse_qty[[#This Row],[forbolting_bolter_output_g]]*$AQL$49,0)</f>
        <v>0</v>
      </c>
      <c r="JV39"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39"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39" s="5819" t="e">
        <f t="shared" si="29"/>
        <v>#N/A</v>
      </c>
      <c r="JY39" s="5856" t="e">
        <f>IF(outputs_klasse_qty[[#This Row],[forbolting_bueområde_a]]=_List!$DQ$7,($AI$46*BG114)/outputs_klasse_qty[[#This Row],[opphengbolter_senteravstand_a]]*outputs_klasse_qty[[#This Row],[forbolting_andel_a]],IF(outputs_klasse_qty[[#This Row],[forbolting_bueområde_a]]=_List!$DQ$8,($AI$40*BG114)/outputs_klasse_qty[[#This Row],[opphengbolter_senteravstand_a]]*outputs_klasse_qty[[#This Row],[forbolting_andel_a]],0))</f>
        <v>#N/A</v>
      </c>
      <c r="JZ39" s="5819" t="e">
        <f t="shared" si="30"/>
        <v>#N/A</v>
      </c>
      <c r="KA39" s="5856">
        <f>IF(outputs_klasse_qty[[#This Row],[forbolting_bueområde_b]]=_List!$DQ$7,($AI$46*BH114)/outputs_klasse_qty[[#This Row],[opphengbolter_senteravstand_b]]*outputs_klasse_qty[[#This Row],[forbolting_andel_b]],IF(outputs_klasse_qty[[#This Row],[forbolting_bueområde_b]]=_List!$DQ$8,($AI$40*BH114)/outputs_klasse_qty[[#This Row],[opphengbolter_senteravstand_b]]*outputs_klasse_qty[[#This Row],[forbolting_andel_b]],0))</f>
        <v>0</v>
      </c>
      <c r="KB39" s="5819" t="e">
        <f t="shared" si="31"/>
        <v>#N/A</v>
      </c>
      <c r="KC39" s="5856">
        <f>IF(outputs_klasse_qty[[#This Row],[forbolting_bueområde_c]]=_List!$DQ$7,($AI$46*BI114)/outputs_klasse_qty[[#This Row],[opphengbolter_senteravstand_c]]*outputs_klasse_qty[[#This Row],[forbolting_andel_c]],IF(outputs_klasse_qty[[#This Row],[forbolting_bueområde_c]]=_List!$DQ$8,($AI$40*BI114)/outputs_klasse_qty[[#This Row],[opphengbolter_senteravstand_c]]*outputs_klasse_qty[[#This Row],[forbolting_andel_c]],0))</f>
        <v>0</v>
      </c>
      <c r="KD39" s="5819" t="e">
        <f t="shared" si="32"/>
        <v>#N/A</v>
      </c>
      <c r="KE39" s="5856" t="e">
        <f>IF(outputs_klasse_qty[[#This Row],[forbolting_bueområde_d]]=_List!$DQ$7,($AI$46*BJ114)/outputs_klasse_qty[[#This Row],[opphengbolter_senteravstand_d]]*outputs_klasse_qty[[#This Row],[forbolting_andel_d]],IF(outputs_klasse_qty[[#This Row],[forbolting_bueområde_d]]=_List!$DQ$8,($AI$40*BJ114)/outputs_klasse_qty[[#This Row],[opphengbolter_senteravstand_d]]*outputs_klasse_qty[[#This Row],[forbolting_andel_d]],0))</f>
        <v>#N/A</v>
      </c>
      <c r="KF39" s="5819" t="e">
        <f t="shared" si="33"/>
        <v>#N/A</v>
      </c>
      <c r="KG39" s="5856" t="e">
        <f>IF(outputs_klasse_qty[[#This Row],[forbolting_bueområde_e1]]=_List!$DQ$7,($AI$46*BK114)/outputs_klasse_qty[[#This Row],[opphengbolter_senteravstand_e1]]*outputs_klasse_qty[[#This Row],[forbolting_andel_e1]],IF(outputs_klasse_qty[[#This Row],[forbolting_bueområde_e1]]=_List!$DQ$8,($AI$40*BK114)/outputs_klasse_qty[[#This Row],[opphengbolter_senteravstand_e1]]*outputs_klasse_qty[[#This Row],[forbolting_andel_e1]],0))</f>
        <v>#N/A</v>
      </c>
      <c r="KH39" s="5819" t="e">
        <f t="shared" si="34"/>
        <v>#N/A</v>
      </c>
      <c r="KI39" s="5856" t="e">
        <f>IF(outputs_klasse_qty[[#This Row],[forbolting_bueområde_e2]]=_List!$DQ$7,($AI$46*BL114)/outputs_klasse_qty[[#This Row],[opphengbolter_senteravstand_e2]]*outputs_klasse_qty[[#This Row],[forbolting_andel_e2]],IF(outputs_klasse_qty[[#This Row],[forbolting_bueområde_e2]]=_List!$DQ$8,($AI$40*BL114)/outputs_klasse_qty[[#This Row],[opphengbolter_senteravstand_e2]]*outputs_klasse_qty[[#This Row],[forbolting_andel_e2]],0))</f>
        <v>#N/A</v>
      </c>
      <c r="KJ39" s="5819" t="e">
        <f t="shared" si="35"/>
        <v>#N/A</v>
      </c>
      <c r="KK39" s="5856" t="e">
        <f>IF(outputs_klasse_qty[[#This Row],[forbolting_bueområde_f]]=_List!$DQ$7,($AI$46*BM114)/outputs_klasse_qty[[#This Row],[opphengbolter_senteravstand_f]]*outputs_klasse_qty[[#This Row],[forbolting_andel_f]],IF(outputs_klasse_qty[[#This Row],[forbolting_bueområde_f]]=_List!$DQ$8,($AI$40*BM114)/outputs_klasse_qty[[#This Row],[opphengbolter_senteravstand_f]]*outputs_klasse_qty[[#This Row],[forbolting_andel_f]],0))</f>
        <v>#N/A</v>
      </c>
      <c r="KL39" s="5819" t="e">
        <f t="shared" si="36"/>
        <v>#N/A</v>
      </c>
      <c r="KM39" s="5856" t="e">
        <f>IF(outputs_klasse_qty[[#This Row],[forbolting_bueområde_g]]=_List!$DQ$7,($AI$46*BN114)/outputs_klasse_qty[[#This Row],[opphengbolter_senteravstand_g]]*outputs_klasse_qty[[#This Row],[forbolting_andel_g]],IF(outputs_klasse_qty[[#This Row],[forbolting_bueområde_g]]=_List!$DQ$8,($AI$40*BN114)/outputs_klasse_qty[[#This Row],[opphengbolter_senteravstand_g]]*outputs_klasse_qty[[#This Row],[forbolting_andel_g]],0))</f>
        <v>#N/A</v>
      </c>
      <c r="KN39" s="5819">
        <f>IFERROR(outputs_klasse_qty[[#This Row],[opphengbolter_output_a]]*$ARC$42,0)</f>
        <v>0</v>
      </c>
      <c r="KO39" s="5819">
        <f>IFERROR(outputs_klasse_qty[[#This Row],[opphengbolter_output_a]]*$ARL$42,0)</f>
        <v>0</v>
      </c>
      <c r="KP39" s="5819">
        <f>IFERROR(outputs_klasse_qty[[#This Row],[opphengbolter_output_b]]*$ARC$43,0)</f>
        <v>0</v>
      </c>
      <c r="KQ39" s="5819">
        <f>IFERROR(outputs_klasse_qty[[#This Row],[opphengbolter_output_b]]*$ARL$43,0)</f>
        <v>0</v>
      </c>
      <c r="KR39" s="5819">
        <f>IFERROR(outputs_klasse_qty[[#This Row],[opphengbolter_output_c]]*$ARC$44,0)</f>
        <v>0</v>
      </c>
      <c r="KS39" s="5819">
        <f>IFERROR(outputs_klasse_qty[[#This Row],[opphengbolter_output_c]]*$ARL$44,0)</f>
        <v>0</v>
      </c>
      <c r="KT39" s="5819">
        <f>IFERROR(outputs_klasse_qty[[#This Row],[opphengbolter_output_d]]*$ARC$45,0)</f>
        <v>0</v>
      </c>
      <c r="KU39" s="5819">
        <f>IFERROR(outputs_klasse_qty[[#This Row],[opphengbolter_output_d]]*$ARL$45,0)</f>
        <v>0</v>
      </c>
      <c r="KV39" s="5819">
        <f>IFERROR(outputs_klasse_qty[[#This Row],[opphengbolter_output_e1]]*$ARC$46,0)</f>
        <v>0</v>
      </c>
      <c r="KW39" s="5819">
        <f>IFERROR(outputs_klasse_qty[[#This Row],[opphengbolter_output_e1]]*$ARL$46,0)</f>
        <v>0</v>
      </c>
      <c r="KX39" s="5819">
        <f>IFERROR(outputs_klasse_qty[[#This Row],[opphengbolter_output_e2]]*$ARC$47,0)</f>
        <v>0</v>
      </c>
      <c r="KY39" s="5819">
        <f>IFERROR(outputs_klasse_qty[[#This Row],[opphengbolter_output_e2]]*$ARL$47,0)</f>
        <v>0</v>
      </c>
      <c r="KZ39" s="5819">
        <f>IFERROR(outputs_klasse_qty[[#This Row],[opphengbolter_output_f]]*$ARC$48,0)</f>
        <v>0</v>
      </c>
      <c r="LA39" s="5819">
        <f>IFERROR(outputs_klasse_qty[[#This Row],[opphengbolter_output_f]]*$ARL$48,0)</f>
        <v>0</v>
      </c>
      <c r="LB39" s="5819">
        <f>IFERROR(outputs_klasse_qty[[#This Row],[opphengbolter_output_g]]*$ARC$49,0)</f>
        <v>0</v>
      </c>
      <c r="LC39" s="5819">
        <f>IFERROR(outputs_klasse_qty[[#This Row],[opphengbolter_output_g]]*$ARL$49,0)</f>
        <v>0</v>
      </c>
      <c r="LD39"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39"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39" s="5712" cm="1">
        <f t="array" ref="LF39">IF($AK$217=klasse_bånd[Method],$LF$28,IF($AK$217="",$LF$29,0))</f>
        <v>1</v>
      </c>
      <c r="LG39" s="3453">
        <f t="shared" si="110"/>
        <v>1.5</v>
      </c>
      <c r="LH39" s="3453">
        <f>IFERROR(outputs_klasse_qty[[#This Row],[bergbånd_langs_forbolting_a_rate]]*outputs_klasse_qty[[#This Row],[forbolting_bue_lengde_a]],0)</f>
        <v>0</v>
      </c>
      <c r="LI39" s="3453">
        <f t="shared" si="111"/>
        <v>2</v>
      </c>
      <c r="LJ39" s="3453">
        <f>IFERROR(outputs_klasse_qty[[#This Row],[bergbånd_langs_forbolting_b_rate]]*outputs_klasse_qty[[#This Row],[forbolting_bue_lengde_b]],0)</f>
        <v>0</v>
      </c>
      <c r="LK39" s="3453">
        <f t="shared" si="112"/>
        <v>2</v>
      </c>
      <c r="LL39" s="3453">
        <f>IFERROR(outputs_klasse_qty[[#This Row],[bergbånd_langs_forbolting_c_rate]]*outputs_klasse_qty[[#This Row],[forbolting_bue_lengde_c]],0)</f>
        <v>0</v>
      </c>
      <c r="LM39" s="3453">
        <f t="shared" si="113"/>
        <v>2</v>
      </c>
      <c r="LN39" s="3453">
        <f>IFERROR(outputs_klasse_qty[[#This Row],[bergbånd_langs_forbolting_d_rate]]*outputs_klasse_qty[[#This Row],[forbolting_bue_lengde_d]],0)</f>
        <v>0</v>
      </c>
      <c r="LO39" s="3453">
        <f t="shared" si="114"/>
        <v>2</v>
      </c>
      <c r="LP39" s="3453">
        <f>IFERROR(outputs_klasse_qty[[#This Row],[bergbånd_langs_forbolting_e1_rate]]*outputs_klasse_qty[[#This Row],[forbolting_bue_lengde_e1]],0)</f>
        <v>0</v>
      </c>
      <c r="LQ39" s="3453">
        <f t="shared" si="115"/>
        <v>2</v>
      </c>
      <c r="LR39" s="3453">
        <f>IFERROR(outputs_klasse_qty[[#This Row],[bergbånd_langs_forbolting_e2_rate]]*outputs_klasse_qty[[#This Row],[forbolting_bue_lengde_e2]],0)</f>
        <v>0</v>
      </c>
      <c r="LS39" s="3453" t="e">
        <f t="shared" si="116"/>
        <v>#N/A</v>
      </c>
      <c r="LT39" s="3453">
        <f>IFERROR(outputs_klasse_qty[[#This Row],[bergbånd_langs_forbolting_f_rate]]*outputs_klasse_qty[[#This Row],[forbolting_bue_lengde_f]],0)</f>
        <v>0</v>
      </c>
      <c r="LU39" s="3453" t="e">
        <f t="shared" si="117"/>
        <v>#N/A</v>
      </c>
      <c r="LV39" s="3453">
        <f>IFERROR(outputs_klasse_qty[[#This Row],[bergbånd_langs_forbolting_g_rate]]*outputs_klasse_qty[[#This Row],[forbolting_bue_lengde_g]],0)</f>
        <v>0</v>
      </c>
      <c r="LW39"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39" s="3453" t="e">
        <f t="shared" si="37"/>
        <v>#N/A</v>
      </c>
      <c r="LY39" s="5703">
        <f>IFERROR(outputs_klasse_qty[[#This Row],[bånd_ekstra_a_rate]]*$AY91,0)</f>
        <v>0</v>
      </c>
      <c r="LZ39" s="3453" t="e">
        <f t="shared" si="38"/>
        <v>#N/A</v>
      </c>
      <c r="MA39" s="5703">
        <f>IFERROR(outputs_klasse_qty[[#This Row],[bånd_ekstra_b_rate]]*$AZ91,0)</f>
        <v>0</v>
      </c>
      <c r="MB39" s="3453" t="e">
        <f t="shared" si="39"/>
        <v>#N/A</v>
      </c>
      <c r="MC39" s="5703">
        <f>IFERROR(outputs_klasse_qty[[#This Row],[bånd_ekstra_c_rate]]*$BA91,0)</f>
        <v>0</v>
      </c>
      <c r="MD39" s="3453" t="e">
        <f t="shared" si="40"/>
        <v>#N/A</v>
      </c>
      <c r="ME39" s="5703">
        <f>IFERROR(outputs_klasse_qty[[#This Row],[bånd_ekstra_d_rate]]*$BB91,0)</f>
        <v>0</v>
      </c>
      <c r="MF39" s="3453" t="e">
        <f t="shared" si="41"/>
        <v>#N/A</v>
      </c>
      <c r="MG39" s="5703">
        <f>IFERROR(outputs_klasse_qty[[#This Row],[bånd_ekstra_e1_rate]]*$BC91,0)</f>
        <v>0</v>
      </c>
      <c r="MH39" s="3453" t="e">
        <f t="shared" si="42"/>
        <v>#N/A</v>
      </c>
      <c r="MI39" s="5703">
        <f>IFERROR(outputs_klasse_qty[[#This Row],[bånd_ekstra_e2_rate]]*$BD91,0)</f>
        <v>0</v>
      </c>
      <c r="MJ39" s="3453" t="e">
        <f t="shared" si="43"/>
        <v>#N/A</v>
      </c>
      <c r="MK39" s="5703">
        <f>IFERROR(outputs_klasse_qty[[#This Row],[bånd_ekstra_f_rate]]*$BE91,0)</f>
        <v>0</v>
      </c>
      <c r="ML39" s="3453" t="e">
        <f t="shared" si="44"/>
        <v>#N/A</v>
      </c>
      <c r="MM39" s="5703">
        <f>IFERROR(outputs_klasse_qty[[#This Row],[bånd_ekstra_g_rate]]*$BF91,0)</f>
        <v>0</v>
      </c>
      <c r="MN39"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39" s="5705">
        <f>outputs_klasse_qty[[#This Row],[bergbånd_langs_forbolting_a_output]]+outputs_klasse_qty[[#This Row],[bånd_ekstra_a_output]]</f>
        <v>0</v>
      </c>
      <c r="MP39" s="5705">
        <f>outputs_klasse_qty[[#This Row],[bergbånd_langs_forbolting_b_output]]+outputs_klasse_qty[[#This Row],[bånd_ekstra_b_output]]</f>
        <v>0</v>
      </c>
      <c r="MQ39" s="5705">
        <f>outputs_klasse_qty[[#This Row],[bergbånd_langs_forbolting_c_output]]+outputs_klasse_qty[[#This Row],[bånd_ekstra_c_output]]</f>
        <v>0</v>
      </c>
      <c r="MR39" s="5705">
        <f>outputs_klasse_qty[[#This Row],[bergbånd_langs_forbolting_d_output]]+outputs_klasse_qty[[#This Row],[bånd_ekstra_d_output]]</f>
        <v>0</v>
      </c>
      <c r="MS39" s="5705">
        <f>outputs_klasse_qty[[#This Row],[bergbånd_langs_forbolting_e1_output]]+outputs_klasse_qty[[#This Row],[bånd_ekstra_e1_output]]</f>
        <v>0</v>
      </c>
      <c r="MT39" s="5705">
        <f>outputs_klasse_qty[[#This Row],[bergbånd_langs_forbolting_e2_output]]+outputs_klasse_qty[[#This Row],[bånd_ekstra_e2_output]]</f>
        <v>0</v>
      </c>
      <c r="MU39" s="5705">
        <f>outputs_klasse_qty[[#This Row],[bergbånd_langs_forbolting_f_output]]+outputs_klasse_qty[[#This Row],[bånd_ekstra_f_output]]</f>
        <v>0</v>
      </c>
      <c r="MV39" s="5705">
        <f>outputs_klasse_qty[[#This Row],[bergbånd_langs_forbolting_g_output]]+outputs_klasse_qty[[#This Row],[bånd_ekstra_g_output]]</f>
        <v>0</v>
      </c>
      <c r="MW39" s="5706">
        <f>SUM(outputs_klasse_qty[[#This Row],[bergbånd_sum_a]:[bergbånd_sum_g]])</f>
        <v>0</v>
      </c>
      <c r="MX39" s="3453" t="e">
        <f t="shared" si="45"/>
        <v>#N/A</v>
      </c>
      <c r="MY39" s="5707">
        <f>IFERROR(outputs_klasse_qty[[#This Row],[bergbånd_sum_a]]/outputs_klasse_qty[[#This Row],[festebolter_for_bergbånd_a_senteravstand]],0)</f>
        <v>0</v>
      </c>
      <c r="MZ39" s="3453" t="e">
        <f t="shared" si="46"/>
        <v>#N/A</v>
      </c>
      <c r="NA39" s="5707">
        <f>IFERROR(outputs_klasse_qty[[#This Row],[bergbånd_sum_b]]/outputs_klasse_qty[[#This Row],[festebolter_for_bergbånd_b_senteravstand]],0)</f>
        <v>0</v>
      </c>
      <c r="NB39" s="3453" t="e">
        <f t="shared" si="47"/>
        <v>#N/A</v>
      </c>
      <c r="NC39" s="5707">
        <f>IFERROR(outputs_klasse_qty[[#This Row],[bergbånd_sum_c]]/outputs_klasse_qty[[#This Row],[festebolter_for_bergbånd_c_senteravstand]],0)</f>
        <v>0</v>
      </c>
      <c r="ND39" s="3453" t="e">
        <f t="shared" si="48"/>
        <v>#N/A</v>
      </c>
      <c r="NE39" s="5707">
        <f>IFERROR(outputs_klasse_qty[[#This Row],[bergbånd_sum_d]]/outputs_klasse_qty[[#This Row],[festebolter_for_bergbånd_d_senteravstand]],0)</f>
        <v>0</v>
      </c>
      <c r="NF39" s="3453" t="e">
        <f t="shared" si="49"/>
        <v>#N/A</v>
      </c>
      <c r="NG39" s="5707">
        <f>IFERROR(outputs_klasse_qty[[#This Row],[bergbånd_sum_e1]]/outputs_klasse_qty[[#This Row],[festebolter_for_bergbånd_e1_senteravstand]],0)</f>
        <v>0</v>
      </c>
      <c r="NH39" s="3453" t="e">
        <f t="shared" si="50"/>
        <v>#N/A</v>
      </c>
      <c r="NI39" s="5707">
        <f>IFERROR(outputs_klasse_qty[[#This Row],[bergbånd_sum_e2]]/outputs_klasse_qty[[#This Row],[festebolter_for_bergbånd_e2_senteravstand]],0)</f>
        <v>0</v>
      </c>
      <c r="NJ39" s="3453" t="e">
        <f t="shared" si="51"/>
        <v>#N/A</v>
      </c>
      <c r="NK39" s="5707">
        <f>IFERROR(outputs_klasse_qty[[#This Row],[bergbånd_sum_f]]/outputs_klasse_qty[[#This Row],[festebolter_for_bergbånd_f_senteravstand]],0)</f>
        <v>0</v>
      </c>
      <c r="NL39" s="3453" t="e">
        <f t="shared" si="52"/>
        <v>#N/A</v>
      </c>
      <c r="NM39" s="5707">
        <f>IFERROR(outputs_klasse_qty[[#This Row],[bergbånd_sum_g]]/outputs_klasse_qty[[#This Row],[festebolter_for_bergbånd_g_senteravstand]],0)</f>
        <v>0</v>
      </c>
      <c r="NN39"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39" s="3453"/>
      <c r="NP39" s="3453"/>
      <c r="NQ39" s="3453"/>
      <c r="NR39" s="3453"/>
      <c r="NS39" s="3453"/>
      <c r="NT39" s="3453"/>
      <c r="NU39" s="3453"/>
      <c r="NV39" s="3453"/>
      <c r="NW39" s="3453"/>
      <c r="NX39" s="3453"/>
      <c r="NY39" s="3453"/>
      <c r="NZ39" s="3453"/>
      <c r="OA39" s="3453"/>
      <c r="OB39" s="3453"/>
      <c r="OC39" s="3453"/>
      <c r="OD39" s="3453"/>
      <c r="OE39" s="3453"/>
      <c r="OF39" s="3453"/>
      <c r="OG39" s="3453"/>
      <c r="OH39" s="3453"/>
      <c r="OI39" s="5712" cm="1">
        <f t="array" ref="OI39">IF($AK$218=klasse_net[Method],$OI$28,IF($AK$218="",$OI$29,0))</f>
        <v>1</v>
      </c>
      <c r="OJ39" s="3453" t="e">
        <f t="shared" si="118"/>
        <v>#N/A</v>
      </c>
      <c r="OK39" s="5720">
        <f>IFERROR(outputs_klasse_qty[[#This Row],[nett_a_rate]]*$AY91,0)</f>
        <v>0</v>
      </c>
      <c r="OL39" s="3453" t="e">
        <f t="shared" si="119"/>
        <v>#N/A</v>
      </c>
      <c r="OM39" s="5720">
        <f>IFERROR(outputs_klasse_qty[[#This Row],[nett_b_rate]]*$AZ91,0)</f>
        <v>0</v>
      </c>
      <c r="ON39" s="3453" t="e">
        <f t="shared" si="120"/>
        <v>#N/A</v>
      </c>
      <c r="OO39" s="5720">
        <f>IFERROR(outputs_klasse_qty[[#This Row],[nett_c_rate]]*$BA91,0)</f>
        <v>0</v>
      </c>
      <c r="OP39" s="3453" t="e">
        <f t="shared" si="121"/>
        <v>#N/A</v>
      </c>
      <c r="OQ39" s="5720">
        <f>IFERROR(outputs_klasse_qty[[#This Row],[nett_d_rate]]*$BB91,0)</f>
        <v>0</v>
      </c>
      <c r="OR39" s="3453" t="e">
        <f t="shared" si="122"/>
        <v>#N/A</v>
      </c>
      <c r="OS39" s="5720">
        <f>IFERROR(outputs_klasse_qty[[#This Row],[nett_e1_rate]]*$BC91,0)</f>
        <v>0</v>
      </c>
      <c r="OT39" s="3453" t="e">
        <f t="shared" si="123"/>
        <v>#N/A</v>
      </c>
      <c r="OU39" s="5720">
        <f>IFERROR(outputs_klasse_qty[[#This Row],[nett_e2_rate]]*$BD91,0)</f>
        <v>0</v>
      </c>
      <c r="OV39" s="3453" t="e">
        <f t="shared" si="124"/>
        <v>#N/A</v>
      </c>
      <c r="OW39" s="5720">
        <f>IFERROR(outputs_klasse_qty[[#This Row],[nett_f_rate]]*$BE91,0)</f>
        <v>0</v>
      </c>
      <c r="OX39" s="3453" t="e">
        <f t="shared" si="125"/>
        <v>#N/A</v>
      </c>
      <c r="OY39" s="5720">
        <f>IFERROR(outputs_klasse_qty[[#This Row],[nett_g_rate]]*$BF91,0)</f>
        <v>0</v>
      </c>
      <c r="OZ39" s="5709">
        <f t="shared" si="126"/>
        <v>0</v>
      </c>
      <c r="PA39" s="3453" t="e">
        <f t="shared" si="53"/>
        <v>#N/A</v>
      </c>
      <c r="PB39" s="5618">
        <f>IFERROR(outputs_klasse_qty[[#This Row],[nett_a_output]]/(outputs_klasse_qty[[#This Row],[festebolter_for_nett_senteravstand_a]]^2),0)</f>
        <v>0</v>
      </c>
      <c r="PC39" s="3453" t="e">
        <f t="shared" si="54"/>
        <v>#N/A</v>
      </c>
      <c r="PD39" s="5618">
        <f>IFERROR(outputs_klasse_qty[[#This Row],[nett_b_output]]/(outputs_klasse_qty[[#This Row],[festebolter_for_nett_senteravstand_b]]^2),0)</f>
        <v>0</v>
      </c>
      <c r="PE39" s="3453" t="e">
        <f t="shared" si="55"/>
        <v>#N/A</v>
      </c>
      <c r="PF39" s="5618">
        <f>IFERROR(outputs_klasse_qty[[#This Row],[nett_c_output]]/(outputs_klasse_qty[[#This Row],[festebolter_for_nett_senteravstand_c]]^2),0)</f>
        <v>0</v>
      </c>
      <c r="PG39" s="3453" t="e">
        <f t="shared" si="56"/>
        <v>#N/A</v>
      </c>
      <c r="PH39" s="5618">
        <f>IFERROR(outputs_klasse_qty[[#This Row],[nett_d_output]]/(outputs_klasse_qty[[#This Row],[festebolter_for_nett_senteravstand_d]]^2),0)</f>
        <v>0</v>
      </c>
      <c r="PI39" s="3453" t="e">
        <f t="shared" si="57"/>
        <v>#N/A</v>
      </c>
      <c r="PJ39" s="5618">
        <f>IFERROR(outputs_klasse_qty[[#This Row],[nett_e1_output]]/(outputs_klasse_qty[[#This Row],[festebolter_for_nett_senteravstand_e1]]^2),0)</f>
        <v>0</v>
      </c>
      <c r="PK39" s="3453" t="e">
        <f t="shared" si="58"/>
        <v>#N/A</v>
      </c>
      <c r="PL39" s="5618">
        <f>IFERROR(outputs_klasse_qty[[#This Row],[nett_e2_output]]/(outputs_klasse_qty[[#This Row],[festebolter_for_nett_senteravstand_e2]]^2),0)</f>
        <v>0</v>
      </c>
      <c r="PM39" s="3453" t="e">
        <f t="shared" si="59"/>
        <v>#N/A</v>
      </c>
      <c r="PN39" s="5618">
        <f>IFERROR(outputs_klasse_qty[[#This Row],[nett_f_output]]/(outputs_klasse_qty[[#This Row],[festebolter_for_nett_senteravstand_f]]^2),0)</f>
        <v>0</v>
      </c>
      <c r="PO39" s="3453" t="e">
        <f t="shared" si="60"/>
        <v>#N/A</v>
      </c>
      <c r="PP39" s="5618">
        <f>IFERROR(outputs_klasse_qty[[#This Row],[nett_g_output]]/(outputs_klasse_qty[[#This Row],[festebolter_for_nett_senteravstand_g]]^2),0)</f>
        <v>0</v>
      </c>
      <c r="PQ39"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39" s="3453" t="e">
        <f t="shared" si="77"/>
        <v>#N/A</v>
      </c>
      <c r="PS39" s="5710" t="e">
        <f>outputs_klasse_qty[[#This Row],[nett_a_output]]*outputs_klasse_qty[[#This Row],[sprøytebetong_ved_nett_tykkelse_a]]/1000</f>
        <v>#N/A</v>
      </c>
      <c r="PT39" s="3453" t="e">
        <f t="shared" si="78"/>
        <v>#N/A</v>
      </c>
      <c r="PU39" s="5710" t="e">
        <f>outputs_klasse_qty[[#This Row],[nett_b_output]]*outputs_klasse_qty[[#This Row],[sprøytebetong_ved_nett_tykkelse_b]]/1000</f>
        <v>#N/A</v>
      </c>
      <c r="PV39" s="3453" t="e">
        <f t="shared" si="79"/>
        <v>#N/A</v>
      </c>
      <c r="PW39" s="5710" t="e">
        <f>outputs_klasse_qty[[#This Row],[nett_c_output]]*outputs_klasse_qty[[#This Row],[sprøytebetong_ved_nett_tykkelse_c]]/1000</f>
        <v>#N/A</v>
      </c>
      <c r="PX39" s="3453" t="e">
        <f t="shared" si="80"/>
        <v>#N/A</v>
      </c>
      <c r="PY39" s="5710" t="e">
        <f>outputs_klasse_qty[[#This Row],[nett_d_output]]*outputs_klasse_qty[[#This Row],[sprøytebetong_ved_nett_tykkelse_d]]/1000</f>
        <v>#N/A</v>
      </c>
      <c r="PZ39" s="3453" t="e">
        <f t="shared" si="81"/>
        <v>#N/A</v>
      </c>
      <c r="QA39" s="5710" t="e">
        <f>outputs_klasse_qty[[#This Row],[nett_e1_output]]*outputs_klasse_qty[[#This Row],[sprøytebetong_ved_nett_tykkelse_e1]]/1000</f>
        <v>#N/A</v>
      </c>
      <c r="QB39" s="3453" t="e">
        <f t="shared" si="82"/>
        <v>#N/A</v>
      </c>
      <c r="QC39" s="5710" t="e">
        <f>outputs_klasse_qty[[#This Row],[nett_e2_output]]*outputs_klasse_qty[[#This Row],[sprøytebetong_ved_nett_tykkelse_e2]]/1000</f>
        <v>#N/A</v>
      </c>
      <c r="QD39" s="3453" t="e">
        <f t="shared" si="83"/>
        <v>#N/A</v>
      </c>
      <c r="QE39" s="5710" t="e">
        <f>outputs_klasse_qty[[#This Row],[nett_f_output]]*outputs_klasse_qty[[#This Row],[sprøytebetong_ved_nett_tykkelse_f]]/1000</f>
        <v>#N/A</v>
      </c>
      <c r="QF39" s="3453" t="e">
        <f t="shared" si="84"/>
        <v>#N/A</v>
      </c>
      <c r="QG39" s="5710" t="e">
        <f>outputs_klasse_qty[[#This Row],[nett_g_output]]*outputs_klasse_qty[[#This Row],[sprøytebetong_ved_nett_tykkelse_g]]/1000</f>
        <v>#N/A</v>
      </c>
      <c r="QH39"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39" s="3453"/>
      <c r="QJ39" s="3453"/>
      <c r="QK39" s="3453"/>
      <c r="QL39" s="3453"/>
      <c r="QM39" s="3453"/>
      <c r="QN39" s="3453"/>
      <c r="QO39" s="3453"/>
      <c r="QP39" s="3453"/>
      <c r="QQ39" s="3453"/>
      <c r="QR39" s="5712">
        <f>IF($AK$219=_List!$DI$6,_Calcs_Klasse!$QR$28,IF($AK$219=_List!$DI$7,$QR$29,0))</f>
        <v>1</v>
      </c>
      <c r="QS39" s="5713" t="e">
        <f t="shared" si="127"/>
        <v>#N/A</v>
      </c>
      <c r="QT39" s="3453" t="e">
        <f t="shared" si="128"/>
        <v>#N/A</v>
      </c>
      <c r="QU39" s="3453">
        <f>IFERROR((outputs_klasse_qty[[#This Row],[shot_veder_a_faktor]]*outputs_klasse_qty[[#This Row],[shot_veder_a_rate]]*$AI$46*$AY91)/1000,0)</f>
        <v>0</v>
      </c>
      <c r="QV39" s="5713" t="e">
        <f t="shared" si="129"/>
        <v>#N/A</v>
      </c>
      <c r="QW39" s="3453" t="e">
        <f t="shared" si="130"/>
        <v>#N/A</v>
      </c>
      <c r="QX39" s="3453">
        <f>IFERROR((outputs_klasse_qty[[#This Row],[shot_veder_b_faktor]]*outputs_klasse_qty[[#This Row],[shot_veder_b_rate]]*$AI$46*$AZ91)/1000,0)</f>
        <v>0</v>
      </c>
      <c r="QY39" s="5713" t="e">
        <f t="shared" si="131"/>
        <v>#N/A</v>
      </c>
      <c r="QZ39" s="3453" t="e">
        <f t="shared" si="132"/>
        <v>#N/A</v>
      </c>
      <c r="RA39" s="3453">
        <f>IFERROR((outputs_klasse_qty[[#This Row],[shot_veder_c_faktor]]*outputs_klasse_qty[[#This Row],[shot_veder_c_rate]]*$AI$46*$BA91)/1000,0)</f>
        <v>0</v>
      </c>
      <c r="RB39" s="5713" t="e">
        <f t="shared" si="133"/>
        <v>#N/A</v>
      </c>
      <c r="RC39" s="3453" t="e">
        <f t="shared" si="134"/>
        <v>#N/A</v>
      </c>
      <c r="RD39" s="3453">
        <f>IFERROR((outputs_klasse_qty[[#This Row],[shot_veder_d_faktor]]*outputs_klasse_qty[[#This Row],[shot_veder_d_rate]]*$AI$46*$BB91)/1000,0)</f>
        <v>0</v>
      </c>
      <c r="RE39" s="5713" t="e">
        <f t="shared" si="135"/>
        <v>#N/A</v>
      </c>
      <c r="RF39" s="3453" t="e">
        <f t="shared" si="136"/>
        <v>#N/A</v>
      </c>
      <c r="RG39" s="3453">
        <f>IFERROR((outputs_klasse_qty[[#This Row],[shot_veder_e1_faktor]]*outputs_klasse_qty[[#This Row],[shot_veder_e1_rate]]*$AI$46*$BC91)/1000,0)</f>
        <v>0</v>
      </c>
      <c r="RH39" s="5713" t="e">
        <f t="shared" si="137"/>
        <v>#N/A</v>
      </c>
      <c r="RI39" s="3453" t="e">
        <f t="shared" si="138"/>
        <v>#N/A</v>
      </c>
      <c r="RJ39" s="3453">
        <f>IFERROR((outputs_klasse_qty[[#This Row],[shot_veder_e2_faktor]]*outputs_klasse_qty[[#This Row],[shot_veder_e2_rate]]*$AI$46*$BD91)/1000,0)</f>
        <v>0</v>
      </c>
      <c r="RK39" s="5713" t="e">
        <f t="shared" si="139"/>
        <v>#N/A</v>
      </c>
      <c r="RL39" s="3453" t="e">
        <f t="shared" si="140"/>
        <v>#N/A</v>
      </c>
      <c r="RM39" s="3453">
        <f>IFERROR((outputs_klasse_qty[[#This Row],[shot_veder_f_faktor]]*outputs_klasse_qty[[#This Row],[shot_veder_f_rate]]*$AI$46*$BE91)/1000,0)</f>
        <v>0</v>
      </c>
      <c r="RN39" s="5713" t="e">
        <f t="shared" si="141"/>
        <v>#N/A</v>
      </c>
      <c r="RO39" s="3453" t="e">
        <f t="shared" si="142"/>
        <v>#N/A</v>
      </c>
      <c r="RP39" s="3453">
        <f>IFERROR((outputs_klasse_qty[[#This Row],[shot_veder_g_faktor]]*outputs_klasse_qty[[#This Row],[shot_veder_g_rate]]*$AI$46*$BF91)/1000,0)</f>
        <v>0</v>
      </c>
      <c r="RQ39"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39" s="5712">
        <v>1</v>
      </c>
      <c r="RS39" s="5713" t="e">
        <f t="shared" si="143"/>
        <v>#N/A</v>
      </c>
      <c r="RT39" s="3453" t="e">
        <f t="shared" si="144"/>
        <v>#N/A</v>
      </c>
      <c r="RU39" s="3453">
        <f>IFERROR((outputs_klasse_qty[[#This Row],[shot_vegg_a_faktor]]*outputs_klasse_qty[[#This Row],[shot_vegg_a_rate]]*$AI$42*2*$AY91)/1000,0)</f>
        <v>0</v>
      </c>
      <c r="RV39" s="5713" t="e">
        <f t="shared" si="145"/>
        <v>#N/A</v>
      </c>
      <c r="RW39" s="3453" t="e">
        <f t="shared" si="146"/>
        <v>#N/A</v>
      </c>
      <c r="RX39" s="3453">
        <f>IFERROR((outputs_klasse_qty[[#This Row],[shot_vegg_b_faktor]]*outputs_klasse_qty[[#This Row],[shot_vegg_b_rate]]*$AI$42*2*$AZ91)/1000,0)</f>
        <v>0</v>
      </c>
      <c r="RY39" s="5713" t="e">
        <f t="shared" si="147"/>
        <v>#N/A</v>
      </c>
      <c r="RZ39" s="3453" t="e">
        <f t="shared" si="148"/>
        <v>#N/A</v>
      </c>
      <c r="SA39" s="3453">
        <f>IFERROR((outputs_klasse_qty[[#This Row],[shot_vegg_c_faktor]]*outputs_klasse_qty[[#This Row],[shot_vegg_c_rate]]*$AI$42*2*$BA91)/1000,0)</f>
        <v>0</v>
      </c>
      <c r="SB39" s="5713" t="e">
        <f t="shared" si="149"/>
        <v>#N/A</v>
      </c>
      <c r="SC39" s="3453" t="e">
        <f t="shared" si="150"/>
        <v>#N/A</v>
      </c>
      <c r="SD39" s="3453">
        <f>IFERROR((outputs_klasse_qty[[#This Row],[shot_vegg_d_faktor]]*outputs_klasse_qty[[#This Row],[shot_vegg_d_rate]]*$AI$42*2*$BB91)/1000,0)</f>
        <v>0</v>
      </c>
      <c r="SE39" s="5713" t="e">
        <f t="shared" si="151"/>
        <v>#N/A</v>
      </c>
      <c r="SF39" s="3453" t="e">
        <f t="shared" si="152"/>
        <v>#N/A</v>
      </c>
      <c r="SG39" s="3453">
        <f>IFERROR((outputs_klasse_qty[[#This Row],[shot_vegg_e1_faktor]]*outputs_klasse_qty[[#This Row],[shot_vegg_e1_rate]]*$AI$42*2*$BC91)/1000,0)</f>
        <v>0</v>
      </c>
      <c r="SH39" s="5713" t="e">
        <f t="shared" si="153"/>
        <v>#N/A</v>
      </c>
      <c r="SI39" s="3453" t="e">
        <f t="shared" si="154"/>
        <v>#N/A</v>
      </c>
      <c r="SJ39" s="3453">
        <f>IFERROR((outputs_klasse_qty[[#This Row],[shot_vegg_e2_faktor]]*outputs_klasse_qty[[#This Row],[shot_vegg_e2_rate]]*$AI$42*2*$BD91)/1000,0)</f>
        <v>0</v>
      </c>
      <c r="SK39" s="5713" t="e">
        <f t="shared" si="155"/>
        <v>#N/A</v>
      </c>
      <c r="SL39" s="3453" t="e">
        <f t="shared" si="156"/>
        <v>#N/A</v>
      </c>
      <c r="SM39" s="3453">
        <f>IFERROR((outputs_klasse_qty[[#This Row],[shot_vegg_f_faktor]]*outputs_klasse_qty[[#This Row],[shot_vegg_f_rate]]*$AI$42*2*$BE91)/1000,0)</f>
        <v>0</v>
      </c>
      <c r="SN39" s="5713" t="e">
        <f t="shared" si="157"/>
        <v>#N/A</v>
      </c>
      <c r="SO39" s="3453" t="e">
        <f t="shared" si="158"/>
        <v>#N/A</v>
      </c>
      <c r="SP39" s="3453">
        <f>IFERROR((outputs_klasse_qty[[#This Row],[shot_vegg_g_faktor]]*outputs_klasse_qty[[#This Row],[shot_vegg_g_rate]]*$AI$42*2*$BF91)/1000,0)</f>
        <v>0</v>
      </c>
      <c r="SQ39"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39" s="5715">
        <f>outputs_klasse_qty[[#This Row],[shot_veder_sum]]+outputs_klasse_qty[[#This Row],[shot_vegg_sum]]</f>
        <v>0</v>
      </c>
      <c r="SS39" s="3453"/>
      <c r="ST39" s="3453"/>
      <c r="SU39" s="3453"/>
      <c r="SV39" s="3453"/>
      <c r="SW39" s="3453"/>
      <c r="SX39" s="3453"/>
      <c r="SY39" s="3453"/>
      <c r="SZ39" s="3453"/>
      <c r="TA39" s="3453"/>
      <c r="TB39" s="3453"/>
      <c r="TC39" s="3453"/>
      <c r="TD39" s="3453"/>
      <c r="TE39" s="3453"/>
      <c r="TF39" s="3453"/>
      <c r="TG39" s="3453"/>
      <c r="TH39" s="3453"/>
      <c r="TI39" s="3453"/>
      <c r="TJ39" s="3453"/>
      <c r="TK39" s="5721" cm="1">
        <f t="array" ref="TK39">IF($AK$221=klasse_buer[Method],_Calcs_Klasse!$TK$28,IF($AK$221="",_Calcs_Klasse!TK36,""))</f>
        <v>1</v>
      </c>
      <c r="TL39" s="3453" t="e">
        <f t="shared" si="159"/>
        <v>#N/A</v>
      </c>
      <c r="TM39" s="3453" t="e">
        <f t="shared" si="61"/>
        <v>#N/A</v>
      </c>
      <c r="TN39" s="3453">
        <f>IFERROR((IF(OR(outputs_klasse_qty[[#This Row],[bue_a_dim]]=_List!$DO$7,outputs_klasse_qty[[#This Row],[bue_a_dim]]=_List!$DO$8),($AY91*$AI$40)/outputs_klasse_qty[[#This Row],[bue_a_senteravstand]]*outputs_klasse_qty[[#This Row],[bue_a_andel]],0)),0)</f>
        <v>0</v>
      </c>
      <c r="TO39" s="5722" t="e">
        <f t="shared" si="160"/>
        <v>#N/A</v>
      </c>
      <c r="TP39" s="5702" t="e">
        <f t="shared" si="161"/>
        <v>#N/A</v>
      </c>
      <c r="TQ39" s="5723" t="e">
        <f t="shared" si="162"/>
        <v>#N/A</v>
      </c>
      <c r="TR39" s="3453" t="e">
        <f t="shared" si="163"/>
        <v>#N/A</v>
      </c>
      <c r="TS39" s="3453" t="e">
        <f t="shared" si="62"/>
        <v>#N/A</v>
      </c>
      <c r="TT39" s="3453">
        <f>IFERROR((IF(OR(outputs_klasse_qty[[#This Row],[bue_b_dim]]=_List!$DO$7,outputs_klasse_qty[[#This Row],[bue_b_dim]]=_List!$DO$8),($AZ91*$AI$40)/outputs_klasse_qty[[#This Row],[bue_b_senteravstand]]*outputs_klasse_qty[[#This Row],[bue_b_andel]],0)),0)</f>
        <v>0</v>
      </c>
      <c r="TU39" s="5722" t="e">
        <f t="shared" si="164"/>
        <v>#N/A</v>
      </c>
      <c r="TV39" s="5702" t="e">
        <f t="shared" si="165"/>
        <v>#N/A</v>
      </c>
      <c r="TW39" s="5723" t="e">
        <f t="shared" si="166"/>
        <v>#N/A</v>
      </c>
      <c r="TX39" s="3453" t="e">
        <f t="shared" si="167"/>
        <v>#N/A</v>
      </c>
      <c r="TY39" s="3453" t="e">
        <f t="shared" si="63"/>
        <v>#N/A</v>
      </c>
      <c r="TZ39" s="3453">
        <f>IFERROR((IF(OR(outputs_klasse_qty[[#This Row],[bue_c_dim]]=_List!$DO$7,outputs_klasse_qty[[#This Row],[bue_c_dim]]=_List!$DO$8),($BA91*$AI$40)/outputs_klasse_qty[[#This Row],[bue_c_senteravstand]]*outputs_klasse_qty[[#This Row],[bue_c_andel]],0)),0)</f>
        <v>0</v>
      </c>
      <c r="UA39" s="5722" t="e">
        <f t="shared" si="168"/>
        <v>#N/A</v>
      </c>
      <c r="UB39" s="5702" t="e">
        <f t="shared" si="169"/>
        <v>#N/A</v>
      </c>
      <c r="UC39" s="5723" t="e">
        <f t="shared" si="170"/>
        <v>#N/A</v>
      </c>
      <c r="UD39" s="3453" t="e">
        <f t="shared" si="171"/>
        <v>#N/A</v>
      </c>
      <c r="UE39" s="3453" t="e">
        <f t="shared" si="64"/>
        <v>#N/A</v>
      </c>
      <c r="UF39" s="3453">
        <f>IFERROR((IF(OR(outputs_klasse_qty[[#This Row],[bue_d_dim]]=_List!$DO$7,outputs_klasse_qty[[#This Row],[bue_d_dim]]=_List!$DO$8),($BB91*$AI$40)/outputs_klasse_qty[[#This Row],[bue_d_senteravstand]]*outputs_klasse_qty[[#This Row],[bue_d_andel]],0)),0)</f>
        <v>0</v>
      </c>
      <c r="UG39" s="5722" t="e">
        <f t="shared" si="172"/>
        <v>#N/A</v>
      </c>
      <c r="UH39" s="5702" t="e">
        <f t="shared" si="173"/>
        <v>#N/A</v>
      </c>
      <c r="UI39" s="5723" t="e">
        <f t="shared" si="174"/>
        <v>#N/A</v>
      </c>
      <c r="UJ39" s="3453" t="e">
        <f t="shared" si="175"/>
        <v>#N/A</v>
      </c>
      <c r="UK39" s="3453" t="e">
        <f t="shared" si="65"/>
        <v>#N/A</v>
      </c>
      <c r="UL39" s="3453">
        <f>IFERROR((IF(OR(outputs_klasse_qty[[#This Row],[bue_e1_dim]]=_List!$DO$7,outputs_klasse_qty[[#This Row],[bue_e1_dim]]=_List!$DO$8),($BC91*$AI$40)/outputs_klasse_qty[[#This Row],[bue_e1_senteravstand]]*outputs_klasse_qty[[#This Row],[bue_e1_andel]],0)),0)</f>
        <v>0</v>
      </c>
      <c r="UM39" s="5722" t="e">
        <f t="shared" si="176"/>
        <v>#N/A</v>
      </c>
      <c r="UN39" s="5702" t="e">
        <f t="shared" si="177"/>
        <v>#N/A</v>
      </c>
      <c r="UO39" s="5723" t="e">
        <f t="shared" si="178"/>
        <v>#N/A</v>
      </c>
      <c r="UP39" s="3453" t="e">
        <f t="shared" si="179"/>
        <v>#N/A</v>
      </c>
      <c r="UQ39" s="3453" t="e">
        <f t="shared" si="66"/>
        <v>#N/A</v>
      </c>
      <c r="UR39" s="3453">
        <f>IFERROR((IF(OR(outputs_klasse_qty[[#This Row],[bue_e2_dim]]=_List!$DO$7,outputs_klasse_qty[[#This Row],[bue_e2_dim]]=_List!$DO$8),($BD91*$AI$40)/outputs_klasse_qty[[#This Row],[bue_e2_senteravstand]]*outputs_klasse_qty[[#This Row],[bue_e2_andel]],0)),0)</f>
        <v>0</v>
      </c>
      <c r="US39" s="5722" t="e">
        <f t="shared" si="180"/>
        <v>#N/A</v>
      </c>
      <c r="UT39" s="5702" t="e">
        <f t="shared" si="181"/>
        <v>#N/A</v>
      </c>
      <c r="UU39" s="5723" t="e">
        <f t="shared" si="182"/>
        <v>#N/A</v>
      </c>
      <c r="UV39" s="3453" t="e">
        <f t="shared" si="183"/>
        <v>#N/A</v>
      </c>
      <c r="UW39" s="3453" t="e">
        <f t="shared" si="67"/>
        <v>#N/A</v>
      </c>
      <c r="UX39" s="3453">
        <f>IFERROR((IF(OR(outputs_klasse_qty[[#This Row],[bue_f_dim]]=_List!$DO$7,outputs_klasse_qty[[#This Row],[bue_f_dim]]=_List!$DO$8),($BE91*$AI$40)/outputs_klasse_qty[[#This Row],[bue_f_senteravstand]]*outputs_klasse_qty[[#This Row],[bue_f_andel]],0)),0)</f>
        <v>0</v>
      </c>
      <c r="UY39" s="5722" t="e">
        <f t="shared" si="184"/>
        <v>#N/A</v>
      </c>
      <c r="UZ39" s="5702" t="e">
        <f t="shared" si="185"/>
        <v>#N/A</v>
      </c>
      <c r="VA39" s="5723" t="e">
        <f t="shared" si="186"/>
        <v>#N/A</v>
      </c>
      <c r="VB39" s="3453" t="e">
        <f t="shared" si="187"/>
        <v>#N/A</v>
      </c>
      <c r="VC39" s="3453" t="e">
        <f t="shared" si="68"/>
        <v>#N/A</v>
      </c>
      <c r="VD39" s="3453">
        <f>IFERROR((IF(OR(outputs_klasse_qty[[#This Row],[bue_g_dim]]=_List!$DO$7,outputs_klasse_qty[[#This Row],[bue_g_dim]]=_List!$DO$8),($BF91*$AI$40)/outputs_klasse_qty[[#This Row],[bue_g_senteravstand]]*outputs_klasse_qty[[#This Row],[bue_g_andel]],0)),0)</f>
        <v>0</v>
      </c>
      <c r="VE39" s="5722" t="e">
        <f t="shared" si="188"/>
        <v>#N/A</v>
      </c>
      <c r="VF39" s="5702" t="e">
        <f t="shared" si="189"/>
        <v>#N/A</v>
      </c>
      <c r="VG39" s="5723" t="e">
        <f t="shared" si="190"/>
        <v>#N/A</v>
      </c>
      <c r="VH39"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39"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39" s="5719" t="str">
        <f>IFERROR(outputs_klasse_qty[[#This Row],[bue_e30_sum]]+outputs_klasse_qty[[#This Row],[bue_d60_sum]],"")</f>
        <v/>
      </c>
      <c r="VK39" s="3453">
        <f t="shared" si="191"/>
        <v>0</v>
      </c>
      <c r="VL39" s="3453">
        <f>outputs_klasse_qty[[#This Row],[bue_a_output]]*outputs_klasse_qty[[#This Row],[sprøytebetong_ved_bue_rate_a]]</f>
        <v>0</v>
      </c>
      <c r="VM39" s="3453">
        <f t="shared" si="192"/>
        <v>0</v>
      </c>
      <c r="VN39" s="3453">
        <f>outputs_klasse_qty[[#This Row],[bue_b_output]]*outputs_klasse_qty[[#This Row],[sprøytebetong_ved_bue_rate_b]]</f>
        <v>0</v>
      </c>
      <c r="VO39" s="3453">
        <f t="shared" si="193"/>
        <v>0</v>
      </c>
      <c r="VP39" s="3453">
        <f>outputs_klasse_qty[[#This Row],[bue_c_output]]*outputs_klasse_qty[[#This Row],[sprøytebetong_ved_bue_rate_c]]</f>
        <v>0</v>
      </c>
      <c r="VQ39" s="3453">
        <f t="shared" si="194"/>
        <v>0</v>
      </c>
      <c r="VR39" s="3453">
        <f>outputs_klasse_qty[[#This Row],[bue_d_output]]*outputs_klasse_qty[[#This Row],[sprøytebetong_ved_bue_rate_d]]</f>
        <v>0</v>
      </c>
      <c r="VS39" s="3453">
        <f t="shared" si="195"/>
        <v>0</v>
      </c>
      <c r="VT39" s="3453">
        <f>outputs_klasse_qty[[#This Row],[bue_e1_output]]*outputs_klasse_qty[[#This Row],[sprøytebetong_ved_bue_rate_e1]]</f>
        <v>0</v>
      </c>
      <c r="VU39" s="3453">
        <f t="shared" si="196"/>
        <v>0</v>
      </c>
      <c r="VV39" s="3453">
        <f>outputs_klasse_qty[[#This Row],[bue_e2_output]]*outputs_klasse_qty[[#This Row],[sprøytebetong_ved_bue_rate_e2]]</f>
        <v>0</v>
      </c>
      <c r="VW39" s="3453">
        <f t="shared" si="197"/>
        <v>0</v>
      </c>
      <c r="VX39" s="3453">
        <f>outputs_klasse_qty[[#This Row],[bue_f_output]]*outputs_klasse_qty[[#This Row],[sprøytebetong_ved_bue_rate_f]]</f>
        <v>0</v>
      </c>
      <c r="VY39" s="3453">
        <f t="shared" si="198"/>
        <v>0</v>
      </c>
      <c r="VZ39" s="3453">
        <f>outputs_klasse_qty[[#This Row],[bue_g_output]]*outputs_klasse_qty[[#This Row],[sprøytebetong_ved_bue_rate_g]]</f>
        <v>0</v>
      </c>
      <c r="WA39"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39" s="3453" t="e">
        <f t="shared" si="199"/>
        <v>#N/A</v>
      </c>
      <c r="WC39" s="3453">
        <f>IFERROR((IF(OR(outputs_klasse_qty[[#This Row],[bue_a_dim]]=_List!$DO$7,outputs_klasse_qty[[#This Row],[bue_a_dim]]=_List!$DO$8),_Calcs_Klasse!AY91/$AJQ$42*outputs_klasse_qty[[#This Row],[forankring_bolter_rate_a]],0)),0)</f>
        <v>0</v>
      </c>
      <c r="WD39" s="3453" t="e">
        <f t="shared" si="200"/>
        <v>#N/A</v>
      </c>
      <c r="WE39" s="3453">
        <f>IFERROR((IF(OR(outputs_klasse_qty[[#This Row],[bue_b_dim]]=_List!$DO$7,outputs_klasse_qty[[#This Row],[bue_b_dim]]=_List!$DO$8),_Calcs_Klasse!AZ91/$AJQ$43*outputs_klasse_qty[[#This Row],[forankring_bolter_rate_b]],0)),0)</f>
        <v>0</v>
      </c>
      <c r="WF39" s="3453" t="e">
        <f t="shared" si="201"/>
        <v>#N/A</v>
      </c>
      <c r="WG39" s="3453">
        <f>IFERROR((IF(OR(outputs_klasse_qty[[#This Row],[bue_c_dim]]=_List!$DO$7,outputs_klasse_qty[[#This Row],[bue_c_dim]]=_List!$DO$8),_Calcs_Klasse!BA91/$AJQ$44*outputs_klasse_qty[[#This Row],[forankring_bolter_rate_c]],0)),0)</f>
        <v>0</v>
      </c>
      <c r="WH39" s="3453" t="e">
        <f t="shared" si="202"/>
        <v>#N/A</v>
      </c>
      <c r="WI39" s="3453">
        <f>IFERROR((IF(OR(outputs_klasse_qty[[#This Row],[bue_d_dim]]=_List!$DO$7,outputs_klasse_qty[[#This Row],[bue_d_dim]]=_List!$DO$8),_Calcs_Klasse!BB91/$AJQ$45*outputs_klasse_qty[[#This Row],[forankring_bolter_rate_d]],0)),0)</f>
        <v>0</v>
      </c>
      <c r="WJ39" s="3453" t="e">
        <f t="shared" si="203"/>
        <v>#N/A</v>
      </c>
      <c r="WK39" s="3453">
        <f>IFERROR((IF(OR(outputs_klasse_qty[[#This Row],[bue_e1_dim]]=_List!$DO$7,outputs_klasse_qty[[#This Row],[bue_e1_dim]]=_List!$DO$8),_Calcs_Klasse!BC91/$AJQ$46*outputs_klasse_qty[[#This Row],[forankring_bolter_rate_e1]],0)),0)</f>
        <v>0</v>
      </c>
      <c r="WL39" s="3453" t="e">
        <f t="shared" si="204"/>
        <v>#N/A</v>
      </c>
      <c r="WM39" s="3453">
        <f>IFERROR((IF(OR(outputs_klasse_qty[[#This Row],[bue_e2_dim]]=_List!$DO$7,outputs_klasse_qty[[#This Row],[bue_e2_dim]]=_List!$DO$8),_Calcs_Klasse!BD91/$AJQ$47*outputs_klasse_qty[[#This Row],[forankring_bolter_rate_e2]],0)),0)</f>
        <v>0</v>
      </c>
      <c r="WN39" s="3453" t="e">
        <f t="shared" si="205"/>
        <v>#N/A</v>
      </c>
      <c r="WO39" s="3453">
        <f>IFERROR((IF(OR(outputs_klasse_qty[[#This Row],[bue_f_dim]]=_List!$DO$7,outputs_klasse_qty[[#This Row],[bue_f_dim]]=_List!$DO$8),_Calcs_Klasse!BE91/$AJQ$48*outputs_klasse_qty[[#This Row],[forankring_bolter_rate_f]],0)),0)</f>
        <v>0</v>
      </c>
      <c r="WP39" s="3453" t="e">
        <f t="shared" si="206"/>
        <v>#N/A</v>
      </c>
      <c r="WQ39" s="3453">
        <f>IFERROR((IF(OR(outputs_klasse_qty[[#This Row],[bue_g_dim]]=_List!$DO$7,outputs_klasse_qty[[#This Row],[bue_g_dim]]=_List!$DO$8),_Calcs_Klasse!BF91/$AJQ$49*outputs_klasse_qty[[#This Row],[forankring_bolter_rate_g]],0)),0)</f>
        <v>0</v>
      </c>
      <c r="WR39" s="3453">
        <f>IFERROR(outputs_klasse_qty[[#This Row],[forankring_bolter_output_a]]*$AMD$42,0)</f>
        <v>0</v>
      </c>
      <c r="WS39" s="3453">
        <f>IFERROR(outputs_klasse_qty[[#This Row],[forankring_bolter_output_a]]*$AMM$42,0)</f>
        <v>0</v>
      </c>
      <c r="WT39" s="3453">
        <f>IFERROR(outputs_klasse_qty[[#This Row],[forankring_bolter_output_b]]*$AMD$43,0)</f>
        <v>0</v>
      </c>
      <c r="WU39" s="3453">
        <f>IFERROR(outputs_klasse_qty[[#This Row],[forankring_bolter_output_b]]*$AMM$43,0)</f>
        <v>0</v>
      </c>
      <c r="WV39" s="3453">
        <f>IFERROR(outputs_klasse_qty[[#This Row],[forankring_bolter_output_c]]*$AMD$44,0)</f>
        <v>0</v>
      </c>
      <c r="WW39" s="3453">
        <f>IFERROR(outputs_klasse_qty[[#This Row],[forankring_bolter_output_c]]*$AMM$44,0)</f>
        <v>0</v>
      </c>
      <c r="WX39" s="3453">
        <f>IFERROR(outputs_klasse_qty[[#This Row],[forankring_bolter_output_d]]*$AMD$45,0)</f>
        <v>0</v>
      </c>
      <c r="WY39" s="3453">
        <f>IFERROR(outputs_klasse_qty[[#This Row],[forankring_bolter_output_d]]*$AMM$45,0)</f>
        <v>0</v>
      </c>
      <c r="WZ39" s="3453">
        <f>IFERROR(outputs_klasse_qty[[#This Row],[forankring_bolter_output_e1]]*$AMD$46,0)</f>
        <v>0</v>
      </c>
      <c r="XA39" s="3453">
        <f>IFERROR(outputs_klasse_qty[[#This Row],[forankring_bolter_output_e1]]*$AMM$46,0)</f>
        <v>0</v>
      </c>
      <c r="XB39" s="3453">
        <f>IFERROR(outputs_klasse_qty[[#This Row],[forankring_bolter_output_e2]]*$AMD$47,0)</f>
        <v>0</v>
      </c>
      <c r="XC39" s="3453">
        <f>IFERROR(outputs_klasse_qty[[#This Row],[forankring_bolter_output_e2]]*$AMM$47,0)</f>
        <v>0</v>
      </c>
      <c r="XD39" s="3453">
        <f>IFERROR(outputs_klasse_qty[[#This Row],[forankring_bolter_output_f]]*$AMD$48,0)</f>
        <v>0</v>
      </c>
      <c r="XE39" s="3453">
        <f>IFERROR(outputs_klasse_qty[[#This Row],[forankring_bolter_output_f]]*$AMM$48,0)</f>
        <v>0</v>
      </c>
      <c r="XF39" s="3453">
        <f>IFERROR(outputs_klasse_qty[[#This Row],[forankring_bolter_output_g]]*$AMD$49,0)</f>
        <v>0</v>
      </c>
      <c r="XG39" s="3453">
        <f>IFERROR(outputs_klasse_qty[[#This Row],[forankring_bolter_output_g]]*$AMM$49,0)</f>
        <v>0</v>
      </c>
      <c r="XH39"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39"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39" s="3453" t="e">
        <f t="shared" si="69"/>
        <v>#N/A</v>
      </c>
      <c r="XK39" s="5819" t="e">
        <f>outputs_klasse_qty[[#This Row],[bue_a_output]]/outputs_klasse_qty[[#This Row],[bue_radielle_bolter_rate_a]]</f>
        <v>#N/A</v>
      </c>
      <c r="XL39" s="5819" t="e">
        <f t="shared" si="70"/>
        <v>#N/A</v>
      </c>
      <c r="XM39" s="5819" t="e">
        <f>outputs_klasse_qty[[#This Row],[bue_b_output]]/outputs_klasse_qty[[#This Row],[bue_radielle_bolter_rate_b]]</f>
        <v>#N/A</v>
      </c>
      <c r="XN39" s="5819" t="e">
        <f t="shared" si="71"/>
        <v>#N/A</v>
      </c>
      <c r="XO39" s="5819" t="e">
        <f>outputs_klasse_qty[[#This Row],[bue_c_output]]/outputs_klasse_qty[[#This Row],[bue_radielle_bolter_rate_c]]</f>
        <v>#N/A</v>
      </c>
      <c r="XP39" s="5819" t="e">
        <f t="shared" si="72"/>
        <v>#N/A</v>
      </c>
      <c r="XQ39" s="5819" t="e">
        <f>outputs_klasse_qty[[#This Row],[bue_d_output]]/outputs_klasse_qty[[#This Row],[bue_radielle_bolter_rate_d]]</f>
        <v>#N/A</v>
      </c>
      <c r="XR39" s="5819" t="e">
        <f t="shared" si="73"/>
        <v>#N/A</v>
      </c>
      <c r="XS39" s="5819" t="e">
        <f>outputs_klasse_qty[[#This Row],[bue_e1_output]]/outputs_klasse_qty[[#This Row],[bue_radielle_bolter_rate_e1]]</f>
        <v>#N/A</v>
      </c>
      <c r="XT39" s="5819" t="e">
        <f t="shared" si="74"/>
        <v>#N/A</v>
      </c>
      <c r="XU39" s="5819" t="e">
        <f>outputs_klasse_qty[[#This Row],[bue_e2_output]]/outputs_klasse_qty[[#This Row],[bue_radielle_bolter_rate_e2]]</f>
        <v>#N/A</v>
      </c>
      <c r="XV39" s="5819" t="e">
        <f t="shared" si="75"/>
        <v>#N/A</v>
      </c>
      <c r="XW39" s="5819" t="e">
        <f>outputs_klasse_qty[[#This Row],[bue_f_output]]/outputs_klasse_qty[[#This Row],[bue_radielle_bolter_rate_f]]</f>
        <v>#N/A</v>
      </c>
      <c r="XX39" s="5819" t="e">
        <f t="shared" si="76"/>
        <v>#N/A</v>
      </c>
      <c r="XY39" s="5819" t="e">
        <f>outputs_klasse_qty[[#This Row],[bue_g_output]]/outputs_klasse_qty[[#This Row],[bue_radielle_bolter_rate_g]]</f>
        <v>#N/A</v>
      </c>
      <c r="XZ39" s="5819">
        <f>IFERROR(outputs_klasse_qty[[#This Row],[bue_radielle_bolter_output_a]]*$AKS$42,0)</f>
        <v>0</v>
      </c>
      <c r="YA39" s="5819">
        <f>IFERROR(outputs_klasse_qty[[#This Row],[bue_radielle_bolter_output_a]]*$ALB$42,0)</f>
        <v>0</v>
      </c>
      <c r="YB39" s="5819">
        <f>IFERROR(outputs_klasse_qty[[#This Row],[bue_radielle_bolter_output_b]]*$AKS$43,0)</f>
        <v>0</v>
      </c>
      <c r="YC39" s="5819">
        <f>IFERROR(outputs_klasse_qty[[#This Row],[bue_radielle_bolter_output_b]]*$ALB$43,0)</f>
        <v>0</v>
      </c>
      <c r="YD39" s="5819">
        <f>IFERROR(outputs_klasse_qty[[#This Row],[bue_radielle_bolter_output_c]]*$AKS$44,0)</f>
        <v>0</v>
      </c>
      <c r="YE39" s="5819">
        <f>IFERROR(outputs_klasse_qty[[#This Row],[bue_radielle_bolter_output_c]]*$ALB$44,0)</f>
        <v>0</v>
      </c>
      <c r="YF39" s="5819">
        <f>IFERROR(outputs_klasse_qty[[#This Row],[bue_radielle_bolter_output_d]]*$AKS$45,0)</f>
        <v>0</v>
      </c>
      <c r="YG39" s="5819">
        <f>IFERROR(outputs_klasse_qty[[#This Row],[bue_radielle_bolter_output_d]]*$ALB$45,0)</f>
        <v>0</v>
      </c>
      <c r="YH39" s="5819">
        <f>IFERROR(outputs_klasse_qty[[#This Row],[bue_radielle_bolter_output_e1]]*$AKS$46,0)</f>
        <v>0</v>
      </c>
      <c r="YI39" s="5819">
        <f>IFERROR(outputs_klasse_qty[[#This Row],[bue_radielle_bolter_output_e1]]*$ALB$46,0)</f>
        <v>0</v>
      </c>
      <c r="YJ39" s="5819">
        <f>IFERROR(outputs_klasse_qty[[#This Row],[bue_radielle_bolter_output_e2]]*$AKS$47,0)</f>
        <v>0</v>
      </c>
      <c r="YK39" s="5819">
        <f>IFERROR(outputs_klasse_qty[[#This Row],[bue_radielle_bolter_output_e2]]*$ALB$47,0)</f>
        <v>0</v>
      </c>
      <c r="YL39" s="5819">
        <f>IFERROR(outputs_klasse_qty[[#This Row],[bue_radielle_bolter_output_f]]*$AKS$48,0)</f>
        <v>0</v>
      </c>
      <c r="YM39" s="5819">
        <f>IFERROR(outputs_klasse_qty[[#This Row],[bue_radielle_bolter_output_f]]*$ALB$48,0)</f>
        <v>0</v>
      </c>
      <c r="YN39" s="5819">
        <f>IFERROR(outputs_klasse_qty[[#This Row],[bue_radielle_bolter_output_g]]*$AKS$49,0)</f>
        <v>0</v>
      </c>
      <c r="YO39" s="5819">
        <f>IFERROR(outputs_klasse_qty[[#This Row],[bue_radielle_bolter_output_g]]*$ALB$49,0)</f>
        <v>0</v>
      </c>
      <c r="YP39"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39"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39" s="5819"/>
      <c r="YS39" s="5819"/>
      <c r="YT39" s="5819"/>
      <c r="YU39" s="5819"/>
      <c r="YV39" s="5819"/>
      <c r="YW39" s="5819"/>
      <c r="YX39" s="5819"/>
      <c r="YY39" s="5819"/>
      <c r="YZ39" s="5819"/>
      <c r="ZA39" s="5819"/>
      <c r="ZB39" s="5819"/>
      <c r="ZC39" s="5819"/>
      <c r="ZD39" s="5819"/>
      <c r="ZE39" s="5819"/>
      <c r="ZF39" s="5819"/>
      <c r="ZG39" s="5819"/>
      <c r="ZH39" s="5819"/>
      <c r="ZI39" s="3453"/>
      <c r="ZJ39" s="3453"/>
      <c r="ZK39" s="3453"/>
      <c r="ZL39" s="3453"/>
      <c r="ZM39" s="3453"/>
      <c r="ZN39" s="837"/>
      <c r="ZO39" s="837"/>
      <c r="ZP39" s="837"/>
      <c r="ZQ39" s="837"/>
      <c r="ZR39" s="837"/>
      <c r="ZS39" s="837"/>
      <c r="ZT39" s="837"/>
      <c r="ZU39" s="837"/>
      <c r="ZV39" s="837"/>
      <c r="ZW39" s="837"/>
      <c r="ZX39" s="837"/>
      <c r="ZY39" s="837"/>
      <c r="ZZ39" s="837"/>
      <c r="AAA39" s="837"/>
      <c r="AAB39" s="2626"/>
      <c r="AAC39" s="2626"/>
      <c r="AAD39" s="2626"/>
      <c r="AAE39" s="2626"/>
      <c r="AAF39" s="2626"/>
      <c r="AAG39" s="2626"/>
      <c r="AAH39" s="2626"/>
      <c r="AAI39" s="2626"/>
      <c r="AAJ39" s="2626"/>
      <c r="AAK39" s="2626"/>
      <c r="AAL39" s="2626"/>
      <c r="AAM39" s="2626"/>
      <c r="AAN39" s="2626"/>
      <c r="AAO39" s="2626"/>
      <c r="AAP39" s="2626"/>
      <c r="AAQ39" s="2626"/>
      <c r="AAR39" s="2626"/>
      <c r="AAS39" s="2626"/>
      <c r="AAT39" s="2626"/>
      <c r="AAU39" s="2626"/>
      <c r="AAV39" s="251"/>
      <c r="AAW39" s="251"/>
      <c r="AAX39" s="251"/>
      <c r="AAY39" s="251"/>
      <c r="AAZ39" s="251"/>
      <c r="ABA39" s="3355" t="str">
        <f>ABA36</f>
        <v>Gjennomsnitt salve-lengde</v>
      </c>
      <c r="ABB39" s="5797"/>
      <c r="ABC39" s="5797"/>
      <c r="ABD39" s="5797"/>
      <c r="ABE39" s="5797"/>
      <c r="ABF39" s="5797"/>
      <c r="ABG39" s="5797"/>
      <c r="ABH39" s="5797"/>
      <c r="ABI39" s="5807"/>
      <c r="ABJ39" s="251"/>
      <c r="ABK39" s="3355" t="str">
        <f>ABK36</f>
        <v>Minutter per salve</v>
      </c>
      <c r="ABL39" s="207"/>
      <c r="ABM39" s="5797"/>
      <c r="ABN39" s="5797"/>
      <c r="ABO39" s="5797"/>
      <c r="ABP39" s="5797"/>
      <c r="ABQ39" s="5797"/>
      <c r="ABR39" s="5797"/>
      <c r="ABS39" s="5799"/>
      <c r="ABT39" s="251"/>
      <c r="ABU39" s="3355" t="str">
        <f>ABU36</f>
        <v>Minutter per salve</v>
      </c>
      <c r="ABV39" s="207"/>
      <c r="ABW39" s="5797"/>
      <c r="ABX39" s="5797"/>
      <c r="ABY39" s="5797"/>
      <c r="ABZ39" s="5797"/>
      <c r="ACA39" s="5797"/>
      <c r="ACB39" s="5797"/>
      <c r="ACC39" s="5799"/>
      <c r="ACD39" s="3582"/>
      <c r="ACE39" s="3632"/>
      <c r="ACF39" s="7235" t="s">
        <v>1531</v>
      </c>
      <c r="ACG39" s="7235"/>
      <c r="ACH39" s="7235"/>
      <c r="ACI39" s="7235"/>
      <c r="ACJ39" s="7235"/>
      <c r="ACK39" s="7235"/>
      <c r="ACL39" s="7235"/>
      <c r="ACM39" s="5797"/>
      <c r="ACN39" s="251"/>
      <c r="ACO39" s="7235" t="s">
        <v>1660</v>
      </c>
      <c r="ACP39" s="7235"/>
      <c r="ACQ39" s="7235"/>
      <c r="ACR39" s="7235"/>
      <c r="ACS39" s="7235"/>
      <c r="ACT39" s="7235"/>
      <c r="ACU39" s="7235"/>
      <c r="ACV39" s="5797"/>
      <c r="ACW39" s="251"/>
      <c r="ACX39" s="7235" t="s">
        <v>1533</v>
      </c>
      <c r="ACY39" s="7235"/>
      <c r="ACZ39" s="7235"/>
      <c r="ADA39" s="7235"/>
      <c r="ADB39" s="7235"/>
      <c r="ADC39" s="7235"/>
      <c r="ADD39" s="7235"/>
      <c r="ADE39" s="5799"/>
      <c r="ADF39" s="2989"/>
      <c r="ADG39" s="3632"/>
      <c r="ADH39" s="7235" t="s">
        <v>1531</v>
      </c>
      <c r="ADI39" s="7235"/>
      <c r="ADJ39" s="7235"/>
      <c r="ADK39" s="7235"/>
      <c r="ADL39" s="7235"/>
      <c r="ADM39" s="7235"/>
      <c r="ADN39" s="7235"/>
      <c r="ADO39" s="3587"/>
      <c r="ADP39" s="251"/>
      <c r="ADQ39" s="3675"/>
      <c r="ADR39" s="7235" t="str">
        <f>ADR36</f>
        <v>Boltelengde fordeling (≤ 4 m)</v>
      </c>
      <c r="ADS39" s="7235"/>
      <c r="ADT39" s="7235"/>
      <c r="ADU39" s="7235"/>
      <c r="ADV39" s="7235"/>
      <c r="ADW39" s="7235"/>
      <c r="ADX39" s="7235"/>
      <c r="ADY39" s="3675"/>
      <c r="ADZ39" s="7235" t="str">
        <f>ADZ36</f>
        <v>Boltelengde fordeling (&gt; 4 m)</v>
      </c>
      <c r="AEA39" s="7235"/>
      <c r="AEB39" s="7235"/>
      <c r="AEC39" s="7235"/>
      <c r="AED39" s="7235"/>
      <c r="AEE39" s="7235"/>
      <c r="AEF39" s="7235"/>
      <c r="AEG39" s="3676"/>
      <c r="AEH39" s="2989"/>
      <c r="AEI39" s="3396"/>
      <c r="AEJ39" s="3396"/>
      <c r="AEK39" s="3396"/>
      <c r="AEL39" s="5788"/>
      <c r="AEM39" s="5788"/>
      <c r="AEN39" s="5788"/>
      <c r="AEO39" s="5788"/>
      <c r="AEP39" s="5788"/>
      <c r="AEQ39" s="5788"/>
      <c r="AER39" s="5788"/>
      <c r="AES39" s="3355" t="str">
        <f>AES36</f>
        <v>Bergbånd overlappingsfaktor</v>
      </c>
      <c r="AET39" s="207"/>
      <c r="AEU39" s="402"/>
      <c r="AEV39" s="402"/>
      <c r="AEW39" s="402"/>
      <c r="AEX39" s="402"/>
      <c r="AEY39" s="402"/>
      <c r="AEZ39" s="3379"/>
      <c r="AFA39" s="5142"/>
      <c r="AFB39" s="3355" t="str">
        <f>AFB36</f>
        <v>Tilleggs-bergbånd per metre av tunnel</v>
      </c>
      <c r="AFC39" s="402"/>
      <c r="AFD39" s="402"/>
      <c r="AFE39" s="402"/>
      <c r="AFF39" s="402"/>
      <c r="AFG39" s="402"/>
      <c r="AFH39" s="3379"/>
      <c r="AFI39" s="5142"/>
      <c r="AFJ39" s="3355" t="str">
        <f>AFJ36</f>
        <v>Festebolter for bergbånd senteravstand</v>
      </c>
      <c r="AFK39" s="402"/>
      <c r="AFL39" s="402"/>
      <c r="AFM39" s="402"/>
      <c r="AFN39" s="402"/>
      <c r="AFO39" s="402"/>
      <c r="AFP39" s="402"/>
      <c r="AFQ39" s="5142"/>
      <c r="AFR39" s="7235" t="str">
        <f>AFR36</f>
        <v>Boltelengde fordeling (≤ 4 m)</v>
      </c>
      <c r="AFS39" s="7235"/>
      <c r="AFT39" s="7235"/>
      <c r="AFU39" s="7235"/>
      <c r="AFV39" s="7235"/>
      <c r="AFW39" s="7235"/>
      <c r="AFX39" s="7235"/>
      <c r="AFY39" s="5142"/>
      <c r="AFZ39" s="251"/>
      <c r="AGA39" s="5142"/>
      <c r="AGB39" s="7235" t="str">
        <f>AGB36</f>
        <v>Boltelengde fordeling (&gt; 4 m)</v>
      </c>
      <c r="AGC39" s="7235"/>
      <c r="AGD39" s="7235"/>
      <c r="AGE39" s="7235"/>
      <c r="AGF39" s="7235"/>
      <c r="AGG39" s="7235"/>
      <c r="AGH39" s="7235"/>
      <c r="AGI39" s="5146"/>
      <c r="AGJ39" s="402"/>
      <c r="AGK39" s="402"/>
      <c r="AGL39" s="402"/>
      <c r="AGM39" s="402"/>
      <c r="AGN39" s="402"/>
      <c r="AGO39" s="3355" t="str">
        <f>AGO36</f>
        <v>Nett (kvadratmeter) per meter av tunnel</v>
      </c>
      <c r="AGP39" s="402"/>
      <c r="AGQ39" s="402"/>
      <c r="AGR39" s="402"/>
      <c r="AGS39" s="402"/>
      <c r="AGT39" s="402"/>
      <c r="AGU39" s="3379"/>
      <c r="AGV39" s="402"/>
      <c r="AGW39" s="3355" t="str">
        <f>AGW36</f>
        <v>Festebolter for nett senteravstand</v>
      </c>
      <c r="AGX39" s="402"/>
      <c r="AGY39" s="402"/>
      <c r="AGZ39" s="402"/>
      <c r="AHA39" s="402"/>
      <c r="AHB39" s="402"/>
      <c r="AHC39" s="3379"/>
      <c r="AHD39" s="402"/>
      <c r="AHE39" s="402"/>
      <c r="AHF39" s="3355" t="str">
        <f>AHF36</f>
        <v>Tilleggs-sprøytebetong (tykkelse) per nett areal</v>
      </c>
      <c r="AHG39" s="402"/>
      <c r="AHH39" s="402"/>
      <c r="AHI39" s="402"/>
      <c r="AHJ39" s="402"/>
      <c r="AHK39" s="402"/>
      <c r="AHL39" s="3379"/>
      <c r="AHM39" s="402"/>
      <c r="AHN39" s="402"/>
      <c r="AHO39" s="402"/>
      <c r="AHP39" s="3355"/>
      <c r="AHQ39" s="402" t="s">
        <v>1990</v>
      </c>
      <c r="AHR39" s="402"/>
      <c r="AHS39" s="402"/>
      <c r="AHT39" s="402"/>
      <c r="AHU39" s="402"/>
      <c r="AHV39" s="402"/>
      <c r="AHW39" s="402"/>
      <c r="AHX39" s="3379"/>
      <c r="AHY39" s="251"/>
      <c r="AHZ39" s="3355"/>
      <c r="AIA39" s="402" t="s">
        <v>1990</v>
      </c>
      <c r="AIB39" s="402"/>
      <c r="AIC39" s="402"/>
      <c r="AID39" s="402"/>
      <c r="AIE39" s="402"/>
      <c r="AIF39" s="402"/>
      <c r="AIG39" s="402"/>
      <c r="AIH39" s="3379"/>
      <c r="AII39" s="402"/>
      <c r="AIJ39" s="3355"/>
      <c r="AIK39" s="402" t="s">
        <v>1167</v>
      </c>
      <c r="AIL39" s="402"/>
      <c r="AIM39" s="402"/>
      <c r="AIN39" s="402"/>
      <c r="AIO39" s="402"/>
      <c r="AIP39" s="402"/>
      <c r="AIQ39" s="402"/>
      <c r="AIR39" s="3812"/>
      <c r="AIS39" s="251"/>
      <c r="AIT39" s="3677"/>
      <c r="AIU39" s="3675" t="str">
        <f>AIU36</f>
        <v>Buedimensjon</v>
      </c>
      <c r="AIV39" s="3675"/>
      <c r="AIW39" s="3675"/>
      <c r="AIX39" s="3675"/>
      <c r="AIY39" s="3675"/>
      <c r="AIZ39" s="3675"/>
      <c r="AJA39" s="3675"/>
      <c r="AJB39" s="3675"/>
      <c r="AJC39" s="5162" t="str">
        <f>AJC36</f>
        <v>Andel av lengde av tunnelklassen</v>
      </c>
      <c r="AJD39" s="5162"/>
      <c r="AJE39" s="5162"/>
      <c r="AJF39" s="5162"/>
      <c r="AJG39" s="5162"/>
      <c r="AJH39" s="5162"/>
      <c r="AJI39" s="5162"/>
      <c r="AJJ39" s="5162"/>
      <c r="AJK39" s="3675" t="str">
        <f>AJK36</f>
        <v>Bue senteravstand</v>
      </c>
      <c r="AJL39" s="3675"/>
      <c r="AJM39" s="3675"/>
      <c r="AJN39" s="3675"/>
      <c r="AJO39" s="3675"/>
      <c r="AJP39" s="3675"/>
      <c r="AJQ39" s="3675"/>
      <c r="AJR39" s="3675"/>
      <c r="AJS39" s="3675" t="str">
        <f>AJS36</f>
        <v>Utvidelse av spreningsprofil bredde</v>
      </c>
      <c r="AJT39" s="3675"/>
      <c r="AJU39" s="3675"/>
      <c r="AJV39" s="3675"/>
      <c r="AJW39" s="3675"/>
      <c r="AJX39" s="3675"/>
      <c r="AJY39" s="3675"/>
      <c r="AJZ39" s="3676"/>
      <c r="AKA39" s="3675"/>
      <c r="AKB39" s="3675"/>
      <c r="AKC39" s="3582"/>
      <c r="AKD39" s="3581"/>
      <c r="AKE39" s="402" t="s">
        <v>1535</v>
      </c>
      <c r="AKF39" s="3582"/>
      <c r="AKG39" s="3582"/>
      <c r="AKH39" s="3582"/>
      <c r="AKI39" s="3582"/>
      <c r="AKJ39" s="3582"/>
      <c r="AKK39" s="3582"/>
      <c r="AKL39" s="3582"/>
      <c r="AKM39" s="7235" t="s">
        <v>1085</v>
      </c>
      <c r="AKN39" s="7235"/>
      <c r="AKO39" s="7235"/>
      <c r="AKP39" s="7235"/>
      <c r="AKQ39" s="7235"/>
      <c r="AKR39" s="7235"/>
      <c r="AKS39" s="7235"/>
      <c r="AKT39" s="3582"/>
      <c r="AKU39" s="251"/>
      <c r="AKV39" s="7235" t="s">
        <v>1086</v>
      </c>
      <c r="AKW39" s="7235"/>
      <c r="AKX39" s="7235"/>
      <c r="AKY39" s="7235"/>
      <c r="AKZ39" s="7235"/>
      <c r="ALA39" s="7235"/>
      <c r="ALB39" s="7240"/>
      <c r="ALC39" s="3642"/>
      <c r="ALD39" s="3355"/>
      <c r="ALE39" s="207"/>
      <c r="ALF39" s="402"/>
      <c r="ALG39" s="402"/>
      <c r="ALH39" s="402"/>
      <c r="ALI39" s="402"/>
      <c r="ALJ39" s="402"/>
      <c r="ALK39" s="402"/>
      <c r="ALL39" s="3379"/>
      <c r="ALM39" s="2737"/>
      <c r="ALN39" s="3581"/>
      <c r="ALO39" s="402" t="s">
        <v>1872</v>
      </c>
      <c r="ALP39" s="3582"/>
      <c r="ALQ39" s="3582"/>
      <c r="ALR39" s="3582"/>
      <c r="ALS39" s="3582"/>
      <c r="ALT39" s="3582"/>
      <c r="ALU39" s="3582"/>
      <c r="ALV39" s="3582"/>
      <c r="ALW39" s="3582"/>
      <c r="ALX39" s="7235" t="s">
        <v>1085</v>
      </c>
      <c r="ALY39" s="7235"/>
      <c r="ALZ39" s="7235"/>
      <c r="AMA39" s="7235"/>
      <c r="AMB39" s="7235"/>
      <c r="AMC39" s="7235"/>
      <c r="AMD39" s="7235"/>
      <c r="AME39" s="3582"/>
      <c r="AMF39" s="251"/>
      <c r="AMG39" s="7235" t="s">
        <v>1086</v>
      </c>
      <c r="AMH39" s="7235"/>
      <c r="AMI39" s="7235"/>
      <c r="AMJ39" s="7235"/>
      <c r="AMK39" s="7235"/>
      <c r="AML39" s="7235"/>
      <c r="AMM39" s="7240"/>
      <c r="AMN39" s="5517"/>
      <c r="AMO39" s="5517"/>
      <c r="AMP39" s="5517"/>
      <c r="AMQ39" s="5517"/>
      <c r="AMR39" s="5517"/>
      <c r="AMS39" s="5517"/>
      <c r="AMT39" s="5517"/>
      <c r="AMU39" s="5517"/>
      <c r="AMV39" s="5517"/>
      <c r="AMW39" s="5517"/>
      <c r="AMX39" s="5517"/>
      <c r="AMY39" s="5517"/>
      <c r="AMZ39" s="5517"/>
      <c r="ANA39" s="5517"/>
      <c r="ANB39" s="5517"/>
      <c r="ANC39" s="5517"/>
      <c r="AND39" s="5517"/>
      <c r="ANE39" s="5517"/>
      <c r="ANF39" s="5517"/>
      <c r="ANG39" s="5517"/>
      <c r="ANH39" s="5517"/>
      <c r="ANI39" s="5517"/>
      <c r="ANJ39" s="5517"/>
      <c r="ANK39" s="5517"/>
      <c r="ANL39" s="5517"/>
      <c r="ANM39" s="5517"/>
      <c r="ANN39" s="5517"/>
      <c r="ANO39" s="5517"/>
      <c r="ANP39" s="5517"/>
      <c r="ANQ39" s="5517"/>
      <c r="ANR39" s="5517"/>
      <c r="ANS39" s="5517"/>
      <c r="ANT39" s="5517"/>
      <c r="ANU39" s="5517"/>
      <c r="ANV39" s="5517"/>
      <c r="ANW39" s="5517"/>
      <c r="ANX39" s="5517"/>
      <c r="ANY39" s="5517"/>
      <c r="ANZ39" s="5517"/>
      <c r="AOA39" s="5517"/>
      <c r="AOB39" s="5517"/>
      <c r="AOC39" s="5517"/>
      <c r="AOD39" s="5517"/>
      <c r="AOE39" s="5517"/>
      <c r="AOF39" s="5517"/>
      <c r="AOG39" s="5517"/>
      <c r="AOH39" s="5517"/>
      <c r="AOI39" s="5517"/>
      <c r="AOJ39" s="5517"/>
      <c r="AOK39" s="5517"/>
      <c r="AOL39" s="5517"/>
      <c r="AOM39" s="5517"/>
      <c r="AON39" s="2737"/>
      <c r="AOO39" s="4125"/>
      <c r="AOP39" s="402" t="str">
        <f>AOP36</f>
        <v>Andel av lengde av tunnelklassen</v>
      </c>
      <c r="AOQ39" s="4124"/>
      <c r="AOR39" s="4124"/>
      <c r="AOS39" s="4124"/>
      <c r="AOT39" s="4124"/>
      <c r="AOU39" s="4124"/>
      <c r="AOV39" s="4124"/>
      <c r="AOW39" s="5162"/>
      <c r="AOX39" s="5162"/>
      <c r="AOY39" s="5162" t="str">
        <f>AOY36</f>
        <v>Ekvivalent lengde</v>
      </c>
      <c r="AOZ39" s="5162"/>
      <c r="APA39" s="5162"/>
      <c r="APB39" s="5162"/>
      <c r="APC39" s="5162"/>
      <c r="APD39" s="5162"/>
      <c r="APE39" s="5162"/>
      <c r="APF39" s="4124"/>
      <c r="APG39" s="3587" t="str">
        <f>APG36</f>
        <v>Forbolting -bueområde</v>
      </c>
      <c r="APH39" s="3587"/>
      <c r="API39" s="3587"/>
      <c r="APJ39" s="3587"/>
      <c r="APK39" s="3587"/>
      <c r="APL39" s="3587"/>
      <c r="APM39" s="3587"/>
      <c r="APN39" s="3587"/>
      <c r="APO39" s="3587" t="str">
        <f>APO36</f>
        <v>Forbolting senteravstand</v>
      </c>
      <c r="APP39" s="3587"/>
      <c r="APQ39" s="3587"/>
      <c r="APR39" s="3587"/>
      <c r="APS39" s="3587"/>
      <c r="APT39" s="3587"/>
      <c r="APU39" s="3587"/>
      <c r="APV39" s="3587"/>
      <c r="APW39" s="7235" t="str">
        <f>APW36</f>
        <v>Forbolting: boltelengde fordeling (≤ 4 m)</v>
      </c>
      <c r="APX39" s="7235"/>
      <c r="APY39" s="7235"/>
      <c r="APZ39" s="7235"/>
      <c r="AQA39" s="7235"/>
      <c r="AQB39" s="7235"/>
      <c r="AQC39" s="7235"/>
      <c r="AQD39" s="3587"/>
      <c r="AQE39" s="251"/>
      <c r="AQF39" s="7235" t="str">
        <f>AQF36</f>
        <v>Forbolting: boltelengde fordeling (&gt; 4 m)</v>
      </c>
      <c r="AQG39" s="7235"/>
      <c r="AQH39" s="7235"/>
      <c r="AQI39" s="7235"/>
      <c r="AQJ39" s="7235"/>
      <c r="AQK39" s="7235"/>
      <c r="AQL39" s="7240"/>
      <c r="AQM39" s="2737"/>
      <c r="AQN39" s="3589"/>
      <c r="AQO39" s="402" t="str">
        <f>AQO36</f>
        <v>Opphengbolting senteravstand</v>
      </c>
      <c r="AQP39" s="3587"/>
      <c r="AQQ39" s="3587"/>
      <c r="AQR39" s="3587"/>
      <c r="AQS39" s="3587"/>
      <c r="AQT39" s="3587"/>
      <c r="AQU39" s="3587"/>
      <c r="AQV39" s="3587"/>
      <c r="AQW39" s="7235" t="str">
        <f>AQW36</f>
        <v>Opphengbolting: boltelengde fordeling (≤ 4 m)</v>
      </c>
      <c r="AQX39" s="7235"/>
      <c r="AQY39" s="7235"/>
      <c r="AQZ39" s="7235"/>
      <c r="ARA39" s="7235"/>
      <c r="ARB39" s="7235"/>
      <c r="ARC39" s="7235"/>
      <c r="ARD39" s="3587"/>
      <c r="ARE39" s="251"/>
      <c r="ARF39" s="7235" t="str">
        <f>ARF36</f>
        <v>Opphengbolting: boltelengde fordeling (&gt; 4 m)</v>
      </c>
      <c r="ARG39" s="7235"/>
      <c r="ARH39" s="7235"/>
      <c r="ARI39" s="7235"/>
      <c r="ARJ39" s="7235"/>
      <c r="ARK39" s="7235"/>
      <c r="ARL39" s="7240"/>
      <c r="ARM39" s="2737"/>
      <c r="ARN39" s="2737"/>
      <c r="ARO39" s="2737"/>
      <c r="ARP39" s="2737"/>
      <c r="ARQ39" s="2737"/>
      <c r="ARR39" s="2737"/>
      <c r="ARS39" s="2989"/>
      <c r="ART39" s="7239" t="s">
        <v>960</v>
      </c>
      <c r="ARU39" s="7235"/>
      <c r="ARV39" s="7235"/>
      <c r="ARW39" s="7235"/>
      <c r="ARX39" s="7235"/>
      <c r="ARY39" s="7235"/>
      <c r="ARZ39" s="7235"/>
      <c r="ASA39" s="251"/>
      <c r="ASB39" s="7235" t="str">
        <f>ASB36</f>
        <v>Sikringsstøp fordeling (1., 2. og 3. støp)</v>
      </c>
      <c r="ASC39" s="7235"/>
      <c r="ASD39" s="7235"/>
      <c r="ASE39" s="7235"/>
      <c r="ASF39" s="7235"/>
      <c r="ASG39" s="7235"/>
      <c r="ASH39" s="7235"/>
      <c r="ASI39" s="3318"/>
      <c r="ASJ39" s="251"/>
      <c r="ASK39" s="7235" t="str">
        <f>ASK36</f>
        <v>Sikringsstøp fordeling (4. og etterfølgende støper)</v>
      </c>
      <c r="ASL39" s="7235"/>
      <c r="ASM39" s="7235"/>
      <c r="ASN39" s="7235"/>
      <c r="ASO39" s="7235"/>
      <c r="ASP39" s="7235"/>
      <c r="ASQ39" s="7240"/>
      <c r="ASR39" s="2989"/>
      <c r="ASS39" s="2989"/>
      <c r="ATA39" s="251"/>
      <c r="ATB39" s="251"/>
      <c r="ATC39" s="251"/>
      <c r="ATD39" s="251"/>
      <c r="ATE39" s="251"/>
      <c r="ATF39" s="251"/>
      <c r="ATG39" s="251"/>
      <c r="ATH39" s="251"/>
      <c r="ATI39" s="251"/>
      <c r="ATJ39" s="251"/>
      <c r="ATL39" s="3595" t="s">
        <v>161</v>
      </c>
      <c r="ATM39" s="3532"/>
      <c r="ATN39" s="3433">
        <f>ATU39</f>
        <v>0</v>
      </c>
      <c r="ATO39" s="3447" t="e">
        <f>(ATN39*#REF!)+#REF!</f>
        <v>#REF!</v>
      </c>
      <c r="ATP39" s="3433"/>
      <c r="ATQ39" s="3451">
        <f>ATQ26</f>
        <v>24.32</v>
      </c>
      <c r="ATR39" s="3451"/>
      <c r="ATS39" s="3433">
        <f t="shared" si="86"/>
        <v>3.5779999999999998</v>
      </c>
      <c r="ATT39" s="3525">
        <f>ATQ39-(ATS39*2)</f>
        <v>17.164000000000001</v>
      </c>
      <c r="ATU39" s="3450"/>
      <c r="ATV39" s="251"/>
      <c r="ATW39" s="251"/>
      <c r="ATX39" s="207"/>
      <c r="ATY39" s="207"/>
      <c r="ATZ39" s="3594"/>
      <c r="AUA39" s="3458"/>
      <c r="AUB39" s="207"/>
      <c r="AUC39" s="207"/>
      <c r="AUD39" s="207"/>
      <c r="AUE39" s="207"/>
      <c r="AUF39" s="207"/>
      <c r="AUG39" s="207"/>
      <c r="AUH39" s="207"/>
      <c r="AUI39" s="207"/>
      <c r="AUJ39" s="207"/>
      <c r="AUK39" s="207"/>
      <c r="AUL39" s="207"/>
      <c r="AUM39" s="207"/>
      <c r="AUN39" s="207"/>
      <c r="AUO39" s="207"/>
      <c r="AUV39" s="235" t="s">
        <v>1268</v>
      </c>
      <c r="AUW39" s="372">
        <v>16.8</v>
      </c>
      <c r="AUX39" s="372">
        <v>25.8</v>
      </c>
      <c r="AUY39" s="372">
        <v>39</v>
      </c>
      <c r="AUZ39" s="372">
        <v>55.800000000000004</v>
      </c>
      <c r="AVA39" s="372">
        <v>0</v>
      </c>
      <c r="AVB39" s="372">
        <v>0</v>
      </c>
      <c r="AVC39" s="372">
        <v>0</v>
      </c>
      <c r="AVD39" s="372">
        <v>0</v>
      </c>
      <c r="AVE39" s="372">
        <v>5</v>
      </c>
      <c r="AVF39" s="372">
        <v>10</v>
      </c>
      <c r="AVG39" s="372">
        <v>15</v>
      </c>
      <c r="AVH39" s="372">
        <v>15</v>
      </c>
      <c r="AVI39" s="372">
        <v>20</v>
      </c>
      <c r="AVJ39" s="372">
        <v>25</v>
      </c>
      <c r="AVK39" s="372">
        <v>30</v>
      </c>
      <c r="AVL39" s="2640">
        <v>30</v>
      </c>
      <c r="AYG39" s="2690" t="s">
        <v>1041</v>
      </c>
      <c r="AYK39" s="2690"/>
      <c r="AYL39" s="2690"/>
      <c r="AYT39" s="185" t="s">
        <v>865</v>
      </c>
      <c r="AYU39" s="3404" t="s">
        <v>928</v>
      </c>
      <c r="AYV39" s="7244" t="s">
        <v>929</v>
      </c>
      <c r="AYW39" s="7244"/>
      <c r="AYX39" s="7244"/>
      <c r="AYY39" s="316" t="s">
        <v>1168</v>
      </c>
      <c r="AYZ39" s="316"/>
      <c r="AZA39" s="316"/>
      <c r="AZB39" s="316"/>
      <c r="AZC39" s="2720"/>
      <c r="AZD39" s="2720"/>
      <c r="AZE39" s="2622"/>
      <c r="AZF39" s="2622"/>
      <c r="AZG39" s="2622"/>
      <c r="AZH39" s="2622"/>
      <c r="AZI39" s="2626"/>
      <c r="AZJ39" s="2626"/>
      <c r="AZK39" s="2626"/>
      <c r="AZL39" s="2690" t="s">
        <v>1185</v>
      </c>
      <c r="AZM39" s="2626"/>
      <c r="AZN39" s="2626"/>
      <c r="AZO39" s="2626"/>
      <c r="AZP39" s="2626"/>
      <c r="AZQ39" s="2626"/>
      <c r="AZR39" s="2626"/>
      <c r="AZS39" s="2626"/>
      <c r="AZT39" s="2626"/>
      <c r="AZU39" s="2626"/>
      <c r="AZV39" s="372" t="s">
        <v>899</v>
      </c>
      <c r="AZW39" s="2717" t="str">
        <f>IF(AZY39=$TM$20,"-")</f>
        <v>-</v>
      </c>
      <c r="AZX39" s="2778" t="str">
        <f>IF(AZY39=$TM$20,"-")</f>
        <v>-</v>
      </c>
      <c r="AZY39" s="2682" t="str">
        <f>$TM$20</f>
        <v>Ingen</v>
      </c>
      <c r="AZZ39" s="3004"/>
      <c r="BAA39" s="2780"/>
      <c r="BAB39" s="3005"/>
      <c r="BAC39" s="2626"/>
      <c r="BAD39" s="2626"/>
      <c r="BAE39" s="2626"/>
      <c r="BAF39" s="2626"/>
      <c r="BAG39" s="2626"/>
      <c r="BAH39" s="2626"/>
      <c r="BAI39" s="2626"/>
      <c r="BAJ39" s="372" t="s">
        <v>899</v>
      </c>
      <c r="BAK39" s="2718">
        <v>5</v>
      </c>
      <c r="BAL39" s="3006">
        <v>0.5</v>
      </c>
      <c r="BAM39" s="3003">
        <f t="shared" si="208"/>
        <v>0.5</v>
      </c>
      <c r="BAN39" s="2715"/>
      <c r="BAO39" s="2626"/>
      <c r="BAP39" s="2626"/>
      <c r="BAQ39" s="2626"/>
      <c r="BAT39" s="2626"/>
      <c r="BAV39" s="3007" t="s">
        <v>866</v>
      </c>
      <c r="BAW39" s="3007" t="s">
        <v>867</v>
      </c>
      <c r="BAX39" s="3008" t="s">
        <v>917</v>
      </c>
      <c r="BAZ39" s="3009" t="s">
        <v>918</v>
      </c>
      <c r="BBK39" s="2626"/>
      <c r="BBQ39" s="3398"/>
    </row>
    <row r="40" spans="1:1490" ht="43.5" customHeight="1" x14ac:dyDescent="0.2">
      <c r="AH40" s="206" t="s">
        <v>1039</v>
      </c>
      <c r="AI40" s="5716" t="e">
        <f>IF(ISBLANK('!Egen_SK'!V34),INDEX(klasse_tunnelprofil[Buelendge
(såle-såle)],MATCH(AI55,klasse_tunnelprofil[Tunnel_ID],0)),_Calcs_Klasse!AI39)</f>
        <v>#N/A</v>
      </c>
      <c r="AK40" s="3403">
        <f>_Calcs!AI35</f>
        <v>2</v>
      </c>
      <c r="AL40" s="4144">
        <f>_Calcs!AJ26</f>
        <v>0</v>
      </c>
      <c r="AM40" s="4145" t="e">
        <f>_Calcs!AJ35</f>
        <v>#DIV/0!</v>
      </c>
      <c r="AU40" s="2627" t="s">
        <v>2405</v>
      </c>
      <c r="AV40" s="2627"/>
      <c r="AW40" s="2627"/>
      <c r="CG40" s="2986" t="str">
        <f>_Calcs!$QU$135</f>
        <v>Stuff 2-3</v>
      </c>
      <c r="CH40" s="5558">
        <f>IF(_Calcs!$BC$38=1,0,IF(_Calcs!$BC$38=2,7,0))</f>
        <v>7</v>
      </c>
      <c r="CI40" s="1665">
        <f>IF(_Calcs!$BC$34&gt;6,1,0)</f>
        <v>0</v>
      </c>
      <c r="CJ40" s="238">
        <f>IF($AI$31=2,INDEX(outputs_position[23],MATCH(_Calcs!$BC$35,outputs_position[lopstuff],0)),0)</f>
        <v>0</v>
      </c>
      <c r="CK40" s="194">
        <v>72</v>
      </c>
      <c r="CL40" s="3453" t="e">
        <f t="shared" si="87"/>
        <v>#VALUE!</v>
      </c>
      <c r="CM40" s="3453" t="e">
        <f t="shared" si="88"/>
        <v>#VALUE!</v>
      </c>
      <c r="CN40" s="3453" t="e">
        <f t="shared" si="89"/>
        <v>#VALUE!</v>
      </c>
      <c r="CO40" s="3453" t="e">
        <f t="shared" si="90"/>
        <v>#VALUE!</v>
      </c>
      <c r="CP40" s="3453" t="e">
        <f t="shared" si="207"/>
        <v>#VALUE!</v>
      </c>
      <c r="CQ40" s="3453" t="e">
        <f t="shared" si="91"/>
        <v>#VALUE!</v>
      </c>
      <c r="CR40" s="3453" t="e">
        <f t="shared" si="92"/>
        <v>#VALUE!</v>
      </c>
      <c r="CS40" s="3453" t="e">
        <f t="shared" si="93"/>
        <v>#VALUE!</v>
      </c>
      <c r="CT40" s="3453"/>
      <c r="CU40" s="3453"/>
      <c r="CV40" s="5712">
        <f>IF($AK$213=_List!$CX$6,$CV$28,IF($AK$213=_List!$CX$7,$CV$29,0))</f>
        <v>1</v>
      </c>
      <c r="CW40" s="3453">
        <f>IF(outputs_klasse_qty[[#This Row],[man_metode]]=1,$ABR$42)</f>
        <v>20</v>
      </c>
      <c r="CX40" s="3453">
        <f>IFERROR(IF(outputs_klasse_qty[[#This Row],[man_metode]]=1,outputs_klasse_qty[[#This Row],[man_a_rate]]*$BG115),0)</f>
        <v>0</v>
      </c>
      <c r="CY40" s="3453" t="e">
        <f>IF(outputs_klasse_qty[[#This Row],[man_metode]]=1,$ABR$43)</f>
        <v>#N/A</v>
      </c>
      <c r="CZ40" s="3453">
        <f>IFERROR(IF(outputs_klasse_qty[[#This Row],[man_metode]]=1,outputs_klasse_qty[[#This Row],[man_b_rate]]*$BH115),0)</f>
        <v>0</v>
      </c>
      <c r="DA40" s="3453" t="e">
        <f>IF(outputs_klasse_qty[[#This Row],[man_metode]]=1,$ABR$44)</f>
        <v>#N/A</v>
      </c>
      <c r="DB40" s="3453">
        <f>IFERROR(IF(outputs_klasse_qty[[#This Row],[man_metode]]=1,outputs_klasse_qty[[#This Row],[man_c_rate]]*$BI115),0)</f>
        <v>0</v>
      </c>
      <c r="DC40" s="3453" t="e">
        <f>IF(outputs_klasse_qty[[#This Row],[man_metode]]=1,$ABR$45)</f>
        <v>#N/A</v>
      </c>
      <c r="DD40" s="3453">
        <f>IFERROR(IF(outputs_klasse_qty[[#This Row],[man_metode]]=1,outputs_klasse_qty[[#This Row],[man_d_rate]]*$BJ115),0)</f>
        <v>0</v>
      </c>
      <c r="DE40" s="3453" t="e">
        <f>IF(outputs_klasse_qty[[#This Row],[man_metode]]=1,$ABR$46)</f>
        <v>#N/A</v>
      </c>
      <c r="DF40" s="3453">
        <f>IFERROR(IF(outputs_klasse_qty[[#This Row],[man_metode]]=1,outputs_klasse_qty[[#This Row],[man_e1_rate]]*$BK115),0)</f>
        <v>0</v>
      </c>
      <c r="DG40" s="3453" t="e">
        <f>IF(outputs_klasse_qty[[#This Row],[man_metode]]=1,$ABR$47)</f>
        <v>#N/A</v>
      </c>
      <c r="DH40" s="3453">
        <f>IFERROR(IF(outputs_klasse_qty[[#This Row],[man_metode]]=1,outputs_klasse_qty[[#This Row],[man_e2_rate]]*$BL115),0)</f>
        <v>0</v>
      </c>
      <c r="DI40" s="3453" t="e">
        <f>IF(outputs_klasse_qty[[#This Row],[man_metode]]=1,$ABR$48)</f>
        <v>#N/A</v>
      </c>
      <c r="DJ40" s="3453">
        <f>IFERROR(IF(outputs_klasse_qty[[#This Row],[man_metode]]=1,outputs_klasse_qty[[#This Row],[man_f_rate]]*$BM115),0)</f>
        <v>0</v>
      </c>
      <c r="DK40" s="3453" t="e">
        <f>IF(outputs_klasse_qty[[#This Row],[man_metode]]=1,$ABR$49)</f>
        <v>#N/A</v>
      </c>
      <c r="DL40" s="3453">
        <f>IFERROR(IF(outputs_klasse_qty[[#This Row],[man_metode]]=1,outputs_klasse_qty[[#This Row],[man_g_rate]]*$BN115),0)</f>
        <v>0</v>
      </c>
      <c r="DM40"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40" s="5712">
        <v>1</v>
      </c>
      <c r="DO40" s="3453" t="e">
        <f>IF(outputs_klasse_qty[[#This Row],[kartlegg_metode]]=1,$ACB$42)</f>
        <v>#N/A</v>
      </c>
      <c r="DP40" s="3453">
        <f>IFERROR(IF(outputs_klasse_qty[[#This Row],[kartlegg_metode]]=1,outputs_klasse_qty[[#This Row],[kartlegg_a_rate]]*$BG115),0)</f>
        <v>0</v>
      </c>
      <c r="DQ40" s="3453" t="e">
        <f>IF(outputs_klasse_qty[[#This Row],[kartlegg_metode]]=1,$ACB$43)</f>
        <v>#N/A</v>
      </c>
      <c r="DR40" s="3453">
        <f>IFERROR(IF(outputs_klasse_qty[[#This Row],[kartlegg_metode]]=1,outputs_klasse_qty[[#This Row],[kartlegg_b_rate]]*$BH115),0)</f>
        <v>0</v>
      </c>
      <c r="DS40" s="3453" t="e">
        <f>IF(outputs_klasse_qty[[#This Row],[kartlegg_metode]]=1,$ACB$44)</f>
        <v>#N/A</v>
      </c>
      <c r="DT40" s="3453">
        <f>IFERROR(IF(outputs_klasse_qty[[#This Row],[kartlegg_metode]]=1,outputs_klasse_qty[[#This Row],[kartlegg_c_rate]]*$BI115),0)</f>
        <v>0</v>
      </c>
      <c r="DU40" s="3453" t="e">
        <f>IF(outputs_klasse_qty[[#This Row],[kartlegg_metode]]=1,$ACB$45)</f>
        <v>#N/A</v>
      </c>
      <c r="DV40" s="3453">
        <f>IFERROR(IF(outputs_klasse_qty[[#This Row],[kartlegg_metode]]=1,outputs_klasse_qty[[#This Row],[kartlegg_d_rate]]*$BJ115),0)</f>
        <v>0</v>
      </c>
      <c r="DW40" s="3453" t="e">
        <f>IF(outputs_klasse_qty[[#This Row],[kartlegg_metode]]=1,$ACB$46)</f>
        <v>#N/A</v>
      </c>
      <c r="DX40" s="3453">
        <f>IFERROR(IF(outputs_klasse_qty[[#This Row],[kartlegg_metode]]=1,outputs_klasse_qty[[#This Row],[kartlegg_e1_rate]]*$BK115),0)</f>
        <v>0</v>
      </c>
      <c r="DY40" s="3453" t="e">
        <f>IF(outputs_klasse_qty[[#This Row],[kartlegg_metode]]=1,$ACB$47)</f>
        <v>#N/A</v>
      </c>
      <c r="DZ40" s="3453">
        <f>IFERROR(IF(outputs_klasse_qty[[#This Row],[kartlegg_metode]]=1,outputs_klasse_qty[[#This Row],[kartlegg_e2_rate]]*$BL115),0)</f>
        <v>0</v>
      </c>
      <c r="EA40" s="3453" t="e">
        <f>IF(outputs_klasse_qty[[#This Row],[kartlegg_metode]]=1,$ACB$48)</f>
        <v>#N/A</v>
      </c>
      <c r="EB40" s="3453">
        <f>IFERROR(IF(outputs_klasse_qty[[#This Row],[kartlegg_metode]]=1,outputs_klasse_qty[[#This Row],[kartlegg_f_rate]]*$BM115),0)</f>
        <v>0</v>
      </c>
      <c r="EC40" s="3453" t="e">
        <f>IF(outputs_klasse_qty[[#This Row],[kartlegg_metode]]=1,$ACB$49)</f>
        <v>#N/A</v>
      </c>
      <c r="ED40" s="3453">
        <f>IFERROR(IF(outputs_klasse_qty[[#This Row],[kartlegg_metode]]=1,outputs_klasse_qty[[#This Row],[kartlegg_g_rate]]*$BN115),0)</f>
        <v>0</v>
      </c>
      <c r="EE40"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40" s="5712">
        <f>IF($AK$215=_List!$DA$6,$EF$28,IF($AK$215=_List!$DA$7,$EF$29,0))</f>
        <v>1</v>
      </c>
      <c r="EG40" s="3453" t="e">
        <f t="shared" si="94"/>
        <v>#N/A</v>
      </c>
      <c r="EH40" s="5719">
        <f>IFERROR(($AY92*$AI$46)/(outputs_klasse_qty[[#This Row],[bolt_veder_a_rate]]^2),0)</f>
        <v>0</v>
      </c>
      <c r="EI40" s="3453" t="e">
        <f t="shared" si="95"/>
        <v>#N/A</v>
      </c>
      <c r="EJ40" s="5719">
        <f>IFERROR(($AZ92*$AI$46)/(outputs_klasse_qty[[#This Row],[bolt_veder_b_rate]]^2),0)</f>
        <v>0</v>
      </c>
      <c r="EK40" s="3453" t="e">
        <f t="shared" si="96"/>
        <v>#N/A</v>
      </c>
      <c r="EL40" s="5719">
        <f>IFERROR(($BA92*$AI$46)/(outputs_klasse_qty[[#This Row],[bolt_veder_c_rate]]^2),0)</f>
        <v>0</v>
      </c>
      <c r="EM40" s="3453" t="e">
        <f t="shared" si="97"/>
        <v>#N/A</v>
      </c>
      <c r="EN40" s="5719">
        <f>IFERROR(($BB92*$AI$46)/(outputs_klasse_qty[[#This Row],[bolt_veder_d_rate]]^2),0)</f>
        <v>0</v>
      </c>
      <c r="EO40" s="3453" t="e">
        <f t="shared" si="98"/>
        <v>#N/A</v>
      </c>
      <c r="EP40" s="5719">
        <f>IFERROR(($BC92*$AI$46)/(outputs_klasse_qty[[#This Row],[bolt_veder_e1_rate]]^2),0)</f>
        <v>0</v>
      </c>
      <c r="EQ40" s="3453" t="e">
        <f t="shared" si="99"/>
        <v>#N/A</v>
      </c>
      <c r="ER40" s="5719">
        <f>IFERROR(($BD92*$AI$46)/(outputs_klasse_qty[[#This Row],[bolt_veder_e2_rate]]^2),0)</f>
        <v>0</v>
      </c>
      <c r="ES40" s="3453" t="e">
        <f t="shared" si="100"/>
        <v>#N/A</v>
      </c>
      <c r="ET40" s="5719">
        <f>IFERROR(($BE92*$AI$46)/(outputs_klasse_qty[[#This Row],[bolt_veder_f_rate]]^2),0)</f>
        <v>0</v>
      </c>
      <c r="EU40" s="3453" t="e">
        <f t="shared" si="101"/>
        <v>#N/A</v>
      </c>
      <c r="EV40" s="5719">
        <f>IFERROR(($BF92*$AI$46)/(outputs_klasse_qty[[#This Row],[bolt_veder_g_rate]]^2),0)</f>
        <v>0</v>
      </c>
      <c r="EW40"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40" s="3453" t="e">
        <f>outputs_klasse_qty[[#This Row],[bolt_veder_a_output]]*$ACU$42</f>
        <v>#N/A</v>
      </c>
      <c r="EY40" s="3453" t="e">
        <f>outputs_klasse_qty[[#This Row],[bolt_veder_a_output]]*$ADD$42</f>
        <v>#N/A</v>
      </c>
      <c r="EZ40" s="3453" t="e">
        <f>outputs_klasse_qty[[#This Row],[bolt_veder_b_output]]*$ACU$43</f>
        <v>#N/A</v>
      </c>
      <c r="FA40" s="3453" t="e">
        <f>outputs_klasse_qty[[#This Row],[bolt_veder_b_output]]*$ADD$43</f>
        <v>#N/A</v>
      </c>
      <c r="FB40" s="3453" t="e">
        <f>outputs_klasse_qty[[#This Row],[bolt_veder_c_output]]*$ACU$44</f>
        <v>#N/A</v>
      </c>
      <c r="FC40" s="3453" t="e">
        <f>outputs_klasse_qty[[#This Row],[bolt_veder_c_output]]*$ADD$44</f>
        <v>#N/A</v>
      </c>
      <c r="FD40" s="3453" t="e">
        <f>outputs_klasse_qty[[#This Row],[bolt_veder_d_output]]*$ACU$45</f>
        <v>#N/A</v>
      </c>
      <c r="FE40" s="3453" t="e">
        <f>outputs_klasse_qty[[#This Row],[bolt_veder_d_output]]*$ADD$45</f>
        <v>#N/A</v>
      </c>
      <c r="FF40" s="3453" t="e">
        <f>outputs_klasse_qty[[#This Row],[bolt_veder_e1_output]]*$ACU$46</f>
        <v>#N/A</v>
      </c>
      <c r="FG40" s="3453" t="e">
        <f>outputs_klasse_qty[[#This Row],[bolt_veder_e1_output]]*$ADD$46</f>
        <v>#N/A</v>
      </c>
      <c r="FH40" s="3453" t="e">
        <f>outputs_klasse_qty[[#This Row],[bolt_veder_e2_output]]*$ACU$47</f>
        <v>#N/A</v>
      </c>
      <c r="FI40" s="3453" t="e">
        <f>outputs_klasse_qty[[#This Row],[bolt_veder_e2_output]]*$ADD$47</f>
        <v>#N/A</v>
      </c>
      <c r="FJ40" s="3453" t="e">
        <f>outputs_klasse_qty[[#This Row],[bolt_veder_f_output]]*$ACU$48</f>
        <v>#N/A</v>
      </c>
      <c r="FK40" s="3453" t="e">
        <f>outputs_klasse_qty[[#This Row],[bolt_veder_f_output]]*$ADD$48</f>
        <v>#N/A</v>
      </c>
      <c r="FL40" s="3453" t="e">
        <f>outputs_klasse_qty[[#This Row],[bolt_veder_g_output]]*$ACU$49</f>
        <v>#N/A</v>
      </c>
      <c r="FM40" s="3453" t="e">
        <f>outputs_klasse_qty[[#This Row],[bolt_veder_g_output]]*$ADD$49</f>
        <v>#N/A</v>
      </c>
      <c r="FN40"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40"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40" s="3453">
        <v>1</v>
      </c>
      <c r="FQ40" s="3453" t="e">
        <f t="shared" si="102"/>
        <v>#N/A</v>
      </c>
      <c r="FR40" s="5854">
        <f>IFERROR(($AY92*$AI$42*2)/(outputs_klasse_qty[[#This Row],[bolt_vegg_a_rate]]^2),0)</f>
        <v>0</v>
      </c>
      <c r="FS40" s="3453" t="e">
        <f t="shared" si="103"/>
        <v>#N/A</v>
      </c>
      <c r="FT40" s="5854">
        <f>IFERROR(($AZ92*$AI$42*2)/(outputs_klasse_qty[[#This Row],[bolt_vegg_b_rate]]^2),0)</f>
        <v>0</v>
      </c>
      <c r="FU40" s="3453" t="e">
        <f t="shared" si="104"/>
        <v>#N/A</v>
      </c>
      <c r="FV40" s="5854">
        <f>IFERROR(($BA92*$AI$42*2)/(outputs_klasse_qty[[#This Row],[bolt_vegg_c_rate]]^2),0)</f>
        <v>0</v>
      </c>
      <c r="FW40" s="3453" t="e">
        <f t="shared" si="105"/>
        <v>#N/A</v>
      </c>
      <c r="FX40" s="5854">
        <f>IFERROR(($BB92*$AI$42*2)/(outputs_klasse_qty[[#This Row],[bolt_vegg_d_rate]]^2),0)</f>
        <v>0</v>
      </c>
      <c r="FY40" s="3453" t="e">
        <f t="shared" si="106"/>
        <v>#N/A</v>
      </c>
      <c r="FZ40" s="5854">
        <f>IFERROR(($BC92*$AI$42*2)/(outputs_klasse_qty[[#This Row],[bolt_vegg_e1_rate]]^2),0)</f>
        <v>0</v>
      </c>
      <c r="GA40" s="3453" t="e">
        <f t="shared" si="107"/>
        <v>#N/A</v>
      </c>
      <c r="GB40" s="5854">
        <f>IFERROR(($BD92*$AI$42*2)/(outputs_klasse_qty[[#This Row],[bolt_vegg_e2_rate]]^2),0)</f>
        <v>0</v>
      </c>
      <c r="GC40" s="3453" t="e">
        <f t="shared" si="108"/>
        <v>#N/A</v>
      </c>
      <c r="GD40" s="5854">
        <f>IFERROR(($BE92*$AI$42*2)/(outputs_klasse_qty[[#This Row],[bolt_vegg_f_rate]]^2),0)</f>
        <v>0</v>
      </c>
      <c r="GE40" s="3453" t="e">
        <f t="shared" si="109"/>
        <v>#N/A</v>
      </c>
      <c r="GF40" s="5854">
        <f>IFERROR(($BF92*$AI$42*2)/(outputs_klasse_qty[[#This Row],[bolt_vegg_g_rate]]^2),0)</f>
        <v>0</v>
      </c>
      <c r="GG40"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40" s="3453" t="e">
        <f>outputs_klasse_qty[[#This Row],[bolt_vegg_a_output]]*$ADX$42</f>
        <v>#N/A</v>
      </c>
      <c r="GI40" s="3453" t="e">
        <f>outputs_klasse_qty[[#This Row],[bolt_vegg_a_output]]*$AEF$42</f>
        <v>#N/A</v>
      </c>
      <c r="GJ40" s="3453" t="e">
        <f>outputs_klasse_qty[[#This Row],[bolt_vegg_b_output]]*$ADX$43</f>
        <v>#N/A</v>
      </c>
      <c r="GK40" s="3453" t="e">
        <f>outputs_klasse_qty[[#This Row],[bolt_vegg_b_output]]*$AEF$43</f>
        <v>#N/A</v>
      </c>
      <c r="GL40" s="3453" t="e">
        <f>outputs_klasse_qty[[#This Row],[bolt_vegg_c_output]]*$ADX$44</f>
        <v>#N/A</v>
      </c>
      <c r="GM40" s="3453" t="e">
        <f>outputs_klasse_qty[[#This Row],[bolt_vegg_c_output]]*$AEF$44</f>
        <v>#N/A</v>
      </c>
      <c r="GN40" s="3453" t="e">
        <f>outputs_klasse_qty[[#This Row],[bolt_vegg_d_output]]*$ADX$45</f>
        <v>#N/A</v>
      </c>
      <c r="GO40" s="3453" t="e">
        <f>outputs_klasse_qty[[#This Row],[bolt_vegg_d_output]]*$AEF$45</f>
        <v>#N/A</v>
      </c>
      <c r="GP40" s="3453" t="e">
        <f>outputs_klasse_qty[[#This Row],[bolt_vegg_e1_output]]*$ADX$46</f>
        <v>#N/A</v>
      </c>
      <c r="GQ40" s="3453" t="e">
        <f>outputs_klasse_qty[[#This Row],[bolt_vegg_e1_output]]*$AEF$46</f>
        <v>#N/A</v>
      </c>
      <c r="GR40" s="3453" t="e">
        <f>outputs_klasse_qty[[#This Row],[bolt_vegg_e2_output]]*$ADX$47</f>
        <v>#N/A</v>
      </c>
      <c r="GS40" s="3453" t="e">
        <f>outputs_klasse_qty[[#This Row],[bolt_vegg_e2_output]]*$AEF$47</f>
        <v>#N/A</v>
      </c>
      <c r="GT40" s="3453" t="e">
        <f>outputs_klasse_qty[[#This Row],[bolt_vegg_f_output]]*$ADX$48</f>
        <v>#N/A</v>
      </c>
      <c r="GU40" s="3453" t="e">
        <f>outputs_klasse_qty[[#This Row],[bolt_vegg_f_output]]*$AEF$48</f>
        <v>#N/A</v>
      </c>
      <c r="GV40" s="3453" t="e">
        <f>outputs_klasse_qty[[#This Row],[bolt_vegg_g_output]]*$ADX$49</f>
        <v>#N/A</v>
      </c>
      <c r="GW40" s="3453" t="e">
        <f>outputs_klasse_qty[[#This Row],[bolt_vegg_g_output]]*$AEF$49</f>
        <v>#N/A</v>
      </c>
      <c r="GX40"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40"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40" s="5698" t="str">
        <f>IFERROR(outputs_klasse_qty[[#This Row],[bolt_veder_lt4_sum]]+outputs_klasse_qty[[#This Row],[bolt_vegg_lt4_sum]],"")</f>
        <v/>
      </c>
      <c r="HA40" s="5698" t="str">
        <f>IFERROR(outputs_klasse_qty[[#This Row],[bolt_veder_gt4_sum]]+outputs_klasse_qty[[#This Row],[bolt_vegg_gt4_sum]],"")</f>
        <v/>
      </c>
      <c r="HB40" s="3453"/>
      <c r="HC40" s="3453"/>
      <c r="HD40" s="3453"/>
      <c r="HE40" s="3453"/>
      <c r="HF40" s="3453"/>
      <c r="HG40" s="3453"/>
      <c r="HH40" s="3453"/>
      <c r="HI40" s="3453"/>
      <c r="HJ40" s="3453"/>
      <c r="HK40" s="3453"/>
      <c r="HL40" s="3453"/>
      <c r="HM40" s="3453"/>
      <c r="HN40" s="3453"/>
      <c r="HO40" s="3453"/>
      <c r="HP40" s="3453"/>
      <c r="HQ40" s="3453"/>
      <c r="HR40" s="5819" t="e">
        <f t="shared" si="5"/>
        <v>#N/A</v>
      </c>
      <c r="HS40" s="5819">
        <f t="shared" si="6"/>
        <v>1</v>
      </c>
      <c r="HT40" s="5819">
        <f t="shared" si="7"/>
        <v>5</v>
      </c>
      <c r="HU40" s="5855">
        <f>IFERROR(IF(outputs_klasse_qty[[#This Row],[forbolting_bueområde_a]]=_List!$DQ$7,_Calcs_Klasse!$AI$46*$BG115,IF(outputs_klasse_qty[[#This Row],[forbolting_bueområde_a]]=_List!$DQ$8,$AI$40*$BG115)),0)</f>
        <v>0</v>
      </c>
      <c r="HV40" s="5856" t="e">
        <f>IF(outputs_klasse_qty[[#This Row],[forbolting_bueområde_a]]=_List!$DQ$7,($AI$46*BG115)/outputs_klasse_qty[[#This Row],[forbolting_senteravstand_a]]*outputs_klasse_qty[[#This Row],[forbolting_andel_a]],IF(outputs_klasse_qty[[#This Row],[forbolting_bueområde_a]]=_List!$DQ$8,($AI$40*BG115)/outputs_klasse_qty[[#This Row],[forbolting_senteravstand_a]]*outputs_klasse_qty[[#This Row],[forbolting_andel_a]],0))</f>
        <v>#N/A</v>
      </c>
      <c r="HW40" s="5819" t="str">
        <f t="shared" si="8"/>
        <v>Ingen</v>
      </c>
      <c r="HX40" s="5819">
        <f t="shared" si="9"/>
        <v>1</v>
      </c>
      <c r="HY40" s="5819" t="e">
        <f t="shared" si="10"/>
        <v>#N/A</v>
      </c>
      <c r="HZ40" s="5855" t="b">
        <f>IFERROR(IF(outputs_klasse_qty[[#This Row],[forbolting_bueområde_b]]=_List!$DQ$7,_Calcs_Klasse!$AI$46*$BH115,IF(outputs_klasse_qty[[#This Row],[forbolting_bueområde_b]]=_List!$DQ$8,$AI$40*$BH115)),0)</f>
        <v>0</v>
      </c>
      <c r="IA40" s="5856">
        <f>IF(outputs_klasse_qty[[#This Row],[forbolting_bueområde_b]]=_List!$DQ$7,($AI$46*BH115)/outputs_klasse_qty[[#This Row],[forbolting_senteravstand_b]]*outputs_klasse_qty[[#This Row],[forbolting_andel_b]],IF(outputs_klasse_qty[[#This Row],[forbolting_bueområde_b]]=_List!$DQ$8,($AI$40*BH115)/outputs_klasse_qty[[#This Row],[forbolting_senteravstand_b]]*outputs_klasse_qty[[#This Row],[forbolting_andel_b]],0))</f>
        <v>0</v>
      </c>
      <c r="IB40" s="5819" t="str">
        <f t="shared" si="11"/>
        <v>Ingen</v>
      </c>
      <c r="IC40" s="5819">
        <f t="shared" si="12"/>
        <v>1</v>
      </c>
      <c r="ID40" s="5819" t="e">
        <f t="shared" si="13"/>
        <v>#N/A</v>
      </c>
      <c r="IE40" s="5855" t="b">
        <f>IFERROR(IF(outputs_klasse_qty[[#This Row],[forbolting_bueområde_c]]=_List!$DQ$7,_Calcs_Klasse!$AI$46*$BI115,IF(outputs_klasse_qty[[#This Row],[forbolting_bueområde_c]]=_List!$DQ$8,$AI$40*$BI115)),0)</f>
        <v>0</v>
      </c>
      <c r="IF40" s="5856">
        <f>IF(outputs_klasse_qty[[#This Row],[forbolting_bueområde_c]]=_List!$DQ$7,($AI$46*BI115)/outputs_klasse_qty[[#This Row],[forbolting_senteravstand_c]]*outputs_klasse_qty[[#This Row],[forbolting_andel_c]],IF(outputs_klasse_qty[[#This Row],[forbolting_bueområde_c]]=_List!$DQ$8,($AI$40*BI115)/outputs_klasse_qty[[#This Row],[forbolting_senteravstand_c]]*outputs_klasse_qty[[#This Row],[forbolting_andel_c]],0))</f>
        <v>0</v>
      </c>
      <c r="IG40" s="5819" t="e">
        <f t="shared" si="14"/>
        <v>#N/A</v>
      </c>
      <c r="IH40" s="5819">
        <f t="shared" si="15"/>
        <v>1</v>
      </c>
      <c r="II40" s="5819">
        <f t="shared" si="16"/>
        <v>0.5</v>
      </c>
      <c r="IJ40" s="5855">
        <f>IFERROR(IF(outputs_klasse_qty[[#This Row],[forbolting_bueområde_d]]=_List!$DQ$7,_Calcs_Klasse!$AI$46*$BJ115,IF(outputs_klasse_qty[[#This Row],[forbolting_bueområde_d]]=_List!$DQ$8,$AI$40*$BJ115)),0)</f>
        <v>0</v>
      </c>
      <c r="IK40" s="5856" t="e">
        <f>IF(outputs_klasse_qty[[#This Row],[forbolting_bueområde_d]]=_List!$DQ$7,($AI$46*BJ115)/outputs_klasse_qty[[#This Row],[forbolting_senteravstand_d]]*outputs_klasse_qty[[#This Row],[forbolting_andel_d]],IF(outputs_klasse_qty[[#This Row],[forbolting_bueområde_d]]=_List!$DQ$8,($AI$40*BJ115)/outputs_klasse_qty[[#This Row],[forbolting_senteravstand_d]]*outputs_klasse_qty[[#This Row],[forbolting_andel_d]],0))</f>
        <v>#N/A</v>
      </c>
      <c r="IL40" s="5819" t="e">
        <f t="shared" si="17"/>
        <v>#N/A</v>
      </c>
      <c r="IM40" s="5819">
        <f t="shared" si="18"/>
        <v>1</v>
      </c>
      <c r="IN40" s="5819" t="e">
        <f t="shared" si="19"/>
        <v>#N/A</v>
      </c>
      <c r="IO40" s="5855">
        <f>IFERROR(IF(outputs_klasse_qty[[#This Row],[forbolting_bueområde_e1]]=_List!$DQ$7,_Calcs_Klasse!$AI$46*$BK115,IF(outputs_klasse_qty[[#This Row],[forbolting_bueområde_e1]]=_List!$DQ$8,$AI$40*$BK115)),0)</f>
        <v>0</v>
      </c>
      <c r="IP40" s="5856" t="e">
        <f>IF(outputs_klasse_qty[[#This Row],[forbolting_bueområde_e1]]=_List!$DQ$7,($AI$46*BK115)/outputs_klasse_qty[[#This Row],[forbolting_senteravstand_e1]]*outputs_klasse_qty[[#This Row],[forbolting_andel_e1]],IF(outputs_klasse_qty[[#This Row],[forbolting_bueområde_e1]]=_List!$DQ$8,($AI$40*BK115)/outputs_klasse_qty[[#This Row],[forbolting_senteravstand_e1]]*outputs_klasse_qty[[#This Row],[forbolting_andel_e1]],0))</f>
        <v>#N/A</v>
      </c>
      <c r="IQ40" s="5819" t="e">
        <f t="shared" si="20"/>
        <v>#N/A</v>
      </c>
      <c r="IR40" s="5819" t="e">
        <f t="shared" si="21"/>
        <v>#N/A</v>
      </c>
      <c r="IS40" s="5819" t="e">
        <f t="shared" si="22"/>
        <v>#N/A</v>
      </c>
      <c r="IT40" s="5855">
        <f>IFERROR(IF(outputs_klasse_qty[[#This Row],[forbolting_bueområde_e2]]=_List!$DQ$7,_Calcs_Klasse!$AI$46*$BL115,IF(outputs_klasse_qty[[#This Row],[forbolting_bueområde_e2]]=_List!$DQ$8,$AI$40*$BL115)),0)</f>
        <v>0</v>
      </c>
      <c r="IU40" s="5856" t="e">
        <f>IF(outputs_klasse_qty[[#This Row],[forbolting_bueområde_e2]]=_List!$DQ$7,($AI$46*BL115)/outputs_klasse_qty[[#This Row],[forbolting_senteravstand_e2]]*outputs_klasse_qty[[#This Row],[forbolting_andel_e2]],IF(outputs_klasse_qty[[#This Row],[forbolting_bueområde_e2]]=_List!$DQ$8,($AI$40*BL115)/outputs_klasse_qty[[#This Row],[forbolting_senteravstand_e2]]*outputs_klasse_qty[[#This Row],[forbolting_andel_e2]],0))</f>
        <v>#N/A</v>
      </c>
      <c r="IV40" s="5819" t="e">
        <f t="shared" si="23"/>
        <v>#N/A</v>
      </c>
      <c r="IW40" s="5819" t="e">
        <f t="shared" si="24"/>
        <v>#N/A</v>
      </c>
      <c r="IX40" s="5819" t="e">
        <f t="shared" si="25"/>
        <v>#N/A</v>
      </c>
      <c r="IY40" s="5855">
        <f>IFERROR(IF(outputs_klasse_qty[[#This Row],[forbolting_bueområde_f]]=_List!$DQ$7,_Calcs_Klasse!$AI$46*$BM115,IF(outputs_klasse_qty[[#This Row],[forbolting_bueområde_f]]=_List!$DQ$8,$AI$40*$BM115)),0)</f>
        <v>0</v>
      </c>
      <c r="IZ40" s="5856" t="e">
        <f>IF(outputs_klasse_qty[[#This Row],[forbolting_bueområde_f]]=_List!$DQ$7,($AI$46*BM115)/outputs_klasse_qty[[#This Row],[forbolting_senteravstand_f]]*outputs_klasse_qty[[#This Row],[forbolting_andel_f]],IF(outputs_klasse_qty[[#This Row],[forbolting_bueområde_f]]=_List!$DQ$8,($AI$40*BM115)/outputs_klasse_qty[[#This Row],[forbolting_senteravstand_f]]*outputs_klasse_qty[[#This Row],[forbolting_andel_f]],0))</f>
        <v>#N/A</v>
      </c>
      <c r="JA40" s="5819" t="e">
        <f t="shared" si="26"/>
        <v>#N/A</v>
      </c>
      <c r="JB40" s="5819" t="e">
        <f t="shared" si="27"/>
        <v>#N/A</v>
      </c>
      <c r="JC40" s="5819" t="e">
        <f t="shared" si="28"/>
        <v>#N/A</v>
      </c>
      <c r="JD40" s="5855">
        <f>IFERROR(IF(outputs_klasse_qty[[#This Row],[forbolting_bueområde_g]]=_List!$DQ$7,_Calcs_Klasse!$AI$46*$BN115,IF(outputs_klasse_qty[[#This Row],[forbolting_bueområde_g]]=_List!$DQ$8,$AI$40*$BN115)),0)</f>
        <v>0</v>
      </c>
      <c r="JE40" s="5856" t="e">
        <f>IF(outputs_klasse_qty[[#This Row],[forbolting_bueområde_g]]=_List!$DQ$7,($AI$46*BN115)/outputs_klasse_qty[[#This Row],[forbolting_senteravstand_g]]*outputs_klasse_qty[[#This Row],[forbolting_andel_g]],IF(outputs_klasse_qty[[#This Row],[forbolting_bueområde_g]]=_List!$DQ$8,($AI$40*BN115)/outputs_klasse_qty[[#This Row],[forbolting_senteravstand_g]]*outputs_klasse_qty[[#This Row],[forbolting_andel_g]],0))</f>
        <v>#N/A</v>
      </c>
      <c r="JF40" s="3453">
        <f>IFERROR(outputs_klasse_qty[[#This Row],[forbolting_bolter_output_a]]*$AQC$42,0)</f>
        <v>0</v>
      </c>
      <c r="JG40" s="3453">
        <f>IFERROR(outputs_klasse_qty[[#This Row],[forbolting_bolter_output_a]]*$AQL$42,0)</f>
        <v>0</v>
      </c>
      <c r="JH40" s="3453">
        <f>IFERROR(outputs_klasse_qty[[#This Row],[forbolting_bolter_output_b]]*$AQC$43,0)</f>
        <v>0</v>
      </c>
      <c r="JI40" s="3453">
        <f>IFERROR(outputs_klasse_qty[[#This Row],[forbolting_bolter_output_b]]*$AQL$43,0)</f>
        <v>0</v>
      </c>
      <c r="JJ40" s="3453">
        <f>IFERROR(outputs_klasse_qty[[#This Row],[forbolting_bolter_output_c]]*$AQC$44,0)</f>
        <v>0</v>
      </c>
      <c r="JK40" s="3453">
        <f>IFERROR(outputs_klasse_qty[[#This Row],[forbolting_bolter_output_c]]*$AQL$44,0)</f>
        <v>0</v>
      </c>
      <c r="JL40" s="3453">
        <f>IFERROR(outputs_klasse_qty[[#This Row],[forbolting_bolter_output_d]]*$AQC$45,0)</f>
        <v>0</v>
      </c>
      <c r="JM40" s="3453">
        <f>IFERROR(outputs_klasse_qty[[#This Row],[forbolting_bolter_output_d]]*$AQL$45,0)</f>
        <v>0</v>
      </c>
      <c r="JN40" s="3453">
        <f>IFERROR(outputs_klasse_qty[[#This Row],[forbolting_bolter_output_e1]]*$AQC$46,0)</f>
        <v>0</v>
      </c>
      <c r="JO40" s="3453">
        <f>IFERROR(outputs_klasse_qty[[#This Row],[forbolting_bolter_output_e1]]*$AQL$46,0)</f>
        <v>0</v>
      </c>
      <c r="JP40" s="3453">
        <f>IFERROR(outputs_klasse_qty[[#This Row],[forbolting_bolter_output_e2]]*$AQC$47,0)</f>
        <v>0</v>
      </c>
      <c r="JQ40" s="3453">
        <f>IFERROR(outputs_klasse_qty[[#This Row],[forbolting_bolter_output_e2]]*$AQL$47,0)</f>
        <v>0</v>
      </c>
      <c r="JR40" s="3453">
        <f>IFERROR(outputs_klasse_qty[[#This Row],[forbolting_bolter_output_f]]*$AQC$48,0)</f>
        <v>0</v>
      </c>
      <c r="JS40" s="3453">
        <f>IFERROR(outputs_klasse_qty[[#This Row],[forbolting_bolter_output_f]]*$AQL$48,0)</f>
        <v>0</v>
      </c>
      <c r="JT40" s="3453">
        <f>IFERROR(outputs_klasse_qty[[#This Row],[forbolting_bolter_output_g]]*$AQC$49,0)</f>
        <v>0</v>
      </c>
      <c r="JU40" s="3453">
        <f>IFERROR(outputs_klasse_qty[[#This Row],[forbolting_bolter_output_g]]*$AQL$49,0)</f>
        <v>0</v>
      </c>
      <c r="JV40" s="5857">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40" s="5857">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40" s="5819" t="e">
        <f t="shared" si="29"/>
        <v>#N/A</v>
      </c>
      <c r="JY40" s="5856" t="e">
        <f>IF(outputs_klasse_qty[[#This Row],[forbolting_bueområde_a]]=_List!$DQ$7,($AI$46*BG115)/outputs_klasse_qty[[#This Row],[opphengbolter_senteravstand_a]]*outputs_klasse_qty[[#This Row],[forbolting_andel_a]],IF(outputs_klasse_qty[[#This Row],[forbolting_bueområde_a]]=_List!$DQ$8,($AI$40*BG115)/outputs_klasse_qty[[#This Row],[opphengbolter_senteravstand_a]]*outputs_klasse_qty[[#This Row],[forbolting_andel_a]],0))</f>
        <v>#N/A</v>
      </c>
      <c r="JZ40" s="5819" t="e">
        <f t="shared" si="30"/>
        <v>#N/A</v>
      </c>
      <c r="KA40" s="5856">
        <f>IF(outputs_klasse_qty[[#This Row],[forbolting_bueområde_b]]=_List!$DQ$7,($AI$46*BH115)/outputs_klasse_qty[[#This Row],[opphengbolter_senteravstand_b]]*outputs_klasse_qty[[#This Row],[forbolting_andel_b]],IF(outputs_klasse_qty[[#This Row],[forbolting_bueområde_b]]=_List!$DQ$8,($AI$40*BH115)/outputs_klasse_qty[[#This Row],[opphengbolter_senteravstand_b]]*outputs_klasse_qty[[#This Row],[forbolting_andel_b]],0))</f>
        <v>0</v>
      </c>
      <c r="KB40" s="5819" t="e">
        <f t="shared" si="31"/>
        <v>#N/A</v>
      </c>
      <c r="KC40" s="5856">
        <f>IF(outputs_klasse_qty[[#This Row],[forbolting_bueområde_c]]=_List!$DQ$7,($AI$46*BI115)/outputs_klasse_qty[[#This Row],[opphengbolter_senteravstand_c]]*outputs_klasse_qty[[#This Row],[forbolting_andel_c]],IF(outputs_klasse_qty[[#This Row],[forbolting_bueområde_c]]=_List!$DQ$8,($AI$40*BI115)/outputs_klasse_qty[[#This Row],[opphengbolter_senteravstand_c]]*outputs_klasse_qty[[#This Row],[forbolting_andel_c]],0))</f>
        <v>0</v>
      </c>
      <c r="KD40" s="5819" t="e">
        <f t="shared" si="32"/>
        <v>#N/A</v>
      </c>
      <c r="KE40" s="5856" t="e">
        <f>IF(outputs_klasse_qty[[#This Row],[forbolting_bueområde_d]]=_List!$DQ$7,($AI$46*BJ115)/outputs_klasse_qty[[#This Row],[opphengbolter_senteravstand_d]]*outputs_klasse_qty[[#This Row],[forbolting_andel_d]],IF(outputs_klasse_qty[[#This Row],[forbolting_bueområde_d]]=_List!$DQ$8,($AI$40*BJ115)/outputs_klasse_qty[[#This Row],[opphengbolter_senteravstand_d]]*outputs_klasse_qty[[#This Row],[forbolting_andel_d]],0))</f>
        <v>#N/A</v>
      </c>
      <c r="KF40" s="5819" t="e">
        <f t="shared" si="33"/>
        <v>#N/A</v>
      </c>
      <c r="KG40" s="5856" t="e">
        <f>IF(outputs_klasse_qty[[#This Row],[forbolting_bueområde_e1]]=_List!$DQ$7,($AI$46*BK115)/outputs_klasse_qty[[#This Row],[opphengbolter_senteravstand_e1]]*outputs_klasse_qty[[#This Row],[forbolting_andel_e1]],IF(outputs_klasse_qty[[#This Row],[forbolting_bueområde_e1]]=_List!$DQ$8,($AI$40*BK115)/outputs_klasse_qty[[#This Row],[opphengbolter_senteravstand_e1]]*outputs_klasse_qty[[#This Row],[forbolting_andel_e1]],0))</f>
        <v>#N/A</v>
      </c>
      <c r="KH40" s="5819" t="e">
        <f t="shared" si="34"/>
        <v>#N/A</v>
      </c>
      <c r="KI40" s="5856" t="e">
        <f>IF(outputs_klasse_qty[[#This Row],[forbolting_bueområde_e2]]=_List!$DQ$7,($AI$46*BL115)/outputs_klasse_qty[[#This Row],[opphengbolter_senteravstand_e2]]*outputs_klasse_qty[[#This Row],[forbolting_andel_e2]],IF(outputs_klasse_qty[[#This Row],[forbolting_bueområde_e2]]=_List!$DQ$8,($AI$40*BL115)/outputs_klasse_qty[[#This Row],[opphengbolter_senteravstand_e2]]*outputs_klasse_qty[[#This Row],[forbolting_andel_e2]],0))</f>
        <v>#N/A</v>
      </c>
      <c r="KJ40" s="5819" t="e">
        <f t="shared" si="35"/>
        <v>#N/A</v>
      </c>
      <c r="KK40" s="5856" t="e">
        <f>IF(outputs_klasse_qty[[#This Row],[forbolting_bueområde_f]]=_List!$DQ$7,($AI$46*BM115)/outputs_klasse_qty[[#This Row],[opphengbolter_senteravstand_f]]*outputs_klasse_qty[[#This Row],[forbolting_andel_f]],IF(outputs_klasse_qty[[#This Row],[forbolting_bueområde_f]]=_List!$DQ$8,($AI$40*BM115)/outputs_klasse_qty[[#This Row],[opphengbolter_senteravstand_f]]*outputs_klasse_qty[[#This Row],[forbolting_andel_f]],0))</f>
        <v>#N/A</v>
      </c>
      <c r="KL40" s="5819" t="e">
        <f t="shared" si="36"/>
        <v>#N/A</v>
      </c>
      <c r="KM40" s="5856" t="e">
        <f>IF(outputs_klasse_qty[[#This Row],[forbolting_bueområde_g]]=_List!$DQ$7,($AI$46*BN115)/outputs_klasse_qty[[#This Row],[opphengbolter_senteravstand_g]]*outputs_klasse_qty[[#This Row],[forbolting_andel_g]],IF(outputs_klasse_qty[[#This Row],[forbolting_bueområde_g]]=_List!$DQ$8,($AI$40*BN115)/outputs_klasse_qty[[#This Row],[opphengbolter_senteravstand_g]]*outputs_klasse_qty[[#This Row],[forbolting_andel_g]],0))</f>
        <v>#N/A</v>
      </c>
      <c r="KN40" s="5819">
        <f>IFERROR(outputs_klasse_qty[[#This Row],[opphengbolter_output_a]]*$ARC$42,0)</f>
        <v>0</v>
      </c>
      <c r="KO40" s="5819">
        <f>IFERROR(outputs_klasse_qty[[#This Row],[opphengbolter_output_a]]*$ARL$42,0)</f>
        <v>0</v>
      </c>
      <c r="KP40" s="5819">
        <f>IFERROR(outputs_klasse_qty[[#This Row],[opphengbolter_output_b]]*$ARC$43,0)</f>
        <v>0</v>
      </c>
      <c r="KQ40" s="5819">
        <f>IFERROR(outputs_klasse_qty[[#This Row],[opphengbolter_output_b]]*$ARL$43,0)</f>
        <v>0</v>
      </c>
      <c r="KR40" s="5819">
        <f>IFERROR(outputs_klasse_qty[[#This Row],[opphengbolter_output_c]]*$ARC$44,0)</f>
        <v>0</v>
      </c>
      <c r="KS40" s="5819">
        <f>IFERROR(outputs_klasse_qty[[#This Row],[opphengbolter_output_c]]*$ARL$44,0)</f>
        <v>0</v>
      </c>
      <c r="KT40" s="5819">
        <f>IFERROR(outputs_klasse_qty[[#This Row],[opphengbolter_output_d]]*$ARC$45,0)</f>
        <v>0</v>
      </c>
      <c r="KU40" s="5819">
        <f>IFERROR(outputs_klasse_qty[[#This Row],[opphengbolter_output_d]]*$ARL$45,0)</f>
        <v>0</v>
      </c>
      <c r="KV40" s="5819">
        <f>IFERROR(outputs_klasse_qty[[#This Row],[opphengbolter_output_e1]]*$ARC$46,0)</f>
        <v>0</v>
      </c>
      <c r="KW40" s="5819">
        <f>IFERROR(outputs_klasse_qty[[#This Row],[opphengbolter_output_e1]]*$ARL$46,0)</f>
        <v>0</v>
      </c>
      <c r="KX40" s="5819">
        <f>IFERROR(outputs_klasse_qty[[#This Row],[opphengbolter_output_e2]]*$ARC$47,0)</f>
        <v>0</v>
      </c>
      <c r="KY40" s="5819">
        <f>IFERROR(outputs_klasse_qty[[#This Row],[opphengbolter_output_e2]]*$ARL$47,0)</f>
        <v>0</v>
      </c>
      <c r="KZ40" s="5819">
        <f>IFERROR(outputs_klasse_qty[[#This Row],[opphengbolter_output_f]]*$ARC$48,0)</f>
        <v>0</v>
      </c>
      <c r="LA40" s="5819">
        <f>IFERROR(outputs_klasse_qty[[#This Row],[opphengbolter_output_f]]*$ARL$48,0)</f>
        <v>0</v>
      </c>
      <c r="LB40" s="5819">
        <f>IFERROR(outputs_klasse_qty[[#This Row],[opphengbolter_output_g]]*$ARC$49,0)</f>
        <v>0</v>
      </c>
      <c r="LC40" s="5819">
        <f>IFERROR(outputs_klasse_qty[[#This Row],[opphengbolter_output_g]]*$ARL$49,0)</f>
        <v>0</v>
      </c>
      <c r="LD40" s="5858">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40" s="5858">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40" s="5712" cm="1">
        <f t="array" ref="LF40">IF($AK$217=klasse_bånd[Method],$LF$28,IF($AK$217="",$LF$29,0))</f>
        <v>1</v>
      </c>
      <c r="LG40" s="3453">
        <f t="shared" si="110"/>
        <v>1.5</v>
      </c>
      <c r="LH40" s="3453">
        <f>IFERROR(outputs_klasse_qty[[#This Row],[bergbånd_langs_forbolting_a_rate]]*outputs_klasse_qty[[#This Row],[forbolting_bue_lengde_a]],0)</f>
        <v>0</v>
      </c>
      <c r="LI40" s="3453">
        <f t="shared" si="111"/>
        <v>2</v>
      </c>
      <c r="LJ40" s="3453">
        <f>IFERROR(outputs_klasse_qty[[#This Row],[bergbånd_langs_forbolting_b_rate]]*outputs_klasse_qty[[#This Row],[forbolting_bue_lengde_b]],0)</f>
        <v>0</v>
      </c>
      <c r="LK40" s="3453">
        <f t="shared" si="112"/>
        <v>2</v>
      </c>
      <c r="LL40" s="3453">
        <f>IFERROR(outputs_klasse_qty[[#This Row],[bergbånd_langs_forbolting_c_rate]]*outputs_klasse_qty[[#This Row],[forbolting_bue_lengde_c]],0)</f>
        <v>0</v>
      </c>
      <c r="LM40" s="3453">
        <f t="shared" si="113"/>
        <v>2</v>
      </c>
      <c r="LN40" s="3453">
        <f>IFERROR(outputs_klasse_qty[[#This Row],[bergbånd_langs_forbolting_d_rate]]*outputs_klasse_qty[[#This Row],[forbolting_bue_lengde_d]],0)</f>
        <v>0</v>
      </c>
      <c r="LO40" s="3453">
        <f t="shared" si="114"/>
        <v>2</v>
      </c>
      <c r="LP40" s="3453">
        <f>IFERROR(outputs_klasse_qty[[#This Row],[bergbånd_langs_forbolting_e1_rate]]*outputs_klasse_qty[[#This Row],[forbolting_bue_lengde_e1]],0)</f>
        <v>0</v>
      </c>
      <c r="LQ40" s="3453">
        <f t="shared" si="115"/>
        <v>2</v>
      </c>
      <c r="LR40" s="3453">
        <f>IFERROR(outputs_klasse_qty[[#This Row],[bergbånd_langs_forbolting_e2_rate]]*outputs_klasse_qty[[#This Row],[forbolting_bue_lengde_e2]],0)</f>
        <v>0</v>
      </c>
      <c r="LS40" s="3453" t="e">
        <f t="shared" si="116"/>
        <v>#N/A</v>
      </c>
      <c r="LT40" s="3453">
        <f>IFERROR(outputs_klasse_qty[[#This Row],[bergbånd_langs_forbolting_f_rate]]*outputs_klasse_qty[[#This Row],[forbolting_bue_lengde_f]],0)</f>
        <v>0</v>
      </c>
      <c r="LU40" s="3453" t="e">
        <f t="shared" si="117"/>
        <v>#N/A</v>
      </c>
      <c r="LV40" s="3453">
        <f>IFERROR(outputs_klasse_qty[[#This Row],[bergbånd_langs_forbolting_g_rate]]*outputs_klasse_qty[[#This Row],[forbolting_bue_lengde_g]],0)</f>
        <v>0</v>
      </c>
      <c r="LW40"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40" s="3453" t="e">
        <f t="shared" si="37"/>
        <v>#N/A</v>
      </c>
      <c r="LY40" s="5703">
        <f>IFERROR(outputs_klasse_qty[[#This Row],[bånd_ekstra_a_rate]]*$AY92,0)</f>
        <v>0</v>
      </c>
      <c r="LZ40" s="3453" t="e">
        <f t="shared" si="38"/>
        <v>#N/A</v>
      </c>
      <c r="MA40" s="5703">
        <f>IFERROR(outputs_klasse_qty[[#This Row],[bånd_ekstra_b_rate]]*$AZ92,0)</f>
        <v>0</v>
      </c>
      <c r="MB40" s="3453" t="e">
        <f t="shared" si="39"/>
        <v>#N/A</v>
      </c>
      <c r="MC40" s="5703">
        <f>IFERROR(outputs_klasse_qty[[#This Row],[bånd_ekstra_c_rate]]*$BA92,0)</f>
        <v>0</v>
      </c>
      <c r="MD40" s="3453" t="e">
        <f t="shared" si="40"/>
        <v>#N/A</v>
      </c>
      <c r="ME40" s="5703">
        <f>IFERROR(outputs_klasse_qty[[#This Row],[bånd_ekstra_d_rate]]*$BB92,0)</f>
        <v>0</v>
      </c>
      <c r="MF40" s="3453" t="e">
        <f t="shared" si="41"/>
        <v>#N/A</v>
      </c>
      <c r="MG40" s="5703">
        <f>IFERROR(outputs_klasse_qty[[#This Row],[bånd_ekstra_e1_rate]]*$BC92,0)</f>
        <v>0</v>
      </c>
      <c r="MH40" s="3453" t="e">
        <f t="shared" si="42"/>
        <v>#N/A</v>
      </c>
      <c r="MI40" s="5703">
        <f>IFERROR(outputs_klasse_qty[[#This Row],[bånd_ekstra_e2_rate]]*$BD92,0)</f>
        <v>0</v>
      </c>
      <c r="MJ40" s="3453" t="e">
        <f t="shared" si="43"/>
        <v>#N/A</v>
      </c>
      <c r="MK40" s="5703">
        <f>IFERROR(outputs_klasse_qty[[#This Row],[bånd_ekstra_f_rate]]*$BE92,0)</f>
        <v>0</v>
      </c>
      <c r="ML40" s="3453" t="e">
        <f t="shared" si="44"/>
        <v>#N/A</v>
      </c>
      <c r="MM40" s="5703">
        <f>IFERROR(outputs_klasse_qty[[#This Row],[bånd_ekstra_g_rate]]*$BF92,0)</f>
        <v>0</v>
      </c>
      <c r="MN40"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40" s="5705">
        <f>outputs_klasse_qty[[#This Row],[bergbånd_langs_forbolting_a_output]]+outputs_klasse_qty[[#This Row],[bånd_ekstra_a_output]]</f>
        <v>0</v>
      </c>
      <c r="MP40" s="5705">
        <f>outputs_klasse_qty[[#This Row],[bergbånd_langs_forbolting_b_output]]+outputs_klasse_qty[[#This Row],[bånd_ekstra_b_output]]</f>
        <v>0</v>
      </c>
      <c r="MQ40" s="5705">
        <f>outputs_klasse_qty[[#This Row],[bergbånd_langs_forbolting_c_output]]+outputs_klasse_qty[[#This Row],[bånd_ekstra_c_output]]</f>
        <v>0</v>
      </c>
      <c r="MR40" s="5705">
        <f>outputs_klasse_qty[[#This Row],[bergbånd_langs_forbolting_d_output]]+outputs_klasse_qty[[#This Row],[bånd_ekstra_d_output]]</f>
        <v>0</v>
      </c>
      <c r="MS40" s="5705">
        <f>outputs_klasse_qty[[#This Row],[bergbånd_langs_forbolting_e1_output]]+outputs_klasse_qty[[#This Row],[bånd_ekstra_e1_output]]</f>
        <v>0</v>
      </c>
      <c r="MT40" s="5705">
        <f>outputs_klasse_qty[[#This Row],[bergbånd_langs_forbolting_e2_output]]+outputs_klasse_qty[[#This Row],[bånd_ekstra_e2_output]]</f>
        <v>0</v>
      </c>
      <c r="MU40" s="5705">
        <f>outputs_klasse_qty[[#This Row],[bergbånd_langs_forbolting_f_output]]+outputs_klasse_qty[[#This Row],[bånd_ekstra_f_output]]</f>
        <v>0</v>
      </c>
      <c r="MV40" s="5705">
        <f>outputs_klasse_qty[[#This Row],[bergbånd_langs_forbolting_g_output]]+outputs_klasse_qty[[#This Row],[bånd_ekstra_g_output]]</f>
        <v>0</v>
      </c>
      <c r="MW40" s="5706">
        <f>SUM(outputs_klasse_qty[[#This Row],[bergbånd_sum_a]:[bergbånd_sum_g]])</f>
        <v>0</v>
      </c>
      <c r="MX40" s="3453" t="e">
        <f t="shared" si="45"/>
        <v>#N/A</v>
      </c>
      <c r="MY40" s="5707">
        <f>IFERROR(outputs_klasse_qty[[#This Row],[bergbånd_sum_a]]/outputs_klasse_qty[[#This Row],[festebolter_for_bergbånd_a_senteravstand]],0)</f>
        <v>0</v>
      </c>
      <c r="MZ40" s="3453" t="e">
        <f t="shared" si="46"/>
        <v>#N/A</v>
      </c>
      <c r="NA40" s="5707">
        <f>IFERROR(outputs_klasse_qty[[#This Row],[bergbånd_sum_b]]/outputs_klasse_qty[[#This Row],[festebolter_for_bergbånd_b_senteravstand]],0)</f>
        <v>0</v>
      </c>
      <c r="NB40" s="3453" t="e">
        <f t="shared" si="47"/>
        <v>#N/A</v>
      </c>
      <c r="NC40" s="5707">
        <f>IFERROR(outputs_klasse_qty[[#This Row],[bergbånd_sum_c]]/outputs_klasse_qty[[#This Row],[festebolter_for_bergbånd_c_senteravstand]],0)</f>
        <v>0</v>
      </c>
      <c r="ND40" s="3453" t="e">
        <f t="shared" si="48"/>
        <v>#N/A</v>
      </c>
      <c r="NE40" s="5707">
        <f>IFERROR(outputs_klasse_qty[[#This Row],[bergbånd_sum_d]]/outputs_klasse_qty[[#This Row],[festebolter_for_bergbånd_d_senteravstand]],0)</f>
        <v>0</v>
      </c>
      <c r="NF40" s="3453" t="e">
        <f t="shared" si="49"/>
        <v>#N/A</v>
      </c>
      <c r="NG40" s="5707">
        <f>IFERROR(outputs_klasse_qty[[#This Row],[bergbånd_sum_e1]]/outputs_klasse_qty[[#This Row],[festebolter_for_bergbånd_e1_senteravstand]],0)</f>
        <v>0</v>
      </c>
      <c r="NH40" s="3453" t="e">
        <f t="shared" si="50"/>
        <v>#N/A</v>
      </c>
      <c r="NI40" s="5707">
        <f>IFERROR(outputs_klasse_qty[[#This Row],[bergbånd_sum_e2]]/outputs_klasse_qty[[#This Row],[festebolter_for_bergbånd_e2_senteravstand]],0)</f>
        <v>0</v>
      </c>
      <c r="NJ40" s="3453" t="e">
        <f t="shared" si="51"/>
        <v>#N/A</v>
      </c>
      <c r="NK40" s="5707">
        <f>IFERROR(outputs_klasse_qty[[#This Row],[bergbånd_sum_f]]/outputs_klasse_qty[[#This Row],[festebolter_for_bergbånd_f_senteravstand]],0)</f>
        <v>0</v>
      </c>
      <c r="NL40" s="3453" t="e">
        <f t="shared" si="52"/>
        <v>#N/A</v>
      </c>
      <c r="NM40" s="5707">
        <f>IFERROR(outputs_klasse_qty[[#This Row],[bergbånd_sum_g]]/outputs_klasse_qty[[#This Row],[festebolter_for_bergbånd_g_senteravstand]],0)</f>
        <v>0</v>
      </c>
      <c r="NN40"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40" s="3453"/>
      <c r="NP40" s="3453"/>
      <c r="NQ40" s="3453"/>
      <c r="NR40" s="3453"/>
      <c r="NS40" s="3453"/>
      <c r="NT40" s="3453"/>
      <c r="NU40" s="3453"/>
      <c r="NV40" s="3453"/>
      <c r="NW40" s="3453"/>
      <c r="NX40" s="3453"/>
      <c r="NY40" s="3453"/>
      <c r="NZ40" s="3453"/>
      <c r="OA40" s="3453"/>
      <c r="OB40" s="3453"/>
      <c r="OC40" s="3453"/>
      <c r="OD40" s="3453"/>
      <c r="OE40" s="3453"/>
      <c r="OF40" s="3453"/>
      <c r="OG40" s="3453"/>
      <c r="OH40" s="3453"/>
      <c r="OI40" s="5712" cm="1">
        <f t="array" ref="OI40">IF($AK$218=klasse_net[Method],$OI$28,IF($AK$218="",$OI$29,0))</f>
        <v>1</v>
      </c>
      <c r="OJ40" s="3453" t="e">
        <f t="shared" si="118"/>
        <v>#N/A</v>
      </c>
      <c r="OK40" s="5720">
        <f>IFERROR(outputs_klasse_qty[[#This Row],[nett_a_rate]]*$AY92,0)</f>
        <v>0</v>
      </c>
      <c r="OL40" s="3453" t="e">
        <f t="shared" si="119"/>
        <v>#N/A</v>
      </c>
      <c r="OM40" s="5720">
        <f>IFERROR(outputs_klasse_qty[[#This Row],[nett_b_rate]]*$AZ92,0)</f>
        <v>0</v>
      </c>
      <c r="ON40" s="3453" t="e">
        <f t="shared" si="120"/>
        <v>#N/A</v>
      </c>
      <c r="OO40" s="5720">
        <f>IFERROR(outputs_klasse_qty[[#This Row],[nett_c_rate]]*$BA92,0)</f>
        <v>0</v>
      </c>
      <c r="OP40" s="3453" t="e">
        <f t="shared" si="121"/>
        <v>#N/A</v>
      </c>
      <c r="OQ40" s="5720">
        <f>IFERROR(outputs_klasse_qty[[#This Row],[nett_d_rate]]*$BB92,0)</f>
        <v>0</v>
      </c>
      <c r="OR40" s="3453" t="e">
        <f t="shared" si="122"/>
        <v>#N/A</v>
      </c>
      <c r="OS40" s="5720">
        <f>IFERROR(outputs_klasse_qty[[#This Row],[nett_e1_rate]]*$BC92,0)</f>
        <v>0</v>
      </c>
      <c r="OT40" s="3453" t="e">
        <f t="shared" si="123"/>
        <v>#N/A</v>
      </c>
      <c r="OU40" s="5720">
        <f>IFERROR(outputs_klasse_qty[[#This Row],[nett_e2_rate]]*$BD92,0)</f>
        <v>0</v>
      </c>
      <c r="OV40" s="3453" t="e">
        <f t="shared" si="124"/>
        <v>#N/A</v>
      </c>
      <c r="OW40" s="5720">
        <f>IFERROR(outputs_klasse_qty[[#This Row],[nett_f_rate]]*$BE92,0)</f>
        <v>0</v>
      </c>
      <c r="OX40" s="3453" t="e">
        <f t="shared" si="125"/>
        <v>#N/A</v>
      </c>
      <c r="OY40" s="5720">
        <f>IFERROR(outputs_klasse_qty[[#This Row],[nett_g_rate]]*$BF92,0)</f>
        <v>0</v>
      </c>
      <c r="OZ40" s="5709">
        <f t="shared" si="126"/>
        <v>0</v>
      </c>
      <c r="PA40" s="3453" t="e">
        <f t="shared" si="53"/>
        <v>#N/A</v>
      </c>
      <c r="PB40" s="5618">
        <f>IFERROR(outputs_klasse_qty[[#This Row],[nett_a_output]]/(outputs_klasse_qty[[#This Row],[festebolter_for_nett_senteravstand_a]]^2),0)</f>
        <v>0</v>
      </c>
      <c r="PC40" s="3453" t="e">
        <f t="shared" si="54"/>
        <v>#N/A</v>
      </c>
      <c r="PD40" s="5618">
        <f>IFERROR(outputs_klasse_qty[[#This Row],[nett_b_output]]/(outputs_klasse_qty[[#This Row],[festebolter_for_nett_senteravstand_b]]^2),0)</f>
        <v>0</v>
      </c>
      <c r="PE40" s="3453" t="e">
        <f t="shared" si="55"/>
        <v>#N/A</v>
      </c>
      <c r="PF40" s="5618">
        <f>IFERROR(outputs_klasse_qty[[#This Row],[nett_c_output]]/(outputs_klasse_qty[[#This Row],[festebolter_for_nett_senteravstand_c]]^2),0)</f>
        <v>0</v>
      </c>
      <c r="PG40" s="3453" t="e">
        <f t="shared" si="56"/>
        <v>#N/A</v>
      </c>
      <c r="PH40" s="5618">
        <f>IFERROR(outputs_klasse_qty[[#This Row],[nett_d_output]]/(outputs_klasse_qty[[#This Row],[festebolter_for_nett_senteravstand_d]]^2),0)</f>
        <v>0</v>
      </c>
      <c r="PI40" s="3453" t="e">
        <f t="shared" si="57"/>
        <v>#N/A</v>
      </c>
      <c r="PJ40" s="5618">
        <f>IFERROR(outputs_klasse_qty[[#This Row],[nett_e1_output]]/(outputs_klasse_qty[[#This Row],[festebolter_for_nett_senteravstand_e1]]^2),0)</f>
        <v>0</v>
      </c>
      <c r="PK40" s="3453" t="e">
        <f t="shared" si="58"/>
        <v>#N/A</v>
      </c>
      <c r="PL40" s="5618">
        <f>IFERROR(outputs_klasse_qty[[#This Row],[nett_e2_output]]/(outputs_klasse_qty[[#This Row],[festebolter_for_nett_senteravstand_e2]]^2),0)</f>
        <v>0</v>
      </c>
      <c r="PM40" s="3453" t="e">
        <f t="shared" si="59"/>
        <v>#N/A</v>
      </c>
      <c r="PN40" s="5618">
        <f>IFERROR(outputs_klasse_qty[[#This Row],[nett_f_output]]/(outputs_klasse_qty[[#This Row],[festebolter_for_nett_senteravstand_f]]^2),0)</f>
        <v>0</v>
      </c>
      <c r="PO40" s="3453" t="e">
        <f t="shared" si="60"/>
        <v>#N/A</v>
      </c>
      <c r="PP40" s="5618">
        <f>IFERROR(outputs_klasse_qty[[#This Row],[nett_g_output]]/(outputs_klasse_qty[[#This Row],[festebolter_for_nett_senteravstand_g]]^2),0)</f>
        <v>0</v>
      </c>
      <c r="PQ40"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40" s="3453" t="e">
        <f t="shared" si="77"/>
        <v>#N/A</v>
      </c>
      <c r="PS40" s="5710" t="e">
        <f>outputs_klasse_qty[[#This Row],[nett_a_output]]*outputs_klasse_qty[[#This Row],[sprøytebetong_ved_nett_tykkelse_a]]/1000</f>
        <v>#N/A</v>
      </c>
      <c r="PT40" s="3453" t="e">
        <f t="shared" si="78"/>
        <v>#N/A</v>
      </c>
      <c r="PU40" s="5710" t="e">
        <f>outputs_klasse_qty[[#This Row],[nett_b_output]]*outputs_klasse_qty[[#This Row],[sprøytebetong_ved_nett_tykkelse_b]]/1000</f>
        <v>#N/A</v>
      </c>
      <c r="PV40" s="3453" t="e">
        <f t="shared" si="79"/>
        <v>#N/A</v>
      </c>
      <c r="PW40" s="5710" t="e">
        <f>outputs_klasse_qty[[#This Row],[nett_c_output]]*outputs_klasse_qty[[#This Row],[sprøytebetong_ved_nett_tykkelse_c]]/1000</f>
        <v>#N/A</v>
      </c>
      <c r="PX40" s="3453" t="e">
        <f t="shared" si="80"/>
        <v>#N/A</v>
      </c>
      <c r="PY40" s="5710" t="e">
        <f>outputs_klasse_qty[[#This Row],[nett_d_output]]*outputs_klasse_qty[[#This Row],[sprøytebetong_ved_nett_tykkelse_d]]/1000</f>
        <v>#N/A</v>
      </c>
      <c r="PZ40" s="3453" t="e">
        <f t="shared" si="81"/>
        <v>#N/A</v>
      </c>
      <c r="QA40" s="5710" t="e">
        <f>outputs_klasse_qty[[#This Row],[nett_e1_output]]*outputs_klasse_qty[[#This Row],[sprøytebetong_ved_nett_tykkelse_e1]]/1000</f>
        <v>#N/A</v>
      </c>
      <c r="QB40" s="3453" t="e">
        <f t="shared" si="82"/>
        <v>#N/A</v>
      </c>
      <c r="QC40" s="5710" t="e">
        <f>outputs_klasse_qty[[#This Row],[nett_e2_output]]*outputs_klasse_qty[[#This Row],[sprøytebetong_ved_nett_tykkelse_e2]]/1000</f>
        <v>#N/A</v>
      </c>
      <c r="QD40" s="3453" t="e">
        <f t="shared" si="83"/>
        <v>#N/A</v>
      </c>
      <c r="QE40" s="5710" t="e">
        <f>outputs_klasse_qty[[#This Row],[nett_f_output]]*outputs_klasse_qty[[#This Row],[sprøytebetong_ved_nett_tykkelse_f]]/1000</f>
        <v>#N/A</v>
      </c>
      <c r="QF40" s="3453" t="e">
        <f t="shared" si="84"/>
        <v>#N/A</v>
      </c>
      <c r="QG40" s="5710" t="e">
        <f>outputs_klasse_qty[[#This Row],[nett_g_output]]*outputs_klasse_qty[[#This Row],[sprøytebetong_ved_nett_tykkelse_g]]/1000</f>
        <v>#N/A</v>
      </c>
      <c r="QH40"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40" s="3453"/>
      <c r="QJ40" s="3453"/>
      <c r="QK40" s="3453"/>
      <c r="QL40" s="3453"/>
      <c r="QM40" s="3453"/>
      <c r="QN40" s="3453"/>
      <c r="QO40" s="3453"/>
      <c r="QP40" s="3453"/>
      <c r="QQ40" s="3453"/>
      <c r="QR40" s="5712">
        <f>IF($AK$219=_List!$DI$6,_Calcs_Klasse!$QR$28,IF($AK$219=_List!$DI$7,$QR$29,0))</f>
        <v>1</v>
      </c>
      <c r="QS40" s="5713" t="e">
        <f t="shared" si="127"/>
        <v>#N/A</v>
      </c>
      <c r="QT40" s="3453" t="e">
        <f t="shared" si="128"/>
        <v>#N/A</v>
      </c>
      <c r="QU40" s="3453">
        <f>IFERROR((outputs_klasse_qty[[#This Row],[shot_veder_a_faktor]]*outputs_klasse_qty[[#This Row],[shot_veder_a_rate]]*$AI$46*$AY92)/1000,0)</f>
        <v>0</v>
      </c>
      <c r="QV40" s="5713" t="e">
        <f t="shared" si="129"/>
        <v>#N/A</v>
      </c>
      <c r="QW40" s="3453" t="e">
        <f t="shared" si="130"/>
        <v>#N/A</v>
      </c>
      <c r="QX40" s="3453">
        <f>IFERROR((outputs_klasse_qty[[#This Row],[shot_veder_b_faktor]]*outputs_klasse_qty[[#This Row],[shot_veder_b_rate]]*$AI$46*$AZ92)/1000,0)</f>
        <v>0</v>
      </c>
      <c r="QY40" s="5713" t="e">
        <f t="shared" si="131"/>
        <v>#N/A</v>
      </c>
      <c r="QZ40" s="3453" t="e">
        <f t="shared" si="132"/>
        <v>#N/A</v>
      </c>
      <c r="RA40" s="3453">
        <f>IFERROR((outputs_klasse_qty[[#This Row],[shot_veder_c_faktor]]*outputs_klasse_qty[[#This Row],[shot_veder_c_rate]]*$AI$46*$BA92)/1000,0)</f>
        <v>0</v>
      </c>
      <c r="RB40" s="5713" t="e">
        <f t="shared" si="133"/>
        <v>#N/A</v>
      </c>
      <c r="RC40" s="3453" t="e">
        <f t="shared" si="134"/>
        <v>#N/A</v>
      </c>
      <c r="RD40" s="3453">
        <f>IFERROR((outputs_klasse_qty[[#This Row],[shot_veder_d_faktor]]*outputs_klasse_qty[[#This Row],[shot_veder_d_rate]]*$AI$46*$BB92)/1000,0)</f>
        <v>0</v>
      </c>
      <c r="RE40" s="5713" t="e">
        <f t="shared" si="135"/>
        <v>#N/A</v>
      </c>
      <c r="RF40" s="3453" t="e">
        <f t="shared" si="136"/>
        <v>#N/A</v>
      </c>
      <c r="RG40" s="3453">
        <f>IFERROR((outputs_klasse_qty[[#This Row],[shot_veder_e1_faktor]]*outputs_klasse_qty[[#This Row],[shot_veder_e1_rate]]*$AI$46*$BC92)/1000,0)</f>
        <v>0</v>
      </c>
      <c r="RH40" s="5713" t="e">
        <f t="shared" si="137"/>
        <v>#N/A</v>
      </c>
      <c r="RI40" s="3453" t="e">
        <f t="shared" si="138"/>
        <v>#N/A</v>
      </c>
      <c r="RJ40" s="3453">
        <f>IFERROR((outputs_klasse_qty[[#This Row],[shot_veder_e2_faktor]]*outputs_klasse_qty[[#This Row],[shot_veder_e2_rate]]*$AI$46*$BD92)/1000,0)</f>
        <v>0</v>
      </c>
      <c r="RK40" s="5713" t="e">
        <f t="shared" si="139"/>
        <v>#N/A</v>
      </c>
      <c r="RL40" s="3453" t="e">
        <f t="shared" si="140"/>
        <v>#N/A</v>
      </c>
      <c r="RM40" s="3453">
        <f>IFERROR((outputs_klasse_qty[[#This Row],[shot_veder_f_faktor]]*outputs_klasse_qty[[#This Row],[shot_veder_f_rate]]*$AI$46*$BE92)/1000,0)</f>
        <v>0</v>
      </c>
      <c r="RN40" s="5713" t="e">
        <f t="shared" si="141"/>
        <v>#N/A</v>
      </c>
      <c r="RO40" s="3453" t="e">
        <f t="shared" si="142"/>
        <v>#N/A</v>
      </c>
      <c r="RP40" s="3453">
        <f>IFERROR((outputs_klasse_qty[[#This Row],[shot_veder_g_faktor]]*outputs_klasse_qty[[#This Row],[shot_veder_g_rate]]*$AI$46*$BF92)/1000,0)</f>
        <v>0</v>
      </c>
      <c r="RQ40"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40" s="5712">
        <v>1</v>
      </c>
      <c r="RS40" s="5713" t="e">
        <f t="shared" si="143"/>
        <v>#N/A</v>
      </c>
      <c r="RT40" s="3453" t="e">
        <f t="shared" si="144"/>
        <v>#N/A</v>
      </c>
      <c r="RU40" s="3453">
        <f>IFERROR((outputs_klasse_qty[[#This Row],[shot_vegg_a_faktor]]*outputs_klasse_qty[[#This Row],[shot_vegg_a_rate]]*$AI$42*2*$AY92)/1000,0)</f>
        <v>0</v>
      </c>
      <c r="RV40" s="5713" t="e">
        <f t="shared" si="145"/>
        <v>#N/A</v>
      </c>
      <c r="RW40" s="3453" t="e">
        <f t="shared" si="146"/>
        <v>#N/A</v>
      </c>
      <c r="RX40" s="3453">
        <f>IFERROR((outputs_klasse_qty[[#This Row],[shot_vegg_b_faktor]]*outputs_klasse_qty[[#This Row],[shot_vegg_b_rate]]*$AI$42*2*$AZ92)/1000,0)</f>
        <v>0</v>
      </c>
      <c r="RY40" s="5713" t="e">
        <f t="shared" si="147"/>
        <v>#N/A</v>
      </c>
      <c r="RZ40" s="3453" t="e">
        <f t="shared" si="148"/>
        <v>#N/A</v>
      </c>
      <c r="SA40" s="3453">
        <f>IFERROR((outputs_klasse_qty[[#This Row],[shot_vegg_c_faktor]]*outputs_klasse_qty[[#This Row],[shot_vegg_c_rate]]*$AI$42*2*$BA92)/1000,0)</f>
        <v>0</v>
      </c>
      <c r="SB40" s="5713" t="e">
        <f t="shared" si="149"/>
        <v>#N/A</v>
      </c>
      <c r="SC40" s="3453" t="e">
        <f t="shared" si="150"/>
        <v>#N/A</v>
      </c>
      <c r="SD40" s="3453">
        <f>IFERROR((outputs_klasse_qty[[#This Row],[shot_vegg_d_faktor]]*outputs_klasse_qty[[#This Row],[shot_vegg_d_rate]]*$AI$42*2*$BB92)/1000,0)</f>
        <v>0</v>
      </c>
      <c r="SE40" s="5713" t="e">
        <f t="shared" si="151"/>
        <v>#N/A</v>
      </c>
      <c r="SF40" s="3453" t="e">
        <f t="shared" si="152"/>
        <v>#N/A</v>
      </c>
      <c r="SG40" s="3453">
        <f>IFERROR((outputs_klasse_qty[[#This Row],[shot_vegg_e1_faktor]]*outputs_klasse_qty[[#This Row],[shot_vegg_e1_rate]]*$AI$42*2*$BC92)/1000,0)</f>
        <v>0</v>
      </c>
      <c r="SH40" s="5713" t="e">
        <f t="shared" si="153"/>
        <v>#N/A</v>
      </c>
      <c r="SI40" s="3453" t="e">
        <f t="shared" si="154"/>
        <v>#N/A</v>
      </c>
      <c r="SJ40" s="3453">
        <f>IFERROR((outputs_klasse_qty[[#This Row],[shot_vegg_e2_faktor]]*outputs_klasse_qty[[#This Row],[shot_vegg_e2_rate]]*$AI$42*2*$BD92)/1000,0)</f>
        <v>0</v>
      </c>
      <c r="SK40" s="5713" t="e">
        <f t="shared" si="155"/>
        <v>#N/A</v>
      </c>
      <c r="SL40" s="3453" t="e">
        <f t="shared" si="156"/>
        <v>#N/A</v>
      </c>
      <c r="SM40" s="3453">
        <f>IFERROR((outputs_klasse_qty[[#This Row],[shot_vegg_f_faktor]]*outputs_klasse_qty[[#This Row],[shot_vegg_f_rate]]*$AI$42*2*$BE92)/1000,0)</f>
        <v>0</v>
      </c>
      <c r="SN40" s="5713" t="e">
        <f t="shared" si="157"/>
        <v>#N/A</v>
      </c>
      <c r="SO40" s="3453" t="e">
        <f t="shared" si="158"/>
        <v>#N/A</v>
      </c>
      <c r="SP40" s="3453">
        <f>IFERROR((outputs_klasse_qty[[#This Row],[shot_vegg_g_faktor]]*outputs_klasse_qty[[#This Row],[shot_vegg_g_rate]]*$AI$42*2*$BF92)/1000,0)</f>
        <v>0</v>
      </c>
      <c r="SQ40"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40" s="5715">
        <f>outputs_klasse_qty[[#This Row],[shot_veder_sum]]+outputs_klasse_qty[[#This Row],[shot_vegg_sum]]</f>
        <v>0</v>
      </c>
      <c r="SS40" s="3453"/>
      <c r="ST40" s="3453"/>
      <c r="SU40" s="3453"/>
      <c r="SV40" s="3453"/>
      <c r="SW40" s="3453"/>
      <c r="SX40" s="3453"/>
      <c r="SY40" s="3453"/>
      <c r="SZ40" s="3453"/>
      <c r="TA40" s="3453"/>
      <c r="TB40" s="3453"/>
      <c r="TC40" s="3453"/>
      <c r="TD40" s="3453"/>
      <c r="TE40" s="3453"/>
      <c r="TF40" s="3453"/>
      <c r="TG40" s="3453"/>
      <c r="TH40" s="3453"/>
      <c r="TI40" s="3453"/>
      <c r="TJ40" s="3453"/>
      <c r="TK40" s="5721" cm="1">
        <f t="array" ref="TK40">IF($AK$221=klasse_buer[Method],_Calcs_Klasse!$TK$28,IF($AK$221="",_Calcs_Klasse!TK37,""))</f>
        <v>1</v>
      </c>
      <c r="TL40" s="3453" t="e">
        <f t="shared" si="159"/>
        <v>#N/A</v>
      </c>
      <c r="TM40" s="3453" t="e">
        <f t="shared" si="61"/>
        <v>#N/A</v>
      </c>
      <c r="TN40" s="3453">
        <f>IFERROR((IF(OR(outputs_klasse_qty[[#This Row],[bue_a_dim]]=_List!$DO$7,outputs_klasse_qty[[#This Row],[bue_a_dim]]=_List!$DO$8),($AY92*$AI$40)/outputs_klasse_qty[[#This Row],[bue_a_senteravstand]]*outputs_klasse_qty[[#This Row],[bue_a_andel]],0)),0)</f>
        <v>0</v>
      </c>
      <c r="TO40" s="5722" t="e">
        <f t="shared" si="160"/>
        <v>#N/A</v>
      </c>
      <c r="TP40" s="5702" t="e">
        <f t="shared" si="161"/>
        <v>#N/A</v>
      </c>
      <c r="TQ40" s="5723" t="e">
        <f t="shared" si="162"/>
        <v>#N/A</v>
      </c>
      <c r="TR40" s="3453" t="e">
        <f t="shared" si="163"/>
        <v>#N/A</v>
      </c>
      <c r="TS40" s="3453" t="e">
        <f t="shared" si="62"/>
        <v>#N/A</v>
      </c>
      <c r="TT40" s="3453">
        <f>IFERROR((IF(OR(outputs_klasse_qty[[#This Row],[bue_b_dim]]=_List!$DO$7,outputs_klasse_qty[[#This Row],[bue_b_dim]]=_List!$DO$8),($AZ92*$AI$40)/outputs_klasse_qty[[#This Row],[bue_b_senteravstand]]*outputs_klasse_qty[[#This Row],[bue_b_andel]],0)),0)</f>
        <v>0</v>
      </c>
      <c r="TU40" s="5722" t="e">
        <f t="shared" si="164"/>
        <v>#N/A</v>
      </c>
      <c r="TV40" s="5702" t="e">
        <f t="shared" si="165"/>
        <v>#N/A</v>
      </c>
      <c r="TW40" s="5723" t="e">
        <f t="shared" si="166"/>
        <v>#N/A</v>
      </c>
      <c r="TX40" s="3453" t="e">
        <f t="shared" si="167"/>
        <v>#N/A</v>
      </c>
      <c r="TY40" s="3453" t="e">
        <f t="shared" si="63"/>
        <v>#N/A</v>
      </c>
      <c r="TZ40" s="3453">
        <f>IFERROR((IF(OR(outputs_klasse_qty[[#This Row],[bue_c_dim]]=_List!$DO$7,outputs_klasse_qty[[#This Row],[bue_c_dim]]=_List!$DO$8),($BA92*$AI$40)/outputs_klasse_qty[[#This Row],[bue_c_senteravstand]]*outputs_klasse_qty[[#This Row],[bue_c_andel]],0)),0)</f>
        <v>0</v>
      </c>
      <c r="UA40" s="5722" t="e">
        <f t="shared" si="168"/>
        <v>#N/A</v>
      </c>
      <c r="UB40" s="5702" t="e">
        <f t="shared" si="169"/>
        <v>#N/A</v>
      </c>
      <c r="UC40" s="5723" t="e">
        <f t="shared" si="170"/>
        <v>#N/A</v>
      </c>
      <c r="UD40" s="3453" t="e">
        <f t="shared" si="171"/>
        <v>#N/A</v>
      </c>
      <c r="UE40" s="3453" t="e">
        <f t="shared" si="64"/>
        <v>#N/A</v>
      </c>
      <c r="UF40" s="3453">
        <f>IFERROR((IF(OR(outputs_klasse_qty[[#This Row],[bue_d_dim]]=_List!$DO$7,outputs_klasse_qty[[#This Row],[bue_d_dim]]=_List!$DO$8),($BB92*$AI$40)/outputs_klasse_qty[[#This Row],[bue_d_senteravstand]]*outputs_klasse_qty[[#This Row],[bue_d_andel]],0)),0)</f>
        <v>0</v>
      </c>
      <c r="UG40" s="5722" t="e">
        <f t="shared" si="172"/>
        <v>#N/A</v>
      </c>
      <c r="UH40" s="5702" t="e">
        <f t="shared" si="173"/>
        <v>#N/A</v>
      </c>
      <c r="UI40" s="5723" t="e">
        <f t="shared" si="174"/>
        <v>#N/A</v>
      </c>
      <c r="UJ40" s="3453" t="e">
        <f t="shared" si="175"/>
        <v>#N/A</v>
      </c>
      <c r="UK40" s="3453" t="e">
        <f t="shared" si="65"/>
        <v>#N/A</v>
      </c>
      <c r="UL40" s="3453">
        <f>IFERROR((IF(OR(outputs_klasse_qty[[#This Row],[bue_e1_dim]]=_List!$DO$7,outputs_klasse_qty[[#This Row],[bue_e1_dim]]=_List!$DO$8),($BC92*$AI$40)/outputs_klasse_qty[[#This Row],[bue_e1_senteravstand]]*outputs_klasse_qty[[#This Row],[bue_e1_andel]],0)),0)</f>
        <v>0</v>
      </c>
      <c r="UM40" s="5722" t="e">
        <f t="shared" si="176"/>
        <v>#N/A</v>
      </c>
      <c r="UN40" s="5702" t="e">
        <f t="shared" si="177"/>
        <v>#N/A</v>
      </c>
      <c r="UO40" s="5723" t="e">
        <f t="shared" si="178"/>
        <v>#N/A</v>
      </c>
      <c r="UP40" s="3453" t="e">
        <f t="shared" si="179"/>
        <v>#N/A</v>
      </c>
      <c r="UQ40" s="3453" t="e">
        <f t="shared" si="66"/>
        <v>#N/A</v>
      </c>
      <c r="UR40" s="3453">
        <f>IFERROR((IF(OR(outputs_klasse_qty[[#This Row],[bue_e2_dim]]=_List!$DO$7,outputs_klasse_qty[[#This Row],[bue_e2_dim]]=_List!$DO$8),($BD92*$AI$40)/outputs_klasse_qty[[#This Row],[bue_e2_senteravstand]]*outputs_klasse_qty[[#This Row],[bue_e2_andel]],0)),0)</f>
        <v>0</v>
      </c>
      <c r="US40" s="5722" t="e">
        <f t="shared" si="180"/>
        <v>#N/A</v>
      </c>
      <c r="UT40" s="5702" t="e">
        <f t="shared" si="181"/>
        <v>#N/A</v>
      </c>
      <c r="UU40" s="5723" t="e">
        <f t="shared" si="182"/>
        <v>#N/A</v>
      </c>
      <c r="UV40" s="3453" t="e">
        <f t="shared" si="183"/>
        <v>#N/A</v>
      </c>
      <c r="UW40" s="3453" t="e">
        <f t="shared" si="67"/>
        <v>#N/A</v>
      </c>
      <c r="UX40" s="3453">
        <f>IFERROR((IF(OR(outputs_klasse_qty[[#This Row],[bue_f_dim]]=_List!$DO$7,outputs_klasse_qty[[#This Row],[bue_f_dim]]=_List!$DO$8),($BE92*$AI$40)/outputs_klasse_qty[[#This Row],[bue_f_senteravstand]]*outputs_klasse_qty[[#This Row],[bue_f_andel]],0)),0)</f>
        <v>0</v>
      </c>
      <c r="UY40" s="5722" t="e">
        <f t="shared" si="184"/>
        <v>#N/A</v>
      </c>
      <c r="UZ40" s="5702" t="e">
        <f t="shared" si="185"/>
        <v>#N/A</v>
      </c>
      <c r="VA40" s="5723" t="e">
        <f t="shared" si="186"/>
        <v>#N/A</v>
      </c>
      <c r="VB40" s="3453" t="e">
        <f t="shared" si="187"/>
        <v>#N/A</v>
      </c>
      <c r="VC40" s="3453" t="e">
        <f t="shared" si="68"/>
        <v>#N/A</v>
      </c>
      <c r="VD40" s="3453">
        <f>IFERROR((IF(OR(outputs_klasse_qty[[#This Row],[bue_g_dim]]=_List!$DO$7,outputs_klasse_qty[[#This Row],[bue_g_dim]]=_List!$DO$8),($BF92*$AI$40)/outputs_klasse_qty[[#This Row],[bue_g_senteravstand]]*outputs_klasse_qty[[#This Row],[bue_g_andel]],0)),0)</f>
        <v>0</v>
      </c>
      <c r="VE40" s="5722" t="e">
        <f t="shared" si="188"/>
        <v>#N/A</v>
      </c>
      <c r="VF40" s="5702" t="e">
        <f t="shared" si="189"/>
        <v>#N/A</v>
      </c>
      <c r="VG40" s="5723" t="e">
        <f t="shared" si="190"/>
        <v>#N/A</v>
      </c>
      <c r="VH40"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40"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40" s="5719" t="str">
        <f>IFERROR(outputs_klasse_qty[[#This Row],[bue_e30_sum]]+outputs_klasse_qty[[#This Row],[bue_d60_sum]],"")</f>
        <v/>
      </c>
      <c r="VK40" s="3453">
        <f t="shared" si="191"/>
        <v>0</v>
      </c>
      <c r="VL40" s="3453">
        <f>outputs_klasse_qty[[#This Row],[bue_a_output]]*outputs_klasse_qty[[#This Row],[sprøytebetong_ved_bue_rate_a]]</f>
        <v>0</v>
      </c>
      <c r="VM40" s="3453">
        <f t="shared" si="192"/>
        <v>0</v>
      </c>
      <c r="VN40" s="3453">
        <f>outputs_klasse_qty[[#This Row],[bue_b_output]]*outputs_klasse_qty[[#This Row],[sprøytebetong_ved_bue_rate_b]]</f>
        <v>0</v>
      </c>
      <c r="VO40" s="3453">
        <f t="shared" si="193"/>
        <v>0</v>
      </c>
      <c r="VP40" s="3453">
        <f>outputs_klasse_qty[[#This Row],[bue_c_output]]*outputs_klasse_qty[[#This Row],[sprøytebetong_ved_bue_rate_c]]</f>
        <v>0</v>
      </c>
      <c r="VQ40" s="3453">
        <f t="shared" si="194"/>
        <v>0</v>
      </c>
      <c r="VR40" s="3453">
        <f>outputs_klasse_qty[[#This Row],[bue_d_output]]*outputs_klasse_qty[[#This Row],[sprøytebetong_ved_bue_rate_d]]</f>
        <v>0</v>
      </c>
      <c r="VS40" s="3453">
        <f t="shared" si="195"/>
        <v>0</v>
      </c>
      <c r="VT40" s="3453">
        <f>outputs_klasse_qty[[#This Row],[bue_e1_output]]*outputs_klasse_qty[[#This Row],[sprøytebetong_ved_bue_rate_e1]]</f>
        <v>0</v>
      </c>
      <c r="VU40" s="3453">
        <f t="shared" si="196"/>
        <v>0</v>
      </c>
      <c r="VV40" s="3453">
        <f>outputs_klasse_qty[[#This Row],[bue_e2_output]]*outputs_klasse_qty[[#This Row],[sprøytebetong_ved_bue_rate_e2]]</f>
        <v>0</v>
      </c>
      <c r="VW40" s="3453">
        <f t="shared" si="197"/>
        <v>0</v>
      </c>
      <c r="VX40" s="3453">
        <f>outputs_klasse_qty[[#This Row],[bue_f_output]]*outputs_klasse_qty[[#This Row],[sprøytebetong_ved_bue_rate_f]]</f>
        <v>0</v>
      </c>
      <c r="VY40" s="3453">
        <f t="shared" si="198"/>
        <v>0</v>
      </c>
      <c r="VZ40" s="3453">
        <f>outputs_klasse_qty[[#This Row],[bue_g_output]]*outputs_klasse_qty[[#This Row],[sprøytebetong_ved_bue_rate_g]]</f>
        <v>0</v>
      </c>
      <c r="WA40"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40" s="3453" t="e">
        <f t="shared" si="199"/>
        <v>#N/A</v>
      </c>
      <c r="WC40" s="3453">
        <f>IFERROR((IF(OR(outputs_klasse_qty[[#This Row],[bue_a_dim]]=_List!$DO$7,outputs_klasse_qty[[#This Row],[bue_a_dim]]=_List!$DO$8),_Calcs_Klasse!AY92/$AJQ$42*outputs_klasse_qty[[#This Row],[forankring_bolter_rate_a]],0)),0)</f>
        <v>0</v>
      </c>
      <c r="WD40" s="3453" t="e">
        <f t="shared" si="200"/>
        <v>#N/A</v>
      </c>
      <c r="WE40" s="3453">
        <f>IFERROR((IF(OR(outputs_klasse_qty[[#This Row],[bue_b_dim]]=_List!$DO$7,outputs_klasse_qty[[#This Row],[bue_b_dim]]=_List!$DO$8),_Calcs_Klasse!AZ92/$AJQ$43*outputs_klasse_qty[[#This Row],[forankring_bolter_rate_b]],0)),0)</f>
        <v>0</v>
      </c>
      <c r="WF40" s="3453" t="e">
        <f t="shared" si="201"/>
        <v>#N/A</v>
      </c>
      <c r="WG40" s="3453">
        <f>IFERROR((IF(OR(outputs_klasse_qty[[#This Row],[bue_c_dim]]=_List!$DO$7,outputs_klasse_qty[[#This Row],[bue_c_dim]]=_List!$DO$8),_Calcs_Klasse!BA92/$AJQ$44*outputs_klasse_qty[[#This Row],[forankring_bolter_rate_c]],0)),0)</f>
        <v>0</v>
      </c>
      <c r="WH40" s="3453" t="e">
        <f t="shared" si="202"/>
        <v>#N/A</v>
      </c>
      <c r="WI40" s="3453">
        <f>IFERROR((IF(OR(outputs_klasse_qty[[#This Row],[bue_d_dim]]=_List!$DO$7,outputs_klasse_qty[[#This Row],[bue_d_dim]]=_List!$DO$8),_Calcs_Klasse!BB92/$AJQ$45*outputs_klasse_qty[[#This Row],[forankring_bolter_rate_d]],0)),0)</f>
        <v>0</v>
      </c>
      <c r="WJ40" s="3453" t="e">
        <f t="shared" si="203"/>
        <v>#N/A</v>
      </c>
      <c r="WK40" s="3453">
        <f>IFERROR((IF(OR(outputs_klasse_qty[[#This Row],[bue_e1_dim]]=_List!$DO$7,outputs_klasse_qty[[#This Row],[bue_e1_dim]]=_List!$DO$8),_Calcs_Klasse!BC92/$AJQ$46*outputs_klasse_qty[[#This Row],[forankring_bolter_rate_e1]],0)),0)</f>
        <v>0</v>
      </c>
      <c r="WL40" s="3453" t="e">
        <f t="shared" si="204"/>
        <v>#N/A</v>
      </c>
      <c r="WM40" s="3453">
        <f>IFERROR((IF(OR(outputs_klasse_qty[[#This Row],[bue_e2_dim]]=_List!$DO$7,outputs_klasse_qty[[#This Row],[bue_e2_dim]]=_List!$DO$8),_Calcs_Klasse!BD92/$AJQ$47*outputs_klasse_qty[[#This Row],[forankring_bolter_rate_e2]],0)),0)</f>
        <v>0</v>
      </c>
      <c r="WN40" s="3453" t="e">
        <f t="shared" si="205"/>
        <v>#N/A</v>
      </c>
      <c r="WO40" s="3453">
        <f>IFERROR((IF(OR(outputs_klasse_qty[[#This Row],[bue_f_dim]]=_List!$DO$7,outputs_klasse_qty[[#This Row],[bue_f_dim]]=_List!$DO$8),_Calcs_Klasse!BE92/$AJQ$48*outputs_klasse_qty[[#This Row],[forankring_bolter_rate_f]],0)),0)</f>
        <v>0</v>
      </c>
      <c r="WP40" s="3453" t="e">
        <f t="shared" si="206"/>
        <v>#N/A</v>
      </c>
      <c r="WQ40" s="3453">
        <f>IFERROR((IF(OR(outputs_klasse_qty[[#This Row],[bue_g_dim]]=_List!$DO$7,outputs_klasse_qty[[#This Row],[bue_g_dim]]=_List!$DO$8),_Calcs_Klasse!BF92/$AJQ$49*outputs_klasse_qty[[#This Row],[forankring_bolter_rate_g]],0)),0)</f>
        <v>0</v>
      </c>
      <c r="WR40" s="3453">
        <f>IFERROR(outputs_klasse_qty[[#This Row],[forankring_bolter_output_a]]*$AMD$42,0)</f>
        <v>0</v>
      </c>
      <c r="WS40" s="3453">
        <f>IFERROR(outputs_klasse_qty[[#This Row],[forankring_bolter_output_a]]*$AMM$42,0)</f>
        <v>0</v>
      </c>
      <c r="WT40" s="3453">
        <f>IFERROR(outputs_klasse_qty[[#This Row],[forankring_bolter_output_b]]*$AMD$43,0)</f>
        <v>0</v>
      </c>
      <c r="WU40" s="3453">
        <f>IFERROR(outputs_klasse_qty[[#This Row],[forankring_bolter_output_b]]*$AMM$43,0)</f>
        <v>0</v>
      </c>
      <c r="WV40" s="3453">
        <f>IFERROR(outputs_klasse_qty[[#This Row],[forankring_bolter_output_c]]*$AMD$44,0)</f>
        <v>0</v>
      </c>
      <c r="WW40" s="3453">
        <f>IFERROR(outputs_klasse_qty[[#This Row],[forankring_bolter_output_c]]*$AMM$44,0)</f>
        <v>0</v>
      </c>
      <c r="WX40" s="3453">
        <f>IFERROR(outputs_klasse_qty[[#This Row],[forankring_bolter_output_d]]*$AMD$45,0)</f>
        <v>0</v>
      </c>
      <c r="WY40" s="3453">
        <f>IFERROR(outputs_klasse_qty[[#This Row],[forankring_bolter_output_d]]*$AMM$45,0)</f>
        <v>0</v>
      </c>
      <c r="WZ40" s="3453">
        <f>IFERROR(outputs_klasse_qty[[#This Row],[forankring_bolter_output_e1]]*$AMD$46,0)</f>
        <v>0</v>
      </c>
      <c r="XA40" s="3453">
        <f>IFERROR(outputs_klasse_qty[[#This Row],[forankring_bolter_output_e1]]*$AMM$46,0)</f>
        <v>0</v>
      </c>
      <c r="XB40" s="3453">
        <f>IFERROR(outputs_klasse_qty[[#This Row],[forankring_bolter_output_e2]]*$AMD$47,0)</f>
        <v>0</v>
      </c>
      <c r="XC40" s="3453">
        <f>IFERROR(outputs_klasse_qty[[#This Row],[forankring_bolter_output_e2]]*$AMM$47,0)</f>
        <v>0</v>
      </c>
      <c r="XD40" s="3453">
        <f>IFERROR(outputs_klasse_qty[[#This Row],[forankring_bolter_output_f]]*$AMD$48,0)</f>
        <v>0</v>
      </c>
      <c r="XE40" s="3453">
        <f>IFERROR(outputs_klasse_qty[[#This Row],[forankring_bolter_output_f]]*$AMM$48,0)</f>
        <v>0</v>
      </c>
      <c r="XF40" s="3453">
        <f>IFERROR(outputs_klasse_qty[[#This Row],[forankring_bolter_output_g]]*$AMD$49,0)</f>
        <v>0</v>
      </c>
      <c r="XG40" s="3453">
        <f>IFERROR(outputs_klasse_qty[[#This Row],[forankring_bolter_output_g]]*$AMM$49,0)</f>
        <v>0</v>
      </c>
      <c r="XH40" s="5819">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40" s="5819">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40" s="3453" t="e">
        <f t="shared" si="69"/>
        <v>#N/A</v>
      </c>
      <c r="XK40" s="5819" t="e">
        <f>outputs_klasse_qty[[#This Row],[bue_a_output]]/outputs_klasse_qty[[#This Row],[bue_radielle_bolter_rate_a]]</f>
        <v>#N/A</v>
      </c>
      <c r="XL40" s="5819" t="e">
        <f t="shared" si="70"/>
        <v>#N/A</v>
      </c>
      <c r="XM40" s="5819" t="e">
        <f>outputs_klasse_qty[[#This Row],[bue_b_output]]/outputs_klasse_qty[[#This Row],[bue_radielle_bolter_rate_b]]</f>
        <v>#N/A</v>
      </c>
      <c r="XN40" s="5819" t="e">
        <f t="shared" si="71"/>
        <v>#N/A</v>
      </c>
      <c r="XO40" s="5819" t="e">
        <f>outputs_klasse_qty[[#This Row],[bue_c_output]]/outputs_klasse_qty[[#This Row],[bue_radielle_bolter_rate_c]]</f>
        <v>#N/A</v>
      </c>
      <c r="XP40" s="5819" t="e">
        <f t="shared" si="72"/>
        <v>#N/A</v>
      </c>
      <c r="XQ40" s="5819" t="e">
        <f>outputs_klasse_qty[[#This Row],[bue_d_output]]/outputs_klasse_qty[[#This Row],[bue_radielle_bolter_rate_d]]</f>
        <v>#N/A</v>
      </c>
      <c r="XR40" s="5819" t="e">
        <f t="shared" si="73"/>
        <v>#N/A</v>
      </c>
      <c r="XS40" s="5819" t="e">
        <f>outputs_klasse_qty[[#This Row],[bue_e1_output]]/outputs_klasse_qty[[#This Row],[bue_radielle_bolter_rate_e1]]</f>
        <v>#N/A</v>
      </c>
      <c r="XT40" s="5819" t="e">
        <f t="shared" si="74"/>
        <v>#N/A</v>
      </c>
      <c r="XU40" s="5819" t="e">
        <f>outputs_klasse_qty[[#This Row],[bue_e2_output]]/outputs_klasse_qty[[#This Row],[bue_radielle_bolter_rate_e2]]</f>
        <v>#N/A</v>
      </c>
      <c r="XV40" s="5819" t="e">
        <f t="shared" si="75"/>
        <v>#N/A</v>
      </c>
      <c r="XW40" s="5819" t="e">
        <f>outputs_klasse_qty[[#This Row],[bue_f_output]]/outputs_klasse_qty[[#This Row],[bue_radielle_bolter_rate_f]]</f>
        <v>#N/A</v>
      </c>
      <c r="XX40" s="5819" t="e">
        <f t="shared" si="76"/>
        <v>#N/A</v>
      </c>
      <c r="XY40" s="5819" t="e">
        <f>outputs_klasse_qty[[#This Row],[bue_g_output]]/outputs_klasse_qty[[#This Row],[bue_radielle_bolter_rate_g]]</f>
        <v>#N/A</v>
      </c>
      <c r="XZ40" s="5819">
        <f>IFERROR(outputs_klasse_qty[[#This Row],[bue_radielle_bolter_output_a]]*$AKS$42,0)</f>
        <v>0</v>
      </c>
      <c r="YA40" s="5819">
        <f>IFERROR(outputs_klasse_qty[[#This Row],[bue_radielle_bolter_output_a]]*$ALB$42,0)</f>
        <v>0</v>
      </c>
      <c r="YB40" s="5819">
        <f>IFERROR(outputs_klasse_qty[[#This Row],[bue_radielle_bolter_output_b]]*$AKS$43,0)</f>
        <v>0</v>
      </c>
      <c r="YC40" s="5819">
        <f>IFERROR(outputs_klasse_qty[[#This Row],[bue_radielle_bolter_output_b]]*$ALB$43,0)</f>
        <v>0</v>
      </c>
      <c r="YD40" s="5819">
        <f>IFERROR(outputs_klasse_qty[[#This Row],[bue_radielle_bolter_output_c]]*$AKS$44,0)</f>
        <v>0</v>
      </c>
      <c r="YE40" s="5819">
        <f>IFERROR(outputs_klasse_qty[[#This Row],[bue_radielle_bolter_output_c]]*$ALB$44,0)</f>
        <v>0</v>
      </c>
      <c r="YF40" s="5819">
        <f>IFERROR(outputs_klasse_qty[[#This Row],[bue_radielle_bolter_output_d]]*$AKS$45,0)</f>
        <v>0</v>
      </c>
      <c r="YG40" s="5819">
        <f>IFERROR(outputs_klasse_qty[[#This Row],[bue_radielle_bolter_output_d]]*$ALB$45,0)</f>
        <v>0</v>
      </c>
      <c r="YH40" s="5819">
        <f>IFERROR(outputs_klasse_qty[[#This Row],[bue_radielle_bolter_output_e1]]*$AKS$46,0)</f>
        <v>0</v>
      </c>
      <c r="YI40" s="5819">
        <f>IFERROR(outputs_klasse_qty[[#This Row],[bue_radielle_bolter_output_e1]]*$ALB$46,0)</f>
        <v>0</v>
      </c>
      <c r="YJ40" s="5819">
        <f>IFERROR(outputs_klasse_qty[[#This Row],[bue_radielle_bolter_output_e2]]*$AKS$47,0)</f>
        <v>0</v>
      </c>
      <c r="YK40" s="5819">
        <f>IFERROR(outputs_klasse_qty[[#This Row],[bue_radielle_bolter_output_e2]]*$ALB$47,0)</f>
        <v>0</v>
      </c>
      <c r="YL40" s="5819">
        <f>IFERROR(outputs_klasse_qty[[#This Row],[bue_radielle_bolter_output_f]]*$AKS$48,0)</f>
        <v>0</v>
      </c>
      <c r="YM40" s="5819">
        <f>IFERROR(outputs_klasse_qty[[#This Row],[bue_radielle_bolter_output_f]]*$ALB$48,0)</f>
        <v>0</v>
      </c>
      <c r="YN40" s="5819">
        <f>IFERROR(outputs_klasse_qty[[#This Row],[bue_radielle_bolter_output_g]]*$AKS$49,0)</f>
        <v>0</v>
      </c>
      <c r="YO40" s="5819">
        <f>IFERROR(outputs_klasse_qty[[#This Row],[bue_radielle_bolter_output_g]]*$ALB$49,0)</f>
        <v>0</v>
      </c>
      <c r="YP40" s="5860">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40" s="5860">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40" s="5819"/>
      <c r="YS40" s="5819"/>
      <c r="YT40" s="5819"/>
      <c r="YU40" s="5819"/>
      <c r="YV40" s="5819"/>
      <c r="YW40" s="5819"/>
      <c r="YX40" s="5819"/>
      <c r="YY40" s="5819"/>
      <c r="YZ40" s="5819"/>
      <c r="ZA40" s="5819"/>
      <c r="ZB40" s="5819"/>
      <c r="ZC40" s="5819"/>
      <c r="ZD40" s="5819"/>
      <c r="ZE40" s="5819"/>
      <c r="ZF40" s="5819"/>
      <c r="ZG40" s="5819"/>
      <c r="ZH40" s="5819"/>
      <c r="ZI40" s="3453"/>
      <c r="ZJ40" s="3453"/>
      <c r="ZK40" s="3453"/>
      <c r="ZL40" s="3453"/>
      <c r="ZM40" s="3453"/>
      <c r="ZN40" s="837"/>
      <c r="ZO40" s="837"/>
      <c r="ZP40" s="837"/>
      <c r="ZQ40" s="837"/>
      <c r="ZR40" s="837"/>
      <c r="ZS40" s="837"/>
      <c r="ZT40" s="837"/>
      <c r="ZU40" s="837"/>
      <c r="ZV40" s="837"/>
      <c r="ZW40" s="837"/>
      <c r="ZX40" s="837"/>
      <c r="ZY40" s="837"/>
      <c r="ZZ40" s="837"/>
      <c r="AAA40" s="837"/>
      <c r="AAB40" s="2622"/>
      <c r="AAC40" s="2622"/>
      <c r="AAD40" s="2622"/>
      <c r="AAE40" s="2622"/>
      <c r="AAF40" s="2622"/>
      <c r="AAG40" s="2622"/>
      <c r="AAH40" s="2622"/>
      <c r="AAI40" s="2622"/>
      <c r="AAJ40" s="2622"/>
      <c r="AAK40" s="2622"/>
      <c r="AAL40" s="2622"/>
      <c r="AAM40" s="2622"/>
      <c r="AAN40" s="2622"/>
      <c r="AAO40" s="2622"/>
      <c r="AAP40" s="2622"/>
      <c r="AAQ40" s="2622"/>
      <c r="AAR40" s="2622"/>
      <c r="AAS40" s="2622"/>
      <c r="AAT40" s="2622"/>
      <c r="AAU40" s="2622"/>
      <c r="AAV40" s="184"/>
      <c r="AAW40" s="184"/>
      <c r="AAX40" s="184"/>
      <c r="AAY40" s="184"/>
      <c r="AAZ40" s="184"/>
      <c r="ABA40" s="3811"/>
      <c r="ABB40" s="5797" t="s">
        <v>834</v>
      </c>
      <c r="ABC40" s="5797"/>
      <c r="ABD40" s="5797" t="s">
        <v>838</v>
      </c>
      <c r="ABE40" s="5797"/>
      <c r="ABF40" s="5797" t="s">
        <v>21</v>
      </c>
      <c r="ABG40" s="5797"/>
      <c r="ABH40" s="5797" t="s">
        <v>839</v>
      </c>
      <c r="ABI40" s="5799"/>
      <c r="ABJ40" s="184"/>
      <c r="ABK40" s="3811"/>
      <c r="ABL40" s="5797" t="s">
        <v>834</v>
      </c>
      <c r="ABM40" s="5797"/>
      <c r="ABN40" s="5797" t="s">
        <v>838</v>
      </c>
      <c r="ABO40" s="5797"/>
      <c r="ABP40" s="5797" t="s">
        <v>21</v>
      </c>
      <c r="ABQ40" s="5797"/>
      <c r="ABR40" s="5797" t="s">
        <v>839</v>
      </c>
      <c r="ABS40" s="5799"/>
      <c r="ABT40" s="184"/>
      <c r="ABU40" s="3811"/>
      <c r="ABV40" s="5797" t="s">
        <v>834</v>
      </c>
      <c r="ABW40" s="5797"/>
      <c r="ABX40" s="5797" t="s">
        <v>838</v>
      </c>
      <c r="ABY40" s="5797"/>
      <c r="ABZ40" s="5797" t="s">
        <v>21</v>
      </c>
      <c r="ACA40" s="5797"/>
      <c r="ACB40" s="5797" t="s">
        <v>839</v>
      </c>
      <c r="ACC40" s="5799"/>
      <c r="ACD40" s="3582"/>
      <c r="ACE40" s="5800"/>
      <c r="ACF40" s="5797" t="s">
        <v>834</v>
      </c>
      <c r="ACG40" s="5797"/>
      <c r="ACH40" s="5797" t="s">
        <v>838</v>
      </c>
      <c r="ACI40" s="5797"/>
      <c r="ACJ40" s="5797" t="s">
        <v>21</v>
      </c>
      <c r="ACK40" s="5797"/>
      <c r="ACL40" s="5797" t="s">
        <v>839</v>
      </c>
      <c r="ACM40" s="5797"/>
      <c r="ACN40" s="184"/>
      <c r="ACO40" s="5797" t="s">
        <v>834</v>
      </c>
      <c r="ACP40" s="5797"/>
      <c r="ACQ40" s="5797" t="s">
        <v>838</v>
      </c>
      <c r="ACR40" s="5797"/>
      <c r="ACS40" s="5797" t="s">
        <v>21</v>
      </c>
      <c r="ACT40" s="5797"/>
      <c r="ACU40" s="5797" t="s">
        <v>839</v>
      </c>
      <c r="ACV40" s="5797"/>
      <c r="ACW40" s="184"/>
      <c r="ACX40" s="5797" t="s">
        <v>834</v>
      </c>
      <c r="ACY40" s="5797"/>
      <c r="ACZ40" s="5797" t="s">
        <v>838</v>
      </c>
      <c r="ADA40" s="5797"/>
      <c r="ADB40" s="5797" t="s">
        <v>21</v>
      </c>
      <c r="ADC40" s="5797"/>
      <c r="ADD40" s="5797" t="s">
        <v>839</v>
      </c>
      <c r="ADE40" s="5799"/>
      <c r="ADF40" s="2816"/>
      <c r="ADG40" s="3589"/>
      <c r="ADH40" s="3587" t="s">
        <v>834</v>
      </c>
      <c r="ADI40" s="3587"/>
      <c r="ADJ40" s="3587" t="s">
        <v>838</v>
      </c>
      <c r="ADK40" s="3587"/>
      <c r="ADL40" s="3587" t="s">
        <v>21</v>
      </c>
      <c r="ADM40" s="3587"/>
      <c r="ADN40" s="3587" t="s">
        <v>839</v>
      </c>
      <c r="ADO40" s="3587"/>
      <c r="ADP40" s="184"/>
      <c r="ADQ40" s="3675"/>
      <c r="ADR40" s="3587" t="s">
        <v>834</v>
      </c>
      <c r="ADS40" s="3587"/>
      <c r="ADT40" s="3587" t="s">
        <v>838</v>
      </c>
      <c r="ADU40" s="3587"/>
      <c r="ADV40" s="3587" t="s">
        <v>21</v>
      </c>
      <c r="ADW40" s="3587"/>
      <c r="ADX40" s="3587" t="s">
        <v>839</v>
      </c>
      <c r="ADY40" s="3675"/>
      <c r="ADZ40" s="3675" t="s">
        <v>834</v>
      </c>
      <c r="AEA40" s="3675"/>
      <c r="AEB40" s="3675" t="s">
        <v>838</v>
      </c>
      <c r="AEC40" s="3675"/>
      <c r="AED40" s="3675" t="s">
        <v>21</v>
      </c>
      <c r="AEE40" s="3675"/>
      <c r="AEF40" s="3675" t="s">
        <v>839</v>
      </c>
      <c r="AEG40" s="3676"/>
      <c r="AEH40" s="2816"/>
      <c r="AEI40" s="3396"/>
      <c r="AEJ40" s="3396"/>
      <c r="AEK40" s="3396"/>
      <c r="AEL40" s="5788"/>
      <c r="AEM40" s="5788"/>
      <c r="AEN40" s="5788"/>
      <c r="AEO40" s="5788"/>
      <c r="AEP40" s="5788"/>
      <c r="AEQ40" s="5788"/>
      <c r="AER40" s="5788"/>
      <c r="AES40" s="5790"/>
      <c r="AET40" s="5789" t="s">
        <v>834</v>
      </c>
      <c r="AEU40" s="5789"/>
      <c r="AEV40" s="5789" t="s">
        <v>838</v>
      </c>
      <c r="AEW40" s="5789"/>
      <c r="AEX40" s="5789" t="s">
        <v>21</v>
      </c>
      <c r="AEY40" s="5789"/>
      <c r="AEZ40" s="5791" t="s">
        <v>839</v>
      </c>
      <c r="AFA40" s="5142"/>
      <c r="AFB40" s="5145" t="s">
        <v>834</v>
      </c>
      <c r="AFC40" s="5142"/>
      <c r="AFD40" s="5142" t="s">
        <v>838</v>
      </c>
      <c r="AFE40" s="5142"/>
      <c r="AFF40" s="5142" t="s">
        <v>21</v>
      </c>
      <c r="AFG40" s="5142"/>
      <c r="AFH40" s="5146" t="s">
        <v>839</v>
      </c>
      <c r="AFI40" s="5142"/>
      <c r="AFJ40" s="5145" t="s">
        <v>834</v>
      </c>
      <c r="AFK40" s="5142"/>
      <c r="AFL40" s="5142" t="s">
        <v>838</v>
      </c>
      <c r="AFM40" s="5142"/>
      <c r="AFN40" s="5142" t="s">
        <v>21</v>
      </c>
      <c r="AFO40" s="5142"/>
      <c r="AFP40" s="5142" t="s">
        <v>839</v>
      </c>
      <c r="AFQ40" s="5142"/>
      <c r="AFR40" s="5142" t="s">
        <v>834</v>
      </c>
      <c r="AFS40" s="5142"/>
      <c r="AFT40" s="5142" t="s">
        <v>838</v>
      </c>
      <c r="AFU40" s="5142"/>
      <c r="AFV40" s="5142" t="s">
        <v>21</v>
      </c>
      <c r="AFW40" s="5142"/>
      <c r="AFX40" s="5142" t="s">
        <v>839</v>
      </c>
      <c r="AFY40" s="5142"/>
      <c r="AFZ40" s="184"/>
      <c r="AGA40" s="5142"/>
      <c r="AGB40" s="5142" t="s">
        <v>834</v>
      </c>
      <c r="AGC40" s="5142"/>
      <c r="AGD40" s="5142" t="s">
        <v>838</v>
      </c>
      <c r="AGE40" s="5142"/>
      <c r="AGF40" s="5142" t="s">
        <v>21</v>
      </c>
      <c r="AGG40" s="5142"/>
      <c r="AGH40" s="5142" t="s">
        <v>839</v>
      </c>
      <c r="AGI40" s="5146"/>
      <c r="AGJ40" s="5142"/>
      <c r="AGK40" s="5142"/>
      <c r="AGL40" s="5142"/>
      <c r="AGM40" s="5142"/>
      <c r="AGN40" s="184"/>
      <c r="AGO40" s="3354" t="s">
        <v>834</v>
      </c>
      <c r="AGP40" s="3318"/>
      <c r="AGQ40" s="3318" t="s">
        <v>838</v>
      </c>
      <c r="AGR40" s="3318"/>
      <c r="AGS40" s="3318" t="s">
        <v>21</v>
      </c>
      <c r="AGT40" s="3318"/>
      <c r="AGU40" s="3353" t="s">
        <v>839</v>
      </c>
      <c r="AGV40" s="5561"/>
      <c r="AGW40" s="5518" t="s">
        <v>834</v>
      </c>
      <c r="AGX40" s="5517"/>
      <c r="AGY40" s="5517" t="s">
        <v>838</v>
      </c>
      <c r="AGZ40" s="5517"/>
      <c r="AHA40" s="5517" t="s">
        <v>21</v>
      </c>
      <c r="AHB40" s="5517"/>
      <c r="AHC40" s="5519" t="s">
        <v>839</v>
      </c>
      <c r="AHD40" s="5561"/>
      <c r="AHE40" s="2816"/>
      <c r="AHF40" s="5518" t="s">
        <v>834</v>
      </c>
      <c r="AHG40" s="5517"/>
      <c r="AHH40" s="5517" t="s">
        <v>838</v>
      </c>
      <c r="AHI40" s="5517"/>
      <c r="AHJ40" s="5517" t="s">
        <v>21</v>
      </c>
      <c r="AHK40" s="5517"/>
      <c r="AHL40" s="5519" t="s">
        <v>839</v>
      </c>
      <c r="AHM40" s="5517"/>
      <c r="AHN40" s="5517"/>
      <c r="AHO40" s="2816"/>
      <c r="AHP40" s="3589"/>
      <c r="AHQ40" s="3587" t="s">
        <v>834</v>
      </c>
      <c r="AHR40" s="3587"/>
      <c r="AHS40" s="3587" t="s">
        <v>838</v>
      </c>
      <c r="AHT40" s="3587"/>
      <c r="AHU40" s="3587" t="s">
        <v>21</v>
      </c>
      <c r="AHV40" s="3587"/>
      <c r="AHW40" s="3587" t="s">
        <v>839</v>
      </c>
      <c r="AHX40" s="3588"/>
      <c r="AHY40" s="184"/>
      <c r="AHZ40" s="3677"/>
      <c r="AIA40" s="3675" t="s">
        <v>834</v>
      </c>
      <c r="AIB40" s="3675"/>
      <c r="AIC40" s="3675" t="s">
        <v>838</v>
      </c>
      <c r="AID40" s="3675"/>
      <c r="AIE40" s="3675" t="s">
        <v>21</v>
      </c>
      <c r="AIF40" s="3675"/>
      <c r="AIG40" s="3675" t="s">
        <v>839</v>
      </c>
      <c r="AIH40" s="3676"/>
      <c r="AII40" s="184"/>
      <c r="AIJ40" s="3811"/>
      <c r="AIK40" s="3675" t="s">
        <v>834</v>
      </c>
      <c r="AIL40" s="3675"/>
      <c r="AIM40" s="3675" t="s">
        <v>838</v>
      </c>
      <c r="AIN40" s="3675"/>
      <c r="AIO40" s="3675" t="s">
        <v>21</v>
      </c>
      <c r="AIP40" s="3675"/>
      <c r="AIQ40" s="3675" t="s">
        <v>839</v>
      </c>
      <c r="AIR40" s="3753"/>
      <c r="AIS40" s="184"/>
      <c r="AIT40" s="3677"/>
      <c r="AIU40" s="3675" t="s">
        <v>834</v>
      </c>
      <c r="AIV40" s="3675"/>
      <c r="AIW40" s="3675" t="s">
        <v>838</v>
      </c>
      <c r="AIX40" s="3675"/>
      <c r="AIY40" s="3675" t="s">
        <v>21</v>
      </c>
      <c r="AIZ40" s="3675"/>
      <c r="AJA40" s="3675" t="s">
        <v>839</v>
      </c>
      <c r="AJB40" s="3675"/>
      <c r="AJC40" s="5162" t="s">
        <v>834</v>
      </c>
      <c r="AJD40" s="5162"/>
      <c r="AJE40" s="5162" t="s">
        <v>838</v>
      </c>
      <c r="AJF40" s="5162"/>
      <c r="AJG40" s="5162" t="s">
        <v>21</v>
      </c>
      <c r="AJH40" s="5162"/>
      <c r="AJI40" s="5162" t="s">
        <v>839</v>
      </c>
      <c r="AJJ40" s="5162"/>
      <c r="AJK40" s="3675" t="s">
        <v>834</v>
      </c>
      <c r="AJL40" s="3675"/>
      <c r="AJM40" s="3675" t="s">
        <v>838</v>
      </c>
      <c r="AJN40" s="3675"/>
      <c r="AJO40" s="3675" t="s">
        <v>21</v>
      </c>
      <c r="AJP40" s="3675"/>
      <c r="AJQ40" s="3675" t="s">
        <v>839</v>
      </c>
      <c r="AJR40" s="3675"/>
      <c r="AJS40" s="3675" t="s">
        <v>834</v>
      </c>
      <c r="AJT40" s="3675"/>
      <c r="AJU40" s="3675" t="s">
        <v>838</v>
      </c>
      <c r="AJV40" s="3675"/>
      <c r="AJW40" s="3675" t="s">
        <v>21</v>
      </c>
      <c r="AJX40" s="3675"/>
      <c r="AJY40" s="3675" t="s">
        <v>839</v>
      </c>
      <c r="AJZ40" s="3676"/>
      <c r="AKA40" s="3675"/>
      <c r="AKB40" s="3675"/>
      <c r="AKC40" s="3582"/>
      <c r="AKD40" s="3581"/>
      <c r="AKE40" s="3582" t="s">
        <v>834</v>
      </c>
      <c r="AKF40" s="3582"/>
      <c r="AKG40" s="3582" t="s">
        <v>838</v>
      </c>
      <c r="AKH40" s="3582"/>
      <c r="AKI40" s="3582" t="s">
        <v>21</v>
      </c>
      <c r="AKJ40" s="3582"/>
      <c r="AKK40" s="3582" t="s">
        <v>839</v>
      </c>
      <c r="AKL40" s="3582"/>
      <c r="AKM40" s="3582" t="s">
        <v>834</v>
      </c>
      <c r="AKN40" s="3582"/>
      <c r="AKO40" s="3582" t="s">
        <v>838</v>
      </c>
      <c r="AKP40" s="3582"/>
      <c r="AKQ40" s="3582" t="s">
        <v>21</v>
      </c>
      <c r="AKR40" s="3582"/>
      <c r="AKS40" s="3582" t="s">
        <v>839</v>
      </c>
      <c r="AKT40" s="3582"/>
      <c r="AKU40" s="184"/>
      <c r="AKV40" s="3582" t="s">
        <v>834</v>
      </c>
      <c r="AKW40" s="3582"/>
      <c r="AKX40" s="3582" t="s">
        <v>838</v>
      </c>
      <c r="AKY40" s="3582"/>
      <c r="AKZ40" s="3582" t="s">
        <v>21</v>
      </c>
      <c r="ALA40" s="3582"/>
      <c r="ALB40" s="3585" t="s">
        <v>839</v>
      </c>
      <c r="ALC40" s="3642"/>
      <c r="ALD40" s="3589"/>
      <c r="ALE40" s="3587" t="s">
        <v>834</v>
      </c>
      <c r="ALF40" s="3587"/>
      <c r="ALG40" s="3587" t="s">
        <v>838</v>
      </c>
      <c r="ALH40" s="3587"/>
      <c r="ALI40" s="3587" t="s">
        <v>21</v>
      </c>
      <c r="ALJ40" s="3587"/>
      <c r="ALK40" s="3587" t="s">
        <v>839</v>
      </c>
      <c r="ALL40" s="3753"/>
      <c r="ALM40" s="2737"/>
      <c r="ALN40" s="3581"/>
      <c r="ALO40" s="3582" t="s">
        <v>834</v>
      </c>
      <c r="ALP40" s="3582"/>
      <c r="ALQ40" s="3582" t="s">
        <v>838</v>
      </c>
      <c r="ALR40" s="3582"/>
      <c r="ALS40" s="3582" t="s">
        <v>21</v>
      </c>
      <c r="ALT40" s="3582"/>
      <c r="ALU40" s="3582" t="s">
        <v>839</v>
      </c>
      <c r="ALV40" s="3582"/>
      <c r="ALW40" s="3582"/>
      <c r="ALX40" s="3582" t="s">
        <v>834</v>
      </c>
      <c r="ALY40" s="3582"/>
      <c r="ALZ40" s="3582" t="s">
        <v>838</v>
      </c>
      <c r="AMA40" s="3582"/>
      <c r="AMB40" s="3582" t="s">
        <v>21</v>
      </c>
      <c r="AMC40" s="3582"/>
      <c r="AMD40" s="3582" t="s">
        <v>839</v>
      </c>
      <c r="AME40" s="3582"/>
      <c r="AMF40" s="184"/>
      <c r="AMG40" s="3582" t="s">
        <v>834</v>
      </c>
      <c r="AMH40" s="3582"/>
      <c r="AMI40" s="3582" t="s">
        <v>838</v>
      </c>
      <c r="AMJ40" s="3582"/>
      <c r="AMK40" s="3582" t="s">
        <v>21</v>
      </c>
      <c r="AML40" s="3582"/>
      <c r="AMM40" s="3585" t="s">
        <v>839</v>
      </c>
      <c r="AMN40" s="5517"/>
      <c r="AMO40" s="5517"/>
      <c r="AMP40" s="5517"/>
      <c r="AMQ40" s="5517"/>
      <c r="AMR40" s="5517"/>
      <c r="AMS40" s="5517"/>
      <c r="AMT40" s="5517"/>
      <c r="AMU40" s="5517"/>
      <c r="AMV40" s="5517"/>
      <c r="AMW40" s="5517"/>
      <c r="AMX40" s="5517"/>
      <c r="AMY40" s="5517"/>
      <c r="AMZ40" s="5517"/>
      <c r="ANA40" s="5517"/>
      <c r="ANB40" s="5517"/>
      <c r="ANC40" s="5517"/>
      <c r="AND40" s="5517"/>
      <c r="ANE40" s="5517"/>
      <c r="ANF40" s="5517"/>
      <c r="ANG40" s="5517"/>
      <c r="ANH40" s="5517"/>
      <c r="ANI40" s="5517"/>
      <c r="ANJ40" s="5517"/>
      <c r="ANK40" s="5517"/>
      <c r="ANL40" s="5517"/>
      <c r="ANM40" s="5517"/>
      <c r="ANN40" s="5517"/>
      <c r="ANO40" s="5517"/>
      <c r="ANP40" s="5517"/>
      <c r="ANQ40" s="5517"/>
      <c r="ANR40" s="5517"/>
      <c r="ANS40" s="5517"/>
      <c r="ANT40" s="5517"/>
      <c r="ANU40" s="5517"/>
      <c r="ANV40" s="5517"/>
      <c r="ANW40" s="5517"/>
      <c r="ANX40" s="5517"/>
      <c r="ANY40" s="5517"/>
      <c r="ANZ40" s="5517"/>
      <c r="AOA40" s="5517"/>
      <c r="AOB40" s="5517"/>
      <c r="AOC40" s="5517"/>
      <c r="AOD40" s="5517"/>
      <c r="AOE40" s="5517"/>
      <c r="AOF40" s="5517"/>
      <c r="AOG40" s="5517"/>
      <c r="AOH40" s="5517"/>
      <c r="AOI40" s="5517"/>
      <c r="AOJ40" s="5517"/>
      <c r="AOK40" s="5517"/>
      <c r="AOL40" s="5517"/>
      <c r="AOM40" s="5517"/>
      <c r="AOO40" s="4125"/>
      <c r="AOP40" s="4124" t="s">
        <v>834</v>
      </c>
      <c r="AOQ40" s="4124"/>
      <c r="AOR40" s="4124" t="s">
        <v>838</v>
      </c>
      <c r="AOS40" s="4124"/>
      <c r="AOT40" s="4124" t="s">
        <v>21</v>
      </c>
      <c r="AOU40" s="4124"/>
      <c r="AOV40" s="4124" t="s">
        <v>839</v>
      </c>
      <c r="AOW40" s="5162"/>
      <c r="AOX40" s="5162"/>
      <c r="AOY40" s="5162" t="s">
        <v>834</v>
      </c>
      <c r="AOZ40" s="5162"/>
      <c r="APA40" s="5162" t="s">
        <v>838</v>
      </c>
      <c r="APB40" s="5162"/>
      <c r="APC40" s="5162" t="s">
        <v>21</v>
      </c>
      <c r="APD40" s="5162"/>
      <c r="APE40" s="5162" t="s">
        <v>839</v>
      </c>
      <c r="APF40" s="4124"/>
      <c r="APG40" s="3587" t="s">
        <v>834</v>
      </c>
      <c r="APH40" s="3587"/>
      <c r="API40" s="3587" t="s">
        <v>838</v>
      </c>
      <c r="APJ40" s="3587"/>
      <c r="APK40" s="3587" t="s">
        <v>21</v>
      </c>
      <c r="APL40" s="3587"/>
      <c r="APM40" s="3587" t="s">
        <v>839</v>
      </c>
      <c r="APN40" s="3587"/>
      <c r="APO40" s="3587" t="s">
        <v>834</v>
      </c>
      <c r="APP40" s="3587"/>
      <c r="APQ40" s="3587" t="s">
        <v>838</v>
      </c>
      <c r="APR40" s="3587"/>
      <c r="APS40" s="3587" t="s">
        <v>21</v>
      </c>
      <c r="APT40" s="3587"/>
      <c r="APU40" s="3587" t="s">
        <v>839</v>
      </c>
      <c r="APV40" s="3587"/>
      <c r="APW40" s="3587" t="s">
        <v>834</v>
      </c>
      <c r="APX40" s="3587"/>
      <c r="APY40" s="3587" t="s">
        <v>838</v>
      </c>
      <c r="APZ40" s="3587"/>
      <c r="AQA40" s="3587" t="s">
        <v>21</v>
      </c>
      <c r="AQB40" s="3587"/>
      <c r="AQC40" s="3587" t="s">
        <v>839</v>
      </c>
      <c r="AQD40" s="3587"/>
      <c r="AQE40" s="184"/>
      <c r="AQF40" s="3587" t="s">
        <v>834</v>
      </c>
      <c r="AQG40" s="3587"/>
      <c r="AQH40" s="3587" t="s">
        <v>838</v>
      </c>
      <c r="AQI40" s="3587"/>
      <c r="AQJ40" s="3587" t="s">
        <v>21</v>
      </c>
      <c r="AQK40" s="3587"/>
      <c r="AQL40" s="3588" t="s">
        <v>839</v>
      </c>
      <c r="AQN40" s="3589"/>
      <c r="AQO40" s="3587" t="s">
        <v>834</v>
      </c>
      <c r="AQP40" s="3587"/>
      <c r="AQQ40" s="3587" t="s">
        <v>838</v>
      </c>
      <c r="AQR40" s="3587"/>
      <c r="AQS40" s="3587" t="s">
        <v>21</v>
      </c>
      <c r="AQT40" s="3587"/>
      <c r="AQU40" s="3587" t="s">
        <v>839</v>
      </c>
      <c r="AQV40" s="3587"/>
      <c r="AQW40" s="3587" t="s">
        <v>834</v>
      </c>
      <c r="AQX40" s="3587"/>
      <c r="AQY40" s="3587" t="s">
        <v>838</v>
      </c>
      <c r="AQZ40" s="3587"/>
      <c r="ARA40" s="3587" t="s">
        <v>21</v>
      </c>
      <c r="ARB40" s="3587"/>
      <c r="ARC40" s="3587" t="s">
        <v>839</v>
      </c>
      <c r="ARD40" s="3587"/>
      <c r="ARE40" s="184"/>
      <c r="ARF40" s="3587" t="s">
        <v>834</v>
      </c>
      <c r="ARG40" s="3587"/>
      <c r="ARH40" s="3587" t="s">
        <v>838</v>
      </c>
      <c r="ARI40" s="3587"/>
      <c r="ARJ40" s="3587" t="s">
        <v>21</v>
      </c>
      <c r="ARK40" s="3587"/>
      <c r="ARL40" s="3588" t="s">
        <v>839</v>
      </c>
      <c r="ARS40" s="2816"/>
      <c r="ART40" s="3354" t="s">
        <v>834</v>
      </c>
      <c r="ARU40" s="3318"/>
      <c r="ARV40" s="3318" t="s">
        <v>838</v>
      </c>
      <c r="ARW40" s="3318"/>
      <c r="ARX40" s="3318" t="s">
        <v>21</v>
      </c>
      <c r="ARY40" s="3318"/>
      <c r="ARZ40" s="3318" t="s">
        <v>839</v>
      </c>
      <c r="ASA40" s="184"/>
      <c r="ASB40" s="3318" t="s">
        <v>834</v>
      </c>
      <c r="ASC40" s="3318"/>
      <c r="ASD40" s="3318" t="s">
        <v>838</v>
      </c>
      <c r="ASE40" s="3318"/>
      <c r="ASF40" s="3318" t="s">
        <v>21</v>
      </c>
      <c r="ASG40" s="3318"/>
      <c r="ASH40" s="3318" t="s">
        <v>839</v>
      </c>
      <c r="ASI40" s="3318"/>
      <c r="ASJ40" s="184"/>
      <c r="ASK40" s="3318" t="s">
        <v>834</v>
      </c>
      <c r="ASL40" s="3318"/>
      <c r="ASM40" s="3318" t="s">
        <v>838</v>
      </c>
      <c r="ASN40" s="3318"/>
      <c r="ASO40" s="3318" t="s">
        <v>21</v>
      </c>
      <c r="ASP40" s="3318"/>
      <c r="ASQ40" s="3353" t="s">
        <v>839</v>
      </c>
      <c r="ASR40" s="2816"/>
      <c r="ASS40" s="2816"/>
      <c r="ATA40" s="184"/>
      <c r="ATB40" s="184"/>
      <c r="ATC40" s="184"/>
      <c r="ATD40" s="184"/>
      <c r="ATE40" s="184"/>
      <c r="ATF40" s="184"/>
      <c r="ATG40" s="184"/>
      <c r="ATH40" s="184"/>
      <c r="ATI40" s="184"/>
      <c r="ATJ40" s="184"/>
      <c r="ATK40" s="2622"/>
      <c r="ATL40" s="3595" t="s">
        <v>162</v>
      </c>
      <c r="ATM40" s="3532"/>
      <c r="ATN40" s="3433">
        <f>ATU40</f>
        <v>0</v>
      </c>
      <c r="ATO40" s="3447" t="e">
        <f>(ATN40*#REF!)+#REF!</f>
        <v>#REF!</v>
      </c>
      <c r="ATP40" s="3433"/>
      <c r="ATQ40" s="3451">
        <f t="shared" si="85"/>
        <v>24.86</v>
      </c>
      <c r="ATR40" s="3451"/>
      <c r="ATS40" s="3433">
        <f t="shared" si="86"/>
        <v>3.5779999999999998</v>
      </c>
      <c r="ATT40" s="3525">
        <f>ATQ40-(ATS40*2)</f>
        <v>17.704000000000001</v>
      </c>
      <c r="ATU40" s="3452"/>
      <c r="ATV40" s="184"/>
      <c r="ATW40" s="184"/>
      <c r="ATX40" s="183"/>
      <c r="ATY40" s="183"/>
      <c r="ATZ40" s="3458"/>
      <c r="AUA40" s="3458"/>
      <c r="AUB40" s="183"/>
      <c r="AUC40" s="183"/>
      <c r="AUD40" s="183"/>
      <c r="AUE40" s="183"/>
      <c r="AUF40" s="183"/>
      <c r="AUG40" s="183"/>
      <c r="AUH40" s="183"/>
      <c r="AUI40" s="183"/>
      <c r="AUJ40" s="183"/>
      <c r="AUK40" s="183"/>
      <c r="AUL40" s="183"/>
      <c r="AUM40" s="183"/>
      <c r="AUN40" s="183"/>
      <c r="AUO40" s="183"/>
      <c r="AUP40" s="2617"/>
      <c r="AUQ40" s="2617"/>
      <c r="AUR40" s="2617"/>
      <c r="AUS40" s="2617"/>
      <c r="AUT40" s="2617"/>
      <c r="AUU40" s="2617"/>
      <c r="AUV40" s="235" t="s">
        <v>1270</v>
      </c>
      <c r="AUW40" s="185">
        <v>16.8</v>
      </c>
      <c r="AUX40" s="185">
        <v>25.8</v>
      </c>
      <c r="AUY40" s="185">
        <v>39</v>
      </c>
      <c r="AUZ40" s="185">
        <v>55.800000000000004</v>
      </c>
      <c r="AVA40" s="185">
        <v>0</v>
      </c>
      <c r="AVB40" s="185">
        <v>0</v>
      </c>
      <c r="AVC40" s="185">
        <v>0</v>
      </c>
      <c r="AVD40" s="185">
        <v>0</v>
      </c>
      <c r="AVE40" s="185">
        <v>5</v>
      </c>
      <c r="AVF40" s="185">
        <v>10</v>
      </c>
      <c r="AVG40" s="185">
        <v>15</v>
      </c>
      <c r="AVH40" s="185">
        <v>15</v>
      </c>
      <c r="AVI40" s="185">
        <v>20</v>
      </c>
      <c r="AVJ40" s="185">
        <v>25</v>
      </c>
      <c r="AVK40" s="185">
        <v>30</v>
      </c>
      <c r="AVL40" s="193">
        <v>30</v>
      </c>
      <c r="AVM40" s="2617"/>
      <c r="AVN40" s="2617"/>
      <c r="AVO40" s="2617"/>
      <c r="AVP40" s="2617"/>
      <c r="AVQ40" s="2617"/>
      <c r="AVR40" s="2617"/>
      <c r="AVS40" s="2617"/>
      <c r="AVT40" s="2617"/>
      <c r="AVU40" s="2617"/>
      <c r="AVV40" s="2617"/>
      <c r="AVW40" s="2617"/>
      <c r="AVX40" s="2617"/>
      <c r="AVY40" s="2617"/>
      <c r="AVZ40" s="2617"/>
      <c r="AWA40" s="2617"/>
      <c r="AWB40" s="2617"/>
      <c r="AWC40" s="2617"/>
      <c r="AWD40" s="2617"/>
      <c r="AWE40" s="2617"/>
      <c r="AWF40" s="2617"/>
      <c r="AWG40" s="2617"/>
      <c r="AWH40" s="2617"/>
      <c r="AWI40" s="2617"/>
      <c r="AWJ40" s="2617"/>
      <c r="AWK40" s="2617"/>
      <c r="AWL40" s="2617"/>
      <c r="AWM40" s="2617"/>
      <c r="AWN40" s="2617"/>
      <c r="AWO40" s="2617"/>
      <c r="AWP40" s="2617"/>
      <c r="AWQ40" s="2617"/>
      <c r="AWR40" s="2617"/>
      <c r="AWS40" s="251"/>
      <c r="AWT40" s="251"/>
      <c r="AWU40" s="251"/>
      <c r="AWV40" s="251"/>
      <c r="AWW40" s="251"/>
      <c r="AWX40" s="251"/>
      <c r="AWY40" s="249" t="s">
        <v>1359</v>
      </c>
      <c r="AWZ40" s="221" t="s">
        <v>1504</v>
      </c>
      <c r="AXA40" s="221" t="s">
        <v>1505</v>
      </c>
      <c r="AXB40" s="221" t="s">
        <v>1506</v>
      </c>
      <c r="AXC40" s="221" t="s">
        <v>1507</v>
      </c>
      <c r="AXD40" s="221" t="s">
        <v>1508</v>
      </c>
      <c r="AXE40" s="221" t="s">
        <v>1509</v>
      </c>
      <c r="AXF40" s="221" t="s">
        <v>1510</v>
      </c>
      <c r="AXG40" s="254" t="s">
        <v>1511</v>
      </c>
      <c r="AXH40" s="251"/>
      <c r="AXI40" s="251"/>
      <c r="AXJ40" s="251"/>
      <c r="AXK40" s="251"/>
      <c r="AXL40" s="251"/>
      <c r="AXM40" s="251"/>
      <c r="AXN40" s="251"/>
      <c r="AXO40" s="251"/>
      <c r="AXP40" s="251"/>
      <c r="AXQ40" s="251"/>
      <c r="AXR40" s="251"/>
      <c r="AXS40" s="251"/>
      <c r="AXT40" s="251"/>
      <c r="AXU40" s="251"/>
      <c r="AXV40" s="251"/>
      <c r="AXW40" s="251"/>
      <c r="AXX40" s="251"/>
      <c r="AXY40" s="251"/>
      <c r="AXZ40" s="251"/>
      <c r="AYA40" s="251"/>
      <c r="AYB40" s="251"/>
      <c r="AYC40" s="251"/>
      <c r="AYD40" s="251"/>
      <c r="AYE40" s="251"/>
      <c r="AYF40" s="2626"/>
      <c r="AYG40" s="2690"/>
      <c r="AYH40" s="2626"/>
      <c r="AYI40" s="2626"/>
      <c r="AYJ40" s="2626"/>
      <c r="AYK40" s="2690" t="s">
        <v>861</v>
      </c>
      <c r="AYL40" s="2690" t="s">
        <v>1174</v>
      </c>
      <c r="AYM40" s="2626"/>
      <c r="AYN40" s="2626"/>
      <c r="AYT40" s="185"/>
      <c r="AYU40" s="3404"/>
      <c r="AYV40" s="3425" t="s">
        <v>861</v>
      </c>
      <c r="AYW40" s="3410" t="s">
        <v>1174</v>
      </c>
      <c r="AYX40" s="3426" t="s">
        <v>985</v>
      </c>
      <c r="AYY40" s="3425" t="s">
        <v>861</v>
      </c>
      <c r="AYZ40" s="3410" t="s">
        <v>1174</v>
      </c>
      <c r="AZA40" s="3426" t="s">
        <v>985</v>
      </c>
      <c r="AZB40" s="3411" t="s">
        <v>1172</v>
      </c>
      <c r="AZC40" s="2720"/>
      <c r="AZD40" s="2720"/>
      <c r="AZE40" s="2622"/>
      <c r="AZF40" s="2622"/>
      <c r="AZG40" s="2622"/>
      <c r="AZH40" s="2622"/>
      <c r="AZI40" s="2622"/>
      <c r="AZJ40" s="2622"/>
      <c r="AZK40" s="2622"/>
      <c r="AZL40" s="2690"/>
      <c r="AZM40" s="2622"/>
      <c r="AZN40" s="2622"/>
      <c r="AZO40" s="2622"/>
      <c r="AZP40" s="2622"/>
      <c r="AZQ40" s="2622"/>
      <c r="AZR40" s="2622"/>
      <c r="AZS40" s="2622"/>
      <c r="AZT40" s="2622"/>
      <c r="AZU40" s="2622"/>
      <c r="AZV40" s="2691" t="s">
        <v>898</v>
      </c>
      <c r="AZW40" s="2717">
        <v>1</v>
      </c>
      <c r="AZX40" s="2778">
        <v>2.5</v>
      </c>
      <c r="AZY40" s="2682" t="str">
        <f>_List!DO7</f>
        <v>Enkelt</v>
      </c>
      <c r="AZZ40" s="2715">
        <f>BBJ27</f>
        <v>1.5</v>
      </c>
      <c r="BAA40" s="2780">
        <v>1</v>
      </c>
      <c r="BAB40" s="2993">
        <f>1-BAA40</f>
        <v>0</v>
      </c>
      <c r="BAC40" s="2622"/>
      <c r="BAD40" s="2622"/>
      <c r="BAE40" s="2622"/>
      <c r="BAF40" s="2622"/>
      <c r="BAG40" s="2622"/>
      <c r="BAH40" s="2622"/>
      <c r="BAI40" s="2622"/>
      <c r="BAJ40" s="2691" t="s">
        <v>898</v>
      </c>
      <c r="BAK40" s="2717">
        <v>6</v>
      </c>
      <c r="BAL40" s="2795">
        <v>0.5</v>
      </c>
      <c r="BAM40" s="2779">
        <f t="shared" si="208"/>
        <v>0.5</v>
      </c>
      <c r="BAN40" s="2715"/>
      <c r="BAO40" s="2622"/>
      <c r="BAP40" s="2622"/>
      <c r="BAQ40" s="2622"/>
      <c r="BAT40" s="2622"/>
      <c r="BBG40" s="2622"/>
      <c r="BBH40" s="2622"/>
      <c r="BBK40" s="2622"/>
      <c r="BBQ40" s="3398"/>
      <c r="BCJ40" s="2617"/>
      <c r="BCK40" s="2617"/>
      <c r="BCL40" s="2617"/>
      <c r="BCM40" s="2617"/>
      <c r="BCN40" s="2617"/>
      <c r="BCO40" s="2617"/>
      <c r="BCP40" s="2617"/>
      <c r="BCQ40" s="2617"/>
      <c r="BCR40" s="2617"/>
      <c r="BCS40" s="2617"/>
      <c r="BCT40" s="2617"/>
      <c r="BCU40" s="2617"/>
      <c r="BCV40" s="2617"/>
      <c r="BCW40" s="2617"/>
      <c r="BCX40" s="2617"/>
      <c r="BCY40" s="2617"/>
      <c r="BCZ40" s="2617"/>
      <c r="BDA40" s="2617"/>
      <c r="BDB40" s="2617"/>
      <c r="BDC40" s="2617"/>
      <c r="BDD40" s="2617"/>
      <c r="BDE40" s="2617"/>
      <c r="BDF40" s="2617"/>
      <c r="BDG40" s="2617"/>
      <c r="BDH40" s="2617"/>
      <c r="BDI40" s="2617"/>
      <c r="BDL40" s="2617"/>
      <c r="BDM40" s="2617"/>
      <c r="BDN40" s="2617"/>
      <c r="BDO40" s="2617"/>
      <c r="BDP40" s="2617"/>
      <c r="BDQ40" s="2617"/>
      <c r="BDR40" s="2617"/>
      <c r="BDS40" s="2617"/>
      <c r="BDT40" s="2617"/>
      <c r="BDU40" s="2617"/>
      <c r="BDV40" s="2617"/>
      <c r="BDW40" s="2617"/>
      <c r="BDZ40" s="2617"/>
      <c r="BEA40" s="2617"/>
      <c r="BEB40" s="2617"/>
      <c r="BEC40" s="2617"/>
      <c r="BED40" s="2617"/>
      <c r="BEE40" s="2617"/>
      <c r="BEH40" s="2617"/>
    </row>
    <row r="41" spans="1:1490" ht="15.75" x14ac:dyDescent="0.2">
      <c r="AH41" s="206" t="s">
        <v>1498</v>
      </c>
      <c r="AI41" s="199">
        <f>'!Egen_SK'!$V$40</f>
        <v>0</v>
      </c>
      <c r="AK41" s="3403">
        <f>_Calcs!AI36</f>
        <v>3</v>
      </c>
      <c r="AL41" s="4144">
        <f>_Calcs!AJ27</f>
        <v>0</v>
      </c>
      <c r="AM41" s="4145" t="e">
        <f>_Calcs!AJ36</f>
        <v>#DIV/0!</v>
      </c>
      <c r="CG41" s="5812" t="str">
        <f>_Calcs!$QV$135</f>
        <v>Stuff 2-4</v>
      </c>
      <c r="CH41" s="5558">
        <f>IF(_Calcs!$BC$38=1,0,IF(_Calcs!$BC$38=2,8,0))</f>
        <v>8</v>
      </c>
      <c r="CI41" s="1665">
        <f>IF(_Calcs!$BC$34&gt;7,1,0)</f>
        <v>0</v>
      </c>
      <c r="CJ41" s="238">
        <f>IF($AI$31=2,INDEX(outputs_position[24],MATCH(_Calcs!$BC$35,outputs_position[lopstuff],0)),0)</f>
        <v>0</v>
      </c>
      <c r="CK41" s="194">
        <v>82</v>
      </c>
      <c r="CL41" s="3453" t="e">
        <f t="shared" si="87"/>
        <v>#VALUE!</v>
      </c>
      <c r="CM41" s="3453" t="e">
        <f t="shared" si="88"/>
        <v>#VALUE!</v>
      </c>
      <c r="CN41" s="3453" t="e">
        <f t="shared" si="89"/>
        <v>#VALUE!</v>
      </c>
      <c r="CO41" s="3453" t="e">
        <f t="shared" si="90"/>
        <v>#VALUE!</v>
      </c>
      <c r="CP41" s="3453" t="e">
        <f t="shared" si="207"/>
        <v>#VALUE!</v>
      </c>
      <c r="CQ41" s="3453" t="e">
        <f t="shared" si="91"/>
        <v>#VALUE!</v>
      </c>
      <c r="CR41" s="3453" t="e">
        <f t="shared" si="92"/>
        <v>#VALUE!</v>
      </c>
      <c r="CS41" s="3453" t="e">
        <f t="shared" si="93"/>
        <v>#VALUE!</v>
      </c>
      <c r="CT41" s="3453"/>
      <c r="CU41" s="3453"/>
      <c r="CV41" s="5712">
        <f>IF($AK$213=_List!$CX$6,$CV$28,IF($AK$213=_List!$CX$7,$CV$29,0))</f>
        <v>1</v>
      </c>
      <c r="CW41" s="3453">
        <f>IF(outputs_klasse_qty[[#This Row],[man_metode]]=1,$ABR$42)</f>
        <v>20</v>
      </c>
      <c r="CX41" s="3453">
        <f>IFERROR(IF(outputs_klasse_qty[[#This Row],[man_metode]]=1,outputs_klasse_qty[[#This Row],[man_a_rate]]*$BG116),0)</f>
        <v>0</v>
      </c>
      <c r="CY41" s="3453" t="e">
        <f>IF(outputs_klasse_qty[[#This Row],[man_metode]]=1,$ABR$43)</f>
        <v>#N/A</v>
      </c>
      <c r="CZ41" s="3453">
        <f>IFERROR(IF(outputs_klasse_qty[[#This Row],[man_metode]]=1,outputs_klasse_qty[[#This Row],[man_b_rate]]*$BH116),0)</f>
        <v>0</v>
      </c>
      <c r="DA41" s="3453" t="e">
        <f>IF(outputs_klasse_qty[[#This Row],[man_metode]]=1,$ABR$44)</f>
        <v>#N/A</v>
      </c>
      <c r="DB41" s="3453">
        <f>IFERROR(IF(outputs_klasse_qty[[#This Row],[man_metode]]=1,outputs_klasse_qty[[#This Row],[man_c_rate]]*$BI116),0)</f>
        <v>0</v>
      </c>
      <c r="DC41" s="3453" t="e">
        <f>IF(outputs_klasse_qty[[#This Row],[man_metode]]=1,$ABR$45)</f>
        <v>#N/A</v>
      </c>
      <c r="DD41" s="3453">
        <f>IFERROR(IF(outputs_klasse_qty[[#This Row],[man_metode]]=1,outputs_klasse_qty[[#This Row],[man_d_rate]]*$BJ116),0)</f>
        <v>0</v>
      </c>
      <c r="DE41" s="3453" t="e">
        <f>IF(outputs_klasse_qty[[#This Row],[man_metode]]=1,$ABR$46)</f>
        <v>#N/A</v>
      </c>
      <c r="DF41" s="3453">
        <f>IFERROR(IF(outputs_klasse_qty[[#This Row],[man_metode]]=1,outputs_klasse_qty[[#This Row],[man_e1_rate]]*$BK116),0)</f>
        <v>0</v>
      </c>
      <c r="DG41" s="3453" t="e">
        <f>IF(outputs_klasse_qty[[#This Row],[man_metode]]=1,$ABR$47)</f>
        <v>#N/A</v>
      </c>
      <c r="DH41" s="3453">
        <f>IFERROR(IF(outputs_klasse_qty[[#This Row],[man_metode]]=1,outputs_klasse_qty[[#This Row],[man_e2_rate]]*$BL116),0)</f>
        <v>0</v>
      </c>
      <c r="DI41" s="3453" t="e">
        <f>IF(outputs_klasse_qty[[#This Row],[man_metode]]=1,$ABR$48)</f>
        <v>#N/A</v>
      </c>
      <c r="DJ41" s="3453">
        <f>IFERROR(IF(outputs_klasse_qty[[#This Row],[man_metode]]=1,outputs_klasse_qty[[#This Row],[man_f_rate]]*$BM116),0)</f>
        <v>0</v>
      </c>
      <c r="DK41" s="3453" t="e">
        <f>IF(outputs_klasse_qty[[#This Row],[man_metode]]=1,$ABR$49)</f>
        <v>#N/A</v>
      </c>
      <c r="DL41" s="3453">
        <f>IFERROR(IF(outputs_klasse_qty[[#This Row],[man_metode]]=1,outputs_klasse_qty[[#This Row],[man_g_rate]]*$BN116),0)</f>
        <v>0</v>
      </c>
      <c r="DM41" s="5722">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41" s="5712">
        <v>1</v>
      </c>
      <c r="DO41" s="3453" t="e">
        <f>IF(outputs_klasse_qty[[#This Row],[kartlegg_metode]]=1,$ACB$42)</f>
        <v>#N/A</v>
      </c>
      <c r="DP41" s="3453">
        <f>IFERROR(IF(outputs_klasse_qty[[#This Row],[kartlegg_metode]]=1,outputs_klasse_qty[[#This Row],[kartlegg_a_rate]]*$BG116),0)</f>
        <v>0</v>
      </c>
      <c r="DQ41" s="3453" t="e">
        <f>IF(outputs_klasse_qty[[#This Row],[kartlegg_metode]]=1,$ACB$43)</f>
        <v>#N/A</v>
      </c>
      <c r="DR41" s="3453">
        <f>IFERROR(IF(outputs_klasse_qty[[#This Row],[kartlegg_metode]]=1,outputs_klasse_qty[[#This Row],[kartlegg_b_rate]]*$BH116),0)</f>
        <v>0</v>
      </c>
      <c r="DS41" s="3453" t="e">
        <f>IF(outputs_klasse_qty[[#This Row],[kartlegg_metode]]=1,$ACB$44)</f>
        <v>#N/A</v>
      </c>
      <c r="DT41" s="3453">
        <f>IFERROR(IF(outputs_klasse_qty[[#This Row],[kartlegg_metode]]=1,outputs_klasse_qty[[#This Row],[kartlegg_c_rate]]*$BI116),0)</f>
        <v>0</v>
      </c>
      <c r="DU41" s="3453" t="e">
        <f>IF(outputs_klasse_qty[[#This Row],[kartlegg_metode]]=1,$ACB$45)</f>
        <v>#N/A</v>
      </c>
      <c r="DV41" s="3453">
        <f>IFERROR(IF(outputs_klasse_qty[[#This Row],[kartlegg_metode]]=1,outputs_klasse_qty[[#This Row],[kartlegg_d_rate]]*$BJ116),0)</f>
        <v>0</v>
      </c>
      <c r="DW41" s="3453" t="e">
        <f>IF(outputs_klasse_qty[[#This Row],[kartlegg_metode]]=1,$ACB$46)</f>
        <v>#N/A</v>
      </c>
      <c r="DX41" s="3453">
        <f>IFERROR(IF(outputs_klasse_qty[[#This Row],[kartlegg_metode]]=1,outputs_klasse_qty[[#This Row],[kartlegg_e1_rate]]*$BK116),0)</f>
        <v>0</v>
      </c>
      <c r="DY41" s="3453" t="e">
        <f>IF(outputs_klasse_qty[[#This Row],[kartlegg_metode]]=1,$ACB$47)</f>
        <v>#N/A</v>
      </c>
      <c r="DZ41" s="3453">
        <f>IFERROR(IF(outputs_klasse_qty[[#This Row],[kartlegg_metode]]=1,outputs_klasse_qty[[#This Row],[kartlegg_e2_rate]]*$BL116),0)</f>
        <v>0</v>
      </c>
      <c r="EA41" s="3453" t="e">
        <f>IF(outputs_klasse_qty[[#This Row],[kartlegg_metode]]=1,$ACB$48)</f>
        <v>#N/A</v>
      </c>
      <c r="EB41" s="3453">
        <f>IFERROR(IF(outputs_klasse_qty[[#This Row],[kartlegg_metode]]=1,outputs_klasse_qty[[#This Row],[kartlegg_f_rate]]*$BM116),0)</f>
        <v>0</v>
      </c>
      <c r="EC41" s="3453" t="e">
        <f>IF(outputs_klasse_qty[[#This Row],[kartlegg_metode]]=1,$ACB$49)</f>
        <v>#N/A</v>
      </c>
      <c r="ED41" s="3453">
        <f>IFERROR(IF(outputs_klasse_qty[[#This Row],[kartlegg_metode]]=1,outputs_klasse_qty[[#This Row],[kartlegg_g_rate]]*$BN116),0)</f>
        <v>0</v>
      </c>
      <c r="EE41" s="5722">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41" s="5712">
        <f>IF($AK$215=_List!$DA$6,$EF$28,IF($AK$215=_List!$DA$7,$EF$29,0))</f>
        <v>1</v>
      </c>
      <c r="EG41" s="3453" t="e">
        <f t="shared" si="94"/>
        <v>#N/A</v>
      </c>
      <c r="EH41" s="5719">
        <f>IFERROR(($AY93*$AI$46)/(outputs_klasse_qty[[#This Row],[bolt_veder_a_rate]]^2),0)</f>
        <v>0</v>
      </c>
      <c r="EI41" s="3453" t="e">
        <f t="shared" si="95"/>
        <v>#N/A</v>
      </c>
      <c r="EJ41" s="5719">
        <f>IFERROR(($AZ93*$AI$46)/(outputs_klasse_qty[[#This Row],[bolt_veder_b_rate]]^2),0)</f>
        <v>0</v>
      </c>
      <c r="EK41" s="3453" t="e">
        <f t="shared" si="96"/>
        <v>#N/A</v>
      </c>
      <c r="EL41" s="5719">
        <f>IFERROR(($BA93*$AI$46)/(outputs_klasse_qty[[#This Row],[bolt_veder_c_rate]]^2),0)</f>
        <v>0</v>
      </c>
      <c r="EM41" s="3453" t="e">
        <f t="shared" si="97"/>
        <v>#N/A</v>
      </c>
      <c r="EN41" s="5719">
        <f>IFERROR(($BB93*$AI$46)/(outputs_klasse_qty[[#This Row],[bolt_veder_d_rate]]^2),0)</f>
        <v>0</v>
      </c>
      <c r="EO41" s="3453" t="e">
        <f t="shared" si="98"/>
        <v>#N/A</v>
      </c>
      <c r="EP41" s="5719">
        <f>IFERROR(($BC93*$AI$46)/(outputs_klasse_qty[[#This Row],[bolt_veder_e1_rate]]^2),0)</f>
        <v>0</v>
      </c>
      <c r="EQ41" s="3453" t="e">
        <f t="shared" si="99"/>
        <v>#N/A</v>
      </c>
      <c r="ER41" s="5719">
        <f>IFERROR(($BD93*$AI$46)/(outputs_klasse_qty[[#This Row],[bolt_veder_e2_rate]]^2),0)</f>
        <v>0</v>
      </c>
      <c r="ES41" s="3453" t="e">
        <f t="shared" si="100"/>
        <v>#N/A</v>
      </c>
      <c r="ET41" s="5719">
        <f>IFERROR(($BE93*$AI$46)/(outputs_klasse_qty[[#This Row],[bolt_veder_f_rate]]^2),0)</f>
        <v>0</v>
      </c>
      <c r="EU41" s="3453" t="e">
        <f t="shared" si="101"/>
        <v>#N/A</v>
      </c>
      <c r="EV41" s="5719">
        <f>IFERROR(($BF93*$AI$46)/(outputs_klasse_qty[[#This Row],[bolt_veder_g_rate]]^2),0)</f>
        <v>0</v>
      </c>
      <c r="EW41" s="569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41" s="3453" t="e">
        <f>outputs_klasse_qty[[#This Row],[bolt_veder_a_output]]*$ACU$42</f>
        <v>#N/A</v>
      </c>
      <c r="EY41" s="3453" t="e">
        <f>outputs_klasse_qty[[#This Row],[bolt_veder_a_output]]*$ADD$42</f>
        <v>#N/A</v>
      </c>
      <c r="EZ41" s="3453" t="e">
        <f>outputs_klasse_qty[[#This Row],[bolt_veder_b_output]]*$ACU$43</f>
        <v>#N/A</v>
      </c>
      <c r="FA41" s="3453" t="e">
        <f>outputs_klasse_qty[[#This Row],[bolt_veder_b_output]]*$ADD$43</f>
        <v>#N/A</v>
      </c>
      <c r="FB41" s="3453" t="e">
        <f>outputs_klasse_qty[[#This Row],[bolt_veder_c_output]]*$ACU$44</f>
        <v>#N/A</v>
      </c>
      <c r="FC41" s="3453" t="e">
        <f>outputs_klasse_qty[[#This Row],[bolt_veder_c_output]]*$ADD$44</f>
        <v>#N/A</v>
      </c>
      <c r="FD41" s="3453" t="e">
        <f>outputs_klasse_qty[[#This Row],[bolt_veder_d_output]]*$ACU$45</f>
        <v>#N/A</v>
      </c>
      <c r="FE41" s="3453" t="e">
        <f>outputs_klasse_qty[[#This Row],[bolt_veder_d_output]]*$ADD$45</f>
        <v>#N/A</v>
      </c>
      <c r="FF41" s="3453" t="e">
        <f>outputs_klasse_qty[[#This Row],[bolt_veder_e1_output]]*$ACU$46</f>
        <v>#N/A</v>
      </c>
      <c r="FG41" s="3453" t="e">
        <f>outputs_klasse_qty[[#This Row],[bolt_veder_e1_output]]*$ADD$46</f>
        <v>#N/A</v>
      </c>
      <c r="FH41" s="3453" t="e">
        <f>outputs_klasse_qty[[#This Row],[bolt_veder_e2_output]]*$ACU$47</f>
        <v>#N/A</v>
      </c>
      <c r="FI41" s="3453" t="e">
        <f>outputs_klasse_qty[[#This Row],[bolt_veder_e2_output]]*$ADD$47</f>
        <v>#N/A</v>
      </c>
      <c r="FJ41" s="3453" t="e">
        <f>outputs_klasse_qty[[#This Row],[bolt_veder_f_output]]*$ACU$48</f>
        <v>#N/A</v>
      </c>
      <c r="FK41" s="3453" t="e">
        <f>outputs_klasse_qty[[#This Row],[bolt_veder_f_output]]*$ADD$48</f>
        <v>#N/A</v>
      </c>
      <c r="FL41" s="3453" t="e">
        <f>outputs_klasse_qty[[#This Row],[bolt_veder_g_output]]*$ACU$49</f>
        <v>#N/A</v>
      </c>
      <c r="FM41" s="3453" t="e">
        <f>outputs_klasse_qty[[#This Row],[bolt_veder_g_output]]*$ADD$49</f>
        <v>#N/A</v>
      </c>
      <c r="FN41" s="571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41" s="571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41" s="3453">
        <v>1</v>
      </c>
      <c r="FQ41" s="3453" t="e">
        <f t="shared" si="102"/>
        <v>#N/A</v>
      </c>
      <c r="FR41" s="5854">
        <f>IFERROR(($AY93*$AI$42*2)/(outputs_klasse_qty[[#This Row],[bolt_vegg_a_rate]]^2),0)</f>
        <v>0</v>
      </c>
      <c r="FS41" s="3453" t="e">
        <f t="shared" si="103"/>
        <v>#N/A</v>
      </c>
      <c r="FT41" s="5854">
        <f>IFERROR(($AZ93*$AI$42*2)/(outputs_klasse_qty[[#This Row],[bolt_vegg_b_rate]]^2),0)</f>
        <v>0</v>
      </c>
      <c r="FU41" s="3453" t="e">
        <f t="shared" si="104"/>
        <v>#N/A</v>
      </c>
      <c r="FV41" s="5854">
        <f>IFERROR(($BA93*$AI$42*2)/(outputs_klasse_qty[[#This Row],[bolt_vegg_c_rate]]^2),0)</f>
        <v>0</v>
      </c>
      <c r="FW41" s="3453" t="e">
        <f t="shared" si="105"/>
        <v>#N/A</v>
      </c>
      <c r="FX41" s="5854">
        <f>IFERROR(($BB93*$AI$42*2)/(outputs_klasse_qty[[#This Row],[bolt_vegg_d_rate]]^2),0)</f>
        <v>0</v>
      </c>
      <c r="FY41" s="3453" t="e">
        <f t="shared" si="106"/>
        <v>#N/A</v>
      </c>
      <c r="FZ41" s="5854">
        <f>IFERROR(($BC93*$AI$42*2)/(outputs_klasse_qty[[#This Row],[bolt_vegg_e1_rate]]^2),0)</f>
        <v>0</v>
      </c>
      <c r="GA41" s="3453" t="e">
        <f t="shared" si="107"/>
        <v>#N/A</v>
      </c>
      <c r="GB41" s="5854">
        <f>IFERROR(($BD93*$AI$42*2)/(outputs_klasse_qty[[#This Row],[bolt_vegg_e2_rate]]^2),0)</f>
        <v>0</v>
      </c>
      <c r="GC41" s="3453" t="e">
        <f t="shared" si="108"/>
        <v>#N/A</v>
      </c>
      <c r="GD41" s="5854">
        <f>IFERROR(($BE93*$AI$42*2)/(outputs_klasse_qty[[#This Row],[bolt_vegg_f_rate]]^2),0)</f>
        <v>0</v>
      </c>
      <c r="GE41" s="3453" t="e">
        <f t="shared" si="109"/>
        <v>#N/A</v>
      </c>
      <c r="GF41" s="5854">
        <f>IFERROR(($BF93*$AI$42*2)/(outputs_klasse_qty[[#This Row],[bolt_vegg_g_rate]]^2),0)</f>
        <v>0</v>
      </c>
      <c r="GG41" s="569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41" s="3453" t="e">
        <f>outputs_klasse_qty[[#This Row],[bolt_vegg_a_output]]*$ADX$42</f>
        <v>#N/A</v>
      </c>
      <c r="GI41" s="3453" t="e">
        <f>outputs_klasse_qty[[#This Row],[bolt_vegg_a_output]]*$AEF$42</f>
        <v>#N/A</v>
      </c>
      <c r="GJ41" s="3453" t="e">
        <f>outputs_klasse_qty[[#This Row],[bolt_vegg_b_output]]*$ADX$43</f>
        <v>#N/A</v>
      </c>
      <c r="GK41" s="3453" t="e">
        <f>outputs_klasse_qty[[#This Row],[bolt_vegg_b_output]]*$AEF$43</f>
        <v>#N/A</v>
      </c>
      <c r="GL41" s="3453" t="e">
        <f>outputs_klasse_qty[[#This Row],[bolt_vegg_c_output]]*$ADX$44</f>
        <v>#N/A</v>
      </c>
      <c r="GM41" s="3453" t="e">
        <f>outputs_klasse_qty[[#This Row],[bolt_vegg_c_output]]*$AEF$44</f>
        <v>#N/A</v>
      </c>
      <c r="GN41" s="3453" t="e">
        <f>outputs_klasse_qty[[#This Row],[bolt_vegg_d_output]]*$ADX$45</f>
        <v>#N/A</v>
      </c>
      <c r="GO41" s="3453" t="e">
        <f>outputs_klasse_qty[[#This Row],[bolt_vegg_d_output]]*$AEF$45</f>
        <v>#N/A</v>
      </c>
      <c r="GP41" s="3453" t="e">
        <f>outputs_klasse_qty[[#This Row],[bolt_vegg_e1_output]]*$ADX$46</f>
        <v>#N/A</v>
      </c>
      <c r="GQ41" s="3453" t="e">
        <f>outputs_klasse_qty[[#This Row],[bolt_vegg_e1_output]]*$AEF$46</f>
        <v>#N/A</v>
      </c>
      <c r="GR41" s="3453" t="e">
        <f>outputs_klasse_qty[[#This Row],[bolt_vegg_e2_output]]*$ADX$47</f>
        <v>#N/A</v>
      </c>
      <c r="GS41" s="3453" t="e">
        <f>outputs_klasse_qty[[#This Row],[bolt_vegg_e2_output]]*$AEF$47</f>
        <v>#N/A</v>
      </c>
      <c r="GT41" s="3453" t="e">
        <f>outputs_klasse_qty[[#This Row],[bolt_vegg_f_output]]*$ADX$48</f>
        <v>#N/A</v>
      </c>
      <c r="GU41" s="3453" t="e">
        <f>outputs_klasse_qty[[#This Row],[bolt_vegg_f_output]]*$AEF$48</f>
        <v>#N/A</v>
      </c>
      <c r="GV41" s="3453" t="e">
        <f>outputs_klasse_qty[[#This Row],[bolt_vegg_g_output]]*$ADX$49</f>
        <v>#N/A</v>
      </c>
      <c r="GW41" s="3453" t="e">
        <f>outputs_klasse_qty[[#This Row],[bolt_vegg_g_output]]*$AEF$49</f>
        <v>#N/A</v>
      </c>
      <c r="GX41" s="3453"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41" s="3453"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41" s="5698" t="str">
        <f>IFERROR(outputs_klasse_qty[[#This Row],[bolt_veder_lt4_sum]]+outputs_klasse_qty[[#This Row],[bolt_vegg_lt4_sum]],"")</f>
        <v/>
      </c>
      <c r="HA41" s="5698" t="str">
        <f>IFERROR(outputs_klasse_qty[[#This Row],[bolt_veder_gt4_sum]]+outputs_klasse_qty[[#This Row],[bolt_vegg_gt4_sum]],"")</f>
        <v/>
      </c>
      <c r="HB41" s="3453"/>
      <c r="HC41" s="3453"/>
      <c r="HD41" s="3453"/>
      <c r="HE41" s="3453"/>
      <c r="HF41" s="3453"/>
      <c r="HG41" s="3453"/>
      <c r="HH41" s="3453"/>
      <c r="HI41" s="3453"/>
      <c r="HJ41" s="3453"/>
      <c r="HK41" s="3453"/>
      <c r="HL41" s="3453"/>
      <c r="HM41" s="3453"/>
      <c r="HN41" s="3453"/>
      <c r="HO41" s="3453"/>
      <c r="HP41" s="3453"/>
      <c r="HQ41" s="3453"/>
      <c r="HR41" s="3453" t="e">
        <f>$APM$42</f>
        <v>#N/A</v>
      </c>
      <c r="HS41" s="3453">
        <f t="shared" si="6"/>
        <v>1</v>
      </c>
      <c r="HT41" s="3453">
        <f t="shared" si="7"/>
        <v>5</v>
      </c>
      <c r="HU41" s="5861">
        <f>IFERROR(IF(outputs_klasse_qty[[#This Row],[forbolting_bueområde_a]]=_List!$DQ$7,_Calcs_Klasse!$AI$46*$BG116,IF(outputs_klasse_qty[[#This Row],[forbolting_bueområde_a]]=_List!$DQ$8,$AI$40*$BG116)),0)</f>
        <v>0</v>
      </c>
      <c r="HV41" s="5712" t="e">
        <f>IF(outputs_klasse_qty[[#This Row],[forbolting_bueområde_a]]=_List!$DQ$7,($AI$46*BG116)/outputs_klasse_qty[[#This Row],[forbolting_senteravstand_a]]*outputs_klasse_qty[[#This Row],[forbolting_andel_a]],IF(outputs_klasse_qty[[#This Row],[forbolting_bueområde_a]]=_List!$DQ$8,($AI$40*BG116)/outputs_klasse_qty[[#This Row],[forbolting_senteravstand_a]]*outputs_klasse_qty[[#This Row],[forbolting_andel_a]],0))</f>
        <v>#N/A</v>
      </c>
      <c r="HW41" s="3453" t="str">
        <f t="shared" si="8"/>
        <v>Ingen</v>
      </c>
      <c r="HX41" s="3453">
        <f t="shared" si="9"/>
        <v>1</v>
      </c>
      <c r="HY41" s="3453" t="e">
        <f t="shared" si="10"/>
        <v>#N/A</v>
      </c>
      <c r="HZ41" s="5861" t="b">
        <f>IFERROR(IF(outputs_klasse_qty[[#This Row],[forbolting_bueområde_b]]=_List!$DQ$7,_Calcs_Klasse!$AI$46*$BH116,IF(outputs_klasse_qty[[#This Row],[forbolting_bueområde_b]]=_List!$DQ$8,$AI$40*$BH116)),0)</f>
        <v>0</v>
      </c>
      <c r="IA41" s="5712">
        <f>IF(outputs_klasse_qty[[#This Row],[forbolting_bueområde_b]]=_List!$DQ$7,($AI$46*BH116)/outputs_klasse_qty[[#This Row],[forbolting_senteravstand_b]]*outputs_klasse_qty[[#This Row],[forbolting_andel_b]],IF(outputs_klasse_qty[[#This Row],[forbolting_bueområde_b]]=_List!$DQ$8,($AI$40*BH116)/outputs_klasse_qty[[#This Row],[forbolting_senteravstand_b]]*outputs_klasse_qty[[#This Row],[forbolting_andel_b]],0))</f>
        <v>0</v>
      </c>
      <c r="IB41" s="3453" t="str">
        <f t="shared" si="11"/>
        <v>Ingen</v>
      </c>
      <c r="IC41" s="3453">
        <f t="shared" si="12"/>
        <v>1</v>
      </c>
      <c r="ID41" s="3453" t="e">
        <f t="shared" si="13"/>
        <v>#N/A</v>
      </c>
      <c r="IE41" s="5861" t="b">
        <f>IFERROR(IF(outputs_klasse_qty[[#This Row],[forbolting_bueområde_c]]=_List!$DQ$7,_Calcs_Klasse!$AI$46*$BI116,IF(outputs_klasse_qty[[#This Row],[forbolting_bueområde_c]]=_List!$DQ$8,$AI$40*$BI116)),0)</f>
        <v>0</v>
      </c>
      <c r="IF41" s="5712">
        <f>IF(outputs_klasse_qty[[#This Row],[forbolting_bueområde_c]]=_List!$DQ$7,($AI$46*BI116)/outputs_klasse_qty[[#This Row],[forbolting_senteravstand_c]]*outputs_klasse_qty[[#This Row],[forbolting_andel_c]],IF(outputs_klasse_qty[[#This Row],[forbolting_bueområde_c]]=_List!$DQ$8,($AI$40*BI116)/outputs_klasse_qty[[#This Row],[forbolting_senteravstand_c]]*outputs_klasse_qty[[#This Row],[forbolting_andel_c]],0))</f>
        <v>0</v>
      </c>
      <c r="IG41" s="3453" t="e">
        <f t="shared" si="14"/>
        <v>#N/A</v>
      </c>
      <c r="IH41" s="3453">
        <f t="shared" si="15"/>
        <v>1</v>
      </c>
      <c r="II41" s="3453">
        <f t="shared" si="16"/>
        <v>0.5</v>
      </c>
      <c r="IJ41" s="5861">
        <f>IFERROR(IF(outputs_klasse_qty[[#This Row],[forbolting_bueområde_d]]=_List!$DQ$7,_Calcs_Klasse!$AI$46*$BJ116,IF(outputs_klasse_qty[[#This Row],[forbolting_bueområde_d]]=_List!$DQ$8,$AI$40*$BJ116)),0)</f>
        <v>0</v>
      </c>
      <c r="IK41" s="5712" t="e">
        <f>IF(outputs_klasse_qty[[#This Row],[forbolting_bueområde_d]]=_List!$DQ$7,($AI$46*BJ116)/outputs_klasse_qty[[#This Row],[forbolting_senteravstand_d]]*outputs_klasse_qty[[#This Row],[forbolting_andel_d]],IF(outputs_klasse_qty[[#This Row],[forbolting_bueområde_d]]=_List!$DQ$8,($AI$40*BJ116)/outputs_klasse_qty[[#This Row],[forbolting_senteravstand_d]]*outputs_klasse_qty[[#This Row],[forbolting_andel_d]],0))</f>
        <v>#N/A</v>
      </c>
      <c r="IL41" s="3453" t="e">
        <f t="shared" si="17"/>
        <v>#N/A</v>
      </c>
      <c r="IM41" s="3453">
        <f t="shared" si="18"/>
        <v>1</v>
      </c>
      <c r="IN41" s="3453" t="e">
        <f t="shared" si="19"/>
        <v>#N/A</v>
      </c>
      <c r="IO41" s="5861">
        <f>IFERROR(IF(outputs_klasse_qty[[#This Row],[forbolting_bueområde_e1]]=_List!$DQ$7,_Calcs_Klasse!$AI$46*$BK116,IF(outputs_klasse_qty[[#This Row],[forbolting_bueområde_e1]]=_List!$DQ$8,$AI$40*$BK116)),0)</f>
        <v>0</v>
      </c>
      <c r="IP41" s="5712" t="e">
        <f>IF(outputs_klasse_qty[[#This Row],[forbolting_bueområde_e1]]=_List!$DQ$7,($AI$46*BK116)/outputs_klasse_qty[[#This Row],[forbolting_senteravstand_e1]]*outputs_klasse_qty[[#This Row],[forbolting_andel_e1]],IF(outputs_klasse_qty[[#This Row],[forbolting_bueområde_e1]]=_List!$DQ$8,($AI$40*BK116)/outputs_klasse_qty[[#This Row],[forbolting_senteravstand_e1]]*outputs_klasse_qty[[#This Row],[forbolting_andel_e1]],0))</f>
        <v>#N/A</v>
      </c>
      <c r="IQ41" s="3453" t="e">
        <f t="shared" si="20"/>
        <v>#N/A</v>
      </c>
      <c r="IR41" s="3453" t="e">
        <f t="shared" si="21"/>
        <v>#N/A</v>
      </c>
      <c r="IS41" s="3453" t="e">
        <f t="shared" si="22"/>
        <v>#N/A</v>
      </c>
      <c r="IT41" s="5861">
        <f>IFERROR(IF(outputs_klasse_qty[[#This Row],[forbolting_bueområde_e2]]=_List!$DQ$7,_Calcs_Klasse!$AI$46*$BL116,IF(outputs_klasse_qty[[#This Row],[forbolting_bueområde_e2]]=_List!$DQ$8,$AI$40*$BL116)),0)</f>
        <v>0</v>
      </c>
      <c r="IU41" s="5712" t="e">
        <f>IF(outputs_klasse_qty[[#This Row],[forbolting_bueområde_e2]]=_List!$DQ$7,($AI$46*BL116)/outputs_klasse_qty[[#This Row],[forbolting_senteravstand_e2]]*outputs_klasse_qty[[#This Row],[forbolting_andel_e2]],IF(outputs_klasse_qty[[#This Row],[forbolting_bueområde_e2]]=_List!$DQ$8,($AI$40*BL116)/outputs_klasse_qty[[#This Row],[forbolting_senteravstand_e2]]*outputs_klasse_qty[[#This Row],[forbolting_andel_e2]],0))</f>
        <v>#N/A</v>
      </c>
      <c r="IV41" s="3453" t="e">
        <f t="shared" si="23"/>
        <v>#N/A</v>
      </c>
      <c r="IW41" s="3453" t="e">
        <f t="shared" si="24"/>
        <v>#N/A</v>
      </c>
      <c r="IX41" s="3453" t="e">
        <f t="shared" si="25"/>
        <v>#N/A</v>
      </c>
      <c r="IY41" s="5861">
        <f>IFERROR(IF(outputs_klasse_qty[[#This Row],[forbolting_bueområde_f]]=_List!$DQ$7,_Calcs_Klasse!$AI$46*$BM116,IF(outputs_klasse_qty[[#This Row],[forbolting_bueområde_f]]=_List!$DQ$8,$AI$40*$BM116)),0)</f>
        <v>0</v>
      </c>
      <c r="IZ41" s="5712" t="e">
        <f>IF(outputs_klasse_qty[[#This Row],[forbolting_bueområde_f]]=_List!$DQ$7,($AI$46*BM116)/outputs_klasse_qty[[#This Row],[forbolting_senteravstand_f]]*outputs_klasse_qty[[#This Row],[forbolting_andel_f]],IF(outputs_klasse_qty[[#This Row],[forbolting_bueområde_f]]=_List!$DQ$8,($AI$40*BM116)/outputs_klasse_qty[[#This Row],[forbolting_senteravstand_f]]*outputs_klasse_qty[[#This Row],[forbolting_andel_f]],0))</f>
        <v>#N/A</v>
      </c>
      <c r="JA41" s="3453" t="e">
        <f t="shared" si="26"/>
        <v>#N/A</v>
      </c>
      <c r="JB41" s="3453" t="e">
        <f t="shared" si="27"/>
        <v>#N/A</v>
      </c>
      <c r="JC41" s="3453" t="e">
        <f t="shared" si="28"/>
        <v>#N/A</v>
      </c>
      <c r="JD41" s="5861">
        <f>IFERROR(IF(outputs_klasse_qty[[#This Row],[forbolting_bueområde_g]]=_List!$DQ$7,_Calcs_Klasse!$AI$46*$BN116,IF(outputs_klasse_qty[[#This Row],[forbolting_bueområde_g]]=_List!$DQ$8,$AI$40*$BN116)),0)</f>
        <v>0</v>
      </c>
      <c r="JE41" s="5712" t="e">
        <f>IF(outputs_klasse_qty[[#This Row],[forbolting_bueområde_g]]=_List!$DQ$7,($AI$46*BN116)/outputs_klasse_qty[[#This Row],[forbolting_senteravstand_g]]*outputs_klasse_qty[[#This Row],[forbolting_andel_g]],IF(outputs_klasse_qty[[#This Row],[forbolting_bueområde_g]]=_List!$DQ$8,($AI$40*BN116)/outputs_klasse_qty[[#This Row],[forbolting_senteravstand_g]]*outputs_klasse_qty[[#This Row],[forbolting_andel_g]],0))</f>
        <v>#N/A</v>
      </c>
      <c r="JF41" s="3453">
        <f>IFERROR(outputs_klasse_qty[[#This Row],[forbolting_bolter_output_a]]*$AQC$42,0)</f>
        <v>0</v>
      </c>
      <c r="JG41" s="3453">
        <f>IFERROR(outputs_klasse_qty[[#This Row],[forbolting_bolter_output_a]]*$AQL$42,0)</f>
        <v>0</v>
      </c>
      <c r="JH41" s="3453">
        <f>IFERROR(outputs_klasse_qty[[#This Row],[forbolting_bolter_output_b]]*$AQC$43,0)</f>
        <v>0</v>
      </c>
      <c r="JI41" s="3453">
        <f>IFERROR(outputs_klasse_qty[[#This Row],[forbolting_bolter_output_b]]*$AQL$43,0)</f>
        <v>0</v>
      </c>
      <c r="JJ41" s="3453">
        <f>IFERROR(outputs_klasse_qty[[#This Row],[forbolting_bolter_output_c]]*$AQC$44,0)</f>
        <v>0</v>
      </c>
      <c r="JK41" s="3453">
        <f>IFERROR(outputs_klasse_qty[[#This Row],[forbolting_bolter_output_c]]*$AQL$44,0)</f>
        <v>0</v>
      </c>
      <c r="JL41" s="3453">
        <f>IFERROR(outputs_klasse_qty[[#This Row],[forbolting_bolter_output_d]]*$AQC$45,0)</f>
        <v>0</v>
      </c>
      <c r="JM41" s="3453">
        <f>IFERROR(outputs_klasse_qty[[#This Row],[forbolting_bolter_output_d]]*$AQL$45,0)</f>
        <v>0</v>
      </c>
      <c r="JN41" s="3453">
        <f>IFERROR(outputs_klasse_qty[[#This Row],[forbolting_bolter_output_e1]]*$AQC$46,0)</f>
        <v>0</v>
      </c>
      <c r="JO41" s="3453">
        <f>IFERROR(outputs_klasse_qty[[#This Row],[forbolting_bolter_output_e1]]*$AQL$46,0)</f>
        <v>0</v>
      </c>
      <c r="JP41" s="3453">
        <f>IFERROR(outputs_klasse_qty[[#This Row],[forbolting_bolter_output_e2]]*$AQC$47,0)</f>
        <v>0</v>
      </c>
      <c r="JQ41" s="3453">
        <f>IFERROR(outputs_klasse_qty[[#This Row],[forbolting_bolter_output_e2]]*$AQL$47,0)</f>
        <v>0</v>
      </c>
      <c r="JR41" s="3453">
        <f>IFERROR(outputs_klasse_qty[[#This Row],[forbolting_bolter_output_f]]*$AQC$48,0)</f>
        <v>0</v>
      </c>
      <c r="JS41" s="3453">
        <f>IFERROR(outputs_klasse_qty[[#This Row],[forbolting_bolter_output_f]]*$AQL$48,0)</f>
        <v>0</v>
      </c>
      <c r="JT41" s="3453">
        <f>IFERROR(outputs_klasse_qty[[#This Row],[forbolting_bolter_output_g]]*$AQC$49,0)</f>
        <v>0</v>
      </c>
      <c r="JU41" s="3453">
        <f>IFERROR(outputs_klasse_qty[[#This Row],[forbolting_bolter_output_g]]*$AQL$49,0)</f>
        <v>0</v>
      </c>
      <c r="JV41" s="5708">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41" s="5708">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41" s="3453" t="e">
        <f t="shared" si="29"/>
        <v>#N/A</v>
      </c>
      <c r="JY41" s="5712" t="e">
        <f>IF(outputs_klasse_qty[[#This Row],[forbolting_bueområde_a]]=_List!$DQ$7,($AI$46*BG116)/outputs_klasse_qty[[#This Row],[opphengbolter_senteravstand_a]]*outputs_klasse_qty[[#This Row],[forbolting_andel_a]],IF(outputs_klasse_qty[[#This Row],[forbolting_bueområde_a]]=_List!$DQ$8,($AI$40*BG116)/outputs_klasse_qty[[#This Row],[opphengbolter_senteravstand_a]]*outputs_klasse_qty[[#This Row],[forbolting_andel_a]],0))</f>
        <v>#N/A</v>
      </c>
      <c r="JZ41" s="3453" t="e">
        <f t="shared" si="30"/>
        <v>#N/A</v>
      </c>
      <c r="KA41" s="5712">
        <f>IF(outputs_klasse_qty[[#This Row],[forbolting_bueområde_b]]=_List!$DQ$7,($AI$46*BH116)/outputs_klasse_qty[[#This Row],[opphengbolter_senteravstand_b]]*outputs_klasse_qty[[#This Row],[forbolting_andel_b]],IF(outputs_klasse_qty[[#This Row],[forbolting_bueområde_b]]=_List!$DQ$8,($AI$40*BH116)/outputs_klasse_qty[[#This Row],[opphengbolter_senteravstand_b]]*outputs_klasse_qty[[#This Row],[forbolting_andel_b]],0))</f>
        <v>0</v>
      </c>
      <c r="KB41" s="3453" t="e">
        <f t="shared" si="31"/>
        <v>#N/A</v>
      </c>
      <c r="KC41" s="5712">
        <f>IF(outputs_klasse_qty[[#This Row],[forbolting_bueområde_c]]=_List!$DQ$7,($AI$46*BI116)/outputs_klasse_qty[[#This Row],[opphengbolter_senteravstand_c]]*outputs_klasse_qty[[#This Row],[forbolting_andel_c]],IF(outputs_klasse_qty[[#This Row],[forbolting_bueområde_c]]=_List!$DQ$8,($AI$40*BI116)/outputs_klasse_qty[[#This Row],[opphengbolter_senteravstand_c]]*outputs_klasse_qty[[#This Row],[forbolting_andel_c]],0))</f>
        <v>0</v>
      </c>
      <c r="KD41" s="3453" t="e">
        <f t="shared" si="32"/>
        <v>#N/A</v>
      </c>
      <c r="KE41" s="5712" t="e">
        <f>IF(outputs_klasse_qty[[#This Row],[forbolting_bueområde_d]]=_List!$DQ$7,($AI$46*BJ116)/outputs_klasse_qty[[#This Row],[opphengbolter_senteravstand_d]]*outputs_klasse_qty[[#This Row],[forbolting_andel_d]],IF(outputs_klasse_qty[[#This Row],[forbolting_bueområde_d]]=_List!$DQ$8,($AI$40*BJ116)/outputs_klasse_qty[[#This Row],[opphengbolter_senteravstand_d]]*outputs_klasse_qty[[#This Row],[forbolting_andel_d]],0))</f>
        <v>#N/A</v>
      </c>
      <c r="KF41" s="3453" t="e">
        <f t="shared" si="33"/>
        <v>#N/A</v>
      </c>
      <c r="KG41" s="5712" t="e">
        <f>IF(outputs_klasse_qty[[#This Row],[forbolting_bueområde_e1]]=_List!$DQ$7,($AI$46*BK116)/outputs_klasse_qty[[#This Row],[opphengbolter_senteravstand_e1]]*outputs_klasse_qty[[#This Row],[forbolting_andel_e1]],IF(outputs_klasse_qty[[#This Row],[forbolting_bueområde_e1]]=_List!$DQ$8,($AI$40*BK116)/outputs_klasse_qty[[#This Row],[opphengbolter_senteravstand_e1]]*outputs_klasse_qty[[#This Row],[forbolting_andel_e1]],0))</f>
        <v>#N/A</v>
      </c>
      <c r="KH41" s="3453" t="e">
        <f t="shared" si="34"/>
        <v>#N/A</v>
      </c>
      <c r="KI41" s="5712" t="e">
        <f>IF(outputs_klasse_qty[[#This Row],[forbolting_bueområde_e2]]=_List!$DQ$7,($AI$46*BL116)/outputs_klasse_qty[[#This Row],[opphengbolter_senteravstand_e2]]*outputs_klasse_qty[[#This Row],[forbolting_andel_e2]],IF(outputs_klasse_qty[[#This Row],[forbolting_bueområde_e2]]=_List!$DQ$8,($AI$40*BL116)/outputs_klasse_qty[[#This Row],[opphengbolter_senteravstand_e2]]*outputs_klasse_qty[[#This Row],[forbolting_andel_e2]],0))</f>
        <v>#N/A</v>
      </c>
      <c r="KJ41" s="3453" t="e">
        <f t="shared" si="35"/>
        <v>#N/A</v>
      </c>
      <c r="KK41" s="5712" t="e">
        <f>IF(outputs_klasse_qty[[#This Row],[forbolting_bueområde_f]]=_List!$DQ$7,($AI$46*BM116)/outputs_klasse_qty[[#This Row],[opphengbolter_senteravstand_f]]*outputs_klasse_qty[[#This Row],[forbolting_andel_f]],IF(outputs_klasse_qty[[#This Row],[forbolting_bueområde_f]]=_List!$DQ$8,($AI$40*BM116)/outputs_klasse_qty[[#This Row],[opphengbolter_senteravstand_f]]*outputs_klasse_qty[[#This Row],[forbolting_andel_f]],0))</f>
        <v>#N/A</v>
      </c>
      <c r="KL41" s="3453" t="e">
        <f t="shared" si="36"/>
        <v>#N/A</v>
      </c>
      <c r="KM41" s="5712" t="e">
        <f>IF(outputs_klasse_qty[[#This Row],[forbolting_bueområde_g]]=_List!$DQ$7,($AI$46*BN116)/outputs_klasse_qty[[#This Row],[opphengbolter_senteravstand_g]]*outputs_klasse_qty[[#This Row],[forbolting_andel_g]],IF(outputs_klasse_qty[[#This Row],[forbolting_bueområde_g]]=_List!$DQ$8,($AI$40*BN116)/outputs_klasse_qty[[#This Row],[opphengbolter_senteravstand_g]]*outputs_klasse_qty[[#This Row],[forbolting_andel_g]],0))</f>
        <v>#N/A</v>
      </c>
      <c r="KN41" s="3453">
        <f>IFERROR(outputs_klasse_qty[[#This Row],[opphengbolter_output_a]]*$ARC$42,0)</f>
        <v>0</v>
      </c>
      <c r="KO41" s="3453">
        <f>IFERROR(outputs_klasse_qty[[#This Row],[opphengbolter_output_a]]*$ARL$42,0)</f>
        <v>0</v>
      </c>
      <c r="KP41" s="3453">
        <f>IFERROR(outputs_klasse_qty[[#This Row],[opphengbolter_output_b]]*$ARC$43,0)</f>
        <v>0</v>
      </c>
      <c r="KQ41" s="3453">
        <f>IFERROR(outputs_klasse_qty[[#This Row],[opphengbolter_output_b]]*$ARL$43,0)</f>
        <v>0</v>
      </c>
      <c r="KR41" s="3453">
        <f>IFERROR(outputs_klasse_qty[[#This Row],[opphengbolter_output_c]]*$ARC$44,0)</f>
        <v>0</v>
      </c>
      <c r="KS41" s="3453">
        <f>IFERROR(outputs_klasse_qty[[#This Row],[opphengbolter_output_c]]*$ARL$44,0)</f>
        <v>0</v>
      </c>
      <c r="KT41" s="3453">
        <f>IFERROR(outputs_klasse_qty[[#This Row],[opphengbolter_output_d]]*$ARC$45,0)</f>
        <v>0</v>
      </c>
      <c r="KU41" s="3453">
        <f>IFERROR(outputs_klasse_qty[[#This Row],[opphengbolter_output_d]]*$ARL$45,0)</f>
        <v>0</v>
      </c>
      <c r="KV41" s="3453">
        <f>IFERROR(outputs_klasse_qty[[#This Row],[opphengbolter_output_e1]]*$ARC$46,0)</f>
        <v>0</v>
      </c>
      <c r="KW41" s="3453">
        <f>IFERROR(outputs_klasse_qty[[#This Row],[opphengbolter_output_e1]]*$ARL$46,0)</f>
        <v>0</v>
      </c>
      <c r="KX41" s="3453">
        <f>IFERROR(outputs_klasse_qty[[#This Row],[opphengbolter_output_e2]]*$ARC$47,0)</f>
        <v>0</v>
      </c>
      <c r="KY41" s="3453">
        <f>IFERROR(outputs_klasse_qty[[#This Row],[opphengbolter_output_e2]]*$ARL$47,0)</f>
        <v>0</v>
      </c>
      <c r="KZ41" s="3453">
        <f>IFERROR(outputs_klasse_qty[[#This Row],[opphengbolter_output_f]]*$ARC$48,0)</f>
        <v>0</v>
      </c>
      <c r="LA41" s="3453">
        <f>IFERROR(outputs_klasse_qty[[#This Row],[opphengbolter_output_f]]*$ARL$48,0)</f>
        <v>0</v>
      </c>
      <c r="LB41" s="3453">
        <f>IFERROR(outputs_klasse_qty[[#This Row],[opphengbolter_output_g]]*$ARC$49,0)</f>
        <v>0</v>
      </c>
      <c r="LC41" s="3453">
        <f>IFERROR(outputs_klasse_qty[[#This Row],[opphengbolter_output_g]]*$ARL$49,0)</f>
        <v>0</v>
      </c>
      <c r="LD41" s="5862">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41" s="5862">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41" s="5712" cm="1">
        <f t="array" ref="LF41">IF($AK$217=klasse_bånd[Method],$LF$28,IF($AK$217="",$LF$29,0))</f>
        <v>1</v>
      </c>
      <c r="LG41" s="3453">
        <f t="shared" si="110"/>
        <v>1.5</v>
      </c>
      <c r="LH41" s="3453">
        <f>IFERROR(outputs_klasse_qty[[#This Row],[bergbånd_langs_forbolting_a_rate]]*outputs_klasse_qty[[#This Row],[forbolting_bue_lengde_a]],0)</f>
        <v>0</v>
      </c>
      <c r="LI41" s="3453">
        <f t="shared" si="111"/>
        <v>2</v>
      </c>
      <c r="LJ41" s="3453">
        <f>IFERROR(outputs_klasse_qty[[#This Row],[bergbånd_langs_forbolting_b_rate]]*outputs_klasse_qty[[#This Row],[forbolting_bue_lengde_b]],0)</f>
        <v>0</v>
      </c>
      <c r="LK41" s="3453">
        <f t="shared" si="112"/>
        <v>2</v>
      </c>
      <c r="LL41" s="3453">
        <f>IFERROR(outputs_klasse_qty[[#This Row],[bergbånd_langs_forbolting_c_rate]]*outputs_klasse_qty[[#This Row],[forbolting_bue_lengde_c]],0)</f>
        <v>0</v>
      </c>
      <c r="LM41" s="3453">
        <f t="shared" si="113"/>
        <v>2</v>
      </c>
      <c r="LN41" s="3453">
        <f>IFERROR(outputs_klasse_qty[[#This Row],[bergbånd_langs_forbolting_d_rate]]*outputs_klasse_qty[[#This Row],[forbolting_bue_lengde_d]],0)</f>
        <v>0</v>
      </c>
      <c r="LO41" s="3453">
        <f t="shared" si="114"/>
        <v>2</v>
      </c>
      <c r="LP41" s="3453">
        <f>IFERROR(outputs_klasse_qty[[#This Row],[bergbånd_langs_forbolting_e1_rate]]*outputs_klasse_qty[[#This Row],[forbolting_bue_lengde_e1]],0)</f>
        <v>0</v>
      </c>
      <c r="LQ41" s="3453">
        <f t="shared" si="115"/>
        <v>2</v>
      </c>
      <c r="LR41" s="3453">
        <f>IFERROR(outputs_klasse_qty[[#This Row],[bergbånd_langs_forbolting_e2_rate]]*outputs_klasse_qty[[#This Row],[forbolting_bue_lengde_e2]],0)</f>
        <v>0</v>
      </c>
      <c r="LS41" s="3453" t="e">
        <f t="shared" si="116"/>
        <v>#N/A</v>
      </c>
      <c r="LT41" s="3453">
        <f>IFERROR(outputs_klasse_qty[[#This Row],[bergbånd_langs_forbolting_f_rate]]*outputs_klasse_qty[[#This Row],[forbolting_bue_lengde_f]],0)</f>
        <v>0</v>
      </c>
      <c r="LU41" s="3453" t="e">
        <f t="shared" si="117"/>
        <v>#N/A</v>
      </c>
      <c r="LV41" s="3453">
        <f>IFERROR(outputs_klasse_qty[[#This Row],[bergbånd_langs_forbolting_g_rate]]*outputs_klasse_qty[[#This Row],[forbolting_bue_lengde_g]],0)</f>
        <v>0</v>
      </c>
      <c r="LW41" s="5702">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41" s="3453" t="e">
        <f t="shared" si="37"/>
        <v>#N/A</v>
      </c>
      <c r="LY41" s="5703">
        <f>IFERROR(outputs_klasse_qty[[#This Row],[bånd_ekstra_a_rate]]*$AY93,0)</f>
        <v>0</v>
      </c>
      <c r="LZ41" s="3453" t="e">
        <f t="shared" si="38"/>
        <v>#N/A</v>
      </c>
      <c r="MA41" s="5703">
        <f>IFERROR(outputs_klasse_qty[[#This Row],[bånd_ekstra_b_rate]]*$AZ93,0)</f>
        <v>0</v>
      </c>
      <c r="MB41" s="3453" t="e">
        <f t="shared" si="39"/>
        <v>#N/A</v>
      </c>
      <c r="MC41" s="5703">
        <f>IFERROR(outputs_klasse_qty[[#This Row],[bånd_ekstra_c_rate]]*$BA93,0)</f>
        <v>0</v>
      </c>
      <c r="MD41" s="3453" t="e">
        <f t="shared" si="40"/>
        <v>#N/A</v>
      </c>
      <c r="ME41" s="5703">
        <f>IFERROR(outputs_klasse_qty[[#This Row],[bånd_ekstra_d_rate]]*$BB93,0)</f>
        <v>0</v>
      </c>
      <c r="MF41" s="3453" t="e">
        <f t="shared" si="41"/>
        <v>#N/A</v>
      </c>
      <c r="MG41" s="5703">
        <f>IFERROR(outputs_klasse_qty[[#This Row],[bånd_ekstra_e1_rate]]*$BC93,0)</f>
        <v>0</v>
      </c>
      <c r="MH41" s="3453" t="e">
        <f t="shared" si="42"/>
        <v>#N/A</v>
      </c>
      <c r="MI41" s="5703">
        <f>IFERROR(outputs_klasse_qty[[#This Row],[bånd_ekstra_e2_rate]]*$BD93,0)</f>
        <v>0</v>
      </c>
      <c r="MJ41" s="3453" t="e">
        <f t="shared" si="43"/>
        <v>#N/A</v>
      </c>
      <c r="MK41" s="5703">
        <f>IFERROR(outputs_klasse_qty[[#This Row],[bånd_ekstra_f_rate]]*$BE93,0)</f>
        <v>0</v>
      </c>
      <c r="ML41" s="3453" t="e">
        <f t="shared" si="44"/>
        <v>#N/A</v>
      </c>
      <c r="MM41" s="5703">
        <f>IFERROR(outputs_klasse_qty[[#This Row],[bånd_ekstra_g_rate]]*$BF93,0)</f>
        <v>0</v>
      </c>
      <c r="MN41" s="5704">
        <f>IFERROR(outputs_klasse_qty[[#This Row],[bånd_ekstra_a_output]]+outputs_klasse_qty[[#This Row],[bånd_ekstra_b_output]]+outputs_klasse_qty[[#This Row],[bånd_ekstra_c_output]]+outputs_klasse_qty[[#This Row],[bånd_ekstra_d_output]]+outputs_klasse_qty[[#This Row],[bånd_ekstra_e1_output]]+outputs_klasse_qty[[#This Row],[bånd_ekstra_e2_output]]+outputs_klasse_qty[[#This Row],[bånd_ekstra_f_output]]+outputs_klasse_qty[[#This Row],[bånd_ekstra_g_output]],0)</f>
        <v>0</v>
      </c>
      <c r="MO41" s="5705">
        <f>outputs_klasse_qty[[#This Row],[bergbånd_langs_forbolting_a_output]]+outputs_klasse_qty[[#This Row],[bånd_ekstra_a_output]]</f>
        <v>0</v>
      </c>
      <c r="MP41" s="5705">
        <f>outputs_klasse_qty[[#This Row],[bergbånd_langs_forbolting_b_output]]+outputs_klasse_qty[[#This Row],[bånd_ekstra_b_output]]</f>
        <v>0</v>
      </c>
      <c r="MQ41" s="5705">
        <f>outputs_klasse_qty[[#This Row],[bergbånd_langs_forbolting_c_output]]+outputs_klasse_qty[[#This Row],[bånd_ekstra_c_output]]</f>
        <v>0</v>
      </c>
      <c r="MR41" s="5705">
        <f>outputs_klasse_qty[[#This Row],[bergbånd_langs_forbolting_d_output]]+outputs_klasse_qty[[#This Row],[bånd_ekstra_d_output]]</f>
        <v>0</v>
      </c>
      <c r="MS41" s="5705">
        <f>outputs_klasse_qty[[#This Row],[bergbånd_langs_forbolting_e1_output]]+outputs_klasse_qty[[#This Row],[bånd_ekstra_e1_output]]</f>
        <v>0</v>
      </c>
      <c r="MT41" s="5705">
        <f>outputs_klasse_qty[[#This Row],[bergbånd_langs_forbolting_e2_output]]+outputs_klasse_qty[[#This Row],[bånd_ekstra_e2_output]]</f>
        <v>0</v>
      </c>
      <c r="MU41" s="5705">
        <f>outputs_klasse_qty[[#This Row],[bergbånd_langs_forbolting_f_output]]+outputs_klasse_qty[[#This Row],[bånd_ekstra_f_output]]</f>
        <v>0</v>
      </c>
      <c r="MV41" s="5705">
        <f>outputs_klasse_qty[[#This Row],[bergbånd_langs_forbolting_g_output]]+outputs_klasse_qty[[#This Row],[bånd_ekstra_g_output]]</f>
        <v>0</v>
      </c>
      <c r="MW41" s="5706">
        <f>SUM(outputs_klasse_qty[[#This Row],[bergbånd_sum_a]:[bergbånd_sum_g]])</f>
        <v>0</v>
      </c>
      <c r="MX41" s="3453" t="e">
        <f t="shared" si="45"/>
        <v>#N/A</v>
      </c>
      <c r="MY41" s="5707">
        <f>IFERROR(outputs_klasse_qty[[#This Row],[bergbånd_sum_a]]/outputs_klasse_qty[[#This Row],[festebolter_for_bergbånd_a_senteravstand]],0)</f>
        <v>0</v>
      </c>
      <c r="MZ41" s="3453" t="e">
        <f t="shared" si="46"/>
        <v>#N/A</v>
      </c>
      <c r="NA41" s="5707">
        <f>IFERROR(outputs_klasse_qty[[#This Row],[bergbånd_sum_b]]/outputs_klasse_qty[[#This Row],[festebolter_for_bergbånd_b_senteravstand]],0)</f>
        <v>0</v>
      </c>
      <c r="NB41" s="3453" t="e">
        <f t="shared" si="47"/>
        <v>#N/A</v>
      </c>
      <c r="NC41" s="5707">
        <f>IFERROR(outputs_klasse_qty[[#This Row],[bergbånd_sum_c]]/outputs_klasse_qty[[#This Row],[festebolter_for_bergbånd_c_senteravstand]],0)</f>
        <v>0</v>
      </c>
      <c r="ND41" s="3453" t="e">
        <f t="shared" si="48"/>
        <v>#N/A</v>
      </c>
      <c r="NE41" s="5707">
        <f>IFERROR(outputs_klasse_qty[[#This Row],[bergbånd_sum_d]]/outputs_klasse_qty[[#This Row],[festebolter_for_bergbånd_d_senteravstand]],0)</f>
        <v>0</v>
      </c>
      <c r="NF41" s="3453" t="e">
        <f t="shared" si="49"/>
        <v>#N/A</v>
      </c>
      <c r="NG41" s="5707">
        <f>IFERROR(outputs_klasse_qty[[#This Row],[bergbånd_sum_e1]]/outputs_klasse_qty[[#This Row],[festebolter_for_bergbånd_e1_senteravstand]],0)</f>
        <v>0</v>
      </c>
      <c r="NH41" s="3453" t="e">
        <f t="shared" si="50"/>
        <v>#N/A</v>
      </c>
      <c r="NI41" s="5707">
        <f>IFERROR(outputs_klasse_qty[[#This Row],[bergbånd_sum_e2]]/outputs_klasse_qty[[#This Row],[festebolter_for_bergbånd_e2_senteravstand]],0)</f>
        <v>0</v>
      </c>
      <c r="NJ41" s="3453" t="e">
        <f t="shared" si="51"/>
        <v>#N/A</v>
      </c>
      <c r="NK41" s="5707">
        <f>IFERROR(outputs_klasse_qty[[#This Row],[bergbånd_sum_f]]/outputs_klasse_qty[[#This Row],[festebolter_for_bergbånd_f_senteravstand]],0)</f>
        <v>0</v>
      </c>
      <c r="NL41" s="3453" t="e">
        <f t="shared" si="52"/>
        <v>#N/A</v>
      </c>
      <c r="NM41" s="5707">
        <f>IFERROR(outputs_klasse_qty[[#This Row],[bergbånd_sum_g]]/outputs_klasse_qty[[#This Row],[festebolter_for_bergbånd_g_senteravstand]],0)</f>
        <v>0</v>
      </c>
      <c r="NN41" s="5708">
        <f>outputs_klasse_qty[[#This Row],[festebolter_for_bergbånd_a_output]]+outputs_klasse_qty[[#This Row],[festebolter_for_bergbånd_b_output]]+outputs_klasse_qty[[#This Row],[festebolter_for_bergbånd_c_output]]+outputs_klasse_qty[[#This Row],[festebolter_for_bergbånd_d_output]]+outputs_klasse_qty[[#This Row],[festebolter_for_bergbånd_e1_output]]+outputs_klasse_qty[[#This Row],[festebolter_for_bergbånd_e2_output]]+outputs_klasse_qty[[#This Row],[festebolter_for_bergbånd_f_output]]+outputs_klasse_qty[[#This Row],[festebolter_for_bergbånd_g_output]]</f>
        <v>0</v>
      </c>
      <c r="NO41" s="3453"/>
      <c r="NP41" s="3453"/>
      <c r="NQ41" s="3453"/>
      <c r="NR41" s="3453"/>
      <c r="NS41" s="3453"/>
      <c r="NT41" s="3453"/>
      <c r="NU41" s="3453"/>
      <c r="NV41" s="3453"/>
      <c r="NW41" s="3453"/>
      <c r="NX41" s="3453"/>
      <c r="NY41" s="3453"/>
      <c r="NZ41" s="3453"/>
      <c r="OA41" s="3453"/>
      <c r="OB41" s="3453"/>
      <c r="OC41" s="3453"/>
      <c r="OD41" s="3453"/>
      <c r="OE41" s="3453"/>
      <c r="OF41" s="3453"/>
      <c r="OG41" s="3453"/>
      <c r="OH41" s="3453"/>
      <c r="OI41" s="5712" cm="1">
        <f t="array" ref="OI41">IF($AK$218=klasse_net[Method],$OI$28,IF($AK$218="",$OI$29,0))</f>
        <v>1</v>
      </c>
      <c r="OJ41" s="3453" t="e">
        <f t="shared" si="118"/>
        <v>#N/A</v>
      </c>
      <c r="OK41" s="5720">
        <f>IFERROR(outputs_klasse_qty[[#This Row],[nett_a_rate]]*$AY93,0)</f>
        <v>0</v>
      </c>
      <c r="OL41" s="3453" t="e">
        <f t="shared" si="119"/>
        <v>#N/A</v>
      </c>
      <c r="OM41" s="5720">
        <f>IFERROR(outputs_klasse_qty[[#This Row],[nett_b_rate]]*$AZ93,0)</f>
        <v>0</v>
      </c>
      <c r="ON41" s="3453" t="e">
        <f t="shared" si="120"/>
        <v>#N/A</v>
      </c>
      <c r="OO41" s="5720">
        <f>IFERROR(outputs_klasse_qty[[#This Row],[nett_c_rate]]*$BA93,0)</f>
        <v>0</v>
      </c>
      <c r="OP41" s="3453" t="e">
        <f t="shared" si="121"/>
        <v>#N/A</v>
      </c>
      <c r="OQ41" s="5720">
        <f>IFERROR(outputs_klasse_qty[[#This Row],[nett_d_rate]]*$BB93,0)</f>
        <v>0</v>
      </c>
      <c r="OR41" s="3453" t="e">
        <f t="shared" si="122"/>
        <v>#N/A</v>
      </c>
      <c r="OS41" s="5720">
        <f>IFERROR(outputs_klasse_qty[[#This Row],[nett_e1_rate]]*$BC93,0)</f>
        <v>0</v>
      </c>
      <c r="OT41" s="3453" t="e">
        <f t="shared" si="123"/>
        <v>#N/A</v>
      </c>
      <c r="OU41" s="5720">
        <f>IFERROR(outputs_klasse_qty[[#This Row],[nett_e2_rate]]*$BD93,0)</f>
        <v>0</v>
      </c>
      <c r="OV41" s="3453" t="e">
        <f t="shared" si="124"/>
        <v>#N/A</v>
      </c>
      <c r="OW41" s="5720">
        <f>IFERROR(outputs_klasse_qty[[#This Row],[nett_f_rate]]*$BE93,0)</f>
        <v>0</v>
      </c>
      <c r="OX41" s="3453" t="e">
        <f t="shared" si="125"/>
        <v>#N/A</v>
      </c>
      <c r="OY41" s="5720">
        <f>IFERROR(outputs_klasse_qty[[#This Row],[nett_g_rate]]*$BF93,0)</f>
        <v>0</v>
      </c>
      <c r="OZ41" s="5709">
        <f t="shared" si="126"/>
        <v>0</v>
      </c>
      <c r="PA41" s="3453" t="e">
        <f t="shared" si="53"/>
        <v>#N/A</v>
      </c>
      <c r="PB41" s="5618">
        <f>IFERROR(outputs_klasse_qty[[#This Row],[nett_a_output]]/(outputs_klasse_qty[[#This Row],[festebolter_for_nett_senteravstand_a]]^2),0)</f>
        <v>0</v>
      </c>
      <c r="PC41" s="3453" t="e">
        <f t="shared" si="54"/>
        <v>#N/A</v>
      </c>
      <c r="PD41" s="5618">
        <f>IFERROR(outputs_klasse_qty[[#This Row],[nett_b_output]]/(outputs_klasse_qty[[#This Row],[festebolter_for_nett_senteravstand_b]]^2),0)</f>
        <v>0</v>
      </c>
      <c r="PE41" s="3453" t="e">
        <f t="shared" si="55"/>
        <v>#N/A</v>
      </c>
      <c r="PF41" s="5618">
        <f>IFERROR(outputs_klasse_qty[[#This Row],[nett_c_output]]/(outputs_klasse_qty[[#This Row],[festebolter_for_nett_senteravstand_c]]^2),0)</f>
        <v>0</v>
      </c>
      <c r="PG41" s="3453" t="e">
        <f t="shared" si="56"/>
        <v>#N/A</v>
      </c>
      <c r="PH41" s="5618">
        <f>IFERROR(outputs_klasse_qty[[#This Row],[nett_d_output]]/(outputs_klasse_qty[[#This Row],[festebolter_for_nett_senteravstand_d]]^2),0)</f>
        <v>0</v>
      </c>
      <c r="PI41" s="3453" t="e">
        <f t="shared" si="57"/>
        <v>#N/A</v>
      </c>
      <c r="PJ41" s="5618">
        <f>IFERROR(outputs_klasse_qty[[#This Row],[nett_e1_output]]/(outputs_klasse_qty[[#This Row],[festebolter_for_nett_senteravstand_e1]]^2),0)</f>
        <v>0</v>
      </c>
      <c r="PK41" s="3453" t="e">
        <f t="shared" si="58"/>
        <v>#N/A</v>
      </c>
      <c r="PL41" s="5618">
        <f>IFERROR(outputs_klasse_qty[[#This Row],[nett_e2_output]]/(outputs_klasse_qty[[#This Row],[festebolter_for_nett_senteravstand_e2]]^2),0)</f>
        <v>0</v>
      </c>
      <c r="PM41" s="3453" t="e">
        <f t="shared" si="59"/>
        <v>#N/A</v>
      </c>
      <c r="PN41" s="5618">
        <f>IFERROR(outputs_klasse_qty[[#This Row],[nett_f_output]]/(outputs_klasse_qty[[#This Row],[festebolter_for_nett_senteravstand_f]]^2),0)</f>
        <v>0</v>
      </c>
      <c r="PO41" s="3453" t="e">
        <f t="shared" si="60"/>
        <v>#N/A</v>
      </c>
      <c r="PP41" s="5618">
        <f>IFERROR(outputs_klasse_qty[[#This Row],[nett_g_output]]/(outputs_klasse_qty[[#This Row],[festebolter_for_nett_senteravstand_g]]^2),0)</f>
        <v>0</v>
      </c>
      <c r="PQ41" s="5626">
        <f>outputs_klasse_qty[[#This Row],[festebolter_for_nett_output_a]]+outputs_klasse_qty[[#This Row],[festebolter_for_nett_output_b]]+outputs_klasse_qty[[#This Row],[festebolter_for_nett_output_c]]+outputs_klasse_qty[[#This Row],[festebolter_for_nett_output_d]]+outputs_klasse_qty[[#This Row],[festebolter_for_nett_output_e1]]+outputs_klasse_qty[[#This Row],[festebolter_for_nett_output_e2]]+outputs_klasse_qty[[#This Row],[festebolter_for_nett_output_f]]+outputs_klasse_qty[[#This Row],[festebolter_for_nett_output_g]]</f>
        <v>0</v>
      </c>
      <c r="PR41" s="3453" t="e">
        <f t="shared" si="77"/>
        <v>#N/A</v>
      </c>
      <c r="PS41" s="5710" t="e">
        <f>outputs_klasse_qty[[#This Row],[nett_a_output]]*outputs_klasse_qty[[#This Row],[sprøytebetong_ved_nett_tykkelse_a]]/1000</f>
        <v>#N/A</v>
      </c>
      <c r="PT41" s="3453" t="e">
        <f t="shared" si="78"/>
        <v>#N/A</v>
      </c>
      <c r="PU41" s="5710" t="e">
        <f>outputs_klasse_qty[[#This Row],[nett_b_output]]*outputs_klasse_qty[[#This Row],[sprøytebetong_ved_nett_tykkelse_b]]/1000</f>
        <v>#N/A</v>
      </c>
      <c r="PV41" s="3453" t="e">
        <f t="shared" si="79"/>
        <v>#N/A</v>
      </c>
      <c r="PW41" s="5710" t="e">
        <f>outputs_klasse_qty[[#This Row],[nett_c_output]]*outputs_klasse_qty[[#This Row],[sprøytebetong_ved_nett_tykkelse_c]]/1000</f>
        <v>#N/A</v>
      </c>
      <c r="PX41" s="3453" t="e">
        <f t="shared" si="80"/>
        <v>#N/A</v>
      </c>
      <c r="PY41" s="5710" t="e">
        <f>outputs_klasse_qty[[#This Row],[nett_d_output]]*outputs_klasse_qty[[#This Row],[sprøytebetong_ved_nett_tykkelse_d]]/1000</f>
        <v>#N/A</v>
      </c>
      <c r="PZ41" s="3453" t="e">
        <f t="shared" si="81"/>
        <v>#N/A</v>
      </c>
      <c r="QA41" s="5710" t="e">
        <f>outputs_klasse_qty[[#This Row],[nett_e1_output]]*outputs_klasse_qty[[#This Row],[sprøytebetong_ved_nett_tykkelse_e1]]/1000</f>
        <v>#N/A</v>
      </c>
      <c r="QB41" s="3453" t="e">
        <f t="shared" si="82"/>
        <v>#N/A</v>
      </c>
      <c r="QC41" s="5710" t="e">
        <f>outputs_klasse_qty[[#This Row],[nett_e2_output]]*outputs_klasse_qty[[#This Row],[sprøytebetong_ved_nett_tykkelse_e2]]/1000</f>
        <v>#N/A</v>
      </c>
      <c r="QD41" s="3453" t="e">
        <f t="shared" si="83"/>
        <v>#N/A</v>
      </c>
      <c r="QE41" s="5710" t="e">
        <f>outputs_klasse_qty[[#This Row],[nett_f_output]]*outputs_klasse_qty[[#This Row],[sprøytebetong_ved_nett_tykkelse_f]]/1000</f>
        <v>#N/A</v>
      </c>
      <c r="QF41" s="3453" t="e">
        <f t="shared" si="84"/>
        <v>#N/A</v>
      </c>
      <c r="QG41" s="5710" t="e">
        <f>outputs_klasse_qty[[#This Row],[nett_g_output]]*outputs_klasse_qty[[#This Row],[sprøytebetong_ved_nett_tykkelse_g]]/1000</f>
        <v>#N/A</v>
      </c>
      <c r="QH41" s="5711" t="e">
        <f>outputs_klasse_qty[[#This Row],[sprøytebetong_ved_nett_output_a]]+outputs_klasse_qty[[#This Row],[sprøytebetong_ved_nett_output_b]]+outputs_klasse_qty[[#This Row],[sprøytebetong_ved_nett_output_c]]+outputs_klasse_qty[[#This Row],[sprøytebetong_ved_nett_output_d]]+outputs_klasse_qty[[#This Row],[sprøytebetong_ved_nett_output_e1]]+outputs_klasse_qty[[#This Row],[sprøytebetong_ved_nett_output_e2]]+outputs_klasse_qty[[#This Row],[sprøytebetong_ved_nett_output_f]]+outputs_klasse_qty[[#This Row],[sprøytebetong_ved_nett_output_g]]</f>
        <v>#N/A</v>
      </c>
      <c r="QI41" s="3453"/>
      <c r="QJ41" s="3453"/>
      <c r="QK41" s="3453"/>
      <c r="QL41" s="3453"/>
      <c r="QM41" s="3453"/>
      <c r="QN41" s="3453"/>
      <c r="QO41" s="3453"/>
      <c r="QP41" s="3453"/>
      <c r="QQ41" s="3453"/>
      <c r="QR41" s="5712">
        <f>IF($AK$219=_List!$DI$6,_Calcs_Klasse!$QR$28,IF($AK$219=_List!$DI$7,$QR$29,0))</f>
        <v>1</v>
      </c>
      <c r="QS41" s="5713" t="e">
        <f t="shared" si="127"/>
        <v>#N/A</v>
      </c>
      <c r="QT41" s="3453" t="e">
        <f t="shared" si="128"/>
        <v>#N/A</v>
      </c>
      <c r="QU41" s="3453">
        <f>IFERROR((outputs_klasse_qty[[#This Row],[shot_veder_a_faktor]]*outputs_klasse_qty[[#This Row],[shot_veder_a_rate]]*$AI$46*$AY93)/1000,0)</f>
        <v>0</v>
      </c>
      <c r="QV41" s="5713" t="e">
        <f t="shared" si="129"/>
        <v>#N/A</v>
      </c>
      <c r="QW41" s="3453" t="e">
        <f t="shared" si="130"/>
        <v>#N/A</v>
      </c>
      <c r="QX41" s="3453">
        <f>IFERROR((outputs_klasse_qty[[#This Row],[shot_veder_b_faktor]]*outputs_klasse_qty[[#This Row],[shot_veder_b_rate]]*$AI$46*$AZ93)/1000,0)</f>
        <v>0</v>
      </c>
      <c r="QY41" s="5713" t="e">
        <f t="shared" si="131"/>
        <v>#N/A</v>
      </c>
      <c r="QZ41" s="3453" t="e">
        <f t="shared" si="132"/>
        <v>#N/A</v>
      </c>
      <c r="RA41" s="3453">
        <f>IFERROR((outputs_klasse_qty[[#This Row],[shot_veder_c_faktor]]*outputs_klasse_qty[[#This Row],[shot_veder_c_rate]]*$AI$46*$BA93)/1000,0)</f>
        <v>0</v>
      </c>
      <c r="RB41" s="5713" t="e">
        <f t="shared" si="133"/>
        <v>#N/A</v>
      </c>
      <c r="RC41" s="3453" t="e">
        <f t="shared" si="134"/>
        <v>#N/A</v>
      </c>
      <c r="RD41" s="3453">
        <f>IFERROR((outputs_klasse_qty[[#This Row],[shot_veder_d_faktor]]*outputs_klasse_qty[[#This Row],[shot_veder_d_rate]]*$AI$46*$BB93)/1000,0)</f>
        <v>0</v>
      </c>
      <c r="RE41" s="5713" t="e">
        <f t="shared" si="135"/>
        <v>#N/A</v>
      </c>
      <c r="RF41" s="3453" t="e">
        <f t="shared" si="136"/>
        <v>#N/A</v>
      </c>
      <c r="RG41" s="3453">
        <f>IFERROR((outputs_klasse_qty[[#This Row],[shot_veder_e1_faktor]]*outputs_klasse_qty[[#This Row],[shot_veder_e1_rate]]*$AI$46*$BC93)/1000,0)</f>
        <v>0</v>
      </c>
      <c r="RH41" s="5713" t="e">
        <f t="shared" si="137"/>
        <v>#N/A</v>
      </c>
      <c r="RI41" s="3453" t="e">
        <f t="shared" si="138"/>
        <v>#N/A</v>
      </c>
      <c r="RJ41" s="3453">
        <f>IFERROR((outputs_klasse_qty[[#This Row],[shot_veder_e2_faktor]]*outputs_klasse_qty[[#This Row],[shot_veder_e2_rate]]*$AI$46*$BD93)/1000,0)</f>
        <v>0</v>
      </c>
      <c r="RK41" s="5713" t="e">
        <f t="shared" si="139"/>
        <v>#N/A</v>
      </c>
      <c r="RL41" s="3453" t="e">
        <f t="shared" si="140"/>
        <v>#N/A</v>
      </c>
      <c r="RM41" s="3453">
        <f>IFERROR((outputs_klasse_qty[[#This Row],[shot_veder_f_faktor]]*outputs_klasse_qty[[#This Row],[shot_veder_f_rate]]*$AI$46*$BE93)/1000,0)</f>
        <v>0</v>
      </c>
      <c r="RN41" s="5713" t="e">
        <f t="shared" si="141"/>
        <v>#N/A</v>
      </c>
      <c r="RO41" s="3453" t="e">
        <f t="shared" si="142"/>
        <v>#N/A</v>
      </c>
      <c r="RP41" s="3453">
        <f>IFERROR((outputs_klasse_qty[[#This Row],[shot_veder_g_faktor]]*outputs_klasse_qty[[#This Row],[shot_veder_g_rate]]*$AI$46*$BF93)/1000,0)</f>
        <v>0</v>
      </c>
      <c r="RQ41" s="5714">
        <f>IFERROR(outputs_klasse_qty[[#This Row],[shot_veder_a_output]]+outputs_klasse_qty[[#This Row],[shot_veder_b_output]]+outputs_klasse_qty[[#This Row],[shot_veder_c_output]]+outputs_klasse_qty[[#This Row],[shot_veder_d_output]]+outputs_klasse_qty[[#This Row],[shot_veder_e1_output]]+outputs_klasse_qty[[#This Row],[shot_veder_e2_output]]+outputs_klasse_qty[[#This Row],[shot_veder_f_output]]+outputs_klasse_qty[[#This Row],[shot_veder_g_output]],0)</f>
        <v>0</v>
      </c>
      <c r="RR41" s="5712">
        <v>1</v>
      </c>
      <c r="RS41" s="5713" t="e">
        <f t="shared" si="143"/>
        <v>#N/A</v>
      </c>
      <c r="RT41" s="3453" t="e">
        <f t="shared" si="144"/>
        <v>#N/A</v>
      </c>
      <c r="RU41" s="3453">
        <f>IFERROR((outputs_klasse_qty[[#This Row],[shot_vegg_a_faktor]]*outputs_klasse_qty[[#This Row],[shot_vegg_a_rate]]*$AI$42*2*$AY93)/1000,0)</f>
        <v>0</v>
      </c>
      <c r="RV41" s="5713" t="e">
        <f t="shared" si="145"/>
        <v>#N/A</v>
      </c>
      <c r="RW41" s="3453" t="e">
        <f t="shared" si="146"/>
        <v>#N/A</v>
      </c>
      <c r="RX41" s="3453">
        <f>IFERROR((outputs_klasse_qty[[#This Row],[shot_vegg_b_faktor]]*outputs_klasse_qty[[#This Row],[shot_vegg_b_rate]]*$AI$42*2*$AZ93)/1000,0)</f>
        <v>0</v>
      </c>
      <c r="RY41" s="5713" t="e">
        <f t="shared" si="147"/>
        <v>#N/A</v>
      </c>
      <c r="RZ41" s="3453" t="e">
        <f t="shared" si="148"/>
        <v>#N/A</v>
      </c>
      <c r="SA41" s="3453">
        <f>IFERROR((outputs_klasse_qty[[#This Row],[shot_vegg_c_faktor]]*outputs_klasse_qty[[#This Row],[shot_vegg_c_rate]]*$AI$42*2*$BA93)/1000,0)</f>
        <v>0</v>
      </c>
      <c r="SB41" s="5713" t="e">
        <f t="shared" si="149"/>
        <v>#N/A</v>
      </c>
      <c r="SC41" s="3453" t="e">
        <f t="shared" si="150"/>
        <v>#N/A</v>
      </c>
      <c r="SD41" s="3453">
        <f>IFERROR((outputs_klasse_qty[[#This Row],[shot_vegg_d_faktor]]*outputs_klasse_qty[[#This Row],[shot_vegg_d_rate]]*$AI$42*2*$BB93)/1000,0)</f>
        <v>0</v>
      </c>
      <c r="SE41" s="5713" t="e">
        <f t="shared" si="151"/>
        <v>#N/A</v>
      </c>
      <c r="SF41" s="3453" t="e">
        <f t="shared" si="152"/>
        <v>#N/A</v>
      </c>
      <c r="SG41" s="3453">
        <f>IFERROR((outputs_klasse_qty[[#This Row],[shot_vegg_e1_faktor]]*outputs_klasse_qty[[#This Row],[shot_vegg_e1_rate]]*$AI$42*2*$BC93)/1000,0)</f>
        <v>0</v>
      </c>
      <c r="SH41" s="5713" t="e">
        <f t="shared" si="153"/>
        <v>#N/A</v>
      </c>
      <c r="SI41" s="3453" t="e">
        <f t="shared" si="154"/>
        <v>#N/A</v>
      </c>
      <c r="SJ41" s="3453">
        <f>IFERROR((outputs_klasse_qty[[#This Row],[shot_vegg_e2_faktor]]*outputs_klasse_qty[[#This Row],[shot_vegg_e2_rate]]*$AI$42*2*$BD93)/1000,0)</f>
        <v>0</v>
      </c>
      <c r="SK41" s="5713" t="e">
        <f t="shared" si="155"/>
        <v>#N/A</v>
      </c>
      <c r="SL41" s="3453" t="e">
        <f t="shared" si="156"/>
        <v>#N/A</v>
      </c>
      <c r="SM41" s="3453">
        <f>IFERROR((outputs_klasse_qty[[#This Row],[shot_vegg_f_faktor]]*outputs_klasse_qty[[#This Row],[shot_vegg_f_rate]]*$AI$42*2*$BE93)/1000,0)</f>
        <v>0</v>
      </c>
      <c r="SN41" s="5713" t="e">
        <f t="shared" si="157"/>
        <v>#N/A</v>
      </c>
      <c r="SO41" s="3453" t="e">
        <f t="shared" si="158"/>
        <v>#N/A</v>
      </c>
      <c r="SP41" s="3453">
        <f>IFERROR((outputs_klasse_qty[[#This Row],[shot_vegg_g_faktor]]*outputs_klasse_qty[[#This Row],[shot_vegg_g_rate]]*$AI$42*2*$BF93)/1000,0)</f>
        <v>0</v>
      </c>
      <c r="SQ41" s="5714">
        <f>IFERROR(outputs_klasse_qty[[#This Row],[shot_vegg_a_output]]+outputs_klasse_qty[[#This Row],[shot_vegg_b_output]]+outputs_klasse_qty[[#This Row],[shot_vegg_c_output]]+outputs_klasse_qty[[#This Row],[shot_vegg_d_output]]+outputs_klasse_qty[[#This Row],[shot_vegg_e1_output]]+outputs_klasse_qty[[#This Row],[shot_vegg_e2_output]]+outputs_klasse_qty[[#This Row],[shot_vegg_f_output]]+outputs_klasse_qty[[#This Row],[shot_vegg_g_output]],0)</f>
        <v>0</v>
      </c>
      <c r="SR41" s="5715">
        <f>outputs_klasse_qty[[#This Row],[shot_veder_sum]]+outputs_klasse_qty[[#This Row],[shot_vegg_sum]]</f>
        <v>0</v>
      </c>
      <c r="SS41" s="3453"/>
      <c r="ST41" s="3453"/>
      <c r="SU41" s="3453"/>
      <c r="SV41" s="3453"/>
      <c r="SW41" s="3453"/>
      <c r="SX41" s="3453"/>
      <c r="SY41" s="3453"/>
      <c r="SZ41" s="3453"/>
      <c r="TA41" s="3453"/>
      <c r="TB41" s="3453"/>
      <c r="TC41" s="3453"/>
      <c r="TD41" s="3453"/>
      <c r="TE41" s="3453"/>
      <c r="TF41" s="3453"/>
      <c r="TG41" s="3453"/>
      <c r="TH41" s="3453"/>
      <c r="TI41" s="3453"/>
      <c r="TJ41" s="3453"/>
      <c r="TK41" s="5721" cm="1">
        <f t="array" ref="TK41">IF($AK$221=klasse_buer[Method],_Calcs_Klasse!$TK$28,IF($AK$221="",_Calcs_Klasse!TK38,""))</f>
        <v>1</v>
      </c>
      <c r="TL41" s="3453" t="e">
        <f t="shared" si="159"/>
        <v>#N/A</v>
      </c>
      <c r="TM41" s="3453" t="e">
        <f t="shared" si="61"/>
        <v>#N/A</v>
      </c>
      <c r="TN41" s="3453">
        <f>IFERROR((IF(OR(outputs_klasse_qty[[#This Row],[bue_a_dim]]=_List!$DO$7,outputs_klasse_qty[[#This Row],[bue_a_dim]]=_List!$DO$8),($AY93*$AI$40)/outputs_klasse_qty[[#This Row],[bue_a_senteravstand]]*outputs_klasse_qty[[#This Row],[bue_a_andel]],0)),0)</f>
        <v>0</v>
      </c>
      <c r="TO41" s="5722" t="e">
        <f t="shared" si="160"/>
        <v>#N/A</v>
      </c>
      <c r="TP41" s="5702" t="e">
        <f t="shared" si="161"/>
        <v>#N/A</v>
      </c>
      <c r="TQ41" s="5723" t="e">
        <f t="shared" si="162"/>
        <v>#N/A</v>
      </c>
      <c r="TR41" s="3453" t="e">
        <f t="shared" si="163"/>
        <v>#N/A</v>
      </c>
      <c r="TS41" s="3453" t="e">
        <f t="shared" si="62"/>
        <v>#N/A</v>
      </c>
      <c r="TT41" s="3453">
        <f>IFERROR((IF(OR(outputs_klasse_qty[[#This Row],[bue_b_dim]]=_List!$DO$7,outputs_klasse_qty[[#This Row],[bue_b_dim]]=_List!$DO$8),($AZ93*$AI$40)/outputs_klasse_qty[[#This Row],[bue_b_senteravstand]]*outputs_klasse_qty[[#This Row],[bue_b_andel]],0)),0)</f>
        <v>0</v>
      </c>
      <c r="TU41" s="5722" t="e">
        <f t="shared" si="164"/>
        <v>#N/A</v>
      </c>
      <c r="TV41" s="5702" t="e">
        <f t="shared" si="165"/>
        <v>#N/A</v>
      </c>
      <c r="TW41" s="5723" t="e">
        <f t="shared" si="166"/>
        <v>#N/A</v>
      </c>
      <c r="TX41" s="3453" t="e">
        <f t="shared" si="167"/>
        <v>#N/A</v>
      </c>
      <c r="TY41" s="3453" t="e">
        <f t="shared" si="63"/>
        <v>#N/A</v>
      </c>
      <c r="TZ41" s="3453">
        <f>IFERROR((IF(OR(outputs_klasse_qty[[#This Row],[bue_c_dim]]=_List!$DO$7,outputs_klasse_qty[[#This Row],[bue_c_dim]]=_List!$DO$8),($BA93*$AI$40)/outputs_klasse_qty[[#This Row],[bue_c_senteravstand]]*outputs_klasse_qty[[#This Row],[bue_c_andel]],0)),0)</f>
        <v>0</v>
      </c>
      <c r="UA41" s="5722" t="e">
        <f t="shared" si="168"/>
        <v>#N/A</v>
      </c>
      <c r="UB41" s="5702" t="e">
        <f t="shared" si="169"/>
        <v>#N/A</v>
      </c>
      <c r="UC41" s="5723" t="e">
        <f t="shared" si="170"/>
        <v>#N/A</v>
      </c>
      <c r="UD41" s="3453" t="e">
        <f t="shared" si="171"/>
        <v>#N/A</v>
      </c>
      <c r="UE41" s="3453" t="e">
        <f t="shared" si="64"/>
        <v>#N/A</v>
      </c>
      <c r="UF41" s="3453">
        <f>IFERROR((IF(OR(outputs_klasse_qty[[#This Row],[bue_d_dim]]=_List!$DO$7,outputs_klasse_qty[[#This Row],[bue_d_dim]]=_List!$DO$8),($BB93*$AI$40)/outputs_klasse_qty[[#This Row],[bue_d_senteravstand]]*outputs_klasse_qty[[#This Row],[bue_d_andel]],0)),0)</f>
        <v>0</v>
      </c>
      <c r="UG41" s="5722" t="e">
        <f t="shared" si="172"/>
        <v>#N/A</v>
      </c>
      <c r="UH41" s="5702" t="e">
        <f t="shared" si="173"/>
        <v>#N/A</v>
      </c>
      <c r="UI41" s="5723" t="e">
        <f t="shared" si="174"/>
        <v>#N/A</v>
      </c>
      <c r="UJ41" s="3453" t="e">
        <f t="shared" si="175"/>
        <v>#N/A</v>
      </c>
      <c r="UK41" s="3453" t="e">
        <f t="shared" si="65"/>
        <v>#N/A</v>
      </c>
      <c r="UL41" s="3453">
        <f>IFERROR((IF(OR(outputs_klasse_qty[[#This Row],[bue_e1_dim]]=_List!$DO$7,outputs_klasse_qty[[#This Row],[bue_e1_dim]]=_List!$DO$8),($BC93*$AI$40)/outputs_klasse_qty[[#This Row],[bue_e1_senteravstand]]*outputs_klasse_qty[[#This Row],[bue_e1_andel]],0)),0)</f>
        <v>0</v>
      </c>
      <c r="UM41" s="5722" t="e">
        <f t="shared" si="176"/>
        <v>#N/A</v>
      </c>
      <c r="UN41" s="5702" t="e">
        <f t="shared" si="177"/>
        <v>#N/A</v>
      </c>
      <c r="UO41" s="5723" t="e">
        <f t="shared" si="178"/>
        <v>#N/A</v>
      </c>
      <c r="UP41" s="3453" t="e">
        <f t="shared" si="179"/>
        <v>#N/A</v>
      </c>
      <c r="UQ41" s="3453" t="e">
        <f t="shared" si="66"/>
        <v>#N/A</v>
      </c>
      <c r="UR41" s="3453">
        <f>IFERROR((IF(OR(outputs_klasse_qty[[#This Row],[bue_e2_dim]]=_List!$DO$7,outputs_klasse_qty[[#This Row],[bue_e2_dim]]=_List!$DO$8),($BD93*$AI$40)/outputs_klasse_qty[[#This Row],[bue_e2_senteravstand]]*outputs_klasse_qty[[#This Row],[bue_e2_andel]],0)),0)</f>
        <v>0</v>
      </c>
      <c r="US41" s="5722" t="e">
        <f t="shared" si="180"/>
        <v>#N/A</v>
      </c>
      <c r="UT41" s="5702" t="e">
        <f t="shared" si="181"/>
        <v>#N/A</v>
      </c>
      <c r="UU41" s="5723" t="e">
        <f t="shared" si="182"/>
        <v>#N/A</v>
      </c>
      <c r="UV41" s="3453" t="e">
        <f t="shared" si="183"/>
        <v>#N/A</v>
      </c>
      <c r="UW41" s="3453" t="e">
        <f t="shared" si="67"/>
        <v>#N/A</v>
      </c>
      <c r="UX41" s="3453">
        <f>IFERROR((IF(OR(outputs_klasse_qty[[#This Row],[bue_f_dim]]=_List!$DO$7,outputs_klasse_qty[[#This Row],[bue_f_dim]]=_List!$DO$8),($BE93*$AI$40)/outputs_klasse_qty[[#This Row],[bue_f_senteravstand]]*outputs_klasse_qty[[#This Row],[bue_f_andel]],0)),0)</f>
        <v>0</v>
      </c>
      <c r="UY41" s="5722" t="e">
        <f t="shared" si="184"/>
        <v>#N/A</v>
      </c>
      <c r="UZ41" s="5702" t="e">
        <f t="shared" si="185"/>
        <v>#N/A</v>
      </c>
      <c r="VA41" s="5723" t="e">
        <f t="shared" si="186"/>
        <v>#N/A</v>
      </c>
      <c r="VB41" s="3453" t="e">
        <f t="shared" si="187"/>
        <v>#N/A</v>
      </c>
      <c r="VC41" s="3453" t="e">
        <f t="shared" si="68"/>
        <v>#N/A</v>
      </c>
      <c r="VD41" s="3453">
        <f>IFERROR((IF(OR(outputs_klasse_qty[[#This Row],[bue_g_dim]]=_List!$DO$7,outputs_klasse_qty[[#This Row],[bue_g_dim]]=_List!$DO$8),($BF93*$AI$40)/outputs_klasse_qty[[#This Row],[bue_g_senteravstand]]*outputs_klasse_qty[[#This Row],[bue_g_andel]],0)),0)</f>
        <v>0</v>
      </c>
      <c r="VE41" s="5722" t="e">
        <f t="shared" si="188"/>
        <v>#N/A</v>
      </c>
      <c r="VF41" s="5702" t="e">
        <f t="shared" si="189"/>
        <v>#N/A</v>
      </c>
      <c r="VG41" s="5723" t="e">
        <f t="shared" si="190"/>
        <v>#N/A</v>
      </c>
      <c r="VH41" s="5717" t="e">
        <f>outputs_klasse_qty[[#This Row],[bue_a_e30]]+outputs_klasse_qty[[#This Row],[bue_b_e30]]+outputs_klasse_qty[[#This Row],[bue_c_e30]]+outputs_klasse_qty[[#This Row],[bue_d_e30]]+outputs_klasse_qty[[#This Row],[bue_e1_e30]]+outputs_klasse_qty[[#This Row],[bue_e2_e30]]+outputs_klasse_qty[[#This Row],[bue_f_e30]]+outputs_klasse_qty[[#This Row],[bue_g_e30]]</f>
        <v>#N/A</v>
      </c>
      <c r="VI41" s="5718" t="e">
        <f>outputs_klasse_qty[[#This Row],[bue_a_d60]]+outputs_klasse_qty[[#This Row],[bue_b_d60]]+outputs_klasse_qty[[#This Row],[bue_c_d60]]+outputs_klasse_qty[[#This Row],[bue_d_d60]]+outputs_klasse_qty[[#This Row],[bue_e1_d60]]+outputs_klasse_qty[[#This Row],[bue_e2_d60]]+outputs_klasse_qty[[#This Row],[bue_f_d60]]+outputs_klasse_qty[[#This Row],[bue_g_d60]]</f>
        <v>#N/A</v>
      </c>
      <c r="VJ41" s="5719" t="str">
        <f>IFERROR(outputs_klasse_qty[[#This Row],[bue_e30_sum]]+outputs_klasse_qty[[#This Row],[bue_d60_sum]],"")</f>
        <v/>
      </c>
      <c r="VK41" s="3453">
        <f t="shared" si="191"/>
        <v>0</v>
      </c>
      <c r="VL41" s="3453">
        <f>outputs_klasse_qty[[#This Row],[bue_a_output]]*outputs_klasse_qty[[#This Row],[sprøytebetong_ved_bue_rate_a]]</f>
        <v>0</v>
      </c>
      <c r="VM41" s="3453">
        <f t="shared" si="192"/>
        <v>0</v>
      </c>
      <c r="VN41" s="3453">
        <f>outputs_klasse_qty[[#This Row],[bue_b_output]]*outputs_klasse_qty[[#This Row],[sprøytebetong_ved_bue_rate_b]]</f>
        <v>0</v>
      </c>
      <c r="VO41" s="3453">
        <f t="shared" si="193"/>
        <v>0</v>
      </c>
      <c r="VP41" s="3453">
        <f>outputs_klasse_qty[[#This Row],[bue_c_output]]*outputs_klasse_qty[[#This Row],[sprøytebetong_ved_bue_rate_c]]</f>
        <v>0</v>
      </c>
      <c r="VQ41" s="3453">
        <f t="shared" si="194"/>
        <v>0</v>
      </c>
      <c r="VR41" s="3453">
        <f>outputs_klasse_qty[[#This Row],[bue_d_output]]*outputs_klasse_qty[[#This Row],[sprøytebetong_ved_bue_rate_d]]</f>
        <v>0</v>
      </c>
      <c r="VS41" s="3453">
        <f t="shared" si="195"/>
        <v>0</v>
      </c>
      <c r="VT41" s="3453">
        <f>outputs_klasse_qty[[#This Row],[bue_e1_output]]*outputs_klasse_qty[[#This Row],[sprøytebetong_ved_bue_rate_e1]]</f>
        <v>0</v>
      </c>
      <c r="VU41" s="3453">
        <f t="shared" si="196"/>
        <v>0</v>
      </c>
      <c r="VV41" s="3453">
        <f>outputs_klasse_qty[[#This Row],[bue_e2_output]]*outputs_klasse_qty[[#This Row],[sprøytebetong_ved_bue_rate_e2]]</f>
        <v>0</v>
      </c>
      <c r="VW41" s="3453">
        <f t="shared" si="197"/>
        <v>0</v>
      </c>
      <c r="VX41" s="3453">
        <f>outputs_klasse_qty[[#This Row],[bue_f_output]]*outputs_klasse_qty[[#This Row],[sprøytebetong_ved_bue_rate_f]]</f>
        <v>0</v>
      </c>
      <c r="VY41" s="3453">
        <f t="shared" si="198"/>
        <v>0</v>
      </c>
      <c r="VZ41" s="3453">
        <f>outputs_klasse_qty[[#This Row],[bue_g_output]]*outputs_klasse_qty[[#This Row],[sprøytebetong_ved_bue_rate_g]]</f>
        <v>0</v>
      </c>
      <c r="WA41" s="5859">
        <f>outputs_klasse_qty[[#This Row],[sprøytebetong_ved_bue_output_a]]+outputs_klasse_qty[[#This Row],[sprøytebetong_ved_bue_output_b]]+outputs_klasse_qty[[#This Row],[sprøytebetong_ved_bue_output_c]]+outputs_klasse_qty[[#This Row],[sprøytebetong_ved_bue_output_d]]+outputs_klasse_qty[[#This Row],[sprøytebetong_ved_bue_output_e1]]+outputs_klasse_qty[[#This Row],[sprøytebetong_ved_bue_output_e2]]+outputs_klasse_qty[[#This Row],[sprøytebetong_ved_bue_output_f]]+outputs_klasse_qty[[#This Row],[sprøytebetong_ved_bue_output_g]]</f>
        <v>0</v>
      </c>
      <c r="WB41" s="3453" t="e">
        <f t="shared" si="199"/>
        <v>#N/A</v>
      </c>
      <c r="WC41" s="3453">
        <f>IFERROR((IF(OR(outputs_klasse_qty[[#This Row],[bue_a_dim]]=_List!$DO$7,outputs_klasse_qty[[#This Row],[bue_a_dim]]=_List!$DO$8),_Calcs_Klasse!AY93/$AJQ$42*outputs_klasse_qty[[#This Row],[forankring_bolter_rate_a]],0)),0)</f>
        <v>0</v>
      </c>
      <c r="WD41" s="3453" t="e">
        <f t="shared" si="200"/>
        <v>#N/A</v>
      </c>
      <c r="WE41" s="3453">
        <f>IFERROR((IF(OR(outputs_klasse_qty[[#This Row],[bue_b_dim]]=_List!$DO$7,outputs_klasse_qty[[#This Row],[bue_b_dim]]=_List!$DO$8),_Calcs_Klasse!AZ93/$AJQ$43*outputs_klasse_qty[[#This Row],[forankring_bolter_rate_b]],0)),0)</f>
        <v>0</v>
      </c>
      <c r="WF41" s="3453" t="e">
        <f t="shared" si="201"/>
        <v>#N/A</v>
      </c>
      <c r="WG41" s="3453">
        <f>IFERROR((IF(OR(outputs_klasse_qty[[#This Row],[bue_c_dim]]=_List!$DO$7,outputs_klasse_qty[[#This Row],[bue_c_dim]]=_List!$DO$8),_Calcs_Klasse!BA93/$AJQ$44*outputs_klasse_qty[[#This Row],[forankring_bolter_rate_c]],0)),0)</f>
        <v>0</v>
      </c>
      <c r="WH41" s="3453" t="e">
        <f t="shared" si="202"/>
        <v>#N/A</v>
      </c>
      <c r="WI41" s="3453">
        <f>IFERROR((IF(OR(outputs_klasse_qty[[#This Row],[bue_d_dim]]=_List!$DO$7,outputs_klasse_qty[[#This Row],[bue_d_dim]]=_List!$DO$8),_Calcs_Klasse!BB93/$AJQ$45*outputs_klasse_qty[[#This Row],[forankring_bolter_rate_d]],0)),0)</f>
        <v>0</v>
      </c>
      <c r="WJ41" s="3453" t="e">
        <f t="shared" si="203"/>
        <v>#N/A</v>
      </c>
      <c r="WK41" s="3453">
        <f>IFERROR((IF(OR(outputs_klasse_qty[[#This Row],[bue_e1_dim]]=_List!$DO$7,outputs_klasse_qty[[#This Row],[bue_e1_dim]]=_List!$DO$8),_Calcs_Klasse!BC93/$AJQ$46*outputs_klasse_qty[[#This Row],[forankring_bolter_rate_e1]],0)),0)</f>
        <v>0</v>
      </c>
      <c r="WL41" s="3453" t="e">
        <f t="shared" si="204"/>
        <v>#N/A</v>
      </c>
      <c r="WM41" s="3453">
        <f>IFERROR((IF(OR(outputs_klasse_qty[[#This Row],[bue_e2_dim]]=_List!$DO$7,outputs_klasse_qty[[#This Row],[bue_e2_dim]]=_List!$DO$8),_Calcs_Klasse!BD93/$AJQ$47*outputs_klasse_qty[[#This Row],[forankring_bolter_rate_e2]],0)),0)</f>
        <v>0</v>
      </c>
      <c r="WN41" s="3453" t="e">
        <f t="shared" si="205"/>
        <v>#N/A</v>
      </c>
      <c r="WO41" s="3453">
        <f>IFERROR((IF(OR(outputs_klasse_qty[[#This Row],[bue_f_dim]]=_List!$DO$7,outputs_klasse_qty[[#This Row],[bue_f_dim]]=_List!$DO$8),_Calcs_Klasse!BE93/$AJQ$48*outputs_klasse_qty[[#This Row],[forankring_bolter_rate_f]],0)),0)</f>
        <v>0</v>
      </c>
      <c r="WP41" s="3453" t="e">
        <f t="shared" si="206"/>
        <v>#N/A</v>
      </c>
      <c r="WQ41" s="3453">
        <f>IFERROR((IF(OR(outputs_klasse_qty[[#This Row],[bue_g_dim]]=_List!$DO$7,outputs_klasse_qty[[#This Row],[bue_g_dim]]=_List!$DO$8),_Calcs_Klasse!BF93/$AJQ$49*outputs_klasse_qty[[#This Row],[forankring_bolter_rate_g]],0)),0)</f>
        <v>0</v>
      </c>
      <c r="WR41" s="3453">
        <f>IFERROR(outputs_klasse_qty[[#This Row],[forankring_bolter_output_a]]*$AMD$42,0)</f>
        <v>0</v>
      </c>
      <c r="WS41" s="3453">
        <f>IFERROR(outputs_klasse_qty[[#This Row],[forankring_bolter_output_a]]*$AMM$42,0)</f>
        <v>0</v>
      </c>
      <c r="WT41" s="3453">
        <f>IFERROR(outputs_klasse_qty[[#This Row],[forankring_bolter_output_b]]*$AMD$43,0)</f>
        <v>0</v>
      </c>
      <c r="WU41" s="3453">
        <f>IFERROR(outputs_klasse_qty[[#This Row],[forankring_bolter_output_b]]*$AMM$43,0)</f>
        <v>0</v>
      </c>
      <c r="WV41" s="3453">
        <f>IFERROR(outputs_klasse_qty[[#This Row],[forankring_bolter_output_c]]*$AMD$44,0)</f>
        <v>0</v>
      </c>
      <c r="WW41" s="3453">
        <f>IFERROR(outputs_klasse_qty[[#This Row],[forankring_bolter_output_c]]*$AMM$44,0)</f>
        <v>0</v>
      </c>
      <c r="WX41" s="3453">
        <f>IFERROR(outputs_klasse_qty[[#This Row],[forankring_bolter_output_d]]*$AMD$45,0)</f>
        <v>0</v>
      </c>
      <c r="WY41" s="3453">
        <f>IFERROR(outputs_klasse_qty[[#This Row],[forankring_bolter_output_d]]*$AMM$45,0)</f>
        <v>0</v>
      </c>
      <c r="WZ41" s="3453">
        <f>IFERROR(outputs_klasse_qty[[#This Row],[forankring_bolter_output_e1]]*$AMD$46,0)</f>
        <v>0</v>
      </c>
      <c r="XA41" s="3453">
        <f>IFERROR(outputs_klasse_qty[[#This Row],[forankring_bolter_output_e1]]*$AMM$46,0)</f>
        <v>0</v>
      </c>
      <c r="XB41" s="3453">
        <f>IFERROR(outputs_klasse_qty[[#This Row],[forankring_bolter_output_e2]]*$AMD$47,0)</f>
        <v>0</v>
      </c>
      <c r="XC41" s="3453">
        <f>IFERROR(outputs_klasse_qty[[#This Row],[forankring_bolter_output_e2]]*$AMM$47,0)</f>
        <v>0</v>
      </c>
      <c r="XD41" s="3453">
        <f>IFERROR(outputs_klasse_qty[[#This Row],[forankring_bolter_output_f]]*$AMD$48,0)</f>
        <v>0</v>
      </c>
      <c r="XE41" s="3453">
        <f>IFERROR(outputs_klasse_qty[[#This Row],[forankring_bolter_output_f]]*$AMM$48,0)</f>
        <v>0</v>
      </c>
      <c r="XF41" s="3453">
        <f>IFERROR(outputs_klasse_qty[[#This Row],[forankring_bolter_output_g]]*$AMD$49,0)</f>
        <v>0</v>
      </c>
      <c r="XG41" s="3453">
        <f>IFERROR(outputs_klasse_qty[[#This Row],[forankring_bolter_output_g]]*$AMM$49,0)</f>
        <v>0</v>
      </c>
      <c r="XH41" s="3453">
        <f>outputs_klasse_qty[[#This Row],[forankring_lt4_a]]+outputs_klasse_qty[[#This Row],[forankring_lt4_b]]+outputs_klasse_qty[[#This Row],[forankring_lt4_c]]+outputs_klasse_qty[[#This Row],[forankring_lt4_d]]+outputs_klasse_qty[[#This Row],[forankring_lt4_e1]]+outputs_klasse_qty[[#This Row],[forankring_lt4_e2]]+outputs_klasse_qty[[#This Row],[forankring_lt4_f]]+outputs_klasse_qty[[#This Row],[forankring_lt4_g]]</f>
        <v>0</v>
      </c>
      <c r="XI41" s="3453">
        <f>outputs_klasse_qty[[#This Row],[forankring_gt4_a]]+outputs_klasse_qty[[#This Row],[forankring_gt4_b]]+outputs_klasse_qty[[#This Row],[forankring_gt4_c]]+outputs_klasse_qty[[#This Row],[forankring_gt4_d]]+outputs_klasse_qty[[#This Row],[forankring_gt4_e1]]+outputs_klasse_qty[[#This Row],[forankring_gt4_e2]]+outputs_klasse_qty[[#This Row],[forankring_gt4_f]]+outputs_klasse_qty[[#This Row],[forankring_gt4_g]]</f>
        <v>0</v>
      </c>
      <c r="XJ41" s="3453" t="e">
        <f t="shared" si="69"/>
        <v>#N/A</v>
      </c>
      <c r="XK41" s="3453" t="e">
        <f>outputs_klasse_qty[[#This Row],[bue_a_output]]/outputs_klasse_qty[[#This Row],[bue_radielle_bolter_rate_a]]</f>
        <v>#N/A</v>
      </c>
      <c r="XL41" s="3453" t="e">
        <f t="shared" si="70"/>
        <v>#N/A</v>
      </c>
      <c r="XM41" s="3453" t="e">
        <f>outputs_klasse_qty[[#This Row],[bue_b_output]]/outputs_klasse_qty[[#This Row],[bue_radielle_bolter_rate_b]]</f>
        <v>#N/A</v>
      </c>
      <c r="XN41" s="3453" t="e">
        <f t="shared" si="71"/>
        <v>#N/A</v>
      </c>
      <c r="XO41" s="3453" t="e">
        <f>outputs_klasse_qty[[#This Row],[bue_c_output]]/outputs_klasse_qty[[#This Row],[bue_radielle_bolter_rate_c]]</f>
        <v>#N/A</v>
      </c>
      <c r="XP41" s="3453" t="e">
        <f t="shared" si="72"/>
        <v>#N/A</v>
      </c>
      <c r="XQ41" s="3453" t="e">
        <f>outputs_klasse_qty[[#This Row],[bue_d_output]]/outputs_klasse_qty[[#This Row],[bue_radielle_bolter_rate_d]]</f>
        <v>#N/A</v>
      </c>
      <c r="XR41" s="3453" t="e">
        <f t="shared" si="73"/>
        <v>#N/A</v>
      </c>
      <c r="XS41" s="3453" t="e">
        <f>outputs_klasse_qty[[#This Row],[bue_e1_output]]/outputs_klasse_qty[[#This Row],[bue_radielle_bolter_rate_e1]]</f>
        <v>#N/A</v>
      </c>
      <c r="XT41" s="3453" t="e">
        <f t="shared" si="74"/>
        <v>#N/A</v>
      </c>
      <c r="XU41" s="3453" t="e">
        <f>outputs_klasse_qty[[#This Row],[bue_e2_output]]/outputs_klasse_qty[[#This Row],[bue_radielle_bolter_rate_e2]]</f>
        <v>#N/A</v>
      </c>
      <c r="XV41" s="3453" t="e">
        <f t="shared" si="75"/>
        <v>#N/A</v>
      </c>
      <c r="XW41" s="3453" t="e">
        <f>outputs_klasse_qty[[#This Row],[bue_f_output]]/outputs_klasse_qty[[#This Row],[bue_radielle_bolter_rate_f]]</f>
        <v>#N/A</v>
      </c>
      <c r="XX41" s="3453" t="e">
        <f t="shared" si="76"/>
        <v>#N/A</v>
      </c>
      <c r="XY41" s="3453" t="e">
        <f>outputs_klasse_qty[[#This Row],[bue_g_output]]/outputs_klasse_qty[[#This Row],[bue_radielle_bolter_rate_g]]</f>
        <v>#N/A</v>
      </c>
      <c r="XZ41" s="3453">
        <f>IFERROR(outputs_klasse_qty[[#This Row],[bue_radielle_bolter_output_a]]*$AKS$42,0)</f>
        <v>0</v>
      </c>
      <c r="YA41" s="3453">
        <f>IFERROR(outputs_klasse_qty[[#This Row],[bue_radielle_bolter_output_a]]*$ALB$42,0)</f>
        <v>0</v>
      </c>
      <c r="YB41" s="3453">
        <f>IFERROR(outputs_klasse_qty[[#This Row],[bue_radielle_bolter_output_b]]*$AKS$43,0)</f>
        <v>0</v>
      </c>
      <c r="YC41" s="3453">
        <f>IFERROR(outputs_klasse_qty[[#This Row],[bue_radielle_bolter_output_b]]*$ALB$43,0)</f>
        <v>0</v>
      </c>
      <c r="YD41" s="3453">
        <f>IFERROR(outputs_klasse_qty[[#This Row],[bue_radielle_bolter_output_c]]*$AKS$44,0)</f>
        <v>0</v>
      </c>
      <c r="YE41" s="3453">
        <f>IFERROR(outputs_klasse_qty[[#This Row],[bue_radielle_bolter_output_c]]*$ALB$44,0)</f>
        <v>0</v>
      </c>
      <c r="YF41" s="3453">
        <f>IFERROR(outputs_klasse_qty[[#This Row],[bue_radielle_bolter_output_d]]*$AKS$45,0)</f>
        <v>0</v>
      </c>
      <c r="YG41" s="3453">
        <f>IFERROR(outputs_klasse_qty[[#This Row],[bue_radielle_bolter_output_d]]*$ALB$45,0)</f>
        <v>0</v>
      </c>
      <c r="YH41" s="3453">
        <f>IFERROR(outputs_klasse_qty[[#This Row],[bue_radielle_bolter_output_e1]]*$AKS$46,0)</f>
        <v>0</v>
      </c>
      <c r="YI41" s="3453">
        <f>IFERROR(outputs_klasse_qty[[#This Row],[bue_radielle_bolter_output_e1]]*$ALB$46,0)</f>
        <v>0</v>
      </c>
      <c r="YJ41" s="3453">
        <f>IFERROR(outputs_klasse_qty[[#This Row],[bue_radielle_bolter_output_e2]]*$AKS$47,0)</f>
        <v>0</v>
      </c>
      <c r="YK41" s="3453">
        <f>IFERROR(outputs_klasse_qty[[#This Row],[bue_radielle_bolter_output_e2]]*$ALB$47,0)</f>
        <v>0</v>
      </c>
      <c r="YL41" s="3453">
        <f>IFERROR(outputs_klasse_qty[[#This Row],[bue_radielle_bolter_output_f]]*$AKS$48,0)</f>
        <v>0</v>
      </c>
      <c r="YM41" s="3453">
        <f>IFERROR(outputs_klasse_qty[[#This Row],[bue_radielle_bolter_output_f]]*$ALB$48,0)</f>
        <v>0</v>
      </c>
      <c r="YN41" s="3453">
        <f>IFERROR(outputs_klasse_qty[[#This Row],[bue_radielle_bolter_output_g]]*$AKS$49,0)</f>
        <v>0</v>
      </c>
      <c r="YO41" s="3453">
        <f>IFERROR(outputs_klasse_qty[[#This Row],[bue_radielle_bolter_output_g]]*$ALB$49,0)</f>
        <v>0</v>
      </c>
      <c r="YP41" s="5711">
        <f>outputs_klasse_qty[[#This Row],[bue_radielle_lt4_a]]+outputs_klasse_qty[[#This Row],[bue_radielle_lt4_b]]+outputs_klasse_qty[[#This Row],[bue_radielle_lt4_c]]+outputs_klasse_qty[[#This Row],[bue_radielle_lt4_d]]+outputs_klasse_qty[[#This Row],[bue_radielle_lt4_e1]]+outputs_klasse_qty[[#This Row],[bue_radielle_lt4_e2]]+outputs_klasse_qty[[#This Row],[bue_radielle_lt4_f]]+outputs_klasse_qty[[#This Row],[bue_radielle_lt4_g]]</f>
        <v>0</v>
      </c>
      <c r="YQ41" s="5711">
        <f>outputs_klasse_qty[[#This Row],[bue_radielle_gt4_a]]+outputs_klasse_qty[[#This Row],[bue_radielle_gt4_b]]+outputs_klasse_qty[[#This Row],[bue_radielle_gt4_c]]+outputs_klasse_qty[[#This Row],[bue_radielle_gt4_d]]+outputs_klasse_qty[[#This Row],[bue_radielle_gt4_e1]]+outputs_klasse_qty[[#This Row],[bue_radielle_gt4_e2]]+outputs_klasse_qty[[#This Row],[bue_radielle_gt4_f]]+outputs_klasse_qty[[#This Row],[bue_radielle_gt4_g]]</f>
        <v>0</v>
      </c>
      <c r="YR41" s="3453"/>
      <c r="YS41" s="3453"/>
      <c r="YT41" s="3453"/>
      <c r="YU41" s="3453"/>
      <c r="YV41" s="3453"/>
      <c r="YW41" s="3453"/>
      <c r="YX41" s="3453"/>
      <c r="YY41" s="3453"/>
      <c r="YZ41" s="3453"/>
      <c r="ZA41" s="3453"/>
      <c r="ZB41" s="3453"/>
      <c r="ZC41" s="3453"/>
      <c r="ZD41" s="3453"/>
      <c r="ZE41" s="3453"/>
      <c r="ZF41" s="3453"/>
      <c r="ZG41" s="3453"/>
      <c r="ZH41" s="3453"/>
      <c r="ZI41" s="3453"/>
      <c r="ZJ41" s="3453"/>
      <c r="ZK41" s="3453"/>
      <c r="ZL41" s="3453"/>
      <c r="ZM41" s="3453"/>
      <c r="ZN41" s="837"/>
      <c r="ZO41" s="837"/>
      <c r="ZP41" s="837"/>
      <c r="ZQ41" s="837"/>
      <c r="ZR41" s="837"/>
      <c r="ZS41" s="837"/>
      <c r="ZT41" s="837"/>
      <c r="ZU41" s="837"/>
      <c r="ZV41" s="837"/>
      <c r="ZW41" s="837"/>
      <c r="ZX41" s="837"/>
      <c r="ZY41" s="837"/>
      <c r="ZZ41" s="837"/>
      <c r="AAA41" s="837"/>
      <c r="AAB41" s="2622"/>
      <c r="AAC41" s="2622"/>
      <c r="AAD41" s="2622"/>
      <c r="AAE41" s="2622"/>
      <c r="AAF41" s="2622"/>
      <c r="AAG41" s="2622"/>
      <c r="AAH41" s="2622"/>
      <c r="AAI41" s="2622"/>
      <c r="AAJ41" s="2622"/>
      <c r="AAK41" s="2622"/>
      <c r="AAL41" s="2622"/>
      <c r="AAM41" s="2622"/>
      <c r="AAN41" s="2622"/>
      <c r="AAO41" s="2622"/>
      <c r="AAP41" s="2622"/>
      <c r="AAQ41" s="2622"/>
      <c r="AAR41" s="2622"/>
      <c r="AAS41" s="2622"/>
      <c r="AAT41" s="2622"/>
      <c r="AAU41" s="2622"/>
      <c r="AAV41" s="184"/>
      <c r="AAW41" s="372" t="s">
        <v>865</v>
      </c>
      <c r="AAX41" s="372"/>
      <c r="AAY41" s="372"/>
      <c r="AAZ41" s="251"/>
      <c r="ABA41" s="5808"/>
      <c r="ABB41" s="2720"/>
      <c r="ABC41" s="2720"/>
      <c r="ABD41" s="2720"/>
      <c r="ABE41" s="2720"/>
      <c r="ABF41" s="2720"/>
      <c r="ABG41" s="2720"/>
      <c r="ABH41" s="2720"/>
      <c r="ABI41" s="3618"/>
      <c r="ABJ41" s="251"/>
      <c r="ABK41" s="5808"/>
      <c r="ABL41" s="2720"/>
      <c r="ABM41" s="2720"/>
      <c r="ABN41" s="2720"/>
      <c r="ABO41" s="2720"/>
      <c r="ABP41" s="2720"/>
      <c r="ABQ41" s="2720"/>
      <c r="ABR41" s="2720"/>
      <c r="ABS41" s="3618"/>
      <c r="ABT41" s="251"/>
      <c r="ABU41" s="5808"/>
      <c r="ABV41" s="2720"/>
      <c r="ABW41" s="2720"/>
      <c r="ABX41" s="2720"/>
      <c r="ABY41" s="2720"/>
      <c r="ABZ41" s="2720"/>
      <c r="ACA41" s="2720"/>
      <c r="ACB41" s="2720"/>
      <c r="ACC41" s="3618"/>
      <c r="ACD41" s="3582"/>
      <c r="ACE41" s="3356"/>
      <c r="ACF41" s="2720"/>
      <c r="ACG41" s="5797"/>
      <c r="ACH41" s="5797"/>
      <c r="ACI41" s="5797"/>
      <c r="ACJ41" s="5797"/>
      <c r="ACK41" s="5797"/>
      <c r="ACL41" s="5797"/>
      <c r="ACM41" s="5797"/>
      <c r="ACN41" s="184"/>
      <c r="ACO41" s="2720"/>
      <c r="ACP41" s="5797"/>
      <c r="ACQ41" s="5797"/>
      <c r="ACR41" s="5797"/>
      <c r="ACS41" s="5797"/>
      <c r="ACT41" s="5797"/>
      <c r="ACU41" s="5797"/>
      <c r="ACV41" s="5797"/>
      <c r="ACW41" s="184"/>
      <c r="ACX41" s="3350"/>
      <c r="ACY41" s="5797"/>
      <c r="ACZ41" s="5797"/>
      <c r="ADA41" s="5797"/>
      <c r="ADB41" s="5797"/>
      <c r="ADC41" s="5797"/>
      <c r="ADD41" s="5797"/>
      <c r="ADE41" s="5799"/>
      <c r="ADF41" s="2816"/>
      <c r="ADG41" s="3356"/>
      <c r="ADH41" s="2720"/>
      <c r="ADI41" s="3587"/>
      <c r="ADJ41" s="3587"/>
      <c r="ADK41" s="3587"/>
      <c r="ADL41" s="3587"/>
      <c r="ADM41" s="3587"/>
      <c r="ADN41" s="3587"/>
      <c r="ADO41" s="3587"/>
      <c r="ADP41" s="184"/>
      <c r="ADQ41" s="3675"/>
      <c r="ADR41" s="2720"/>
      <c r="ADS41" s="3587"/>
      <c r="ADT41" s="3587"/>
      <c r="ADU41" s="3587"/>
      <c r="ADV41" s="3587"/>
      <c r="ADW41" s="3587"/>
      <c r="ADX41" s="3587"/>
      <c r="ADY41" s="3675"/>
      <c r="ADZ41" s="3350"/>
      <c r="AEA41" s="3675"/>
      <c r="AEB41" s="3675"/>
      <c r="AEC41" s="3675"/>
      <c r="AED41" s="3675"/>
      <c r="AEE41" s="3675"/>
      <c r="AEF41" s="3675"/>
      <c r="AEG41" s="3676"/>
      <c r="AEH41" s="2816"/>
      <c r="AEI41" s="3396"/>
      <c r="AEJ41" s="3396"/>
      <c r="AEK41" s="3396"/>
      <c r="AEL41" s="5788"/>
      <c r="AEM41" s="5788"/>
      <c r="AEN41" s="5788"/>
      <c r="AEO41" s="5788"/>
      <c r="AEP41" s="5788"/>
      <c r="AEQ41" s="5788"/>
      <c r="AER41" s="5788"/>
      <c r="AES41" s="5790"/>
      <c r="AET41" s="2720"/>
      <c r="AEU41" s="5789"/>
      <c r="AEV41" s="5789"/>
      <c r="AEW41" s="5789"/>
      <c r="AEX41" s="5789"/>
      <c r="AEY41" s="5789"/>
      <c r="AEZ41" s="5791"/>
      <c r="AFA41" s="5142"/>
      <c r="AFB41" s="3356"/>
      <c r="AFC41" s="5142"/>
      <c r="AFD41" s="5142"/>
      <c r="AFE41" s="5142"/>
      <c r="AFF41" s="5142"/>
      <c r="AFG41" s="5142"/>
      <c r="AFH41" s="5146"/>
      <c r="AFI41" s="5142"/>
      <c r="AFJ41" s="3356"/>
      <c r="AFK41" s="5142"/>
      <c r="AFL41" s="5142"/>
      <c r="AFM41" s="5142"/>
      <c r="AFN41" s="5142"/>
      <c r="AFO41" s="5142"/>
      <c r="AFP41" s="5142"/>
      <c r="AFQ41" s="5142"/>
      <c r="AFR41" s="2720"/>
      <c r="AFS41" s="5142"/>
      <c r="AFT41" s="5142"/>
      <c r="AFU41" s="5142"/>
      <c r="AFV41" s="5142"/>
      <c r="AFW41" s="5142"/>
      <c r="AFX41" s="5142"/>
      <c r="AFY41" s="5142"/>
      <c r="AFZ41" s="184"/>
      <c r="AGA41" s="5142"/>
      <c r="AGB41" s="3350"/>
      <c r="AGC41" s="5142"/>
      <c r="AGD41" s="5142"/>
      <c r="AGE41" s="5142"/>
      <c r="AGF41" s="5142"/>
      <c r="AGG41" s="5142"/>
      <c r="AGH41" s="5142"/>
      <c r="AGI41" s="5146"/>
      <c r="AGJ41" s="5142"/>
      <c r="AGK41" s="5142"/>
      <c r="AGL41" s="5142"/>
      <c r="AGM41" s="5142"/>
      <c r="AGN41" s="184"/>
      <c r="AGO41" s="3356"/>
      <c r="AGP41" s="3318"/>
      <c r="AGQ41" s="3318"/>
      <c r="AGR41" s="3318"/>
      <c r="AGS41" s="3318"/>
      <c r="AGT41" s="3318"/>
      <c r="AGU41" s="3353"/>
      <c r="AGV41" s="5561"/>
      <c r="AGW41" s="3356"/>
      <c r="AGX41" s="5517"/>
      <c r="AGY41" s="5517"/>
      <c r="AGZ41" s="5517"/>
      <c r="AHA41" s="5517"/>
      <c r="AHB41" s="5517"/>
      <c r="AHC41" s="5519"/>
      <c r="AHD41" s="5561"/>
      <c r="AHE41" s="2816"/>
      <c r="AHF41" s="3356"/>
      <c r="AHG41" s="5517"/>
      <c r="AHH41" s="5517"/>
      <c r="AHI41" s="5517"/>
      <c r="AHJ41" s="5517"/>
      <c r="AHK41" s="5517"/>
      <c r="AHL41" s="5519"/>
      <c r="AHM41" s="5517"/>
      <c r="AHN41" s="5517"/>
      <c r="AHO41" s="2816"/>
      <c r="AHP41" s="3589"/>
      <c r="AHQ41" s="2720"/>
      <c r="AHR41" s="3587"/>
      <c r="AHS41" s="3587"/>
      <c r="AHT41" s="3587"/>
      <c r="AHU41" s="3587"/>
      <c r="AHV41" s="3587"/>
      <c r="AHW41" s="3587"/>
      <c r="AHX41" s="3588"/>
      <c r="AHY41" s="184"/>
      <c r="AHZ41" s="3677"/>
      <c r="AIA41" s="2720"/>
      <c r="AIB41" s="3675"/>
      <c r="AIC41" s="3675"/>
      <c r="AID41" s="3675"/>
      <c r="AIE41" s="3675"/>
      <c r="AIF41" s="3675"/>
      <c r="AIG41" s="3675"/>
      <c r="AIH41" s="3676"/>
      <c r="AII41" s="184"/>
      <c r="AIJ41" s="3811"/>
      <c r="AIK41" s="2720"/>
      <c r="AIL41" s="3675"/>
      <c r="AIM41" s="3675"/>
      <c r="AIN41" s="3675"/>
      <c r="AIO41" s="3675"/>
      <c r="AIP41" s="3675"/>
      <c r="AIQ41" s="3675"/>
      <c r="AIR41" s="3753"/>
      <c r="AIS41" s="184"/>
      <c r="AIT41" s="3677"/>
      <c r="AIU41" s="2720"/>
      <c r="AIV41" s="3675"/>
      <c r="AIW41" s="3675"/>
      <c r="AIX41" s="3675"/>
      <c r="AIY41" s="3675"/>
      <c r="AIZ41" s="3675"/>
      <c r="AJA41" s="3675"/>
      <c r="AJB41" s="3675"/>
      <c r="AJC41" s="2720"/>
      <c r="AJD41" s="5162"/>
      <c r="AJE41" s="5162"/>
      <c r="AJF41" s="5162"/>
      <c r="AJG41" s="5162"/>
      <c r="AJH41" s="5162"/>
      <c r="AJI41" s="5162"/>
      <c r="AJJ41" s="5162"/>
      <c r="AJK41" s="2720"/>
      <c r="AJL41" s="3675"/>
      <c r="AJM41" s="3675"/>
      <c r="AJN41" s="3675"/>
      <c r="AJO41" s="3675"/>
      <c r="AJP41" s="3675"/>
      <c r="AJQ41" s="3675"/>
      <c r="AJR41" s="3675"/>
      <c r="AJS41" s="2720"/>
      <c r="AJT41" s="3675"/>
      <c r="AJU41" s="3675"/>
      <c r="AJV41" s="3675"/>
      <c r="AJW41" s="3675"/>
      <c r="AJX41" s="3675"/>
      <c r="AJY41" s="3675"/>
      <c r="AJZ41" s="3676"/>
      <c r="AKA41" s="3675"/>
      <c r="AKB41" s="3675"/>
      <c r="AKC41" s="3582"/>
      <c r="AKD41" s="3581"/>
      <c r="AKE41" s="2720"/>
      <c r="AKF41" s="3582"/>
      <c r="AKG41" s="3582"/>
      <c r="AKH41" s="3582"/>
      <c r="AKI41" s="3582"/>
      <c r="AKJ41" s="3582"/>
      <c r="AKK41" s="3582"/>
      <c r="AKL41" s="3582"/>
      <c r="AKM41" s="2720"/>
      <c r="AKN41" s="3582"/>
      <c r="AKO41" s="3582"/>
      <c r="AKP41" s="3582"/>
      <c r="AKQ41" s="3582"/>
      <c r="AKR41" s="3582"/>
      <c r="AKS41" s="3582"/>
      <c r="AKT41" s="3582"/>
      <c r="AKU41" s="184"/>
      <c r="AKV41" s="3350"/>
      <c r="AKW41" s="3582"/>
      <c r="AKX41" s="3582"/>
      <c r="AKY41" s="3582"/>
      <c r="AKZ41" s="3582"/>
      <c r="ALA41" s="3582"/>
      <c r="ALB41" s="3585"/>
      <c r="ALC41" s="3642"/>
      <c r="ALD41" s="3589"/>
      <c r="ALE41" s="2720"/>
      <c r="ALF41" s="3587"/>
      <c r="ALG41" s="3587"/>
      <c r="ALH41" s="3587"/>
      <c r="ALI41" s="3587"/>
      <c r="ALJ41" s="3587"/>
      <c r="ALK41" s="3587"/>
      <c r="ALL41" s="3753"/>
      <c r="ALM41" s="2737"/>
      <c r="ALN41" s="3581"/>
      <c r="ALO41" s="2720"/>
      <c r="ALP41" s="3582"/>
      <c r="ALQ41" s="3582"/>
      <c r="ALR41" s="3582"/>
      <c r="ALS41" s="3582"/>
      <c r="ALT41" s="3582"/>
      <c r="ALU41" s="3582"/>
      <c r="ALV41" s="3582"/>
      <c r="ALW41" s="3582"/>
      <c r="ALX41" s="2720"/>
      <c r="ALY41" s="3582"/>
      <c r="ALZ41" s="3582"/>
      <c r="AMA41" s="3582"/>
      <c r="AMB41" s="3582"/>
      <c r="AMC41" s="3582"/>
      <c r="AMD41" s="3582"/>
      <c r="AME41" s="3582"/>
      <c r="AMF41" s="184"/>
      <c r="AMG41" s="3350"/>
      <c r="AMH41" s="3582"/>
      <c r="AMI41" s="3582"/>
      <c r="AMJ41" s="3582"/>
      <c r="AMK41" s="3582"/>
      <c r="AML41" s="3582"/>
      <c r="AMM41" s="3585"/>
      <c r="AMN41" s="5517"/>
      <c r="AMO41" s="5517"/>
      <c r="AMP41" s="5517"/>
      <c r="AMQ41" s="5517"/>
      <c r="AMR41" s="5517"/>
      <c r="AMS41" s="5517"/>
      <c r="AMT41" s="5517"/>
      <c r="AMU41" s="5517"/>
      <c r="AMV41" s="5517"/>
      <c r="AMW41" s="5517"/>
      <c r="AMX41" s="5517"/>
      <c r="AMY41" s="5517"/>
      <c r="AMZ41" s="5517"/>
      <c r="ANA41" s="5517"/>
      <c r="ANB41" s="5517"/>
      <c r="ANC41" s="5517"/>
      <c r="AND41" s="5517"/>
      <c r="ANE41" s="5517"/>
      <c r="ANF41" s="5517"/>
      <c r="ANG41" s="5517"/>
      <c r="ANH41" s="5517"/>
      <c r="ANI41" s="5517"/>
      <c r="ANJ41" s="5517"/>
      <c r="ANK41" s="5517"/>
      <c r="ANL41" s="5517"/>
      <c r="ANM41" s="5517"/>
      <c r="ANN41" s="5517"/>
      <c r="ANO41" s="5517"/>
      <c r="ANP41" s="5517"/>
      <c r="ANQ41" s="5517"/>
      <c r="ANR41" s="5517"/>
      <c r="ANS41" s="5517"/>
      <c r="ANT41" s="5517"/>
      <c r="ANU41" s="5517"/>
      <c r="ANV41" s="5517"/>
      <c r="ANW41" s="5517"/>
      <c r="ANX41" s="5517"/>
      <c r="ANY41" s="5517"/>
      <c r="ANZ41" s="5517"/>
      <c r="AOA41" s="5517"/>
      <c r="AOB41" s="5517"/>
      <c r="AOC41" s="5517"/>
      <c r="AOD41" s="5517"/>
      <c r="AOE41" s="5517"/>
      <c r="AOF41" s="5517"/>
      <c r="AOG41" s="5517"/>
      <c r="AOH41" s="5517"/>
      <c r="AOI41" s="5517"/>
      <c r="AOJ41" s="5517"/>
      <c r="AOK41" s="5517"/>
      <c r="AOL41" s="5517"/>
      <c r="AOM41" s="5517"/>
      <c r="AOO41" s="4125"/>
      <c r="AOP41" s="2720"/>
      <c r="AOQ41" s="4124"/>
      <c r="AOR41" s="4124"/>
      <c r="AOS41" s="4124"/>
      <c r="AOT41" s="4124"/>
      <c r="AOU41" s="4124"/>
      <c r="AOV41" s="4124"/>
      <c r="AOW41" s="5162"/>
      <c r="AOX41" s="5162"/>
      <c r="AOY41" s="2720"/>
      <c r="AOZ41" s="5162"/>
      <c r="APA41" s="5162"/>
      <c r="APB41" s="5162"/>
      <c r="APC41" s="5162"/>
      <c r="APD41" s="5162"/>
      <c r="APE41" s="5162"/>
      <c r="APF41" s="4124"/>
      <c r="APG41" s="2720"/>
      <c r="APH41" s="3587"/>
      <c r="API41" s="3587"/>
      <c r="APJ41" s="3587"/>
      <c r="APK41" s="3587"/>
      <c r="APL41" s="3587"/>
      <c r="APM41" s="3587"/>
      <c r="APN41" s="3587"/>
      <c r="APO41" s="2720"/>
      <c r="APP41" s="3587"/>
      <c r="APQ41" s="3587"/>
      <c r="APR41" s="3587"/>
      <c r="APS41" s="3587"/>
      <c r="APT41" s="3587"/>
      <c r="APU41" s="3587"/>
      <c r="APV41" s="3587"/>
      <c r="APW41" s="2720"/>
      <c r="APX41" s="3587"/>
      <c r="APY41" s="3587"/>
      <c r="APZ41" s="3587"/>
      <c r="AQA41" s="3587"/>
      <c r="AQB41" s="3587"/>
      <c r="AQC41" s="3587"/>
      <c r="AQD41" s="3587"/>
      <c r="AQE41" s="184"/>
      <c r="AQF41" s="3350"/>
      <c r="AQG41" s="3587"/>
      <c r="AQH41" s="3587"/>
      <c r="AQI41" s="3587"/>
      <c r="AQJ41" s="3587"/>
      <c r="AQK41" s="3587"/>
      <c r="AQL41" s="3588"/>
      <c r="AQN41" s="3589"/>
      <c r="AQO41" s="2720"/>
      <c r="AQP41" s="3587"/>
      <c r="AQQ41" s="3587"/>
      <c r="AQR41" s="3587"/>
      <c r="AQS41" s="3587"/>
      <c r="AQT41" s="3587"/>
      <c r="AQU41" s="3587"/>
      <c r="AQV41" s="3587"/>
      <c r="AQW41" s="2720"/>
      <c r="AQX41" s="3587"/>
      <c r="AQY41" s="3587"/>
      <c r="AQZ41" s="3587"/>
      <c r="ARA41" s="3587"/>
      <c r="ARB41" s="3587"/>
      <c r="ARC41" s="3587"/>
      <c r="ARD41" s="3587"/>
      <c r="ARE41" s="184"/>
      <c r="ARF41" s="3350"/>
      <c r="ARG41" s="3587"/>
      <c r="ARH41" s="3587"/>
      <c r="ARI41" s="3587"/>
      <c r="ARJ41" s="3587"/>
      <c r="ARK41" s="3587"/>
      <c r="ARL41" s="3588"/>
      <c r="ARS41" s="2816"/>
      <c r="ART41" s="3356"/>
      <c r="ARU41" s="3318"/>
      <c r="ARV41" s="3318"/>
      <c r="ARW41" s="3318"/>
      <c r="ARX41" s="3318"/>
      <c r="ARY41" s="3318"/>
      <c r="ARZ41" s="3318"/>
      <c r="ASA41" s="184"/>
      <c r="ASB41" s="2720"/>
      <c r="ASC41" s="3318"/>
      <c r="ASD41" s="3318"/>
      <c r="ASE41" s="3318"/>
      <c r="ASF41" s="3318"/>
      <c r="ASG41" s="3318"/>
      <c r="ASH41" s="3318"/>
      <c r="ASI41" s="3318"/>
      <c r="ASJ41" s="184"/>
      <c r="ASK41" s="2720"/>
      <c r="ASL41" s="3318"/>
      <c r="ASM41" s="3318"/>
      <c r="ASN41" s="3318"/>
      <c r="ASO41" s="3318"/>
      <c r="ASP41" s="3318"/>
      <c r="ASQ41" s="3353"/>
      <c r="ASR41" s="2816"/>
      <c r="ASS41" s="2816"/>
      <c r="ATA41" s="184"/>
      <c r="ATB41" s="184"/>
      <c r="ATC41" s="184"/>
      <c r="ATD41" s="184"/>
      <c r="ATE41" s="184"/>
      <c r="ATF41" s="184"/>
      <c r="ATG41" s="184"/>
      <c r="ATH41" s="184"/>
      <c r="ATI41" s="184"/>
      <c r="ATJ41" s="184"/>
      <c r="ATK41" s="2622"/>
      <c r="ATL41" s="3595" t="s">
        <v>163</v>
      </c>
      <c r="ATM41" s="3532"/>
      <c r="ATN41" s="3433">
        <f>ATU41</f>
        <v>0</v>
      </c>
      <c r="ATO41" s="3447" t="e">
        <f>(ATN41*#REF!)+#REF!</f>
        <v>#REF!</v>
      </c>
      <c r="ATP41" s="3433"/>
      <c r="ATQ41" s="3451">
        <f t="shared" si="85"/>
        <v>25.46</v>
      </c>
      <c r="ATR41" s="3451"/>
      <c r="ATS41" s="3433">
        <f t="shared" si="86"/>
        <v>3.5779999999999998</v>
      </c>
      <c r="ATT41" s="3525">
        <f>ATQ41-(ATS41*2)</f>
        <v>18.304000000000002</v>
      </c>
      <c r="ATU41" s="3452"/>
      <c r="ATV41" s="184"/>
      <c r="ATW41" s="184"/>
      <c r="ATX41" s="183"/>
      <c r="ATY41" s="183"/>
      <c r="ATZ41" s="3458"/>
      <c r="AUA41" s="3458"/>
      <c r="AUB41" s="183"/>
      <c r="AUC41" s="183"/>
      <c r="AUD41" s="183"/>
      <c r="AUE41" s="183"/>
      <c r="AUF41" s="183"/>
      <c r="AUG41" s="183"/>
      <c r="AUH41" s="183"/>
      <c r="AUI41" s="183"/>
      <c r="AUJ41" s="183"/>
      <c r="AUK41" s="183"/>
      <c r="AUL41" s="183"/>
      <c r="AUM41" s="183"/>
      <c r="AUN41" s="183"/>
      <c r="AUO41" s="183"/>
      <c r="AUP41" s="2617"/>
      <c r="AUQ41" s="2617"/>
      <c r="AUR41" s="2617"/>
      <c r="AUS41" s="2617"/>
      <c r="AUT41" s="2617"/>
      <c r="AUU41" s="2617"/>
      <c r="AUV41" s="303" t="s">
        <v>1269</v>
      </c>
      <c r="AUW41" s="246">
        <v>18</v>
      </c>
      <c r="AUX41" s="246">
        <v>27</v>
      </c>
      <c r="AUY41" s="246">
        <v>42</v>
      </c>
      <c r="AUZ41" s="246">
        <v>63</v>
      </c>
      <c r="AVA41" s="246">
        <v>0</v>
      </c>
      <c r="AVB41" s="246">
        <v>0</v>
      </c>
      <c r="AVC41" s="246">
        <v>0</v>
      </c>
      <c r="AVD41" s="246">
        <v>0</v>
      </c>
      <c r="AVE41" s="246">
        <v>10</v>
      </c>
      <c r="AVF41" s="246">
        <v>15</v>
      </c>
      <c r="AVG41" s="246">
        <v>20</v>
      </c>
      <c r="AVH41" s="246">
        <v>20</v>
      </c>
      <c r="AVI41" s="246">
        <v>25</v>
      </c>
      <c r="AVJ41" s="246">
        <v>30</v>
      </c>
      <c r="AVK41" s="246">
        <v>35</v>
      </c>
      <c r="AVL41" s="304">
        <v>35</v>
      </c>
      <c r="AVM41" s="2617"/>
      <c r="AVN41" s="2617"/>
      <c r="AVO41" s="2617"/>
      <c r="AVP41" s="2617"/>
      <c r="AVQ41" s="2617"/>
      <c r="AVR41" s="2617"/>
      <c r="AVS41" s="2617"/>
      <c r="AVT41" s="2617"/>
      <c r="AVU41" s="2617"/>
      <c r="AVV41" s="2617"/>
      <c r="AVW41" s="2617"/>
      <c r="AVX41" s="2617"/>
      <c r="AVY41" s="2617"/>
      <c r="AVZ41" s="2617"/>
      <c r="AWA41" s="2617"/>
      <c r="AWB41" s="2617"/>
      <c r="AWC41" s="2617"/>
      <c r="AWD41" s="2617"/>
      <c r="AWE41" s="2617"/>
      <c r="AWF41" s="2617"/>
      <c r="AWG41" s="2617"/>
      <c r="AWH41" s="2617"/>
      <c r="AWI41" s="2617"/>
      <c r="AWJ41" s="2617"/>
      <c r="AWK41" s="2617"/>
      <c r="AWL41" s="2617"/>
      <c r="AWM41" s="2617"/>
      <c r="AWN41" s="2617"/>
      <c r="AWO41" s="2617"/>
      <c r="AWP41" s="2617"/>
      <c r="AWQ41" s="2617"/>
      <c r="AWR41" s="2617"/>
      <c r="AWS41" s="3549"/>
      <c r="AWT41" s="3549"/>
      <c r="AWU41" s="3549"/>
      <c r="AWV41" s="3549"/>
      <c r="AWW41" s="3549"/>
      <c r="AWX41" s="3549"/>
      <c r="AWY41" s="235" t="s">
        <v>1267</v>
      </c>
      <c r="AWZ41" s="3524">
        <v>4.8</v>
      </c>
      <c r="AXA41" s="3524">
        <v>4.8</v>
      </c>
      <c r="AXB41" s="3524">
        <v>4.8</v>
      </c>
      <c r="AXC41" s="3524">
        <v>4.8</v>
      </c>
      <c r="AXD41" s="3524">
        <v>4.8</v>
      </c>
      <c r="AXE41" s="3524">
        <v>3</v>
      </c>
      <c r="AXF41" s="3524">
        <v>3</v>
      </c>
      <c r="AXG41" s="3620">
        <v>2</v>
      </c>
      <c r="AXH41" s="3549"/>
      <c r="AXI41" s="3549"/>
      <c r="AXJ41" s="3549"/>
      <c r="AXK41" s="3549"/>
      <c r="AXL41" s="3549"/>
      <c r="AXM41" s="3549"/>
      <c r="AXN41" s="3549"/>
      <c r="AXO41" s="3549"/>
      <c r="AXP41" s="3549"/>
      <c r="AXQ41" s="3549"/>
      <c r="AXR41" s="3549"/>
      <c r="AXS41" s="3549"/>
      <c r="AXT41" s="3549"/>
      <c r="AXU41" s="3549"/>
      <c r="AXV41" s="3549"/>
      <c r="AXW41" s="3549"/>
      <c r="AXX41" s="3549"/>
      <c r="AXY41" s="3549"/>
      <c r="AXZ41" s="3549"/>
      <c r="AYA41" s="3549"/>
      <c r="AYB41" s="3549"/>
      <c r="AYC41" s="3549"/>
      <c r="AYD41" s="3549"/>
      <c r="AYE41" s="3549"/>
      <c r="AYG41" s="2690"/>
      <c r="AYK41" s="2690"/>
      <c r="AYL41" s="2690" t="s">
        <v>1178</v>
      </c>
      <c r="AYT41" s="185"/>
      <c r="AYU41" s="3405"/>
      <c r="AYV41" s="2690" t="s">
        <v>1176</v>
      </c>
      <c r="AYW41" s="2690" t="s">
        <v>1175</v>
      </c>
      <c r="AYX41" s="3407"/>
      <c r="AYY41" s="2690" t="s">
        <v>1176</v>
      </c>
      <c r="AYZ41" s="2690" t="s">
        <v>1175</v>
      </c>
      <c r="AZA41" s="3407"/>
      <c r="AZB41" s="3427"/>
      <c r="AZC41" s="2720"/>
      <c r="AZD41" s="2720"/>
      <c r="AZE41" s="2622"/>
      <c r="AZF41" s="2622"/>
      <c r="AZG41" s="2622"/>
      <c r="AZH41" s="2622"/>
      <c r="AZI41" s="2622"/>
      <c r="AZJ41" s="2622"/>
      <c r="AZK41" s="2622"/>
      <c r="AZL41" s="2690"/>
      <c r="AZM41" s="2622"/>
      <c r="AZN41" s="2622"/>
      <c r="AZO41" s="2622"/>
      <c r="AZP41" s="2622"/>
      <c r="AZQ41" s="2622"/>
      <c r="AZR41" s="2622"/>
      <c r="AZS41" s="2622"/>
      <c r="AZT41" s="2622"/>
      <c r="AZU41" s="2622"/>
      <c r="AZV41" s="372" t="s">
        <v>877</v>
      </c>
      <c r="AZW41" s="2717">
        <v>1</v>
      </c>
      <c r="AZX41" s="2778">
        <v>1.75</v>
      </c>
      <c r="AZY41" s="2682" t="str">
        <f>_List!DO8</f>
        <v>Dobbelt</v>
      </c>
      <c r="AZZ41" s="2715">
        <f>BBJ28</f>
        <v>1</v>
      </c>
      <c r="BAA41" s="2780">
        <v>0.75</v>
      </c>
      <c r="BAB41" s="2993">
        <f>1-BAA41</f>
        <v>0.25</v>
      </c>
      <c r="BAC41" s="2622"/>
      <c r="BAD41" s="2622"/>
      <c r="BAE41" s="2622"/>
      <c r="BAF41" s="2622"/>
      <c r="BAG41" s="2622"/>
      <c r="BAH41" s="2622"/>
      <c r="BAI41" s="2622"/>
      <c r="BAJ41" s="372" t="s">
        <v>877</v>
      </c>
      <c r="BAK41" s="2717">
        <v>7</v>
      </c>
      <c r="BAL41" s="2795">
        <v>0.5</v>
      </c>
      <c r="BAM41" s="2779">
        <f t="shared" si="208"/>
        <v>0.5</v>
      </c>
      <c r="BAN41" s="2715"/>
      <c r="BAO41" s="2622"/>
      <c r="BAP41" s="2622"/>
      <c r="BAQ41" s="2622"/>
      <c r="BAT41" s="2622"/>
      <c r="BBG41" s="2626"/>
      <c r="BBH41" s="2626"/>
      <c r="BBI41" s="2625"/>
      <c r="BBJ41" s="2625"/>
      <c r="BBK41" s="2626"/>
      <c r="BBL41" s="2625"/>
      <c r="BBM41" s="2625"/>
      <c r="BBN41" s="2625"/>
      <c r="BBQ41" s="3398"/>
      <c r="BCJ41" s="2617"/>
      <c r="BCK41" s="2617"/>
      <c r="BCL41" s="2617"/>
      <c r="BCM41" s="2617"/>
      <c r="BCN41" s="2617"/>
      <c r="BCO41" s="2617"/>
      <c r="BCP41" s="2617"/>
      <c r="BCQ41" s="2617"/>
      <c r="BCR41" s="2617"/>
      <c r="BCS41" s="2617"/>
      <c r="BCT41" s="2617"/>
      <c r="BCU41" s="2617"/>
      <c r="BCV41" s="2617"/>
      <c r="BCW41" s="2617"/>
      <c r="BCX41" s="2617"/>
      <c r="BCY41" s="2617"/>
      <c r="BCZ41" s="2617"/>
      <c r="BDA41" s="2617"/>
      <c r="BDB41" s="2617"/>
      <c r="BDC41" s="2617"/>
      <c r="BDD41" s="2617"/>
      <c r="BDE41" s="2617"/>
      <c r="BDF41" s="2617"/>
      <c r="BDG41" s="2617"/>
      <c r="BDH41" s="2617"/>
      <c r="BDI41" s="2617"/>
      <c r="BDL41" s="2617"/>
      <c r="BDM41" s="2617"/>
      <c r="BDN41" s="2617"/>
      <c r="BDO41" s="2617"/>
      <c r="BDP41" s="2617"/>
      <c r="BDQ41" s="2617"/>
      <c r="BDR41" s="2617"/>
      <c r="BDS41" s="2617"/>
      <c r="BDT41" s="2617"/>
      <c r="BDU41" s="2617"/>
      <c r="BDV41" s="2617"/>
      <c r="BDW41" s="2617"/>
      <c r="BDZ41" s="2617"/>
      <c r="BEA41" s="2617"/>
      <c r="BEB41" s="2617"/>
      <c r="BEC41" s="2617"/>
      <c r="BED41" s="2617"/>
      <c r="BEE41" s="2617"/>
      <c r="BEH41" s="2617"/>
    </row>
    <row r="42" spans="1:1490" ht="15.75" thickBot="1" x14ac:dyDescent="0.25">
      <c r="AH42" s="206" t="s">
        <v>1499</v>
      </c>
      <c r="AI42" s="5716" t="e">
        <f>IF(ISBLANK('!Egen_SK'!$V$40),INDEX(klasse_tunnelprofil[Vegg],MATCH(AI55,klasse_tunnelprofil[Tunnel_ID],0)),_Calcs_Klasse!AI41)</f>
        <v>#N/A</v>
      </c>
      <c r="AK42" s="3403">
        <f>_Calcs!AI37</f>
        <v>4</v>
      </c>
      <c r="AL42" s="4144">
        <f>_Calcs!AJ28</f>
        <v>0</v>
      </c>
      <c r="AM42" s="4145" t="e">
        <f>_Calcs!AJ37</f>
        <v>#DIV/0!</v>
      </c>
      <c r="AU42" s="433" t="s">
        <v>1984</v>
      </c>
      <c r="AY42" s="4200" t="s">
        <v>1985</v>
      </c>
      <c r="BA42" s="5338" t="s">
        <v>2352</v>
      </c>
      <c r="CG42" s="5820" t="str">
        <f>_Calcs!$QW$135</f>
        <v>Tverrslag</v>
      </c>
      <c r="CH42" s="5821">
        <v>9</v>
      </c>
      <c r="CI42" s="5822">
        <f>_Calcs!$BC$36</f>
        <v>0</v>
      </c>
      <c r="CJ42" s="5823">
        <f>IF($AI$31=2,INDEX(outputs_position[Tverrslag],MATCH(_Calcs!$BC$35,outputs_position[lopstuff],0)),IF(_Calcs!$BC$36=1,$CJ$32+1,0))</f>
        <v>0</v>
      </c>
      <c r="CK42" s="5883">
        <v>92</v>
      </c>
      <c r="CL42" s="5824" t="e">
        <f t="shared" si="87"/>
        <v>#VALUE!</v>
      </c>
      <c r="CM42" s="5824" t="e">
        <f t="shared" si="88"/>
        <v>#VALUE!</v>
      </c>
      <c r="CN42" s="5824" t="e">
        <f t="shared" si="89"/>
        <v>#VALUE!</v>
      </c>
      <c r="CO42" s="5824" t="e">
        <f t="shared" si="90"/>
        <v>#VALUE!</v>
      </c>
      <c r="CP42" s="5824" t="e">
        <f t="shared" si="207"/>
        <v>#VALUE!</v>
      </c>
      <c r="CQ42" s="5824" t="e">
        <f t="shared" si="91"/>
        <v>#VALUE!</v>
      </c>
      <c r="CR42" s="5824" t="e">
        <f t="shared" si="92"/>
        <v>#VALUE!</v>
      </c>
      <c r="CS42" s="5824" t="e">
        <f t="shared" si="93"/>
        <v>#VALUE!</v>
      </c>
      <c r="CT42" s="5824"/>
      <c r="CU42" s="5824"/>
      <c r="CV42" s="5833">
        <v>1</v>
      </c>
      <c r="CW42" s="5824" t="e">
        <f>IF(outputs_klasse_qty[[#This Row],[man_metode]]=1,$ABR$70)</f>
        <v>#N/A</v>
      </c>
      <c r="CX42" s="5824">
        <f>IFERROR(IF(outputs_klasse_qty[[#This Row],[man_metode]]=1,outputs_klasse_qty[[#This Row],[man_a_rate]]*$BG117),0)</f>
        <v>0</v>
      </c>
      <c r="CY42" s="5824" t="e">
        <f>IF(outputs_klasse_qty[[#This Row],[man_metode]]=1,$ABR$71)</f>
        <v>#N/A</v>
      </c>
      <c r="CZ42" s="5824">
        <f>IFERROR(IF(outputs_klasse_qty[[#This Row],[man_metode]]=1,outputs_klasse_qty[[#This Row],[man_b_rate]]*$BH117),0)</f>
        <v>0</v>
      </c>
      <c r="DA42" s="5824" t="e">
        <f>IF(outputs_klasse_qty[[#This Row],[man_metode]]=1,$ABR$72)</f>
        <v>#N/A</v>
      </c>
      <c r="DB42" s="5824">
        <f>IFERROR(IF(outputs_klasse_qty[[#This Row],[man_metode]]=1,outputs_klasse_qty[[#This Row],[man_c_rate]]*$BI117),0)</f>
        <v>0</v>
      </c>
      <c r="DC42" s="5824" t="e">
        <f>IF(outputs_klasse_qty[[#This Row],[man_metode]]=1,$ABR$73)</f>
        <v>#N/A</v>
      </c>
      <c r="DD42" s="5824">
        <f>IFERROR(IF(outputs_klasse_qty[[#This Row],[man_metode]]=1,outputs_klasse_qty[[#This Row],[man_d_rate]]*$BJ117),0)</f>
        <v>0</v>
      </c>
      <c r="DE42" s="5824" t="e">
        <f>IF(outputs_klasse_qty[[#This Row],[man_metode]]=1,$ABR$74)</f>
        <v>#N/A</v>
      </c>
      <c r="DF42" s="5824">
        <f>IFERROR(IF(outputs_klasse_qty[[#This Row],[man_metode]]=1,outputs_klasse_qty[[#This Row],[man_e1_rate]]*$BK117),0)</f>
        <v>0</v>
      </c>
      <c r="DG42" s="5824" t="e">
        <f>IF(outputs_klasse_qty[[#This Row],[man_metode]]=1,$ABR$75)</f>
        <v>#N/A</v>
      </c>
      <c r="DH42" s="5824">
        <f>IFERROR(IF(outputs_klasse_qty[[#This Row],[man_metode]]=1,outputs_klasse_qty[[#This Row],[man_e2_rate]]*$BL117),0)</f>
        <v>0</v>
      </c>
      <c r="DI42" s="5824" t="e">
        <f>IF(outputs_klasse_qty[[#This Row],[man_metode]]=1,$ABR$76)</f>
        <v>#N/A</v>
      </c>
      <c r="DJ42" s="5824">
        <f>IFERROR(IF(outputs_klasse_qty[[#This Row],[man_metode]]=1,outputs_klasse_qty[[#This Row],[man_f_rate]]*$BM117),0)</f>
        <v>0</v>
      </c>
      <c r="DK42" s="5824" t="e">
        <f>IF(outputs_klasse_qty[[#This Row],[man_metode]]=1,$ABR$77)</f>
        <v>#N/A</v>
      </c>
      <c r="DL42" s="5824">
        <f>IFERROR(IF(outputs_klasse_qty[[#This Row],[man_metode]]=1,outputs_klasse_qty[[#This Row],[man_g_rate]]*$BN117),0)</f>
        <v>0</v>
      </c>
      <c r="DM42" s="5863">
        <f>(outputs_klasse_qty[[#This Row],[man_a_output]]+outputs_klasse_qty[[#This Row],[man_b_output]]+outputs_klasse_qty[[#This Row],[man_c_output]]+outputs_klasse_qty[[#This Row],[man_d_output]]+outputs_klasse_qty[[#This Row],[man_e1_output]]+outputs_klasse_qty[[#This Row],[man_e2_output]]+outputs_klasse_qty[[#This Row],[man_f_output]]+outputs_klasse_qty[[#This Row],[man_g_output]])/60</f>
        <v>0</v>
      </c>
      <c r="DN42" s="5833">
        <v>1</v>
      </c>
      <c r="DO42" s="5824" t="e">
        <f>IF(outputs_klasse_qty[[#This Row],[kartlegg_metode]]=1,$ACB$70)</f>
        <v>#N/A</v>
      </c>
      <c r="DP42" s="5824">
        <f>IFERROR(IF(outputs_klasse_qty[[#This Row],[kartlegg_metode]]=1,outputs_klasse_qty[[#This Row],[kartlegg_a_rate]]*$BG117),0)</f>
        <v>0</v>
      </c>
      <c r="DQ42" s="5824" t="e">
        <f>IF(outputs_klasse_qty[[#This Row],[kartlegg_metode]]=1,$ACB$71)</f>
        <v>#N/A</v>
      </c>
      <c r="DR42" s="5824">
        <f>IFERROR(IF(outputs_klasse_qty[[#This Row],[kartlegg_metode]]=1,outputs_klasse_qty[[#This Row],[kartlegg_b_rate]]*$BH117),0)</f>
        <v>0</v>
      </c>
      <c r="DS42" s="5824" t="e">
        <f>IF(outputs_klasse_qty[[#This Row],[kartlegg_metode]]=1,$ACB$72)</f>
        <v>#N/A</v>
      </c>
      <c r="DT42" s="5824">
        <f>IFERROR(IF(outputs_klasse_qty[[#This Row],[kartlegg_metode]]=1,outputs_klasse_qty[[#This Row],[kartlegg_c_rate]]*$BI117),0)</f>
        <v>0</v>
      </c>
      <c r="DU42" s="5824" t="e">
        <f>IF(outputs_klasse_qty[[#This Row],[kartlegg_metode]]=1,$ACB$73)</f>
        <v>#N/A</v>
      </c>
      <c r="DV42" s="5824">
        <f>IFERROR(IF(outputs_klasse_qty[[#This Row],[kartlegg_metode]]=1,outputs_klasse_qty[[#This Row],[kartlegg_d_rate]]*$BJ117),0)</f>
        <v>0</v>
      </c>
      <c r="DW42" s="5824" t="e">
        <f>IF(outputs_klasse_qty[[#This Row],[kartlegg_metode]]=1,$ACB$74)</f>
        <v>#N/A</v>
      </c>
      <c r="DX42" s="5824">
        <f>IFERROR(IF(outputs_klasse_qty[[#This Row],[kartlegg_metode]]=1,outputs_klasse_qty[[#This Row],[kartlegg_e1_rate]]*$BK117),0)</f>
        <v>0</v>
      </c>
      <c r="DY42" s="5824" t="e">
        <f>IF(outputs_klasse_qty[[#This Row],[kartlegg_metode]]=1,$ACB$75)</f>
        <v>#N/A</v>
      </c>
      <c r="DZ42" s="5824">
        <f>IFERROR(IF(outputs_klasse_qty[[#This Row],[kartlegg_metode]]=1,outputs_klasse_qty[[#This Row],[kartlegg_e2_rate]]*$BL117),0)</f>
        <v>0</v>
      </c>
      <c r="EA42" s="5824" t="e">
        <f>IF(outputs_klasse_qty[[#This Row],[kartlegg_metode]]=1,$ACB$76)</f>
        <v>#N/A</v>
      </c>
      <c r="EB42" s="5824">
        <f>IFERROR(IF(outputs_klasse_qty[[#This Row],[kartlegg_metode]]=1,outputs_klasse_qty[[#This Row],[kartlegg_f_rate]]*$BM117),0)</f>
        <v>0</v>
      </c>
      <c r="EC42" s="5824" t="e">
        <f>IF(outputs_klasse_qty[[#This Row],[kartlegg_metode]]=1,$ACB$77)</f>
        <v>#N/A</v>
      </c>
      <c r="ED42" s="5824">
        <f>IFERROR(IF(outputs_klasse_qty[[#This Row],[kartlegg_metode]]=1,outputs_klasse_qty[[#This Row],[kartlegg_g_rate]]*$BN117),0)</f>
        <v>0</v>
      </c>
      <c r="EE42" s="5863">
        <f>(outputs_klasse_qty[[#This Row],[kartlegg_a_output]]+outputs_klasse_qty[[#This Row],[kartlegg_b_output]]+outputs_klasse_qty[[#This Row],[kartlegg_c_output]]+outputs_klasse_qty[[#This Row],[kartlegg_d_output]]+outputs_klasse_qty[[#This Row],[kartlegg_e1_output]]+outputs_klasse_qty[[#This Row],[kartlegg_e2_output]]+outputs_klasse_qty[[#This Row],[kartlegg_f_output]]+outputs_klasse_qty[[#This Row],[kartlegg_g_output]])/60</f>
        <v>0</v>
      </c>
      <c r="EF42" s="5833">
        <v>1</v>
      </c>
      <c r="EG42" s="5824" t="e">
        <f>$ACL$70</f>
        <v>#N/A</v>
      </c>
      <c r="EH42" s="5839">
        <f>IFERROR(($AY94*$AI$70)/(outputs_klasse_qty[[#This Row],[bolt_veder_a_rate]]^2),0)</f>
        <v>0</v>
      </c>
      <c r="EI42" s="5824" t="e">
        <f>$ACL$71</f>
        <v>#N/A</v>
      </c>
      <c r="EJ42" s="5839">
        <f>IFERROR(($AZ94*$AI$70)/(outputs_klasse_qty[[#This Row],[bolt_veder_b_rate]]^2),0)</f>
        <v>0</v>
      </c>
      <c r="EK42" s="5824" t="e">
        <f>$ACL$72</f>
        <v>#N/A</v>
      </c>
      <c r="EL42" s="5839">
        <f>IFERROR(($BA94*$AI$70)/(outputs_klasse_qty[[#This Row],[bolt_veder_c_rate]]^2),0)</f>
        <v>0</v>
      </c>
      <c r="EM42" s="5824" t="e">
        <f>$ACL$73</f>
        <v>#N/A</v>
      </c>
      <c r="EN42" s="5839">
        <f>IFERROR(($BB94*$AI$70)/(outputs_klasse_qty[[#This Row],[bolt_veder_d_rate]]^2),0)</f>
        <v>0</v>
      </c>
      <c r="EO42" s="5824" t="e">
        <f>$ACL$74</f>
        <v>#N/A</v>
      </c>
      <c r="EP42" s="5839">
        <f>IFERROR(($BC94*$AI$70)/(outputs_klasse_qty[[#This Row],[bolt_veder_e1_rate]]^2),0)</f>
        <v>0</v>
      </c>
      <c r="EQ42" s="5824" t="e">
        <f>$ACL$75</f>
        <v>#N/A</v>
      </c>
      <c r="ER42" s="5839">
        <f>IFERROR(($BD94*$AI$70)/(outputs_klasse_qty[[#This Row],[bolt_veder_e2_rate]]^2),0)</f>
        <v>0</v>
      </c>
      <c r="ES42" s="5824" t="e">
        <f>$ACL$76</f>
        <v>#N/A</v>
      </c>
      <c r="ET42" s="5839">
        <f>IFERROR(($BE94*$AI$70)/(outputs_klasse_qty[[#This Row],[bolt_veder_f_rate]]^2),0)</f>
        <v>0</v>
      </c>
      <c r="EU42" s="5824" t="e">
        <f>$ACL$77</f>
        <v>#N/A</v>
      </c>
      <c r="EV42" s="5839">
        <f>IFERROR(($BF94*$AI$70)/(outputs_klasse_qty[[#This Row],[bolt_veder_g_rate]]^2),0)</f>
        <v>0</v>
      </c>
      <c r="EW42" s="5848">
        <f>outputs_klasse_qty[[#This Row],[bolt_veder_a_output]]+outputs_klasse_qty[[#This Row],[bolt_veder_b_output]]+outputs_klasse_qty[[#This Row],[bolt_veder_c_output]]+outputs_klasse_qty[[#This Row],[bolt_veder_d_output]]+outputs_klasse_qty[[#This Row],[bolt_veder_e1_output]]+outputs_klasse_qty[[#This Row],[bolt_veder_e2_output]]+outputs_klasse_qty[[#This Row],[bolt_veder_f_output]]+outputs_klasse_qty[[#This Row],[bolt_veder_g_output]]</f>
        <v>0</v>
      </c>
      <c r="EX42" s="5824" t="e">
        <f>outputs_klasse_qty[[#This Row],[bolt_veder_a_output]]*$ACU$70</f>
        <v>#N/A</v>
      </c>
      <c r="EY42" s="5824" t="e">
        <f>outputs_klasse_qty[[#This Row],[bolt_veder_a_output]]*$ADD$70</f>
        <v>#N/A</v>
      </c>
      <c r="EZ42" s="5824" t="e">
        <f>outputs_klasse_qty[[#This Row],[bolt_veder_b_output]]*$ACU$71</f>
        <v>#N/A</v>
      </c>
      <c r="FA42" s="5824" t="e">
        <f>outputs_klasse_qty[[#This Row],[bolt_veder_b_output]]*$ADD$71</f>
        <v>#N/A</v>
      </c>
      <c r="FB42" s="5824" t="e">
        <f>outputs_klasse_qty[[#This Row],[bolt_veder_c_output]]*$ACU$72</f>
        <v>#N/A</v>
      </c>
      <c r="FC42" s="5824" t="e">
        <f>outputs_klasse_qty[[#This Row],[bolt_veder_c_output]]*$ADD$72</f>
        <v>#N/A</v>
      </c>
      <c r="FD42" s="5824" t="e">
        <f>outputs_klasse_qty[[#This Row],[bolt_veder_d_output]]*$ACU$73</f>
        <v>#N/A</v>
      </c>
      <c r="FE42" s="5824" t="e">
        <f>outputs_klasse_qty[[#This Row],[bolt_veder_d_output]]*$ADD$73</f>
        <v>#N/A</v>
      </c>
      <c r="FF42" s="5824" t="e">
        <f>outputs_klasse_qty[[#This Row],[bolt_veder_e1_output]]*$ACU$74</f>
        <v>#N/A</v>
      </c>
      <c r="FG42" s="5824" t="e">
        <f>outputs_klasse_qty[[#This Row],[bolt_veder_e1_output]]*$ADD$74</f>
        <v>#N/A</v>
      </c>
      <c r="FH42" s="5824" t="e">
        <f>outputs_klasse_qty[[#This Row],[bolt_veder_e2_output]]*$ACU$75</f>
        <v>#N/A</v>
      </c>
      <c r="FI42" s="5824" t="e">
        <f>outputs_klasse_qty[[#This Row],[bolt_veder_e2_output]]*$ADD$75</f>
        <v>#N/A</v>
      </c>
      <c r="FJ42" s="5824" t="e">
        <f>outputs_klasse_qty[[#This Row],[bolt_veder_f_output]]*$ACU$76</f>
        <v>#N/A</v>
      </c>
      <c r="FK42" s="5824" t="e">
        <f>outputs_klasse_qty[[#This Row],[bolt_veder_f_output]]*$ADD$76</f>
        <v>#N/A</v>
      </c>
      <c r="FL42" s="5824" t="e">
        <f>outputs_klasse_qty[[#This Row],[bolt_veder_g_output]]*$ACU$77</f>
        <v>#N/A</v>
      </c>
      <c r="FM42" s="5824" t="e">
        <f>outputs_klasse_qty[[#This Row],[bolt_veder_g_output]]*$ADD$77</f>
        <v>#N/A</v>
      </c>
      <c r="FN42" s="5839" t="e">
        <f>outputs_klasse_qty[[#This Row],[bolt_veder_a_lt4]]+outputs_klasse_qty[[#This Row],[bolt_veder_b_lt4]]+outputs_klasse_qty[[#This Row],[bolt_veder_c_lt4]]+outputs_klasse_qty[[#This Row],[bolt_veder_d_lt4]]+outputs_klasse_qty[[#This Row],[bolt_veder_e1_lt4]]+outputs_klasse_qty[[#This Row],[bolt_veder_e2_lt4]]+outputs_klasse_qty[[#This Row],[bolt_veder_f_lt4]]+outputs_klasse_qty[[#This Row],[bolt_veder_g_lt4]]</f>
        <v>#N/A</v>
      </c>
      <c r="FO42" s="5839" t="e">
        <f>outputs_klasse_qty[[#This Row],[bolt_veder_a_gt4]]+outputs_klasse_qty[[#This Row],[bolt_veder_b_gt4]]+outputs_klasse_qty[[#This Row],[bolt_veder_c_gt4]]+outputs_klasse_qty[[#This Row],[bolt_veder_d_gt4]]+outputs_klasse_qty[[#This Row],[bolt_veder_e1_gt4]]+outputs_klasse_qty[[#This Row],[bolt_veder_e2_gt4]]+outputs_klasse_qty[[#This Row],[bolt_veder_f_gt4]]+outputs_klasse_qty[[#This Row],[bolt_veder_g_gt4]]</f>
        <v>#N/A</v>
      </c>
      <c r="FP42" s="5824">
        <v>1</v>
      </c>
      <c r="FQ42" s="5824" t="e">
        <f>$ADN$70</f>
        <v>#N/A</v>
      </c>
      <c r="FR42" s="5864">
        <f>IFERROR(($AY94*$AI$66*2)/(outputs_klasse_qty[[#This Row],[bolt_vegg_a_rate]]^2),0)</f>
        <v>0</v>
      </c>
      <c r="FS42" s="5824" t="e">
        <f>$ADN$71</f>
        <v>#N/A</v>
      </c>
      <c r="FT42" s="5864">
        <f>IFERROR(($AZ94*$AI$66*2)/(outputs_klasse_qty[[#This Row],[bolt_vegg_b_rate]]^2),0)</f>
        <v>0</v>
      </c>
      <c r="FU42" s="5824" t="e">
        <f>$ADN$72</f>
        <v>#N/A</v>
      </c>
      <c r="FV42" s="5864">
        <f>IFERROR(($BA94*$AI$66*2)/(outputs_klasse_qty[[#This Row],[bolt_vegg_c_rate]]^2),0)</f>
        <v>0</v>
      </c>
      <c r="FW42" s="5824" t="e">
        <f>$ADN$73</f>
        <v>#N/A</v>
      </c>
      <c r="FX42" s="5864">
        <f>IFERROR(($BB94*$AI$66*2)/(outputs_klasse_qty[[#This Row],[bolt_vegg_d_rate]]^2),0)</f>
        <v>0</v>
      </c>
      <c r="FY42" s="5824" t="e">
        <f>$ADN$74</f>
        <v>#N/A</v>
      </c>
      <c r="FZ42" s="5864">
        <f>IFERROR(($BC94*$AI$66*2)/(outputs_klasse_qty[[#This Row],[bolt_vegg_e1_rate]]^2),0)</f>
        <v>0</v>
      </c>
      <c r="GA42" s="5824" t="e">
        <f>$ADN$75</f>
        <v>#N/A</v>
      </c>
      <c r="GB42" s="5864">
        <f>IFERROR(($BD94*$AI$66*2)/(outputs_klasse_qty[[#This Row],[bolt_vegg_e2_rate]]^2),0)</f>
        <v>0</v>
      </c>
      <c r="GC42" s="5824" t="e">
        <f>$ADN$76</f>
        <v>#N/A</v>
      </c>
      <c r="GD42" s="5864">
        <f>IFERROR(($BE94*$AI$66*2)/(outputs_klasse_qty[[#This Row],[bolt_vegg_f_rate]]^2),0)</f>
        <v>0</v>
      </c>
      <c r="GE42" s="5824" t="e">
        <f>$ADN$77</f>
        <v>#N/A</v>
      </c>
      <c r="GF42" s="5864">
        <f>IFERROR(($BF94*$AI$66*2)/(outputs_klasse_qty[[#This Row],[bolt_vegg_g_rate]]^2),0)</f>
        <v>0</v>
      </c>
      <c r="GG42" s="5848">
        <f>outputs_klasse_qty[[#This Row],[bolt_vegg_a_output]]+outputs_klasse_qty[[#This Row],[bolt_vegg_b_output]]+outputs_klasse_qty[[#This Row],[bolt_vegg_c_output]]+outputs_klasse_qty[[#This Row],[bolt_vegg_d_output]]+outputs_klasse_qty[[#This Row],[bolt_vegg_e1_output]]+outputs_klasse_qty[[#This Row],[bolt_vegg_e2_output]]+outputs_klasse_qty[[#This Row],[bolt_vegg_f_output]]+outputs_klasse_qty[[#This Row],[bolt_vegg_g_output]]</f>
        <v>0</v>
      </c>
      <c r="GH42" s="5824" t="e">
        <f>outputs_klasse_qty[[#This Row],[bolt_vegg_a_output]]*$ADX$70</f>
        <v>#N/A</v>
      </c>
      <c r="GI42" s="5824" t="e">
        <f>outputs_klasse_qty[[#This Row],[bolt_vegg_a_output]]*$AEF$70</f>
        <v>#N/A</v>
      </c>
      <c r="GJ42" s="5824" t="e">
        <f>outputs_klasse_qty[[#This Row],[bolt_vegg_b_output]]*$ADX$71</f>
        <v>#N/A</v>
      </c>
      <c r="GK42" s="5824" t="e">
        <f>outputs_klasse_qty[[#This Row],[bolt_vegg_b_output]]*$AEF$71</f>
        <v>#N/A</v>
      </c>
      <c r="GL42" s="5824" t="e">
        <f>outputs_klasse_qty[[#This Row],[bolt_vegg_c_output]]*$ADX$72</f>
        <v>#N/A</v>
      </c>
      <c r="GM42" s="5824" t="e">
        <f>outputs_klasse_qty[[#This Row],[bolt_vegg_c_output]]*$AEF$72</f>
        <v>#N/A</v>
      </c>
      <c r="GN42" s="5824" t="e">
        <f>outputs_klasse_qty[[#This Row],[bolt_vegg_d_output]]*$ADX$73</f>
        <v>#N/A</v>
      </c>
      <c r="GO42" s="5824" t="e">
        <f>outputs_klasse_qty[[#This Row],[bolt_vegg_d_output]]*$AEF$73</f>
        <v>#N/A</v>
      </c>
      <c r="GP42" s="5824" t="e">
        <f>outputs_klasse_qty[[#This Row],[bolt_vegg_e1_output]]*$ADX$74</f>
        <v>#N/A</v>
      </c>
      <c r="GQ42" s="5824" t="e">
        <f>outputs_klasse_qty[[#This Row],[bolt_vegg_e1_output]]*$AEF$74</f>
        <v>#N/A</v>
      </c>
      <c r="GR42" s="5824" t="e">
        <f>outputs_klasse_qty[[#This Row],[bolt_vegg_e2_output]]*$ADX$75</f>
        <v>#N/A</v>
      </c>
      <c r="GS42" s="5824" t="e">
        <f>outputs_klasse_qty[[#This Row],[bolt_vegg_e2_output]]*$AEF$75</f>
        <v>#N/A</v>
      </c>
      <c r="GT42" s="5824" t="e">
        <f>outputs_klasse_qty[[#This Row],[bolt_vegg_f_output]]*$ADX$76</f>
        <v>#N/A</v>
      </c>
      <c r="GU42" s="5824" t="e">
        <f>outputs_klasse_qty[[#This Row],[bolt_vegg_f_output]]*$AEF$76</f>
        <v>#N/A</v>
      </c>
      <c r="GV42" s="5824" t="e">
        <f>outputs_klasse_qty[[#This Row],[bolt_vegg_g_output]]*$ADX$77</f>
        <v>#N/A</v>
      </c>
      <c r="GW42" s="5824" t="e">
        <f>outputs_klasse_qty[[#This Row],[bolt_vegg_g_output]]*$AEF$77</f>
        <v>#N/A</v>
      </c>
      <c r="GX42" s="5824" t="e">
        <f>outputs_klasse_qty[[#This Row],[bolt_vegg_a_lt4]]+outputs_klasse_qty[[#This Row],[bolt_vegg_b_lt4]]+outputs_klasse_qty[[#This Row],[bolt_vegg_c_lt4]]+outputs_klasse_qty[[#This Row],[bolt_vegg_d_lt4]]+outputs_klasse_qty[[#This Row],[bolt_vegg_e1_lt4]]+outputs_klasse_qty[[#This Row],[bolt_vegg_e2_lt4]]+outputs_klasse_qty[[#This Row],[bolt_vegg_f_lt4]]+outputs_klasse_qty[[#This Row],[bolt_vegg_g_lt4]]</f>
        <v>#N/A</v>
      </c>
      <c r="GY42" s="5824" t="e">
        <f>outputs_klasse_qty[[#This Row],[bolt_vegg_a_gt4]]+outputs_klasse_qty[[#This Row],[bolt_vegg_b_gt4]]+outputs_klasse_qty[[#This Row],[bolt_vegg_c_gt4]]+outputs_klasse_qty[[#This Row],[bolt_vegg_d_gt4]]+outputs_klasse_qty[[#This Row],[bolt_vegg_e1_gt4]]+outputs_klasse_qty[[#This Row],[bolt_vegg_e2_gt4]]+outputs_klasse_qty[[#This Row],[bolt_vegg_f_gt4]]+outputs_klasse_qty[[#This Row],[bolt_vegg_g_gt4]]</f>
        <v>#N/A</v>
      </c>
      <c r="GZ42" s="5848" t="str">
        <f>IFERROR(outputs_klasse_qty[[#This Row],[bolt_veder_lt4_sum]]+outputs_klasse_qty[[#This Row],[bolt_vegg_lt4_sum]],"")</f>
        <v/>
      </c>
      <c r="HA42" s="5848" t="str">
        <f>IFERROR(outputs_klasse_qty[[#This Row],[bolt_veder_gt4_sum]]+outputs_klasse_qty[[#This Row],[bolt_vegg_gt4_sum]],"")</f>
        <v/>
      </c>
      <c r="HB42" s="5824"/>
      <c r="HC42" s="5824"/>
      <c r="HD42" s="5824"/>
      <c r="HE42" s="5824"/>
      <c r="HF42" s="5824"/>
      <c r="HG42" s="5824"/>
      <c r="HH42" s="5824"/>
      <c r="HI42" s="5824"/>
      <c r="HJ42" s="5824"/>
      <c r="HK42" s="5824"/>
      <c r="HL42" s="5824"/>
      <c r="HM42" s="5824"/>
      <c r="HN42" s="5824"/>
      <c r="HO42" s="5824"/>
      <c r="HP42" s="5824"/>
      <c r="HQ42" s="5824"/>
      <c r="HR42" s="5824" t="e">
        <f>$APM$70</f>
        <v>#N/A</v>
      </c>
      <c r="HS42" s="5824" t="e">
        <f>$AOV$70</f>
        <v>#N/A</v>
      </c>
      <c r="HT42" s="5824" t="e">
        <f>$APU$70</f>
        <v>#N/A</v>
      </c>
      <c r="HU42" s="5865">
        <f>IFERROR(IF(outputs_klasse_qty[[#This Row],[forbolting_bueområde_a]]=_List!$DQ$7,_Calcs_Klasse!$AI$70*$BG117,IF(outputs_klasse_qty[[#This Row],[forbolting_bueområde_a]]=_List!$DQ$8,$AI$64*$BG117)),0)</f>
        <v>0</v>
      </c>
      <c r="HV42" s="5833">
        <f>IFERROR(outputs_klasse_qty[[#This Row],[forbolting_bue_lengde_a]]/outputs_klasse_qty[[#This Row],[forbolting_senteravstand_a]],0)</f>
        <v>0</v>
      </c>
      <c r="HW42" s="5824" t="e">
        <f>$APM$71</f>
        <v>#N/A</v>
      </c>
      <c r="HX42" s="5824" t="e">
        <f>$AOV$71</f>
        <v>#N/A</v>
      </c>
      <c r="HY42" s="5824" t="e">
        <f>$APU$71</f>
        <v>#N/A</v>
      </c>
      <c r="HZ42" s="5865">
        <f>IFERROR(IF(outputs_klasse_qty[[#This Row],[forbolting_bueområde_b]]=_List!$DQ$7,_Calcs_Klasse!$AI$70*$BH117,IF(outputs_klasse_qty[[#This Row],[forbolting_bueområde_b]]=_List!$DQ$8,$AI$64*$BH117)),0)</f>
        <v>0</v>
      </c>
      <c r="IA42" s="5833">
        <f>IFERROR(outputs_klasse_qty[[#This Row],[forbolting_bue_lengde_b]]/outputs_klasse_qty[[#This Row],[forbolting_senteravstand_b]],0)</f>
        <v>0</v>
      </c>
      <c r="IB42" s="5824" t="e">
        <f>$APM$72</f>
        <v>#N/A</v>
      </c>
      <c r="IC42" s="5824" t="e">
        <f>$AOV$72</f>
        <v>#N/A</v>
      </c>
      <c r="ID42" s="5824" t="e">
        <f>$APU$72</f>
        <v>#N/A</v>
      </c>
      <c r="IE42" s="5865">
        <f>IFERROR(IF(outputs_klasse_qty[[#This Row],[forbolting_bueområde_c]]=_List!$DQ$7,_Calcs_Klasse!$AI$70*$BI117,IF(outputs_klasse_qty[[#This Row],[forbolting_bueområde_c]]=_List!$DQ$8,$AI$64*$BI117)),0)</f>
        <v>0</v>
      </c>
      <c r="IF42" s="5833">
        <f>IFERROR(outputs_klasse_qty[[#This Row],[forbolting_bue_lengde_c]]/outputs_klasse_qty[[#This Row],[forbolting_senteravstand_c]],0)</f>
        <v>0</v>
      </c>
      <c r="IG42" s="5824" t="e">
        <f>$APM$73</f>
        <v>#N/A</v>
      </c>
      <c r="IH42" s="5824" t="e">
        <f>$AOV$73</f>
        <v>#N/A</v>
      </c>
      <c r="II42" s="5824" t="e">
        <f>$APU$73</f>
        <v>#N/A</v>
      </c>
      <c r="IJ42" s="5865">
        <f>IFERROR(IF(outputs_klasse_qty[[#This Row],[forbolting_bueområde_d]]=_List!$DQ$7,_Calcs_Klasse!$AI$70*$BJ117,IF(outputs_klasse_qty[[#This Row],[forbolting_bueområde_d]]=_List!$DQ$8,$AI$64*$BJ117)),0)</f>
        <v>0</v>
      </c>
      <c r="IK42" s="5833">
        <f>IFERROR(outputs_klasse_qty[[#This Row],[forbolting_bue_lengde_d]]/outputs_klasse_qty[[#This Row],[forbolting_senteravstand_d]],0)</f>
        <v>0</v>
      </c>
      <c r="IL42" s="5824" t="e">
        <f>$APM$74</f>
        <v>#N/A</v>
      </c>
      <c r="IM42" s="5824" t="e">
        <f>$AOV$74</f>
        <v>#N/A</v>
      </c>
      <c r="IN42" s="5824" t="e">
        <f>$APU$74</f>
        <v>#N/A</v>
      </c>
      <c r="IO42" s="5865">
        <f>IFERROR(IF(outputs_klasse_qty[[#This Row],[forbolting_bueområde_e1]]=_List!$DQ$7,_Calcs_Klasse!$AI$70*$BK117,IF(outputs_klasse_qty[[#This Row],[forbolting_bueområde_e1]]=_List!$DQ$8,$AI$64*$BK117)),0)</f>
        <v>0</v>
      </c>
      <c r="IP42" s="5833">
        <f>IFERROR(outputs_klasse_qty[[#This Row],[forbolting_bue_lengde_e1]]/outputs_klasse_qty[[#This Row],[forbolting_senteravstand_e1]],0)</f>
        <v>0</v>
      </c>
      <c r="IQ42" s="5824" t="e">
        <f>$APM$75</f>
        <v>#N/A</v>
      </c>
      <c r="IR42" s="5824" t="e">
        <f>$AOV$75</f>
        <v>#N/A</v>
      </c>
      <c r="IS42" s="5824" t="e">
        <f>$APU$75</f>
        <v>#N/A</v>
      </c>
      <c r="IT42" s="5865">
        <f>IFERROR(IF(outputs_klasse_qty[[#This Row],[forbolting_bueområde_e2]]=_List!$DQ$7,_Calcs_Klasse!$AI$70*$BL117,IF(outputs_klasse_qty[[#This Row],[forbolting_bueområde_e2]]=_List!$DQ$8,$AI$64*$BL117)),0)</f>
        <v>0</v>
      </c>
      <c r="IU42" s="5833">
        <f>IFERROR(outputs_klasse_qty[[#This Row],[forbolting_bue_lengde_e2]]/outputs_klasse_qty[[#This Row],[forbolting_senteravstand_e2]],0)</f>
        <v>0</v>
      </c>
      <c r="IV42" s="5824" t="e">
        <f>$APM$76</f>
        <v>#N/A</v>
      </c>
      <c r="IW42" s="5824" t="e">
        <f>$AOV$76</f>
        <v>#N/A</v>
      </c>
      <c r="IX42" s="5824" t="e">
        <f>$APU$76</f>
        <v>#N/A</v>
      </c>
      <c r="IY42" s="5865">
        <f>IFERROR(IF(outputs_klasse_qty[[#This Row],[forbolting_bueområde_f]]=_List!$DQ$7,_Calcs_Klasse!$AI$70*$BM117,IF(outputs_klasse_qty[[#This Row],[forbolting_bueområde_f]]=_List!$DQ$8,$AI$64*$BM117)),0)</f>
        <v>0</v>
      </c>
      <c r="IZ42" s="5833">
        <f>IFERROR(outputs_klasse_qty[[#This Row],[forbolting_bue_lengde_f]]/outputs_klasse_qty[[#This Row],[forbolting_senteravstand_f]],0)</f>
        <v>0</v>
      </c>
      <c r="JA42" s="5824" t="e">
        <f>$APM$77</f>
        <v>#N/A</v>
      </c>
      <c r="JB42" s="5824" t="e">
        <f>$AOV$77</f>
        <v>#N/A</v>
      </c>
      <c r="JC42" s="5824" t="e">
        <f>$APU$77</f>
        <v>#N/A</v>
      </c>
      <c r="JD42" s="5865">
        <f>IFERROR(IF(outputs_klasse_qty[[#This Row],[forbolting_bueområde_g]]=_List!$DQ$7,_Calcs_Klasse!$AI$70*$BN117,IF(outputs_klasse_qty[[#This Row],[forbolting_bueområde_g]]=_List!$DQ$8,$AI$64*$BN117)),0)</f>
        <v>0</v>
      </c>
      <c r="JE42" s="5833">
        <f>IFERROR(outputs_klasse_qty[[#This Row],[forbolting_bue_lengde_g]]/outputs_klasse_qty[[#This Row],[forbolting_senteravstand_g]],0)</f>
        <v>0</v>
      </c>
      <c r="JF42" s="5824">
        <f>IFERROR(outputs_klasse_qty[[#This Row],[forbolting_bolter_output_a]]*$AQC$70,0)</f>
        <v>0</v>
      </c>
      <c r="JG42" s="5824">
        <f>IFERROR(outputs_klasse_qty[[#This Row],[forbolting_bolter_output_a]]*$AQL$70,0)</f>
        <v>0</v>
      </c>
      <c r="JH42" s="5824">
        <f>IFERROR(outputs_klasse_qty[[#This Row],[forbolting_bolter_output_b]]*$AQC$71,0)</f>
        <v>0</v>
      </c>
      <c r="JI42" s="5824">
        <f>IFERROR(outputs_klasse_qty[[#This Row],[forbolting_bolter_output_b]]*$AQL$71,0)</f>
        <v>0</v>
      </c>
      <c r="JJ42" s="5824">
        <f>IFERROR(outputs_klasse_qty[[#This Row],[forbolting_bolter_output_c]]*$AQC$72,0)</f>
        <v>0</v>
      </c>
      <c r="JK42" s="5824">
        <f>IFERROR(outputs_klasse_qty[[#This Row],[forbolting_bolter_output_c]]*$AQL$72,0)</f>
        <v>0</v>
      </c>
      <c r="JL42" s="5824">
        <f>IFERROR(outputs_klasse_qty[[#This Row],[forbolting_bolter_output_d]]*$AQC$73,0)</f>
        <v>0</v>
      </c>
      <c r="JM42" s="5824">
        <f>IFERROR(outputs_klasse_qty[[#This Row],[forbolting_bolter_output_d]]*$AQL$73,0)</f>
        <v>0</v>
      </c>
      <c r="JN42" s="5824">
        <f>IFERROR(outputs_klasse_qty[[#This Row],[forbolting_bolter_output_e1]]*$AQC$74,0)</f>
        <v>0</v>
      </c>
      <c r="JO42" s="5824">
        <f>IFERROR(outputs_klasse_qty[[#This Row],[forbolting_bolter_output_e1]]*$AQL$74,0)</f>
        <v>0</v>
      </c>
      <c r="JP42" s="5824">
        <f>IFERROR(outputs_klasse_qty[[#This Row],[forbolting_bolter_output_e2]]*$AQC$75,0)</f>
        <v>0</v>
      </c>
      <c r="JQ42" s="5824">
        <f>IFERROR(outputs_klasse_qty[[#This Row],[forbolting_bolter_output_e2]]*$AQL$75,0)</f>
        <v>0</v>
      </c>
      <c r="JR42" s="5824">
        <f>IFERROR(outputs_klasse_qty[[#This Row],[forbolting_bolter_output_f]]*$AQC$76,0)</f>
        <v>0</v>
      </c>
      <c r="JS42" s="5824">
        <f>IFERROR(outputs_klasse_qty[[#This Row],[forbolting_bolter_output_f]]*$AQL$76,0)</f>
        <v>0</v>
      </c>
      <c r="JT42" s="5824">
        <f>IFERROR(outputs_klasse_qty[[#This Row],[forbolting_bolter_output_g]]*$AQC$77,0)</f>
        <v>0</v>
      </c>
      <c r="JU42" s="5824">
        <f>IFERROR(outputs_klasse_qty[[#This Row],[forbolting_bolter_output_g]]*$AQL$77,0)</f>
        <v>0</v>
      </c>
      <c r="JV42" s="5866">
        <f>outputs_klasse_qty[[#This Row],[forbolter_lt4_a]]+outputs_klasse_qty[[#This Row],[forbolter_lt4_b]]+outputs_klasse_qty[[#This Row],[forbolter_lt4_c]]+outputs_klasse_qty[[#This Row],[forbolter_lt4_d]]+outputs_klasse_qty[[#This Row],[forbolter_lt4_e1]]+outputs_klasse_qty[[#This Row],[forbolter_lt4_e2]]+outputs_klasse_qty[[#This Row],[forbolter_lt4_f]]+outputs_klasse_qty[[#This Row],[forbolter_lt4_g]]</f>
        <v>0</v>
      </c>
      <c r="JW42" s="5866">
        <f>outputs_klasse_qty[[#This Row],[forbolter_gt4_a]]+outputs_klasse_qty[[#This Row],[forbolter_gt4_b]]+outputs_klasse_qty[[#This Row],[forbolter_gt4_c]]+outputs_klasse_qty[[#This Row],[forbolter_gt4_d]]+outputs_klasse_qty[[#This Row],[forbolter_gt4_e1]]+outputs_klasse_qty[[#This Row],[forbolter_gt4_e2]]+outputs_klasse_qty[[#This Row],[forbolter_gt4_f]]+outputs_klasse_qty[[#This Row],[forbolter_gt4_g]]</f>
        <v>0</v>
      </c>
      <c r="JX42" s="5824" t="e">
        <f>$AQU$70</f>
        <v>#N/A</v>
      </c>
      <c r="JY42" s="5824">
        <f>IFERROR(outputs_klasse_qty[[#This Row],[forbolting_bue_lengde_a]]/outputs_klasse_qty[[#This Row],[opphengbolter_senteravstand_a]],0)</f>
        <v>0</v>
      </c>
      <c r="JZ42" s="5824" t="e">
        <f>$AQU$71</f>
        <v>#N/A</v>
      </c>
      <c r="KA42" s="5824">
        <f>IFERROR(outputs_klasse_qty[[#This Row],[forbolting_bue_lengde_b]]/outputs_klasse_qty[[#This Row],[opphengbolter_senteravstand_b]],0)</f>
        <v>0</v>
      </c>
      <c r="KB42" s="5824" t="e">
        <f>$AQU$72</f>
        <v>#N/A</v>
      </c>
      <c r="KC42" s="5824">
        <f>IFERROR(outputs_klasse_qty[[#This Row],[forbolting_bue_lengde_c]]/outputs_klasse_qty[[#This Row],[opphengbolter_senteravstand_c]],0)</f>
        <v>0</v>
      </c>
      <c r="KD42" s="5824" t="e">
        <f>$AQU$73</f>
        <v>#N/A</v>
      </c>
      <c r="KE42" s="5824">
        <f>IFERROR(outputs_klasse_qty[[#This Row],[forbolting_bue_lengde_d]]/outputs_klasse_qty[[#This Row],[opphengbolter_senteravstand_d]],0)</f>
        <v>0</v>
      </c>
      <c r="KF42" s="5824" t="e">
        <f>$AQU$74</f>
        <v>#N/A</v>
      </c>
      <c r="KG42" s="5824">
        <f>IFERROR(outputs_klasse_qty[[#This Row],[forbolting_bue_lengde_e1]]/outputs_klasse_qty[[#This Row],[opphengbolter_senteravstand_e1]],0)</f>
        <v>0</v>
      </c>
      <c r="KH42" s="5824" t="e">
        <f>$AQU$75</f>
        <v>#N/A</v>
      </c>
      <c r="KI42" s="5824">
        <f>IFERROR(outputs_klasse_qty[[#This Row],[forbolting_bue_lengde_e2]]/outputs_klasse_qty[[#This Row],[opphengbolter_senteravstand_e2]],0)</f>
        <v>0</v>
      </c>
      <c r="KJ42" s="5824" t="e">
        <f>$AQU$76</f>
        <v>#N/A</v>
      </c>
      <c r="KK42" s="5824">
        <f>IFERROR(outputs_klasse_qty[[#This Row],[forbolting_bue_lengde_f]]/outputs_klasse_qty[[#This Row],[opphengbolter_senteravstand_f]],0)</f>
        <v>0</v>
      </c>
      <c r="KL42" s="5824" t="e">
        <f>$AQU$77</f>
        <v>#N/A</v>
      </c>
      <c r="KM42" s="5824">
        <f>IFERROR(outputs_klasse_qty[[#This Row],[forbolting_bue_lengde_g]]/outputs_klasse_qty[[#This Row],[opphengbolter_senteravstand_g]],0)</f>
        <v>0</v>
      </c>
      <c r="KN42" s="5824">
        <f>IFERROR(outputs_klasse_qty[[#This Row],[opphengbolter_output_a]]*$ARC$70,0)</f>
        <v>0</v>
      </c>
      <c r="KO42" s="5824">
        <f>IFERROR(outputs_klasse_qty[[#This Row],[opphengbolter_output_a]]*$ARL$70,0)</f>
        <v>0</v>
      </c>
      <c r="KP42" s="5824">
        <f>IFERROR(outputs_klasse_qty[[#This Row],[opphengbolter_output_b]]*$ARC$71,0)</f>
        <v>0</v>
      </c>
      <c r="KQ42" s="5824">
        <f>IFERROR(outputs_klasse_qty[[#This Row],[opphengbolter_output_b]]*$ARL$71,0)</f>
        <v>0</v>
      </c>
      <c r="KR42" s="5824">
        <f>IFERROR(outputs_klasse_qty[[#This Row],[opphengbolter_output_c]]*$ARC$72,0)</f>
        <v>0</v>
      </c>
      <c r="KS42" s="5824">
        <f>IFERROR(outputs_klasse_qty[[#This Row],[opphengbolter_output_c]]*$ARL$72,0)</f>
        <v>0</v>
      </c>
      <c r="KT42" s="5824">
        <f>IFERROR(outputs_klasse_qty[[#This Row],[opphengbolter_output_d]]*$ARC$73,0)</f>
        <v>0</v>
      </c>
      <c r="KU42" s="5824">
        <f>IFERROR(outputs_klasse_qty[[#This Row],[opphengbolter_output_d]]*$ARL$73,0)</f>
        <v>0</v>
      </c>
      <c r="KV42" s="5824">
        <f>IFERROR(outputs_klasse_qty[[#This Row],[opphengbolter_output_e1]]*$ARC$74,0)</f>
        <v>0</v>
      </c>
      <c r="KW42" s="5824">
        <f>IFERROR(outputs_klasse_qty[[#This Row],[opphengbolter_output_e1]]*$ARL$74,0)</f>
        <v>0</v>
      </c>
      <c r="KX42" s="5824">
        <f>IFERROR(outputs_klasse_qty[[#This Row],[opphengbolter_output_e2]]*$ARC$75,0)</f>
        <v>0</v>
      </c>
      <c r="KY42" s="5824">
        <f>IFERROR(outputs_klasse_qty[[#This Row],[opphengbolter_output_e2]]*$ARL$75,0)</f>
        <v>0</v>
      </c>
      <c r="KZ42" s="5824">
        <f>IFERROR(outputs_klasse_qty[[#This Row],[opphengbolter_output_f]]*$ARC$76,0)</f>
        <v>0</v>
      </c>
      <c r="LA42" s="5824">
        <f>IFERROR(outputs_klasse_qty[[#This Row],[opphengbolter_output_f]]*$ARL$76,0)</f>
        <v>0</v>
      </c>
      <c r="LB42" s="5824">
        <f>IFERROR(outputs_klasse_qty[[#This Row],[opphengbolter_output_g]]*$ARC$77,0)</f>
        <v>0</v>
      </c>
      <c r="LC42" s="5824">
        <f>IFERROR(outputs_klasse_qty[[#This Row],[opphengbolter_output_g]]*$ARL$77,0)</f>
        <v>0</v>
      </c>
      <c r="LD42" s="5867">
        <f>outputs_klasse_qty[[#This Row],[opphengbolter_lt4_a]]+outputs_klasse_qty[[#This Row],[opphengbolter_lt4_b]]+outputs_klasse_qty[[#This Row],[opphengbolter_lt4_c]]+outputs_klasse_qty[[#This Row],[opphengbolter_lt4_d]]+outputs_klasse_qty[[#This Row],[opphengbolter_lt4_e1]]+outputs_klasse_qty[[#This Row],[opphengbolter_lt4_e2]]+outputs_klasse_qty[[#This Row],[opphengbolter_lt4_f]]+outputs_klasse_qty[[#This Row],[opphengbolter_lt4_g]]</f>
        <v>0</v>
      </c>
      <c r="LE42" s="5867">
        <f>outputs_klasse_qty[[#This Row],[opphengbolter_gt4_a]]+outputs_klasse_qty[[#This Row],[opphengbolter_gt4_b]]+outputs_klasse_qty[[#This Row],[opphengbolter_gt4_c]]+outputs_klasse_qty[[#This Row],[opphengbolter_gt4_d]]+outputs_klasse_qty[[#This Row],[opphengbolter_gt4_e1]]+outputs_klasse_qty[[#This Row],[opphengbolter_gt4_e2]]+outputs_klasse_qty[[#This Row],[opphengbolter_gt4_f]]+outputs_klasse_qty[[#This Row],[opphengbolter_gt4_g]]</f>
        <v>0</v>
      </c>
      <c r="LF42" s="5870">
        <v>1</v>
      </c>
      <c r="LG42" s="5824" t="e">
        <f>$AEZ$70</f>
        <v>#N/A</v>
      </c>
      <c r="LH42" s="5824">
        <f>IFERROR(outputs_klasse_qty[[#This Row],[bergbånd_langs_forbolting_a_rate]]*outputs_klasse_qty[[#This Row],[forbolting_bue_lengde_a]],0)</f>
        <v>0</v>
      </c>
      <c r="LI42" s="5824" t="e">
        <f>$AEZ$71</f>
        <v>#N/A</v>
      </c>
      <c r="LJ42" s="5824">
        <f>IFERROR(outputs_klasse_qty[[#This Row],[bergbånd_langs_forbolting_b_rate]]*outputs_klasse_qty[[#This Row],[forbolting_bue_lengde_b]],0)</f>
        <v>0</v>
      </c>
      <c r="LK42" s="5824" t="e">
        <f>$AEZ$72</f>
        <v>#N/A</v>
      </c>
      <c r="LL42" s="5824">
        <f>IFERROR(outputs_klasse_qty[[#This Row],[bergbånd_langs_forbolting_c_rate]]*outputs_klasse_qty[[#This Row],[forbolting_bue_lengde_c]],0)</f>
        <v>0</v>
      </c>
      <c r="LM42" s="5824" t="e">
        <f>$AEZ$73</f>
        <v>#N/A</v>
      </c>
      <c r="LN42" s="5824">
        <f>IFERROR(outputs_klasse_qty[[#This Row],[bergbånd_langs_forbolting_d_rate]]*outputs_klasse_qty[[#This Row],[forbolting_bue_lengde_d]],0)</f>
        <v>0</v>
      </c>
      <c r="LO42" s="5824" t="e">
        <f>$AEZ$74</f>
        <v>#N/A</v>
      </c>
      <c r="LP42" s="5824">
        <f>IFERROR(outputs_klasse_qty[[#This Row],[bergbånd_langs_forbolting_e1_rate]]*outputs_klasse_qty[[#This Row],[forbolting_bue_lengde_e1]],0)</f>
        <v>0</v>
      </c>
      <c r="LQ42" s="5824" t="e">
        <f>$AEZ$75</f>
        <v>#N/A</v>
      </c>
      <c r="LR42" s="5824">
        <f>IFERROR(outputs_klasse_qty[[#This Row],[bergbånd_langs_forbolting_e2_rate]]*outputs_klasse_qty[[#This Row],[forbolting_bue_lengde_e2]],0)</f>
        <v>0</v>
      </c>
      <c r="LS42" s="5824" t="e">
        <f>$AEZ$76</f>
        <v>#N/A</v>
      </c>
      <c r="LT42" s="5824">
        <f>IFERROR(outputs_klasse_qty[[#This Row],[bergbånd_langs_forbolting_f_rate]]*outputs_klasse_qty[[#This Row],[forbolting_bue_lengde_f]],0)</f>
        <v>0</v>
      </c>
      <c r="LU42" s="5824" t="e">
        <f>$AEZ$77</f>
        <v>#N/A</v>
      </c>
      <c r="LV42" s="5824">
        <f>IFERROR(outputs_klasse_qty[[#This Row],[bergbånd_langs_forbolting_g_rate]]*outputs_klasse_qty[[#This Row],[forbolting_bue_lengde_g]],0)</f>
        <v>0</v>
      </c>
      <c r="LW42" s="5825">
        <f>IFERROR(outputs_klasse_qty[[#This Row],[bergbånd_langs_forbolting_a_output]]+outputs_klasse_qty[[#This Row],[bergbånd_langs_forbolting_b_output]]+outputs_klasse_qty[[#This Row],[bergbånd_langs_forbolting_c_output]]+outputs_klasse_qty[[#This Row],[bergbånd_langs_forbolting_d_output]]+outputs_klasse_qty[[#This Row],[bergbånd_langs_forbolting_e1_output]]+outputs_klasse_qty[[#This Row],[bergbånd_langs_forbolting_e2_output]]+outputs_klasse_qty[[#This Row],[bergbånd_langs_forbolting_f_output]]+outputs_klasse_qty[[#This Row],[bergbånd_langs_forbolting_g_output]],0)</f>
        <v>0</v>
      </c>
      <c r="LX42" s="5824"/>
      <c r="LY42" s="5826"/>
      <c r="LZ42" s="5824"/>
      <c r="MA42" s="5826"/>
      <c r="MB42" s="5824"/>
      <c r="MC42" s="5826"/>
      <c r="MD42" s="5824"/>
      <c r="ME42" s="5826"/>
      <c r="MF42" s="5824"/>
      <c r="MG42" s="5826"/>
      <c r="MH42" s="5824"/>
      <c r="MI42" s="5826"/>
      <c r="MJ42" s="5824"/>
      <c r="MK42" s="5826"/>
      <c r="ML42" s="5824"/>
      <c r="MM42" s="5826"/>
      <c r="MN42" s="5827"/>
      <c r="MO42" s="5824"/>
      <c r="MP42" s="5824"/>
      <c r="MQ42" s="5824"/>
      <c r="MR42" s="5824"/>
      <c r="MS42" s="5824"/>
      <c r="MT42" s="5824"/>
      <c r="MU42" s="5824"/>
      <c r="MV42" s="5824"/>
      <c r="MW42" s="5827"/>
      <c r="MX42" s="5824"/>
      <c r="MY42" s="5824"/>
      <c r="MZ42" s="5824"/>
      <c r="NA42" s="5824"/>
      <c r="NB42" s="5824"/>
      <c r="NC42" s="5824"/>
      <c r="ND42" s="5824"/>
      <c r="NE42" s="5824"/>
      <c r="NF42" s="5824"/>
      <c r="NG42" s="5824"/>
      <c r="NH42" s="5824"/>
      <c r="NI42" s="5824"/>
      <c r="NJ42" s="5824"/>
      <c r="NK42" s="5824"/>
      <c r="NL42" s="5824"/>
      <c r="NM42" s="5824"/>
      <c r="NN42" s="5827"/>
      <c r="NO42" s="5824"/>
      <c r="NP42" s="5824"/>
      <c r="NQ42" s="5824"/>
      <c r="NR42" s="5824"/>
      <c r="NS42" s="5824"/>
      <c r="NT42" s="5824"/>
      <c r="NU42" s="5824"/>
      <c r="NV42" s="5824"/>
      <c r="NW42" s="5824"/>
      <c r="NX42" s="5824"/>
      <c r="NY42" s="5824"/>
      <c r="NZ42" s="5824"/>
      <c r="OA42" s="5824"/>
      <c r="OB42" s="5824"/>
      <c r="OC42" s="5824"/>
      <c r="OD42" s="5824"/>
      <c r="OE42" s="5824"/>
      <c r="OF42" s="5824"/>
      <c r="OG42" s="5824"/>
      <c r="OH42" s="5824"/>
      <c r="OI42" s="5833"/>
      <c r="OJ42" s="5824"/>
      <c r="OK42" s="5868"/>
      <c r="OL42" s="5824"/>
      <c r="OM42" s="5868"/>
      <c r="ON42" s="5824"/>
      <c r="OO42" s="5868"/>
      <c r="OP42" s="5824"/>
      <c r="OQ42" s="5868"/>
      <c r="OR42" s="5824"/>
      <c r="OS42" s="5868"/>
      <c r="OT42" s="5824"/>
      <c r="OU42" s="5868"/>
      <c r="OV42" s="5824"/>
      <c r="OW42" s="5868"/>
      <c r="OX42" s="5824"/>
      <c r="OY42" s="5868"/>
      <c r="OZ42" s="5828"/>
      <c r="PA42" s="5824"/>
      <c r="PB42" s="5829"/>
      <c r="PC42" s="5824"/>
      <c r="PD42" s="5829"/>
      <c r="PE42" s="5824"/>
      <c r="PF42" s="5829"/>
      <c r="PG42" s="5824"/>
      <c r="PH42" s="5829"/>
      <c r="PI42" s="5824"/>
      <c r="PJ42" s="5829"/>
      <c r="PK42" s="5824"/>
      <c r="PL42" s="5829"/>
      <c r="PM42" s="5824"/>
      <c r="PN42" s="5829"/>
      <c r="PO42" s="5824"/>
      <c r="PP42" s="5829"/>
      <c r="PQ42" s="5830"/>
      <c r="PR42" s="5824"/>
      <c r="PS42" s="5831"/>
      <c r="PT42" s="5824"/>
      <c r="PU42" s="5831"/>
      <c r="PV42" s="5824"/>
      <c r="PW42" s="5831"/>
      <c r="PX42" s="5824"/>
      <c r="PY42" s="5831"/>
      <c r="PZ42" s="5824"/>
      <c r="QA42" s="5831"/>
      <c r="QB42" s="5824"/>
      <c r="QC42" s="5831"/>
      <c r="QD42" s="5824"/>
      <c r="QE42" s="5831"/>
      <c r="QF42" s="5824"/>
      <c r="QG42" s="5831"/>
      <c r="QH42" s="5832"/>
      <c r="QI42" s="5824"/>
      <c r="QJ42" s="5824"/>
      <c r="QK42" s="5824"/>
      <c r="QL42" s="5824"/>
      <c r="QM42" s="5824"/>
      <c r="QN42" s="5824"/>
      <c r="QO42" s="5824"/>
      <c r="QP42" s="5824"/>
      <c r="QQ42" s="5824"/>
      <c r="QR42" s="5833"/>
      <c r="QS42" s="5834"/>
      <c r="QT42" s="5824"/>
      <c r="QU42" s="5824"/>
      <c r="QV42" s="5834"/>
      <c r="QW42" s="5824"/>
      <c r="QX42" s="5824"/>
      <c r="QY42" s="5834"/>
      <c r="QZ42" s="5824"/>
      <c r="RA42" s="5824"/>
      <c r="RB42" s="5834"/>
      <c r="RC42" s="5824"/>
      <c r="RD42" s="5824"/>
      <c r="RE42" s="5834"/>
      <c r="RF42" s="5824"/>
      <c r="RG42" s="5824"/>
      <c r="RH42" s="5834"/>
      <c r="RI42" s="5824"/>
      <c r="RJ42" s="5824"/>
      <c r="RK42" s="5834"/>
      <c r="RL42" s="5824"/>
      <c r="RM42" s="5824"/>
      <c r="RN42" s="5834"/>
      <c r="RO42" s="5824"/>
      <c r="RP42" s="5824"/>
      <c r="RQ42" s="5835"/>
      <c r="RR42" s="5824"/>
      <c r="RS42" s="5824"/>
      <c r="RT42" s="5824"/>
      <c r="RU42" s="5824"/>
      <c r="RV42" s="5824"/>
      <c r="RW42" s="5824"/>
      <c r="RX42" s="5824"/>
      <c r="RY42" s="5824"/>
      <c r="RZ42" s="5824"/>
      <c r="SA42" s="5824"/>
      <c r="SB42" s="5824"/>
      <c r="SC42" s="5824"/>
      <c r="SD42" s="5824"/>
      <c r="SE42" s="5824"/>
      <c r="SF42" s="5824"/>
      <c r="SG42" s="5824"/>
      <c r="SH42" s="5824"/>
      <c r="SI42" s="5824"/>
      <c r="SJ42" s="5824"/>
      <c r="SK42" s="5824"/>
      <c r="SL42" s="5824"/>
      <c r="SM42" s="5824"/>
      <c r="SN42" s="5824"/>
      <c r="SO42" s="5824"/>
      <c r="SP42" s="5824"/>
      <c r="SQ42" s="5835"/>
      <c r="SR42" s="5836"/>
      <c r="SS42" s="5824"/>
      <c r="ST42" s="5824"/>
      <c r="SU42" s="5824"/>
      <c r="SV42" s="5824"/>
      <c r="SW42" s="5824"/>
      <c r="SX42" s="5824"/>
      <c r="SY42" s="5824"/>
      <c r="SZ42" s="5824"/>
      <c r="TA42" s="5824"/>
      <c r="TB42" s="5824"/>
      <c r="TC42" s="5824"/>
      <c r="TD42" s="5824"/>
      <c r="TE42" s="5824"/>
      <c r="TF42" s="5824"/>
      <c r="TG42" s="5824"/>
      <c r="TH42" s="5824"/>
      <c r="TI42" s="5824"/>
      <c r="TJ42" s="5824"/>
      <c r="TK42" s="5869"/>
      <c r="TL42" s="5824"/>
      <c r="TM42" s="5824"/>
      <c r="TN42" s="5824"/>
      <c r="TO42" s="5863"/>
      <c r="TP42" s="5825"/>
      <c r="TQ42" s="5870"/>
      <c r="TR42" s="5824"/>
      <c r="TS42" s="5824"/>
      <c r="TT42" s="5824"/>
      <c r="TU42" s="5863"/>
      <c r="TV42" s="5825"/>
      <c r="TW42" s="5870"/>
      <c r="TX42" s="5824"/>
      <c r="TY42" s="5824"/>
      <c r="TZ42" s="5824"/>
      <c r="UA42" s="5863"/>
      <c r="UB42" s="5825"/>
      <c r="UC42" s="5870"/>
      <c r="UD42" s="5824"/>
      <c r="UE42" s="5824"/>
      <c r="UF42" s="5824"/>
      <c r="UG42" s="5863"/>
      <c r="UH42" s="5825"/>
      <c r="UI42" s="5870"/>
      <c r="UJ42" s="5824"/>
      <c r="UK42" s="5824"/>
      <c r="UL42" s="5824"/>
      <c r="UM42" s="5863"/>
      <c r="UN42" s="5825"/>
      <c r="UO42" s="5870"/>
      <c r="UP42" s="5824"/>
      <c r="UQ42" s="5824"/>
      <c r="UR42" s="5824"/>
      <c r="US42" s="5863"/>
      <c r="UT42" s="5825"/>
      <c r="UU42" s="5870"/>
      <c r="UV42" s="5824"/>
      <c r="UW42" s="5824"/>
      <c r="UX42" s="5824"/>
      <c r="UY42" s="5863"/>
      <c r="UZ42" s="5825"/>
      <c r="VA42" s="5870"/>
      <c r="VB42" s="5824"/>
      <c r="VC42" s="5824"/>
      <c r="VD42" s="5824"/>
      <c r="VE42" s="5863"/>
      <c r="VF42" s="5825"/>
      <c r="VG42" s="5870"/>
      <c r="VH42" s="5837"/>
      <c r="VI42" s="5838"/>
      <c r="VJ42" s="5839"/>
      <c r="VK42" s="5824"/>
      <c r="VL42" s="5824"/>
      <c r="VM42" s="5824"/>
      <c r="VN42" s="5824"/>
      <c r="VO42" s="5824"/>
      <c r="VP42" s="5824"/>
      <c r="VQ42" s="5824"/>
      <c r="VR42" s="5824"/>
      <c r="VS42" s="5824"/>
      <c r="VT42" s="5824"/>
      <c r="VU42" s="5824"/>
      <c r="VV42" s="5824"/>
      <c r="VW42" s="5824"/>
      <c r="VX42" s="5824"/>
      <c r="VY42" s="5824"/>
      <c r="VZ42" s="5824"/>
      <c r="WA42" s="5824"/>
      <c r="WB42" s="5824"/>
      <c r="WC42" s="5824"/>
      <c r="WD42" s="5824"/>
      <c r="WE42" s="5824"/>
      <c r="WF42" s="5824"/>
      <c r="WG42" s="5824"/>
      <c r="WH42" s="5824"/>
      <c r="WI42" s="5824"/>
      <c r="WJ42" s="5824"/>
      <c r="WK42" s="5824"/>
      <c r="WL42" s="5824"/>
      <c r="WM42" s="5824"/>
      <c r="WN42" s="5824"/>
      <c r="WO42" s="5824"/>
      <c r="WP42" s="5824"/>
      <c r="WQ42" s="5824"/>
      <c r="WR42" s="5824"/>
      <c r="WS42" s="5824"/>
      <c r="WT42" s="5824"/>
      <c r="WU42" s="5824"/>
      <c r="WV42" s="5824"/>
      <c r="WW42" s="5824"/>
      <c r="WX42" s="5824"/>
      <c r="WY42" s="5824"/>
      <c r="WZ42" s="5824"/>
      <c r="XA42" s="5824"/>
      <c r="XB42" s="5824"/>
      <c r="XC42" s="5824"/>
      <c r="XD42" s="5824"/>
      <c r="XE42" s="5824"/>
      <c r="XF42" s="5824"/>
      <c r="XG42" s="5824"/>
      <c r="XH42" s="5824"/>
      <c r="XI42" s="5824"/>
      <c r="XJ42" s="5824"/>
      <c r="XK42" s="5824"/>
      <c r="XL42" s="5824"/>
      <c r="XM42" s="5824"/>
      <c r="XN42" s="5824"/>
      <c r="XO42" s="5824"/>
      <c r="XP42" s="5824"/>
      <c r="XQ42" s="5824"/>
      <c r="XR42" s="5824"/>
      <c r="XS42" s="5824"/>
      <c r="XT42" s="5824"/>
      <c r="XU42" s="5824"/>
      <c r="XV42" s="5824"/>
      <c r="XW42" s="5824"/>
      <c r="XX42" s="5824"/>
      <c r="XY42" s="5824"/>
      <c r="XZ42" s="5824"/>
      <c r="YA42" s="5824"/>
      <c r="YB42" s="5824"/>
      <c r="YC42" s="5824"/>
      <c r="YD42" s="5824"/>
      <c r="YE42" s="5824"/>
      <c r="YF42" s="5824"/>
      <c r="YG42" s="5824"/>
      <c r="YH42" s="5824"/>
      <c r="YI42" s="5824"/>
      <c r="YJ42" s="5824"/>
      <c r="YK42" s="5824"/>
      <c r="YL42" s="5824"/>
      <c r="YM42" s="5824"/>
      <c r="YN42" s="5824"/>
      <c r="YO42" s="5824"/>
      <c r="YP42" s="5832"/>
      <c r="YQ42" s="5832"/>
      <c r="YR42" s="5824"/>
      <c r="YS42" s="5824"/>
      <c r="YT42" s="5824"/>
      <c r="YU42" s="5824"/>
      <c r="YV42" s="5824"/>
      <c r="YW42" s="5824"/>
      <c r="YX42" s="5824"/>
      <c r="YY42" s="5824"/>
      <c r="YZ42" s="5824"/>
      <c r="ZA42" s="5824"/>
      <c r="ZB42" s="5824"/>
      <c r="ZC42" s="5824"/>
      <c r="ZD42" s="5824"/>
      <c r="ZE42" s="5824"/>
      <c r="ZF42" s="5824"/>
      <c r="ZG42" s="5824"/>
      <c r="ZH42" s="5824"/>
      <c r="ZI42" s="5824"/>
      <c r="ZJ42" s="5824"/>
      <c r="ZK42" s="5824"/>
      <c r="ZL42" s="5824"/>
      <c r="ZM42" s="5824"/>
      <c r="ZN42" s="184"/>
      <c r="ZO42" s="184"/>
      <c r="ZP42" s="184"/>
      <c r="ZQ42" s="184"/>
      <c r="ZR42" s="184"/>
      <c r="ZS42" s="184"/>
      <c r="ZT42" s="184"/>
      <c r="ZU42" s="184"/>
      <c r="ZV42" s="184"/>
      <c r="ZW42" s="184"/>
      <c r="ZX42" s="184"/>
      <c r="ZY42" s="184"/>
      <c r="ZZ42" s="184"/>
      <c r="AAA42" s="184"/>
      <c r="AAB42" s="2622"/>
      <c r="AAC42" s="2622"/>
      <c r="AAD42" s="2622"/>
      <c r="AAE42" s="2622"/>
      <c r="AAF42" s="2622"/>
      <c r="AAG42" s="2622"/>
      <c r="AAH42" s="2622"/>
      <c r="AAI42" s="2622"/>
      <c r="AAJ42" s="2622"/>
      <c r="AAK42" s="2622"/>
      <c r="AAL42" s="2622"/>
      <c r="AAM42" s="2622"/>
      <c r="AAN42" s="2622"/>
      <c r="AAO42" s="2622"/>
      <c r="AAP42" s="2622"/>
      <c r="AAQ42" s="2622"/>
      <c r="AAR42" s="2622"/>
      <c r="AAS42" s="2622"/>
      <c r="AAT42" s="2622"/>
      <c r="AAU42" s="2622"/>
      <c r="AAV42" s="2622"/>
      <c r="AAW42" s="372" t="s">
        <v>189</v>
      </c>
      <c r="AAX42" s="372"/>
      <c r="AAY42" s="372" t="s">
        <v>893</v>
      </c>
      <c r="AAZ42" s="184"/>
      <c r="ABA42" s="3811"/>
      <c r="ABB42" s="5797" t="b">
        <f>ISBLANK('!Egen_SK'!$X$76)</f>
        <v>1</v>
      </c>
      <c r="ABC42" s="5797"/>
      <c r="ABD42" s="2983">
        <f>'!Egen_SK'!$X$76</f>
        <v>0</v>
      </c>
      <c r="ABE42" s="5797"/>
      <c r="ABF42" s="3624" t="e">
        <f>INDEX(klasse_salve[salve_lengde_a],MATCH($AI$54,klasse_salve[Type_size],0))</f>
        <v>#N/A</v>
      </c>
      <c r="ABG42" s="5797"/>
      <c r="ABH42" s="3010" t="e">
        <f>IF(ABB42=TRUE,ABF42,ABD42)</f>
        <v>#N/A</v>
      </c>
      <c r="ABI42" s="5799"/>
      <c r="ABJ42" s="184"/>
      <c r="ABK42" s="3811"/>
      <c r="ABL42" s="5797" t="b">
        <f>ISBLANK('!Egen_SK'!$X$85)</f>
        <v>0</v>
      </c>
      <c r="ABM42" s="5797"/>
      <c r="ABN42" s="2983">
        <f>'!Egen_SK'!$X$85</f>
        <v>20</v>
      </c>
      <c r="ABO42" s="5797"/>
      <c r="ABP42" s="3624" t="e">
        <f>INDEX(klasseqty_rensk[manual_tid_salve_a],MATCH($AI$54,klasseqty_bolting[Type_size],0))</f>
        <v>#N/A</v>
      </c>
      <c r="ABQ42" s="5797"/>
      <c r="ABR42" s="3010">
        <f>IF(ABL42=TRUE,ABP42,ABN42)</f>
        <v>20</v>
      </c>
      <c r="ABS42" s="5799"/>
      <c r="ABT42" s="184"/>
      <c r="ABU42" s="3811"/>
      <c r="ABV42" s="5797" t="b">
        <f>ISBLANK('!Egen_SK'!$X$92)</f>
        <v>1</v>
      </c>
      <c r="ABW42" s="5797"/>
      <c r="ABX42" s="2983">
        <f>'!Egen_SK'!$X$92</f>
        <v>0</v>
      </c>
      <c r="ABY42" s="5797"/>
      <c r="ABZ42" s="3624" t="e">
        <f>INDEX(klasseqty_rensk[inspectiontid_a],MATCH($AI$54,klasseqty_bolting[Type_size],0))</f>
        <v>#N/A</v>
      </c>
      <c r="ACA42" s="5797"/>
      <c r="ACB42" s="3010" t="e">
        <f>IF(ABV42=TRUE,ABZ42,ABX42)</f>
        <v>#N/A</v>
      </c>
      <c r="ACC42" s="5799"/>
      <c r="ACD42" s="3582"/>
      <c r="ACE42" s="5800"/>
      <c r="ACF42" s="5797" t="b">
        <f>ISBLANK('!Egen_SK'!$X$101)</f>
        <v>1</v>
      </c>
      <c r="ACG42" s="5797"/>
      <c r="ACH42" s="2983">
        <f>'!Egen_SK'!$X$101</f>
        <v>0</v>
      </c>
      <c r="ACI42" s="5797"/>
      <c r="ACJ42" s="2774" t="e">
        <f>INDEX(klasseqty_bolting[veder_cc_a],MATCH($AI$54,klasseqty_bolting[Type_size],0))</f>
        <v>#N/A</v>
      </c>
      <c r="ACK42" s="5797"/>
      <c r="ACL42" s="2775" t="e">
        <f>IF(ACF42=TRUE,ACJ42,ACH42)</f>
        <v>#N/A</v>
      </c>
      <c r="ACM42" s="5797"/>
      <c r="ACN42" s="184"/>
      <c r="ACO42" s="5797" t="b">
        <f>ISBLANK('!Egen_SK'!$X$105)</f>
        <v>1</v>
      </c>
      <c r="ACP42" s="5797"/>
      <c r="ACQ42" s="2782">
        <f>'!Egen_SK'!$X$105</f>
        <v>0</v>
      </c>
      <c r="ACR42" s="5797"/>
      <c r="ACS42" s="3547" t="e">
        <f>INDEX(klasseqty_bolting[veder_length_lt4_a],MATCH($AI$54,klasseqty_bolting[Type_size],0))</f>
        <v>#N/A</v>
      </c>
      <c r="ACT42" s="5797"/>
      <c r="ACU42" s="2781" t="e">
        <f>IF(ACO42=TRUE,ACS42,ACQ42)</f>
        <v>#N/A</v>
      </c>
      <c r="ACV42" s="5797"/>
      <c r="ACW42" s="184"/>
      <c r="ACX42" s="5797"/>
      <c r="ACY42" s="5797"/>
      <c r="ACZ42" s="2782" t="str">
        <f>IF(ACO42=FALSE,1-ACQ42,"")</f>
        <v/>
      </c>
      <c r="ADA42" s="5797"/>
      <c r="ADB42" s="3547" t="e">
        <f>INDEX(klasseqty_bolting[veder_length_gt4_a],MATCH($AI$54,klasseqty_bolting[Type_size],0))</f>
        <v>#N/A</v>
      </c>
      <c r="ADC42" s="5797"/>
      <c r="ADD42" s="2781" t="e">
        <f>IF(ACO42=TRUE,ADB42,ACZ42)</f>
        <v>#N/A</v>
      </c>
      <c r="ADE42" s="5809"/>
      <c r="ADF42" s="2816"/>
      <c r="ADG42" s="3589"/>
      <c r="ADH42" s="3587" t="b">
        <f>ISBLANK('!Egen_SK'!$X$114)</f>
        <v>1</v>
      </c>
      <c r="ADI42" s="3587"/>
      <c r="ADJ42" s="2983">
        <f>'!Egen_SK'!$X$114</f>
        <v>0</v>
      </c>
      <c r="ADK42" s="3587"/>
      <c r="ADL42" s="2774" t="e">
        <f>INDEX(klasseqty_bolting[vegg_cc_a],MATCH($AI$54,klasseqty_bolting[Type_size],0))</f>
        <v>#N/A</v>
      </c>
      <c r="ADM42" s="3587"/>
      <c r="ADN42" s="2775" t="e">
        <f>IF(ADH42=TRUE,ADL42,ADJ42)</f>
        <v>#N/A</v>
      </c>
      <c r="ADO42" s="3587"/>
      <c r="ADP42" s="184"/>
      <c r="ADQ42" s="3675"/>
      <c r="ADR42" s="3587" t="b">
        <f>ISBLANK('!Egen_SK'!$X$118)</f>
        <v>1</v>
      </c>
      <c r="ADS42" s="3587"/>
      <c r="ADT42" s="2782">
        <f>'!Egen_SK'!$X$118</f>
        <v>0</v>
      </c>
      <c r="ADU42" s="3587"/>
      <c r="ADV42" s="3547" t="e">
        <f>INDEX(klasseqty_bolting[vegg_length_lt4_a],MATCH($AI$54,klasseqty_bolting[Type_size],0))</f>
        <v>#N/A</v>
      </c>
      <c r="ADW42" s="3587"/>
      <c r="ADX42" s="2781" t="e">
        <f>IF(ADR42=TRUE,ADV42,ADT42)</f>
        <v>#N/A</v>
      </c>
      <c r="ADY42" s="3675"/>
      <c r="ADZ42" s="3675"/>
      <c r="AEA42" s="3675"/>
      <c r="AEB42" s="2782" t="str">
        <f t="shared" ref="AEB42:AEB49" si="209">IF(ADR42=FALSE,1-ADT42,"")</f>
        <v/>
      </c>
      <c r="AEC42" s="3675"/>
      <c r="AED42" s="3547" t="e">
        <f>INDEX(klasseqty_bolting[vegg_length_gt4_a],MATCH($AI$54,klasseqty_bolting[Type_size],0))</f>
        <v>#N/A</v>
      </c>
      <c r="AEE42" s="3675"/>
      <c r="AEF42" s="2781" t="e">
        <f t="shared" ref="AEF42:AEF49" si="210">IF(ADR42=TRUE,AED42,AEB42)</f>
        <v>#N/A</v>
      </c>
      <c r="AEG42" s="3676"/>
      <c r="AEH42" s="2816"/>
      <c r="AEI42" s="3396"/>
      <c r="AEJ42" s="3396"/>
      <c r="AEK42" s="3396"/>
      <c r="AEL42" s="5788"/>
      <c r="AEM42" s="5788"/>
      <c r="AEN42" s="5788"/>
      <c r="AEO42" s="5788"/>
      <c r="AEP42" s="5788"/>
      <c r="AEQ42" s="5788"/>
      <c r="AER42" s="5788"/>
      <c r="AES42" s="5790"/>
      <c r="AET42" s="5789" t="b">
        <f>ISBLANK('!Egen_SK'!$X$248)</f>
        <v>0</v>
      </c>
      <c r="AEU42" s="5789"/>
      <c r="AEV42" s="2983">
        <f>'!Egen_SK'!$X$248</f>
        <v>1.5</v>
      </c>
      <c r="AEW42" s="5789"/>
      <c r="AEX42" s="2773" t="e">
        <f>INDEX(klasseqty_bergbånd[overlappingsfaktor_a],MATCH($AI$54,klasseqty_bergbånd[Type_size],0))</f>
        <v>#N/A</v>
      </c>
      <c r="AEY42" s="5789"/>
      <c r="AEZ42" s="3376">
        <f t="shared" ref="AEZ42:AEZ49" si="211">IF(AET42=TRUE,AEX42,AEV42)</f>
        <v>1.5</v>
      </c>
      <c r="AFA42" s="5142"/>
      <c r="AFB42" s="5145" t="b">
        <f>ISBLANK('!Egen_SK'!$X$255)</f>
        <v>1</v>
      </c>
      <c r="AFC42" s="5142"/>
      <c r="AFD42" s="2983">
        <f>'!Egen_SK'!$X$255</f>
        <v>0</v>
      </c>
      <c r="AFE42" s="5142"/>
      <c r="AFF42" s="2773" t="e">
        <f>INDEX(klasseqty_bergbånd[tilleggs_bergbånd_a],MATCH($AI$54,klasseqty_bergbånd[Type_size],0))</f>
        <v>#N/A</v>
      </c>
      <c r="AFG42" s="5142"/>
      <c r="AFH42" s="3376" t="e">
        <f t="shared" ref="AFH42:AFH49" si="212">IF(AFB42=TRUE,AFF42,AFD42)</f>
        <v>#N/A</v>
      </c>
      <c r="AFI42" s="5142"/>
      <c r="AFJ42" s="5145" t="b">
        <f>ISBLANK('!Egen_SK'!$X$262)</f>
        <v>1</v>
      </c>
      <c r="AFK42" s="5142"/>
      <c r="AFL42" s="2983">
        <f>'!Egen_SK'!$X$262</f>
        <v>0</v>
      </c>
      <c r="AFM42" s="5142"/>
      <c r="AFN42" s="3011" t="e">
        <f>INDEX(klasseqty_bergbånd[tilleggs_bergbånd_festebolter_senteravstand_a],MATCH($AI$54,klasseqty_bergbånd[Type_size],0))</f>
        <v>#N/A</v>
      </c>
      <c r="AFO42" s="5142"/>
      <c r="AFP42" s="2775" t="e">
        <f t="shared" ref="AFP42:AFP49" si="213">IF(AFJ42=TRUE,AFN42,AFL42)</f>
        <v>#N/A</v>
      </c>
      <c r="AFQ42" s="5142"/>
      <c r="AFR42" s="5142" t="b">
        <f>ISBLANK('!Egen_SK'!$X$266)</f>
        <v>1</v>
      </c>
      <c r="AFS42" s="5142"/>
      <c r="AFT42" s="2782">
        <f>'!Egen_SK'!$X$266</f>
        <v>0</v>
      </c>
      <c r="AFU42" s="5142"/>
      <c r="AFV42" s="3547" t="e">
        <f>INDEX(klasseqty_bergbånd[tilleggs_bergbånd_festebolter_lt4_a],MATCH($AI$54,klasseqty_bergbånd[Type_size],0))</f>
        <v>#N/A</v>
      </c>
      <c r="AFW42" s="5142"/>
      <c r="AFX42" s="2781" t="e">
        <f>IF(AFR42=TRUE,AFV42,AFT42)</f>
        <v>#N/A</v>
      </c>
      <c r="AFY42" s="5142"/>
      <c r="AFZ42" s="184"/>
      <c r="AGA42" s="5142"/>
      <c r="AGB42" s="5142"/>
      <c r="AGC42" s="5142"/>
      <c r="AGD42" s="2782" t="str">
        <f>IF(AFR42=FALSE,1-AFT42,"")</f>
        <v/>
      </c>
      <c r="AGE42" s="5142"/>
      <c r="AGF42" s="3547" t="e">
        <f>INDEX(klasseqty_bergbånd[tilleggs_bergbånd_festebolter_gt4_a],MATCH($AI$54,klasseqty_bergbånd[Type_size],0))</f>
        <v>#N/A</v>
      </c>
      <c r="AGG42" s="5142"/>
      <c r="AGH42" s="2781" t="e">
        <f>IF(AFR42=TRUE,AGF42,AGD42)</f>
        <v>#N/A</v>
      </c>
      <c r="AGI42" s="5146"/>
      <c r="AGJ42" s="5152"/>
      <c r="AGK42" s="5152"/>
      <c r="AGL42" s="5152"/>
      <c r="AGM42" s="5152"/>
      <c r="AGN42" s="2622"/>
      <c r="AGO42" s="3354" t="b">
        <f>ISBLANK('!Egen_SK'!$X$277)</f>
        <v>1</v>
      </c>
      <c r="AGP42" s="3318"/>
      <c r="AGQ42" s="2983">
        <f>'!Egen_SK'!$X$277</f>
        <v>0</v>
      </c>
      <c r="AGR42" s="3318"/>
      <c r="AGS42" s="3011" t="e">
        <f>INDEX(klasseqty_nett[nett_hypp_a],MATCH($AI$54,klasseqty_nett[Type_size],0))</f>
        <v>#N/A</v>
      </c>
      <c r="AGT42" s="3318"/>
      <c r="AGU42" s="3376" t="e">
        <f t="shared" ref="AGU42:AGU49" si="214">IF(AGO42=TRUE,AGS42,AGQ42)</f>
        <v>#N/A</v>
      </c>
      <c r="AGV42" s="5152"/>
      <c r="AGW42" s="5518" t="b">
        <f>ISBLANK('!Egen_SK'!$X$284)</f>
        <v>1</v>
      </c>
      <c r="AGX42" s="5517"/>
      <c r="AGY42" s="2983">
        <f>'!Egen_SK'!$X$284</f>
        <v>0</v>
      </c>
      <c r="AGZ42" s="5517"/>
      <c r="AHA42" s="3011" t="e">
        <f>INDEX(klasseqty_nett[nett_festebolter_avstand_a],MATCH($AI$54,klasseqty_nett[Type_size],0))</f>
        <v>#N/A</v>
      </c>
      <c r="AHB42" s="5517"/>
      <c r="AHC42" s="3376" t="e">
        <f t="shared" ref="AHC42:AHC49" si="215">IF(AGW42=TRUE,AHA42,AGY42)</f>
        <v>#N/A</v>
      </c>
      <c r="AHD42" s="5152"/>
      <c r="AHF42" s="5518" t="b">
        <f>ISBLANK('!Egen_SK'!$X$291)</f>
        <v>1</v>
      </c>
      <c r="AHG42" s="5517"/>
      <c r="AHH42" s="2983">
        <f>'!Egen_SK'!$X$291</f>
        <v>0</v>
      </c>
      <c r="AHI42" s="5517"/>
      <c r="AHJ42" s="3011" t="e">
        <f>INDEX(klasseqty_nett[nett_sprøytebetong_tykkelse_a],MATCH($AI$54,klasseqty_nett[Type_size],0))</f>
        <v>#N/A</v>
      </c>
      <c r="AHK42" s="5517"/>
      <c r="AHL42" s="3376" t="e">
        <f t="shared" ref="AHL42:AHL49" si="216">IF(AHF42=TRUE,AHJ42,AHH42)</f>
        <v>#N/A</v>
      </c>
      <c r="AHP42" s="3589"/>
      <c r="AHQ42" s="3587" t="b">
        <f>ISBLANK('!Egen_SK'!$X$129)</f>
        <v>1</v>
      </c>
      <c r="AHR42" s="3587"/>
      <c r="AHS42" s="2983">
        <f>'!Egen_SK'!$X$129</f>
        <v>0</v>
      </c>
      <c r="AHT42" s="3587"/>
      <c r="AHU42" s="3624" t="e">
        <f>INDEX(klasseqty_sprøyte[veder_tykkelse_a],MATCH($AI$54,klasseqty_sprøyte[Type_size],0))</f>
        <v>#N/A</v>
      </c>
      <c r="AHV42" s="3587"/>
      <c r="AHW42" s="2775" t="e">
        <f t="shared" ref="AHW42:AHW49" si="217">IF(AHQ42=TRUE,AHU42,AHS42)</f>
        <v>#N/A</v>
      </c>
      <c r="AHX42" s="3709"/>
      <c r="AHY42" s="2622"/>
      <c r="AHZ42" s="3677"/>
      <c r="AIA42" s="3675" t="b">
        <f>ISBLANK('!Egen_SK'!$X$136)</f>
        <v>1</v>
      </c>
      <c r="AIB42" s="3675"/>
      <c r="AIC42" s="2983">
        <f>'!Egen_SK'!$X$136</f>
        <v>0</v>
      </c>
      <c r="AID42" s="3675"/>
      <c r="AIE42" s="3624" t="e">
        <f>INDEX(klasseqty_sprøyte[vegg_tykkelse_a],MATCH($AI$54,klasseqty_sprøyte[Type_size],0))</f>
        <v>#N/A</v>
      </c>
      <c r="AIF42" s="3675"/>
      <c r="AIG42" s="2775" t="e">
        <f t="shared" ref="AIG42:AIG49" si="218">IF(AIA42=TRUE,AIE42,AIC42)</f>
        <v>#N/A</v>
      </c>
      <c r="AIH42" s="3709"/>
      <c r="AII42" s="184"/>
      <c r="AIJ42" s="3811"/>
      <c r="AIK42" s="3587" t="b">
        <f>ISBLANK('!Egen_SK'!$X$143)</f>
        <v>1</v>
      </c>
      <c r="AIL42" s="3587"/>
      <c r="AIM42" s="2983">
        <f>'!Egen_SK'!$X$143</f>
        <v>0</v>
      </c>
      <c r="AIN42" s="3587"/>
      <c r="AIO42" s="3011" t="e">
        <f>INDEX(klasseqty_sprøyte[ruhetfaktor_a],MATCH($AI$54,klasseqty_sprøyte[Type_size],0))</f>
        <v>#N/A</v>
      </c>
      <c r="AIP42" s="3587"/>
      <c r="AIQ42" s="2775" t="e">
        <f t="shared" ref="AIQ42:AIQ49" si="219">IF(AIK42=TRUE,AIO42,AIM42)</f>
        <v>#N/A</v>
      </c>
      <c r="AIR42" s="3753"/>
      <c r="AIS42" s="2622"/>
      <c r="AIT42" s="3677"/>
      <c r="AIU42" s="3675" t="b">
        <f>ISBLANK('!Egen_SK'!$X$193)</f>
        <v>1</v>
      </c>
      <c r="AIV42" s="3675"/>
      <c r="AIW42" s="3319">
        <f>'!Egen_SK'!$X$193</f>
        <v>0</v>
      </c>
      <c r="AIX42" s="3675"/>
      <c r="AIY42" s="2773" t="e">
        <f>INDEX(klasseqty_buer[dimensjon_a],MATCH($AI$54,klasseqty_buer[Type_size],0))</f>
        <v>#N/A</v>
      </c>
      <c r="AIZ42" s="3675"/>
      <c r="AJA42" s="2775" t="e">
        <f t="shared" ref="AJA42:AJA49" si="220">IF(AIU42=TRUE,AIY42,AIW42)</f>
        <v>#N/A</v>
      </c>
      <c r="AJB42" s="3675"/>
      <c r="AJC42" s="5162" t="b">
        <f>ISBLANK('!Egen_SK'!$X$198)</f>
        <v>1</v>
      </c>
      <c r="AJD42" s="5162"/>
      <c r="AJE42" s="2782">
        <f>'!Egen_SK'!$X$198</f>
        <v>0</v>
      </c>
      <c r="AJF42" s="5162"/>
      <c r="AJG42" s="3547" t="e">
        <f>INDEX(klasseqty_buer[andel_a],MATCH($AI$54,klasseqty_buer[Type_size],0))</f>
        <v>#N/A</v>
      </c>
      <c r="AJH42" s="5162"/>
      <c r="AJI42" s="4140" t="e">
        <f t="shared" ref="AJI42:AJI49" si="221">IF(AJC42=TRUE,AJG42,AJE42)</f>
        <v>#N/A</v>
      </c>
      <c r="AJJ42" s="5162"/>
      <c r="AJK42" s="3675" t="b">
        <f>ISBLANK('!Egen_SK'!$X$202)</f>
        <v>1</v>
      </c>
      <c r="AJL42" s="3675"/>
      <c r="AJM42" s="2983">
        <f>'!Egen_SK'!$X$202</f>
        <v>0</v>
      </c>
      <c r="AJN42" s="3675"/>
      <c r="AJO42" s="3011" t="e">
        <f>INDEX(klasseqty_buer[bue_senteravstand_a],MATCH($AI$54,klasseqty_buer[Type_size],0))</f>
        <v>#N/A</v>
      </c>
      <c r="AJP42" s="3675"/>
      <c r="AJQ42" s="2775" t="e">
        <f t="shared" ref="AJQ42:AJQ49" si="222">IF(AJK42=TRUE,AJO42,AJM42)</f>
        <v>#N/A</v>
      </c>
      <c r="AJR42" s="3675"/>
      <c r="AJS42" s="3675" t="b">
        <f>ISBLANK('!Egen_SK'!$X$206)</f>
        <v>1</v>
      </c>
      <c r="AJT42" s="3675"/>
      <c r="AJU42" s="2983">
        <f>'!Egen_SK'!$X$206</f>
        <v>0</v>
      </c>
      <c r="AJV42" s="3675"/>
      <c r="AJW42" s="3011" t="e">
        <f>INDEX(klasseqty_buer[utvidelse_a],MATCH($AI$54,klasseqty_buer[Type_size],0))</f>
        <v>#N/A</v>
      </c>
      <c r="AJX42" s="3675"/>
      <c r="AJY42" s="2775" t="e">
        <f t="shared" ref="AJY42:AJY49" si="223">IF(AJS42=TRUE,AJW42,AJU42)</f>
        <v>#N/A</v>
      </c>
      <c r="AJZ42" s="3676"/>
      <c r="AKA42" s="3675"/>
      <c r="AKB42" s="3675"/>
      <c r="AKC42" s="3582"/>
      <c r="AKD42" s="3581"/>
      <c r="AKE42" s="3582" t="b">
        <f>ISBLANK('!Egen_SK'!$X$213)</f>
        <v>1</v>
      </c>
      <c r="AKF42" s="3582"/>
      <c r="AKG42" s="2983">
        <f>'!Egen_SK'!$X$213</f>
        <v>0</v>
      </c>
      <c r="AKH42" s="3582"/>
      <c r="AKI42" s="3011" t="e">
        <f>INDEX(klasseqty_buer[radiellebolter_senteravstand_a],MATCH($AI$54,klasseqty_buer[Type_size],0))</f>
        <v>#N/A</v>
      </c>
      <c r="AKJ42" s="3582"/>
      <c r="AKK42" s="2775" t="e">
        <f t="shared" ref="AKK42:AKK49" si="224">IF(AKE42=TRUE,AKI42,AKG42)</f>
        <v>#N/A</v>
      </c>
      <c r="AKL42" s="3582"/>
      <c r="AKM42" s="3582" t="b">
        <f>ISBLANK('!Egen_SK'!$X$217)</f>
        <v>1</v>
      </c>
      <c r="AKN42" s="3582"/>
      <c r="AKO42" s="3712">
        <f>'!Egen_SK'!$X$217</f>
        <v>0</v>
      </c>
      <c r="AKP42" s="3582"/>
      <c r="AKQ42" s="3547" t="e">
        <f>INDEX(klasseqty_buer[radiellebolter_lt4_a],MATCH($AI$54,klasseqty_buer[Type_size],0))</f>
        <v>#N/A</v>
      </c>
      <c r="AKR42" s="3582"/>
      <c r="AKS42" s="2781" t="e">
        <f>IF(AKM42=TRUE,AKQ42,AKO42)</f>
        <v>#N/A</v>
      </c>
      <c r="AKT42" s="3582"/>
      <c r="AKU42" s="184"/>
      <c r="AKV42" s="3582"/>
      <c r="AKW42" s="3582"/>
      <c r="AKX42" s="2782" t="str">
        <f>IF(AKM42=FALSE,1-AKO42,"")</f>
        <v/>
      </c>
      <c r="AKY42" s="3582"/>
      <c r="AKZ42" s="3547" t="e">
        <f>INDEX(klasseqty_buer[radiellebolter_gt4_a],MATCH($AI$54,klasseqty_buer[Type_size],0))</f>
        <v>#N/A</v>
      </c>
      <c r="ALA42" s="3582"/>
      <c r="ALB42" s="3368" t="e">
        <f>IF(AKM42=TRUE,AKZ42,AKX42)</f>
        <v>#N/A</v>
      </c>
      <c r="ALC42" s="3643"/>
      <c r="ALD42" s="3589"/>
      <c r="ALE42" s="3587" t="b">
        <f>ISBLANK('!Egen_SK'!$X$226)</f>
        <v>1</v>
      </c>
      <c r="ALF42" s="3587"/>
      <c r="ALG42" s="2983">
        <f>'!Egen_SK'!$X$226</f>
        <v>0</v>
      </c>
      <c r="ALH42" s="3587"/>
      <c r="ALI42" s="3011" t="e">
        <f>INDEX(klasseqty_buer[tillegs-sprøytebetong_a],MATCH($AI$54,klasseqty_buer[Type_size],0))</f>
        <v>#N/A</v>
      </c>
      <c r="ALJ42" s="3587"/>
      <c r="ALK42" s="2775" t="e">
        <f t="shared" ref="ALK42:ALK49" si="225">IF(ALE42=TRUE,ALI42,ALG42)</f>
        <v>#N/A</v>
      </c>
      <c r="ALL42" s="3753"/>
      <c r="ALM42" s="2737"/>
      <c r="ALN42" s="3581"/>
      <c r="ALO42" s="3582" t="b">
        <f>ISBLANK('!Egen_SK'!$X$233)</f>
        <v>1</v>
      </c>
      <c r="ALP42" s="3582"/>
      <c r="ALQ42" s="3715">
        <f>'!Egen_SK'!$X$233</f>
        <v>0</v>
      </c>
      <c r="ALR42" s="3582"/>
      <c r="ALS42" s="3717" t="e">
        <f>INDEX(klasseqty_buer[forankring_a],MATCH($AI$54,klasseqty_buer[Type_size],0))</f>
        <v>#N/A</v>
      </c>
      <c r="ALT42" s="3582"/>
      <c r="ALU42" s="3719" t="e">
        <f t="shared" ref="ALU42:ALU49" si="226">IF(ALO42=TRUE,ALS42,ALQ42)</f>
        <v>#N/A</v>
      </c>
      <c r="ALV42" s="3582"/>
      <c r="ALW42" s="3582"/>
      <c r="ALX42" s="3582" t="b">
        <f>ISBLANK('!Egen_SK'!$X$237)</f>
        <v>1</v>
      </c>
      <c r="ALY42" s="3582"/>
      <c r="ALZ42" s="2782">
        <f>'!Egen_SK'!$X$237</f>
        <v>0</v>
      </c>
      <c r="AMA42" s="3582"/>
      <c r="AMB42" s="3547" t="e">
        <f>INDEX(klasseqty_buer[forankring_lt4_a],MATCH($AI$54,klasseqty_buer[Type_size],0))</f>
        <v>#N/A</v>
      </c>
      <c r="AMC42" s="3582"/>
      <c r="AMD42" s="2781" t="e">
        <f>IF(ALX42=TRUE,AMB42,ALZ42)</f>
        <v>#N/A</v>
      </c>
      <c r="AME42" s="3582"/>
      <c r="AMF42" s="184"/>
      <c r="AMG42" s="3582"/>
      <c r="AMH42" s="3582"/>
      <c r="AMI42" s="2782" t="str">
        <f>IF(ALX42=FALSE,1-ALZ42,"")</f>
        <v/>
      </c>
      <c r="AMJ42" s="3582"/>
      <c r="AMK42" s="3547" t="e">
        <f>INDEX(klasseqty_buer[forankring_gt4_a],MATCH($AI$54,klasseqty_buer[Type_size],0))</f>
        <v>#N/A</v>
      </c>
      <c r="AML42" s="3582"/>
      <c r="AMM42" s="3368" t="e">
        <f>IF(ALX42=TRUE,AMK42,AMI42)</f>
        <v>#N/A</v>
      </c>
      <c r="AMN42" s="5548"/>
      <c r="AMO42" s="5548"/>
      <c r="AMP42" s="5548"/>
      <c r="AMQ42" s="5548"/>
      <c r="AMR42" s="5548"/>
      <c r="AMS42" s="5548"/>
      <c r="AMT42" s="5548"/>
      <c r="AMU42" s="5548"/>
      <c r="AMV42" s="5548"/>
      <c r="AMW42" s="5548"/>
      <c r="AMX42" s="5548"/>
      <c r="AMY42" s="5548"/>
      <c r="AMZ42" s="5548"/>
      <c r="ANA42" s="5548"/>
      <c r="ANB42" s="5548"/>
      <c r="ANC42" s="5548"/>
      <c r="AND42" s="5548"/>
      <c r="ANE42" s="5548"/>
      <c r="ANF42" s="5548"/>
      <c r="ANG42" s="5548"/>
      <c r="ANH42" s="5548"/>
      <c r="ANI42" s="5548"/>
      <c r="ANJ42" s="5548"/>
      <c r="ANK42" s="5548"/>
      <c r="ANL42" s="5548"/>
      <c r="ANM42" s="5548"/>
      <c r="ANN42" s="5548"/>
      <c r="ANO42" s="5548"/>
      <c r="ANP42" s="5548"/>
      <c r="ANQ42" s="5548"/>
      <c r="ANR42" s="5548"/>
      <c r="ANS42" s="5548"/>
      <c r="ANT42" s="5548"/>
      <c r="ANU42" s="5548"/>
      <c r="ANV42" s="5548"/>
      <c r="ANW42" s="5548"/>
      <c r="ANX42" s="5548"/>
      <c r="ANY42" s="5548"/>
      <c r="ANZ42" s="5548"/>
      <c r="AOA42" s="5548"/>
      <c r="AOB42" s="5548"/>
      <c r="AOC42" s="5548"/>
      <c r="AOD42" s="5548"/>
      <c r="AOE42" s="5548"/>
      <c r="AOF42" s="5548"/>
      <c r="AOG42" s="5548"/>
      <c r="AOH42" s="5548"/>
      <c r="AOI42" s="5548"/>
      <c r="AOJ42" s="5548"/>
      <c r="AOK42" s="5548"/>
      <c r="AOL42" s="5548"/>
      <c r="AOM42" s="5548"/>
      <c r="AOO42" s="4125"/>
      <c r="AOP42" s="4124" t="b">
        <f>ISBLANK('!Egen_SK'!$X$157)</f>
        <v>0</v>
      </c>
      <c r="AOQ42" s="4124"/>
      <c r="AOR42" s="2983">
        <f>'!Egen_SK'!$X$157</f>
        <v>1</v>
      </c>
      <c r="AOS42" s="4124"/>
      <c r="AOT42" s="3547" t="e">
        <f>INDEX(klasseqty_forbolting[andel_av_tunnelklasse_a],MATCH($AI$54,klasseqty_forbolting[Type_size],0))</f>
        <v>#N/A</v>
      </c>
      <c r="AOU42" s="4124"/>
      <c r="AOV42" s="4140">
        <f t="shared" ref="AOV42:AOV49" si="227">IF(AOP42=TRUE,AOT42,AOR42)</f>
        <v>1</v>
      </c>
      <c r="AOW42" s="5162"/>
      <c r="AOX42" s="5162"/>
      <c r="AOY42" s="5162" t="b">
        <f>ISBLANK('!Egen_SK'!$X$157)</f>
        <v>0</v>
      </c>
      <c r="AOZ42" s="5162"/>
      <c r="APA42" s="2983">
        <f>IF(AOP42=FALSE,1,"")</f>
        <v>1</v>
      </c>
      <c r="APB42" s="5162"/>
      <c r="APC42" s="3624" t="e">
        <f>INDEX(klasseqty_forbolting[andel_av_tunnelklasse_a],MATCH($AI$54,klasseqty_forbolting[Type_size],0))</f>
        <v>#N/A</v>
      </c>
      <c r="APD42" s="5162"/>
      <c r="APE42" s="5165">
        <f t="shared" ref="APE42:APE49" si="228">IF(AOY42=TRUE,APC42,APA42)</f>
        <v>1</v>
      </c>
      <c r="APF42" s="4124"/>
      <c r="APG42" s="3587" t="b">
        <f>ISBLANK('!Egen_SK'!$X$152)</f>
        <v>1</v>
      </c>
      <c r="APH42" s="3587"/>
      <c r="API42" s="2983">
        <f>'!Egen_SK'!$X$152</f>
        <v>0</v>
      </c>
      <c r="APJ42" s="3587"/>
      <c r="APK42" s="3011" t="e">
        <f>INDEX(klasseqty_forbolting[bueområde_a],MATCH($AI$54,klasseqty_forbolting[Type_size],0))</f>
        <v>#N/A</v>
      </c>
      <c r="APL42" s="3587"/>
      <c r="APM42" s="2775" t="e">
        <f t="shared" ref="APM42:APM49" si="229">IF(APG42=TRUE,APK42,API42)</f>
        <v>#N/A</v>
      </c>
      <c r="APN42" s="3587"/>
      <c r="APO42" s="3587" t="b">
        <f>ISBLANK('!Egen_SK'!$X$165)</f>
        <v>0</v>
      </c>
      <c r="APP42" s="3587"/>
      <c r="APQ42" s="2983">
        <f>'!Egen_SK'!$X$165</f>
        <v>5</v>
      </c>
      <c r="APR42" s="3587"/>
      <c r="APS42" s="3011" t="e">
        <f>INDEX(klasseqty_forbolting[forbolting_senteravstand_a],MATCH($AI$54,klasseqty_forbolting[Type_size],0))</f>
        <v>#N/A</v>
      </c>
      <c r="APT42" s="3587"/>
      <c r="APU42" s="2775">
        <f t="shared" ref="APU42:APU49" si="230">IF(APO42=TRUE,APS42,APQ42)</f>
        <v>5</v>
      </c>
      <c r="APV42" s="3587"/>
      <c r="APW42" s="3587" t="b">
        <f>ISBLANK('!Egen_SK'!$X$169)</f>
        <v>0</v>
      </c>
      <c r="APX42" s="3587"/>
      <c r="APY42" s="3712">
        <f>'!Egen_SK'!$X$169</f>
        <v>1</v>
      </c>
      <c r="APZ42" s="3587"/>
      <c r="AQA42" s="3547" t="e">
        <f>INDEX(klasseqty_forbolting[forbolting_lt4_a],MATCH($AI$54,klasseqty_forbolting[Type_size],0))</f>
        <v>#N/A</v>
      </c>
      <c r="AQB42" s="3587"/>
      <c r="AQC42" s="2781">
        <f>IF(APW42=TRUE,AQA42,APY42)</f>
        <v>1</v>
      </c>
      <c r="AQD42" s="3587"/>
      <c r="AQE42" s="184"/>
      <c r="AQF42" s="3587"/>
      <c r="AQG42" s="3587"/>
      <c r="AQH42" s="2782">
        <f>IF(APW42=FALSE,1-APY42,"")</f>
        <v>0</v>
      </c>
      <c r="AQI42" s="3587"/>
      <c r="AQJ42" s="3547" t="e">
        <f>INDEX(klasseqty_forbolting[forbolting_gt4_a],MATCH($AI$54,klasseqty_forbolting[Type_size],0))</f>
        <v>#N/A</v>
      </c>
      <c r="AQK42" s="3587"/>
      <c r="AQL42" s="3368">
        <f>IF(APW42=TRUE,AQJ42,AQH42)</f>
        <v>0</v>
      </c>
      <c r="AQN42" s="3589"/>
      <c r="AQO42" s="3587" t="b">
        <f>ISBLANK('!Egen_SK'!$X$178)</f>
        <v>1</v>
      </c>
      <c r="AQP42" s="3587"/>
      <c r="AQQ42" s="2983">
        <f>'!Egen_SK'!$X$178</f>
        <v>0</v>
      </c>
      <c r="AQR42" s="3587"/>
      <c r="AQS42" s="3011" t="e">
        <f>INDEX(klasseqty_forbolting[oppheng_senteravstand_a],MATCH($AI$54,klasseqty_forbolting[Type_size],0))</f>
        <v>#N/A</v>
      </c>
      <c r="AQT42" s="3587"/>
      <c r="AQU42" s="2775" t="e">
        <f t="shared" ref="AQU42:AQU49" si="231">IF(AQO42=TRUE,AQS42,AQQ42)</f>
        <v>#N/A</v>
      </c>
      <c r="AQV42" s="3587"/>
      <c r="AQW42" s="3587" t="b">
        <f>ISBLANK('!Egen_SK'!$X$182)</f>
        <v>1</v>
      </c>
      <c r="AQX42" s="3587"/>
      <c r="AQY42" s="3712">
        <f>'!Egen_SK'!$X$182</f>
        <v>0</v>
      </c>
      <c r="AQZ42" s="3587"/>
      <c r="ARA42" s="3547" t="e">
        <f>INDEX(klasseqty_forbolting[oppheng_lt4_a],MATCH($AI$54,klasseqty_forbolting[Type_size],0))</f>
        <v>#N/A</v>
      </c>
      <c r="ARB42" s="3587"/>
      <c r="ARC42" s="2781" t="e">
        <f>IF(AQW42=TRUE,ARA42,AQY42)</f>
        <v>#N/A</v>
      </c>
      <c r="ARD42" s="3587"/>
      <c r="ARE42" s="184"/>
      <c r="ARF42" s="3587"/>
      <c r="ARG42" s="3587"/>
      <c r="ARH42" s="2782" t="str">
        <f>IF(AQW42=FALSE,1-AQY42,"")</f>
        <v/>
      </c>
      <c r="ARI42" s="3587"/>
      <c r="ARJ42" s="3547" t="e">
        <f>INDEX(klasseqty_forbolting[oppheng_gt4_a],MATCH($AI$54,klasseqty_forbolting[Type_size],0))</f>
        <v>#N/A</v>
      </c>
      <c r="ARK42" s="3587"/>
      <c r="ARL42" s="3368" t="e">
        <f>IF(AQW42=TRUE,ARJ42,ARH42)</f>
        <v>#N/A</v>
      </c>
      <c r="ART42" s="3354" t="b">
        <f>ISBLANK('!Egen_SK'!#REF!)</f>
        <v>0</v>
      </c>
      <c r="ARU42" s="3318"/>
      <c r="ARV42" s="3712">
        <f>'!Egen_SK'!$X$312</f>
        <v>0</v>
      </c>
      <c r="ARW42" s="3318"/>
      <c r="ARX42" s="3624" t="e">
        <f>INDEX(klasseqty_sik1234[sikringsstøp_hypp_a],MATCH($AI$54,klasseqty_sik1234[Type_size],0))</f>
        <v>#N/A</v>
      </c>
      <c r="ARY42" s="3318"/>
      <c r="ARZ42" s="2775">
        <f t="shared" ref="ARZ42:ARZ49" si="232">IF(ART42=TRUE,ARX42,ARV42)</f>
        <v>0</v>
      </c>
      <c r="ASA42" s="184"/>
      <c r="ASB42" s="3318" t="b">
        <f>ISBLANK('!Egen_SK'!$X$316)</f>
        <v>1</v>
      </c>
      <c r="ASC42" s="3318"/>
      <c r="ASD42" s="2983">
        <f>'!Egen_SK'!$X$316</f>
        <v>0</v>
      </c>
      <c r="ASE42" s="3318"/>
      <c r="ASF42" s="3547" t="e">
        <f>INDEX(klasseqty_sik1234[sikringsstøp_123_a],MATCH($AI$54,klasseqty_sik1234[Type_size],0))</f>
        <v>#N/A</v>
      </c>
      <c r="ASG42" s="3318"/>
      <c r="ASH42" s="2781" t="e">
        <f>IF(ASB42=TRUE,ASF42,ASD42)</f>
        <v>#N/A</v>
      </c>
      <c r="ASI42" s="3318"/>
      <c r="ASJ42" s="184"/>
      <c r="ASK42" s="3318"/>
      <c r="ASL42" s="3318"/>
      <c r="ASM42" s="2782" t="str">
        <f>IF(ASB42=FALSE,1-ASD42,"")</f>
        <v/>
      </c>
      <c r="ASN42" s="3318"/>
      <c r="ASO42" s="3547" t="e">
        <f>INDEX(klasseqty_sik1234[sikringsstøp_4_a],MATCH($AI$54,klasseqty_sik1234[Type_size],0))</f>
        <v>#N/A</v>
      </c>
      <c r="ASP42" s="3318"/>
      <c r="ASQ42" s="3368" t="e">
        <f>IF(ASB42=TRUE,ASO42,ASM42)</f>
        <v>#N/A</v>
      </c>
      <c r="ASR42" s="2737"/>
      <c r="ASS42" s="2737"/>
      <c r="ATA42" s="2622"/>
      <c r="ATB42" s="2622"/>
      <c r="ATC42" s="2622"/>
      <c r="ATD42" s="2622"/>
      <c r="ATE42" s="2622"/>
      <c r="ATF42" s="2622"/>
      <c r="ATG42" s="2622"/>
      <c r="ATH42" s="2622"/>
      <c r="ATI42" s="2622"/>
      <c r="ATJ42" s="2622"/>
      <c r="ATK42" s="2622"/>
      <c r="ATL42" s="3595" t="s">
        <v>164</v>
      </c>
      <c r="ATM42" s="3532"/>
      <c r="ATN42" s="3433">
        <f>ATU42</f>
        <v>0</v>
      </c>
      <c r="ATO42" s="3447" t="e">
        <f>(ATN42*#REF!)+#REF!</f>
        <v>#REF!</v>
      </c>
      <c r="ATP42" s="3433"/>
      <c r="ATQ42" s="3451">
        <f t="shared" si="85"/>
        <v>25.96</v>
      </c>
      <c r="ATR42" s="3451"/>
      <c r="ATS42" s="3433">
        <f t="shared" si="86"/>
        <v>3.5779999999999998</v>
      </c>
      <c r="ATT42" s="3525">
        <f>ATQ42-(ATS42*2)</f>
        <v>18.804000000000002</v>
      </c>
      <c r="ATU42" s="3452"/>
      <c r="ATV42" s="2622"/>
      <c r="ATW42" s="2622"/>
      <c r="ATX42" s="2617"/>
      <c r="ATY42" s="2617"/>
      <c r="ATZ42" s="3458"/>
      <c r="AUA42" s="3458"/>
      <c r="AUB42" s="2617"/>
      <c r="AUC42" s="2617"/>
      <c r="AUD42" s="2617"/>
      <c r="AUE42" s="2617"/>
      <c r="AUF42" s="2617"/>
      <c r="AUG42" s="2617"/>
      <c r="AUH42" s="2617"/>
      <c r="AUI42" s="2617"/>
      <c r="AUJ42" s="2617"/>
      <c r="AUK42" s="2617"/>
      <c r="AUL42" s="2617"/>
      <c r="AUM42" s="2617"/>
      <c r="AUN42" s="2617"/>
      <c r="AUO42" s="2617"/>
      <c r="AUP42" s="2617"/>
      <c r="AUQ42" s="2617"/>
      <c r="AUR42" s="2617"/>
      <c r="AUS42" s="2617"/>
      <c r="AUT42" s="2617"/>
      <c r="AUU42" s="2617"/>
      <c r="AUV42" s="2617"/>
      <c r="AUW42" s="2617"/>
      <c r="AUX42" s="2617"/>
      <c r="AUY42" s="2617"/>
      <c r="AUZ42" s="2617"/>
      <c r="AVA42" s="2617"/>
      <c r="AVB42" s="2617"/>
      <c r="AVC42" s="2617"/>
      <c r="AVD42" s="2617"/>
      <c r="AVE42" s="2617"/>
      <c r="AVF42" s="2617"/>
      <c r="AVG42" s="2617"/>
      <c r="AVH42" s="2617"/>
      <c r="AVI42" s="2617"/>
      <c r="AVJ42" s="2617"/>
      <c r="AVK42" s="2617"/>
      <c r="AVL42" s="2617"/>
      <c r="AVM42" s="2617"/>
      <c r="AVN42" s="2617"/>
      <c r="AVO42" s="2617"/>
      <c r="AVP42" s="2617"/>
      <c r="AVQ42" s="2617"/>
      <c r="AVR42" s="2617"/>
      <c r="AVS42" s="2617"/>
      <c r="AVT42" s="2617"/>
      <c r="AVU42" s="2617"/>
      <c r="AVV42" s="2617"/>
      <c r="AVW42" s="2617"/>
      <c r="AVX42" s="2617"/>
      <c r="AVY42" s="2617"/>
      <c r="AVZ42" s="2617"/>
      <c r="AWA42" s="2617"/>
      <c r="AWB42" s="2617"/>
      <c r="AWC42" s="2617"/>
      <c r="AWD42" s="2617"/>
      <c r="AWE42" s="2617"/>
      <c r="AWF42" s="2617"/>
      <c r="AWG42" s="2617"/>
      <c r="AWH42" s="2617"/>
      <c r="AWI42" s="2617"/>
      <c r="AWJ42" s="2617"/>
      <c r="AWK42" s="2617"/>
      <c r="AWL42" s="2617"/>
      <c r="AWM42" s="2617"/>
      <c r="AWN42" s="2617"/>
      <c r="AWO42" s="2617"/>
      <c r="AWP42" s="2617"/>
      <c r="AWQ42" s="2617"/>
      <c r="AWR42" s="2617"/>
      <c r="AWS42" s="3549"/>
      <c r="AWT42" s="3549"/>
      <c r="AWU42" s="3549"/>
      <c r="AWV42" s="3549"/>
      <c r="AWW42" s="3549"/>
      <c r="AWX42" s="3549"/>
      <c r="AWY42" s="235" t="s">
        <v>1268</v>
      </c>
      <c r="AWZ42" s="3524">
        <v>4.8</v>
      </c>
      <c r="AXA42" s="3524">
        <v>4.8</v>
      </c>
      <c r="AXB42" s="3524">
        <v>4.8</v>
      </c>
      <c r="AXC42" s="3524">
        <v>4.8</v>
      </c>
      <c r="AXD42" s="3524">
        <v>4.8</v>
      </c>
      <c r="AXE42" s="3524">
        <v>3</v>
      </c>
      <c r="AXF42" s="3524">
        <v>3</v>
      </c>
      <c r="AXG42" s="3620">
        <v>2</v>
      </c>
      <c r="AXH42" s="3549"/>
      <c r="AXI42" s="3549"/>
      <c r="AXJ42" s="3549"/>
      <c r="AXK42" s="3549"/>
      <c r="AXL42" s="3549"/>
      <c r="AXM42" s="3549"/>
      <c r="AXN42" s="3549"/>
      <c r="AXO42" s="3549"/>
      <c r="AXP42" s="3549"/>
      <c r="AXQ42" s="3549"/>
      <c r="AXR42" s="3549"/>
      <c r="AXS42" s="3549"/>
      <c r="AXT42" s="3549"/>
      <c r="AXU42" s="3549"/>
      <c r="AXV42" s="3549"/>
      <c r="AXW42" s="3549"/>
      <c r="AXX42" s="3549"/>
      <c r="AXY42" s="3549"/>
      <c r="AXZ42" s="3549"/>
      <c r="AYA42" s="3549"/>
      <c r="AYB42" s="3549"/>
      <c r="AYC42" s="3549"/>
      <c r="AYD42" s="3549"/>
      <c r="AYE42" s="3549"/>
      <c r="AYG42" s="2690"/>
      <c r="AYK42" s="2690"/>
      <c r="AYL42" s="2690" t="s">
        <v>1179</v>
      </c>
      <c r="AYT42" s="185"/>
      <c r="AYU42" s="3403"/>
      <c r="AYV42" s="2690" t="s">
        <v>1177</v>
      </c>
      <c r="AYW42" s="2690" t="s">
        <v>142</v>
      </c>
      <c r="AYX42" s="3407"/>
      <c r="AYY42" s="2690" t="s">
        <v>1177</v>
      </c>
      <c r="AYZ42" s="2690" t="s">
        <v>142</v>
      </c>
      <c r="AZA42" s="3407"/>
      <c r="AZB42" s="3427"/>
      <c r="AZC42" s="2720"/>
      <c r="AZD42" s="2720"/>
      <c r="AZE42" s="2622"/>
      <c r="AZF42" s="2622"/>
      <c r="AZG42" s="2622"/>
      <c r="AZH42" s="2622"/>
      <c r="AZI42" s="2622"/>
      <c r="AZJ42" s="2622"/>
      <c r="AZK42" s="2622"/>
      <c r="AZL42" s="2690"/>
      <c r="AZM42" s="2622"/>
      <c r="AZN42" s="2622"/>
      <c r="AZO42" s="2622"/>
      <c r="AZP42" s="2622"/>
      <c r="AZQ42" s="2622"/>
      <c r="AZR42" s="2622"/>
      <c r="AZS42" s="2622"/>
      <c r="AZT42" s="2622"/>
      <c r="AZU42" s="2622"/>
      <c r="AZV42" s="372" t="s">
        <v>894</v>
      </c>
      <c r="AZW42" s="2717">
        <v>1</v>
      </c>
      <c r="AZX42" s="2994">
        <v>1.5</v>
      </c>
      <c r="AZY42" s="2682" t="str">
        <f>_List!DO8</f>
        <v>Dobbelt</v>
      </c>
      <c r="AZZ42" s="2995">
        <v>0.75</v>
      </c>
      <c r="BAA42" s="2780">
        <v>0.5</v>
      </c>
      <c r="BAB42" s="2993">
        <f>1-BAA42</f>
        <v>0.5</v>
      </c>
      <c r="BAC42" s="2622"/>
      <c r="BAD42" s="2622"/>
      <c r="BAE42" s="2622"/>
      <c r="BAF42" s="2622"/>
      <c r="BAG42" s="2622"/>
      <c r="BAH42" s="2622"/>
      <c r="BAI42" s="2622"/>
      <c r="BAJ42" s="372" t="s">
        <v>894</v>
      </c>
      <c r="BAK42" s="2717">
        <v>8</v>
      </c>
      <c r="BAL42" s="2795">
        <v>0.5</v>
      </c>
      <c r="BAM42" s="2779">
        <f t="shared" si="208"/>
        <v>0.5</v>
      </c>
      <c r="BAN42" s="2715"/>
      <c r="BAO42" s="2622"/>
      <c r="BAP42" s="2622"/>
      <c r="BAQ42" s="2622"/>
      <c r="BAT42" s="2622"/>
      <c r="BBG42" s="2622"/>
      <c r="BBH42" s="2622"/>
      <c r="BBK42" s="2622"/>
      <c r="BBQ42" s="3398"/>
      <c r="BCJ42" s="2617"/>
      <c r="BCK42" s="2617"/>
      <c r="BCL42" s="2617"/>
      <c r="BCM42" s="2617"/>
      <c r="BCN42" s="2617"/>
      <c r="BCO42" s="2617"/>
      <c r="BCP42" s="2617"/>
      <c r="BCQ42" s="2617"/>
      <c r="BCR42" s="2617"/>
      <c r="BCS42" s="2617"/>
      <c r="BCT42" s="2617"/>
      <c r="BCU42" s="2617"/>
      <c r="BCV42" s="2617"/>
      <c r="BCW42" s="2617"/>
      <c r="BCX42" s="2617"/>
      <c r="BCY42" s="2617"/>
      <c r="BCZ42" s="2617"/>
      <c r="BDA42" s="2617"/>
      <c r="BDB42" s="2617"/>
      <c r="BDC42" s="2617"/>
      <c r="BDD42" s="2617"/>
      <c r="BDE42" s="2617"/>
      <c r="BDF42" s="2617"/>
      <c r="BDG42" s="2617"/>
      <c r="BDH42" s="2617"/>
      <c r="BDI42" s="2617"/>
      <c r="BDL42" s="2617"/>
      <c r="BDM42" s="2617"/>
      <c r="BDN42" s="2617"/>
      <c r="BDO42" s="2617"/>
      <c r="BDP42" s="2617"/>
      <c r="BDQ42" s="2617"/>
      <c r="BDR42" s="2617"/>
      <c r="BDS42" s="2617"/>
      <c r="BDT42" s="2617"/>
      <c r="BDU42" s="2617"/>
      <c r="BDV42" s="2617"/>
      <c r="BDW42" s="2617"/>
      <c r="BDZ42" s="2617"/>
      <c r="BEA42" s="2617"/>
      <c r="BEB42" s="2617"/>
      <c r="BEC42" s="2617"/>
      <c r="BED42" s="2617"/>
      <c r="BEE42" s="2617"/>
      <c r="BEH42" s="2617"/>
    </row>
    <row r="43" spans="1:1490" ht="15.75" thickTop="1" x14ac:dyDescent="0.2">
      <c r="AF43" s="4200" t="s">
        <v>2646</v>
      </c>
      <c r="AG43" s="181"/>
      <c r="AH43" s="5845" t="s">
        <v>1541</v>
      </c>
      <c r="AI43" s="5846" t="e">
        <f>IF(OR(AI42&gt;AI40/2,AI42=AI40/2),0,1)</f>
        <v>#N/A</v>
      </c>
      <c r="AK43" s="3403">
        <f>_Calcs!AI38</f>
        <v>5</v>
      </c>
      <c r="AL43" s="4146">
        <f>_Calcs!AL25</f>
        <v>0</v>
      </c>
      <c r="AM43" s="4145">
        <f>_Calcs!AJ38</f>
        <v>0</v>
      </c>
      <c r="CG43" s="5851"/>
      <c r="CH43" s="5813"/>
      <c r="CI43" s="5851"/>
      <c r="CJ43" s="5851"/>
      <c r="CK43" s="5884"/>
      <c r="CL43" s="5871"/>
      <c r="CM43" s="5871"/>
      <c r="CN43" s="5871"/>
      <c r="CO43" s="5871"/>
      <c r="CP43" s="5871"/>
      <c r="CQ43" s="5871"/>
      <c r="CR43" s="5871"/>
      <c r="CS43" s="5871"/>
      <c r="CT43" s="5871"/>
      <c r="CU43" s="5871"/>
      <c r="CV43" s="5871"/>
      <c r="CW43" s="5871"/>
      <c r="CX43" s="5871"/>
      <c r="CY43" s="5871"/>
      <c r="CZ43" s="5871"/>
      <c r="DA43" s="5871"/>
      <c r="DB43" s="5871"/>
      <c r="DC43" s="5871"/>
      <c r="DD43" s="5871"/>
      <c r="DE43" s="5871"/>
      <c r="DF43" s="5871"/>
      <c r="DG43" s="5871"/>
      <c r="DH43" s="5871"/>
      <c r="DI43" s="5871"/>
      <c r="DJ43" s="5871"/>
      <c r="DK43" s="5871"/>
      <c r="DL43" s="5871"/>
      <c r="DM43" s="5871"/>
      <c r="DN43" s="5872"/>
      <c r="DO43" s="5872"/>
      <c r="DP43" s="5872"/>
      <c r="DQ43" s="5872"/>
      <c r="DR43" s="5872"/>
      <c r="DS43" s="5872"/>
      <c r="DT43" s="5872"/>
      <c r="DU43" s="5872"/>
      <c r="DV43" s="5872"/>
      <c r="DW43" s="5872"/>
      <c r="DX43" s="5872"/>
      <c r="DY43" s="5872"/>
      <c r="DZ43" s="5872"/>
      <c r="EA43" s="5872"/>
      <c r="EB43" s="5872"/>
      <c r="EC43" s="5872"/>
      <c r="ED43" s="5872"/>
      <c r="EE43" s="5872"/>
      <c r="EF43" s="5871"/>
      <c r="EG43" s="5871"/>
      <c r="EH43" s="5871"/>
      <c r="EI43" s="5871"/>
      <c r="EJ43" s="5871"/>
      <c r="EK43" s="5871"/>
      <c r="EL43" s="5871"/>
      <c r="EM43" s="5871"/>
      <c r="EN43" s="5871"/>
      <c r="EO43" s="5871"/>
      <c r="EP43" s="5871"/>
      <c r="EQ43" s="5871"/>
      <c r="ER43" s="5871"/>
      <c r="ES43" s="5871"/>
      <c r="ET43" s="5871"/>
      <c r="EU43" s="5871"/>
      <c r="EV43" s="5871"/>
      <c r="EW43" s="5819"/>
      <c r="EX43" s="5871"/>
      <c r="EY43" s="5871"/>
      <c r="EZ43" s="5871"/>
      <c r="FA43" s="5871"/>
      <c r="FB43" s="5871"/>
      <c r="FC43" s="5871"/>
      <c r="FD43" s="5871"/>
      <c r="FE43" s="5871"/>
      <c r="FF43" s="5871"/>
      <c r="FG43" s="5871"/>
      <c r="FH43" s="5871"/>
      <c r="FI43" s="5871"/>
      <c r="FJ43" s="5871"/>
      <c r="FK43" s="5871"/>
      <c r="FL43" s="5871"/>
      <c r="FM43" s="5871"/>
      <c r="FN43" s="5871"/>
      <c r="FO43" s="5871"/>
      <c r="FP43" s="5871"/>
      <c r="FQ43" s="5871"/>
      <c r="FR43" s="5871"/>
      <c r="FS43" s="5871"/>
      <c r="FT43" s="5871"/>
      <c r="FU43" s="5871"/>
      <c r="FV43" s="5871"/>
      <c r="FW43" s="5871"/>
      <c r="FX43" s="5871"/>
      <c r="FY43" s="5871"/>
      <c r="FZ43" s="5871"/>
      <c r="GA43" s="5871"/>
      <c r="GB43" s="5871"/>
      <c r="GC43" s="5871"/>
      <c r="GD43" s="5871"/>
      <c r="GE43" s="5871"/>
      <c r="GF43" s="5871"/>
      <c r="GG43" s="5871"/>
      <c r="GH43" s="5871"/>
      <c r="GI43" s="5871"/>
      <c r="GJ43" s="5871"/>
      <c r="GK43" s="5871"/>
      <c r="GL43" s="5871"/>
      <c r="GM43" s="5871"/>
      <c r="GN43" s="5871"/>
      <c r="GO43" s="5871"/>
      <c r="GP43" s="5871"/>
      <c r="GQ43" s="5871"/>
      <c r="GR43" s="5871"/>
      <c r="GS43" s="5871"/>
      <c r="GT43" s="5871"/>
      <c r="GU43" s="5871"/>
      <c r="GV43" s="5871"/>
      <c r="GW43" s="5871"/>
      <c r="GX43" s="5871"/>
      <c r="GY43" s="5871"/>
      <c r="GZ43" s="5871"/>
      <c r="HA43" s="5871"/>
      <c r="HB43" s="5871"/>
      <c r="HC43" s="5871"/>
      <c r="HD43" s="5871"/>
      <c r="HE43" s="5871"/>
      <c r="HF43" s="5871"/>
      <c r="HG43" s="5871"/>
      <c r="HH43" s="5871"/>
      <c r="HI43" s="5871"/>
      <c r="HJ43" s="5871"/>
      <c r="HK43" s="5871"/>
      <c r="HL43" s="5871"/>
      <c r="HM43" s="5871"/>
      <c r="HN43" s="5871"/>
      <c r="HO43" s="5872"/>
      <c r="HP43" s="5872"/>
      <c r="HQ43" s="5872"/>
      <c r="HR43" s="5819"/>
      <c r="HS43" s="5819"/>
      <c r="HT43" s="5819"/>
      <c r="HU43" s="5855"/>
      <c r="HV43" s="5856"/>
      <c r="HW43" s="5819"/>
      <c r="HX43" s="5819"/>
      <c r="HY43" s="5819"/>
      <c r="HZ43" s="5855"/>
      <c r="IA43" s="5856"/>
      <c r="IB43" s="5819"/>
      <c r="IC43" s="5819"/>
      <c r="ID43" s="5819"/>
      <c r="IE43" s="5855"/>
      <c r="IF43" s="5856"/>
      <c r="IG43" s="5819"/>
      <c r="IH43" s="5819"/>
      <c r="II43" s="5819"/>
      <c r="IJ43" s="5855"/>
      <c r="IK43" s="5856"/>
      <c r="IL43" s="5819"/>
      <c r="IM43" s="5819"/>
      <c r="IN43" s="5819"/>
      <c r="IO43" s="5855"/>
      <c r="IP43" s="5856"/>
      <c r="IQ43" s="5819"/>
      <c r="IR43" s="5819"/>
      <c r="IS43" s="5819"/>
      <c r="IT43" s="5855"/>
      <c r="IU43" s="5856"/>
      <c r="IV43" s="5819"/>
      <c r="IW43" s="5819"/>
      <c r="IX43" s="5819"/>
      <c r="IY43" s="5855"/>
      <c r="IZ43" s="5856"/>
      <c r="JA43" s="5819"/>
      <c r="JB43" s="5819"/>
      <c r="JC43" s="5819"/>
      <c r="JD43" s="5855"/>
      <c r="JE43" s="5856"/>
      <c r="JF43" s="5819"/>
      <c r="JG43" s="5819"/>
      <c r="JH43" s="5819"/>
      <c r="JI43" s="5819"/>
      <c r="JJ43" s="5819"/>
      <c r="JK43" s="5819"/>
      <c r="JL43" s="5819"/>
      <c r="JM43" s="5819"/>
      <c r="JN43" s="5819"/>
      <c r="JO43" s="5819"/>
      <c r="JP43" s="5819"/>
      <c r="JQ43" s="5819"/>
      <c r="JR43" s="5819"/>
      <c r="JS43" s="5819"/>
      <c r="JT43" s="5819"/>
      <c r="JU43" s="5819"/>
      <c r="JV43" s="5857"/>
      <c r="JW43" s="5857"/>
      <c r="JX43" s="5819"/>
      <c r="JY43" s="5819"/>
      <c r="JZ43" s="5819"/>
      <c r="KA43" s="5819"/>
      <c r="KB43" s="5819"/>
      <c r="KC43" s="5819"/>
      <c r="KD43" s="5819"/>
      <c r="KE43" s="5819"/>
      <c r="KF43" s="5819"/>
      <c r="KG43" s="5819"/>
      <c r="KH43" s="5819"/>
      <c r="KI43" s="5819"/>
      <c r="KJ43" s="5819"/>
      <c r="KK43" s="5819"/>
      <c r="KL43" s="5819"/>
      <c r="KM43" s="5819"/>
      <c r="KN43" s="5819"/>
      <c r="KO43" s="5819"/>
      <c r="KP43" s="5819"/>
      <c r="KQ43" s="5819"/>
      <c r="KR43" s="5819"/>
      <c r="KS43" s="5819"/>
      <c r="KT43" s="5819"/>
      <c r="KU43" s="5819"/>
      <c r="KV43" s="5819"/>
      <c r="KW43" s="5819"/>
      <c r="KX43" s="5819"/>
      <c r="KY43" s="5819"/>
      <c r="KZ43" s="5819"/>
      <c r="LA43" s="5819"/>
      <c r="LB43" s="5819"/>
      <c r="LC43" s="5819"/>
      <c r="LD43" s="5858"/>
      <c r="LE43" s="5858"/>
      <c r="LF43" s="5871"/>
      <c r="LG43" s="5871"/>
      <c r="LH43" s="5871"/>
      <c r="LI43" s="5871"/>
      <c r="LJ43" s="5871"/>
      <c r="LK43" s="5871"/>
      <c r="LL43" s="5871"/>
      <c r="LM43" s="5871"/>
      <c r="LN43" s="5871"/>
      <c r="LO43" s="5871"/>
      <c r="LP43" s="5871"/>
      <c r="LQ43" s="5871"/>
      <c r="LR43" s="5871"/>
      <c r="LS43" s="5871"/>
      <c r="LT43" s="5871"/>
      <c r="LU43" s="5871"/>
      <c r="LV43" s="5871"/>
      <c r="LW43" s="5871"/>
      <c r="LX43" s="5872"/>
      <c r="LY43" s="5873"/>
      <c r="LZ43" s="5872"/>
      <c r="MA43" s="5873"/>
      <c r="MB43" s="5872"/>
      <c r="MC43" s="5873"/>
      <c r="MD43" s="5872"/>
      <c r="ME43" s="5873"/>
      <c r="MF43" s="5872"/>
      <c r="MG43" s="5873"/>
      <c r="MH43" s="5872"/>
      <c r="MI43" s="5873"/>
      <c r="MJ43" s="5872"/>
      <c r="MK43" s="5873"/>
      <c r="ML43" s="5872"/>
      <c r="MM43" s="5873"/>
      <c r="MN43" s="5871"/>
      <c r="MO43" s="5872"/>
      <c r="MP43" s="5872"/>
      <c r="MQ43" s="5872"/>
      <c r="MR43" s="5872"/>
      <c r="MS43" s="5872"/>
      <c r="MT43" s="5872"/>
      <c r="MU43" s="5872"/>
      <c r="MV43" s="5872"/>
      <c r="MW43" s="5871"/>
      <c r="MX43" s="5872"/>
      <c r="MY43" s="5872"/>
      <c r="MZ43" s="5872"/>
      <c r="NA43" s="5872"/>
      <c r="NB43" s="5872"/>
      <c r="NC43" s="5872"/>
      <c r="ND43" s="5872"/>
      <c r="NE43" s="5872"/>
      <c r="NF43" s="5872"/>
      <c r="NG43" s="5872"/>
      <c r="NH43" s="5872"/>
      <c r="NI43" s="5872"/>
      <c r="NJ43" s="5872"/>
      <c r="NK43" s="5872"/>
      <c r="NL43" s="5872"/>
      <c r="NM43" s="5872"/>
      <c r="NN43" s="5871"/>
      <c r="NO43" s="5872"/>
      <c r="NP43" s="5872"/>
      <c r="NQ43" s="5872"/>
      <c r="NR43" s="5872"/>
      <c r="NS43" s="5872"/>
      <c r="NT43" s="5872"/>
      <c r="NU43" s="5872"/>
      <c r="NV43" s="5872"/>
      <c r="NW43" s="5872"/>
      <c r="NX43" s="5872"/>
      <c r="NY43" s="5872"/>
      <c r="NZ43" s="5872"/>
      <c r="OA43" s="5872"/>
      <c r="OB43" s="5872"/>
      <c r="OC43" s="5872"/>
      <c r="OD43" s="5872"/>
      <c r="OE43" s="5872"/>
      <c r="OF43" s="5872"/>
      <c r="OG43" s="5872"/>
      <c r="OH43" s="5872"/>
      <c r="OI43" s="5871"/>
      <c r="OJ43" s="5871"/>
      <c r="OK43" s="5874"/>
      <c r="OL43" s="5871"/>
      <c r="OM43" s="5874"/>
      <c r="ON43" s="5871"/>
      <c r="OO43" s="5874"/>
      <c r="OP43" s="5871"/>
      <c r="OQ43" s="5874"/>
      <c r="OR43" s="5871"/>
      <c r="OS43" s="5874"/>
      <c r="OT43" s="5871"/>
      <c r="OU43" s="5874"/>
      <c r="OV43" s="5871"/>
      <c r="OW43" s="5874"/>
      <c r="OX43" s="5871"/>
      <c r="OY43" s="5874"/>
      <c r="OZ43" s="5875"/>
      <c r="PA43" s="5872"/>
      <c r="PB43" s="5876"/>
      <c r="PC43" s="5872"/>
      <c r="PD43" s="5876"/>
      <c r="PE43" s="5872"/>
      <c r="PF43" s="5876"/>
      <c r="PG43" s="5872"/>
      <c r="PH43" s="5876"/>
      <c r="PI43" s="5872"/>
      <c r="PJ43" s="5876"/>
      <c r="PK43" s="5872"/>
      <c r="PL43" s="5876"/>
      <c r="PM43" s="5872"/>
      <c r="PN43" s="5876"/>
      <c r="PO43" s="5872"/>
      <c r="PP43" s="5876"/>
      <c r="PQ43" s="5877"/>
      <c r="PR43" s="5872"/>
      <c r="PS43" s="5878"/>
      <c r="PT43" s="5872"/>
      <c r="PU43" s="5878"/>
      <c r="PV43" s="5872"/>
      <c r="PW43" s="5878"/>
      <c r="PX43" s="5872"/>
      <c r="PY43" s="5878"/>
      <c r="PZ43" s="5872"/>
      <c r="QA43" s="5878"/>
      <c r="QB43" s="5872"/>
      <c r="QC43" s="5878"/>
      <c r="QD43" s="5872"/>
      <c r="QE43" s="5878"/>
      <c r="QF43" s="5872"/>
      <c r="QG43" s="5878"/>
      <c r="QH43" s="5879"/>
      <c r="QI43" s="5872"/>
      <c r="QJ43" s="5872"/>
      <c r="QK43" s="5872"/>
      <c r="QL43" s="5872"/>
      <c r="QM43" s="5872"/>
      <c r="QN43" s="5872"/>
      <c r="QO43" s="5872"/>
      <c r="QP43" s="5872"/>
      <c r="QQ43" s="5872"/>
      <c r="QR43" s="5871"/>
      <c r="QS43" s="5871"/>
      <c r="QT43" s="5871"/>
      <c r="QU43" s="5871"/>
      <c r="QV43" s="5871"/>
      <c r="QW43" s="5871"/>
      <c r="QX43" s="5871"/>
      <c r="QY43" s="5871"/>
      <c r="QZ43" s="5871"/>
      <c r="RA43" s="5871"/>
      <c r="RB43" s="5871"/>
      <c r="RC43" s="5871"/>
      <c r="RD43" s="5819"/>
      <c r="RE43" s="5871"/>
      <c r="RF43" s="5871"/>
      <c r="RG43" s="5871"/>
      <c r="RH43" s="5871"/>
      <c r="RI43" s="5871"/>
      <c r="RJ43" s="5871"/>
      <c r="RK43" s="5871"/>
      <c r="RL43" s="5871"/>
      <c r="RM43" s="5871"/>
      <c r="RN43" s="5871"/>
      <c r="RO43" s="5871"/>
      <c r="RP43" s="5871"/>
      <c r="RQ43" s="5871"/>
      <c r="RR43" s="5872"/>
      <c r="RS43" s="5872"/>
      <c r="RT43" s="5872"/>
      <c r="RU43" s="5872"/>
      <c r="RV43" s="5872"/>
      <c r="RW43" s="5872"/>
      <c r="RX43" s="5872"/>
      <c r="RY43" s="5872"/>
      <c r="RZ43" s="5872"/>
      <c r="SA43" s="5872"/>
      <c r="SB43" s="5872"/>
      <c r="SC43" s="5872"/>
      <c r="SD43" s="5872"/>
      <c r="SE43" s="5872"/>
      <c r="SF43" s="5872"/>
      <c r="SG43" s="5872"/>
      <c r="SH43" s="5872"/>
      <c r="SI43" s="5872"/>
      <c r="SJ43" s="5872"/>
      <c r="SK43" s="5872"/>
      <c r="SL43" s="5872"/>
      <c r="SM43" s="5872"/>
      <c r="SN43" s="5872"/>
      <c r="SO43" s="5872"/>
      <c r="SP43" s="5872"/>
      <c r="SQ43" s="5871"/>
      <c r="SR43" s="5880"/>
      <c r="SS43" s="5872"/>
      <c r="ST43" s="5872"/>
      <c r="SU43" s="5872"/>
      <c r="SV43" s="5872"/>
      <c r="SW43" s="5872"/>
      <c r="SX43" s="5872"/>
      <c r="SY43" s="5872"/>
      <c r="SZ43" s="5872"/>
      <c r="TA43" s="5872"/>
      <c r="TB43" s="5872"/>
      <c r="TC43" s="5872"/>
      <c r="TD43" s="5872"/>
      <c r="TE43" s="5819"/>
      <c r="TF43" s="5872"/>
      <c r="TG43" s="5872"/>
      <c r="TH43" s="5872"/>
      <c r="TI43" s="5872"/>
      <c r="TJ43" s="5872"/>
      <c r="TK43" s="5871"/>
      <c r="TL43" s="5871"/>
      <c r="TM43" s="5871"/>
      <c r="TN43" s="5871"/>
      <c r="TO43" s="5871"/>
      <c r="TP43" s="5871"/>
      <c r="TQ43" s="5871"/>
      <c r="TR43" s="5871"/>
      <c r="TS43" s="5871"/>
      <c r="TT43" s="5871"/>
      <c r="TU43" s="5871"/>
      <c r="TV43" s="5871"/>
      <c r="TW43" s="5871"/>
      <c r="TX43" s="5871"/>
      <c r="TY43" s="5871"/>
      <c r="TZ43" s="5871"/>
      <c r="UA43" s="5871"/>
      <c r="UB43" s="5871"/>
      <c r="UC43" s="5871"/>
      <c r="UD43" s="5871"/>
      <c r="UE43" s="5871"/>
      <c r="UF43" s="5871"/>
      <c r="UG43" s="5871"/>
      <c r="UH43" s="5871"/>
      <c r="UI43" s="5871"/>
      <c r="UJ43" s="5871"/>
      <c r="UK43" s="5871"/>
      <c r="UL43" s="5871"/>
      <c r="UM43" s="5871"/>
      <c r="UN43" s="5871"/>
      <c r="UO43" s="5871"/>
      <c r="UP43" s="5871"/>
      <c r="UQ43" s="5871"/>
      <c r="UR43" s="5871"/>
      <c r="US43" s="5871"/>
      <c r="UT43" s="5871"/>
      <c r="UU43" s="5871"/>
      <c r="UV43" s="5871"/>
      <c r="UW43" s="5871"/>
      <c r="UX43" s="5871"/>
      <c r="UY43" s="5871"/>
      <c r="UZ43" s="5871"/>
      <c r="VA43" s="5871"/>
      <c r="VB43" s="5871"/>
      <c r="VC43" s="5871"/>
      <c r="VD43" s="5871"/>
      <c r="VE43" s="5871"/>
      <c r="VF43" s="5871"/>
      <c r="VG43" s="5871"/>
      <c r="VH43" s="5871"/>
      <c r="VI43" s="5871"/>
      <c r="VJ43" s="5871"/>
      <c r="VK43" s="5871"/>
      <c r="VL43" s="5819"/>
      <c r="VM43" s="5871"/>
      <c r="VN43" s="5871"/>
      <c r="VO43" s="5872"/>
      <c r="VP43" s="5819"/>
      <c r="VQ43" s="5819"/>
      <c r="VR43" s="5819"/>
      <c r="VS43" s="5819"/>
      <c r="VT43" s="5819"/>
      <c r="VU43" s="5819"/>
      <c r="VV43" s="5819"/>
      <c r="VW43" s="5819"/>
      <c r="VX43" s="5819"/>
      <c r="VY43" s="5819"/>
      <c r="VZ43" s="5819"/>
      <c r="WA43" s="5819"/>
      <c r="WB43" s="5819"/>
      <c r="WC43" s="5819"/>
      <c r="WD43" s="5819"/>
      <c r="WE43" s="5819"/>
      <c r="WF43" s="5819"/>
      <c r="WG43" s="5819"/>
      <c r="WH43" s="5819"/>
      <c r="WI43" s="5819"/>
      <c r="WJ43" s="5819"/>
      <c r="WK43" s="5819"/>
      <c r="WL43" s="5819"/>
      <c r="WM43" s="5819"/>
      <c r="WN43" s="5819"/>
      <c r="WO43" s="5819"/>
      <c r="WP43" s="5819"/>
      <c r="WQ43" s="5819"/>
      <c r="WR43" s="5819"/>
      <c r="WS43" s="5819"/>
      <c r="WT43" s="5819"/>
      <c r="WU43" s="5819"/>
      <c r="WV43" s="5819"/>
      <c r="WW43" s="5819"/>
      <c r="WX43" s="5819"/>
      <c r="WY43" s="5819"/>
      <c r="WZ43" s="5819"/>
      <c r="XA43" s="5819"/>
      <c r="XB43" s="5819"/>
      <c r="XC43" s="5819"/>
      <c r="XD43" s="5819"/>
      <c r="XE43" s="5819"/>
      <c r="XF43" s="5819"/>
      <c r="XG43" s="5819"/>
      <c r="XH43" s="5819"/>
      <c r="XI43" s="5819"/>
      <c r="XJ43" s="5819"/>
      <c r="XK43" s="5819"/>
      <c r="XL43" s="5819"/>
      <c r="XM43" s="5819"/>
      <c r="XN43" s="5819"/>
      <c r="XO43" s="5819"/>
      <c r="XP43" s="5819"/>
      <c r="XQ43" s="5819"/>
      <c r="XR43" s="5819"/>
      <c r="XS43" s="5819"/>
      <c r="XT43" s="5819"/>
      <c r="XU43" s="5819"/>
      <c r="XV43" s="5819"/>
      <c r="XW43" s="5819"/>
      <c r="XX43" s="5819"/>
      <c r="XY43" s="5819"/>
      <c r="XZ43" s="5819"/>
      <c r="YA43" s="5819"/>
      <c r="YB43" s="5819"/>
      <c r="YC43" s="5819"/>
      <c r="YD43" s="5819"/>
      <c r="YE43" s="5819"/>
      <c r="YF43" s="5819"/>
      <c r="YG43" s="5819"/>
      <c r="YH43" s="5819"/>
      <c r="YI43" s="5819"/>
      <c r="YJ43" s="5819"/>
      <c r="YK43" s="5819"/>
      <c r="YL43" s="5819"/>
      <c r="YM43" s="5819"/>
      <c r="YN43" s="5819"/>
      <c r="YO43" s="5819"/>
      <c r="YP43" s="5860"/>
      <c r="YQ43" s="5860"/>
      <c r="YR43" s="5819"/>
      <c r="YS43" s="5819"/>
      <c r="YT43" s="5819"/>
      <c r="YU43" s="5819"/>
      <c r="YV43" s="5819"/>
      <c r="YW43" s="5819"/>
      <c r="YX43" s="5819"/>
      <c r="YY43" s="5819"/>
      <c r="YZ43" s="5819"/>
      <c r="ZA43" s="5819"/>
      <c r="ZB43" s="5819"/>
      <c r="ZC43" s="5819"/>
      <c r="ZD43" s="5819"/>
      <c r="ZE43" s="5819"/>
      <c r="ZF43" s="5819"/>
      <c r="ZG43" s="5819"/>
      <c r="ZH43" s="5819"/>
      <c r="ZI43" s="5819"/>
      <c r="ZJ43" s="5819"/>
      <c r="ZK43" s="5819"/>
      <c r="ZL43" s="5819"/>
      <c r="ZM43" s="5819"/>
      <c r="ZN43" s="184"/>
      <c r="ZO43" s="184"/>
      <c r="ZP43" s="184"/>
      <c r="ZQ43" s="184"/>
      <c r="ZR43" s="184"/>
      <c r="ZS43" s="184"/>
      <c r="ZT43" s="184"/>
      <c r="ZU43" s="184"/>
      <c r="ZV43" s="184"/>
      <c r="ZW43" s="184"/>
      <c r="ZX43" s="184"/>
      <c r="ZY43" s="184"/>
      <c r="ZZ43" s="184"/>
      <c r="AAA43" s="184"/>
      <c r="AAB43" s="2622"/>
      <c r="AAC43" s="2622"/>
      <c r="AAD43" s="2622"/>
      <c r="AAE43" s="2622"/>
      <c r="AAF43" s="2622"/>
      <c r="AAG43" s="2622"/>
      <c r="AAH43" s="2622"/>
      <c r="AAI43" s="2622"/>
      <c r="AAJ43" s="2622"/>
      <c r="AAK43" s="2622"/>
      <c r="AAL43" s="2622"/>
      <c r="AAM43" s="2622"/>
      <c r="AAN43" s="2622"/>
      <c r="AAO43" s="2622"/>
      <c r="AAP43" s="2622"/>
      <c r="AAQ43" s="2622"/>
      <c r="AAR43" s="2622"/>
      <c r="AAS43" s="2622"/>
      <c r="AAT43" s="2622"/>
      <c r="AAU43" s="2622"/>
      <c r="AAV43" s="2622"/>
      <c r="AAW43" s="372" t="s">
        <v>190</v>
      </c>
      <c r="AAX43" s="372"/>
      <c r="AAY43" s="372" t="s">
        <v>893</v>
      </c>
      <c r="AAZ43" s="184"/>
      <c r="ABA43" s="3811"/>
      <c r="ABB43" s="5797" t="b">
        <f>ISBLANK('!Egen_SK'!$AL$76)</f>
        <v>1</v>
      </c>
      <c r="ABC43" s="5797"/>
      <c r="ABD43" s="2983">
        <f>'!Egen_SK'!$AL$76</f>
        <v>0</v>
      </c>
      <c r="ABE43" s="5797"/>
      <c r="ABF43" s="3624" t="e">
        <f>INDEX(klasse_salve[salve_lengde_b],MATCH($AI$54,klasse_salve[Type_size],0))</f>
        <v>#N/A</v>
      </c>
      <c r="ABG43" s="5797"/>
      <c r="ABH43" s="3010" t="e">
        <f t="shared" ref="ABH43:ABH49" si="233">IF(ABB43=TRUE,ABF43,ABD43)</f>
        <v>#N/A</v>
      </c>
      <c r="ABI43" s="5799"/>
      <c r="ABJ43" s="184"/>
      <c r="ABK43" s="3811"/>
      <c r="ABL43" s="5797" t="b">
        <f>ISBLANK('!Egen_SK'!$AL$85)</f>
        <v>1</v>
      </c>
      <c r="ABM43" s="5797"/>
      <c r="ABN43" s="2983">
        <f>'!Egen_SK'!$AL$85</f>
        <v>0</v>
      </c>
      <c r="ABO43" s="5797"/>
      <c r="ABP43" s="3624" t="e">
        <f>INDEX(klasseqty_rensk[manual_tid_salve_b],MATCH($AI$54,klasseqty_bolting[Type_size],0))</f>
        <v>#N/A</v>
      </c>
      <c r="ABQ43" s="5797"/>
      <c r="ABR43" s="3010" t="e">
        <f t="shared" ref="ABR43:ABR49" si="234">IF(ABL43=TRUE,ABP43,ABN43)</f>
        <v>#N/A</v>
      </c>
      <c r="ABS43" s="5799"/>
      <c r="ABT43" s="184"/>
      <c r="ABU43" s="3811"/>
      <c r="ABV43" s="5797" t="b">
        <f>ISBLANK('!Egen_SK'!$AL$92)</f>
        <v>1</v>
      </c>
      <c r="ABW43" s="5797"/>
      <c r="ABX43" s="2983">
        <f>'!Egen_SK'!$AL$92</f>
        <v>0</v>
      </c>
      <c r="ABY43" s="5797"/>
      <c r="ABZ43" s="3624" t="e">
        <f>INDEX(klasseqty_rensk[inspectiontid_b],MATCH($AI$54,klasseqty_bolting[Type_size],0))</f>
        <v>#N/A</v>
      </c>
      <c r="ACA43" s="5797"/>
      <c r="ACB43" s="3010" t="e">
        <f t="shared" ref="ACB43:ACB49" si="235">IF(ABV43=TRUE,ABZ43,ABX43)</f>
        <v>#N/A</v>
      </c>
      <c r="ACC43" s="5799"/>
      <c r="ACD43" s="3582"/>
      <c r="ACE43" s="5800"/>
      <c r="ACF43" s="5797" t="b">
        <f>ISBLANK('!Egen_SK'!$AL$101)</f>
        <v>1</v>
      </c>
      <c r="ACG43" s="5797"/>
      <c r="ACH43" s="2983">
        <f>'!Egen_SK'!$AL$101</f>
        <v>0</v>
      </c>
      <c r="ACI43" s="5797"/>
      <c r="ACJ43" s="2774" t="e">
        <f>INDEX(klasseqty_bolting[veder_cc_b],MATCH($AI$54,klasseqty_bolting[Type_size],0))</f>
        <v>#N/A</v>
      </c>
      <c r="ACK43" s="5797"/>
      <c r="ACL43" s="2775" t="e">
        <f t="shared" ref="ACL43:ACL49" si="236">IF(ACF43=TRUE,ACJ43,ACH43)</f>
        <v>#N/A</v>
      </c>
      <c r="ACM43" s="5797"/>
      <c r="ACN43" s="184"/>
      <c r="ACO43" s="5797" t="b">
        <f>ISBLANK('!Egen_SK'!$AL$105)</f>
        <v>1</v>
      </c>
      <c r="ACP43" s="5797"/>
      <c r="ACQ43" s="2782">
        <f>'!Egen_SK'!$AL$105</f>
        <v>0</v>
      </c>
      <c r="ACR43" s="5797"/>
      <c r="ACS43" s="3547" t="e">
        <f>INDEX(klasseqty_bolting[veder_length_lt4_b],MATCH($AI$54,klasseqty_bolting[Type_size],0))</f>
        <v>#N/A</v>
      </c>
      <c r="ACT43" s="5797"/>
      <c r="ACU43" s="2781" t="e">
        <f t="shared" ref="ACU43:ACU49" si="237">IF(ACO43=TRUE,ACS43,ACQ43)</f>
        <v>#N/A</v>
      </c>
      <c r="ACV43" s="5797"/>
      <c r="ACW43" s="184"/>
      <c r="ACX43" s="5797"/>
      <c r="ACY43" s="5797"/>
      <c r="ACZ43" s="2782" t="str">
        <f t="shared" ref="ACZ43:ACZ49" si="238">IF(ACO43=FALSE,1-ACQ43,"")</f>
        <v/>
      </c>
      <c r="ADA43" s="5797"/>
      <c r="ADB43" s="3547" t="e">
        <f>INDEX(klasseqty_bolting[veder_length_gt4_b],MATCH($AI$54,klasseqty_bolting[Type_size],0))</f>
        <v>#N/A</v>
      </c>
      <c r="ADC43" s="5797"/>
      <c r="ADD43" s="2781" t="e">
        <f t="shared" ref="ADD43:ADD49" si="239">IF(ACO43=TRUE,ADB43,ACZ43)</f>
        <v>#N/A</v>
      </c>
      <c r="ADE43" s="5809"/>
      <c r="ADF43" s="2816"/>
      <c r="ADG43" s="3589"/>
      <c r="ADH43" s="3587" t="b">
        <f>ISBLANK('!Egen_SK'!$AL$114)</f>
        <v>1</v>
      </c>
      <c r="ADI43" s="3587"/>
      <c r="ADJ43" s="2983">
        <f>'!Egen_SK'!$AL$114</f>
        <v>0</v>
      </c>
      <c r="ADK43" s="3587"/>
      <c r="ADL43" s="2774" t="e">
        <f>INDEX(klasseqty_bolting[vegg_cc_b],MATCH($AI$54,klasseqty_bolting[Type_size],0))</f>
        <v>#N/A</v>
      </c>
      <c r="ADM43" s="3587"/>
      <c r="ADN43" s="2775" t="e">
        <f t="shared" ref="ADN43:ADN49" si="240">IF(ADH43=TRUE,ADL43,ADJ43)</f>
        <v>#N/A</v>
      </c>
      <c r="ADO43" s="3587"/>
      <c r="ADP43" s="184"/>
      <c r="ADQ43" s="3675"/>
      <c r="ADR43" s="3587" t="b">
        <f>ISBLANK('!Egen_SK'!$AL$118)</f>
        <v>1</v>
      </c>
      <c r="ADS43" s="3587"/>
      <c r="ADT43" s="2782">
        <f>'!Egen_SK'!$AL$118</f>
        <v>0</v>
      </c>
      <c r="ADU43" s="3587"/>
      <c r="ADV43" s="3547" t="e">
        <f>INDEX(klasseqty_bolting[vegg_length_lt4_b],MATCH($AI$54,klasseqty_bolting[Type_size],0))</f>
        <v>#N/A</v>
      </c>
      <c r="ADW43" s="3587"/>
      <c r="ADX43" s="2781" t="e">
        <f t="shared" ref="ADX43:ADX49" si="241">IF(ADR43=TRUE,ADV43,ADT43)</f>
        <v>#N/A</v>
      </c>
      <c r="ADY43" s="3675"/>
      <c r="ADZ43" s="3675"/>
      <c r="AEA43" s="3675"/>
      <c r="AEB43" s="2782" t="str">
        <f t="shared" si="209"/>
        <v/>
      </c>
      <c r="AEC43" s="3675"/>
      <c r="AED43" s="3547" t="e">
        <f>INDEX(klasseqty_bolting[vegg_length_gt4_b],MATCH($AI$54,klasseqty_bolting[Type_size],0))</f>
        <v>#N/A</v>
      </c>
      <c r="AEE43" s="3675"/>
      <c r="AEF43" s="2781" t="e">
        <f t="shared" si="210"/>
        <v>#N/A</v>
      </c>
      <c r="AEG43" s="3676"/>
      <c r="AEH43" s="2816"/>
      <c r="AEI43" s="3396"/>
      <c r="AEJ43" s="3396"/>
      <c r="AEK43" s="3396"/>
      <c r="AEL43" s="5788"/>
      <c r="AEM43" s="5788"/>
      <c r="AEN43" s="5788"/>
      <c r="AEO43" s="5788"/>
      <c r="AEP43" s="5788"/>
      <c r="AEQ43" s="5788"/>
      <c r="AER43" s="5788"/>
      <c r="AES43" s="5790"/>
      <c r="AET43" s="5789" t="b">
        <f>ISBLANK('!Egen_SK'!$AL$248)</f>
        <v>0</v>
      </c>
      <c r="AEU43" s="5789"/>
      <c r="AEV43" s="2983">
        <f>'!Egen_SK'!$AL$248</f>
        <v>2</v>
      </c>
      <c r="AEW43" s="5789"/>
      <c r="AEX43" s="2773" t="e">
        <f>INDEX(klasseqty_bergbånd[overlappingsfaktor_b],MATCH($AI$54,klasseqty_bergbånd[Type_size],0))</f>
        <v>#N/A</v>
      </c>
      <c r="AEY43" s="5789"/>
      <c r="AEZ43" s="3376">
        <f t="shared" si="211"/>
        <v>2</v>
      </c>
      <c r="AFA43" s="5142"/>
      <c r="AFB43" s="5145" t="b">
        <f>ISBLANK('!Egen_SK'!$AL$255)</f>
        <v>1</v>
      </c>
      <c r="AFC43" s="5142"/>
      <c r="AFD43" s="2983">
        <f>'!Egen_SK'!$AL$255</f>
        <v>0</v>
      </c>
      <c r="AFE43" s="5142"/>
      <c r="AFF43" s="2773" t="e">
        <f>INDEX(klasseqty_bergbånd[tilleggs_bergbånd_b],MATCH($AI$54,klasseqty_bergbånd[Type_size],0))</f>
        <v>#N/A</v>
      </c>
      <c r="AFG43" s="5142"/>
      <c r="AFH43" s="3376" t="e">
        <f t="shared" si="212"/>
        <v>#N/A</v>
      </c>
      <c r="AFI43" s="5142"/>
      <c r="AFJ43" s="5145" t="b">
        <f>ISBLANK('!Egen_SK'!$AL$262)</f>
        <v>1</v>
      </c>
      <c r="AFK43" s="5142"/>
      <c r="AFL43" s="2983">
        <f>'!Egen_SK'!$AL$262</f>
        <v>0</v>
      </c>
      <c r="AFM43" s="5142"/>
      <c r="AFN43" s="3011" t="e">
        <f>INDEX(klasseqty_bergbånd[tilleggs_bergbånd_festebolter_senteravstand_b],MATCH($AI$54,klasseqty_bergbånd[Type_size],0))</f>
        <v>#N/A</v>
      </c>
      <c r="AFO43" s="5142"/>
      <c r="AFP43" s="2775" t="e">
        <f t="shared" si="213"/>
        <v>#N/A</v>
      </c>
      <c r="AFQ43" s="5142"/>
      <c r="AFR43" s="5142" t="b">
        <f>ISBLANK('!Egen_SK'!$AL$266)</f>
        <v>1</v>
      </c>
      <c r="AFS43" s="5142"/>
      <c r="AFT43" s="2782">
        <f>'!Egen_SK'!$AL$266</f>
        <v>0</v>
      </c>
      <c r="AFU43" s="5142"/>
      <c r="AFV43" s="3547" t="e">
        <f>INDEX(klasseqty_bergbånd[tilleggs_bergbånd_festebolter_lt4_b],MATCH($AI$54,klasseqty_bergbånd[Type_size],0))</f>
        <v>#N/A</v>
      </c>
      <c r="AFW43" s="5142"/>
      <c r="AFX43" s="2781" t="e">
        <f t="shared" ref="AFX43:AFX49" si="242">IF(AFR43=TRUE,AFV43,AFT43)</f>
        <v>#N/A</v>
      </c>
      <c r="AFY43" s="5142"/>
      <c r="AFZ43" s="184"/>
      <c r="AGA43" s="5142"/>
      <c r="AGB43" s="5142"/>
      <c r="AGC43" s="5142"/>
      <c r="AGD43" s="2782" t="str">
        <f t="shared" ref="AGD43:AGD49" si="243">IF(AFR43=FALSE,1-AFT43,"")</f>
        <v/>
      </c>
      <c r="AGE43" s="5142"/>
      <c r="AGF43" s="3547" t="e">
        <f>INDEX(klasseqty_bergbånd[tilleggs_bergbånd_festebolter_gt4_b],MATCH($AI$54,klasseqty_bergbånd[Type_size],0))</f>
        <v>#N/A</v>
      </c>
      <c r="AGG43" s="5142"/>
      <c r="AGH43" s="2781" t="e">
        <f t="shared" ref="AGH43:AGH49" si="244">IF(AFR43=TRUE,AGF43,AGD43)</f>
        <v>#N/A</v>
      </c>
      <c r="AGI43" s="5146"/>
      <c r="AGJ43" s="5152"/>
      <c r="AGK43" s="5152"/>
      <c r="AGL43" s="5152"/>
      <c r="AGM43" s="5152"/>
      <c r="AGN43" s="2622"/>
      <c r="AGO43" s="3354" t="b">
        <f>ISBLANK('!Egen_SK'!$AL$277)</f>
        <v>1</v>
      </c>
      <c r="AGP43" s="3318"/>
      <c r="AGQ43" s="2983">
        <f>'!Egen_SK'!$AL$277</f>
        <v>0</v>
      </c>
      <c r="AGR43" s="3318"/>
      <c r="AGS43" s="3011" t="e">
        <f>INDEX(klasseqty_nett[nett_hypp_b],MATCH($AI$54,klasseqty_nett[Type_size],0))</f>
        <v>#N/A</v>
      </c>
      <c r="AGT43" s="3318"/>
      <c r="AGU43" s="3376" t="e">
        <f t="shared" si="214"/>
        <v>#N/A</v>
      </c>
      <c r="AGV43" s="5152"/>
      <c r="AGW43" s="5518" t="b">
        <f>ISBLANK('!Egen_SK'!$AL$284)</f>
        <v>1</v>
      </c>
      <c r="AGX43" s="5517"/>
      <c r="AGY43" s="2983">
        <f>'!Egen_SK'!$AL$284</f>
        <v>0</v>
      </c>
      <c r="AGZ43" s="5517"/>
      <c r="AHA43" s="3011" t="e">
        <f>INDEX(klasseqty_nett[nett_festebolter_avstand_b],MATCH($AI$54,klasseqty_nett[Type_size],0))</f>
        <v>#N/A</v>
      </c>
      <c r="AHB43" s="5517"/>
      <c r="AHC43" s="3376" t="e">
        <f t="shared" si="215"/>
        <v>#N/A</v>
      </c>
      <c r="AHD43" s="5152"/>
      <c r="AHF43" s="5518" t="b">
        <f>ISBLANK('!Egen_SK'!$AL$291)</f>
        <v>1</v>
      </c>
      <c r="AHG43" s="5517"/>
      <c r="AHH43" s="2983">
        <f>'!Egen_SK'!$AL$291</f>
        <v>0</v>
      </c>
      <c r="AHI43" s="5517"/>
      <c r="AHJ43" s="3011" t="e">
        <f>INDEX(klasseqty_nett[nett_sprøytebetong_tykkelse_b],MATCH($AI$54,klasseqty_nett[Type_size],0))</f>
        <v>#N/A</v>
      </c>
      <c r="AHK43" s="5517"/>
      <c r="AHL43" s="3376" t="e">
        <f t="shared" si="216"/>
        <v>#N/A</v>
      </c>
      <c r="AHP43" s="3589"/>
      <c r="AHQ43" s="3587" t="b">
        <f>ISBLANK('!Egen_SK'!$AL$129)</f>
        <v>1</v>
      </c>
      <c r="AHR43" s="3587"/>
      <c r="AHS43" s="2983">
        <f>'!Egen_SK'!$AL$129</f>
        <v>0</v>
      </c>
      <c r="AHT43" s="3587"/>
      <c r="AHU43" s="3624" t="e">
        <f>INDEX(klasseqty_sprøyte[veder_tykkelse_b],MATCH($AI$54,klasseqty_sprøyte[Type_size],0))</f>
        <v>#N/A</v>
      </c>
      <c r="AHV43" s="3587"/>
      <c r="AHW43" s="2775" t="e">
        <f t="shared" si="217"/>
        <v>#N/A</v>
      </c>
      <c r="AHX43" s="3709"/>
      <c r="AHY43" s="2622"/>
      <c r="AHZ43" s="3677"/>
      <c r="AIA43" s="3675" t="b">
        <f>ISBLANK('!Egen_SK'!$AL$136)</f>
        <v>1</v>
      </c>
      <c r="AIB43" s="3675"/>
      <c r="AIC43" s="2983">
        <f>'!Egen_SK'!$AL$136</f>
        <v>0</v>
      </c>
      <c r="AID43" s="3675"/>
      <c r="AIE43" s="3624" t="e">
        <f>INDEX(klasseqty_sprøyte[vegg_tykkelse_b],MATCH($AI$54,klasseqty_sprøyte[Type_size],0))</f>
        <v>#N/A</v>
      </c>
      <c r="AIF43" s="3675"/>
      <c r="AIG43" s="2775" t="e">
        <f t="shared" si="218"/>
        <v>#N/A</v>
      </c>
      <c r="AIH43" s="3709"/>
      <c r="AII43" s="184"/>
      <c r="AIJ43" s="3811"/>
      <c r="AIK43" s="3587" t="b">
        <f>ISBLANK('!Egen_SK'!$AL$143)</f>
        <v>1</v>
      </c>
      <c r="AIL43" s="3587"/>
      <c r="AIM43" s="2983">
        <f>'!Egen_SK'!$AL$143</f>
        <v>0</v>
      </c>
      <c r="AIN43" s="3587"/>
      <c r="AIO43" s="3011" t="e">
        <f>INDEX(klasseqty_sprøyte[ruhetfaktor_b],MATCH($AI$54,klasseqty_sprøyte[Type_size],0))</f>
        <v>#N/A</v>
      </c>
      <c r="AIP43" s="3587"/>
      <c r="AIQ43" s="2775" t="e">
        <f t="shared" si="219"/>
        <v>#N/A</v>
      </c>
      <c r="AIR43" s="3753"/>
      <c r="AIS43" s="2622"/>
      <c r="AIT43" s="3677"/>
      <c r="AIU43" s="3675" t="b">
        <f>ISBLANK('!Egen_SK'!$AL$193)</f>
        <v>1</v>
      </c>
      <c r="AIV43" s="3675"/>
      <c r="AIW43" s="3319">
        <f>'!Egen_SK'!$AL$193</f>
        <v>0</v>
      </c>
      <c r="AIX43" s="3675"/>
      <c r="AIY43" s="2773" t="e">
        <f>INDEX(klasseqty_buer[dimensjon_b],MATCH($AI$54,klasseqty_buer[Type_size],0))</f>
        <v>#N/A</v>
      </c>
      <c r="AIZ43" s="3675"/>
      <c r="AJA43" s="2775" t="e">
        <f t="shared" si="220"/>
        <v>#N/A</v>
      </c>
      <c r="AJB43" s="3675"/>
      <c r="AJC43" s="5162" t="b">
        <f>ISBLANK('!Egen_SK'!$AL$198)</f>
        <v>1</v>
      </c>
      <c r="AJD43" s="5162"/>
      <c r="AJE43" s="2782">
        <f>'!Egen_SK'!$AL$198</f>
        <v>0</v>
      </c>
      <c r="AJF43" s="5162"/>
      <c r="AJG43" s="3547" t="e">
        <f>INDEX(klasseqty_buer[andel_b],MATCH($AI$54,klasseqty_buer[Type_size],0))</f>
        <v>#N/A</v>
      </c>
      <c r="AJH43" s="5162"/>
      <c r="AJI43" s="4140" t="e">
        <f t="shared" si="221"/>
        <v>#N/A</v>
      </c>
      <c r="AJJ43" s="5162"/>
      <c r="AJK43" s="3675" t="b">
        <f>ISBLANK('!Egen_SK'!$AL$202)</f>
        <v>1</v>
      </c>
      <c r="AJL43" s="3675"/>
      <c r="AJM43" s="2983">
        <f>'!Egen_SK'!$AL$202</f>
        <v>0</v>
      </c>
      <c r="AJN43" s="3675"/>
      <c r="AJO43" s="3011" t="e">
        <f>INDEX(klasseqty_buer[bue_senteravstand_b],MATCH($AI$54,klasseqty_buer[Type_size],0))</f>
        <v>#N/A</v>
      </c>
      <c r="AJP43" s="3675"/>
      <c r="AJQ43" s="2775" t="e">
        <f t="shared" si="222"/>
        <v>#N/A</v>
      </c>
      <c r="AJR43" s="3675"/>
      <c r="AJS43" s="3675" t="b">
        <f>ISBLANK('!Egen_SK'!$AL$206)</f>
        <v>1</v>
      </c>
      <c r="AJT43" s="3675"/>
      <c r="AJU43" s="2983">
        <f>'!Egen_SK'!$AL$206</f>
        <v>0</v>
      </c>
      <c r="AJV43" s="3675"/>
      <c r="AJW43" s="3011" t="e">
        <f>INDEX(klasseqty_buer[utvidelse_b],MATCH($AI$54,klasseqty_buer[Type_size],0))</f>
        <v>#N/A</v>
      </c>
      <c r="AJX43" s="3675"/>
      <c r="AJY43" s="2775" t="e">
        <f t="shared" si="223"/>
        <v>#N/A</v>
      </c>
      <c r="AJZ43" s="3676"/>
      <c r="AKA43" s="3675"/>
      <c r="AKB43" s="3675"/>
      <c r="AKC43" s="3582"/>
      <c r="AKD43" s="3581"/>
      <c r="AKE43" s="3582" t="b">
        <f>ISBLANK('!Egen_SK'!$AL$213)</f>
        <v>1</v>
      </c>
      <c r="AKF43" s="3582"/>
      <c r="AKG43" s="2983">
        <f>'!Egen_SK'!$AL$213</f>
        <v>0</v>
      </c>
      <c r="AKH43" s="3582"/>
      <c r="AKI43" s="3011" t="e">
        <f>INDEX(klasseqty_buer[radiellebolter_senteravstand_b],MATCH($AI$54,klasseqty_buer[Type_size],0))</f>
        <v>#N/A</v>
      </c>
      <c r="AKJ43" s="3582"/>
      <c r="AKK43" s="2775" t="e">
        <f t="shared" si="224"/>
        <v>#N/A</v>
      </c>
      <c r="AKL43" s="3582"/>
      <c r="AKM43" s="3582" t="b">
        <f>ISBLANK('!Egen_SK'!$AL$217)</f>
        <v>1</v>
      </c>
      <c r="AKN43" s="3582"/>
      <c r="AKO43" s="3712">
        <f>'!Egen_SK'!$AL$217</f>
        <v>0</v>
      </c>
      <c r="AKP43" s="3582"/>
      <c r="AKQ43" s="3547" t="e">
        <f>INDEX(klasseqty_buer[radiellebolter_lt4_b],MATCH($AI$54,klasseqty_buer[Type_size],0))</f>
        <v>#N/A</v>
      </c>
      <c r="AKR43" s="3582"/>
      <c r="AKS43" s="2781" t="e">
        <f t="shared" ref="AKS43:AKS49" si="245">IF(AKM43=TRUE,AKQ43,AKO43)</f>
        <v>#N/A</v>
      </c>
      <c r="AKT43" s="3582"/>
      <c r="AKU43" s="184"/>
      <c r="AKV43" s="3582"/>
      <c r="AKW43" s="3582"/>
      <c r="AKX43" s="2782" t="str">
        <f t="shared" ref="AKX43:AKX49" si="246">IF(AKM43=FALSE,1-AKO43,"")</f>
        <v/>
      </c>
      <c r="AKY43" s="3582"/>
      <c r="AKZ43" s="3547" t="e">
        <f>INDEX(klasseqty_buer[radiellebolter_gt4_b],MATCH($AI$54,klasseqty_buer[Type_size],0))</f>
        <v>#N/A</v>
      </c>
      <c r="ALA43" s="3582"/>
      <c r="ALB43" s="3368" t="e">
        <f t="shared" ref="ALB43:ALB49" si="247">IF(AKM43=TRUE,AKZ43,AKX43)</f>
        <v>#N/A</v>
      </c>
      <c r="ALC43" s="3643"/>
      <c r="ALD43" s="3589"/>
      <c r="ALE43" s="3587" t="b">
        <f>ISBLANK('!Egen_SK'!$AL$226)</f>
        <v>1</v>
      </c>
      <c r="ALF43" s="3587"/>
      <c r="ALG43" s="2983">
        <f>'!Egen_SK'!$AL$226</f>
        <v>0</v>
      </c>
      <c r="ALH43" s="3587"/>
      <c r="ALI43" s="3011" t="e">
        <f>INDEX(klasseqty_buer[tillegs-sprøytebetong_b],MATCH($AI$54,klasseqty_buer[Type_size],0))</f>
        <v>#N/A</v>
      </c>
      <c r="ALJ43" s="3587"/>
      <c r="ALK43" s="2775" t="e">
        <f t="shared" si="225"/>
        <v>#N/A</v>
      </c>
      <c r="ALL43" s="3753"/>
      <c r="ALM43" s="2737"/>
      <c r="ALN43" s="3581"/>
      <c r="ALO43" s="3582" t="b">
        <f>ISBLANK('!Egen_SK'!$AL$233)</f>
        <v>1</v>
      </c>
      <c r="ALP43" s="3582"/>
      <c r="ALQ43" s="3715">
        <f>'!Egen_SK'!$AL$233</f>
        <v>0</v>
      </c>
      <c r="ALR43" s="3582"/>
      <c r="ALS43" s="3717" t="e">
        <f>INDEX(klasseqty_buer[forankring_b],MATCH($AI$54,klasseqty_buer[Type_size],0))</f>
        <v>#N/A</v>
      </c>
      <c r="ALT43" s="3582"/>
      <c r="ALU43" s="3719" t="e">
        <f t="shared" si="226"/>
        <v>#N/A</v>
      </c>
      <c r="ALV43" s="3582"/>
      <c r="ALW43" s="3582"/>
      <c r="ALX43" s="3582" t="b">
        <f>ISBLANK('!Egen_SK'!$AL$237)</f>
        <v>1</v>
      </c>
      <c r="ALY43" s="3582"/>
      <c r="ALZ43" s="2782">
        <f>'!Egen_SK'!$AL$237</f>
        <v>0</v>
      </c>
      <c r="AMA43" s="3582"/>
      <c r="AMB43" s="3547" t="e">
        <f>INDEX(klasseqty_buer[forankring_lt4_b],MATCH($AI$54,klasseqty_buer[Type_size],0))</f>
        <v>#N/A</v>
      </c>
      <c r="AMC43" s="3582"/>
      <c r="AMD43" s="2781" t="e">
        <f t="shared" ref="AMD43:AMD49" si="248">IF(ALX43=TRUE,AMB43,ALZ43)</f>
        <v>#N/A</v>
      </c>
      <c r="AME43" s="3582"/>
      <c r="AMF43" s="184"/>
      <c r="AMG43" s="3582"/>
      <c r="AMH43" s="3582"/>
      <c r="AMI43" s="2782" t="str">
        <f t="shared" ref="AMI43:AMI49" si="249">IF(ALX43=FALSE,1-ALZ43,"")</f>
        <v/>
      </c>
      <c r="AMJ43" s="3582"/>
      <c r="AMK43" s="3547" t="e">
        <f>INDEX(klasseqty_buer[forankring_gt4_b],MATCH($AI$54,klasseqty_buer[Type_size],0))</f>
        <v>#N/A</v>
      </c>
      <c r="AML43" s="3582"/>
      <c r="AMM43" s="3368" t="e">
        <f t="shared" ref="AMM43:AMM49" si="250">IF(ALX43=TRUE,AMK43,AMI43)</f>
        <v>#N/A</v>
      </c>
      <c r="AMN43" s="5548"/>
      <c r="AMO43" s="5548"/>
      <c r="AMP43" s="5548"/>
      <c r="AMQ43" s="5548"/>
      <c r="AMR43" s="5548"/>
      <c r="AMS43" s="5548"/>
      <c r="AMT43" s="5548"/>
      <c r="AMU43" s="5548"/>
      <c r="AMV43" s="5548"/>
      <c r="AMW43" s="5548"/>
      <c r="AMX43" s="5548"/>
      <c r="AMY43" s="5548"/>
      <c r="AMZ43" s="5548"/>
      <c r="ANA43" s="5548"/>
      <c r="ANB43" s="5548"/>
      <c r="ANC43" s="5548"/>
      <c r="AND43" s="5548"/>
      <c r="ANE43" s="5548"/>
      <c r="ANF43" s="5548"/>
      <c r="ANG43" s="5548"/>
      <c r="ANH43" s="5548"/>
      <c r="ANI43" s="5548"/>
      <c r="ANJ43" s="5548"/>
      <c r="ANK43" s="5548"/>
      <c r="ANL43" s="5548"/>
      <c r="ANM43" s="5548"/>
      <c r="ANN43" s="5548"/>
      <c r="ANO43" s="5548"/>
      <c r="ANP43" s="5548"/>
      <c r="ANQ43" s="5548"/>
      <c r="ANR43" s="5548"/>
      <c r="ANS43" s="5548"/>
      <c r="ANT43" s="5548"/>
      <c r="ANU43" s="5548"/>
      <c r="ANV43" s="5548"/>
      <c r="ANW43" s="5548"/>
      <c r="ANX43" s="5548"/>
      <c r="ANY43" s="5548"/>
      <c r="ANZ43" s="5548"/>
      <c r="AOA43" s="5548"/>
      <c r="AOB43" s="5548"/>
      <c r="AOC43" s="5548"/>
      <c r="AOD43" s="5548"/>
      <c r="AOE43" s="5548"/>
      <c r="AOF43" s="5548"/>
      <c r="AOG43" s="5548"/>
      <c r="AOH43" s="5548"/>
      <c r="AOI43" s="5548"/>
      <c r="AOJ43" s="5548"/>
      <c r="AOK43" s="5548"/>
      <c r="AOL43" s="5548"/>
      <c r="AOM43" s="5548"/>
      <c r="AOO43" s="4125"/>
      <c r="AOP43" s="4124" t="b">
        <f>ISBLANK('!Egen_SK'!$AL$157)</f>
        <v>0</v>
      </c>
      <c r="AOQ43" s="4124"/>
      <c r="AOR43" s="2983">
        <f>'!Egen_SK'!$AL$157</f>
        <v>1</v>
      </c>
      <c r="AOS43" s="4124"/>
      <c r="AOT43" s="3547" t="e">
        <f>INDEX(klasseqty_forbolting[andel_av_tunnelklasse_b],MATCH($AI$54,klasseqty_forbolting[Type_size],0))</f>
        <v>#N/A</v>
      </c>
      <c r="AOU43" s="4124"/>
      <c r="AOV43" s="4140">
        <f t="shared" si="227"/>
        <v>1</v>
      </c>
      <c r="AOW43" s="5162"/>
      <c r="AOX43" s="5162"/>
      <c r="AOY43" s="5162" t="b">
        <f>ISBLANK('!Egen_SK'!$AL$157)</f>
        <v>0</v>
      </c>
      <c r="AOZ43" s="5162"/>
      <c r="APA43" s="2983">
        <f t="shared" ref="APA43:APA49" si="251">IF(AOP43=FALSE,1,"")</f>
        <v>1</v>
      </c>
      <c r="APB43" s="5162"/>
      <c r="APC43" s="3624" t="e">
        <f>INDEX(klasseqty_forbolting[andel_av_tunnelklasse_b],MATCH($AI$54,klasseqty_forbolting[Type_size],0))</f>
        <v>#N/A</v>
      </c>
      <c r="APD43" s="5162"/>
      <c r="APE43" s="5165">
        <f t="shared" si="228"/>
        <v>1</v>
      </c>
      <c r="APF43" s="4124"/>
      <c r="APG43" s="3587" t="b">
        <f>ISBLANK('!Egen_SK'!$AL$152)</f>
        <v>0</v>
      </c>
      <c r="APH43" s="3587"/>
      <c r="API43" s="2983" t="str">
        <f>'!Egen_SK'!$AL$152</f>
        <v>Ingen</v>
      </c>
      <c r="APJ43" s="3587"/>
      <c r="APK43" s="3011" t="e">
        <f>INDEX(klasseqty_forbolting[bueområde_b],MATCH($AI$54,klasseqty_forbolting[Type_size],0))</f>
        <v>#N/A</v>
      </c>
      <c r="APL43" s="3587"/>
      <c r="APM43" s="2775" t="str">
        <f t="shared" si="229"/>
        <v>Ingen</v>
      </c>
      <c r="APN43" s="3587"/>
      <c r="APO43" s="3587" t="b">
        <f>ISBLANK('!Egen_SK'!$AL$165)</f>
        <v>1</v>
      </c>
      <c r="APP43" s="3587"/>
      <c r="APQ43" s="2983">
        <f>'!Egen_SK'!$AL$165</f>
        <v>0</v>
      </c>
      <c r="APR43" s="3587"/>
      <c r="APS43" s="3011" t="e">
        <f>INDEX(klasseqty_forbolting[forbolting_senteravstand_b],MATCH($AI$54,klasseqty_forbolting[Type_size],0))</f>
        <v>#N/A</v>
      </c>
      <c r="APT43" s="3587"/>
      <c r="APU43" s="2775" t="e">
        <f t="shared" si="230"/>
        <v>#N/A</v>
      </c>
      <c r="APV43" s="3587"/>
      <c r="APW43" s="3587" t="b">
        <f>ISBLANK('!Egen_SK'!$AL$169)</f>
        <v>1</v>
      </c>
      <c r="APX43" s="3587"/>
      <c r="APY43" s="3712">
        <f>'!Egen_SK'!$AL$169</f>
        <v>0</v>
      </c>
      <c r="APZ43" s="3587"/>
      <c r="AQA43" s="3547" t="e">
        <f>INDEX(klasseqty_forbolting[forbolting_lt4_b],MATCH($AI$54,klasseqty_forbolting[Type_size],0))</f>
        <v>#N/A</v>
      </c>
      <c r="AQB43" s="3587"/>
      <c r="AQC43" s="2781" t="e">
        <f t="shared" ref="AQC43:AQC49" si="252">IF(APW43=TRUE,AQA43,APY43)</f>
        <v>#N/A</v>
      </c>
      <c r="AQD43" s="3587"/>
      <c r="AQE43" s="184"/>
      <c r="AQF43" s="3587"/>
      <c r="AQG43" s="3587"/>
      <c r="AQH43" s="2782" t="str">
        <f t="shared" ref="AQH43:AQH49" si="253">IF(APW43=FALSE,1-APY43,"")</f>
        <v/>
      </c>
      <c r="AQI43" s="3587"/>
      <c r="AQJ43" s="3547" t="e">
        <f>INDEX(klasseqty_forbolting[forbolting_gt4_b],MATCH($AI$54,klasseqty_forbolting[Type_size],0))</f>
        <v>#N/A</v>
      </c>
      <c r="AQK43" s="3587"/>
      <c r="AQL43" s="3368" t="e">
        <f t="shared" ref="AQL43:AQL49" si="254">IF(APW43=TRUE,AQJ43,AQH43)</f>
        <v>#N/A</v>
      </c>
      <c r="AQN43" s="3589"/>
      <c r="AQO43" s="3587" t="b">
        <f>ISBLANK('!Egen_SK'!$AL$178)</f>
        <v>1</v>
      </c>
      <c r="AQP43" s="3587"/>
      <c r="AQQ43" s="2983">
        <f>'!Egen_SK'!$AL$178</f>
        <v>0</v>
      </c>
      <c r="AQR43" s="3587"/>
      <c r="AQS43" s="3011" t="e">
        <f>INDEX(klasseqty_forbolting[oppheng_senteravstand_b],MATCH($AI$54,klasseqty_forbolting[Type_size],0))</f>
        <v>#N/A</v>
      </c>
      <c r="AQT43" s="3587"/>
      <c r="AQU43" s="2775" t="e">
        <f t="shared" si="231"/>
        <v>#N/A</v>
      </c>
      <c r="AQV43" s="3587"/>
      <c r="AQW43" s="3587" t="b">
        <f>ISBLANK('!Egen_SK'!$AL$182)</f>
        <v>1</v>
      </c>
      <c r="AQX43" s="3587"/>
      <c r="AQY43" s="3712">
        <f>'!Egen_SK'!$AL$182</f>
        <v>0</v>
      </c>
      <c r="AQZ43" s="3587"/>
      <c r="ARA43" s="3547" t="e">
        <f>INDEX(klasseqty_forbolting[oppheng_lt4_b],MATCH($AI$54,klasseqty_forbolting[Type_size],0))</f>
        <v>#N/A</v>
      </c>
      <c r="ARB43" s="3587"/>
      <c r="ARC43" s="2781" t="e">
        <f t="shared" ref="ARC43:ARC49" si="255">IF(AQW43=TRUE,ARA43,AQY43)</f>
        <v>#N/A</v>
      </c>
      <c r="ARD43" s="3587"/>
      <c r="ARE43" s="184"/>
      <c r="ARF43" s="3587"/>
      <c r="ARG43" s="3587"/>
      <c r="ARH43" s="2782" t="str">
        <f t="shared" ref="ARH43:ARH49" si="256">IF(AQW43=FALSE,1-AQY43,"")</f>
        <v/>
      </c>
      <c r="ARI43" s="3587"/>
      <c r="ARJ43" s="3547" t="e">
        <f>INDEX(klasseqty_forbolting[oppheng_gt4_b],MATCH($AI$54,klasseqty_forbolting[Type_size],0))</f>
        <v>#N/A</v>
      </c>
      <c r="ARK43" s="3587"/>
      <c r="ARL43" s="3368" t="e">
        <f t="shared" ref="ARL43:ARL49" si="257">IF(AQW43=TRUE,ARJ43,ARH43)</f>
        <v>#N/A</v>
      </c>
      <c r="ART43" s="3354" t="b">
        <f>ISBLANK('!Egen_SK'!#REF!)</f>
        <v>0</v>
      </c>
      <c r="ARU43" s="3318"/>
      <c r="ARV43" s="3712">
        <f>'!Egen_SK'!$AL$312</f>
        <v>0</v>
      </c>
      <c r="ARW43" s="3318"/>
      <c r="ARX43" s="3624" t="e">
        <f>INDEX(klasseqty_sik1234[sikringsstøp_hypp_b],MATCH($AI$54,klasseqty_sik1234[Type_size],0))</f>
        <v>#N/A</v>
      </c>
      <c r="ARY43" s="3318"/>
      <c r="ARZ43" s="2775">
        <f t="shared" si="232"/>
        <v>0</v>
      </c>
      <c r="ASA43" s="184"/>
      <c r="ASB43" s="3318" t="b">
        <f>ISBLANK('!Egen_SK'!$AL$316)</f>
        <v>1</v>
      </c>
      <c r="ASC43" s="3318"/>
      <c r="ASD43" s="2983">
        <f>'!Egen_SK'!$AL$316</f>
        <v>0</v>
      </c>
      <c r="ASE43" s="3318"/>
      <c r="ASF43" s="3547" t="e">
        <f>INDEX(klasseqty_sik1234[sikringsstøp_123_b],MATCH($AI$54,klasseqty_sik1234[Type_size],0))</f>
        <v>#N/A</v>
      </c>
      <c r="ASG43" s="3318"/>
      <c r="ASH43" s="2781" t="e">
        <f t="shared" ref="ASH43:ASH49" si="258">IF(ASB43=TRUE,ASF43,ASD43)</f>
        <v>#N/A</v>
      </c>
      <c r="ASI43" s="3318"/>
      <c r="ASJ43" s="184"/>
      <c r="ASK43" s="3318"/>
      <c r="ASL43" s="3318"/>
      <c r="ASM43" s="2782" t="str">
        <f t="shared" ref="ASM43:ASM49" si="259">IF(ASB43=FALSE,1-ASD43,"")</f>
        <v/>
      </c>
      <c r="ASN43" s="3318"/>
      <c r="ASO43" s="3547" t="e">
        <f>INDEX(klasseqty_sik1234[sikringsstøp_4_b],MATCH($AI$54,klasseqty_sik1234[Type_size],0))</f>
        <v>#N/A</v>
      </c>
      <c r="ASP43" s="3318"/>
      <c r="ASQ43" s="3368" t="e">
        <f t="shared" ref="ASQ43:ASQ49" si="260">IF(ASB43=TRUE,ASO43,ASM43)</f>
        <v>#N/A</v>
      </c>
      <c r="ASR43" s="2737"/>
      <c r="ASS43" s="2737"/>
      <c r="ATA43" s="2622"/>
      <c r="ATB43" s="2622"/>
      <c r="ATC43" s="2622"/>
      <c r="ATD43" s="2622"/>
      <c r="ATE43" s="2622"/>
      <c r="ATF43" s="2622"/>
      <c r="ATG43" s="2622"/>
      <c r="ATH43" s="2622"/>
      <c r="ATI43" s="2622"/>
      <c r="ATJ43" s="2622"/>
      <c r="ATK43" s="2622"/>
      <c r="ATL43" s="3432"/>
      <c r="ATM43" s="3432"/>
      <c r="ATN43" s="3432"/>
      <c r="ATO43" s="3432"/>
      <c r="ATP43" s="3432"/>
      <c r="ATQ43" s="3432"/>
      <c r="ATR43" s="3432"/>
      <c r="ATS43" s="3432"/>
      <c r="ATT43" s="3432"/>
      <c r="ATU43" s="2622"/>
      <c r="ATV43" s="2622"/>
      <c r="ATW43" s="2622"/>
      <c r="ATX43" s="2617"/>
      <c r="ATY43" s="2617"/>
      <c r="ATZ43" s="2617"/>
      <c r="AUA43" s="2617"/>
      <c r="AUB43" s="2617"/>
      <c r="AUC43" s="2617"/>
      <c r="AUD43" s="2617"/>
      <c r="AUE43" s="2617"/>
      <c r="AUF43" s="2617"/>
      <c r="AUG43" s="2617"/>
      <c r="AUH43" s="2617"/>
      <c r="AUI43" s="2617"/>
      <c r="AUJ43" s="2617"/>
      <c r="AUK43" s="2617"/>
      <c r="AUL43" s="2617"/>
      <c r="AUM43" s="2617"/>
      <c r="AUN43" s="2617"/>
      <c r="AUO43" s="2617"/>
      <c r="AUP43" s="2617"/>
      <c r="AUQ43" s="2617"/>
      <c r="AUR43" s="2617"/>
      <c r="AUS43" s="2617"/>
      <c r="AUT43" s="2617"/>
      <c r="AUU43" s="2617"/>
      <c r="AUV43" s="2617"/>
      <c r="AUW43" s="2617"/>
      <c r="AUX43" s="2617"/>
      <c r="AUY43" s="2617"/>
      <c r="AUZ43" s="2617"/>
      <c r="AVA43" s="2617"/>
      <c r="AVB43" s="2617"/>
      <c r="AVC43" s="2617"/>
      <c r="AVD43" s="2617"/>
      <c r="AVE43" s="2617"/>
      <c r="AVF43" s="2617"/>
      <c r="AVG43" s="2617"/>
      <c r="AVH43" s="2617"/>
      <c r="AVI43" s="2617"/>
      <c r="AVJ43" s="2617"/>
      <c r="AVK43" s="2617"/>
      <c r="AVL43" s="2617"/>
      <c r="AVM43" s="2617"/>
      <c r="AVN43" s="2617"/>
      <c r="AVO43" s="2617"/>
      <c r="AVP43" s="2617"/>
      <c r="AVQ43" s="2617"/>
      <c r="AVR43" s="2617"/>
      <c r="AVS43" s="2617"/>
      <c r="AVT43" s="2617"/>
      <c r="AVU43" s="2617"/>
      <c r="AVV43" s="2617"/>
      <c r="AVW43" s="2617"/>
      <c r="AVX43" s="2617"/>
      <c r="AVY43" s="2617"/>
      <c r="AVZ43" s="2617"/>
      <c r="AWA43" s="2617"/>
      <c r="AWB43" s="2617"/>
      <c r="AWC43" s="2617"/>
      <c r="AWD43" s="2617"/>
      <c r="AWE43" s="2617"/>
      <c r="AWF43" s="2617"/>
      <c r="AWG43" s="2617"/>
      <c r="AWH43" s="2617"/>
      <c r="AWI43" s="2617"/>
      <c r="AWJ43" s="2617"/>
      <c r="AWK43" s="2617"/>
      <c r="AWL43" s="2617"/>
      <c r="AWM43" s="2617"/>
      <c r="AWN43" s="2617"/>
      <c r="AWO43" s="2617"/>
      <c r="AWP43" s="2617"/>
      <c r="AWQ43" s="2617"/>
      <c r="AWR43" s="2617"/>
      <c r="AWS43" s="3549"/>
      <c r="AWT43" s="3549"/>
      <c r="AWU43" s="3549"/>
      <c r="AWV43" s="3549"/>
      <c r="AWW43" s="3549"/>
      <c r="AWX43" s="3549"/>
      <c r="AWY43" s="235" t="s">
        <v>1270</v>
      </c>
      <c r="AWZ43" s="3524">
        <v>4.8</v>
      </c>
      <c r="AXA43" s="3524">
        <v>4.8</v>
      </c>
      <c r="AXB43" s="3524">
        <v>4.8</v>
      </c>
      <c r="AXC43" s="3524">
        <v>4.8</v>
      </c>
      <c r="AXD43" s="3524">
        <v>4.8</v>
      </c>
      <c r="AXE43" s="3524">
        <v>3</v>
      </c>
      <c r="AXF43" s="3524">
        <v>3</v>
      </c>
      <c r="AXG43" s="3620">
        <v>2</v>
      </c>
      <c r="AXH43" s="3549"/>
      <c r="AXI43" s="3549"/>
      <c r="AXJ43" s="3549"/>
      <c r="AXK43" s="3549"/>
      <c r="AXL43" s="3549"/>
      <c r="AXM43" s="3549"/>
      <c r="AXN43" s="3549"/>
      <c r="AXO43" s="3549"/>
      <c r="AXP43" s="3549"/>
      <c r="AXQ43" s="3549"/>
      <c r="AXR43" s="3549"/>
      <c r="AXS43" s="3549"/>
      <c r="AXT43" s="3549"/>
      <c r="AXU43" s="3549"/>
      <c r="AXV43" s="3549"/>
      <c r="AXW43" s="3549"/>
      <c r="AXX43" s="3549"/>
      <c r="AXY43" s="3549"/>
      <c r="AXZ43" s="3549"/>
      <c r="AYA43" s="3549"/>
      <c r="AYB43" s="3549"/>
      <c r="AYC43" s="3549"/>
      <c r="AYD43" s="3549"/>
      <c r="AYE43" s="3549"/>
      <c r="AYG43" s="3414">
        <v>1</v>
      </c>
      <c r="AYT43" s="372" t="s">
        <v>189</v>
      </c>
      <c r="AYU43" s="3420">
        <v>0.6</v>
      </c>
      <c r="AYV43" s="3412">
        <f t="shared" ref="AYV43:AYV49" si="261">BBA22</f>
        <v>80</v>
      </c>
      <c r="AYW43" s="199"/>
      <c r="AYX43" s="3423"/>
      <c r="AYY43" s="199"/>
      <c r="AYZ43" s="199"/>
      <c r="AZA43" s="199"/>
      <c r="AZB43" s="3424">
        <v>1.5</v>
      </c>
      <c r="AZC43" s="184"/>
      <c r="AZD43" s="184"/>
      <c r="AZE43" s="2622"/>
      <c r="AZF43" s="2622"/>
      <c r="AZG43" s="2622"/>
      <c r="AZH43" s="2622"/>
      <c r="AZI43" s="2622"/>
      <c r="AZJ43" s="2622"/>
      <c r="AZK43" s="2622"/>
      <c r="AZL43" s="3416">
        <v>1</v>
      </c>
      <c r="AZM43" s="2622"/>
      <c r="AZN43" s="2622"/>
      <c r="AZO43" s="2622"/>
      <c r="AZP43" s="2622"/>
      <c r="AZQ43" s="2622"/>
      <c r="AZR43" s="2622"/>
      <c r="AZS43" s="2622"/>
      <c r="AZT43" s="2622"/>
      <c r="AZU43" s="2622"/>
      <c r="AZX43" s="2622"/>
      <c r="AZY43" s="2622"/>
      <c r="AZZ43" s="2622"/>
      <c r="BAA43" s="2622"/>
      <c r="BAB43" s="2622"/>
      <c r="BAC43" s="2622"/>
      <c r="BAD43" s="2622"/>
      <c r="BAE43" s="2622"/>
      <c r="BAF43" s="2622"/>
      <c r="BAG43" s="2622"/>
      <c r="BAH43" s="2622"/>
      <c r="BAI43" s="2622"/>
      <c r="BAL43" s="2622"/>
      <c r="BAM43" s="2622"/>
      <c r="BAN43" s="2622"/>
      <c r="BAO43" s="2622"/>
      <c r="BAP43" s="2622"/>
      <c r="BAQ43" s="2622"/>
      <c r="BAT43" s="2622"/>
      <c r="BAU43" s="242"/>
      <c r="BAV43" s="2622"/>
      <c r="BAW43" s="2622"/>
      <c r="BAX43" s="2683"/>
      <c r="BAY43" s="2683"/>
      <c r="BAZ43" s="2683"/>
      <c r="BBA43" s="2683"/>
      <c r="BBB43" s="2683"/>
      <c r="BBC43" s="2683"/>
      <c r="BBD43" s="2683"/>
      <c r="BBE43" s="2683"/>
      <c r="BBF43" s="2683"/>
      <c r="BBG43" s="2683"/>
      <c r="BBH43" s="2683"/>
      <c r="BBI43" s="2683"/>
      <c r="BBK43" s="2622"/>
      <c r="BBQ43" s="3398"/>
      <c r="BCJ43" s="2617"/>
      <c r="BCK43" s="2617"/>
      <c r="BCL43" s="2617"/>
      <c r="BCM43" s="2617"/>
      <c r="BCN43" s="2617"/>
      <c r="BCO43" s="2617"/>
      <c r="BCP43" s="2617"/>
      <c r="BCQ43" s="2617"/>
      <c r="BCR43" s="2617"/>
      <c r="BCS43" s="2617"/>
      <c r="BCT43" s="2617"/>
      <c r="BCU43" s="2617"/>
      <c r="BCV43" s="2617"/>
      <c r="BCW43" s="2617"/>
      <c r="BCX43" s="2617"/>
      <c r="BCY43" s="2617"/>
      <c r="BCZ43" s="2617"/>
      <c r="BDA43" s="2617"/>
      <c r="BDB43" s="2617"/>
      <c r="BDC43" s="2617"/>
      <c r="BDD43" s="2617"/>
      <c r="BDE43" s="2617"/>
      <c r="BDF43" s="2617"/>
      <c r="BDG43" s="2617"/>
      <c r="BDH43" s="2617"/>
      <c r="BDI43" s="2617"/>
      <c r="BDL43" s="2617"/>
      <c r="BDM43" s="2617"/>
      <c r="BDN43" s="2617"/>
      <c r="BDO43" s="2617"/>
      <c r="BDP43" s="2617"/>
      <c r="BDQ43" s="2617"/>
      <c r="BDR43" s="2617"/>
      <c r="BDS43" s="2617"/>
      <c r="BDT43" s="2617"/>
      <c r="BDU43" s="2617"/>
      <c r="BDV43" s="2617"/>
      <c r="BDW43" s="2617"/>
      <c r="BDZ43" s="2617"/>
      <c r="BEA43" s="2617"/>
      <c r="BEB43" s="2617"/>
      <c r="BEC43" s="2617"/>
      <c r="BED43" s="2617"/>
      <c r="BEE43" s="2617"/>
      <c r="BEH43" s="2617"/>
    </row>
    <row r="44" spans="1:1490" ht="18" customHeight="1" x14ac:dyDescent="0.2">
      <c r="AG44" s="181"/>
      <c r="AH44" s="5372"/>
      <c r="AI44" s="2622"/>
      <c r="AK44" s="3403">
        <f>_Calcs!AI39</f>
        <v>6</v>
      </c>
      <c r="AL44" s="4146">
        <f>_Calcs!AL26</f>
        <v>0</v>
      </c>
      <c r="AM44" s="4145">
        <f>_Calcs!AJ39</f>
        <v>0</v>
      </c>
      <c r="AU44" s="249" t="s">
        <v>285</v>
      </c>
      <c r="AV44" s="247" t="s">
        <v>189</v>
      </c>
      <c r="AW44" s="247" t="s">
        <v>190</v>
      </c>
      <c r="AX44" s="247" t="s">
        <v>191</v>
      </c>
      <c r="AY44" s="247" t="s">
        <v>192</v>
      </c>
      <c r="AZ44" s="247" t="s">
        <v>899</v>
      </c>
      <c r="BA44" s="247" t="s">
        <v>898</v>
      </c>
      <c r="BB44" s="247" t="s">
        <v>877</v>
      </c>
      <c r="BC44" s="315" t="s">
        <v>894</v>
      </c>
      <c r="BD44" s="247" t="s">
        <v>944</v>
      </c>
      <c r="BE44" s="183"/>
      <c r="CG44" s="5812" t="str">
        <f>_Calcs!$QO$135</f>
        <v>Stuff 1-1</v>
      </c>
      <c r="CH44" s="5559">
        <f>IF($AI$31=1,INDEX(outputs_position[11],MATCH(_Calcs!$BC$35,outputs_position[lopstuff],0)),0)</f>
        <v>0</v>
      </c>
      <c r="CI44" s="5852"/>
      <c r="CJ44" s="372">
        <f>CJ34</f>
        <v>1</v>
      </c>
      <c r="CK44" s="194">
        <v>11</v>
      </c>
      <c r="CL44" s="3453"/>
      <c r="CM44" s="3453"/>
      <c r="CN44" s="3453"/>
      <c r="CO44" s="3453"/>
      <c r="CP44" s="3453"/>
      <c r="CQ44" s="3453"/>
      <c r="CR44" s="3453"/>
      <c r="CS44" s="3453"/>
      <c r="CT44" s="3453"/>
      <c r="CU44" s="3453"/>
      <c r="CV44" s="3453"/>
      <c r="CW44" s="3453"/>
      <c r="CX44" s="3453" t="e">
        <f>CX$32*$AM$39</f>
        <v>#DIV/0!</v>
      </c>
      <c r="CY44" s="3453"/>
      <c r="CZ44" s="3453" t="e">
        <f>CZ$32*$AM$39</f>
        <v>#DIV/0!</v>
      </c>
      <c r="DA44" s="3453"/>
      <c r="DB44" s="3453" t="e">
        <f>DB$32*$AM$39</f>
        <v>#DIV/0!</v>
      </c>
      <c r="DC44" s="3453"/>
      <c r="DD44" s="3453" t="e">
        <f>DD$32*$AM$39</f>
        <v>#DIV/0!</v>
      </c>
      <c r="DE44" s="3453"/>
      <c r="DF44" s="3453" t="e">
        <f>DF$32*$AM$39</f>
        <v>#DIV/0!</v>
      </c>
      <c r="DG44" s="3453"/>
      <c r="DH44" s="3453" t="e">
        <f>DH$32*$AM$39</f>
        <v>#DIV/0!</v>
      </c>
      <c r="DI44" s="3453"/>
      <c r="DJ44" s="3453" t="e">
        <f>DJ$32*$AM$39</f>
        <v>#DIV/0!</v>
      </c>
      <c r="DK44" s="3453"/>
      <c r="DL44" s="3453" t="e">
        <f>DL$32*$AM$39</f>
        <v>#DIV/0!</v>
      </c>
      <c r="DM44" s="5881">
        <f>IF($CH44&gt;0,DM$32*_Calcs!$AJ$34,0)</f>
        <v>0</v>
      </c>
      <c r="DN44" s="3453"/>
      <c r="DO44" s="3453"/>
      <c r="DP44" s="3453" t="e">
        <f>DP$32*$AM$39</f>
        <v>#DIV/0!</v>
      </c>
      <c r="DQ44" s="3453"/>
      <c r="DR44" s="3453" t="e">
        <f>DR$32*$AM$39</f>
        <v>#DIV/0!</v>
      </c>
      <c r="DS44" s="3453"/>
      <c r="DT44" s="3453" t="e">
        <f>DT$32*$AM$39</f>
        <v>#DIV/0!</v>
      </c>
      <c r="DU44" s="3453"/>
      <c r="DV44" s="3453" t="e">
        <f>DV$32*$AM$39</f>
        <v>#DIV/0!</v>
      </c>
      <c r="DW44" s="3453"/>
      <c r="DX44" s="3453" t="e">
        <f>DX$32*$AM$39</f>
        <v>#DIV/0!</v>
      </c>
      <c r="DY44" s="3453"/>
      <c r="DZ44" s="3453" t="e">
        <f>DZ$32*$AM$39</f>
        <v>#DIV/0!</v>
      </c>
      <c r="EA44" s="3453"/>
      <c r="EB44" s="3453" t="e">
        <f>EB$32*$AM$39</f>
        <v>#DIV/0!</v>
      </c>
      <c r="EC44" s="3453"/>
      <c r="ED44" s="3453" t="e">
        <f>ED$32*$AM$39</f>
        <v>#DIV/0!</v>
      </c>
      <c r="EE44" s="5881">
        <f>IF($CH44&gt;0,EE$32*_Calcs!$AJ$34,0)</f>
        <v>0</v>
      </c>
      <c r="EF44" s="5712"/>
      <c r="EG44" s="5712"/>
      <c r="EH44" s="5712"/>
      <c r="EI44" s="5712"/>
      <c r="EJ44" s="5712"/>
      <c r="EK44" s="5712"/>
      <c r="EL44" s="5712"/>
      <c r="EM44" s="5712"/>
      <c r="EN44" s="5712"/>
      <c r="EO44" s="5712"/>
      <c r="EP44" s="5712"/>
      <c r="EQ44" s="5712"/>
      <c r="ER44" s="5712"/>
      <c r="ES44" s="5712"/>
      <c r="ET44" s="5712"/>
      <c r="EU44" s="5712"/>
      <c r="EV44" s="5712"/>
      <c r="EW44" s="5881">
        <f>IF($CH44&gt;0,EW$32*_Calcs!$AJ$34,0)</f>
        <v>0</v>
      </c>
      <c r="EX44" s="5712"/>
      <c r="EY44" s="5712"/>
      <c r="EZ44" s="5712"/>
      <c r="FA44" s="5712"/>
      <c r="FB44" s="5712"/>
      <c r="FC44" s="5712"/>
      <c r="FD44" s="5712"/>
      <c r="FE44" s="5712"/>
      <c r="FF44" s="5712"/>
      <c r="FG44" s="5712"/>
      <c r="FH44" s="5712"/>
      <c r="FI44" s="5712"/>
      <c r="FJ44" s="5712"/>
      <c r="FK44" s="5712"/>
      <c r="FL44" s="5712"/>
      <c r="FM44" s="5712"/>
      <c r="FN44" s="5712"/>
      <c r="FO44" s="5712"/>
      <c r="FP44" s="5712"/>
      <c r="FQ44" s="5712"/>
      <c r="FR44" s="5712"/>
      <c r="FS44" s="5712"/>
      <c r="FT44" s="5712"/>
      <c r="FU44" s="5712"/>
      <c r="FV44" s="5712"/>
      <c r="FW44" s="5712"/>
      <c r="FX44" s="5712"/>
      <c r="FY44" s="5712"/>
      <c r="FZ44" s="5712"/>
      <c r="GA44" s="5712"/>
      <c r="GB44" s="3453"/>
      <c r="GC44" s="3453"/>
      <c r="GD44" s="3453"/>
      <c r="GE44" s="3453"/>
      <c r="GF44" s="3453"/>
      <c r="GG44" s="5881">
        <f>IF($CH44&gt;0,GG$32*_Calcs!$AJ$34,0)</f>
        <v>0</v>
      </c>
      <c r="GH44" s="3453"/>
      <c r="GI44" s="3453"/>
      <c r="GJ44" s="3453"/>
      <c r="GK44" s="3453"/>
      <c r="GL44" s="3453"/>
      <c r="GM44" s="3453"/>
      <c r="GN44" s="3453"/>
      <c r="GO44" s="3453"/>
      <c r="GP44" s="3453"/>
      <c r="GQ44" s="3453"/>
      <c r="GR44" s="3453"/>
      <c r="GS44" s="3453"/>
      <c r="GT44" s="3453"/>
      <c r="GU44" s="3453"/>
      <c r="GV44" s="3453"/>
      <c r="GW44" s="3453"/>
      <c r="GX44" s="3453"/>
      <c r="GY44" s="3453"/>
      <c r="GZ44" s="5881">
        <f>IF($CH44&gt;0,GZ$32*_Calcs!$AJ$34,0)</f>
        <v>0</v>
      </c>
      <c r="HA44" s="5881">
        <f>IF($CH44&gt;0,HA$32*_Calcs!$AJ$34,0)</f>
        <v>0</v>
      </c>
      <c r="HB44" s="3453"/>
      <c r="HC44" s="3453"/>
      <c r="HD44" s="3453"/>
      <c r="HE44" s="3453"/>
      <c r="HF44" s="3453"/>
      <c r="HG44" s="3453"/>
      <c r="HH44" s="3453"/>
      <c r="HI44" s="3453"/>
      <c r="HJ44" s="3453"/>
      <c r="HK44" s="3453"/>
      <c r="HL44" s="3453"/>
      <c r="HM44" s="3453"/>
      <c r="HN44" s="3453"/>
      <c r="HO44" s="3453"/>
      <c r="HP44" s="3453"/>
      <c r="HQ44" s="3453"/>
      <c r="HR44" s="3453"/>
      <c r="HS44" s="3453"/>
      <c r="HT44" s="3453"/>
      <c r="HU44" s="5861"/>
      <c r="HV44" s="5712"/>
      <c r="HW44" s="3453"/>
      <c r="HX44" s="3453"/>
      <c r="HY44" s="3453"/>
      <c r="HZ44" s="5861"/>
      <c r="IA44" s="5712"/>
      <c r="IB44" s="3453"/>
      <c r="IC44" s="3453"/>
      <c r="ID44" s="3453"/>
      <c r="IE44" s="5861"/>
      <c r="IF44" s="5712"/>
      <c r="IG44" s="3453"/>
      <c r="IH44" s="3453"/>
      <c r="II44" s="3453"/>
      <c r="IJ44" s="5861"/>
      <c r="IK44" s="5712"/>
      <c r="IL44" s="3453"/>
      <c r="IM44" s="3453"/>
      <c r="IN44" s="3453"/>
      <c r="IO44" s="5861"/>
      <c r="IP44" s="5712"/>
      <c r="IQ44" s="3453"/>
      <c r="IR44" s="3453"/>
      <c r="IS44" s="3453"/>
      <c r="IT44" s="5861"/>
      <c r="IU44" s="5712"/>
      <c r="IV44" s="3453"/>
      <c r="IW44" s="3453"/>
      <c r="IX44" s="3453"/>
      <c r="IY44" s="5861"/>
      <c r="IZ44" s="5712"/>
      <c r="JA44" s="3453"/>
      <c r="JB44" s="3453"/>
      <c r="JC44" s="3453"/>
      <c r="JD44" s="5861"/>
      <c r="JE44" s="5712"/>
      <c r="JF44" s="3453"/>
      <c r="JG44" s="3453"/>
      <c r="JH44" s="3453"/>
      <c r="JI44" s="3453"/>
      <c r="JJ44" s="3453"/>
      <c r="JK44" s="3453"/>
      <c r="JL44" s="3453"/>
      <c r="JM44" s="3453"/>
      <c r="JN44" s="3453"/>
      <c r="JO44" s="3453"/>
      <c r="JP44" s="3453"/>
      <c r="JQ44" s="3453"/>
      <c r="JR44" s="3453"/>
      <c r="JS44" s="3453"/>
      <c r="JT44" s="3453"/>
      <c r="JU44" s="3453"/>
      <c r="JV44" s="5881">
        <f>IF($CH44&gt;0,JV$32*_Calcs!$AJ$34,0)</f>
        <v>0</v>
      </c>
      <c r="JW44" s="5881">
        <f>IF($CH44&gt;0,JW$32*_Calcs!$AJ$34,0)</f>
        <v>0</v>
      </c>
      <c r="JX44" s="3453"/>
      <c r="JY44" s="3453"/>
      <c r="JZ44" s="3453"/>
      <c r="KA44" s="3453"/>
      <c r="KB44" s="3453"/>
      <c r="KC44" s="3453"/>
      <c r="KD44" s="3453"/>
      <c r="KE44" s="3453"/>
      <c r="KF44" s="3453"/>
      <c r="KG44" s="3453"/>
      <c r="KH44" s="3453"/>
      <c r="KI44" s="3453"/>
      <c r="KJ44" s="3453"/>
      <c r="KK44" s="3453"/>
      <c r="KL44" s="3453"/>
      <c r="KM44" s="3453"/>
      <c r="KN44" s="3453"/>
      <c r="KO44" s="3453"/>
      <c r="KP44" s="3453"/>
      <c r="KQ44" s="3453"/>
      <c r="KR44" s="3453"/>
      <c r="KS44" s="3453"/>
      <c r="KT44" s="3453"/>
      <c r="KU44" s="3453"/>
      <c r="KV44" s="3453"/>
      <c r="KW44" s="3453"/>
      <c r="KX44" s="3453"/>
      <c r="KY44" s="3453"/>
      <c r="KZ44" s="3453"/>
      <c r="LA44" s="3453"/>
      <c r="LB44" s="3453"/>
      <c r="LC44" s="3453"/>
      <c r="LD44" s="5881">
        <f>IF($CH44&gt;0,LD$32*_Calcs!$AJ$34,0)</f>
        <v>0</v>
      </c>
      <c r="LE44" s="5881">
        <f>IF($CH44&gt;0,LE$32*_Calcs!$AJ$34,0)</f>
        <v>0</v>
      </c>
      <c r="LF44" s="5712"/>
      <c r="LG44" s="3453"/>
      <c r="LH44" s="3453"/>
      <c r="LI44" s="3453"/>
      <c r="LJ44" s="3453"/>
      <c r="LK44" s="3453"/>
      <c r="LL44" s="3453"/>
      <c r="LM44" s="3453"/>
      <c r="LN44" s="3453"/>
      <c r="LO44" s="3453"/>
      <c r="LP44" s="3453"/>
      <c r="LQ44" s="3453"/>
      <c r="LR44" s="3453"/>
      <c r="LS44" s="3453"/>
      <c r="LT44" s="3453"/>
      <c r="LU44" s="3453"/>
      <c r="LV44" s="3453"/>
      <c r="LW44" s="5881">
        <f>IF($CH44&gt;0,LW$32*_Calcs!$AJ$34,0)</f>
        <v>0</v>
      </c>
      <c r="LX44" s="3453"/>
      <c r="LY44" s="5703"/>
      <c r="LZ44" s="3453"/>
      <c r="MA44" s="5703"/>
      <c r="MB44" s="3453"/>
      <c r="MC44" s="5703"/>
      <c r="MD44" s="3453"/>
      <c r="ME44" s="5703"/>
      <c r="MF44" s="3453"/>
      <c r="MG44" s="5703"/>
      <c r="MH44" s="3453"/>
      <c r="MI44" s="5703"/>
      <c r="MJ44" s="3453"/>
      <c r="MK44" s="5703"/>
      <c r="ML44" s="3453"/>
      <c r="MM44" s="5703"/>
      <c r="MN44" s="5881">
        <f>IF($CH44&gt;0,MN$32*_Calcs!$AJ$34,0)</f>
        <v>0</v>
      </c>
      <c r="MO44" s="3453"/>
      <c r="MP44" s="3453"/>
      <c r="MQ44" s="3453"/>
      <c r="MR44" s="3453"/>
      <c r="MS44" s="3453"/>
      <c r="MT44" s="3453"/>
      <c r="MU44" s="3453"/>
      <c r="MV44" s="3453"/>
      <c r="MW44" s="5881">
        <f>IF($CH44&gt;0,MW$32*_Calcs!$AJ$34,0)</f>
        <v>0</v>
      </c>
      <c r="MX44" s="3453"/>
      <c r="MY44" s="3453"/>
      <c r="MZ44" s="3453"/>
      <c r="NA44" s="3453"/>
      <c r="NB44" s="3453"/>
      <c r="NC44" s="3453"/>
      <c r="ND44" s="3453"/>
      <c r="NE44" s="3453"/>
      <c r="NF44" s="3453"/>
      <c r="NG44" s="3453"/>
      <c r="NH44" s="3453"/>
      <c r="NI44" s="3453"/>
      <c r="NJ44" s="3453"/>
      <c r="NK44" s="3453"/>
      <c r="NL44" s="3453"/>
      <c r="NM44" s="3453"/>
      <c r="NN44" s="5881">
        <f>IF($CH44&gt;0,NN$32*_Calcs!$AJ$34,0)</f>
        <v>0</v>
      </c>
      <c r="NO44" s="3453"/>
      <c r="NP44" s="3453"/>
      <c r="NQ44" s="3453"/>
      <c r="NR44" s="3453"/>
      <c r="NS44" s="3453"/>
      <c r="NT44" s="3453"/>
      <c r="NU44" s="3453"/>
      <c r="NV44" s="3453"/>
      <c r="NW44" s="3453"/>
      <c r="NX44" s="3453"/>
      <c r="NY44" s="3453"/>
      <c r="NZ44" s="3453"/>
      <c r="OA44" s="3453"/>
      <c r="OB44" s="3453"/>
      <c r="OC44" s="3453"/>
      <c r="OD44" s="3453"/>
      <c r="OE44" s="3453"/>
      <c r="OF44" s="3453"/>
      <c r="OG44" s="3453"/>
      <c r="OH44" s="3453"/>
      <c r="OI44" s="5712"/>
      <c r="OJ44" s="3453"/>
      <c r="OK44" s="5720"/>
      <c r="OL44" s="3453"/>
      <c r="OM44" s="5720"/>
      <c r="ON44" s="3453"/>
      <c r="OO44" s="5720"/>
      <c r="OP44" s="3453"/>
      <c r="OQ44" s="5720"/>
      <c r="OR44" s="3453"/>
      <c r="OS44" s="5720"/>
      <c r="OT44" s="3453"/>
      <c r="OU44" s="5720"/>
      <c r="OV44" s="3453"/>
      <c r="OW44" s="5720"/>
      <c r="OX44" s="3453"/>
      <c r="OY44" s="5720"/>
      <c r="OZ44" s="5881">
        <f>IF($CH44&gt;0,OZ$32*_Calcs!$AJ$34,0)</f>
        <v>0</v>
      </c>
      <c r="PA44" s="3453"/>
      <c r="PB44" s="5618"/>
      <c r="PC44" s="3453"/>
      <c r="PD44" s="5618"/>
      <c r="PE44" s="3453"/>
      <c r="PF44" s="5618"/>
      <c r="PG44" s="3453"/>
      <c r="PH44" s="5618"/>
      <c r="PI44" s="3453"/>
      <c r="PJ44" s="5618"/>
      <c r="PK44" s="3453"/>
      <c r="PL44" s="5618"/>
      <c r="PM44" s="3453"/>
      <c r="PN44" s="5618"/>
      <c r="PO44" s="3453"/>
      <c r="PP44" s="5618"/>
      <c r="PQ44" s="5881">
        <f>IF($CH44&gt;0,PQ$32*_Calcs!$AJ$34,0)</f>
        <v>0</v>
      </c>
      <c r="PR44" s="3453"/>
      <c r="PS44" s="5710"/>
      <c r="PT44" s="3453"/>
      <c r="PU44" s="5710"/>
      <c r="PV44" s="3453"/>
      <c r="PW44" s="5710"/>
      <c r="PX44" s="3453"/>
      <c r="PY44" s="5710"/>
      <c r="PZ44" s="3453"/>
      <c r="QA44" s="5710"/>
      <c r="QB44" s="3453"/>
      <c r="QC44" s="5710"/>
      <c r="QD44" s="3453"/>
      <c r="QE44" s="5710"/>
      <c r="QF44" s="3453"/>
      <c r="QG44" s="5710"/>
      <c r="QH44" s="5881">
        <f>IF($CH44&gt;0,QH$32*_Calcs!$AJ$34,0)</f>
        <v>0</v>
      </c>
      <c r="QI44" s="3453"/>
      <c r="QJ44" s="3453"/>
      <c r="QK44" s="3453"/>
      <c r="QL44" s="3453"/>
      <c r="QM44" s="3453"/>
      <c r="QN44" s="3453"/>
      <c r="QO44" s="3453"/>
      <c r="QP44" s="3453"/>
      <c r="QQ44" s="3453"/>
      <c r="QR44" s="5712"/>
      <c r="QS44" s="5713"/>
      <c r="QT44" s="3453"/>
      <c r="QU44" s="3453"/>
      <c r="QV44" s="5713"/>
      <c r="QW44" s="3453"/>
      <c r="QX44" s="3453"/>
      <c r="QY44" s="5713"/>
      <c r="QZ44" s="3453"/>
      <c r="RA44" s="3453"/>
      <c r="RB44" s="5713"/>
      <c r="RC44" s="3453"/>
      <c r="RD44" s="3453"/>
      <c r="RE44" s="5713"/>
      <c r="RF44" s="3453"/>
      <c r="RG44" s="3453"/>
      <c r="RH44" s="5713"/>
      <c r="RI44" s="3453"/>
      <c r="RJ44" s="3453"/>
      <c r="RK44" s="5713"/>
      <c r="RL44" s="3453"/>
      <c r="RM44" s="3453"/>
      <c r="RN44" s="5713"/>
      <c r="RO44" s="3453"/>
      <c r="RP44" s="3453"/>
      <c r="RQ44" s="5881">
        <f>IF($CH44&gt;0,RQ$32*_Calcs!$AJ$34,0)</f>
        <v>0</v>
      </c>
      <c r="RR44" s="3453"/>
      <c r="RS44" s="3453"/>
      <c r="RT44" s="3453"/>
      <c r="RU44" s="3453"/>
      <c r="RV44" s="3453"/>
      <c r="RW44" s="3453"/>
      <c r="RX44" s="3453"/>
      <c r="RY44" s="3453"/>
      <c r="RZ44" s="3453"/>
      <c r="SA44" s="3453"/>
      <c r="SB44" s="3453"/>
      <c r="SC44" s="3453"/>
      <c r="SD44" s="3453"/>
      <c r="SE44" s="3453"/>
      <c r="SF44" s="3453"/>
      <c r="SG44" s="3453"/>
      <c r="SH44" s="3453"/>
      <c r="SI44" s="3453"/>
      <c r="SJ44" s="3453"/>
      <c r="SK44" s="3453"/>
      <c r="SL44" s="3453"/>
      <c r="SM44" s="3453"/>
      <c r="SN44" s="3453"/>
      <c r="SO44" s="3453"/>
      <c r="SP44" s="3453"/>
      <c r="SQ44" s="5881">
        <f>IF($CH44&gt;0,SQ$32*_Calcs!$AJ$34,0)</f>
        <v>0</v>
      </c>
      <c r="SR44" s="5881">
        <f>IF($CH44&gt;0,SR$32*_Calcs!$AJ$34,0)</f>
        <v>0</v>
      </c>
      <c r="SS44" s="3453"/>
      <c r="ST44" s="3453"/>
      <c r="SU44" s="3453"/>
      <c r="SV44" s="3453"/>
      <c r="SW44" s="3453"/>
      <c r="SX44" s="3453"/>
      <c r="SY44" s="3453"/>
      <c r="SZ44" s="3453"/>
      <c r="TA44" s="3453"/>
      <c r="TB44" s="3453"/>
      <c r="TC44" s="3453"/>
      <c r="TD44" s="3453"/>
      <c r="TE44" s="3453"/>
      <c r="TF44" s="3453"/>
      <c r="TG44" s="3453"/>
      <c r="TH44" s="3453"/>
      <c r="TI44" s="3453"/>
      <c r="TJ44" s="3453"/>
      <c r="TK44" s="5721"/>
      <c r="TL44" s="3453"/>
      <c r="TM44" s="3453"/>
      <c r="TN44" s="3453"/>
      <c r="TO44" s="5722"/>
      <c r="TP44" s="5702"/>
      <c r="TQ44" s="5723"/>
      <c r="TR44" s="3453"/>
      <c r="TS44" s="3453"/>
      <c r="TT44" s="3453"/>
      <c r="TU44" s="5722"/>
      <c r="TV44" s="5702"/>
      <c r="TW44" s="5723"/>
      <c r="TX44" s="3453"/>
      <c r="TY44" s="3453"/>
      <c r="TZ44" s="3453"/>
      <c r="UA44" s="5722"/>
      <c r="UB44" s="5702"/>
      <c r="UC44" s="5723"/>
      <c r="UD44" s="3453"/>
      <c r="UE44" s="3453"/>
      <c r="UF44" s="3453"/>
      <c r="UG44" s="5722"/>
      <c r="UH44" s="5702"/>
      <c r="UI44" s="5723"/>
      <c r="UJ44" s="3453"/>
      <c r="UK44" s="3453"/>
      <c r="UL44" s="3453"/>
      <c r="UM44" s="5722"/>
      <c r="UN44" s="5702"/>
      <c r="UO44" s="5723"/>
      <c r="UP44" s="3453"/>
      <c r="UQ44" s="3453"/>
      <c r="UR44" s="3453"/>
      <c r="US44" s="5722"/>
      <c r="UT44" s="5702"/>
      <c r="UU44" s="5723"/>
      <c r="UV44" s="3453"/>
      <c r="UW44" s="3453"/>
      <c r="UX44" s="3453"/>
      <c r="UY44" s="5722"/>
      <c r="UZ44" s="5702"/>
      <c r="VA44" s="5723"/>
      <c r="VB44" s="3453"/>
      <c r="VC44" s="3453"/>
      <c r="VD44" s="3453"/>
      <c r="VE44" s="5722"/>
      <c r="VF44" s="5702"/>
      <c r="VG44" s="5723"/>
      <c r="VH44" s="5881">
        <f>IF($CH44&gt;0,VH$32*_Calcs!$AJ$34,0)</f>
        <v>0</v>
      </c>
      <c r="VI44" s="5881">
        <f>IF($CH44&gt;0,VI$32*_Calcs!$AJ$34,0)</f>
        <v>0</v>
      </c>
      <c r="VJ44" s="5881">
        <f>IF($CH44&gt;0,VJ$32*_Calcs!$AJ$34,0)</f>
        <v>0</v>
      </c>
      <c r="VK44" s="3453"/>
      <c r="VL44" s="3453"/>
      <c r="VM44" s="3453"/>
      <c r="VN44" s="3453"/>
      <c r="VO44" s="3453"/>
      <c r="VP44" s="3453"/>
      <c r="VQ44" s="3453"/>
      <c r="VR44" s="3453"/>
      <c r="VS44" s="3453"/>
      <c r="VT44" s="3453"/>
      <c r="VU44" s="3453"/>
      <c r="VV44" s="3453"/>
      <c r="VW44" s="3453"/>
      <c r="VX44" s="3453"/>
      <c r="VY44" s="3453"/>
      <c r="VZ44" s="3453"/>
      <c r="WA44" s="5881">
        <f>IF($CH44&gt;0,WA$32*_Calcs!$AJ$34,0)</f>
        <v>0</v>
      </c>
      <c r="WB44" s="3453"/>
      <c r="WC44" s="3453"/>
      <c r="WD44" s="3453"/>
      <c r="WE44" s="3453"/>
      <c r="WF44" s="3453"/>
      <c r="WG44" s="3453"/>
      <c r="WH44" s="3453"/>
      <c r="WI44" s="3453"/>
      <c r="WJ44" s="3453"/>
      <c r="WK44" s="3453"/>
      <c r="WL44" s="3453"/>
      <c r="WM44" s="3453"/>
      <c r="WN44" s="3453"/>
      <c r="WO44" s="3453"/>
      <c r="WP44" s="3453"/>
      <c r="WQ44" s="3453"/>
      <c r="WR44" s="3453"/>
      <c r="WS44" s="3453"/>
      <c r="WT44" s="3453"/>
      <c r="WU44" s="3453"/>
      <c r="WV44" s="3453"/>
      <c r="WW44" s="3453"/>
      <c r="WX44" s="3453"/>
      <c r="WY44" s="3453"/>
      <c r="WZ44" s="3453"/>
      <c r="XA44" s="3453"/>
      <c r="XB44" s="3453"/>
      <c r="XC44" s="3453"/>
      <c r="XD44" s="3453"/>
      <c r="XE44" s="3453"/>
      <c r="XF44" s="3453"/>
      <c r="XG44" s="3453"/>
      <c r="XH44" s="5881">
        <f>IF($CH44&gt;0,XH$32*_Calcs!$AJ$34,0)</f>
        <v>0</v>
      </c>
      <c r="XI44" s="5881">
        <f>IF($CH44&gt;0,XI$32*_Calcs!$AJ$34,0)</f>
        <v>0</v>
      </c>
      <c r="XJ44" s="3453"/>
      <c r="XK44" s="3453"/>
      <c r="XL44" s="3453"/>
      <c r="XM44" s="3453"/>
      <c r="XN44" s="3453"/>
      <c r="XO44" s="3453"/>
      <c r="XP44" s="3453"/>
      <c r="XQ44" s="3453"/>
      <c r="XR44" s="3453"/>
      <c r="XS44" s="3453"/>
      <c r="XT44" s="3453"/>
      <c r="XU44" s="3453"/>
      <c r="XV44" s="3453"/>
      <c r="XW44" s="3453"/>
      <c r="XX44" s="3453"/>
      <c r="XY44" s="3453"/>
      <c r="XZ44" s="3453"/>
      <c r="YA44" s="3453"/>
      <c r="YB44" s="3453"/>
      <c r="YC44" s="3453"/>
      <c r="YD44" s="3453"/>
      <c r="YE44" s="3453"/>
      <c r="YF44" s="3453"/>
      <c r="YG44" s="3453"/>
      <c r="YH44" s="3453"/>
      <c r="YI44" s="3453"/>
      <c r="YJ44" s="3453"/>
      <c r="YK44" s="3453"/>
      <c r="YL44" s="3453"/>
      <c r="YM44" s="3453"/>
      <c r="YN44" s="3453"/>
      <c r="YO44" s="3453"/>
      <c r="YP44" s="5881">
        <f>IF($CH44&gt;0,YP$32*_Calcs!$AJ$34,0)</f>
        <v>0</v>
      </c>
      <c r="YQ44" s="5881">
        <f>IF($CH44&gt;0,YQ$32*_Calcs!$AJ$34,0)</f>
        <v>0</v>
      </c>
      <c r="YR44" s="3453"/>
      <c r="YS44" s="3453"/>
      <c r="YT44" s="3453"/>
      <c r="YU44" s="3453"/>
      <c r="YV44" s="3453"/>
      <c r="YW44" s="3453"/>
      <c r="YX44" s="3453"/>
      <c r="YY44" s="3453"/>
      <c r="YZ44" s="3453"/>
      <c r="ZA44" s="3453"/>
      <c r="ZB44" s="3453"/>
      <c r="ZC44" s="3453"/>
      <c r="ZD44" s="3453"/>
      <c r="ZE44" s="3453"/>
      <c r="ZF44" s="3453"/>
      <c r="ZG44" s="3453"/>
      <c r="ZH44" s="3453"/>
      <c r="ZI44" s="3453"/>
      <c r="ZJ44" s="3453"/>
      <c r="ZK44" s="3453"/>
      <c r="ZL44" s="3453"/>
      <c r="ZM44" s="3453"/>
      <c r="ZN44" s="4199"/>
      <c r="ZO44" s="4199"/>
      <c r="ZP44" s="4199"/>
      <c r="ZQ44" s="4199"/>
      <c r="ZR44" s="4199"/>
      <c r="ZS44" s="4199"/>
      <c r="ZT44" s="4199"/>
      <c r="ZU44" s="4199"/>
      <c r="ZV44" s="4199"/>
      <c r="ZW44" s="4199"/>
      <c r="ZX44" s="4199"/>
      <c r="ZY44" s="4199"/>
      <c r="ZZ44" s="4199"/>
      <c r="AAA44" s="4199"/>
      <c r="AAB44" s="2622"/>
      <c r="AAC44" s="2622"/>
      <c r="AAD44" s="2622"/>
      <c r="AAE44" s="2622"/>
      <c r="AAF44" s="2622"/>
      <c r="AAG44" s="2622"/>
      <c r="AAH44" s="2622"/>
      <c r="AAI44" s="2622"/>
      <c r="AAJ44" s="2622"/>
      <c r="AAK44" s="2622"/>
      <c r="AAL44" s="2622"/>
      <c r="AAM44" s="2622"/>
      <c r="AAN44" s="2622"/>
      <c r="AAO44" s="2622"/>
      <c r="AAP44" s="2622"/>
      <c r="AAQ44" s="2622"/>
      <c r="AAR44" s="2622"/>
      <c r="AAS44" s="2622"/>
      <c r="AAT44" s="2622"/>
      <c r="AAU44" s="2622"/>
      <c r="AAV44" s="2622"/>
      <c r="AAW44" s="372" t="s">
        <v>191</v>
      </c>
      <c r="AAX44" s="372"/>
      <c r="AAY44" s="372" t="s">
        <v>891</v>
      </c>
      <c r="AAZ44" s="251"/>
      <c r="ABA44" s="5808"/>
      <c r="ABB44" s="5797" t="b">
        <f>ISBLANK('!Egen_SK'!$AT$76)</f>
        <v>1</v>
      </c>
      <c r="ABC44" s="5797"/>
      <c r="ABD44" s="2983">
        <f>'!Egen_SK'!$AT$76</f>
        <v>0</v>
      </c>
      <c r="ABE44" s="5797"/>
      <c r="ABF44" s="3624" t="e">
        <f>INDEX(klasse_salve[salve_lengde_c],MATCH($AI$54,klasse_salve[Type_size],0))</f>
        <v>#N/A</v>
      </c>
      <c r="ABG44" s="5797"/>
      <c r="ABH44" s="3010" t="e">
        <f t="shared" si="233"/>
        <v>#N/A</v>
      </c>
      <c r="ABI44" s="5799"/>
      <c r="ABJ44" s="251"/>
      <c r="ABK44" s="5808"/>
      <c r="ABL44" s="5797" t="b">
        <f>ISBLANK('!Egen_SK'!$AT$85)</f>
        <v>1</v>
      </c>
      <c r="ABM44" s="5797"/>
      <c r="ABN44" s="2983">
        <f>'!Egen_SK'!$AT$85</f>
        <v>0</v>
      </c>
      <c r="ABO44" s="5797"/>
      <c r="ABP44" s="3624" t="e">
        <f>INDEX(klasseqty_rensk[manual_tid_salve_c],MATCH($AI$54,klasseqty_bolting[Type_size],0))</f>
        <v>#N/A</v>
      </c>
      <c r="ABQ44" s="5797"/>
      <c r="ABR44" s="3010" t="e">
        <f t="shared" si="234"/>
        <v>#N/A</v>
      </c>
      <c r="ABS44" s="5799"/>
      <c r="ABT44" s="251"/>
      <c r="ABU44" s="5808"/>
      <c r="ABV44" s="5797" t="b">
        <f>ISBLANK('!Egen_SK'!$AT$92)</f>
        <v>1</v>
      </c>
      <c r="ABW44" s="5797"/>
      <c r="ABX44" s="2983">
        <f>'!Egen_SK'!$AT$92</f>
        <v>0</v>
      </c>
      <c r="ABY44" s="5797"/>
      <c r="ABZ44" s="3624" t="e">
        <f>INDEX(klasseqty_rensk[inspectiontid_c],MATCH($AI$54,klasseqty_bolting[Type_size],0))</f>
        <v>#N/A</v>
      </c>
      <c r="ACA44" s="5797"/>
      <c r="ACB44" s="3010" t="e">
        <f t="shared" si="235"/>
        <v>#N/A</v>
      </c>
      <c r="ACC44" s="5799"/>
      <c r="ACD44" s="3582"/>
      <c r="ACE44" s="5800"/>
      <c r="ACF44" s="5797" t="b">
        <f>ISBLANK('!Egen_SK'!$AT$101)</f>
        <v>1</v>
      </c>
      <c r="ACG44" s="5797"/>
      <c r="ACH44" s="2983">
        <f>'!Egen_SK'!$AT$101</f>
        <v>0</v>
      </c>
      <c r="ACI44" s="5797"/>
      <c r="ACJ44" s="2774" t="e">
        <f>INDEX(klasseqty_bolting[veder_cc_c],MATCH($AI$54,klasseqty_bolting[Type_size],0))</f>
        <v>#N/A</v>
      </c>
      <c r="ACK44" s="5797"/>
      <c r="ACL44" s="2775" t="e">
        <f t="shared" si="236"/>
        <v>#N/A</v>
      </c>
      <c r="ACM44" s="5797"/>
      <c r="ACN44" s="184"/>
      <c r="ACO44" s="5797" t="b">
        <f>ISBLANK('!Egen_SK'!$AT$105)</f>
        <v>1</v>
      </c>
      <c r="ACP44" s="5797"/>
      <c r="ACQ44" s="2782">
        <f>'!Egen_SK'!$AT$105</f>
        <v>0</v>
      </c>
      <c r="ACR44" s="5797"/>
      <c r="ACS44" s="3547" t="e">
        <f>INDEX(klasseqty_bolting[veder_length_lt4_c],MATCH($AI$54,klasseqty_bolting[Type_size],0))</f>
        <v>#N/A</v>
      </c>
      <c r="ACT44" s="5797"/>
      <c r="ACU44" s="2781" t="e">
        <f t="shared" si="237"/>
        <v>#N/A</v>
      </c>
      <c r="ACV44" s="5797"/>
      <c r="ACW44" s="184"/>
      <c r="ACX44" s="5797"/>
      <c r="ACY44" s="5797"/>
      <c r="ACZ44" s="2782" t="str">
        <f t="shared" si="238"/>
        <v/>
      </c>
      <c r="ADA44" s="5797"/>
      <c r="ADB44" s="3547" t="e">
        <f>INDEX(klasseqty_bolting[veder_length_gt4_c],MATCH($AI$54,klasseqty_bolting[Type_size],0))</f>
        <v>#N/A</v>
      </c>
      <c r="ADC44" s="5797"/>
      <c r="ADD44" s="2781" t="e">
        <f t="shared" si="239"/>
        <v>#N/A</v>
      </c>
      <c r="ADE44" s="5809"/>
      <c r="ADF44" s="2816"/>
      <c r="ADG44" s="3589"/>
      <c r="ADH44" s="3587" t="b">
        <f>ISBLANK('!Egen_SK'!$AT$114)</f>
        <v>1</v>
      </c>
      <c r="ADI44" s="3587"/>
      <c r="ADJ44" s="2983">
        <f>'!Egen_SK'!$AT$114</f>
        <v>0</v>
      </c>
      <c r="ADK44" s="3587"/>
      <c r="ADL44" s="2774" t="e">
        <f>INDEX(klasseqty_bolting[vegg_cc_c],MATCH($AI$54,klasseqty_bolting[Type_size],0))</f>
        <v>#N/A</v>
      </c>
      <c r="ADM44" s="3587"/>
      <c r="ADN44" s="2775" t="e">
        <f t="shared" si="240"/>
        <v>#N/A</v>
      </c>
      <c r="ADO44" s="3587"/>
      <c r="ADP44" s="184"/>
      <c r="ADQ44" s="3675"/>
      <c r="ADR44" s="3587" t="b">
        <f>ISBLANK('!Egen_SK'!$AT$118)</f>
        <v>1</v>
      </c>
      <c r="ADS44" s="3587"/>
      <c r="ADT44" s="2782">
        <f>'!Egen_SK'!$AT$118</f>
        <v>0</v>
      </c>
      <c r="ADU44" s="3587"/>
      <c r="ADV44" s="3547" t="e">
        <f>INDEX(klasseqty_bolting[vegg_length_lt4_c],MATCH($AI$54,klasseqty_bolting[Type_size],0))</f>
        <v>#N/A</v>
      </c>
      <c r="ADW44" s="3587"/>
      <c r="ADX44" s="2781" t="e">
        <f t="shared" si="241"/>
        <v>#N/A</v>
      </c>
      <c r="ADY44" s="3675"/>
      <c r="ADZ44" s="3675"/>
      <c r="AEA44" s="3675"/>
      <c r="AEB44" s="2782" t="str">
        <f t="shared" si="209"/>
        <v/>
      </c>
      <c r="AEC44" s="3675"/>
      <c r="AED44" s="3547" t="e">
        <f>INDEX(klasseqty_bolting[vegg_length_gt4_c],MATCH($AI$54,klasseqty_bolting[Type_size],0))</f>
        <v>#N/A</v>
      </c>
      <c r="AEE44" s="3675"/>
      <c r="AEF44" s="2781" t="e">
        <f t="shared" si="210"/>
        <v>#N/A</v>
      </c>
      <c r="AEG44" s="3676"/>
      <c r="AEH44" s="2816"/>
      <c r="AEI44" s="3396"/>
      <c r="AEJ44" s="3396"/>
      <c r="AEK44" s="3396"/>
      <c r="AEL44" s="5788"/>
      <c r="AEM44" s="5788"/>
      <c r="AEN44" s="5788"/>
      <c r="AEO44" s="5788"/>
      <c r="AEP44" s="5788"/>
      <c r="AEQ44" s="5788"/>
      <c r="AER44" s="5788"/>
      <c r="AES44" s="5790"/>
      <c r="AET44" s="5789" t="b">
        <f>ISBLANK('!Egen_SK'!$AT$248)</f>
        <v>0</v>
      </c>
      <c r="AEU44" s="5789"/>
      <c r="AEV44" s="2983">
        <f>'!Egen_SK'!$AT$248</f>
        <v>2</v>
      </c>
      <c r="AEW44" s="5789"/>
      <c r="AEX44" s="2773" t="e">
        <f>INDEX(klasseqty_bergbånd[overlappingsfaktor_c],MATCH($AI$54,klasseqty_bergbånd[Type_size],0))</f>
        <v>#N/A</v>
      </c>
      <c r="AEY44" s="5789"/>
      <c r="AEZ44" s="3376">
        <f t="shared" si="211"/>
        <v>2</v>
      </c>
      <c r="AFA44" s="5142"/>
      <c r="AFB44" s="5145" t="b">
        <f>ISBLANK('!Egen_SK'!$AT$255)</f>
        <v>1</v>
      </c>
      <c r="AFC44" s="5142"/>
      <c r="AFD44" s="2983">
        <f>'!Egen_SK'!$AT$255</f>
        <v>0</v>
      </c>
      <c r="AFE44" s="5142"/>
      <c r="AFF44" s="2773" t="e">
        <f>INDEX(klasseqty_bergbånd[tilleggs_bergbånd_c],MATCH($AI$54,klasseqty_bergbånd[Type_size],0))</f>
        <v>#N/A</v>
      </c>
      <c r="AFG44" s="5142"/>
      <c r="AFH44" s="3376" t="e">
        <f t="shared" si="212"/>
        <v>#N/A</v>
      </c>
      <c r="AFI44" s="5142"/>
      <c r="AFJ44" s="5145" t="b">
        <f>ISBLANK('!Egen_SK'!$AT$262)</f>
        <v>1</v>
      </c>
      <c r="AFK44" s="5142"/>
      <c r="AFL44" s="2983">
        <f>'!Egen_SK'!$AT$262</f>
        <v>0</v>
      </c>
      <c r="AFM44" s="5142"/>
      <c r="AFN44" s="3011" t="e">
        <f>INDEX(klasseqty_bergbånd[tilleggs_bergbånd_festebolter_senteravstand_c],MATCH($AI$54,klasseqty_bergbånd[Type_size],0))</f>
        <v>#N/A</v>
      </c>
      <c r="AFO44" s="5142"/>
      <c r="AFP44" s="2775" t="e">
        <f t="shared" si="213"/>
        <v>#N/A</v>
      </c>
      <c r="AFQ44" s="5142"/>
      <c r="AFR44" s="5142" t="b">
        <f>ISBLANK('!Egen_SK'!$AT$266)</f>
        <v>1</v>
      </c>
      <c r="AFS44" s="5142"/>
      <c r="AFT44" s="2782">
        <f>'!Egen_SK'!$AT$266</f>
        <v>0</v>
      </c>
      <c r="AFU44" s="5142"/>
      <c r="AFV44" s="3547" t="e">
        <f>INDEX(klasseqty_bergbånd[tilleggs_bergbånd_festebolter_lt4_c],MATCH($AI$54,klasseqty_bergbånd[Type_size],0))</f>
        <v>#N/A</v>
      </c>
      <c r="AFW44" s="5142"/>
      <c r="AFX44" s="2781" t="e">
        <f t="shared" si="242"/>
        <v>#N/A</v>
      </c>
      <c r="AFY44" s="5142"/>
      <c r="AFZ44" s="184"/>
      <c r="AGA44" s="5142"/>
      <c r="AGB44" s="5142"/>
      <c r="AGC44" s="5142"/>
      <c r="AGD44" s="2782" t="str">
        <f t="shared" si="243"/>
        <v/>
      </c>
      <c r="AGE44" s="5142"/>
      <c r="AGF44" s="3547" t="e">
        <f>INDEX(klasseqty_bergbånd[tilleggs_bergbånd_festebolter_gt4_c],MATCH($AI$54,klasseqty_bergbånd[Type_size],0))</f>
        <v>#N/A</v>
      </c>
      <c r="AGG44" s="5142"/>
      <c r="AGH44" s="2781" t="e">
        <f t="shared" si="244"/>
        <v>#N/A</v>
      </c>
      <c r="AGI44" s="5146"/>
      <c r="AGJ44" s="5152"/>
      <c r="AGK44" s="5152"/>
      <c r="AGL44" s="5152"/>
      <c r="AGM44" s="5152"/>
      <c r="AGN44" s="2622"/>
      <c r="AGO44" s="3354" t="b">
        <f>ISBLANK('!Egen_SK'!$AT$277)</f>
        <v>1</v>
      </c>
      <c r="AGP44" s="3318"/>
      <c r="AGQ44" s="2983">
        <f>'!Egen_SK'!$AT$277</f>
        <v>0</v>
      </c>
      <c r="AGR44" s="3318"/>
      <c r="AGS44" s="3011" t="e">
        <f>INDEX(klasseqty_nett[nett_hypp_c],MATCH($AI$54,klasseqty_nett[Type_size],0))</f>
        <v>#N/A</v>
      </c>
      <c r="AGT44" s="3318"/>
      <c r="AGU44" s="3376" t="e">
        <f t="shared" si="214"/>
        <v>#N/A</v>
      </c>
      <c r="AGV44" s="5152"/>
      <c r="AGW44" s="5518" t="b">
        <f>ISBLANK('!Egen_SK'!$AT$284)</f>
        <v>1</v>
      </c>
      <c r="AGX44" s="5517"/>
      <c r="AGY44" s="2983">
        <f>'!Egen_SK'!$AT$284</f>
        <v>0</v>
      </c>
      <c r="AGZ44" s="5517"/>
      <c r="AHA44" s="3011" t="e">
        <f>INDEX(klasseqty_nett[nett_festebolter_avstand_c],MATCH($AI$54,klasseqty_nett[Type_size],0))</f>
        <v>#N/A</v>
      </c>
      <c r="AHB44" s="5517"/>
      <c r="AHC44" s="3376" t="e">
        <f t="shared" si="215"/>
        <v>#N/A</v>
      </c>
      <c r="AHD44" s="5152"/>
      <c r="AHF44" s="5518" t="b">
        <f>ISBLANK('!Egen_SK'!$AT$291)</f>
        <v>1</v>
      </c>
      <c r="AHG44" s="5517"/>
      <c r="AHH44" s="2983">
        <f>'!Egen_SK'!$AT$291</f>
        <v>0</v>
      </c>
      <c r="AHI44" s="5517"/>
      <c r="AHJ44" s="3011" t="e">
        <f>INDEX(klasseqty_nett[nett_sprøytebetong_tykkelse_c],MATCH($AI$54,klasseqty_nett[Type_size],0))</f>
        <v>#N/A</v>
      </c>
      <c r="AHK44" s="5517"/>
      <c r="AHL44" s="3376" t="e">
        <f t="shared" si="216"/>
        <v>#N/A</v>
      </c>
      <c r="AHP44" s="3589"/>
      <c r="AHQ44" s="3587" t="b">
        <f>ISBLANK('!Egen_SK'!$AT$129)</f>
        <v>1</v>
      </c>
      <c r="AHR44" s="3587"/>
      <c r="AHS44" s="2983">
        <f>'!Egen_SK'!$AT$129</f>
        <v>0</v>
      </c>
      <c r="AHT44" s="3587"/>
      <c r="AHU44" s="3624" t="e">
        <f>INDEX(klasseqty_sprøyte[veder_tykkelse_c],MATCH($AI$54,klasseqty_sprøyte[Type_size],0))</f>
        <v>#N/A</v>
      </c>
      <c r="AHV44" s="3587"/>
      <c r="AHW44" s="2775" t="e">
        <f t="shared" si="217"/>
        <v>#N/A</v>
      </c>
      <c r="AHX44" s="3709"/>
      <c r="AHY44" s="2622"/>
      <c r="AHZ44" s="3677"/>
      <c r="AIA44" s="3675" t="b">
        <f>ISBLANK('!Egen_SK'!$AT$136)</f>
        <v>1</v>
      </c>
      <c r="AIB44" s="3675"/>
      <c r="AIC44" s="2983">
        <f>'!Egen_SK'!$AT$136</f>
        <v>0</v>
      </c>
      <c r="AID44" s="3675"/>
      <c r="AIE44" s="3624" t="e">
        <f>INDEX(klasseqty_sprøyte[vegg_tykkelse_c],MATCH($AI$54,klasseqty_sprøyte[Type_size],0))</f>
        <v>#N/A</v>
      </c>
      <c r="AIF44" s="3675"/>
      <c r="AIG44" s="2775" t="e">
        <f t="shared" si="218"/>
        <v>#N/A</v>
      </c>
      <c r="AIH44" s="3709"/>
      <c r="AII44" s="184"/>
      <c r="AIJ44" s="3811"/>
      <c r="AIK44" s="3587" t="b">
        <f>ISBLANK('!Egen_SK'!$AT$143)</f>
        <v>1</v>
      </c>
      <c r="AIL44" s="3587"/>
      <c r="AIM44" s="2983">
        <f>'!Egen_SK'!$AT$143</f>
        <v>0</v>
      </c>
      <c r="AIN44" s="3587"/>
      <c r="AIO44" s="3011" t="e">
        <f>INDEX(klasseqty_sprøyte[ruhetfaktor_c],MATCH($AI$54,klasseqty_sprøyte[Type_size],0))</f>
        <v>#N/A</v>
      </c>
      <c r="AIP44" s="3587"/>
      <c r="AIQ44" s="2775" t="e">
        <f t="shared" si="219"/>
        <v>#N/A</v>
      </c>
      <c r="AIR44" s="3753"/>
      <c r="AIS44" s="2622"/>
      <c r="AIT44" s="3677"/>
      <c r="AIU44" s="3675" t="b">
        <f>ISBLANK('!Egen_SK'!$AT$193)</f>
        <v>1</v>
      </c>
      <c r="AIV44" s="3675"/>
      <c r="AIW44" s="3319">
        <f>'!Egen_SK'!$AT$193</f>
        <v>0</v>
      </c>
      <c r="AIX44" s="3675"/>
      <c r="AIY44" s="2773" t="e">
        <f>INDEX(klasseqty_buer[dimensjon_c],MATCH($AI$54,klasseqty_buer[Type_size],0))</f>
        <v>#N/A</v>
      </c>
      <c r="AIZ44" s="3675"/>
      <c r="AJA44" s="2775" t="e">
        <f t="shared" si="220"/>
        <v>#N/A</v>
      </c>
      <c r="AJB44" s="3675"/>
      <c r="AJC44" s="5162" t="b">
        <f>ISBLANK('!Egen_SK'!$AT$198)</f>
        <v>1</v>
      </c>
      <c r="AJD44" s="5162"/>
      <c r="AJE44" s="2782">
        <f>'!Egen_SK'!$AT$198</f>
        <v>0</v>
      </c>
      <c r="AJF44" s="5162"/>
      <c r="AJG44" s="3547" t="e">
        <f>INDEX(klasseqty_buer[andel_c],MATCH($AI$54,klasseqty_buer[Type_size],0))</f>
        <v>#N/A</v>
      </c>
      <c r="AJH44" s="5162"/>
      <c r="AJI44" s="4140" t="e">
        <f t="shared" si="221"/>
        <v>#N/A</v>
      </c>
      <c r="AJJ44" s="5162"/>
      <c r="AJK44" s="3675" t="b">
        <f>ISBLANK('!Egen_SK'!$AT$202)</f>
        <v>1</v>
      </c>
      <c r="AJL44" s="3675"/>
      <c r="AJM44" s="2983">
        <f>'!Egen_SK'!$AT$202</f>
        <v>0</v>
      </c>
      <c r="AJN44" s="3675"/>
      <c r="AJO44" s="3011" t="e">
        <f>INDEX(klasseqty_buer[bue_senteravstand_c],MATCH($AI$54,klasseqty_buer[Type_size],0))</f>
        <v>#N/A</v>
      </c>
      <c r="AJP44" s="3675"/>
      <c r="AJQ44" s="2775" t="e">
        <f t="shared" si="222"/>
        <v>#N/A</v>
      </c>
      <c r="AJR44" s="3675"/>
      <c r="AJS44" s="3675" t="b">
        <f>ISBLANK('!Egen_SK'!$AT$206)</f>
        <v>1</v>
      </c>
      <c r="AJT44" s="3675"/>
      <c r="AJU44" s="2983">
        <f>'!Egen_SK'!$AT$206</f>
        <v>0</v>
      </c>
      <c r="AJV44" s="3675"/>
      <c r="AJW44" s="3011" t="e">
        <f>INDEX(klasseqty_buer[utvidelse_c],MATCH($AI$54,klasseqty_buer[Type_size],0))</f>
        <v>#N/A</v>
      </c>
      <c r="AJX44" s="3675"/>
      <c r="AJY44" s="2775" t="e">
        <f t="shared" si="223"/>
        <v>#N/A</v>
      </c>
      <c r="AJZ44" s="3676"/>
      <c r="AKA44" s="3675"/>
      <c r="AKB44" s="3675"/>
      <c r="AKC44" s="3582"/>
      <c r="AKD44" s="3581"/>
      <c r="AKE44" s="3582" t="b">
        <f>ISBLANK('!Egen_SK'!$AT$213)</f>
        <v>1</v>
      </c>
      <c r="AKF44" s="3582"/>
      <c r="AKG44" s="2983">
        <f>'!Egen_SK'!$AT$213</f>
        <v>0</v>
      </c>
      <c r="AKH44" s="3582"/>
      <c r="AKI44" s="3011" t="e">
        <f>INDEX(klasseqty_buer[radiellebolter_senteravstand_c],MATCH($AI$54,klasseqty_buer[Type_size],0))</f>
        <v>#N/A</v>
      </c>
      <c r="AKJ44" s="3582"/>
      <c r="AKK44" s="2775" t="e">
        <f t="shared" si="224"/>
        <v>#N/A</v>
      </c>
      <c r="AKL44" s="3582"/>
      <c r="AKM44" s="3582" t="b">
        <f>ISBLANK('!Egen_SK'!$AT$217)</f>
        <v>1</v>
      </c>
      <c r="AKN44" s="3582"/>
      <c r="AKO44" s="3712">
        <f>'!Egen_SK'!$AT$217</f>
        <v>0</v>
      </c>
      <c r="AKP44" s="3582"/>
      <c r="AKQ44" s="3547" t="e">
        <f>INDEX(klasseqty_buer[radiellebolter_lt4_c],MATCH($AI$54,klasseqty_buer[Type_size],0))</f>
        <v>#N/A</v>
      </c>
      <c r="AKR44" s="3582"/>
      <c r="AKS44" s="2781" t="e">
        <f t="shared" si="245"/>
        <v>#N/A</v>
      </c>
      <c r="AKT44" s="3582"/>
      <c r="AKU44" s="184"/>
      <c r="AKV44" s="3582"/>
      <c r="AKW44" s="3582"/>
      <c r="AKX44" s="2782" t="str">
        <f t="shared" si="246"/>
        <v/>
      </c>
      <c r="AKY44" s="3582"/>
      <c r="AKZ44" s="3547" t="e">
        <f>INDEX(klasseqty_buer[radiellebolter_gt4_c],MATCH($AI$54,klasseqty_buer[Type_size],0))</f>
        <v>#N/A</v>
      </c>
      <c r="ALA44" s="3582"/>
      <c r="ALB44" s="3368" t="e">
        <f t="shared" si="247"/>
        <v>#N/A</v>
      </c>
      <c r="ALC44" s="3643"/>
      <c r="ALD44" s="3589"/>
      <c r="ALE44" s="3587" t="b">
        <f>ISBLANK('!Egen_SK'!$AT$226)</f>
        <v>1</v>
      </c>
      <c r="ALF44" s="3587"/>
      <c r="ALG44" s="2983">
        <f>'!Egen_SK'!$AT$226</f>
        <v>0</v>
      </c>
      <c r="ALH44" s="3587"/>
      <c r="ALI44" s="3011" t="e">
        <f>INDEX(klasseqty_buer[tillegs-sprøytebetong_c],MATCH($AI$54,klasseqty_buer[Type_size],0))</f>
        <v>#N/A</v>
      </c>
      <c r="ALJ44" s="3587"/>
      <c r="ALK44" s="2775" t="e">
        <f t="shared" si="225"/>
        <v>#N/A</v>
      </c>
      <c r="ALL44" s="3753"/>
      <c r="ALM44" s="2737"/>
      <c r="ALN44" s="3581"/>
      <c r="ALO44" s="3582" t="b">
        <f>ISBLANK('!Egen_SK'!$AT$233)</f>
        <v>1</v>
      </c>
      <c r="ALP44" s="3582"/>
      <c r="ALQ44" s="3715">
        <f>'!Egen_SK'!$AT$233</f>
        <v>0</v>
      </c>
      <c r="ALR44" s="3582"/>
      <c r="ALS44" s="3717" t="e">
        <f>INDEX(klasseqty_buer[forankring_c],MATCH($AI$54,klasseqty_buer[Type_size],0))</f>
        <v>#N/A</v>
      </c>
      <c r="ALT44" s="3582"/>
      <c r="ALU44" s="3719" t="e">
        <f t="shared" si="226"/>
        <v>#N/A</v>
      </c>
      <c r="ALV44" s="3582"/>
      <c r="ALW44" s="3582"/>
      <c r="ALX44" s="3582" t="b">
        <f>ISBLANK('!Egen_SK'!$AT$237)</f>
        <v>1</v>
      </c>
      <c r="ALY44" s="3582"/>
      <c r="ALZ44" s="2782">
        <f>'!Egen_SK'!$AT$237</f>
        <v>0</v>
      </c>
      <c r="AMA44" s="3582"/>
      <c r="AMB44" s="3547" t="e">
        <f>INDEX(klasseqty_buer[forankring_lt4_c],MATCH($AI$54,klasseqty_buer[Type_size],0))</f>
        <v>#N/A</v>
      </c>
      <c r="AMC44" s="3582"/>
      <c r="AMD44" s="2781" t="e">
        <f t="shared" si="248"/>
        <v>#N/A</v>
      </c>
      <c r="AME44" s="3582"/>
      <c r="AMF44" s="184"/>
      <c r="AMG44" s="3582"/>
      <c r="AMH44" s="3582"/>
      <c r="AMI44" s="2782" t="str">
        <f t="shared" si="249"/>
        <v/>
      </c>
      <c r="AMJ44" s="3582"/>
      <c r="AMK44" s="3547" t="e">
        <f>INDEX(klasseqty_buer[forankring_gt4_c],MATCH($AI$54,klasseqty_buer[Type_size],0))</f>
        <v>#N/A</v>
      </c>
      <c r="AML44" s="3582"/>
      <c r="AMM44" s="3368" t="e">
        <f t="shared" si="250"/>
        <v>#N/A</v>
      </c>
      <c r="AMN44" s="5548"/>
      <c r="AMO44" s="5548"/>
      <c r="AMP44" s="5548"/>
      <c r="AMQ44" s="5548"/>
      <c r="AMR44" s="5548"/>
      <c r="AMS44" s="5548"/>
      <c r="AMT44" s="5548"/>
      <c r="AMU44" s="5548"/>
      <c r="AMV44" s="5548"/>
      <c r="AMW44" s="5548"/>
      <c r="AMX44" s="5548"/>
      <c r="AMY44" s="5548"/>
      <c r="AMZ44" s="5548"/>
      <c r="ANA44" s="5548"/>
      <c r="ANB44" s="5548"/>
      <c r="ANC44" s="5548"/>
      <c r="AND44" s="5548"/>
      <c r="ANE44" s="5548"/>
      <c r="ANF44" s="5548"/>
      <c r="ANG44" s="5548"/>
      <c r="ANH44" s="5548"/>
      <c r="ANI44" s="5548"/>
      <c r="ANJ44" s="5548"/>
      <c r="ANK44" s="5548"/>
      <c r="ANL44" s="5548"/>
      <c r="ANM44" s="5548"/>
      <c r="ANN44" s="5548"/>
      <c r="ANO44" s="5548"/>
      <c r="ANP44" s="5548"/>
      <c r="ANQ44" s="5548"/>
      <c r="ANR44" s="5548"/>
      <c r="ANS44" s="5548"/>
      <c r="ANT44" s="5548"/>
      <c r="ANU44" s="5548"/>
      <c r="ANV44" s="5548"/>
      <c r="ANW44" s="5548"/>
      <c r="ANX44" s="5548"/>
      <c r="ANY44" s="5548"/>
      <c r="ANZ44" s="5548"/>
      <c r="AOA44" s="5548"/>
      <c r="AOB44" s="5548"/>
      <c r="AOC44" s="5548"/>
      <c r="AOD44" s="5548"/>
      <c r="AOE44" s="5548"/>
      <c r="AOF44" s="5548"/>
      <c r="AOG44" s="5548"/>
      <c r="AOH44" s="5548"/>
      <c r="AOI44" s="5548"/>
      <c r="AOJ44" s="5548"/>
      <c r="AOK44" s="5548"/>
      <c r="AOL44" s="5548"/>
      <c r="AOM44" s="5548"/>
      <c r="AOO44" s="4125"/>
      <c r="AOP44" s="4124" t="b">
        <f>ISBLANK('!Egen_SK'!$AT$157)</f>
        <v>0</v>
      </c>
      <c r="AOQ44" s="4124"/>
      <c r="AOR44" s="2983">
        <f>'!Egen_SK'!$AT$157</f>
        <v>1</v>
      </c>
      <c r="AOS44" s="4124"/>
      <c r="AOT44" s="3547" t="e">
        <f>INDEX(klasseqty_forbolting[andel_av_tunnelklasse_c],MATCH($AI$54,klasseqty_forbolting[Type_size],0))</f>
        <v>#N/A</v>
      </c>
      <c r="AOU44" s="4124"/>
      <c r="AOV44" s="4140">
        <f t="shared" si="227"/>
        <v>1</v>
      </c>
      <c r="AOW44" s="5162"/>
      <c r="AOX44" s="5162"/>
      <c r="AOY44" s="5162" t="b">
        <f>ISBLANK('!Egen_SK'!$AT$157)</f>
        <v>0</v>
      </c>
      <c r="AOZ44" s="5162"/>
      <c r="APA44" s="2983">
        <f t="shared" si="251"/>
        <v>1</v>
      </c>
      <c r="APB44" s="5162"/>
      <c r="APC44" s="3624" t="e">
        <f>INDEX(klasseqty_forbolting[andel_av_tunnelklasse_c],MATCH($AI$54,klasseqty_forbolting[Type_size],0))</f>
        <v>#N/A</v>
      </c>
      <c r="APD44" s="5162"/>
      <c r="APE44" s="5165">
        <f t="shared" si="228"/>
        <v>1</v>
      </c>
      <c r="APF44" s="4124"/>
      <c r="APG44" s="3587" t="b">
        <f>ISBLANK('!Egen_SK'!$AT$152)</f>
        <v>0</v>
      </c>
      <c r="APH44" s="3587"/>
      <c r="API44" s="2983" t="str">
        <f>'!Egen_SK'!$AT$152</f>
        <v>Ingen</v>
      </c>
      <c r="APJ44" s="3587"/>
      <c r="APK44" s="3011" t="e">
        <f>INDEX(klasseqty_forbolting[bueområde_c],MATCH($AI$54,klasseqty_forbolting[Type_size],0))</f>
        <v>#N/A</v>
      </c>
      <c r="APL44" s="3587"/>
      <c r="APM44" s="2775" t="str">
        <f t="shared" si="229"/>
        <v>Ingen</v>
      </c>
      <c r="APN44" s="3587"/>
      <c r="APO44" s="3587" t="b">
        <f>ISBLANK('!Egen_SK'!$AT$165)</f>
        <v>1</v>
      </c>
      <c r="APP44" s="3587"/>
      <c r="APQ44" s="2983">
        <f>'!Egen_SK'!$AT$165</f>
        <v>0</v>
      </c>
      <c r="APR44" s="3587"/>
      <c r="APS44" s="3011" t="e">
        <f>INDEX(klasseqty_forbolting[forbolting_senteravstand_c],MATCH($AI$54,klasseqty_forbolting[Type_size],0))</f>
        <v>#N/A</v>
      </c>
      <c r="APT44" s="3587"/>
      <c r="APU44" s="2775" t="e">
        <f t="shared" si="230"/>
        <v>#N/A</v>
      </c>
      <c r="APV44" s="3587"/>
      <c r="APW44" s="3587" t="b">
        <f>ISBLANK('!Egen_SK'!$AT$169)</f>
        <v>1</v>
      </c>
      <c r="APX44" s="3587"/>
      <c r="APY44" s="3712">
        <f>'!Egen_SK'!$AT$169</f>
        <v>0</v>
      </c>
      <c r="APZ44" s="3587"/>
      <c r="AQA44" s="3547" t="e">
        <f>INDEX(klasseqty_forbolting[forbolting_lt4_c],MATCH($AI$54,klasseqty_forbolting[Type_size],0))</f>
        <v>#N/A</v>
      </c>
      <c r="AQB44" s="3587"/>
      <c r="AQC44" s="2781" t="e">
        <f t="shared" si="252"/>
        <v>#N/A</v>
      </c>
      <c r="AQD44" s="3587"/>
      <c r="AQE44" s="184"/>
      <c r="AQF44" s="3587"/>
      <c r="AQG44" s="3587"/>
      <c r="AQH44" s="2782" t="str">
        <f t="shared" si="253"/>
        <v/>
      </c>
      <c r="AQI44" s="3587"/>
      <c r="AQJ44" s="3547" t="e">
        <f>INDEX(klasseqty_forbolting[forbolting_gt4_c],MATCH($AI$54,klasseqty_forbolting[Type_size],0))</f>
        <v>#N/A</v>
      </c>
      <c r="AQK44" s="3587"/>
      <c r="AQL44" s="3368" t="e">
        <f t="shared" si="254"/>
        <v>#N/A</v>
      </c>
      <c r="AQN44" s="3589"/>
      <c r="AQO44" s="3587" t="b">
        <f>ISBLANK('!Egen_SK'!$AT$178)</f>
        <v>1</v>
      </c>
      <c r="AQP44" s="3587"/>
      <c r="AQQ44" s="2983">
        <f>'!Egen_SK'!$AT$178</f>
        <v>0</v>
      </c>
      <c r="AQR44" s="3587"/>
      <c r="AQS44" s="3011" t="e">
        <f>INDEX(klasseqty_forbolting[oppheng_senteravstand_c],MATCH($AI$54,klasseqty_forbolting[Type_size],0))</f>
        <v>#N/A</v>
      </c>
      <c r="AQT44" s="3587"/>
      <c r="AQU44" s="2775" t="e">
        <f t="shared" si="231"/>
        <v>#N/A</v>
      </c>
      <c r="AQV44" s="3587"/>
      <c r="AQW44" s="3587" t="b">
        <f>ISBLANK('!Egen_SK'!$AT$182)</f>
        <v>1</v>
      </c>
      <c r="AQX44" s="3587"/>
      <c r="AQY44" s="3712">
        <f>'!Egen_SK'!$AT$182</f>
        <v>0</v>
      </c>
      <c r="AQZ44" s="3587"/>
      <c r="ARA44" s="3547" t="e">
        <f>INDEX(klasseqty_forbolting[oppheng_lt4_c],MATCH($AI$54,klasseqty_forbolting[Type_size],0))</f>
        <v>#N/A</v>
      </c>
      <c r="ARB44" s="3587"/>
      <c r="ARC44" s="2781" t="e">
        <f t="shared" si="255"/>
        <v>#N/A</v>
      </c>
      <c r="ARD44" s="3587"/>
      <c r="ARE44" s="184"/>
      <c r="ARF44" s="3587"/>
      <c r="ARG44" s="3587"/>
      <c r="ARH44" s="2782" t="str">
        <f t="shared" si="256"/>
        <v/>
      </c>
      <c r="ARI44" s="3587"/>
      <c r="ARJ44" s="3547" t="e">
        <f>INDEX(klasseqty_forbolting[oppheng_gt4_c],MATCH($AI$54,klasseqty_forbolting[Type_size],0))</f>
        <v>#N/A</v>
      </c>
      <c r="ARK44" s="3587"/>
      <c r="ARL44" s="3368" t="e">
        <f t="shared" si="257"/>
        <v>#N/A</v>
      </c>
      <c r="ART44" s="3354" t="b">
        <f>ISBLANK('!Egen_SK'!#REF!)</f>
        <v>0</v>
      </c>
      <c r="ARU44" s="3318"/>
      <c r="ARV44" s="3712">
        <f>'!Egen_SK'!$AT$312</f>
        <v>0</v>
      </c>
      <c r="ARW44" s="3318"/>
      <c r="ARX44" s="3624" t="e">
        <f>INDEX(klasseqty_sik1234[sikringsstøp_hypp_c],MATCH($AI$54,klasseqty_sik1234[Type_size],0))</f>
        <v>#N/A</v>
      </c>
      <c r="ARY44" s="3318"/>
      <c r="ARZ44" s="2775">
        <f t="shared" si="232"/>
        <v>0</v>
      </c>
      <c r="ASA44" s="184"/>
      <c r="ASB44" s="3318" t="b">
        <f>ISBLANK('!Egen_SK'!$AT$316)</f>
        <v>1</v>
      </c>
      <c r="ASC44" s="3318"/>
      <c r="ASD44" s="2983">
        <f>'!Egen_SK'!$AT$316</f>
        <v>0</v>
      </c>
      <c r="ASE44" s="3318"/>
      <c r="ASF44" s="3547" t="e">
        <f>INDEX(klasseqty_sik1234[sikringsstøp_123_c],MATCH($AI$54,klasseqty_sik1234[Type_size],0))</f>
        <v>#N/A</v>
      </c>
      <c r="ASG44" s="3318"/>
      <c r="ASH44" s="2781" t="e">
        <f t="shared" si="258"/>
        <v>#N/A</v>
      </c>
      <c r="ASI44" s="3318"/>
      <c r="ASJ44" s="184"/>
      <c r="ASK44" s="3318"/>
      <c r="ASL44" s="3318"/>
      <c r="ASM44" s="2782" t="str">
        <f t="shared" si="259"/>
        <v/>
      </c>
      <c r="ASN44" s="3318"/>
      <c r="ASO44" s="3547" t="e">
        <f>INDEX(klasseqty_sik1234[sikringsstøp_4_c],MATCH($AI$54,klasseqty_sik1234[Type_size],0))</f>
        <v>#N/A</v>
      </c>
      <c r="ASP44" s="3318"/>
      <c r="ASQ44" s="3368" t="e">
        <f t="shared" si="260"/>
        <v>#N/A</v>
      </c>
      <c r="ASR44" s="2737"/>
      <c r="ASS44" s="2737"/>
      <c r="ATA44" s="2622"/>
      <c r="ATB44" s="2622"/>
      <c r="ATC44" s="2622"/>
      <c r="ATD44" s="2622"/>
      <c r="ATE44" s="2622"/>
      <c r="ATF44" s="2622"/>
      <c r="ATG44" s="2622"/>
      <c r="ATH44" s="2622"/>
      <c r="ATI44" s="2622"/>
      <c r="ATJ44" s="2622"/>
      <c r="ATK44" s="2622"/>
      <c r="ATL44" s="3437"/>
      <c r="ATM44" s="3437"/>
      <c r="ATN44" s="3437"/>
      <c r="ATO44" s="3437"/>
      <c r="ATP44" s="3437"/>
      <c r="ATQ44" s="3437"/>
      <c r="ATR44" s="3437"/>
      <c r="ATS44" s="3437"/>
      <c r="ATT44" s="3437"/>
      <c r="ATU44" s="2622"/>
      <c r="ATV44" s="2622"/>
      <c r="ATW44" s="2622"/>
      <c r="ATX44" s="2617"/>
      <c r="ATY44" s="2617"/>
      <c r="ATZ44" s="2617"/>
      <c r="AUA44" s="2617"/>
      <c r="AUB44" s="2617"/>
      <c r="AUC44" s="2617"/>
      <c r="AUD44" s="2617"/>
      <c r="AUE44" s="2617"/>
      <c r="AUF44" s="2617"/>
      <c r="AUG44" s="2617"/>
      <c r="AUH44" s="2617"/>
      <c r="AUI44" s="2617"/>
      <c r="AUJ44" s="2617"/>
      <c r="AUK44" s="2617"/>
      <c r="AUL44" s="2617"/>
      <c r="AUM44" s="2617"/>
      <c r="AUN44" s="2617"/>
      <c r="AUO44" s="2617"/>
      <c r="AUP44" s="2617"/>
      <c r="AUQ44" s="2617"/>
      <c r="AUR44" s="2617"/>
      <c r="AUS44" s="2617"/>
      <c r="AUT44" s="2617"/>
      <c r="AUU44" s="2617"/>
      <c r="AUV44" s="2617"/>
      <c r="AUW44" s="2617"/>
      <c r="AUX44" s="2617"/>
      <c r="AUY44" s="2617"/>
      <c r="AUZ44" s="2617"/>
      <c r="AVA44" s="2617"/>
      <c r="AVB44" s="2617"/>
      <c r="AVC44" s="2617"/>
      <c r="AVD44" s="2617"/>
      <c r="AVE44" s="2617"/>
      <c r="AVF44" s="2617"/>
      <c r="AVG44" s="2617"/>
      <c r="AVH44" s="2617"/>
      <c r="AVI44" s="2617"/>
      <c r="AVJ44" s="2617"/>
      <c r="AVK44" s="2617"/>
      <c r="AVL44" s="2617"/>
      <c r="AVM44" s="2617"/>
      <c r="AVN44" s="2617"/>
      <c r="AVO44" s="2617"/>
      <c r="AVP44" s="2617"/>
      <c r="AVQ44" s="2617"/>
      <c r="AVR44" s="2617"/>
      <c r="AVS44" s="2617"/>
      <c r="AVT44" s="2617"/>
      <c r="AVU44" s="2617"/>
      <c r="AVV44" s="2617"/>
      <c r="AVW44" s="2617"/>
      <c r="AVX44" s="2617"/>
      <c r="AVY44" s="2617"/>
      <c r="AVZ44" s="2617"/>
      <c r="AWA44" s="2617"/>
      <c r="AWB44" s="2617"/>
      <c r="AWC44" s="2617"/>
      <c r="AWD44" s="2617"/>
      <c r="AWE44" s="2617"/>
      <c r="AWF44" s="2617"/>
      <c r="AWG44" s="2617"/>
      <c r="AWH44" s="2617"/>
      <c r="AWI44" s="2617"/>
      <c r="AWJ44" s="2617"/>
      <c r="AWK44" s="2617"/>
      <c r="AWL44" s="2617"/>
      <c r="AWM44" s="2617"/>
      <c r="AWN44" s="2617"/>
      <c r="AWO44" s="2617"/>
      <c r="AWP44" s="2617"/>
      <c r="AWQ44" s="2617"/>
      <c r="AWR44" s="2617"/>
      <c r="AWS44" s="3549"/>
      <c r="AWT44" s="3549"/>
      <c r="AWU44" s="3549"/>
      <c r="AWV44" s="3549"/>
      <c r="AWW44" s="3549"/>
      <c r="AWX44" s="3549"/>
      <c r="AWY44" s="303" t="s">
        <v>1269</v>
      </c>
      <c r="AWZ44" s="3621">
        <v>4.8</v>
      </c>
      <c r="AXA44" s="3621">
        <v>4.8</v>
      </c>
      <c r="AXB44" s="3621">
        <v>4.8</v>
      </c>
      <c r="AXC44" s="3621">
        <v>4.8</v>
      </c>
      <c r="AXD44" s="3621">
        <v>4.8</v>
      </c>
      <c r="AXE44" s="3621">
        <v>3</v>
      </c>
      <c r="AXF44" s="3621">
        <v>3</v>
      </c>
      <c r="AXG44" s="3622">
        <v>2</v>
      </c>
      <c r="AXH44" s="3549"/>
      <c r="AXI44" s="3549"/>
      <c r="AXJ44" s="3549"/>
      <c r="AXK44" s="3549"/>
      <c r="AXL44" s="3549"/>
      <c r="AXM44" s="3549"/>
      <c r="AXN44" s="3549"/>
      <c r="AXO44" s="3549"/>
      <c r="AXP44" s="3549"/>
      <c r="AXQ44" s="3549"/>
      <c r="AXR44" s="3549"/>
      <c r="AXS44" s="3549"/>
      <c r="AXT44" s="3549"/>
      <c r="AXU44" s="3549"/>
      <c r="AXV44" s="3549"/>
      <c r="AXW44" s="3549"/>
      <c r="AXX44" s="3549"/>
      <c r="AXY44" s="3549"/>
      <c r="AXZ44" s="3549"/>
      <c r="AYA44" s="3549"/>
      <c r="AYB44" s="3549"/>
      <c r="AYC44" s="3549"/>
      <c r="AYD44" s="3549"/>
      <c r="AYE44" s="3549"/>
      <c r="AYG44" s="3414">
        <v>2</v>
      </c>
      <c r="AYT44" s="372" t="s">
        <v>190</v>
      </c>
      <c r="AYU44" s="3420">
        <v>0.7</v>
      </c>
      <c r="AYV44" s="3412">
        <f t="shared" si="261"/>
        <v>80</v>
      </c>
      <c r="AYW44" s="199"/>
      <c r="AYX44" s="3423"/>
      <c r="AYY44" s="194"/>
      <c r="AYZ44" s="194"/>
      <c r="AZA44" s="194"/>
      <c r="AZB44" s="3424">
        <v>1.5</v>
      </c>
      <c r="AZC44" s="251"/>
      <c r="AZD44" s="251"/>
      <c r="AZE44" s="2626"/>
      <c r="AZF44" s="2626"/>
      <c r="AZG44" s="2626"/>
      <c r="AZH44" s="2626"/>
      <c r="AZI44" s="2622"/>
      <c r="AZJ44" s="2622"/>
      <c r="AZK44" s="2622"/>
      <c r="AZL44" s="3416">
        <v>2</v>
      </c>
      <c r="AZM44" s="2622"/>
      <c r="AZN44" s="2622"/>
      <c r="AZO44" s="2622"/>
      <c r="AZP44" s="2622"/>
      <c r="AZQ44" s="2622"/>
      <c r="AZR44" s="2622"/>
      <c r="AZS44" s="2622"/>
      <c r="AZT44" s="2622"/>
      <c r="AZU44" s="2622"/>
      <c r="AZX44" s="2622"/>
      <c r="AZY44" s="2622"/>
      <c r="AZZ44" s="2622"/>
      <c r="BAA44" s="2622"/>
      <c r="BAB44" s="2622"/>
      <c r="BAC44" s="2622"/>
      <c r="BAD44" s="2622"/>
      <c r="BAE44" s="2622"/>
      <c r="BAF44" s="2622"/>
      <c r="BAG44" s="2622"/>
      <c r="BAH44" s="2622"/>
      <c r="BAI44" s="2622"/>
      <c r="BAL44" s="2622"/>
      <c r="BAM44" s="2622"/>
      <c r="BAN44" s="2622"/>
      <c r="BAO44" s="2622"/>
      <c r="BAP44" s="2622"/>
      <c r="BAQ44" s="2622"/>
      <c r="BAT44" s="2622"/>
      <c r="BAU44" s="185"/>
      <c r="BAV44" s="2680"/>
      <c r="BAW44" s="2680"/>
      <c r="BAX44" s="2680"/>
      <c r="BAY44" s="2680"/>
      <c r="BAZ44" s="2680"/>
      <c r="BBA44" s="2680"/>
      <c r="BBB44" s="2680"/>
      <c r="BBC44" s="2680"/>
      <c r="BBD44" s="2680"/>
      <c r="BBE44" s="2680"/>
      <c r="BBF44" s="2680"/>
      <c r="BBG44" s="2680"/>
      <c r="BBH44" s="2680"/>
      <c r="BBI44" s="2680"/>
      <c r="BBK44" s="2622"/>
      <c r="BBQ44" s="3398"/>
      <c r="BCJ44" s="2617"/>
      <c r="BCK44" s="2617"/>
      <c r="BCL44" s="2617"/>
      <c r="BCM44" s="2617"/>
      <c r="BCN44" s="2617"/>
      <c r="BCO44" s="2617"/>
      <c r="BCP44" s="2617"/>
      <c r="BCQ44" s="2617"/>
      <c r="BCR44" s="2617"/>
      <c r="BCS44" s="2617"/>
      <c r="BCT44" s="2617"/>
      <c r="BCU44" s="2617"/>
      <c r="BCV44" s="2617"/>
      <c r="BCW44" s="2617"/>
      <c r="BCX44" s="2617"/>
      <c r="BCY44" s="2617"/>
      <c r="BCZ44" s="2617"/>
      <c r="BDA44" s="2617"/>
      <c r="BDB44" s="2617"/>
      <c r="BDC44" s="2617"/>
      <c r="BDD44" s="2617"/>
      <c r="BDE44" s="2617"/>
      <c r="BDF44" s="2617"/>
      <c r="BDG44" s="2617"/>
      <c r="BDH44" s="2617"/>
      <c r="BDI44" s="2617"/>
      <c r="BDL44" s="2617"/>
      <c r="BDM44" s="2617"/>
      <c r="BDN44" s="2617"/>
      <c r="BDO44" s="2617"/>
      <c r="BDP44" s="2617"/>
      <c r="BDQ44" s="2617"/>
      <c r="BDR44" s="2617"/>
      <c r="BDS44" s="2617"/>
      <c r="BDT44" s="2617"/>
      <c r="BDU44" s="2617"/>
      <c r="BDV44" s="2617"/>
      <c r="BDW44" s="2617"/>
      <c r="BDZ44" s="2617"/>
      <c r="BEA44" s="2617"/>
      <c r="BEB44" s="2617"/>
      <c r="BEC44" s="2617"/>
      <c r="BED44" s="2617"/>
      <c r="BEE44" s="2617"/>
      <c r="BEH44" s="2617"/>
    </row>
    <row r="45" spans="1:1490" ht="20.100000000000001" customHeight="1" x14ac:dyDescent="0.2">
      <c r="AG45" s="181"/>
      <c r="AH45" s="206" t="s">
        <v>1500</v>
      </c>
      <c r="AI45" s="5620" t="e">
        <f>AI40-(AI42*2)</f>
        <v>#N/A</v>
      </c>
      <c r="AK45" s="3403">
        <f>_Calcs!AI40</f>
        <v>7</v>
      </c>
      <c r="AL45" s="4146">
        <f>_Calcs!AL27</f>
        <v>0</v>
      </c>
      <c r="AM45" s="4145">
        <f>_Calcs!AJ40</f>
        <v>0</v>
      </c>
      <c r="AU45" s="235">
        <v>1</v>
      </c>
      <c r="AV45" s="185">
        <f>IF('!INN_SK'!$Z$55="",0,1)</f>
        <v>1</v>
      </c>
      <c r="AW45" s="185">
        <f>IF('!INN_SK'!$Z$57="",0,1)</f>
        <v>1</v>
      </c>
      <c r="AX45" s="185">
        <f>IF('!INN_SK'!$Z$64="",0,1)</f>
        <v>1</v>
      </c>
      <c r="AY45" s="185">
        <f>IF('!INN_SK'!$Z$71="",0,1)</f>
        <v>1</v>
      </c>
      <c r="AZ45" s="185">
        <f>IF('!INN_SK'!$Z$78="",0,1)</f>
        <v>1</v>
      </c>
      <c r="BA45" s="185">
        <f>IF('!INN_SK'!$Z$80="",0,1)</f>
        <v>1</v>
      </c>
      <c r="BB45" s="185">
        <f>IF('!INN_SK'!$Z$87="",0,1)</f>
        <v>1</v>
      </c>
      <c r="BC45" s="193">
        <f>IF('!INN_SK'!$Z$94="",0,1)</f>
        <v>1</v>
      </c>
      <c r="BD45" s="247">
        <f>COUNTIF(checks_klasse[[#This Row],[A]:[G]],0)</f>
        <v>0</v>
      </c>
      <c r="BE45" s="183"/>
      <c r="CG45" s="5812" t="str">
        <f>_Calcs!$QP$135</f>
        <v>Stuff 1-2</v>
      </c>
      <c r="CH45" s="5559">
        <f>IF($AI$31=1,INDEX(outputs_position[12],MATCH(_Calcs!$BC$35,outputs_position[lopstuff],0)),0)</f>
        <v>0</v>
      </c>
      <c r="CI45" s="5852"/>
      <c r="CJ45" s="372">
        <f t="shared" ref="CJ45:CJ52" si="262">CJ35</f>
        <v>0</v>
      </c>
      <c r="CK45" s="194">
        <v>21</v>
      </c>
      <c r="CL45" s="3453"/>
      <c r="CM45" s="3453"/>
      <c r="CN45" s="3453"/>
      <c r="CO45" s="3453"/>
      <c r="CP45" s="3453"/>
      <c r="CQ45" s="3453"/>
      <c r="CR45" s="3453"/>
      <c r="CS45" s="3453"/>
      <c r="CT45" s="3453"/>
      <c r="CU45" s="3453"/>
      <c r="CV45" s="3453"/>
      <c r="CW45" s="3453"/>
      <c r="CX45" s="3453" t="e">
        <f>CX$32*$AM$40</f>
        <v>#DIV/0!</v>
      </c>
      <c r="CY45" s="3453"/>
      <c r="CZ45" s="3453" t="e">
        <f>CZ$32*$AM$40</f>
        <v>#DIV/0!</v>
      </c>
      <c r="DA45" s="3453"/>
      <c r="DB45" s="3453" t="e">
        <f>DB$32*$AM$40</f>
        <v>#DIV/0!</v>
      </c>
      <c r="DC45" s="3453"/>
      <c r="DD45" s="3453" t="e">
        <f>DD$32*$AM$40</f>
        <v>#DIV/0!</v>
      </c>
      <c r="DE45" s="3453"/>
      <c r="DF45" s="3453" t="e">
        <f>DF$32*$AM$40</f>
        <v>#DIV/0!</v>
      </c>
      <c r="DG45" s="3453"/>
      <c r="DH45" s="3453" t="e">
        <f>DH$32*$AM$40</f>
        <v>#DIV/0!</v>
      </c>
      <c r="DI45" s="3453"/>
      <c r="DJ45" s="3453" t="e">
        <f>DJ$32*$AM$40</f>
        <v>#DIV/0!</v>
      </c>
      <c r="DK45" s="3453"/>
      <c r="DL45" s="3453" t="e">
        <f>DL$32*$AM$40</f>
        <v>#DIV/0!</v>
      </c>
      <c r="DM45" s="5881">
        <f>IF($CH45&gt;0,DM$32*_Calcs!$AJ$35,0)</f>
        <v>0</v>
      </c>
      <c r="DN45" s="3453"/>
      <c r="DO45" s="3453"/>
      <c r="DP45" s="3453" t="e">
        <f>DP$32*$AM$40</f>
        <v>#DIV/0!</v>
      </c>
      <c r="DQ45" s="3453"/>
      <c r="DR45" s="3453" t="e">
        <f>DR$32*$AM$40</f>
        <v>#DIV/0!</v>
      </c>
      <c r="DS45" s="3453"/>
      <c r="DT45" s="3453" t="e">
        <f>DT$32*$AM$40</f>
        <v>#DIV/0!</v>
      </c>
      <c r="DU45" s="3453"/>
      <c r="DV45" s="3453" t="e">
        <f>DV$32*$AM$40</f>
        <v>#DIV/0!</v>
      </c>
      <c r="DW45" s="3453"/>
      <c r="DX45" s="3453" t="e">
        <f>DX$32*$AM$40</f>
        <v>#DIV/0!</v>
      </c>
      <c r="DY45" s="3453"/>
      <c r="DZ45" s="3453" t="e">
        <f>DZ$32*$AM$40</f>
        <v>#DIV/0!</v>
      </c>
      <c r="EA45" s="3453"/>
      <c r="EB45" s="3453" t="e">
        <f>EB$32*$AM$40</f>
        <v>#DIV/0!</v>
      </c>
      <c r="EC45" s="3453"/>
      <c r="ED45" s="3453" t="e">
        <f>ED$32*$AM$40</f>
        <v>#DIV/0!</v>
      </c>
      <c r="EE45" s="5881">
        <f>IF($CH45&gt;0,EE$32*_Calcs!$AJ$35,0)</f>
        <v>0</v>
      </c>
      <c r="EF45" s="5712"/>
      <c r="EG45" s="5712"/>
      <c r="EH45" s="5712"/>
      <c r="EI45" s="5712"/>
      <c r="EJ45" s="5712"/>
      <c r="EK45" s="5712"/>
      <c r="EL45" s="5712"/>
      <c r="EM45" s="5712"/>
      <c r="EN45" s="5712"/>
      <c r="EO45" s="5712"/>
      <c r="EP45" s="5712"/>
      <c r="EQ45" s="5712"/>
      <c r="ER45" s="5712"/>
      <c r="ES45" s="5712"/>
      <c r="ET45" s="5712"/>
      <c r="EU45" s="5712"/>
      <c r="EV45" s="5712"/>
      <c r="EW45" s="5881">
        <f>IF($CH45&gt;0,EW$32*_Calcs!$AJ$35,0)</f>
        <v>0</v>
      </c>
      <c r="EX45" s="5712"/>
      <c r="EY45" s="5712"/>
      <c r="EZ45" s="5712"/>
      <c r="FA45" s="5712"/>
      <c r="FB45" s="5712"/>
      <c r="FC45" s="5712"/>
      <c r="FD45" s="5712"/>
      <c r="FE45" s="5712"/>
      <c r="FF45" s="5712"/>
      <c r="FG45" s="5712"/>
      <c r="FH45" s="5712"/>
      <c r="FI45" s="5712"/>
      <c r="FJ45" s="5712"/>
      <c r="FK45" s="5712"/>
      <c r="FL45" s="5712"/>
      <c r="FM45" s="5712"/>
      <c r="FN45" s="5712"/>
      <c r="FO45" s="5712"/>
      <c r="FP45" s="5712"/>
      <c r="FQ45" s="5712"/>
      <c r="FR45" s="5712"/>
      <c r="FS45" s="5712"/>
      <c r="FT45" s="5712"/>
      <c r="FU45" s="5712"/>
      <c r="FV45" s="5712"/>
      <c r="FW45" s="5712"/>
      <c r="FX45" s="5712"/>
      <c r="FY45" s="5712"/>
      <c r="FZ45" s="5712"/>
      <c r="GA45" s="5712"/>
      <c r="GB45" s="3453"/>
      <c r="GC45" s="3453"/>
      <c r="GD45" s="3453"/>
      <c r="GE45" s="3453"/>
      <c r="GF45" s="3453"/>
      <c r="GG45" s="5881">
        <f>IF($CH45&gt;0,GG$32*_Calcs!$AJ$35,0)</f>
        <v>0</v>
      </c>
      <c r="GH45" s="3453"/>
      <c r="GI45" s="3453"/>
      <c r="GJ45" s="3453"/>
      <c r="GK45" s="3453"/>
      <c r="GL45" s="3453"/>
      <c r="GM45" s="3453"/>
      <c r="GN45" s="3453"/>
      <c r="GO45" s="3453"/>
      <c r="GP45" s="3453"/>
      <c r="GQ45" s="3453"/>
      <c r="GR45" s="3453"/>
      <c r="GS45" s="3453"/>
      <c r="GT45" s="3453"/>
      <c r="GU45" s="3453"/>
      <c r="GV45" s="3453"/>
      <c r="GW45" s="3453"/>
      <c r="GX45" s="3453"/>
      <c r="GY45" s="3453"/>
      <c r="GZ45" s="5881">
        <f>IF($CH45&gt;0,GZ$32*_Calcs!$AJ$35,0)</f>
        <v>0</v>
      </c>
      <c r="HA45" s="5881">
        <f>IF($CH45&gt;0,HA$32*_Calcs!$AJ$35,0)</f>
        <v>0</v>
      </c>
      <c r="HB45" s="3453"/>
      <c r="HC45" s="3453"/>
      <c r="HD45" s="3453"/>
      <c r="HE45" s="3453"/>
      <c r="HF45" s="3453"/>
      <c r="HG45" s="3453"/>
      <c r="HH45" s="3453"/>
      <c r="HI45" s="3453"/>
      <c r="HJ45" s="3453"/>
      <c r="HK45" s="3453"/>
      <c r="HL45" s="3453"/>
      <c r="HM45" s="3453"/>
      <c r="HN45" s="3453"/>
      <c r="HO45" s="3453"/>
      <c r="HP45" s="3453"/>
      <c r="HQ45" s="3453"/>
      <c r="HR45" s="3453"/>
      <c r="HS45" s="3453"/>
      <c r="HT45" s="3453"/>
      <c r="HU45" s="5861"/>
      <c r="HV45" s="5712"/>
      <c r="HW45" s="3453"/>
      <c r="HX45" s="3453"/>
      <c r="HY45" s="3453"/>
      <c r="HZ45" s="5861"/>
      <c r="IA45" s="5712"/>
      <c r="IB45" s="3453"/>
      <c r="IC45" s="3453"/>
      <c r="ID45" s="3453"/>
      <c r="IE45" s="5861"/>
      <c r="IF45" s="5712"/>
      <c r="IG45" s="3453"/>
      <c r="IH45" s="3453"/>
      <c r="II45" s="3453"/>
      <c r="IJ45" s="5861"/>
      <c r="IK45" s="5712"/>
      <c r="IL45" s="3453"/>
      <c r="IM45" s="3453"/>
      <c r="IN45" s="3453"/>
      <c r="IO45" s="5861"/>
      <c r="IP45" s="5712"/>
      <c r="IQ45" s="3453"/>
      <c r="IR45" s="3453"/>
      <c r="IS45" s="3453"/>
      <c r="IT45" s="5861"/>
      <c r="IU45" s="5712"/>
      <c r="IV45" s="3453"/>
      <c r="IW45" s="3453"/>
      <c r="IX45" s="3453"/>
      <c r="IY45" s="5861"/>
      <c r="IZ45" s="5712"/>
      <c r="JA45" s="3453"/>
      <c r="JB45" s="3453"/>
      <c r="JC45" s="3453"/>
      <c r="JD45" s="5861"/>
      <c r="JE45" s="5712"/>
      <c r="JF45" s="3453"/>
      <c r="JG45" s="3453"/>
      <c r="JH45" s="3453"/>
      <c r="JI45" s="3453"/>
      <c r="JJ45" s="3453"/>
      <c r="JK45" s="3453"/>
      <c r="JL45" s="3453"/>
      <c r="JM45" s="3453"/>
      <c r="JN45" s="3453"/>
      <c r="JO45" s="3453"/>
      <c r="JP45" s="3453"/>
      <c r="JQ45" s="3453"/>
      <c r="JR45" s="3453"/>
      <c r="JS45" s="3453"/>
      <c r="JT45" s="3453"/>
      <c r="JU45" s="3453"/>
      <c r="JV45" s="5881">
        <f>IF($CH45&gt;0,JV$32*_Calcs!$AJ$35,0)</f>
        <v>0</v>
      </c>
      <c r="JW45" s="5881">
        <f>IF($CH45&gt;0,JW$32*_Calcs!$AJ$35,0)</f>
        <v>0</v>
      </c>
      <c r="JX45" s="3453"/>
      <c r="JY45" s="3453"/>
      <c r="JZ45" s="3453"/>
      <c r="KA45" s="3453"/>
      <c r="KB45" s="3453"/>
      <c r="KC45" s="3453"/>
      <c r="KD45" s="3453"/>
      <c r="KE45" s="3453"/>
      <c r="KF45" s="3453"/>
      <c r="KG45" s="3453"/>
      <c r="KH45" s="3453"/>
      <c r="KI45" s="3453"/>
      <c r="KJ45" s="3453"/>
      <c r="KK45" s="3453"/>
      <c r="KL45" s="3453"/>
      <c r="KM45" s="3453"/>
      <c r="KN45" s="3453"/>
      <c r="KO45" s="3453"/>
      <c r="KP45" s="3453"/>
      <c r="KQ45" s="3453"/>
      <c r="KR45" s="3453"/>
      <c r="KS45" s="3453"/>
      <c r="KT45" s="3453"/>
      <c r="KU45" s="3453"/>
      <c r="KV45" s="3453"/>
      <c r="KW45" s="3453"/>
      <c r="KX45" s="3453"/>
      <c r="KY45" s="3453"/>
      <c r="KZ45" s="3453"/>
      <c r="LA45" s="3453"/>
      <c r="LB45" s="3453"/>
      <c r="LC45" s="3453"/>
      <c r="LD45" s="5881">
        <f>IF($CH45&gt;0,LD$32*_Calcs!$AJ$35,0)</f>
        <v>0</v>
      </c>
      <c r="LE45" s="5881">
        <f>IF($CH45&gt;0,LE$32*_Calcs!$AJ$35,0)</f>
        <v>0</v>
      </c>
      <c r="LF45" s="5712"/>
      <c r="LG45" s="3453"/>
      <c r="LH45" s="3453"/>
      <c r="LI45" s="3453"/>
      <c r="LJ45" s="3453"/>
      <c r="LK45" s="3453"/>
      <c r="LL45" s="3453"/>
      <c r="LM45" s="3453"/>
      <c r="LN45" s="3453"/>
      <c r="LO45" s="3453"/>
      <c r="LP45" s="3453"/>
      <c r="LQ45" s="3453"/>
      <c r="LR45" s="3453"/>
      <c r="LS45" s="3453"/>
      <c r="LT45" s="3453"/>
      <c r="LU45" s="3453"/>
      <c r="LV45" s="3453"/>
      <c r="LW45" s="5881">
        <f>IF($CH45&gt;0,LW$32*_Calcs!$AJ$35,0)</f>
        <v>0</v>
      </c>
      <c r="LX45" s="3453"/>
      <c r="LY45" s="5703"/>
      <c r="LZ45" s="3453"/>
      <c r="MA45" s="5703"/>
      <c r="MB45" s="3453"/>
      <c r="MC45" s="5703"/>
      <c r="MD45" s="3453"/>
      <c r="ME45" s="5703"/>
      <c r="MF45" s="3453"/>
      <c r="MG45" s="5703"/>
      <c r="MH45" s="3453"/>
      <c r="MI45" s="5703"/>
      <c r="MJ45" s="3453"/>
      <c r="MK45" s="5703"/>
      <c r="ML45" s="3453"/>
      <c r="MM45" s="5703"/>
      <c r="MN45" s="5881">
        <f>IF($CH45&gt;0,MN$32*_Calcs!$AJ$35,0)</f>
        <v>0</v>
      </c>
      <c r="MO45" s="3453"/>
      <c r="MP45" s="3453"/>
      <c r="MQ45" s="3453"/>
      <c r="MR45" s="3453"/>
      <c r="MS45" s="3453"/>
      <c r="MT45" s="3453"/>
      <c r="MU45" s="3453"/>
      <c r="MV45" s="3453"/>
      <c r="MW45" s="5881">
        <f>IF($CH45&gt;0,MW$32*_Calcs!$AJ$35,0)</f>
        <v>0</v>
      </c>
      <c r="MX45" s="3453"/>
      <c r="MY45" s="3453"/>
      <c r="MZ45" s="3453"/>
      <c r="NA45" s="3453"/>
      <c r="NB45" s="3453"/>
      <c r="NC45" s="3453"/>
      <c r="ND45" s="3453"/>
      <c r="NE45" s="3453"/>
      <c r="NF45" s="3453"/>
      <c r="NG45" s="3453"/>
      <c r="NH45" s="3453"/>
      <c r="NI45" s="3453"/>
      <c r="NJ45" s="3453"/>
      <c r="NK45" s="3453"/>
      <c r="NL45" s="3453"/>
      <c r="NM45" s="3453"/>
      <c r="NN45" s="5881">
        <f>IF($CH45&gt;0,NN$32*_Calcs!$AJ$35,0)</f>
        <v>0</v>
      </c>
      <c r="NO45" s="3453"/>
      <c r="NP45" s="3453"/>
      <c r="NQ45" s="3453"/>
      <c r="NR45" s="3453"/>
      <c r="NS45" s="3453"/>
      <c r="NT45" s="3453"/>
      <c r="NU45" s="3453"/>
      <c r="NV45" s="3453"/>
      <c r="NW45" s="3453"/>
      <c r="NX45" s="3453"/>
      <c r="NY45" s="3453"/>
      <c r="NZ45" s="3453"/>
      <c r="OA45" s="3453"/>
      <c r="OB45" s="3453"/>
      <c r="OC45" s="3453"/>
      <c r="OD45" s="3453"/>
      <c r="OE45" s="3453"/>
      <c r="OF45" s="3453"/>
      <c r="OG45" s="3453"/>
      <c r="OH45" s="3453"/>
      <c r="OI45" s="5712"/>
      <c r="OJ45" s="3453"/>
      <c r="OK45" s="5720"/>
      <c r="OL45" s="3453"/>
      <c r="OM45" s="5720"/>
      <c r="ON45" s="3453"/>
      <c r="OO45" s="5720"/>
      <c r="OP45" s="3453"/>
      <c r="OQ45" s="5720"/>
      <c r="OR45" s="3453"/>
      <c r="OS45" s="5720"/>
      <c r="OT45" s="3453"/>
      <c r="OU45" s="5720"/>
      <c r="OV45" s="3453"/>
      <c r="OW45" s="5720"/>
      <c r="OX45" s="3453"/>
      <c r="OY45" s="5720"/>
      <c r="OZ45" s="5881">
        <f>IF($CH45&gt;0,OZ$32*_Calcs!$AJ$35,0)</f>
        <v>0</v>
      </c>
      <c r="PA45" s="3453"/>
      <c r="PB45" s="5618"/>
      <c r="PC45" s="3453"/>
      <c r="PD45" s="5618"/>
      <c r="PE45" s="3453"/>
      <c r="PF45" s="5618"/>
      <c r="PG45" s="3453"/>
      <c r="PH45" s="5618"/>
      <c r="PI45" s="3453"/>
      <c r="PJ45" s="5618"/>
      <c r="PK45" s="3453"/>
      <c r="PL45" s="5618"/>
      <c r="PM45" s="3453"/>
      <c r="PN45" s="5618"/>
      <c r="PO45" s="3453"/>
      <c r="PP45" s="5618"/>
      <c r="PQ45" s="5881">
        <f>IF($CH45&gt;0,PQ$32*_Calcs!$AJ$35,0)</f>
        <v>0</v>
      </c>
      <c r="PR45" s="3453"/>
      <c r="PS45" s="5710"/>
      <c r="PT45" s="3453"/>
      <c r="PU45" s="5710"/>
      <c r="PV45" s="3453"/>
      <c r="PW45" s="5710"/>
      <c r="PX45" s="3453"/>
      <c r="PY45" s="5710"/>
      <c r="PZ45" s="3453"/>
      <c r="QA45" s="5710"/>
      <c r="QB45" s="3453"/>
      <c r="QC45" s="5710"/>
      <c r="QD45" s="3453"/>
      <c r="QE45" s="5710"/>
      <c r="QF45" s="3453"/>
      <c r="QG45" s="5710"/>
      <c r="QH45" s="5881">
        <f>IF($CH45&gt;0,QH$32*_Calcs!$AJ$35,0)</f>
        <v>0</v>
      </c>
      <c r="QI45" s="3453"/>
      <c r="QJ45" s="3453"/>
      <c r="QK45" s="3453"/>
      <c r="QL45" s="3453"/>
      <c r="QM45" s="3453"/>
      <c r="QN45" s="3453"/>
      <c r="QO45" s="3453"/>
      <c r="QP45" s="3453"/>
      <c r="QQ45" s="3453"/>
      <c r="QR45" s="5712"/>
      <c r="QS45" s="5713"/>
      <c r="QT45" s="3453"/>
      <c r="QU45" s="3453"/>
      <c r="QV45" s="5713"/>
      <c r="QW45" s="3453"/>
      <c r="QX45" s="3453"/>
      <c r="QY45" s="5713"/>
      <c r="QZ45" s="3453"/>
      <c r="RA45" s="3453"/>
      <c r="RB45" s="5713"/>
      <c r="RC45" s="3453"/>
      <c r="RD45" s="3453"/>
      <c r="RE45" s="5713"/>
      <c r="RF45" s="3453"/>
      <c r="RG45" s="3453"/>
      <c r="RH45" s="5713"/>
      <c r="RI45" s="3453"/>
      <c r="RJ45" s="3453"/>
      <c r="RK45" s="5713"/>
      <c r="RL45" s="3453"/>
      <c r="RM45" s="3453"/>
      <c r="RN45" s="5713"/>
      <c r="RO45" s="3453"/>
      <c r="RP45" s="3453"/>
      <c r="RQ45" s="5881">
        <f>IF($CH45&gt;0,RQ$32*_Calcs!$AJ$35,0)</f>
        <v>0</v>
      </c>
      <c r="RR45" s="3453"/>
      <c r="RS45" s="3453"/>
      <c r="RT45" s="3453"/>
      <c r="RU45" s="3453"/>
      <c r="RV45" s="3453"/>
      <c r="RW45" s="3453"/>
      <c r="RX45" s="3453"/>
      <c r="RY45" s="3453"/>
      <c r="RZ45" s="3453"/>
      <c r="SA45" s="3453"/>
      <c r="SB45" s="3453"/>
      <c r="SC45" s="3453"/>
      <c r="SD45" s="3453"/>
      <c r="SE45" s="3453"/>
      <c r="SF45" s="3453"/>
      <c r="SG45" s="3453"/>
      <c r="SH45" s="3453"/>
      <c r="SI45" s="3453"/>
      <c r="SJ45" s="3453"/>
      <c r="SK45" s="3453"/>
      <c r="SL45" s="3453"/>
      <c r="SM45" s="3453"/>
      <c r="SN45" s="3453"/>
      <c r="SO45" s="3453"/>
      <c r="SP45" s="3453"/>
      <c r="SQ45" s="5881">
        <f>IF($CH45&gt;0,SQ$32*_Calcs!$AJ$35,0)</f>
        <v>0</v>
      </c>
      <c r="SR45" s="5881">
        <f>IF($CH45&gt;0,SR$32*_Calcs!$AJ$35,0)</f>
        <v>0</v>
      </c>
      <c r="SS45" s="3453"/>
      <c r="ST45" s="3453"/>
      <c r="SU45" s="3453"/>
      <c r="SV45" s="3453"/>
      <c r="SW45" s="3453"/>
      <c r="SX45" s="3453"/>
      <c r="SY45" s="3453"/>
      <c r="SZ45" s="3453"/>
      <c r="TA45" s="3453"/>
      <c r="TB45" s="3453"/>
      <c r="TC45" s="3453"/>
      <c r="TD45" s="3453"/>
      <c r="TE45" s="3453"/>
      <c r="TF45" s="3453"/>
      <c r="TG45" s="3453"/>
      <c r="TH45" s="3453"/>
      <c r="TI45" s="3453"/>
      <c r="TJ45" s="3453"/>
      <c r="TK45" s="5721"/>
      <c r="TL45" s="3453"/>
      <c r="TM45" s="3453"/>
      <c r="TN45" s="3453"/>
      <c r="TO45" s="5722"/>
      <c r="TP45" s="5702"/>
      <c r="TQ45" s="5723"/>
      <c r="TR45" s="3453"/>
      <c r="TS45" s="3453"/>
      <c r="TT45" s="3453"/>
      <c r="TU45" s="5722"/>
      <c r="TV45" s="5702"/>
      <c r="TW45" s="5723"/>
      <c r="TX45" s="3453"/>
      <c r="TY45" s="3453"/>
      <c r="TZ45" s="3453"/>
      <c r="UA45" s="5722"/>
      <c r="UB45" s="5702"/>
      <c r="UC45" s="5723"/>
      <c r="UD45" s="3453"/>
      <c r="UE45" s="3453"/>
      <c r="UF45" s="3453"/>
      <c r="UG45" s="5722"/>
      <c r="UH45" s="5702"/>
      <c r="UI45" s="5723"/>
      <c r="UJ45" s="3453"/>
      <c r="UK45" s="3453"/>
      <c r="UL45" s="3453"/>
      <c r="UM45" s="5722"/>
      <c r="UN45" s="5702"/>
      <c r="UO45" s="5723"/>
      <c r="UP45" s="3453"/>
      <c r="UQ45" s="3453"/>
      <c r="UR45" s="3453"/>
      <c r="US45" s="5722"/>
      <c r="UT45" s="5702"/>
      <c r="UU45" s="5723"/>
      <c r="UV45" s="3453"/>
      <c r="UW45" s="3453"/>
      <c r="UX45" s="3453"/>
      <c r="UY45" s="5722"/>
      <c r="UZ45" s="5702"/>
      <c r="VA45" s="5723"/>
      <c r="VB45" s="3453"/>
      <c r="VC45" s="3453"/>
      <c r="VD45" s="3453"/>
      <c r="VE45" s="5722"/>
      <c r="VF45" s="5702"/>
      <c r="VG45" s="5723"/>
      <c r="VH45" s="5881">
        <f>IF($CH45&gt;0,VH$32*_Calcs!$AJ$35,0)</f>
        <v>0</v>
      </c>
      <c r="VI45" s="5881">
        <f>IF($CH45&gt;0,VI$32*_Calcs!$AJ$35,0)</f>
        <v>0</v>
      </c>
      <c r="VJ45" s="5881">
        <f>IF($CH45&gt;0,VJ$32*_Calcs!$AJ$35,0)</f>
        <v>0</v>
      </c>
      <c r="VK45" s="3453"/>
      <c r="VL45" s="3453"/>
      <c r="VM45" s="3453"/>
      <c r="VN45" s="3453"/>
      <c r="VO45" s="3453"/>
      <c r="VP45" s="3453"/>
      <c r="VQ45" s="3453"/>
      <c r="VR45" s="3453"/>
      <c r="VS45" s="3453"/>
      <c r="VT45" s="3453"/>
      <c r="VU45" s="3453"/>
      <c r="VV45" s="3453"/>
      <c r="VW45" s="3453"/>
      <c r="VX45" s="3453"/>
      <c r="VY45" s="3453"/>
      <c r="VZ45" s="3453"/>
      <c r="WA45" s="5881">
        <f>IF($CH45&gt;0,WA$32*_Calcs!$AJ$35,0)</f>
        <v>0</v>
      </c>
      <c r="WB45" s="3453"/>
      <c r="WC45" s="3453"/>
      <c r="WD45" s="3453"/>
      <c r="WE45" s="3453"/>
      <c r="WF45" s="3453"/>
      <c r="WG45" s="3453"/>
      <c r="WH45" s="3453"/>
      <c r="WI45" s="3453"/>
      <c r="WJ45" s="3453"/>
      <c r="WK45" s="3453"/>
      <c r="WL45" s="3453"/>
      <c r="WM45" s="3453"/>
      <c r="WN45" s="3453"/>
      <c r="WO45" s="3453"/>
      <c r="WP45" s="3453"/>
      <c r="WQ45" s="3453"/>
      <c r="WR45" s="3453"/>
      <c r="WS45" s="3453"/>
      <c r="WT45" s="3453"/>
      <c r="WU45" s="3453"/>
      <c r="WV45" s="3453"/>
      <c r="WW45" s="3453"/>
      <c r="WX45" s="3453"/>
      <c r="WY45" s="3453"/>
      <c r="WZ45" s="3453"/>
      <c r="XA45" s="3453"/>
      <c r="XB45" s="3453"/>
      <c r="XC45" s="3453"/>
      <c r="XD45" s="3453"/>
      <c r="XE45" s="3453"/>
      <c r="XF45" s="3453"/>
      <c r="XG45" s="3453"/>
      <c r="XH45" s="5881">
        <f>IF($CH45&gt;0,XH$32*_Calcs!$AJ$35,0)</f>
        <v>0</v>
      </c>
      <c r="XI45" s="5881">
        <f>IF($CH45&gt;0,XI$32*_Calcs!$AJ$35,0)</f>
        <v>0</v>
      </c>
      <c r="XJ45" s="3453"/>
      <c r="XK45" s="3453"/>
      <c r="XL45" s="3453"/>
      <c r="XM45" s="3453"/>
      <c r="XN45" s="3453"/>
      <c r="XO45" s="3453"/>
      <c r="XP45" s="3453"/>
      <c r="XQ45" s="3453"/>
      <c r="XR45" s="3453"/>
      <c r="XS45" s="3453"/>
      <c r="XT45" s="3453"/>
      <c r="XU45" s="3453"/>
      <c r="XV45" s="3453"/>
      <c r="XW45" s="3453"/>
      <c r="XX45" s="3453"/>
      <c r="XY45" s="3453"/>
      <c r="XZ45" s="3453"/>
      <c r="YA45" s="3453"/>
      <c r="YB45" s="3453"/>
      <c r="YC45" s="3453"/>
      <c r="YD45" s="3453"/>
      <c r="YE45" s="3453"/>
      <c r="YF45" s="3453"/>
      <c r="YG45" s="3453"/>
      <c r="YH45" s="3453"/>
      <c r="YI45" s="3453"/>
      <c r="YJ45" s="3453"/>
      <c r="YK45" s="3453"/>
      <c r="YL45" s="3453"/>
      <c r="YM45" s="3453"/>
      <c r="YN45" s="3453"/>
      <c r="YO45" s="3453"/>
      <c r="YP45" s="5881">
        <f>IF($CH45&gt;0,YP$32*_Calcs!$AJ$35,0)</f>
        <v>0</v>
      </c>
      <c r="YQ45" s="5881">
        <f>IF($CH45&gt;0,YQ$32*_Calcs!$AJ$35,0)</f>
        <v>0</v>
      </c>
      <c r="YR45" s="3453"/>
      <c r="YS45" s="3453"/>
      <c r="YT45" s="3453"/>
      <c r="YU45" s="3453"/>
      <c r="YV45" s="3453"/>
      <c r="YW45" s="3453"/>
      <c r="YX45" s="3453"/>
      <c r="YY45" s="3453"/>
      <c r="YZ45" s="3453"/>
      <c r="ZA45" s="3453"/>
      <c r="ZB45" s="3453"/>
      <c r="ZC45" s="3453"/>
      <c r="ZD45" s="3453"/>
      <c r="ZE45" s="3453"/>
      <c r="ZF45" s="3453"/>
      <c r="ZG45" s="3453"/>
      <c r="ZH45" s="3453"/>
      <c r="ZI45" s="3453"/>
      <c r="ZJ45" s="3453"/>
      <c r="ZK45" s="3453"/>
      <c r="ZL45" s="3453"/>
      <c r="ZM45" s="3453"/>
      <c r="ZN45" s="4199"/>
      <c r="ZO45" s="4199"/>
      <c r="ZP45" s="4199"/>
      <c r="ZQ45" s="4199"/>
      <c r="ZR45" s="4199"/>
      <c r="ZS45" s="4199"/>
      <c r="ZT45" s="4199"/>
      <c r="ZU45" s="4199"/>
      <c r="ZV45" s="4199"/>
      <c r="ZW45" s="4199"/>
      <c r="ZX45" s="4199"/>
      <c r="ZY45" s="4199"/>
      <c r="ZZ45" s="4199"/>
      <c r="AAA45" s="4199"/>
      <c r="AAB45" s="2622"/>
      <c r="AAC45" s="2622"/>
      <c r="AAD45" s="2622"/>
      <c r="AAE45" s="2622"/>
      <c r="AAF45" s="2622"/>
      <c r="AAG45" s="2622"/>
      <c r="AAH45" s="2622"/>
      <c r="AAI45" s="2622"/>
      <c r="AAJ45" s="2622"/>
      <c r="AAK45" s="2622"/>
      <c r="AAL45" s="2622"/>
      <c r="AAM45" s="2622"/>
      <c r="AAN45" s="2622"/>
      <c r="AAO45" s="2622"/>
      <c r="AAP45" s="2622"/>
      <c r="AAQ45" s="2622"/>
      <c r="AAR45" s="2622"/>
      <c r="AAS45" s="2622"/>
      <c r="AAT45" s="2622"/>
      <c r="AAU45" s="2622"/>
      <c r="AAV45" s="2622"/>
      <c r="AAW45" s="372" t="s">
        <v>192</v>
      </c>
      <c r="AAX45" s="372"/>
      <c r="AAY45" s="372" t="s">
        <v>892</v>
      </c>
      <c r="AAZ45" s="184"/>
      <c r="ABA45" s="3811"/>
      <c r="ABB45" s="5797" t="b">
        <f>ISBLANK('!Egen_SK'!$BB$76)</f>
        <v>1</v>
      </c>
      <c r="ABC45" s="5797"/>
      <c r="ABD45" s="2983">
        <f>'!Egen_SK'!$BB$76</f>
        <v>0</v>
      </c>
      <c r="ABE45" s="5797"/>
      <c r="ABF45" s="3624" t="e">
        <f>INDEX(klasse_salve[salve_lengde_d],MATCH($AI$54,klasse_salve[Type_size],0))</f>
        <v>#N/A</v>
      </c>
      <c r="ABG45" s="5797"/>
      <c r="ABH45" s="3010" t="e">
        <f t="shared" si="233"/>
        <v>#N/A</v>
      </c>
      <c r="ABI45" s="5799"/>
      <c r="ABJ45" s="184"/>
      <c r="ABK45" s="3811"/>
      <c r="ABL45" s="5797" t="b">
        <f>ISBLANK('!Egen_SK'!$BB$85)</f>
        <v>1</v>
      </c>
      <c r="ABM45" s="5797"/>
      <c r="ABN45" s="2983">
        <f>'!Egen_SK'!$BB$85</f>
        <v>0</v>
      </c>
      <c r="ABO45" s="5797"/>
      <c r="ABP45" s="3624" t="e">
        <f>INDEX(klasseqty_rensk[manual_tid_salve_d],MATCH($AI$54,klasseqty_bolting[Type_size],0))</f>
        <v>#N/A</v>
      </c>
      <c r="ABQ45" s="5797"/>
      <c r="ABR45" s="3010" t="e">
        <f t="shared" si="234"/>
        <v>#N/A</v>
      </c>
      <c r="ABS45" s="5799"/>
      <c r="ABT45" s="184"/>
      <c r="ABU45" s="3811"/>
      <c r="ABV45" s="5797" t="b">
        <f>ISBLANK('!Egen_SK'!$BB$92)</f>
        <v>1</v>
      </c>
      <c r="ABW45" s="5797"/>
      <c r="ABX45" s="2983">
        <f>'!Egen_SK'!$BB$92</f>
        <v>0</v>
      </c>
      <c r="ABY45" s="5797"/>
      <c r="ABZ45" s="3624" t="e">
        <f>INDEX(klasseqty_rensk[inspectiontid_d],MATCH($AI$54,klasseqty_bolting[Type_size],0))</f>
        <v>#N/A</v>
      </c>
      <c r="ACA45" s="5797"/>
      <c r="ACB45" s="3010" t="e">
        <f t="shared" si="235"/>
        <v>#N/A</v>
      </c>
      <c r="ACC45" s="5799"/>
      <c r="ACD45" s="3582"/>
      <c r="ACE45" s="5800"/>
      <c r="ACF45" s="5797" t="b">
        <f>ISBLANK('!Egen_SK'!$BB$101)</f>
        <v>1</v>
      </c>
      <c r="ACG45" s="5797"/>
      <c r="ACH45" s="2983">
        <f>'!Egen_SK'!$BB$101</f>
        <v>0</v>
      </c>
      <c r="ACI45" s="5797"/>
      <c r="ACJ45" s="2774" t="e">
        <f>INDEX(klasseqty_bolting[veder_cc_d],MATCH($AI$54,klasseqty_bolting[Type_size],0))</f>
        <v>#N/A</v>
      </c>
      <c r="ACK45" s="5797"/>
      <c r="ACL45" s="2775" t="e">
        <f t="shared" si="236"/>
        <v>#N/A</v>
      </c>
      <c r="ACM45" s="5797"/>
      <c r="ACN45" s="184"/>
      <c r="ACO45" s="5797" t="b">
        <f>ISBLANK('!Egen_SK'!$BB$105)</f>
        <v>1</v>
      </c>
      <c r="ACP45" s="5797"/>
      <c r="ACQ45" s="2782">
        <f>'!Egen_SK'!$BB$105</f>
        <v>0</v>
      </c>
      <c r="ACR45" s="5797"/>
      <c r="ACS45" s="3547" t="e">
        <f>INDEX(klasseqty_bolting[veder_length_lt4_d],MATCH($AI$54,klasseqty_bolting[Type_size],0))</f>
        <v>#N/A</v>
      </c>
      <c r="ACT45" s="5797"/>
      <c r="ACU45" s="2781" t="e">
        <f t="shared" si="237"/>
        <v>#N/A</v>
      </c>
      <c r="ACV45" s="5797"/>
      <c r="ACW45" s="184"/>
      <c r="ACX45" s="5797"/>
      <c r="ACY45" s="5797"/>
      <c r="ACZ45" s="2782" t="str">
        <f t="shared" si="238"/>
        <v/>
      </c>
      <c r="ADA45" s="5797"/>
      <c r="ADB45" s="3547" t="e">
        <f>INDEX(klasseqty_bolting[veder_length_gt4_d],MATCH($AI$54,klasseqty_bolting[Type_size],0))</f>
        <v>#N/A</v>
      </c>
      <c r="ADC45" s="5797"/>
      <c r="ADD45" s="2781" t="e">
        <f t="shared" si="239"/>
        <v>#N/A</v>
      </c>
      <c r="ADE45" s="5809"/>
      <c r="ADF45" s="2816"/>
      <c r="ADG45" s="3589"/>
      <c r="ADH45" s="3587" t="b">
        <f>ISBLANK('!Egen_SK'!$BB$114)</f>
        <v>1</v>
      </c>
      <c r="ADI45" s="3587"/>
      <c r="ADJ45" s="2983">
        <f>'!Egen_SK'!$BB$114</f>
        <v>0</v>
      </c>
      <c r="ADK45" s="3587"/>
      <c r="ADL45" s="2774" t="e">
        <f>INDEX(klasseqty_bolting[vegg_cc_d],MATCH($AI$54,klasseqty_bolting[Type_size],0))</f>
        <v>#N/A</v>
      </c>
      <c r="ADM45" s="3587"/>
      <c r="ADN45" s="2775" t="e">
        <f t="shared" si="240"/>
        <v>#N/A</v>
      </c>
      <c r="ADO45" s="3587"/>
      <c r="ADP45" s="184"/>
      <c r="ADQ45" s="3675"/>
      <c r="ADR45" s="3587" t="b">
        <f>ISBLANK('!Egen_SK'!$BB$118)</f>
        <v>1</v>
      </c>
      <c r="ADS45" s="3587"/>
      <c r="ADT45" s="2782">
        <f>'!Egen_SK'!$BB$118</f>
        <v>0</v>
      </c>
      <c r="ADU45" s="3587"/>
      <c r="ADV45" s="3547" t="e">
        <f>INDEX(klasseqty_bolting[vegg_length_lt4_d],MATCH($AI$54,klasseqty_bolting[Type_size],0))</f>
        <v>#N/A</v>
      </c>
      <c r="ADW45" s="3587"/>
      <c r="ADX45" s="2781" t="e">
        <f t="shared" si="241"/>
        <v>#N/A</v>
      </c>
      <c r="ADY45" s="3675"/>
      <c r="ADZ45" s="3675"/>
      <c r="AEA45" s="3675"/>
      <c r="AEB45" s="2782" t="str">
        <f t="shared" si="209"/>
        <v/>
      </c>
      <c r="AEC45" s="3675"/>
      <c r="AED45" s="3547" t="e">
        <f>INDEX(klasseqty_bolting[vegg_length_gt4_d],MATCH($AI$54,klasseqty_bolting[Type_size],0))</f>
        <v>#N/A</v>
      </c>
      <c r="AEE45" s="3675"/>
      <c r="AEF45" s="2781" t="e">
        <f t="shared" si="210"/>
        <v>#N/A</v>
      </c>
      <c r="AEG45" s="3676"/>
      <c r="AEH45" s="2816"/>
      <c r="AEI45" s="3396"/>
      <c r="AEJ45" s="3396"/>
      <c r="AEK45" s="3396"/>
      <c r="AEL45" s="5788"/>
      <c r="AEM45" s="5788"/>
      <c r="AEN45" s="5788"/>
      <c r="AEO45" s="5788"/>
      <c r="AEP45" s="5788"/>
      <c r="AEQ45" s="5788"/>
      <c r="AER45" s="5788"/>
      <c r="AES45" s="5790"/>
      <c r="AET45" s="5789" t="b">
        <f>ISBLANK('!Egen_SK'!$BB$248)</f>
        <v>0</v>
      </c>
      <c r="AEU45" s="5789"/>
      <c r="AEV45" s="2983">
        <f>'!Egen_SK'!$BB$248</f>
        <v>2</v>
      </c>
      <c r="AEW45" s="5789"/>
      <c r="AEX45" s="2773" t="e">
        <f>INDEX(klasseqty_bergbånd[overlappingsfaktor_d],MATCH($AI$54,klasseqty_bergbånd[Type_size],0))</f>
        <v>#N/A</v>
      </c>
      <c r="AEY45" s="5789"/>
      <c r="AEZ45" s="3376">
        <f t="shared" si="211"/>
        <v>2</v>
      </c>
      <c r="AFA45" s="5142"/>
      <c r="AFB45" s="5145" t="b">
        <f>ISBLANK('!Egen_SK'!$BB$255)</f>
        <v>1</v>
      </c>
      <c r="AFC45" s="5142"/>
      <c r="AFD45" s="2983">
        <f>'!Egen_SK'!$BB$255</f>
        <v>0</v>
      </c>
      <c r="AFE45" s="5142"/>
      <c r="AFF45" s="2773" t="e">
        <f>INDEX(klasseqty_bergbånd[tilleggs_bergbånd_d],MATCH($AI$54,klasseqty_bergbånd[Type_size],0))</f>
        <v>#N/A</v>
      </c>
      <c r="AFG45" s="5142"/>
      <c r="AFH45" s="3376" t="e">
        <f t="shared" si="212"/>
        <v>#N/A</v>
      </c>
      <c r="AFI45" s="5142"/>
      <c r="AFJ45" s="5145" t="b">
        <f>ISBLANK('!Egen_SK'!$BB$262)</f>
        <v>1</v>
      </c>
      <c r="AFK45" s="5142"/>
      <c r="AFL45" s="2983">
        <f>'!Egen_SK'!$BB$262</f>
        <v>0</v>
      </c>
      <c r="AFM45" s="5142"/>
      <c r="AFN45" s="3011" t="e">
        <f>INDEX(klasseqty_bergbånd[tilleggs_bergbånd_festebolter_senteravstand_d],MATCH($AI$54,klasseqty_bergbånd[Type_size],0))</f>
        <v>#N/A</v>
      </c>
      <c r="AFO45" s="5142"/>
      <c r="AFP45" s="2775" t="e">
        <f t="shared" si="213"/>
        <v>#N/A</v>
      </c>
      <c r="AFQ45" s="5142"/>
      <c r="AFR45" s="5142" t="b">
        <f>ISBLANK('!Egen_SK'!$BB$266)</f>
        <v>1</v>
      </c>
      <c r="AFS45" s="5142"/>
      <c r="AFT45" s="2782">
        <f>'!Egen_SK'!$BB$266</f>
        <v>0</v>
      </c>
      <c r="AFU45" s="5142"/>
      <c r="AFV45" s="3547" t="e">
        <f>INDEX(klasseqty_bergbånd[tilleggs_bergbånd_festebolter_lt4_d],MATCH($AI$54,klasseqty_bergbånd[Type_size],0))</f>
        <v>#N/A</v>
      </c>
      <c r="AFW45" s="5142"/>
      <c r="AFX45" s="2781" t="e">
        <f t="shared" si="242"/>
        <v>#N/A</v>
      </c>
      <c r="AFY45" s="5142"/>
      <c r="AFZ45" s="184"/>
      <c r="AGA45" s="5142"/>
      <c r="AGB45" s="5142"/>
      <c r="AGC45" s="5142"/>
      <c r="AGD45" s="2782" t="str">
        <f t="shared" si="243"/>
        <v/>
      </c>
      <c r="AGE45" s="5142"/>
      <c r="AGF45" s="3547" t="e">
        <f>INDEX(klasseqty_bergbånd[tilleggs_bergbånd_festebolter_gt4_d],MATCH($AI$54,klasseqty_bergbånd[Type_size],0))</f>
        <v>#N/A</v>
      </c>
      <c r="AGG45" s="5142"/>
      <c r="AGH45" s="2781" t="e">
        <f t="shared" si="244"/>
        <v>#N/A</v>
      </c>
      <c r="AGI45" s="5146"/>
      <c r="AGJ45" s="5152"/>
      <c r="AGK45" s="5152"/>
      <c r="AGL45" s="5152"/>
      <c r="AGM45" s="5152"/>
      <c r="AGN45" s="2622"/>
      <c r="AGO45" s="3354" t="b">
        <f>ISBLANK('!Egen_SK'!$BB$277)</f>
        <v>1</v>
      </c>
      <c r="AGP45" s="3318"/>
      <c r="AGQ45" s="2983">
        <f>'!Egen_SK'!$BB$277</f>
        <v>0</v>
      </c>
      <c r="AGR45" s="3318"/>
      <c r="AGS45" s="3011" t="e">
        <f>INDEX(klasseqty_nett[nett_hypp_d],MATCH($AI$54,klasseqty_nett[Type_size],0))</f>
        <v>#N/A</v>
      </c>
      <c r="AGT45" s="3318"/>
      <c r="AGU45" s="3376" t="e">
        <f t="shared" si="214"/>
        <v>#N/A</v>
      </c>
      <c r="AGV45" s="5152"/>
      <c r="AGW45" s="5518" t="b">
        <f>ISBLANK('!Egen_SK'!$BB$284)</f>
        <v>1</v>
      </c>
      <c r="AGX45" s="5517"/>
      <c r="AGY45" s="2983">
        <f>'!Egen_SK'!$BB$284</f>
        <v>0</v>
      </c>
      <c r="AGZ45" s="5517"/>
      <c r="AHA45" s="3011" t="e">
        <f>INDEX(klasseqty_nett[nett_festebolter_avstand_d],MATCH($AI$54,klasseqty_nett[Type_size],0))</f>
        <v>#N/A</v>
      </c>
      <c r="AHB45" s="5517"/>
      <c r="AHC45" s="3376" t="e">
        <f t="shared" si="215"/>
        <v>#N/A</v>
      </c>
      <c r="AHD45" s="5152"/>
      <c r="AHF45" s="5518" t="b">
        <f>ISBLANK('!Egen_SK'!$BB$291)</f>
        <v>1</v>
      </c>
      <c r="AHG45" s="5517"/>
      <c r="AHH45" s="2983">
        <f>'!Egen_SK'!$BB$291</f>
        <v>0</v>
      </c>
      <c r="AHI45" s="5517"/>
      <c r="AHJ45" s="3011" t="e">
        <f>INDEX(klasseqty_nett[nett_sprøytebetong_tykkelse_d],MATCH($AI$54,klasseqty_nett[Type_size],0))</f>
        <v>#N/A</v>
      </c>
      <c r="AHK45" s="5517"/>
      <c r="AHL45" s="3376" t="e">
        <f t="shared" si="216"/>
        <v>#N/A</v>
      </c>
      <c r="AHP45" s="3589"/>
      <c r="AHQ45" s="3587" t="b">
        <f>ISBLANK('!Egen_SK'!$BB$129)</f>
        <v>1</v>
      </c>
      <c r="AHR45" s="3587"/>
      <c r="AHS45" s="2983">
        <f>'!Egen_SK'!$BB$129</f>
        <v>0</v>
      </c>
      <c r="AHT45" s="3587"/>
      <c r="AHU45" s="3624" t="e">
        <f>INDEX(klasseqty_sprøyte[veder_tykkelse_d],MATCH($AI$54,klasseqty_sprøyte[Type_size],0))</f>
        <v>#N/A</v>
      </c>
      <c r="AHV45" s="3587"/>
      <c r="AHW45" s="2775" t="e">
        <f t="shared" si="217"/>
        <v>#N/A</v>
      </c>
      <c r="AHX45" s="3709"/>
      <c r="AHY45" s="2622"/>
      <c r="AHZ45" s="3677"/>
      <c r="AIA45" s="3675" t="b">
        <f>ISBLANK('!Egen_SK'!$BB$136)</f>
        <v>1</v>
      </c>
      <c r="AIB45" s="3675"/>
      <c r="AIC45" s="2983">
        <f>'!Egen_SK'!$BB$136</f>
        <v>0</v>
      </c>
      <c r="AID45" s="3675"/>
      <c r="AIE45" s="3624" t="e">
        <f>INDEX(klasseqty_sprøyte[vegg_tykkelse_d],MATCH($AI$54,klasseqty_sprøyte[Type_size],0))</f>
        <v>#N/A</v>
      </c>
      <c r="AIF45" s="3675"/>
      <c r="AIG45" s="2775" t="e">
        <f t="shared" si="218"/>
        <v>#N/A</v>
      </c>
      <c r="AIH45" s="3709"/>
      <c r="AII45" s="184"/>
      <c r="AIJ45" s="3811"/>
      <c r="AIK45" s="3587" t="b">
        <f>ISBLANK('!Egen_SK'!$BB$143)</f>
        <v>1</v>
      </c>
      <c r="AIL45" s="3587"/>
      <c r="AIM45" s="2983">
        <f>'!Egen_SK'!$BB$143</f>
        <v>0</v>
      </c>
      <c r="AIN45" s="3587"/>
      <c r="AIO45" s="3011" t="e">
        <f>INDEX(klasseqty_sprøyte[ruhetfaktor_d],MATCH($AI$54,klasseqty_sprøyte[Type_size],0))</f>
        <v>#N/A</v>
      </c>
      <c r="AIP45" s="3587"/>
      <c r="AIQ45" s="2775" t="e">
        <f t="shared" si="219"/>
        <v>#N/A</v>
      </c>
      <c r="AIR45" s="3753"/>
      <c r="AIS45" s="2622"/>
      <c r="AIT45" s="3677"/>
      <c r="AIU45" s="3675" t="b">
        <f>ISBLANK('!Egen_SK'!$BB$193)</f>
        <v>1</v>
      </c>
      <c r="AIV45" s="3675"/>
      <c r="AIW45" s="3319">
        <f>'!Egen_SK'!$BB$193</f>
        <v>0</v>
      </c>
      <c r="AIX45" s="3675"/>
      <c r="AIY45" s="2773" t="e">
        <f>INDEX(klasseqty_buer[dimensjon_d],MATCH($AI$54,klasseqty_buer[Type_size],0))</f>
        <v>#N/A</v>
      </c>
      <c r="AIZ45" s="3675"/>
      <c r="AJA45" s="2775" t="e">
        <f t="shared" si="220"/>
        <v>#N/A</v>
      </c>
      <c r="AJB45" s="3675"/>
      <c r="AJC45" s="5162" t="b">
        <f>ISBLANK('!Egen_SK'!$BB$198)</f>
        <v>1</v>
      </c>
      <c r="AJD45" s="5162"/>
      <c r="AJE45" s="2782">
        <f>'!Egen_SK'!$BB$198</f>
        <v>0</v>
      </c>
      <c r="AJF45" s="5162"/>
      <c r="AJG45" s="3547" t="e">
        <f>INDEX(klasseqty_buer[andel_d],MATCH($AI$54,klasseqty_buer[Type_size],0))</f>
        <v>#N/A</v>
      </c>
      <c r="AJH45" s="5162"/>
      <c r="AJI45" s="4140" t="e">
        <f t="shared" si="221"/>
        <v>#N/A</v>
      </c>
      <c r="AJJ45" s="5162"/>
      <c r="AJK45" s="3675" t="b">
        <f>ISBLANK('!Egen_SK'!$BB$202)</f>
        <v>1</v>
      </c>
      <c r="AJL45" s="3675"/>
      <c r="AJM45" s="2983">
        <f>'!Egen_SK'!$BB$202</f>
        <v>0</v>
      </c>
      <c r="AJN45" s="3675"/>
      <c r="AJO45" s="3011" t="e">
        <f>INDEX(klasseqty_buer[bue_senteravstand_d],MATCH($AI$54,klasseqty_buer[Type_size],0))</f>
        <v>#N/A</v>
      </c>
      <c r="AJP45" s="3675"/>
      <c r="AJQ45" s="2775" t="e">
        <f t="shared" si="222"/>
        <v>#N/A</v>
      </c>
      <c r="AJR45" s="3675"/>
      <c r="AJS45" s="3675" t="b">
        <f>ISBLANK('!Egen_SK'!$BB$206)</f>
        <v>1</v>
      </c>
      <c r="AJT45" s="3675"/>
      <c r="AJU45" s="2983">
        <f>'!Egen_SK'!$BB$206</f>
        <v>0</v>
      </c>
      <c r="AJV45" s="3675"/>
      <c r="AJW45" s="3011" t="e">
        <f>INDEX(klasseqty_buer[utvidelse_d],MATCH($AI$54,klasseqty_buer[Type_size],0))</f>
        <v>#N/A</v>
      </c>
      <c r="AJX45" s="3675"/>
      <c r="AJY45" s="2775" t="e">
        <f t="shared" si="223"/>
        <v>#N/A</v>
      </c>
      <c r="AJZ45" s="3676"/>
      <c r="AKA45" s="3675"/>
      <c r="AKB45" s="3675"/>
      <c r="AKC45" s="3582"/>
      <c r="AKD45" s="3581"/>
      <c r="AKE45" s="3582" t="b">
        <f>ISBLANK('!Egen_SK'!$BB$213)</f>
        <v>1</v>
      </c>
      <c r="AKF45" s="3582"/>
      <c r="AKG45" s="2983">
        <f>'!Egen_SK'!$BB$213</f>
        <v>0</v>
      </c>
      <c r="AKH45" s="3582"/>
      <c r="AKI45" s="3011" t="e">
        <f>INDEX(klasseqty_buer[radiellebolter_senteravstand_d],MATCH($AI$54,klasseqty_buer[Type_size],0))</f>
        <v>#N/A</v>
      </c>
      <c r="AKJ45" s="3582"/>
      <c r="AKK45" s="2775" t="e">
        <f t="shared" si="224"/>
        <v>#N/A</v>
      </c>
      <c r="AKL45" s="3582"/>
      <c r="AKM45" s="3582" t="b">
        <f>ISBLANK('!Egen_SK'!$BB$217)</f>
        <v>1</v>
      </c>
      <c r="AKN45" s="3582"/>
      <c r="AKO45" s="3712">
        <f>'!Egen_SK'!$BB$217</f>
        <v>0</v>
      </c>
      <c r="AKP45" s="3582"/>
      <c r="AKQ45" s="3547" t="e">
        <f>INDEX(klasseqty_buer[radiellebolter_lt4_d],MATCH($AI$54,klasseqty_buer[Type_size],0))</f>
        <v>#N/A</v>
      </c>
      <c r="AKR45" s="3582"/>
      <c r="AKS45" s="2781" t="e">
        <f t="shared" si="245"/>
        <v>#N/A</v>
      </c>
      <c r="AKT45" s="3582"/>
      <c r="AKU45" s="184"/>
      <c r="AKV45" s="3582"/>
      <c r="AKW45" s="3582"/>
      <c r="AKX45" s="2782" t="str">
        <f t="shared" si="246"/>
        <v/>
      </c>
      <c r="AKY45" s="3582"/>
      <c r="AKZ45" s="3547" t="e">
        <f>INDEX(klasseqty_buer[radiellebolter_gt4_d],MATCH($AI$54,klasseqty_buer[Type_size],0))</f>
        <v>#N/A</v>
      </c>
      <c r="ALA45" s="3582"/>
      <c r="ALB45" s="3368" t="e">
        <f t="shared" si="247"/>
        <v>#N/A</v>
      </c>
      <c r="ALC45" s="3643"/>
      <c r="ALD45" s="3589"/>
      <c r="ALE45" s="3587" t="b">
        <f>ISBLANK('!Egen_SK'!$BB$226)</f>
        <v>1</v>
      </c>
      <c r="ALF45" s="3587"/>
      <c r="ALG45" s="2983">
        <f>'!Egen_SK'!$BB$226</f>
        <v>0</v>
      </c>
      <c r="ALH45" s="3587"/>
      <c r="ALI45" s="3011" t="e">
        <f>INDEX(klasseqty_buer[tillegs-sprøytebetong_d],MATCH($AI$54,klasseqty_buer[Type_size],0))</f>
        <v>#N/A</v>
      </c>
      <c r="ALJ45" s="3587"/>
      <c r="ALK45" s="2775" t="e">
        <f t="shared" si="225"/>
        <v>#N/A</v>
      </c>
      <c r="ALL45" s="3753"/>
      <c r="ALM45" s="2737"/>
      <c r="ALN45" s="3581"/>
      <c r="ALO45" s="3582" t="b">
        <f>ISBLANK('!Egen_SK'!$BB$233)</f>
        <v>1</v>
      </c>
      <c r="ALP45" s="3582"/>
      <c r="ALQ45" s="3715">
        <f>'!Egen_SK'!$BB$233</f>
        <v>0</v>
      </c>
      <c r="ALR45" s="3582"/>
      <c r="ALS45" s="3717" t="e">
        <f>INDEX(klasseqty_buer[forankring_d],MATCH($AI$54,klasseqty_buer[Type_size],0))</f>
        <v>#N/A</v>
      </c>
      <c r="ALT45" s="3582"/>
      <c r="ALU45" s="3719" t="e">
        <f t="shared" si="226"/>
        <v>#N/A</v>
      </c>
      <c r="ALV45" s="3582"/>
      <c r="ALW45" s="3582"/>
      <c r="ALX45" s="3582" t="b">
        <f>ISBLANK('!Egen_SK'!$BB$237)</f>
        <v>1</v>
      </c>
      <c r="ALY45" s="3582"/>
      <c r="ALZ45" s="2782">
        <f>'!Egen_SK'!$BB$237</f>
        <v>0</v>
      </c>
      <c r="AMA45" s="3582"/>
      <c r="AMB45" s="3547" t="e">
        <f>INDEX(klasseqty_buer[forankring_lt4_d],MATCH($AI$54,klasseqty_buer[Type_size],0))</f>
        <v>#N/A</v>
      </c>
      <c r="AMC45" s="3582"/>
      <c r="AMD45" s="2781" t="e">
        <f t="shared" si="248"/>
        <v>#N/A</v>
      </c>
      <c r="AME45" s="3582"/>
      <c r="AMF45" s="184"/>
      <c r="AMG45" s="3582"/>
      <c r="AMH45" s="3582"/>
      <c r="AMI45" s="2782" t="str">
        <f t="shared" si="249"/>
        <v/>
      </c>
      <c r="AMJ45" s="3582"/>
      <c r="AMK45" s="3547" t="e">
        <f>INDEX(klasseqty_buer[forankring_gt4_d],MATCH($AI$54,klasseqty_buer[Type_size],0))</f>
        <v>#N/A</v>
      </c>
      <c r="AML45" s="3582"/>
      <c r="AMM45" s="3368" t="e">
        <f t="shared" si="250"/>
        <v>#N/A</v>
      </c>
      <c r="AMN45" s="5548"/>
      <c r="AMO45" s="5548"/>
      <c r="AMP45" s="5548"/>
      <c r="AMQ45" s="5548"/>
      <c r="AMR45" s="5548"/>
      <c r="AMS45" s="5548"/>
      <c r="AMT45" s="5548"/>
      <c r="AMU45" s="5548"/>
      <c r="AMV45" s="5548"/>
      <c r="AMW45" s="5548"/>
      <c r="AMX45" s="5548"/>
      <c r="AMY45" s="5548"/>
      <c r="AMZ45" s="5548"/>
      <c r="ANA45" s="5548"/>
      <c r="ANB45" s="5548"/>
      <c r="ANC45" s="5548"/>
      <c r="AND45" s="5548"/>
      <c r="ANE45" s="5548"/>
      <c r="ANF45" s="5548"/>
      <c r="ANG45" s="5548"/>
      <c r="ANH45" s="5548"/>
      <c r="ANI45" s="5548"/>
      <c r="ANJ45" s="5548"/>
      <c r="ANK45" s="5548"/>
      <c r="ANL45" s="5548"/>
      <c r="ANM45" s="5548"/>
      <c r="ANN45" s="5548"/>
      <c r="ANO45" s="5548"/>
      <c r="ANP45" s="5548"/>
      <c r="ANQ45" s="5548"/>
      <c r="ANR45" s="5548"/>
      <c r="ANS45" s="5548"/>
      <c r="ANT45" s="5548"/>
      <c r="ANU45" s="5548"/>
      <c r="ANV45" s="5548"/>
      <c r="ANW45" s="5548"/>
      <c r="ANX45" s="5548"/>
      <c r="ANY45" s="5548"/>
      <c r="ANZ45" s="5548"/>
      <c r="AOA45" s="5548"/>
      <c r="AOB45" s="5548"/>
      <c r="AOC45" s="5548"/>
      <c r="AOD45" s="5548"/>
      <c r="AOE45" s="5548"/>
      <c r="AOF45" s="5548"/>
      <c r="AOG45" s="5548"/>
      <c r="AOH45" s="5548"/>
      <c r="AOI45" s="5548"/>
      <c r="AOJ45" s="5548"/>
      <c r="AOK45" s="5548"/>
      <c r="AOL45" s="5548"/>
      <c r="AOM45" s="5548"/>
      <c r="AOO45" s="4125"/>
      <c r="AOP45" s="4124" t="b">
        <f>ISBLANK('!Egen_SK'!$BB$157)</f>
        <v>0</v>
      </c>
      <c r="AOQ45" s="4124"/>
      <c r="AOR45" s="2983">
        <f>'!Egen_SK'!$BB$157</f>
        <v>1</v>
      </c>
      <c r="AOS45" s="4124"/>
      <c r="AOT45" s="3547" t="e">
        <f>INDEX(klasseqty_forbolting[andel_av_tunnelklasse_d],MATCH($AI$54,klasseqty_forbolting[Type_size],0))</f>
        <v>#N/A</v>
      </c>
      <c r="AOU45" s="4124"/>
      <c r="AOV45" s="4140">
        <f t="shared" si="227"/>
        <v>1</v>
      </c>
      <c r="AOW45" s="5162"/>
      <c r="AOX45" s="5162"/>
      <c r="AOY45" s="5162" t="b">
        <f>ISBLANK('!Egen_SK'!$BB$157)</f>
        <v>0</v>
      </c>
      <c r="AOZ45" s="5162"/>
      <c r="APA45" s="2983">
        <f t="shared" si="251"/>
        <v>1</v>
      </c>
      <c r="APB45" s="5162"/>
      <c r="APC45" s="3624" t="e">
        <f>INDEX(klasseqty_forbolting[andel_av_tunnelklasse_d],MATCH($AI$54,klasseqty_forbolting[Type_size],0))</f>
        <v>#N/A</v>
      </c>
      <c r="APD45" s="5162"/>
      <c r="APE45" s="5165">
        <f t="shared" si="228"/>
        <v>1</v>
      </c>
      <c r="APF45" s="4124"/>
      <c r="APG45" s="3587" t="b">
        <f>ISBLANK('!Egen_SK'!$BB$152)</f>
        <v>1</v>
      </c>
      <c r="APH45" s="3587"/>
      <c r="API45" s="2983">
        <f>'!Egen_SK'!$BB$152</f>
        <v>0</v>
      </c>
      <c r="APJ45" s="3587"/>
      <c r="APK45" s="3011" t="e">
        <f>INDEX(klasseqty_forbolting[bueområde_d],MATCH($AI$54,klasseqty_forbolting[Type_size],0))</f>
        <v>#N/A</v>
      </c>
      <c r="APL45" s="3587"/>
      <c r="APM45" s="2775" t="e">
        <f t="shared" si="229"/>
        <v>#N/A</v>
      </c>
      <c r="APN45" s="3587"/>
      <c r="APO45" s="3587" t="b">
        <f>ISBLANK('!Egen_SK'!$BB$165)</f>
        <v>0</v>
      </c>
      <c r="APP45" s="3587"/>
      <c r="APQ45" s="2983">
        <f>'!Egen_SK'!$BB$165</f>
        <v>0.5</v>
      </c>
      <c r="APR45" s="3587"/>
      <c r="APS45" s="3011" t="e">
        <f>INDEX(klasseqty_forbolting[forbolting_senteravstand_d],MATCH($AI$54,klasseqty_forbolting[Type_size],0))</f>
        <v>#N/A</v>
      </c>
      <c r="APT45" s="3587"/>
      <c r="APU45" s="2775">
        <f t="shared" si="230"/>
        <v>0.5</v>
      </c>
      <c r="APV45" s="3587"/>
      <c r="APW45" s="3587" t="b">
        <f>ISBLANK('!Egen_SK'!$BB$169)</f>
        <v>0</v>
      </c>
      <c r="APX45" s="3587"/>
      <c r="APY45" s="3712">
        <f>'!Egen_SK'!$BB$169</f>
        <v>0</v>
      </c>
      <c r="APZ45" s="3587"/>
      <c r="AQA45" s="3547" t="e">
        <f>INDEX(klasseqty_forbolting[forbolting_lt4_d],MATCH($AI$54,klasseqty_forbolting[Type_size],0))</f>
        <v>#N/A</v>
      </c>
      <c r="AQB45" s="3587"/>
      <c r="AQC45" s="2781">
        <f t="shared" si="252"/>
        <v>0</v>
      </c>
      <c r="AQD45" s="3587"/>
      <c r="AQE45" s="184"/>
      <c r="AQF45" s="3587"/>
      <c r="AQG45" s="3587"/>
      <c r="AQH45" s="2782">
        <f t="shared" si="253"/>
        <v>1</v>
      </c>
      <c r="AQI45" s="3587"/>
      <c r="AQJ45" s="3547" t="e">
        <f>INDEX(klasseqty_forbolting[forbolting_gt4_d],MATCH($AI$54,klasseqty_forbolting[Type_size],0))</f>
        <v>#N/A</v>
      </c>
      <c r="AQK45" s="3587"/>
      <c r="AQL45" s="3368">
        <f t="shared" si="254"/>
        <v>1</v>
      </c>
      <c r="AQN45" s="3589"/>
      <c r="AQO45" s="3587" t="b">
        <f>ISBLANK('!Egen_SK'!$BB$178)</f>
        <v>1</v>
      </c>
      <c r="AQP45" s="3587"/>
      <c r="AQQ45" s="2983">
        <f>'!Egen_SK'!$BB$178</f>
        <v>0</v>
      </c>
      <c r="AQR45" s="3587"/>
      <c r="AQS45" s="3011" t="e">
        <f>INDEX(klasseqty_forbolting[oppheng_senteravstand_d],MATCH($AI$54,klasseqty_forbolting[Type_size],0))</f>
        <v>#N/A</v>
      </c>
      <c r="AQT45" s="3587"/>
      <c r="AQU45" s="2775" t="e">
        <f t="shared" si="231"/>
        <v>#N/A</v>
      </c>
      <c r="AQV45" s="3587"/>
      <c r="AQW45" s="3587" t="b">
        <f>ISBLANK('!Egen_SK'!$BB$182)</f>
        <v>1</v>
      </c>
      <c r="AQX45" s="3587"/>
      <c r="AQY45" s="3712">
        <f>'!Egen_SK'!$BB$182</f>
        <v>0</v>
      </c>
      <c r="AQZ45" s="3587"/>
      <c r="ARA45" s="3547" t="e">
        <f>INDEX(klasseqty_forbolting[oppheng_lt4_d],MATCH($AI$54,klasseqty_forbolting[Type_size],0))</f>
        <v>#N/A</v>
      </c>
      <c r="ARB45" s="3587"/>
      <c r="ARC45" s="2781" t="e">
        <f t="shared" si="255"/>
        <v>#N/A</v>
      </c>
      <c r="ARD45" s="3587"/>
      <c r="ARE45" s="184"/>
      <c r="ARF45" s="3587"/>
      <c r="ARG45" s="3587"/>
      <c r="ARH45" s="2782" t="str">
        <f t="shared" si="256"/>
        <v/>
      </c>
      <c r="ARI45" s="3587"/>
      <c r="ARJ45" s="3547" t="e">
        <f>INDEX(klasseqty_forbolting[oppheng_gt4_d],MATCH($AI$54,klasseqty_forbolting[Type_size],0))</f>
        <v>#N/A</v>
      </c>
      <c r="ARK45" s="3587"/>
      <c r="ARL45" s="3368" t="e">
        <f t="shared" si="257"/>
        <v>#N/A</v>
      </c>
      <c r="ART45" s="3354" t="b">
        <f>ISBLANK('!Egen_SK'!#REF!)</f>
        <v>0</v>
      </c>
      <c r="ARU45" s="3318"/>
      <c r="ARV45" s="3712">
        <f>'!Egen_SK'!$BB$312</f>
        <v>0</v>
      </c>
      <c r="ARW45" s="3318"/>
      <c r="ARX45" s="3624" t="e">
        <f>INDEX(klasseqty_sik1234[sikringsstøp_hypp_d],MATCH($AI$54,klasseqty_sik1234[Type_size],0))</f>
        <v>#N/A</v>
      </c>
      <c r="ARY45" s="3318"/>
      <c r="ARZ45" s="2775">
        <f t="shared" si="232"/>
        <v>0</v>
      </c>
      <c r="ASA45" s="184"/>
      <c r="ASB45" s="3318" t="b">
        <f>ISBLANK('!Egen_SK'!$BB$316)</f>
        <v>1</v>
      </c>
      <c r="ASC45" s="3318"/>
      <c r="ASD45" s="2983">
        <f>'!Egen_SK'!$BB$316</f>
        <v>0</v>
      </c>
      <c r="ASE45" s="3318"/>
      <c r="ASF45" s="3547" t="e">
        <f>INDEX(klasseqty_sik1234[sikringsstøp_123_d],MATCH($AI$54,klasseqty_sik1234[Type_size],0))</f>
        <v>#N/A</v>
      </c>
      <c r="ASG45" s="3318"/>
      <c r="ASH45" s="2781" t="e">
        <f t="shared" si="258"/>
        <v>#N/A</v>
      </c>
      <c r="ASI45" s="3318"/>
      <c r="ASJ45" s="184"/>
      <c r="ASK45" s="3318"/>
      <c r="ASL45" s="3318"/>
      <c r="ASM45" s="2782" t="str">
        <f t="shared" si="259"/>
        <v/>
      </c>
      <c r="ASN45" s="3318"/>
      <c r="ASO45" s="3547" t="e">
        <f>INDEX(klasseqty_sik1234[sikringsstøp_4_d],MATCH($AI$54,klasseqty_sik1234[Type_size],0))</f>
        <v>#N/A</v>
      </c>
      <c r="ASP45" s="3318"/>
      <c r="ASQ45" s="3368" t="e">
        <f t="shared" si="260"/>
        <v>#N/A</v>
      </c>
      <c r="ASR45" s="2737"/>
      <c r="ASS45" s="2737"/>
      <c r="ATA45" s="2622"/>
      <c r="ATB45" s="2622"/>
      <c r="ATC45" s="2622"/>
      <c r="ATD45" s="2622"/>
      <c r="ATE45" s="2622"/>
      <c r="ATF45" s="2622"/>
      <c r="ATG45" s="2622"/>
      <c r="ATH45" s="2622"/>
      <c r="ATI45" s="2622"/>
      <c r="ATJ45" s="2622"/>
      <c r="ATK45" s="2622"/>
      <c r="ATL45" s="3440" t="s">
        <v>1186</v>
      </c>
      <c r="ATM45" s="3440">
        <v>8.0966000000000005</v>
      </c>
      <c r="ATN45" s="3437"/>
      <c r="ATO45" s="3437"/>
      <c r="ATP45" s="3437"/>
      <c r="ATQ45" s="3437"/>
      <c r="ATR45" s="3437"/>
      <c r="ATS45" s="3437"/>
      <c r="ATT45" s="3437"/>
      <c r="ATU45" s="2622"/>
      <c r="ATV45" s="2622"/>
      <c r="ATW45" s="2622"/>
      <c r="ATX45" s="2617"/>
      <c r="ATY45" s="2617"/>
      <c r="ATZ45" s="2617"/>
      <c r="AUA45" s="2617"/>
      <c r="AUB45" s="2617"/>
      <c r="AUC45" s="2617"/>
      <c r="AUD45" s="2617"/>
      <c r="AUE45" s="2617"/>
      <c r="AUF45" s="2617"/>
      <c r="AUG45" s="2617"/>
      <c r="AUH45" s="2617"/>
      <c r="AUI45" s="2617"/>
      <c r="AUJ45" s="2617"/>
      <c r="AUK45" s="2617"/>
      <c r="AUL45" s="2617"/>
      <c r="AUM45" s="2617"/>
      <c r="AUN45" s="2617"/>
      <c r="AUO45" s="2617"/>
      <c r="AUP45" s="2617"/>
      <c r="AUQ45" s="2617"/>
      <c r="AUR45" s="2617"/>
      <c r="AUS45" s="2617"/>
      <c r="AUT45" s="2617"/>
      <c r="AUU45" s="2617"/>
      <c r="AUV45" s="2617"/>
      <c r="AUW45" s="2617"/>
      <c r="AUX45" s="2617"/>
      <c r="AUY45" s="2617"/>
      <c r="AUZ45" s="2617"/>
      <c r="AVA45" s="2617"/>
      <c r="AVB45" s="2617"/>
      <c r="AVC45" s="2617"/>
      <c r="AVD45" s="2617"/>
      <c r="AVE45" s="2617"/>
      <c r="AVF45" s="2617"/>
      <c r="AVG45" s="2617"/>
      <c r="AVH45" s="2617"/>
      <c r="AVI45" s="2617"/>
      <c r="AVJ45" s="2617"/>
      <c r="AVK45" s="2617"/>
      <c r="AVL45" s="2617"/>
      <c r="AVM45" s="2617"/>
      <c r="AVN45" s="2617"/>
      <c r="AVO45" s="2617"/>
      <c r="AVP45" s="2617"/>
      <c r="AVQ45" s="2617"/>
      <c r="AVR45" s="2617"/>
      <c r="AVS45" s="2617"/>
      <c r="AVT45" s="2617"/>
      <c r="AVU45" s="2617"/>
      <c r="AVV45" s="2617"/>
      <c r="AVW45" s="2617"/>
      <c r="AVX45" s="2617"/>
      <c r="AVY45" s="2617"/>
      <c r="AVZ45" s="2617"/>
      <c r="AWA45" s="2617"/>
      <c r="AWB45" s="2617"/>
      <c r="AWC45" s="2617"/>
      <c r="AWD45" s="2617"/>
      <c r="AWE45" s="2617"/>
      <c r="AWF45" s="2617"/>
      <c r="AWG45" s="2617"/>
      <c r="AWH45" s="2617"/>
      <c r="AWI45" s="2617"/>
      <c r="AWJ45" s="2617"/>
      <c r="AWK45" s="2617"/>
      <c r="AWL45" s="2617"/>
      <c r="AWM45" s="2617"/>
      <c r="AWN45" s="2617"/>
      <c r="AWO45" s="2617"/>
      <c r="AWP45" s="2617"/>
      <c r="AWQ45" s="2617"/>
      <c r="AWR45" s="2617"/>
      <c r="AWS45" s="2617"/>
      <c r="AWT45" s="2617"/>
      <c r="AWU45" s="2617"/>
      <c r="AWV45" s="2617"/>
      <c r="AWW45" s="2617"/>
      <c r="AWX45" s="2617"/>
      <c r="AWY45" s="2617"/>
      <c r="AWZ45" s="2617"/>
      <c r="AXA45" s="2617"/>
      <c r="AXB45" s="2617"/>
      <c r="AXC45" s="2617"/>
      <c r="AXD45" s="2617"/>
      <c r="AXE45" s="2617"/>
      <c r="AXF45" s="2617"/>
      <c r="AXG45" s="2617"/>
      <c r="AXH45" s="2617"/>
      <c r="AXI45" s="2617"/>
      <c r="AXJ45" s="2617"/>
      <c r="AXK45" s="2617"/>
      <c r="AYG45" s="3414">
        <v>3</v>
      </c>
      <c r="AYT45" s="2691" t="s">
        <v>191</v>
      </c>
      <c r="AYU45" s="3420">
        <v>0.8</v>
      </c>
      <c r="AYV45" s="3412">
        <f t="shared" si="261"/>
        <v>80</v>
      </c>
      <c r="AYW45" s="199"/>
      <c r="AYX45" s="3423"/>
      <c r="AYY45" s="199"/>
      <c r="AYZ45" s="199"/>
      <c r="AZA45" s="199"/>
      <c r="AZB45" s="3424">
        <v>1.5</v>
      </c>
      <c r="AZC45" s="184"/>
      <c r="AZD45" s="184"/>
      <c r="AZE45" s="2622"/>
      <c r="AZF45" s="2622"/>
      <c r="AZG45" s="2622"/>
      <c r="AZH45" s="2622"/>
      <c r="AZI45" s="2622"/>
      <c r="AZJ45" s="2622"/>
      <c r="AZK45" s="2622"/>
      <c r="AZL45" s="3416">
        <v>3</v>
      </c>
      <c r="AZM45" s="2622"/>
      <c r="AZN45" s="2622"/>
      <c r="AZO45" s="2622"/>
      <c r="AZP45" s="2622"/>
      <c r="AZQ45" s="2622"/>
      <c r="AZR45" s="2622"/>
      <c r="AZS45" s="2622"/>
      <c r="AZT45" s="2622"/>
      <c r="AZU45" s="2622"/>
      <c r="AZX45" s="2622"/>
      <c r="AZY45" s="2622"/>
      <c r="AZZ45" s="2622"/>
      <c r="BAA45" s="2622"/>
      <c r="BAB45" s="2622"/>
      <c r="BAC45" s="2622"/>
      <c r="BAD45" s="2622"/>
      <c r="BAE45" s="2622"/>
      <c r="BAF45" s="2622"/>
      <c r="BAG45" s="2622"/>
      <c r="BAH45" s="2622"/>
      <c r="BAI45" s="2622"/>
      <c r="BAL45" s="2622"/>
      <c r="BAM45" s="2622"/>
      <c r="BAN45" s="2622"/>
      <c r="BAO45" s="2622"/>
      <c r="BAP45" s="2622"/>
      <c r="BAQ45" s="2622"/>
      <c r="BAT45" s="2622"/>
      <c r="BAU45" s="372" t="s">
        <v>865</v>
      </c>
      <c r="BAV45" s="194"/>
      <c r="BAW45" s="194"/>
      <c r="BAX45" s="2690"/>
      <c r="BAY45" s="2690"/>
      <c r="BAZ45" s="194"/>
      <c r="BBA45" s="2690"/>
      <c r="BBB45" s="194"/>
      <c r="BBC45" s="194"/>
      <c r="BBD45" s="194"/>
      <c r="BBE45" s="194"/>
      <c r="BBF45" s="194"/>
      <c r="BBG45" s="194"/>
      <c r="BBH45" s="194"/>
      <c r="BBI45" s="194"/>
      <c r="BBK45" s="2622"/>
      <c r="BBQ45" s="3398"/>
      <c r="BCJ45" s="2617"/>
      <c r="BCK45" s="2617"/>
      <c r="BCL45" s="2617"/>
      <c r="BCM45" s="2617"/>
      <c r="BCN45" s="2617"/>
      <c r="BCO45" s="2617"/>
      <c r="BCP45" s="2617"/>
      <c r="BCQ45" s="2617"/>
      <c r="BCR45" s="2617"/>
      <c r="BCS45" s="2617"/>
      <c r="BCT45" s="2617"/>
      <c r="BCU45" s="2617"/>
      <c r="BCV45" s="2617"/>
      <c r="BCW45" s="2617"/>
      <c r="BCX45" s="2617"/>
      <c r="BCY45" s="2617"/>
      <c r="BCZ45" s="2617"/>
      <c r="BDA45" s="2617"/>
      <c r="BDB45" s="2617"/>
      <c r="BDC45" s="2617"/>
      <c r="BDD45" s="2617"/>
      <c r="BDE45" s="2617"/>
      <c r="BDF45" s="2617"/>
      <c r="BDG45" s="2617"/>
      <c r="BDH45" s="2617"/>
      <c r="BDI45" s="2617"/>
      <c r="BDL45" s="2617"/>
      <c r="BDM45" s="2617"/>
      <c r="BDN45" s="2617"/>
      <c r="BDO45" s="2617"/>
      <c r="BDP45" s="2617"/>
      <c r="BDQ45" s="2617"/>
      <c r="BDR45" s="2617"/>
      <c r="BDS45" s="2617"/>
      <c r="BDT45" s="2617"/>
      <c r="BDU45" s="2617"/>
      <c r="BDV45" s="2617"/>
      <c r="BDW45" s="2617"/>
      <c r="BDZ45" s="2617"/>
      <c r="BEA45" s="2617"/>
      <c r="BEB45" s="2617"/>
      <c r="BEC45" s="2617"/>
      <c r="BED45" s="2617"/>
      <c r="BEE45" s="2617"/>
      <c r="BEH45" s="2617"/>
    </row>
    <row r="46" spans="1:1490" ht="20.100000000000001" customHeight="1" x14ac:dyDescent="0.2">
      <c r="AG46" s="181"/>
      <c r="AH46" s="206" t="s">
        <v>1501</v>
      </c>
      <c r="AI46" s="5716" t="e">
        <f>AI40-(AI42*2)</f>
        <v>#N/A</v>
      </c>
      <c r="AK46" s="3403">
        <f>_Calcs!AI41</f>
        <v>8</v>
      </c>
      <c r="AL46" s="4146">
        <f>_Calcs!AL28</f>
        <v>0</v>
      </c>
      <c r="AM46" s="4145">
        <f>_Calcs!AJ41</f>
        <v>0</v>
      </c>
      <c r="AU46" s="235">
        <v>2</v>
      </c>
      <c r="AV46" s="185">
        <f>IF('!INN_SK'!$AH$55="",0,1)</f>
        <v>1</v>
      </c>
      <c r="AW46" s="185">
        <f>IF('!INN_SK'!$AH$57="",0,1)</f>
        <v>1</v>
      </c>
      <c r="AX46" s="185">
        <f>IF('!INN_SK'!$AH$64="",0,1)</f>
        <v>1</v>
      </c>
      <c r="AY46" s="185">
        <f>IF('!INN_SK'!$AH$71="",0,1)</f>
        <v>1</v>
      </c>
      <c r="AZ46" s="185">
        <f>IF('!INN_SK'!$AH$78="",0,1)</f>
        <v>1</v>
      </c>
      <c r="BA46" s="185">
        <f>IF('!INN_SK'!$AH$80="",0,1)</f>
        <v>1</v>
      </c>
      <c r="BB46" s="185">
        <f>IF('!INN_SK'!$AH$87="",0,1)</f>
        <v>1</v>
      </c>
      <c r="BC46" s="193">
        <f>IF('!INN_SK'!$AH$94="",0,1)</f>
        <v>1</v>
      </c>
      <c r="BD46" s="247">
        <f>COUNTIF(checks_klasse[[#This Row],[A]:[G]],0)</f>
        <v>0</v>
      </c>
      <c r="BE46" s="183"/>
      <c r="CG46" s="5812" t="str">
        <f>_Calcs!$QQ$135</f>
        <v>Stuff 1-3</v>
      </c>
      <c r="CH46" s="5559">
        <f>IF($AI$31=1,INDEX(outputs_position[13],MATCH(_Calcs!$BC$35,outputs_position[lopstuff],0)),0)</f>
        <v>0</v>
      </c>
      <c r="CI46" s="5852"/>
      <c r="CJ46" s="372">
        <f t="shared" si="262"/>
        <v>0</v>
      </c>
      <c r="CK46" s="194">
        <v>31</v>
      </c>
      <c r="CL46" s="3453"/>
      <c r="CM46" s="3453"/>
      <c r="CN46" s="3453"/>
      <c r="CO46" s="3453"/>
      <c r="CP46" s="3453"/>
      <c r="CQ46" s="3453"/>
      <c r="CR46" s="3453"/>
      <c r="CS46" s="3453"/>
      <c r="CT46" s="3453"/>
      <c r="CU46" s="3453"/>
      <c r="CV46" s="3453"/>
      <c r="CW46" s="3453"/>
      <c r="CX46" s="3453" t="e">
        <f>CX$32*$AM$41</f>
        <v>#DIV/0!</v>
      </c>
      <c r="CY46" s="3453"/>
      <c r="CZ46" s="3453" t="e">
        <f>CZ$32*$AM$41</f>
        <v>#DIV/0!</v>
      </c>
      <c r="DA46" s="3453"/>
      <c r="DB46" s="3453" t="e">
        <f>DB$32*$AM$41</f>
        <v>#DIV/0!</v>
      </c>
      <c r="DC46" s="3453"/>
      <c r="DD46" s="3453" t="e">
        <f>DD$32*$AM$41</f>
        <v>#DIV/0!</v>
      </c>
      <c r="DE46" s="3453"/>
      <c r="DF46" s="3453" t="e">
        <f>DF$32*$AM$41</f>
        <v>#DIV/0!</v>
      </c>
      <c r="DG46" s="3453"/>
      <c r="DH46" s="3453" t="e">
        <f>DH$32*$AM$41</f>
        <v>#DIV/0!</v>
      </c>
      <c r="DI46" s="3453"/>
      <c r="DJ46" s="3453" t="e">
        <f>DJ$32*$AM$41</f>
        <v>#DIV/0!</v>
      </c>
      <c r="DK46" s="3453"/>
      <c r="DL46" s="3453" t="e">
        <f>DL$32*$AM$41</f>
        <v>#DIV/0!</v>
      </c>
      <c r="DM46" s="5881">
        <f>IF($CH46&gt;0,DM$32*_Calcs!$AJ$36,0)</f>
        <v>0</v>
      </c>
      <c r="DN46" s="3453"/>
      <c r="DO46" s="3453"/>
      <c r="DP46" s="3453" t="e">
        <f>DP$32*$AM$41</f>
        <v>#DIV/0!</v>
      </c>
      <c r="DQ46" s="3453"/>
      <c r="DR46" s="3453" t="e">
        <f>DR$32*$AM$41</f>
        <v>#DIV/0!</v>
      </c>
      <c r="DS46" s="3453"/>
      <c r="DT46" s="3453" t="e">
        <f>DT$32*$AM$41</f>
        <v>#DIV/0!</v>
      </c>
      <c r="DU46" s="3453"/>
      <c r="DV46" s="3453" t="e">
        <f>DV$32*$AM$41</f>
        <v>#DIV/0!</v>
      </c>
      <c r="DW46" s="3453"/>
      <c r="DX46" s="3453" t="e">
        <f>DX$32*$AM$41</f>
        <v>#DIV/0!</v>
      </c>
      <c r="DY46" s="3453"/>
      <c r="DZ46" s="3453" t="e">
        <f>DZ$32*$AM$41</f>
        <v>#DIV/0!</v>
      </c>
      <c r="EA46" s="3453"/>
      <c r="EB46" s="3453" t="e">
        <f>EB$32*$AM$41</f>
        <v>#DIV/0!</v>
      </c>
      <c r="EC46" s="3453"/>
      <c r="ED46" s="3453" t="e">
        <f>ED$32*$AM$41</f>
        <v>#DIV/0!</v>
      </c>
      <c r="EE46" s="5881">
        <f>IF($CH46&gt;0,EE$32*_Calcs!$AJ$36,0)</f>
        <v>0</v>
      </c>
      <c r="EF46" s="5712"/>
      <c r="EG46" s="5712"/>
      <c r="EH46" s="5712"/>
      <c r="EI46" s="5712"/>
      <c r="EJ46" s="5712"/>
      <c r="EK46" s="5712"/>
      <c r="EL46" s="5712"/>
      <c r="EM46" s="5712"/>
      <c r="EN46" s="5712"/>
      <c r="EO46" s="5712"/>
      <c r="EP46" s="5712"/>
      <c r="EQ46" s="5712"/>
      <c r="ER46" s="5712"/>
      <c r="ES46" s="5712"/>
      <c r="ET46" s="5712"/>
      <c r="EU46" s="5712"/>
      <c r="EV46" s="5712"/>
      <c r="EW46" s="5881">
        <f>IF($CH46&gt;0,EW$32*_Calcs!$AJ$36,0)</f>
        <v>0</v>
      </c>
      <c r="EX46" s="5712"/>
      <c r="EY46" s="5712"/>
      <c r="EZ46" s="5712"/>
      <c r="FA46" s="5712"/>
      <c r="FB46" s="5712"/>
      <c r="FC46" s="5712"/>
      <c r="FD46" s="5712"/>
      <c r="FE46" s="5712"/>
      <c r="FF46" s="5712"/>
      <c r="FG46" s="5712"/>
      <c r="FH46" s="5712"/>
      <c r="FI46" s="5712"/>
      <c r="FJ46" s="5712"/>
      <c r="FK46" s="5712"/>
      <c r="FL46" s="5712"/>
      <c r="FM46" s="5712"/>
      <c r="FN46" s="5712"/>
      <c r="FO46" s="5712"/>
      <c r="FP46" s="5712"/>
      <c r="FQ46" s="5712"/>
      <c r="FR46" s="5712"/>
      <c r="FS46" s="5712"/>
      <c r="FT46" s="5712"/>
      <c r="FU46" s="5712"/>
      <c r="FV46" s="5712"/>
      <c r="FW46" s="5712"/>
      <c r="FX46" s="5712"/>
      <c r="FY46" s="5712"/>
      <c r="FZ46" s="5712"/>
      <c r="GA46" s="5712"/>
      <c r="GB46" s="3453"/>
      <c r="GC46" s="3453"/>
      <c r="GD46" s="3453"/>
      <c r="GE46" s="3453"/>
      <c r="GF46" s="3453"/>
      <c r="GG46" s="5881">
        <f>IF($CH46&gt;0,GG$32*_Calcs!$AJ$36,0)</f>
        <v>0</v>
      </c>
      <c r="GH46" s="3453"/>
      <c r="GI46" s="3453"/>
      <c r="GJ46" s="3453"/>
      <c r="GK46" s="3453"/>
      <c r="GL46" s="3453"/>
      <c r="GM46" s="3453"/>
      <c r="GN46" s="3453"/>
      <c r="GO46" s="3453"/>
      <c r="GP46" s="3453"/>
      <c r="GQ46" s="3453"/>
      <c r="GR46" s="3453"/>
      <c r="GS46" s="3453"/>
      <c r="GT46" s="3453"/>
      <c r="GU46" s="3453"/>
      <c r="GV46" s="3453"/>
      <c r="GW46" s="3453"/>
      <c r="GX46" s="3453"/>
      <c r="GY46" s="3453"/>
      <c r="GZ46" s="5881">
        <f>IF($CH46&gt;0,GZ$32*_Calcs!$AJ$36,0)</f>
        <v>0</v>
      </c>
      <c r="HA46" s="5881">
        <f>IF($CH46&gt;0,HA$32*_Calcs!$AJ$36,0)</f>
        <v>0</v>
      </c>
      <c r="HB46" s="3453"/>
      <c r="HC46" s="3453"/>
      <c r="HD46" s="3453"/>
      <c r="HE46" s="3453"/>
      <c r="HF46" s="3453"/>
      <c r="HG46" s="3453"/>
      <c r="HH46" s="3453"/>
      <c r="HI46" s="3453"/>
      <c r="HJ46" s="3453"/>
      <c r="HK46" s="3453"/>
      <c r="HL46" s="3453"/>
      <c r="HM46" s="3453"/>
      <c r="HN46" s="3453"/>
      <c r="HO46" s="3453"/>
      <c r="HP46" s="3453"/>
      <c r="HQ46" s="3453"/>
      <c r="HR46" s="3453"/>
      <c r="HS46" s="3453"/>
      <c r="HT46" s="3453"/>
      <c r="HU46" s="5861"/>
      <c r="HV46" s="5712"/>
      <c r="HW46" s="3453"/>
      <c r="HX46" s="3453"/>
      <c r="HY46" s="3453"/>
      <c r="HZ46" s="5861"/>
      <c r="IA46" s="5712"/>
      <c r="IB46" s="3453"/>
      <c r="IC46" s="3453"/>
      <c r="ID46" s="3453"/>
      <c r="IE46" s="5861"/>
      <c r="IF46" s="5712"/>
      <c r="IG46" s="3453"/>
      <c r="IH46" s="3453"/>
      <c r="II46" s="3453"/>
      <c r="IJ46" s="5861"/>
      <c r="IK46" s="5712"/>
      <c r="IL46" s="3453"/>
      <c r="IM46" s="3453"/>
      <c r="IN46" s="3453"/>
      <c r="IO46" s="5861"/>
      <c r="IP46" s="5712"/>
      <c r="IQ46" s="3453"/>
      <c r="IR46" s="3453"/>
      <c r="IS46" s="3453"/>
      <c r="IT46" s="5861"/>
      <c r="IU46" s="5712"/>
      <c r="IV46" s="3453"/>
      <c r="IW46" s="3453"/>
      <c r="IX46" s="3453"/>
      <c r="IY46" s="5861"/>
      <c r="IZ46" s="5712"/>
      <c r="JA46" s="3453"/>
      <c r="JB46" s="3453"/>
      <c r="JC46" s="3453"/>
      <c r="JD46" s="5861"/>
      <c r="JE46" s="5712"/>
      <c r="JF46" s="3453"/>
      <c r="JG46" s="3453"/>
      <c r="JH46" s="3453"/>
      <c r="JI46" s="3453"/>
      <c r="JJ46" s="3453"/>
      <c r="JK46" s="3453"/>
      <c r="JL46" s="3453"/>
      <c r="JM46" s="3453"/>
      <c r="JN46" s="3453"/>
      <c r="JO46" s="3453"/>
      <c r="JP46" s="3453"/>
      <c r="JQ46" s="3453"/>
      <c r="JR46" s="3453"/>
      <c r="JS46" s="3453"/>
      <c r="JT46" s="3453"/>
      <c r="JU46" s="3453"/>
      <c r="JV46" s="5881">
        <f>IF($CH46&gt;0,JV$32*_Calcs!$AJ$36,0)</f>
        <v>0</v>
      </c>
      <c r="JW46" s="5881">
        <f>IF($CH46&gt;0,JW$32*_Calcs!$AJ$36,0)</f>
        <v>0</v>
      </c>
      <c r="JX46" s="3453"/>
      <c r="JY46" s="3453"/>
      <c r="JZ46" s="3453"/>
      <c r="KA46" s="3453"/>
      <c r="KB46" s="3453"/>
      <c r="KC46" s="3453"/>
      <c r="KD46" s="3453"/>
      <c r="KE46" s="3453"/>
      <c r="KF46" s="3453"/>
      <c r="KG46" s="3453"/>
      <c r="KH46" s="3453"/>
      <c r="KI46" s="3453"/>
      <c r="KJ46" s="3453"/>
      <c r="KK46" s="3453"/>
      <c r="KL46" s="3453"/>
      <c r="KM46" s="3453"/>
      <c r="KN46" s="3453"/>
      <c r="KO46" s="3453"/>
      <c r="KP46" s="3453"/>
      <c r="KQ46" s="3453"/>
      <c r="KR46" s="3453"/>
      <c r="KS46" s="3453"/>
      <c r="KT46" s="3453"/>
      <c r="KU46" s="3453"/>
      <c r="KV46" s="3453"/>
      <c r="KW46" s="3453"/>
      <c r="KX46" s="3453"/>
      <c r="KY46" s="3453"/>
      <c r="KZ46" s="3453"/>
      <c r="LA46" s="3453"/>
      <c r="LB46" s="3453"/>
      <c r="LC46" s="3453"/>
      <c r="LD46" s="5881">
        <f>IF($CH46&gt;0,LD$32*_Calcs!$AJ$36,0)</f>
        <v>0</v>
      </c>
      <c r="LE46" s="5881">
        <f>IF($CH46&gt;0,LE$32*_Calcs!$AJ$36,0)</f>
        <v>0</v>
      </c>
      <c r="LF46" s="5712"/>
      <c r="LG46" s="3453"/>
      <c r="LH46" s="3453"/>
      <c r="LI46" s="3453"/>
      <c r="LJ46" s="3453"/>
      <c r="LK46" s="3453"/>
      <c r="LL46" s="3453"/>
      <c r="LM46" s="3453"/>
      <c r="LN46" s="3453"/>
      <c r="LO46" s="3453"/>
      <c r="LP46" s="3453"/>
      <c r="LQ46" s="3453"/>
      <c r="LR46" s="3453"/>
      <c r="LS46" s="3453"/>
      <c r="LT46" s="3453"/>
      <c r="LU46" s="3453"/>
      <c r="LV46" s="3453"/>
      <c r="LW46" s="5881">
        <f>IF($CH46&gt;0,LW$32*_Calcs!$AJ$36,0)</f>
        <v>0</v>
      </c>
      <c r="LX46" s="3453"/>
      <c r="LY46" s="5703"/>
      <c r="LZ46" s="3453"/>
      <c r="MA46" s="5703"/>
      <c r="MB46" s="3453"/>
      <c r="MC46" s="5703"/>
      <c r="MD46" s="3453"/>
      <c r="ME46" s="5703"/>
      <c r="MF46" s="3453"/>
      <c r="MG46" s="5703"/>
      <c r="MH46" s="3453"/>
      <c r="MI46" s="5703"/>
      <c r="MJ46" s="3453"/>
      <c r="MK46" s="5703"/>
      <c r="ML46" s="3453"/>
      <c r="MM46" s="5703"/>
      <c r="MN46" s="5881">
        <f>IF($CH46&gt;0,MN$32*_Calcs!$AJ$36,0)</f>
        <v>0</v>
      </c>
      <c r="MO46" s="3453"/>
      <c r="MP46" s="3453"/>
      <c r="MQ46" s="3453"/>
      <c r="MR46" s="3453"/>
      <c r="MS46" s="3453"/>
      <c r="MT46" s="3453"/>
      <c r="MU46" s="3453"/>
      <c r="MV46" s="3453"/>
      <c r="MW46" s="5881">
        <f>IF($CH46&gt;0,MW$32*_Calcs!$AJ$36,0)</f>
        <v>0</v>
      </c>
      <c r="MX46" s="3453"/>
      <c r="MY46" s="3453"/>
      <c r="MZ46" s="3453"/>
      <c r="NA46" s="3453"/>
      <c r="NB46" s="3453"/>
      <c r="NC46" s="3453"/>
      <c r="ND46" s="3453"/>
      <c r="NE46" s="3453"/>
      <c r="NF46" s="3453"/>
      <c r="NG46" s="3453"/>
      <c r="NH46" s="3453"/>
      <c r="NI46" s="3453"/>
      <c r="NJ46" s="3453"/>
      <c r="NK46" s="3453"/>
      <c r="NL46" s="3453"/>
      <c r="NM46" s="3453"/>
      <c r="NN46" s="5881">
        <f>IF($CH46&gt;0,NN$32*_Calcs!$AJ$36,0)</f>
        <v>0</v>
      </c>
      <c r="NO46" s="3453"/>
      <c r="NP46" s="3453"/>
      <c r="NQ46" s="3453"/>
      <c r="NR46" s="3453"/>
      <c r="NS46" s="3453"/>
      <c r="NT46" s="3453"/>
      <c r="NU46" s="3453"/>
      <c r="NV46" s="3453"/>
      <c r="NW46" s="3453"/>
      <c r="NX46" s="3453"/>
      <c r="NY46" s="3453"/>
      <c r="NZ46" s="3453"/>
      <c r="OA46" s="3453"/>
      <c r="OB46" s="3453"/>
      <c r="OC46" s="3453"/>
      <c r="OD46" s="3453"/>
      <c r="OE46" s="3453"/>
      <c r="OF46" s="3453"/>
      <c r="OG46" s="3453"/>
      <c r="OH46" s="3453"/>
      <c r="OI46" s="5712"/>
      <c r="OJ46" s="3453"/>
      <c r="OK46" s="5720"/>
      <c r="OL46" s="3453"/>
      <c r="OM46" s="5720"/>
      <c r="ON46" s="3453"/>
      <c r="OO46" s="5720"/>
      <c r="OP46" s="3453"/>
      <c r="OQ46" s="5720"/>
      <c r="OR46" s="3453"/>
      <c r="OS46" s="5720"/>
      <c r="OT46" s="3453"/>
      <c r="OU46" s="5720"/>
      <c r="OV46" s="3453"/>
      <c r="OW46" s="5720"/>
      <c r="OX46" s="3453"/>
      <c r="OY46" s="5720"/>
      <c r="OZ46" s="5881">
        <f>IF($CH46&gt;0,OZ$32*_Calcs!$AJ$36,0)</f>
        <v>0</v>
      </c>
      <c r="PA46" s="3453"/>
      <c r="PB46" s="5618"/>
      <c r="PC46" s="3453"/>
      <c r="PD46" s="5618"/>
      <c r="PE46" s="3453"/>
      <c r="PF46" s="5618"/>
      <c r="PG46" s="3453"/>
      <c r="PH46" s="5618"/>
      <c r="PI46" s="3453"/>
      <c r="PJ46" s="5618"/>
      <c r="PK46" s="3453"/>
      <c r="PL46" s="5618"/>
      <c r="PM46" s="3453"/>
      <c r="PN46" s="5618"/>
      <c r="PO46" s="3453"/>
      <c r="PP46" s="5618"/>
      <c r="PQ46" s="5881">
        <f>IF($CH46&gt;0,PQ$32*_Calcs!$AJ$36,0)</f>
        <v>0</v>
      </c>
      <c r="PR46" s="3453"/>
      <c r="PS46" s="5710"/>
      <c r="PT46" s="3453"/>
      <c r="PU46" s="5710"/>
      <c r="PV46" s="3453"/>
      <c r="PW46" s="5710"/>
      <c r="PX46" s="3453"/>
      <c r="PY46" s="5710"/>
      <c r="PZ46" s="3453"/>
      <c r="QA46" s="5710"/>
      <c r="QB46" s="3453"/>
      <c r="QC46" s="5710"/>
      <c r="QD46" s="3453"/>
      <c r="QE46" s="5710"/>
      <c r="QF46" s="3453"/>
      <c r="QG46" s="5710"/>
      <c r="QH46" s="5881">
        <f>IF($CH46&gt;0,QH$32*_Calcs!$AJ$36,0)</f>
        <v>0</v>
      </c>
      <c r="QI46" s="3453"/>
      <c r="QJ46" s="3453"/>
      <c r="QK46" s="3453"/>
      <c r="QL46" s="3453"/>
      <c r="QM46" s="3453"/>
      <c r="QN46" s="3453"/>
      <c r="QO46" s="3453"/>
      <c r="QP46" s="3453"/>
      <c r="QQ46" s="3453"/>
      <c r="QR46" s="5712"/>
      <c r="QS46" s="5713"/>
      <c r="QT46" s="3453"/>
      <c r="QU46" s="3453"/>
      <c r="QV46" s="5713"/>
      <c r="QW46" s="3453"/>
      <c r="QX46" s="3453"/>
      <c r="QY46" s="5713"/>
      <c r="QZ46" s="3453"/>
      <c r="RA46" s="3453"/>
      <c r="RB46" s="5713"/>
      <c r="RC46" s="3453"/>
      <c r="RD46" s="3453"/>
      <c r="RE46" s="5713"/>
      <c r="RF46" s="3453"/>
      <c r="RG46" s="3453"/>
      <c r="RH46" s="5713"/>
      <c r="RI46" s="3453"/>
      <c r="RJ46" s="3453"/>
      <c r="RK46" s="5713"/>
      <c r="RL46" s="3453"/>
      <c r="RM46" s="3453"/>
      <c r="RN46" s="5713"/>
      <c r="RO46" s="3453"/>
      <c r="RP46" s="3453"/>
      <c r="RQ46" s="5881">
        <f>IF($CH46&gt;0,RQ$32*_Calcs!$AJ$36,0)</f>
        <v>0</v>
      </c>
      <c r="RR46" s="3453"/>
      <c r="RS46" s="3453"/>
      <c r="RT46" s="3453"/>
      <c r="RU46" s="3453"/>
      <c r="RV46" s="3453"/>
      <c r="RW46" s="3453"/>
      <c r="RX46" s="3453"/>
      <c r="RY46" s="3453"/>
      <c r="RZ46" s="3453"/>
      <c r="SA46" s="3453"/>
      <c r="SB46" s="3453"/>
      <c r="SC46" s="3453"/>
      <c r="SD46" s="3453"/>
      <c r="SE46" s="3453"/>
      <c r="SF46" s="3453"/>
      <c r="SG46" s="3453"/>
      <c r="SH46" s="3453"/>
      <c r="SI46" s="3453"/>
      <c r="SJ46" s="3453"/>
      <c r="SK46" s="3453"/>
      <c r="SL46" s="3453"/>
      <c r="SM46" s="3453"/>
      <c r="SN46" s="3453"/>
      <c r="SO46" s="3453"/>
      <c r="SP46" s="3453"/>
      <c r="SQ46" s="5881">
        <f>IF($CH46&gt;0,SQ$32*_Calcs!$AJ$36,0)</f>
        <v>0</v>
      </c>
      <c r="SR46" s="5881">
        <f>IF($CH46&gt;0,SR$32*_Calcs!$AJ$36,0)</f>
        <v>0</v>
      </c>
      <c r="SS46" s="3453"/>
      <c r="ST46" s="3453"/>
      <c r="SU46" s="3453"/>
      <c r="SV46" s="3453"/>
      <c r="SW46" s="3453"/>
      <c r="SX46" s="3453"/>
      <c r="SY46" s="3453"/>
      <c r="SZ46" s="3453"/>
      <c r="TA46" s="3453"/>
      <c r="TB46" s="3453"/>
      <c r="TC46" s="3453"/>
      <c r="TD46" s="3453"/>
      <c r="TE46" s="3453"/>
      <c r="TF46" s="3453"/>
      <c r="TG46" s="3453"/>
      <c r="TH46" s="3453"/>
      <c r="TI46" s="3453"/>
      <c r="TJ46" s="3453"/>
      <c r="TK46" s="5721"/>
      <c r="TL46" s="3453"/>
      <c r="TM46" s="3453"/>
      <c r="TN46" s="3453"/>
      <c r="TO46" s="5722"/>
      <c r="TP46" s="5702"/>
      <c r="TQ46" s="5723"/>
      <c r="TR46" s="3453"/>
      <c r="TS46" s="3453"/>
      <c r="TT46" s="3453"/>
      <c r="TU46" s="5722"/>
      <c r="TV46" s="5702"/>
      <c r="TW46" s="5723"/>
      <c r="TX46" s="3453"/>
      <c r="TY46" s="3453"/>
      <c r="TZ46" s="3453"/>
      <c r="UA46" s="5722"/>
      <c r="UB46" s="5702"/>
      <c r="UC46" s="5723"/>
      <c r="UD46" s="3453"/>
      <c r="UE46" s="3453"/>
      <c r="UF46" s="3453"/>
      <c r="UG46" s="5722"/>
      <c r="UH46" s="5702"/>
      <c r="UI46" s="5723"/>
      <c r="UJ46" s="3453"/>
      <c r="UK46" s="3453"/>
      <c r="UL46" s="3453"/>
      <c r="UM46" s="5722"/>
      <c r="UN46" s="5702"/>
      <c r="UO46" s="5723"/>
      <c r="UP46" s="3453"/>
      <c r="UQ46" s="3453"/>
      <c r="UR46" s="3453"/>
      <c r="US46" s="5722"/>
      <c r="UT46" s="5702"/>
      <c r="UU46" s="5723"/>
      <c r="UV46" s="3453"/>
      <c r="UW46" s="3453"/>
      <c r="UX46" s="3453"/>
      <c r="UY46" s="5722"/>
      <c r="UZ46" s="5702"/>
      <c r="VA46" s="5723"/>
      <c r="VB46" s="3453"/>
      <c r="VC46" s="3453"/>
      <c r="VD46" s="3453"/>
      <c r="VE46" s="5722"/>
      <c r="VF46" s="5702"/>
      <c r="VG46" s="5723"/>
      <c r="VH46" s="5881">
        <f>IF($CH46&gt;0,VH$32*_Calcs!$AJ$36,0)</f>
        <v>0</v>
      </c>
      <c r="VI46" s="5881">
        <f>IF($CH46&gt;0,VI$32*_Calcs!$AJ$36,0)</f>
        <v>0</v>
      </c>
      <c r="VJ46" s="5881">
        <f>IF($CH46&gt;0,VJ$32*_Calcs!$AJ$36,0)</f>
        <v>0</v>
      </c>
      <c r="VK46" s="3453"/>
      <c r="VL46" s="3453"/>
      <c r="VM46" s="3453"/>
      <c r="VN46" s="3453"/>
      <c r="VO46" s="3453"/>
      <c r="VP46" s="3453"/>
      <c r="VQ46" s="3453"/>
      <c r="VR46" s="3453"/>
      <c r="VS46" s="3453"/>
      <c r="VT46" s="3453"/>
      <c r="VU46" s="3453"/>
      <c r="VV46" s="3453"/>
      <c r="VW46" s="3453"/>
      <c r="VX46" s="3453"/>
      <c r="VY46" s="3453"/>
      <c r="VZ46" s="3453"/>
      <c r="WA46" s="5881">
        <f>IF($CH46&gt;0,WA$32*_Calcs!$AJ$36,0)</f>
        <v>0</v>
      </c>
      <c r="WB46" s="3453"/>
      <c r="WC46" s="3453"/>
      <c r="WD46" s="3453"/>
      <c r="WE46" s="3453"/>
      <c r="WF46" s="3453"/>
      <c r="WG46" s="3453"/>
      <c r="WH46" s="3453"/>
      <c r="WI46" s="3453"/>
      <c r="WJ46" s="3453"/>
      <c r="WK46" s="3453"/>
      <c r="WL46" s="3453"/>
      <c r="WM46" s="3453"/>
      <c r="WN46" s="3453"/>
      <c r="WO46" s="3453"/>
      <c r="WP46" s="3453"/>
      <c r="WQ46" s="3453"/>
      <c r="WR46" s="3453"/>
      <c r="WS46" s="3453"/>
      <c r="WT46" s="3453"/>
      <c r="WU46" s="3453"/>
      <c r="WV46" s="3453"/>
      <c r="WW46" s="3453"/>
      <c r="WX46" s="3453"/>
      <c r="WY46" s="3453"/>
      <c r="WZ46" s="3453"/>
      <c r="XA46" s="3453"/>
      <c r="XB46" s="3453"/>
      <c r="XC46" s="3453"/>
      <c r="XD46" s="3453"/>
      <c r="XE46" s="3453"/>
      <c r="XF46" s="3453"/>
      <c r="XG46" s="3453"/>
      <c r="XH46" s="5881">
        <f>IF($CH46&gt;0,XH$32*_Calcs!$AJ$36,0)</f>
        <v>0</v>
      </c>
      <c r="XI46" s="5881">
        <f>IF($CH46&gt;0,XI$32*_Calcs!$AJ$36,0)</f>
        <v>0</v>
      </c>
      <c r="XJ46" s="3453"/>
      <c r="XK46" s="3453"/>
      <c r="XL46" s="3453"/>
      <c r="XM46" s="3453"/>
      <c r="XN46" s="3453"/>
      <c r="XO46" s="3453"/>
      <c r="XP46" s="3453"/>
      <c r="XQ46" s="3453"/>
      <c r="XR46" s="3453"/>
      <c r="XS46" s="3453"/>
      <c r="XT46" s="3453"/>
      <c r="XU46" s="3453"/>
      <c r="XV46" s="3453"/>
      <c r="XW46" s="3453"/>
      <c r="XX46" s="3453"/>
      <c r="XY46" s="3453"/>
      <c r="XZ46" s="3453"/>
      <c r="YA46" s="3453"/>
      <c r="YB46" s="3453"/>
      <c r="YC46" s="3453"/>
      <c r="YD46" s="3453"/>
      <c r="YE46" s="3453"/>
      <c r="YF46" s="3453"/>
      <c r="YG46" s="3453"/>
      <c r="YH46" s="3453"/>
      <c r="YI46" s="3453"/>
      <c r="YJ46" s="3453"/>
      <c r="YK46" s="3453"/>
      <c r="YL46" s="3453"/>
      <c r="YM46" s="3453"/>
      <c r="YN46" s="3453"/>
      <c r="YO46" s="3453"/>
      <c r="YP46" s="5881">
        <f>IF($CH46&gt;0,YP$32*_Calcs!$AJ$36,0)</f>
        <v>0</v>
      </c>
      <c r="YQ46" s="5881">
        <f>IF($CH46&gt;0,YQ$32*_Calcs!$AJ$36,0)</f>
        <v>0</v>
      </c>
      <c r="YR46" s="3453"/>
      <c r="YS46" s="3453"/>
      <c r="YT46" s="3453"/>
      <c r="YU46" s="3453"/>
      <c r="YV46" s="3453"/>
      <c r="YW46" s="3453"/>
      <c r="YX46" s="3453"/>
      <c r="YY46" s="3453"/>
      <c r="YZ46" s="3453"/>
      <c r="ZA46" s="3453"/>
      <c r="ZB46" s="3453"/>
      <c r="ZC46" s="3453"/>
      <c r="ZD46" s="3453"/>
      <c r="ZE46" s="3453"/>
      <c r="ZF46" s="3453"/>
      <c r="ZG46" s="3453"/>
      <c r="ZH46" s="3453"/>
      <c r="ZI46" s="3453"/>
      <c r="ZJ46" s="3453"/>
      <c r="ZK46" s="3453"/>
      <c r="ZL46" s="3453"/>
      <c r="ZM46" s="3453"/>
      <c r="ZN46" s="4199"/>
      <c r="ZO46" s="4199"/>
      <c r="ZP46" s="4199"/>
      <c r="ZQ46" s="4199"/>
      <c r="ZR46" s="4199"/>
      <c r="ZS46" s="4199"/>
      <c r="ZT46" s="4199"/>
      <c r="ZU46" s="4199"/>
      <c r="ZV46" s="4199"/>
      <c r="ZW46" s="4199"/>
      <c r="ZX46" s="4199"/>
      <c r="ZY46" s="4199"/>
      <c r="ZZ46" s="4199"/>
      <c r="AAA46" s="4199"/>
      <c r="AAB46" s="2622"/>
      <c r="AAC46" s="2622"/>
      <c r="AAD46" s="2622"/>
      <c r="AAE46" s="2622"/>
      <c r="AAF46" s="2622"/>
      <c r="AAG46" s="2622"/>
      <c r="AAH46" s="2622"/>
      <c r="AAI46" s="2622"/>
      <c r="AAJ46" s="2622"/>
      <c r="AAK46" s="2622"/>
      <c r="AAL46" s="2622"/>
      <c r="AAM46" s="2622"/>
      <c r="AAN46" s="2622"/>
      <c r="AAO46" s="2622"/>
      <c r="AAP46" s="2622"/>
      <c r="AAQ46" s="2622"/>
      <c r="AAR46" s="2622"/>
      <c r="AAS46" s="2622"/>
      <c r="AAT46" s="2622"/>
      <c r="AAU46" s="2622"/>
      <c r="AAV46" s="2622"/>
      <c r="AAW46" s="372" t="s">
        <v>899</v>
      </c>
      <c r="AAX46" s="372" t="s">
        <v>876</v>
      </c>
      <c r="AAY46" s="372" t="s">
        <v>890</v>
      </c>
      <c r="AAZ46" s="184"/>
      <c r="ABA46" s="3811"/>
      <c r="ABB46" s="5797" t="b">
        <f>ISBLANK('!Egen_SK'!$BJ$76)</f>
        <v>1</v>
      </c>
      <c r="ABC46" s="5797"/>
      <c r="ABD46" s="2983">
        <f>'!Egen_SK'!$BJ$76</f>
        <v>0</v>
      </c>
      <c r="ABE46" s="5797"/>
      <c r="ABF46" s="3624" t="e">
        <f>INDEX(klasse_salve[salve_lengde_e1],MATCH($AI$54,klasse_salve[Type_size],0))</f>
        <v>#N/A</v>
      </c>
      <c r="ABG46" s="5797"/>
      <c r="ABH46" s="3010" t="e">
        <f t="shared" si="233"/>
        <v>#N/A</v>
      </c>
      <c r="ABI46" s="5799"/>
      <c r="ABJ46" s="184"/>
      <c r="ABK46" s="3811"/>
      <c r="ABL46" s="5797" t="b">
        <f>ISBLANK('!Egen_SK'!$BJ$85)</f>
        <v>1</v>
      </c>
      <c r="ABM46" s="5797"/>
      <c r="ABN46" s="2983">
        <f>'!Egen_SK'!$BJ$85</f>
        <v>0</v>
      </c>
      <c r="ABO46" s="5797"/>
      <c r="ABP46" s="3624" t="e">
        <f>INDEX(klasseqty_rensk[manual_tid_salve_e1],MATCH($AI$54,klasseqty_bolting[Type_size],0))</f>
        <v>#N/A</v>
      </c>
      <c r="ABQ46" s="5797"/>
      <c r="ABR46" s="3010" t="e">
        <f t="shared" si="234"/>
        <v>#N/A</v>
      </c>
      <c r="ABS46" s="5799"/>
      <c r="ABT46" s="184"/>
      <c r="ABU46" s="3811"/>
      <c r="ABV46" s="5797" t="b">
        <f>ISBLANK('!Egen_SK'!$BJ$92)</f>
        <v>1</v>
      </c>
      <c r="ABW46" s="5797"/>
      <c r="ABX46" s="2983">
        <f>'!Egen_SK'!$BJ$92</f>
        <v>0</v>
      </c>
      <c r="ABY46" s="5797"/>
      <c r="ABZ46" s="3624" t="e">
        <f>INDEX(klasseqty_rensk[inspectiontid_e1],MATCH($AI$54,klasseqty_bolting[Type_size],0))</f>
        <v>#N/A</v>
      </c>
      <c r="ACA46" s="5797"/>
      <c r="ACB46" s="3010" t="e">
        <f t="shared" si="235"/>
        <v>#N/A</v>
      </c>
      <c r="ACC46" s="5799"/>
      <c r="ACD46" s="3582"/>
      <c r="ACE46" s="5800"/>
      <c r="ACF46" s="5797" t="b">
        <f>ISBLANK('!Egen_SK'!$BJ$101)</f>
        <v>1</v>
      </c>
      <c r="ACG46" s="5797"/>
      <c r="ACH46" s="2983">
        <f>'!Egen_SK'!$BJ$101</f>
        <v>0</v>
      </c>
      <c r="ACI46" s="5797"/>
      <c r="ACJ46" s="2774" t="e">
        <f>INDEX(klasseqty_bolting[veder_cc_e1],MATCH($AI$54,klasseqty_bolting[Type_size],0))</f>
        <v>#N/A</v>
      </c>
      <c r="ACK46" s="5797"/>
      <c r="ACL46" s="2775" t="e">
        <f t="shared" si="236"/>
        <v>#N/A</v>
      </c>
      <c r="ACM46" s="5797"/>
      <c r="ACN46" s="184"/>
      <c r="ACO46" s="5797" t="b">
        <f>ISBLANK('!Egen_SK'!$BJ$105)</f>
        <v>1</v>
      </c>
      <c r="ACP46" s="5797"/>
      <c r="ACQ46" s="2782">
        <f>'!Egen_SK'!$BJ$105</f>
        <v>0</v>
      </c>
      <c r="ACR46" s="5797"/>
      <c r="ACS46" s="3547" t="e">
        <f>INDEX(klasseqty_bolting[veder_length_lt4_e1],MATCH($AI$54,klasseqty_bolting[Type_size],0))</f>
        <v>#N/A</v>
      </c>
      <c r="ACT46" s="5797"/>
      <c r="ACU46" s="2781" t="e">
        <f t="shared" si="237"/>
        <v>#N/A</v>
      </c>
      <c r="ACV46" s="5797"/>
      <c r="ACW46" s="184"/>
      <c r="ACX46" s="5797"/>
      <c r="ACY46" s="5797"/>
      <c r="ACZ46" s="2782" t="str">
        <f t="shared" si="238"/>
        <v/>
      </c>
      <c r="ADA46" s="5797"/>
      <c r="ADB46" s="3547" t="e">
        <f>INDEX(klasseqty_bolting[veder_length_gt4_e1],MATCH($AI$54,klasseqty_bolting[Type_size],0))</f>
        <v>#N/A</v>
      </c>
      <c r="ADC46" s="5797"/>
      <c r="ADD46" s="2781" t="e">
        <f t="shared" si="239"/>
        <v>#N/A</v>
      </c>
      <c r="ADE46" s="5809"/>
      <c r="ADF46" s="2816"/>
      <c r="ADG46" s="3589"/>
      <c r="ADH46" s="3587" t="b">
        <f>ISBLANK('!Egen_SK'!$BJ$114)</f>
        <v>1</v>
      </c>
      <c r="ADI46" s="3587"/>
      <c r="ADJ46" s="2983">
        <f>'!Egen_SK'!$BJ$114</f>
        <v>0</v>
      </c>
      <c r="ADK46" s="3587"/>
      <c r="ADL46" s="2774" t="e">
        <f>INDEX(klasseqty_bolting[vegg_cc_e1],MATCH($AI$54,klasseqty_bolting[Type_size],0))</f>
        <v>#N/A</v>
      </c>
      <c r="ADM46" s="3587"/>
      <c r="ADN46" s="2775" t="e">
        <f t="shared" si="240"/>
        <v>#N/A</v>
      </c>
      <c r="ADO46" s="3587"/>
      <c r="ADP46" s="184"/>
      <c r="ADQ46" s="3675"/>
      <c r="ADR46" s="3587" t="b">
        <f>ISBLANK('!Egen_SK'!$BJ$118)</f>
        <v>1</v>
      </c>
      <c r="ADS46" s="3587"/>
      <c r="ADT46" s="2782">
        <f>'!Egen_SK'!$BJ$118</f>
        <v>0</v>
      </c>
      <c r="ADU46" s="3587"/>
      <c r="ADV46" s="3547" t="e">
        <f>INDEX(klasseqty_bolting[vegg_length_lt4_e1],MATCH($AI$54,klasseqty_bolting[Type_size],0))</f>
        <v>#N/A</v>
      </c>
      <c r="ADW46" s="3587"/>
      <c r="ADX46" s="2781" t="e">
        <f t="shared" si="241"/>
        <v>#N/A</v>
      </c>
      <c r="ADY46" s="3675"/>
      <c r="ADZ46" s="3675"/>
      <c r="AEA46" s="3675"/>
      <c r="AEB46" s="2782" t="str">
        <f t="shared" si="209"/>
        <v/>
      </c>
      <c r="AEC46" s="3675"/>
      <c r="AED46" s="3547" t="e">
        <f>INDEX(klasseqty_bolting[vegg_length_gt4_e1],MATCH($AI$54,klasseqty_bolting[Type_size],0))</f>
        <v>#N/A</v>
      </c>
      <c r="AEE46" s="3675"/>
      <c r="AEF46" s="2781" t="e">
        <f t="shared" si="210"/>
        <v>#N/A</v>
      </c>
      <c r="AEG46" s="3676"/>
      <c r="AEH46" s="2816"/>
      <c r="AEI46" s="3396"/>
      <c r="AEJ46" s="3396"/>
      <c r="AEK46" s="3396"/>
      <c r="AEL46" s="5788"/>
      <c r="AEM46" s="5788"/>
      <c r="AEN46" s="5788"/>
      <c r="AEO46" s="5788"/>
      <c r="AEP46" s="5788"/>
      <c r="AEQ46" s="5788"/>
      <c r="AER46" s="5788"/>
      <c r="AES46" s="5790"/>
      <c r="AET46" s="5789" t="b">
        <f>ISBLANK('!Egen_SK'!$BJ$248)</f>
        <v>0</v>
      </c>
      <c r="AEU46" s="5789"/>
      <c r="AEV46" s="2983">
        <f>'!Egen_SK'!$BJ$248</f>
        <v>2</v>
      </c>
      <c r="AEW46" s="5789"/>
      <c r="AEX46" s="2773" t="e">
        <f>INDEX(klasseqty_bergbånd[overlappingsfaktor_e1],MATCH($AI$54,klasseqty_bergbånd[Type_size],0))</f>
        <v>#N/A</v>
      </c>
      <c r="AEY46" s="5789"/>
      <c r="AEZ46" s="3376">
        <f t="shared" si="211"/>
        <v>2</v>
      </c>
      <c r="AFA46" s="5142"/>
      <c r="AFB46" s="5145" t="b">
        <f>ISBLANK('!Egen_SK'!$BJ$255)</f>
        <v>1</v>
      </c>
      <c r="AFC46" s="5142"/>
      <c r="AFD46" s="2983">
        <f>'!Egen_SK'!$BJ$255</f>
        <v>0</v>
      </c>
      <c r="AFE46" s="5142"/>
      <c r="AFF46" s="2773" t="e">
        <f>INDEX(klasseqty_bergbånd[tilleggs_bergbånd_e1],MATCH($AI$54,klasseqty_bergbånd[Type_size],0))</f>
        <v>#N/A</v>
      </c>
      <c r="AFG46" s="5142"/>
      <c r="AFH46" s="3376" t="e">
        <f t="shared" si="212"/>
        <v>#N/A</v>
      </c>
      <c r="AFI46" s="5142"/>
      <c r="AFJ46" s="5145" t="b">
        <f>ISBLANK('!Egen_SK'!$BJ$262)</f>
        <v>1</v>
      </c>
      <c r="AFK46" s="5142"/>
      <c r="AFL46" s="2983">
        <f>'!Egen_SK'!$BJ$262</f>
        <v>0</v>
      </c>
      <c r="AFM46" s="5142"/>
      <c r="AFN46" s="3011" t="e">
        <f>INDEX(klasseqty_bergbånd[tilleggs_bergbånd_festebolter_senteravstand_e1],MATCH($AI$54,klasseqty_bergbånd[Type_size],0))</f>
        <v>#N/A</v>
      </c>
      <c r="AFO46" s="5142"/>
      <c r="AFP46" s="2775" t="e">
        <f t="shared" si="213"/>
        <v>#N/A</v>
      </c>
      <c r="AFQ46" s="5142"/>
      <c r="AFR46" s="5142" t="b">
        <f>ISBLANK('!Egen_SK'!$BJ$266)</f>
        <v>1</v>
      </c>
      <c r="AFS46" s="5142"/>
      <c r="AFT46" s="2782">
        <f>'!Egen_SK'!$BJ$266</f>
        <v>0</v>
      </c>
      <c r="AFU46" s="5142"/>
      <c r="AFV46" s="3547" t="e">
        <f>INDEX(klasseqty_bergbånd[tilleggs_bergbånd_festebolter_lt4_e1],MATCH($AI$54,klasseqty_bergbånd[Type_size],0))</f>
        <v>#N/A</v>
      </c>
      <c r="AFW46" s="5142"/>
      <c r="AFX46" s="2781" t="e">
        <f t="shared" si="242"/>
        <v>#N/A</v>
      </c>
      <c r="AFY46" s="5142"/>
      <c r="AFZ46" s="184"/>
      <c r="AGA46" s="5142"/>
      <c r="AGB46" s="5142"/>
      <c r="AGC46" s="5142"/>
      <c r="AGD46" s="2782" t="str">
        <f t="shared" si="243"/>
        <v/>
      </c>
      <c r="AGE46" s="5142"/>
      <c r="AGF46" s="3547" t="e">
        <f>INDEX(klasseqty_bergbånd[tilleggs_bergbånd_festebolter_gt4_e1],MATCH($AI$54,klasseqty_bergbånd[Type_size],0))</f>
        <v>#N/A</v>
      </c>
      <c r="AGG46" s="5142"/>
      <c r="AGH46" s="2781" t="e">
        <f t="shared" si="244"/>
        <v>#N/A</v>
      </c>
      <c r="AGI46" s="5146"/>
      <c r="AGJ46" s="5152"/>
      <c r="AGK46" s="5152"/>
      <c r="AGL46" s="5152"/>
      <c r="AGM46" s="5152"/>
      <c r="AGN46" s="2622"/>
      <c r="AGO46" s="3354" t="b">
        <f>ISBLANK('!Egen_SK'!$BJ$277)</f>
        <v>1</v>
      </c>
      <c r="AGP46" s="3318"/>
      <c r="AGQ46" s="2983">
        <f>'!Egen_SK'!$BJ$277</f>
        <v>0</v>
      </c>
      <c r="AGR46" s="3318"/>
      <c r="AGS46" s="3011" t="e">
        <f>INDEX(klasseqty_nett[nett_hypp_e1],MATCH($AI$54,klasseqty_nett[Type_size],0))</f>
        <v>#N/A</v>
      </c>
      <c r="AGT46" s="3318"/>
      <c r="AGU46" s="3376" t="e">
        <f t="shared" si="214"/>
        <v>#N/A</v>
      </c>
      <c r="AGV46" s="5152"/>
      <c r="AGW46" s="5518" t="b">
        <f>ISBLANK('!Egen_SK'!$BJ$284)</f>
        <v>1</v>
      </c>
      <c r="AGX46" s="5517"/>
      <c r="AGY46" s="2983">
        <f>'!Egen_SK'!$BJ$284</f>
        <v>0</v>
      </c>
      <c r="AGZ46" s="5517"/>
      <c r="AHA46" s="3011" t="e">
        <f>INDEX(klasseqty_nett[nett_festebolter_avstand_e1],MATCH($AI$54,klasseqty_nett[Type_size],0))</f>
        <v>#N/A</v>
      </c>
      <c r="AHB46" s="5517"/>
      <c r="AHC46" s="3376" t="e">
        <f t="shared" si="215"/>
        <v>#N/A</v>
      </c>
      <c r="AHD46" s="5152"/>
      <c r="AHF46" s="5518" t="b">
        <f>ISBLANK('!Egen_SK'!$BJ$291)</f>
        <v>1</v>
      </c>
      <c r="AHG46" s="5517"/>
      <c r="AHH46" s="2983">
        <f>'!Egen_SK'!$BJ$291</f>
        <v>0</v>
      </c>
      <c r="AHI46" s="5517"/>
      <c r="AHJ46" s="3011" t="e">
        <f>INDEX(klasseqty_nett[nett_sprøytebetong_tykkelse_e1],MATCH($AI$54,klasseqty_nett[Type_size],0))</f>
        <v>#N/A</v>
      </c>
      <c r="AHK46" s="5517"/>
      <c r="AHL46" s="3376" t="e">
        <f t="shared" si="216"/>
        <v>#N/A</v>
      </c>
      <c r="AHP46" s="3589"/>
      <c r="AHQ46" s="3587" t="b">
        <f>ISBLANK('!Egen_SK'!$BJ$129)</f>
        <v>1</v>
      </c>
      <c r="AHR46" s="3587"/>
      <c r="AHS46" s="2983">
        <f>'!Egen_SK'!$BJ$129</f>
        <v>0</v>
      </c>
      <c r="AHT46" s="3587"/>
      <c r="AHU46" s="3624" t="e">
        <f>INDEX(klasseqty_sprøyte[veder_tykkelse_e1],MATCH($AI$54,klasseqty_sprøyte[Type_size],0))</f>
        <v>#N/A</v>
      </c>
      <c r="AHV46" s="3587"/>
      <c r="AHW46" s="2775" t="e">
        <f t="shared" si="217"/>
        <v>#N/A</v>
      </c>
      <c r="AHX46" s="3709"/>
      <c r="AHY46" s="2622"/>
      <c r="AHZ46" s="3677"/>
      <c r="AIA46" s="3675" t="b">
        <f>ISBLANK('!Egen_SK'!$BJ$136)</f>
        <v>1</v>
      </c>
      <c r="AIB46" s="3675"/>
      <c r="AIC46" s="2983">
        <f>'!Egen_SK'!$BJ$136</f>
        <v>0</v>
      </c>
      <c r="AID46" s="3675"/>
      <c r="AIE46" s="3624" t="e">
        <f>INDEX(klasseqty_sprøyte[vegg_tykkelse_e1],MATCH($AI$54,klasseqty_sprøyte[Type_size],0))</f>
        <v>#N/A</v>
      </c>
      <c r="AIF46" s="3675"/>
      <c r="AIG46" s="2775" t="e">
        <f t="shared" si="218"/>
        <v>#N/A</v>
      </c>
      <c r="AIH46" s="3709"/>
      <c r="AII46" s="184"/>
      <c r="AIJ46" s="3811"/>
      <c r="AIK46" s="3587" t="b">
        <f>ISBLANK('!Egen_SK'!$BJ$143)</f>
        <v>1</v>
      </c>
      <c r="AIL46" s="3587"/>
      <c r="AIM46" s="2983">
        <f>'!Egen_SK'!$BJ$143</f>
        <v>0</v>
      </c>
      <c r="AIN46" s="3587"/>
      <c r="AIO46" s="3011" t="e">
        <f>INDEX(klasseqty_sprøyte[ruhetfaktor_e1],MATCH($AI$54,klasseqty_sprøyte[Type_size],0))</f>
        <v>#N/A</v>
      </c>
      <c r="AIP46" s="3587"/>
      <c r="AIQ46" s="2775" t="e">
        <f t="shared" si="219"/>
        <v>#N/A</v>
      </c>
      <c r="AIR46" s="3753"/>
      <c r="AIS46" s="2622"/>
      <c r="AIT46" s="3677"/>
      <c r="AIU46" s="3675" t="b">
        <f>ISBLANK('!Egen_SK'!$BJ$193)</f>
        <v>1</v>
      </c>
      <c r="AIV46" s="3675"/>
      <c r="AIW46" s="3319">
        <f>'!Egen_SK'!$BJ$193</f>
        <v>0</v>
      </c>
      <c r="AIX46" s="3675"/>
      <c r="AIY46" s="2773" t="e">
        <f>INDEX(klasseqty_buer[dimensjon_e1],MATCH($AI$54,klasseqty_buer[Type_size],0))</f>
        <v>#N/A</v>
      </c>
      <c r="AIZ46" s="3675"/>
      <c r="AJA46" s="2775" t="e">
        <f t="shared" si="220"/>
        <v>#N/A</v>
      </c>
      <c r="AJB46" s="3675"/>
      <c r="AJC46" s="5162" t="b">
        <f>ISBLANK('!Egen_SK'!$BJ$198)</f>
        <v>1</v>
      </c>
      <c r="AJD46" s="5162"/>
      <c r="AJE46" s="2782">
        <f>'!Egen_SK'!$BJ$198</f>
        <v>0</v>
      </c>
      <c r="AJF46" s="5162"/>
      <c r="AJG46" s="3547" t="e">
        <f>INDEX(klasseqty_buer[andel_e1],MATCH($AI$54,klasseqty_buer[Type_size],0))</f>
        <v>#N/A</v>
      </c>
      <c r="AJH46" s="5162"/>
      <c r="AJI46" s="4140" t="e">
        <f t="shared" si="221"/>
        <v>#N/A</v>
      </c>
      <c r="AJJ46" s="5162"/>
      <c r="AJK46" s="3675" t="b">
        <f>ISBLANK('!Egen_SK'!$BJ$202)</f>
        <v>1</v>
      </c>
      <c r="AJL46" s="3675"/>
      <c r="AJM46" s="2983">
        <f>'!Egen_SK'!$BJ$202</f>
        <v>0</v>
      </c>
      <c r="AJN46" s="3675"/>
      <c r="AJO46" s="3011" t="e">
        <f>INDEX(klasseqty_buer[bue_senteravstand_e1],MATCH($AI$54,klasseqty_buer[Type_size],0))</f>
        <v>#N/A</v>
      </c>
      <c r="AJP46" s="3675"/>
      <c r="AJQ46" s="2775" t="e">
        <f t="shared" si="222"/>
        <v>#N/A</v>
      </c>
      <c r="AJR46" s="3675"/>
      <c r="AJS46" s="3675" t="b">
        <f>ISBLANK('!Egen_SK'!$BJ$206)</f>
        <v>1</v>
      </c>
      <c r="AJT46" s="3675"/>
      <c r="AJU46" s="2983">
        <f>'!Egen_SK'!$BJ$206</f>
        <v>0</v>
      </c>
      <c r="AJV46" s="3675"/>
      <c r="AJW46" s="3011" t="e">
        <f>INDEX(klasseqty_buer[utvidelse_e1],MATCH($AI$54,klasseqty_buer[Type_size],0))</f>
        <v>#N/A</v>
      </c>
      <c r="AJX46" s="3675"/>
      <c r="AJY46" s="2775" t="e">
        <f t="shared" si="223"/>
        <v>#N/A</v>
      </c>
      <c r="AJZ46" s="3676"/>
      <c r="AKA46" s="3675"/>
      <c r="AKB46" s="3675"/>
      <c r="AKC46" s="3582"/>
      <c r="AKD46" s="3581"/>
      <c r="AKE46" s="3582" t="b">
        <f>ISBLANK('!Egen_SK'!$BJ$213)</f>
        <v>1</v>
      </c>
      <c r="AKF46" s="3582"/>
      <c r="AKG46" s="2983">
        <f>'!Egen_SK'!$BJ$213</f>
        <v>0</v>
      </c>
      <c r="AKH46" s="3582"/>
      <c r="AKI46" s="3011" t="e">
        <f>INDEX(klasseqty_buer[radiellebolter_senteravstand_e1],MATCH($AI$54,klasseqty_buer[Type_size],0))</f>
        <v>#N/A</v>
      </c>
      <c r="AKJ46" s="3582"/>
      <c r="AKK46" s="2775" t="e">
        <f t="shared" si="224"/>
        <v>#N/A</v>
      </c>
      <c r="AKL46" s="3582"/>
      <c r="AKM46" s="3582" t="b">
        <f>ISBLANK('!Egen_SK'!$BJ$217)</f>
        <v>1</v>
      </c>
      <c r="AKN46" s="3582"/>
      <c r="AKO46" s="3712">
        <f>'!Egen_SK'!$BJ$217</f>
        <v>0</v>
      </c>
      <c r="AKP46" s="3582"/>
      <c r="AKQ46" s="3547" t="e">
        <f>INDEX(klasseqty_buer[radiellebolter_lt4_e1],MATCH($AI$54,klasseqty_buer[Type_size],0))</f>
        <v>#N/A</v>
      </c>
      <c r="AKR46" s="3582"/>
      <c r="AKS46" s="2781" t="e">
        <f t="shared" si="245"/>
        <v>#N/A</v>
      </c>
      <c r="AKT46" s="3582"/>
      <c r="AKU46" s="184"/>
      <c r="AKV46" s="3582"/>
      <c r="AKW46" s="3582"/>
      <c r="AKX46" s="2782" t="str">
        <f t="shared" si="246"/>
        <v/>
      </c>
      <c r="AKY46" s="3582"/>
      <c r="AKZ46" s="3547" t="e">
        <f>INDEX(klasseqty_buer[radiellebolter_gt4_e1],MATCH($AI$54,klasseqty_buer[Type_size],0))</f>
        <v>#N/A</v>
      </c>
      <c r="ALA46" s="3582"/>
      <c r="ALB46" s="3368" t="e">
        <f t="shared" si="247"/>
        <v>#N/A</v>
      </c>
      <c r="ALC46" s="3643"/>
      <c r="ALD46" s="3589"/>
      <c r="ALE46" s="3587" t="b">
        <f>ISBLANK('!Egen_SK'!$BJ$226)</f>
        <v>1</v>
      </c>
      <c r="ALF46" s="3587"/>
      <c r="ALG46" s="2983">
        <f>'!Egen_SK'!$BJ$226</f>
        <v>0</v>
      </c>
      <c r="ALH46" s="3587"/>
      <c r="ALI46" s="3011" t="e">
        <f>INDEX(klasseqty_buer[tillegs-sprøytebetong_e1],MATCH($AI$54,klasseqty_buer[Type_size],0))</f>
        <v>#N/A</v>
      </c>
      <c r="ALJ46" s="3587"/>
      <c r="ALK46" s="2775" t="e">
        <f t="shared" si="225"/>
        <v>#N/A</v>
      </c>
      <c r="ALL46" s="3753"/>
      <c r="ALM46" s="2737"/>
      <c r="ALN46" s="3581"/>
      <c r="ALO46" s="3582" t="b">
        <f>ISBLANK('!Egen_SK'!$BJ$233)</f>
        <v>1</v>
      </c>
      <c r="ALP46" s="3582"/>
      <c r="ALQ46" s="3715">
        <f>'!Egen_SK'!$BJ$233</f>
        <v>0</v>
      </c>
      <c r="ALR46" s="3582"/>
      <c r="ALS46" s="3717" t="e">
        <f>INDEX(klasseqty_buer[forankring_e1],MATCH($AI$54,klasseqty_buer[Type_size],0))</f>
        <v>#N/A</v>
      </c>
      <c r="ALT46" s="3582"/>
      <c r="ALU46" s="3719" t="e">
        <f t="shared" si="226"/>
        <v>#N/A</v>
      </c>
      <c r="ALV46" s="3582"/>
      <c r="ALW46" s="3582"/>
      <c r="ALX46" s="3582" t="b">
        <f>ISBLANK('!Egen_SK'!$BJ$237)</f>
        <v>1</v>
      </c>
      <c r="ALY46" s="3582"/>
      <c r="ALZ46" s="2782">
        <f>'!Egen_SK'!$BJ$237</f>
        <v>0</v>
      </c>
      <c r="AMA46" s="3582"/>
      <c r="AMB46" s="3547" t="e">
        <f>INDEX(klasseqty_buer[forankring_lt4_e1],MATCH($AI$54,klasseqty_buer[Type_size],0))</f>
        <v>#N/A</v>
      </c>
      <c r="AMC46" s="3582"/>
      <c r="AMD46" s="2781" t="e">
        <f t="shared" si="248"/>
        <v>#N/A</v>
      </c>
      <c r="AME46" s="3582"/>
      <c r="AMF46" s="184"/>
      <c r="AMG46" s="3582"/>
      <c r="AMH46" s="3582"/>
      <c r="AMI46" s="2782" t="str">
        <f t="shared" si="249"/>
        <v/>
      </c>
      <c r="AMJ46" s="3582"/>
      <c r="AMK46" s="3547" t="e">
        <f>INDEX(klasseqty_buer[forankring_gt4_e1],MATCH($AI$54,klasseqty_buer[Type_size],0))</f>
        <v>#N/A</v>
      </c>
      <c r="AML46" s="3582"/>
      <c r="AMM46" s="3368" t="e">
        <f t="shared" si="250"/>
        <v>#N/A</v>
      </c>
      <c r="AMN46" s="5548"/>
      <c r="AMO46" s="5548"/>
      <c r="AMP46" s="5548"/>
      <c r="AMQ46" s="5548"/>
      <c r="AMR46" s="5548"/>
      <c r="AMS46" s="5548"/>
      <c r="AMT46" s="5548"/>
      <c r="AMU46" s="5548"/>
      <c r="AMV46" s="5548"/>
      <c r="AMW46" s="5548"/>
      <c r="AMX46" s="5548"/>
      <c r="AMY46" s="5548"/>
      <c r="AMZ46" s="5548"/>
      <c r="ANA46" s="5548"/>
      <c r="ANB46" s="5548"/>
      <c r="ANC46" s="5548"/>
      <c r="AND46" s="5548"/>
      <c r="ANE46" s="5548"/>
      <c r="ANF46" s="5548"/>
      <c r="ANG46" s="5548"/>
      <c r="ANH46" s="5548"/>
      <c r="ANI46" s="5548"/>
      <c r="ANJ46" s="5548"/>
      <c r="ANK46" s="5548"/>
      <c r="ANL46" s="5548"/>
      <c r="ANM46" s="5548"/>
      <c r="ANN46" s="5548"/>
      <c r="ANO46" s="5548"/>
      <c r="ANP46" s="5548"/>
      <c r="ANQ46" s="5548"/>
      <c r="ANR46" s="5548"/>
      <c r="ANS46" s="5548"/>
      <c r="ANT46" s="5548"/>
      <c r="ANU46" s="5548"/>
      <c r="ANV46" s="5548"/>
      <c r="ANW46" s="5548"/>
      <c r="ANX46" s="5548"/>
      <c r="ANY46" s="5548"/>
      <c r="ANZ46" s="5548"/>
      <c r="AOA46" s="5548"/>
      <c r="AOB46" s="5548"/>
      <c r="AOC46" s="5548"/>
      <c r="AOD46" s="5548"/>
      <c r="AOE46" s="5548"/>
      <c r="AOF46" s="5548"/>
      <c r="AOG46" s="5548"/>
      <c r="AOH46" s="5548"/>
      <c r="AOI46" s="5548"/>
      <c r="AOJ46" s="5548"/>
      <c r="AOK46" s="5548"/>
      <c r="AOL46" s="5548"/>
      <c r="AOM46" s="5548"/>
      <c r="AOO46" s="4125"/>
      <c r="AOP46" s="4124" t="b">
        <f>ISBLANK('!Egen_SK'!$BJ$157)</f>
        <v>0</v>
      </c>
      <c r="AOQ46" s="4124"/>
      <c r="AOR46" s="2983">
        <f>'!Egen_SK'!$BJ$157</f>
        <v>1</v>
      </c>
      <c r="AOS46" s="4124"/>
      <c r="AOT46" s="3547" t="e">
        <f>INDEX(klasseqty_forbolting[andel_av_tunnelklasse_e1],MATCH($AI$54,klasseqty_forbolting[Type_size],0))</f>
        <v>#N/A</v>
      </c>
      <c r="AOU46" s="4124"/>
      <c r="AOV46" s="4140">
        <f t="shared" si="227"/>
        <v>1</v>
      </c>
      <c r="AOW46" s="5162"/>
      <c r="AOX46" s="5162"/>
      <c r="AOY46" s="5162" t="b">
        <f>ISBLANK('!Egen_SK'!$BJ$157)</f>
        <v>0</v>
      </c>
      <c r="AOZ46" s="5162"/>
      <c r="APA46" s="2983">
        <f t="shared" si="251"/>
        <v>1</v>
      </c>
      <c r="APB46" s="5162"/>
      <c r="APC46" s="3624" t="e">
        <f>INDEX(klasseqty_forbolting[andel_av_tunnelklasse_e1],MATCH($AI$54,klasseqty_forbolting[Type_size],0))</f>
        <v>#N/A</v>
      </c>
      <c r="APD46" s="5162"/>
      <c r="APE46" s="5165">
        <f t="shared" si="228"/>
        <v>1</v>
      </c>
      <c r="APF46" s="4124"/>
      <c r="APG46" s="3587" t="b">
        <f>ISBLANK('!Egen_SK'!$BJ$152)</f>
        <v>1</v>
      </c>
      <c r="APH46" s="3587"/>
      <c r="API46" s="2983">
        <f>'!Egen_SK'!$BJ$152</f>
        <v>0</v>
      </c>
      <c r="APJ46" s="3587"/>
      <c r="APK46" s="3011" t="e">
        <f>INDEX(klasseqty_forbolting[bueområde_e1],MATCH($AI$54,klasseqty_forbolting[Type_size],0))</f>
        <v>#N/A</v>
      </c>
      <c r="APL46" s="3587"/>
      <c r="APM46" s="2775" t="e">
        <f t="shared" si="229"/>
        <v>#N/A</v>
      </c>
      <c r="APN46" s="3587"/>
      <c r="APO46" s="3587" t="b">
        <f>ISBLANK('!Egen_SK'!$BJ$165)</f>
        <v>1</v>
      </c>
      <c r="APP46" s="3587"/>
      <c r="APQ46" s="2983">
        <f>'!Egen_SK'!$BJ$165</f>
        <v>0</v>
      </c>
      <c r="APR46" s="3587"/>
      <c r="APS46" s="3011" t="e">
        <f>INDEX(klasseqty_forbolting[forbolting_senteravstand_e1],MATCH($AI$54,klasseqty_forbolting[Type_size],0))</f>
        <v>#N/A</v>
      </c>
      <c r="APT46" s="3587"/>
      <c r="APU46" s="2775" t="e">
        <f t="shared" si="230"/>
        <v>#N/A</v>
      </c>
      <c r="APV46" s="3587"/>
      <c r="APW46" s="3587" t="b">
        <f>ISBLANK('!Egen_SK'!$BJ$169)</f>
        <v>1</v>
      </c>
      <c r="APX46" s="3587"/>
      <c r="APY46" s="3712">
        <f>'!Egen_SK'!$BJ$169</f>
        <v>0</v>
      </c>
      <c r="APZ46" s="3587"/>
      <c r="AQA46" s="3547" t="e">
        <f>INDEX(klasseqty_forbolting[forbolting_lt4_e1],MATCH($AI$54,klasseqty_forbolting[Type_size],0))</f>
        <v>#N/A</v>
      </c>
      <c r="AQB46" s="3587"/>
      <c r="AQC46" s="2781" t="e">
        <f t="shared" si="252"/>
        <v>#N/A</v>
      </c>
      <c r="AQD46" s="3587"/>
      <c r="AQE46" s="184"/>
      <c r="AQF46" s="3587"/>
      <c r="AQG46" s="3587"/>
      <c r="AQH46" s="2782" t="str">
        <f t="shared" si="253"/>
        <v/>
      </c>
      <c r="AQI46" s="3587"/>
      <c r="AQJ46" s="3547" t="e">
        <f>INDEX(klasseqty_forbolting[forbolting_gt4_e1],MATCH($AI$54,klasseqty_forbolting[Type_size],0))</f>
        <v>#N/A</v>
      </c>
      <c r="AQK46" s="3587"/>
      <c r="AQL46" s="3368" t="e">
        <f t="shared" si="254"/>
        <v>#N/A</v>
      </c>
      <c r="AQN46" s="3589"/>
      <c r="AQO46" s="3587" t="b">
        <f>ISBLANK('!Egen_SK'!$BJ$178)</f>
        <v>1</v>
      </c>
      <c r="AQP46" s="3587"/>
      <c r="AQQ46" s="2983">
        <f>'!Egen_SK'!$BJ$178</f>
        <v>0</v>
      </c>
      <c r="AQR46" s="3587"/>
      <c r="AQS46" s="3011" t="e">
        <f>INDEX(klasseqty_forbolting[oppheng_senteravstand_e1],MATCH($AI$54,klasseqty_forbolting[Type_size],0))</f>
        <v>#N/A</v>
      </c>
      <c r="AQT46" s="3587"/>
      <c r="AQU46" s="2775" t="e">
        <f t="shared" si="231"/>
        <v>#N/A</v>
      </c>
      <c r="AQV46" s="3587"/>
      <c r="AQW46" s="3587" t="b">
        <f>ISBLANK('!Egen_SK'!$BJ$182)</f>
        <v>1</v>
      </c>
      <c r="AQX46" s="3587"/>
      <c r="AQY46" s="3712">
        <f>'!Egen_SK'!$BJ$182</f>
        <v>0</v>
      </c>
      <c r="AQZ46" s="3587"/>
      <c r="ARA46" s="3547" t="e">
        <f>INDEX(klasseqty_forbolting[oppheng_lt4_e1],MATCH($AI$54,klasseqty_forbolting[Type_size],0))</f>
        <v>#N/A</v>
      </c>
      <c r="ARB46" s="3587"/>
      <c r="ARC46" s="2781" t="e">
        <f t="shared" si="255"/>
        <v>#N/A</v>
      </c>
      <c r="ARD46" s="3587"/>
      <c r="ARE46" s="184"/>
      <c r="ARF46" s="3587"/>
      <c r="ARG46" s="3587"/>
      <c r="ARH46" s="2782" t="str">
        <f t="shared" si="256"/>
        <v/>
      </c>
      <c r="ARI46" s="3587"/>
      <c r="ARJ46" s="3547" t="e">
        <f>INDEX(klasseqty_forbolting[oppheng_gt4_e1],MATCH($AI$54,klasseqty_forbolting[Type_size],0))</f>
        <v>#N/A</v>
      </c>
      <c r="ARK46" s="3587"/>
      <c r="ARL46" s="3368" t="e">
        <f t="shared" si="257"/>
        <v>#N/A</v>
      </c>
      <c r="ART46" s="3354" t="b">
        <f>ISBLANK('!Egen_SK'!#REF!)</f>
        <v>0</v>
      </c>
      <c r="ARU46" s="3318"/>
      <c r="ARV46" s="3712">
        <f>'!Egen_SK'!$BJ$312</f>
        <v>0</v>
      </c>
      <c r="ARW46" s="3318"/>
      <c r="ARX46" s="3624" t="e">
        <f>INDEX(klasseqty_sik1234[sikringsstøp_hypp_e1],MATCH($AI$54,klasseqty_sik1234[Type_size],0))</f>
        <v>#N/A</v>
      </c>
      <c r="ARY46" s="3318"/>
      <c r="ARZ46" s="2775">
        <f t="shared" si="232"/>
        <v>0</v>
      </c>
      <c r="ASA46" s="184"/>
      <c r="ASB46" s="3318" t="b">
        <f>ISBLANK('!Egen_SK'!$BJ$316)</f>
        <v>1</v>
      </c>
      <c r="ASC46" s="3318"/>
      <c r="ASD46" s="2983">
        <f>'!Egen_SK'!$BJ$316</f>
        <v>0</v>
      </c>
      <c r="ASE46" s="3318"/>
      <c r="ASF46" s="3547" t="e">
        <f>INDEX(klasseqty_sik1234[sikringsstøp_123_e1],MATCH($AI$54,klasseqty_sik1234[Type_size],0))</f>
        <v>#N/A</v>
      </c>
      <c r="ASG46" s="3318"/>
      <c r="ASH46" s="2781" t="e">
        <f t="shared" si="258"/>
        <v>#N/A</v>
      </c>
      <c r="ASI46" s="3318"/>
      <c r="ASJ46" s="184"/>
      <c r="ASK46" s="3318"/>
      <c r="ASL46" s="3318"/>
      <c r="ASM46" s="2782" t="str">
        <f t="shared" si="259"/>
        <v/>
      </c>
      <c r="ASN46" s="3318"/>
      <c r="ASO46" s="3547" t="e">
        <f>INDEX(klasseqty_sik1234[sikringsstøp_4_e1],MATCH($AI$54,klasseqty_sik1234[Type_size],0))</f>
        <v>#N/A</v>
      </c>
      <c r="ASP46" s="3318"/>
      <c r="ASQ46" s="3368" t="e">
        <f t="shared" si="260"/>
        <v>#N/A</v>
      </c>
      <c r="ASR46" s="2737"/>
      <c r="ASS46" s="2737"/>
      <c r="ATA46" s="2622"/>
      <c r="ATB46" s="2622"/>
      <c r="ATC46" s="2622"/>
      <c r="ATD46" s="2622"/>
      <c r="ATE46" s="2622"/>
      <c r="ATF46" s="2622"/>
      <c r="ATG46" s="2622"/>
      <c r="ATH46" s="2622"/>
      <c r="ATI46" s="2622"/>
      <c r="ATJ46" s="2622"/>
      <c r="ATK46" s="2622"/>
      <c r="ATL46" s="3440" t="s">
        <v>1171</v>
      </c>
      <c r="ATM46" s="3440">
        <v>-8.9535</v>
      </c>
      <c r="ATN46" s="3437"/>
      <c r="ATO46" s="3437"/>
      <c r="ATP46" s="3437"/>
      <c r="ATQ46" s="3437"/>
      <c r="ATR46" s="3437"/>
      <c r="ATS46" s="3437"/>
      <c r="ATT46" s="3437"/>
      <c r="ATU46" s="2622"/>
      <c r="ATV46" s="2622"/>
      <c r="ATW46" s="2622"/>
      <c r="ATX46" s="2617"/>
      <c r="ATY46" s="2617"/>
      <c r="ATZ46" s="2617"/>
      <c r="AUA46" s="2617"/>
      <c r="AUB46" s="2617"/>
      <c r="AUC46" s="2617"/>
      <c r="AUD46" s="2617"/>
      <c r="AUE46" s="2617"/>
      <c r="AUF46" s="2617"/>
      <c r="AUG46" s="2617"/>
      <c r="AUH46" s="2617"/>
      <c r="AUI46" s="2617"/>
      <c r="AUJ46" s="2617"/>
      <c r="AUK46" s="2617"/>
      <c r="AUL46" s="2617"/>
      <c r="AUM46" s="2617"/>
      <c r="AUN46" s="2617"/>
      <c r="AUO46" s="2617"/>
      <c r="AUP46" s="2617"/>
      <c r="AUQ46" s="2617"/>
      <c r="AUR46" s="2617"/>
      <c r="AUS46" s="2617"/>
      <c r="AUT46" s="2617"/>
      <c r="AUU46" s="2617"/>
      <c r="AUV46" s="2627" t="s">
        <v>1264</v>
      </c>
      <c r="AUW46" s="2627"/>
      <c r="AUX46" s="2627"/>
      <c r="AUY46" s="2617"/>
      <c r="AUZ46" s="2617"/>
      <c r="AVA46" s="2617"/>
      <c r="AVB46" s="2617"/>
      <c r="AVC46" s="2617"/>
      <c r="AVD46" s="2617"/>
      <c r="AVE46" s="2617"/>
      <c r="AVF46" s="2617"/>
      <c r="AVG46" s="2617"/>
      <c r="AVH46" s="2617"/>
      <c r="AVI46" s="2617"/>
      <c r="AVJ46" s="2617"/>
      <c r="AVK46" s="2617"/>
      <c r="AVL46" s="2617"/>
      <c r="AVM46" s="2617"/>
      <c r="AVN46" s="2617"/>
      <c r="AVO46" s="2617"/>
      <c r="AVP46" s="2617"/>
      <c r="AVQ46" s="2617"/>
      <c r="AVR46" s="2617"/>
      <c r="AVS46" s="2617"/>
      <c r="AVT46" s="2617"/>
      <c r="AVU46" s="2617"/>
      <c r="AVV46" s="2617"/>
      <c r="AVW46" s="2617"/>
      <c r="AVX46" s="2617"/>
      <c r="AVY46" s="2617"/>
      <c r="AVZ46" s="2617"/>
      <c r="AWA46" s="2617"/>
      <c r="AWB46" s="2617"/>
      <c r="AWC46" s="2617"/>
      <c r="AWD46" s="2617"/>
      <c r="AWE46" s="2617"/>
      <c r="AWF46" s="2617"/>
      <c r="AWG46" s="2617"/>
      <c r="AWH46" s="2617"/>
      <c r="AWI46" s="2617"/>
      <c r="AWJ46" s="2617"/>
      <c r="AWK46" s="2617"/>
      <c r="AWL46" s="2617"/>
      <c r="AWM46" s="2617"/>
      <c r="AWN46" s="2617"/>
      <c r="AWO46" s="2617"/>
      <c r="AWP46" s="2617"/>
      <c r="AWQ46" s="2617"/>
      <c r="AWR46" s="2617"/>
      <c r="AWS46" s="2617"/>
      <c r="AWT46" s="2617"/>
      <c r="AWU46" s="2617"/>
      <c r="AWV46" s="2617"/>
      <c r="AWW46" s="2617"/>
      <c r="AWX46" s="2617"/>
      <c r="AWY46" s="2617"/>
      <c r="AWZ46" s="2617"/>
      <c r="AXA46" s="2617"/>
      <c r="AXB46" s="2617"/>
      <c r="AXC46" s="2617"/>
      <c r="AXD46" s="2617"/>
      <c r="AXE46" s="2617"/>
      <c r="AXF46" s="2617"/>
      <c r="AXG46" s="2617"/>
      <c r="AXH46" s="2617"/>
      <c r="AXI46" s="2617"/>
      <c r="AXJ46" s="2617"/>
      <c r="AXK46" s="2617"/>
      <c r="AYG46" s="3414">
        <v>5</v>
      </c>
      <c r="AYT46" s="2691" t="s">
        <v>192</v>
      </c>
      <c r="AYU46" s="3420">
        <v>1</v>
      </c>
      <c r="AYV46" s="3412">
        <f t="shared" si="261"/>
        <v>100</v>
      </c>
      <c r="AYW46" s="199"/>
      <c r="AYX46" s="3423"/>
      <c r="AYY46" s="199"/>
      <c r="AYZ46" s="199"/>
      <c r="AZA46" s="199"/>
      <c r="AZB46" s="3424">
        <v>1.5</v>
      </c>
      <c r="AZC46" s="184"/>
      <c r="AZD46" s="184"/>
      <c r="AZE46" s="2622"/>
      <c r="AZF46" s="2622"/>
      <c r="AZG46" s="2622"/>
      <c r="AZH46" s="2622"/>
      <c r="AZI46" s="2622"/>
      <c r="AZJ46" s="2622"/>
      <c r="AZK46" s="2622"/>
      <c r="AZL46" s="3417">
        <v>4</v>
      </c>
      <c r="AZM46" s="2622"/>
      <c r="AZN46" s="2622"/>
      <c r="AZO46" s="2622"/>
      <c r="AZP46" s="2622"/>
      <c r="AZQ46" s="2622"/>
      <c r="AZR46" s="2622"/>
      <c r="AZS46" s="2622"/>
      <c r="AZT46" s="2622"/>
      <c r="AZU46" s="2622"/>
      <c r="AZX46" s="2622"/>
      <c r="AZY46" s="2622"/>
      <c r="AZZ46" s="2622"/>
      <c r="BAA46" s="2622"/>
      <c r="BAB46" s="2622"/>
      <c r="BAC46" s="2622"/>
      <c r="BAD46" s="2622"/>
      <c r="BAE46" s="2622"/>
      <c r="BAF46" s="2622"/>
      <c r="BAG46" s="2622"/>
      <c r="BAH46" s="2622"/>
      <c r="BAI46" s="2622"/>
      <c r="BAL46" s="2622"/>
      <c r="BAM46" s="2622"/>
      <c r="BAN46" s="2622"/>
      <c r="BAO46" s="2622"/>
      <c r="BAP46" s="2622"/>
      <c r="BAQ46" s="2622"/>
      <c r="BAT46" s="2622"/>
      <c r="BAU46" s="185" t="s">
        <v>189</v>
      </c>
      <c r="BAV46" s="199"/>
      <c r="BAW46" s="199" t="s">
        <v>893</v>
      </c>
      <c r="BAX46" s="2972" t="s">
        <v>868</v>
      </c>
      <c r="BAY46" s="2972" t="s">
        <v>872</v>
      </c>
      <c r="BAZ46" s="2973" t="s">
        <v>903</v>
      </c>
      <c r="BBA46" s="2974">
        <v>80</v>
      </c>
      <c r="BBB46" s="2975"/>
      <c r="BBC46" s="2975"/>
      <c r="BBD46" s="2691"/>
      <c r="BBE46" s="2691"/>
      <c r="BBF46" s="2691"/>
      <c r="BBG46" s="2691"/>
      <c r="BBH46" s="2691"/>
      <c r="BBI46" s="2691"/>
      <c r="BBK46" s="2622"/>
      <c r="BBQ46" s="3398"/>
      <c r="BCJ46" s="2617"/>
      <c r="BCK46" s="2617"/>
      <c r="BCL46" s="2617"/>
      <c r="BCM46" s="2617"/>
      <c r="BCN46" s="2617"/>
      <c r="BCO46" s="2617"/>
      <c r="BCP46" s="2617"/>
      <c r="BCQ46" s="2617"/>
      <c r="BCR46" s="2617"/>
      <c r="BCS46" s="2617"/>
      <c r="BCT46" s="2617"/>
      <c r="BCU46" s="2617"/>
      <c r="BCV46" s="2617"/>
      <c r="BCW46" s="2617"/>
      <c r="BCX46" s="2617"/>
      <c r="BCY46" s="2617"/>
      <c r="BCZ46" s="2617"/>
      <c r="BDA46" s="2617"/>
      <c r="BDB46" s="2617"/>
      <c r="BDC46" s="2617"/>
      <c r="BDD46" s="2617"/>
      <c r="BDE46" s="2617"/>
      <c r="BDF46" s="2617"/>
      <c r="BDG46" s="2617"/>
      <c r="BDH46" s="2617"/>
      <c r="BDI46" s="2617"/>
      <c r="BDL46" s="2617"/>
      <c r="BDM46" s="2617"/>
      <c r="BDN46" s="2617"/>
      <c r="BDO46" s="2617"/>
      <c r="BDP46" s="2617"/>
      <c r="BDQ46" s="2617"/>
      <c r="BDR46" s="2617"/>
      <c r="BDS46" s="2617"/>
      <c r="BDT46" s="2617"/>
      <c r="BDU46" s="2617"/>
      <c r="BDV46" s="2617"/>
      <c r="BDW46" s="2617"/>
      <c r="BDZ46" s="2617"/>
      <c r="BEA46" s="2617"/>
      <c r="BEB46" s="2617"/>
      <c r="BEC46" s="2617"/>
      <c r="BED46" s="2617"/>
      <c r="BEE46" s="2617"/>
      <c r="BEH46" s="2617"/>
    </row>
    <row r="47" spans="1:1490" ht="20.100000000000001" customHeight="1" x14ac:dyDescent="0.2">
      <c r="AF47" s="4200" t="s">
        <v>2646</v>
      </c>
      <c r="AG47" s="181"/>
      <c r="AH47" s="5845" t="s">
        <v>1540</v>
      </c>
      <c r="AI47" s="5846" t="e">
        <f>IF(OR(AI46=0,AI46&lt;0),0,1)</f>
        <v>#N/A</v>
      </c>
      <c r="AK47" s="2689"/>
      <c r="AU47" s="235">
        <v>3</v>
      </c>
      <c r="AV47" s="185">
        <f>IF('!INN_SK'!$AP$55="",0,1)</f>
        <v>1</v>
      </c>
      <c r="AW47" s="185">
        <f>IF('!INN_SK'!$AP$57="",0,1)</f>
        <v>1</v>
      </c>
      <c r="AX47" s="185">
        <f>IF('!INN_SK'!$AP$64="",0,1)</f>
        <v>1</v>
      </c>
      <c r="AY47" s="185">
        <f>IF('!INN_SK'!$AP$71="",0,1)</f>
        <v>1</v>
      </c>
      <c r="AZ47" s="185">
        <f>IF('!INN_SK'!$AP$78="",0,1)</f>
        <v>1</v>
      </c>
      <c r="BA47" s="185">
        <f>IF('!INN_SK'!$AP$80="",0,1)</f>
        <v>1</v>
      </c>
      <c r="BB47" s="185">
        <f>IF('!INN_SK'!$AP$87="",0,1)</f>
        <v>1</v>
      </c>
      <c r="BC47" s="193">
        <f>IF('!INN_SK'!$AP$94="",0,1)</f>
        <v>1</v>
      </c>
      <c r="BD47" s="247">
        <f>COUNTIF(checks_klasse[[#This Row],[A]:[G]],0)</f>
        <v>0</v>
      </c>
      <c r="BE47" s="183"/>
      <c r="CC47" s="2617" t="s">
        <v>1147</v>
      </c>
      <c r="CG47" s="5812" t="str">
        <f>_Calcs!$QR$135</f>
        <v>Stuff 1-4</v>
      </c>
      <c r="CH47" s="5559">
        <f>IF($AI$31=1,INDEX(outputs_position[14],MATCH(_Calcs!$BC$35,outputs_position[lopstuff],0)),0)</f>
        <v>0</v>
      </c>
      <c r="CI47" s="5852"/>
      <c r="CJ47" s="372">
        <f t="shared" si="262"/>
        <v>0</v>
      </c>
      <c r="CK47" s="194">
        <v>41</v>
      </c>
      <c r="CL47" s="3453"/>
      <c r="CM47" s="3453"/>
      <c r="CN47" s="3453"/>
      <c r="CO47" s="3453"/>
      <c r="CP47" s="3453"/>
      <c r="CQ47" s="3453"/>
      <c r="CR47" s="3453"/>
      <c r="CS47" s="3453"/>
      <c r="CT47" s="3453"/>
      <c r="CU47" s="3453"/>
      <c r="CV47" s="3453"/>
      <c r="CW47" s="3453"/>
      <c r="CX47" s="3453" t="e">
        <f>CX$32*$AM$42</f>
        <v>#DIV/0!</v>
      </c>
      <c r="CY47" s="3453"/>
      <c r="CZ47" s="3453" t="e">
        <f>CZ$32*$AM$42</f>
        <v>#DIV/0!</v>
      </c>
      <c r="DA47" s="3453"/>
      <c r="DB47" s="3453" t="e">
        <f>DB$32*$AM$42</f>
        <v>#DIV/0!</v>
      </c>
      <c r="DC47" s="3453"/>
      <c r="DD47" s="3453" t="e">
        <f>DD$32*$AM$42</f>
        <v>#DIV/0!</v>
      </c>
      <c r="DE47" s="3453"/>
      <c r="DF47" s="3453" t="e">
        <f>DF$32*$AM$42</f>
        <v>#DIV/0!</v>
      </c>
      <c r="DG47" s="3453"/>
      <c r="DH47" s="3453" t="e">
        <f>DH$32*$AM$42</f>
        <v>#DIV/0!</v>
      </c>
      <c r="DI47" s="3453"/>
      <c r="DJ47" s="3453" t="e">
        <f>DJ$32*$AM$42</f>
        <v>#DIV/0!</v>
      </c>
      <c r="DK47" s="3453"/>
      <c r="DL47" s="3453" t="e">
        <f>DL$32*$AM$42</f>
        <v>#DIV/0!</v>
      </c>
      <c r="DM47" s="5881">
        <f>IF($CH47&gt;0,DM$32*_Calcs!$AJ$37,0)</f>
        <v>0</v>
      </c>
      <c r="DN47" s="3453"/>
      <c r="DO47" s="3453"/>
      <c r="DP47" s="3453" t="e">
        <f>DP$32*$AM$42</f>
        <v>#DIV/0!</v>
      </c>
      <c r="DQ47" s="3453"/>
      <c r="DR47" s="3453" t="e">
        <f>DR$32*$AM$42</f>
        <v>#DIV/0!</v>
      </c>
      <c r="DS47" s="3453"/>
      <c r="DT47" s="3453" t="e">
        <f>DT$32*$AM$42</f>
        <v>#DIV/0!</v>
      </c>
      <c r="DU47" s="3453"/>
      <c r="DV47" s="3453" t="e">
        <f>DV$32*$AM$42</f>
        <v>#DIV/0!</v>
      </c>
      <c r="DW47" s="3453"/>
      <c r="DX47" s="3453" t="e">
        <f>DX$32*$AM$42</f>
        <v>#DIV/0!</v>
      </c>
      <c r="DY47" s="3453"/>
      <c r="DZ47" s="3453" t="e">
        <f>DZ$32*$AM$42</f>
        <v>#DIV/0!</v>
      </c>
      <c r="EA47" s="3453"/>
      <c r="EB47" s="3453" t="e">
        <f>EB$32*$AM$42</f>
        <v>#DIV/0!</v>
      </c>
      <c r="EC47" s="3453"/>
      <c r="ED47" s="3453" t="e">
        <f>ED$32*$AM$42</f>
        <v>#DIV/0!</v>
      </c>
      <c r="EE47" s="5881">
        <f>IF($CH47&gt;0,EE$32*_Calcs!$AJ$37,0)</f>
        <v>0</v>
      </c>
      <c r="EF47" s="5712"/>
      <c r="EG47" s="5712"/>
      <c r="EH47" s="5712"/>
      <c r="EI47" s="5712"/>
      <c r="EJ47" s="5712"/>
      <c r="EK47" s="5712"/>
      <c r="EL47" s="5712"/>
      <c r="EM47" s="5712"/>
      <c r="EN47" s="5712"/>
      <c r="EO47" s="5712"/>
      <c r="EP47" s="5712"/>
      <c r="EQ47" s="5712"/>
      <c r="ER47" s="5712"/>
      <c r="ES47" s="5712"/>
      <c r="ET47" s="5712"/>
      <c r="EU47" s="5712"/>
      <c r="EV47" s="5712"/>
      <c r="EW47" s="5881">
        <f>IF($CH47&gt;0,EW$32*_Calcs!$AJ$37,0)</f>
        <v>0</v>
      </c>
      <c r="EX47" s="5712"/>
      <c r="EY47" s="5712"/>
      <c r="EZ47" s="5712"/>
      <c r="FA47" s="5712"/>
      <c r="FB47" s="5712"/>
      <c r="FC47" s="5712"/>
      <c r="FD47" s="5712"/>
      <c r="FE47" s="5712"/>
      <c r="FF47" s="5712"/>
      <c r="FG47" s="5712"/>
      <c r="FH47" s="5712"/>
      <c r="FI47" s="5712"/>
      <c r="FJ47" s="5712"/>
      <c r="FK47" s="5712"/>
      <c r="FL47" s="5712"/>
      <c r="FM47" s="5712"/>
      <c r="FN47" s="5712"/>
      <c r="FO47" s="5712"/>
      <c r="FP47" s="5712"/>
      <c r="FQ47" s="5712"/>
      <c r="FR47" s="5712"/>
      <c r="FS47" s="5712"/>
      <c r="FT47" s="5712"/>
      <c r="FU47" s="5712"/>
      <c r="FV47" s="5712"/>
      <c r="FW47" s="5712"/>
      <c r="FX47" s="5712"/>
      <c r="FY47" s="5712"/>
      <c r="FZ47" s="5712"/>
      <c r="GA47" s="5712"/>
      <c r="GB47" s="3453"/>
      <c r="GC47" s="3453"/>
      <c r="GD47" s="3453"/>
      <c r="GE47" s="3453"/>
      <c r="GF47" s="3453"/>
      <c r="GG47" s="5881">
        <f>IF($CH47&gt;0,GG$32*_Calcs!$AJ$37,0)</f>
        <v>0</v>
      </c>
      <c r="GH47" s="3453"/>
      <c r="GI47" s="3453"/>
      <c r="GJ47" s="3453"/>
      <c r="GK47" s="3453"/>
      <c r="GL47" s="3453"/>
      <c r="GM47" s="3453"/>
      <c r="GN47" s="3453"/>
      <c r="GO47" s="3453"/>
      <c r="GP47" s="3453"/>
      <c r="GQ47" s="3453"/>
      <c r="GR47" s="3453"/>
      <c r="GS47" s="3453"/>
      <c r="GT47" s="3453"/>
      <c r="GU47" s="3453"/>
      <c r="GV47" s="3453"/>
      <c r="GW47" s="3453"/>
      <c r="GX47" s="3453"/>
      <c r="GY47" s="3453"/>
      <c r="GZ47" s="5881">
        <f>IF($CH47&gt;0,GZ$32*_Calcs!$AJ$37,0)</f>
        <v>0</v>
      </c>
      <c r="HA47" s="5881">
        <f>IF($CH47&gt;0,HA$32*_Calcs!$AJ$37,0)</f>
        <v>0</v>
      </c>
      <c r="HB47" s="3453"/>
      <c r="HC47" s="3453"/>
      <c r="HD47" s="3453"/>
      <c r="HE47" s="3453"/>
      <c r="HF47" s="3453"/>
      <c r="HG47" s="3453"/>
      <c r="HH47" s="3453"/>
      <c r="HI47" s="3453"/>
      <c r="HJ47" s="3453"/>
      <c r="HK47" s="3453"/>
      <c r="HL47" s="3453"/>
      <c r="HM47" s="3453"/>
      <c r="HN47" s="3453"/>
      <c r="HO47" s="3453"/>
      <c r="HP47" s="3453"/>
      <c r="HQ47" s="3453"/>
      <c r="HR47" s="3453"/>
      <c r="HS47" s="3453"/>
      <c r="HT47" s="3453"/>
      <c r="HU47" s="5861"/>
      <c r="HV47" s="5712"/>
      <c r="HW47" s="3453"/>
      <c r="HX47" s="3453"/>
      <c r="HY47" s="3453"/>
      <c r="HZ47" s="5861"/>
      <c r="IA47" s="5712"/>
      <c r="IB47" s="3453"/>
      <c r="IC47" s="3453"/>
      <c r="ID47" s="3453"/>
      <c r="IE47" s="5861"/>
      <c r="IF47" s="5712"/>
      <c r="IG47" s="3453"/>
      <c r="IH47" s="3453"/>
      <c r="II47" s="3453"/>
      <c r="IJ47" s="5861"/>
      <c r="IK47" s="5712"/>
      <c r="IL47" s="3453"/>
      <c r="IM47" s="3453"/>
      <c r="IN47" s="3453"/>
      <c r="IO47" s="5861"/>
      <c r="IP47" s="5712"/>
      <c r="IQ47" s="3453"/>
      <c r="IR47" s="3453"/>
      <c r="IS47" s="3453"/>
      <c r="IT47" s="5861"/>
      <c r="IU47" s="5712"/>
      <c r="IV47" s="3453"/>
      <c r="IW47" s="3453"/>
      <c r="IX47" s="3453"/>
      <c r="IY47" s="5861"/>
      <c r="IZ47" s="5712"/>
      <c r="JA47" s="3453"/>
      <c r="JB47" s="3453"/>
      <c r="JC47" s="3453"/>
      <c r="JD47" s="5861"/>
      <c r="JE47" s="5712"/>
      <c r="JF47" s="3453"/>
      <c r="JG47" s="3453"/>
      <c r="JH47" s="3453"/>
      <c r="JI47" s="3453"/>
      <c r="JJ47" s="3453"/>
      <c r="JK47" s="3453"/>
      <c r="JL47" s="3453"/>
      <c r="JM47" s="3453"/>
      <c r="JN47" s="3453"/>
      <c r="JO47" s="3453"/>
      <c r="JP47" s="3453"/>
      <c r="JQ47" s="3453"/>
      <c r="JR47" s="3453"/>
      <c r="JS47" s="3453"/>
      <c r="JT47" s="3453"/>
      <c r="JU47" s="3453"/>
      <c r="JV47" s="5881">
        <f>IF($CH47&gt;0,JV$32*_Calcs!$AJ$37,0)</f>
        <v>0</v>
      </c>
      <c r="JW47" s="5881">
        <f>IF($CH47&gt;0,JW$32*_Calcs!$AJ$37,0)</f>
        <v>0</v>
      </c>
      <c r="JX47" s="3453"/>
      <c r="JY47" s="3453"/>
      <c r="JZ47" s="3453"/>
      <c r="KA47" s="3453"/>
      <c r="KB47" s="3453"/>
      <c r="KC47" s="3453"/>
      <c r="KD47" s="3453"/>
      <c r="KE47" s="3453"/>
      <c r="KF47" s="3453"/>
      <c r="KG47" s="3453"/>
      <c r="KH47" s="3453"/>
      <c r="KI47" s="3453"/>
      <c r="KJ47" s="3453"/>
      <c r="KK47" s="3453"/>
      <c r="KL47" s="3453"/>
      <c r="KM47" s="3453"/>
      <c r="KN47" s="3453"/>
      <c r="KO47" s="3453"/>
      <c r="KP47" s="3453"/>
      <c r="KQ47" s="3453"/>
      <c r="KR47" s="3453"/>
      <c r="KS47" s="3453"/>
      <c r="KT47" s="3453"/>
      <c r="KU47" s="3453"/>
      <c r="KV47" s="3453"/>
      <c r="KW47" s="3453"/>
      <c r="KX47" s="3453"/>
      <c r="KY47" s="3453"/>
      <c r="KZ47" s="3453"/>
      <c r="LA47" s="3453"/>
      <c r="LB47" s="3453"/>
      <c r="LC47" s="3453"/>
      <c r="LD47" s="5881">
        <f>IF($CH47&gt;0,LD$32*_Calcs!$AJ$37,0)</f>
        <v>0</v>
      </c>
      <c r="LE47" s="5881">
        <f>IF($CH47&gt;0,LE$32*_Calcs!$AJ$37,0)</f>
        <v>0</v>
      </c>
      <c r="LF47" s="5712"/>
      <c r="LG47" s="3453"/>
      <c r="LH47" s="3453"/>
      <c r="LI47" s="3453"/>
      <c r="LJ47" s="3453"/>
      <c r="LK47" s="3453"/>
      <c r="LL47" s="3453"/>
      <c r="LM47" s="3453"/>
      <c r="LN47" s="3453"/>
      <c r="LO47" s="3453"/>
      <c r="LP47" s="3453"/>
      <c r="LQ47" s="3453"/>
      <c r="LR47" s="3453"/>
      <c r="LS47" s="3453"/>
      <c r="LT47" s="3453"/>
      <c r="LU47" s="3453"/>
      <c r="LV47" s="3453"/>
      <c r="LW47" s="5881">
        <f>IF($CH47&gt;0,LW$32*_Calcs!$AJ$37,0)</f>
        <v>0</v>
      </c>
      <c r="LX47" s="3453"/>
      <c r="LY47" s="5703"/>
      <c r="LZ47" s="3453"/>
      <c r="MA47" s="5703"/>
      <c r="MB47" s="3453"/>
      <c r="MC47" s="5703"/>
      <c r="MD47" s="3453"/>
      <c r="ME47" s="5703"/>
      <c r="MF47" s="3453"/>
      <c r="MG47" s="5703"/>
      <c r="MH47" s="3453"/>
      <c r="MI47" s="5703"/>
      <c r="MJ47" s="3453"/>
      <c r="MK47" s="5703"/>
      <c r="ML47" s="3453"/>
      <c r="MM47" s="5703"/>
      <c r="MN47" s="5881">
        <f>IF($CH47&gt;0,MN$32*_Calcs!$AJ$37,0)</f>
        <v>0</v>
      </c>
      <c r="MO47" s="3453"/>
      <c r="MP47" s="3453"/>
      <c r="MQ47" s="3453"/>
      <c r="MR47" s="3453"/>
      <c r="MS47" s="3453"/>
      <c r="MT47" s="3453"/>
      <c r="MU47" s="3453"/>
      <c r="MV47" s="3453"/>
      <c r="MW47" s="5881">
        <f>IF($CH47&gt;0,MW$32*_Calcs!$AJ$37,0)</f>
        <v>0</v>
      </c>
      <c r="MX47" s="3453"/>
      <c r="MY47" s="3453"/>
      <c r="MZ47" s="3453"/>
      <c r="NA47" s="3453"/>
      <c r="NB47" s="3453"/>
      <c r="NC47" s="3453"/>
      <c r="ND47" s="3453"/>
      <c r="NE47" s="3453"/>
      <c r="NF47" s="3453"/>
      <c r="NG47" s="3453"/>
      <c r="NH47" s="3453"/>
      <c r="NI47" s="3453"/>
      <c r="NJ47" s="3453"/>
      <c r="NK47" s="3453"/>
      <c r="NL47" s="3453"/>
      <c r="NM47" s="3453"/>
      <c r="NN47" s="5881">
        <f>IF($CH47&gt;0,NN$32*_Calcs!$AJ$37,0)</f>
        <v>0</v>
      </c>
      <c r="NO47" s="3453"/>
      <c r="NP47" s="3453"/>
      <c r="NQ47" s="3453"/>
      <c r="NR47" s="3453"/>
      <c r="NS47" s="3453"/>
      <c r="NT47" s="3453"/>
      <c r="NU47" s="3453"/>
      <c r="NV47" s="3453"/>
      <c r="NW47" s="3453"/>
      <c r="NX47" s="3453"/>
      <c r="NY47" s="3453"/>
      <c r="NZ47" s="3453"/>
      <c r="OA47" s="3453"/>
      <c r="OB47" s="3453"/>
      <c r="OC47" s="3453"/>
      <c r="OD47" s="3453"/>
      <c r="OE47" s="3453"/>
      <c r="OF47" s="3453"/>
      <c r="OG47" s="3453"/>
      <c r="OH47" s="3453"/>
      <c r="OI47" s="5712"/>
      <c r="OJ47" s="3453"/>
      <c r="OK47" s="5720"/>
      <c r="OL47" s="3453"/>
      <c r="OM47" s="5720"/>
      <c r="ON47" s="3453"/>
      <c r="OO47" s="5720"/>
      <c r="OP47" s="3453"/>
      <c r="OQ47" s="5720"/>
      <c r="OR47" s="3453"/>
      <c r="OS47" s="5720"/>
      <c r="OT47" s="3453"/>
      <c r="OU47" s="5720"/>
      <c r="OV47" s="3453"/>
      <c r="OW47" s="5720"/>
      <c r="OX47" s="3453"/>
      <c r="OY47" s="5720"/>
      <c r="OZ47" s="5881">
        <f>IF($CH47&gt;0,OZ$32*_Calcs!$AJ$37,0)</f>
        <v>0</v>
      </c>
      <c r="PA47" s="3453"/>
      <c r="PB47" s="5618"/>
      <c r="PC47" s="3453"/>
      <c r="PD47" s="5618"/>
      <c r="PE47" s="3453"/>
      <c r="PF47" s="5618"/>
      <c r="PG47" s="3453"/>
      <c r="PH47" s="5618"/>
      <c r="PI47" s="3453"/>
      <c r="PJ47" s="5618"/>
      <c r="PK47" s="3453"/>
      <c r="PL47" s="5618"/>
      <c r="PM47" s="3453"/>
      <c r="PN47" s="5618"/>
      <c r="PO47" s="3453"/>
      <c r="PP47" s="5618"/>
      <c r="PQ47" s="5881">
        <f>IF($CH47&gt;0,PQ$32*_Calcs!$AJ$37,0)</f>
        <v>0</v>
      </c>
      <c r="PR47" s="3453"/>
      <c r="PS47" s="5710"/>
      <c r="PT47" s="3453"/>
      <c r="PU47" s="5710"/>
      <c r="PV47" s="3453"/>
      <c r="PW47" s="5710"/>
      <c r="PX47" s="3453"/>
      <c r="PY47" s="5710"/>
      <c r="PZ47" s="3453"/>
      <c r="QA47" s="5710"/>
      <c r="QB47" s="3453"/>
      <c r="QC47" s="5710"/>
      <c r="QD47" s="3453"/>
      <c r="QE47" s="5710"/>
      <c r="QF47" s="3453"/>
      <c r="QG47" s="5710"/>
      <c r="QH47" s="5881">
        <f>IF($CH47&gt;0,QH$32*_Calcs!$AJ$37,0)</f>
        <v>0</v>
      </c>
      <c r="QI47" s="3453"/>
      <c r="QJ47" s="3453"/>
      <c r="QK47" s="3453"/>
      <c r="QL47" s="3453"/>
      <c r="QM47" s="3453"/>
      <c r="QN47" s="3453"/>
      <c r="QO47" s="3453"/>
      <c r="QP47" s="3453"/>
      <c r="QQ47" s="3453"/>
      <c r="QR47" s="5712"/>
      <c r="QS47" s="5713"/>
      <c r="QT47" s="3453"/>
      <c r="QU47" s="3453"/>
      <c r="QV47" s="5713"/>
      <c r="QW47" s="3453"/>
      <c r="QX47" s="3453"/>
      <c r="QY47" s="5713"/>
      <c r="QZ47" s="3453"/>
      <c r="RA47" s="3453"/>
      <c r="RB47" s="5713"/>
      <c r="RC47" s="3453"/>
      <c r="RD47" s="3453"/>
      <c r="RE47" s="5713"/>
      <c r="RF47" s="3453"/>
      <c r="RG47" s="3453"/>
      <c r="RH47" s="5713"/>
      <c r="RI47" s="3453"/>
      <c r="RJ47" s="3453"/>
      <c r="RK47" s="5713"/>
      <c r="RL47" s="3453"/>
      <c r="RM47" s="3453"/>
      <c r="RN47" s="5713"/>
      <c r="RO47" s="3453"/>
      <c r="RP47" s="3453"/>
      <c r="RQ47" s="5881">
        <f>IF($CH47&gt;0,RQ$32*_Calcs!$AJ$37,0)</f>
        <v>0</v>
      </c>
      <c r="RR47" s="3453"/>
      <c r="RS47" s="3453"/>
      <c r="RT47" s="3453"/>
      <c r="RU47" s="3453"/>
      <c r="RV47" s="3453"/>
      <c r="RW47" s="3453"/>
      <c r="RX47" s="3453"/>
      <c r="RY47" s="3453"/>
      <c r="RZ47" s="3453"/>
      <c r="SA47" s="3453"/>
      <c r="SB47" s="3453"/>
      <c r="SC47" s="3453"/>
      <c r="SD47" s="3453"/>
      <c r="SE47" s="3453"/>
      <c r="SF47" s="3453"/>
      <c r="SG47" s="3453"/>
      <c r="SH47" s="3453"/>
      <c r="SI47" s="3453"/>
      <c r="SJ47" s="3453"/>
      <c r="SK47" s="3453"/>
      <c r="SL47" s="3453"/>
      <c r="SM47" s="3453"/>
      <c r="SN47" s="3453"/>
      <c r="SO47" s="3453"/>
      <c r="SP47" s="3453"/>
      <c r="SQ47" s="5881">
        <f>IF($CH47&gt;0,SQ$32*_Calcs!$AJ$37,0)</f>
        <v>0</v>
      </c>
      <c r="SR47" s="5881">
        <f>IF($CH47&gt;0,SR$32*_Calcs!$AJ$37,0)</f>
        <v>0</v>
      </c>
      <c r="SS47" s="3453"/>
      <c r="ST47" s="3453"/>
      <c r="SU47" s="3453"/>
      <c r="SV47" s="3453"/>
      <c r="SW47" s="3453"/>
      <c r="SX47" s="3453"/>
      <c r="SY47" s="3453"/>
      <c r="SZ47" s="3453"/>
      <c r="TA47" s="3453"/>
      <c r="TB47" s="3453"/>
      <c r="TC47" s="3453"/>
      <c r="TD47" s="3453"/>
      <c r="TE47" s="3453"/>
      <c r="TF47" s="3453"/>
      <c r="TG47" s="3453"/>
      <c r="TH47" s="3453"/>
      <c r="TI47" s="3453"/>
      <c r="TJ47" s="3453"/>
      <c r="TK47" s="5721"/>
      <c r="TL47" s="3453"/>
      <c r="TM47" s="3453"/>
      <c r="TN47" s="3453"/>
      <c r="TO47" s="5722"/>
      <c r="TP47" s="5702"/>
      <c r="TQ47" s="5723"/>
      <c r="TR47" s="3453"/>
      <c r="TS47" s="3453"/>
      <c r="TT47" s="3453"/>
      <c r="TU47" s="5722"/>
      <c r="TV47" s="5702"/>
      <c r="TW47" s="5723"/>
      <c r="TX47" s="3453"/>
      <c r="TY47" s="3453"/>
      <c r="TZ47" s="3453"/>
      <c r="UA47" s="5722"/>
      <c r="UB47" s="5702"/>
      <c r="UC47" s="5723"/>
      <c r="UD47" s="3453"/>
      <c r="UE47" s="3453"/>
      <c r="UF47" s="3453"/>
      <c r="UG47" s="5722"/>
      <c r="UH47" s="5702"/>
      <c r="UI47" s="5723"/>
      <c r="UJ47" s="3453"/>
      <c r="UK47" s="3453"/>
      <c r="UL47" s="3453"/>
      <c r="UM47" s="5722"/>
      <c r="UN47" s="5702"/>
      <c r="UO47" s="5723"/>
      <c r="UP47" s="3453"/>
      <c r="UQ47" s="3453"/>
      <c r="UR47" s="3453"/>
      <c r="US47" s="5722"/>
      <c r="UT47" s="5702"/>
      <c r="UU47" s="5723"/>
      <c r="UV47" s="3453"/>
      <c r="UW47" s="3453"/>
      <c r="UX47" s="3453"/>
      <c r="UY47" s="5722"/>
      <c r="UZ47" s="5702"/>
      <c r="VA47" s="5723"/>
      <c r="VB47" s="3453"/>
      <c r="VC47" s="3453"/>
      <c r="VD47" s="3453"/>
      <c r="VE47" s="5722"/>
      <c r="VF47" s="5702"/>
      <c r="VG47" s="5723"/>
      <c r="VH47" s="5881">
        <f>IF($CH47&gt;0,VH$32*_Calcs!$AJ$37,0)</f>
        <v>0</v>
      </c>
      <c r="VI47" s="5881">
        <f>IF($CH47&gt;0,VI$32*_Calcs!$AJ$37,0)</f>
        <v>0</v>
      </c>
      <c r="VJ47" s="5881">
        <f>IF($CH47&gt;0,VJ$32*_Calcs!$AJ$37,0)</f>
        <v>0</v>
      </c>
      <c r="VK47" s="3453"/>
      <c r="VL47" s="3453"/>
      <c r="VM47" s="3453"/>
      <c r="VN47" s="3453"/>
      <c r="VO47" s="3453"/>
      <c r="VP47" s="3453"/>
      <c r="VQ47" s="3453"/>
      <c r="VR47" s="3453"/>
      <c r="VS47" s="3453"/>
      <c r="VT47" s="3453"/>
      <c r="VU47" s="3453"/>
      <c r="VV47" s="3453"/>
      <c r="VW47" s="3453"/>
      <c r="VX47" s="3453"/>
      <c r="VY47" s="3453"/>
      <c r="VZ47" s="3453"/>
      <c r="WA47" s="5881">
        <f>IF($CH47&gt;0,WA$32*_Calcs!$AJ$37,0)</f>
        <v>0</v>
      </c>
      <c r="WB47" s="3453"/>
      <c r="WC47" s="3453"/>
      <c r="WD47" s="3453"/>
      <c r="WE47" s="3453"/>
      <c r="WF47" s="3453"/>
      <c r="WG47" s="3453"/>
      <c r="WH47" s="3453"/>
      <c r="WI47" s="3453"/>
      <c r="WJ47" s="3453"/>
      <c r="WK47" s="3453"/>
      <c r="WL47" s="3453"/>
      <c r="WM47" s="3453"/>
      <c r="WN47" s="3453"/>
      <c r="WO47" s="3453"/>
      <c r="WP47" s="3453"/>
      <c r="WQ47" s="3453"/>
      <c r="WR47" s="3453"/>
      <c r="WS47" s="3453"/>
      <c r="WT47" s="3453"/>
      <c r="WU47" s="3453"/>
      <c r="WV47" s="3453"/>
      <c r="WW47" s="3453"/>
      <c r="WX47" s="3453"/>
      <c r="WY47" s="3453"/>
      <c r="WZ47" s="3453"/>
      <c r="XA47" s="3453"/>
      <c r="XB47" s="3453"/>
      <c r="XC47" s="3453"/>
      <c r="XD47" s="3453"/>
      <c r="XE47" s="3453"/>
      <c r="XF47" s="3453"/>
      <c r="XG47" s="3453"/>
      <c r="XH47" s="5881">
        <f>IF($CH47&gt;0,XH$32*_Calcs!$AJ$37,0)</f>
        <v>0</v>
      </c>
      <c r="XI47" s="5881">
        <f>IF($CH47&gt;0,XI$32*_Calcs!$AJ$37,0)</f>
        <v>0</v>
      </c>
      <c r="XJ47" s="3453"/>
      <c r="XK47" s="3453"/>
      <c r="XL47" s="3453"/>
      <c r="XM47" s="3453"/>
      <c r="XN47" s="3453"/>
      <c r="XO47" s="3453"/>
      <c r="XP47" s="3453"/>
      <c r="XQ47" s="3453"/>
      <c r="XR47" s="3453"/>
      <c r="XS47" s="3453"/>
      <c r="XT47" s="3453"/>
      <c r="XU47" s="3453"/>
      <c r="XV47" s="3453"/>
      <c r="XW47" s="3453"/>
      <c r="XX47" s="3453"/>
      <c r="XY47" s="3453"/>
      <c r="XZ47" s="3453"/>
      <c r="YA47" s="3453"/>
      <c r="YB47" s="3453"/>
      <c r="YC47" s="3453"/>
      <c r="YD47" s="3453"/>
      <c r="YE47" s="3453"/>
      <c r="YF47" s="3453"/>
      <c r="YG47" s="3453"/>
      <c r="YH47" s="3453"/>
      <c r="YI47" s="3453"/>
      <c r="YJ47" s="3453"/>
      <c r="YK47" s="3453"/>
      <c r="YL47" s="3453"/>
      <c r="YM47" s="3453"/>
      <c r="YN47" s="3453"/>
      <c r="YO47" s="3453"/>
      <c r="YP47" s="5881">
        <f>IF($CH47&gt;0,YP$32*_Calcs!$AJ$37,0)</f>
        <v>0</v>
      </c>
      <c r="YQ47" s="5881">
        <f>IF($CH47&gt;0,YQ$32*_Calcs!$AJ$37,0)</f>
        <v>0</v>
      </c>
      <c r="YR47" s="3453"/>
      <c r="YS47" s="3453"/>
      <c r="YT47" s="3453"/>
      <c r="YU47" s="3453"/>
      <c r="YV47" s="3453"/>
      <c r="YW47" s="3453"/>
      <c r="YX47" s="3453"/>
      <c r="YY47" s="3453"/>
      <c r="YZ47" s="3453"/>
      <c r="ZA47" s="3453"/>
      <c r="ZB47" s="3453"/>
      <c r="ZC47" s="3453"/>
      <c r="ZD47" s="3453"/>
      <c r="ZE47" s="3453"/>
      <c r="ZF47" s="3453"/>
      <c r="ZG47" s="3453"/>
      <c r="ZH47" s="3453"/>
      <c r="ZI47" s="3453"/>
      <c r="ZJ47" s="3453"/>
      <c r="ZK47" s="3453"/>
      <c r="ZL47" s="3453"/>
      <c r="ZM47" s="3453"/>
      <c r="ZN47" s="4199"/>
      <c r="ZO47" s="4199"/>
      <c r="ZP47" s="4199"/>
      <c r="ZQ47" s="4199"/>
      <c r="ZR47" s="4199"/>
      <c r="ZS47" s="4199"/>
      <c r="ZT47" s="4199"/>
      <c r="ZU47" s="4199"/>
      <c r="ZV47" s="4199"/>
      <c r="ZW47" s="4199"/>
      <c r="ZX47" s="4199"/>
      <c r="ZY47" s="4199"/>
      <c r="ZZ47" s="4199"/>
      <c r="AAA47" s="4199"/>
      <c r="AAB47" s="2622"/>
      <c r="AAC47" s="2622"/>
      <c r="AAD47" s="2622"/>
      <c r="AAE47" s="2622"/>
      <c r="AAF47" s="2622"/>
      <c r="AAG47" s="2622"/>
      <c r="AAH47" s="2622"/>
      <c r="AAI47" s="2622"/>
      <c r="AAJ47" s="2622"/>
      <c r="AAK47" s="2622"/>
      <c r="AAL47" s="2622"/>
      <c r="AAM47" s="2622"/>
      <c r="AAN47" s="2622"/>
      <c r="AAO47" s="2622"/>
      <c r="AAP47" s="2622"/>
      <c r="AAQ47" s="2622"/>
      <c r="AAR47" s="2622"/>
      <c r="AAS47" s="2622"/>
      <c r="AAT47" s="2622"/>
      <c r="AAU47" s="2622"/>
      <c r="AAV47" s="2622"/>
      <c r="AAW47" s="372" t="s">
        <v>898</v>
      </c>
      <c r="AAX47" s="372" t="s">
        <v>875</v>
      </c>
      <c r="AAY47" s="372" t="s">
        <v>890</v>
      </c>
      <c r="AAZ47" s="184"/>
      <c r="ABA47" s="3811"/>
      <c r="ABB47" s="5797" t="b">
        <f>ISBLANK('!Egen_SK'!$BR$76)</f>
        <v>1</v>
      </c>
      <c r="ABC47" s="5797"/>
      <c r="ABD47" s="2983">
        <f>'!Egen_SK'!$BR$76</f>
        <v>0</v>
      </c>
      <c r="ABE47" s="5797"/>
      <c r="ABF47" s="3624" t="e">
        <f>INDEX(klasse_salve[salve_lengde_e2],MATCH($AI$54,klasse_salve[Type_size],0))</f>
        <v>#N/A</v>
      </c>
      <c r="ABG47" s="5797"/>
      <c r="ABH47" s="3010" t="e">
        <f t="shared" si="233"/>
        <v>#N/A</v>
      </c>
      <c r="ABI47" s="5799"/>
      <c r="ABJ47" s="184"/>
      <c r="ABK47" s="3811"/>
      <c r="ABL47" s="5797" t="b">
        <f>ISBLANK('!Egen_SK'!$BR$85)</f>
        <v>1</v>
      </c>
      <c r="ABM47" s="5797"/>
      <c r="ABN47" s="2983">
        <f>'!Egen_SK'!$BR$85</f>
        <v>0</v>
      </c>
      <c r="ABO47" s="5797"/>
      <c r="ABP47" s="3624" t="e">
        <f>INDEX(klasseqty_rensk[manual_tid_salve_e2],MATCH($AI$54,klasseqty_bolting[Type_size],0))</f>
        <v>#N/A</v>
      </c>
      <c r="ABQ47" s="5797"/>
      <c r="ABR47" s="3010" t="e">
        <f t="shared" si="234"/>
        <v>#N/A</v>
      </c>
      <c r="ABS47" s="5799"/>
      <c r="ABT47" s="184"/>
      <c r="ABU47" s="3811"/>
      <c r="ABV47" s="5797" t="b">
        <f>ISBLANK('!Egen_SK'!$BR$92)</f>
        <v>1</v>
      </c>
      <c r="ABW47" s="5797"/>
      <c r="ABX47" s="2983">
        <f>'!Egen_SK'!$BR$92</f>
        <v>0</v>
      </c>
      <c r="ABY47" s="5797"/>
      <c r="ABZ47" s="3624" t="e">
        <f>INDEX(klasseqty_rensk[inspectiontid_e2],MATCH($AI$54,klasseqty_bolting[Type_size],0))</f>
        <v>#N/A</v>
      </c>
      <c r="ACA47" s="5797"/>
      <c r="ACB47" s="3010" t="e">
        <f t="shared" si="235"/>
        <v>#N/A</v>
      </c>
      <c r="ACC47" s="5799"/>
      <c r="ACD47" s="3582"/>
      <c r="ACE47" s="5800"/>
      <c r="ACF47" s="5797" t="b">
        <f>ISBLANK('!Egen_SK'!$BR$101)</f>
        <v>1</v>
      </c>
      <c r="ACG47" s="5797"/>
      <c r="ACH47" s="2983">
        <f>'!Egen_SK'!$BR$101</f>
        <v>0</v>
      </c>
      <c r="ACI47" s="5797"/>
      <c r="ACJ47" s="2774" t="e">
        <f>INDEX(klasseqty_bolting[veder_cc_e2],MATCH($AI$54,klasseqty_bolting[Type_size],0))</f>
        <v>#N/A</v>
      </c>
      <c r="ACK47" s="5797"/>
      <c r="ACL47" s="2775" t="e">
        <f t="shared" si="236"/>
        <v>#N/A</v>
      </c>
      <c r="ACM47" s="5797"/>
      <c r="ACN47" s="184"/>
      <c r="ACO47" s="5797" t="b">
        <f>ISBLANK('!Egen_SK'!$BR$105)</f>
        <v>1</v>
      </c>
      <c r="ACP47" s="5797"/>
      <c r="ACQ47" s="2782">
        <f>'!Egen_SK'!$BR$105</f>
        <v>0</v>
      </c>
      <c r="ACR47" s="5797"/>
      <c r="ACS47" s="3547" t="e">
        <f>INDEX(klasseqty_bolting[veder_length_lt4_e2],MATCH($AI$54,klasseqty_bolting[Type_size],0))</f>
        <v>#N/A</v>
      </c>
      <c r="ACT47" s="5797"/>
      <c r="ACU47" s="2781" t="e">
        <f t="shared" si="237"/>
        <v>#N/A</v>
      </c>
      <c r="ACV47" s="5797"/>
      <c r="ACW47" s="184"/>
      <c r="ACX47" s="5797"/>
      <c r="ACY47" s="5797"/>
      <c r="ACZ47" s="2782" t="str">
        <f t="shared" si="238"/>
        <v/>
      </c>
      <c r="ADA47" s="5797"/>
      <c r="ADB47" s="3547" t="e">
        <f>INDEX(klasseqty_bolting[veder_length_gt4_e2],MATCH($AI$54,klasseqty_bolting[Type_size],0))</f>
        <v>#N/A</v>
      </c>
      <c r="ADC47" s="5797"/>
      <c r="ADD47" s="2781" t="e">
        <f t="shared" si="239"/>
        <v>#N/A</v>
      </c>
      <c r="ADE47" s="5809"/>
      <c r="ADF47" s="2816"/>
      <c r="ADG47" s="3589"/>
      <c r="ADH47" s="3587" t="b">
        <f>ISBLANK('!Egen_SK'!$BR$114)</f>
        <v>1</v>
      </c>
      <c r="ADI47" s="3587"/>
      <c r="ADJ47" s="2983">
        <f>'!Egen_SK'!$BR$114</f>
        <v>0</v>
      </c>
      <c r="ADK47" s="3587"/>
      <c r="ADL47" s="2774" t="e">
        <f>INDEX(klasseqty_bolting[vegg_cc_e2],MATCH($AI$54,klasseqty_bolting[Type_size],0))</f>
        <v>#N/A</v>
      </c>
      <c r="ADM47" s="3587"/>
      <c r="ADN47" s="2775" t="e">
        <f t="shared" si="240"/>
        <v>#N/A</v>
      </c>
      <c r="ADO47" s="3587"/>
      <c r="ADP47" s="184"/>
      <c r="ADQ47" s="3675"/>
      <c r="ADR47" s="3587" t="b">
        <f>ISBLANK('!Egen_SK'!$BR$118)</f>
        <v>1</v>
      </c>
      <c r="ADS47" s="3587"/>
      <c r="ADT47" s="2782">
        <f>'!Egen_SK'!$BR$118</f>
        <v>0</v>
      </c>
      <c r="ADU47" s="3587"/>
      <c r="ADV47" s="3547" t="e">
        <f>INDEX(klasseqty_bolting[vegg_length_lt4_e2],MATCH($AI$54,klasseqty_bolting[Type_size],0))</f>
        <v>#N/A</v>
      </c>
      <c r="ADW47" s="3587"/>
      <c r="ADX47" s="2781" t="e">
        <f t="shared" si="241"/>
        <v>#N/A</v>
      </c>
      <c r="ADY47" s="3675"/>
      <c r="ADZ47" s="3675"/>
      <c r="AEA47" s="3675"/>
      <c r="AEB47" s="2782" t="str">
        <f t="shared" si="209"/>
        <v/>
      </c>
      <c r="AEC47" s="3675"/>
      <c r="AED47" s="3547" t="e">
        <f>INDEX(klasseqty_bolting[vegg_length_gt4_e2],MATCH($AI$54,klasseqty_bolting[Type_size],0))</f>
        <v>#N/A</v>
      </c>
      <c r="AEE47" s="3675"/>
      <c r="AEF47" s="2781" t="e">
        <f t="shared" si="210"/>
        <v>#N/A</v>
      </c>
      <c r="AEG47" s="3676"/>
      <c r="AEH47" s="2816"/>
      <c r="AEI47" s="3396"/>
      <c r="AEJ47" s="3396"/>
      <c r="AEK47" s="3396"/>
      <c r="AEL47" s="5788"/>
      <c r="AEM47" s="5788"/>
      <c r="AEN47" s="5788"/>
      <c r="AEO47" s="5788"/>
      <c r="AEP47" s="5788"/>
      <c r="AEQ47" s="5788"/>
      <c r="AER47" s="5788"/>
      <c r="AES47" s="5790"/>
      <c r="AET47" s="5789" t="b">
        <f>ISBLANK('!Egen_SK'!$BR$248)</f>
        <v>0</v>
      </c>
      <c r="AEU47" s="5789"/>
      <c r="AEV47" s="2983">
        <f>'!Egen_SK'!$BR$248</f>
        <v>2</v>
      </c>
      <c r="AEW47" s="5789"/>
      <c r="AEX47" s="2773" t="e">
        <f>INDEX(klasseqty_bergbånd[overlappingsfaktor_e2],MATCH($AI$54,klasseqty_bergbånd[Type_size],0))</f>
        <v>#N/A</v>
      </c>
      <c r="AEY47" s="5789"/>
      <c r="AEZ47" s="3376">
        <f t="shared" si="211"/>
        <v>2</v>
      </c>
      <c r="AFA47" s="5142"/>
      <c r="AFB47" s="5145" t="b">
        <f>ISBLANK('!Egen_SK'!$BR$255)</f>
        <v>1</v>
      </c>
      <c r="AFC47" s="5142"/>
      <c r="AFD47" s="2983">
        <f>'!Egen_SK'!$BR$255</f>
        <v>0</v>
      </c>
      <c r="AFE47" s="5142"/>
      <c r="AFF47" s="2773" t="e">
        <f>INDEX(klasseqty_bergbånd[tilleggs_bergbånd_e2],MATCH($AI$54,klasseqty_bergbånd[Type_size],0))</f>
        <v>#N/A</v>
      </c>
      <c r="AFG47" s="5142"/>
      <c r="AFH47" s="3376" t="e">
        <f t="shared" si="212"/>
        <v>#N/A</v>
      </c>
      <c r="AFI47" s="5142"/>
      <c r="AFJ47" s="5145" t="b">
        <f>ISBLANK('!Egen_SK'!$BR$262)</f>
        <v>1</v>
      </c>
      <c r="AFK47" s="5142"/>
      <c r="AFL47" s="2983">
        <f>'!Egen_SK'!$BR$262</f>
        <v>0</v>
      </c>
      <c r="AFM47" s="5142"/>
      <c r="AFN47" s="3011" t="e">
        <f>INDEX(klasseqty_bergbånd[tilleggs_bergbånd_festebolter_senteravstand_e2],MATCH($AI$54,klasseqty_bergbånd[Type_size],0))</f>
        <v>#N/A</v>
      </c>
      <c r="AFO47" s="5142"/>
      <c r="AFP47" s="2775" t="e">
        <f t="shared" si="213"/>
        <v>#N/A</v>
      </c>
      <c r="AFQ47" s="5142"/>
      <c r="AFR47" s="5142" t="b">
        <f>ISBLANK('!Egen_SK'!$BR$266)</f>
        <v>1</v>
      </c>
      <c r="AFS47" s="5142"/>
      <c r="AFT47" s="2782">
        <f>'!Egen_SK'!$BR$266</f>
        <v>0</v>
      </c>
      <c r="AFU47" s="5142"/>
      <c r="AFV47" s="3547" t="e">
        <f>INDEX(klasseqty_bergbånd[tilleggs_bergbånd_festebolter_lt4_e2],MATCH($AI$54,klasseqty_bergbånd[Type_size],0))</f>
        <v>#N/A</v>
      </c>
      <c r="AFW47" s="5142"/>
      <c r="AFX47" s="2781" t="e">
        <f t="shared" si="242"/>
        <v>#N/A</v>
      </c>
      <c r="AFY47" s="5142"/>
      <c r="AFZ47" s="184"/>
      <c r="AGA47" s="5142"/>
      <c r="AGB47" s="5142"/>
      <c r="AGC47" s="5142"/>
      <c r="AGD47" s="2782" t="str">
        <f t="shared" si="243"/>
        <v/>
      </c>
      <c r="AGE47" s="5142"/>
      <c r="AGF47" s="3547" t="e">
        <f>INDEX(klasseqty_bergbånd[tilleggs_bergbånd_festebolter_gt4_e2],MATCH($AI$54,klasseqty_bergbånd[Type_size],0))</f>
        <v>#N/A</v>
      </c>
      <c r="AGG47" s="5142"/>
      <c r="AGH47" s="2781" t="e">
        <f t="shared" si="244"/>
        <v>#N/A</v>
      </c>
      <c r="AGI47" s="5146"/>
      <c r="AGJ47" s="5152"/>
      <c r="AGK47" s="5152"/>
      <c r="AGL47" s="5152"/>
      <c r="AGM47" s="5152"/>
      <c r="AGN47" s="2622"/>
      <c r="AGO47" s="3354" t="b">
        <f>ISBLANK('!Egen_SK'!$BR$277)</f>
        <v>1</v>
      </c>
      <c r="AGP47" s="3318"/>
      <c r="AGQ47" s="2983">
        <f>'!Egen_SK'!$BR$277</f>
        <v>0</v>
      </c>
      <c r="AGR47" s="3318"/>
      <c r="AGS47" s="3011" t="e">
        <f>INDEX(klasseqty_nett[nett_hypp_e2],MATCH($AI$54,klasseqty_nett[Type_size],0))</f>
        <v>#N/A</v>
      </c>
      <c r="AGT47" s="3318"/>
      <c r="AGU47" s="3376" t="e">
        <f t="shared" si="214"/>
        <v>#N/A</v>
      </c>
      <c r="AGV47" s="5152"/>
      <c r="AGW47" s="5518" t="b">
        <f>ISBLANK('!Egen_SK'!$BR$284)</f>
        <v>1</v>
      </c>
      <c r="AGX47" s="5517"/>
      <c r="AGY47" s="2983">
        <f>'!Egen_SK'!$BR$284</f>
        <v>0</v>
      </c>
      <c r="AGZ47" s="5517"/>
      <c r="AHA47" s="3011" t="e">
        <f>INDEX(klasseqty_nett[nett_festebolter_avstand_e2],MATCH($AI$54,klasseqty_nett[Type_size],0))</f>
        <v>#N/A</v>
      </c>
      <c r="AHB47" s="5517"/>
      <c r="AHC47" s="3376" t="e">
        <f t="shared" si="215"/>
        <v>#N/A</v>
      </c>
      <c r="AHD47" s="5152"/>
      <c r="AHF47" s="5518" t="b">
        <f>ISBLANK('!Egen_SK'!$BR$291)</f>
        <v>1</v>
      </c>
      <c r="AHG47" s="5517"/>
      <c r="AHH47" s="2983">
        <f>'!Egen_SK'!$BR$291</f>
        <v>0</v>
      </c>
      <c r="AHI47" s="5517"/>
      <c r="AHJ47" s="3011" t="e">
        <f>INDEX(klasseqty_nett[nett_sprøytebetong_tykkelse_e2],MATCH($AI$54,klasseqty_nett[Type_size],0))</f>
        <v>#N/A</v>
      </c>
      <c r="AHK47" s="5517"/>
      <c r="AHL47" s="3376" t="e">
        <f t="shared" si="216"/>
        <v>#N/A</v>
      </c>
      <c r="AHP47" s="3589"/>
      <c r="AHQ47" s="3587" t="b">
        <f>ISBLANK('!Egen_SK'!$BR$129)</f>
        <v>1</v>
      </c>
      <c r="AHR47" s="3587"/>
      <c r="AHS47" s="2983">
        <f>'!Egen_SK'!$BR$129</f>
        <v>0</v>
      </c>
      <c r="AHT47" s="3587"/>
      <c r="AHU47" s="3624" t="e">
        <f>INDEX(klasseqty_sprøyte[veder_tykkelse_e2],MATCH($AI$54,klasseqty_sprøyte[Type_size],0))</f>
        <v>#N/A</v>
      </c>
      <c r="AHV47" s="3587"/>
      <c r="AHW47" s="2775" t="e">
        <f t="shared" si="217"/>
        <v>#N/A</v>
      </c>
      <c r="AHX47" s="3709"/>
      <c r="AHY47" s="2622"/>
      <c r="AHZ47" s="3677"/>
      <c r="AIA47" s="3675" t="b">
        <f>ISBLANK('!Egen_SK'!$BR$136)</f>
        <v>1</v>
      </c>
      <c r="AIB47" s="3675"/>
      <c r="AIC47" s="2983">
        <f>'!Egen_SK'!$BR$136</f>
        <v>0</v>
      </c>
      <c r="AID47" s="3675"/>
      <c r="AIE47" s="3624" t="e">
        <f>INDEX(klasseqty_sprøyte[vegg_tykkelse_e2],MATCH($AI$54,klasseqty_sprøyte[Type_size],0))</f>
        <v>#N/A</v>
      </c>
      <c r="AIF47" s="3675"/>
      <c r="AIG47" s="2775" t="e">
        <f t="shared" si="218"/>
        <v>#N/A</v>
      </c>
      <c r="AIH47" s="3709"/>
      <c r="AII47" s="184"/>
      <c r="AIJ47" s="3811"/>
      <c r="AIK47" s="3587" t="b">
        <f>ISBLANK('!Egen_SK'!$BR$143)</f>
        <v>1</v>
      </c>
      <c r="AIL47" s="3587"/>
      <c r="AIM47" s="2983">
        <f>'!Egen_SK'!$BR$143</f>
        <v>0</v>
      </c>
      <c r="AIN47" s="3587"/>
      <c r="AIO47" s="3011" t="e">
        <f>INDEX(klasseqty_sprøyte[ruhetfaktor_e2],MATCH($AI$54,klasseqty_sprøyte[Type_size],0))</f>
        <v>#N/A</v>
      </c>
      <c r="AIP47" s="3587"/>
      <c r="AIQ47" s="2775" t="e">
        <f t="shared" si="219"/>
        <v>#N/A</v>
      </c>
      <c r="AIR47" s="3753"/>
      <c r="AIS47" s="2622"/>
      <c r="AIT47" s="3677"/>
      <c r="AIU47" s="3675" t="b">
        <f>ISBLANK('!Egen_SK'!$BR$193)</f>
        <v>1</v>
      </c>
      <c r="AIV47" s="3675"/>
      <c r="AIW47" s="3319">
        <f>'!Egen_SK'!$BR$193</f>
        <v>0</v>
      </c>
      <c r="AIX47" s="3675"/>
      <c r="AIY47" s="2773" t="e">
        <f>INDEX(klasseqty_buer[dimensjon_e2],MATCH($AI$54,klasseqty_buer[Type_size],0))</f>
        <v>#N/A</v>
      </c>
      <c r="AIZ47" s="3675"/>
      <c r="AJA47" s="2775" t="e">
        <f t="shared" si="220"/>
        <v>#N/A</v>
      </c>
      <c r="AJB47" s="3675"/>
      <c r="AJC47" s="5162" t="b">
        <f>ISBLANK('!Egen_SK'!$BR$198)</f>
        <v>1</v>
      </c>
      <c r="AJD47" s="5162"/>
      <c r="AJE47" s="2782">
        <f>'!Egen_SK'!$BR$198</f>
        <v>0</v>
      </c>
      <c r="AJF47" s="5162"/>
      <c r="AJG47" s="3547" t="e">
        <f>INDEX(klasseqty_buer[andel_e2],MATCH($AI$54,klasseqty_buer[Type_size],0))</f>
        <v>#N/A</v>
      </c>
      <c r="AJH47" s="5162"/>
      <c r="AJI47" s="4140" t="e">
        <f t="shared" si="221"/>
        <v>#N/A</v>
      </c>
      <c r="AJJ47" s="5162"/>
      <c r="AJK47" s="3675" t="b">
        <f>ISBLANK('!Egen_SK'!$BR$202)</f>
        <v>1</v>
      </c>
      <c r="AJL47" s="3675"/>
      <c r="AJM47" s="2983">
        <f>'!Egen_SK'!$BR$202</f>
        <v>0</v>
      </c>
      <c r="AJN47" s="3675"/>
      <c r="AJO47" s="3011" t="e">
        <f>INDEX(klasseqty_buer[bue_senteravstand_e2],MATCH($AI$54,klasseqty_buer[Type_size],0))</f>
        <v>#N/A</v>
      </c>
      <c r="AJP47" s="3675"/>
      <c r="AJQ47" s="2775" t="e">
        <f t="shared" si="222"/>
        <v>#N/A</v>
      </c>
      <c r="AJR47" s="3675"/>
      <c r="AJS47" s="3675" t="b">
        <f>ISBLANK('!Egen_SK'!$BR$206)</f>
        <v>1</v>
      </c>
      <c r="AJT47" s="3675"/>
      <c r="AJU47" s="2983">
        <f>'!Egen_SK'!$BR$206</f>
        <v>0</v>
      </c>
      <c r="AJV47" s="3675"/>
      <c r="AJW47" s="3011" t="e">
        <f>INDEX(klasseqty_buer[utvidelse_e2],MATCH($AI$54,klasseqty_buer[Type_size],0))</f>
        <v>#N/A</v>
      </c>
      <c r="AJX47" s="3675"/>
      <c r="AJY47" s="2775" t="e">
        <f t="shared" si="223"/>
        <v>#N/A</v>
      </c>
      <c r="AJZ47" s="3676"/>
      <c r="AKA47" s="3675"/>
      <c r="AKB47" s="3675"/>
      <c r="AKC47" s="3582"/>
      <c r="AKD47" s="3581"/>
      <c r="AKE47" s="3582" t="b">
        <f>ISBLANK('!Egen_SK'!$BR$213)</f>
        <v>1</v>
      </c>
      <c r="AKF47" s="3582"/>
      <c r="AKG47" s="2983">
        <f>'!Egen_SK'!$BR$213</f>
        <v>0</v>
      </c>
      <c r="AKH47" s="3582"/>
      <c r="AKI47" s="3011" t="e">
        <f>INDEX(klasseqty_buer[radiellebolter_senteravstand_e2],MATCH($AI$54,klasseqty_buer[Type_size],0))</f>
        <v>#N/A</v>
      </c>
      <c r="AKJ47" s="3582"/>
      <c r="AKK47" s="2775" t="e">
        <f t="shared" si="224"/>
        <v>#N/A</v>
      </c>
      <c r="AKL47" s="3582"/>
      <c r="AKM47" s="3582" t="b">
        <f>ISBLANK('!Egen_SK'!$BR$217)</f>
        <v>1</v>
      </c>
      <c r="AKN47" s="3582"/>
      <c r="AKO47" s="3712">
        <f>'!Egen_SK'!$BR$217</f>
        <v>0</v>
      </c>
      <c r="AKP47" s="3582"/>
      <c r="AKQ47" s="3547" t="e">
        <f>INDEX(klasseqty_buer[radiellebolter_lt4_e2],MATCH($AI$54,klasseqty_buer[Type_size],0))</f>
        <v>#N/A</v>
      </c>
      <c r="AKR47" s="3582"/>
      <c r="AKS47" s="2781" t="e">
        <f t="shared" si="245"/>
        <v>#N/A</v>
      </c>
      <c r="AKT47" s="3582"/>
      <c r="AKU47" s="184"/>
      <c r="AKV47" s="3582"/>
      <c r="AKW47" s="3582"/>
      <c r="AKX47" s="2782" t="str">
        <f t="shared" si="246"/>
        <v/>
      </c>
      <c r="AKY47" s="3582"/>
      <c r="AKZ47" s="3547" t="e">
        <f>INDEX(klasseqty_buer[radiellebolter_gt4_e2],MATCH($AI$54,klasseqty_buer[Type_size],0))</f>
        <v>#N/A</v>
      </c>
      <c r="ALA47" s="3582"/>
      <c r="ALB47" s="3368" t="e">
        <f t="shared" si="247"/>
        <v>#N/A</v>
      </c>
      <c r="ALC47" s="3643"/>
      <c r="ALD47" s="3589"/>
      <c r="ALE47" s="3587" t="b">
        <f>ISBLANK('!Egen_SK'!$BR$226)</f>
        <v>1</v>
      </c>
      <c r="ALF47" s="3587"/>
      <c r="ALG47" s="2983">
        <f>'!Egen_SK'!$BR$226</f>
        <v>0</v>
      </c>
      <c r="ALH47" s="3587"/>
      <c r="ALI47" s="3011" t="e">
        <f>INDEX(klasseqty_buer[tillegs-sprøytebetong_e2],MATCH($AI$54,klasseqty_buer[Type_size],0))</f>
        <v>#N/A</v>
      </c>
      <c r="ALJ47" s="3587"/>
      <c r="ALK47" s="2775" t="e">
        <f t="shared" si="225"/>
        <v>#N/A</v>
      </c>
      <c r="ALL47" s="3753"/>
      <c r="ALM47" s="2737"/>
      <c r="ALN47" s="3581"/>
      <c r="ALO47" s="3582" t="b">
        <f>ISBLANK('!Egen_SK'!$BR$233)</f>
        <v>1</v>
      </c>
      <c r="ALP47" s="3582"/>
      <c r="ALQ47" s="3715">
        <f>'!Egen_SK'!$BR$233</f>
        <v>0</v>
      </c>
      <c r="ALR47" s="3582"/>
      <c r="ALS47" s="3717" t="e">
        <f>INDEX(klasseqty_buer[forankring_e2],MATCH($AI$54,klasseqty_buer[Type_size],0))</f>
        <v>#N/A</v>
      </c>
      <c r="ALT47" s="3582"/>
      <c r="ALU47" s="3719" t="e">
        <f t="shared" si="226"/>
        <v>#N/A</v>
      </c>
      <c r="ALV47" s="3582"/>
      <c r="ALW47" s="3582"/>
      <c r="ALX47" s="3582" t="b">
        <f>ISBLANK('!Egen_SK'!$BR$237)</f>
        <v>1</v>
      </c>
      <c r="ALY47" s="3582"/>
      <c r="ALZ47" s="2782">
        <f>'!Egen_SK'!$BR$237</f>
        <v>0</v>
      </c>
      <c r="AMA47" s="3582"/>
      <c r="AMB47" s="3547" t="e">
        <f>INDEX(klasseqty_buer[forankring_lt4_e2],MATCH($AI$54,klasseqty_buer[Type_size],0))</f>
        <v>#N/A</v>
      </c>
      <c r="AMC47" s="3582"/>
      <c r="AMD47" s="2781" t="e">
        <f t="shared" si="248"/>
        <v>#N/A</v>
      </c>
      <c r="AME47" s="3582"/>
      <c r="AMF47" s="184"/>
      <c r="AMG47" s="3582"/>
      <c r="AMH47" s="3582"/>
      <c r="AMI47" s="2782" t="str">
        <f t="shared" si="249"/>
        <v/>
      </c>
      <c r="AMJ47" s="3582"/>
      <c r="AMK47" s="3547" t="e">
        <f>INDEX(klasseqty_buer[forankring_gt4_e2],MATCH($AI$54,klasseqty_buer[Type_size],0))</f>
        <v>#N/A</v>
      </c>
      <c r="AML47" s="3582"/>
      <c r="AMM47" s="3368" t="e">
        <f t="shared" si="250"/>
        <v>#N/A</v>
      </c>
      <c r="AMN47" s="5548"/>
      <c r="AMO47" s="5548"/>
      <c r="AMP47" s="5548"/>
      <c r="AMQ47" s="5548"/>
      <c r="AMR47" s="5548"/>
      <c r="AMS47" s="5548"/>
      <c r="AMT47" s="5548"/>
      <c r="AMU47" s="5548"/>
      <c r="AMV47" s="5548"/>
      <c r="AMW47" s="5548"/>
      <c r="AMX47" s="5548"/>
      <c r="AMY47" s="5548"/>
      <c r="AMZ47" s="5548"/>
      <c r="ANA47" s="5548"/>
      <c r="ANB47" s="5548"/>
      <c r="ANC47" s="5548"/>
      <c r="AND47" s="5548"/>
      <c r="ANE47" s="5548"/>
      <c r="ANF47" s="5548"/>
      <c r="ANG47" s="5548"/>
      <c r="ANH47" s="5548"/>
      <c r="ANI47" s="5548"/>
      <c r="ANJ47" s="5548"/>
      <c r="ANK47" s="5548"/>
      <c r="ANL47" s="5548"/>
      <c r="ANM47" s="5548"/>
      <c r="ANN47" s="5548"/>
      <c r="ANO47" s="5548"/>
      <c r="ANP47" s="5548"/>
      <c r="ANQ47" s="5548"/>
      <c r="ANR47" s="5548"/>
      <c r="ANS47" s="5548"/>
      <c r="ANT47" s="5548"/>
      <c r="ANU47" s="5548"/>
      <c r="ANV47" s="5548"/>
      <c r="ANW47" s="5548"/>
      <c r="ANX47" s="5548"/>
      <c r="ANY47" s="5548"/>
      <c r="ANZ47" s="5548"/>
      <c r="AOA47" s="5548"/>
      <c r="AOB47" s="5548"/>
      <c r="AOC47" s="5548"/>
      <c r="AOD47" s="5548"/>
      <c r="AOE47" s="5548"/>
      <c r="AOF47" s="5548"/>
      <c r="AOG47" s="5548"/>
      <c r="AOH47" s="5548"/>
      <c r="AOI47" s="5548"/>
      <c r="AOJ47" s="5548"/>
      <c r="AOK47" s="5548"/>
      <c r="AOL47" s="5548"/>
      <c r="AOM47" s="5548"/>
      <c r="AOO47" s="4125"/>
      <c r="AOP47" s="4124" t="b">
        <f>ISBLANK('!Egen_SK'!$BR$157)</f>
        <v>1</v>
      </c>
      <c r="AOQ47" s="4124"/>
      <c r="AOR47" s="2983">
        <f>'!Egen_SK'!$BR$157</f>
        <v>0</v>
      </c>
      <c r="AOS47" s="4124"/>
      <c r="AOT47" s="3547" t="e">
        <f>INDEX(klasseqty_forbolting[andel_av_tunnelklasse_e2],MATCH($AI$54,klasseqty_forbolting[Type_size],0))</f>
        <v>#N/A</v>
      </c>
      <c r="AOU47" s="4124"/>
      <c r="AOV47" s="4140" t="e">
        <f t="shared" si="227"/>
        <v>#N/A</v>
      </c>
      <c r="AOW47" s="5162"/>
      <c r="AOX47" s="5162"/>
      <c r="AOY47" s="5162" t="b">
        <f>ISBLANK('!Egen_SK'!$BR$157)</f>
        <v>1</v>
      </c>
      <c r="AOZ47" s="5162"/>
      <c r="APA47" s="2983" t="str">
        <f t="shared" si="251"/>
        <v/>
      </c>
      <c r="APB47" s="5162"/>
      <c r="APC47" s="3624" t="e">
        <f>INDEX(klasseqty_forbolting[andel_av_tunnelklasse_e2],MATCH($AI$54,klasseqty_forbolting[Type_size],0))</f>
        <v>#N/A</v>
      </c>
      <c r="APD47" s="5162"/>
      <c r="APE47" s="5165" t="e">
        <f t="shared" si="228"/>
        <v>#N/A</v>
      </c>
      <c r="APF47" s="4124"/>
      <c r="APG47" s="3587" t="b">
        <f>ISBLANK('!Egen_SK'!$BR$152)</f>
        <v>1</v>
      </c>
      <c r="APH47" s="3587"/>
      <c r="API47" s="2983">
        <f>'!Egen_SK'!$BR$152</f>
        <v>0</v>
      </c>
      <c r="APJ47" s="3587"/>
      <c r="APK47" s="3011" t="e">
        <f>INDEX(klasseqty_forbolting[bueområde_e2],MATCH($AI$54,klasseqty_forbolting[Type_size],0))</f>
        <v>#N/A</v>
      </c>
      <c r="APL47" s="3587"/>
      <c r="APM47" s="2775" t="e">
        <f t="shared" si="229"/>
        <v>#N/A</v>
      </c>
      <c r="APN47" s="3587"/>
      <c r="APO47" s="3587" t="b">
        <f>ISBLANK('!Egen_SK'!$BR$165)</f>
        <v>1</v>
      </c>
      <c r="APP47" s="3587"/>
      <c r="APQ47" s="2983">
        <f>'!Egen_SK'!$BR$165</f>
        <v>0</v>
      </c>
      <c r="APR47" s="3587"/>
      <c r="APS47" s="3011" t="e">
        <f>INDEX(klasseqty_forbolting[forbolting_senteravstand_e2],MATCH($AI$54,klasseqty_forbolting[Type_size],0))</f>
        <v>#N/A</v>
      </c>
      <c r="APT47" s="3587"/>
      <c r="APU47" s="2775" t="e">
        <f t="shared" si="230"/>
        <v>#N/A</v>
      </c>
      <c r="APV47" s="3587"/>
      <c r="APW47" s="3587" t="b">
        <f>ISBLANK('!Egen_SK'!$BR$169)</f>
        <v>1</v>
      </c>
      <c r="APX47" s="3587"/>
      <c r="APY47" s="3712">
        <f>'!Egen_SK'!$BR$169</f>
        <v>0</v>
      </c>
      <c r="APZ47" s="3587"/>
      <c r="AQA47" s="3547" t="e">
        <f>INDEX(klasseqty_forbolting[forbolting_lt4_e2],MATCH($AI$54,klasseqty_forbolting[Type_size],0))</f>
        <v>#N/A</v>
      </c>
      <c r="AQB47" s="3587"/>
      <c r="AQC47" s="2781" t="e">
        <f t="shared" si="252"/>
        <v>#N/A</v>
      </c>
      <c r="AQD47" s="3587"/>
      <c r="AQE47" s="184"/>
      <c r="AQF47" s="3587"/>
      <c r="AQG47" s="3587"/>
      <c r="AQH47" s="2782" t="str">
        <f t="shared" si="253"/>
        <v/>
      </c>
      <c r="AQI47" s="3587"/>
      <c r="AQJ47" s="3547" t="e">
        <f>INDEX(klasseqty_forbolting[forbolting_gt4_e2],MATCH($AI$54,klasseqty_forbolting[Type_size],0))</f>
        <v>#N/A</v>
      </c>
      <c r="AQK47" s="3587"/>
      <c r="AQL47" s="3368" t="e">
        <f t="shared" si="254"/>
        <v>#N/A</v>
      </c>
      <c r="AQN47" s="3589"/>
      <c r="AQO47" s="3587" t="b">
        <f>ISBLANK('!Egen_SK'!$BR$178)</f>
        <v>1</v>
      </c>
      <c r="AQP47" s="3587"/>
      <c r="AQQ47" s="2983">
        <f>'!Egen_SK'!$BR$178</f>
        <v>0</v>
      </c>
      <c r="AQR47" s="3587"/>
      <c r="AQS47" s="3011" t="e">
        <f>INDEX(klasseqty_forbolting[oppheng_senteravstand_e2],MATCH($AI$54,klasseqty_forbolting[Type_size],0))</f>
        <v>#N/A</v>
      </c>
      <c r="AQT47" s="3587"/>
      <c r="AQU47" s="2775" t="e">
        <f t="shared" si="231"/>
        <v>#N/A</v>
      </c>
      <c r="AQV47" s="3587"/>
      <c r="AQW47" s="3587" t="b">
        <f>ISBLANK('!Egen_SK'!$BR$182)</f>
        <v>1</v>
      </c>
      <c r="AQX47" s="3587"/>
      <c r="AQY47" s="3712">
        <f>'!Egen_SK'!$BR$182</f>
        <v>0</v>
      </c>
      <c r="AQZ47" s="3587"/>
      <c r="ARA47" s="3547" t="e">
        <f>INDEX(klasseqty_forbolting[oppheng_lt4_e2],MATCH($AI$54,klasseqty_forbolting[Type_size],0))</f>
        <v>#N/A</v>
      </c>
      <c r="ARB47" s="3587"/>
      <c r="ARC47" s="2781" t="e">
        <f t="shared" si="255"/>
        <v>#N/A</v>
      </c>
      <c r="ARD47" s="3587"/>
      <c r="ARE47" s="184"/>
      <c r="ARF47" s="3587"/>
      <c r="ARG47" s="3587"/>
      <c r="ARH47" s="2782" t="str">
        <f t="shared" si="256"/>
        <v/>
      </c>
      <c r="ARI47" s="3587"/>
      <c r="ARJ47" s="3547" t="e">
        <f>INDEX(klasseqty_forbolting[oppheng_gt4_e2],MATCH($AI$54,klasseqty_forbolting[Type_size],0))</f>
        <v>#N/A</v>
      </c>
      <c r="ARK47" s="3587"/>
      <c r="ARL47" s="3368" t="e">
        <f t="shared" si="257"/>
        <v>#N/A</v>
      </c>
      <c r="ART47" s="3354" t="b">
        <f>ISBLANK('!Egen_SK'!#REF!)</f>
        <v>0</v>
      </c>
      <c r="ARU47" s="3318"/>
      <c r="ARV47" s="3712">
        <f>'!Egen_SK'!$BR$312</f>
        <v>0</v>
      </c>
      <c r="ARW47" s="3318"/>
      <c r="ARX47" s="3624" t="e">
        <f>INDEX(klasseqty_sik1234[sikringsstøp_hypp_e2],MATCH($AI$54,klasseqty_sik1234[Type_size],0))</f>
        <v>#N/A</v>
      </c>
      <c r="ARY47" s="3318"/>
      <c r="ARZ47" s="2775">
        <f t="shared" si="232"/>
        <v>0</v>
      </c>
      <c r="ASA47" s="184"/>
      <c r="ASB47" s="3318" t="b">
        <f>ISBLANK('!Egen_SK'!$BR$316)</f>
        <v>1</v>
      </c>
      <c r="ASC47" s="3318"/>
      <c r="ASD47" s="2983">
        <f>'!Egen_SK'!$BR$316</f>
        <v>0</v>
      </c>
      <c r="ASE47" s="3318"/>
      <c r="ASF47" s="3547" t="e">
        <f>INDEX(klasseqty_sik1234[sikringsstøp_123_e2],MATCH($AI$54,klasseqty_sik1234[Type_size],0))</f>
        <v>#N/A</v>
      </c>
      <c r="ASG47" s="3318"/>
      <c r="ASH47" s="2781" t="e">
        <f t="shared" si="258"/>
        <v>#N/A</v>
      </c>
      <c r="ASI47" s="3318"/>
      <c r="ASJ47" s="184"/>
      <c r="ASK47" s="3318"/>
      <c r="ASL47" s="3318"/>
      <c r="ASM47" s="2782" t="str">
        <f t="shared" si="259"/>
        <v/>
      </c>
      <c r="ASN47" s="3318"/>
      <c r="ASO47" s="3547" t="e">
        <f>INDEX(klasseqty_sik1234[sikringsstøp_4_e2],MATCH($AI$54,klasseqty_sik1234[Type_size],0))</f>
        <v>#N/A</v>
      </c>
      <c r="ASP47" s="3318"/>
      <c r="ASQ47" s="3368" t="e">
        <f t="shared" si="260"/>
        <v>#N/A</v>
      </c>
      <c r="ASR47" s="2737"/>
      <c r="ASS47" s="2737"/>
      <c r="ATA47" s="2622"/>
      <c r="ATB47" s="2622"/>
      <c r="ATC47" s="2622"/>
      <c r="ATD47" s="2622"/>
      <c r="ATE47" s="2622"/>
      <c r="ATF47" s="2622"/>
      <c r="ATG47" s="2622"/>
      <c r="ATH47" s="2622"/>
      <c r="ATI47" s="2622"/>
      <c r="ATJ47" s="2622"/>
      <c r="ATK47" s="2622"/>
      <c r="ATL47" s="2622"/>
      <c r="ATM47" s="2622"/>
      <c r="ATN47" s="2622"/>
      <c r="ATO47" s="2622"/>
      <c r="ATP47" s="2622"/>
      <c r="ATQ47" s="2622"/>
      <c r="ATR47" s="2622"/>
      <c r="ATT47" s="2622"/>
      <c r="ATU47" s="2622"/>
      <c r="ATV47" s="2622"/>
      <c r="ATW47" s="2622"/>
      <c r="ATX47" s="2617"/>
      <c r="ATY47" s="2617"/>
      <c r="ATZ47" s="2617"/>
      <c r="AUA47" s="2617"/>
      <c r="AUB47" s="2617"/>
      <c r="AUC47" s="2617"/>
      <c r="AUD47" s="2617"/>
      <c r="AUE47" s="2617"/>
      <c r="AUF47" s="2617"/>
      <c r="AUG47" s="2617"/>
      <c r="AUH47" s="2617"/>
      <c r="AUI47" s="2617"/>
      <c r="AUJ47" s="2617"/>
      <c r="AUK47" s="2617"/>
      <c r="AUL47" s="2617"/>
      <c r="AUM47" s="2617"/>
      <c r="AUN47" s="2617"/>
      <c r="AUO47" s="2617"/>
      <c r="AUP47" s="2617"/>
      <c r="AUQ47" s="2617"/>
      <c r="AUR47" s="2617"/>
      <c r="AUS47" s="2617"/>
      <c r="AUT47" s="2617"/>
      <c r="AUU47" s="2617"/>
      <c r="AUV47" s="2970" t="s">
        <v>1265</v>
      </c>
      <c r="AUW47" s="2617"/>
      <c r="AUX47" s="2617"/>
      <c r="AUY47" s="2617"/>
      <c r="AUZ47" s="2617"/>
      <c r="AVA47" s="2617"/>
      <c r="AVB47" s="2617"/>
      <c r="AVC47" s="2617"/>
      <c r="AVD47" s="2617"/>
      <c r="AVE47" s="2617"/>
      <c r="AVF47" s="2617"/>
      <c r="AVG47" s="2617"/>
      <c r="AVH47" s="2617"/>
      <c r="AVI47" s="2617"/>
      <c r="AVJ47" s="2617"/>
      <c r="AVK47" s="2617"/>
      <c r="AVL47" s="2617"/>
      <c r="AVM47" s="2617"/>
      <c r="AVN47" s="2617"/>
      <c r="AVO47" s="2617"/>
      <c r="AVP47" s="2617"/>
      <c r="AVQ47" s="2617"/>
      <c r="AVR47" s="2617"/>
      <c r="AVS47" s="2617"/>
      <c r="AVT47" s="2617"/>
      <c r="AVU47" s="2617"/>
      <c r="AVV47" s="2617"/>
      <c r="AVW47" s="2617"/>
      <c r="AVX47" s="2617"/>
      <c r="AVY47" s="2617"/>
      <c r="AVZ47" s="2617"/>
      <c r="AWA47" s="2617"/>
      <c r="AWB47" s="2617"/>
      <c r="AWC47" s="2617"/>
      <c r="AWD47" s="2617"/>
      <c r="AWE47" s="2617"/>
      <c r="AWF47" s="2617"/>
      <c r="AWG47" s="2617"/>
      <c r="AWH47" s="2617"/>
      <c r="AWI47" s="2617"/>
      <c r="AWJ47" s="2617"/>
      <c r="AWK47" s="2617"/>
      <c r="AWL47" s="2617"/>
      <c r="AWM47" s="2617"/>
      <c r="AWN47" s="2617"/>
      <c r="AWO47" s="2617"/>
      <c r="AWP47" s="2617"/>
      <c r="AWQ47" s="2617"/>
      <c r="AWR47" s="2617"/>
      <c r="AWS47" s="2617"/>
      <c r="AWT47" s="2617"/>
      <c r="AWU47" s="2617"/>
      <c r="AWV47" s="2617"/>
      <c r="AWW47" s="2617"/>
      <c r="AWX47" s="2617"/>
      <c r="AWY47" s="2617"/>
      <c r="AWZ47" s="2617"/>
      <c r="AXA47" s="2617"/>
      <c r="AXB47" s="2617"/>
      <c r="AXC47" s="2617"/>
      <c r="AXD47" s="2617"/>
      <c r="AXE47" s="2617"/>
      <c r="AXF47" s="2617"/>
      <c r="AXG47" s="2617"/>
      <c r="AXH47" s="2617"/>
      <c r="AXI47" s="2617"/>
      <c r="AXJ47" s="2617"/>
      <c r="AXK47" s="2617"/>
      <c r="AYG47" s="3415">
        <v>8</v>
      </c>
      <c r="AYT47" s="372" t="s">
        <v>899</v>
      </c>
      <c r="AYU47" s="3421">
        <v>1</v>
      </c>
      <c r="AYV47" s="3422">
        <f t="shared" si="261"/>
        <v>150</v>
      </c>
      <c r="AYW47" s="199"/>
      <c r="AYX47" s="3423"/>
      <c r="AYY47" s="199"/>
      <c r="AYZ47" s="199"/>
      <c r="AZA47" s="199"/>
      <c r="AZB47" s="3424">
        <v>1.5</v>
      </c>
      <c r="AZC47" s="184"/>
      <c r="AZD47" s="184"/>
      <c r="AZE47" s="2622"/>
      <c r="AZF47" s="2622"/>
      <c r="AZG47" s="2622"/>
      <c r="AZH47" s="2622"/>
      <c r="AZI47" s="2622"/>
      <c r="AZJ47" s="2622"/>
      <c r="AZK47" s="2622"/>
      <c r="AZL47" s="3418">
        <v>5</v>
      </c>
      <c r="AZM47" s="2622"/>
      <c r="AZN47" s="2622"/>
      <c r="AZO47" s="2622"/>
      <c r="AZP47" s="2622"/>
      <c r="AZQ47" s="2622"/>
      <c r="AZR47" s="2622"/>
      <c r="AZS47" s="2622"/>
      <c r="AZT47" s="2622"/>
      <c r="AZU47" s="2622"/>
      <c r="AZX47" s="2622"/>
      <c r="AZY47" s="2622"/>
      <c r="AZZ47" s="2622"/>
      <c r="BAA47" s="2622"/>
      <c r="BAB47" s="2622"/>
      <c r="BAC47" s="2622"/>
      <c r="BAD47" s="2622"/>
      <c r="BAE47" s="2622"/>
      <c r="BAF47" s="2622"/>
      <c r="BAG47" s="2622"/>
      <c r="BAH47" s="2622"/>
      <c r="BAI47" s="2622"/>
      <c r="BAL47" s="2622"/>
      <c r="BAM47" s="2622"/>
      <c r="BAN47" s="2622"/>
      <c r="BAO47" s="2622"/>
      <c r="BAP47" s="2622"/>
      <c r="BAQ47" s="2622"/>
      <c r="BAT47" s="2622"/>
      <c r="BAU47" s="185" t="s">
        <v>190</v>
      </c>
      <c r="BAV47" s="199"/>
      <c r="BAW47" s="199" t="s">
        <v>893</v>
      </c>
      <c r="BAX47" s="2972" t="s">
        <v>868</v>
      </c>
      <c r="BAY47" s="2972" t="s">
        <v>872</v>
      </c>
      <c r="BAZ47" s="2973" t="s">
        <v>903</v>
      </c>
      <c r="BBA47" s="2976">
        <v>80</v>
      </c>
      <c r="BBB47" s="2692"/>
      <c r="BBC47" s="2692"/>
      <c r="BBD47" s="2692"/>
      <c r="BBE47" s="2692"/>
      <c r="BBF47" s="2692"/>
      <c r="BBG47" s="2692"/>
      <c r="BBH47" s="2692"/>
      <c r="BBI47" s="2692"/>
      <c r="BBK47" s="2622"/>
      <c r="BBQ47" s="3398"/>
      <c r="BCJ47" s="2617"/>
      <c r="BCK47" s="2617"/>
      <c r="BCL47" s="2617"/>
      <c r="BCM47" s="2617"/>
      <c r="BCN47" s="2617"/>
      <c r="BCO47" s="2617"/>
      <c r="BCP47" s="2617"/>
      <c r="BCQ47" s="2617"/>
      <c r="BCR47" s="2617"/>
      <c r="BCS47" s="2617"/>
      <c r="BCT47" s="2617"/>
      <c r="BCU47" s="2617"/>
      <c r="BCV47" s="2617"/>
      <c r="BCW47" s="2617"/>
      <c r="BCX47" s="2617"/>
      <c r="BCY47" s="2617"/>
      <c r="BCZ47" s="2617"/>
      <c r="BDA47" s="2617"/>
      <c r="BDB47" s="2617"/>
      <c r="BDC47" s="2617"/>
      <c r="BDD47" s="2617"/>
      <c r="BDE47" s="2617"/>
      <c r="BDF47" s="2617"/>
      <c r="BDG47" s="2617"/>
      <c r="BDH47" s="2617"/>
      <c r="BDI47" s="2617"/>
      <c r="BDL47" s="2617"/>
      <c r="BDM47" s="2617"/>
      <c r="BDN47" s="2617"/>
      <c r="BDO47" s="2617"/>
      <c r="BDP47" s="2617"/>
      <c r="BDQ47" s="2617"/>
      <c r="BDR47" s="2617"/>
      <c r="BDS47" s="2617"/>
      <c r="BDT47" s="2617"/>
      <c r="BDU47" s="2617"/>
      <c r="BDV47" s="2617"/>
      <c r="BDW47" s="2617"/>
      <c r="BDZ47" s="2617"/>
      <c r="BEA47" s="2617"/>
      <c r="BEB47" s="2617"/>
      <c r="BEC47" s="2617"/>
      <c r="BED47" s="2617"/>
      <c r="BEE47" s="2617"/>
      <c r="BEH47" s="2617"/>
    </row>
    <row r="48" spans="1:1490" ht="20.100000000000001" customHeight="1" x14ac:dyDescent="0.2">
      <c r="AH48" s="3443"/>
      <c r="AI48" s="199"/>
      <c r="AU48" s="462">
        <v>4</v>
      </c>
      <c r="AV48" s="372">
        <f>IF('!INN_SK'!$AX$55="",0,1)</f>
        <v>1</v>
      </c>
      <c r="AW48" s="372">
        <f>IF('!INN_SK'!$AX$57="",0,1)</f>
        <v>1</v>
      </c>
      <c r="AX48" s="372">
        <f>IF('!INN_SK'!$AX$64="",0,1)</f>
        <v>1</v>
      </c>
      <c r="AY48" s="372">
        <f>IF('!INN_SK'!$AX$71="",0,1)</f>
        <v>1</v>
      </c>
      <c r="AZ48" s="372">
        <f>IF('!INN_SK'!$AX$78="",0,1)</f>
        <v>1</v>
      </c>
      <c r="BA48" s="372">
        <f>IF('!INN_SK'!$AX$80="",0,1)</f>
        <v>1</v>
      </c>
      <c r="BB48" s="372">
        <f>IF('!INN_SK'!$AX$87="",0,1)</f>
        <v>1</v>
      </c>
      <c r="BC48" s="2640">
        <f>IF('!INN_SK'!$AX$94="",0,1)</f>
        <v>1</v>
      </c>
      <c r="BD48" s="247">
        <f>COUNTIF(checks_klasse[[#This Row],[A]:[G]],0)</f>
        <v>0</v>
      </c>
      <c r="BE48" s="183"/>
      <c r="CG48" s="5812" t="str">
        <f>_Calcs!$QS$135</f>
        <v>Stuff 2-1</v>
      </c>
      <c r="CH48" s="5559">
        <f>IF($AI$31=1,INDEX(outputs_position[21],MATCH(_Calcs!$BC$35,outputs_position[lopstuff],0)),0)</f>
        <v>0</v>
      </c>
      <c r="CI48" s="5852"/>
      <c r="CJ48" s="372">
        <f t="shared" si="262"/>
        <v>0</v>
      </c>
      <c r="CK48" s="194">
        <v>51</v>
      </c>
      <c r="CL48" s="3453"/>
      <c r="CM48" s="3453"/>
      <c r="CN48" s="3453"/>
      <c r="CO48" s="3453"/>
      <c r="CP48" s="3453"/>
      <c r="CQ48" s="3453"/>
      <c r="CR48" s="3453"/>
      <c r="CS48" s="3453"/>
      <c r="CT48" s="3453"/>
      <c r="CU48" s="3453"/>
      <c r="CV48" s="3453"/>
      <c r="CW48" s="3453"/>
      <c r="CX48" s="3453">
        <f>CX$32*$AM$43</f>
        <v>0</v>
      </c>
      <c r="CY48" s="3453"/>
      <c r="CZ48" s="3453">
        <f>CZ$32*$AM$43</f>
        <v>0</v>
      </c>
      <c r="DA48" s="3453"/>
      <c r="DB48" s="3453">
        <f>DB$32*$AM$43</f>
        <v>0</v>
      </c>
      <c r="DC48" s="3453"/>
      <c r="DD48" s="3453">
        <f>DD$32*$AM$43</f>
        <v>0</v>
      </c>
      <c r="DE48" s="3453"/>
      <c r="DF48" s="3453">
        <f>DF$32*$AM$43</f>
        <v>0</v>
      </c>
      <c r="DG48" s="3453"/>
      <c r="DH48" s="3453">
        <f>DH$32*$AM$43</f>
        <v>0</v>
      </c>
      <c r="DI48" s="3453"/>
      <c r="DJ48" s="3453">
        <f>DJ$32*$AM$43</f>
        <v>0</v>
      </c>
      <c r="DK48" s="3453"/>
      <c r="DL48" s="3453">
        <f>DL$32*$AM$43</f>
        <v>0</v>
      </c>
      <c r="DM48" s="5881">
        <f>IF($CH48&gt;0,DM$32*_Calcs!$AJ$38,0)</f>
        <v>0</v>
      </c>
      <c r="DN48" s="3453"/>
      <c r="DO48" s="3453"/>
      <c r="DP48" s="3453">
        <f>DP$32*$AM$43</f>
        <v>0</v>
      </c>
      <c r="DQ48" s="3453"/>
      <c r="DR48" s="3453">
        <f>DR$32*$AM$43</f>
        <v>0</v>
      </c>
      <c r="DS48" s="3453"/>
      <c r="DT48" s="3453">
        <f>DT$32*$AM$43</f>
        <v>0</v>
      </c>
      <c r="DU48" s="3453"/>
      <c r="DV48" s="3453">
        <f>DV$32*$AM$43</f>
        <v>0</v>
      </c>
      <c r="DW48" s="3453"/>
      <c r="DX48" s="3453">
        <f>DX$32*$AM$43</f>
        <v>0</v>
      </c>
      <c r="DY48" s="3453"/>
      <c r="DZ48" s="3453">
        <f>DZ$32*$AM$43</f>
        <v>0</v>
      </c>
      <c r="EA48" s="3453"/>
      <c r="EB48" s="3453">
        <f>EB$32*$AM$43</f>
        <v>0</v>
      </c>
      <c r="EC48" s="3453"/>
      <c r="ED48" s="3453">
        <f>ED$32*$AM$43</f>
        <v>0</v>
      </c>
      <c r="EE48" s="5881">
        <f>IF($CH48&gt;0,EE$32*_Calcs!$AJ$38,0)</f>
        <v>0</v>
      </c>
      <c r="EF48" s="5712"/>
      <c r="EG48" s="5712"/>
      <c r="EH48" s="5712"/>
      <c r="EI48" s="5712"/>
      <c r="EJ48" s="5712"/>
      <c r="EK48" s="5712"/>
      <c r="EL48" s="5712"/>
      <c r="EM48" s="5712"/>
      <c r="EN48" s="5712"/>
      <c r="EO48" s="5712"/>
      <c r="EP48" s="5712"/>
      <c r="EQ48" s="5712"/>
      <c r="ER48" s="5712"/>
      <c r="ES48" s="5712"/>
      <c r="ET48" s="5712"/>
      <c r="EU48" s="5712"/>
      <c r="EV48" s="5712"/>
      <c r="EW48" s="5881">
        <f>IF($CH48&gt;0,EW$32*_Calcs!$AJ$38,0)</f>
        <v>0</v>
      </c>
      <c r="EX48" s="5712"/>
      <c r="EY48" s="5712"/>
      <c r="EZ48" s="5712"/>
      <c r="FA48" s="5712"/>
      <c r="FB48" s="5712"/>
      <c r="FC48" s="5712"/>
      <c r="FD48" s="5712"/>
      <c r="FE48" s="5712"/>
      <c r="FF48" s="5712"/>
      <c r="FG48" s="5712"/>
      <c r="FH48" s="5712"/>
      <c r="FI48" s="5712"/>
      <c r="FJ48" s="5712"/>
      <c r="FK48" s="5712"/>
      <c r="FL48" s="5712"/>
      <c r="FM48" s="5712"/>
      <c r="FN48" s="5712"/>
      <c r="FO48" s="5712"/>
      <c r="FP48" s="5712"/>
      <c r="FQ48" s="5712"/>
      <c r="FR48" s="5712"/>
      <c r="FS48" s="5712"/>
      <c r="FT48" s="5712"/>
      <c r="FU48" s="5712"/>
      <c r="FV48" s="5712"/>
      <c r="FW48" s="5712"/>
      <c r="FX48" s="5712"/>
      <c r="FY48" s="5712"/>
      <c r="FZ48" s="5712"/>
      <c r="GA48" s="5712"/>
      <c r="GB48" s="3453"/>
      <c r="GC48" s="3453"/>
      <c r="GD48" s="3453"/>
      <c r="GE48" s="3453"/>
      <c r="GF48" s="3453"/>
      <c r="GG48" s="5881">
        <f>IF($CH48&gt;0,GG$32*_Calcs!$AJ$38,0)</f>
        <v>0</v>
      </c>
      <c r="GH48" s="3453"/>
      <c r="GI48" s="3453"/>
      <c r="GJ48" s="3453"/>
      <c r="GK48" s="3453"/>
      <c r="GL48" s="3453"/>
      <c r="GM48" s="3453"/>
      <c r="GN48" s="3453"/>
      <c r="GO48" s="3453"/>
      <c r="GP48" s="3453"/>
      <c r="GQ48" s="3453"/>
      <c r="GR48" s="3453"/>
      <c r="GS48" s="3453"/>
      <c r="GT48" s="3453"/>
      <c r="GU48" s="3453"/>
      <c r="GV48" s="3453"/>
      <c r="GW48" s="3453"/>
      <c r="GX48" s="3453"/>
      <c r="GY48" s="3453"/>
      <c r="GZ48" s="5881">
        <f>IF($CH48&gt;0,GZ$32*_Calcs!$AJ$38,0)</f>
        <v>0</v>
      </c>
      <c r="HA48" s="5881">
        <f>IF($CH48&gt;0,HA$32*_Calcs!$AJ$38,0)</f>
        <v>0</v>
      </c>
      <c r="HB48" s="3453"/>
      <c r="HC48" s="3453"/>
      <c r="HD48" s="3453"/>
      <c r="HE48" s="3453"/>
      <c r="HF48" s="3453"/>
      <c r="HG48" s="3453"/>
      <c r="HH48" s="3453"/>
      <c r="HI48" s="3453"/>
      <c r="HJ48" s="3453"/>
      <c r="HK48" s="3453"/>
      <c r="HL48" s="3453"/>
      <c r="HM48" s="3453"/>
      <c r="HN48" s="3453"/>
      <c r="HO48" s="3453"/>
      <c r="HP48" s="3453"/>
      <c r="HQ48" s="3453"/>
      <c r="HR48" s="3453"/>
      <c r="HS48" s="3453"/>
      <c r="HT48" s="3453"/>
      <c r="HU48" s="5861"/>
      <c r="HV48" s="5712"/>
      <c r="HW48" s="3453"/>
      <c r="HX48" s="3453"/>
      <c r="HY48" s="3453"/>
      <c r="HZ48" s="5861"/>
      <c r="IA48" s="5712"/>
      <c r="IB48" s="3453"/>
      <c r="IC48" s="3453"/>
      <c r="ID48" s="3453"/>
      <c r="IE48" s="5861"/>
      <c r="IF48" s="5712"/>
      <c r="IG48" s="3453"/>
      <c r="IH48" s="3453"/>
      <c r="II48" s="3453"/>
      <c r="IJ48" s="5861"/>
      <c r="IK48" s="5712"/>
      <c r="IL48" s="3453"/>
      <c r="IM48" s="3453"/>
      <c r="IN48" s="3453"/>
      <c r="IO48" s="5861"/>
      <c r="IP48" s="5712"/>
      <c r="IQ48" s="3453"/>
      <c r="IR48" s="3453"/>
      <c r="IS48" s="3453"/>
      <c r="IT48" s="5861"/>
      <c r="IU48" s="5712"/>
      <c r="IV48" s="3453"/>
      <c r="IW48" s="3453"/>
      <c r="IX48" s="3453"/>
      <c r="IY48" s="5861"/>
      <c r="IZ48" s="5712"/>
      <c r="JA48" s="3453"/>
      <c r="JB48" s="3453"/>
      <c r="JC48" s="3453"/>
      <c r="JD48" s="5861"/>
      <c r="JE48" s="5712"/>
      <c r="JF48" s="3453"/>
      <c r="JG48" s="3453"/>
      <c r="JH48" s="3453"/>
      <c r="JI48" s="3453"/>
      <c r="JJ48" s="3453"/>
      <c r="JK48" s="3453"/>
      <c r="JL48" s="3453"/>
      <c r="JM48" s="3453"/>
      <c r="JN48" s="3453"/>
      <c r="JO48" s="3453"/>
      <c r="JP48" s="3453"/>
      <c r="JQ48" s="3453"/>
      <c r="JR48" s="3453"/>
      <c r="JS48" s="3453"/>
      <c r="JT48" s="3453"/>
      <c r="JU48" s="3453"/>
      <c r="JV48" s="5881">
        <f>IF($CH48&gt;0,JV$32*_Calcs!$AJ$38,0)</f>
        <v>0</v>
      </c>
      <c r="JW48" s="5881">
        <f>IF($CH48&gt;0,JW$32*_Calcs!$AJ$38,0)</f>
        <v>0</v>
      </c>
      <c r="JX48" s="3453"/>
      <c r="JY48" s="3453"/>
      <c r="JZ48" s="3453"/>
      <c r="KA48" s="3453"/>
      <c r="KB48" s="3453"/>
      <c r="KC48" s="3453"/>
      <c r="KD48" s="3453"/>
      <c r="KE48" s="3453"/>
      <c r="KF48" s="3453"/>
      <c r="KG48" s="3453"/>
      <c r="KH48" s="3453"/>
      <c r="KI48" s="3453"/>
      <c r="KJ48" s="3453"/>
      <c r="KK48" s="3453"/>
      <c r="KL48" s="3453"/>
      <c r="KM48" s="3453"/>
      <c r="KN48" s="3453"/>
      <c r="KO48" s="3453"/>
      <c r="KP48" s="3453"/>
      <c r="KQ48" s="3453"/>
      <c r="KR48" s="3453"/>
      <c r="KS48" s="3453"/>
      <c r="KT48" s="3453"/>
      <c r="KU48" s="3453"/>
      <c r="KV48" s="3453"/>
      <c r="KW48" s="3453"/>
      <c r="KX48" s="3453"/>
      <c r="KY48" s="3453"/>
      <c r="KZ48" s="3453"/>
      <c r="LA48" s="3453"/>
      <c r="LB48" s="3453"/>
      <c r="LC48" s="3453"/>
      <c r="LD48" s="5881">
        <f>IF($CH48&gt;0,LD$32*_Calcs!$AJ$38,0)</f>
        <v>0</v>
      </c>
      <c r="LE48" s="5881">
        <f>IF($CH48&gt;0,LE$32*_Calcs!$AJ$38,0)</f>
        <v>0</v>
      </c>
      <c r="LF48" s="5712"/>
      <c r="LG48" s="3453"/>
      <c r="LH48" s="3453"/>
      <c r="LI48" s="3453"/>
      <c r="LJ48" s="3453"/>
      <c r="LK48" s="3453"/>
      <c r="LL48" s="3453"/>
      <c r="LM48" s="3453"/>
      <c r="LN48" s="3453"/>
      <c r="LO48" s="3453"/>
      <c r="LP48" s="3453"/>
      <c r="LQ48" s="3453"/>
      <c r="LR48" s="3453"/>
      <c r="LS48" s="3453"/>
      <c r="LT48" s="3453"/>
      <c r="LU48" s="3453"/>
      <c r="LV48" s="3453"/>
      <c r="LW48" s="5881">
        <f>IF($CH48&gt;0,LW$32*_Calcs!$AJ$38,0)</f>
        <v>0</v>
      </c>
      <c r="LX48" s="3453"/>
      <c r="LY48" s="5703"/>
      <c r="LZ48" s="3453"/>
      <c r="MA48" s="5703"/>
      <c r="MB48" s="3453"/>
      <c r="MC48" s="5703"/>
      <c r="MD48" s="3453"/>
      <c r="ME48" s="5703"/>
      <c r="MF48" s="3453"/>
      <c r="MG48" s="5703"/>
      <c r="MH48" s="3453"/>
      <c r="MI48" s="5703"/>
      <c r="MJ48" s="3453"/>
      <c r="MK48" s="5703"/>
      <c r="ML48" s="3453"/>
      <c r="MM48" s="5703"/>
      <c r="MN48" s="5881">
        <f>IF($CH48&gt;0,MN$32*_Calcs!$AJ$38,0)</f>
        <v>0</v>
      </c>
      <c r="MO48" s="3453"/>
      <c r="MP48" s="3453"/>
      <c r="MQ48" s="3453"/>
      <c r="MR48" s="3453"/>
      <c r="MS48" s="3453"/>
      <c r="MT48" s="3453"/>
      <c r="MU48" s="3453"/>
      <c r="MV48" s="3453"/>
      <c r="MW48" s="5881">
        <f>IF($CH48&gt;0,MW$32*_Calcs!$AJ$38,0)</f>
        <v>0</v>
      </c>
      <c r="MX48" s="3453"/>
      <c r="MY48" s="3453"/>
      <c r="MZ48" s="3453"/>
      <c r="NA48" s="3453"/>
      <c r="NB48" s="3453"/>
      <c r="NC48" s="3453"/>
      <c r="ND48" s="3453"/>
      <c r="NE48" s="3453"/>
      <c r="NF48" s="3453"/>
      <c r="NG48" s="3453"/>
      <c r="NH48" s="3453"/>
      <c r="NI48" s="3453"/>
      <c r="NJ48" s="3453"/>
      <c r="NK48" s="3453"/>
      <c r="NL48" s="3453"/>
      <c r="NM48" s="3453"/>
      <c r="NN48" s="5881">
        <f>IF($CH48&gt;0,NN$32*_Calcs!$AJ$38,0)</f>
        <v>0</v>
      </c>
      <c r="NO48" s="3453"/>
      <c r="NP48" s="3453"/>
      <c r="NQ48" s="3453"/>
      <c r="NR48" s="3453"/>
      <c r="NS48" s="3453"/>
      <c r="NT48" s="3453"/>
      <c r="NU48" s="3453"/>
      <c r="NV48" s="3453"/>
      <c r="NW48" s="3453"/>
      <c r="NX48" s="3453"/>
      <c r="NY48" s="3453"/>
      <c r="NZ48" s="3453"/>
      <c r="OA48" s="3453"/>
      <c r="OB48" s="3453"/>
      <c r="OC48" s="3453"/>
      <c r="OD48" s="3453"/>
      <c r="OE48" s="3453"/>
      <c r="OF48" s="3453"/>
      <c r="OG48" s="3453"/>
      <c r="OH48" s="3453"/>
      <c r="OI48" s="5712"/>
      <c r="OJ48" s="3453"/>
      <c r="OK48" s="5720"/>
      <c r="OL48" s="3453"/>
      <c r="OM48" s="5720"/>
      <c r="ON48" s="3453"/>
      <c r="OO48" s="5720"/>
      <c r="OP48" s="3453"/>
      <c r="OQ48" s="5720"/>
      <c r="OR48" s="3453"/>
      <c r="OS48" s="5720"/>
      <c r="OT48" s="3453"/>
      <c r="OU48" s="5720"/>
      <c r="OV48" s="3453"/>
      <c r="OW48" s="5720"/>
      <c r="OX48" s="3453"/>
      <c r="OY48" s="5720"/>
      <c r="OZ48" s="5881">
        <f>IF($CH48&gt;0,OZ$32*_Calcs!$AJ$38,0)</f>
        <v>0</v>
      </c>
      <c r="PA48" s="3453"/>
      <c r="PB48" s="5618"/>
      <c r="PC48" s="3453"/>
      <c r="PD48" s="5618"/>
      <c r="PE48" s="3453"/>
      <c r="PF48" s="5618"/>
      <c r="PG48" s="3453"/>
      <c r="PH48" s="5618"/>
      <c r="PI48" s="3453"/>
      <c r="PJ48" s="5618"/>
      <c r="PK48" s="3453"/>
      <c r="PL48" s="5618"/>
      <c r="PM48" s="3453"/>
      <c r="PN48" s="5618"/>
      <c r="PO48" s="3453"/>
      <c r="PP48" s="5618"/>
      <c r="PQ48" s="5881">
        <f>IF($CH48&gt;0,PQ$32*_Calcs!$AJ$38,0)</f>
        <v>0</v>
      </c>
      <c r="PR48" s="3453"/>
      <c r="PS48" s="5710"/>
      <c r="PT48" s="3453"/>
      <c r="PU48" s="5710"/>
      <c r="PV48" s="3453"/>
      <c r="PW48" s="5710"/>
      <c r="PX48" s="3453"/>
      <c r="PY48" s="5710"/>
      <c r="PZ48" s="3453"/>
      <c r="QA48" s="5710"/>
      <c r="QB48" s="3453"/>
      <c r="QC48" s="5710"/>
      <c r="QD48" s="3453"/>
      <c r="QE48" s="5710"/>
      <c r="QF48" s="3453"/>
      <c r="QG48" s="5710"/>
      <c r="QH48" s="5881">
        <f>IF($CH48&gt;0,QH$32*_Calcs!$AJ$38,0)</f>
        <v>0</v>
      </c>
      <c r="QI48" s="3453"/>
      <c r="QJ48" s="3453"/>
      <c r="QK48" s="3453"/>
      <c r="QL48" s="3453"/>
      <c r="QM48" s="3453"/>
      <c r="QN48" s="3453"/>
      <c r="QO48" s="3453"/>
      <c r="QP48" s="3453"/>
      <c r="QQ48" s="3453"/>
      <c r="QR48" s="5712"/>
      <c r="QS48" s="5713"/>
      <c r="QT48" s="3453"/>
      <c r="QU48" s="3453"/>
      <c r="QV48" s="5713"/>
      <c r="QW48" s="3453"/>
      <c r="QX48" s="3453"/>
      <c r="QY48" s="5713"/>
      <c r="QZ48" s="3453"/>
      <c r="RA48" s="3453"/>
      <c r="RB48" s="5713"/>
      <c r="RC48" s="3453"/>
      <c r="RD48" s="3453"/>
      <c r="RE48" s="5713"/>
      <c r="RF48" s="3453"/>
      <c r="RG48" s="3453"/>
      <c r="RH48" s="5713"/>
      <c r="RI48" s="3453"/>
      <c r="RJ48" s="3453"/>
      <c r="RK48" s="5713"/>
      <c r="RL48" s="3453"/>
      <c r="RM48" s="3453"/>
      <c r="RN48" s="5713"/>
      <c r="RO48" s="3453"/>
      <c r="RP48" s="3453"/>
      <c r="RQ48" s="5881">
        <f>IF($CH48&gt;0,RQ$32*_Calcs!$AJ$38,0)</f>
        <v>0</v>
      </c>
      <c r="RR48" s="3453"/>
      <c r="RS48" s="3453"/>
      <c r="RT48" s="3453"/>
      <c r="RU48" s="3453"/>
      <c r="RV48" s="3453"/>
      <c r="RW48" s="3453"/>
      <c r="RX48" s="3453"/>
      <c r="RY48" s="3453"/>
      <c r="RZ48" s="3453"/>
      <c r="SA48" s="3453"/>
      <c r="SB48" s="3453"/>
      <c r="SC48" s="3453"/>
      <c r="SD48" s="3453"/>
      <c r="SE48" s="3453"/>
      <c r="SF48" s="3453"/>
      <c r="SG48" s="3453"/>
      <c r="SH48" s="3453"/>
      <c r="SI48" s="3453"/>
      <c r="SJ48" s="3453"/>
      <c r="SK48" s="3453"/>
      <c r="SL48" s="3453"/>
      <c r="SM48" s="3453"/>
      <c r="SN48" s="3453"/>
      <c r="SO48" s="3453"/>
      <c r="SP48" s="3453"/>
      <c r="SQ48" s="5881">
        <f>IF($CH48&gt;0,SQ$32*_Calcs!$AJ$38,0)</f>
        <v>0</v>
      </c>
      <c r="SR48" s="5881">
        <f>IF($CH48&gt;0,SR$32*_Calcs!$AJ$38,0)</f>
        <v>0</v>
      </c>
      <c r="SS48" s="3453"/>
      <c r="ST48" s="3453"/>
      <c r="SU48" s="3453"/>
      <c r="SV48" s="3453"/>
      <c r="SW48" s="3453"/>
      <c r="SX48" s="3453"/>
      <c r="SY48" s="3453"/>
      <c r="SZ48" s="3453"/>
      <c r="TA48" s="3453"/>
      <c r="TB48" s="3453"/>
      <c r="TC48" s="3453"/>
      <c r="TD48" s="3453"/>
      <c r="TE48" s="3453"/>
      <c r="TF48" s="3453"/>
      <c r="TG48" s="3453"/>
      <c r="TH48" s="3453"/>
      <c r="TI48" s="3453"/>
      <c r="TJ48" s="3453"/>
      <c r="TK48" s="5721"/>
      <c r="TL48" s="3453"/>
      <c r="TM48" s="3453"/>
      <c r="TN48" s="3453"/>
      <c r="TO48" s="5722"/>
      <c r="TP48" s="5702"/>
      <c r="TQ48" s="5723"/>
      <c r="TR48" s="3453"/>
      <c r="TS48" s="3453"/>
      <c r="TT48" s="3453"/>
      <c r="TU48" s="5722"/>
      <c r="TV48" s="5702"/>
      <c r="TW48" s="5723"/>
      <c r="TX48" s="3453"/>
      <c r="TY48" s="3453"/>
      <c r="TZ48" s="3453"/>
      <c r="UA48" s="5722"/>
      <c r="UB48" s="5702"/>
      <c r="UC48" s="5723"/>
      <c r="UD48" s="3453"/>
      <c r="UE48" s="3453"/>
      <c r="UF48" s="3453"/>
      <c r="UG48" s="5722"/>
      <c r="UH48" s="5702"/>
      <c r="UI48" s="5723"/>
      <c r="UJ48" s="3453"/>
      <c r="UK48" s="3453"/>
      <c r="UL48" s="3453"/>
      <c r="UM48" s="5722"/>
      <c r="UN48" s="5702"/>
      <c r="UO48" s="5723"/>
      <c r="UP48" s="3453"/>
      <c r="UQ48" s="3453"/>
      <c r="UR48" s="3453"/>
      <c r="US48" s="5722"/>
      <c r="UT48" s="5702"/>
      <c r="UU48" s="5723"/>
      <c r="UV48" s="3453"/>
      <c r="UW48" s="3453"/>
      <c r="UX48" s="3453"/>
      <c r="UY48" s="5722"/>
      <c r="UZ48" s="5702"/>
      <c r="VA48" s="5723"/>
      <c r="VB48" s="3453"/>
      <c r="VC48" s="3453"/>
      <c r="VD48" s="3453"/>
      <c r="VE48" s="5722"/>
      <c r="VF48" s="5702"/>
      <c r="VG48" s="5723"/>
      <c r="VH48" s="5881">
        <f>IF($CH48&gt;0,VH$32*_Calcs!$AJ$38,0)</f>
        <v>0</v>
      </c>
      <c r="VI48" s="5881">
        <f>IF($CH48&gt;0,VI$32*_Calcs!$AJ$38,0)</f>
        <v>0</v>
      </c>
      <c r="VJ48" s="5881">
        <f>IF($CH48&gt;0,VJ$32*_Calcs!$AJ$38,0)</f>
        <v>0</v>
      </c>
      <c r="VK48" s="3453"/>
      <c r="VL48" s="3453"/>
      <c r="VM48" s="3453"/>
      <c r="VN48" s="3453"/>
      <c r="VO48" s="3453"/>
      <c r="VP48" s="3453"/>
      <c r="VQ48" s="3453"/>
      <c r="VR48" s="3453"/>
      <c r="VS48" s="3453"/>
      <c r="VT48" s="3453"/>
      <c r="VU48" s="3453"/>
      <c r="VV48" s="3453"/>
      <c r="VW48" s="3453"/>
      <c r="VX48" s="3453"/>
      <c r="VY48" s="3453"/>
      <c r="VZ48" s="3453"/>
      <c r="WA48" s="5881">
        <f>IF($CH48&gt;0,WA$32*_Calcs!$AJ$38,0)</f>
        <v>0</v>
      </c>
      <c r="WB48" s="3453"/>
      <c r="WC48" s="3453"/>
      <c r="WD48" s="3453"/>
      <c r="WE48" s="3453"/>
      <c r="WF48" s="3453"/>
      <c r="WG48" s="3453"/>
      <c r="WH48" s="3453"/>
      <c r="WI48" s="3453"/>
      <c r="WJ48" s="3453"/>
      <c r="WK48" s="3453"/>
      <c r="WL48" s="3453"/>
      <c r="WM48" s="3453"/>
      <c r="WN48" s="3453"/>
      <c r="WO48" s="3453"/>
      <c r="WP48" s="3453"/>
      <c r="WQ48" s="3453"/>
      <c r="WR48" s="3453"/>
      <c r="WS48" s="3453"/>
      <c r="WT48" s="3453"/>
      <c r="WU48" s="3453"/>
      <c r="WV48" s="3453"/>
      <c r="WW48" s="3453"/>
      <c r="WX48" s="3453"/>
      <c r="WY48" s="3453"/>
      <c r="WZ48" s="3453"/>
      <c r="XA48" s="3453"/>
      <c r="XB48" s="3453"/>
      <c r="XC48" s="3453"/>
      <c r="XD48" s="3453"/>
      <c r="XE48" s="3453"/>
      <c r="XF48" s="3453"/>
      <c r="XG48" s="3453"/>
      <c r="XH48" s="5881">
        <f>IF($CH48&gt;0,XH$32*_Calcs!$AJ$38,0)</f>
        <v>0</v>
      </c>
      <c r="XI48" s="5881">
        <f>IF($CH48&gt;0,XI$32*_Calcs!$AJ$38,0)</f>
        <v>0</v>
      </c>
      <c r="XJ48" s="3453"/>
      <c r="XK48" s="3453"/>
      <c r="XL48" s="3453"/>
      <c r="XM48" s="3453"/>
      <c r="XN48" s="3453"/>
      <c r="XO48" s="3453"/>
      <c r="XP48" s="3453"/>
      <c r="XQ48" s="3453"/>
      <c r="XR48" s="3453"/>
      <c r="XS48" s="3453"/>
      <c r="XT48" s="3453"/>
      <c r="XU48" s="3453"/>
      <c r="XV48" s="3453"/>
      <c r="XW48" s="3453"/>
      <c r="XX48" s="3453"/>
      <c r="XY48" s="3453"/>
      <c r="XZ48" s="3453"/>
      <c r="YA48" s="3453"/>
      <c r="YB48" s="3453"/>
      <c r="YC48" s="3453"/>
      <c r="YD48" s="3453"/>
      <c r="YE48" s="3453"/>
      <c r="YF48" s="3453"/>
      <c r="YG48" s="3453"/>
      <c r="YH48" s="3453"/>
      <c r="YI48" s="3453"/>
      <c r="YJ48" s="3453"/>
      <c r="YK48" s="3453"/>
      <c r="YL48" s="3453"/>
      <c r="YM48" s="3453"/>
      <c r="YN48" s="3453"/>
      <c r="YO48" s="3453"/>
      <c r="YP48" s="5881">
        <f>IF($CH48&gt;0,YP$32*_Calcs!$AJ$38,0)</f>
        <v>0</v>
      </c>
      <c r="YQ48" s="5881">
        <f>IF($CH48&gt;0,YQ$32*_Calcs!$AJ$38,0)</f>
        <v>0</v>
      </c>
      <c r="YR48" s="3453"/>
      <c r="YS48" s="3453"/>
      <c r="YT48" s="3453"/>
      <c r="YU48" s="3453"/>
      <c r="YV48" s="3453"/>
      <c r="YW48" s="3453"/>
      <c r="YX48" s="3453"/>
      <c r="YY48" s="3453"/>
      <c r="YZ48" s="3453"/>
      <c r="ZA48" s="3453"/>
      <c r="ZB48" s="3453"/>
      <c r="ZC48" s="3453"/>
      <c r="ZD48" s="3453"/>
      <c r="ZE48" s="3453"/>
      <c r="ZF48" s="3453"/>
      <c r="ZG48" s="3453"/>
      <c r="ZH48" s="3453"/>
      <c r="ZI48" s="3453"/>
      <c r="ZJ48" s="3453"/>
      <c r="ZK48" s="3453"/>
      <c r="ZL48" s="3453"/>
      <c r="ZM48" s="3453"/>
      <c r="ZN48" s="4199"/>
      <c r="ZO48" s="4199"/>
      <c r="ZP48" s="4199"/>
      <c r="ZQ48" s="4199"/>
      <c r="ZR48" s="4199"/>
      <c r="ZS48" s="4199"/>
      <c r="ZT48" s="4199"/>
      <c r="ZU48" s="4199"/>
      <c r="ZV48" s="4199"/>
      <c r="ZW48" s="4199"/>
      <c r="ZX48" s="4199"/>
      <c r="ZY48" s="4199"/>
      <c r="ZZ48" s="4199"/>
      <c r="AAA48" s="4199"/>
      <c r="AAB48" s="2622"/>
      <c r="AAC48" s="2622"/>
      <c r="AAD48" s="2622"/>
      <c r="AAE48" s="2622"/>
      <c r="AAF48" s="2622"/>
      <c r="AAG48" s="2622"/>
      <c r="AAH48" s="2622"/>
      <c r="AAI48" s="2622"/>
      <c r="AAJ48" s="2622"/>
      <c r="AAK48" s="2622"/>
      <c r="AAL48" s="2622"/>
      <c r="AAM48" s="2622"/>
      <c r="AAN48" s="2622"/>
      <c r="AAO48" s="2622"/>
      <c r="AAP48" s="2622"/>
      <c r="AAQ48" s="2622"/>
      <c r="AAR48" s="2622"/>
      <c r="AAS48" s="2622"/>
      <c r="AAT48" s="2622"/>
      <c r="AAU48" s="2622"/>
      <c r="AAV48" s="2622"/>
      <c r="AAW48" s="372" t="s">
        <v>877</v>
      </c>
      <c r="AAX48" s="372"/>
      <c r="AAY48" s="372" t="s">
        <v>889</v>
      </c>
      <c r="AAZ48" s="184"/>
      <c r="ABA48" s="3811"/>
      <c r="ABB48" s="5797" t="b">
        <f>ISBLANK('!Egen_SK'!$BZ$76)</f>
        <v>1</v>
      </c>
      <c r="ABC48" s="5797"/>
      <c r="ABD48" s="2983">
        <f>'!Egen_SK'!$BZ$76</f>
        <v>0</v>
      </c>
      <c r="ABE48" s="5797"/>
      <c r="ABF48" s="3624" t="e">
        <f>INDEX(klasse_salve[salve_lengde_f],MATCH($AI$54,klasse_salve[Type_size],0))</f>
        <v>#N/A</v>
      </c>
      <c r="ABG48" s="5797"/>
      <c r="ABH48" s="3010" t="e">
        <f t="shared" si="233"/>
        <v>#N/A</v>
      </c>
      <c r="ABI48" s="5799"/>
      <c r="ABJ48" s="184"/>
      <c r="ABK48" s="3811"/>
      <c r="ABL48" s="5797" t="b">
        <f>ISBLANK('!Egen_SK'!$BZ$85)</f>
        <v>1</v>
      </c>
      <c r="ABM48" s="5797"/>
      <c r="ABN48" s="2983">
        <f>'!Egen_SK'!$BZ$85</f>
        <v>0</v>
      </c>
      <c r="ABO48" s="5797"/>
      <c r="ABP48" s="3624" t="e">
        <f>INDEX(klasseqty_rensk[manual_tid_salve_f],MATCH($AI$54,klasseqty_bolting[Type_size],0))</f>
        <v>#N/A</v>
      </c>
      <c r="ABQ48" s="5797"/>
      <c r="ABR48" s="3010" t="e">
        <f t="shared" si="234"/>
        <v>#N/A</v>
      </c>
      <c r="ABS48" s="5799"/>
      <c r="ABT48" s="184"/>
      <c r="ABU48" s="3811"/>
      <c r="ABV48" s="5797" t="b">
        <f>ISBLANK('!Egen_SK'!$BZ$92)</f>
        <v>1</v>
      </c>
      <c r="ABW48" s="5797"/>
      <c r="ABX48" s="2983">
        <f>'!Egen_SK'!$BZ$92</f>
        <v>0</v>
      </c>
      <c r="ABY48" s="5797"/>
      <c r="ABZ48" s="3624" t="e">
        <f>INDEX(klasseqty_rensk[inspectiontid_f],MATCH($AI$54,klasseqty_bolting[Type_size],0))</f>
        <v>#N/A</v>
      </c>
      <c r="ACA48" s="5797"/>
      <c r="ACB48" s="3010" t="e">
        <f t="shared" si="235"/>
        <v>#N/A</v>
      </c>
      <c r="ACC48" s="5799"/>
      <c r="ACD48" s="3582"/>
      <c r="ACE48" s="5800"/>
      <c r="ACF48" s="5797" t="b">
        <f>ISBLANK('!Egen_SK'!$BZ$101)</f>
        <v>1</v>
      </c>
      <c r="ACG48" s="5797"/>
      <c r="ACH48" s="2983">
        <f>'!Egen_SK'!$BZ$101</f>
        <v>0</v>
      </c>
      <c r="ACI48" s="5797"/>
      <c r="ACJ48" s="2774" t="e">
        <f>INDEX(klasseqty_bolting[veder_cc_f],MATCH($AI$54,klasseqty_bolting[Type_size],0))</f>
        <v>#N/A</v>
      </c>
      <c r="ACK48" s="5797"/>
      <c r="ACL48" s="2775" t="e">
        <f t="shared" si="236"/>
        <v>#N/A</v>
      </c>
      <c r="ACM48" s="5797"/>
      <c r="ACN48" s="184"/>
      <c r="ACO48" s="5797" t="b">
        <f>ISBLANK('!Egen_SK'!$BZ$105)</f>
        <v>1</v>
      </c>
      <c r="ACP48" s="5797"/>
      <c r="ACQ48" s="2782">
        <f>'!Egen_SK'!$BZ$105</f>
        <v>0</v>
      </c>
      <c r="ACR48" s="5797"/>
      <c r="ACS48" s="3547" t="e">
        <f>INDEX(klasseqty_bolting[veder_length_lt4_f],MATCH($AI$54,klasseqty_bolting[Type_size],0))</f>
        <v>#N/A</v>
      </c>
      <c r="ACT48" s="5797"/>
      <c r="ACU48" s="2781" t="e">
        <f t="shared" si="237"/>
        <v>#N/A</v>
      </c>
      <c r="ACV48" s="5797"/>
      <c r="ACW48" s="184"/>
      <c r="ACX48" s="5797"/>
      <c r="ACY48" s="5797"/>
      <c r="ACZ48" s="2782" t="str">
        <f t="shared" si="238"/>
        <v/>
      </c>
      <c r="ADA48" s="5797"/>
      <c r="ADB48" s="3547" t="e">
        <f>INDEX(klasseqty_bolting[veder_length_gt4_f],MATCH($AI$54,klasseqty_bolting[Type_size],0))</f>
        <v>#N/A</v>
      </c>
      <c r="ADC48" s="5797"/>
      <c r="ADD48" s="2781" t="e">
        <f t="shared" si="239"/>
        <v>#N/A</v>
      </c>
      <c r="ADE48" s="5809"/>
      <c r="ADF48" s="2816"/>
      <c r="ADG48" s="3589"/>
      <c r="ADH48" s="3587" t="b">
        <f>ISBLANK('!Egen_SK'!$BZ$114)</f>
        <v>1</v>
      </c>
      <c r="ADI48" s="3587"/>
      <c r="ADJ48" s="2983">
        <f>'!Egen_SK'!$BZ$114</f>
        <v>0</v>
      </c>
      <c r="ADK48" s="3587"/>
      <c r="ADL48" s="2774" t="e">
        <f>INDEX(klasseqty_bolting[vegg_cc_f],MATCH($AI$54,klasseqty_bolting[Type_size],0))</f>
        <v>#N/A</v>
      </c>
      <c r="ADM48" s="3587"/>
      <c r="ADN48" s="2775" t="e">
        <f t="shared" si="240"/>
        <v>#N/A</v>
      </c>
      <c r="ADO48" s="3587"/>
      <c r="ADP48" s="184"/>
      <c r="ADQ48" s="3675"/>
      <c r="ADR48" s="3587" t="b">
        <f>ISBLANK('!Egen_SK'!$BZ$118)</f>
        <v>1</v>
      </c>
      <c r="ADS48" s="3587"/>
      <c r="ADT48" s="2782">
        <f>'!Egen_SK'!$BZ$118</f>
        <v>0</v>
      </c>
      <c r="ADU48" s="3587"/>
      <c r="ADV48" s="3547" t="e">
        <f>INDEX(klasseqty_bolting[vegg_length_lt4_f],MATCH($AI$54,klasseqty_bolting[Type_size],0))</f>
        <v>#N/A</v>
      </c>
      <c r="ADW48" s="3587"/>
      <c r="ADX48" s="2781" t="e">
        <f t="shared" si="241"/>
        <v>#N/A</v>
      </c>
      <c r="ADY48" s="3675"/>
      <c r="ADZ48" s="3675"/>
      <c r="AEA48" s="3675"/>
      <c r="AEB48" s="2782" t="str">
        <f t="shared" si="209"/>
        <v/>
      </c>
      <c r="AEC48" s="3675"/>
      <c r="AED48" s="3547" t="e">
        <f>INDEX(klasseqty_bolting[vegg_length_gt4_f],MATCH($AI$54,klasseqty_bolting[Type_size],0))</f>
        <v>#N/A</v>
      </c>
      <c r="AEE48" s="3675"/>
      <c r="AEF48" s="2781" t="e">
        <f t="shared" si="210"/>
        <v>#N/A</v>
      </c>
      <c r="AEG48" s="3676"/>
      <c r="AEH48" s="2816"/>
      <c r="AEI48" s="3396"/>
      <c r="AEJ48" s="3396"/>
      <c r="AEK48" s="3396"/>
      <c r="AEL48" s="5788"/>
      <c r="AEM48" s="5788"/>
      <c r="AEN48" s="5788"/>
      <c r="AEO48" s="5788"/>
      <c r="AEP48" s="5788"/>
      <c r="AEQ48" s="5788"/>
      <c r="AER48" s="5788"/>
      <c r="AES48" s="5790"/>
      <c r="AET48" s="5789" t="b">
        <f>ISBLANK('!Egen_SK'!$BZ$248)</f>
        <v>1</v>
      </c>
      <c r="AEU48" s="5789"/>
      <c r="AEV48" s="2983">
        <f>'!Egen_SK'!$BZ$248</f>
        <v>0</v>
      </c>
      <c r="AEW48" s="5789"/>
      <c r="AEX48" s="2773" t="e">
        <f>INDEX(klasseqty_bergbånd[overlappingsfaktor_f],MATCH($AI$54,klasseqty_bergbånd[Type_size],0))</f>
        <v>#N/A</v>
      </c>
      <c r="AEY48" s="5789"/>
      <c r="AEZ48" s="3376" t="e">
        <f t="shared" si="211"/>
        <v>#N/A</v>
      </c>
      <c r="AFA48" s="5142"/>
      <c r="AFB48" s="5145" t="b">
        <f>ISBLANK('!Egen_SK'!$BZ$255)</f>
        <v>1</v>
      </c>
      <c r="AFC48" s="5142"/>
      <c r="AFD48" s="2983">
        <f>'!Egen_SK'!$BZ$255</f>
        <v>0</v>
      </c>
      <c r="AFE48" s="5142"/>
      <c r="AFF48" s="2773" t="e">
        <f>INDEX(klasseqty_bergbånd[tilleggs_bergbånd_f],MATCH($AI$54,klasseqty_bergbånd[Type_size],0))</f>
        <v>#N/A</v>
      </c>
      <c r="AFG48" s="5142"/>
      <c r="AFH48" s="3376" t="e">
        <f t="shared" si="212"/>
        <v>#N/A</v>
      </c>
      <c r="AFI48" s="5142"/>
      <c r="AFJ48" s="5145" t="b">
        <f>ISBLANK('!Egen_SK'!$BZ$262)</f>
        <v>1</v>
      </c>
      <c r="AFK48" s="5142"/>
      <c r="AFL48" s="2983">
        <f>'!Egen_SK'!$BZ$262</f>
        <v>0</v>
      </c>
      <c r="AFM48" s="5142"/>
      <c r="AFN48" s="3011" t="e">
        <f>INDEX(klasseqty_bergbånd[tilleggs_bergbånd_festebolter_senteravstand_f],MATCH($AI$54,klasseqty_bergbånd[Type_size],0))</f>
        <v>#N/A</v>
      </c>
      <c r="AFO48" s="5142"/>
      <c r="AFP48" s="2775" t="e">
        <f t="shared" si="213"/>
        <v>#N/A</v>
      </c>
      <c r="AFQ48" s="5142"/>
      <c r="AFR48" s="5142" t="b">
        <f>ISBLANK('!Egen_SK'!$BZ$266)</f>
        <v>1</v>
      </c>
      <c r="AFS48" s="5142"/>
      <c r="AFT48" s="2782">
        <f>'!Egen_SK'!$BZ$266</f>
        <v>0</v>
      </c>
      <c r="AFU48" s="5142"/>
      <c r="AFV48" s="3547" t="e">
        <f>INDEX(klasseqty_bergbånd[tilleggs_bergbånd_festebolter_lt4_f],MATCH($AI$54,klasseqty_bergbånd[Type_size],0))</f>
        <v>#N/A</v>
      </c>
      <c r="AFW48" s="5142"/>
      <c r="AFX48" s="2781" t="e">
        <f t="shared" si="242"/>
        <v>#N/A</v>
      </c>
      <c r="AFY48" s="5142"/>
      <c r="AFZ48" s="184"/>
      <c r="AGA48" s="5142"/>
      <c r="AGB48" s="5142"/>
      <c r="AGC48" s="5142"/>
      <c r="AGD48" s="2782" t="str">
        <f t="shared" si="243"/>
        <v/>
      </c>
      <c r="AGE48" s="5142"/>
      <c r="AGF48" s="3547" t="e">
        <f>INDEX(klasseqty_bergbånd[tilleggs_bergbånd_festebolter_gt4_f],MATCH($AI$54,klasseqty_bergbånd[Type_size],0))</f>
        <v>#N/A</v>
      </c>
      <c r="AGG48" s="5142"/>
      <c r="AGH48" s="2781" t="e">
        <f t="shared" si="244"/>
        <v>#N/A</v>
      </c>
      <c r="AGI48" s="5146"/>
      <c r="AGJ48" s="5152"/>
      <c r="AGK48" s="5152"/>
      <c r="AGL48" s="5152"/>
      <c r="AGM48" s="5152"/>
      <c r="AGN48" s="2622"/>
      <c r="AGO48" s="3354" t="b">
        <f>ISBLANK('!Egen_SK'!$BZ$277)</f>
        <v>1</v>
      </c>
      <c r="AGP48" s="3318"/>
      <c r="AGQ48" s="2983">
        <f>'!Egen_SK'!$BZ$277</f>
        <v>0</v>
      </c>
      <c r="AGR48" s="3318"/>
      <c r="AGS48" s="3011" t="e">
        <f>INDEX(klasseqty_nett[nett_hypp_f],MATCH($AI$54,klasseqty_nett[Type_size],0))</f>
        <v>#N/A</v>
      </c>
      <c r="AGT48" s="3318"/>
      <c r="AGU48" s="3376" t="e">
        <f t="shared" si="214"/>
        <v>#N/A</v>
      </c>
      <c r="AGV48" s="5152"/>
      <c r="AGW48" s="5518" t="b">
        <f>ISBLANK('!Egen_SK'!$BZ$284)</f>
        <v>1</v>
      </c>
      <c r="AGX48" s="5517"/>
      <c r="AGY48" s="2983">
        <f>'!Egen_SK'!$BZ$284</f>
        <v>0</v>
      </c>
      <c r="AGZ48" s="5517"/>
      <c r="AHA48" s="3011" t="e">
        <f>INDEX(klasseqty_nett[nett_festebolter_avstand_f],MATCH($AI$54,klasseqty_nett[Type_size],0))</f>
        <v>#N/A</v>
      </c>
      <c r="AHB48" s="5517"/>
      <c r="AHC48" s="3376" t="e">
        <f t="shared" si="215"/>
        <v>#N/A</v>
      </c>
      <c r="AHD48" s="5152"/>
      <c r="AHF48" s="5518" t="b">
        <f>ISBLANK('!Egen_SK'!$BZ$291)</f>
        <v>1</v>
      </c>
      <c r="AHG48" s="5517"/>
      <c r="AHH48" s="2983">
        <f>'!Egen_SK'!$BZ$291</f>
        <v>0</v>
      </c>
      <c r="AHI48" s="5517"/>
      <c r="AHJ48" s="3011" t="e">
        <f>INDEX(klasseqty_nett[nett_sprøytebetong_tykkelse_f],MATCH($AI$54,klasseqty_nett[Type_size],0))</f>
        <v>#N/A</v>
      </c>
      <c r="AHK48" s="5517"/>
      <c r="AHL48" s="3376" t="e">
        <f t="shared" si="216"/>
        <v>#N/A</v>
      </c>
      <c r="AHP48" s="3589"/>
      <c r="AHQ48" s="3587" t="b">
        <f>ISBLANK('!Egen_SK'!$BZ$129)</f>
        <v>1</v>
      </c>
      <c r="AHR48" s="3587"/>
      <c r="AHS48" s="2983">
        <f>'!Egen_SK'!$BZ$129</f>
        <v>0</v>
      </c>
      <c r="AHT48" s="3587"/>
      <c r="AHU48" s="3624" t="e">
        <f>INDEX(klasseqty_sprøyte[veder_tykkelse_f],MATCH($AI$54,klasseqty_sprøyte[Type_size],0))</f>
        <v>#N/A</v>
      </c>
      <c r="AHV48" s="3587"/>
      <c r="AHW48" s="2775" t="e">
        <f t="shared" si="217"/>
        <v>#N/A</v>
      </c>
      <c r="AHX48" s="3709"/>
      <c r="AHY48" s="2622"/>
      <c r="AHZ48" s="3677"/>
      <c r="AIA48" s="3675" t="b">
        <f>ISBLANK('!Egen_SK'!$BZ$136)</f>
        <v>1</v>
      </c>
      <c r="AIB48" s="3675"/>
      <c r="AIC48" s="2983">
        <f>'!Egen_SK'!$BZ$136</f>
        <v>0</v>
      </c>
      <c r="AID48" s="3675"/>
      <c r="AIE48" s="3624" t="e">
        <f>INDEX(klasseqty_sprøyte[vegg_tykkelse_f],MATCH($AI$54,klasseqty_sprøyte[Type_size],0))</f>
        <v>#N/A</v>
      </c>
      <c r="AIF48" s="3675"/>
      <c r="AIG48" s="2775" t="e">
        <f t="shared" si="218"/>
        <v>#N/A</v>
      </c>
      <c r="AIH48" s="3709"/>
      <c r="AII48" s="184"/>
      <c r="AIJ48" s="3811"/>
      <c r="AIK48" s="3587" t="b">
        <f>ISBLANK('!Egen_SK'!$BZ$143)</f>
        <v>1</v>
      </c>
      <c r="AIL48" s="3587"/>
      <c r="AIM48" s="2983">
        <f>'!Egen_SK'!$BZ$143</f>
        <v>0</v>
      </c>
      <c r="AIN48" s="3587"/>
      <c r="AIO48" s="3011" t="e">
        <f>INDEX(klasseqty_sprøyte[ruhetfaktor_f],MATCH($AI$54,klasseqty_sprøyte[Type_size],0))</f>
        <v>#N/A</v>
      </c>
      <c r="AIP48" s="3587"/>
      <c r="AIQ48" s="2775" t="e">
        <f t="shared" si="219"/>
        <v>#N/A</v>
      </c>
      <c r="AIR48" s="3753"/>
      <c r="AIS48" s="2622"/>
      <c r="AIT48" s="3677"/>
      <c r="AIU48" s="3675" t="b">
        <f>ISBLANK('!Egen_SK'!$BZ$193)</f>
        <v>1</v>
      </c>
      <c r="AIV48" s="3675"/>
      <c r="AIW48" s="3319">
        <f>'!Egen_SK'!$BZ$193</f>
        <v>0</v>
      </c>
      <c r="AIX48" s="3675"/>
      <c r="AIY48" s="2773" t="e">
        <f>INDEX(klasseqty_buer[dimensjon_f],MATCH($AI$54,klasseqty_buer[Type_size],0))</f>
        <v>#N/A</v>
      </c>
      <c r="AIZ48" s="3675"/>
      <c r="AJA48" s="2775" t="e">
        <f t="shared" si="220"/>
        <v>#N/A</v>
      </c>
      <c r="AJB48" s="3675"/>
      <c r="AJC48" s="5162" t="b">
        <f>ISBLANK('!Egen_SK'!$BZ$198)</f>
        <v>1</v>
      </c>
      <c r="AJD48" s="5162"/>
      <c r="AJE48" s="2782">
        <f>'!Egen_SK'!$BZ$198</f>
        <v>0</v>
      </c>
      <c r="AJF48" s="5162"/>
      <c r="AJG48" s="3547" t="e">
        <f>INDEX(klasseqty_buer[andel_f],MATCH($AI$54,klasseqty_buer[Type_size],0))</f>
        <v>#N/A</v>
      </c>
      <c r="AJH48" s="5162"/>
      <c r="AJI48" s="4140" t="e">
        <f t="shared" si="221"/>
        <v>#N/A</v>
      </c>
      <c r="AJJ48" s="5162"/>
      <c r="AJK48" s="3675" t="b">
        <f>ISBLANK('!Egen_SK'!$BZ$202)</f>
        <v>1</v>
      </c>
      <c r="AJL48" s="3675"/>
      <c r="AJM48" s="2983">
        <f>'!Egen_SK'!$BZ$202</f>
        <v>0</v>
      </c>
      <c r="AJN48" s="3675"/>
      <c r="AJO48" s="3011" t="e">
        <f>INDEX(klasseqty_buer[bue_senteravstand_f],MATCH($AI$54,klasseqty_buer[Type_size],0))</f>
        <v>#N/A</v>
      </c>
      <c r="AJP48" s="3675"/>
      <c r="AJQ48" s="2775" t="e">
        <f t="shared" si="222"/>
        <v>#N/A</v>
      </c>
      <c r="AJR48" s="3675"/>
      <c r="AJS48" s="3675" t="b">
        <f>ISBLANK('!Egen_SK'!$BZ$206)</f>
        <v>1</v>
      </c>
      <c r="AJT48" s="3675"/>
      <c r="AJU48" s="2983">
        <f>'!Egen_SK'!$BZ$206</f>
        <v>0</v>
      </c>
      <c r="AJV48" s="3675"/>
      <c r="AJW48" s="3011" t="e">
        <f>INDEX(klasseqty_buer[utvidelse_f],MATCH($AI$54,klasseqty_buer[Type_size],0))</f>
        <v>#N/A</v>
      </c>
      <c r="AJX48" s="3675"/>
      <c r="AJY48" s="2775" t="e">
        <f t="shared" si="223"/>
        <v>#N/A</v>
      </c>
      <c r="AJZ48" s="3676"/>
      <c r="AKA48" s="3675"/>
      <c r="AKB48" s="3675"/>
      <c r="AKC48" s="3582"/>
      <c r="AKD48" s="3581"/>
      <c r="AKE48" s="3582" t="b">
        <f>ISBLANK('!Egen_SK'!$BZ$213)</f>
        <v>1</v>
      </c>
      <c r="AKF48" s="3582"/>
      <c r="AKG48" s="2983">
        <f>'!Egen_SK'!$BZ$213</f>
        <v>0</v>
      </c>
      <c r="AKH48" s="3582"/>
      <c r="AKI48" s="3011" t="e">
        <f>INDEX(klasseqty_buer[radiellebolter_senteravstand_f],MATCH($AI$54,klasseqty_buer[Type_size],0))</f>
        <v>#N/A</v>
      </c>
      <c r="AKJ48" s="3582"/>
      <c r="AKK48" s="2775" t="e">
        <f t="shared" si="224"/>
        <v>#N/A</v>
      </c>
      <c r="AKL48" s="3582"/>
      <c r="AKM48" s="3582" t="b">
        <f>ISBLANK('!Egen_SK'!$BZ$217)</f>
        <v>1</v>
      </c>
      <c r="AKN48" s="3582"/>
      <c r="AKO48" s="3712">
        <f>'!Egen_SK'!$BZ$217</f>
        <v>0</v>
      </c>
      <c r="AKP48" s="3582"/>
      <c r="AKQ48" s="3547" t="e">
        <f>INDEX(klasseqty_buer[radiellebolter_lt4_f],MATCH($AI$54,klasseqty_buer[Type_size],0))</f>
        <v>#N/A</v>
      </c>
      <c r="AKR48" s="3582"/>
      <c r="AKS48" s="2781" t="e">
        <f t="shared" si="245"/>
        <v>#N/A</v>
      </c>
      <c r="AKT48" s="3582"/>
      <c r="AKU48" s="184"/>
      <c r="AKV48" s="3582"/>
      <c r="AKW48" s="3582"/>
      <c r="AKX48" s="2782" t="str">
        <f t="shared" si="246"/>
        <v/>
      </c>
      <c r="AKY48" s="3582"/>
      <c r="AKZ48" s="3547" t="e">
        <f>INDEX(klasseqty_buer[radiellebolter_gt4_f],MATCH($AI$54,klasseqty_buer[Type_size],0))</f>
        <v>#N/A</v>
      </c>
      <c r="ALA48" s="3582"/>
      <c r="ALB48" s="3368" t="e">
        <f t="shared" si="247"/>
        <v>#N/A</v>
      </c>
      <c r="ALC48" s="3643"/>
      <c r="ALD48" s="3589"/>
      <c r="ALE48" s="3587" t="b">
        <f>ISBLANK('!Egen_SK'!$BZ$226)</f>
        <v>1</v>
      </c>
      <c r="ALF48" s="3587"/>
      <c r="ALG48" s="2983">
        <f>'!Egen_SK'!$BZ$226</f>
        <v>0</v>
      </c>
      <c r="ALH48" s="3587"/>
      <c r="ALI48" s="3011" t="e">
        <f>INDEX(klasseqty_buer[tillegs-sprøytebetong_f],MATCH($AI$54,klasseqty_buer[Type_size],0))</f>
        <v>#N/A</v>
      </c>
      <c r="ALJ48" s="3587"/>
      <c r="ALK48" s="2775" t="e">
        <f t="shared" si="225"/>
        <v>#N/A</v>
      </c>
      <c r="ALL48" s="3753"/>
      <c r="ALM48" s="2737"/>
      <c r="ALN48" s="3581"/>
      <c r="ALO48" s="3582" t="b">
        <f>ISBLANK('!Egen_SK'!$BZ$233)</f>
        <v>1</v>
      </c>
      <c r="ALP48" s="3582"/>
      <c r="ALQ48" s="3715">
        <f>'!Egen_SK'!$BZ$233</f>
        <v>0</v>
      </c>
      <c r="ALR48" s="3582"/>
      <c r="ALS48" s="3717" t="e">
        <f>INDEX(klasseqty_buer[forankring_f],MATCH($AI$54,klasseqty_buer[Type_size],0))</f>
        <v>#N/A</v>
      </c>
      <c r="ALT48" s="3582"/>
      <c r="ALU48" s="3719" t="e">
        <f t="shared" si="226"/>
        <v>#N/A</v>
      </c>
      <c r="ALV48" s="3582"/>
      <c r="ALW48" s="3582"/>
      <c r="ALX48" s="3582" t="b">
        <f>ISBLANK('!Egen_SK'!$BZ$237)</f>
        <v>1</v>
      </c>
      <c r="ALY48" s="3582"/>
      <c r="ALZ48" s="2782">
        <f>'!Egen_SK'!$BZ$237</f>
        <v>0</v>
      </c>
      <c r="AMA48" s="3582"/>
      <c r="AMB48" s="3547" t="e">
        <f>INDEX(klasseqty_buer[forankring_lt4_f],MATCH($AI$54,klasseqty_buer[Type_size],0))</f>
        <v>#N/A</v>
      </c>
      <c r="AMC48" s="3582"/>
      <c r="AMD48" s="2781" t="e">
        <f t="shared" si="248"/>
        <v>#N/A</v>
      </c>
      <c r="AME48" s="3582"/>
      <c r="AMF48" s="184"/>
      <c r="AMG48" s="3582"/>
      <c r="AMH48" s="3582"/>
      <c r="AMI48" s="2782" t="str">
        <f t="shared" si="249"/>
        <v/>
      </c>
      <c r="AMJ48" s="3582"/>
      <c r="AMK48" s="3547" t="e">
        <f>INDEX(klasseqty_buer[forankring_gt4_f],MATCH($AI$54,klasseqty_buer[Type_size],0))</f>
        <v>#N/A</v>
      </c>
      <c r="AML48" s="3582"/>
      <c r="AMM48" s="3368" t="e">
        <f t="shared" si="250"/>
        <v>#N/A</v>
      </c>
      <c r="AMN48" s="5548"/>
      <c r="AMO48" s="5548"/>
      <c r="AMP48" s="5548"/>
      <c r="AMQ48" s="5548"/>
      <c r="AMR48" s="5548"/>
      <c r="AMS48" s="5548"/>
      <c r="AMT48" s="5548"/>
      <c r="AMU48" s="5548"/>
      <c r="AMV48" s="5548"/>
      <c r="AMW48" s="5548"/>
      <c r="AMX48" s="5548"/>
      <c r="AMY48" s="5548"/>
      <c r="AMZ48" s="5548"/>
      <c r="ANA48" s="5548"/>
      <c r="ANB48" s="5548"/>
      <c r="ANC48" s="5548"/>
      <c r="AND48" s="5548"/>
      <c r="ANE48" s="5548"/>
      <c r="ANF48" s="5548"/>
      <c r="ANG48" s="5548"/>
      <c r="ANH48" s="5548"/>
      <c r="ANI48" s="5548"/>
      <c r="ANJ48" s="5548"/>
      <c r="ANK48" s="5548"/>
      <c r="ANL48" s="5548"/>
      <c r="ANM48" s="5548"/>
      <c r="ANN48" s="5548"/>
      <c r="ANO48" s="5548"/>
      <c r="ANP48" s="5548"/>
      <c r="ANQ48" s="5548"/>
      <c r="ANR48" s="5548"/>
      <c r="ANS48" s="5548"/>
      <c r="ANT48" s="5548"/>
      <c r="ANU48" s="5548"/>
      <c r="ANV48" s="5548"/>
      <c r="ANW48" s="5548"/>
      <c r="ANX48" s="5548"/>
      <c r="ANY48" s="5548"/>
      <c r="ANZ48" s="5548"/>
      <c r="AOA48" s="5548"/>
      <c r="AOB48" s="5548"/>
      <c r="AOC48" s="5548"/>
      <c r="AOD48" s="5548"/>
      <c r="AOE48" s="5548"/>
      <c r="AOF48" s="5548"/>
      <c r="AOG48" s="5548"/>
      <c r="AOH48" s="5548"/>
      <c r="AOI48" s="5548"/>
      <c r="AOJ48" s="5548"/>
      <c r="AOK48" s="5548"/>
      <c r="AOL48" s="5548"/>
      <c r="AOM48" s="5548"/>
      <c r="AOO48" s="4125"/>
      <c r="AOP48" s="4124" t="b">
        <f>ISBLANK('!Egen_SK'!$BZ$157)</f>
        <v>1</v>
      </c>
      <c r="AOQ48" s="4124"/>
      <c r="AOR48" s="2983">
        <f>'!Egen_SK'!$BZ$157</f>
        <v>0</v>
      </c>
      <c r="AOS48" s="4124"/>
      <c r="AOT48" s="3547" t="e">
        <f>INDEX(klasseqty_forbolting[andel_av_tunnelklasse_f],MATCH($AI$54,klasseqty_forbolting[Type_size],0))</f>
        <v>#N/A</v>
      </c>
      <c r="AOU48" s="4124"/>
      <c r="AOV48" s="4140" t="e">
        <f t="shared" si="227"/>
        <v>#N/A</v>
      </c>
      <c r="AOW48" s="5162"/>
      <c r="AOX48" s="5162"/>
      <c r="AOY48" s="5162" t="b">
        <f>ISBLANK('!Egen_SK'!$BZ$157)</f>
        <v>1</v>
      </c>
      <c r="AOZ48" s="5162"/>
      <c r="APA48" s="2983" t="str">
        <f t="shared" si="251"/>
        <v/>
      </c>
      <c r="APB48" s="5162"/>
      <c r="APC48" s="3624" t="e">
        <f>INDEX(klasseqty_forbolting[andel_av_tunnelklasse_f],MATCH($AI$54,klasseqty_forbolting[Type_size],0))</f>
        <v>#N/A</v>
      </c>
      <c r="APD48" s="5162"/>
      <c r="APE48" s="5165" t="e">
        <f t="shared" si="228"/>
        <v>#N/A</v>
      </c>
      <c r="APF48" s="4124"/>
      <c r="APG48" s="3587" t="b">
        <f>ISBLANK('!Egen_SK'!$BZ$152)</f>
        <v>1</v>
      </c>
      <c r="APH48" s="3587"/>
      <c r="API48" s="2983">
        <f>'!Egen_SK'!$BZ$152</f>
        <v>0</v>
      </c>
      <c r="APJ48" s="3587"/>
      <c r="APK48" s="3011" t="e">
        <f>INDEX(klasseqty_forbolting[bueområde_f],MATCH($AI$54,klasseqty_forbolting[Type_size],0))</f>
        <v>#N/A</v>
      </c>
      <c r="APL48" s="3587"/>
      <c r="APM48" s="2775" t="e">
        <f t="shared" si="229"/>
        <v>#N/A</v>
      </c>
      <c r="APN48" s="3587"/>
      <c r="APO48" s="3587" t="b">
        <f>ISBLANK('!Egen_SK'!$BZ$165)</f>
        <v>1</v>
      </c>
      <c r="APP48" s="3587"/>
      <c r="APQ48" s="2983">
        <f>'!Egen_SK'!$BZ$165</f>
        <v>0</v>
      </c>
      <c r="APR48" s="3587"/>
      <c r="APS48" s="3011" t="e">
        <f>INDEX(klasseqty_forbolting[forbolting_senteravstand_f],MATCH($AI$54,klasseqty_forbolting[Type_size],0))</f>
        <v>#N/A</v>
      </c>
      <c r="APT48" s="3587"/>
      <c r="APU48" s="2775" t="e">
        <f t="shared" si="230"/>
        <v>#N/A</v>
      </c>
      <c r="APV48" s="3587"/>
      <c r="APW48" s="3587" t="b">
        <f>ISBLANK('!Egen_SK'!$BZ$169)</f>
        <v>1</v>
      </c>
      <c r="APX48" s="3587"/>
      <c r="APY48" s="3712">
        <f>'!Egen_SK'!$BZ$169</f>
        <v>0</v>
      </c>
      <c r="APZ48" s="3587"/>
      <c r="AQA48" s="3547" t="e">
        <f>INDEX(klasseqty_forbolting[forbolting_lt4_f],MATCH($AI$54,klasseqty_forbolting[Type_size],0))</f>
        <v>#N/A</v>
      </c>
      <c r="AQB48" s="3587"/>
      <c r="AQC48" s="2781" t="e">
        <f t="shared" si="252"/>
        <v>#N/A</v>
      </c>
      <c r="AQD48" s="3587"/>
      <c r="AQE48" s="184"/>
      <c r="AQF48" s="3587"/>
      <c r="AQG48" s="3587"/>
      <c r="AQH48" s="2782" t="str">
        <f t="shared" si="253"/>
        <v/>
      </c>
      <c r="AQI48" s="3587"/>
      <c r="AQJ48" s="3547" t="e">
        <f>INDEX(klasseqty_forbolting[forbolting_gt4_f],MATCH($AI$54,klasseqty_forbolting[Type_size],0))</f>
        <v>#N/A</v>
      </c>
      <c r="AQK48" s="3587"/>
      <c r="AQL48" s="3368" t="e">
        <f t="shared" si="254"/>
        <v>#N/A</v>
      </c>
      <c r="AQN48" s="3589"/>
      <c r="AQO48" s="3587" t="b">
        <f>ISBLANK('!Egen_SK'!$BZ$178)</f>
        <v>1</v>
      </c>
      <c r="AQP48" s="3587"/>
      <c r="AQQ48" s="2983">
        <f>'!Egen_SK'!$BZ$178</f>
        <v>0</v>
      </c>
      <c r="AQR48" s="3587"/>
      <c r="AQS48" s="3011" t="e">
        <f>INDEX(klasseqty_forbolting[oppheng_senteravstand_f],MATCH($AI$54,klasseqty_forbolting[Type_size],0))</f>
        <v>#N/A</v>
      </c>
      <c r="AQT48" s="3587"/>
      <c r="AQU48" s="2775" t="e">
        <f t="shared" si="231"/>
        <v>#N/A</v>
      </c>
      <c r="AQV48" s="3587"/>
      <c r="AQW48" s="3587" t="b">
        <f>ISBLANK('!Egen_SK'!$BZ$182)</f>
        <v>1</v>
      </c>
      <c r="AQX48" s="3587"/>
      <c r="AQY48" s="3712">
        <f>'!Egen_SK'!$BZ$182</f>
        <v>0</v>
      </c>
      <c r="AQZ48" s="3587"/>
      <c r="ARA48" s="3547" t="e">
        <f>INDEX(klasseqty_forbolting[oppheng_lt4_f],MATCH($AI$54,klasseqty_forbolting[Type_size],0))</f>
        <v>#N/A</v>
      </c>
      <c r="ARB48" s="3587"/>
      <c r="ARC48" s="2781" t="e">
        <f t="shared" si="255"/>
        <v>#N/A</v>
      </c>
      <c r="ARD48" s="3587"/>
      <c r="ARE48" s="184"/>
      <c r="ARF48" s="3587"/>
      <c r="ARG48" s="3587"/>
      <c r="ARH48" s="2782" t="str">
        <f t="shared" si="256"/>
        <v/>
      </c>
      <c r="ARI48" s="3587"/>
      <c r="ARJ48" s="3547" t="e">
        <f>INDEX(klasseqty_forbolting[oppheng_gt4_f],MATCH($AI$54,klasseqty_forbolting[Type_size],0))</f>
        <v>#N/A</v>
      </c>
      <c r="ARK48" s="3587"/>
      <c r="ARL48" s="3368" t="e">
        <f t="shared" si="257"/>
        <v>#N/A</v>
      </c>
      <c r="ART48" s="3354" t="b">
        <f>ISBLANK('!Egen_SK'!#REF!)</f>
        <v>0</v>
      </c>
      <c r="ARU48" s="3318"/>
      <c r="ARV48" s="3712">
        <f>'!Egen_SK'!$BZ$312</f>
        <v>0</v>
      </c>
      <c r="ARW48" s="3318"/>
      <c r="ARX48" s="3624" t="e">
        <f>INDEX(klasseqty_sik1234[sikringsstøp_hypp_f],MATCH($AI$54,klasseqty_sik1234[Type_size],0))</f>
        <v>#N/A</v>
      </c>
      <c r="ARY48" s="3318"/>
      <c r="ARZ48" s="2775">
        <f t="shared" si="232"/>
        <v>0</v>
      </c>
      <c r="ASA48" s="184"/>
      <c r="ASB48" s="3318" t="b">
        <f>ISBLANK('!Egen_SK'!$BZ$316)</f>
        <v>1</v>
      </c>
      <c r="ASC48" s="3318"/>
      <c r="ASD48" s="2983">
        <f>'!Egen_SK'!$BZ$316</f>
        <v>0</v>
      </c>
      <c r="ASE48" s="3318"/>
      <c r="ASF48" s="3547" t="e">
        <f>INDEX(klasseqty_sik1234[sikringsstøp_123_f],MATCH($AI$54,klasseqty_sik1234[Type_size],0))</f>
        <v>#N/A</v>
      </c>
      <c r="ASG48" s="3318"/>
      <c r="ASH48" s="2781" t="e">
        <f t="shared" si="258"/>
        <v>#N/A</v>
      </c>
      <c r="ASI48" s="3318"/>
      <c r="ASJ48" s="184"/>
      <c r="ASK48" s="3318"/>
      <c r="ASL48" s="3318"/>
      <c r="ASM48" s="2782" t="str">
        <f t="shared" si="259"/>
        <v/>
      </c>
      <c r="ASN48" s="3318"/>
      <c r="ASO48" s="3547" t="e">
        <f>INDEX(klasseqty_sik1234[sikringsstøp_4_f],MATCH($AI$54,klasseqty_sik1234[Type_size],0))</f>
        <v>#N/A</v>
      </c>
      <c r="ASP48" s="3318"/>
      <c r="ASQ48" s="3368" t="e">
        <f t="shared" si="260"/>
        <v>#N/A</v>
      </c>
      <c r="ASR48" s="2737"/>
      <c r="ASS48" s="2737"/>
      <c r="ATA48" s="2622"/>
      <c r="ATB48" s="2622"/>
      <c r="ATC48" s="2622"/>
      <c r="ATD48" s="2622"/>
      <c r="ATE48" s="2622"/>
      <c r="ATF48" s="2622"/>
      <c r="ATG48" s="2622"/>
      <c r="ATH48" s="2622"/>
      <c r="ATI48" s="2622"/>
      <c r="ATJ48" s="2622"/>
      <c r="ATK48" s="2622"/>
      <c r="ATL48" s="2622"/>
      <c r="ATM48" s="2622"/>
      <c r="ATN48" s="2622"/>
      <c r="ATO48" s="2622"/>
      <c r="ATP48" s="2622"/>
      <c r="ATQ48" s="2622"/>
      <c r="ATR48" s="2622"/>
      <c r="ATT48" s="2622"/>
      <c r="ATU48" s="2622"/>
      <c r="ATV48" s="2622"/>
      <c r="ATW48" s="2622"/>
      <c r="ATX48" s="2617"/>
      <c r="ATY48" s="2617"/>
      <c r="ATZ48" s="2617"/>
      <c r="AUA48" s="2617"/>
      <c r="AUB48" s="2617"/>
      <c r="AUC48" s="2617"/>
      <c r="AUD48" s="2617"/>
      <c r="AUE48" s="2617"/>
      <c r="AUF48" s="2617"/>
      <c r="AUG48" s="2617"/>
      <c r="AUH48" s="2617"/>
      <c r="AUI48" s="2617"/>
      <c r="AUJ48" s="2617"/>
      <c r="AUK48" s="2617"/>
      <c r="AUL48" s="2617"/>
      <c r="AUM48" s="2617"/>
      <c r="AUN48" s="2617"/>
      <c r="AUO48" s="2617"/>
      <c r="AUP48" s="2617"/>
      <c r="AUQ48" s="2617"/>
      <c r="AUR48" s="2617"/>
      <c r="AUS48" s="2617"/>
      <c r="AUT48" s="2617"/>
      <c r="AUU48" s="2617"/>
      <c r="AUV48" s="2617"/>
      <c r="AUW48" s="2617"/>
      <c r="AUX48" s="2617"/>
      <c r="AUY48" s="2617"/>
      <c r="AUZ48" s="2617"/>
      <c r="AVA48" s="2617"/>
      <c r="AVB48" s="2617"/>
      <c r="AVC48" s="2617"/>
      <c r="AVD48" s="2617"/>
      <c r="AVE48" s="2617"/>
      <c r="AVF48" s="2617"/>
      <c r="AVG48" s="2617"/>
      <c r="AVH48" s="2617"/>
      <c r="AVI48" s="2617"/>
      <c r="AVJ48" s="2617"/>
      <c r="AVK48" s="2617"/>
      <c r="AVL48" s="2617"/>
      <c r="AVM48" s="2617"/>
      <c r="AVN48" s="2617"/>
      <c r="AVO48" s="2617"/>
      <c r="AVP48" s="2617"/>
      <c r="AVQ48" s="2617"/>
      <c r="AVR48" s="2617"/>
      <c r="AVS48" s="2617"/>
      <c r="AVT48" s="2617"/>
      <c r="AVU48" s="2617"/>
      <c r="AVV48" s="2617"/>
      <c r="AVW48" s="2617"/>
      <c r="AVX48" s="2617"/>
      <c r="AVY48" s="2617"/>
      <c r="AVZ48" s="2617"/>
      <c r="AWA48" s="2617"/>
      <c r="AWB48" s="2617"/>
      <c r="AWC48" s="2617"/>
      <c r="AWD48" s="2617"/>
      <c r="AWE48" s="2617"/>
      <c r="AWF48" s="2617"/>
      <c r="AWG48" s="2617"/>
      <c r="AWH48" s="2617"/>
      <c r="AWI48" s="2617"/>
      <c r="AWJ48" s="2617"/>
      <c r="AWK48" s="2617"/>
      <c r="AWL48" s="2617"/>
      <c r="AWM48" s="2617"/>
      <c r="AWN48" s="2617"/>
      <c r="AWO48" s="2617"/>
      <c r="AWP48" s="2617"/>
      <c r="AWQ48" s="2617"/>
      <c r="AWR48" s="2617"/>
      <c r="AWS48" s="2617"/>
      <c r="AWT48" s="2617"/>
      <c r="AWU48" s="2617"/>
      <c r="AWV48" s="2617"/>
      <c r="AWW48" s="2617"/>
      <c r="AWX48" s="2617"/>
      <c r="AWY48" s="2617"/>
      <c r="AWZ48" s="2617"/>
      <c r="AXA48" s="2617"/>
      <c r="AXB48" s="2617"/>
      <c r="AXC48" s="2617"/>
      <c r="AXD48" s="2617"/>
      <c r="AXE48" s="2617"/>
      <c r="AXF48" s="2617"/>
      <c r="AXG48" s="2617"/>
      <c r="AXH48" s="2617"/>
      <c r="AXI48" s="2617"/>
      <c r="AXJ48" s="2617"/>
      <c r="AXK48" s="2617"/>
      <c r="AYG48" s="3414">
        <v>10</v>
      </c>
      <c r="AYT48" s="2691" t="s">
        <v>898</v>
      </c>
      <c r="AYU48" s="3420">
        <v>1</v>
      </c>
      <c r="AYV48" s="3412">
        <f t="shared" si="261"/>
        <v>150</v>
      </c>
      <c r="AYW48" s="199"/>
      <c r="AYX48" s="3423"/>
      <c r="AYY48" s="199"/>
      <c r="AYZ48" s="199"/>
      <c r="AZA48" s="199"/>
      <c r="AZB48" s="3424">
        <v>1.5</v>
      </c>
      <c r="AZC48" s="184"/>
      <c r="AZD48" s="184"/>
      <c r="AZE48" s="2622"/>
      <c r="AZF48" s="2622"/>
      <c r="AZG48" s="2622"/>
      <c r="AZH48" s="2622"/>
      <c r="AZI48" s="2622"/>
      <c r="AZJ48" s="2622"/>
      <c r="AZK48" s="2622"/>
      <c r="AZL48" s="3419">
        <v>6</v>
      </c>
      <c r="AZM48" s="2622"/>
      <c r="AZN48" s="2622"/>
      <c r="AZO48" s="2622"/>
      <c r="AZP48" s="2622"/>
      <c r="AZQ48" s="2622"/>
      <c r="AZR48" s="2622"/>
      <c r="AZS48" s="2622"/>
      <c r="AZT48" s="2622"/>
      <c r="AZU48" s="2622"/>
      <c r="AZX48" s="2622"/>
      <c r="AZY48" s="2622"/>
      <c r="AZZ48" s="2622"/>
      <c r="BAA48" s="2622"/>
      <c r="BAB48" s="2622"/>
      <c r="BAC48" s="2622"/>
      <c r="BAD48" s="2622"/>
      <c r="BAE48" s="2622"/>
      <c r="BAF48" s="2622"/>
      <c r="BAG48" s="2622"/>
      <c r="BAH48" s="2622"/>
      <c r="BAI48" s="2622"/>
      <c r="BAL48" s="2622"/>
      <c r="BAM48" s="2622"/>
      <c r="BAN48" s="2622"/>
      <c r="BAO48" s="2622"/>
      <c r="BAP48" s="2622"/>
      <c r="BAQ48" s="2622"/>
      <c r="BAT48" s="2622"/>
      <c r="BAU48" s="372" t="s">
        <v>191</v>
      </c>
      <c r="BAV48" s="194"/>
      <c r="BAW48" s="194" t="s">
        <v>891</v>
      </c>
      <c r="BAX48" s="2972" t="s">
        <v>904</v>
      </c>
      <c r="BAY48" s="2974">
        <v>2</v>
      </c>
      <c r="BAZ48" s="2973" t="s">
        <v>903</v>
      </c>
      <c r="BBA48" s="2977">
        <v>80</v>
      </c>
      <c r="BBB48" s="2690"/>
      <c r="BBC48" s="2690"/>
      <c r="BBD48" s="2690"/>
      <c r="BBE48" s="2690"/>
      <c r="BBF48" s="2690"/>
      <c r="BBG48" s="2690"/>
      <c r="BBH48" s="2690"/>
      <c r="BBI48" s="2690"/>
      <c r="BBK48" s="2622"/>
      <c r="BBQ48" s="3398"/>
      <c r="BCJ48" s="2617"/>
      <c r="BCK48" s="2617"/>
      <c r="BCL48" s="2617"/>
      <c r="BCM48" s="2617"/>
      <c r="BCN48" s="2617"/>
      <c r="BCO48" s="2617"/>
      <c r="BCP48" s="2617"/>
      <c r="BCQ48" s="2617"/>
      <c r="BCR48" s="2617"/>
      <c r="BCS48" s="2617"/>
      <c r="BCT48" s="2617"/>
      <c r="BCU48" s="2617"/>
      <c r="BCV48" s="2617"/>
      <c r="BCW48" s="2617"/>
      <c r="BCX48" s="2617"/>
      <c r="BCY48" s="2617"/>
      <c r="BCZ48" s="2617"/>
      <c r="BDA48" s="2617"/>
      <c r="BDB48" s="2617"/>
      <c r="BDC48" s="2617"/>
      <c r="BDD48" s="2617"/>
      <c r="BDE48" s="2617"/>
      <c r="BDF48" s="2617"/>
      <c r="BDG48" s="2617"/>
      <c r="BDH48" s="2617"/>
      <c r="BDI48" s="2617"/>
      <c r="BDL48" s="2617"/>
      <c r="BDM48" s="2617"/>
      <c r="BDN48" s="2617"/>
      <c r="BDO48" s="2617"/>
      <c r="BDP48" s="2617"/>
      <c r="BDQ48" s="2617"/>
      <c r="BDR48" s="2617"/>
      <c r="BDS48" s="2617"/>
      <c r="BDT48" s="2617"/>
      <c r="BDU48" s="2617"/>
      <c r="BDV48" s="2617"/>
      <c r="BDW48" s="2617"/>
      <c r="BDZ48" s="2617"/>
      <c r="BEA48" s="2617"/>
      <c r="BEB48" s="2617"/>
      <c r="BEC48" s="2617"/>
      <c r="BED48" s="2617"/>
      <c r="BEE48" s="2617"/>
      <c r="BEH48" s="2617"/>
    </row>
    <row r="49" spans="32:1513" ht="20.100000000000001" customHeight="1" thickBot="1" x14ac:dyDescent="0.25">
      <c r="AH49" s="206" t="s">
        <v>936</v>
      </c>
      <c r="AI49" s="199" t="e">
        <f>INDEX(vegprofil[bredde],MATCH(AI38,vegprofil[Name],0))</f>
        <v>#N/A</v>
      </c>
      <c r="AU49" s="235">
        <v>5</v>
      </c>
      <c r="AV49" s="185">
        <f>IF('!INN_SK'!$BF$55="",0,1)</f>
        <v>1</v>
      </c>
      <c r="AW49" s="185">
        <f>IF('!INN_SK'!$BF$57="",0,1)</f>
        <v>1</v>
      </c>
      <c r="AX49" s="185">
        <f>IF('!INN_SK'!$BF$64="",0,1)</f>
        <v>1</v>
      </c>
      <c r="AY49" s="185">
        <f>IF('!INN_SK'!$BF$71="",0,1)</f>
        <v>1</v>
      </c>
      <c r="AZ49" s="185">
        <f>IF('!INN_SK'!$BF$78="",0,1)</f>
        <v>1</v>
      </c>
      <c r="BA49" s="185">
        <f>IF('!INN_SK'!$BF$80="",0,1)</f>
        <v>1</v>
      </c>
      <c r="BB49" s="185">
        <f>IF('!INN_SK'!$BF$87="",0,1)</f>
        <v>1</v>
      </c>
      <c r="BC49" s="193">
        <f>IF('!INN_SK'!$BF$94="",0,1)</f>
        <v>1</v>
      </c>
      <c r="BD49" s="247">
        <f>COUNTIF(checks_klasse[[#This Row],[A]:[G]],0)</f>
        <v>0</v>
      </c>
      <c r="BE49" s="183"/>
      <c r="CG49" s="5812" t="str">
        <f>_Calcs!$QT$135</f>
        <v>Stuff 2-2</v>
      </c>
      <c r="CH49" s="5559">
        <f>IF($AI$31=1,INDEX(outputs_position[22],MATCH(_Calcs!$BC$35,outputs_position[lopstuff],0)),0)</f>
        <v>0</v>
      </c>
      <c r="CI49" s="5852"/>
      <c r="CJ49" s="372">
        <f t="shared" si="262"/>
        <v>0</v>
      </c>
      <c r="CK49" s="194">
        <v>61</v>
      </c>
      <c r="CL49" s="3453"/>
      <c r="CM49" s="3453"/>
      <c r="CN49" s="3453"/>
      <c r="CO49" s="3453"/>
      <c r="CP49" s="3453"/>
      <c r="CQ49" s="3453"/>
      <c r="CR49" s="3453"/>
      <c r="CS49" s="3453"/>
      <c r="CT49" s="3453"/>
      <c r="CU49" s="3453"/>
      <c r="CV49" s="3453"/>
      <c r="CW49" s="3453"/>
      <c r="CX49" s="3453">
        <f>CX$32*$AM$44</f>
        <v>0</v>
      </c>
      <c r="CY49" s="3453"/>
      <c r="CZ49" s="3453">
        <f>CZ$32*$AM$44</f>
        <v>0</v>
      </c>
      <c r="DA49" s="3453"/>
      <c r="DB49" s="3453">
        <f>DB$32*$AM$44</f>
        <v>0</v>
      </c>
      <c r="DC49" s="3453"/>
      <c r="DD49" s="3453">
        <f>DD$32*$AM$44</f>
        <v>0</v>
      </c>
      <c r="DE49" s="3453"/>
      <c r="DF49" s="3453">
        <f>DF$32*$AM$44</f>
        <v>0</v>
      </c>
      <c r="DG49" s="3453"/>
      <c r="DH49" s="3453">
        <f>DH$32*$AM$44</f>
        <v>0</v>
      </c>
      <c r="DI49" s="3453"/>
      <c r="DJ49" s="3453">
        <f>DJ$32*$AM$44</f>
        <v>0</v>
      </c>
      <c r="DK49" s="3453"/>
      <c r="DL49" s="3453">
        <f>DL$32*$AM$44</f>
        <v>0</v>
      </c>
      <c r="DM49" s="5881">
        <f>IF($CH49&gt;0,DM$32*_Calcs!$AJ$39,0)</f>
        <v>0</v>
      </c>
      <c r="DN49" s="3453"/>
      <c r="DO49" s="3453"/>
      <c r="DP49" s="3453">
        <f>DP$32*$AM$44</f>
        <v>0</v>
      </c>
      <c r="DQ49" s="3453"/>
      <c r="DR49" s="3453">
        <f>DR$32*$AM$44</f>
        <v>0</v>
      </c>
      <c r="DS49" s="3453"/>
      <c r="DT49" s="3453">
        <f>DT$32*$AM$44</f>
        <v>0</v>
      </c>
      <c r="DU49" s="3453"/>
      <c r="DV49" s="3453">
        <f>DV$32*$AM$44</f>
        <v>0</v>
      </c>
      <c r="DW49" s="3453"/>
      <c r="DX49" s="3453">
        <f>DX$32*$AM$44</f>
        <v>0</v>
      </c>
      <c r="DY49" s="3453"/>
      <c r="DZ49" s="3453">
        <f>DZ$32*$AM$44</f>
        <v>0</v>
      </c>
      <c r="EA49" s="3453"/>
      <c r="EB49" s="3453">
        <f>EB$32*$AM$44</f>
        <v>0</v>
      </c>
      <c r="EC49" s="3453"/>
      <c r="ED49" s="3453">
        <f>ED$32*$AM$44</f>
        <v>0</v>
      </c>
      <c r="EE49" s="5881">
        <f>IF($CH49&gt;0,EE$32*_Calcs!$AJ$39,0)</f>
        <v>0</v>
      </c>
      <c r="EF49" s="5712"/>
      <c r="EG49" s="5712"/>
      <c r="EH49" s="5712"/>
      <c r="EI49" s="5712"/>
      <c r="EJ49" s="5712"/>
      <c r="EK49" s="5712"/>
      <c r="EL49" s="5712"/>
      <c r="EM49" s="5712"/>
      <c r="EN49" s="5712"/>
      <c r="EO49" s="5712"/>
      <c r="EP49" s="5712"/>
      <c r="EQ49" s="5712"/>
      <c r="ER49" s="5712"/>
      <c r="ES49" s="5712"/>
      <c r="ET49" s="5712"/>
      <c r="EU49" s="5712"/>
      <c r="EV49" s="5712"/>
      <c r="EW49" s="5881">
        <f>IF($CH49&gt;0,EW$32*_Calcs!$AJ$39,0)</f>
        <v>0</v>
      </c>
      <c r="EX49" s="5712"/>
      <c r="EY49" s="5712"/>
      <c r="EZ49" s="5712"/>
      <c r="FA49" s="5712"/>
      <c r="FB49" s="5712"/>
      <c r="FC49" s="5712"/>
      <c r="FD49" s="5712"/>
      <c r="FE49" s="5712"/>
      <c r="FF49" s="5712"/>
      <c r="FG49" s="5712"/>
      <c r="FH49" s="5712"/>
      <c r="FI49" s="5712"/>
      <c r="FJ49" s="5712"/>
      <c r="FK49" s="5712"/>
      <c r="FL49" s="5712"/>
      <c r="FM49" s="5712"/>
      <c r="FN49" s="5712"/>
      <c r="FO49" s="5712"/>
      <c r="FP49" s="5712"/>
      <c r="FQ49" s="5712"/>
      <c r="FR49" s="5712"/>
      <c r="FS49" s="5712"/>
      <c r="FT49" s="5712"/>
      <c r="FU49" s="5712"/>
      <c r="FV49" s="5712"/>
      <c r="FW49" s="5712"/>
      <c r="FX49" s="5712"/>
      <c r="FY49" s="5712"/>
      <c r="FZ49" s="5712"/>
      <c r="GA49" s="5712"/>
      <c r="GB49" s="3453"/>
      <c r="GC49" s="3453"/>
      <c r="GD49" s="3453"/>
      <c r="GE49" s="3453"/>
      <c r="GF49" s="3453"/>
      <c r="GG49" s="5881">
        <f>IF($CH49&gt;0,GG$32*_Calcs!$AJ$39,0)</f>
        <v>0</v>
      </c>
      <c r="GH49" s="3453"/>
      <c r="GI49" s="3453"/>
      <c r="GJ49" s="3453"/>
      <c r="GK49" s="3453"/>
      <c r="GL49" s="3453"/>
      <c r="GM49" s="3453"/>
      <c r="GN49" s="3453"/>
      <c r="GO49" s="3453"/>
      <c r="GP49" s="3453"/>
      <c r="GQ49" s="3453"/>
      <c r="GR49" s="3453"/>
      <c r="GS49" s="3453"/>
      <c r="GT49" s="3453"/>
      <c r="GU49" s="3453"/>
      <c r="GV49" s="3453"/>
      <c r="GW49" s="3453"/>
      <c r="GX49" s="3453"/>
      <c r="GY49" s="3453"/>
      <c r="GZ49" s="5881">
        <f>IF($CH49&gt;0,GZ$32*_Calcs!$AJ$39,0)</f>
        <v>0</v>
      </c>
      <c r="HA49" s="5881">
        <f>IF($CH49&gt;0,HA$32*_Calcs!$AJ$39,0)</f>
        <v>0</v>
      </c>
      <c r="HB49" s="3453"/>
      <c r="HC49" s="3453"/>
      <c r="HD49" s="3453"/>
      <c r="HE49" s="3453"/>
      <c r="HF49" s="3453"/>
      <c r="HG49" s="3453"/>
      <c r="HH49" s="3453"/>
      <c r="HI49" s="3453"/>
      <c r="HJ49" s="3453"/>
      <c r="HK49" s="3453"/>
      <c r="HL49" s="3453"/>
      <c r="HM49" s="3453"/>
      <c r="HN49" s="3453"/>
      <c r="HO49" s="3453"/>
      <c r="HP49" s="3453"/>
      <c r="HQ49" s="3453"/>
      <c r="HR49" s="3453"/>
      <c r="HS49" s="3453"/>
      <c r="HT49" s="3453"/>
      <c r="HU49" s="5861"/>
      <c r="HV49" s="5712"/>
      <c r="HW49" s="3453"/>
      <c r="HX49" s="3453"/>
      <c r="HY49" s="3453"/>
      <c r="HZ49" s="5861"/>
      <c r="IA49" s="5712"/>
      <c r="IB49" s="3453"/>
      <c r="IC49" s="3453"/>
      <c r="ID49" s="3453"/>
      <c r="IE49" s="5861"/>
      <c r="IF49" s="5712"/>
      <c r="IG49" s="3453"/>
      <c r="IH49" s="3453"/>
      <c r="II49" s="3453"/>
      <c r="IJ49" s="5861"/>
      <c r="IK49" s="5712"/>
      <c r="IL49" s="3453"/>
      <c r="IM49" s="3453"/>
      <c r="IN49" s="3453"/>
      <c r="IO49" s="5861"/>
      <c r="IP49" s="5712"/>
      <c r="IQ49" s="3453"/>
      <c r="IR49" s="3453"/>
      <c r="IS49" s="3453"/>
      <c r="IT49" s="5861"/>
      <c r="IU49" s="5712"/>
      <c r="IV49" s="3453"/>
      <c r="IW49" s="3453"/>
      <c r="IX49" s="3453"/>
      <c r="IY49" s="5861"/>
      <c r="IZ49" s="5712"/>
      <c r="JA49" s="3453"/>
      <c r="JB49" s="3453"/>
      <c r="JC49" s="3453"/>
      <c r="JD49" s="5861"/>
      <c r="JE49" s="5712"/>
      <c r="JF49" s="3453"/>
      <c r="JG49" s="3453"/>
      <c r="JH49" s="3453"/>
      <c r="JI49" s="3453"/>
      <c r="JJ49" s="3453"/>
      <c r="JK49" s="3453"/>
      <c r="JL49" s="3453"/>
      <c r="JM49" s="3453"/>
      <c r="JN49" s="3453"/>
      <c r="JO49" s="3453"/>
      <c r="JP49" s="3453"/>
      <c r="JQ49" s="3453"/>
      <c r="JR49" s="3453"/>
      <c r="JS49" s="3453"/>
      <c r="JT49" s="3453"/>
      <c r="JU49" s="3453"/>
      <c r="JV49" s="5881">
        <f>IF($CH49&gt;0,JV$32*_Calcs!$AJ$39,0)</f>
        <v>0</v>
      </c>
      <c r="JW49" s="5881">
        <f>IF($CH49&gt;0,JW$32*_Calcs!$AJ$39,0)</f>
        <v>0</v>
      </c>
      <c r="JX49" s="3453"/>
      <c r="JY49" s="3453"/>
      <c r="JZ49" s="3453"/>
      <c r="KA49" s="3453"/>
      <c r="KB49" s="3453"/>
      <c r="KC49" s="3453"/>
      <c r="KD49" s="3453"/>
      <c r="KE49" s="3453"/>
      <c r="KF49" s="3453"/>
      <c r="KG49" s="3453"/>
      <c r="KH49" s="3453"/>
      <c r="KI49" s="3453"/>
      <c r="KJ49" s="3453"/>
      <c r="KK49" s="3453"/>
      <c r="KL49" s="3453"/>
      <c r="KM49" s="3453"/>
      <c r="KN49" s="3453"/>
      <c r="KO49" s="3453"/>
      <c r="KP49" s="3453"/>
      <c r="KQ49" s="3453"/>
      <c r="KR49" s="3453"/>
      <c r="KS49" s="3453"/>
      <c r="KT49" s="3453"/>
      <c r="KU49" s="3453"/>
      <c r="KV49" s="3453"/>
      <c r="KW49" s="3453"/>
      <c r="KX49" s="3453"/>
      <c r="KY49" s="3453"/>
      <c r="KZ49" s="3453"/>
      <c r="LA49" s="3453"/>
      <c r="LB49" s="3453"/>
      <c r="LC49" s="3453"/>
      <c r="LD49" s="5881">
        <f>IF($CH49&gt;0,LD$32*_Calcs!$AJ$39,0)</f>
        <v>0</v>
      </c>
      <c r="LE49" s="5881">
        <f>IF($CH49&gt;0,LE$32*_Calcs!$AJ$39,0)</f>
        <v>0</v>
      </c>
      <c r="LF49" s="5712"/>
      <c r="LG49" s="3453"/>
      <c r="LH49" s="3453"/>
      <c r="LI49" s="3453"/>
      <c r="LJ49" s="3453"/>
      <c r="LK49" s="3453"/>
      <c r="LL49" s="3453"/>
      <c r="LM49" s="3453"/>
      <c r="LN49" s="3453"/>
      <c r="LO49" s="3453"/>
      <c r="LP49" s="3453"/>
      <c r="LQ49" s="3453"/>
      <c r="LR49" s="3453"/>
      <c r="LS49" s="3453"/>
      <c r="LT49" s="3453"/>
      <c r="LU49" s="3453"/>
      <c r="LV49" s="3453"/>
      <c r="LW49" s="5881">
        <f>IF($CH49&gt;0,LW$32*_Calcs!$AJ$39,0)</f>
        <v>0</v>
      </c>
      <c r="LX49" s="3453"/>
      <c r="LY49" s="5703"/>
      <c r="LZ49" s="3453"/>
      <c r="MA49" s="5703"/>
      <c r="MB49" s="3453"/>
      <c r="MC49" s="5703"/>
      <c r="MD49" s="3453"/>
      <c r="ME49" s="5703"/>
      <c r="MF49" s="3453"/>
      <c r="MG49" s="5703"/>
      <c r="MH49" s="3453"/>
      <c r="MI49" s="5703"/>
      <c r="MJ49" s="3453"/>
      <c r="MK49" s="5703"/>
      <c r="ML49" s="3453"/>
      <c r="MM49" s="5703"/>
      <c r="MN49" s="5881">
        <f>IF($CH49&gt;0,MN$32*_Calcs!$AJ$39,0)</f>
        <v>0</v>
      </c>
      <c r="MO49" s="3453"/>
      <c r="MP49" s="3453"/>
      <c r="MQ49" s="3453"/>
      <c r="MR49" s="3453"/>
      <c r="MS49" s="3453"/>
      <c r="MT49" s="3453"/>
      <c r="MU49" s="3453"/>
      <c r="MV49" s="3453"/>
      <c r="MW49" s="5881">
        <f>IF($CH49&gt;0,MW$32*_Calcs!$AJ$39,0)</f>
        <v>0</v>
      </c>
      <c r="MX49" s="3453"/>
      <c r="MY49" s="3453"/>
      <c r="MZ49" s="3453"/>
      <c r="NA49" s="3453"/>
      <c r="NB49" s="3453"/>
      <c r="NC49" s="3453"/>
      <c r="ND49" s="3453"/>
      <c r="NE49" s="3453"/>
      <c r="NF49" s="3453"/>
      <c r="NG49" s="3453"/>
      <c r="NH49" s="3453"/>
      <c r="NI49" s="3453"/>
      <c r="NJ49" s="3453"/>
      <c r="NK49" s="3453"/>
      <c r="NL49" s="3453"/>
      <c r="NM49" s="3453"/>
      <c r="NN49" s="5881">
        <f>IF($CH49&gt;0,NN$32*_Calcs!$AJ$39,0)</f>
        <v>0</v>
      </c>
      <c r="NO49" s="3453"/>
      <c r="NP49" s="3453"/>
      <c r="NQ49" s="3453"/>
      <c r="NR49" s="3453"/>
      <c r="NS49" s="3453"/>
      <c r="NT49" s="3453"/>
      <c r="NU49" s="3453"/>
      <c r="NV49" s="3453"/>
      <c r="NW49" s="3453"/>
      <c r="NX49" s="3453"/>
      <c r="NY49" s="3453"/>
      <c r="NZ49" s="3453"/>
      <c r="OA49" s="3453"/>
      <c r="OB49" s="3453"/>
      <c r="OC49" s="3453"/>
      <c r="OD49" s="3453"/>
      <c r="OE49" s="3453"/>
      <c r="OF49" s="3453"/>
      <c r="OG49" s="3453"/>
      <c r="OH49" s="3453"/>
      <c r="OI49" s="5712"/>
      <c r="OJ49" s="3453"/>
      <c r="OK49" s="5720"/>
      <c r="OL49" s="3453"/>
      <c r="OM49" s="5720"/>
      <c r="ON49" s="3453"/>
      <c r="OO49" s="5720"/>
      <c r="OP49" s="3453"/>
      <c r="OQ49" s="5720"/>
      <c r="OR49" s="3453"/>
      <c r="OS49" s="5720"/>
      <c r="OT49" s="3453"/>
      <c r="OU49" s="5720"/>
      <c r="OV49" s="3453"/>
      <c r="OW49" s="5720"/>
      <c r="OX49" s="3453"/>
      <c r="OY49" s="5720"/>
      <c r="OZ49" s="5881">
        <f>IF($CH49&gt;0,OZ$32*_Calcs!$AJ$39,0)</f>
        <v>0</v>
      </c>
      <c r="PA49" s="3453"/>
      <c r="PB49" s="5618"/>
      <c r="PC49" s="3453"/>
      <c r="PD49" s="5618"/>
      <c r="PE49" s="3453"/>
      <c r="PF49" s="5618"/>
      <c r="PG49" s="3453"/>
      <c r="PH49" s="5618"/>
      <c r="PI49" s="3453"/>
      <c r="PJ49" s="5618"/>
      <c r="PK49" s="3453"/>
      <c r="PL49" s="5618"/>
      <c r="PM49" s="3453"/>
      <c r="PN49" s="5618"/>
      <c r="PO49" s="3453"/>
      <c r="PP49" s="5618"/>
      <c r="PQ49" s="5881">
        <f>IF($CH49&gt;0,PQ$32*_Calcs!$AJ$39,0)</f>
        <v>0</v>
      </c>
      <c r="PR49" s="3453"/>
      <c r="PS49" s="5710"/>
      <c r="PT49" s="3453"/>
      <c r="PU49" s="5710"/>
      <c r="PV49" s="3453"/>
      <c r="PW49" s="5710"/>
      <c r="PX49" s="3453"/>
      <c r="PY49" s="5710"/>
      <c r="PZ49" s="3453"/>
      <c r="QA49" s="5710"/>
      <c r="QB49" s="3453"/>
      <c r="QC49" s="5710"/>
      <c r="QD49" s="3453"/>
      <c r="QE49" s="5710"/>
      <c r="QF49" s="3453"/>
      <c r="QG49" s="5710"/>
      <c r="QH49" s="5881">
        <f>IF($CH49&gt;0,QH$32*_Calcs!$AJ$39,0)</f>
        <v>0</v>
      </c>
      <c r="QI49" s="3453"/>
      <c r="QJ49" s="3453"/>
      <c r="QK49" s="3453"/>
      <c r="QL49" s="3453"/>
      <c r="QM49" s="3453"/>
      <c r="QN49" s="3453"/>
      <c r="QO49" s="3453"/>
      <c r="QP49" s="3453"/>
      <c r="QQ49" s="3453"/>
      <c r="QR49" s="5712"/>
      <c r="QS49" s="5713"/>
      <c r="QT49" s="3453"/>
      <c r="QU49" s="3453"/>
      <c r="QV49" s="5713"/>
      <c r="QW49" s="3453"/>
      <c r="QX49" s="3453"/>
      <c r="QY49" s="5713"/>
      <c r="QZ49" s="3453"/>
      <c r="RA49" s="3453"/>
      <c r="RB49" s="5713"/>
      <c r="RC49" s="3453"/>
      <c r="RD49" s="3453"/>
      <c r="RE49" s="5713"/>
      <c r="RF49" s="3453"/>
      <c r="RG49" s="3453"/>
      <c r="RH49" s="5713"/>
      <c r="RI49" s="3453"/>
      <c r="RJ49" s="3453"/>
      <c r="RK49" s="5713"/>
      <c r="RL49" s="3453"/>
      <c r="RM49" s="3453"/>
      <c r="RN49" s="5713"/>
      <c r="RO49" s="3453"/>
      <c r="RP49" s="3453"/>
      <c r="RQ49" s="5881">
        <f>IF($CH49&gt;0,RQ$32*_Calcs!$AJ$39,0)</f>
        <v>0</v>
      </c>
      <c r="RR49" s="3453"/>
      <c r="RS49" s="3453"/>
      <c r="RT49" s="3453"/>
      <c r="RU49" s="3453"/>
      <c r="RV49" s="3453"/>
      <c r="RW49" s="3453"/>
      <c r="RX49" s="3453"/>
      <c r="RY49" s="3453"/>
      <c r="RZ49" s="3453"/>
      <c r="SA49" s="3453"/>
      <c r="SB49" s="3453"/>
      <c r="SC49" s="3453"/>
      <c r="SD49" s="3453"/>
      <c r="SE49" s="3453"/>
      <c r="SF49" s="3453"/>
      <c r="SG49" s="3453"/>
      <c r="SH49" s="3453"/>
      <c r="SI49" s="3453"/>
      <c r="SJ49" s="3453"/>
      <c r="SK49" s="3453"/>
      <c r="SL49" s="3453"/>
      <c r="SM49" s="3453"/>
      <c r="SN49" s="3453"/>
      <c r="SO49" s="3453"/>
      <c r="SP49" s="3453"/>
      <c r="SQ49" s="5881">
        <f>IF($CH49&gt;0,SQ$32*_Calcs!$AJ$39,0)</f>
        <v>0</v>
      </c>
      <c r="SR49" s="5881">
        <f>IF($CH49&gt;0,SR$32*_Calcs!$AJ$39,0)</f>
        <v>0</v>
      </c>
      <c r="SS49" s="3453"/>
      <c r="ST49" s="3453"/>
      <c r="SU49" s="3453"/>
      <c r="SV49" s="3453"/>
      <c r="SW49" s="3453"/>
      <c r="SX49" s="3453"/>
      <c r="SY49" s="3453"/>
      <c r="SZ49" s="3453"/>
      <c r="TA49" s="3453"/>
      <c r="TB49" s="3453"/>
      <c r="TC49" s="3453"/>
      <c r="TD49" s="3453"/>
      <c r="TE49" s="3453"/>
      <c r="TF49" s="3453"/>
      <c r="TG49" s="3453"/>
      <c r="TH49" s="3453"/>
      <c r="TI49" s="3453"/>
      <c r="TJ49" s="3453"/>
      <c r="TK49" s="5721"/>
      <c r="TL49" s="3453"/>
      <c r="TM49" s="3453"/>
      <c r="TN49" s="3453"/>
      <c r="TO49" s="5722"/>
      <c r="TP49" s="5702"/>
      <c r="TQ49" s="5723"/>
      <c r="TR49" s="3453"/>
      <c r="TS49" s="3453"/>
      <c r="TT49" s="3453"/>
      <c r="TU49" s="5722"/>
      <c r="TV49" s="5702"/>
      <c r="TW49" s="5723"/>
      <c r="TX49" s="3453"/>
      <c r="TY49" s="3453"/>
      <c r="TZ49" s="3453"/>
      <c r="UA49" s="5722"/>
      <c r="UB49" s="5702"/>
      <c r="UC49" s="5723"/>
      <c r="UD49" s="3453"/>
      <c r="UE49" s="3453"/>
      <c r="UF49" s="3453"/>
      <c r="UG49" s="5722"/>
      <c r="UH49" s="5702"/>
      <c r="UI49" s="5723"/>
      <c r="UJ49" s="3453"/>
      <c r="UK49" s="3453"/>
      <c r="UL49" s="3453"/>
      <c r="UM49" s="5722"/>
      <c r="UN49" s="5702"/>
      <c r="UO49" s="5723"/>
      <c r="UP49" s="3453"/>
      <c r="UQ49" s="3453"/>
      <c r="UR49" s="3453"/>
      <c r="US49" s="5722"/>
      <c r="UT49" s="5702"/>
      <c r="UU49" s="5723"/>
      <c r="UV49" s="3453"/>
      <c r="UW49" s="3453"/>
      <c r="UX49" s="3453"/>
      <c r="UY49" s="5722"/>
      <c r="UZ49" s="5702"/>
      <c r="VA49" s="5723"/>
      <c r="VB49" s="3453"/>
      <c r="VC49" s="3453"/>
      <c r="VD49" s="3453"/>
      <c r="VE49" s="5722"/>
      <c r="VF49" s="5702"/>
      <c r="VG49" s="5723"/>
      <c r="VH49" s="5881">
        <f>IF($CH49&gt;0,VH$32*_Calcs!$AJ$39,0)</f>
        <v>0</v>
      </c>
      <c r="VI49" s="5881">
        <f>IF($CH49&gt;0,VI$32*_Calcs!$AJ$39,0)</f>
        <v>0</v>
      </c>
      <c r="VJ49" s="5881">
        <f>IF($CH49&gt;0,VJ$32*_Calcs!$AJ$39,0)</f>
        <v>0</v>
      </c>
      <c r="VK49" s="3453"/>
      <c r="VL49" s="3453"/>
      <c r="VM49" s="3453"/>
      <c r="VN49" s="3453"/>
      <c r="VO49" s="3453"/>
      <c r="VP49" s="3453"/>
      <c r="VQ49" s="3453"/>
      <c r="VR49" s="3453"/>
      <c r="VS49" s="3453"/>
      <c r="VT49" s="3453"/>
      <c r="VU49" s="3453"/>
      <c r="VV49" s="3453"/>
      <c r="VW49" s="3453"/>
      <c r="VX49" s="3453"/>
      <c r="VY49" s="3453"/>
      <c r="VZ49" s="3453"/>
      <c r="WA49" s="5881">
        <f>IF($CH49&gt;0,WA$32*_Calcs!$AJ$39,0)</f>
        <v>0</v>
      </c>
      <c r="WB49" s="3453"/>
      <c r="WC49" s="3453"/>
      <c r="WD49" s="3453"/>
      <c r="WE49" s="3453"/>
      <c r="WF49" s="3453"/>
      <c r="WG49" s="3453"/>
      <c r="WH49" s="3453"/>
      <c r="WI49" s="3453"/>
      <c r="WJ49" s="3453"/>
      <c r="WK49" s="3453"/>
      <c r="WL49" s="3453"/>
      <c r="WM49" s="3453"/>
      <c r="WN49" s="3453"/>
      <c r="WO49" s="3453"/>
      <c r="WP49" s="3453"/>
      <c r="WQ49" s="3453"/>
      <c r="WR49" s="3453"/>
      <c r="WS49" s="3453"/>
      <c r="WT49" s="3453"/>
      <c r="WU49" s="3453"/>
      <c r="WV49" s="3453"/>
      <c r="WW49" s="3453"/>
      <c r="WX49" s="3453"/>
      <c r="WY49" s="3453"/>
      <c r="WZ49" s="3453"/>
      <c r="XA49" s="3453"/>
      <c r="XB49" s="3453"/>
      <c r="XC49" s="3453"/>
      <c r="XD49" s="3453"/>
      <c r="XE49" s="3453"/>
      <c r="XF49" s="3453"/>
      <c r="XG49" s="3453"/>
      <c r="XH49" s="5881">
        <f>IF($CH49&gt;0,XH$32*_Calcs!$AJ$39,0)</f>
        <v>0</v>
      </c>
      <c r="XI49" s="5881">
        <f>IF($CH49&gt;0,XI$32*_Calcs!$AJ$39,0)</f>
        <v>0</v>
      </c>
      <c r="XJ49" s="3453"/>
      <c r="XK49" s="3453"/>
      <c r="XL49" s="3453"/>
      <c r="XM49" s="3453"/>
      <c r="XN49" s="3453"/>
      <c r="XO49" s="3453"/>
      <c r="XP49" s="3453"/>
      <c r="XQ49" s="3453"/>
      <c r="XR49" s="3453"/>
      <c r="XS49" s="3453"/>
      <c r="XT49" s="3453"/>
      <c r="XU49" s="3453"/>
      <c r="XV49" s="3453"/>
      <c r="XW49" s="3453"/>
      <c r="XX49" s="3453"/>
      <c r="XY49" s="3453"/>
      <c r="XZ49" s="3453"/>
      <c r="YA49" s="3453"/>
      <c r="YB49" s="3453"/>
      <c r="YC49" s="3453"/>
      <c r="YD49" s="3453"/>
      <c r="YE49" s="3453"/>
      <c r="YF49" s="3453"/>
      <c r="YG49" s="3453"/>
      <c r="YH49" s="3453"/>
      <c r="YI49" s="3453"/>
      <c r="YJ49" s="3453"/>
      <c r="YK49" s="3453"/>
      <c r="YL49" s="3453"/>
      <c r="YM49" s="3453"/>
      <c r="YN49" s="3453"/>
      <c r="YO49" s="3453"/>
      <c r="YP49" s="5881">
        <f>IF($CH49&gt;0,YP$32*_Calcs!$AJ$39,0)</f>
        <v>0</v>
      </c>
      <c r="YQ49" s="5881">
        <f>IF($CH49&gt;0,YQ$32*_Calcs!$AJ$39,0)</f>
        <v>0</v>
      </c>
      <c r="YR49" s="3453"/>
      <c r="YS49" s="3453"/>
      <c r="YT49" s="3453"/>
      <c r="YU49" s="3453"/>
      <c r="YV49" s="3453"/>
      <c r="YW49" s="3453"/>
      <c r="YX49" s="3453"/>
      <c r="YY49" s="3453"/>
      <c r="YZ49" s="3453"/>
      <c r="ZA49" s="3453"/>
      <c r="ZB49" s="3453"/>
      <c r="ZC49" s="3453"/>
      <c r="ZD49" s="3453"/>
      <c r="ZE49" s="3453"/>
      <c r="ZF49" s="3453"/>
      <c r="ZG49" s="3453"/>
      <c r="ZH49" s="3453"/>
      <c r="ZI49" s="3453"/>
      <c r="ZJ49" s="3453"/>
      <c r="ZK49" s="3453"/>
      <c r="ZL49" s="3453"/>
      <c r="ZM49" s="3453"/>
      <c r="ZN49" s="4199"/>
      <c r="ZO49" s="4199"/>
      <c r="ZP49" s="4199"/>
      <c r="ZQ49" s="4199"/>
      <c r="ZR49" s="4199"/>
      <c r="ZS49" s="4199"/>
      <c r="ZT49" s="4199"/>
      <c r="ZU49" s="4199"/>
      <c r="ZV49" s="4199"/>
      <c r="ZW49" s="4199"/>
      <c r="ZX49" s="4199"/>
      <c r="ZY49" s="4199"/>
      <c r="ZZ49" s="4199"/>
      <c r="AAA49" s="4199"/>
      <c r="AAB49" s="2622"/>
      <c r="AAC49" s="2622"/>
      <c r="AAD49" s="2622"/>
      <c r="AAE49" s="2622"/>
      <c r="AAF49" s="2622"/>
      <c r="AAG49" s="2622"/>
      <c r="AAH49" s="2622"/>
      <c r="AAI49" s="2622"/>
      <c r="AAJ49" s="2622"/>
      <c r="AAK49" s="2622"/>
      <c r="AAL49" s="2622"/>
      <c r="AAM49" s="2622"/>
      <c r="AAN49" s="2622"/>
      <c r="AAO49" s="2622"/>
      <c r="AAP49" s="2622"/>
      <c r="AAQ49" s="2622"/>
      <c r="AAR49" s="2622"/>
      <c r="AAS49" s="2622"/>
      <c r="AAT49" s="2622"/>
      <c r="AAU49" s="2622"/>
      <c r="AAV49" s="2622"/>
      <c r="AAW49" s="372" t="s">
        <v>894</v>
      </c>
      <c r="AAX49" s="372"/>
      <c r="AAY49" s="372" t="s">
        <v>895</v>
      </c>
      <c r="AAZ49" s="184"/>
      <c r="ABA49" s="3813"/>
      <c r="ABB49" s="3358" t="b">
        <f>ISBLANK('!Egen_SK'!$CH$76)</f>
        <v>1</v>
      </c>
      <c r="ABC49" s="3358"/>
      <c r="ABD49" s="3359">
        <f>'!Egen_SK'!$CH$76</f>
        <v>0</v>
      </c>
      <c r="ABE49" s="3358"/>
      <c r="ABF49" s="3625" t="e">
        <f>INDEX(klasse_salve[salve_lengde_g],MATCH($AI$54,klasse_salve[Type_size],0))</f>
        <v>#N/A</v>
      </c>
      <c r="ABG49" s="3358"/>
      <c r="ABH49" s="3361" t="e">
        <f t="shared" si="233"/>
        <v>#N/A</v>
      </c>
      <c r="ABI49" s="3619"/>
      <c r="ABJ49" s="184"/>
      <c r="ABK49" s="3813"/>
      <c r="ABL49" s="3358" t="b">
        <f>ISBLANK('!Egen_SK'!$CH$85)</f>
        <v>1</v>
      </c>
      <c r="ABM49" s="3358"/>
      <c r="ABN49" s="3359">
        <f>'!Egen_SK'!$CH$85</f>
        <v>0</v>
      </c>
      <c r="ABO49" s="3358"/>
      <c r="ABP49" s="3625" t="e">
        <f>INDEX(klasseqty_rensk[manual_tid_salve_g],MATCH($AI$54,klasseqty_bolting[Type_size],0))</f>
        <v>#N/A</v>
      </c>
      <c r="ABQ49" s="3358"/>
      <c r="ABR49" s="3361" t="e">
        <f t="shared" si="234"/>
        <v>#N/A</v>
      </c>
      <c r="ABS49" s="3619"/>
      <c r="ABT49" s="184"/>
      <c r="ABU49" s="3813"/>
      <c r="ABV49" s="3358" t="b">
        <f>ISBLANK('!Egen_SK'!$CH$92)</f>
        <v>1</v>
      </c>
      <c r="ABW49" s="3358"/>
      <c r="ABX49" s="3359">
        <f>'!Egen_SK'!$CH$92</f>
        <v>0</v>
      </c>
      <c r="ABY49" s="3358"/>
      <c r="ABZ49" s="3625" t="e">
        <f>INDEX(klasseqty_rensk[inspectiontid_g],MATCH($AI$54,klasseqty_bolting[Type_size],0))</f>
        <v>#N/A</v>
      </c>
      <c r="ACA49" s="3358"/>
      <c r="ACB49" s="3361" t="e">
        <f t="shared" si="235"/>
        <v>#N/A</v>
      </c>
      <c r="ACC49" s="3619"/>
      <c r="ACD49" s="3582"/>
      <c r="ACE49" s="3357"/>
      <c r="ACF49" s="3358" t="b">
        <f>ISBLANK('!Egen_SK'!$CH$101)</f>
        <v>1</v>
      </c>
      <c r="ACG49" s="3358"/>
      <c r="ACH49" s="3359">
        <f>'!Egen_SK'!$CH$101</f>
        <v>0</v>
      </c>
      <c r="ACI49" s="3358"/>
      <c r="ACJ49" s="3370" t="e">
        <f>INDEX(klasseqty_bolting[veder_cc_g],MATCH($AI$54,klasseqty_bolting[Type_size],0))</f>
        <v>#N/A</v>
      </c>
      <c r="ACK49" s="3358"/>
      <c r="ACL49" s="3371" t="e">
        <f t="shared" si="236"/>
        <v>#N/A</v>
      </c>
      <c r="ACM49" s="3358"/>
      <c r="ACN49" s="277"/>
      <c r="ACO49" s="3358" t="b">
        <f>ISBLANK('!Egen_SK'!$CH$105)</f>
        <v>1</v>
      </c>
      <c r="ACP49" s="3358"/>
      <c r="ACQ49" s="3369">
        <f>'!Egen_SK'!$CH$105</f>
        <v>0</v>
      </c>
      <c r="ACR49" s="3358"/>
      <c r="ACS49" s="3548" t="e">
        <f>INDEX(klasseqty_bolting[veder_length_lt4_g],MATCH($AI$54,klasseqty_bolting[Type_size],0))</f>
        <v>#N/A</v>
      </c>
      <c r="ACT49" s="3358"/>
      <c r="ACU49" s="3372" t="e">
        <f t="shared" si="237"/>
        <v>#N/A</v>
      </c>
      <c r="ACV49" s="3358"/>
      <c r="ACW49" s="277"/>
      <c r="ACX49" s="3358"/>
      <c r="ACY49" s="3358"/>
      <c r="ACZ49" s="3369" t="str">
        <f t="shared" si="238"/>
        <v/>
      </c>
      <c r="ADA49" s="3358"/>
      <c r="ADB49" s="3548" t="e">
        <f>INDEX(klasseqty_bolting[veder_length_gt4_g],MATCH($AI$54,klasseqty_bolting[Type_size],0))</f>
        <v>#N/A</v>
      </c>
      <c r="ADC49" s="3358"/>
      <c r="ADD49" s="3372" t="e">
        <f t="shared" si="239"/>
        <v>#N/A</v>
      </c>
      <c r="ADE49" s="5810"/>
      <c r="ADF49" s="2816"/>
      <c r="ADG49" s="3357"/>
      <c r="ADH49" s="3358" t="b">
        <f>ISBLANK('!Egen_SK'!$CH$114)</f>
        <v>1</v>
      </c>
      <c r="ADI49" s="3358"/>
      <c r="ADJ49" s="3359">
        <f>'!Egen_SK'!$CH$114</f>
        <v>0</v>
      </c>
      <c r="ADK49" s="3358"/>
      <c r="ADL49" s="3370" t="e">
        <f>INDEX(klasseqty_bolting[vegg_cc_g],MATCH($AI$54,klasseqty_bolting[Type_size],0))</f>
        <v>#N/A</v>
      </c>
      <c r="ADM49" s="3358"/>
      <c r="ADN49" s="3371" t="e">
        <f t="shared" si="240"/>
        <v>#N/A</v>
      </c>
      <c r="ADO49" s="3358"/>
      <c r="ADP49" s="277"/>
      <c r="ADQ49" s="3358"/>
      <c r="ADR49" s="3358" t="b">
        <f>ISBLANK('!Egen_SK'!$CH$118)</f>
        <v>1</v>
      </c>
      <c r="ADS49" s="3358"/>
      <c r="ADT49" s="3369">
        <f>'!Egen_SK'!$CH$118</f>
        <v>0</v>
      </c>
      <c r="ADU49" s="3358"/>
      <c r="ADV49" s="3548" t="e">
        <f>INDEX(klasseqty_bolting[vegg_length_lt4_g],MATCH($AI$54,klasseqty_bolting[Type_size],0))</f>
        <v>#N/A</v>
      </c>
      <c r="ADW49" s="3358"/>
      <c r="ADX49" s="3372" t="e">
        <f t="shared" si="241"/>
        <v>#N/A</v>
      </c>
      <c r="ADY49" s="3358"/>
      <c r="ADZ49" s="3358"/>
      <c r="AEA49" s="3358"/>
      <c r="AEB49" s="3369" t="str">
        <f t="shared" si="209"/>
        <v/>
      </c>
      <c r="AEC49" s="3358"/>
      <c r="AED49" s="3548" t="e">
        <f>INDEX(klasseqty_bolting[vegg_length_gt4_g],MATCH($AI$54,klasseqty_bolting[Type_size],0))</f>
        <v>#N/A</v>
      </c>
      <c r="AEE49" s="3358"/>
      <c r="AEF49" s="3372" t="e">
        <f t="shared" si="210"/>
        <v>#N/A</v>
      </c>
      <c r="AEG49" s="3619"/>
      <c r="AEH49" s="2816"/>
      <c r="AEI49" s="3396"/>
      <c r="AEJ49" s="3396"/>
      <c r="AEK49" s="3396"/>
      <c r="AEL49" s="5788"/>
      <c r="AEM49" s="5788"/>
      <c r="AEN49" s="5788"/>
      <c r="AEO49" s="5788"/>
      <c r="AEP49" s="5788"/>
      <c r="AEQ49" s="5788"/>
      <c r="AER49" s="5788"/>
      <c r="AES49" s="3357"/>
      <c r="AET49" s="3358" t="b">
        <f>ISBLANK('!Egen_SK'!$CH$248)</f>
        <v>1</v>
      </c>
      <c r="AEU49" s="3358"/>
      <c r="AEV49" s="3359">
        <f>'!Egen_SK'!$CH$248</f>
        <v>0</v>
      </c>
      <c r="AEW49" s="3358"/>
      <c r="AEX49" s="3360" t="e">
        <f>INDEX(klasseqty_bergbånd[overlappingsfaktor_g],MATCH($AI$54,klasseqty_bergbånd[Type_size],0))</f>
        <v>#N/A</v>
      </c>
      <c r="AEY49" s="3358"/>
      <c r="AEZ49" s="3377" t="e">
        <f t="shared" si="211"/>
        <v>#N/A</v>
      </c>
      <c r="AFA49" s="5142"/>
      <c r="AFB49" s="3357" t="b">
        <f>ISBLANK('!Egen_SK'!$CH$255)</f>
        <v>1</v>
      </c>
      <c r="AFC49" s="3358"/>
      <c r="AFD49" s="3359">
        <f>'!Egen_SK'!$CH$255</f>
        <v>0</v>
      </c>
      <c r="AFE49" s="3358"/>
      <c r="AFF49" s="3360" t="e">
        <f>INDEX(klasseqty_bergbånd[tilleggs_bergbånd_g],MATCH($AI$54,klasseqty_bergbånd[Type_size],0))</f>
        <v>#N/A</v>
      </c>
      <c r="AFG49" s="3358"/>
      <c r="AFH49" s="3377" t="e">
        <f t="shared" si="212"/>
        <v>#N/A</v>
      </c>
      <c r="AFI49" s="5142"/>
      <c r="AFJ49" s="3357" t="b">
        <f>ISBLANK('!Egen_SK'!$CH$262)</f>
        <v>1</v>
      </c>
      <c r="AFK49" s="3358"/>
      <c r="AFL49" s="3359">
        <f>'!Egen_SK'!$CH$262</f>
        <v>0</v>
      </c>
      <c r="AFM49" s="3358"/>
      <c r="AFN49" s="3375" t="e">
        <f>INDEX(klasseqty_bergbånd[tilleggs_bergbånd_festebolter_senteravstand_g],MATCH($AI$54,klasseqty_bergbånd[Type_size],0))</f>
        <v>#N/A</v>
      </c>
      <c r="AFO49" s="3358"/>
      <c r="AFP49" s="3371" t="e">
        <f t="shared" si="213"/>
        <v>#N/A</v>
      </c>
      <c r="AFQ49" s="3358"/>
      <c r="AFR49" s="3358" t="b">
        <f>ISBLANK('!Egen_SK'!$CH$266)</f>
        <v>1</v>
      </c>
      <c r="AFS49" s="3358"/>
      <c r="AFT49" s="3369">
        <f>'!Egen_SK'!$CH$266</f>
        <v>0</v>
      </c>
      <c r="AFU49" s="3358"/>
      <c r="AFV49" s="3548" t="e">
        <f>INDEX(klasseqty_bergbånd[tilleggs_bergbånd_festebolter_lt4_g],MATCH($AI$54,klasseqty_bergbånd[Type_size],0))</f>
        <v>#N/A</v>
      </c>
      <c r="AFW49" s="3358"/>
      <c r="AFX49" s="3372" t="e">
        <f t="shared" si="242"/>
        <v>#N/A</v>
      </c>
      <c r="AFY49" s="3358"/>
      <c r="AFZ49" s="277"/>
      <c r="AGA49" s="3358"/>
      <c r="AGB49" s="3358"/>
      <c r="AGC49" s="3358"/>
      <c r="AGD49" s="3369" t="str">
        <f t="shared" si="243"/>
        <v/>
      </c>
      <c r="AGE49" s="3358"/>
      <c r="AGF49" s="3548" t="e">
        <f>INDEX(klasseqty_bergbånd[tilleggs_bergbånd_festebolter_gt4_g],MATCH($AI$54,klasseqty_bergbånd[Type_size],0))</f>
        <v>#N/A</v>
      </c>
      <c r="AGG49" s="3358"/>
      <c r="AGH49" s="3372" t="e">
        <f t="shared" si="244"/>
        <v>#N/A</v>
      </c>
      <c r="AGI49" s="3619"/>
      <c r="AGJ49" s="5152"/>
      <c r="AGK49" s="5152"/>
      <c r="AGL49" s="5152"/>
      <c r="AGM49" s="5152"/>
      <c r="AGN49" s="2622"/>
      <c r="AGO49" s="3357" t="b">
        <f>ISBLANK('!Egen_SK'!$CH$277)</f>
        <v>1</v>
      </c>
      <c r="AGP49" s="3358"/>
      <c r="AGQ49" s="3359">
        <f>'!Egen_SK'!$CH$277</f>
        <v>0</v>
      </c>
      <c r="AGR49" s="3358"/>
      <c r="AGS49" s="3375" t="e">
        <f>INDEX(klasseqty_nett[nett_hypp_g],MATCH($AI$54,klasseqty_nett[Type_size],0))</f>
        <v>#N/A</v>
      </c>
      <c r="AGT49" s="3358"/>
      <c r="AGU49" s="3377" t="e">
        <f t="shared" si="214"/>
        <v>#N/A</v>
      </c>
      <c r="AGV49" s="5152"/>
      <c r="AGW49" s="3357" t="b">
        <f>ISBLANK('!Egen_SK'!$CH$284)</f>
        <v>1</v>
      </c>
      <c r="AGX49" s="3358"/>
      <c r="AGY49" s="3359">
        <f>'!Egen_SK'!$CH$284</f>
        <v>0</v>
      </c>
      <c r="AGZ49" s="3358"/>
      <c r="AHA49" s="3375" t="e">
        <f>INDEX(klasseqty_nett[nett_festebolter_avstand_g],MATCH($AI$54,klasseqty_nett[Type_size],0))</f>
        <v>#N/A</v>
      </c>
      <c r="AHB49" s="3358"/>
      <c r="AHC49" s="3377" t="e">
        <f t="shared" si="215"/>
        <v>#N/A</v>
      </c>
      <c r="AHD49" s="5152"/>
      <c r="AHF49" s="3357" t="b">
        <f>ISBLANK('!Egen_SK'!$CH$291)</f>
        <v>1</v>
      </c>
      <c r="AHG49" s="3358"/>
      <c r="AHH49" s="3359">
        <f>'!Egen_SK'!$CH$291</f>
        <v>0</v>
      </c>
      <c r="AHI49" s="3358"/>
      <c r="AHJ49" s="3375" t="e">
        <f>INDEX(klasseqty_nett[nett_sprøytebetong_tykkelse_g],MATCH($AI$54,klasseqty_nett[Type_size],0))</f>
        <v>#N/A</v>
      </c>
      <c r="AHK49" s="3358"/>
      <c r="AHL49" s="3377" t="e">
        <f t="shared" si="216"/>
        <v>#N/A</v>
      </c>
      <c r="AHP49" s="3357"/>
      <c r="AHQ49" s="3358" t="b">
        <f>ISBLANK('!Egen_SK'!$CH$129)</f>
        <v>1</v>
      </c>
      <c r="AHR49" s="3358"/>
      <c r="AHS49" s="3359">
        <f>'!Egen_SK'!$CH$129</f>
        <v>0</v>
      </c>
      <c r="AHT49" s="3358"/>
      <c r="AHU49" s="3625" t="e">
        <f>INDEX(klasseqty_sprøyte[veder_tykkelse_g],MATCH($AI$54,klasseqty_sprøyte[Type_size],0))</f>
        <v>#N/A</v>
      </c>
      <c r="AHV49" s="3358"/>
      <c r="AHW49" s="3371" t="e">
        <f t="shared" si="217"/>
        <v>#N/A</v>
      </c>
      <c r="AHX49" s="3710"/>
      <c r="AHY49" s="2622"/>
      <c r="AHZ49" s="3357"/>
      <c r="AIA49" s="3358" t="b">
        <f>ISBLANK('!Egen_SK'!$CH$136)</f>
        <v>1</v>
      </c>
      <c r="AIB49" s="3358"/>
      <c r="AIC49" s="3359">
        <f>'!Egen_SK'!$CH$136</f>
        <v>0</v>
      </c>
      <c r="AID49" s="3358"/>
      <c r="AIE49" s="3625" t="e">
        <f>INDEX(klasseqty_sprøyte[vegg_tykkelse_g],MATCH($AI$54,klasseqty_sprøyte[Type_size],0))</f>
        <v>#N/A</v>
      </c>
      <c r="AIF49" s="3358"/>
      <c r="AIG49" s="3371" t="e">
        <f t="shared" si="218"/>
        <v>#N/A</v>
      </c>
      <c r="AIH49" s="3710"/>
      <c r="AII49" s="184"/>
      <c r="AIJ49" s="3813"/>
      <c r="AIK49" s="3358" t="b">
        <f>ISBLANK('!Egen_SK'!$CH$143)</f>
        <v>1</v>
      </c>
      <c r="AIL49" s="3358"/>
      <c r="AIM49" s="3359">
        <f>'!Egen_SK'!$CH$143</f>
        <v>0</v>
      </c>
      <c r="AIN49" s="3358"/>
      <c r="AIO49" s="3375" t="e">
        <f>INDEX(klasseqty_sprøyte[ruhetfaktor_g],MATCH($AI$54,klasseqty_sprøyte[Type_size],0))</f>
        <v>#N/A</v>
      </c>
      <c r="AIP49" s="3358"/>
      <c r="AIQ49" s="3371" t="e">
        <f t="shared" si="219"/>
        <v>#N/A</v>
      </c>
      <c r="AIR49" s="3754"/>
      <c r="AIS49" s="2622"/>
      <c r="AIT49" s="3357"/>
      <c r="AIU49" s="3358" t="b">
        <f>ISBLANK('!Egen_SK'!$CH$193)</f>
        <v>1</v>
      </c>
      <c r="AIV49" s="3358"/>
      <c r="AIW49" s="3374">
        <f>'!Egen_SK'!$CH$193</f>
        <v>0</v>
      </c>
      <c r="AIX49" s="3358"/>
      <c r="AIY49" s="3360" t="e">
        <f>INDEX(klasseqty_buer[dimensjon_g],MATCH($AI$54,klasseqty_buer[Type_size],0))</f>
        <v>#N/A</v>
      </c>
      <c r="AIZ49" s="3358"/>
      <c r="AJA49" s="3371" t="e">
        <f t="shared" si="220"/>
        <v>#N/A</v>
      </c>
      <c r="AJB49" s="3358"/>
      <c r="AJC49" s="3358" t="b">
        <f>ISBLANK('!Egen_SK'!$CH$198)</f>
        <v>1</v>
      </c>
      <c r="AJD49" s="3358"/>
      <c r="AJE49" s="3369">
        <f>'!Egen_SK'!$CH$198</f>
        <v>0</v>
      </c>
      <c r="AJF49" s="3358"/>
      <c r="AJG49" s="3548" t="e">
        <f>INDEX(klasseqty_buer[andel_g],MATCH($AI$54,klasseqty_buer[Type_size],0))</f>
        <v>#N/A</v>
      </c>
      <c r="AJH49" s="3358"/>
      <c r="AJI49" s="4141" t="e">
        <f t="shared" si="221"/>
        <v>#N/A</v>
      </c>
      <c r="AJJ49" s="3358"/>
      <c r="AJK49" s="3358" t="b">
        <f>ISBLANK('!Egen_SK'!$CH$202)</f>
        <v>1</v>
      </c>
      <c r="AJL49" s="3358"/>
      <c r="AJM49" s="3359">
        <f>'!Egen_SK'!$CH$202</f>
        <v>0</v>
      </c>
      <c r="AJN49" s="3358"/>
      <c r="AJO49" s="3375" t="e">
        <f>INDEX(klasseqty_buer[bue_senteravstand_g],MATCH($AI$54,klasseqty_buer[Type_size],0))</f>
        <v>#N/A</v>
      </c>
      <c r="AJP49" s="3358"/>
      <c r="AJQ49" s="3371" t="e">
        <f t="shared" si="222"/>
        <v>#N/A</v>
      </c>
      <c r="AJR49" s="3358"/>
      <c r="AJS49" s="3358" t="b">
        <f>ISBLANK('!Egen_SK'!$CH$206)</f>
        <v>1</v>
      </c>
      <c r="AJT49" s="3358"/>
      <c r="AJU49" s="3359">
        <f>'!Egen_SK'!$CH$206</f>
        <v>0</v>
      </c>
      <c r="AJV49" s="3358"/>
      <c r="AJW49" s="3375" t="e">
        <f>INDEX(klasseqty_buer[utvidelse_g],MATCH($AI$54,klasseqty_buer[Type_size],0))</f>
        <v>#N/A</v>
      </c>
      <c r="AJX49" s="3358"/>
      <c r="AJY49" s="3371" t="e">
        <f t="shared" si="223"/>
        <v>#N/A</v>
      </c>
      <c r="AJZ49" s="3619"/>
      <c r="AKA49" s="3675"/>
      <c r="AKB49" s="3675"/>
      <c r="AKC49" s="3582"/>
      <c r="AKD49" s="3357"/>
      <c r="AKE49" s="3358" t="b">
        <f>ISBLANK('!Egen_SK'!$CH$213)</f>
        <v>1</v>
      </c>
      <c r="AKF49" s="3358"/>
      <c r="AKG49" s="3359">
        <f>'!Egen_SK'!$CH$213</f>
        <v>0</v>
      </c>
      <c r="AKH49" s="3358"/>
      <c r="AKI49" s="3375" t="e">
        <f>INDEX(klasseqty_buer[radiellebolter_senteravstand_g],MATCH($AI$54,klasseqty_buer[Type_size],0))</f>
        <v>#N/A</v>
      </c>
      <c r="AKJ49" s="3358"/>
      <c r="AKK49" s="3371" t="e">
        <f t="shared" si="224"/>
        <v>#N/A</v>
      </c>
      <c r="AKL49" s="3358"/>
      <c r="AKM49" s="3358" t="b">
        <f>ISBLANK('!Egen_SK'!$CH$217)</f>
        <v>1</v>
      </c>
      <c r="AKN49" s="3358"/>
      <c r="AKO49" s="3713">
        <f>'!Egen_SK'!$CH$217</f>
        <v>0</v>
      </c>
      <c r="AKP49" s="3358"/>
      <c r="AKQ49" s="3548" t="e">
        <f>INDEX(klasseqty_buer[radiellebolter_lt4_g],MATCH($AI$54,klasseqty_buer[Type_size],0))</f>
        <v>#N/A</v>
      </c>
      <c r="AKR49" s="3358"/>
      <c r="AKS49" s="3372" t="e">
        <f t="shared" si="245"/>
        <v>#N/A</v>
      </c>
      <c r="AKT49" s="3358"/>
      <c r="AKU49" s="277"/>
      <c r="AKV49" s="3358"/>
      <c r="AKW49" s="3358"/>
      <c r="AKX49" s="3369" t="str">
        <f t="shared" si="246"/>
        <v/>
      </c>
      <c r="AKY49" s="3358"/>
      <c r="AKZ49" s="3548" t="e">
        <f>INDEX(klasseqty_buer[radiellebolter_gt4_g],MATCH($AI$54,klasseqty_buer[Type_size],0))</f>
        <v>#N/A</v>
      </c>
      <c r="ALA49" s="3358"/>
      <c r="ALB49" s="3373" t="e">
        <f t="shared" si="247"/>
        <v>#N/A</v>
      </c>
      <c r="ALC49" s="3643"/>
      <c r="ALD49" s="3357"/>
      <c r="ALE49" s="3358" t="b">
        <f>ISBLANK('!Egen_SK'!$CH$226)</f>
        <v>1</v>
      </c>
      <c r="ALF49" s="3358"/>
      <c r="ALG49" s="3359">
        <f>'!Egen_SK'!$CH$226</f>
        <v>0</v>
      </c>
      <c r="ALH49" s="3358"/>
      <c r="ALI49" s="3375" t="e">
        <f>INDEX(klasseqty_buer[tillegs-sprøytebetong_g],MATCH($AI$54,klasseqty_buer[Type_size],0))</f>
        <v>#N/A</v>
      </c>
      <c r="ALJ49" s="3358"/>
      <c r="ALK49" s="3371" t="e">
        <f t="shared" si="225"/>
        <v>#N/A</v>
      </c>
      <c r="ALL49" s="3754"/>
      <c r="ALM49" s="2737"/>
      <c r="ALN49" s="3357"/>
      <c r="ALO49" s="3358" t="b">
        <f>ISBLANK('!Egen_SK'!$CH$233)</f>
        <v>1</v>
      </c>
      <c r="ALP49" s="3358"/>
      <c r="ALQ49" s="3716">
        <f>'!Egen_SK'!$CH$233</f>
        <v>0</v>
      </c>
      <c r="ALR49" s="3358"/>
      <c r="ALS49" s="3718" t="e">
        <f>INDEX(klasseqty_buer[forankring_g],MATCH($AI$54,klasseqty_buer[Type_size],0))</f>
        <v>#N/A</v>
      </c>
      <c r="ALT49" s="3358"/>
      <c r="ALU49" s="3720" t="e">
        <f t="shared" si="226"/>
        <v>#N/A</v>
      </c>
      <c r="ALV49" s="3358"/>
      <c r="ALW49" s="3358"/>
      <c r="ALX49" s="3358" t="b">
        <f>ISBLANK('!Egen_SK'!$CH$237)</f>
        <v>1</v>
      </c>
      <c r="ALY49" s="3358"/>
      <c r="ALZ49" s="3369">
        <f>'!Egen_SK'!$CH$237</f>
        <v>0</v>
      </c>
      <c r="AMA49" s="3358"/>
      <c r="AMB49" s="3548" t="e">
        <f>INDEX(klasseqty_buer[forankring_lt4_g],MATCH($AI$54,klasseqty_buer[Type_size],0))</f>
        <v>#N/A</v>
      </c>
      <c r="AMC49" s="3358"/>
      <c r="AMD49" s="3372" t="e">
        <f t="shared" si="248"/>
        <v>#N/A</v>
      </c>
      <c r="AME49" s="3358"/>
      <c r="AMF49" s="277"/>
      <c r="AMG49" s="3358"/>
      <c r="AMH49" s="3358"/>
      <c r="AMI49" s="3369" t="str">
        <f t="shared" si="249"/>
        <v/>
      </c>
      <c r="AMJ49" s="3358"/>
      <c r="AMK49" s="3548" t="e">
        <f>INDEX(klasseqty_buer[forankring_gt4_g],MATCH($AI$54,klasseqty_buer[Type_size],0))</f>
        <v>#N/A</v>
      </c>
      <c r="AML49" s="3358"/>
      <c r="AMM49" s="3373" t="e">
        <f t="shared" si="250"/>
        <v>#N/A</v>
      </c>
      <c r="AMN49" s="5548"/>
      <c r="AMO49" s="5548"/>
      <c r="AMP49" s="5548"/>
      <c r="AMQ49" s="5548"/>
      <c r="AMR49" s="5548"/>
      <c r="AMS49" s="5548"/>
      <c r="AMT49" s="5548"/>
      <c r="AMU49" s="5548"/>
      <c r="AMV49" s="5548"/>
      <c r="AMW49" s="5548"/>
      <c r="AMX49" s="5548"/>
      <c r="AMY49" s="5548"/>
      <c r="AMZ49" s="5548"/>
      <c r="ANA49" s="5548"/>
      <c r="ANB49" s="5548"/>
      <c r="ANC49" s="5548"/>
      <c r="AND49" s="5548"/>
      <c r="ANE49" s="5548"/>
      <c r="ANF49" s="5548"/>
      <c r="ANG49" s="5548"/>
      <c r="ANH49" s="5548"/>
      <c r="ANI49" s="5548"/>
      <c r="ANJ49" s="5548"/>
      <c r="ANK49" s="5548"/>
      <c r="ANL49" s="5548"/>
      <c r="ANM49" s="5548"/>
      <c r="ANN49" s="5548"/>
      <c r="ANO49" s="5548"/>
      <c r="ANP49" s="5548"/>
      <c r="ANQ49" s="5548"/>
      <c r="ANR49" s="5548"/>
      <c r="ANS49" s="5548"/>
      <c r="ANT49" s="5548"/>
      <c r="ANU49" s="5548"/>
      <c r="ANV49" s="5548"/>
      <c r="ANW49" s="5548"/>
      <c r="ANX49" s="5548"/>
      <c r="ANY49" s="5548"/>
      <c r="ANZ49" s="5548"/>
      <c r="AOA49" s="5548"/>
      <c r="AOB49" s="5548"/>
      <c r="AOC49" s="5548"/>
      <c r="AOD49" s="5548"/>
      <c r="AOE49" s="5548"/>
      <c r="AOF49" s="5548"/>
      <c r="AOG49" s="5548"/>
      <c r="AOH49" s="5548"/>
      <c r="AOI49" s="5548"/>
      <c r="AOJ49" s="5548"/>
      <c r="AOK49" s="5548"/>
      <c r="AOL49" s="5548"/>
      <c r="AOM49" s="5548"/>
      <c r="AOO49" s="3357"/>
      <c r="AOP49" s="3358" t="b">
        <f>ISBLANK('!Egen_SK'!$CH$157)</f>
        <v>1</v>
      </c>
      <c r="AOQ49" s="3358"/>
      <c r="AOR49" s="3359">
        <f>'!Egen_SK'!$CH$157</f>
        <v>0</v>
      </c>
      <c r="AOS49" s="3358"/>
      <c r="AOT49" s="3548" t="e">
        <f>INDEX(klasseqty_forbolting[andel_av_tunnelklasse_g],MATCH($AI$54,klasseqty_forbolting[Type_size],0))</f>
        <v>#N/A</v>
      </c>
      <c r="AOU49" s="3358"/>
      <c r="AOV49" s="4141" t="e">
        <f t="shared" si="227"/>
        <v>#N/A</v>
      </c>
      <c r="AOW49" s="3358"/>
      <c r="AOX49" s="3358"/>
      <c r="AOY49" s="3358" t="b">
        <f>ISBLANK('!Egen_SK'!$CH$157)</f>
        <v>1</v>
      </c>
      <c r="AOZ49" s="3358"/>
      <c r="APA49" s="3359" t="str">
        <f t="shared" si="251"/>
        <v/>
      </c>
      <c r="APB49" s="3358"/>
      <c r="APC49" s="3625" t="e">
        <f>INDEX(klasseqty_forbolting[andel_av_tunnelklasse_g],MATCH($AI$54,klasseqty_forbolting[Type_size],0))</f>
        <v>#N/A</v>
      </c>
      <c r="APD49" s="3358"/>
      <c r="APE49" s="5166" t="e">
        <f t="shared" si="228"/>
        <v>#N/A</v>
      </c>
      <c r="APF49" s="3358"/>
      <c r="APG49" s="3358" t="b">
        <f>ISBLANK('!Egen_SK'!$CH$152)</f>
        <v>1</v>
      </c>
      <c r="APH49" s="3358"/>
      <c r="API49" s="3359">
        <f>'!Egen_SK'!$CH$152</f>
        <v>0</v>
      </c>
      <c r="APJ49" s="3358"/>
      <c r="APK49" s="3375" t="e">
        <f>INDEX(klasseqty_forbolting[bueområde_g],MATCH($AI$54,klasseqty_forbolting[Type_size],0))</f>
        <v>#N/A</v>
      </c>
      <c r="APL49" s="3358"/>
      <c r="APM49" s="3371" t="e">
        <f t="shared" si="229"/>
        <v>#N/A</v>
      </c>
      <c r="APN49" s="3358"/>
      <c r="APO49" s="3358" t="b">
        <f>ISBLANK('!Egen_SK'!$CH$165)</f>
        <v>1</v>
      </c>
      <c r="APP49" s="3358"/>
      <c r="APQ49" s="3359">
        <f>'!Egen_SK'!$CH$165</f>
        <v>0</v>
      </c>
      <c r="APR49" s="3358"/>
      <c r="APS49" s="3375" t="e">
        <f>INDEX(klasseqty_forbolting[forbolting_senteravstand_g],MATCH($AI$54,klasseqty_forbolting[Type_size],0))</f>
        <v>#N/A</v>
      </c>
      <c r="APT49" s="3358"/>
      <c r="APU49" s="3371" t="e">
        <f t="shared" si="230"/>
        <v>#N/A</v>
      </c>
      <c r="APV49" s="3358"/>
      <c r="APW49" s="3358" t="b">
        <f>ISBLANK('!Egen_SK'!$CH$169)</f>
        <v>1</v>
      </c>
      <c r="APX49" s="3358"/>
      <c r="APY49" s="3713">
        <f>'!Egen_SK'!$CH$169</f>
        <v>0</v>
      </c>
      <c r="APZ49" s="3358"/>
      <c r="AQA49" s="3548" t="e">
        <f>INDEX(klasseqty_forbolting[forbolting_lt4_g],MATCH($AI$54,klasseqty_forbolting[Type_size],0))</f>
        <v>#N/A</v>
      </c>
      <c r="AQB49" s="3358"/>
      <c r="AQC49" s="3372" t="e">
        <f t="shared" si="252"/>
        <v>#N/A</v>
      </c>
      <c r="AQD49" s="3358"/>
      <c r="AQE49" s="277"/>
      <c r="AQF49" s="3358"/>
      <c r="AQG49" s="3358"/>
      <c r="AQH49" s="3369" t="str">
        <f t="shared" si="253"/>
        <v/>
      </c>
      <c r="AQI49" s="3358"/>
      <c r="AQJ49" s="3548" t="e">
        <f>INDEX(klasseqty_forbolting[forbolting_gt4_g],MATCH($AI$54,klasseqty_forbolting[Type_size],0))</f>
        <v>#N/A</v>
      </c>
      <c r="AQK49" s="3358"/>
      <c r="AQL49" s="3373" t="e">
        <f t="shared" si="254"/>
        <v>#N/A</v>
      </c>
      <c r="AQN49" s="3357"/>
      <c r="AQO49" s="3358" t="b">
        <f>ISBLANK('!Egen_SK'!$CH$178)</f>
        <v>1</v>
      </c>
      <c r="AQP49" s="3358"/>
      <c r="AQQ49" s="3359">
        <f>'!Egen_SK'!$CH$178</f>
        <v>0</v>
      </c>
      <c r="AQR49" s="3358"/>
      <c r="AQS49" s="3375" t="e">
        <f>INDEX(klasseqty_forbolting[oppheng_senteravstand_g],MATCH($AI$54,klasseqty_forbolting[Type_size],0))</f>
        <v>#N/A</v>
      </c>
      <c r="AQT49" s="3358"/>
      <c r="AQU49" s="3371" t="e">
        <f t="shared" si="231"/>
        <v>#N/A</v>
      </c>
      <c r="AQV49" s="3358"/>
      <c r="AQW49" s="3358" t="b">
        <f>ISBLANK('!Egen_SK'!$CH$182)</f>
        <v>1</v>
      </c>
      <c r="AQX49" s="3358"/>
      <c r="AQY49" s="3713">
        <f>'!Egen_SK'!$CH$182</f>
        <v>0</v>
      </c>
      <c r="AQZ49" s="3358"/>
      <c r="ARA49" s="3548" t="e">
        <f>INDEX(klasseqty_forbolting[oppheng_lt4_g],MATCH($AI$54,klasseqty_forbolting[Type_size],0))</f>
        <v>#N/A</v>
      </c>
      <c r="ARB49" s="3358"/>
      <c r="ARC49" s="3372" t="e">
        <f t="shared" si="255"/>
        <v>#N/A</v>
      </c>
      <c r="ARD49" s="3358"/>
      <c r="ARE49" s="277"/>
      <c r="ARF49" s="3358"/>
      <c r="ARG49" s="3358"/>
      <c r="ARH49" s="3369" t="str">
        <f t="shared" si="256"/>
        <v/>
      </c>
      <c r="ARI49" s="3358"/>
      <c r="ARJ49" s="3548" t="e">
        <f>INDEX(klasseqty_forbolting[oppheng_gt4_g],MATCH($AI$54,klasseqty_forbolting[Type_size],0))</f>
        <v>#N/A</v>
      </c>
      <c r="ARK49" s="3358"/>
      <c r="ARL49" s="3373" t="e">
        <f t="shared" si="257"/>
        <v>#N/A</v>
      </c>
      <c r="ART49" s="3357" t="b">
        <f>ISBLANK('!Egen_SK'!#REF!)</f>
        <v>0</v>
      </c>
      <c r="ARU49" s="3358"/>
      <c r="ARV49" s="3713">
        <f>'!Egen_SK'!$CH$312</f>
        <v>0</v>
      </c>
      <c r="ARW49" s="3358"/>
      <c r="ARX49" s="3625" t="e">
        <f>INDEX(klasseqty_sik1234[sikringsstøp_hypp_g],MATCH($AI$54,klasseqty_sik1234[Type_size],0))</f>
        <v>#N/A</v>
      </c>
      <c r="ARY49" s="3358"/>
      <c r="ARZ49" s="3371">
        <f t="shared" si="232"/>
        <v>0</v>
      </c>
      <c r="ASA49" s="277"/>
      <c r="ASB49" s="3358" t="b">
        <f>ISBLANK('!Egen_SK'!$CH$316)</f>
        <v>1</v>
      </c>
      <c r="ASC49" s="3358"/>
      <c r="ASD49" s="3359">
        <f>'!Egen_SK'!$CH$316</f>
        <v>0</v>
      </c>
      <c r="ASE49" s="3358"/>
      <c r="ASF49" s="3548" t="e">
        <f>INDEX(klasseqty_sik1234[sikringsstøp_123_g],MATCH($AI$54,klasseqty_sik1234[Type_size],0))</f>
        <v>#N/A</v>
      </c>
      <c r="ASG49" s="3358"/>
      <c r="ASH49" s="3372" t="e">
        <f t="shared" si="258"/>
        <v>#N/A</v>
      </c>
      <c r="ASI49" s="3358"/>
      <c r="ASJ49" s="277"/>
      <c r="ASK49" s="3358"/>
      <c r="ASL49" s="3358"/>
      <c r="ASM49" s="3369" t="str">
        <f t="shared" si="259"/>
        <v/>
      </c>
      <c r="ASN49" s="3358"/>
      <c r="ASO49" s="3548" t="e">
        <f>INDEX(klasseqty_sik1234[sikringsstøp_4_g],MATCH($AI$54,klasseqty_sik1234[Type_size],0))</f>
        <v>#N/A</v>
      </c>
      <c r="ASP49" s="3358"/>
      <c r="ASQ49" s="3373" t="e">
        <f t="shared" si="260"/>
        <v>#N/A</v>
      </c>
      <c r="ASR49" s="2737"/>
      <c r="ASS49" s="2737"/>
      <c r="ATA49" s="2622"/>
      <c r="ATB49" s="2622"/>
      <c r="ATC49" s="2622"/>
      <c r="ATD49" s="2622"/>
      <c r="ATE49" s="2622"/>
      <c r="ATF49" s="2622"/>
      <c r="ATG49" s="2622"/>
      <c r="ATH49" s="2622"/>
      <c r="ATI49" s="2622"/>
      <c r="ATJ49" s="2622"/>
      <c r="ATK49" s="2622"/>
      <c r="ATL49" s="199" t="s">
        <v>1171</v>
      </c>
      <c r="ATM49" s="199">
        <v>11.278</v>
      </c>
      <c r="ATN49" s="2622"/>
      <c r="ATO49" s="2622"/>
      <c r="ATP49" s="2622"/>
      <c r="ATQ49" s="2622"/>
      <c r="ATR49" s="2622"/>
      <c r="ATT49" s="2622"/>
      <c r="ATU49" s="2622"/>
      <c r="ATV49" s="2622"/>
      <c r="ATW49" s="2622"/>
      <c r="ATX49" s="2617"/>
      <c r="ATY49" s="2617"/>
      <c r="ATZ49" s="2617"/>
      <c r="AUA49" s="2617"/>
      <c r="AUB49" s="2617"/>
      <c r="AUC49" s="2617"/>
      <c r="AUD49" s="2617"/>
      <c r="AUE49" s="2617"/>
      <c r="AUF49" s="2617"/>
      <c r="AUG49" s="2617"/>
      <c r="AUH49" s="2617"/>
      <c r="AUI49" s="2617"/>
      <c r="AUJ49" s="2617"/>
      <c r="AUK49" s="2617"/>
      <c r="AUL49" s="2617"/>
      <c r="AUM49" s="2617"/>
      <c r="AUN49" s="2617"/>
      <c r="AUO49" s="2617"/>
      <c r="AUP49" s="2617"/>
      <c r="AUQ49" s="2617"/>
      <c r="AUR49" s="2617"/>
      <c r="AUS49" s="2617"/>
      <c r="AUT49" s="2617"/>
      <c r="AUU49" s="2617"/>
      <c r="AUV49" s="2627" t="s">
        <v>1322</v>
      </c>
      <c r="AUW49" s="2627"/>
      <c r="AUX49" s="2627"/>
      <c r="AUY49" s="2617"/>
      <c r="AUZ49" s="2617"/>
      <c r="AVA49" s="2617"/>
      <c r="AVB49" s="2617"/>
      <c r="AVC49" s="2617"/>
      <c r="AVD49" s="2617"/>
      <c r="AVE49" s="2617"/>
      <c r="AVF49" s="2617"/>
      <c r="AVG49" s="2617"/>
      <c r="AVH49" s="2617"/>
      <c r="AVI49" s="2617"/>
      <c r="AVJ49" s="2617"/>
      <c r="AVK49" s="2617"/>
      <c r="AVL49" s="2617"/>
      <c r="AVM49" s="2617"/>
      <c r="AVN49" s="2617"/>
      <c r="AVO49" s="2617"/>
      <c r="AVP49" s="2617"/>
      <c r="AVQ49" s="2617"/>
      <c r="AVR49" s="2617"/>
      <c r="AVS49" s="2617"/>
      <c r="AVT49" s="2617"/>
      <c r="AVU49" s="2617"/>
      <c r="AVV49" s="2617"/>
      <c r="AVW49" s="2617"/>
      <c r="AVX49" s="2617"/>
      <c r="AVY49" s="2617"/>
      <c r="AVZ49" s="2617"/>
      <c r="AWA49" s="2617"/>
      <c r="AWB49" s="2617"/>
      <c r="AWC49" s="2617"/>
      <c r="AWD49" s="2617"/>
      <c r="AWE49" s="2617"/>
      <c r="AWF49" s="2617"/>
      <c r="AWG49" s="2617"/>
      <c r="AWH49" s="2617"/>
      <c r="AWI49" s="2617"/>
      <c r="AWJ49" s="2617"/>
      <c r="AWK49" s="2617"/>
      <c r="AWL49" s="2617"/>
      <c r="AWM49" s="2617"/>
      <c r="AWN49" s="2617"/>
      <c r="AWO49" s="2617"/>
      <c r="AWP49" s="2617"/>
      <c r="AWQ49" s="2617"/>
      <c r="AWR49" s="2617"/>
      <c r="AWS49" s="2617"/>
      <c r="AWT49" s="2617"/>
      <c r="AWU49" s="2617"/>
      <c r="AWV49" s="2617"/>
      <c r="AWW49" s="2617"/>
      <c r="AWX49" s="2617"/>
      <c r="AWY49" s="2617"/>
      <c r="AWZ49" s="2617"/>
      <c r="AXA49" s="2617"/>
      <c r="AXB49" s="2617"/>
      <c r="AXC49" s="2617"/>
      <c r="AXD49" s="2617"/>
      <c r="AXE49" s="2617"/>
      <c r="AXF49" s="2617"/>
      <c r="AXG49" s="2617"/>
      <c r="AXH49" s="2617"/>
      <c r="AXI49" s="2617"/>
      <c r="AXJ49" s="2617"/>
      <c r="AXK49" s="2617"/>
      <c r="AYG49" s="3414">
        <v>22</v>
      </c>
      <c r="AYT49" s="372" t="s">
        <v>877</v>
      </c>
      <c r="AYU49" s="3420">
        <v>1</v>
      </c>
      <c r="AYV49" s="3412">
        <f t="shared" si="261"/>
        <v>200</v>
      </c>
      <c r="AYW49" s="199"/>
      <c r="AYX49" s="3423"/>
      <c r="AYY49" s="199"/>
      <c r="AYZ49" s="199"/>
      <c r="AZA49" s="199"/>
      <c r="AZB49" s="3424">
        <v>1.5</v>
      </c>
      <c r="AZC49" s="184"/>
      <c r="AZD49" s="184"/>
      <c r="AZE49" s="2622"/>
      <c r="AZF49" s="2622"/>
      <c r="AZG49" s="2622"/>
      <c r="AZH49" s="2622"/>
      <c r="AZI49" s="184"/>
      <c r="AZJ49" s="184"/>
      <c r="AZK49" s="2622"/>
      <c r="AZL49" s="3419">
        <v>7</v>
      </c>
      <c r="AZM49" s="2622"/>
      <c r="AZN49" s="2622"/>
      <c r="AZO49" s="2622"/>
      <c r="AZP49" s="2622"/>
      <c r="AZQ49" s="2622"/>
      <c r="AZR49" s="2622"/>
      <c r="AZS49" s="2622"/>
      <c r="AZT49" s="2622"/>
      <c r="AZU49" s="2622"/>
      <c r="AZX49" s="2622"/>
      <c r="AZY49" s="2622"/>
      <c r="AZZ49" s="2622"/>
      <c r="BAA49" s="2622"/>
      <c r="BAB49" s="2622"/>
      <c r="BAC49" s="2622"/>
      <c r="BAD49" s="2622"/>
      <c r="BAE49" s="2622"/>
      <c r="BAF49" s="2622"/>
      <c r="BAG49" s="2622"/>
      <c r="BAH49" s="2622"/>
      <c r="BAI49" s="2622"/>
      <c r="BAL49" s="2622"/>
      <c r="BAM49" s="2622"/>
      <c r="BAN49" s="2622"/>
      <c r="BAO49" s="2622"/>
      <c r="BAP49" s="2622"/>
      <c r="BAQ49" s="2622"/>
      <c r="BAT49" s="2622"/>
      <c r="BAU49" s="185" t="s">
        <v>192</v>
      </c>
      <c r="BAV49" s="199"/>
      <c r="BAW49" s="199" t="s">
        <v>892</v>
      </c>
      <c r="BAX49" s="2972" t="s">
        <v>906</v>
      </c>
      <c r="BAY49" s="2974">
        <v>1.75</v>
      </c>
      <c r="BAZ49" s="2973" t="s">
        <v>905</v>
      </c>
      <c r="BBA49" s="2976">
        <v>100</v>
      </c>
      <c r="BBB49" s="2692"/>
      <c r="BBC49" s="2692"/>
      <c r="BBD49" s="2692"/>
      <c r="BBE49" s="2692"/>
      <c r="BBF49" s="2692"/>
      <c r="BBG49" s="2692"/>
      <c r="BBH49" s="2692"/>
      <c r="BBI49" s="2692"/>
      <c r="BBK49" s="2622"/>
      <c r="BBQ49" s="3399"/>
      <c r="BCJ49" s="2617"/>
      <c r="BCK49" s="2617"/>
      <c r="BCL49" s="2617"/>
      <c r="BCM49" s="2617"/>
      <c r="BCN49" s="2617"/>
      <c r="BCO49" s="2617"/>
      <c r="BCP49" s="2617"/>
      <c r="BCQ49" s="2617"/>
      <c r="BCR49" s="2617"/>
      <c r="BCS49" s="2617"/>
      <c r="BCT49" s="2617"/>
      <c r="BCU49" s="2617"/>
      <c r="BCV49" s="2617"/>
      <c r="BCW49" s="2617"/>
      <c r="BCX49" s="2617"/>
      <c r="BCY49" s="2617"/>
      <c r="BCZ49" s="2617"/>
      <c r="BDA49" s="2617"/>
      <c r="BDB49" s="2617"/>
      <c r="BDC49" s="2617"/>
      <c r="BDD49" s="2617"/>
      <c r="BDE49" s="2617"/>
      <c r="BDF49" s="2617"/>
      <c r="BDG49" s="2617"/>
      <c r="BDH49" s="2617"/>
      <c r="BDI49" s="2617"/>
      <c r="BDL49" s="2617"/>
      <c r="BDM49" s="2617"/>
      <c r="BDN49" s="2617"/>
      <c r="BDO49" s="2617"/>
      <c r="BDP49" s="2617"/>
      <c r="BDQ49" s="2617"/>
      <c r="BDR49" s="2617"/>
      <c r="BDS49" s="2617"/>
      <c r="BDT49" s="2617"/>
      <c r="BDU49" s="2617"/>
      <c r="BDV49" s="2617"/>
      <c r="BDW49" s="2617"/>
      <c r="BDZ49" s="2617"/>
      <c r="BEA49" s="2617"/>
      <c r="BEB49" s="2617"/>
      <c r="BEC49" s="2617"/>
      <c r="BED49" s="2617"/>
      <c r="BEE49" s="2617"/>
      <c r="BEH49" s="2617"/>
    </row>
    <row r="50" spans="32:1513" ht="20.100000000000001" customHeight="1" x14ac:dyDescent="0.2">
      <c r="AH50" s="206" t="s">
        <v>242</v>
      </c>
      <c r="AI50" s="199" t="str">
        <f>Prosjektinfo!$Q$49</f>
        <v>Vegtunnel</v>
      </c>
      <c r="AU50" s="235">
        <v>6</v>
      </c>
      <c r="AV50" s="185">
        <f>IF('!INN_SK'!$BN$55="",0,1)</f>
        <v>1</v>
      </c>
      <c r="AW50" s="185">
        <f>IF('!INN_SK'!$BN$57="",0,1)</f>
        <v>1</v>
      </c>
      <c r="AX50" s="185">
        <f>IF('!INN_SK'!$BN$64="",0,1)</f>
        <v>1</v>
      </c>
      <c r="AY50" s="185">
        <f>IF('!INN_SK'!$BN$71="",0,1)</f>
        <v>1</v>
      </c>
      <c r="AZ50" s="185">
        <f>IF('!INN_SK'!$BN$78="",0,1)</f>
        <v>1</v>
      </c>
      <c r="BA50" s="185">
        <f>IF('!INN_SK'!$BN$80="",0,1)</f>
        <v>1</v>
      </c>
      <c r="BB50" s="185">
        <f>IF('!INN_SK'!$BN$87="",0,1)</f>
        <v>1</v>
      </c>
      <c r="BC50" s="193">
        <f>IF('!INN_SK'!$BN$94="",0,1)</f>
        <v>1</v>
      </c>
      <c r="BD50" s="247">
        <f>COUNTIF(checks_klasse[[#This Row],[A]:[G]],0)</f>
        <v>0</v>
      </c>
      <c r="BE50" s="183"/>
      <c r="CG50" s="5812" t="str">
        <f>_Calcs!$QU$135</f>
        <v>Stuff 2-3</v>
      </c>
      <c r="CH50" s="5559">
        <f>IF($AI$31=1,INDEX(outputs_position[23],MATCH(_Calcs!$BC$35,outputs_position[lopstuff],0)),0)</f>
        <v>0</v>
      </c>
      <c r="CI50" s="5852"/>
      <c r="CJ50" s="372">
        <f t="shared" si="262"/>
        <v>0</v>
      </c>
      <c r="CK50" s="194">
        <v>71</v>
      </c>
      <c r="CL50" s="3453"/>
      <c r="CM50" s="3453"/>
      <c r="CN50" s="3453"/>
      <c r="CO50" s="3453"/>
      <c r="CP50" s="3453"/>
      <c r="CQ50" s="3453"/>
      <c r="CR50" s="3453"/>
      <c r="CS50" s="3453"/>
      <c r="CT50" s="3453"/>
      <c r="CU50" s="3453"/>
      <c r="CV50" s="3453"/>
      <c r="CW50" s="3453"/>
      <c r="CX50" s="3453">
        <f>CX$32*$AM$45</f>
        <v>0</v>
      </c>
      <c r="CY50" s="3453"/>
      <c r="CZ50" s="3453">
        <f>CZ$32*$AM$45</f>
        <v>0</v>
      </c>
      <c r="DA50" s="3453"/>
      <c r="DB50" s="3453">
        <f>DB$32*$AM$45</f>
        <v>0</v>
      </c>
      <c r="DC50" s="3453"/>
      <c r="DD50" s="3453">
        <f>DD$32*$AM$45</f>
        <v>0</v>
      </c>
      <c r="DE50" s="3453"/>
      <c r="DF50" s="3453">
        <f>DF$32*$AM$45</f>
        <v>0</v>
      </c>
      <c r="DG50" s="3453"/>
      <c r="DH50" s="3453">
        <f>DH$32*$AM$45</f>
        <v>0</v>
      </c>
      <c r="DI50" s="3453"/>
      <c r="DJ50" s="3453">
        <f>DJ$32*$AM$45</f>
        <v>0</v>
      </c>
      <c r="DK50" s="3453"/>
      <c r="DL50" s="3453">
        <f>DL$32*$AM$45</f>
        <v>0</v>
      </c>
      <c r="DM50" s="5881">
        <f>IF($CH50&gt;0,DM$32*_Calcs!$AJ$40,0)</f>
        <v>0</v>
      </c>
      <c r="DN50" s="3453"/>
      <c r="DO50" s="3453"/>
      <c r="DP50" s="3453">
        <f>DP$32*$AM$45</f>
        <v>0</v>
      </c>
      <c r="DQ50" s="3453"/>
      <c r="DR50" s="3453">
        <f>DR$32*$AM$45</f>
        <v>0</v>
      </c>
      <c r="DS50" s="3453"/>
      <c r="DT50" s="3453">
        <f>DT$32*$AM$45</f>
        <v>0</v>
      </c>
      <c r="DU50" s="3453"/>
      <c r="DV50" s="3453">
        <f>DV$32*$AM$45</f>
        <v>0</v>
      </c>
      <c r="DW50" s="3453"/>
      <c r="DX50" s="3453">
        <f>DX$32*$AM$45</f>
        <v>0</v>
      </c>
      <c r="DY50" s="3453"/>
      <c r="DZ50" s="3453">
        <f>DZ$32*$AM$45</f>
        <v>0</v>
      </c>
      <c r="EA50" s="3453"/>
      <c r="EB50" s="3453">
        <f>EB$32*$AM$45</f>
        <v>0</v>
      </c>
      <c r="EC50" s="3453"/>
      <c r="ED50" s="3453">
        <f>ED$32*$AM$45</f>
        <v>0</v>
      </c>
      <c r="EE50" s="5881">
        <f>IF($CH50&gt;0,EE$32*_Calcs!$AJ$40,0)</f>
        <v>0</v>
      </c>
      <c r="EF50" s="5712"/>
      <c r="EG50" s="5712"/>
      <c r="EH50" s="5712"/>
      <c r="EI50" s="5712"/>
      <c r="EJ50" s="5712"/>
      <c r="EK50" s="5712"/>
      <c r="EL50" s="5712"/>
      <c r="EM50" s="5712"/>
      <c r="EN50" s="5712"/>
      <c r="EO50" s="5712"/>
      <c r="EP50" s="5712"/>
      <c r="EQ50" s="5712"/>
      <c r="ER50" s="5712"/>
      <c r="ES50" s="5712"/>
      <c r="ET50" s="5712"/>
      <c r="EU50" s="5712"/>
      <c r="EV50" s="5712"/>
      <c r="EW50" s="5881">
        <f>IF($CH50&gt;0,EW$32*_Calcs!$AJ$40,0)</f>
        <v>0</v>
      </c>
      <c r="EX50" s="5712"/>
      <c r="EY50" s="5712"/>
      <c r="EZ50" s="5712"/>
      <c r="FA50" s="5712"/>
      <c r="FB50" s="5712"/>
      <c r="FC50" s="5712"/>
      <c r="FD50" s="5712"/>
      <c r="FE50" s="5712"/>
      <c r="FF50" s="5712"/>
      <c r="FG50" s="5712"/>
      <c r="FH50" s="5712"/>
      <c r="FI50" s="5712"/>
      <c r="FJ50" s="5712"/>
      <c r="FK50" s="5712"/>
      <c r="FL50" s="5712"/>
      <c r="FM50" s="5712"/>
      <c r="FN50" s="5712"/>
      <c r="FO50" s="5712"/>
      <c r="FP50" s="5712"/>
      <c r="FQ50" s="5712"/>
      <c r="FR50" s="5712"/>
      <c r="FS50" s="5712"/>
      <c r="FT50" s="5712"/>
      <c r="FU50" s="5712"/>
      <c r="FV50" s="5712"/>
      <c r="FW50" s="5712"/>
      <c r="FX50" s="5712"/>
      <c r="FY50" s="5712"/>
      <c r="FZ50" s="5712"/>
      <c r="GA50" s="5712"/>
      <c r="GB50" s="3453"/>
      <c r="GC50" s="3453"/>
      <c r="GD50" s="3453"/>
      <c r="GE50" s="3453"/>
      <c r="GF50" s="3453"/>
      <c r="GG50" s="5881">
        <f>IF($CH50&gt;0,GG$32*_Calcs!$AJ$40,0)</f>
        <v>0</v>
      </c>
      <c r="GH50" s="3453"/>
      <c r="GI50" s="3453"/>
      <c r="GJ50" s="3453"/>
      <c r="GK50" s="3453"/>
      <c r="GL50" s="3453"/>
      <c r="GM50" s="3453"/>
      <c r="GN50" s="3453"/>
      <c r="GO50" s="3453"/>
      <c r="GP50" s="3453"/>
      <c r="GQ50" s="3453"/>
      <c r="GR50" s="3453"/>
      <c r="GS50" s="3453"/>
      <c r="GT50" s="3453"/>
      <c r="GU50" s="3453"/>
      <c r="GV50" s="3453"/>
      <c r="GW50" s="3453"/>
      <c r="GX50" s="3453"/>
      <c r="GY50" s="3453"/>
      <c r="GZ50" s="5881">
        <f>IF($CH50&gt;0,GZ$32*_Calcs!$AJ$40,0)</f>
        <v>0</v>
      </c>
      <c r="HA50" s="5881">
        <f>IF($CH50&gt;0,HA$32*_Calcs!$AJ$40,0)</f>
        <v>0</v>
      </c>
      <c r="HB50" s="3453"/>
      <c r="HC50" s="3453"/>
      <c r="HD50" s="3453"/>
      <c r="HE50" s="3453"/>
      <c r="HF50" s="3453"/>
      <c r="HG50" s="3453"/>
      <c r="HH50" s="3453"/>
      <c r="HI50" s="3453"/>
      <c r="HJ50" s="3453"/>
      <c r="HK50" s="3453"/>
      <c r="HL50" s="3453"/>
      <c r="HM50" s="3453"/>
      <c r="HN50" s="3453"/>
      <c r="HO50" s="3453"/>
      <c r="HP50" s="3453"/>
      <c r="HQ50" s="3453"/>
      <c r="HR50" s="3453"/>
      <c r="HS50" s="3453"/>
      <c r="HT50" s="3453"/>
      <c r="HU50" s="5861"/>
      <c r="HV50" s="5712"/>
      <c r="HW50" s="3453"/>
      <c r="HX50" s="3453"/>
      <c r="HY50" s="3453"/>
      <c r="HZ50" s="5861"/>
      <c r="IA50" s="5712"/>
      <c r="IB50" s="3453"/>
      <c r="IC50" s="3453"/>
      <c r="ID50" s="3453"/>
      <c r="IE50" s="5861"/>
      <c r="IF50" s="5712"/>
      <c r="IG50" s="3453"/>
      <c r="IH50" s="3453"/>
      <c r="II50" s="3453"/>
      <c r="IJ50" s="5861"/>
      <c r="IK50" s="5712"/>
      <c r="IL50" s="3453"/>
      <c r="IM50" s="3453"/>
      <c r="IN50" s="3453"/>
      <c r="IO50" s="5861"/>
      <c r="IP50" s="5712"/>
      <c r="IQ50" s="3453"/>
      <c r="IR50" s="3453"/>
      <c r="IS50" s="3453"/>
      <c r="IT50" s="5861"/>
      <c r="IU50" s="5712"/>
      <c r="IV50" s="3453"/>
      <c r="IW50" s="3453"/>
      <c r="IX50" s="3453"/>
      <c r="IY50" s="5861"/>
      <c r="IZ50" s="5712"/>
      <c r="JA50" s="3453"/>
      <c r="JB50" s="3453"/>
      <c r="JC50" s="3453"/>
      <c r="JD50" s="5861"/>
      <c r="JE50" s="5712"/>
      <c r="JF50" s="3453"/>
      <c r="JG50" s="3453"/>
      <c r="JH50" s="3453"/>
      <c r="JI50" s="3453"/>
      <c r="JJ50" s="3453"/>
      <c r="JK50" s="3453"/>
      <c r="JL50" s="3453"/>
      <c r="JM50" s="3453"/>
      <c r="JN50" s="3453"/>
      <c r="JO50" s="3453"/>
      <c r="JP50" s="3453"/>
      <c r="JQ50" s="3453"/>
      <c r="JR50" s="3453"/>
      <c r="JS50" s="3453"/>
      <c r="JT50" s="3453"/>
      <c r="JU50" s="3453"/>
      <c r="JV50" s="5881">
        <f>IF($CH50&gt;0,JV$32*_Calcs!$AJ$40,0)</f>
        <v>0</v>
      </c>
      <c r="JW50" s="5881">
        <f>IF($CH50&gt;0,JW$32*_Calcs!$AJ$40,0)</f>
        <v>0</v>
      </c>
      <c r="JX50" s="3453"/>
      <c r="JY50" s="3453"/>
      <c r="JZ50" s="3453"/>
      <c r="KA50" s="3453"/>
      <c r="KB50" s="3453"/>
      <c r="KC50" s="3453"/>
      <c r="KD50" s="3453"/>
      <c r="KE50" s="3453"/>
      <c r="KF50" s="3453"/>
      <c r="KG50" s="3453"/>
      <c r="KH50" s="3453"/>
      <c r="KI50" s="3453"/>
      <c r="KJ50" s="3453"/>
      <c r="KK50" s="3453"/>
      <c r="KL50" s="3453"/>
      <c r="KM50" s="3453"/>
      <c r="KN50" s="3453"/>
      <c r="KO50" s="3453"/>
      <c r="KP50" s="3453"/>
      <c r="KQ50" s="3453"/>
      <c r="KR50" s="3453"/>
      <c r="KS50" s="3453"/>
      <c r="KT50" s="3453"/>
      <c r="KU50" s="3453"/>
      <c r="KV50" s="3453"/>
      <c r="KW50" s="3453"/>
      <c r="KX50" s="3453"/>
      <c r="KY50" s="3453"/>
      <c r="KZ50" s="3453"/>
      <c r="LA50" s="3453"/>
      <c r="LB50" s="3453"/>
      <c r="LC50" s="3453"/>
      <c r="LD50" s="5881">
        <f>IF($CH50&gt;0,LD$32*_Calcs!$AJ$40,0)</f>
        <v>0</v>
      </c>
      <c r="LE50" s="5881">
        <f>IF($CH50&gt;0,LE$32*_Calcs!$AJ$40,0)</f>
        <v>0</v>
      </c>
      <c r="LF50" s="5712"/>
      <c r="LG50" s="3453"/>
      <c r="LH50" s="3453"/>
      <c r="LI50" s="3453"/>
      <c r="LJ50" s="3453"/>
      <c r="LK50" s="3453"/>
      <c r="LL50" s="3453"/>
      <c r="LM50" s="3453"/>
      <c r="LN50" s="3453"/>
      <c r="LO50" s="3453"/>
      <c r="LP50" s="3453"/>
      <c r="LQ50" s="3453"/>
      <c r="LR50" s="3453"/>
      <c r="LS50" s="3453"/>
      <c r="LT50" s="3453"/>
      <c r="LU50" s="3453"/>
      <c r="LV50" s="3453"/>
      <c r="LW50" s="5881">
        <f>IF($CH50&gt;0,LW$32*_Calcs!$AJ$40,0)</f>
        <v>0</v>
      </c>
      <c r="LX50" s="3453"/>
      <c r="LY50" s="5703"/>
      <c r="LZ50" s="3453"/>
      <c r="MA50" s="5703"/>
      <c r="MB50" s="3453"/>
      <c r="MC50" s="5703"/>
      <c r="MD50" s="3453"/>
      <c r="ME50" s="5703"/>
      <c r="MF50" s="3453"/>
      <c r="MG50" s="5703"/>
      <c r="MH50" s="3453"/>
      <c r="MI50" s="5703"/>
      <c r="MJ50" s="3453"/>
      <c r="MK50" s="5703"/>
      <c r="ML50" s="3453"/>
      <c r="MM50" s="5703"/>
      <c r="MN50" s="5881">
        <f>IF($CH50&gt;0,MN$32*_Calcs!$AJ$40,0)</f>
        <v>0</v>
      </c>
      <c r="MO50" s="3453"/>
      <c r="MP50" s="3453"/>
      <c r="MQ50" s="3453"/>
      <c r="MR50" s="3453"/>
      <c r="MS50" s="3453"/>
      <c r="MT50" s="3453"/>
      <c r="MU50" s="3453"/>
      <c r="MV50" s="3453"/>
      <c r="MW50" s="5881">
        <f>IF($CH50&gt;0,MW$32*_Calcs!$AJ$40,0)</f>
        <v>0</v>
      </c>
      <c r="MX50" s="3453"/>
      <c r="MY50" s="3453"/>
      <c r="MZ50" s="3453"/>
      <c r="NA50" s="3453"/>
      <c r="NB50" s="3453"/>
      <c r="NC50" s="3453"/>
      <c r="ND50" s="3453"/>
      <c r="NE50" s="3453"/>
      <c r="NF50" s="3453"/>
      <c r="NG50" s="3453"/>
      <c r="NH50" s="3453"/>
      <c r="NI50" s="3453"/>
      <c r="NJ50" s="3453"/>
      <c r="NK50" s="3453"/>
      <c r="NL50" s="3453"/>
      <c r="NM50" s="3453"/>
      <c r="NN50" s="5881">
        <f>IF($CH50&gt;0,NN$32*_Calcs!$AJ$40,0)</f>
        <v>0</v>
      </c>
      <c r="NO50" s="3453"/>
      <c r="NP50" s="3453"/>
      <c r="NQ50" s="3453"/>
      <c r="NR50" s="3453"/>
      <c r="NS50" s="3453"/>
      <c r="NT50" s="3453"/>
      <c r="NU50" s="3453"/>
      <c r="NV50" s="3453"/>
      <c r="NW50" s="3453"/>
      <c r="NX50" s="3453"/>
      <c r="NY50" s="3453"/>
      <c r="NZ50" s="3453"/>
      <c r="OA50" s="3453"/>
      <c r="OB50" s="3453"/>
      <c r="OC50" s="3453"/>
      <c r="OD50" s="3453"/>
      <c r="OE50" s="3453"/>
      <c r="OF50" s="3453"/>
      <c r="OG50" s="3453"/>
      <c r="OH50" s="3453"/>
      <c r="OI50" s="5712"/>
      <c r="OJ50" s="3453"/>
      <c r="OK50" s="5720"/>
      <c r="OL50" s="3453"/>
      <c r="OM50" s="5720"/>
      <c r="ON50" s="3453"/>
      <c r="OO50" s="5720"/>
      <c r="OP50" s="3453"/>
      <c r="OQ50" s="5720"/>
      <c r="OR50" s="3453"/>
      <c r="OS50" s="5720"/>
      <c r="OT50" s="3453"/>
      <c r="OU50" s="5720"/>
      <c r="OV50" s="3453"/>
      <c r="OW50" s="5720"/>
      <c r="OX50" s="3453"/>
      <c r="OY50" s="5720"/>
      <c r="OZ50" s="5881">
        <f>IF($CH50&gt;0,OZ$32*_Calcs!$AJ$40,0)</f>
        <v>0</v>
      </c>
      <c r="PA50" s="3453"/>
      <c r="PB50" s="5618"/>
      <c r="PC50" s="3453"/>
      <c r="PD50" s="5618"/>
      <c r="PE50" s="3453"/>
      <c r="PF50" s="5618"/>
      <c r="PG50" s="3453"/>
      <c r="PH50" s="5618"/>
      <c r="PI50" s="3453"/>
      <c r="PJ50" s="5618"/>
      <c r="PK50" s="3453"/>
      <c r="PL50" s="5618"/>
      <c r="PM50" s="3453"/>
      <c r="PN50" s="5618"/>
      <c r="PO50" s="3453"/>
      <c r="PP50" s="5618"/>
      <c r="PQ50" s="5881">
        <f>IF($CH50&gt;0,PQ$32*_Calcs!$AJ$40,0)</f>
        <v>0</v>
      </c>
      <c r="PR50" s="3453"/>
      <c r="PS50" s="5710"/>
      <c r="PT50" s="3453"/>
      <c r="PU50" s="5710"/>
      <c r="PV50" s="3453"/>
      <c r="PW50" s="5710"/>
      <c r="PX50" s="3453"/>
      <c r="PY50" s="5710"/>
      <c r="PZ50" s="3453"/>
      <c r="QA50" s="5710"/>
      <c r="QB50" s="3453"/>
      <c r="QC50" s="5710"/>
      <c r="QD50" s="3453"/>
      <c r="QE50" s="5710"/>
      <c r="QF50" s="3453"/>
      <c r="QG50" s="5710"/>
      <c r="QH50" s="5881">
        <f>IF($CH50&gt;0,QH$32*_Calcs!$AJ$40,0)</f>
        <v>0</v>
      </c>
      <c r="QI50" s="3453"/>
      <c r="QJ50" s="3453"/>
      <c r="QK50" s="3453"/>
      <c r="QL50" s="3453"/>
      <c r="QM50" s="3453"/>
      <c r="QN50" s="3453"/>
      <c r="QO50" s="3453"/>
      <c r="QP50" s="3453"/>
      <c r="QQ50" s="3453"/>
      <c r="QR50" s="5712"/>
      <c r="QS50" s="5713"/>
      <c r="QT50" s="3453"/>
      <c r="QU50" s="3453"/>
      <c r="QV50" s="5713"/>
      <c r="QW50" s="3453"/>
      <c r="QX50" s="3453"/>
      <c r="QY50" s="5713"/>
      <c r="QZ50" s="3453"/>
      <c r="RA50" s="3453"/>
      <c r="RB50" s="5713"/>
      <c r="RC50" s="3453"/>
      <c r="RD50" s="3453"/>
      <c r="RE50" s="5713"/>
      <c r="RF50" s="3453"/>
      <c r="RG50" s="3453"/>
      <c r="RH50" s="5713"/>
      <c r="RI50" s="3453"/>
      <c r="RJ50" s="3453"/>
      <c r="RK50" s="5713"/>
      <c r="RL50" s="3453"/>
      <c r="RM50" s="3453"/>
      <c r="RN50" s="5713"/>
      <c r="RO50" s="3453"/>
      <c r="RP50" s="3453"/>
      <c r="RQ50" s="5881">
        <f>IF($CH50&gt;0,RQ$32*_Calcs!$AJ$40,0)</f>
        <v>0</v>
      </c>
      <c r="RR50" s="3453"/>
      <c r="RS50" s="3453"/>
      <c r="RT50" s="3453"/>
      <c r="RU50" s="3453"/>
      <c r="RV50" s="3453"/>
      <c r="RW50" s="3453"/>
      <c r="RX50" s="3453"/>
      <c r="RY50" s="3453"/>
      <c r="RZ50" s="3453"/>
      <c r="SA50" s="3453"/>
      <c r="SB50" s="3453"/>
      <c r="SC50" s="3453"/>
      <c r="SD50" s="3453"/>
      <c r="SE50" s="3453"/>
      <c r="SF50" s="3453"/>
      <c r="SG50" s="3453"/>
      <c r="SH50" s="3453"/>
      <c r="SI50" s="3453"/>
      <c r="SJ50" s="3453"/>
      <c r="SK50" s="3453"/>
      <c r="SL50" s="3453"/>
      <c r="SM50" s="3453"/>
      <c r="SN50" s="3453"/>
      <c r="SO50" s="3453"/>
      <c r="SP50" s="3453"/>
      <c r="SQ50" s="5881">
        <f>IF($CH50&gt;0,SQ$32*_Calcs!$AJ$40,0)</f>
        <v>0</v>
      </c>
      <c r="SR50" s="5881">
        <f>IF($CH50&gt;0,SR$32*_Calcs!$AJ$40,0)</f>
        <v>0</v>
      </c>
      <c r="SS50" s="3453"/>
      <c r="ST50" s="3453"/>
      <c r="SU50" s="3453"/>
      <c r="SV50" s="3453"/>
      <c r="SW50" s="3453"/>
      <c r="SX50" s="3453"/>
      <c r="SY50" s="3453"/>
      <c r="SZ50" s="3453"/>
      <c r="TA50" s="3453"/>
      <c r="TB50" s="3453"/>
      <c r="TC50" s="3453"/>
      <c r="TD50" s="3453"/>
      <c r="TE50" s="3453"/>
      <c r="TF50" s="3453"/>
      <c r="TG50" s="3453"/>
      <c r="TH50" s="3453"/>
      <c r="TI50" s="3453"/>
      <c r="TJ50" s="3453"/>
      <c r="TK50" s="5721"/>
      <c r="TL50" s="3453"/>
      <c r="TM50" s="3453"/>
      <c r="TN50" s="3453"/>
      <c r="TO50" s="5722"/>
      <c r="TP50" s="5702"/>
      <c r="TQ50" s="5723"/>
      <c r="TR50" s="3453"/>
      <c r="TS50" s="3453"/>
      <c r="TT50" s="3453"/>
      <c r="TU50" s="5722"/>
      <c r="TV50" s="5702"/>
      <c r="TW50" s="5723"/>
      <c r="TX50" s="3453"/>
      <c r="TY50" s="3453"/>
      <c r="TZ50" s="3453"/>
      <c r="UA50" s="5722"/>
      <c r="UB50" s="5702"/>
      <c r="UC50" s="5723"/>
      <c r="UD50" s="3453"/>
      <c r="UE50" s="3453"/>
      <c r="UF50" s="3453"/>
      <c r="UG50" s="5722"/>
      <c r="UH50" s="5702"/>
      <c r="UI50" s="5723"/>
      <c r="UJ50" s="3453"/>
      <c r="UK50" s="3453"/>
      <c r="UL50" s="3453"/>
      <c r="UM50" s="5722"/>
      <c r="UN50" s="5702"/>
      <c r="UO50" s="5723"/>
      <c r="UP50" s="3453"/>
      <c r="UQ50" s="3453"/>
      <c r="UR50" s="3453"/>
      <c r="US50" s="5722"/>
      <c r="UT50" s="5702"/>
      <c r="UU50" s="5723"/>
      <c r="UV50" s="3453"/>
      <c r="UW50" s="3453"/>
      <c r="UX50" s="3453"/>
      <c r="UY50" s="5722"/>
      <c r="UZ50" s="5702"/>
      <c r="VA50" s="5723"/>
      <c r="VB50" s="3453"/>
      <c r="VC50" s="3453"/>
      <c r="VD50" s="3453"/>
      <c r="VE50" s="5722"/>
      <c r="VF50" s="5702"/>
      <c r="VG50" s="5723"/>
      <c r="VH50" s="5881">
        <f>IF($CH50&gt;0,VH$32*_Calcs!$AJ$40,0)</f>
        <v>0</v>
      </c>
      <c r="VI50" s="5881">
        <f>IF($CH50&gt;0,VI$32*_Calcs!$AJ$40,0)</f>
        <v>0</v>
      </c>
      <c r="VJ50" s="5881">
        <f>IF($CH50&gt;0,VJ$32*_Calcs!$AJ$40,0)</f>
        <v>0</v>
      </c>
      <c r="VK50" s="3453"/>
      <c r="VL50" s="3453"/>
      <c r="VM50" s="3453"/>
      <c r="VN50" s="3453"/>
      <c r="VO50" s="3453"/>
      <c r="VP50" s="3453"/>
      <c r="VQ50" s="3453"/>
      <c r="VR50" s="3453"/>
      <c r="VS50" s="3453"/>
      <c r="VT50" s="3453"/>
      <c r="VU50" s="3453"/>
      <c r="VV50" s="3453"/>
      <c r="VW50" s="3453"/>
      <c r="VX50" s="3453"/>
      <c r="VY50" s="3453"/>
      <c r="VZ50" s="3453"/>
      <c r="WA50" s="5881">
        <f>IF($CH50&gt;0,WA$32*_Calcs!$AJ$40,0)</f>
        <v>0</v>
      </c>
      <c r="WB50" s="3453"/>
      <c r="WC50" s="3453"/>
      <c r="WD50" s="3453"/>
      <c r="WE50" s="3453"/>
      <c r="WF50" s="3453"/>
      <c r="WG50" s="3453"/>
      <c r="WH50" s="3453"/>
      <c r="WI50" s="3453"/>
      <c r="WJ50" s="3453"/>
      <c r="WK50" s="3453"/>
      <c r="WL50" s="3453"/>
      <c r="WM50" s="3453"/>
      <c r="WN50" s="3453"/>
      <c r="WO50" s="3453"/>
      <c r="WP50" s="3453"/>
      <c r="WQ50" s="3453"/>
      <c r="WR50" s="3453"/>
      <c r="WS50" s="3453"/>
      <c r="WT50" s="3453"/>
      <c r="WU50" s="3453"/>
      <c r="WV50" s="3453"/>
      <c r="WW50" s="3453"/>
      <c r="WX50" s="3453"/>
      <c r="WY50" s="3453"/>
      <c r="WZ50" s="3453"/>
      <c r="XA50" s="3453"/>
      <c r="XB50" s="3453"/>
      <c r="XC50" s="3453"/>
      <c r="XD50" s="3453"/>
      <c r="XE50" s="3453"/>
      <c r="XF50" s="3453"/>
      <c r="XG50" s="3453"/>
      <c r="XH50" s="5881">
        <f>IF($CH50&gt;0,XH$32*_Calcs!$AJ$40,0)</f>
        <v>0</v>
      </c>
      <c r="XI50" s="5881">
        <f>IF($CH50&gt;0,XI$32*_Calcs!$AJ$40,0)</f>
        <v>0</v>
      </c>
      <c r="XJ50" s="3453"/>
      <c r="XK50" s="3453"/>
      <c r="XL50" s="3453"/>
      <c r="XM50" s="3453"/>
      <c r="XN50" s="3453"/>
      <c r="XO50" s="3453"/>
      <c r="XP50" s="3453"/>
      <c r="XQ50" s="3453"/>
      <c r="XR50" s="3453"/>
      <c r="XS50" s="3453"/>
      <c r="XT50" s="3453"/>
      <c r="XU50" s="3453"/>
      <c r="XV50" s="3453"/>
      <c r="XW50" s="3453"/>
      <c r="XX50" s="3453"/>
      <c r="XY50" s="3453"/>
      <c r="XZ50" s="3453"/>
      <c r="YA50" s="3453"/>
      <c r="YB50" s="3453"/>
      <c r="YC50" s="3453"/>
      <c r="YD50" s="3453"/>
      <c r="YE50" s="3453"/>
      <c r="YF50" s="3453"/>
      <c r="YG50" s="3453"/>
      <c r="YH50" s="3453"/>
      <c r="YI50" s="3453"/>
      <c r="YJ50" s="3453"/>
      <c r="YK50" s="3453"/>
      <c r="YL50" s="3453"/>
      <c r="YM50" s="3453"/>
      <c r="YN50" s="3453"/>
      <c r="YO50" s="3453"/>
      <c r="YP50" s="5881">
        <f>IF($CH50&gt;0,YP$32*_Calcs!$AJ$40,0)</f>
        <v>0</v>
      </c>
      <c r="YQ50" s="5881">
        <f>IF($CH50&gt;0,YQ$32*_Calcs!$AJ$40,0)</f>
        <v>0</v>
      </c>
      <c r="YR50" s="3453"/>
      <c r="YS50" s="3453"/>
      <c r="YT50" s="3453"/>
      <c r="YU50" s="3453"/>
      <c r="YV50" s="3453"/>
      <c r="YW50" s="3453"/>
      <c r="YX50" s="3453"/>
      <c r="YY50" s="3453"/>
      <c r="YZ50" s="3453"/>
      <c r="ZA50" s="3453"/>
      <c r="ZB50" s="3453"/>
      <c r="ZC50" s="3453"/>
      <c r="ZD50" s="3453"/>
      <c r="ZE50" s="3453"/>
      <c r="ZF50" s="3453"/>
      <c r="ZG50" s="3453"/>
      <c r="ZH50" s="3453"/>
      <c r="ZI50" s="3453"/>
      <c r="ZJ50" s="3453"/>
      <c r="ZK50" s="3453"/>
      <c r="ZL50" s="3453"/>
      <c r="ZM50" s="3453"/>
      <c r="ZN50" s="4199"/>
      <c r="ZO50" s="4199"/>
      <c r="ZP50" s="4199"/>
      <c r="ZQ50" s="4199"/>
      <c r="ZR50" s="4199"/>
      <c r="ZS50" s="4199"/>
      <c r="ZT50" s="4199"/>
      <c r="ZU50" s="4199"/>
      <c r="ZV50" s="4199"/>
      <c r="ZW50" s="4199"/>
      <c r="ZX50" s="4199"/>
      <c r="ZY50" s="4199"/>
      <c r="ZZ50" s="4199"/>
      <c r="AAA50" s="4199"/>
      <c r="AAB50" s="2622"/>
      <c r="AAC50" s="2622"/>
      <c r="AAD50" s="2622"/>
      <c r="AAE50" s="2622"/>
      <c r="AAF50" s="2622"/>
      <c r="AAG50" s="2622"/>
      <c r="AAH50" s="2622"/>
      <c r="AAI50" s="2622"/>
      <c r="AAJ50" s="2622"/>
      <c r="AAK50" s="2622"/>
      <c r="AAL50" s="2622"/>
      <c r="AAM50" s="2622"/>
      <c r="AAN50" s="2622"/>
      <c r="AAO50" s="2622"/>
      <c r="AAP50" s="2622"/>
      <c r="AAQ50" s="2622"/>
      <c r="AAR50" s="2622"/>
      <c r="AAS50" s="2622"/>
      <c r="AAT50" s="2622"/>
      <c r="AAU50" s="2622"/>
      <c r="AAV50" s="2622"/>
      <c r="AAW50" s="2625"/>
      <c r="AAX50" s="2625"/>
      <c r="AAY50" s="2625"/>
      <c r="AAZ50" s="2622"/>
      <c r="ABA50" s="2622"/>
      <c r="ABB50" s="2737"/>
      <c r="ABC50" s="2737"/>
      <c r="ABD50" s="2737"/>
      <c r="ABE50" s="2737"/>
      <c r="ABF50" s="2737"/>
      <c r="ABG50" s="2737"/>
      <c r="ABH50" s="2737"/>
      <c r="ABI50" s="2737"/>
      <c r="ABJ50" s="2622"/>
      <c r="ABK50" s="2622"/>
      <c r="ABL50" s="2737"/>
      <c r="ABM50" s="2737"/>
      <c r="ABN50" s="2737"/>
      <c r="ABO50" s="2737"/>
      <c r="ABP50" s="2737"/>
      <c r="ABQ50" s="2737"/>
      <c r="ABR50" s="2737"/>
      <c r="ABS50" s="2737"/>
      <c r="ABT50" s="2622"/>
      <c r="ABU50" s="2622"/>
      <c r="ABV50" s="2737"/>
      <c r="ABW50" s="2737"/>
      <c r="ABX50" s="2737"/>
      <c r="ABY50" s="2737"/>
      <c r="ABZ50" s="2737"/>
      <c r="ACA50" s="2737"/>
      <c r="ACB50" s="2737"/>
      <c r="ACC50" s="2737"/>
      <c r="ACD50" s="2737"/>
      <c r="ACE50" s="2622"/>
      <c r="ACF50" s="2737"/>
      <c r="ACG50" s="2737"/>
      <c r="ACH50" s="2737"/>
      <c r="ACI50" s="2737"/>
      <c r="ACJ50" s="2737"/>
      <c r="ACK50" s="2737"/>
      <c r="ACL50" s="2737"/>
      <c r="ACM50" s="2737"/>
      <c r="ACN50" s="2622"/>
      <c r="ACO50" s="2737"/>
      <c r="ACP50" s="2737"/>
      <c r="ACQ50" s="2737"/>
      <c r="ACR50" s="2737"/>
      <c r="ACS50" s="2737"/>
      <c r="ACT50" s="2737"/>
      <c r="ACU50" s="2737"/>
      <c r="ACV50" s="2737"/>
      <c r="ACW50" s="2622"/>
      <c r="ACX50" s="2737"/>
      <c r="ACY50" s="2737"/>
      <c r="ACZ50" s="2737"/>
      <c r="ADA50" s="2737"/>
      <c r="ADB50" s="2737"/>
      <c r="ADC50" s="2737"/>
      <c r="ADD50" s="2737"/>
      <c r="ADE50" s="2737"/>
      <c r="ADF50" s="2737"/>
      <c r="ADH50" s="2737"/>
      <c r="ADI50" s="2737"/>
      <c r="ADJ50" s="2737"/>
      <c r="ADK50" s="2737"/>
      <c r="ADL50" s="2737"/>
      <c r="ADM50" s="2737"/>
      <c r="ADN50" s="2737"/>
      <c r="ADO50" s="2737"/>
      <c r="ADQ50" s="2737"/>
      <c r="ADR50" s="2737"/>
      <c r="ADS50" s="2737"/>
      <c r="ADT50" s="2737"/>
      <c r="ADU50" s="2737"/>
      <c r="ADV50" s="2737"/>
      <c r="ADW50" s="2737"/>
      <c r="ADX50" s="2737"/>
      <c r="ADY50" s="2737"/>
      <c r="ADZ50" s="2737"/>
      <c r="AEA50" s="2737"/>
      <c r="AEB50" s="2737"/>
      <c r="AEC50" s="2737"/>
      <c r="AED50" s="2737"/>
      <c r="AEE50" s="2737"/>
      <c r="AEF50" s="2737"/>
      <c r="AEG50" s="2737"/>
      <c r="AEH50" s="2737"/>
      <c r="AEI50" s="2737"/>
      <c r="AEJ50" s="2737"/>
      <c r="AEK50" s="2737"/>
      <c r="AEL50" s="2737"/>
      <c r="AEM50" s="2737"/>
      <c r="AEN50" s="2737"/>
      <c r="AEO50" s="2737"/>
      <c r="AEP50" s="2737"/>
      <c r="AEQ50" s="2737"/>
      <c r="AER50" s="2737"/>
      <c r="AES50" s="2737"/>
      <c r="AET50" s="2737"/>
      <c r="AEU50" s="2737"/>
      <c r="AEV50" s="2737"/>
      <c r="AEW50" s="2737"/>
      <c r="AEX50" s="2737"/>
      <c r="AFG50" s="2737"/>
      <c r="AFP50" s="2737"/>
      <c r="AGI50" s="2737"/>
      <c r="AGN50" s="2622"/>
      <c r="AGR50" s="2737"/>
      <c r="AHB50" s="2737"/>
      <c r="AHJ50" s="2737"/>
      <c r="AHV50" s="2737"/>
      <c r="AHY50" s="2622"/>
      <c r="AII50" s="2622"/>
      <c r="AIJ50" s="2622"/>
      <c r="AIR50" s="2622"/>
      <c r="AIS50" s="2622"/>
      <c r="AJP50" s="2737"/>
      <c r="AKC50" s="3582"/>
      <c r="AKD50" s="2737"/>
      <c r="AKU50" s="2622"/>
      <c r="ALL50" s="2622"/>
      <c r="ALM50" s="2737"/>
      <c r="ALW50" s="2737"/>
      <c r="ALX50" s="2737"/>
      <c r="AMG50" s="2737"/>
      <c r="AOI50" s="2737"/>
      <c r="AOV50" s="4124"/>
      <c r="AOW50" s="5162"/>
      <c r="AOX50" s="5162"/>
      <c r="AOY50" s="5162"/>
      <c r="AOZ50" s="5162"/>
      <c r="APA50" s="5162"/>
      <c r="APB50" s="5162"/>
      <c r="APC50" s="5162"/>
      <c r="APD50" s="5162"/>
      <c r="APE50" s="5162"/>
      <c r="APT50" s="2737"/>
      <c r="AQE50" s="2622"/>
      <c r="ARE50" s="2622"/>
      <c r="ASA50" s="2622"/>
      <c r="ASJ50" s="2622"/>
      <c r="ASK50" s="2737"/>
      <c r="ASL50" s="2737"/>
      <c r="ASM50" s="2737"/>
      <c r="ASN50" s="2737"/>
      <c r="ASO50" s="2737"/>
      <c r="ASP50" s="2737"/>
      <c r="ASQ50" s="2737"/>
      <c r="ASR50" s="2737"/>
      <c r="ASS50" s="2737"/>
      <c r="ATA50" s="2622"/>
      <c r="ATB50" s="2622"/>
      <c r="ATC50" s="2622"/>
      <c r="ATD50" s="2622"/>
      <c r="ATE50" s="2622"/>
      <c r="ATF50" s="2622"/>
      <c r="ATG50" s="2622"/>
      <c r="ATH50" s="2622"/>
      <c r="ATI50" s="2622"/>
      <c r="ATJ50" s="2622"/>
      <c r="ATK50" s="2622"/>
      <c r="ATL50" s="199" t="s">
        <v>939</v>
      </c>
      <c r="ATM50" s="199">
        <v>1.05</v>
      </c>
      <c r="ATN50" s="2622"/>
      <c r="ATO50" s="2622"/>
      <c r="ATP50" s="2622"/>
      <c r="ATQ50" s="2622"/>
      <c r="ATR50" s="251"/>
      <c r="ATS50" s="251"/>
      <c r="ATT50" s="2622"/>
      <c r="ATU50" s="2622"/>
      <c r="ATV50" s="2622"/>
      <c r="ATW50" s="2622"/>
      <c r="ATX50" s="2617"/>
      <c r="ATY50" s="2617"/>
      <c r="ATZ50" s="2617"/>
      <c r="AUA50" s="2617"/>
      <c r="AUB50" s="2617"/>
      <c r="AUC50" s="2617"/>
      <c r="AUD50" s="2617"/>
      <c r="AUE50" s="2617"/>
      <c r="AUF50" s="2617"/>
      <c r="AUG50" s="2617"/>
      <c r="AUH50" s="2617"/>
      <c r="AUI50" s="2617"/>
      <c r="AUJ50" s="2617"/>
      <c r="AUK50" s="2617"/>
      <c r="AUL50" s="2617"/>
      <c r="AUM50" s="2617"/>
      <c r="AUN50" s="2617"/>
      <c r="AUO50" s="2617"/>
      <c r="AUP50" s="2617"/>
      <c r="AUQ50" s="2617"/>
      <c r="AUR50" s="2617"/>
      <c r="AUS50" s="2617"/>
      <c r="AUT50" s="2617"/>
      <c r="AUU50" s="2617"/>
      <c r="AUV50" s="2623"/>
      <c r="AUW50" s="181"/>
      <c r="AUX50" s="181"/>
      <c r="AUY50" s="181"/>
      <c r="AUZ50" s="181"/>
      <c r="AVA50" s="181"/>
      <c r="AVB50" s="181"/>
      <c r="AVC50" s="181"/>
      <c r="AVD50" s="181"/>
      <c r="AVE50" s="181"/>
      <c r="AVF50" s="181"/>
      <c r="AVG50" s="181"/>
      <c r="AVH50" s="181"/>
      <c r="AVI50" s="181"/>
      <c r="AVJ50" s="181"/>
      <c r="AVK50" s="181"/>
      <c r="AVL50" s="181"/>
      <c r="AVM50" s="181"/>
      <c r="AVN50" s="181"/>
      <c r="AVO50" s="181"/>
      <c r="AVP50" s="181"/>
      <c r="AVQ50" s="181"/>
      <c r="AVR50" s="181"/>
      <c r="AVS50" s="181"/>
      <c r="AVT50" s="181"/>
      <c r="AVU50" s="181"/>
      <c r="AVV50" s="181"/>
      <c r="AVW50" s="181"/>
      <c r="AVX50" s="181"/>
      <c r="AVY50" s="181"/>
      <c r="AVZ50" s="181"/>
      <c r="AWA50" s="181"/>
      <c r="AWB50" s="181"/>
      <c r="AWC50" s="181"/>
      <c r="AWD50" s="181"/>
      <c r="AWE50" s="181"/>
      <c r="AWF50" s="181"/>
      <c r="AWG50" s="181"/>
      <c r="AWH50" s="181"/>
      <c r="AWI50" s="181"/>
      <c r="AWJ50" s="181"/>
      <c r="AWK50" s="181"/>
      <c r="AWL50" s="181"/>
      <c r="AWM50" s="181"/>
      <c r="AWN50" s="181"/>
      <c r="AWO50" s="181"/>
      <c r="AWP50" s="181"/>
      <c r="AWQ50" s="181"/>
      <c r="AWR50" s="2617"/>
      <c r="AWS50" s="2617"/>
      <c r="AWT50" s="2617"/>
      <c r="AWU50" s="2617"/>
      <c r="AWV50" s="2617"/>
      <c r="AWW50" s="2617"/>
      <c r="AWX50" s="2617"/>
      <c r="AWY50" s="2617"/>
      <c r="AWZ50" s="2617"/>
      <c r="AXA50" s="2617"/>
      <c r="AXB50" s="2617"/>
      <c r="AXC50" s="2617"/>
      <c r="AXD50" s="2617"/>
      <c r="AXE50" s="2617"/>
      <c r="AXF50" s="2617"/>
      <c r="AXG50" s="2617"/>
      <c r="AXH50" s="2617"/>
      <c r="AXI50" s="2617"/>
      <c r="AXJ50" s="2617"/>
      <c r="AXK50" s="2617"/>
      <c r="AYG50" s="3414">
        <v>30</v>
      </c>
      <c r="AYT50" s="372" t="s">
        <v>894</v>
      </c>
      <c r="AYU50" s="3420">
        <v>1</v>
      </c>
      <c r="AYV50" s="3411">
        <v>250</v>
      </c>
      <c r="AYW50" s="199"/>
      <c r="AYX50" s="3423"/>
      <c r="AYY50" s="199"/>
      <c r="AYZ50" s="199"/>
      <c r="AZA50" s="199"/>
      <c r="AZB50" s="3424">
        <v>1.5</v>
      </c>
      <c r="AZC50" s="184"/>
      <c r="AZD50" s="184"/>
      <c r="AZE50" s="2622"/>
      <c r="AZF50" s="2622"/>
      <c r="AZG50" s="2622"/>
      <c r="AZH50" s="2622"/>
      <c r="AZI50" s="184"/>
      <c r="AZJ50" s="184"/>
      <c r="AZK50" s="2622"/>
      <c r="AZL50" s="3419">
        <v>8</v>
      </c>
      <c r="AZM50" s="2622"/>
      <c r="AZN50" s="2622"/>
      <c r="AZO50" s="2622"/>
      <c r="AZP50" s="2622"/>
      <c r="AZQ50" s="2622"/>
      <c r="AZR50" s="2622"/>
      <c r="AZS50" s="2622"/>
      <c r="AZT50" s="2622"/>
      <c r="AZU50" s="2622"/>
      <c r="AZX50" s="2622"/>
      <c r="AZY50" s="2622"/>
      <c r="AZZ50" s="2622"/>
      <c r="BAA50" s="2622"/>
      <c r="BAB50" s="2622"/>
      <c r="BAC50" s="2622"/>
      <c r="BAD50" s="2622"/>
      <c r="BAE50" s="2622"/>
      <c r="BAF50" s="2622"/>
      <c r="BAG50" s="2622"/>
      <c r="BAH50" s="2622"/>
      <c r="BAI50" s="2622"/>
      <c r="BAL50" s="2622"/>
      <c r="BAM50" s="2622"/>
      <c r="BAN50" s="2622"/>
      <c r="BAO50" s="2622"/>
      <c r="BAP50" s="2622"/>
      <c r="BAQ50" s="2622"/>
      <c r="BAT50" s="2622"/>
      <c r="BAU50" s="185" t="s">
        <v>876</v>
      </c>
      <c r="BAV50" s="199"/>
      <c r="BAW50" s="199" t="s">
        <v>890</v>
      </c>
      <c r="BAX50" s="2972" t="s">
        <v>908</v>
      </c>
      <c r="BAY50" s="2974">
        <v>1.5</v>
      </c>
      <c r="BAZ50" s="2973" t="s">
        <v>907</v>
      </c>
      <c r="BBA50" s="2976">
        <v>150</v>
      </c>
      <c r="BBB50" s="2692"/>
      <c r="BBC50" s="2692"/>
      <c r="BBD50" s="2692"/>
      <c r="BBE50" s="2692"/>
      <c r="BBF50" s="2692"/>
      <c r="BBG50" s="2692"/>
      <c r="BBH50" s="2692"/>
      <c r="BBI50" s="2692"/>
      <c r="BBK50" s="2622"/>
      <c r="BBQ50" s="3398"/>
      <c r="BCJ50" s="2617"/>
      <c r="BCK50" s="2617"/>
      <c r="BCL50" s="2617"/>
      <c r="BCM50" s="2617"/>
      <c r="BCN50" s="2617"/>
      <c r="BCO50" s="2617"/>
      <c r="BCP50" s="2617"/>
      <c r="BCQ50" s="2617"/>
      <c r="BCR50" s="2617"/>
      <c r="BCS50" s="2617"/>
      <c r="BCT50" s="2617"/>
      <c r="BCU50" s="2617"/>
      <c r="BCV50" s="2617"/>
      <c r="BCW50" s="2617"/>
      <c r="BCX50" s="2617"/>
      <c r="BCY50" s="2617"/>
      <c r="BCZ50" s="2617"/>
      <c r="BDA50" s="2617"/>
      <c r="BDB50" s="2617"/>
      <c r="BDC50" s="2617"/>
      <c r="BDD50" s="2617"/>
      <c r="BDE50" s="2617"/>
      <c r="BDF50" s="2617"/>
      <c r="BDG50" s="2617"/>
      <c r="BDH50" s="2617"/>
      <c r="BDI50" s="2617"/>
      <c r="BDL50" s="2617"/>
      <c r="BDM50" s="2617"/>
      <c r="BDN50" s="2617"/>
      <c r="BDO50" s="2617"/>
      <c r="BDP50" s="2617"/>
      <c r="BDQ50" s="2617"/>
      <c r="BDR50" s="2617"/>
      <c r="BDS50" s="2617"/>
      <c r="BDT50" s="2617"/>
      <c r="BDU50" s="2617"/>
      <c r="BDV50" s="2617"/>
      <c r="BDW50" s="2617"/>
      <c r="BDZ50" s="2617"/>
      <c r="BEA50" s="2617"/>
      <c r="BEB50" s="2617"/>
      <c r="BEC50" s="2617"/>
      <c r="BED50" s="2617"/>
      <c r="BEE50" s="2617"/>
      <c r="BEH50" s="2617"/>
    </row>
    <row r="51" spans="32:1513" ht="20.100000000000001" customHeight="1" x14ac:dyDescent="0.2">
      <c r="AH51" s="206" t="s">
        <v>1319</v>
      </c>
      <c r="AI51" s="199" t="str">
        <f>IF(Prosjektinfo!$AC$50=2,"jern",IF(Prosjektinfo!$AC$50=1,"veg",""))</f>
        <v>veg</v>
      </c>
      <c r="AU51" s="235">
        <v>7</v>
      </c>
      <c r="AV51" s="185">
        <f>IF('!INN_SK'!$BV$55="",0,1)</f>
        <v>1</v>
      </c>
      <c r="AW51" s="185">
        <f>IF('!INN_SK'!$BV$57="",0,1)</f>
        <v>1</v>
      </c>
      <c r="AX51" s="185">
        <f>IF('!INN_SK'!$BV$64="",0,1)</f>
        <v>1</v>
      </c>
      <c r="AY51" s="185">
        <f>IF('!INN_SK'!$BV$71="",0,1)</f>
        <v>1</v>
      </c>
      <c r="AZ51" s="185">
        <f>IF('!INN_SK'!$BV$78="",0,1)</f>
        <v>1</v>
      </c>
      <c r="BA51" s="185">
        <f>IF('!INN_SK'!$BV$80="",0,1)</f>
        <v>1</v>
      </c>
      <c r="BB51" s="185">
        <f>IF('!INN_SK'!$BV$87="",0,1)</f>
        <v>1</v>
      </c>
      <c r="BC51" s="193">
        <f>IF('!INN_SK'!$BV$94="",0,1)</f>
        <v>1</v>
      </c>
      <c r="BD51" s="247">
        <f>COUNTIF(checks_klasse[[#This Row],[A]:[G]],0)</f>
        <v>0</v>
      </c>
      <c r="BE51" s="183"/>
      <c r="CG51" s="5812" t="str">
        <f>_Calcs!$QV$135</f>
        <v>Stuff 2-4</v>
      </c>
      <c r="CH51" s="5559">
        <f>IF($AI$31=1,INDEX(outputs_position[24],MATCH(_Calcs!$BC$35,outputs_position[lopstuff],0)),0)</f>
        <v>0</v>
      </c>
      <c r="CI51" s="372"/>
      <c r="CJ51" s="372">
        <f t="shared" si="262"/>
        <v>0</v>
      </c>
      <c r="CK51" s="194">
        <v>81</v>
      </c>
      <c r="CL51" s="3453"/>
      <c r="CM51" s="3453"/>
      <c r="CN51" s="3453"/>
      <c r="CO51" s="3453"/>
      <c r="CP51" s="3453"/>
      <c r="CQ51" s="3453"/>
      <c r="CR51" s="3453"/>
      <c r="CS51" s="3453"/>
      <c r="CT51" s="3453"/>
      <c r="CU51" s="3453"/>
      <c r="CV51" s="3453"/>
      <c r="CW51" s="3453"/>
      <c r="CX51" s="3453">
        <f>CX$32*$AM$46</f>
        <v>0</v>
      </c>
      <c r="CY51" s="3453"/>
      <c r="CZ51" s="3453">
        <f>CZ$32*$AM$46</f>
        <v>0</v>
      </c>
      <c r="DA51" s="3453"/>
      <c r="DB51" s="3453">
        <f>DB$32*$AM$46</f>
        <v>0</v>
      </c>
      <c r="DC51" s="3453"/>
      <c r="DD51" s="3453">
        <f>DD$32*$AM$46</f>
        <v>0</v>
      </c>
      <c r="DE51" s="3453"/>
      <c r="DF51" s="3453">
        <f>DF$32*$AM$46</f>
        <v>0</v>
      </c>
      <c r="DG51" s="3453"/>
      <c r="DH51" s="3453">
        <f>DH$32*$AM$46</f>
        <v>0</v>
      </c>
      <c r="DI51" s="3453"/>
      <c r="DJ51" s="3453">
        <f>DJ$32*$AM$46</f>
        <v>0</v>
      </c>
      <c r="DK51" s="3453"/>
      <c r="DL51" s="3453">
        <f>DL$32*$AM$46</f>
        <v>0</v>
      </c>
      <c r="DM51" s="5881">
        <f>IF($CH51&gt;0,DM$32*_Calcs!$AJ$41,0)</f>
        <v>0</v>
      </c>
      <c r="DN51" s="3453"/>
      <c r="DO51" s="3453"/>
      <c r="DP51" s="3453">
        <f>DP$32*$AM$46</f>
        <v>0</v>
      </c>
      <c r="DQ51" s="3453"/>
      <c r="DR51" s="3453">
        <f>DR$32*$AM$46</f>
        <v>0</v>
      </c>
      <c r="DS51" s="3453"/>
      <c r="DT51" s="3453">
        <f>DT$32*$AM$46</f>
        <v>0</v>
      </c>
      <c r="DU51" s="3453"/>
      <c r="DV51" s="3453">
        <f>DV$32*$AM$46</f>
        <v>0</v>
      </c>
      <c r="DW51" s="3453"/>
      <c r="DX51" s="3453">
        <f>DX$32*$AM$46</f>
        <v>0</v>
      </c>
      <c r="DY51" s="3453"/>
      <c r="DZ51" s="3453">
        <f>DZ$32*$AM$46</f>
        <v>0</v>
      </c>
      <c r="EA51" s="3453"/>
      <c r="EB51" s="3453">
        <f>EB$32*$AM$46</f>
        <v>0</v>
      </c>
      <c r="EC51" s="3453"/>
      <c r="ED51" s="3453">
        <f>ED$32*$AM$46</f>
        <v>0</v>
      </c>
      <c r="EE51" s="5881">
        <f>IF($CH51&gt;0,EE$32*_Calcs!$AJ$41,0)</f>
        <v>0</v>
      </c>
      <c r="EF51" s="5712"/>
      <c r="EG51" s="5712"/>
      <c r="EH51" s="5712"/>
      <c r="EI51" s="5712"/>
      <c r="EJ51" s="5712"/>
      <c r="EK51" s="5712"/>
      <c r="EL51" s="5712"/>
      <c r="EM51" s="5712"/>
      <c r="EN51" s="5712"/>
      <c r="EO51" s="5712"/>
      <c r="EP51" s="5712"/>
      <c r="EQ51" s="5712"/>
      <c r="ER51" s="5712"/>
      <c r="ES51" s="5712"/>
      <c r="ET51" s="5712"/>
      <c r="EU51" s="5712"/>
      <c r="EV51" s="5712"/>
      <c r="EW51" s="5881">
        <f>IF($CH51&gt;0,EW$32*_Calcs!$AJ$41,0)</f>
        <v>0</v>
      </c>
      <c r="EX51" s="5712"/>
      <c r="EY51" s="5712"/>
      <c r="EZ51" s="5712"/>
      <c r="FA51" s="5712"/>
      <c r="FB51" s="5712"/>
      <c r="FC51" s="5712"/>
      <c r="FD51" s="5712"/>
      <c r="FE51" s="5712"/>
      <c r="FF51" s="5712"/>
      <c r="FG51" s="5712"/>
      <c r="FH51" s="5712"/>
      <c r="FI51" s="5712"/>
      <c r="FJ51" s="5712"/>
      <c r="FK51" s="5712"/>
      <c r="FL51" s="5712"/>
      <c r="FM51" s="5712"/>
      <c r="FN51" s="5712"/>
      <c r="FO51" s="5712"/>
      <c r="FP51" s="5712"/>
      <c r="FQ51" s="5712"/>
      <c r="FR51" s="5712"/>
      <c r="FS51" s="5712"/>
      <c r="FT51" s="5712"/>
      <c r="FU51" s="5712"/>
      <c r="FV51" s="5712"/>
      <c r="FW51" s="5712"/>
      <c r="FX51" s="5712"/>
      <c r="FY51" s="5712"/>
      <c r="FZ51" s="5712"/>
      <c r="GA51" s="5712"/>
      <c r="GB51" s="3453"/>
      <c r="GC51" s="3453"/>
      <c r="GD51" s="3453"/>
      <c r="GE51" s="3453"/>
      <c r="GF51" s="3453"/>
      <c r="GG51" s="5881">
        <f>IF($CH51&gt;0,GG$32*_Calcs!$AJ$41,0)</f>
        <v>0</v>
      </c>
      <c r="GH51" s="3453"/>
      <c r="GI51" s="3453"/>
      <c r="GJ51" s="3453"/>
      <c r="GK51" s="3453"/>
      <c r="GL51" s="3453"/>
      <c r="GM51" s="3453"/>
      <c r="GN51" s="3453"/>
      <c r="GO51" s="3453"/>
      <c r="GP51" s="3453"/>
      <c r="GQ51" s="3453"/>
      <c r="GR51" s="3453"/>
      <c r="GS51" s="3453"/>
      <c r="GT51" s="3453"/>
      <c r="GU51" s="3453"/>
      <c r="GV51" s="3453"/>
      <c r="GW51" s="3453"/>
      <c r="GX51" s="3453"/>
      <c r="GY51" s="3453"/>
      <c r="GZ51" s="5881">
        <f>IF($CH51&gt;0,GZ$32*_Calcs!$AJ$41,0)</f>
        <v>0</v>
      </c>
      <c r="HA51" s="5881">
        <f>IF($CH51&gt;0,HA$32*_Calcs!$AJ$41,0)</f>
        <v>0</v>
      </c>
      <c r="HB51" s="3453"/>
      <c r="HC51" s="3453"/>
      <c r="HD51" s="3453"/>
      <c r="HE51" s="3453"/>
      <c r="HF51" s="3453"/>
      <c r="HG51" s="3453"/>
      <c r="HH51" s="3453"/>
      <c r="HI51" s="3453"/>
      <c r="HJ51" s="3453"/>
      <c r="HK51" s="3453"/>
      <c r="HL51" s="3453"/>
      <c r="HM51" s="3453"/>
      <c r="HN51" s="3453"/>
      <c r="HO51" s="3453"/>
      <c r="HP51" s="3453"/>
      <c r="HQ51" s="3453"/>
      <c r="HR51" s="3453"/>
      <c r="HS51" s="3453"/>
      <c r="HT51" s="3453"/>
      <c r="HU51" s="5861"/>
      <c r="HV51" s="5712"/>
      <c r="HW51" s="3453"/>
      <c r="HX51" s="3453"/>
      <c r="HY51" s="3453"/>
      <c r="HZ51" s="5861"/>
      <c r="IA51" s="5712"/>
      <c r="IB51" s="3453"/>
      <c r="IC51" s="3453"/>
      <c r="ID51" s="3453"/>
      <c r="IE51" s="5861"/>
      <c r="IF51" s="5712"/>
      <c r="IG51" s="3453"/>
      <c r="IH51" s="3453"/>
      <c r="II51" s="3453"/>
      <c r="IJ51" s="5861"/>
      <c r="IK51" s="5712"/>
      <c r="IL51" s="3453"/>
      <c r="IM51" s="3453"/>
      <c r="IN51" s="3453"/>
      <c r="IO51" s="5861"/>
      <c r="IP51" s="5712"/>
      <c r="IQ51" s="3453"/>
      <c r="IR51" s="3453"/>
      <c r="IS51" s="3453"/>
      <c r="IT51" s="5861"/>
      <c r="IU51" s="5712"/>
      <c r="IV51" s="3453"/>
      <c r="IW51" s="3453"/>
      <c r="IX51" s="3453"/>
      <c r="IY51" s="5861"/>
      <c r="IZ51" s="5712"/>
      <c r="JA51" s="3453"/>
      <c r="JB51" s="3453"/>
      <c r="JC51" s="3453"/>
      <c r="JD51" s="5861"/>
      <c r="JE51" s="5712"/>
      <c r="JF51" s="3453"/>
      <c r="JG51" s="3453"/>
      <c r="JH51" s="3453"/>
      <c r="JI51" s="3453"/>
      <c r="JJ51" s="3453"/>
      <c r="JK51" s="3453"/>
      <c r="JL51" s="3453"/>
      <c r="JM51" s="3453"/>
      <c r="JN51" s="3453"/>
      <c r="JO51" s="3453"/>
      <c r="JP51" s="3453"/>
      <c r="JQ51" s="3453"/>
      <c r="JR51" s="3453"/>
      <c r="JS51" s="3453"/>
      <c r="JT51" s="3453"/>
      <c r="JU51" s="3453"/>
      <c r="JV51" s="5881">
        <f>IF($CH51&gt;0,JV$32*_Calcs!$AJ$41,0)</f>
        <v>0</v>
      </c>
      <c r="JW51" s="5881">
        <f>IF($CH51&gt;0,JW$32*_Calcs!$AJ$41,0)</f>
        <v>0</v>
      </c>
      <c r="JX51" s="3453"/>
      <c r="JY51" s="3453"/>
      <c r="JZ51" s="3453"/>
      <c r="KA51" s="3453"/>
      <c r="KB51" s="3453"/>
      <c r="KC51" s="3453"/>
      <c r="KD51" s="3453"/>
      <c r="KE51" s="3453"/>
      <c r="KF51" s="3453"/>
      <c r="KG51" s="3453"/>
      <c r="KH51" s="3453"/>
      <c r="KI51" s="3453"/>
      <c r="KJ51" s="3453"/>
      <c r="KK51" s="3453"/>
      <c r="KL51" s="3453"/>
      <c r="KM51" s="3453"/>
      <c r="KN51" s="3453"/>
      <c r="KO51" s="3453"/>
      <c r="KP51" s="3453"/>
      <c r="KQ51" s="3453"/>
      <c r="KR51" s="3453"/>
      <c r="KS51" s="3453"/>
      <c r="KT51" s="3453"/>
      <c r="KU51" s="3453"/>
      <c r="KV51" s="3453"/>
      <c r="KW51" s="3453"/>
      <c r="KX51" s="3453"/>
      <c r="KY51" s="3453"/>
      <c r="KZ51" s="3453"/>
      <c r="LA51" s="3453"/>
      <c r="LB51" s="3453"/>
      <c r="LC51" s="3453"/>
      <c r="LD51" s="5881">
        <f>IF($CH51&gt;0,LD$32*_Calcs!$AJ$41,0)</f>
        <v>0</v>
      </c>
      <c r="LE51" s="5881">
        <f>IF($CH51&gt;0,LE$32*_Calcs!$AJ$41,0)</f>
        <v>0</v>
      </c>
      <c r="LF51" s="5712"/>
      <c r="LG51" s="3453"/>
      <c r="LH51" s="3453"/>
      <c r="LI51" s="3453"/>
      <c r="LJ51" s="3453"/>
      <c r="LK51" s="3453"/>
      <c r="LL51" s="3453"/>
      <c r="LM51" s="3453"/>
      <c r="LN51" s="3453"/>
      <c r="LO51" s="3453"/>
      <c r="LP51" s="3453"/>
      <c r="LQ51" s="3453"/>
      <c r="LR51" s="3453"/>
      <c r="LS51" s="3453"/>
      <c r="LT51" s="3453"/>
      <c r="LU51" s="3453"/>
      <c r="LV51" s="3453"/>
      <c r="LW51" s="5881">
        <f>IF($CH51&gt;0,LW$32*_Calcs!$AJ$41,0)</f>
        <v>0</v>
      </c>
      <c r="LX51" s="3453"/>
      <c r="LY51" s="5703"/>
      <c r="LZ51" s="3453"/>
      <c r="MA51" s="5703"/>
      <c r="MB51" s="3453"/>
      <c r="MC51" s="5703"/>
      <c r="MD51" s="3453"/>
      <c r="ME51" s="5703"/>
      <c r="MF51" s="3453"/>
      <c r="MG51" s="5703"/>
      <c r="MH51" s="3453"/>
      <c r="MI51" s="5703"/>
      <c r="MJ51" s="3453"/>
      <c r="MK51" s="5703"/>
      <c r="ML51" s="3453"/>
      <c r="MM51" s="5703"/>
      <c r="MN51" s="5881">
        <f>IF($CH51&gt;0,MN$32*_Calcs!$AJ$41,0)</f>
        <v>0</v>
      </c>
      <c r="MO51" s="3453"/>
      <c r="MP51" s="3453"/>
      <c r="MQ51" s="3453"/>
      <c r="MR51" s="3453"/>
      <c r="MS51" s="3453"/>
      <c r="MT51" s="3453"/>
      <c r="MU51" s="3453"/>
      <c r="MV51" s="3453"/>
      <c r="MW51" s="5881">
        <f>IF($CH51&gt;0,MW$32*_Calcs!$AJ$41,0)</f>
        <v>0</v>
      </c>
      <c r="MX51" s="3453"/>
      <c r="MY51" s="3453"/>
      <c r="MZ51" s="3453"/>
      <c r="NA51" s="3453"/>
      <c r="NB51" s="3453"/>
      <c r="NC51" s="3453"/>
      <c r="ND51" s="3453"/>
      <c r="NE51" s="3453"/>
      <c r="NF51" s="3453"/>
      <c r="NG51" s="3453"/>
      <c r="NH51" s="3453"/>
      <c r="NI51" s="3453"/>
      <c r="NJ51" s="3453"/>
      <c r="NK51" s="3453"/>
      <c r="NL51" s="3453"/>
      <c r="NM51" s="3453"/>
      <c r="NN51" s="5881">
        <f>IF($CH51&gt;0,NN$32*_Calcs!$AJ$41,0)</f>
        <v>0</v>
      </c>
      <c r="NO51" s="3453"/>
      <c r="NP51" s="3453"/>
      <c r="NQ51" s="3453"/>
      <c r="NR51" s="3453"/>
      <c r="NS51" s="3453"/>
      <c r="NT51" s="3453"/>
      <c r="NU51" s="3453"/>
      <c r="NV51" s="3453"/>
      <c r="NW51" s="3453"/>
      <c r="NX51" s="3453"/>
      <c r="NY51" s="3453"/>
      <c r="NZ51" s="3453"/>
      <c r="OA51" s="3453"/>
      <c r="OB51" s="3453"/>
      <c r="OC51" s="3453"/>
      <c r="OD51" s="3453"/>
      <c r="OE51" s="3453"/>
      <c r="OF51" s="3453"/>
      <c r="OG51" s="3453"/>
      <c r="OH51" s="3453"/>
      <c r="OI51" s="5712"/>
      <c r="OJ51" s="3453"/>
      <c r="OK51" s="5720"/>
      <c r="OL51" s="3453"/>
      <c r="OM51" s="5720"/>
      <c r="ON51" s="3453"/>
      <c r="OO51" s="5720"/>
      <c r="OP51" s="3453"/>
      <c r="OQ51" s="5720"/>
      <c r="OR51" s="3453"/>
      <c r="OS51" s="5720"/>
      <c r="OT51" s="3453"/>
      <c r="OU51" s="5720"/>
      <c r="OV51" s="3453"/>
      <c r="OW51" s="5720"/>
      <c r="OX51" s="3453"/>
      <c r="OY51" s="5720"/>
      <c r="OZ51" s="5881">
        <f>IF($CH51&gt;0,OZ$32*_Calcs!$AJ$41,0)</f>
        <v>0</v>
      </c>
      <c r="PA51" s="3453"/>
      <c r="PB51" s="5618"/>
      <c r="PC51" s="3453"/>
      <c r="PD51" s="5618"/>
      <c r="PE51" s="3453"/>
      <c r="PF51" s="5618"/>
      <c r="PG51" s="3453"/>
      <c r="PH51" s="5618"/>
      <c r="PI51" s="3453"/>
      <c r="PJ51" s="5618"/>
      <c r="PK51" s="3453"/>
      <c r="PL51" s="5618"/>
      <c r="PM51" s="3453"/>
      <c r="PN51" s="5618"/>
      <c r="PO51" s="3453"/>
      <c r="PP51" s="5618"/>
      <c r="PQ51" s="5881">
        <f>IF($CH51&gt;0,PQ$32*_Calcs!$AJ$41,0)</f>
        <v>0</v>
      </c>
      <c r="PR51" s="3453"/>
      <c r="PS51" s="5710"/>
      <c r="PT51" s="3453"/>
      <c r="PU51" s="5710"/>
      <c r="PV51" s="3453"/>
      <c r="PW51" s="5710"/>
      <c r="PX51" s="3453"/>
      <c r="PY51" s="5710"/>
      <c r="PZ51" s="3453"/>
      <c r="QA51" s="5710"/>
      <c r="QB51" s="3453"/>
      <c r="QC51" s="5710"/>
      <c r="QD51" s="3453"/>
      <c r="QE51" s="5710"/>
      <c r="QF51" s="3453"/>
      <c r="QG51" s="5710"/>
      <c r="QH51" s="5881">
        <f>IF($CH51&gt;0,QH$32*_Calcs!$AJ$41,0)</f>
        <v>0</v>
      </c>
      <c r="QI51" s="3453"/>
      <c r="QJ51" s="3453"/>
      <c r="QK51" s="3453"/>
      <c r="QL51" s="3453"/>
      <c r="QM51" s="3453"/>
      <c r="QN51" s="3453"/>
      <c r="QO51" s="3453"/>
      <c r="QP51" s="3453"/>
      <c r="QQ51" s="3453"/>
      <c r="QR51" s="5712"/>
      <c r="QS51" s="5713"/>
      <c r="QT51" s="3453"/>
      <c r="QU51" s="3453"/>
      <c r="QV51" s="5713"/>
      <c r="QW51" s="3453"/>
      <c r="QX51" s="3453"/>
      <c r="QY51" s="5713"/>
      <c r="QZ51" s="3453"/>
      <c r="RA51" s="3453"/>
      <c r="RB51" s="5713"/>
      <c r="RC51" s="3453"/>
      <c r="RD51" s="3453"/>
      <c r="RE51" s="5713"/>
      <c r="RF51" s="3453"/>
      <c r="RG51" s="3453"/>
      <c r="RH51" s="5713"/>
      <c r="RI51" s="3453"/>
      <c r="RJ51" s="3453"/>
      <c r="RK51" s="5713"/>
      <c r="RL51" s="3453"/>
      <c r="RM51" s="3453"/>
      <c r="RN51" s="5713"/>
      <c r="RO51" s="3453"/>
      <c r="RP51" s="3453"/>
      <c r="RQ51" s="5881">
        <f>IF($CH51&gt;0,RQ$32*_Calcs!$AJ$41,0)</f>
        <v>0</v>
      </c>
      <c r="RR51" s="3453"/>
      <c r="RS51" s="3453"/>
      <c r="RT51" s="3453"/>
      <c r="RU51" s="3453"/>
      <c r="RV51" s="3453"/>
      <c r="RW51" s="3453"/>
      <c r="RX51" s="3453"/>
      <c r="RY51" s="3453"/>
      <c r="RZ51" s="3453"/>
      <c r="SA51" s="3453"/>
      <c r="SB51" s="3453"/>
      <c r="SC51" s="3453"/>
      <c r="SD51" s="3453"/>
      <c r="SE51" s="3453"/>
      <c r="SF51" s="3453"/>
      <c r="SG51" s="3453"/>
      <c r="SH51" s="3453"/>
      <c r="SI51" s="3453"/>
      <c r="SJ51" s="3453"/>
      <c r="SK51" s="3453"/>
      <c r="SL51" s="3453"/>
      <c r="SM51" s="3453"/>
      <c r="SN51" s="3453"/>
      <c r="SO51" s="3453"/>
      <c r="SP51" s="3453"/>
      <c r="SQ51" s="5881">
        <f>IF($CH51&gt;0,SQ$32*_Calcs!$AJ$41,0)</f>
        <v>0</v>
      </c>
      <c r="SR51" s="5881">
        <f>IF($CH51&gt;0,SR$32*_Calcs!$AJ$41,0)</f>
        <v>0</v>
      </c>
      <c r="SS51" s="3453"/>
      <c r="ST51" s="3453"/>
      <c r="SU51" s="3453"/>
      <c r="SV51" s="3453"/>
      <c r="SW51" s="3453"/>
      <c r="SX51" s="3453"/>
      <c r="SY51" s="3453"/>
      <c r="SZ51" s="3453"/>
      <c r="TA51" s="3453"/>
      <c r="TB51" s="3453"/>
      <c r="TC51" s="3453"/>
      <c r="TD51" s="3453"/>
      <c r="TE51" s="3453"/>
      <c r="TF51" s="3453"/>
      <c r="TG51" s="3453"/>
      <c r="TH51" s="3453"/>
      <c r="TI51" s="3453"/>
      <c r="TJ51" s="3453"/>
      <c r="TK51" s="5721"/>
      <c r="TL51" s="3453"/>
      <c r="TM51" s="3453"/>
      <c r="TN51" s="3453"/>
      <c r="TO51" s="5722"/>
      <c r="TP51" s="5702"/>
      <c r="TQ51" s="5723"/>
      <c r="TR51" s="3453"/>
      <c r="TS51" s="3453"/>
      <c r="TT51" s="3453"/>
      <c r="TU51" s="5722"/>
      <c r="TV51" s="5702"/>
      <c r="TW51" s="5723"/>
      <c r="TX51" s="3453"/>
      <c r="TY51" s="3453"/>
      <c r="TZ51" s="3453"/>
      <c r="UA51" s="5722"/>
      <c r="UB51" s="5702"/>
      <c r="UC51" s="5723"/>
      <c r="UD51" s="3453"/>
      <c r="UE51" s="3453"/>
      <c r="UF51" s="3453"/>
      <c r="UG51" s="5722"/>
      <c r="UH51" s="5702"/>
      <c r="UI51" s="5723"/>
      <c r="UJ51" s="3453"/>
      <c r="UK51" s="3453"/>
      <c r="UL51" s="3453"/>
      <c r="UM51" s="5722"/>
      <c r="UN51" s="5702"/>
      <c r="UO51" s="5723"/>
      <c r="UP51" s="3453"/>
      <c r="UQ51" s="3453"/>
      <c r="UR51" s="3453"/>
      <c r="US51" s="5722"/>
      <c r="UT51" s="5702"/>
      <c r="UU51" s="5723"/>
      <c r="UV51" s="3453"/>
      <c r="UW51" s="3453"/>
      <c r="UX51" s="3453"/>
      <c r="UY51" s="5722"/>
      <c r="UZ51" s="5702"/>
      <c r="VA51" s="5723"/>
      <c r="VB51" s="3453"/>
      <c r="VC51" s="3453"/>
      <c r="VD51" s="3453"/>
      <c r="VE51" s="5722"/>
      <c r="VF51" s="5702"/>
      <c r="VG51" s="5723"/>
      <c r="VH51" s="5881">
        <f>IF($CH51&gt;0,VH$32*_Calcs!$AJ$41,0)</f>
        <v>0</v>
      </c>
      <c r="VI51" s="5881">
        <f>IF($CH51&gt;0,VI$32*_Calcs!$AJ$41,0)</f>
        <v>0</v>
      </c>
      <c r="VJ51" s="5881">
        <f>IF($CH51&gt;0,VJ$32*_Calcs!$AJ$41,0)</f>
        <v>0</v>
      </c>
      <c r="VK51" s="3453"/>
      <c r="VL51" s="3453"/>
      <c r="VM51" s="3453"/>
      <c r="VN51" s="3453"/>
      <c r="VO51" s="3453"/>
      <c r="VP51" s="3453"/>
      <c r="VQ51" s="3453"/>
      <c r="VR51" s="3453"/>
      <c r="VS51" s="3453"/>
      <c r="VT51" s="3453"/>
      <c r="VU51" s="3453"/>
      <c r="VV51" s="3453"/>
      <c r="VW51" s="3453"/>
      <c r="VX51" s="3453"/>
      <c r="VY51" s="3453"/>
      <c r="VZ51" s="3453"/>
      <c r="WA51" s="5881">
        <f>IF($CH51&gt;0,WA$32*_Calcs!$AJ$41,0)</f>
        <v>0</v>
      </c>
      <c r="WB51" s="3453"/>
      <c r="WC51" s="3453"/>
      <c r="WD51" s="3453"/>
      <c r="WE51" s="3453"/>
      <c r="WF51" s="3453"/>
      <c r="WG51" s="3453"/>
      <c r="WH51" s="3453"/>
      <c r="WI51" s="3453"/>
      <c r="WJ51" s="3453"/>
      <c r="WK51" s="3453"/>
      <c r="WL51" s="3453"/>
      <c r="WM51" s="3453"/>
      <c r="WN51" s="3453"/>
      <c r="WO51" s="3453"/>
      <c r="WP51" s="3453"/>
      <c r="WQ51" s="3453"/>
      <c r="WR51" s="3453"/>
      <c r="WS51" s="3453"/>
      <c r="WT51" s="3453"/>
      <c r="WU51" s="3453"/>
      <c r="WV51" s="3453"/>
      <c r="WW51" s="3453"/>
      <c r="WX51" s="3453"/>
      <c r="WY51" s="3453"/>
      <c r="WZ51" s="3453"/>
      <c r="XA51" s="3453"/>
      <c r="XB51" s="3453"/>
      <c r="XC51" s="3453"/>
      <c r="XD51" s="3453"/>
      <c r="XE51" s="3453"/>
      <c r="XF51" s="3453"/>
      <c r="XG51" s="3453"/>
      <c r="XH51" s="5881">
        <f>IF($CH51&gt;0,XH$32*_Calcs!$AJ$41,0)</f>
        <v>0</v>
      </c>
      <c r="XI51" s="5881">
        <f>IF($CH51&gt;0,XI$32*_Calcs!$AJ$41,0)</f>
        <v>0</v>
      </c>
      <c r="XJ51" s="3453"/>
      <c r="XK51" s="3453"/>
      <c r="XL51" s="3453"/>
      <c r="XM51" s="3453"/>
      <c r="XN51" s="3453"/>
      <c r="XO51" s="3453"/>
      <c r="XP51" s="3453"/>
      <c r="XQ51" s="3453"/>
      <c r="XR51" s="3453"/>
      <c r="XS51" s="3453"/>
      <c r="XT51" s="3453"/>
      <c r="XU51" s="3453"/>
      <c r="XV51" s="3453"/>
      <c r="XW51" s="3453"/>
      <c r="XX51" s="3453"/>
      <c r="XY51" s="3453"/>
      <c r="XZ51" s="3453"/>
      <c r="YA51" s="3453"/>
      <c r="YB51" s="3453"/>
      <c r="YC51" s="3453"/>
      <c r="YD51" s="3453"/>
      <c r="YE51" s="3453"/>
      <c r="YF51" s="3453"/>
      <c r="YG51" s="3453"/>
      <c r="YH51" s="3453"/>
      <c r="YI51" s="3453"/>
      <c r="YJ51" s="3453"/>
      <c r="YK51" s="3453"/>
      <c r="YL51" s="3453"/>
      <c r="YM51" s="3453"/>
      <c r="YN51" s="3453"/>
      <c r="YO51" s="3453"/>
      <c r="YP51" s="5881">
        <f>IF($CH51&gt;0,YP$32*_Calcs!$AJ$41,0)</f>
        <v>0</v>
      </c>
      <c r="YQ51" s="5881">
        <f>IF($CH51&gt;0,YQ$32*_Calcs!$AJ$41,0)</f>
        <v>0</v>
      </c>
      <c r="YR51" s="3453"/>
      <c r="YS51" s="3453"/>
      <c r="YT51" s="3453"/>
      <c r="YU51" s="3453"/>
      <c r="YV51" s="3453"/>
      <c r="YW51" s="3453"/>
      <c r="YX51" s="3453"/>
      <c r="YY51" s="3453"/>
      <c r="YZ51" s="3453"/>
      <c r="ZA51" s="3453"/>
      <c r="ZB51" s="3453"/>
      <c r="ZC51" s="3453"/>
      <c r="ZD51" s="3453"/>
      <c r="ZE51" s="3453"/>
      <c r="ZF51" s="3453"/>
      <c r="ZG51" s="3453"/>
      <c r="ZH51" s="3453"/>
      <c r="ZI51" s="3453"/>
      <c r="ZJ51" s="3453"/>
      <c r="ZK51" s="3453"/>
      <c r="ZL51" s="3453"/>
      <c r="ZM51" s="3453"/>
      <c r="ZN51" s="4199"/>
      <c r="ZO51" s="4199"/>
      <c r="ZP51" s="4199"/>
      <c r="ZQ51" s="4199"/>
      <c r="ZR51" s="4199"/>
      <c r="ZS51" s="4199"/>
      <c r="ZT51" s="4199"/>
      <c r="ZU51" s="4199"/>
      <c r="ZV51" s="4199"/>
      <c r="ZW51" s="4199"/>
      <c r="ZX51" s="4199"/>
      <c r="ZY51" s="4199"/>
      <c r="ZZ51" s="4199"/>
      <c r="AAA51" s="4199"/>
      <c r="AAB51" s="2622"/>
      <c r="AAC51" s="2622"/>
      <c r="AAD51" s="2622"/>
      <c r="AAE51" s="2622"/>
      <c r="AAF51" s="2622"/>
      <c r="AAG51" s="2622"/>
      <c r="AAH51" s="2622"/>
      <c r="AAI51" s="2622"/>
      <c r="AAJ51" s="2622"/>
      <c r="AAK51" s="2622"/>
      <c r="AAL51" s="2622"/>
      <c r="AAM51" s="2622"/>
      <c r="AAN51" s="2622"/>
      <c r="AAO51" s="2622"/>
      <c r="AAP51" s="2622"/>
      <c r="AAQ51" s="2622"/>
      <c r="AAR51" s="2622"/>
      <c r="AAS51" s="2622"/>
      <c r="AAT51" s="2622"/>
      <c r="AAU51" s="2622"/>
      <c r="AAV51" s="2622"/>
      <c r="AAW51" s="2622"/>
      <c r="AAX51" s="2622"/>
      <c r="AAY51" s="2622"/>
      <c r="AAZ51" s="2622"/>
      <c r="ABA51" s="2622"/>
      <c r="ABB51" s="2737"/>
      <c r="ABC51" s="2737"/>
      <c r="ABD51" s="2737"/>
      <c r="ABE51" s="2737"/>
      <c r="ABF51" s="2737"/>
      <c r="ABG51" s="2737"/>
      <c r="ABH51" s="2737"/>
      <c r="ABI51" s="2737"/>
      <c r="ABJ51" s="2622"/>
      <c r="ABK51" s="2622"/>
      <c r="ABL51" s="2737"/>
      <c r="ABM51" s="2737"/>
      <c r="ABN51" s="2737"/>
      <c r="ABO51" s="2737"/>
      <c r="ABP51" s="2737"/>
      <c r="ABQ51" s="2737"/>
      <c r="ABR51" s="2737"/>
      <c r="ABS51" s="2737"/>
      <c r="ABT51" s="2622"/>
      <c r="ABU51" s="2622"/>
      <c r="ABV51" s="2737"/>
      <c r="ABW51" s="2737"/>
      <c r="ABX51" s="2737"/>
      <c r="ABY51" s="2737"/>
      <c r="ABZ51" s="2737"/>
      <c r="ACA51" s="2737"/>
      <c r="ACB51" s="2737"/>
      <c r="ACC51" s="2737"/>
      <c r="ACD51" s="2737"/>
      <c r="ACE51" s="2622"/>
      <c r="ACF51" s="2737"/>
      <c r="ACG51" s="2737"/>
      <c r="ACH51" s="2737"/>
      <c r="ACI51" s="2737"/>
      <c r="ACJ51" s="2737"/>
      <c r="ACK51" s="2737"/>
      <c r="ACL51" s="2737"/>
      <c r="ACM51" s="2737"/>
      <c r="ACN51" s="2622"/>
      <c r="ACO51" s="2737"/>
      <c r="ACP51" s="2737"/>
      <c r="ACQ51" s="2737"/>
      <c r="ACR51" s="2737"/>
      <c r="ACS51" s="2737"/>
      <c r="ACT51" s="2737"/>
      <c r="ACU51" s="2737"/>
      <c r="ACV51" s="2737"/>
      <c r="ACW51" s="2622"/>
      <c r="ACX51" s="2737"/>
      <c r="ACY51" s="2737"/>
      <c r="ACZ51" s="2737"/>
      <c r="ADA51" s="2737"/>
      <c r="ADB51" s="2737"/>
      <c r="ADC51" s="2737"/>
      <c r="ADD51" s="2737"/>
      <c r="ADE51" s="2737"/>
      <c r="ADF51" s="2737"/>
      <c r="ADH51" s="2737"/>
      <c r="ADI51" s="2737"/>
      <c r="ADJ51" s="2737"/>
      <c r="ADK51" s="2737"/>
      <c r="ADL51" s="2737"/>
      <c r="ADM51" s="2737"/>
      <c r="ADN51" s="2737"/>
      <c r="ADO51" s="2737"/>
      <c r="ADQ51" s="2737"/>
      <c r="ADR51" s="2737"/>
      <c r="ADS51" s="2737"/>
      <c r="ADT51" s="2737"/>
      <c r="ADU51" s="2737"/>
      <c r="ADV51" s="2737"/>
      <c r="ADW51" s="2737"/>
      <c r="ADX51" s="2737"/>
      <c r="ADY51" s="2737"/>
      <c r="ADZ51" s="2737"/>
      <c r="AEA51" s="2737"/>
      <c r="AEB51" s="2737"/>
      <c r="AEC51" s="2737"/>
      <c r="AED51" s="2737"/>
      <c r="AEE51" s="2737"/>
      <c r="AEF51" s="2737"/>
      <c r="AEG51" s="2737"/>
      <c r="AEH51" s="2737"/>
      <c r="AEI51" s="2737"/>
      <c r="AEJ51" s="2737"/>
      <c r="AEK51" s="2737"/>
      <c r="AEL51" s="2737"/>
      <c r="AEM51" s="2737"/>
      <c r="AEN51" s="2737"/>
      <c r="AEO51" s="2737"/>
      <c r="AEP51" s="2737"/>
      <c r="AEQ51" s="2737"/>
      <c r="AER51" s="2737"/>
      <c r="AES51" s="2737"/>
      <c r="AET51" s="2737"/>
      <c r="AEU51" s="2737"/>
      <c r="AEV51" s="2737"/>
      <c r="AEW51" s="2737"/>
      <c r="AEX51" s="2737"/>
      <c r="AFG51" s="2737"/>
      <c r="AFP51" s="2737"/>
      <c r="AGI51" s="2737"/>
      <c r="AGN51" s="2622"/>
      <c r="AGR51" s="2737"/>
      <c r="AHB51" s="2737"/>
      <c r="AHJ51" s="2737"/>
      <c r="AHV51" s="2737"/>
      <c r="AHY51" s="2622"/>
      <c r="AII51" s="2622"/>
      <c r="AIJ51" s="2622"/>
      <c r="AIR51" s="2622"/>
      <c r="AIS51" s="2622"/>
      <c r="AJP51" s="2737"/>
      <c r="AKC51" s="3582"/>
      <c r="AKD51" s="2737"/>
      <c r="AKU51" s="2622"/>
      <c r="ALL51" s="2622"/>
      <c r="ALM51" s="2737"/>
      <c r="ALW51" s="2737"/>
      <c r="ALX51" s="2737"/>
      <c r="AMG51" s="2737"/>
      <c r="AOI51" s="2737"/>
      <c r="AOV51" s="4124"/>
      <c r="AOW51" s="5162"/>
      <c r="AOX51" s="5162"/>
      <c r="AOY51" s="5162"/>
      <c r="AOZ51" s="5162"/>
      <c r="APA51" s="5162"/>
      <c r="APB51" s="5162"/>
      <c r="APC51" s="5162"/>
      <c r="APD51" s="5162"/>
      <c r="APE51" s="5162"/>
      <c r="APT51" s="2737"/>
      <c r="AQE51" s="2622"/>
      <c r="ARE51" s="2622"/>
      <c r="ASA51" s="2622"/>
      <c r="ASJ51" s="2622"/>
      <c r="ASK51" s="2737"/>
      <c r="ASL51" s="2737"/>
      <c r="ASM51" s="2737"/>
      <c r="ASN51" s="2737"/>
      <c r="ASO51" s="2737"/>
      <c r="ASP51" s="2737"/>
      <c r="ASQ51" s="2737"/>
      <c r="ASR51" s="2737"/>
      <c r="ASS51" s="2737"/>
      <c r="ATA51" s="2622"/>
      <c r="ATB51" s="2622"/>
      <c r="ATC51" s="2622"/>
      <c r="ATD51" s="2622"/>
      <c r="ATE51" s="2622"/>
      <c r="ATF51" s="2622"/>
      <c r="ATG51" s="2622"/>
      <c r="ATH51" s="2622"/>
      <c r="ATI51" s="2622"/>
      <c r="ATJ51" s="2622"/>
      <c r="ATK51" s="2622"/>
      <c r="ATL51" s="2622"/>
      <c r="ATM51" s="2622"/>
      <c r="ATN51" s="2622"/>
      <c r="ATO51" s="2622"/>
      <c r="ATP51" s="2622"/>
      <c r="ATQ51" s="2622"/>
      <c r="ATR51" s="184"/>
      <c r="ATS51" s="184"/>
      <c r="ATT51" s="2622"/>
      <c r="ATU51" s="2622"/>
      <c r="ATV51" s="2622"/>
      <c r="ATW51" s="2622"/>
      <c r="ATX51" s="2617"/>
      <c r="ATY51" s="2617"/>
      <c r="ATZ51" s="2617"/>
      <c r="AUA51" s="2617"/>
      <c r="AUB51" s="2617"/>
      <c r="AUC51" s="2617"/>
      <c r="AUD51" s="2617"/>
      <c r="AUE51" s="2617"/>
      <c r="AUF51" s="2617"/>
      <c r="AUG51" s="2617"/>
      <c r="AUH51" s="2617"/>
      <c r="AUI51" s="2617"/>
      <c r="AUJ51" s="2617"/>
      <c r="AUK51" s="2617"/>
      <c r="AUL51" s="2617"/>
      <c r="AUM51" s="2617"/>
      <c r="AUN51" s="2617"/>
      <c r="AUO51" s="2617"/>
      <c r="AUP51" s="2617"/>
      <c r="AUQ51" s="2617"/>
      <c r="AUR51" s="2617"/>
      <c r="AUS51" s="2617"/>
      <c r="AUT51" s="2617"/>
      <c r="AUU51" s="2617"/>
      <c r="AUV51" s="3397" t="s">
        <v>940</v>
      </c>
      <c r="AUW51" s="181"/>
      <c r="AUX51" s="181"/>
      <c r="AUY51" s="181"/>
      <c r="AUZ51" s="181"/>
      <c r="AVA51" s="181"/>
      <c r="AVB51" s="181"/>
      <c r="AVC51" s="181"/>
      <c r="AVD51" s="181"/>
      <c r="AVE51" s="181"/>
      <c r="AVF51" s="181"/>
      <c r="AVG51" s="181"/>
      <c r="AVH51" s="181"/>
      <c r="AVI51" s="181"/>
      <c r="AVJ51" s="181"/>
      <c r="AVK51" s="181"/>
      <c r="AVL51" s="181"/>
      <c r="AVM51" s="181"/>
      <c r="AVN51" s="181"/>
      <c r="AVO51" s="181"/>
      <c r="AVP51" s="181"/>
      <c r="AVQ51" s="181"/>
      <c r="AVR51" s="181"/>
      <c r="AVS51" s="181"/>
      <c r="AVT51" s="181"/>
      <c r="AVU51" s="181"/>
      <c r="AVV51" s="181"/>
      <c r="AVW51" s="181"/>
      <c r="AVX51" s="181"/>
      <c r="AVY51" s="181"/>
      <c r="AVZ51" s="181"/>
      <c r="AWA51" s="181"/>
      <c r="AWB51" s="181"/>
      <c r="AWC51" s="181"/>
      <c r="AWD51" s="181"/>
      <c r="AWE51" s="181"/>
      <c r="AWF51" s="181"/>
      <c r="AWG51" s="181"/>
      <c r="AWH51" s="181"/>
      <c r="AWI51" s="181"/>
      <c r="AWJ51" s="181"/>
      <c r="AWK51" s="181"/>
      <c r="AWL51" s="181"/>
      <c r="AWM51" s="181"/>
      <c r="AWN51" s="181"/>
      <c r="AWO51" s="181"/>
      <c r="AWP51" s="181"/>
      <c r="AWQ51" s="181"/>
      <c r="AWR51" s="2617"/>
      <c r="AWS51" s="2617"/>
      <c r="AWT51" s="2617"/>
      <c r="AWU51" s="2617"/>
      <c r="AWV51" s="2617"/>
      <c r="AWW51" s="2617"/>
      <c r="AWX51" s="2617"/>
      <c r="AWY51" s="2617"/>
      <c r="AWZ51" s="2617"/>
      <c r="AXA51" s="2617"/>
      <c r="AXB51" s="2617"/>
      <c r="AXC51" s="2617"/>
      <c r="AXD51" s="2617"/>
      <c r="AXE51" s="2617"/>
      <c r="AXF51" s="2617"/>
      <c r="AXG51" s="2617"/>
      <c r="AXH51" s="2617"/>
      <c r="AXI51" s="2617"/>
      <c r="AXJ51" s="2617"/>
      <c r="AXK51" s="2617"/>
      <c r="AYV51" s="2622"/>
      <c r="AYW51" s="2622"/>
      <c r="AYX51" s="2622"/>
      <c r="AYY51" s="2622"/>
      <c r="AYZ51" s="2622"/>
      <c r="AZA51" s="2622"/>
      <c r="AZB51" s="2622"/>
      <c r="AZC51" s="2622"/>
      <c r="AZD51" s="2622"/>
      <c r="AZE51" s="2622"/>
      <c r="AZF51" s="2622"/>
      <c r="AZG51" s="2622"/>
      <c r="AZH51" s="2622"/>
      <c r="AZI51" s="2622"/>
      <c r="AZJ51" s="2622"/>
      <c r="AZK51" s="2622"/>
      <c r="AZL51" s="2622"/>
      <c r="AZM51" s="2622"/>
      <c r="AZN51" s="2622"/>
      <c r="AZO51" s="2622"/>
      <c r="AZP51" s="2622"/>
      <c r="AZQ51" s="2622"/>
      <c r="AZR51" s="2622"/>
      <c r="AZS51" s="2622"/>
      <c r="AZT51" s="2622"/>
      <c r="AZU51" s="2622"/>
      <c r="AZX51" s="2622"/>
      <c r="AZY51" s="2622"/>
      <c r="AZZ51" s="2622"/>
      <c r="BAA51" s="2622"/>
      <c r="BAB51" s="2622"/>
      <c r="BAC51" s="2622"/>
      <c r="BAD51" s="2622"/>
      <c r="BAE51" s="2622"/>
      <c r="BAF51" s="2622"/>
      <c r="BAG51" s="2622"/>
      <c r="BAH51" s="2622"/>
      <c r="BAI51" s="2622"/>
      <c r="BAL51" s="2622"/>
      <c r="BAM51" s="2622"/>
      <c r="BAN51" s="2622"/>
      <c r="BAO51" s="2622"/>
      <c r="BAP51" s="2622"/>
      <c r="BAQ51" s="2622"/>
      <c r="BAT51" s="2622"/>
      <c r="BAU51" s="185" t="s">
        <v>875</v>
      </c>
      <c r="BAV51" s="199"/>
      <c r="BAW51" s="199" t="s">
        <v>890</v>
      </c>
      <c r="BAX51" s="2972" t="s">
        <v>908</v>
      </c>
      <c r="BAY51" s="2974">
        <v>1.5</v>
      </c>
      <c r="BAZ51" s="2973" t="s">
        <v>907</v>
      </c>
      <c r="BBA51" s="2976">
        <v>150</v>
      </c>
      <c r="BBB51" s="2976" t="s">
        <v>909</v>
      </c>
      <c r="BBC51" s="2972" t="s">
        <v>872</v>
      </c>
      <c r="BBD51" s="2976" t="s">
        <v>910</v>
      </c>
      <c r="BBE51" s="2978" t="s">
        <v>915</v>
      </c>
      <c r="BBF51" s="2976" t="s">
        <v>887</v>
      </c>
      <c r="BBG51" s="2978" t="s">
        <v>916</v>
      </c>
      <c r="BBH51" s="2979" t="s">
        <v>888</v>
      </c>
      <c r="BBI51" s="2972" t="s">
        <v>872</v>
      </c>
      <c r="BBK51" s="2622"/>
      <c r="BBQ51" s="3398"/>
      <c r="BCJ51" s="2617"/>
      <c r="BCK51" s="2617"/>
      <c r="BCL51" s="2617"/>
      <c r="BCM51" s="2617"/>
      <c r="BCN51" s="2617"/>
      <c r="BCO51" s="2617"/>
      <c r="BCP51" s="2617"/>
      <c r="BCQ51" s="2617"/>
      <c r="BCR51" s="2617"/>
      <c r="BCS51" s="2617"/>
      <c r="BCT51" s="2617"/>
      <c r="BCU51" s="2617"/>
      <c r="BCV51" s="2617"/>
      <c r="BCW51" s="2617"/>
      <c r="BCX51" s="2617"/>
      <c r="BCY51" s="2617"/>
      <c r="BCZ51" s="2617"/>
      <c r="BDA51" s="2617"/>
      <c r="BDB51" s="2617"/>
      <c r="BDC51" s="2617"/>
      <c r="BDD51" s="2617"/>
      <c r="BDE51" s="2617"/>
      <c r="BDF51" s="2617"/>
      <c r="BDG51" s="2617"/>
      <c r="BDH51" s="2617"/>
      <c r="BDI51" s="2617"/>
      <c r="BDL51" s="2617"/>
      <c r="BDM51" s="2617"/>
      <c r="BDN51" s="2617"/>
      <c r="BDO51" s="2617"/>
      <c r="BDP51" s="2617"/>
      <c r="BDQ51" s="2617"/>
      <c r="BDR51" s="2617"/>
      <c r="BDS51" s="2617"/>
      <c r="BDT51" s="2617"/>
      <c r="BDU51" s="2617"/>
      <c r="BDV51" s="2617"/>
      <c r="BDW51" s="2617"/>
      <c r="BDZ51" s="2617"/>
      <c r="BEA51" s="2617"/>
      <c r="BEB51" s="2617"/>
      <c r="BEC51" s="2617"/>
      <c r="BED51" s="2617"/>
      <c r="BEE51" s="2617"/>
      <c r="BEH51" s="2617"/>
    </row>
    <row r="52" spans="32:1513" ht="20.100000000000001" customHeight="1" thickBot="1" x14ac:dyDescent="0.25">
      <c r="AH52" s="206" t="s">
        <v>1321</v>
      </c>
      <c r="AI52" s="199" t="str">
        <f>IF(AND(_Calcs!$BH$35&gt;0,_Calcs!$BH$35&lt;90),60,IF(AND(_Calcs!$BH$35&gt;=90,_Calcs!$BH$35&lt;200),90,"-"))</f>
        <v>-</v>
      </c>
      <c r="AU52" s="235">
        <v>8</v>
      </c>
      <c r="AV52" s="185">
        <f>IF('!INN_SK'!$CD$55="",0,1)</f>
        <v>1</v>
      </c>
      <c r="AW52" s="185">
        <f>IF('!INN_SK'!$CD$57="",0,1)</f>
        <v>1</v>
      </c>
      <c r="AX52" s="185">
        <f>IF('!INN_SK'!$CD$64="",0,1)</f>
        <v>1</v>
      </c>
      <c r="AY52" s="185">
        <f>IF('!INN_SK'!$CD$71="",0,1)</f>
        <v>1</v>
      </c>
      <c r="AZ52" s="185">
        <f>IF('!INN_SK'!$CD$78="",0,1)</f>
        <v>1</v>
      </c>
      <c r="BA52" s="185">
        <f>IF('!INN_SK'!$CD$80="",0,1)</f>
        <v>1</v>
      </c>
      <c r="BB52" s="185">
        <f>IF('!INN_SK'!$CD$87="",0,1)</f>
        <v>1</v>
      </c>
      <c r="BC52" s="193">
        <f>IF('!INN_SK'!$CD$94="",0,1)</f>
        <v>1</v>
      </c>
      <c r="BD52" s="247">
        <f>COUNTIF(checks_klasse[[#This Row],[A]:[G]],0)</f>
        <v>0</v>
      </c>
      <c r="BE52" s="183"/>
      <c r="CG52" s="5820" t="str">
        <f>_Calcs!$QW$135</f>
        <v>Tverrslag</v>
      </c>
      <c r="CH52" s="5821">
        <f>IF($AI$31=1,INDEX(outputs_position[Tverrslag],MATCH(_Calcs!$BC$35,outputs_position[lopstuff],0)),IF(_Calcs!$BC$36=1,$CJ$32+1,0))</f>
        <v>0</v>
      </c>
      <c r="CI52" s="5853"/>
      <c r="CJ52" s="5853">
        <f t="shared" si="262"/>
        <v>0</v>
      </c>
      <c r="CK52" s="5883">
        <v>91</v>
      </c>
      <c r="CL52" s="5824"/>
      <c r="CM52" s="5824"/>
      <c r="CN52" s="5824"/>
      <c r="CO52" s="5824"/>
      <c r="CP52" s="5824"/>
      <c r="CQ52" s="5824"/>
      <c r="CR52" s="5824"/>
      <c r="CS52" s="5824"/>
      <c r="CT52" s="5824"/>
      <c r="CU52" s="5824"/>
      <c r="CV52" s="5824"/>
      <c r="CW52" s="5824"/>
      <c r="CX52" s="5824">
        <f>IF($AI$31=1,CX42,0)</f>
        <v>0</v>
      </c>
      <c r="CY52" s="5824"/>
      <c r="CZ52" s="5824">
        <f>IF($AI$31=1,CZ42,0)</f>
        <v>0</v>
      </c>
      <c r="DA52" s="5824"/>
      <c r="DB52" s="5824">
        <f>IF($AI$31=1,DB42,0)</f>
        <v>0</v>
      </c>
      <c r="DC52" s="5824"/>
      <c r="DD52" s="5824">
        <f>IF($AI$31=1,DD42,0)</f>
        <v>0</v>
      </c>
      <c r="DE52" s="5824"/>
      <c r="DF52" s="5824">
        <f>IF($AI$31=1,DF42,0)</f>
        <v>0</v>
      </c>
      <c r="DG52" s="5824"/>
      <c r="DH52" s="5824">
        <f>IF($AI$31=1,DH42,0)</f>
        <v>0</v>
      </c>
      <c r="DI52" s="5824"/>
      <c r="DJ52" s="5824">
        <f>IF($AI$31=1,DJ42,0)</f>
        <v>0</v>
      </c>
      <c r="DK52" s="5824"/>
      <c r="DL52" s="5824">
        <f>IF($AI$31=1,DL42,0)</f>
        <v>0</v>
      </c>
      <c r="DM52" s="5882">
        <f>IF($AI$31=1,DM42,0)</f>
        <v>0</v>
      </c>
      <c r="DN52" s="5824"/>
      <c r="DO52" s="5824"/>
      <c r="DP52" s="5824">
        <f>IF($AI$31=1,DP42,0)</f>
        <v>0</v>
      </c>
      <c r="DQ52" s="5824"/>
      <c r="DR52" s="5824">
        <f>IF($AI$31=1,DR42,0)</f>
        <v>0</v>
      </c>
      <c r="DS52" s="5824"/>
      <c r="DT52" s="5824">
        <f>IF($AI$31=1,DT42,0)</f>
        <v>0</v>
      </c>
      <c r="DU52" s="5824"/>
      <c r="DV52" s="5824">
        <f>IF($AI$31=1,DV42,0)</f>
        <v>0</v>
      </c>
      <c r="DW52" s="5824"/>
      <c r="DX52" s="5824">
        <f>IF($AI$31=1,DX42,0)</f>
        <v>0</v>
      </c>
      <c r="DY52" s="5824"/>
      <c r="DZ52" s="5824">
        <f>IF($AI$31=1,DZ42,0)</f>
        <v>0</v>
      </c>
      <c r="EA52" s="5824"/>
      <c r="EB52" s="5824">
        <f>IF($AI$31=1,EB42,0)</f>
        <v>0</v>
      </c>
      <c r="EC52" s="5824"/>
      <c r="ED52" s="5824">
        <f>IF($AI$31=1,ED42,0)</f>
        <v>0</v>
      </c>
      <c r="EE52" s="5882">
        <f>IF($AI$31=1,EE42,0)</f>
        <v>0</v>
      </c>
      <c r="EF52" s="5833"/>
      <c r="EG52" s="5833"/>
      <c r="EH52" s="5833"/>
      <c r="EI52" s="5833"/>
      <c r="EJ52" s="5833"/>
      <c r="EK52" s="5833"/>
      <c r="EL52" s="5833"/>
      <c r="EM52" s="5833"/>
      <c r="EN52" s="5833"/>
      <c r="EO52" s="5833"/>
      <c r="EP52" s="5833"/>
      <c r="EQ52" s="5833"/>
      <c r="ER52" s="5833"/>
      <c r="ES52" s="5833"/>
      <c r="ET52" s="5833"/>
      <c r="EU52" s="5833"/>
      <c r="EV52" s="5833"/>
      <c r="EW52" s="5882">
        <f>IF($AI$31=1,EW42,0)</f>
        <v>0</v>
      </c>
      <c r="EX52" s="5833"/>
      <c r="EY52" s="5833"/>
      <c r="EZ52" s="5833"/>
      <c r="FA52" s="5833"/>
      <c r="FB52" s="5833"/>
      <c r="FC52" s="5833"/>
      <c r="FD52" s="5833"/>
      <c r="FE52" s="5833"/>
      <c r="FF52" s="5833"/>
      <c r="FG52" s="5833"/>
      <c r="FH52" s="5833"/>
      <c r="FI52" s="5833"/>
      <c r="FJ52" s="5833"/>
      <c r="FK52" s="5833"/>
      <c r="FL52" s="5833"/>
      <c r="FM52" s="5833"/>
      <c r="FN52" s="5833"/>
      <c r="FO52" s="5833"/>
      <c r="FP52" s="5833"/>
      <c r="FQ52" s="5833"/>
      <c r="FR52" s="5833"/>
      <c r="FS52" s="5833"/>
      <c r="FT52" s="5833"/>
      <c r="FU52" s="5833"/>
      <c r="FV52" s="5833"/>
      <c r="FW52" s="5833"/>
      <c r="FX52" s="5833"/>
      <c r="FY52" s="5833"/>
      <c r="FZ52" s="5833"/>
      <c r="GA52" s="5833"/>
      <c r="GB52" s="5824"/>
      <c r="GC52" s="5824"/>
      <c r="GD52" s="5824"/>
      <c r="GE52" s="5824"/>
      <c r="GF52" s="5824"/>
      <c r="GG52" s="5882">
        <f>IF($AI$31=1,GG42,0)</f>
        <v>0</v>
      </c>
      <c r="GH52" s="5824"/>
      <c r="GI52" s="5824"/>
      <c r="GJ52" s="5824"/>
      <c r="GK52" s="5824"/>
      <c r="GL52" s="5824"/>
      <c r="GM52" s="5824"/>
      <c r="GN52" s="5824"/>
      <c r="GO52" s="5824"/>
      <c r="GP52" s="5824"/>
      <c r="GQ52" s="5824"/>
      <c r="GR52" s="5824"/>
      <c r="GS52" s="5824"/>
      <c r="GT52" s="5824"/>
      <c r="GU52" s="5824"/>
      <c r="GV52" s="5824"/>
      <c r="GW52" s="5824"/>
      <c r="GX52" s="5824"/>
      <c r="GY52" s="5824"/>
      <c r="GZ52" s="5882">
        <f t="shared" ref="GZ52:HA52" si="263">IF($AI$31=1,GZ42,0)</f>
        <v>0</v>
      </c>
      <c r="HA52" s="5882">
        <f t="shared" si="263"/>
        <v>0</v>
      </c>
      <c r="HB52" s="5824"/>
      <c r="HC52" s="5824"/>
      <c r="HD52" s="5824"/>
      <c r="HE52" s="5824"/>
      <c r="HF52" s="5824"/>
      <c r="HG52" s="5824"/>
      <c r="HH52" s="5824"/>
      <c r="HI52" s="5824"/>
      <c r="HJ52" s="5824"/>
      <c r="HK52" s="5824"/>
      <c r="HL52" s="5824"/>
      <c r="HM52" s="5824"/>
      <c r="HN52" s="5824"/>
      <c r="HO52" s="5824"/>
      <c r="HP52" s="5824"/>
      <c r="HQ52" s="5824"/>
      <c r="HR52" s="5824"/>
      <c r="HS52" s="5824"/>
      <c r="HT52" s="5824"/>
      <c r="HU52" s="5865"/>
      <c r="HV52" s="5833"/>
      <c r="HW52" s="5824"/>
      <c r="HX52" s="5824"/>
      <c r="HY52" s="5824"/>
      <c r="HZ52" s="5865"/>
      <c r="IA52" s="5833"/>
      <c r="IB52" s="5824"/>
      <c r="IC52" s="5824"/>
      <c r="ID52" s="5824"/>
      <c r="IE52" s="5865"/>
      <c r="IF52" s="5833"/>
      <c r="IG52" s="5824"/>
      <c r="IH52" s="5824"/>
      <c r="II52" s="5824"/>
      <c r="IJ52" s="5865"/>
      <c r="IK52" s="5833"/>
      <c r="IL52" s="5824"/>
      <c r="IM52" s="5824"/>
      <c r="IN52" s="5824"/>
      <c r="IO52" s="5865"/>
      <c r="IP52" s="5833"/>
      <c r="IQ52" s="5824"/>
      <c r="IR52" s="5824"/>
      <c r="IS52" s="5824"/>
      <c r="IT52" s="5865"/>
      <c r="IU52" s="5833"/>
      <c r="IV52" s="5824"/>
      <c r="IW52" s="5824"/>
      <c r="IX52" s="5824"/>
      <c r="IY52" s="5865"/>
      <c r="IZ52" s="5833"/>
      <c r="JA52" s="5824"/>
      <c r="JB52" s="5824"/>
      <c r="JC52" s="5824"/>
      <c r="JD52" s="5865"/>
      <c r="JE52" s="5833"/>
      <c r="JF52" s="5824"/>
      <c r="JG52" s="5824"/>
      <c r="JH52" s="5824"/>
      <c r="JI52" s="5824"/>
      <c r="JJ52" s="5824"/>
      <c r="JK52" s="5824"/>
      <c r="JL52" s="5824"/>
      <c r="JM52" s="5824"/>
      <c r="JN52" s="5824"/>
      <c r="JO52" s="5824"/>
      <c r="JP52" s="5824"/>
      <c r="JQ52" s="5824"/>
      <c r="JR52" s="5824"/>
      <c r="JS52" s="5824"/>
      <c r="JT52" s="5824"/>
      <c r="JU52" s="5824"/>
      <c r="JV52" s="5882">
        <f t="shared" ref="JV52:JW52" si="264">IF($AI$31=1,JV42,0)</f>
        <v>0</v>
      </c>
      <c r="JW52" s="5882">
        <f t="shared" si="264"/>
        <v>0</v>
      </c>
      <c r="JX52" s="5824"/>
      <c r="JY52" s="5824"/>
      <c r="JZ52" s="5824"/>
      <c r="KA52" s="5824"/>
      <c r="KB52" s="5824"/>
      <c r="KC52" s="5824"/>
      <c r="KD52" s="5824"/>
      <c r="KE52" s="5824"/>
      <c r="KF52" s="5824"/>
      <c r="KG52" s="5824"/>
      <c r="KH52" s="5824"/>
      <c r="KI52" s="5824"/>
      <c r="KJ52" s="5824"/>
      <c r="KK52" s="5824"/>
      <c r="KL52" s="5824"/>
      <c r="KM52" s="5824"/>
      <c r="KN52" s="5824"/>
      <c r="KO52" s="5824"/>
      <c r="KP52" s="5824"/>
      <c r="KQ52" s="5824"/>
      <c r="KR52" s="5824"/>
      <c r="KS52" s="5824"/>
      <c r="KT52" s="5824"/>
      <c r="KU52" s="5824"/>
      <c r="KV52" s="5824"/>
      <c r="KW52" s="5824"/>
      <c r="KX52" s="5824"/>
      <c r="KY52" s="5824"/>
      <c r="KZ52" s="5824"/>
      <c r="LA52" s="5824"/>
      <c r="LB52" s="5824"/>
      <c r="LC52" s="5824"/>
      <c r="LD52" s="5882">
        <f t="shared" ref="LD52:LE52" si="265">IF($AI$31=1,LD42,0)</f>
        <v>0</v>
      </c>
      <c r="LE52" s="5882">
        <f t="shared" si="265"/>
        <v>0</v>
      </c>
      <c r="LF52" s="5833"/>
      <c r="LG52" s="5824"/>
      <c r="LH52" s="5824"/>
      <c r="LI52" s="5824"/>
      <c r="LJ52" s="5824"/>
      <c r="LK52" s="5824"/>
      <c r="LL52" s="5824"/>
      <c r="LM52" s="5824"/>
      <c r="LN52" s="5824"/>
      <c r="LO52" s="5824"/>
      <c r="LP52" s="5824"/>
      <c r="LQ52" s="5824"/>
      <c r="LR52" s="5824"/>
      <c r="LS52" s="5824"/>
      <c r="LT52" s="5824"/>
      <c r="LU52" s="5824"/>
      <c r="LV52" s="5824"/>
      <c r="LW52" s="5882">
        <f t="shared" ref="LW52" si="266">IF($AI$31=1,LW42,0)</f>
        <v>0</v>
      </c>
      <c r="LX52" s="5824"/>
      <c r="LY52" s="5826"/>
      <c r="LZ52" s="5824"/>
      <c r="MA52" s="5826"/>
      <c r="MB52" s="5824"/>
      <c r="MC52" s="5826"/>
      <c r="MD52" s="5824"/>
      <c r="ME52" s="5826"/>
      <c r="MF52" s="5824"/>
      <c r="MG52" s="5826"/>
      <c r="MH52" s="5824"/>
      <c r="MI52" s="5826"/>
      <c r="MJ52" s="5824"/>
      <c r="MK52" s="5826"/>
      <c r="ML52" s="5824"/>
      <c r="MM52" s="5826"/>
      <c r="MN52" s="5882">
        <f>MN42</f>
        <v>0</v>
      </c>
      <c r="MO52" s="5824"/>
      <c r="MP52" s="5824"/>
      <c r="MQ52" s="5824"/>
      <c r="MR52" s="5824"/>
      <c r="MS52" s="5824"/>
      <c r="MT52" s="5824"/>
      <c r="MU52" s="5824"/>
      <c r="MV52" s="5824"/>
      <c r="MW52" s="5882">
        <f>MW42</f>
        <v>0</v>
      </c>
      <c r="MX52" s="5824"/>
      <c r="MY52" s="5824"/>
      <c r="MZ52" s="5824"/>
      <c r="NA52" s="5824"/>
      <c r="NB52" s="5824"/>
      <c r="NC52" s="5824"/>
      <c r="ND52" s="5824"/>
      <c r="NE52" s="5824"/>
      <c r="NF52" s="5824"/>
      <c r="NG52" s="5824"/>
      <c r="NH52" s="5824"/>
      <c r="NI52" s="5824"/>
      <c r="NJ52" s="5824"/>
      <c r="NK52" s="5824"/>
      <c r="NL52" s="5824"/>
      <c r="NM52" s="5824"/>
      <c r="NN52" s="5882">
        <f>NN42</f>
        <v>0</v>
      </c>
      <c r="NO52" s="5824"/>
      <c r="NP52" s="5824"/>
      <c r="NQ52" s="5824"/>
      <c r="NR52" s="5824"/>
      <c r="NS52" s="5824"/>
      <c r="NT52" s="5824"/>
      <c r="NU52" s="5824"/>
      <c r="NV52" s="5824"/>
      <c r="NW52" s="5824"/>
      <c r="NX52" s="5824"/>
      <c r="NY52" s="5824"/>
      <c r="NZ52" s="5824"/>
      <c r="OA52" s="5824"/>
      <c r="OB52" s="5824"/>
      <c r="OC52" s="5824"/>
      <c r="OD52" s="5824"/>
      <c r="OE52" s="5824"/>
      <c r="OF52" s="5824"/>
      <c r="OG52" s="5824"/>
      <c r="OH52" s="5824"/>
      <c r="OI52" s="5833"/>
      <c r="OJ52" s="5824"/>
      <c r="OK52" s="5868"/>
      <c r="OL52" s="5824"/>
      <c r="OM52" s="5868"/>
      <c r="ON52" s="5824"/>
      <c r="OO52" s="5868"/>
      <c r="OP52" s="5824"/>
      <c r="OQ52" s="5868"/>
      <c r="OR52" s="5824"/>
      <c r="OS52" s="5868"/>
      <c r="OT52" s="5824"/>
      <c r="OU52" s="5868"/>
      <c r="OV52" s="5824"/>
      <c r="OW52" s="5868"/>
      <c r="OX52" s="5824"/>
      <c r="OY52" s="5868"/>
      <c r="OZ52" s="5882">
        <f>OZ42</f>
        <v>0</v>
      </c>
      <c r="PA52" s="5824"/>
      <c r="PB52" s="5829"/>
      <c r="PC52" s="5824"/>
      <c r="PD52" s="5829"/>
      <c r="PE52" s="5824"/>
      <c r="PF52" s="5829"/>
      <c r="PG52" s="5824"/>
      <c r="PH52" s="5829"/>
      <c r="PI52" s="5824"/>
      <c r="PJ52" s="5829"/>
      <c r="PK52" s="5824"/>
      <c r="PL52" s="5829"/>
      <c r="PM52" s="5824"/>
      <c r="PN52" s="5829"/>
      <c r="PO52" s="5824"/>
      <c r="PP52" s="5829"/>
      <c r="PQ52" s="5882">
        <f>PQ42</f>
        <v>0</v>
      </c>
      <c r="PR52" s="5824"/>
      <c r="PS52" s="5831"/>
      <c r="PT52" s="5824"/>
      <c r="PU52" s="5831"/>
      <c r="PV52" s="5824"/>
      <c r="PW52" s="5831"/>
      <c r="PX52" s="5824"/>
      <c r="PY52" s="5831"/>
      <c r="PZ52" s="5824"/>
      <c r="QA52" s="5831"/>
      <c r="QB52" s="5824"/>
      <c r="QC52" s="5831"/>
      <c r="QD52" s="5824"/>
      <c r="QE52" s="5831"/>
      <c r="QF52" s="5824"/>
      <c r="QG52" s="5831"/>
      <c r="QH52" s="5882">
        <f>QH42</f>
        <v>0</v>
      </c>
      <c r="QI52" s="5824"/>
      <c r="QJ52" s="5824"/>
      <c r="QK52" s="5824"/>
      <c r="QL52" s="5824"/>
      <c r="QM52" s="5824"/>
      <c r="QN52" s="5824"/>
      <c r="QO52" s="5824"/>
      <c r="QP52" s="5824"/>
      <c r="QQ52" s="5824"/>
      <c r="QR52" s="5833"/>
      <c r="QS52" s="5834"/>
      <c r="QT52" s="5824"/>
      <c r="QU52" s="5824"/>
      <c r="QV52" s="5834"/>
      <c r="QW52" s="5824"/>
      <c r="QX52" s="5824"/>
      <c r="QY52" s="5834"/>
      <c r="QZ52" s="5824"/>
      <c r="RA52" s="5824"/>
      <c r="RB52" s="5834"/>
      <c r="RC52" s="5824"/>
      <c r="RD52" s="5824"/>
      <c r="RE52" s="5834"/>
      <c r="RF52" s="5824"/>
      <c r="RG52" s="5824"/>
      <c r="RH52" s="5834"/>
      <c r="RI52" s="5824"/>
      <c r="RJ52" s="5824"/>
      <c r="RK52" s="5834"/>
      <c r="RL52" s="5824"/>
      <c r="RM52" s="5824"/>
      <c r="RN52" s="5834"/>
      <c r="RO52" s="5824"/>
      <c r="RP52" s="5824"/>
      <c r="RQ52" s="5882">
        <f>RQ42</f>
        <v>0</v>
      </c>
      <c r="RR52" s="5824"/>
      <c r="RS52" s="5824"/>
      <c r="RT52" s="5824"/>
      <c r="RU52" s="5824"/>
      <c r="RV52" s="5824"/>
      <c r="RW52" s="5824"/>
      <c r="RX52" s="5824"/>
      <c r="RY52" s="5824"/>
      <c r="RZ52" s="5824"/>
      <c r="SA52" s="5824"/>
      <c r="SB52" s="5824"/>
      <c r="SC52" s="5824"/>
      <c r="SD52" s="5824"/>
      <c r="SE52" s="5824"/>
      <c r="SF52" s="5824"/>
      <c r="SG52" s="5824"/>
      <c r="SH52" s="5824"/>
      <c r="SI52" s="5824"/>
      <c r="SJ52" s="5824"/>
      <c r="SK52" s="5824"/>
      <c r="SL52" s="5824"/>
      <c r="SM52" s="5824"/>
      <c r="SN52" s="5824"/>
      <c r="SO52" s="5824"/>
      <c r="SP52" s="5824"/>
      <c r="SQ52" s="5882">
        <f>SQ42</f>
        <v>0</v>
      </c>
      <c r="SR52" s="5882">
        <f>SR42</f>
        <v>0</v>
      </c>
      <c r="SS52" s="5824"/>
      <c r="ST52" s="5824"/>
      <c r="SU52" s="5824"/>
      <c r="SV52" s="5824"/>
      <c r="SW52" s="5824"/>
      <c r="SX52" s="5824"/>
      <c r="SY52" s="5824"/>
      <c r="SZ52" s="5824"/>
      <c r="TA52" s="5824"/>
      <c r="TB52" s="5824"/>
      <c r="TC52" s="5824"/>
      <c r="TD52" s="5824"/>
      <c r="TE52" s="5824"/>
      <c r="TF52" s="5824"/>
      <c r="TG52" s="5824"/>
      <c r="TH52" s="5824"/>
      <c r="TI52" s="5824"/>
      <c r="TJ52" s="5824"/>
      <c r="TK52" s="5869"/>
      <c r="TL52" s="5824"/>
      <c r="TM52" s="5824"/>
      <c r="TN52" s="5824"/>
      <c r="TO52" s="5863"/>
      <c r="TP52" s="5825"/>
      <c r="TQ52" s="5870"/>
      <c r="TR52" s="5824"/>
      <c r="TS52" s="5824"/>
      <c r="TT52" s="5824"/>
      <c r="TU52" s="5863"/>
      <c r="TV52" s="5825"/>
      <c r="TW52" s="5870"/>
      <c r="TX52" s="5824"/>
      <c r="TY52" s="5824"/>
      <c r="TZ52" s="5824"/>
      <c r="UA52" s="5863"/>
      <c r="UB52" s="5825"/>
      <c r="UC52" s="5870"/>
      <c r="UD52" s="5824"/>
      <c r="UE52" s="5824"/>
      <c r="UF52" s="5824"/>
      <c r="UG52" s="5863"/>
      <c r="UH52" s="5825"/>
      <c r="UI52" s="5870"/>
      <c r="UJ52" s="5824"/>
      <c r="UK52" s="5824"/>
      <c r="UL52" s="5824"/>
      <c r="UM52" s="5863"/>
      <c r="UN52" s="5825"/>
      <c r="UO52" s="5870"/>
      <c r="UP52" s="5824"/>
      <c r="UQ52" s="5824"/>
      <c r="UR52" s="5824"/>
      <c r="US52" s="5863"/>
      <c r="UT52" s="5825"/>
      <c r="UU52" s="5870"/>
      <c r="UV52" s="5824"/>
      <c r="UW52" s="5824"/>
      <c r="UX52" s="5824"/>
      <c r="UY52" s="5863"/>
      <c r="UZ52" s="5825"/>
      <c r="VA52" s="5870"/>
      <c r="VB52" s="5824"/>
      <c r="VC52" s="5824"/>
      <c r="VD52" s="5824"/>
      <c r="VE52" s="5863"/>
      <c r="VF52" s="5825"/>
      <c r="VG52" s="5870"/>
      <c r="VH52" s="5882">
        <f>VH42</f>
        <v>0</v>
      </c>
      <c r="VI52" s="5882">
        <f>VI42</f>
        <v>0</v>
      </c>
      <c r="VJ52" s="5882">
        <f>VJ42</f>
        <v>0</v>
      </c>
      <c r="VK52" s="5824"/>
      <c r="VL52" s="5824"/>
      <c r="VM52" s="5824"/>
      <c r="VN52" s="5824"/>
      <c r="VO52" s="5824"/>
      <c r="VP52" s="5824"/>
      <c r="VQ52" s="5824"/>
      <c r="VR52" s="5824"/>
      <c r="VS52" s="5824"/>
      <c r="VT52" s="5824"/>
      <c r="VU52" s="5824"/>
      <c r="VV52" s="5824"/>
      <c r="VW52" s="5824"/>
      <c r="VX52" s="5824"/>
      <c r="VY52" s="5824"/>
      <c r="VZ52" s="5824"/>
      <c r="WA52" s="5882">
        <f>WA42</f>
        <v>0</v>
      </c>
      <c r="WB52" s="5824"/>
      <c r="WC52" s="5824"/>
      <c r="WD52" s="5824"/>
      <c r="WE52" s="5824"/>
      <c r="WF52" s="5824"/>
      <c r="WG52" s="5824"/>
      <c r="WH52" s="5824"/>
      <c r="WI52" s="5824"/>
      <c r="WJ52" s="5824"/>
      <c r="WK52" s="5824"/>
      <c r="WL52" s="5824"/>
      <c r="WM52" s="5824"/>
      <c r="WN52" s="5824"/>
      <c r="WO52" s="5824"/>
      <c r="WP52" s="5824"/>
      <c r="WQ52" s="5824"/>
      <c r="WR52" s="5824"/>
      <c r="WS52" s="5824"/>
      <c r="WT52" s="5824"/>
      <c r="WU52" s="5824"/>
      <c r="WV52" s="5824"/>
      <c r="WW52" s="5824"/>
      <c r="WX52" s="5824"/>
      <c r="WY52" s="5824"/>
      <c r="WZ52" s="5824"/>
      <c r="XA52" s="5824"/>
      <c r="XB52" s="5824"/>
      <c r="XC52" s="5824"/>
      <c r="XD52" s="5824"/>
      <c r="XE52" s="5824"/>
      <c r="XF52" s="5824"/>
      <c r="XG52" s="5824"/>
      <c r="XH52" s="5882">
        <f>XH42</f>
        <v>0</v>
      </c>
      <c r="XI52" s="5882">
        <f>XI42</f>
        <v>0</v>
      </c>
      <c r="XJ52" s="5824"/>
      <c r="XK52" s="5824"/>
      <c r="XL52" s="5824"/>
      <c r="XM52" s="5824"/>
      <c r="XN52" s="5824"/>
      <c r="XO52" s="5824"/>
      <c r="XP52" s="5824"/>
      <c r="XQ52" s="5824"/>
      <c r="XR52" s="5824"/>
      <c r="XS52" s="5824"/>
      <c r="XT52" s="5824"/>
      <c r="XU52" s="5824"/>
      <c r="XV52" s="5824"/>
      <c r="XW52" s="5824"/>
      <c r="XX52" s="5824"/>
      <c r="XY52" s="5824"/>
      <c r="XZ52" s="5824"/>
      <c r="YA52" s="5824"/>
      <c r="YB52" s="5824"/>
      <c r="YC52" s="5824"/>
      <c r="YD52" s="5824"/>
      <c r="YE52" s="5824"/>
      <c r="YF52" s="5824"/>
      <c r="YG52" s="5824"/>
      <c r="YH52" s="5824"/>
      <c r="YI52" s="5824"/>
      <c r="YJ52" s="5824"/>
      <c r="YK52" s="5824"/>
      <c r="YL52" s="5824"/>
      <c r="YM52" s="5824"/>
      <c r="YN52" s="5824"/>
      <c r="YO52" s="5824"/>
      <c r="YP52" s="5882">
        <f>YP42</f>
        <v>0</v>
      </c>
      <c r="YQ52" s="5882">
        <f>YQ42</f>
        <v>0</v>
      </c>
      <c r="YR52" s="5824"/>
      <c r="YS52" s="5824"/>
      <c r="YT52" s="5824"/>
      <c r="YU52" s="5824"/>
      <c r="YV52" s="5824"/>
      <c r="YW52" s="5824"/>
      <c r="YX52" s="5824"/>
      <c r="YY52" s="5824"/>
      <c r="YZ52" s="5824"/>
      <c r="ZA52" s="5824"/>
      <c r="ZB52" s="5824"/>
      <c r="ZC52" s="5824"/>
      <c r="ZD52" s="5824"/>
      <c r="ZE52" s="5824"/>
      <c r="ZF52" s="5824"/>
      <c r="ZG52" s="5824"/>
      <c r="ZH52" s="5824"/>
      <c r="ZI52" s="5824"/>
      <c r="ZJ52" s="5824"/>
      <c r="ZK52" s="5824"/>
      <c r="ZL52" s="5824"/>
      <c r="ZM52" s="5824"/>
      <c r="ZN52" s="4199"/>
      <c r="ZO52" s="4199"/>
      <c r="ZP52" s="4199"/>
      <c r="ZQ52" s="4199"/>
      <c r="ZR52" s="4199"/>
      <c r="ZS52" s="4199"/>
      <c r="ZT52" s="4199"/>
      <c r="ZU52" s="4199"/>
      <c r="ZV52" s="4199"/>
      <c r="ZW52" s="4199"/>
      <c r="ZX52" s="4199"/>
      <c r="ZY52" s="4199"/>
      <c r="ZZ52" s="4199"/>
      <c r="AAA52" s="4199"/>
      <c r="AAB52" s="2622"/>
      <c r="AAC52" s="2622"/>
      <c r="AAD52" s="2622"/>
      <c r="AAE52" s="2622"/>
      <c r="AAF52" s="2622"/>
      <c r="AAG52" s="2622"/>
      <c r="AAH52" s="2622"/>
      <c r="AAI52" s="2622"/>
      <c r="AAJ52" s="2622"/>
      <c r="AAK52" s="2622"/>
      <c r="AAL52" s="2622"/>
      <c r="AAM52" s="2622"/>
      <c r="AAN52" s="2622"/>
      <c r="AAO52" s="2622"/>
      <c r="AAP52" s="2622"/>
      <c r="AAQ52" s="2622"/>
      <c r="AAR52" s="2622"/>
      <c r="AAS52" s="2622"/>
      <c r="AAT52" s="2622"/>
      <c r="AAU52" s="2622"/>
      <c r="AAV52" s="2622"/>
      <c r="AAW52" s="2622"/>
      <c r="AAX52" s="2622"/>
      <c r="AAY52" s="2622"/>
      <c r="AAZ52" s="2622"/>
      <c r="ABA52" s="2622"/>
      <c r="ABB52" s="2737"/>
      <c r="ABC52" s="2737"/>
      <c r="ABD52" s="2737"/>
      <c r="ABE52" s="2737"/>
      <c r="ABF52" s="2737"/>
      <c r="ABG52" s="2737"/>
      <c r="ABH52" s="2737"/>
      <c r="ABI52" s="2737"/>
      <c r="ABJ52" s="2622"/>
      <c r="ABK52" s="2622"/>
      <c r="ABL52" s="2737"/>
      <c r="ABM52" s="2737"/>
      <c r="ABN52" s="2737"/>
      <c r="ABO52" s="2737"/>
      <c r="ABP52" s="2737"/>
      <c r="ABQ52" s="2737"/>
      <c r="ABR52" s="2737"/>
      <c r="ABS52" s="2737"/>
      <c r="ABT52" s="2622"/>
      <c r="ABU52" s="2622"/>
      <c r="ABV52" s="2737"/>
      <c r="ABW52" s="2737"/>
      <c r="ABX52" s="2737"/>
      <c r="ABY52" s="2737"/>
      <c r="ABZ52" s="2737"/>
      <c r="ACA52" s="2737"/>
      <c r="ACB52" s="2737"/>
      <c r="ACC52" s="2737"/>
      <c r="ACD52" s="2737"/>
      <c r="ACE52" s="2622"/>
      <c r="ACF52" s="2737"/>
      <c r="ACG52" s="2737"/>
      <c r="ACH52" s="2737"/>
      <c r="ACI52" s="2737"/>
      <c r="ACJ52" s="2737"/>
      <c r="ACK52" s="2737"/>
      <c r="ACL52" s="2737"/>
      <c r="ACM52" s="2737"/>
      <c r="ACN52" s="2622"/>
      <c r="ACO52" s="2737"/>
      <c r="ACP52" s="2737"/>
      <c r="ACQ52" s="2737"/>
      <c r="ACR52" s="2737"/>
      <c r="ACS52" s="2737"/>
      <c r="ACT52" s="2737"/>
      <c r="ACU52" s="2737"/>
      <c r="ACV52" s="2737"/>
      <c r="ACW52" s="2622"/>
      <c r="ACX52" s="2737"/>
      <c r="ACY52" s="2737"/>
      <c r="ACZ52" s="2737"/>
      <c r="ADA52" s="2737"/>
      <c r="ADB52" s="2737"/>
      <c r="ADC52" s="2737"/>
      <c r="ADD52" s="2737"/>
      <c r="ADE52" s="2737"/>
      <c r="ADF52" s="2737"/>
      <c r="ADH52" s="2737"/>
      <c r="ADI52" s="2737"/>
      <c r="ADJ52" s="2737"/>
      <c r="ADK52" s="2737"/>
      <c r="ADL52" s="2737"/>
      <c r="ADM52" s="2737"/>
      <c r="ADN52" s="2737"/>
      <c r="ADO52" s="2737"/>
      <c r="ADQ52" s="2737"/>
      <c r="ADR52" s="2737"/>
      <c r="ADS52" s="2737"/>
      <c r="ADT52" s="2737"/>
      <c r="ADU52" s="2737"/>
      <c r="ADV52" s="2737"/>
      <c r="ADW52" s="2737"/>
      <c r="ADX52" s="2737"/>
      <c r="ADY52" s="2737"/>
      <c r="ADZ52" s="2737"/>
      <c r="AEA52" s="2737"/>
      <c r="AEB52" s="2737"/>
      <c r="AEC52" s="2737"/>
      <c r="AED52" s="2737"/>
      <c r="AEE52" s="2737"/>
      <c r="AEF52" s="2737"/>
      <c r="AEG52" s="2737"/>
      <c r="AEH52" s="2737"/>
      <c r="AEI52" s="2737"/>
      <c r="AEJ52" s="2737"/>
      <c r="AEK52" s="2737"/>
      <c r="AEL52" s="2737"/>
      <c r="AEM52" s="2737"/>
      <c r="AEN52" s="2737"/>
      <c r="AEO52" s="2737"/>
      <c r="AEP52" s="2737"/>
      <c r="AEQ52" s="2737"/>
      <c r="AER52" s="2737"/>
      <c r="AES52" s="2737"/>
      <c r="AET52" s="2737"/>
      <c r="AEU52" s="2737"/>
      <c r="AEV52" s="2737"/>
      <c r="AEW52" s="2737"/>
      <c r="AEX52" s="2737"/>
      <c r="AFG52" s="2737"/>
      <c r="AFP52" s="2737"/>
      <c r="AGI52" s="2737"/>
      <c r="AGN52" s="2622"/>
      <c r="AGR52" s="2737"/>
      <c r="AHB52" s="2737"/>
      <c r="AHJ52" s="2737"/>
      <c r="AHV52" s="2737"/>
      <c r="AHY52" s="2622"/>
      <c r="AII52" s="2622"/>
      <c r="AIJ52" s="2622"/>
      <c r="AIR52" s="2622"/>
      <c r="AIS52" s="2622"/>
      <c r="AJP52" s="2737"/>
      <c r="AKD52" s="2737"/>
      <c r="AKU52" s="2622"/>
      <c r="ALL52" s="2622"/>
      <c r="ALM52" s="2737"/>
      <c r="ALW52" s="2737"/>
      <c r="ALX52" s="2737"/>
      <c r="AMG52" s="2737"/>
      <c r="AOI52" s="2737"/>
      <c r="AOV52" s="4124"/>
      <c r="AOW52" s="5162"/>
      <c r="AOX52" s="5162"/>
      <c r="AOY52" s="5162"/>
      <c r="AOZ52" s="5162"/>
      <c r="APA52" s="5162"/>
      <c r="APB52" s="5162"/>
      <c r="APC52" s="5162"/>
      <c r="APD52" s="5162"/>
      <c r="APE52" s="5162"/>
      <c r="APT52" s="2737"/>
      <c r="AQE52" s="2622"/>
      <c r="ARE52" s="2622"/>
      <c r="ASA52" s="2622"/>
      <c r="ASJ52" s="2622"/>
      <c r="ASK52" s="2737"/>
      <c r="ASL52" s="2737"/>
      <c r="ASM52" s="2737"/>
      <c r="ASN52" s="2737"/>
      <c r="ASO52" s="2737"/>
      <c r="ASP52" s="2737"/>
      <c r="ASQ52" s="2737"/>
      <c r="ASR52" s="2737"/>
      <c r="ASS52" s="2737"/>
      <c r="ATA52" s="2622"/>
      <c r="ATB52" s="2622"/>
      <c r="ATC52" s="2622"/>
      <c r="ATD52" s="2622"/>
      <c r="ATE52" s="2622"/>
      <c r="ATF52" s="2622"/>
      <c r="ATG52" s="2622"/>
      <c r="ATH52" s="2622"/>
      <c r="ATI52" s="2622"/>
      <c r="ATJ52" s="2622"/>
      <c r="ATK52" s="2622"/>
      <c r="ATL52" s="2622"/>
      <c r="ATM52" s="2622"/>
      <c r="ATN52" s="2622"/>
      <c r="ATO52" s="2622"/>
      <c r="ATP52" s="2622"/>
      <c r="ATQ52" s="2622"/>
      <c r="ATR52" s="184"/>
      <c r="ATS52" s="184"/>
      <c r="ATT52" s="2622"/>
      <c r="ATU52" s="2622"/>
      <c r="ATV52" s="2622"/>
      <c r="ATW52" s="2622"/>
      <c r="ATX52" s="2617"/>
      <c r="ATY52" s="2617"/>
      <c r="ATZ52" s="2617"/>
      <c r="AUA52" s="2617"/>
      <c r="AUB52" s="2617"/>
      <c r="AUC52" s="2617"/>
      <c r="AUD52" s="2617"/>
      <c r="AUE52" s="2617"/>
      <c r="AUF52" s="2617"/>
      <c r="AUG52" s="2617"/>
      <c r="AUH52" s="2617"/>
      <c r="AUI52" s="2617"/>
      <c r="AUJ52" s="2617"/>
      <c r="AUK52" s="2617"/>
      <c r="AUL52" s="2617"/>
      <c r="AUM52" s="2617"/>
      <c r="AUN52" s="2617"/>
      <c r="AUO52" s="2617"/>
      <c r="AUP52" s="2617"/>
      <c r="AUQ52" s="2617"/>
      <c r="AUR52" s="2617"/>
      <c r="AUS52" s="2617"/>
      <c r="AUT52" s="2617"/>
      <c r="AUU52" s="2617"/>
      <c r="AUV52" s="181"/>
      <c r="AUW52" s="181"/>
      <c r="AUX52" s="181"/>
      <c r="AUY52" s="181"/>
      <c r="AUZ52" s="181"/>
      <c r="AVA52" s="181"/>
      <c r="AVB52" s="181"/>
      <c r="AVC52" s="181"/>
      <c r="AVD52" s="181"/>
      <c r="AVE52" s="181"/>
      <c r="AVF52" s="181"/>
      <c r="AVG52" s="181"/>
      <c r="AVH52" s="181"/>
      <c r="AVI52" s="181"/>
      <c r="AVJ52" s="181"/>
      <c r="AVK52" s="181"/>
      <c r="AVL52" s="181"/>
      <c r="AVM52" s="181"/>
      <c r="AVN52" s="181"/>
      <c r="AVO52" s="181"/>
      <c r="AVP52" s="181"/>
      <c r="AVQ52" s="181"/>
      <c r="AVR52" s="181"/>
      <c r="AVS52" s="181"/>
      <c r="AVT52" s="181"/>
      <c r="AVU52" s="181"/>
      <c r="AVV52" s="181"/>
      <c r="AVW52" s="181"/>
      <c r="AVX52" s="181"/>
      <c r="AVY52" s="181"/>
      <c r="AVZ52" s="181"/>
      <c r="AWA52" s="181"/>
      <c r="AWB52" s="181"/>
      <c r="AWC52" s="181"/>
      <c r="AWD52" s="181"/>
      <c r="AWE52" s="181"/>
      <c r="AWF52" s="181"/>
      <c r="AWG52" s="181"/>
      <c r="AWH52" s="181"/>
      <c r="AWI52" s="181"/>
      <c r="AWJ52" s="181"/>
      <c r="AWK52" s="181"/>
      <c r="AWL52" s="181"/>
      <c r="AWM52" s="181"/>
      <c r="AWN52" s="181"/>
      <c r="AWO52" s="181"/>
      <c r="AWP52" s="181"/>
      <c r="AWQ52" s="181"/>
      <c r="AWR52" s="2617"/>
      <c r="AWS52" s="2617"/>
      <c r="AWT52" s="2617"/>
      <c r="AWU52" s="2617"/>
      <c r="AWV52" s="2617"/>
      <c r="AWW52" s="2617"/>
      <c r="AWX52" s="2617"/>
      <c r="AWY52" s="2617"/>
      <c r="AWZ52" s="2617"/>
      <c r="AXA52" s="2617"/>
      <c r="AXB52" s="2617"/>
      <c r="AXC52" s="2617"/>
      <c r="AXD52" s="2617"/>
      <c r="AXE52" s="2617"/>
      <c r="AXF52" s="2617"/>
      <c r="AXG52" s="2617"/>
      <c r="AXH52" s="2617"/>
      <c r="AXI52" s="2617"/>
      <c r="AXJ52" s="2617"/>
      <c r="AXK52" s="2617"/>
      <c r="AYV52" s="2622"/>
      <c r="AYW52" s="2622"/>
      <c r="AYX52" s="2622"/>
      <c r="AYY52" s="2622"/>
      <c r="AYZ52" s="2622"/>
      <c r="AZA52" s="2622"/>
      <c r="AZB52" s="2622"/>
      <c r="AZC52" s="2622"/>
      <c r="AZD52" s="2622"/>
      <c r="AZE52" s="2622"/>
      <c r="AZF52" s="2622"/>
      <c r="AZG52" s="2622"/>
      <c r="AZH52" s="2622"/>
      <c r="AZI52" s="2622"/>
      <c r="AZJ52" s="2622"/>
      <c r="AZK52" s="2622"/>
      <c r="AZL52" s="2622"/>
      <c r="AZM52" s="2622"/>
      <c r="AZN52" s="2622"/>
      <c r="AZO52" s="2622"/>
      <c r="AZP52" s="2622"/>
      <c r="AZQ52" s="2622"/>
      <c r="AZR52" s="2622"/>
      <c r="AZS52" s="2622"/>
      <c r="AZT52" s="2622"/>
      <c r="AZU52" s="2622"/>
      <c r="AZX52" s="2622"/>
      <c r="AZY52" s="2622"/>
      <c r="AZZ52" s="2622"/>
      <c r="BAA52" s="2622"/>
      <c r="BAB52" s="2622"/>
      <c r="BAC52" s="2622"/>
      <c r="BAD52" s="2622"/>
      <c r="BAE52" s="2622"/>
      <c r="BAF52" s="2622"/>
      <c r="BAG52" s="2622"/>
      <c r="BAH52" s="2622"/>
      <c r="BAI52" s="2622"/>
      <c r="BAL52" s="2622"/>
      <c r="BAM52" s="2622"/>
      <c r="BAN52" s="2622"/>
      <c r="BAO52" s="2622"/>
      <c r="BAP52" s="2622"/>
      <c r="BAQ52" s="2622"/>
      <c r="BAT52" s="2622"/>
      <c r="BAU52" s="185" t="s">
        <v>877</v>
      </c>
      <c r="BAV52" s="199"/>
      <c r="BAW52" s="199" t="s">
        <v>889</v>
      </c>
      <c r="BAX52" s="2979" t="s">
        <v>912</v>
      </c>
      <c r="BAY52" s="2979" t="s">
        <v>914</v>
      </c>
      <c r="BAZ52" s="2979" t="s">
        <v>911</v>
      </c>
      <c r="BBA52" s="2976" t="s">
        <v>913</v>
      </c>
      <c r="BBB52" s="2692" t="s">
        <v>883</v>
      </c>
      <c r="BBC52" s="2692"/>
      <c r="BBD52" s="2692"/>
      <c r="BBE52" s="2692"/>
      <c r="BBF52" s="2692"/>
      <c r="BBG52" s="2692"/>
      <c r="BBH52" s="2692"/>
      <c r="BBI52" s="2692"/>
      <c r="BBK52" s="2622"/>
      <c r="BBQ52" s="3398"/>
      <c r="BCJ52" s="2617"/>
      <c r="BCK52" s="2617"/>
      <c r="BCL52" s="2617"/>
      <c r="BCM52" s="2617"/>
      <c r="BCN52" s="2617"/>
      <c r="BCO52" s="2617"/>
      <c r="BCP52" s="2617"/>
      <c r="BCQ52" s="2617"/>
      <c r="BCR52" s="2617"/>
      <c r="BCS52" s="2617"/>
      <c r="BCT52" s="2617"/>
      <c r="BCU52" s="2617"/>
      <c r="BCV52" s="2617"/>
      <c r="BCW52" s="2617"/>
      <c r="BCX52" s="2617"/>
      <c r="BCY52" s="2617"/>
      <c r="BCZ52" s="2617"/>
      <c r="BDA52" s="2617"/>
      <c r="BDB52" s="2617"/>
      <c r="BDC52" s="2617"/>
      <c r="BDD52" s="2617"/>
      <c r="BDE52" s="2617"/>
      <c r="BDF52" s="2617"/>
      <c r="BDG52" s="2617"/>
      <c r="BDH52" s="2617"/>
      <c r="BDI52" s="2617"/>
      <c r="BDL52" s="2617"/>
      <c r="BDM52" s="2617"/>
      <c r="BDN52" s="2617"/>
      <c r="BDO52" s="2617"/>
      <c r="BDP52" s="2617"/>
      <c r="BDQ52" s="2617"/>
      <c r="BDR52" s="2617"/>
      <c r="BDS52" s="2617"/>
      <c r="BDT52" s="2617"/>
      <c r="BDU52" s="2617"/>
      <c r="BDV52" s="2617"/>
      <c r="BDW52" s="2617"/>
      <c r="BDZ52" s="2617"/>
      <c r="BEA52" s="2617"/>
      <c r="BEB52" s="2617"/>
      <c r="BEC52" s="2617"/>
      <c r="BED52" s="2617"/>
      <c r="BEE52" s="2617"/>
      <c r="BEH52" s="2617"/>
    </row>
    <row r="53" spans="32:1513" ht="15.75" thickTop="1" thickBot="1" x14ac:dyDescent="0.25">
      <c r="AH53" s="206" t="s">
        <v>1320</v>
      </c>
      <c r="AI53" s="199">
        <f>IF(_Calcs!$BH$35&lt;95,85,125)</f>
        <v>125</v>
      </c>
      <c r="AU53" s="303">
        <v>9</v>
      </c>
      <c r="AV53" s="246">
        <f>IF('!INN_SK'!$CL$55="",0,1)</f>
        <v>1</v>
      </c>
      <c r="AW53" s="246">
        <f>IF('!INN_SK'!$CL$57="",0,1)</f>
        <v>1</v>
      </c>
      <c r="AX53" s="246">
        <f>IF('!INN_SK'!$CL$64="",0,1)</f>
        <v>1</v>
      </c>
      <c r="AY53" s="246">
        <f>IF('!INN_SK'!$CL$71="",0,1)</f>
        <v>1</v>
      </c>
      <c r="AZ53" s="246">
        <f>IF('!INN_SK'!$CL$78="",0,1)</f>
        <v>1</v>
      </c>
      <c r="BA53" s="246">
        <f>IF('!INN_SK'!$CL$80="",0,1)</f>
        <v>1</v>
      </c>
      <c r="BB53" s="246">
        <f>IF('!INN_SK'!$CL$87="",0,1)</f>
        <v>1</v>
      </c>
      <c r="BC53" s="304">
        <f>IF('!INN_SK'!$CL$94="",0,1)</f>
        <v>1</v>
      </c>
      <c r="BD53" s="247">
        <f>COUNTIF(checks_klasse[[#This Row],[A]:[G]],0)</f>
        <v>0</v>
      </c>
      <c r="BE53" s="183"/>
      <c r="CF53" s="2720"/>
      <c r="CG53" s="4248"/>
      <c r="CH53" s="5849"/>
      <c r="CI53" s="314"/>
      <c r="CJ53" s="314"/>
      <c r="CK53" s="314"/>
      <c r="CL53" s="5814"/>
      <c r="CM53" s="5814"/>
      <c r="CN53" s="5814"/>
      <c r="CO53" s="5814"/>
      <c r="CP53" s="5814"/>
      <c r="CQ53" s="5814"/>
      <c r="CR53" s="5814"/>
      <c r="CS53" s="5814"/>
      <c r="CT53" s="5814"/>
      <c r="CU53" s="5814"/>
      <c r="CV53" s="5814"/>
      <c r="CW53" s="5814"/>
      <c r="CX53" s="5814"/>
      <c r="CY53" s="5814"/>
      <c r="CZ53" s="5814"/>
      <c r="DA53" s="5814"/>
      <c r="DB53" s="5814"/>
      <c r="DC53" s="5814"/>
      <c r="DD53" s="5814"/>
      <c r="DE53" s="5814"/>
      <c r="DF53" s="5814"/>
      <c r="DG53" s="5814"/>
      <c r="DH53" s="5814"/>
      <c r="DI53" s="5814"/>
      <c r="DJ53" s="5814"/>
      <c r="DK53" s="5814"/>
      <c r="DL53" s="5814"/>
      <c r="DM53" s="5814"/>
      <c r="DN53" s="5814"/>
      <c r="DO53" s="5814"/>
      <c r="DP53" s="5814"/>
      <c r="DQ53" s="5814"/>
      <c r="DR53" s="5814"/>
      <c r="DS53" s="5814"/>
      <c r="DT53" s="5814"/>
      <c r="DU53" s="5814"/>
      <c r="DV53" s="5814"/>
      <c r="DW53" s="5814"/>
      <c r="DX53" s="5814"/>
      <c r="DY53" s="5814"/>
      <c r="DZ53" s="5814"/>
      <c r="EA53" s="5814"/>
      <c r="EB53" s="5814"/>
      <c r="EC53" s="5814"/>
      <c r="ED53" s="5814"/>
      <c r="EE53" s="5814"/>
      <c r="EF53" s="5814"/>
      <c r="EG53" s="5814"/>
      <c r="EH53" s="5814"/>
      <c r="EI53" s="5814"/>
      <c r="EJ53" s="5814"/>
      <c r="EK53" s="5814"/>
      <c r="EL53" s="5814"/>
      <c r="EM53" s="5814"/>
      <c r="EN53" s="5814"/>
      <c r="EO53" s="5814"/>
      <c r="EP53" s="5814"/>
      <c r="EQ53" s="5814"/>
      <c r="ER53" s="5814"/>
      <c r="ES53" s="5814"/>
      <c r="ET53" s="5814"/>
      <c r="EU53" s="5814"/>
      <c r="EV53" s="5814"/>
      <c r="EW53" s="5814"/>
      <c r="EX53" s="5814"/>
      <c r="EY53" s="5814"/>
      <c r="EZ53" s="5814"/>
      <c r="FA53" s="5814"/>
      <c r="FB53" s="5814"/>
      <c r="FC53" s="5814"/>
      <c r="FD53" s="5814"/>
      <c r="FE53" s="5814"/>
      <c r="FF53" s="5814"/>
      <c r="FG53" s="5814"/>
      <c r="FH53" s="5814"/>
      <c r="FI53" s="5814"/>
      <c r="FJ53" s="5814"/>
      <c r="FK53" s="5814"/>
      <c r="FL53" s="5814"/>
      <c r="FM53" s="5814"/>
      <c r="FN53" s="5814"/>
      <c r="FO53" s="5814"/>
      <c r="FP53" s="5814"/>
      <c r="FQ53" s="5814"/>
      <c r="FR53" s="5814"/>
      <c r="FS53" s="5814"/>
      <c r="FT53" s="5814"/>
      <c r="FU53" s="5814"/>
      <c r="FV53" s="5814"/>
      <c r="FW53" s="5814"/>
      <c r="FX53" s="5814"/>
      <c r="FY53" s="5814"/>
      <c r="FZ53" s="5814"/>
      <c r="GA53" s="5814"/>
      <c r="GB53" s="5814"/>
      <c r="GC53" s="5814"/>
      <c r="GD53" s="5814"/>
      <c r="GE53" s="5814"/>
      <c r="GF53" s="5814"/>
      <c r="GG53" s="5814"/>
      <c r="GH53" s="5814"/>
      <c r="GI53" s="5814"/>
      <c r="GJ53" s="5814"/>
      <c r="GK53" s="5814"/>
      <c r="GL53" s="5814"/>
      <c r="GM53" s="5814"/>
      <c r="GN53" s="5814"/>
      <c r="GO53" s="5814"/>
      <c r="GP53" s="5814"/>
      <c r="GQ53" s="5814"/>
      <c r="GR53" s="5814"/>
      <c r="GS53" s="5814"/>
      <c r="GT53" s="5814"/>
      <c r="GU53" s="5814"/>
      <c r="GV53" s="5814"/>
      <c r="GW53" s="5814"/>
      <c r="GX53" s="5814"/>
      <c r="GY53" s="5814"/>
      <c r="GZ53" s="5814"/>
      <c r="HA53" s="5814"/>
      <c r="HB53" s="5814"/>
      <c r="HC53" s="5814"/>
      <c r="HD53" s="5814"/>
      <c r="HE53" s="5814"/>
      <c r="HF53" s="5814"/>
      <c r="HG53" s="5814"/>
      <c r="HH53" s="5814"/>
      <c r="HI53" s="5814"/>
      <c r="HJ53" s="5814"/>
      <c r="HK53" s="5814"/>
      <c r="HL53" s="5814"/>
      <c r="HM53" s="5814"/>
      <c r="HN53" s="5814"/>
      <c r="HO53" s="5814"/>
      <c r="HP53" s="5814"/>
      <c r="HQ53" s="5814"/>
      <c r="HR53" s="5699"/>
      <c r="HS53" s="5699"/>
      <c r="HT53" s="5699"/>
      <c r="HU53" s="5700"/>
      <c r="HV53" s="5701"/>
      <c r="HW53" s="5699"/>
      <c r="HX53" s="5699"/>
      <c r="HY53" s="5699"/>
      <c r="HZ53" s="5700"/>
      <c r="IA53" s="5701"/>
      <c r="IB53" s="5699"/>
      <c r="IC53" s="5699"/>
      <c r="ID53" s="5699"/>
      <c r="IE53" s="5700"/>
      <c r="IF53" s="5701"/>
      <c r="IG53" s="5699"/>
      <c r="IH53" s="5699"/>
      <c r="II53" s="5699"/>
      <c r="IJ53" s="5700"/>
      <c r="IK53" s="5701"/>
      <c r="IL53" s="5699"/>
      <c r="IM53" s="5699"/>
      <c r="IN53" s="5699"/>
      <c r="IO53" s="5700"/>
      <c r="IP53" s="5701"/>
      <c r="IQ53" s="5699"/>
      <c r="IR53" s="5699"/>
      <c r="IS53" s="5699"/>
      <c r="IT53" s="5700"/>
      <c r="IU53" s="5701"/>
      <c r="IV53" s="5699"/>
      <c r="IW53" s="5699"/>
      <c r="IX53" s="5699"/>
      <c r="IY53" s="5700"/>
      <c r="IZ53" s="5701"/>
      <c r="JA53" s="5699"/>
      <c r="JB53" s="5699"/>
      <c r="JC53" s="5699"/>
      <c r="JD53" s="5700"/>
      <c r="JE53" s="5701"/>
      <c r="JF53" s="5699"/>
      <c r="JG53" s="5699"/>
      <c r="JH53" s="5699"/>
      <c r="JI53" s="5699"/>
      <c r="JJ53" s="5699"/>
      <c r="JK53" s="5699"/>
      <c r="JL53" s="5699"/>
      <c r="JM53" s="5699"/>
      <c r="JN53" s="5699"/>
      <c r="JO53" s="5699"/>
      <c r="JP53" s="5699"/>
      <c r="JQ53" s="5699"/>
      <c r="JR53" s="5699"/>
      <c r="JS53" s="5699"/>
      <c r="JT53" s="5699"/>
      <c r="JU53" s="5699"/>
      <c r="JV53" s="5814"/>
      <c r="JW53" s="5814"/>
      <c r="JX53" s="5699"/>
      <c r="JY53" s="5699"/>
      <c r="JZ53" s="5699"/>
      <c r="KA53" s="5699"/>
      <c r="KB53" s="5699"/>
      <c r="KC53" s="5699"/>
      <c r="KD53" s="5699"/>
      <c r="KE53" s="5699"/>
      <c r="KF53" s="5699"/>
      <c r="KG53" s="5699"/>
      <c r="KH53" s="5699"/>
      <c r="KI53" s="5699"/>
      <c r="KJ53" s="5699"/>
      <c r="KK53" s="5699"/>
      <c r="KL53" s="5699"/>
      <c r="KM53" s="5699"/>
      <c r="KN53" s="5699"/>
      <c r="KO53" s="5699"/>
      <c r="KP53" s="5699"/>
      <c r="KQ53" s="5699"/>
      <c r="KR53" s="5699"/>
      <c r="KS53" s="5699"/>
      <c r="KT53" s="5699"/>
      <c r="KU53" s="5699"/>
      <c r="KV53" s="5699"/>
      <c r="KW53" s="5699"/>
      <c r="KX53" s="5699"/>
      <c r="KY53" s="5699"/>
      <c r="KZ53" s="5699"/>
      <c r="LA53" s="5699"/>
      <c r="LB53" s="5699"/>
      <c r="LC53" s="5699"/>
      <c r="LD53" s="5814"/>
      <c r="LE53" s="5814"/>
      <c r="LF53" s="5814"/>
      <c r="LG53" s="5814"/>
      <c r="LH53" s="5814"/>
      <c r="LI53" s="5814"/>
      <c r="LJ53" s="5814"/>
      <c r="LK53" s="5814"/>
      <c r="LL53" s="5814"/>
      <c r="LM53" s="5814"/>
      <c r="LN53" s="5814"/>
      <c r="LO53" s="5814"/>
      <c r="LP53" s="5814"/>
      <c r="LQ53" s="5814"/>
      <c r="LR53" s="5814"/>
      <c r="LS53" s="5814"/>
      <c r="LT53" s="5814"/>
      <c r="LU53" s="5814"/>
      <c r="LV53" s="5814"/>
      <c r="LW53" s="5814"/>
      <c r="LX53" s="5814"/>
      <c r="LY53" s="5815"/>
      <c r="LZ53" s="5814"/>
      <c r="MA53" s="5815"/>
      <c r="MB53" s="5814"/>
      <c r="MC53" s="5815"/>
      <c r="MD53" s="5814"/>
      <c r="ME53" s="5815"/>
      <c r="MF53" s="5814"/>
      <c r="MG53" s="5815"/>
      <c r="MH53" s="5814"/>
      <c r="MI53" s="5815"/>
      <c r="MJ53" s="5814"/>
      <c r="MK53" s="5815"/>
      <c r="ML53" s="5814"/>
      <c r="MM53" s="5815"/>
      <c r="MN53" s="5814"/>
      <c r="MO53" s="5814"/>
      <c r="MP53" s="5814"/>
      <c r="MQ53" s="5814"/>
      <c r="MR53" s="5814"/>
      <c r="MS53" s="5814"/>
      <c r="MT53" s="5814"/>
      <c r="MU53" s="5814"/>
      <c r="MV53" s="5814"/>
      <c r="MW53" s="5814"/>
      <c r="MX53" s="5814"/>
      <c r="MY53" s="5814"/>
      <c r="MZ53" s="5814"/>
      <c r="NA53" s="5814"/>
      <c r="NB53" s="5814"/>
      <c r="NC53" s="5814"/>
      <c r="ND53" s="5814"/>
      <c r="NE53" s="5814"/>
      <c r="NF53" s="5814"/>
      <c r="NG53" s="5814"/>
      <c r="NH53" s="5814"/>
      <c r="NI53" s="5814"/>
      <c r="NJ53" s="5814"/>
      <c r="NK53" s="5814"/>
      <c r="NL53" s="5814"/>
      <c r="NM53" s="5814"/>
      <c r="NN53" s="5814"/>
      <c r="NO53" s="5814"/>
      <c r="NP53" s="5814"/>
      <c r="NQ53" s="5814"/>
      <c r="NR53" s="5814"/>
      <c r="NS53" s="5814"/>
      <c r="NT53" s="5814"/>
      <c r="NU53" s="5814"/>
      <c r="NV53" s="5814"/>
      <c r="NW53" s="5814"/>
      <c r="NX53" s="5814"/>
      <c r="NY53" s="5814"/>
      <c r="NZ53" s="5814"/>
      <c r="OA53" s="5814"/>
      <c r="OB53" s="5814"/>
      <c r="OC53" s="5814"/>
      <c r="OD53" s="5814"/>
      <c r="OE53" s="5814"/>
      <c r="OF53" s="5814"/>
      <c r="OG53" s="5814"/>
      <c r="OH53" s="5814"/>
      <c r="OI53" s="5814"/>
      <c r="OJ53" s="5814"/>
      <c r="OK53" s="5816"/>
      <c r="OL53" s="5814"/>
      <c r="OM53" s="5816"/>
      <c r="ON53" s="5814"/>
      <c r="OO53" s="5816"/>
      <c r="OP53" s="5814"/>
      <c r="OQ53" s="5816"/>
      <c r="OR53" s="5814"/>
      <c r="OS53" s="5816"/>
      <c r="OT53" s="5814"/>
      <c r="OU53" s="5816"/>
      <c r="OV53" s="5814"/>
      <c r="OW53" s="5816"/>
      <c r="OX53" s="5814"/>
      <c r="OY53" s="5816"/>
      <c r="OZ53" s="5814"/>
      <c r="PA53" s="5814"/>
      <c r="PB53" s="5817"/>
      <c r="PC53" s="5814"/>
      <c r="PD53" s="5817"/>
      <c r="PE53" s="5814"/>
      <c r="PF53" s="5817"/>
      <c r="PG53" s="5814"/>
      <c r="PH53" s="5817"/>
      <c r="PI53" s="5814"/>
      <c r="PJ53" s="5817"/>
      <c r="PK53" s="5814"/>
      <c r="PL53" s="5817"/>
      <c r="PM53" s="5814"/>
      <c r="PN53" s="5817"/>
      <c r="PO53" s="5814"/>
      <c r="PP53" s="5817"/>
      <c r="PQ53" s="5814"/>
      <c r="PR53" s="5814"/>
      <c r="PS53" s="5818"/>
      <c r="PT53" s="5814"/>
      <c r="PU53" s="5818"/>
      <c r="PV53" s="5814"/>
      <c r="PW53" s="5818"/>
      <c r="PX53" s="5814"/>
      <c r="PY53" s="5818"/>
      <c r="PZ53" s="5814"/>
      <c r="QA53" s="5818"/>
      <c r="QB53" s="5814"/>
      <c r="QC53" s="5818"/>
      <c r="QD53" s="5814"/>
      <c r="QE53" s="5818"/>
      <c r="QF53" s="5814"/>
      <c r="QG53" s="5818"/>
      <c r="QH53" s="5814"/>
      <c r="QI53" s="5814"/>
      <c r="QJ53" s="5814"/>
      <c r="QK53" s="5814"/>
      <c r="QL53" s="5814"/>
      <c r="QM53" s="5814"/>
      <c r="QN53" s="5814"/>
      <c r="QO53" s="5814"/>
      <c r="QP53" s="5814"/>
      <c r="QQ53" s="5814"/>
      <c r="QR53" s="5814"/>
      <c r="QS53" s="5814"/>
      <c r="QT53" s="5814"/>
      <c r="QU53" s="5814"/>
      <c r="QV53" s="5814"/>
      <c r="QW53" s="5814"/>
      <c r="QX53" s="5814"/>
      <c r="QY53" s="5814"/>
      <c r="QZ53" s="5814"/>
      <c r="RA53" s="5814"/>
      <c r="RB53" s="5814"/>
      <c r="RC53" s="5814"/>
      <c r="RD53" s="5814"/>
      <c r="RE53" s="5814"/>
      <c r="RF53" s="5814"/>
      <c r="RG53" s="5814"/>
      <c r="RH53" s="5814"/>
      <c r="RI53" s="5814"/>
      <c r="RJ53" s="5814"/>
      <c r="RK53" s="5814"/>
      <c r="RL53" s="5814"/>
      <c r="RM53" s="5814"/>
      <c r="RN53" s="5814"/>
      <c r="RO53" s="5814"/>
      <c r="RP53" s="5814"/>
      <c r="RQ53" s="5814"/>
      <c r="RR53" s="5814"/>
      <c r="RS53" s="5814"/>
      <c r="RT53" s="5814"/>
      <c r="RU53" s="5814"/>
      <c r="RV53" s="5814"/>
      <c r="RW53" s="5814"/>
      <c r="RX53" s="5814"/>
      <c r="RY53" s="5814"/>
      <c r="RZ53" s="5814"/>
      <c r="SA53" s="5814"/>
      <c r="SB53" s="5814"/>
      <c r="SC53" s="5814"/>
      <c r="SD53" s="5814"/>
      <c r="SE53" s="5814"/>
      <c r="SF53" s="5814"/>
      <c r="SG53" s="5814"/>
      <c r="SH53" s="5814"/>
      <c r="SI53" s="5814"/>
      <c r="SJ53" s="5814"/>
      <c r="SK53" s="5814"/>
      <c r="SL53" s="5814"/>
      <c r="SM53" s="5814"/>
      <c r="SN53" s="5814"/>
      <c r="SO53" s="5814"/>
      <c r="SP53" s="5814"/>
      <c r="SQ53" s="5814"/>
      <c r="SR53" s="5814"/>
      <c r="SS53" s="5814"/>
      <c r="ST53" s="5814"/>
      <c r="SU53" s="5814"/>
      <c r="SV53" s="5814"/>
      <c r="SW53" s="5814"/>
      <c r="SX53" s="5814"/>
      <c r="SY53" s="5814"/>
      <c r="SZ53" s="5814"/>
      <c r="TA53" s="5814"/>
      <c r="TB53" s="5814"/>
      <c r="TC53" s="5814"/>
      <c r="TD53" s="5814"/>
      <c r="TE53" s="5814"/>
      <c r="TF53" s="5814"/>
      <c r="TG53" s="5814"/>
      <c r="TH53" s="5814"/>
      <c r="TI53" s="5814"/>
      <c r="TJ53" s="5814"/>
      <c r="TK53" s="5814"/>
      <c r="TL53" s="5814"/>
      <c r="TM53" s="5814"/>
      <c r="TN53" s="5814"/>
      <c r="TO53" s="5814"/>
      <c r="TP53" s="5814"/>
      <c r="TQ53" s="5814"/>
      <c r="TR53" s="5814"/>
      <c r="TS53" s="5814"/>
      <c r="TT53" s="5814"/>
      <c r="TU53" s="5814"/>
      <c r="TV53" s="5814"/>
      <c r="TW53" s="5814"/>
      <c r="TX53" s="5814"/>
      <c r="TY53" s="5814"/>
      <c r="TZ53" s="5814"/>
      <c r="UA53" s="5814"/>
      <c r="UB53" s="5814"/>
      <c r="UC53" s="5814"/>
      <c r="UD53" s="5814"/>
      <c r="UE53" s="5814"/>
      <c r="UF53" s="5814"/>
      <c r="UG53" s="5814"/>
      <c r="UH53" s="5814"/>
      <c r="UI53" s="5814"/>
      <c r="UJ53" s="5814"/>
      <c r="UK53" s="5814"/>
      <c r="UL53" s="5814"/>
      <c r="UM53" s="5814"/>
      <c r="UN53" s="5814"/>
      <c r="UO53" s="5814"/>
      <c r="UP53" s="5814"/>
      <c r="UQ53" s="5814"/>
      <c r="UR53" s="5814"/>
      <c r="US53" s="5814"/>
      <c r="UT53" s="5814"/>
      <c r="UU53" s="5814"/>
      <c r="UV53" s="5814"/>
      <c r="UW53" s="5814"/>
      <c r="UX53" s="5814"/>
      <c r="UY53" s="5814"/>
      <c r="UZ53" s="5814"/>
      <c r="VA53" s="5814"/>
      <c r="VB53" s="5814"/>
      <c r="VC53" s="5814"/>
      <c r="VD53" s="5814"/>
      <c r="VE53" s="5814"/>
      <c r="VF53" s="5814"/>
      <c r="VG53" s="5814"/>
      <c r="VH53" s="5814"/>
      <c r="VI53" s="5814"/>
      <c r="VJ53" s="5814"/>
      <c r="VK53" s="5814"/>
      <c r="VL53" s="5819"/>
      <c r="VM53" s="5814"/>
      <c r="VN53" s="5814"/>
      <c r="VO53" s="5814"/>
      <c r="VP53" s="5699"/>
      <c r="VQ53" s="5699"/>
      <c r="VR53" s="5699"/>
      <c r="VS53" s="5699"/>
      <c r="VT53" s="5699"/>
      <c r="VU53" s="5699"/>
      <c r="VV53" s="5699"/>
      <c r="VW53" s="5699"/>
      <c r="VX53" s="5699"/>
      <c r="VY53" s="5699"/>
      <c r="VZ53" s="5699"/>
      <c r="WA53" s="5814"/>
      <c r="WB53" s="5699"/>
      <c r="WC53" s="5699"/>
      <c r="WD53" s="5699"/>
      <c r="WE53" s="5699"/>
      <c r="WF53" s="5699"/>
      <c r="WG53" s="5699"/>
      <c r="WH53" s="5699"/>
      <c r="WI53" s="5699"/>
      <c r="WJ53" s="5699"/>
      <c r="WK53" s="5699"/>
      <c r="WL53" s="5699"/>
      <c r="WM53" s="5699"/>
      <c r="WN53" s="5699"/>
      <c r="WO53" s="5699"/>
      <c r="WP53" s="5699"/>
      <c r="WQ53" s="5699"/>
      <c r="WR53" s="5699"/>
      <c r="WS53" s="5699"/>
      <c r="WT53" s="5699"/>
      <c r="WU53" s="5699"/>
      <c r="WV53" s="5699"/>
      <c r="WW53" s="5699"/>
      <c r="WX53" s="5699"/>
      <c r="WY53" s="5699"/>
      <c r="WZ53" s="5699"/>
      <c r="XA53" s="5699"/>
      <c r="XB53" s="5699"/>
      <c r="XC53" s="5699"/>
      <c r="XD53" s="5699"/>
      <c r="XE53" s="5699"/>
      <c r="XF53" s="5699"/>
      <c r="XG53" s="5850"/>
      <c r="XH53" s="5814"/>
      <c r="XI53" s="5814"/>
      <c r="XJ53" s="5699"/>
      <c r="XK53" s="5699"/>
      <c r="XL53" s="5699"/>
      <c r="XM53" s="5699"/>
      <c r="XN53" s="5699"/>
      <c r="XO53" s="5699"/>
      <c r="XP53" s="5699"/>
      <c r="XQ53" s="5699"/>
      <c r="XR53" s="5699"/>
      <c r="XS53" s="5699"/>
      <c r="XT53" s="5699"/>
      <c r="XU53" s="5699"/>
      <c r="XV53" s="5699"/>
      <c r="XW53" s="5699"/>
      <c r="XX53" s="5699"/>
      <c r="XY53" s="5699"/>
      <c r="XZ53" s="5699"/>
      <c r="YA53" s="5699"/>
      <c r="YB53" s="5699"/>
      <c r="YC53" s="5699"/>
      <c r="YD53" s="5699"/>
      <c r="YE53" s="5699"/>
      <c r="YF53" s="5699"/>
      <c r="YG53" s="5699"/>
      <c r="YH53" s="5699"/>
      <c r="YI53" s="5699"/>
      <c r="YJ53" s="5699"/>
      <c r="YK53" s="5699"/>
      <c r="YL53" s="5699"/>
      <c r="YM53" s="5699"/>
      <c r="YN53" s="5699"/>
      <c r="YO53" s="5699"/>
      <c r="YP53" s="5814"/>
      <c r="YQ53" s="5814"/>
      <c r="YR53" s="5814"/>
      <c r="YS53" s="5814"/>
      <c r="YT53" s="5814"/>
      <c r="YU53" s="5814"/>
      <c r="YV53" s="5814"/>
      <c r="YW53" s="5814"/>
      <c r="YX53" s="5814"/>
      <c r="YY53" s="5814"/>
      <c r="YZ53" s="5814"/>
      <c r="ZA53" s="5814"/>
      <c r="ZB53" s="5814"/>
      <c r="ZC53" s="5814"/>
      <c r="ZD53" s="5814"/>
      <c r="ZE53" s="5814"/>
      <c r="ZF53" s="5814"/>
      <c r="ZG53" s="5814"/>
      <c r="ZH53" s="5814"/>
      <c r="ZI53" s="5699"/>
      <c r="ZJ53" s="5699"/>
      <c r="ZK53" s="5699"/>
      <c r="ZL53" s="5699"/>
      <c r="ZM53" s="5699"/>
      <c r="ZN53" s="2720"/>
      <c r="ZO53" s="2720"/>
      <c r="ZP53" s="2720"/>
      <c r="ZQ53" s="2720"/>
      <c r="ZR53" s="2720"/>
      <c r="ZS53" s="2720"/>
      <c r="ZT53" s="2720"/>
      <c r="ZU53" s="2720"/>
      <c r="ZV53" s="2720"/>
      <c r="ZW53" s="2720"/>
      <c r="ZX53" s="2720"/>
      <c r="ZY53" s="2720"/>
      <c r="ZZ53" s="2720"/>
      <c r="AAA53" s="2720"/>
      <c r="AAB53" s="2622"/>
      <c r="AAC53" s="2622"/>
      <c r="AAD53" s="2622"/>
      <c r="AAE53" s="2622"/>
      <c r="AAF53" s="2622"/>
      <c r="AAG53" s="2622"/>
      <c r="AAH53" s="2622"/>
      <c r="AAI53" s="2622"/>
      <c r="AAJ53" s="2622"/>
      <c r="AAK53" s="2622"/>
      <c r="AAL53" s="2622"/>
      <c r="AAM53" s="2622"/>
      <c r="AAN53" s="2622"/>
      <c r="AAO53" s="2622"/>
      <c r="AAP53" s="2622"/>
      <c r="AAQ53" s="2622"/>
      <c r="AAR53" s="2622"/>
      <c r="AAS53" s="2622"/>
      <c r="AAT53" s="2622"/>
      <c r="AAU53" s="2622"/>
      <c r="AAV53" s="2622"/>
      <c r="AAW53" s="2622"/>
      <c r="AAX53" s="2622"/>
      <c r="AAY53" s="2622"/>
      <c r="AAZ53" s="2622"/>
      <c r="ABA53" s="2622"/>
      <c r="ABB53" s="2737"/>
      <c r="ABC53" s="2737"/>
      <c r="ABD53" s="2737"/>
      <c r="ABE53" s="2737"/>
      <c r="ABF53" s="2737"/>
      <c r="ABG53" s="2737"/>
      <c r="ABH53" s="2737"/>
      <c r="ABI53" s="2737"/>
      <c r="ABJ53" s="2622"/>
      <c r="ABK53" s="2622"/>
      <c r="ABL53" s="2737"/>
      <c r="ABM53" s="2737"/>
      <c r="ABN53" s="2737"/>
      <c r="ABO53" s="2737"/>
      <c r="ABP53" s="2737"/>
      <c r="ABQ53" s="2737"/>
      <c r="ABR53" s="2737"/>
      <c r="ABS53" s="2737"/>
      <c r="ABT53" s="2622"/>
      <c r="ABU53" s="2622"/>
      <c r="ABV53" s="2737"/>
      <c r="ABW53" s="2737"/>
      <c r="ABX53" s="2737"/>
      <c r="ABY53" s="2737"/>
      <c r="ABZ53" s="2737"/>
      <c r="ACA53" s="2737"/>
      <c r="ACB53" s="2737"/>
      <c r="ACC53" s="2737"/>
      <c r="ACD53" s="2737"/>
      <c r="ACE53" s="2622"/>
      <c r="ACF53" s="2737"/>
      <c r="ACG53" s="2737"/>
      <c r="ACH53" s="2737"/>
      <c r="ACI53" s="2737"/>
      <c r="ACJ53" s="2737"/>
      <c r="ACK53" s="2737"/>
      <c r="ACL53" s="2737"/>
      <c r="ACM53" s="2737"/>
      <c r="ACN53" s="2622"/>
      <c r="ACO53" s="2737"/>
      <c r="ACP53" s="2737"/>
      <c r="ACQ53" s="2737"/>
      <c r="ACR53" s="2737"/>
      <c r="ACS53" s="2737"/>
      <c r="ACT53" s="2737"/>
      <c r="ACU53" s="2737"/>
      <c r="ACV53" s="2737"/>
      <c r="ACW53" s="2622"/>
      <c r="ACX53" s="2737"/>
      <c r="ACY53" s="2737"/>
      <c r="ACZ53" s="2737"/>
      <c r="ADA53" s="2737"/>
      <c r="ADB53" s="2737"/>
      <c r="ADC53" s="2737"/>
      <c r="ADD53" s="2737"/>
      <c r="ADE53" s="2737"/>
      <c r="ADF53" s="2737"/>
      <c r="ADH53" s="2737"/>
      <c r="ADI53" s="2737"/>
      <c r="ADJ53" s="2737"/>
      <c r="ADK53" s="2737"/>
      <c r="ADL53" s="2737"/>
      <c r="ADM53" s="2737"/>
      <c r="ADN53" s="2737"/>
      <c r="ADO53" s="2737"/>
      <c r="ADQ53" s="2737"/>
      <c r="ADR53" s="2737"/>
      <c r="ADS53" s="2737"/>
      <c r="ADT53" s="2737"/>
      <c r="ADU53" s="2737"/>
      <c r="ADV53" s="2737"/>
      <c r="ADW53" s="2737"/>
      <c r="ADX53" s="2737"/>
      <c r="ADY53" s="2737"/>
      <c r="ADZ53" s="2737"/>
      <c r="AEA53" s="2737"/>
      <c r="AEB53" s="2737"/>
      <c r="AEC53" s="2737"/>
      <c r="AED53" s="2737"/>
      <c r="AEE53" s="2737"/>
      <c r="AEF53" s="2737"/>
      <c r="AEG53" s="2737"/>
      <c r="AEH53" s="2737"/>
      <c r="AEI53" s="2737"/>
      <c r="AEJ53" s="2737"/>
      <c r="AEK53" s="2737"/>
      <c r="AEL53" s="2737"/>
      <c r="AEM53" s="2737"/>
      <c r="AEN53" s="2737"/>
      <c r="AEO53" s="2737"/>
      <c r="AEP53" s="2737"/>
      <c r="AEQ53" s="2737"/>
      <c r="AER53" s="2737"/>
      <c r="AES53" s="2737"/>
      <c r="AET53" s="2737"/>
      <c r="AEU53" s="2737"/>
      <c r="AEV53" s="2737"/>
      <c r="AEW53" s="2737"/>
      <c r="AEX53" s="2737"/>
      <c r="AFG53" s="2737"/>
      <c r="AFP53" s="2737"/>
      <c r="AGI53" s="2737"/>
      <c r="AGN53" s="2622"/>
      <c r="AGR53" s="2737"/>
      <c r="AHB53" s="2737"/>
      <c r="AHJ53" s="2737"/>
      <c r="AHV53" s="2737"/>
      <c r="AHY53" s="2622"/>
      <c r="AII53" s="2622"/>
      <c r="AIJ53" s="2622"/>
      <c r="AIR53" s="2622"/>
      <c r="AIS53" s="2622"/>
      <c r="AJP53" s="2737"/>
      <c r="AKD53" s="2737"/>
      <c r="AKU53" s="2622"/>
      <c r="ALL53" s="2622"/>
      <c r="ALM53" s="2737"/>
      <c r="ALW53" s="2737"/>
      <c r="ALX53" s="2737"/>
      <c r="AMG53" s="2737"/>
      <c r="AOI53" s="2737"/>
      <c r="AOV53" s="4124"/>
      <c r="AOW53" s="5162"/>
      <c r="AOX53" s="5162"/>
      <c r="AOY53" s="5162"/>
      <c r="AOZ53" s="5162"/>
      <c r="APA53" s="5162"/>
      <c r="APB53" s="5162"/>
      <c r="APC53" s="5162"/>
      <c r="APD53" s="5162"/>
      <c r="APE53" s="5162"/>
      <c r="APT53" s="2737"/>
      <c r="AQE53" s="2622"/>
      <c r="ARE53" s="2622"/>
      <c r="ASA53" s="2622"/>
      <c r="ASJ53" s="2622"/>
      <c r="ASK53" s="2737"/>
      <c r="ASL53" s="2737"/>
      <c r="ASM53" s="2737"/>
      <c r="ASN53" s="2737"/>
      <c r="ASO53" s="2737"/>
      <c r="ASP53" s="2737"/>
      <c r="ASQ53" s="2737"/>
      <c r="ASR53" s="2737"/>
      <c r="ASS53" s="2737"/>
      <c r="ATA53" s="2622"/>
      <c r="ATB53" s="2622"/>
      <c r="ATC53" s="2622"/>
      <c r="ATD53" s="2622"/>
      <c r="ATE53" s="2622"/>
      <c r="ATF53" s="2622"/>
      <c r="ATG53" s="2622"/>
      <c r="ATH53" s="2622"/>
      <c r="ATI53" s="2622"/>
      <c r="ATJ53" s="2622"/>
      <c r="ATK53" s="2622"/>
      <c r="ATL53" s="2622"/>
      <c r="ATM53" s="2622"/>
      <c r="ATN53" s="2622"/>
      <c r="ATO53" s="2622"/>
      <c r="ATP53" s="2622"/>
      <c r="ATQ53" s="2622"/>
      <c r="ATR53" s="2622"/>
      <c r="ATT53" s="2622"/>
      <c r="ATU53" s="2622"/>
      <c r="ATV53" s="2622"/>
      <c r="ATW53" s="2622"/>
      <c r="ATX53" s="2617"/>
      <c r="ATY53" s="2617"/>
      <c r="ATZ53" s="2617"/>
      <c r="AUA53" s="2617"/>
      <c r="AUB53" s="2617"/>
      <c r="AUC53" s="2617"/>
      <c r="AUD53" s="2617"/>
      <c r="AUE53" s="2617"/>
      <c r="AUF53" s="2617"/>
      <c r="AUG53" s="2617"/>
      <c r="AUH53" s="2617"/>
      <c r="AUI53" s="2617"/>
      <c r="AUJ53" s="2617"/>
      <c r="AUK53" s="2617"/>
      <c r="AUL53" s="2617"/>
      <c r="AUM53" s="2617"/>
      <c r="AUN53" s="2617"/>
      <c r="AUO53" s="2617"/>
      <c r="AUP53" s="2617"/>
      <c r="AUQ53" s="2617"/>
      <c r="AUR53" s="2617"/>
      <c r="AUS53" s="2617"/>
      <c r="AUT53" s="2617"/>
      <c r="AUU53" s="2617"/>
      <c r="AUV53" s="181"/>
      <c r="AUW53" s="181"/>
      <c r="AUX53" s="181"/>
      <c r="AUY53" s="181"/>
      <c r="AUZ53" s="181"/>
      <c r="AVA53" s="181"/>
      <c r="AVB53" s="181"/>
      <c r="AVC53" s="181"/>
      <c r="AVD53" s="181"/>
      <c r="AVE53" s="181"/>
      <c r="AVF53" s="181"/>
      <c r="AVG53" s="181"/>
      <c r="AVH53" s="181"/>
      <c r="AVI53" s="181"/>
      <c r="AVJ53" s="181"/>
      <c r="AVK53" s="181"/>
      <c r="AVL53" s="181"/>
      <c r="AVM53" s="181"/>
      <c r="AVN53" s="181"/>
      <c r="AVO53" s="181"/>
      <c r="AVP53" s="181"/>
      <c r="AVQ53" s="181"/>
      <c r="AVR53" s="181"/>
      <c r="AVS53" s="181"/>
      <c r="AVT53" s="181"/>
      <c r="AVU53" s="181"/>
      <c r="AVV53" s="181"/>
      <c r="AVW53" s="181"/>
      <c r="AVX53" s="181"/>
      <c r="AVY53" s="181"/>
      <c r="AVZ53" s="181"/>
      <c r="AWA53" s="181"/>
      <c r="AWB53" s="181"/>
      <c r="AWC53" s="181"/>
      <c r="AWD53" s="181"/>
      <c r="AWE53" s="181"/>
      <c r="AWF53" s="181"/>
      <c r="AWG53" s="181"/>
      <c r="AWH53" s="181"/>
      <c r="AWI53" s="181"/>
      <c r="AWJ53" s="181"/>
      <c r="AWK53" s="181"/>
      <c r="AWL53" s="181"/>
      <c r="AWM53" s="181"/>
      <c r="AWN53" s="181"/>
      <c r="AWO53" s="181"/>
      <c r="AWP53" s="181"/>
      <c r="AWQ53" s="181"/>
      <c r="AWR53" s="2617"/>
      <c r="AWS53" s="2617"/>
      <c r="AWT53" s="2617"/>
      <c r="AWU53" s="2617"/>
      <c r="AWV53" s="2617"/>
      <c r="AWW53" s="2617"/>
      <c r="AWX53" s="2617"/>
      <c r="AWY53" s="2617"/>
      <c r="AWZ53" s="2617"/>
      <c r="AXA53" s="2617"/>
      <c r="AXB53" s="2617"/>
      <c r="AXC53" s="2617"/>
      <c r="AXD53" s="2617"/>
      <c r="AXE53" s="2617"/>
      <c r="AXF53" s="2617"/>
      <c r="AXG53" s="2617"/>
      <c r="AXH53" s="2617"/>
      <c r="AXI53" s="2617"/>
      <c r="AXJ53" s="2617"/>
      <c r="AXK53" s="2617"/>
      <c r="AYV53" s="2622"/>
      <c r="AYW53" s="2622"/>
      <c r="AYX53" s="2622"/>
      <c r="AYY53" s="2622"/>
      <c r="AYZ53" s="2622"/>
      <c r="AZA53" s="2622"/>
      <c r="AZB53" s="2622"/>
      <c r="AZC53" s="2622"/>
      <c r="AZD53" s="2622"/>
      <c r="AZE53" s="2622"/>
      <c r="AZF53" s="2622"/>
      <c r="AZG53" s="2622"/>
      <c r="AZH53" s="2622"/>
      <c r="AZI53" s="2622"/>
      <c r="AZJ53" s="2622"/>
      <c r="AZK53" s="2622"/>
      <c r="AZL53" s="2622"/>
      <c r="AZM53" s="2622"/>
      <c r="AZN53" s="2622"/>
      <c r="AZO53" s="2622"/>
      <c r="AZP53" s="2622"/>
      <c r="AZQ53" s="2622"/>
      <c r="AZR53" s="2622"/>
      <c r="AZS53" s="2622"/>
      <c r="AZT53" s="2622"/>
      <c r="AZU53" s="2622"/>
      <c r="AZX53" s="2622"/>
      <c r="AZY53" s="2622"/>
      <c r="AZZ53" s="2622"/>
      <c r="BAA53" s="2622"/>
      <c r="BAB53" s="2622"/>
      <c r="BAC53" s="2622"/>
      <c r="BAD53" s="2622"/>
      <c r="BAE53" s="2622"/>
      <c r="BAF53" s="2622"/>
      <c r="BAG53" s="2622"/>
      <c r="BAH53" s="2622"/>
      <c r="BAI53" s="2622"/>
      <c r="BAL53" s="2622"/>
      <c r="BAM53" s="2622"/>
      <c r="BAN53" s="2622"/>
      <c r="BAO53" s="2622"/>
      <c r="BAP53" s="2622"/>
      <c r="BAQ53" s="2622"/>
      <c r="BAT53" s="2622"/>
      <c r="BAU53" s="185" t="s">
        <v>894</v>
      </c>
      <c r="BAV53" s="199"/>
      <c r="BAW53" s="199" t="s">
        <v>895</v>
      </c>
      <c r="BAX53" s="2692"/>
      <c r="BAY53" s="2692"/>
      <c r="BAZ53" s="2692"/>
      <c r="BBA53" s="2692"/>
      <c r="BBB53" s="2692"/>
      <c r="BBC53" s="2692"/>
      <c r="BBD53" s="2692"/>
      <c r="BBE53" s="2692"/>
      <c r="BBF53" s="2692"/>
      <c r="BBG53" s="2692"/>
      <c r="BBH53" s="2692"/>
      <c r="BBI53" s="2692"/>
      <c r="BBK53" s="2622"/>
      <c r="BBQ53" s="3398"/>
      <c r="BCJ53" s="2617"/>
      <c r="BCK53" s="2617"/>
      <c r="BCL53" s="2617"/>
      <c r="BCM53" s="2617"/>
      <c r="BCN53" s="2617"/>
      <c r="BCO53" s="2617"/>
      <c r="BCP53" s="2617"/>
      <c r="BCQ53" s="2617"/>
      <c r="BCR53" s="2617"/>
      <c r="BCS53" s="2617"/>
      <c r="BCT53" s="2617"/>
      <c r="BCU53" s="2617"/>
      <c r="BCV53" s="2617"/>
      <c r="BCW53" s="2617"/>
      <c r="BCX53" s="2617"/>
      <c r="BCY53" s="2617"/>
      <c r="BCZ53" s="2617"/>
      <c r="BDA53" s="2617"/>
      <c r="BDB53" s="2617"/>
      <c r="BDC53" s="2617"/>
      <c r="BDD53" s="2617"/>
      <c r="BDE53" s="2617"/>
      <c r="BDF53" s="2617"/>
      <c r="BDG53" s="2617"/>
      <c r="BDH53" s="2617"/>
      <c r="BDI53" s="2617"/>
      <c r="BDL53" s="2617"/>
      <c r="BDM53" s="2617"/>
      <c r="BDN53" s="2617"/>
      <c r="BDO53" s="2617"/>
      <c r="BDP53" s="2617"/>
      <c r="BDQ53" s="2617"/>
      <c r="BDR53" s="2617"/>
      <c r="BDS53" s="2617"/>
      <c r="BDT53" s="2617"/>
      <c r="BDU53" s="2617"/>
      <c r="BDV53" s="2617"/>
      <c r="BDW53" s="2617"/>
      <c r="BDZ53" s="2617"/>
      <c r="BEA53" s="2617"/>
      <c r="BEB53" s="2617"/>
      <c r="BEC53" s="2617"/>
      <c r="BED53" s="2617"/>
      <c r="BEE53" s="2617"/>
      <c r="BEH53" s="2617"/>
    </row>
    <row r="54" spans="32:1513" ht="15" thickBot="1" x14ac:dyDescent="0.25">
      <c r="AF54" s="4200" t="s">
        <v>2647</v>
      </c>
      <c r="AH54" s="2814" t="s">
        <v>1318</v>
      </c>
      <c r="AI54" s="2682" t="str">
        <f>IF(Prosjektinfo!$AC$50=1,AI51&amp;AI52,IF(Prosjektinfo!$AC$50=2,AI51&amp;AI53,""))</f>
        <v>veg-</v>
      </c>
      <c r="AU54" s="183"/>
      <c r="AV54" s="183"/>
      <c r="AW54" s="183"/>
      <c r="AX54" s="183"/>
      <c r="AY54" s="183"/>
      <c r="AZ54" s="183"/>
      <c r="BA54" s="183"/>
      <c r="BB54" s="183"/>
      <c r="BC54" s="183"/>
      <c r="BD54" s="183"/>
      <c r="BE54" s="183"/>
      <c r="BN54" s="181"/>
      <c r="BO54" s="181"/>
      <c r="BP54" s="181"/>
      <c r="BQ54" s="181"/>
      <c r="BR54" s="181"/>
      <c r="BS54" s="181"/>
      <c r="BT54" s="181"/>
      <c r="BU54" s="181"/>
      <c r="BV54" s="181"/>
      <c r="BW54" s="181"/>
      <c r="BX54" s="181"/>
      <c r="BY54" s="181"/>
      <c r="BZ54" s="181"/>
      <c r="CA54" s="181"/>
      <c r="CB54" s="4186" t="s">
        <v>1766</v>
      </c>
      <c r="CC54" s="4188" t="s">
        <v>1765</v>
      </c>
      <c r="CD54" s="4187"/>
      <c r="CF54" s="2720"/>
      <c r="CG54" s="4197" t="s">
        <v>1765</v>
      </c>
      <c r="CH54" s="5560"/>
      <c r="CI54" s="4198"/>
      <c r="CJ54" s="4198"/>
      <c r="CK54" s="4198"/>
      <c r="CL54" s="5622"/>
      <c r="CM54" s="5622"/>
      <c r="CN54" s="5622"/>
      <c r="CO54" s="5622"/>
      <c r="CP54" s="5622"/>
      <c r="CQ54" s="5622"/>
      <c r="CR54" s="5622"/>
      <c r="CS54" s="5622"/>
      <c r="CT54" s="5622"/>
      <c r="CU54" s="5622"/>
      <c r="CV54" s="5622"/>
      <c r="CW54" s="5622"/>
      <c r="CX54" s="5622"/>
      <c r="CY54" s="5622"/>
      <c r="CZ54" s="5622"/>
      <c r="DA54" s="5622"/>
      <c r="DB54" s="5622"/>
      <c r="DC54" s="5622"/>
      <c r="DD54" s="5622"/>
      <c r="DE54" s="5622"/>
      <c r="DF54" s="5622"/>
      <c r="DG54" s="5622"/>
      <c r="DH54" s="5622"/>
      <c r="DI54" s="5622"/>
      <c r="DJ54" s="5622"/>
      <c r="DK54" s="5622"/>
      <c r="DL54" s="5622"/>
      <c r="DM54" s="5727">
        <f>SUM(DM34:DM51)</f>
        <v>0</v>
      </c>
      <c r="DN54" s="5622"/>
      <c r="DO54" s="5622"/>
      <c r="DP54" s="5622"/>
      <c r="DQ54" s="5622"/>
      <c r="DR54" s="5622"/>
      <c r="DS54" s="5622"/>
      <c r="DT54" s="5622"/>
      <c r="DU54" s="5622"/>
      <c r="DV54" s="5622"/>
      <c r="DW54" s="5622"/>
      <c r="DX54" s="5622"/>
      <c r="DY54" s="5622"/>
      <c r="DZ54" s="5622"/>
      <c r="EA54" s="5622"/>
      <c r="EB54" s="5622"/>
      <c r="EC54" s="5622"/>
      <c r="ED54" s="5622"/>
      <c r="EE54" s="5727">
        <f>SUM(EE34:EE51)</f>
        <v>0</v>
      </c>
      <c r="EF54" s="5622"/>
      <c r="EG54" s="5622"/>
      <c r="EH54" s="5622"/>
      <c r="EI54" s="5622"/>
      <c r="EJ54" s="5622"/>
      <c r="EK54" s="5622"/>
      <c r="EL54" s="5622"/>
      <c r="EM54" s="5622"/>
      <c r="EN54" s="5622"/>
      <c r="EO54" s="5622"/>
      <c r="EP54" s="5622"/>
      <c r="EQ54" s="5622"/>
      <c r="ER54" s="5622"/>
      <c r="ES54" s="5622"/>
      <c r="ET54" s="5622"/>
      <c r="EU54" s="5622"/>
      <c r="EV54" s="5622"/>
      <c r="EW54" s="5727">
        <f>SUM(EW34:EW51)</f>
        <v>0</v>
      </c>
      <c r="EX54" s="5622"/>
      <c r="EY54" s="5622"/>
      <c r="EZ54" s="5622"/>
      <c r="FA54" s="5622"/>
      <c r="FB54" s="5622"/>
      <c r="FC54" s="5622"/>
      <c r="FD54" s="5622"/>
      <c r="FE54" s="5622"/>
      <c r="FF54" s="5622"/>
      <c r="FG54" s="5622"/>
      <c r="FH54" s="5622"/>
      <c r="FI54" s="5622"/>
      <c r="FJ54" s="5622"/>
      <c r="FK54" s="5622"/>
      <c r="FL54" s="5622"/>
      <c r="FM54" s="5622"/>
      <c r="FN54" s="5622"/>
      <c r="FO54" s="5622"/>
      <c r="FP54" s="5622"/>
      <c r="FQ54" s="5622"/>
      <c r="FR54" s="5622"/>
      <c r="FS54" s="5622"/>
      <c r="FT54" s="5622"/>
      <c r="FU54" s="5622"/>
      <c r="FV54" s="5622"/>
      <c r="FW54" s="5622"/>
      <c r="FX54" s="5622"/>
      <c r="FY54" s="5622"/>
      <c r="FZ54" s="5622"/>
      <c r="GA54" s="5622"/>
      <c r="GB54" s="5622"/>
      <c r="GC54" s="5622"/>
      <c r="GD54" s="5622"/>
      <c r="GE54" s="5622"/>
      <c r="GF54" s="5622"/>
      <c r="GG54" s="5727">
        <f>SUM(GG34:GG51)</f>
        <v>0</v>
      </c>
      <c r="GH54" s="5622"/>
      <c r="GI54" s="5622"/>
      <c r="GJ54" s="5622"/>
      <c r="GK54" s="5622"/>
      <c r="GL54" s="5622"/>
      <c r="GM54" s="5622"/>
      <c r="GN54" s="5622"/>
      <c r="GO54" s="5622"/>
      <c r="GP54" s="5622"/>
      <c r="GQ54" s="5622"/>
      <c r="GR54" s="5622"/>
      <c r="GS54" s="5622"/>
      <c r="GT54" s="5622"/>
      <c r="GU54" s="5622"/>
      <c r="GV54" s="5622"/>
      <c r="GW54" s="5622"/>
      <c r="GX54" s="5622"/>
      <c r="GY54" s="5622"/>
      <c r="GZ54" s="5727">
        <f>SUM(GZ34:GZ51)</f>
        <v>0</v>
      </c>
      <c r="HA54" s="5727">
        <f>SUM(HA34:HA51)</f>
        <v>0</v>
      </c>
      <c r="HB54" s="5622"/>
      <c r="HC54" s="5622"/>
      <c r="HD54" s="5622"/>
      <c r="HE54" s="5622"/>
      <c r="HF54" s="5622"/>
      <c r="HG54" s="5622"/>
      <c r="HH54" s="5622"/>
      <c r="HI54" s="5622"/>
      <c r="HJ54" s="5622"/>
      <c r="HK54" s="5622"/>
      <c r="HL54" s="5622"/>
      <c r="HM54" s="5622"/>
      <c r="HN54" s="5622"/>
      <c r="HO54" s="5622"/>
      <c r="HP54" s="5622"/>
      <c r="HQ54" s="5622"/>
      <c r="HR54" s="5621"/>
      <c r="HS54" s="5621"/>
      <c r="HT54" s="5621"/>
      <c r="HU54" s="5725"/>
      <c r="HV54" s="5724"/>
      <c r="HW54" s="5621"/>
      <c r="HX54" s="5621"/>
      <c r="HY54" s="5621"/>
      <c r="HZ54" s="5725"/>
      <c r="IA54" s="5724"/>
      <c r="IB54" s="5621"/>
      <c r="IC54" s="5621"/>
      <c r="ID54" s="5621"/>
      <c r="IE54" s="5725"/>
      <c r="IF54" s="5724"/>
      <c r="IG54" s="5621"/>
      <c r="IH54" s="5621"/>
      <c r="II54" s="5621"/>
      <c r="IJ54" s="5725"/>
      <c r="IK54" s="5724"/>
      <c r="IL54" s="5621"/>
      <c r="IM54" s="5621"/>
      <c r="IN54" s="5621"/>
      <c r="IO54" s="5725"/>
      <c r="IP54" s="5724"/>
      <c r="IQ54" s="5621"/>
      <c r="IR54" s="5621"/>
      <c r="IS54" s="5621"/>
      <c r="IT54" s="5725"/>
      <c r="IU54" s="5724"/>
      <c r="IV54" s="5621"/>
      <c r="IW54" s="5621"/>
      <c r="IX54" s="5621"/>
      <c r="IY54" s="5725"/>
      <c r="IZ54" s="5724"/>
      <c r="JA54" s="5621"/>
      <c r="JB54" s="5621"/>
      <c r="JC54" s="5621"/>
      <c r="JD54" s="5725"/>
      <c r="JE54" s="5724"/>
      <c r="JF54" s="5620"/>
      <c r="JG54" s="5620"/>
      <c r="JH54" s="5620"/>
      <c r="JI54" s="5620"/>
      <c r="JJ54" s="5620"/>
      <c r="JK54" s="5620"/>
      <c r="JL54" s="5620"/>
      <c r="JM54" s="5620"/>
      <c r="JN54" s="5620"/>
      <c r="JO54" s="5620"/>
      <c r="JP54" s="5620"/>
      <c r="JQ54" s="5620"/>
      <c r="JR54" s="5620"/>
      <c r="JS54" s="5620"/>
      <c r="JT54" s="5620"/>
      <c r="JU54" s="5620"/>
      <c r="JV54" s="5727">
        <f>SUM(JV34:JV51)</f>
        <v>0</v>
      </c>
      <c r="JW54" s="5727">
        <f>SUM(JW34:JW51)</f>
        <v>0</v>
      </c>
      <c r="JX54" s="5621"/>
      <c r="JY54" s="5621"/>
      <c r="JZ54" s="5621"/>
      <c r="KA54" s="5621"/>
      <c r="KB54" s="5621"/>
      <c r="KC54" s="5621"/>
      <c r="KD54" s="5621"/>
      <c r="KE54" s="5621"/>
      <c r="KF54" s="5621"/>
      <c r="KG54" s="5621"/>
      <c r="KH54" s="5621"/>
      <c r="KI54" s="5621"/>
      <c r="KJ54" s="5621"/>
      <c r="KK54" s="5621"/>
      <c r="KL54" s="5621"/>
      <c r="KM54" s="5621"/>
      <c r="KN54" s="5621"/>
      <c r="KO54" s="5699"/>
      <c r="KP54" s="5621"/>
      <c r="KQ54" s="5621"/>
      <c r="KR54" s="5621"/>
      <c r="KS54" s="5621"/>
      <c r="KT54" s="5621"/>
      <c r="KU54" s="5621"/>
      <c r="KV54" s="5621"/>
      <c r="KW54" s="5621"/>
      <c r="KX54" s="5621"/>
      <c r="KY54" s="5621"/>
      <c r="KZ54" s="5621"/>
      <c r="LA54" s="5621"/>
      <c r="LB54" s="5621"/>
      <c r="LC54" s="5621"/>
      <c r="LD54" s="5727">
        <f>SUM(LD34:LD51)</f>
        <v>0</v>
      </c>
      <c r="LE54" s="5727">
        <f>SUM(LE34:LE51)</f>
        <v>0</v>
      </c>
      <c r="LF54" s="5622"/>
      <c r="LG54" s="5622"/>
      <c r="LH54" s="5622"/>
      <c r="LI54" s="5622"/>
      <c r="LJ54" s="5622"/>
      <c r="LK54" s="5622"/>
      <c r="LL54" s="5622"/>
      <c r="LM54" s="5622"/>
      <c r="LN54" s="5622"/>
      <c r="LO54" s="5622"/>
      <c r="LP54" s="5622"/>
      <c r="LQ54" s="5622"/>
      <c r="LR54" s="5622"/>
      <c r="LS54" s="5622"/>
      <c r="LT54" s="5622"/>
      <c r="LU54" s="5622"/>
      <c r="LV54" s="5622"/>
      <c r="LW54" s="5727">
        <f>SUM(LW34:LW51)</f>
        <v>0</v>
      </c>
      <c r="LX54" s="5622"/>
      <c r="LY54" s="5728"/>
      <c r="LZ54" s="5622"/>
      <c r="MA54" s="5728"/>
      <c r="MB54" s="5622"/>
      <c r="MC54" s="5728"/>
      <c r="MD54" s="5622"/>
      <c r="ME54" s="5728"/>
      <c r="MF54" s="5622"/>
      <c r="MG54" s="5728"/>
      <c r="MH54" s="5622"/>
      <c r="MI54" s="5728"/>
      <c r="MJ54" s="5622"/>
      <c r="MK54" s="5728"/>
      <c r="ML54" s="5622"/>
      <c r="MM54" s="5728"/>
      <c r="MN54" s="5727">
        <f>SUM(MN34:MN51)</f>
        <v>0</v>
      </c>
      <c r="MO54" s="5622"/>
      <c r="MP54" s="5622"/>
      <c r="MQ54" s="5622"/>
      <c r="MR54" s="5622"/>
      <c r="MS54" s="5622"/>
      <c r="MT54" s="5622"/>
      <c r="MU54" s="5622"/>
      <c r="MV54" s="5622"/>
      <c r="MW54" s="5727">
        <f>SUM(MW34:MW51)</f>
        <v>0</v>
      </c>
      <c r="MX54" s="5622"/>
      <c r="MY54" s="5622"/>
      <c r="MZ54" s="5622"/>
      <c r="NA54" s="5622"/>
      <c r="NB54" s="5622"/>
      <c r="NC54" s="5622"/>
      <c r="ND54" s="5622"/>
      <c r="NE54" s="5622"/>
      <c r="NF54" s="5622"/>
      <c r="NG54" s="5622"/>
      <c r="NH54" s="5622"/>
      <c r="NI54" s="5622"/>
      <c r="NJ54" s="5622"/>
      <c r="NK54" s="5622"/>
      <c r="NL54" s="5622"/>
      <c r="NM54" s="5622"/>
      <c r="NN54" s="5727">
        <f>SUM(NN34:NN51)</f>
        <v>0</v>
      </c>
      <c r="NO54" s="5622"/>
      <c r="NP54" s="5622"/>
      <c r="NQ54" s="5622"/>
      <c r="NR54" s="5622"/>
      <c r="NS54" s="5622"/>
      <c r="NT54" s="5622"/>
      <c r="NU54" s="5622"/>
      <c r="NV54" s="5622"/>
      <c r="NW54" s="5622"/>
      <c r="NX54" s="5622"/>
      <c r="NY54" s="5622"/>
      <c r="NZ54" s="5622"/>
      <c r="OA54" s="5622"/>
      <c r="OB54" s="5622"/>
      <c r="OC54" s="5622"/>
      <c r="OD54" s="5622"/>
      <c r="OE54" s="5622"/>
      <c r="OF54" s="5622"/>
      <c r="OG54" s="5622"/>
      <c r="OH54" s="5622"/>
      <c r="OI54" s="5622"/>
      <c r="OJ54" s="5622"/>
      <c r="OK54" s="5729"/>
      <c r="OL54" s="5622"/>
      <c r="OM54" s="5729"/>
      <c r="ON54" s="5622"/>
      <c r="OO54" s="5729"/>
      <c r="OP54" s="5622"/>
      <c r="OQ54" s="5729"/>
      <c r="OR54" s="5622"/>
      <c r="OS54" s="5729"/>
      <c r="OT54" s="5622"/>
      <c r="OU54" s="5729"/>
      <c r="OV54" s="5622"/>
      <c r="OW54" s="5729"/>
      <c r="OX54" s="5622"/>
      <c r="OY54" s="5729"/>
      <c r="OZ54" s="5727">
        <f>SUM(OZ34:OZ51)</f>
        <v>0</v>
      </c>
      <c r="PA54" s="5622"/>
      <c r="PB54" s="5624"/>
      <c r="PC54" s="5622"/>
      <c r="PD54" s="5624"/>
      <c r="PE54" s="5622"/>
      <c r="PF54" s="5624"/>
      <c r="PG54" s="5622"/>
      <c r="PH54" s="5624"/>
      <c r="PI54" s="5622"/>
      <c r="PJ54" s="5624"/>
      <c r="PK54" s="5622"/>
      <c r="PL54" s="5624"/>
      <c r="PM54" s="5622"/>
      <c r="PN54" s="5624"/>
      <c r="PO54" s="5622"/>
      <c r="PP54" s="5624"/>
      <c r="PQ54" s="5727">
        <f>SUM(PQ34:PQ51)</f>
        <v>0</v>
      </c>
      <c r="PR54" s="5622"/>
      <c r="PS54" s="5730"/>
      <c r="PT54" s="5622"/>
      <c r="PU54" s="5730"/>
      <c r="PV54" s="5622"/>
      <c r="PW54" s="5730"/>
      <c r="PX54" s="5622"/>
      <c r="PY54" s="5730"/>
      <c r="PZ54" s="5622"/>
      <c r="QA54" s="5730"/>
      <c r="QB54" s="5622"/>
      <c r="QC54" s="5730"/>
      <c r="QD54" s="5622"/>
      <c r="QE54" s="5730"/>
      <c r="QF54" s="5622"/>
      <c r="QG54" s="5730"/>
      <c r="QH54" s="5727" t="e">
        <f>SUM(QH34:QH51)</f>
        <v>#N/A</v>
      </c>
      <c r="QI54" s="5622"/>
      <c r="QJ54" s="5622"/>
      <c r="QK54" s="5622"/>
      <c r="QL54" s="5622"/>
      <c r="QM54" s="5622"/>
      <c r="QN54" s="5622"/>
      <c r="QO54" s="5622"/>
      <c r="QP54" s="5622"/>
      <c r="QQ54" s="5622"/>
      <c r="QR54" s="5622"/>
      <c r="QS54" s="5622"/>
      <c r="QT54" s="5622"/>
      <c r="QU54" s="5622"/>
      <c r="QV54" s="5622"/>
      <c r="QW54" s="5622"/>
      <c r="QX54" s="5622"/>
      <c r="QY54" s="5622"/>
      <c r="QZ54" s="5622"/>
      <c r="RA54" s="5622"/>
      <c r="RB54" s="5622"/>
      <c r="RC54" s="5622"/>
      <c r="RD54" s="5622"/>
      <c r="RE54" s="5622"/>
      <c r="RF54" s="5622"/>
      <c r="RG54" s="5622"/>
      <c r="RH54" s="5622"/>
      <c r="RI54" s="5622"/>
      <c r="RJ54" s="5622"/>
      <c r="RK54" s="5622"/>
      <c r="RL54" s="5622"/>
      <c r="RM54" s="5622"/>
      <c r="RN54" s="5622"/>
      <c r="RO54" s="5622"/>
      <c r="RP54" s="5622"/>
      <c r="RQ54" s="5727">
        <f>SUM(RQ34:RQ51)</f>
        <v>0</v>
      </c>
      <c r="RR54" s="5622"/>
      <c r="RS54" s="5622"/>
      <c r="RT54" s="5622"/>
      <c r="RU54" s="5622"/>
      <c r="RV54" s="5622"/>
      <c r="RW54" s="5622"/>
      <c r="RX54" s="5622"/>
      <c r="RY54" s="5622"/>
      <c r="RZ54" s="5622"/>
      <c r="SA54" s="5622"/>
      <c r="SB54" s="5622"/>
      <c r="SC54" s="5622"/>
      <c r="SD54" s="5622"/>
      <c r="SE54" s="5622"/>
      <c r="SF54" s="5622"/>
      <c r="SG54" s="5622"/>
      <c r="SH54" s="5622"/>
      <c r="SI54" s="5622"/>
      <c r="SJ54" s="5622"/>
      <c r="SK54" s="5622"/>
      <c r="SL54" s="5622"/>
      <c r="SM54" s="5622"/>
      <c r="SN54" s="5622"/>
      <c r="SO54" s="5622"/>
      <c r="SP54" s="5622"/>
      <c r="SQ54" s="5727">
        <f>SUM(SQ34:SQ51)</f>
        <v>0</v>
      </c>
      <c r="SR54" s="5727">
        <f>SUM(SR34:SR51)</f>
        <v>0</v>
      </c>
      <c r="SS54" s="5622"/>
      <c r="ST54" s="5622"/>
      <c r="SU54" s="5622"/>
      <c r="SV54" s="5622"/>
      <c r="SW54" s="5622"/>
      <c r="SX54" s="5622"/>
      <c r="SY54" s="5622"/>
      <c r="SZ54" s="5622"/>
      <c r="TA54" s="5622"/>
      <c r="TB54" s="5622"/>
      <c r="TC54" s="5622"/>
      <c r="TD54" s="5622"/>
      <c r="TE54" s="5622"/>
      <c r="TF54" s="5622"/>
      <c r="TG54" s="5622"/>
      <c r="TH54" s="5622"/>
      <c r="TI54" s="5622"/>
      <c r="TJ54" s="5622"/>
      <c r="TK54" s="5622"/>
      <c r="TL54" s="5622"/>
      <c r="TM54" s="5622"/>
      <c r="TN54" s="5622"/>
      <c r="TO54" s="5622"/>
      <c r="TP54" s="5622"/>
      <c r="TQ54" s="5622"/>
      <c r="TR54" s="5622"/>
      <c r="TS54" s="5622"/>
      <c r="TT54" s="5622"/>
      <c r="TU54" s="5622"/>
      <c r="TV54" s="5622"/>
      <c r="TW54" s="5622"/>
      <c r="TX54" s="5622"/>
      <c r="TY54" s="5622"/>
      <c r="TZ54" s="5622"/>
      <c r="UA54" s="5622"/>
      <c r="UB54" s="5622"/>
      <c r="UC54" s="5622"/>
      <c r="UD54" s="5622"/>
      <c r="UE54" s="5622"/>
      <c r="UF54" s="5622"/>
      <c r="UG54" s="5622"/>
      <c r="UH54" s="5622"/>
      <c r="UI54" s="5622"/>
      <c r="UJ54" s="5622"/>
      <c r="UK54" s="5622"/>
      <c r="UL54" s="5622"/>
      <c r="UM54" s="5622"/>
      <c r="UN54" s="5622"/>
      <c r="UO54" s="5622"/>
      <c r="UP54" s="5622"/>
      <c r="UQ54" s="5622"/>
      <c r="UR54" s="5622"/>
      <c r="US54" s="5622"/>
      <c r="UT54" s="5622"/>
      <c r="UU54" s="5622"/>
      <c r="UV54" s="5622"/>
      <c r="UW54" s="5622"/>
      <c r="UX54" s="5622"/>
      <c r="UY54" s="5622"/>
      <c r="UZ54" s="5622"/>
      <c r="VA54" s="5622"/>
      <c r="VB54" s="5622"/>
      <c r="VC54" s="5622"/>
      <c r="VD54" s="5622"/>
      <c r="VE54" s="5622"/>
      <c r="VF54" s="5622"/>
      <c r="VG54" s="5622"/>
      <c r="VH54" s="5727" t="e">
        <f>SUM(VH34:VH51)</f>
        <v>#N/A</v>
      </c>
      <c r="VI54" s="5727" t="e">
        <f>SUM(VI34:VI51)</f>
        <v>#N/A</v>
      </c>
      <c r="VJ54" s="5727">
        <f>SUM(VJ34:VJ51)</f>
        <v>0</v>
      </c>
      <c r="VK54" s="5622"/>
      <c r="VL54" s="5617"/>
      <c r="VM54" s="5622"/>
      <c r="VN54" s="5622"/>
      <c r="VO54" s="5622"/>
      <c r="VP54" s="5621"/>
      <c r="VQ54" s="5621"/>
      <c r="VR54" s="5621"/>
      <c r="VS54" s="5621"/>
      <c r="VT54" s="5621"/>
      <c r="VU54" s="5621"/>
      <c r="VV54" s="5621"/>
      <c r="VW54" s="5621"/>
      <c r="VX54" s="5621"/>
      <c r="VY54" s="5621"/>
      <c r="VZ54" s="5621"/>
      <c r="WA54" s="5727">
        <f>SUM(WA34:WA51)</f>
        <v>0</v>
      </c>
      <c r="WB54" s="5621"/>
      <c r="WC54" s="5621"/>
      <c r="WD54" s="5621"/>
      <c r="WE54" s="5621"/>
      <c r="WF54" s="5621"/>
      <c r="WG54" s="5621"/>
      <c r="WH54" s="5621"/>
      <c r="WI54" s="5621"/>
      <c r="WJ54" s="5621"/>
      <c r="WK54" s="5621"/>
      <c r="WL54" s="5621"/>
      <c r="WM54" s="5621"/>
      <c r="WN54" s="5621"/>
      <c r="WO54" s="5621"/>
      <c r="WP54" s="5621"/>
      <c r="WQ54" s="5621"/>
      <c r="WR54" s="5621"/>
      <c r="WS54" s="5621"/>
      <c r="WT54" s="5621"/>
      <c r="WU54" s="5621"/>
      <c r="WV54" s="5621"/>
      <c r="WW54" s="5621"/>
      <c r="WX54" s="5621"/>
      <c r="WY54" s="5621"/>
      <c r="WZ54" s="5621"/>
      <c r="XA54" s="5621"/>
      <c r="XB54" s="5621"/>
      <c r="XC54" s="5621"/>
      <c r="XD54" s="5621"/>
      <c r="XE54" s="5621"/>
      <c r="XF54" s="5621"/>
      <c r="XG54" s="5726"/>
      <c r="XH54" s="5727">
        <f>SUM(XH34:XH51)</f>
        <v>0</v>
      </c>
      <c r="XI54" s="5727">
        <f>SUM(XI34:XI51)</f>
        <v>0</v>
      </c>
      <c r="XJ54" s="5621"/>
      <c r="XK54" s="5621"/>
      <c r="XL54" s="5621"/>
      <c r="XM54" s="5621"/>
      <c r="XN54" s="5621"/>
      <c r="XO54" s="5621"/>
      <c r="XP54" s="5621"/>
      <c r="XQ54" s="5621"/>
      <c r="XR54" s="5621"/>
      <c r="XS54" s="5621"/>
      <c r="XT54" s="5621"/>
      <c r="XU54" s="5621"/>
      <c r="XV54" s="5621"/>
      <c r="XW54" s="5621"/>
      <c r="XX54" s="5621"/>
      <c r="XY54" s="5621"/>
      <c r="XZ54" s="5621"/>
      <c r="YA54" s="5621"/>
      <c r="YB54" s="5621"/>
      <c r="YC54" s="5621"/>
      <c r="YD54" s="5621"/>
      <c r="YE54" s="5621"/>
      <c r="YF54" s="5621"/>
      <c r="YG54" s="5621"/>
      <c r="YH54" s="5621"/>
      <c r="YI54" s="5621"/>
      <c r="YJ54" s="5621"/>
      <c r="YK54" s="5621"/>
      <c r="YL54" s="5621"/>
      <c r="YM54" s="5621"/>
      <c r="YN54" s="5621"/>
      <c r="YO54" s="5621"/>
      <c r="YP54" s="5727">
        <f>SUM(YP34:YP51)</f>
        <v>0</v>
      </c>
      <c r="YQ54" s="5727">
        <f>SUM(YQ34:YQ51)</f>
        <v>0</v>
      </c>
      <c r="YR54" s="5622"/>
      <c r="YS54" s="5622"/>
      <c r="YT54" s="5622"/>
      <c r="YU54" s="5622"/>
      <c r="YV54" s="5622"/>
      <c r="YW54" s="5622"/>
      <c r="YX54" s="5622"/>
      <c r="YY54" s="5622"/>
      <c r="YZ54" s="5622"/>
      <c r="ZA54" s="5622"/>
      <c r="ZB54" s="5622"/>
      <c r="ZC54" s="5622"/>
      <c r="ZD54" s="5622"/>
      <c r="ZE54" s="5622"/>
      <c r="ZF54" s="5622"/>
      <c r="ZG54" s="5622"/>
      <c r="ZH54" s="5622"/>
      <c r="ZI54" s="5621"/>
      <c r="ZJ54" s="5621"/>
      <c r="ZK54" s="5621"/>
      <c r="ZL54" s="5621"/>
      <c r="ZM54" s="5621"/>
      <c r="ZN54" s="3341"/>
      <c r="ZO54" s="3341"/>
      <c r="ZP54" s="3341"/>
      <c r="ZQ54" s="3341"/>
      <c r="ZR54" s="3341"/>
      <c r="ZS54" s="3341"/>
      <c r="ZT54" s="3341"/>
      <c r="ZU54" s="3341"/>
      <c r="ZV54" s="3341"/>
      <c r="ZW54" s="3341"/>
      <c r="ZX54" s="3341"/>
      <c r="ZY54" s="3341"/>
      <c r="ZZ54" s="3341"/>
      <c r="AAA54" s="3341"/>
      <c r="AAB54" s="2622"/>
      <c r="AAC54" s="2622"/>
      <c r="AAD54" s="2622"/>
      <c r="AAE54" s="2622"/>
      <c r="AAF54" s="2622"/>
      <c r="AAG54" s="2622"/>
      <c r="AAH54" s="2622"/>
      <c r="AAI54" s="2622"/>
      <c r="AAJ54" s="2622"/>
      <c r="AAK54" s="2622"/>
      <c r="AAL54" s="2622"/>
      <c r="AAM54" s="2622"/>
      <c r="AAN54" s="2622"/>
      <c r="AAO54" s="2622"/>
      <c r="AAP54" s="2622"/>
      <c r="AAQ54" s="2622"/>
      <c r="AAR54" s="2622"/>
      <c r="AAS54" s="2622"/>
      <c r="AAT54" s="2622"/>
      <c r="AAU54" s="2622"/>
      <c r="AAV54" s="2622"/>
      <c r="AAW54" s="2622"/>
      <c r="AAX54" s="2622"/>
      <c r="AAY54" s="2622"/>
      <c r="AAZ54" s="2622"/>
      <c r="ABA54" s="2622"/>
      <c r="ABB54" s="2737"/>
      <c r="ABC54" s="2737"/>
      <c r="ABD54" s="2737"/>
      <c r="ABE54" s="2737"/>
      <c r="ABF54" s="2737"/>
      <c r="ABG54" s="2737"/>
      <c r="ABH54" s="2737"/>
      <c r="ABI54" s="2737"/>
      <c r="ABJ54" s="2622"/>
      <c r="ABK54" s="2622"/>
      <c r="ABL54" s="2737"/>
      <c r="ABM54" s="2737"/>
      <c r="ABN54" s="2737"/>
      <c r="ABO54" s="2737"/>
      <c r="ABP54" s="2737"/>
      <c r="ABQ54" s="2737"/>
      <c r="ABR54" s="2737"/>
      <c r="ABS54" s="2737"/>
      <c r="ABT54" s="2622"/>
      <c r="ABU54" s="2622"/>
      <c r="ABV54" s="2737"/>
      <c r="ABW54" s="2737"/>
      <c r="ABX54" s="2737"/>
      <c r="ABY54" s="2737"/>
      <c r="ABZ54" s="2737"/>
      <c r="ACA54" s="2737"/>
      <c r="ACB54" s="2737"/>
      <c r="ACC54" s="2737"/>
      <c r="ACD54" s="2737"/>
      <c r="ACE54" s="2622"/>
      <c r="ACF54" s="2737"/>
      <c r="ACG54" s="2737"/>
      <c r="ACH54" s="2737"/>
      <c r="ACI54" s="2737"/>
      <c r="ACJ54" s="2737"/>
      <c r="ACK54" s="2737"/>
      <c r="ACL54" s="2737"/>
      <c r="ACM54" s="2737"/>
      <c r="ACN54" s="2622"/>
      <c r="ACO54" s="2737"/>
      <c r="ACP54" s="2737"/>
      <c r="ACQ54" s="2737"/>
      <c r="ACR54" s="2737"/>
      <c r="ACS54" s="2737"/>
      <c r="ACT54" s="2737"/>
      <c r="ACU54" s="2737"/>
      <c r="ACV54" s="2737"/>
      <c r="ACW54" s="2622"/>
      <c r="ACX54" s="2737"/>
      <c r="ACY54" s="2737"/>
      <c r="ACZ54" s="2737"/>
      <c r="ADA54" s="2737"/>
      <c r="ADB54" s="2737"/>
      <c r="ADC54" s="2737"/>
      <c r="ADD54" s="2737"/>
      <c r="ADE54" s="2737"/>
      <c r="ADF54" s="2737"/>
      <c r="ADH54" s="2737"/>
      <c r="ADI54" s="2737"/>
      <c r="ADJ54" s="2737"/>
      <c r="ADK54" s="2737"/>
      <c r="ADL54" s="2737"/>
      <c r="ADM54" s="2737"/>
      <c r="ADN54" s="2737"/>
      <c r="ADO54" s="2737"/>
      <c r="ADQ54" s="2737"/>
      <c r="ADR54" s="2737"/>
      <c r="ADS54" s="2737"/>
      <c r="ADT54" s="2737"/>
      <c r="ADU54" s="2737"/>
      <c r="ADV54" s="2737"/>
      <c r="ADW54" s="2737"/>
      <c r="ADX54" s="2737"/>
      <c r="ADY54" s="2737"/>
      <c r="ADZ54" s="2737"/>
      <c r="AEA54" s="2737"/>
      <c r="AEB54" s="2737"/>
      <c r="AEC54" s="2737"/>
      <c r="AED54" s="2737"/>
      <c r="AEE54" s="2737"/>
      <c r="AEF54" s="2737"/>
      <c r="AEG54" s="2737"/>
      <c r="AEH54" s="2737"/>
      <c r="AEI54" s="2737"/>
      <c r="AEJ54" s="2737"/>
      <c r="AEK54" s="2737"/>
      <c r="AEL54" s="2737"/>
      <c r="AEM54" s="2737"/>
      <c r="AEN54" s="2737"/>
      <c r="AEO54" s="2737"/>
      <c r="AEP54" s="2737"/>
      <c r="AEQ54" s="2737"/>
      <c r="AER54" s="2737"/>
      <c r="AES54" s="2737"/>
      <c r="AET54" s="2737"/>
      <c r="AEU54" s="2737"/>
      <c r="AEV54" s="2737"/>
      <c r="AEW54" s="2737"/>
      <c r="AEX54" s="2737"/>
      <c r="AFG54" s="2737"/>
      <c r="AFP54" s="2737"/>
      <c r="AGI54" s="2737"/>
      <c r="AGN54" s="2622"/>
      <c r="AGR54" s="2737"/>
      <c r="AHB54" s="2737"/>
      <c r="AHJ54" s="2737"/>
      <c r="AHV54" s="2737"/>
      <c r="AHY54" s="2622"/>
      <c r="AII54" s="2622"/>
      <c r="AIJ54" s="2622"/>
      <c r="AIR54" s="2622"/>
      <c r="AIS54" s="2622"/>
      <c r="AJP54" s="2737"/>
      <c r="AKD54" s="2737"/>
      <c r="AKU54" s="2622"/>
      <c r="ALL54" s="2622"/>
      <c r="ALM54" s="2737"/>
      <c r="ALW54" s="2737"/>
      <c r="ALX54" s="2737"/>
      <c r="AMG54" s="2737"/>
      <c r="AOI54" s="2737"/>
      <c r="AOV54" s="4124"/>
      <c r="AOW54" s="5162"/>
      <c r="AOX54" s="5162"/>
      <c r="AOY54" s="5162"/>
      <c r="AOZ54" s="5162"/>
      <c r="APA54" s="5162"/>
      <c r="APB54" s="5162"/>
      <c r="APC54" s="5162"/>
      <c r="APD54" s="5162"/>
      <c r="APE54" s="5162"/>
      <c r="APT54" s="2737"/>
      <c r="AQE54" s="2622"/>
      <c r="ARE54" s="2622"/>
      <c r="ASA54" s="2622"/>
      <c r="ASJ54" s="2622"/>
      <c r="ASK54" s="2737"/>
      <c r="ASL54" s="2737"/>
      <c r="ASM54" s="2737"/>
      <c r="ASN54" s="2737"/>
      <c r="ASO54" s="2737"/>
      <c r="ASP54" s="2737"/>
      <c r="ASQ54" s="2737"/>
      <c r="ASR54" s="2737"/>
      <c r="ASS54" s="2737"/>
      <c r="ATA54" s="2622"/>
      <c r="ATB54" s="2622"/>
      <c r="ATC54" s="2622"/>
      <c r="ATD54" s="2622"/>
      <c r="ATE54" s="2622"/>
      <c r="ATF54" s="2622"/>
      <c r="ATG54" s="2622"/>
      <c r="ATH54" s="2622"/>
      <c r="ATI54" s="2622"/>
      <c r="ATJ54" s="2622"/>
      <c r="ATK54" s="2622"/>
      <c r="ATL54" s="2622"/>
      <c r="ATM54" s="2622"/>
      <c r="ATN54" s="2622"/>
      <c r="ATO54" s="2622"/>
      <c r="ATP54" s="2622"/>
      <c r="ATQ54" s="2622"/>
      <c r="ATR54" s="2622"/>
      <c r="ATT54" s="2622"/>
      <c r="ATU54" s="2622"/>
      <c r="ATV54" s="2622"/>
      <c r="ATW54" s="2622"/>
      <c r="ATX54" s="2617"/>
      <c r="ATY54" s="2617"/>
      <c r="ATZ54" s="2617"/>
      <c r="AUA54" s="2617"/>
      <c r="AUB54" s="2617"/>
      <c r="AUC54" s="2617"/>
      <c r="AUD54" s="2617"/>
      <c r="AUE54" s="2617"/>
      <c r="AUF54" s="2617"/>
      <c r="AUG54" s="2617"/>
      <c r="AUH54" s="2617"/>
      <c r="AUI54" s="2617"/>
      <c r="AUJ54" s="2617"/>
      <c r="AUK54" s="2617"/>
      <c r="AUL54" s="2617"/>
      <c r="AUM54" s="2617"/>
      <c r="AUN54" s="2617"/>
      <c r="AUO54" s="2617"/>
      <c r="AUP54" s="2617"/>
      <c r="AUQ54" s="2617"/>
      <c r="AUR54" s="2617"/>
      <c r="AUS54" s="2617"/>
      <c r="AUT54" s="2617"/>
      <c r="AUU54" s="2617"/>
      <c r="AUV54" s="2617" t="s">
        <v>1359</v>
      </c>
      <c r="AUW54" s="2617" t="s">
        <v>1266</v>
      </c>
      <c r="AUX54" s="2617" t="s">
        <v>1271</v>
      </c>
      <c r="AUY54" s="2617" t="s">
        <v>1272</v>
      </c>
      <c r="AUZ54" s="2617" t="s">
        <v>1273</v>
      </c>
      <c r="AVA54" s="2617" t="s">
        <v>1274</v>
      </c>
      <c r="AVB54" s="2617" t="s">
        <v>1275</v>
      </c>
      <c r="AVC54" s="2617" t="s">
        <v>1276</v>
      </c>
      <c r="AVD54" s="2617" t="s">
        <v>1277</v>
      </c>
      <c r="AVE54" s="2617" t="s">
        <v>1278</v>
      </c>
      <c r="AVF54" s="2617" t="s">
        <v>1279</v>
      </c>
      <c r="AVG54" s="2617" t="s">
        <v>1280</v>
      </c>
      <c r="AVH54" s="2622" t="s">
        <v>1281</v>
      </c>
      <c r="AVI54" s="2622" t="s">
        <v>1282</v>
      </c>
      <c r="AVJ54" s="2622" t="s">
        <v>1283</v>
      </c>
      <c r="AVK54" s="2622" t="s">
        <v>1285</v>
      </c>
      <c r="AVL54" s="2622" t="s">
        <v>1284</v>
      </c>
      <c r="AVM54" s="2622" t="s">
        <v>1286</v>
      </c>
      <c r="AVN54" s="2622" t="s">
        <v>1287</v>
      </c>
      <c r="AVO54" s="2622" t="s">
        <v>1288</v>
      </c>
      <c r="AVP54" s="2622" t="s">
        <v>1289</v>
      </c>
      <c r="AVQ54" s="2622" t="s">
        <v>1290</v>
      </c>
      <c r="AVR54" s="2622" t="s">
        <v>1291</v>
      </c>
      <c r="AVS54" s="2622" t="s">
        <v>1292</v>
      </c>
      <c r="AVT54" s="2622" t="s">
        <v>1293</v>
      </c>
      <c r="AVU54" s="2622" t="s">
        <v>1294</v>
      </c>
      <c r="AVV54" s="2622" t="s">
        <v>1295</v>
      </c>
      <c r="AVW54" s="2622" t="s">
        <v>1296</v>
      </c>
      <c r="AVX54" s="2622" t="s">
        <v>1297</v>
      </c>
      <c r="AVY54" s="2622" t="s">
        <v>1298</v>
      </c>
      <c r="AVZ54" s="2622" t="s">
        <v>1299</v>
      </c>
      <c r="AWA54" s="2622" t="s">
        <v>1300</v>
      </c>
      <c r="AWB54" s="2622" t="s">
        <v>1301</v>
      </c>
      <c r="AWC54" s="2622" t="s">
        <v>1302</v>
      </c>
      <c r="AWD54" s="2622" t="s">
        <v>1303</v>
      </c>
      <c r="AWE54" s="2622" t="s">
        <v>1304</v>
      </c>
      <c r="AWF54" s="2622" t="s">
        <v>1305</v>
      </c>
      <c r="AWG54" s="2622" t="s">
        <v>1306</v>
      </c>
      <c r="AWH54" s="2617" t="s">
        <v>1307</v>
      </c>
      <c r="AWI54" s="2617" t="s">
        <v>1308</v>
      </c>
      <c r="AWJ54" s="2622" t="s">
        <v>1309</v>
      </c>
      <c r="AWK54" s="2622" t="s">
        <v>1310</v>
      </c>
      <c r="AWL54" s="2622" t="s">
        <v>1311</v>
      </c>
      <c r="AWM54" s="2622" t="s">
        <v>1312</v>
      </c>
      <c r="AWN54" s="2622" t="s">
        <v>1313</v>
      </c>
      <c r="AWO54" s="2622" t="s">
        <v>1314</v>
      </c>
      <c r="AWP54" s="2622" t="s">
        <v>1315</v>
      </c>
      <c r="AWQ54" s="2622" t="s">
        <v>1316</v>
      </c>
      <c r="AWR54" s="2622" t="s">
        <v>1317</v>
      </c>
      <c r="AWS54" s="2617"/>
      <c r="AWT54" s="2617"/>
      <c r="AWU54" s="2617"/>
      <c r="AWV54" s="2617"/>
      <c r="AWW54" s="2617"/>
      <c r="AWX54" s="2617"/>
      <c r="AWY54" s="2617"/>
      <c r="AWZ54" s="2617"/>
      <c r="AXA54" s="2617"/>
      <c r="AXB54" s="2617"/>
      <c r="AXC54" s="2617"/>
      <c r="AXD54" s="2617"/>
      <c r="AXE54" s="2617"/>
      <c r="AXF54" s="2617"/>
      <c r="AXG54" s="2617"/>
      <c r="AXH54" s="2617"/>
      <c r="AXI54" s="2617"/>
      <c r="AXJ54" s="2617"/>
      <c r="AXK54" s="2617"/>
      <c r="BAG54" s="2622"/>
      <c r="BAH54" s="2622"/>
      <c r="BAI54" s="2622"/>
      <c r="BAL54" s="2622"/>
      <c r="BAM54" s="2622"/>
      <c r="BAN54" s="2622"/>
      <c r="BAO54" s="2622"/>
      <c r="BAP54" s="2622"/>
      <c r="BAQ54" s="2622"/>
      <c r="BAT54" s="2622"/>
      <c r="BBG54" s="2622"/>
      <c r="BBH54" s="2622"/>
      <c r="BBK54" s="2622"/>
      <c r="BBQ54" s="3398"/>
      <c r="BCJ54" s="2617"/>
      <c r="BCK54" s="2617"/>
      <c r="BCL54" s="2617"/>
      <c r="BCM54" s="2617"/>
      <c r="BCN54" s="2617"/>
      <c r="BCO54" s="2617"/>
      <c r="BCP54" s="2617"/>
      <c r="BCQ54" s="2617"/>
      <c r="BCR54" s="2617"/>
      <c r="BCS54" s="2617"/>
      <c r="BCT54" s="2617"/>
      <c r="BCU54" s="2617"/>
      <c r="BCV54" s="2617"/>
      <c r="BCW54" s="2617"/>
      <c r="BCX54" s="2617"/>
      <c r="BCY54" s="2617"/>
      <c r="BCZ54" s="2617"/>
      <c r="BDA54" s="2617"/>
      <c r="BDB54" s="2617"/>
      <c r="BDC54" s="2617"/>
      <c r="BDD54" s="2617"/>
      <c r="BDE54" s="2617"/>
      <c r="BDF54" s="2617"/>
      <c r="BDG54" s="2617"/>
      <c r="BDH54" s="2617"/>
      <c r="BDI54" s="2617"/>
      <c r="BDL54" s="2617"/>
      <c r="BDM54" s="2617"/>
      <c r="BDN54" s="2617"/>
      <c r="BDO54" s="2617"/>
      <c r="BDP54" s="2617"/>
      <c r="BDQ54" s="2617"/>
      <c r="BDR54" s="2617"/>
      <c r="BDS54" s="2617"/>
      <c r="BDT54" s="2617"/>
      <c r="BDU54" s="2617"/>
      <c r="BDV54" s="2617"/>
      <c r="BDW54" s="2617"/>
      <c r="BDZ54" s="2617"/>
      <c r="BEA54" s="2617"/>
      <c r="BEB54" s="2617"/>
      <c r="BEC54" s="2617"/>
      <c r="BED54" s="2617"/>
      <c r="BEE54" s="2617"/>
      <c r="BEH54" s="2617"/>
    </row>
    <row r="55" spans="32:1513" ht="15" x14ac:dyDescent="0.2">
      <c r="AH55" s="206" t="s">
        <v>1490</v>
      </c>
      <c r="AI55" s="199" t="str">
        <f>AI51&amp;"_"&amp;AI38</f>
        <v>veg_0</v>
      </c>
      <c r="AU55" s="183"/>
      <c r="AV55" s="183"/>
      <c r="AW55" s="183"/>
      <c r="AX55" s="183"/>
      <c r="AY55" s="183"/>
      <c r="AZ55" s="183"/>
      <c r="BA55" s="183"/>
      <c r="BB55" s="183"/>
      <c r="BC55" s="183"/>
      <c r="BD55" s="183"/>
      <c r="BE55" s="183"/>
      <c r="CF55" s="2720"/>
      <c r="CG55" s="2720"/>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181"/>
      <c r="HM55" s="181"/>
      <c r="HN55" s="181"/>
      <c r="HO55" s="181"/>
      <c r="HP55" s="181"/>
      <c r="HQ55" s="181"/>
      <c r="LF55" s="181"/>
      <c r="LG55" s="181"/>
      <c r="LH55" s="181"/>
      <c r="LI55" s="181"/>
      <c r="LJ55" s="181"/>
      <c r="LK55" s="181"/>
      <c r="LL55" s="181"/>
      <c r="LM55" s="181"/>
      <c r="LN55" s="181"/>
      <c r="LO55" s="181"/>
      <c r="LP55" s="181"/>
      <c r="LQ55" s="181"/>
      <c r="LR55" s="181"/>
      <c r="LS55" s="181"/>
      <c r="LT55" s="181"/>
      <c r="LU55" s="181"/>
      <c r="LV55" s="181"/>
      <c r="LW55" s="181"/>
      <c r="LX55" s="181"/>
      <c r="LY55" s="181"/>
      <c r="LZ55" s="181"/>
      <c r="MA55" s="181"/>
      <c r="MB55" s="181"/>
      <c r="MC55" s="181"/>
      <c r="MD55" s="181"/>
      <c r="ME55" s="181"/>
      <c r="MF55" s="181"/>
      <c r="MG55" s="181"/>
      <c r="MH55" s="181"/>
      <c r="MI55" s="181"/>
      <c r="MJ55" s="181"/>
      <c r="MK55" s="181"/>
      <c r="ML55" s="181"/>
      <c r="MM55" s="181"/>
      <c r="MN55" s="181"/>
      <c r="MO55" s="181"/>
      <c r="MP55" s="181"/>
      <c r="MQ55" s="181"/>
      <c r="MR55" s="181"/>
      <c r="MS55" s="181"/>
      <c r="MT55" s="181"/>
      <c r="MU55" s="181"/>
      <c r="MV55" s="181"/>
      <c r="MW55" s="181"/>
      <c r="MX55" s="181"/>
      <c r="MY55" s="181"/>
      <c r="MZ55" s="181"/>
      <c r="NA55" s="181"/>
      <c r="NB55" s="181"/>
      <c r="NC55" s="181"/>
      <c r="ND55" s="181"/>
      <c r="NE55" s="181"/>
      <c r="NF55" s="181"/>
      <c r="NG55" s="181"/>
      <c r="NH55" s="181"/>
      <c r="NI55" s="181"/>
      <c r="NJ55" s="181"/>
      <c r="NK55" s="181"/>
      <c r="NL55" s="181"/>
      <c r="NM55" s="181"/>
      <c r="NN55" s="181"/>
      <c r="NO55" s="181"/>
      <c r="NP55" s="181"/>
      <c r="NQ55" s="181"/>
      <c r="NR55" s="181"/>
      <c r="NS55" s="181"/>
      <c r="NT55" s="181"/>
      <c r="NU55" s="181"/>
      <c r="NV55" s="181"/>
      <c r="NW55" s="181"/>
      <c r="NX55" s="181"/>
      <c r="NY55" s="181"/>
      <c r="NZ55" s="181"/>
      <c r="OA55" s="181"/>
      <c r="OB55" s="181"/>
      <c r="OC55" s="181"/>
      <c r="OD55" s="181"/>
      <c r="OE55" s="181"/>
      <c r="OF55" s="181"/>
      <c r="OG55" s="181"/>
      <c r="OH55" s="181"/>
      <c r="OI55" s="181"/>
      <c r="OJ55" s="181"/>
      <c r="OK55" s="181"/>
      <c r="OL55" s="181"/>
      <c r="OM55" s="181"/>
      <c r="ON55" s="181"/>
      <c r="OO55" s="181"/>
      <c r="OP55" s="181"/>
      <c r="OQ55" s="181"/>
      <c r="OR55" s="181"/>
      <c r="OS55" s="181"/>
      <c r="OT55" s="181"/>
      <c r="OU55" s="181"/>
      <c r="OV55" s="181"/>
      <c r="OW55" s="181"/>
      <c r="OX55" s="181"/>
      <c r="OY55" s="181"/>
      <c r="OZ55" s="181"/>
      <c r="PA55" s="181"/>
      <c r="PB55" s="181"/>
      <c r="PC55" s="181"/>
      <c r="PD55" s="181"/>
      <c r="PE55" s="181"/>
      <c r="PF55" s="181"/>
      <c r="PG55" s="181"/>
      <c r="PH55" s="181"/>
      <c r="PI55" s="181"/>
      <c r="PJ55" s="181"/>
      <c r="PK55" s="181"/>
      <c r="PL55" s="181"/>
      <c r="PM55" s="181"/>
      <c r="PN55" s="181"/>
      <c r="PO55" s="181"/>
      <c r="PP55" s="181"/>
      <c r="PQ55" s="181"/>
      <c r="PR55" s="181"/>
      <c r="PS55" s="181"/>
      <c r="PT55" s="181"/>
      <c r="PU55" s="181"/>
      <c r="PV55" s="181"/>
      <c r="PW55" s="181"/>
      <c r="PX55" s="181"/>
      <c r="PY55" s="181"/>
      <c r="PZ55" s="181"/>
      <c r="QA55" s="181"/>
      <c r="QB55" s="181"/>
      <c r="QC55" s="181"/>
      <c r="QD55" s="181"/>
      <c r="QE55" s="181"/>
      <c r="QF55" s="181"/>
      <c r="QG55" s="181"/>
      <c r="QH55" s="181"/>
      <c r="QI55" s="181"/>
      <c r="QJ55" s="181"/>
      <c r="QK55" s="181"/>
      <c r="QL55" s="181"/>
      <c r="QM55" s="181"/>
      <c r="QN55" s="181"/>
      <c r="QO55" s="181"/>
      <c r="QP55" s="181"/>
      <c r="QQ55" s="181"/>
      <c r="QR55" s="181"/>
      <c r="QS55" s="181"/>
      <c r="QT55" s="181"/>
      <c r="QU55" s="181"/>
      <c r="QV55" s="181"/>
      <c r="QW55" s="181"/>
      <c r="QX55" s="181"/>
      <c r="QY55" s="181"/>
      <c r="QZ55" s="181"/>
      <c r="RA55" s="181"/>
      <c r="RB55" s="181"/>
      <c r="RC55" s="181"/>
      <c r="RD55" s="181"/>
      <c r="RE55" s="181"/>
      <c r="RF55" s="181"/>
      <c r="RG55" s="181"/>
      <c r="RH55" s="181"/>
      <c r="RI55" s="181"/>
      <c r="RJ55" s="181"/>
      <c r="RK55" s="181"/>
      <c r="RL55" s="181"/>
      <c r="RM55" s="181"/>
      <c r="RN55" s="181"/>
      <c r="RO55" s="181"/>
      <c r="RP55" s="181"/>
      <c r="RQ55" s="181"/>
      <c r="RR55" s="181"/>
      <c r="RS55" s="181"/>
      <c r="RT55" s="181"/>
      <c r="RU55" s="181"/>
      <c r="RV55" s="181"/>
      <c r="RW55" s="181"/>
      <c r="RX55" s="181"/>
      <c r="RY55" s="181"/>
      <c r="RZ55" s="181"/>
      <c r="SA55" s="181"/>
      <c r="SB55" s="181"/>
      <c r="SC55" s="181"/>
      <c r="SD55" s="181"/>
      <c r="SE55" s="181"/>
      <c r="SF55" s="181"/>
      <c r="SG55" s="181"/>
      <c r="SH55" s="181"/>
      <c r="SI55" s="181"/>
      <c r="SJ55" s="181"/>
      <c r="SK55" s="181"/>
      <c r="SL55" s="181"/>
      <c r="SM55" s="181"/>
      <c r="SN55" s="181"/>
      <c r="SO55" s="181"/>
      <c r="SP55" s="181"/>
      <c r="SQ55" s="181"/>
      <c r="SR55" s="181"/>
      <c r="SS55" s="181"/>
      <c r="ST55" s="181"/>
      <c r="SU55" s="181"/>
      <c r="SV55" s="181"/>
      <c r="SW55" s="181"/>
      <c r="SX55" s="181"/>
      <c r="SY55" s="181"/>
      <c r="SZ55" s="181"/>
      <c r="TA55" s="181"/>
      <c r="TB55" s="181"/>
      <c r="TC55" s="181"/>
      <c r="TD55" s="181"/>
      <c r="TE55" s="181"/>
      <c r="TF55" s="181"/>
      <c r="TG55" s="181"/>
      <c r="TH55" s="181"/>
      <c r="TI55" s="181"/>
      <c r="TJ55" s="181"/>
      <c r="TK55" s="181"/>
      <c r="TL55" s="181"/>
      <c r="TM55" s="181"/>
      <c r="TN55" s="181"/>
      <c r="TO55" s="181"/>
      <c r="TP55" s="181"/>
      <c r="TQ55" s="181"/>
      <c r="TR55" s="181"/>
      <c r="TS55" s="181"/>
      <c r="TT55" s="181"/>
      <c r="TU55" s="181"/>
      <c r="TV55" s="181"/>
      <c r="TW55" s="181"/>
      <c r="TX55" s="181"/>
      <c r="TY55" s="181"/>
      <c r="TZ55" s="181"/>
      <c r="UA55" s="181"/>
      <c r="UB55" s="181"/>
      <c r="UC55" s="181"/>
      <c r="UD55" s="181"/>
      <c r="UE55" s="181"/>
      <c r="UF55" s="181"/>
      <c r="UG55" s="181"/>
      <c r="UH55" s="181"/>
      <c r="UI55" s="181"/>
      <c r="UJ55" s="181"/>
      <c r="UK55" s="181"/>
      <c r="UL55" s="181"/>
      <c r="UM55" s="181"/>
      <c r="UN55" s="181"/>
      <c r="UO55" s="181"/>
      <c r="UP55" s="181"/>
      <c r="UQ55" s="181"/>
      <c r="UR55" s="181"/>
      <c r="US55" s="181"/>
      <c r="UT55" s="181"/>
      <c r="UU55" s="181"/>
      <c r="UV55" s="181"/>
      <c r="UW55" s="181"/>
      <c r="UX55" s="181"/>
      <c r="UY55" s="181"/>
      <c r="UZ55" s="181"/>
      <c r="VA55" s="181"/>
      <c r="VB55" s="181"/>
      <c r="VC55" s="181"/>
      <c r="VD55" s="181"/>
      <c r="VE55" s="181"/>
      <c r="VF55" s="181"/>
      <c r="VG55" s="181"/>
      <c r="VH55" s="181"/>
      <c r="VI55" s="181"/>
      <c r="VJ55" s="181"/>
      <c r="VK55" s="181"/>
      <c r="VL55" s="181"/>
      <c r="VM55" s="181"/>
      <c r="VN55" s="181"/>
      <c r="VO55" s="181"/>
      <c r="VP55" s="181"/>
      <c r="VQ55" s="181"/>
      <c r="VR55" s="181"/>
      <c r="AUV55" s="235" t="s">
        <v>1267</v>
      </c>
      <c r="AUW55" s="3541">
        <v>3</v>
      </c>
      <c r="AUX55" s="3541">
        <v>2.5</v>
      </c>
      <c r="AUY55" s="3541">
        <v>2</v>
      </c>
      <c r="AUZ55" s="3541">
        <v>1.7</v>
      </c>
      <c r="AVA55" s="3541">
        <v>1.5</v>
      </c>
      <c r="AVB55" s="3541">
        <v>1.5</v>
      </c>
      <c r="AVC55" s="3541">
        <v>1</v>
      </c>
      <c r="AVD55" s="3541">
        <v>1</v>
      </c>
      <c r="AVE55" s="3542">
        <v>1</v>
      </c>
      <c r="AVF55" s="3542">
        <v>0.9</v>
      </c>
      <c r="AVG55" s="3542">
        <v>0.8</v>
      </c>
      <c r="AVH55" s="3542">
        <v>0.7</v>
      </c>
      <c r="AVI55" s="3542">
        <v>0.6</v>
      </c>
      <c r="AVJ55" s="3542">
        <v>0.5</v>
      </c>
      <c r="AVK55" s="3542">
        <v>0.4</v>
      </c>
      <c r="AVL55" s="3542">
        <v>0.3</v>
      </c>
      <c r="AVM55" s="3542">
        <f>1-AVE55</f>
        <v>0</v>
      </c>
      <c r="AVN55" s="3542">
        <f t="shared" ref="AVN55:AVT58" si="267">1-AVF55</f>
        <v>9.9999999999999978E-2</v>
      </c>
      <c r="AVO55" s="3542">
        <f t="shared" si="267"/>
        <v>0.19999999999999996</v>
      </c>
      <c r="AVP55" s="3542">
        <f t="shared" si="267"/>
        <v>0.30000000000000004</v>
      </c>
      <c r="AVQ55" s="3542">
        <f t="shared" si="267"/>
        <v>0.4</v>
      </c>
      <c r="AVR55" s="3542">
        <f t="shared" si="267"/>
        <v>0.5</v>
      </c>
      <c r="AVS55" s="3542">
        <f t="shared" si="267"/>
        <v>0.6</v>
      </c>
      <c r="AVT55" s="3542">
        <f t="shared" si="267"/>
        <v>0.7</v>
      </c>
      <c r="AVU55" s="3541">
        <v>3</v>
      </c>
      <c r="AVV55" s="3541">
        <v>2.5</v>
      </c>
      <c r="AVW55" s="3541">
        <v>2</v>
      </c>
      <c r="AVX55" s="3541">
        <v>2</v>
      </c>
      <c r="AVY55" s="3541">
        <v>1.5</v>
      </c>
      <c r="AVZ55" s="3541">
        <v>1.5</v>
      </c>
      <c r="AWA55" s="3541">
        <v>1.2</v>
      </c>
      <c r="AWB55" s="3541">
        <v>1</v>
      </c>
      <c r="AWC55" s="3542">
        <v>1</v>
      </c>
      <c r="AWD55" s="3542">
        <v>1</v>
      </c>
      <c r="AWE55" s="3542">
        <v>0.85</v>
      </c>
      <c r="AWF55" s="3542">
        <v>0.7</v>
      </c>
      <c r="AWG55" s="3542">
        <v>0.5</v>
      </c>
      <c r="AWH55" s="3542">
        <v>0.35</v>
      </c>
      <c r="AWI55" s="3542">
        <v>0.2</v>
      </c>
      <c r="AWJ55" s="3542">
        <v>0</v>
      </c>
      <c r="AWK55" s="3542">
        <f t="shared" ref="AWK55:AWR56" si="268">1-AWC55</f>
        <v>0</v>
      </c>
      <c r="AWL55" s="3542">
        <f t="shared" si="268"/>
        <v>0</v>
      </c>
      <c r="AWM55" s="3542">
        <f t="shared" si="268"/>
        <v>0.15000000000000002</v>
      </c>
      <c r="AWN55" s="3542">
        <f t="shared" si="268"/>
        <v>0.30000000000000004</v>
      </c>
      <c r="AWO55" s="3542">
        <f t="shared" si="268"/>
        <v>0.5</v>
      </c>
      <c r="AWP55" s="3542">
        <f t="shared" si="268"/>
        <v>0.65</v>
      </c>
      <c r="AWQ55" s="3542">
        <f t="shared" si="268"/>
        <v>0.8</v>
      </c>
      <c r="AWR55" s="3543">
        <f t="shared" si="268"/>
        <v>1</v>
      </c>
      <c r="BEU55" s="2622"/>
      <c r="BEV55" s="2622"/>
      <c r="BEY55" s="2622"/>
      <c r="BFE55" s="3398"/>
    </row>
    <row r="56" spans="32:1513" ht="15" x14ac:dyDescent="0.2">
      <c r="BD56" s="183"/>
      <c r="BE56" s="183"/>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LF56" s="181"/>
      <c r="LG56" s="181"/>
      <c r="LH56" s="181"/>
      <c r="LI56" s="181"/>
      <c r="LJ56" s="181"/>
      <c r="LK56" s="181"/>
      <c r="LL56" s="181"/>
      <c r="LM56" s="181"/>
      <c r="LN56" s="181"/>
      <c r="LO56" s="181"/>
      <c r="LP56" s="181"/>
      <c r="LQ56" s="181"/>
      <c r="LR56" s="181"/>
      <c r="LS56" s="181"/>
      <c r="LT56" s="181"/>
      <c r="LU56" s="181"/>
      <c r="LV56" s="181"/>
      <c r="LW56" s="181"/>
      <c r="LX56" s="181"/>
      <c r="LY56" s="181"/>
      <c r="LZ56" s="181"/>
      <c r="MA56" s="181"/>
      <c r="MB56" s="181"/>
      <c r="MC56" s="181"/>
      <c r="MD56" s="181"/>
      <c r="ME56" s="181"/>
      <c r="MF56" s="181"/>
      <c r="MG56" s="181"/>
      <c r="MH56" s="181"/>
      <c r="MI56" s="181"/>
      <c r="MJ56" s="181"/>
      <c r="MK56" s="181"/>
      <c r="ML56" s="181"/>
      <c r="MM56" s="181"/>
      <c r="MN56" s="181"/>
      <c r="MO56" s="181"/>
      <c r="MP56" s="181"/>
      <c r="MQ56" s="181"/>
      <c r="MR56" s="181"/>
      <c r="MS56" s="181"/>
      <c r="MT56" s="181"/>
      <c r="MU56" s="181"/>
      <c r="MV56" s="181"/>
      <c r="MW56" s="181"/>
      <c r="MX56" s="181"/>
      <c r="MY56" s="181"/>
      <c r="MZ56" s="181"/>
      <c r="NA56" s="181"/>
      <c r="NB56" s="181"/>
      <c r="NC56" s="181"/>
      <c r="ND56" s="181"/>
      <c r="NE56" s="181"/>
      <c r="NF56" s="181"/>
      <c r="NG56" s="181"/>
      <c r="NH56" s="181"/>
      <c r="NI56" s="181"/>
      <c r="NJ56" s="181"/>
      <c r="NK56" s="181"/>
      <c r="NL56" s="181"/>
      <c r="NM56" s="181"/>
      <c r="NN56" s="181"/>
      <c r="NO56" s="181"/>
      <c r="NP56" s="181"/>
      <c r="NQ56" s="181"/>
      <c r="NR56" s="181"/>
      <c r="NS56" s="181"/>
      <c r="NT56" s="181"/>
      <c r="NU56" s="181"/>
      <c r="NV56" s="181"/>
      <c r="NW56" s="181"/>
      <c r="NX56" s="181"/>
      <c r="NY56" s="181"/>
      <c r="NZ56" s="181"/>
      <c r="OA56" s="181"/>
      <c r="OB56" s="181"/>
      <c r="OC56" s="181"/>
      <c r="OD56" s="181"/>
      <c r="OE56" s="181"/>
      <c r="OF56" s="181"/>
      <c r="OG56" s="181"/>
      <c r="OH56" s="181"/>
      <c r="OI56" s="181"/>
      <c r="OJ56" s="181"/>
      <c r="OK56" s="181"/>
      <c r="OL56" s="181"/>
      <c r="OM56" s="181"/>
      <c r="ON56" s="181"/>
      <c r="OO56" s="181"/>
      <c r="OP56" s="181"/>
      <c r="OQ56" s="181"/>
      <c r="OR56" s="181"/>
      <c r="OS56" s="181"/>
      <c r="OT56" s="181"/>
      <c r="OU56" s="181"/>
      <c r="OV56" s="181"/>
      <c r="OW56" s="181"/>
      <c r="OX56" s="181"/>
      <c r="OY56" s="181"/>
      <c r="OZ56" s="181"/>
      <c r="PA56" s="181"/>
      <c r="PB56" s="181"/>
      <c r="PC56" s="181"/>
      <c r="PD56" s="181"/>
      <c r="PE56" s="181"/>
      <c r="PF56" s="181"/>
      <c r="PG56" s="181"/>
      <c r="PH56" s="181"/>
      <c r="PI56" s="181"/>
      <c r="PJ56" s="181"/>
      <c r="PK56" s="181"/>
      <c r="PL56" s="181"/>
      <c r="PM56" s="181"/>
      <c r="PN56" s="181"/>
      <c r="PO56" s="181"/>
      <c r="PP56" s="181"/>
      <c r="PQ56" s="181"/>
      <c r="PR56" s="181"/>
      <c r="PS56" s="181"/>
      <c r="PT56" s="181"/>
      <c r="PU56" s="181"/>
      <c r="PV56" s="181"/>
      <c r="PW56" s="181"/>
      <c r="PX56" s="181"/>
      <c r="PY56" s="181"/>
      <c r="PZ56" s="181"/>
      <c r="QA56" s="181"/>
      <c r="QB56" s="181"/>
      <c r="QC56" s="181"/>
      <c r="QD56" s="181"/>
      <c r="QE56" s="181"/>
      <c r="QF56" s="181"/>
      <c r="QG56" s="181"/>
      <c r="QH56" s="181"/>
      <c r="QI56" s="181"/>
      <c r="QJ56" s="181"/>
      <c r="QK56" s="181"/>
      <c r="QL56" s="181"/>
      <c r="QM56" s="181"/>
      <c r="QN56" s="181"/>
      <c r="QO56" s="181"/>
      <c r="QP56" s="181"/>
      <c r="QQ56" s="181"/>
      <c r="QR56" s="181"/>
      <c r="QS56" s="181"/>
      <c r="QT56" s="181"/>
      <c r="QU56" s="181"/>
      <c r="QV56" s="181"/>
      <c r="QW56" s="181"/>
      <c r="QX56" s="181"/>
      <c r="QY56" s="181"/>
      <c r="QZ56" s="181"/>
      <c r="RA56" s="181"/>
      <c r="RB56" s="181"/>
      <c r="RC56" s="181"/>
      <c r="RD56" s="181"/>
      <c r="RE56" s="181"/>
      <c r="RF56" s="181"/>
      <c r="RG56" s="181"/>
      <c r="RH56" s="181"/>
      <c r="RI56" s="181"/>
      <c r="RJ56" s="181"/>
      <c r="RK56" s="181"/>
      <c r="RL56" s="181"/>
      <c r="RM56" s="181"/>
      <c r="RN56" s="181"/>
      <c r="RO56" s="181"/>
      <c r="RP56" s="181"/>
      <c r="RQ56" s="181"/>
      <c r="RR56" s="181"/>
      <c r="RS56" s="181"/>
      <c r="RT56" s="181"/>
      <c r="RU56" s="181"/>
      <c r="RV56" s="181"/>
      <c r="RW56" s="181"/>
      <c r="RX56" s="181"/>
      <c r="RY56" s="181"/>
      <c r="RZ56" s="181"/>
      <c r="SA56" s="181"/>
      <c r="SB56" s="181"/>
      <c r="SC56" s="181"/>
      <c r="SD56" s="181"/>
      <c r="SE56" s="181"/>
      <c r="SF56" s="181"/>
      <c r="SG56" s="181"/>
      <c r="SH56" s="181"/>
      <c r="SI56" s="181"/>
      <c r="SJ56" s="181"/>
      <c r="SK56" s="181"/>
      <c r="SL56" s="181"/>
      <c r="SM56" s="181"/>
      <c r="SN56" s="181"/>
      <c r="SO56" s="181"/>
      <c r="SP56" s="181"/>
      <c r="SQ56" s="181"/>
      <c r="SR56" s="181"/>
      <c r="SS56" s="181"/>
      <c r="ST56" s="181"/>
      <c r="SU56" s="181"/>
      <c r="SV56" s="181"/>
      <c r="SW56" s="181"/>
      <c r="SX56" s="181"/>
      <c r="SY56" s="181"/>
      <c r="SZ56" s="181"/>
      <c r="TA56" s="181"/>
      <c r="TB56" s="181"/>
      <c r="TC56" s="181"/>
      <c r="TD56" s="181"/>
      <c r="TE56" s="181"/>
      <c r="TF56" s="181"/>
      <c r="TG56" s="181"/>
      <c r="TH56" s="181"/>
      <c r="TI56" s="181"/>
      <c r="TJ56" s="181"/>
      <c r="TK56" s="181"/>
      <c r="TL56" s="181"/>
      <c r="TM56" s="181"/>
      <c r="TN56" s="181"/>
      <c r="TO56" s="181"/>
      <c r="TP56" s="181"/>
      <c r="TQ56" s="181"/>
      <c r="TR56" s="181"/>
      <c r="TS56" s="181"/>
      <c r="TT56" s="181"/>
      <c r="TU56" s="181"/>
      <c r="TV56" s="181"/>
      <c r="TW56" s="181"/>
      <c r="TX56" s="181"/>
      <c r="TY56" s="181"/>
      <c r="TZ56" s="181"/>
      <c r="UA56" s="181"/>
      <c r="UB56" s="181"/>
      <c r="UC56" s="181"/>
      <c r="UD56" s="181"/>
      <c r="UE56" s="181"/>
      <c r="UF56" s="181"/>
      <c r="UG56" s="181"/>
      <c r="UH56" s="181"/>
      <c r="UI56" s="181"/>
      <c r="UJ56" s="181"/>
      <c r="UK56" s="181"/>
      <c r="UL56" s="181"/>
      <c r="UM56" s="181"/>
      <c r="UN56" s="181"/>
      <c r="UO56" s="181"/>
      <c r="UP56" s="181"/>
      <c r="UQ56" s="181"/>
      <c r="UR56" s="181"/>
      <c r="US56" s="181"/>
      <c r="UT56" s="181"/>
      <c r="UU56" s="181"/>
      <c r="UV56" s="181"/>
      <c r="UW56" s="181"/>
      <c r="UX56" s="181"/>
      <c r="UY56" s="181"/>
      <c r="UZ56" s="181"/>
      <c r="VA56" s="181"/>
      <c r="VB56" s="181"/>
      <c r="VC56" s="181"/>
      <c r="VD56" s="181"/>
      <c r="VE56" s="181"/>
      <c r="VF56" s="181"/>
      <c r="VG56" s="181"/>
      <c r="VH56" s="181"/>
      <c r="VI56" s="181"/>
      <c r="VJ56" s="181"/>
      <c r="VK56" s="181"/>
      <c r="VL56" s="181"/>
      <c r="VM56" s="181"/>
      <c r="VN56" s="181"/>
      <c r="VO56" s="181"/>
      <c r="VP56" s="181"/>
      <c r="VQ56" s="181"/>
      <c r="VR56" s="181"/>
      <c r="AAW56" s="251"/>
      <c r="AAX56" s="2625"/>
      <c r="AAY56" s="2625"/>
      <c r="AAZ56" s="2625"/>
      <c r="ABA56" s="2625"/>
      <c r="ABB56" s="2737"/>
      <c r="ABC56" s="2737"/>
      <c r="ABD56" s="2737"/>
      <c r="ABE56" s="2737"/>
      <c r="ABF56" s="2737"/>
      <c r="ABG56" s="2737"/>
      <c r="ABH56" s="2737"/>
      <c r="ABI56" s="2737"/>
      <c r="ABJ56" s="2625"/>
      <c r="ABK56" s="2625"/>
      <c r="ABL56" s="2737"/>
      <c r="ABM56" s="2737"/>
      <c r="ABN56" s="2737"/>
      <c r="ABO56" s="2737"/>
      <c r="ABP56" s="2737"/>
      <c r="ABQ56" s="2737"/>
      <c r="ABR56" s="2737"/>
      <c r="ABS56" s="2737"/>
      <c r="ABT56" s="2625"/>
      <c r="ABU56" s="2625"/>
      <c r="ABV56" s="2737"/>
      <c r="ABW56" s="2737"/>
      <c r="ABX56" s="2737"/>
      <c r="ABY56" s="2737"/>
      <c r="ABZ56" s="2737"/>
      <c r="ACA56" s="2737"/>
      <c r="ACB56" s="2737"/>
      <c r="ACC56" s="2737"/>
      <c r="ACD56" s="2737"/>
      <c r="ACE56" s="251"/>
      <c r="ACF56" s="2737"/>
      <c r="ACG56" s="2737"/>
      <c r="ACH56" s="2737"/>
      <c r="ACI56" s="2737"/>
      <c r="ACJ56" s="2737"/>
      <c r="ACK56" s="2737"/>
      <c r="ACL56" s="2737"/>
      <c r="ACM56" s="2737"/>
      <c r="ACN56" s="251"/>
      <c r="ACO56" s="2737"/>
      <c r="ACP56" s="2737"/>
      <c r="ACQ56" s="2737"/>
      <c r="ACR56" s="2737"/>
      <c r="ACS56" s="2737"/>
      <c r="ACT56" s="2737"/>
      <c r="ACU56" s="2737"/>
      <c r="ACV56" s="2737"/>
      <c r="ACW56" s="251"/>
      <c r="ACX56" s="2737"/>
      <c r="ACY56" s="2737"/>
      <c r="ACZ56" s="2737"/>
      <c r="ADA56" s="2737"/>
      <c r="ADB56" s="2737"/>
      <c r="ADC56" s="2737"/>
      <c r="ADD56" s="2737"/>
      <c r="ADE56" s="2737"/>
      <c r="ADF56" s="2737"/>
      <c r="ADG56" s="251"/>
      <c r="ADH56" s="2737"/>
      <c r="ADI56" s="2737"/>
      <c r="ADJ56" s="2737"/>
      <c r="ADK56" s="2737"/>
      <c r="ADL56" s="2737"/>
      <c r="ADM56" s="2737"/>
      <c r="ADN56" s="2737"/>
      <c r="ADO56" s="2737"/>
      <c r="ADP56" s="251"/>
      <c r="ADQ56" s="2737"/>
      <c r="ADR56" s="2737"/>
      <c r="ADS56" s="2737"/>
      <c r="ADT56" s="2737"/>
      <c r="ADU56" s="2737"/>
      <c r="ADV56" s="2737"/>
      <c r="ADW56" s="2737"/>
      <c r="ADX56" s="2737"/>
      <c r="ADY56" s="2737"/>
      <c r="ADZ56" s="2737"/>
      <c r="AEA56" s="2737"/>
      <c r="AEB56" s="2737"/>
      <c r="AEC56" s="2737"/>
      <c r="AED56" s="2737"/>
      <c r="AEE56" s="2737"/>
      <c r="AEF56" s="2737"/>
      <c r="AEG56" s="2737"/>
      <c r="AEH56" s="2737"/>
      <c r="AEI56" s="2737"/>
      <c r="AEJ56" s="2737"/>
      <c r="AEK56" s="2737"/>
      <c r="AEL56" s="2737"/>
      <c r="AEM56" s="2737"/>
      <c r="AEN56" s="2737"/>
      <c r="AEO56" s="2737"/>
      <c r="AEP56" s="2737"/>
      <c r="AEQ56" s="2737"/>
      <c r="AER56" s="2737"/>
      <c r="AES56" s="2737"/>
      <c r="AET56" s="2737"/>
      <c r="AEU56" s="2737"/>
      <c r="AEV56" s="2737"/>
      <c r="AEW56" s="2737"/>
      <c r="AEX56" s="2737"/>
      <c r="AFG56" s="2737"/>
      <c r="AFP56" s="2737"/>
      <c r="AFZ56" s="251"/>
      <c r="AGI56" s="2737"/>
      <c r="AGN56" s="2625"/>
      <c r="AGR56" s="2737"/>
      <c r="AHB56" s="2737"/>
      <c r="AHJ56" s="2737"/>
      <c r="AHV56" s="2737"/>
      <c r="AHY56" s="251"/>
      <c r="AII56" s="251"/>
      <c r="AIJ56" s="251"/>
      <c r="AIR56" s="251"/>
      <c r="AIS56" s="251"/>
      <c r="AIT56" s="2622"/>
      <c r="AIW56" s="2622"/>
      <c r="AIX56" s="2622"/>
      <c r="AIY56" s="2622"/>
      <c r="AIZ56" s="2622"/>
      <c r="AJA56" s="2622"/>
      <c r="AJB56" s="2622"/>
      <c r="AJE56" s="2622"/>
      <c r="AJF56" s="2622"/>
      <c r="AJG56" s="2622"/>
      <c r="AJH56" s="2622"/>
      <c r="AJI56" s="2622"/>
      <c r="AJJ56" s="2622"/>
      <c r="AJM56" s="2622"/>
      <c r="AJN56" s="2622"/>
      <c r="AJO56" s="2622"/>
      <c r="AJQ56" s="2622"/>
      <c r="AJR56" s="2622"/>
      <c r="AJU56" s="2622"/>
      <c r="AJV56" s="2622"/>
      <c r="AJW56" s="2622"/>
      <c r="AJX56" s="2622"/>
      <c r="AJY56" s="2622"/>
      <c r="AJZ56" s="2622"/>
      <c r="AKA56" s="2622"/>
      <c r="AKB56" s="2622"/>
      <c r="AKC56" s="2622"/>
      <c r="AKG56" s="2622"/>
      <c r="AKH56" s="2622"/>
      <c r="AKI56" s="2622"/>
      <c r="AKJ56" s="2622"/>
      <c r="AKK56" s="2622"/>
      <c r="AKL56" s="2622"/>
      <c r="AKU56" s="251"/>
      <c r="ALL56" s="251"/>
      <c r="ALM56" s="2737"/>
      <c r="ALN56" s="2622"/>
      <c r="ALQ56" s="2622"/>
      <c r="ALR56" s="2622"/>
      <c r="ALS56" s="2622"/>
      <c r="ALT56" s="2622"/>
      <c r="ALU56" s="2622"/>
      <c r="ALV56" s="2622"/>
      <c r="ALX56" s="2737"/>
      <c r="AMF56" s="251"/>
      <c r="AMG56" s="2737"/>
      <c r="AOI56" s="2737"/>
      <c r="AOO56" s="2622"/>
      <c r="AOR56" s="2622"/>
      <c r="AOS56" s="2622"/>
      <c r="AOT56" s="2622"/>
      <c r="AOU56" s="2622"/>
      <c r="AOV56" s="184"/>
      <c r="AOW56" s="184"/>
      <c r="AOX56" s="184"/>
      <c r="AOY56" s="184"/>
      <c r="AOZ56" s="184"/>
      <c r="APA56" s="184"/>
      <c r="APB56" s="184"/>
      <c r="APC56" s="184"/>
      <c r="APD56" s="184"/>
      <c r="APE56" s="184"/>
      <c r="APF56" s="2622"/>
      <c r="API56" s="2622"/>
      <c r="APJ56" s="2622"/>
      <c r="APK56" s="2622"/>
      <c r="APL56" s="2622"/>
      <c r="APM56" s="2622"/>
      <c r="APN56" s="2622"/>
      <c r="APQ56" s="2622"/>
      <c r="APR56" s="2622"/>
      <c r="APS56" s="2622"/>
      <c r="APU56" s="2622"/>
      <c r="APV56" s="2622"/>
      <c r="AQE56" s="251"/>
      <c r="AQN56" s="2622"/>
      <c r="AQQ56" s="2622"/>
      <c r="AQR56" s="2622"/>
      <c r="AQS56" s="2622"/>
      <c r="AQT56" s="2622"/>
      <c r="AQU56" s="2622"/>
      <c r="AQV56" s="2622"/>
      <c r="ARE56" s="251"/>
      <c r="ARS56" s="2622"/>
      <c r="ASA56" s="2625"/>
      <c r="ASJ56" s="251"/>
      <c r="ASK56" s="2737"/>
      <c r="ASL56" s="2737"/>
      <c r="ASM56" s="2737"/>
      <c r="ASN56" s="2737"/>
      <c r="ASO56" s="2737"/>
      <c r="ASP56" s="2737"/>
      <c r="ASQ56" s="2737"/>
      <c r="ASR56" s="2737"/>
      <c r="ASS56" s="2737"/>
      <c r="ATA56" s="251"/>
      <c r="AUV56" s="235" t="s">
        <v>1268</v>
      </c>
      <c r="AUW56" s="3541">
        <v>3</v>
      </c>
      <c r="AUX56" s="3541">
        <v>2.5</v>
      </c>
      <c r="AUY56" s="3541">
        <v>2</v>
      </c>
      <c r="AUZ56" s="3541">
        <v>1.7</v>
      </c>
      <c r="AVA56" s="3541">
        <v>1.5</v>
      </c>
      <c r="AVB56" s="3541">
        <v>1.5</v>
      </c>
      <c r="AVC56" s="3541">
        <v>1</v>
      </c>
      <c r="AVD56" s="3541">
        <v>1</v>
      </c>
      <c r="AVE56" s="3542">
        <v>1</v>
      </c>
      <c r="AVF56" s="3542">
        <v>0.85</v>
      </c>
      <c r="AVG56" s="3542">
        <v>0.7</v>
      </c>
      <c r="AVH56" s="3542">
        <v>0.55000000000000004</v>
      </c>
      <c r="AVI56" s="3542">
        <v>0.4</v>
      </c>
      <c r="AVJ56" s="3542">
        <v>0.35</v>
      </c>
      <c r="AVK56" s="3542">
        <v>0.2</v>
      </c>
      <c r="AVL56" s="3542">
        <v>0</v>
      </c>
      <c r="AVM56" s="3542">
        <f>1-AVE56</f>
        <v>0</v>
      </c>
      <c r="AVN56" s="3542">
        <f t="shared" si="267"/>
        <v>0.15000000000000002</v>
      </c>
      <c r="AVO56" s="3542">
        <f t="shared" si="267"/>
        <v>0.30000000000000004</v>
      </c>
      <c r="AVP56" s="3542">
        <f t="shared" si="267"/>
        <v>0.44999999999999996</v>
      </c>
      <c r="AVQ56" s="3542">
        <f t="shared" si="267"/>
        <v>0.6</v>
      </c>
      <c r="AVR56" s="3542">
        <f t="shared" si="267"/>
        <v>0.65</v>
      </c>
      <c r="AVS56" s="3542">
        <f t="shared" si="267"/>
        <v>0.8</v>
      </c>
      <c r="AVT56" s="3542">
        <f t="shared" si="267"/>
        <v>1</v>
      </c>
      <c r="AVU56" s="3541">
        <v>3</v>
      </c>
      <c r="AVV56" s="3541">
        <v>2.5</v>
      </c>
      <c r="AVW56" s="3541">
        <v>2</v>
      </c>
      <c r="AVX56" s="3541">
        <v>2</v>
      </c>
      <c r="AVY56" s="3541">
        <v>1.5</v>
      </c>
      <c r="AVZ56" s="3541">
        <v>1.5</v>
      </c>
      <c r="AWA56" s="3541">
        <v>1.2</v>
      </c>
      <c r="AWB56" s="3541">
        <v>1</v>
      </c>
      <c r="AWC56" s="3542">
        <v>1</v>
      </c>
      <c r="AWD56" s="3542">
        <v>1</v>
      </c>
      <c r="AWE56" s="3542">
        <v>0.8</v>
      </c>
      <c r="AWF56" s="3542">
        <v>0.6</v>
      </c>
      <c r="AWG56" s="3542">
        <v>0.4</v>
      </c>
      <c r="AWH56" s="3542">
        <v>0.25</v>
      </c>
      <c r="AWI56" s="3542">
        <v>0.1</v>
      </c>
      <c r="AWJ56" s="3542">
        <v>0</v>
      </c>
      <c r="AWK56" s="3542">
        <f t="shared" si="268"/>
        <v>0</v>
      </c>
      <c r="AWL56" s="3542">
        <f t="shared" si="268"/>
        <v>0</v>
      </c>
      <c r="AWM56" s="3542">
        <f t="shared" si="268"/>
        <v>0.19999999999999996</v>
      </c>
      <c r="AWN56" s="3542">
        <f t="shared" si="268"/>
        <v>0.4</v>
      </c>
      <c r="AWO56" s="3542">
        <f t="shared" si="268"/>
        <v>0.6</v>
      </c>
      <c r="AWP56" s="3542">
        <f t="shared" si="268"/>
        <v>0.75</v>
      </c>
      <c r="AWQ56" s="3542">
        <f t="shared" si="268"/>
        <v>0.9</v>
      </c>
      <c r="AWR56" s="3543">
        <f t="shared" si="268"/>
        <v>1</v>
      </c>
      <c r="BFE56" s="3398"/>
    </row>
    <row r="57" spans="32:1513" ht="25.5" x14ac:dyDescent="0.2">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LF57" s="181"/>
      <c r="LG57" s="181"/>
      <c r="LH57" s="181"/>
      <c r="LI57" s="181"/>
      <c r="LJ57" s="181"/>
      <c r="LK57" s="181"/>
      <c r="LL57" s="181"/>
      <c r="LM57" s="181"/>
      <c r="LN57" s="181"/>
      <c r="LO57" s="181"/>
      <c r="LP57" s="181"/>
      <c r="LQ57" s="181"/>
      <c r="LR57" s="181"/>
      <c r="LS57" s="181"/>
      <c r="LT57" s="181"/>
      <c r="LU57" s="181"/>
      <c r="LV57" s="181"/>
      <c r="LW57" s="181"/>
      <c r="LX57" s="181"/>
      <c r="LY57" s="181"/>
      <c r="LZ57" s="181"/>
      <c r="MA57" s="181"/>
      <c r="MB57" s="181"/>
      <c r="MC57" s="181"/>
      <c r="MD57" s="181"/>
      <c r="ME57" s="181"/>
      <c r="MF57" s="181"/>
      <c r="MG57" s="181"/>
      <c r="MH57" s="181"/>
      <c r="MI57" s="181"/>
      <c r="MJ57" s="181"/>
      <c r="MK57" s="181"/>
      <c r="ML57" s="181"/>
      <c r="MM57" s="181"/>
      <c r="MN57" s="181"/>
      <c r="MO57" s="181"/>
      <c r="MP57" s="181"/>
      <c r="MQ57" s="181"/>
      <c r="MR57" s="181"/>
      <c r="MS57" s="181"/>
      <c r="MT57" s="181"/>
      <c r="MU57" s="181"/>
      <c r="MV57" s="181"/>
      <c r="MW57" s="181"/>
      <c r="MX57" s="181"/>
      <c r="MY57" s="181"/>
      <c r="MZ57" s="181"/>
      <c r="NA57" s="181"/>
      <c r="NB57" s="181"/>
      <c r="NC57" s="181"/>
      <c r="ND57" s="181"/>
      <c r="NE57" s="181"/>
      <c r="NF57" s="181"/>
      <c r="NG57" s="181"/>
      <c r="NH57" s="181"/>
      <c r="NI57" s="181"/>
      <c r="NJ57" s="181"/>
      <c r="NK57" s="181"/>
      <c r="NL57" s="181"/>
      <c r="NM57" s="181"/>
      <c r="NN57" s="181"/>
      <c r="NO57" s="181"/>
      <c r="NP57" s="181"/>
      <c r="NQ57" s="181"/>
      <c r="NR57" s="181"/>
      <c r="NS57" s="181"/>
      <c r="NT57" s="181"/>
      <c r="NU57" s="181"/>
      <c r="NV57" s="181"/>
      <c r="NW57" s="181"/>
      <c r="NX57" s="181"/>
      <c r="NY57" s="181"/>
      <c r="NZ57" s="181"/>
      <c r="OA57" s="181"/>
      <c r="OB57" s="181"/>
      <c r="OC57" s="181"/>
      <c r="OD57" s="181"/>
      <c r="OE57" s="181"/>
      <c r="OF57" s="181"/>
      <c r="OG57" s="181"/>
      <c r="OH57" s="181"/>
      <c r="OI57" s="181"/>
      <c r="OJ57" s="181"/>
      <c r="OK57" s="181"/>
      <c r="OL57" s="181"/>
      <c r="OM57" s="181"/>
      <c r="ON57" s="181"/>
      <c r="OO57" s="181"/>
      <c r="OP57" s="181"/>
      <c r="OQ57" s="181"/>
      <c r="OR57" s="181"/>
      <c r="OS57" s="181"/>
      <c r="OT57" s="181"/>
      <c r="OU57" s="181"/>
      <c r="OV57" s="181"/>
      <c r="OW57" s="181"/>
      <c r="OX57" s="181"/>
      <c r="OY57" s="181"/>
      <c r="OZ57" s="181"/>
      <c r="PA57" s="181"/>
      <c r="PB57" s="181"/>
      <c r="PC57" s="181"/>
      <c r="PD57" s="181"/>
      <c r="PE57" s="181"/>
      <c r="PF57" s="181"/>
      <c r="PG57" s="181"/>
      <c r="PH57" s="181"/>
      <c r="PI57" s="181"/>
      <c r="PJ57" s="181"/>
      <c r="PK57" s="181"/>
      <c r="PL57" s="181"/>
      <c r="PM57" s="181"/>
      <c r="PN57" s="181"/>
      <c r="PO57" s="181"/>
      <c r="PP57" s="181"/>
      <c r="PQ57" s="181"/>
      <c r="PR57" s="181"/>
      <c r="PS57" s="181"/>
      <c r="PT57" s="181"/>
      <c r="PU57" s="181"/>
      <c r="PV57" s="181"/>
      <c r="PW57" s="181"/>
      <c r="PX57" s="181"/>
      <c r="PY57" s="181"/>
      <c r="PZ57" s="181"/>
      <c r="QA57" s="181"/>
      <c r="QB57" s="181"/>
      <c r="QC57" s="181"/>
      <c r="QD57" s="181"/>
      <c r="QE57" s="181"/>
      <c r="QF57" s="181"/>
      <c r="QG57" s="181"/>
      <c r="QH57" s="181"/>
      <c r="QI57" s="181"/>
      <c r="QJ57" s="181"/>
      <c r="QK57" s="181"/>
      <c r="QL57" s="181"/>
      <c r="QM57" s="181"/>
      <c r="QN57" s="181"/>
      <c r="QO57" s="181"/>
      <c r="QP57" s="181"/>
      <c r="QQ57" s="181"/>
      <c r="QR57" s="181"/>
      <c r="QS57" s="181"/>
      <c r="QT57" s="181"/>
      <c r="QU57" s="181"/>
      <c r="QV57" s="181"/>
      <c r="QW57" s="181"/>
      <c r="QX57" s="181"/>
      <c r="QY57" s="181"/>
      <c r="QZ57" s="181"/>
      <c r="RA57" s="181"/>
      <c r="RB57" s="181"/>
      <c r="RC57" s="181"/>
      <c r="RD57" s="181"/>
      <c r="RE57" s="181"/>
      <c r="RF57" s="181"/>
      <c r="RG57" s="181"/>
      <c r="RH57" s="181"/>
      <c r="RI57" s="181"/>
      <c r="RJ57" s="181"/>
      <c r="RK57" s="181"/>
      <c r="RL57" s="181"/>
      <c r="RM57" s="181"/>
      <c r="RN57" s="181"/>
      <c r="RO57" s="181"/>
      <c r="RP57" s="181"/>
      <c r="RQ57" s="181"/>
      <c r="RR57" s="181"/>
      <c r="RS57" s="181"/>
      <c r="RT57" s="181"/>
      <c r="RU57" s="181"/>
      <c r="RV57" s="181"/>
      <c r="RW57" s="181"/>
      <c r="RX57" s="181"/>
      <c r="RY57" s="181"/>
      <c r="RZ57" s="181"/>
      <c r="SA57" s="181"/>
      <c r="SB57" s="181"/>
      <c r="SC57" s="181"/>
      <c r="SD57" s="181"/>
      <c r="SE57" s="181"/>
      <c r="SF57" s="181"/>
      <c r="SG57" s="181"/>
      <c r="SH57" s="181"/>
      <c r="SI57" s="181"/>
      <c r="SJ57" s="181"/>
      <c r="SK57" s="181"/>
      <c r="SL57" s="181"/>
      <c r="SM57" s="181"/>
      <c r="SN57" s="181"/>
      <c r="SO57" s="181"/>
      <c r="SP57" s="181"/>
      <c r="SQ57" s="181"/>
      <c r="SR57" s="181"/>
      <c r="SS57" s="181"/>
      <c r="ST57" s="181"/>
      <c r="SU57" s="181"/>
      <c r="SV57" s="181"/>
      <c r="SW57" s="181"/>
      <c r="SX57" s="181"/>
      <c r="SY57" s="181"/>
      <c r="SZ57" s="181"/>
      <c r="TA57" s="181"/>
      <c r="TB57" s="181"/>
      <c r="TC57" s="181"/>
      <c r="TD57" s="181"/>
      <c r="TE57" s="181"/>
      <c r="TF57" s="181"/>
      <c r="TG57" s="181"/>
      <c r="TH57" s="181"/>
      <c r="TI57" s="181"/>
      <c r="TJ57" s="181"/>
      <c r="TK57" s="181"/>
      <c r="TL57" s="181"/>
      <c r="TM57" s="181"/>
      <c r="TN57" s="181"/>
      <c r="TO57" s="181"/>
      <c r="TP57" s="181"/>
      <c r="TQ57" s="181"/>
      <c r="TR57" s="181"/>
      <c r="TS57" s="181"/>
      <c r="TT57" s="181"/>
      <c r="TU57" s="181"/>
      <c r="TV57" s="181"/>
      <c r="TW57" s="181"/>
      <c r="TX57" s="181"/>
      <c r="TY57" s="181"/>
      <c r="TZ57" s="181"/>
      <c r="UA57" s="181"/>
      <c r="UB57" s="181"/>
      <c r="UC57" s="181"/>
      <c r="UD57" s="181"/>
      <c r="UE57" s="181"/>
      <c r="UF57" s="181"/>
      <c r="UG57" s="181"/>
      <c r="UH57" s="181"/>
      <c r="UI57" s="181"/>
      <c r="UJ57" s="181"/>
      <c r="UK57" s="181"/>
      <c r="UL57" s="181"/>
      <c r="UM57" s="181"/>
      <c r="UN57" s="181"/>
      <c r="UO57" s="181"/>
      <c r="UP57" s="181"/>
      <c r="UQ57" s="181"/>
      <c r="UR57" s="181"/>
      <c r="US57" s="181"/>
      <c r="UT57" s="181"/>
      <c r="UU57" s="181"/>
      <c r="UV57" s="181"/>
      <c r="UW57" s="181"/>
      <c r="UX57" s="181"/>
      <c r="UY57" s="181"/>
      <c r="UZ57" s="181"/>
      <c r="VA57" s="181"/>
      <c r="VB57" s="181"/>
      <c r="VC57" s="181"/>
      <c r="VD57" s="181"/>
      <c r="VE57" s="181"/>
      <c r="VF57" s="181"/>
      <c r="VG57" s="181"/>
      <c r="VH57" s="181"/>
      <c r="VI57" s="181"/>
      <c r="VJ57" s="181"/>
      <c r="VK57" s="181"/>
      <c r="VL57" s="181"/>
      <c r="VM57" s="181"/>
      <c r="VN57" s="181"/>
      <c r="VO57" s="181"/>
      <c r="VP57" s="181"/>
      <c r="VQ57" s="181"/>
      <c r="VR57" s="181"/>
      <c r="AAW57" s="5792" t="s">
        <v>258</v>
      </c>
      <c r="AAX57" s="5793"/>
      <c r="AAY57" s="5793"/>
      <c r="AAZ57" s="5793"/>
      <c r="ABA57" s="2625"/>
      <c r="ABB57" s="2737"/>
      <c r="ABC57" s="2737"/>
      <c r="ABD57" s="2737"/>
      <c r="ABE57" s="2737"/>
      <c r="ABF57" s="2737"/>
      <c r="ABG57" s="2737"/>
      <c r="ABH57" s="2737"/>
      <c r="ABI57" s="2737"/>
      <c r="ABJ57" s="2625"/>
      <c r="ABK57" s="2625"/>
      <c r="ABL57" s="2737"/>
      <c r="ABM57" s="2737"/>
      <c r="ABN57" s="2737"/>
      <c r="ABO57" s="2737"/>
      <c r="ABP57" s="2737"/>
      <c r="ABQ57" s="2737"/>
      <c r="ABR57" s="2737"/>
      <c r="ABS57" s="2737"/>
      <c r="ABT57" s="2625"/>
      <c r="ABU57" s="2625"/>
      <c r="ABV57" s="2737"/>
      <c r="ABW57" s="2737"/>
      <c r="ABX57" s="2737"/>
      <c r="ABY57" s="2737"/>
      <c r="ABZ57" s="2737"/>
      <c r="ACA57" s="2737"/>
      <c r="ACB57" s="2737"/>
      <c r="ACC57" s="2737"/>
      <c r="ACD57" s="2737"/>
      <c r="ACE57" s="251"/>
      <c r="ACF57" s="2737"/>
      <c r="ACG57" s="2737"/>
      <c r="ACH57" s="2737"/>
      <c r="ACI57" s="2737"/>
      <c r="ACJ57" s="2737"/>
      <c r="ACK57" s="2737"/>
      <c r="ACL57" s="2737"/>
      <c r="ACM57" s="2737"/>
      <c r="ACN57" s="251"/>
      <c r="ACO57" s="2737"/>
      <c r="ACP57" s="2737"/>
      <c r="ACQ57" s="2737"/>
      <c r="ACR57" s="2737"/>
      <c r="ACS57" s="2737"/>
      <c r="ACT57" s="2737"/>
      <c r="ACU57" s="2737"/>
      <c r="ACV57" s="2737"/>
      <c r="ACW57" s="251"/>
      <c r="ACX57" s="2737"/>
      <c r="ACY57" s="2737"/>
      <c r="ACZ57" s="2737"/>
      <c r="ADA57" s="2737"/>
      <c r="ADB57" s="2737"/>
      <c r="ADC57" s="2737"/>
      <c r="ADD57" s="2737"/>
      <c r="ADE57" s="2737"/>
      <c r="ADF57" s="2737"/>
      <c r="ADG57" s="251"/>
      <c r="ADH57" s="2737"/>
      <c r="ADI57" s="2737"/>
      <c r="ADJ57" s="2737"/>
      <c r="ADK57" s="2737"/>
      <c r="ADL57" s="2737"/>
      <c r="ADM57" s="2737"/>
      <c r="ADN57" s="2737"/>
      <c r="ADO57" s="2737"/>
      <c r="ADP57" s="251"/>
      <c r="ADQ57" s="2737"/>
      <c r="ADR57" s="2737"/>
      <c r="ADS57" s="2737"/>
      <c r="ADT57" s="2737"/>
      <c r="ADU57" s="2737"/>
      <c r="ADV57" s="2737"/>
      <c r="ADW57" s="2737"/>
      <c r="ADX57" s="2737"/>
      <c r="ADY57" s="2737"/>
      <c r="ADZ57" s="2737"/>
      <c r="AEA57" s="2737"/>
      <c r="AEB57" s="2737"/>
      <c r="AEC57" s="2737"/>
      <c r="AED57" s="2737"/>
      <c r="AEE57" s="2737"/>
      <c r="AEF57" s="2737"/>
      <c r="AEG57" s="2737"/>
      <c r="AEH57" s="2737"/>
      <c r="AEI57" s="2737"/>
      <c r="AEJ57" s="2737"/>
      <c r="AEK57" s="2737"/>
      <c r="AEL57" s="2737"/>
      <c r="AEM57" s="2737"/>
      <c r="AEN57" s="2737"/>
      <c r="AEO57" s="2737"/>
      <c r="AEP57" s="2737"/>
      <c r="AEQ57" s="2737"/>
      <c r="AER57" s="2737"/>
      <c r="AES57" s="2737"/>
      <c r="AET57" s="2737"/>
      <c r="AEU57" s="2737"/>
      <c r="AEV57" s="2737"/>
      <c r="AEW57" s="2737"/>
      <c r="AEX57" s="2737"/>
      <c r="AFG57" s="2737"/>
      <c r="AFP57" s="2737"/>
      <c r="AFZ57" s="251"/>
      <c r="AGI57" s="2737"/>
      <c r="AGN57" s="251"/>
      <c r="AGR57" s="2737"/>
      <c r="AHB57" s="2737"/>
      <c r="AHJ57" s="2737"/>
      <c r="AHV57" s="2737"/>
      <c r="AHY57" s="251"/>
      <c r="AII57" s="251"/>
      <c r="AIJ57" s="251"/>
      <c r="AIR57" s="251"/>
      <c r="AIS57" s="251"/>
      <c r="AJP57" s="2737"/>
      <c r="AKD57" s="2737"/>
      <c r="AKU57" s="251"/>
      <c r="ALL57" s="251"/>
      <c r="ALM57" s="2737"/>
      <c r="ALW57" s="2737"/>
      <c r="ALX57" s="2737"/>
      <c r="AMF57" s="251"/>
      <c r="AMG57" s="2737"/>
      <c r="AOI57" s="2737"/>
      <c r="AOV57" s="5797"/>
      <c r="AOW57" s="5797"/>
      <c r="AOX57" s="5797"/>
      <c r="AOY57" s="5797"/>
      <c r="AOZ57" s="5797"/>
      <c r="APA57" s="5797"/>
      <c r="APB57" s="5797"/>
      <c r="APC57" s="5797"/>
      <c r="APD57" s="5797"/>
      <c r="APE57" s="5797"/>
      <c r="APT57" s="2737"/>
      <c r="AQE57" s="251"/>
      <c r="ARE57" s="251"/>
      <c r="ASA57" s="251"/>
      <c r="ASJ57" s="251"/>
      <c r="ASK57" s="2737"/>
      <c r="ASL57" s="2737"/>
      <c r="ASM57" s="2737"/>
      <c r="ASN57" s="2737"/>
      <c r="ASO57" s="2737"/>
      <c r="ASP57" s="2737"/>
      <c r="ASQ57" s="2737"/>
      <c r="ASR57" s="2737"/>
      <c r="ASS57" s="2737"/>
      <c r="ATA57" s="2625"/>
      <c r="AUV57" s="235" t="s">
        <v>1270</v>
      </c>
      <c r="AUW57" s="3541">
        <v>3</v>
      </c>
      <c r="AUX57" s="3541">
        <v>2.5</v>
      </c>
      <c r="AUY57" s="3541">
        <v>2</v>
      </c>
      <c r="AUZ57" s="3541">
        <v>1.7</v>
      </c>
      <c r="AVA57" s="3541">
        <v>1.5</v>
      </c>
      <c r="AVB57" s="3541">
        <v>1.5</v>
      </c>
      <c r="AVC57" s="3541">
        <v>1</v>
      </c>
      <c r="AVD57" s="3541">
        <v>1</v>
      </c>
      <c r="AVE57" s="3542">
        <v>1</v>
      </c>
      <c r="AVF57" s="3542">
        <v>0.85</v>
      </c>
      <c r="AVG57" s="3542">
        <v>0.7</v>
      </c>
      <c r="AVH57" s="3542">
        <v>0.55000000000000004</v>
      </c>
      <c r="AVI57" s="3542">
        <v>0.4</v>
      </c>
      <c r="AVJ57" s="3542">
        <v>0.35</v>
      </c>
      <c r="AVK57" s="3542">
        <v>0.2</v>
      </c>
      <c r="AVL57" s="3542">
        <v>0</v>
      </c>
      <c r="AVM57" s="3542">
        <v>0</v>
      </c>
      <c r="AVN57" s="3542">
        <v>0.15000000000000002</v>
      </c>
      <c r="AVO57" s="3542">
        <v>0.30000000000000004</v>
      </c>
      <c r="AVP57" s="3542">
        <v>0.44999999999999996</v>
      </c>
      <c r="AVQ57" s="3542">
        <v>0.6</v>
      </c>
      <c r="AVR57" s="3542">
        <v>0.65</v>
      </c>
      <c r="AVS57" s="3542">
        <v>0.8</v>
      </c>
      <c r="AVT57" s="3542">
        <v>1</v>
      </c>
      <c r="AVU57" s="3541">
        <v>3</v>
      </c>
      <c r="AVV57" s="3541">
        <v>2.5</v>
      </c>
      <c r="AVW57" s="3541">
        <v>2</v>
      </c>
      <c r="AVX57" s="3541">
        <v>2</v>
      </c>
      <c r="AVY57" s="3541">
        <v>1.5</v>
      </c>
      <c r="AVZ57" s="3541">
        <v>1.5</v>
      </c>
      <c r="AWA57" s="3541">
        <v>1.2</v>
      </c>
      <c r="AWB57" s="3541">
        <v>1</v>
      </c>
      <c r="AWC57" s="3542">
        <v>1</v>
      </c>
      <c r="AWD57" s="3542">
        <v>1</v>
      </c>
      <c r="AWE57" s="3542">
        <v>0.8</v>
      </c>
      <c r="AWF57" s="3542">
        <v>0.6</v>
      </c>
      <c r="AWG57" s="3542">
        <v>0.4</v>
      </c>
      <c r="AWH57" s="3542">
        <v>0.25</v>
      </c>
      <c r="AWI57" s="3542">
        <v>0.1</v>
      </c>
      <c r="AWJ57" s="3542">
        <v>0</v>
      </c>
      <c r="AWK57" s="3542">
        <v>0</v>
      </c>
      <c r="AWL57" s="3542">
        <v>0</v>
      </c>
      <c r="AWM57" s="3542">
        <v>0.19999999999999996</v>
      </c>
      <c r="AWN57" s="3542">
        <v>0.4</v>
      </c>
      <c r="AWO57" s="3542">
        <v>0.6</v>
      </c>
      <c r="AWP57" s="3542">
        <v>0.75</v>
      </c>
      <c r="AWQ57" s="3542">
        <v>0.9</v>
      </c>
      <c r="AWR57" s="3543">
        <v>1</v>
      </c>
      <c r="BAG57" s="181"/>
      <c r="BAH57" s="181"/>
      <c r="BAI57" s="181"/>
      <c r="BAJ57" s="181"/>
      <c r="BAK57" s="181"/>
      <c r="BAL57" s="181"/>
      <c r="BAM57" s="181"/>
      <c r="BAN57" s="181"/>
      <c r="BAO57" s="181"/>
      <c r="BAP57" s="181"/>
      <c r="BAQ57" s="181"/>
      <c r="BAR57" s="181"/>
      <c r="BAS57" s="181"/>
      <c r="BAT57" s="181"/>
      <c r="BAU57" s="181"/>
      <c r="BAV57" s="181"/>
      <c r="BAW57" s="181"/>
      <c r="BAX57" s="181"/>
      <c r="BAY57" s="181"/>
      <c r="BAZ57" s="181"/>
      <c r="BBA57" s="181"/>
      <c r="BBB57" s="181"/>
      <c r="BBC57" s="181"/>
      <c r="BBD57" s="181"/>
      <c r="BBE57" s="181"/>
      <c r="BBF57" s="181"/>
      <c r="BBG57" s="181"/>
      <c r="BBH57" s="181"/>
      <c r="BBI57" s="181"/>
      <c r="BBJ57" s="181"/>
      <c r="BBK57" s="181"/>
      <c r="BBL57" s="181"/>
      <c r="BBM57" s="181"/>
      <c r="BBN57" s="181"/>
      <c r="BBO57" s="181"/>
      <c r="BBP57" s="181"/>
      <c r="BBQ57" s="181"/>
      <c r="BBR57" s="181"/>
      <c r="BBS57" s="181"/>
      <c r="BBT57" s="181"/>
      <c r="BBU57" s="181"/>
      <c r="BBV57" s="181"/>
      <c r="BBW57" s="181"/>
      <c r="BBX57" s="181"/>
      <c r="BBY57" s="181"/>
      <c r="BBZ57" s="181"/>
      <c r="BCA57" s="181"/>
      <c r="BCB57" s="181"/>
      <c r="BCC57" s="181"/>
      <c r="BFE57" s="3398"/>
    </row>
    <row r="58" spans="32:1513" ht="15" x14ac:dyDescent="0.2">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LF58" s="181"/>
      <c r="LG58" s="181"/>
      <c r="LH58" s="181"/>
      <c r="LI58" s="181"/>
      <c r="LJ58" s="181"/>
      <c r="LK58" s="181"/>
      <c r="LL58" s="181"/>
      <c r="LM58" s="181"/>
      <c r="LN58" s="181"/>
      <c r="LO58" s="181"/>
      <c r="LP58" s="181"/>
      <c r="LQ58" s="181"/>
      <c r="LR58" s="181"/>
      <c r="LS58" s="181"/>
      <c r="LT58" s="181"/>
      <c r="LU58" s="181"/>
      <c r="LV58" s="181"/>
      <c r="LW58" s="181"/>
      <c r="LX58" s="181"/>
      <c r="LY58" s="181"/>
      <c r="LZ58" s="181"/>
      <c r="MA58" s="181"/>
      <c r="MB58" s="181"/>
      <c r="MC58" s="181"/>
      <c r="MD58" s="181"/>
      <c r="ME58" s="181"/>
      <c r="MF58" s="181"/>
      <c r="MG58" s="181"/>
      <c r="MH58" s="181"/>
      <c r="MI58" s="181"/>
      <c r="MJ58" s="181"/>
      <c r="MK58" s="181"/>
      <c r="ML58" s="181"/>
      <c r="MM58" s="181"/>
      <c r="MN58" s="181"/>
      <c r="MO58" s="181"/>
      <c r="MP58" s="181"/>
      <c r="MQ58" s="181"/>
      <c r="MR58" s="181"/>
      <c r="MS58" s="181"/>
      <c r="MT58" s="181"/>
      <c r="MU58" s="181"/>
      <c r="MV58" s="181"/>
      <c r="MW58" s="181"/>
      <c r="MX58" s="181"/>
      <c r="MY58" s="181"/>
      <c r="MZ58" s="181"/>
      <c r="NA58" s="181"/>
      <c r="NB58" s="181"/>
      <c r="NC58" s="181"/>
      <c r="ND58" s="181"/>
      <c r="NE58" s="181"/>
      <c r="NF58" s="181"/>
      <c r="NG58" s="181"/>
      <c r="NH58" s="181"/>
      <c r="NI58" s="181"/>
      <c r="NJ58" s="181"/>
      <c r="NK58" s="181"/>
      <c r="NL58" s="181"/>
      <c r="NM58" s="181"/>
      <c r="NN58" s="181"/>
      <c r="NO58" s="181"/>
      <c r="NP58" s="181"/>
      <c r="NQ58" s="181"/>
      <c r="NR58" s="181"/>
      <c r="NS58" s="181"/>
      <c r="NT58" s="181"/>
      <c r="NU58" s="181"/>
      <c r="NV58" s="181"/>
      <c r="NW58" s="181"/>
      <c r="NX58" s="181"/>
      <c r="NY58" s="181"/>
      <c r="NZ58" s="181"/>
      <c r="OA58" s="181"/>
      <c r="OB58" s="181"/>
      <c r="OC58" s="181"/>
      <c r="OD58" s="181"/>
      <c r="OE58" s="181"/>
      <c r="OF58" s="181"/>
      <c r="OG58" s="181"/>
      <c r="OH58" s="181"/>
      <c r="OI58" s="181"/>
      <c r="OJ58" s="181"/>
      <c r="OK58" s="181"/>
      <c r="OL58" s="181"/>
      <c r="OM58" s="181"/>
      <c r="ON58" s="181"/>
      <c r="OO58" s="181"/>
      <c r="OP58" s="181"/>
      <c r="OQ58" s="181"/>
      <c r="OR58" s="181"/>
      <c r="OS58" s="181"/>
      <c r="OT58" s="181"/>
      <c r="OU58" s="181"/>
      <c r="OV58" s="181"/>
      <c r="OW58" s="181"/>
      <c r="OX58" s="181"/>
      <c r="OY58" s="181"/>
      <c r="OZ58" s="181"/>
      <c r="PA58" s="181"/>
      <c r="PB58" s="181"/>
      <c r="PC58" s="181"/>
      <c r="PD58" s="181"/>
      <c r="PE58" s="181"/>
      <c r="PF58" s="181"/>
      <c r="PG58" s="181"/>
      <c r="PH58" s="181"/>
      <c r="PI58" s="181"/>
      <c r="PJ58" s="181"/>
      <c r="PK58" s="181"/>
      <c r="PL58" s="181"/>
      <c r="PM58" s="181"/>
      <c r="PN58" s="181"/>
      <c r="PO58" s="181"/>
      <c r="PP58" s="181"/>
      <c r="PQ58" s="181"/>
      <c r="PR58" s="181"/>
      <c r="PS58" s="181"/>
      <c r="PT58" s="181"/>
      <c r="PU58" s="181"/>
      <c r="PV58" s="181"/>
      <c r="PW58" s="181"/>
      <c r="PX58" s="181"/>
      <c r="PY58" s="181"/>
      <c r="PZ58" s="181"/>
      <c r="QA58" s="181"/>
      <c r="QB58" s="181"/>
      <c r="QC58" s="181"/>
      <c r="QD58" s="181"/>
      <c r="QE58" s="181"/>
      <c r="QF58" s="181"/>
      <c r="QG58" s="181"/>
      <c r="QH58" s="181"/>
      <c r="QI58" s="181"/>
      <c r="QJ58" s="181"/>
      <c r="QK58" s="181"/>
      <c r="QL58" s="181"/>
      <c r="QM58" s="181"/>
      <c r="QN58" s="181"/>
      <c r="QO58" s="181"/>
      <c r="QP58" s="181"/>
      <c r="QQ58" s="181"/>
      <c r="QR58" s="181"/>
      <c r="QS58" s="181"/>
      <c r="QT58" s="181"/>
      <c r="QU58" s="181"/>
      <c r="QV58" s="181"/>
      <c r="QW58" s="181"/>
      <c r="QX58" s="181"/>
      <c r="QY58" s="181"/>
      <c r="QZ58" s="181"/>
      <c r="RA58" s="181"/>
      <c r="RB58" s="181"/>
      <c r="RC58" s="181"/>
      <c r="RD58" s="181"/>
      <c r="RE58" s="181"/>
      <c r="RF58" s="181"/>
      <c r="RG58" s="181"/>
      <c r="RH58" s="181"/>
      <c r="RI58" s="181"/>
      <c r="RJ58" s="181"/>
      <c r="RK58" s="181"/>
      <c r="RL58" s="181"/>
      <c r="RM58" s="181"/>
      <c r="RN58" s="181"/>
      <c r="RO58" s="181"/>
      <c r="RP58" s="181"/>
      <c r="RQ58" s="181"/>
      <c r="RR58" s="181"/>
      <c r="RS58" s="181"/>
      <c r="RT58" s="181"/>
      <c r="RU58" s="181"/>
      <c r="RV58" s="181"/>
      <c r="RW58" s="181"/>
      <c r="RX58" s="181"/>
      <c r="RY58" s="181"/>
      <c r="RZ58" s="181"/>
      <c r="SA58" s="181"/>
      <c r="SB58" s="181"/>
      <c r="SC58" s="181"/>
      <c r="SD58" s="181"/>
      <c r="SE58" s="181"/>
      <c r="SF58" s="181"/>
      <c r="SG58" s="181"/>
      <c r="SH58" s="181"/>
      <c r="SI58" s="181"/>
      <c r="SJ58" s="181"/>
      <c r="SK58" s="181"/>
      <c r="SL58" s="181"/>
      <c r="SM58" s="181"/>
      <c r="SN58" s="181"/>
      <c r="SO58" s="181"/>
      <c r="SP58" s="181"/>
      <c r="SQ58" s="181"/>
      <c r="SR58" s="181"/>
      <c r="SS58" s="181"/>
      <c r="ST58" s="181"/>
      <c r="SU58" s="181"/>
      <c r="SV58" s="181"/>
      <c r="SW58" s="181"/>
      <c r="SX58" s="181"/>
      <c r="SY58" s="181"/>
      <c r="SZ58" s="181"/>
      <c r="TA58" s="181"/>
      <c r="TB58" s="181"/>
      <c r="TC58" s="181"/>
      <c r="TD58" s="181"/>
      <c r="TE58" s="181"/>
      <c r="TF58" s="181"/>
      <c r="TG58" s="181"/>
      <c r="TH58" s="181"/>
      <c r="TI58" s="181"/>
      <c r="TJ58" s="181"/>
      <c r="TK58" s="181"/>
      <c r="TL58" s="181"/>
      <c r="TM58" s="181"/>
      <c r="TN58" s="181"/>
      <c r="TO58" s="181"/>
      <c r="TP58" s="181"/>
      <c r="TQ58" s="181"/>
      <c r="TR58" s="181"/>
      <c r="TS58" s="181"/>
      <c r="TT58" s="181"/>
      <c r="TU58" s="181"/>
      <c r="TV58" s="181"/>
      <c r="TW58" s="181"/>
      <c r="TX58" s="181"/>
      <c r="TY58" s="181"/>
      <c r="TZ58" s="181"/>
      <c r="UA58" s="181"/>
      <c r="UB58" s="181"/>
      <c r="UC58" s="181"/>
      <c r="UD58" s="181"/>
      <c r="UE58" s="181"/>
      <c r="UF58" s="181"/>
      <c r="UG58" s="181"/>
      <c r="UH58" s="181"/>
      <c r="UI58" s="181"/>
      <c r="UJ58" s="181"/>
      <c r="UK58" s="181"/>
      <c r="UL58" s="181"/>
      <c r="UM58" s="181"/>
      <c r="UN58" s="181"/>
      <c r="UO58" s="181"/>
      <c r="UP58" s="181"/>
      <c r="UQ58" s="181"/>
      <c r="UR58" s="181"/>
      <c r="US58" s="181"/>
      <c r="UT58" s="181"/>
      <c r="UU58" s="181"/>
      <c r="UV58" s="181"/>
      <c r="UW58" s="181"/>
      <c r="UX58" s="181"/>
      <c r="UY58" s="181"/>
      <c r="UZ58" s="181"/>
      <c r="VA58" s="181"/>
      <c r="VB58" s="181"/>
      <c r="VC58" s="181"/>
      <c r="VD58" s="181"/>
      <c r="VE58" s="181"/>
      <c r="VF58" s="181"/>
      <c r="VG58" s="181"/>
      <c r="VH58" s="181"/>
      <c r="VI58" s="181"/>
      <c r="VJ58" s="181"/>
      <c r="VK58" s="181"/>
      <c r="VL58" s="181"/>
      <c r="VM58" s="181"/>
      <c r="VN58" s="181"/>
      <c r="VO58" s="181"/>
      <c r="VP58" s="181"/>
      <c r="VQ58" s="181"/>
      <c r="VR58" s="181"/>
      <c r="AAW58" s="2622"/>
      <c r="AAX58" s="2622"/>
      <c r="AAY58" s="2622"/>
      <c r="AAZ58" s="2622"/>
      <c r="ABA58" s="2622"/>
      <c r="ABB58" s="2737"/>
      <c r="ABC58" s="2737"/>
      <c r="ABD58" s="2737"/>
      <c r="ABE58" s="2737"/>
      <c r="ABF58" s="2737"/>
      <c r="ABG58" s="2737"/>
      <c r="ABH58" s="2737"/>
      <c r="ABI58" s="2737"/>
      <c r="ABJ58" s="2622"/>
      <c r="ABK58" s="2622"/>
      <c r="ABL58" s="2737"/>
      <c r="ABM58" s="2737"/>
      <c r="ABN58" s="2737"/>
      <c r="ABO58" s="2737"/>
      <c r="ABP58" s="2737"/>
      <c r="ABQ58" s="2737"/>
      <c r="ABR58" s="2737"/>
      <c r="ABS58" s="2737"/>
      <c r="ABT58" s="2622"/>
      <c r="ABU58" s="2622"/>
      <c r="ABV58" s="2737"/>
      <c r="ABW58" s="2737"/>
      <c r="ABX58" s="2737"/>
      <c r="ABY58" s="2737"/>
      <c r="ABZ58" s="2737"/>
      <c r="ACA58" s="2737"/>
      <c r="ACB58" s="2737"/>
      <c r="ACC58" s="2737"/>
      <c r="ACD58" s="2737"/>
      <c r="ACE58" s="2622"/>
      <c r="ACF58" s="2737"/>
      <c r="ACG58" s="2737"/>
      <c r="ACH58" s="2737"/>
      <c r="ACI58" s="2737"/>
      <c r="ACJ58" s="2737"/>
      <c r="ACK58" s="2737"/>
      <c r="ACL58" s="2737"/>
      <c r="ACM58" s="2737"/>
      <c r="ACN58" s="2622"/>
      <c r="ACO58" s="2737"/>
      <c r="ACP58" s="2737"/>
      <c r="ACQ58" s="2737"/>
      <c r="ACR58" s="2737"/>
      <c r="ACS58" s="2737"/>
      <c r="ACT58" s="2737"/>
      <c r="ACU58" s="2737"/>
      <c r="ACV58" s="2737"/>
      <c r="ACW58" s="2622"/>
      <c r="ACX58" s="2737"/>
      <c r="ACY58" s="2737"/>
      <c r="ACZ58" s="2737"/>
      <c r="ADA58" s="2737"/>
      <c r="ADB58" s="2737"/>
      <c r="ADC58" s="2737"/>
      <c r="ADD58" s="2737"/>
      <c r="ADE58" s="2737"/>
      <c r="ADF58" s="2737"/>
      <c r="ADH58" s="2737"/>
      <c r="ADI58" s="2737"/>
      <c r="ADJ58" s="2737"/>
      <c r="ADK58" s="2737"/>
      <c r="ADL58" s="2737"/>
      <c r="ADM58" s="2737"/>
      <c r="ADN58" s="2737"/>
      <c r="ADO58" s="2737"/>
      <c r="ADQ58" s="2737"/>
      <c r="ADR58" s="2737"/>
      <c r="ADS58" s="2737"/>
      <c r="ADT58" s="2737"/>
      <c r="ADU58" s="2737"/>
      <c r="ADV58" s="2737"/>
      <c r="ADW58" s="2737"/>
      <c r="ADX58" s="2737"/>
      <c r="ADY58" s="2737"/>
      <c r="ADZ58" s="2737"/>
      <c r="AEA58" s="2737"/>
      <c r="AEB58" s="2737"/>
      <c r="AEC58" s="2737"/>
      <c r="AED58" s="2737"/>
      <c r="AEE58" s="2737"/>
      <c r="AEF58" s="2737"/>
      <c r="AEG58" s="2737"/>
      <c r="AEH58" s="2737"/>
      <c r="AEI58" s="2737"/>
      <c r="AEJ58" s="2737"/>
      <c r="AEK58" s="2737"/>
      <c r="AEL58" s="2737"/>
      <c r="AEM58" s="2737"/>
      <c r="AEN58" s="2737"/>
      <c r="AEO58" s="2737"/>
      <c r="AEP58" s="2737"/>
      <c r="AEQ58" s="2737"/>
      <c r="AER58" s="2737"/>
      <c r="AES58" s="2737"/>
      <c r="AET58" s="2737"/>
      <c r="AEU58" s="2737"/>
      <c r="AEV58" s="2737"/>
      <c r="AEW58" s="2737"/>
      <c r="AEX58" s="2737"/>
      <c r="AFG58" s="2737"/>
      <c r="AFP58" s="2737"/>
      <c r="AGI58" s="2737"/>
      <c r="AGN58" s="2622"/>
      <c r="AGR58" s="2737"/>
      <c r="AHB58" s="2737"/>
      <c r="AHJ58" s="2737"/>
      <c r="AHV58" s="2737"/>
      <c r="AHY58" s="2622"/>
      <c r="AII58" s="2622"/>
      <c r="AIJ58" s="2622"/>
      <c r="AIR58" s="2622"/>
      <c r="AIS58" s="2622"/>
      <c r="AJP58" s="2737"/>
      <c r="AKD58" s="2737"/>
      <c r="AKU58" s="2622"/>
      <c r="ALL58" s="2622"/>
      <c r="ALM58" s="2737"/>
      <c r="ALW58" s="2737"/>
      <c r="ALX58" s="2737"/>
      <c r="AMG58" s="2737"/>
      <c r="AOI58" s="2737"/>
      <c r="AOV58" s="5797"/>
      <c r="AOW58" s="5797"/>
      <c r="AOX58" s="5797"/>
      <c r="AOY58" s="5797"/>
      <c r="AOZ58" s="5797"/>
      <c r="APA58" s="5797"/>
      <c r="APB58" s="5797"/>
      <c r="APC58" s="5797"/>
      <c r="APD58" s="5797"/>
      <c r="APE58" s="5797"/>
      <c r="APT58" s="2737"/>
      <c r="AQE58" s="2622"/>
      <c r="ARE58" s="2622"/>
      <c r="ASA58" s="2622"/>
      <c r="ASJ58" s="2622"/>
      <c r="ASK58" s="2737"/>
      <c r="ASL58" s="2737"/>
      <c r="ASM58" s="2737"/>
      <c r="ASN58" s="2737"/>
      <c r="ASO58" s="2737"/>
      <c r="ASP58" s="2737"/>
      <c r="ASQ58" s="2737"/>
      <c r="ASR58" s="2737"/>
      <c r="ASS58" s="2737"/>
      <c r="ATA58" s="2622"/>
      <c r="AUV58" s="303" t="s">
        <v>1269</v>
      </c>
      <c r="AUW58" s="3544">
        <v>3</v>
      </c>
      <c r="AUX58" s="3544">
        <v>2.5</v>
      </c>
      <c r="AUY58" s="3544">
        <v>2</v>
      </c>
      <c r="AUZ58" s="3544">
        <v>1.7</v>
      </c>
      <c r="AVA58" s="3544">
        <v>1.5</v>
      </c>
      <c r="AVB58" s="3544">
        <v>1.5</v>
      </c>
      <c r="AVC58" s="3544">
        <v>1</v>
      </c>
      <c r="AVD58" s="3544">
        <v>1</v>
      </c>
      <c r="AVE58" s="3545">
        <v>1</v>
      </c>
      <c r="AVF58" s="3545">
        <v>0.8</v>
      </c>
      <c r="AVG58" s="3545">
        <v>0.6</v>
      </c>
      <c r="AVH58" s="3545">
        <v>0.4</v>
      </c>
      <c r="AVI58" s="3545">
        <v>0.2</v>
      </c>
      <c r="AVJ58" s="3545">
        <v>0</v>
      </c>
      <c r="AVK58" s="3545">
        <v>0</v>
      </c>
      <c r="AVL58" s="3545">
        <v>0</v>
      </c>
      <c r="AVM58" s="3545">
        <f>1-AVE58</f>
        <v>0</v>
      </c>
      <c r="AVN58" s="3545">
        <f t="shared" si="267"/>
        <v>0.19999999999999996</v>
      </c>
      <c r="AVO58" s="3545">
        <f t="shared" si="267"/>
        <v>0.4</v>
      </c>
      <c r="AVP58" s="3545">
        <f t="shared" si="267"/>
        <v>0.6</v>
      </c>
      <c r="AVQ58" s="3545">
        <f t="shared" si="267"/>
        <v>0.8</v>
      </c>
      <c r="AVR58" s="3545">
        <f t="shared" si="267"/>
        <v>1</v>
      </c>
      <c r="AVS58" s="3545">
        <f t="shared" si="267"/>
        <v>1</v>
      </c>
      <c r="AVT58" s="3545">
        <f t="shared" si="267"/>
        <v>1</v>
      </c>
      <c r="AVU58" s="3544">
        <v>3</v>
      </c>
      <c r="AVV58" s="3544">
        <v>2.5</v>
      </c>
      <c r="AVW58" s="3544">
        <v>2</v>
      </c>
      <c r="AVX58" s="3544">
        <v>2</v>
      </c>
      <c r="AVY58" s="3544">
        <v>1.5</v>
      </c>
      <c r="AVZ58" s="3544">
        <v>1.5</v>
      </c>
      <c r="AWA58" s="3544">
        <v>1.2</v>
      </c>
      <c r="AWB58" s="3544">
        <v>1</v>
      </c>
      <c r="AWC58" s="3545">
        <v>1</v>
      </c>
      <c r="AWD58" s="3545">
        <v>1</v>
      </c>
      <c r="AWE58" s="3545">
        <v>0.75</v>
      </c>
      <c r="AWF58" s="3545">
        <v>0.5</v>
      </c>
      <c r="AWG58" s="3545">
        <v>0.3</v>
      </c>
      <c r="AWH58" s="3545">
        <v>0.15</v>
      </c>
      <c r="AWI58" s="3545">
        <v>0</v>
      </c>
      <c r="AWJ58" s="3545">
        <v>0</v>
      </c>
      <c r="AWK58" s="3545">
        <f t="shared" ref="AWK58:AWR58" si="269">1-AWC58</f>
        <v>0</v>
      </c>
      <c r="AWL58" s="3545">
        <f t="shared" si="269"/>
        <v>0</v>
      </c>
      <c r="AWM58" s="3545">
        <f t="shared" si="269"/>
        <v>0.25</v>
      </c>
      <c r="AWN58" s="3545">
        <f t="shared" si="269"/>
        <v>0.5</v>
      </c>
      <c r="AWO58" s="3545">
        <f t="shared" si="269"/>
        <v>0.7</v>
      </c>
      <c r="AWP58" s="3545">
        <f t="shared" si="269"/>
        <v>0.85</v>
      </c>
      <c r="AWQ58" s="3545">
        <f t="shared" si="269"/>
        <v>1</v>
      </c>
      <c r="AWR58" s="3546">
        <f t="shared" si="269"/>
        <v>1</v>
      </c>
      <c r="BAG58" s="2625"/>
      <c r="BAH58" s="2625"/>
      <c r="BAI58" s="2625"/>
      <c r="BAJ58" s="2625"/>
      <c r="BAK58" s="2625"/>
      <c r="BAL58" s="2625"/>
      <c r="BAM58" s="2625"/>
      <c r="BAN58" s="2625"/>
      <c r="BAO58" s="2625"/>
      <c r="BAP58" s="2625"/>
      <c r="BAQ58" s="2625"/>
      <c r="BAR58" s="2625"/>
      <c r="BAS58" s="2625"/>
      <c r="BAT58" s="2625"/>
      <c r="BAU58" s="2625"/>
      <c r="BAV58" s="2625"/>
      <c r="BAW58" s="2625"/>
      <c r="BAX58" s="2625"/>
      <c r="BAY58" s="2625"/>
      <c r="BAZ58" s="2625"/>
      <c r="BBA58" s="2625"/>
      <c r="BBB58" s="2625"/>
      <c r="BBC58" s="2625"/>
      <c r="BBD58" s="2625"/>
      <c r="BBE58" s="2625"/>
      <c r="BBF58" s="2625"/>
      <c r="BBG58" s="2625"/>
      <c r="BBH58" s="2625"/>
      <c r="BBI58" s="2625"/>
      <c r="BBJ58" s="2625"/>
      <c r="BBK58" s="2625"/>
      <c r="BBL58" s="2625"/>
      <c r="BBM58" s="2625"/>
      <c r="BBN58" s="2625"/>
      <c r="BBO58" s="2625"/>
      <c r="BBP58" s="2625"/>
      <c r="BBQ58" s="2625"/>
      <c r="BBR58" s="2625"/>
      <c r="BBS58" s="2625"/>
      <c r="BBT58" s="2625"/>
      <c r="BBU58" s="2625"/>
      <c r="BBV58" s="2625"/>
      <c r="BBW58" s="2625"/>
      <c r="BBX58" s="2625"/>
      <c r="BBY58" s="2690"/>
      <c r="BBZ58" s="2690"/>
      <c r="BCA58" s="2625"/>
      <c r="BCB58" s="2625"/>
      <c r="BCC58" s="181"/>
      <c r="BFE58" s="3398"/>
    </row>
    <row r="59" spans="32:1513" ht="30" customHeight="1" x14ac:dyDescent="0.2">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P59" s="181"/>
      <c r="DQ59" s="181"/>
      <c r="DR59" s="181"/>
      <c r="DS59" s="181"/>
      <c r="DT59" s="181"/>
      <c r="DU59" s="181"/>
      <c r="DV59" s="181"/>
      <c r="DW59" s="181"/>
      <c r="DX59" s="181"/>
      <c r="DY59" s="181"/>
      <c r="DZ59" s="181"/>
      <c r="EA59" s="181"/>
      <c r="EB59" s="181"/>
      <c r="EC59" s="181"/>
      <c r="ED59" s="181"/>
      <c r="EE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LF59" s="181"/>
      <c r="LG59" s="181"/>
      <c r="LH59" s="181"/>
      <c r="LI59" s="181"/>
      <c r="LJ59" s="181"/>
      <c r="LK59" s="181"/>
      <c r="LL59" s="181"/>
      <c r="LM59" s="181"/>
      <c r="LN59" s="181"/>
      <c r="LO59" s="181"/>
      <c r="LP59" s="181"/>
      <c r="LQ59" s="181"/>
      <c r="LR59" s="181"/>
      <c r="LS59" s="181"/>
      <c r="LT59" s="181"/>
      <c r="LU59" s="181"/>
      <c r="LV59" s="181"/>
      <c r="LW59" s="181"/>
      <c r="LX59" s="181"/>
      <c r="LY59" s="181"/>
      <c r="LZ59" s="181"/>
      <c r="MA59" s="181"/>
      <c r="MB59" s="181"/>
      <c r="MC59" s="181"/>
      <c r="MD59" s="181"/>
      <c r="ME59" s="181"/>
      <c r="MF59" s="181"/>
      <c r="MG59" s="181"/>
      <c r="MH59" s="181"/>
      <c r="MI59" s="181"/>
      <c r="MJ59" s="181"/>
      <c r="MK59" s="181"/>
      <c r="ML59" s="181"/>
      <c r="MM59" s="181"/>
      <c r="MN59" s="181"/>
      <c r="MO59" s="181"/>
      <c r="MP59" s="181"/>
      <c r="MQ59" s="181"/>
      <c r="MR59" s="181"/>
      <c r="MS59" s="181"/>
      <c r="MT59" s="181"/>
      <c r="MU59" s="181"/>
      <c r="MV59" s="181"/>
      <c r="MW59" s="181"/>
      <c r="MX59" s="181"/>
      <c r="MY59" s="181"/>
      <c r="MZ59" s="181"/>
      <c r="NA59" s="181"/>
      <c r="NB59" s="181"/>
      <c r="NC59" s="181"/>
      <c r="ND59" s="181"/>
      <c r="NE59" s="181"/>
      <c r="NF59" s="181"/>
      <c r="NG59" s="181"/>
      <c r="NH59" s="181"/>
      <c r="NI59" s="181"/>
      <c r="NJ59" s="181"/>
      <c r="NK59" s="181"/>
      <c r="NL59" s="181"/>
      <c r="NM59" s="181"/>
      <c r="NN59" s="181"/>
      <c r="NO59" s="181"/>
      <c r="NP59" s="181"/>
      <c r="NQ59" s="181"/>
      <c r="NR59" s="181"/>
      <c r="NS59" s="181"/>
      <c r="NT59" s="181"/>
      <c r="NU59" s="181"/>
      <c r="NV59" s="181"/>
      <c r="NW59" s="181"/>
      <c r="NX59" s="181"/>
      <c r="NY59" s="181"/>
      <c r="NZ59" s="181"/>
      <c r="OA59" s="181"/>
      <c r="OB59" s="181"/>
      <c r="OC59" s="181"/>
      <c r="OD59" s="181"/>
      <c r="OE59" s="181"/>
      <c r="OF59" s="181"/>
      <c r="OG59" s="181"/>
      <c r="OH59" s="181"/>
      <c r="OI59" s="181"/>
      <c r="OJ59" s="181"/>
      <c r="OK59" s="181"/>
      <c r="OL59" s="181"/>
      <c r="OM59" s="181"/>
      <c r="ON59" s="181"/>
      <c r="OO59" s="181"/>
      <c r="OP59" s="181"/>
      <c r="OQ59" s="181"/>
      <c r="OR59" s="181"/>
      <c r="OS59" s="181"/>
      <c r="OT59" s="181"/>
      <c r="OU59" s="181"/>
      <c r="OV59" s="181"/>
      <c r="OW59" s="181"/>
      <c r="OX59" s="181"/>
      <c r="OY59" s="181"/>
      <c r="OZ59" s="181"/>
      <c r="PA59" s="181"/>
      <c r="PB59" s="181"/>
      <c r="PC59" s="181"/>
      <c r="PD59" s="181"/>
      <c r="PE59" s="181"/>
      <c r="PF59" s="181"/>
      <c r="PG59" s="181"/>
      <c r="PH59" s="181"/>
      <c r="PI59" s="181"/>
      <c r="PJ59" s="181"/>
      <c r="PK59" s="181"/>
      <c r="PL59" s="181"/>
      <c r="PM59" s="181"/>
      <c r="PN59" s="181"/>
      <c r="PO59" s="181"/>
      <c r="PP59" s="181"/>
      <c r="PQ59" s="181"/>
      <c r="PR59" s="181"/>
      <c r="PS59" s="181"/>
      <c r="PT59" s="181"/>
      <c r="PU59" s="181"/>
      <c r="PV59" s="181"/>
      <c r="PW59" s="181"/>
      <c r="PX59" s="181"/>
      <c r="PY59" s="181"/>
      <c r="PZ59" s="181"/>
      <c r="QA59" s="181"/>
      <c r="QB59" s="181"/>
      <c r="QC59" s="181"/>
      <c r="QD59" s="181"/>
      <c r="QE59" s="181"/>
      <c r="QF59" s="181"/>
      <c r="QG59" s="181"/>
      <c r="QH59" s="181"/>
      <c r="QI59" s="181"/>
      <c r="QJ59" s="181"/>
      <c r="QK59" s="181"/>
      <c r="QL59" s="181"/>
      <c r="QM59" s="181"/>
      <c r="QN59" s="181"/>
      <c r="QO59" s="181"/>
      <c r="QP59" s="181"/>
      <c r="QQ59" s="181"/>
      <c r="QR59" s="181"/>
      <c r="QS59" s="181"/>
      <c r="QT59" s="181"/>
      <c r="QU59" s="181"/>
      <c r="QV59" s="181"/>
      <c r="QW59" s="181"/>
      <c r="QX59" s="181"/>
      <c r="QY59" s="181"/>
      <c r="QZ59" s="181"/>
      <c r="RA59" s="181"/>
      <c r="RB59" s="181"/>
      <c r="RC59" s="181"/>
      <c r="RD59" s="181"/>
      <c r="RE59" s="181"/>
      <c r="RF59" s="181"/>
      <c r="RG59" s="181"/>
      <c r="RH59" s="181"/>
      <c r="RI59" s="181"/>
      <c r="RJ59" s="181"/>
      <c r="RK59" s="181"/>
      <c r="RL59" s="181"/>
      <c r="RM59" s="181"/>
      <c r="RN59" s="181"/>
      <c r="RO59" s="181"/>
      <c r="RP59" s="181"/>
      <c r="RQ59" s="181"/>
      <c r="RR59" s="181"/>
      <c r="RS59" s="181"/>
      <c r="RT59" s="181"/>
      <c r="RU59" s="181"/>
      <c r="RV59" s="181"/>
      <c r="RW59" s="181"/>
      <c r="RX59" s="181"/>
      <c r="RY59" s="181"/>
      <c r="RZ59" s="181"/>
      <c r="SA59" s="181"/>
      <c r="SB59" s="181"/>
      <c r="SC59" s="181"/>
      <c r="SD59" s="181"/>
      <c r="SE59" s="181"/>
      <c r="SF59" s="181"/>
      <c r="SG59" s="181"/>
      <c r="SH59" s="181"/>
      <c r="SI59" s="181"/>
      <c r="SJ59" s="181"/>
      <c r="SK59" s="181"/>
      <c r="SL59" s="181"/>
      <c r="SM59" s="181"/>
      <c r="SN59" s="181"/>
      <c r="SO59" s="181"/>
      <c r="SP59" s="181"/>
      <c r="SQ59" s="181"/>
      <c r="SR59" s="181"/>
      <c r="SS59" s="181"/>
      <c r="ST59" s="181"/>
      <c r="SU59" s="181"/>
      <c r="SV59" s="181"/>
      <c r="SW59" s="181"/>
      <c r="SX59" s="181"/>
      <c r="SY59" s="181"/>
      <c r="SZ59" s="181"/>
      <c r="TA59" s="181"/>
      <c r="TB59" s="181"/>
      <c r="TC59" s="181"/>
      <c r="TD59" s="181"/>
      <c r="TE59" s="181"/>
      <c r="TF59" s="181"/>
      <c r="TG59" s="181"/>
      <c r="TH59" s="181"/>
      <c r="TI59" s="181"/>
      <c r="TJ59" s="181"/>
      <c r="TK59" s="181"/>
      <c r="TL59" s="181"/>
      <c r="TM59" s="181"/>
      <c r="TN59" s="181"/>
      <c r="TO59" s="181"/>
      <c r="TP59" s="181"/>
      <c r="TQ59" s="181"/>
      <c r="TR59" s="181"/>
      <c r="TS59" s="181"/>
      <c r="TT59" s="181"/>
      <c r="TU59" s="181"/>
      <c r="TV59" s="181"/>
      <c r="TW59" s="181"/>
      <c r="TX59" s="181"/>
      <c r="TY59" s="181"/>
      <c r="TZ59" s="181"/>
      <c r="UA59" s="181"/>
      <c r="UB59" s="181"/>
      <c r="UC59" s="181"/>
      <c r="UD59" s="181"/>
      <c r="UE59" s="181"/>
      <c r="UF59" s="181"/>
      <c r="UG59" s="181"/>
      <c r="UH59" s="181"/>
      <c r="UI59" s="181"/>
      <c r="UJ59" s="181"/>
      <c r="UK59" s="181"/>
      <c r="UL59" s="181"/>
      <c r="UM59" s="181"/>
      <c r="UN59" s="181"/>
      <c r="UO59" s="181"/>
      <c r="UP59" s="181"/>
      <c r="UQ59" s="181"/>
      <c r="UR59" s="181"/>
      <c r="US59" s="181"/>
      <c r="UT59" s="181"/>
      <c r="UU59" s="181"/>
      <c r="UV59" s="181"/>
      <c r="UW59" s="181"/>
      <c r="UX59" s="181"/>
      <c r="UY59" s="181"/>
      <c r="UZ59" s="181"/>
      <c r="VA59" s="181"/>
      <c r="VB59" s="181"/>
      <c r="VC59" s="181"/>
      <c r="VD59" s="181"/>
      <c r="VE59" s="181"/>
      <c r="VF59" s="181"/>
      <c r="VG59" s="181"/>
      <c r="VH59" s="181"/>
      <c r="VI59" s="181"/>
      <c r="VJ59" s="181"/>
      <c r="VK59" s="181"/>
      <c r="VL59" s="181"/>
      <c r="VM59" s="181"/>
      <c r="VN59" s="181"/>
      <c r="VO59" s="181"/>
      <c r="VP59" s="181"/>
      <c r="VQ59" s="181"/>
      <c r="VR59" s="181"/>
      <c r="AAX59" s="2622"/>
      <c r="AAY59" s="2622"/>
      <c r="AAZ59" s="2622"/>
      <c r="ABA59" s="2622"/>
      <c r="ABB59" s="2737"/>
      <c r="ABC59" s="2737"/>
      <c r="ABD59" s="2737"/>
      <c r="ABE59" s="2737"/>
      <c r="ABF59" s="2737"/>
      <c r="ABG59" s="2737"/>
      <c r="ABH59" s="2737"/>
      <c r="ABI59" s="2737"/>
      <c r="ABJ59" s="2622"/>
      <c r="ABK59" s="2622"/>
      <c r="ABL59" s="2737"/>
      <c r="ABM59" s="2737"/>
      <c r="ABN59" s="2737"/>
      <c r="ABO59" s="2737"/>
      <c r="ABP59" s="2737"/>
      <c r="ABQ59" s="2737"/>
      <c r="ABR59" s="2737"/>
      <c r="ABS59" s="2737"/>
      <c r="ABT59" s="2622"/>
      <c r="ABU59" s="2622"/>
      <c r="ABV59" s="2737"/>
      <c r="ABW59" s="2737"/>
      <c r="ABX59" s="2737"/>
      <c r="ABY59" s="2737"/>
      <c r="ABZ59" s="2737"/>
      <c r="ACA59" s="2737"/>
      <c r="ACB59" s="2737"/>
      <c r="ACC59" s="2737"/>
      <c r="ACD59" s="2737"/>
      <c r="ACE59" s="2622"/>
      <c r="ACF59" s="2737"/>
      <c r="ACG59" s="2737"/>
      <c r="ACH59" s="2737"/>
      <c r="ACI59" s="2737"/>
      <c r="ACJ59" s="2737"/>
      <c r="ACK59" s="2737"/>
      <c r="ACL59" s="2737"/>
      <c r="ACM59" s="2737"/>
      <c r="ACN59" s="2622"/>
      <c r="ACO59" s="2737"/>
      <c r="ACP59" s="2737"/>
      <c r="ACQ59" s="2737"/>
      <c r="ACR59" s="2737"/>
      <c r="ACS59" s="2737"/>
      <c r="ACT59" s="2737"/>
      <c r="ACU59" s="2737"/>
      <c r="ACV59" s="2737"/>
      <c r="ACW59" s="2622"/>
      <c r="ACX59" s="2737"/>
      <c r="ACY59" s="2737"/>
      <c r="ACZ59" s="2737"/>
      <c r="ADA59" s="2737"/>
      <c r="ADB59" s="2737"/>
      <c r="ADC59" s="2737"/>
      <c r="ADD59" s="2737"/>
      <c r="ADE59" s="2737"/>
      <c r="ADF59" s="2737"/>
      <c r="ADH59" s="2737"/>
      <c r="ADI59" s="2737"/>
      <c r="ADJ59" s="2737"/>
      <c r="ADK59" s="2737"/>
      <c r="ADL59" s="2737"/>
      <c r="ADM59" s="2737"/>
      <c r="ADN59" s="2737"/>
      <c r="ADO59" s="2737"/>
      <c r="ADQ59" s="2737"/>
      <c r="ADR59" s="2737"/>
      <c r="ADS59" s="2737"/>
      <c r="ADT59" s="2737"/>
      <c r="ADU59" s="2737"/>
      <c r="ADV59" s="2737"/>
      <c r="ADW59" s="2737"/>
      <c r="ADX59" s="2737"/>
      <c r="ADY59" s="2737"/>
      <c r="ADZ59" s="2737"/>
      <c r="AEA59" s="2737"/>
      <c r="AEB59" s="2737"/>
      <c r="AEC59" s="2737"/>
      <c r="AED59" s="2737"/>
      <c r="AEE59" s="2737"/>
      <c r="AEF59" s="2737"/>
      <c r="AEG59" s="2737"/>
      <c r="AEH59" s="2737"/>
      <c r="AEI59" s="2737"/>
      <c r="AEJ59" s="2737"/>
      <c r="AEK59" s="2737"/>
      <c r="AEL59" s="2737"/>
      <c r="AEM59" s="2737"/>
      <c r="AEN59" s="2737"/>
      <c r="AEO59" s="2737"/>
      <c r="AEP59" s="2737"/>
      <c r="AEQ59" s="2737"/>
      <c r="AER59" s="2737"/>
      <c r="AES59" s="2737"/>
      <c r="AET59" s="2737"/>
      <c r="AEU59" s="2737"/>
      <c r="AEV59" s="2737"/>
      <c r="AEW59" s="2737"/>
      <c r="AEX59" s="2737"/>
      <c r="AFG59" s="2737"/>
      <c r="AFP59" s="2737"/>
      <c r="AGI59" s="2737"/>
      <c r="AGN59" s="2622"/>
      <c r="AGR59" s="2737"/>
      <c r="AHB59" s="2737"/>
      <c r="AHJ59" s="2737"/>
      <c r="AHV59" s="2737"/>
      <c r="AHY59" s="2622"/>
      <c r="AII59" s="2622"/>
      <c r="AIJ59" s="2622"/>
      <c r="AIR59" s="2622"/>
      <c r="AIS59" s="2622"/>
      <c r="AJP59" s="2737"/>
      <c r="AKD59" s="2737"/>
      <c r="AKU59" s="2622"/>
      <c r="ALL59" s="2622"/>
      <c r="ALM59" s="2737"/>
      <c r="ALW59" s="2737"/>
      <c r="ALX59" s="2737"/>
      <c r="AMG59" s="2737"/>
      <c r="AOI59" s="2737"/>
      <c r="AOV59" s="5797"/>
      <c r="AOW59" s="5797"/>
      <c r="AOX59" s="5797"/>
      <c r="AOY59" s="5797"/>
      <c r="AOZ59" s="5797"/>
      <c r="APA59" s="5797"/>
      <c r="APB59" s="5797"/>
      <c r="APC59" s="5797"/>
      <c r="APD59" s="5797"/>
      <c r="APE59" s="5797"/>
      <c r="APT59" s="2737"/>
      <c r="AQE59" s="2622"/>
      <c r="ARE59" s="2622"/>
      <c r="ASA59" s="2622"/>
      <c r="ASJ59" s="2622"/>
      <c r="ASK59" s="2737"/>
      <c r="ASL59" s="2737"/>
      <c r="ASM59" s="2737"/>
      <c r="ASN59" s="2737"/>
      <c r="ASO59" s="2737"/>
      <c r="ASP59" s="2737"/>
      <c r="ASQ59" s="2737"/>
      <c r="ASR59" s="2737"/>
      <c r="ASS59" s="2737"/>
      <c r="ATA59" s="2622"/>
      <c r="AYJ59" s="181"/>
      <c r="AYK59" s="181"/>
      <c r="AYL59" s="181"/>
      <c r="AYM59" s="181"/>
      <c r="AYN59" s="181"/>
      <c r="AYO59" s="181"/>
      <c r="AYP59" s="181"/>
      <c r="AYQ59" s="181"/>
      <c r="AYR59" s="181"/>
      <c r="AYS59" s="181"/>
      <c r="AYT59" s="181"/>
      <c r="AYU59" s="181"/>
      <c r="AYV59" s="181"/>
      <c r="AYW59" s="181"/>
      <c r="AYX59" s="181"/>
      <c r="AYY59" s="181"/>
      <c r="AYZ59" s="181"/>
      <c r="AZA59" s="181"/>
      <c r="AZB59" s="181"/>
      <c r="AZC59" s="181"/>
      <c r="AZD59" s="181"/>
      <c r="AZE59" s="181"/>
      <c r="AZF59" s="181"/>
      <c r="AZG59" s="181"/>
      <c r="AZH59" s="181"/>
      <c r="AZI59" s="181"/>
      <c r="AZJ59" s="181"/>
      <c r="AZK59" s="181"/>
      <c r="AZL59" s="181"/>
      <c r="AZM59" s="181"/>
      <c r="AZN59" s="181"/>
      <c r="AZO59" s="181"/>
      <c r="AZP59" s="181"/>
      <c r="AZQ59" s="181"/>
      <c r="AZR59" s="181"/>
      <c r="AZS59" s="181"/>
      <c r="AZT59" s="181"/>
      <c r="AZU59" s="181"/>
      <c r="AZV59" s="181"/>
      <c r="AZW59" s="181"/>
      <c r="AZX59" s="181"/>
      <c r="AZY59" s="181"/>
      <c r="AZZ59" s="181"/>
      <c r="BAA59" s="181"/>
      <c r="BAB59" s="181"/>
      <c r="BAC59" s="181"/>
      <c r="BAD59" s="181"/>
      <c r="BAE59" s="181"/>
      <c r="BAF59" s="2626"/>
      <c r="BAG59" s="2626"/>
      <c r="BAH59" s="2626"/>
      <c r="BAI59" s="2626"/>
      <c r="BAJ59" s="2626"/>
      <c r="BAK59" s="2626"/>
      <c r="BAL59" s="2626"/>
      <c r="BAM59" s="2626"/>
      <c r="BAN59" s="2626"/>
      <c r="BAO59" s="2626"/>
      <c r="BAP59" s="2626"/>
      <c r="BAQ59" s="2626"/>
      <c r="BAR59" s="2626"/>
      <c r="BAS59" s="2626"/>
      <c r="BAT59" s="2626"/>
      <c r="BAU59" s="2626"/>
      <c r="BAV59" s="2626"/>
      <c r="BAW59" s="2626"/>
      <c r="BAX59" s="2626"/>
      <c r="BAY59" s="2626"/>
      <c r="BAZ59" s="2626"/>
      <c r="BBA59" s="2626"/>
      <c r="BBB59" s="2626"/>
      <c r="BBC59" s="2626"/>
      <c r="BBD59" s="2626"/>
      <c r="BBE59" s="2626"/>
      <c r="BBF59" s="2626"/>
      <c r="BBG59" s="2626"/>
      <c r="BBH59" s="2626"/>
      <c r="BBI59" s="2626"/>
      <c r="BBJ59" s="2626"/>
      <c r="BBK59" s="2626"/>
      <c r="BBL59" s="2626"/>
      <c r="BBM59" s="2626"/>
      <c r="BBN59" s="2626"/>
      <c r="BBO59" s="2626"/>
      <c r="BBP59" s="2626"/>
      <c r="BBQ59" s="2626"/>
      <c r="BBR59" s="2626"/>
      <c r="BBS59" s="2626"/>
      <c r="BBT59" s="2626"/>
      <c r="BBU59" s="2626"/>
      <c r="BBV59" s="2626"/>
      <c r="BBW59" s="2626"/>
      <c r="BBX59" s="2626"/>
      <c r="BBY59" s="2690" t="s">
        <v>861</v>
      </c>
      <c r="BBZ59" s="2690" t="s">
        <v>1174</v>
      </c>
      <c r="BCA59" s="2626"/>
      <c r="BCB59" s="2626"/>
      <c r="BCC59" s="181"/>
      <c r="BFE59" s="3398"/>
    </row>
    <row r="60" spans="32:1513" ht="30" customHeight="1" x14ac:dyDescent="0.3">
      <c r="AH60" s="7253" t="s">
        <v>258</v>
      </c>
      <c r="AI60" s="7254"/>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LF60" s="433" t="s">
        <v>2652</v>
      </c>
      <c r="LG60" s="181"/>
      <c r="LH60" s="181"/>
      <c r="LI60" s="181"/>
      <c r="LJ60" s="181"/>
      <c r="LK60" s="181"/>
      <c r="LL60" s="181"/>
      <c r="LM60" s="181"/>
      <c r="LN60" s="181"/>
      <c r="LO60" s="181"/>
      <c r="LP60" s="181"/>
      <c r="LQ60" s="181"/>
      <c r="LR60" s="181"/>
      <c r="LS60" s="181"/>
      <c r="LT60" s="181"/>
      <c r="LU60" s="181"/>
      <c r="LV60" s="181"/>
      <c r="LW60" s="181"/>
      <c r="LX60" s="181"/>
      <c r="LY60" s="181"/>
      <c r="LZ60" s="181"/>
      <c r="MA60" s="181"/>
      <c r="MB60" s="181"/>
      <c r="MC60" s="181"/>
      <c r="MD60" s="181"/>
      <c r="ME60" s="181"/>
      <c r="MF60" s="181"/>
      <c r="MG60" s="181"/>
      <c r="MH60" s="181"/>
      <c r="MI60" s="181"/>
      <c r="MJ60" s="181"/>
      <c r="MK60" s="181"/>
      <c r="ML60" s="181"/>
      <c r="MM60" s="181"/>
      <c r="MN60" s="181"/>
      <c r="MO60" s="181"/>
      <c r="MP60" s="181"/>
      <c r="MQ60" s="181"/>
      <c r="MR60" s="181"/>
      <c r="MS60" s="181"/>
      <c r="MT60" s="181"/>
      <c r="MU60" s="181"/>
      <c r="MV60" s="181"/>
      <c r="MW60" s="181"/>
      <c r="MX60" s="181"/>
      <c r="MY60" s="181"/>
      <c r="MZ60" s="181"/>
      <c r="NA60" s="181"/>
      <c r="NB60" s="181"/>
      <c r="NC60" s="181"/>
      <c r="ND60" s="181"/>
      <c r="NE60" s="181"/>
      <c r="NF60" s="181"/>
      <c r="NG60" s="181"/>
      <c r="NH60" s="181"/>
      <c r="NI60" s="181"/>
      <c r="NJ60" s="181"/>
      <c r="NK60" s="181"/>
      <c r="NL60" s="181"/>
      <c r="NM60" s="181"/>
      <c r="NN60" s="181"/>
      <c r="NO60" s="181"/>
      <c r="NP60" s="181"/>
      <c r="NQ60" s="181"/>
      <c r="NR60" s="181"/>
      <c r="NS60" s="181"/>
      <c r="NT60" s="181"/>
      <c r="NU60" s="181"/>
      <c r="NV60" s="181"/>
      <c r="NW60" s="181"/>
      <c r="NX60" s="181"/>
      <c r="NY60" s="181"/>
      <c r="NZ60" s="181"/>
      <c r="OA60" s="181"/>
      <c r="OB60" s="181"/>
      <c r="OC60" s="181"/>
      <c r="OD60" s="181"/>
      <c r="OE60" s="181"/>
      <c r="OF60" s="181"/>
      <c r="OG60" s="181"/>
      <c r="OH60" s="181"/>
      <c r="OI60" s="181"/>
      <c r="OJ60" s="181"/>
      <c r="OK60" s="181"/>
      <c r="OL60" s="181"/>
      <c r="OM60" s="181"/>
      <c r="ON60" s="181"/>
      <c r="OO60" s="181"/>
      <c r="OP60" s="181"/>
      <c r="OQ60" s="181"/>
      <c r="OR60" s="181"/>
      <c r="OS60" s="181"/>
      <c r="OT60" s="181"/>
      <c r="OU60" s="181"/>
      <c r="OV60" s="181"/>
      <c r="OW60" s="181"/>
      <c r="OX60" s="181"/>
      <c r="OY60" s="181"/>
      <c r="OZ60" s="181"/>
      <c r="PA60" s="181"/>
      <c r="PB60" s="181"/>
      <c r="PC60" s="181"/>
      <c r="PD60" s="181"/>
      <c r="PE60" s="181"/>
      <c r="PF60" s="181"/>
      <c r="PG60" s="181"/>
      <c r="PH60" s="181"/>
      <c r="PI60" s="181"/>
      <c r="PJ60" s="181"/>
      <c r="PK60" s="181"/>
      <c r="PL60" s="181"/>
      <c r="PM60" s="181"/>
      <c r="PN60" s="181"/>
      <c r="PO60" s="181"/>
      <c r="PP60" s="181"/>
      <c r="PQ60" s="181"/>
      <c r="PR60" s="181"/>
      <c r="PS60" s="181"/>
      <c r="PT60" s="181"/>
      <c r="PU60" s="181"/>
      <c r="PV60" s="181"/>
      <c r="PW60" s="181"/>
      <c r="PX60" s="181"/>
      <c r="PY60" s="181"/>
      <c r="PZ60" s="181"/>
      <c r="QA60" s="181"/>
      <c r="QB60" s="181"/>
      <c r="QC60" s="181"/>
      <c r="QD60" s="181"/>
      <c r="QE60" s="181"/>
      <c r="QF60" s="181"/>
      <c r="QG60" s="181"/>
      <c r="QH60" s="181"/>
      <c r="QI60" s="181"/>
      <c r="QJ60" s="181"/>
      <c r="QK60" s="181"/>
      <c r="QL60" s="181"/>
      <c r="QM60" s="181"/>
      <c r="QN60" s="181"/>
      <c r="QO60" s="181"/>
      <c r="QP60" s="181"/>
      <c r="QQ60" s="181"/>
      <c r="QR60" s="181"/>
      <c r="QS60" s="181"/>
      <c r="QT60" s="181"/>
      <c r="QU60" s="181"/>
      <c r="QV60" s="181"/>
      <c r="QW60" s="181"/>
      <c r="QX60" s="181"/>
      <c r="QY60" s="181"/>
      <c r="QZ60" s="181"/>
      <c r="RA60" s="181"/>
      <c r="RB60" s="181"/>
      <c r="RC60" s="181"/>
      <c r="RD60" s="181"/>
      <c r="RE60" s="181"/>
      <c r="RF60" s="181"/>
      <c r="RG60" s="181"/>
      <c r="RH60" s="181"/>
      <c r="RI60" s="181"/>
      <c r="RJ60" s="181"/>
      <c r="RK60" s="181"/>
      <c r="RL60" s="181"/>
      <c r="RM60" s="181"/>
      <c r="RN60" s="181"/>
      <c r="RO60" s="181"/>
      <c r="RP60" s="181"/>
      <c r="RQ60" s="181"/>
      <c r="RR60" s="181"/>
      <c r="RS60" s="181"/>
      <c r="RT60" s="181"/>
      <c r="RU60" s="181"/>
      <c r="RV60" s="181"/>
      <c r="RW60" s="181"/>
      <c r="RX60" s="181"/>
      <c r="RY60" s="181"/>
      <c r="RZ60" s="181"/>
      <c r="SA60" s="181"/>
      <c r="SB60" s="181"/>
      <c r="SC60" s="181"/>
      <c r="SD60" s="181"/>
      <c r="SE60" s="181"/>
      <c r="SF60" s="181"/>
      <c r="SG60" s="181"/>
      <c r="SH60" s="181"/>
      <c r="SI60" s="181"/>
      <c r="SJ60" s="181"/>
      <c r="SK60" s="181"/>
      <c r="SL60" s="181"/>
      <c r="SM60" s="181"/>
      <c r="SN60" s="181"/>
      <c r="SO60" s="181"/>
      <c r="SP60" s="181"/>
      <c r="SQ60" s="181"/>
      <c r="SR60" s="181"/>
      <c r="SS60" s="181"/>
      <c r="ST60" s="181"/>
      <c r="SU60" s="181"/>
      <c r="SV60" s="181"/>
      <c r="SW60" s="181"/>
      <c r="SX60" s="181"/>
      <c r="SY60" s="181"/>
      <c r="SZ60" s="181"/>
      <c r="TA60" s="181"/>
      <c r="TB60" s="181"/>
      <c r="TC60" s="181"/>
      <c r="TD60" s="181"/>
      <c r="TE60" s="181"/>
      <c r="TF60" s="181"/>
      <c r="TG60" s="181"/>
      <c r="TH60" s="181"/>
      <c r="TI60" s="181"/>
      <c r="TJ60" s="181"/>
      <c r="TK60" s="181"/>
      <c r="TL60" s="181"/>
      <c r="TM60" s="181"/>
      <c r="TN60" s="181"/>
      <c r="TO60" s="181"/>
      <c r="TP60" s="181"/>
      <c r="TQ60" s="181"/>
      <c r="TR60" s="181"/>
      <c r="TS60" s="181"/>
      <c r="TT60" s="181"/>
      <c r="TU60" s="181"/>
      <c r="TV60" s="181"/>
      <c r="TW60" s="181"/>
      <c r="TX60" s="181"/>
      <c r="TY60" s="181"/>
      <c r="TZ60" s="181"/>
      <c r="UA60" s="181"/>
      <c r="UB60" s="181"/>
      <c r="UC60" s="181"/>
      <c r="UD60" s="181"/>
      <c r="UE60" s="181"/>
      <c r="UF60" s="181"/>
      <c r="UG60" s="181"/>
      <c r="UH60" s="181"/>
      <c r="UI60" s="181"/>
      <c r="UJ60" s="181"/>
      <c r="UK60" s="181"/>
      <c r="UL60" s="181"/>
      <c r="UM60" s="181"/>
      <c r="UN60" s="181"/>
      <c r="UO60" s="181"/>
      <c r="UP60" s="181"/>
      <c r="UQ60" s="181"/>
      <c r="UR60" s="181"/>
      <c r="US60" s="181"/>
      <c r="UT60" s="181"/>
      <c r="UU60" s="181"/>
      <c r="UV60" s="181"/>
      <c r="UW60" s="181"/>
      <c r="UX60" s="181"/>
      <c r="UY60" s="181"/>
      <c r="UZ60" s="181"/>
      <c r="VA60" s="181"/>
      <c r="VB60" s="181"/>
      <c r="VC60" s="181"/>
      <c r="VD60" s="181"/>
      <c r="VE60" s="181"/>
      <c r="VF60" s="181"/>
      <c r="VG60" s="181"/>
      <c r="VH60" s="181"/>
      <c r="VI60" s="181"/>
      <c r="VJ60" s="181"/>
      <c r="VK60" s="181"/>
      <c r="VL60" s="181"/>
      <c r="VM60" s="181"/>
      <c r="VN60" s="181"/>
      <c r="VO60" s="181"/>
      <c r="VP60" s="181"/>
      <c r="VQ60" s="181"/>
      <c r="VR60" s="181"/>
      <c r="AAW60" s="2625"/>
      <c r="AAX60" s="2625"/>
      <c r="AAY60" s="2625"/>
      <c r="AAZ60" s="2625"/>
      <c r="ABA60" s="2625"/>
      <c r="ABB60" s="2737"/>
      <c r="ABC60" s="2737"/>
      <c r="ABD60" s="2737"/>
      <c r="ABE60" s="2737"/>
      <c r="ABF60" s="2737"/>
      <c r="ABG60" s="2737"/>
      <c r="ABH60" s="2737"/>
      <c r="ABI60" s="2737"/>
      <c r="ABJ60" s="2625"/>
      <c r="ABK60" s="2625"/>
      <c r="ABL60" s="2737"/>
      <c r="ABM60" s="2737"/>
      <c r="ABN60" s="2737"/>
      <c r="ABO60" s="2737"/>
      <c r="ABP60" s="2737"/>
      <c r="ABQ60" s="2737"/>
      <c r="ABR60" s="2737"/>
      <c r="ABS60" s="2737"/>
      <c r="ABT60" s="2625"/>
      <c r="ABU60" s="2625"/>
      <c r="ABV60" s="2737"/>
      <c r="ABW60" s="2737"/>
      <c r="ABX60" s="2737"/>
      <c r="ABY60" s="2737"/>
      <c r="ABZ60" s="2737"/>
      <c r="ACA60" s="2737"/>
      <c r="ACB60" s="2737"/>
      <c r="ACC60" s="2737"/>
      <c r="ACD60" s="2737"/>
      <c r="ACE60" s="2625"/>
      <c r="ACF60" s="2737"/>
      <c r="ACG60" s="2737"/>
      <c r="ACH60" s="2737"/>
      <c r="ACI60" s="2737"/>
      <c r="ACJ60" s="2737"/>
      <c r="ACK60" s="2737"/>
      <c r="ACL60" s="2737"/>
      <c r="ACM60" s="2737"/>
      <c r="ACN60" s="2625"/>
      <c r="ACO60" s="2737"/>
      <c r="ACP60" s="2737"/>
      <c r="ACQ60" s="2737"/>
      <c r="ACR60" s="2737"/>
      <c r="ACS60" s="2737"/>
      <c r="ACT60" s="2737"/>
      <c r="ACU60" s="2737"/>
      <c r="ACV60" s="2737"/>
      <c r="ACW60" s="2625"/>
      <c r="ACX60" s="2737"/>
      <c r="ACY60" s="2737"/>
      <c r="ACZ60" s="2737"/>
      <c r="ADA60" s="2737"/>
      <c r="ADB60" s="2737"/>
      <c r="ADC60" s="2737"/>
      <c r="ADD60" s="2737"/>
      <c r="ADE60" s="2737"/>
      <c r="ADF60" s="2737"/>
      <c r="ADG60" s="2625"/>
      <c r="ADH60" s="2737"/>
      <c r="ADI60" s="2737"/>
      <c r="ADJ60" s="2737"/>
      <c r="ADK60" s="2737"/>
      <c r="ADL60" s="2737"/>
      <c r="ADM60" s="2737"/>
      <c r="ADN60" s="2737"/>
      <c r="ADO60" s="2737"/>
      <c r="ADP60" s="2625"/>
      <c r="ADQ60" s="2737"/>
      <c r="ADR60" s="2737"/>
      <c r="ADS60" s="2737"/>
      <c r="ADT60" s="2737"/>
      <c r="ADU60" s="2737"/>
      <c r="ADV60" s="2737"/>
      <c r="ADW60" s="2737"/>
      <c r="ADX60" s="2737"/>
      <c r="ADY60" s="2737"/>
      <c r="ADZ60" s="2737"/>
      <c r="AEA60" s="2737"/>
      <c r="AEB60" s="2737"/>
      <c r="AEC60" s="2737"/>
      <c r="AED60" s="2737"/>
      <c r="AEE60" s="2737"/>
      <c r="AEF60" s="2737"/>
      <c r="AEG60" s="2737"/>
      <c r="AEH60" s="2737"/>
      <c r="AEI60" s="2737"/>
      <c r="AEJ60" s="2737"/>
      <c r="AEK60" s="2737"/>
      <c r="AEL60" s="2737"/>
      <c r="AEM60" s="2737"/>
      <c r="AEN60" s="2737"/>
      <c r="AEO60" s="2737"/>
      <c r="AEP60" s="2737"/>
      <c r="AEQ60" s="2737"/>
      <c r="AER60" s="2737"/>
      <c r="AES60" s="2737"/>
      <c r="AET60" s="2737"/>
      <c r="AEU60" s="2737"/>
      <c r="AEV60" s="2737"/>
      <c r="AEW60" s="2737"/>
      <c r="AEX60" s="2737"/>
      <c r="AFG60" s="2737"/>
      <c r="AFP60" s="2737"/>
      <c r="AFZ60" s="2625"/>
      <c r="AGI60" s="2737"/>
      <c r="AGN60" s="2625"/>
      <c r="AGR60" s="2737"/>
      <c r="AHB60" s="2737"/>
      <c r="AHJ60" s="2737"/>
      <c r="AHV60" s="2737"/>
      <c r="AHY60" s="2625"/>
      <c r="AII60" s="2625"/>
      <c r="AIJ60" s="2625"/>
      <c r="AIR60" s="2625"/>
      <c r="AIS60" s="2625"/>
      <c r="AIT60" s="3801"/>
      <c r="AIU60" s="3801"/>
      <c r="AIV60" s="3801"/>
      <c r="AIW60" s="3801"/>
      <c r="AIX60" s="3801"/>
      <c r="AIY60" s="3801"/>
      <c r="AIZ60" s="3801"/>
      <c r="AJA60" s="3801"/>
      <c r="AJB60" s="3801"/>
      <c r="AJC60" s="3801"/>
      <c r="AJD60" s="3801"/>
      <c r="AJE60" s="3801"/>
      <c r="AJF60" s="3801"/>
      <c r="AJG60" s="3801"/>
      <c r="AJH60" s="3801"/>
      <c r="AJI60" s="3801"/>
      <c r="AJJ60" s="3801"/>
      <c r="AJK60" s="3801"/>
      <c r="AJL60" s="3801"/>
      <c r="AJM60" s="3801"/>
      <c r="AJN60" s="3801"/>
      <c r="AJO60" s="3801"/>
      <c r="AJP60" s="3801"/>
      <c r="AJQ60" s="3801"/>
      <c r="AJR60" s="3801"/>
      <c r="AJS60" s="3801"/>
      <c r="AJT60" s="3801"/>
      <c r="AJU60" s="3801"/>
      <c r="AJV60" s="3801"/>
      <c r="AJW60" s="3801"/>
      <c r="AJX60" s="3801"/>
      <c r="AJY60" s="3801"/>
      <c r="AJZ60" s="3801"/>
      <c r="AKA60" s="3801"/>
      <c r="AKB60" s="3801"/>
      <c r="AKD60" s="3801"/>
      <c r="AKE60" s="3801"/>
      <c r="AKF60" s="3801"/>
      <c r="AKG60" s="3801"/>
      <c r="AKH60" s="3801"/>
      <c r="AKI60" s="3801"/>
      <c r="AKJ60" s="3801"/>
      <c r="AKK60" s="3801"/>
      <c r="AKL60" s="3801"/>
      <c r="AKM60" s="3801"/>
      <c r="AKN60" s="3801"/>
      <c r="AKO60" s="3801"/>
      <c r="AKP60" s="3801"/>
      <c r="AKQ60" s="3801"/>
      <c r="AKR60" s="3801"/>
      <c r="AKS60" s="3801"/>
      <c r="AKT60" s="3801"/>
      <c r="AKU60" s="5840"/>
      <c r="AKV60" s="3801"/>
      <c r="AKW60" s="3801"/>
      <c r="AKX60" s="3801"/>
      <c r="AKY60" s="3801"/>
      <c r="AKZ60" s="3801"/>
      <c r="ALA60" s="3801"/>
      <c r="ALB60" s="3801"/>
      <c r="ALD60" s="3801"/>
      <c r="ALE60" s="3801"/>
      <c r="ALF60" s="3801"/>
      <c r="ALG60" s="3801"/>
      <c r="ALH60" s="3801"/>
      <c r="ALI60" s="3801"/>
      <c r="ALJ60" s="3801"/>
      <c r="ALK60" s="3801"/>
      <c r="ALL60" s="5840"/>
      <c r="ALM60" s="2737"/>
      <c r="ALN60" s="3801"/>
      <c r="ALO60" s="3801"/>
      <c r="ALP60" s="3801"/>
      <c r="ALQ60" s="3801"/>
      <c r="ALR60" s="3801"/>
      <c r="ALS60" s="3801"/>
      <c r="ALT60" s="3801"/>
      <c r="ALU60" s="3801"/>
      <c r="ALV60" s="3801"/>
      <c r="ALW60" s="3801"/>
      <c r="ALX60" s="3801"/>
      <c r="ALY60" s="3801"/>
      <c r="ALZ60" s="3801"/>
      <c r="AMA60" s="3801"/>
      <c r="AMB60" s="3801"/>
      <c r="AMC60" s="3801"/>
      <c r="AMD60" s="3801"/>
      <c r="AME60" s="3801"/>
      <c r="AMF60" s="5840"/>
      <c r="AMG60" s="3801"/>
      <c r="AMH60" s="3801"/>
      <c r="AMI60" s="3801"/>
      <c r="AMJ60" s="3801"/>
      <c r="AMK60" s="3801"/>
      <c r="AML60" s="3801"/>
      <c r="AMM60" s="3801"/>
      <c r="AMN60" s="3801"/>
      <c r="AMO60" s="3801"/>
      <c r="AMP60" s="3801"/>
      <c r="AMQ60" s="3801"/>
      <c r="AMR60" s="3801"/>
      <c r="AMS60" s="3801"/>
      <c r="AMT60" s="3801"/>
      <c r="AMU60" s="3801"/>
      <c r="AMV60" s="3801"/>
      <c r="AMW60" s="3801"/>
      <c r="AMX60" s="3801"/>
      <c r="AMY60" s="3801"/>
      <c r="AMZ60" s="3801"/>
      <c r="ANA60" s="3801"/>
      <c r="ANB60" s="3801"/>
      <c r="ANC60" s="3801"/>
      <c r="AND60" s="3801"/>
      <c r="ANE60" s="3801"/>
      <c r="ANF60" s="3801"/>
      <c r="ANG60" s="3801"/>
      <c r="ANH60" s="3801"/>
      <c r="ANI60" s="3801"/>
      <c r="ANJ60" s="3801"/>
      <c r="ANK60" s="3801"/>
      <c r="ANL60" s="3801"/>
      <c r="ANM60" s="3801"/>
      <c r="ANN60" s="3801"/>
      <c r="ANO60" s="3801"/>
      <c r="ANP60" s="3801"/>
      <c r="ANQ60" s="3801"/>
      <c r="ANR60" s="3801"/>
      <c r="ANS60" s="3801"/>
      <c r="ANT60" s="3801"/>
      <c r="ANU60" s="3801"/>
      <c r="ANV60" s="3801"/>
      <c r="ANW60" s="3801"/>
      <c r="ANX60" s="3801"/>
      <c r="ANY60" s="3801"/>
      <c r="ANZ60" s="3801"/>
      <c r="AOA60" s="3801"/>
      <c r="AOB60" s="3801"/>
      <c r="AOC60" s="3801"/>
      <c r="AOD60" s="3801"/>
      <c r="AOE60" s="3801"/>
      <c r="AOF60" s="3801"/>
      <c r="AOG60" s="3801"/>
      <c r="AOH60" s="3801"/>
      <c r="AOI60" s="3801"/>
      <c r="AOJ60" s="3801"/>
      <c r="AOK60" s="3801"/>
      <c r="AOL60" s="3801"/>
      <c r="AOM60" s="3801"/>
      <c r="AON60" s="181"/>
      <c r="AOO60" s="5841"/>
      <c r="AOP60" s="5841"/>
      <c r="AOQ60" s="5841"/>
      <c r="AOR60" s="5841"/>
      <c r="AOS60" s="5841"/>
      <c r="AOT60" s="5841"/>
      <c r="AOU60" s="5841"/>
      <c r="AOV60" s="5842"/>
      <c r="AOW60" s="5842"/>
      <c r="AOX60" s="5842"/>
      <c r="AOY60" s="5842"/>
      <c r="AOZ60" s="5842"/>
      <c r="APA60" s="5842"/>
      <c r="APB60" s="5842"/>
      <c r="APC60" s="5842"/>
      <c r="APD60" s="5842"/>
      <c r="APE60" s="5842"/>
      <c r="APF60" s="5841"/>
      <c r="APG60" s="5841"/>
      <c r="APH60" s="5841"/>
      <c r="API60" s="5841"/>
      <c r="APJ60" s="5841"/>
      <c r="APK60" s="5841"/>
      <c r="APL60" s="5841"/>
      <c r="APM60" s="5841"/>
      <c r="APN60" s="5841"/>
      <c r="APO60" s="5841"/>
      <c r="APP60" s="5841"/>
      <c r="APQ60" s="5841"/>
      <c r="APR60" s="5841"/>
      <c r="APS60" s="5841"/>
      <c r="APT60" s="5841"/>
      <c r="APU60" s="5841"/>
      <c r="APV60" s="5841"/>
      <c r="APW60" s="5841"/>
      <c r="APX60" s="5841"/>
      <c r="APY60" s="5841"/>
      <c r="APZ60" s="5841"/>
      <c r="AQA60" s="5841"/>
      <c r="AQB60" s="5841"/>
      <c r="AQC60" s="5841"/>
      <c r="AQD60" s="5841"/>
      <c r="AQE60" s="5841"/>
      <c r="AQF60" s="5841"/>
      <c r="AQG60" s="5841"/>
      <c r="AQH60" s="5841"/>
      <c r="AQI60" s="5841"/>
      <c r="AQJ60" s="5841"/>
      <c r="AQK60" s="5841"/>
      <c r="AQL60" s="5841"/>
      <c r="AQM60" s="3801"/>
      <c r="AQN60" s="5841"/>
      <c r="AQO60" s="5841"/>
      <c r="AQP60" s="5841"/>
      <c r="AQQ60" s="5841"/>
      <c r="AQR60" s="5841"/>
      <c r="AQS60" s="5841"/>
      <c r="AQT60" s="5841"/>
      <c r="AQU60" s="5841"/>
      <c r="AQV60" s="5841"/>
      <c r="AQW60" s="5841"/>
      <c r="AQX60" s="5841"/>
      <c r="AQY60" s="5841"/>
      <c r="AQZ60" s="5841"/>
      <c r="ARA60" s="5841"/>
      <c r="ARB60" s="5841"/>
      <c r="ARC60" s="5841"/>
      <c r="ARD60" s="5841"/>
      <c r="ARE60" s="5841"/>
      <c r="ARF60" s="5841"/>
      <c r="ARG60" s="5841"/>
      <c r="ARH60" s="5841"/>
      <c r="ARI60" s="5841"/>
      <c r="ARJ60" s="5841"/>
      <c r="ARK60" s="5841"/>
      <c r="ARL60" s="5841"/>
      <c r="ART60" s="5843"/>
      <c r="ASA60" s="2625"/>
      <c r="ASJ60" s="2625"/>
      <c r="ASK60" s="2737"/>
      <c r="ASL60" s="2737"/>
      <c r="ASM60" s="2737"/>
      <c r="ASN60" s="2737"/>
      <c r="ASO60" s="2737"/>
      <c r="ASP60" s="2737"/>
      <c r="ASQ60" s="2737"/>
      <c r="ASR60" s="2737"/>
      <c r="ASS60" s="2737"/>
      <c r="ATA60" s="2625"/>
      <c r="AYJ60" s="181"/>
      <c r="AYK60" s="181"/>
      <c r="AYL60" s="181"/>
      <c r="AYM60" s="181"/>
      <c r="AYN60" s="181"/>
      <c r="AYO60" s="181"/>
      <c r="AYP60" s="181"/>
      <c r="AYQ60" s="181"/>
      <c r="AYR60" s="181"/>
      <c r="AYS60" s="181"/>
      <c r="AYT60" s="181"/>
      <c r="AYU60" s="181"/>
      <c r="AYV60" s="181"/>
      <c r="AYW60" s="181"/>
      <c r="AYX60" s="181"/>
      <c r="AYY60" s="181"/>
      <c r="AYZ60" s="181"/>
      <c r="AZA60" s="181"/>
      <c r="AZB60" s="181"/>
      <c r="AZC60" s="181"/>
      <c r="AZD60" s="181"/>
      <c r="AZE60" s="181"/>
      <c r="AZF60" s="181"/>
      <c r="AZG60" s="181"/>
      <c r="AZH60" s="181"/>
      <c r="AZI60" s="181"/>
      <c r="AZJ60" s="181"/>
      <c r="AZK60" s="181"/>
      <c r="AZL60" s="181"/>
      <c r="AZM60" s="181"/>
      <c r="AZN60" s="181"/>
      <c r="AZO60" s="181"/>
      <c r="AZP60" s="181"/>
      <c r="AZQ60" s="181"/>
      <c r="AZR60" s="181"/>
      <c r="AZS60" s="181"/>
      <c r="AZT60" s="181"/>
      <c r="AZU60" s="181"/>
      <c r="AZV60" s="181"/>
      <c r="AZW60" s="181"/>
      <c r="AZX60" s="181"/>
      <c r="AZY60" s="181"/>
      <c r="AZZ60" s="181"/>
      <c r="BAA60" s="181"/>
      <c r="BAB60" s="181"/>
      <c r="BAC60" s="181"/>
      <c r="BAD60" s="181"/>
      <c r="BAE60" s="181"/>
      <c r="BBY60" s="2690"/>
      <c r="BBZ60" s="2690" t="s">
        <v>1178</v>
      </c>
      <c r="BCC60" s="181"/>
      <c r="BFE60" s="3398"/>
    </row>
    <row r="61" spans="32:1513" x14ac:dyDescent="0.2">
      <c r="AF61" s="4200"/>
      <c r="AH61" s="206" t="s">
        <v>62</v>
      </c>
      <c r="AI61" s="199">
        <f>_Calcs!$HI$25</f>
        <v>0</v>
      </c>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LF61" s="181"/>
      <c r="LG61" s="181"/>
      <c r="LH61" s="181"/>
      <c r="LI61" s="181"/>
      <c r="LJ61" s="181"/>
      <c r="LK61" s="181"/>
      <c r="LL61" s="181"/>
      <c r="LM61" s="181"/>
      <c r="LN61" s="181"/>
      <c r="LO61" s="181"/>
      <c r="LP61" s="181"/>
      <c r="LQ61" s="181"/>
      <c r="LR61" s="181"/>
      <c r="LS61" s="181"/>
      <c r="LT61" s="181"/>
      <c r="LU61" s="181"/>
      <c r="LV61" s="181"/>
      <c r="LW61" s="181"/>
      <c r="LX61" s="181"/>
      <c r="LY61" s="181"/>
      <c r="LZ61" s="181"/>
      <c r="MA61" s="181"/>
      <c r="MB61" s="181"/>
      <c r="MC61" s="181"/>
      <c r="MD61" s="181"/>
      <c r="ME61" s="181"/>
      <c r="MF61" s="181"/>
      <c r="MG61" s="181"/>
      <c r="MH61" s="181"/>
      <c r="MI61" s="181"/>
      <c r="MJ61" s="181"/>
      <c r="MK61" s="181"/>
      <c r="ML61" s="181"/>
      <c r="MM61" s="181"/>
      <c r="MN61" s="181"/>
      <c r="MO61" s="181"/>
      <c r="MP61" s="181"/>
      <c r="MQ61" s="181"/>
      <c r="MR61" s="181"/>
      <c r="MS61" s="181"/>
      <c r="MT61" s="181"/>
      <c r="MU61" s="181"/>
      <c r="MV61" s="181"/>
      <c r="MW61" s="181"/>
      <c r="MX61" s="181"/>
      <c r="MY61" s="181"/>
      <c r="MZ61" s="181"/>
      <c r="NA61" s="181"/>
      <c r="NB61" s="181"/>
      <c r="NC61" s="181"/>
      <c r="ND61" s="181"/>
      <c r="NE61" s="181"/>
      <c r="NF61" s="181"/>
      <c r="NG61" s="181"/>
      <c r="NH61" s="181"/>
      <c r="NI61" s="181"/>
      <c r="NJ61" s="181"/>
      <c r="NK61" s="181"/>
      <c r="NL61" s="181"/>
      <c r="NM61" s="181"/>
      <c r="NN61" s="181"/>
      <c r="NO61" s="181"/>
      <c r="NP61" s="181"/>
      <c r="NQ61" s="181"/>
      <c r="NR61" s="181"/>
      <c r="NS61" s="181"/>
      <c r="NT61" s="181"/>
      <c r="NU61" s="181"/>
      <c r="NV61" s="181"/>
      <c r="NW61" s="181"/>
      <c r="NX61" s="181"/>
      <c r="NY61" s="181"/>
      <c r="NZ61" s="181"/>
      <c r="OA61" s="181"/>
      <c r="OB61" s="181"/>
      <c r="OC61" s="181"/>
      <c r="OD61" s="181"/>
      <c r="OE61" s="181"/>
      <c r="OF61" s="181"/>
      <c r="OG61" s="181"/>
      <c r="OH61" s="181"/>
      <c r="OI61" s="181"/>
      <c r="OJ61" s="181"/>
      <c r="OK61" s="181"/>
      <c r="OL61" s="181"/>
      <c r="OM61" s="181"/>
      <c r="ON61" s="181"/>
      <c r="OO61" s="181"/>
      <c r="OP61" s="181"/>
      <c r="OQ61" s="181"/>
      <c r="OR61" s="181"/>
      <c r="OS61" s="181"/>
      <c r="OT61" s="181"/>
      <c r="OU61" s="181"/>
      <c r="OV61" s="181"/>
      <c r="OW61" s="181"/>
      <c r="OX61" s="181"/>
      <c r="OY61" s="181"/>
      <c r="OZ61" s="181"/>
      <c r="PA61" s="181"/>
      <c r="PB61" s="181"/>
      <c r="PC61" s="181"/>
      <c r="PD61" s="181"/>
      <c r="PE61" s="181"/>
      <c r="PF61" s="181"/>
      <c r="PG61" s="181"/>
      <c r="PH61" s="181"/>
      <c r="PI61" s="181"/>
      <c r="PJ61" s="181"/>
      <c r="PK61" s="181"/>
      <c r="PL61" s="181"/>
      <c r="PM61" s="181"/>
      <c r="PN61" s="181"/>
      <c r="PO61" s="181"/>
      <c r="PP61" s="181"/>
      <c r="PQ61" s="181"/>
      <c r="PR61" s="181"/>
      <c r="PS61" s="181"/>
      <c r="PT61" s="181"/>
      <c r="PU61" s="181"/>
      <c r="PV61" s="181"/>
      <c r="PW61" s="181"/>
      <c r="PX61" s="181"/>
      <c r="PY61" s="181"/>
      <c r="PZ61" s="181"/>
      <c r="QA61" s="181"/>
      <c r="QB61" s="181"/>
      <c r="QC61" s="181"/>
      <c r="QD61" s="181"/>
      <c r="QE61" s="181"/>
      <c r="QF61" s="181"/>
      <c r="QG61" s="181"/>
      <c r="QH61" s="181"/>
      <c r="QI61" s="181"/>
      <c r="QJ61" s="181"/>
      <c r="QK61" s="181"/>
      <c r="QL61" s="181"/>
      <c r="QM61" s="181"/>
      <c r="QN61" s="181"/>
      <c r="QO61" s="181"/>
      <c r="QP61" s="181"/>
      <c r="QQ61" s="181"/>
      <c r="QR61" s="181"/>
      <c r="QS61" s="181"/>
      <c r="QT61" s="181"/>
      <c r="QU61" s="181"/>
      <c r="QV61" s="181"/>
      <c r="QW61" s="181"/>
      <c r="QX61" s="181"/>
      <c r="QY61" s="181"/>
      <c r="QZ61" s="181"/>
      <c r="RA61" s="181"/>
      <c r="RB61" s="181"/>
      <c r="RC61" s="181"/>
      <c r="RD61" s="181"/>
      <c r="RE61" s="181"/>
      <c r="RF61" s="181"/>
      <c r="RG61" s="181"/>
      <c r="RH61" s="181"/>
      <c r="RI61" s="181"/>
      <c r="RJ61" s="181"/>
      <c r="RK61" s="181"/>
      <c r="RL61" s="181"/>
      <c r="RM61" s="181"/>
      <c r="RN61" s="181"/>
      <c r="RO61" s="181"/>
      <c r="RP61" s="181"/>
      <c r="RQ61" s="181"/>
      <c r="RR61" s="181"/>
      <c r="RS61" s="181"/>
      <c r="RT61" s="181"/>
      <c r="RU61" s="181"/>
      <c r="RV61" s="181"/>
      <c r="RW61" s="181"/>
      <c r="RX61" s="181"/>
      <c r="RY61" s="181"/>
      <c r="RZ61" s="181"/>
      <c r="SA61" s="181"/>
      <c r="SB61" s="181"/>
      <c r="SC61" s="181"/>
      <c r="SD61" s="181"/>
      <c r="SE61" s="181"/>
      <c r="SF61" s="181"/>
      <c r="SG61" s="181"/>
      <c r="SH61" s="181"/>
      <c r="SI61" s="181"/>
      <c r="SJ61" s="181"/>
      <c r="SK61" s="181"/>
      <c r="SL61" s="181"/>
      <c r="SM61" s="181"/>
      <c r="SN61" s="181"/>
      <c r="SO61" s="181"/>
      <c r="SP61" s="181"/>
      <c r="SQ61" s="181"/>
      <c r="SR61" s="181"/>
      <c r="SS61" s="181"/>
      <c r="ST61" s="181"/>
      <c r="SU61" s="181"/>
      <c r="SV61" s="181"/>
      <c r="SW61" s="181"/>
      <c r="SX61" s="181"/>
      <c r="SY61" s="181"/>
      <c r="SZ61" s="181"/>
      <c r="TA61" s="181"/>
      <c r="TB61" s="181"/>
      <c r="TC61" s="181"/>
      <c r="TD61" s="181"/>
      <c r="TE61" s="181"/>
      <c r="TF61" s="181"/>
      <c r="TG61" s="181"/>
      <c r="TH61" s="181"/>
      <c r="TI61" s="181"/>
      <c r="TJ61" s="181"/>
      <c r="TK61" s="181"/>
      <c r="TL61" s="181"/>
      <c r="TM61" s="181"/>
      <c r="TN61" s="181"/>
      <c r="TO61" s="181"/>
      <c r="TP61" s="181"/>
      <c r="TQ61" s="181"/>
      <c r="TR61" s="181"/>
      <c r="TS61" s="181"/>
      <c r="TT61" s="181"/>
      <c r="TU61" s="181"/>
      <c r="TV61" s="181"/>
      <c r="TW61" s="181"/>
      <c r="TX61" s="181"/>
      <c r="TY61" s="181"/>
      <c r="TZ61" s="181"/>
      <c r="UA61" s="181"/>
      <c r="UB61" s="181"/>
      <c r="UC61" s="181"/>
      <c r="UD61" s="181"/>
      <c r="UE61" s="181"/>
      <c r="UF61" s="181"/>
      <c r="UG61" s="181"/>
      <c r="UH61" s="181"/>
      <c r="UI61" s="181"/>
      <c r="UJ61" s="181"/>
      <c r="UK61" s="181"/>
      <c r="UL61" s="181"/>
      <c r="UM61" s="181"/>
      <c r="UN61" s="181"/>
      <c r="UO61" s="181"/>
      <c r="UP61" s="181"/>
      <c r="UQ61" s="181"/>
      <c r="UR61" s="181"/>
      <c r="US61" s="181"/>
      <c r="UT61" s="181"/>
      <c r="UU61" s="181"/>
      <c r="UV61" s="181"/>
      <c r="UW61" s="181"/>
      <c r="UX61" s="181"/>
      <c r="UY61" s="181"/>
      <c r="UZ61" s="181"/>
      <c r="VA61" s="181"/>
      <c r="VB61" s="181"/>
      <c r="VC61" s="181"/>
      <c r="VD61" s="181"/>
      <c r="VE61" s="181"/>
      <c r="VF61" s="181"/>
      <c r="VG61" s="181"/>
      <c r="VH61" s="181"/>
      <c r="VI61" s="181"/>
      <c r="VJ61" s="181"/>
      <c r="VK61" s="181"/>
      <c r="VL61" s="181"/>
      <c r="VM61" s="181"/>
      <c r="VN61" s="181"/>
      <c r="VO61" s="181"/>
      <c r="VP61" s="181"/>
      <c r="VQ61" s="181"/>
      <c r="VR61" s="181"/>
      <c r="AAW61" s="2622"/>
      <c r="AAX61" s="2622"/>
      <c r="AAY61" s="2622"/>
      <c r="AAZ61" s="2622"/>
      <c r="ABA61" s="3771" t="s">
        <v>1553</v>
      </c>
      <c r="ABB61" s="3770"/>
      <c r="ABC61" s="3770"/>
      <c r="ABD61" s="3770"/>
      <c r="ABE61" s="3770"/>
      <c r="ABF61" s="3770"/>
      <c r="ABG61" s="3770"/>
      <c r="ABH61" s="3770"/>
      <c r="ABI61" s="3770"/>
      <c r="ABJ61" s="2622"/>
      <c r="ABK61" s="3770"/>
      <c r="ABL61" s="3770"/>
      <c r="ABM61" s="3770"/>
      <c r="ABN61" s="3770"/>
      <c r="ABO61" s="3770"/>
      <c r="ABP61" s="3770"/>
      <c r="ABQ61" s="3770"/>
      <c r="ABR61" s="3770"/>
      <c r="ABS61" s="3770"/>
      <c r="ABT61" s="2622"/>
      <c r="ABU61" s="3770"/>
      <c r="ABV61" s="3770"/>
      <c r="ABW61" s="3770"/>
      <c r="ABX61" s="3770"/>
      <c r="ABY61" s="3770"/>
      <c r="ABZ61" s="3770"/>
      <c r="ACA61" s="3770"/>
      <c r="ACB61" s="3770"/>
      <c r="ACC61" s="3770"/>
      <c r="ACD61" s="2737"/>
      <c r="ACE61" s="3770"/>
      <c r="ACF61" s="3770"/>
      <c r="ACG61" s="3770"/>
      <c r="ACH61" s="3770"/>
      <c r="ACI61" s="3770"/>
      <c r="ACJ61" s="3770"/>
      <c r="ACK61" s="3770"/>
      <c r="ACL61" s="3770"/>
      <c r="ACM61" s="3770"/>
      <c r="ACN61" s="3770"/>
      <c r="ACO61" s="3770"/>
      <c r="ACP61" s="3770"/>
      <c r="ACQ61" s="3770"/>
      <c r="ACR61" s="3770"/>
      <c r="ACS61" s="3770"/>
      <c r="ACT61" s="3770"/>
      <c r="ACU61" s="3770"/>
      <c r="ACV61" s="3770"/>
      <c r="ACW61" s="3770"/>
      <c r="ACX61" s="3770"/>
      <c r="ACY61" s="3770"/>
      <c r="ACZ61" s="3770"/>
      <c r="ADA61" s="3770"/>
      <c r="ADB61" s="3770"/>
      <c r="ADC61" s="3770"/>
      <c r="ADD61" s="3770"/>
      <c r="ADE61" s="3770"/>
      <c r="ADF61" s="2737"/>
      <c r="ADH61" s="2737"/>
      <c r="ADI61" s="2737"/>
      <c r="ADJ61" s="2737"/>
      <c r="ADK61" s="2737"/>
      <c r="ADL61" s="2737"/>
      <c r="ADM61" s="2737"/>
      <c r="ADN61" s="2737"/>
      <c r="ADO61" s="2737"/>
      <c r="ADQ61" s="2737"/>
      <c r="ADR61" s="2737"/>
      <c r="ADS61" s="2737"/>
      <c r="ADT61" s="2737"/>
      <c r="ADU61" s="2737"/>
      <c r="ADV61" s="2737"/>
      <c r="ADW61" s="2737"/>
      <c r="ADX61" s="2737"/>
      <c r="ADY61" s="2737"/>
      <c r="ADZ61" s="2737"/>
      <c r="AEA61" s="2737"/>
      <c r="AEB61" s="2737"/>
      <c r="AEC61" s="2737"/>
      <c r="AED61" s="2737"/>
      <c r="AEE61" s="2737"/>
      <c r="AEF61" s="2737"/>
      <c r="AEG61" s="2737"/>
      <c r="AEH61" s="2737"/>
      <c r="AEI61" s="2737"/>
      <c r="AEJ61" s="2737"/>
      <c r="AEK61" s="2737"/>
      <c r="AEL61" s="2737"/>
      <c r="AEM61" s="2737"/>
      <c r="AEN61" s="2737"/>
      <c r="AEO61" s="2737"/>
      <c r="AEP61" s="2737"/>
      <c r="AEQ61" s="2737"/>
      <c r="AER61" s="2737"/>
      <c r="AES61" s="2737"/>
      <c r="AET61" s="2737"/>
      <c r="AEU61" s="2737"/>
      <c r="AEV61" s="2737"/>
      <c r="AEW61" s="2737"/>
      <c r="AEX61" s="2737"/>
      <c r="AFG61" s="2737"/>
      <c r="AFP61" s="2737"/>
      <c r="AFZ61" s="2737"/>
      <c r="AGI61" s="2737"/>
      <c r="AGN61" s="2622"/>
      <c r="AGR61" s="2737"/>
      <c r="AHB61" s="2737"/>
      <c r="AHJ61" s="2737"/>
      <c r="AHV61" s="2737"/>
      <c r="AHY61" s="2622"/>
      <c r="AII61" s="2622"/>
      <c r="AIJ61" s="2622"/>
      <c r="AIR61" s="2622"/>
      <c r="AIS61" s="2622"/>
      <c r="AJP61" s="2737"/>
      <c r="AKD61" s="2737"/>
      <c r="AKU61" s="2622"/>
      <c r="ALL61" s="2622"/>
      <c r="ALM61" s="2737"/>
      <c r="ALW61" s="2737"/>
      <c r="ALX61" s="2737"/>
      <c r="AMG61" s="2737"/>
      <c r="AOI61" s="2737"/>
      <c r="AON61" s="181"/>
      <c r="AOO61" s="181"/>
      <c r="AOP61" s="181"/>
      <c r="AOQ61" s="181"/>
      <c r="AOR61" s="181"/>
      <c r="AOS61" s="181"/>
      <c r="AOT61" s="181"/>
      <c r="AOU61" s="181"/>
      <c r="AOV61" s="2720"/>
      <c r="AOW61" s="2720"/>
      <c r="AOX61" s="2720"/>
      <c r="AOY61" s="2720"/>
      <c r="AOZ61" s="2720"/>
      <c r="APA61" s="2720"/>
      <c r="APB61" s="2720"/>
      <c r="APC61" s="2720"/>
      <c r="APD61" s="2720"/>
      <c r="APE61" s="2720"/>
      <c r="APF61" s="181"/>
      <c r="APG61" s="181"/>
      <c r="APH61" s="181"/>
      <c r="API61" s="181"/>
      <c r="APJ61" s="181"/>
      <c r="APK61" s="181"/>
      <c r="APL61" s="181"/>
      <c r="APM61" s="181"/>
      <c r="APN61" s="181"/>
      <c r="APO61" s="181"/>
      <c r="APP61" s="181"/>
      <c r="APQ61" s="181"/>
      <c r="APR61" s="181"/>
      <c r="APS61" s="181"/>
      <c r="APT61" s="181"/>
      <c r="APU61" s="181"/>
      <c r="APV61" s="181"/>
      <c r="APW61" s="181"/>
      <c r="APX61" s="181"/>
      <c r="APY61" s="181"/>
      <c r="APZ61" s="181"/>
      <c r="AQA61" s="181"/>
      <c r="AQB61" s="181"/>
      <c r="AQC61" s="181"/>
      <c r="AQD61" s="181"/>
      <c r="AQE61" s="181"/>
      <c r="AQF61" s="181"/>
      <c r="AQG61" s="181"/>
      <c r="AQH61" s="181"/>
      <c r="AQI61" s="181"/>
      <c r="AQJ61" s="181"/>
      <c r="AQK61" s="181"/>
      <c r="AQL61" s="181"/>
      <c r="AQN61" s="181"/>
      <c r="AQO61" s="181"/>
      <c r="AQP61" s="181"/>
      <c r="AQQ61" s="181"/>
      <c r="AQR61" s="181"/>
      <c r="AQS61" s="181"/>
      <c r="AQT61" s="181"/>
      <c r="AQU61" s="181"/>
      <c r="AQV61" s="181"/>
      <c r="AQW61" s="181"/>
      <c r="AQX61" s="181"/>
      <c r="AQY61" s="181"/>
      <c r="AQZ61" s="181"/>
      <c r="ARA61" s="181"/>
      <c r="ARB61" s="181"/>
      <c r="ARC61" s="181"/>
      <c r="ARD61" s="181"/>
      <c r="ARE61" s="181"/>
      <c r="ARF61" s="181"/>
      <c r="ARG61" s="181"/>
      <c r="ARH61" s="181"/>
      <c r="ARI61" s="181"/>
      <c r="ARJ61" s="181"/>
      <c r="ARK61" s="181"/>
      <c r="ARL61" s="181"/>
      <c r="ASA61" s="2622"/>
      <c r="ASJ61" s="2622"/>
      <c r="ASK61" s="2737"/>
      <c r="ASL61" s="2737"/>
      <c r="ASM61" s="2737"/>
      <c r="ASN61" s="2737"/>
      <c r="ASO61" s="2737"/>
      <c r="ASP61" s="2737"/>
      <c r="ASQ61" s="2737"/>
      <c r="ASR61" s="2737"/>
      <c r="ASS61" s="2737"/>
      <c r="ATA61" s="2622"/>
      <c r="AUU61" s="2617"/>
      <c r="AUV61" s="181"/>
      <c r="AUW61" s="181"/>
      <c r="AUX61" s="181"/>
      <c r="AUY61" s="181"/>
      <c r="AUZ61" s="181"/>
      <c r="AVA61" s="181"/>
      <c r="AVB61" s="181"/>
      <c r="AVC61" s="181"/>
      <c r="AVD61" s="181"/>
      <c r="AVE61" s="181"/>
      <c r="AVF61" s="181"/>
      <c r="AVG61" s="181"/>
      <c r="AVH61" s="181"/>
      <c r="AVI61" s="181"/>
      <c r="AVJ61" s="181"/>
      <c r="AVK61" s="181"/>
      <c r="AVL61" s="181"/>
      <c r="AVM61" s="181"/>
      <c r="AVN61" s="181"/>
      <c r="AVO61" s="181"/>
      <c r="AVP61" s="181"/>
      <c r="AVQ61" s="181"/>
      <c r="AVR61" s="181"/>
      <c r="AVS61" s="181"/>
      <c r="AVT61" s="181"/>
      <c r="AVU61" s="181"/>
      <c r="AVV61" s="181"/>
      <c r="AVW61" s="181"/>
      <c r="AVX61" s="181"/>
      <c r="AVY61" s="181"/>
      <c r="AVZ61" s="181"/>
      <c r="AWA61" s="181"/>
      <c r="AWB61" s="181"/>
      <c r="AWC61" s="181"/>
      <c r="AWD61" s="181"/>
      <c r="AWE61" s="181"/>
      <c r="AWF61" s="181"/>
      <c r="AWG61" s="181"/>
      <c r="AWH61" s="181"/>
      <c r="AWI61" s="181"/>
      <c r="AWJ61" s="181"/>
      <c r="AWK61" s="181"/>
      <c r="AWL61" s="181"/>
      <c r="AWM61" s="181"/>
      <c r="AWN61" s="181"/>
      <c r="AWO61" s="181"/>
      <c r="AWP61" s="181"/>
      <c r="AWQ61" s="181"/>
      <c r="AWR61" s="2617"/>
      <c r="AWS61" s="2617"/>
      <c r="AWT61" s="2617"/>
      <c r="AWU61" s="2617"/>
      <c r="AWV61" s="2617"/>
      <c r="AWW61" s="2617"/>
      <c r="AWX61" s="2617"/>
      <c r="AWY61" s="2617"/>
      <c r="AWZ61" s="2617"/>
      <c r="AXA61" s="2617"/>
      <c r="AXB61" s="2617"/>
      <c r="AXC61" s="2617"/>
      <c r="AXD61" s="2617"/>
      <c r="AXE61" s="2617"/>
      <c r="AXF61" s="2617"/>
      <c r="AXG61" s="2617"/>
      <c r="AXH61" s="2617"/>
      <c r="AXI61" s="2617"/>
      <c r="AXJ61" s="2617"/>
      <c r="AXK61" s="2617"/>
      <c r="BBY61" s="2690"/>
      <c r="BBZ61" s="2690" t="s">
        <v>1179</v>
      </c>
      <c r="BCC61" s="181"/>
      <c r="BDL61" s="2617"/>
      <c r="BDZ61" s="2617"/>
      <c r="BFE61" s="3398"/>
    </row>
    <row r="62" spans="32:1513" ht="31.5" thickBot="1" x14ac:dyDescent="0.25">
      <c r="AF62" s="5811"/>
      <c r="AH62" s="185" t="s">
        <v>2648</v>
      </c>
      <c r="AI62" s="199" t="b">
        <f>ISBLANK((Tunneldrift!$AD$82))</f>
        <v>1</v>
      </c>
      <c r="AK62" s="5885"/>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c r="GB62" s="181"/>
      <c r="GC62" s="181"/>
      <c r="GD62" s="181"/>
      <c r="GE62" s="181"/>
      <c r="GF62" s="181"/>
      <c r="GG62" s="181"/>
      <c r="GH62" s="181"/>
      <c r="GI62" s="181"/>
      <c r="GJ62" s="181"/>
      <c r="GK62" s="181"/>
      <c r="GL62" s="181"/>
      <c r="GM62" s="181"/>
      <c r="GN62" s="181"/>
      <c r="GO62" s="181"/>
      <c r="GP62" s="181"/>
      <c r="GQ62" s="181"/>
      <c r="GR62" s="181"/>
      <c r="GS62" s="181"/>
      <c r="GT62" s="181"/>
      <c r="GU62" s="181"/>
      <c r="GV62" s="181"/>
      <c r="GW62" s="181"/>
      <c r="GX62" s="181"/>
      <c r="GY62" s="181"/>
      <c r="GZ62" s="181"/>
      <c r="HA62" s="181"/>
      <c r="HB62" s="181"/>
      <c r="HC62" s="181"/>
      <c r="HD62" s="181"/>
      <c r="HE62" s="181"/>
      <c r="HF62" s="181"/>
      <c r="HG62" s="181"/>
      <c r="HH62" s="181"/>
      <c r="HI62" s="181"/>
      <c r="HJ62" s="181"/>
      <c r="HK62" s="181"/>
      <c r="HL62" s="181"/>
      <c r="HM62" s="181"/>
      <c r="HN62" s="181"/>
      <c r="HO62" s="181"/>
      <c r="HP62" s="181"/>
      <c r="HQ62" s="181"/>
      <c r="LF62" s="181"/>
      <c r="LG62" s="181"/>
      <c r="LH62" s="181"/>
      <c r="LI62" s="181"/>
      <c r="LJ62" s="181"/>
      <c r="LK62" s="181"/>
      <c r="LL62" s="181"/>
      <c r="LM62" s="181"/>
      <c r="LN62" s="181"/>
      <c r="LO62" s="181"/>
      <c r="LP62" s="181"/>
      <c r="LQ62" s="181"/>
      <c r="LR62" s="181"/>
      <c r="LS62" s="181"/>
      <c r="LT62" s="181"/>
      <c r="LU62" s="181"/>
      <c r="LV62" s="181"/>
      <c r="LW62" s="181"/>
      <c r="LX62" s="181"/>
      <c r="LY62" s="181"/>
      <c r="LZ62" s="181"/>
      <c r="MA62" s="181"/>
      <c r="MB62" s="181"/>
      <c r="MC62" s="181"/>
      <c r="MD62" s="181"/>
      <c r="ME62" s="181"/>
      <c r="MF62" s="181"/>
      <c r="MG62" s="181"/>
      <c r="MH62" s="181"/>
      <c r="MI62" s="181"/>
      <c r="MJ62" s="181"/>
      <c r="MK62" s="181"/>
      <c r="ML62" s="181"/>
      <c r="MM62" s="181"/>
      <c r="MN62" s="181"/>
      <c r="MO62" s="181"/>
      <c r="MP62" s="181"/>
      <c r="MQ62" s="181"/>
      <c r="MR62" s="181"/>
      <c r="MS62" s="181"/>
      <c r="MT62" s="181"/>
      <c r="MU62" s="181"/>
      <c r="MV62" s="181"/>
      <c r="MW62" s="181"/>
      <c r="MX62" s="181"/>
      <c r="MY62" s="181"/>
      <c r="MZ62" s="181"/>
      <c r="NA62" s="181"/>
      <c r="NB62" s="181"/>
      <c r="NC62" s="181"/>
      <c r="ND62" s="181"/>
      <c r="NE62" s="181"/>
      <c r="NF62" s="181"/>
      <c r="NG62" s="181"/>
      <c r="NH62" s="181"/>
      <c r="NI62" s="181"/>
      <c r="NJ62" s="181"/>
      <c r="NK62" s="181"/>
      <c r="NL62" s="181"/>
      <c r="NM62" s="181"/>
      <c r="NN62" s="181"/>
      <c r="NO62" s="181"/>
      <c r="NP62" s="181"/>
      <c r="NQ62" s="181"/>
      <c r="NR62" s="181"/>
      <c r="NS62" s="181"/>
      <c r="NT62" s="181"/>
      <c r="NU62" s="181"/>
      <c r="NV62" s="181"/>
      <c r="NW62" s="181"/>
      <c r="NX62" s="181"/>
      <c r="NY62" s="181"/>
      <c r="NZ62" s="181"/>
      <c r="OA62" s="181"/>
      <c r="OB62" s="181"/>
      <c r="OC62" s="181"/>
      <c r="OD62" s="181"/>
      <c r="OE62" s="181"/>
      <c r="OF62" s="181"/>
      <c r="OG62" s="181"/>
      <c r="OH62" s="181"/>
      <c r="OI62" s="181"/>
      <c r="OJ62" s="181"/>
      <c r="OK62" s="181"/>
      <c r="OL62" s="181"/>
      <c r="OM62" s="181"/>
      <c r="ON62" s="181"/>
      <c r="OO62" s="181"/>
      <c r="OP62" s="181"/>
      <c r="OQ62" s="181"/>
      <c r="OR62" s="181"/>
      <c r="OS62" s="181"/>
      <c r="OT62" s="181"/>
      <c r="OU62" s="181"/>
      <c r="OV62" s="181"/>
      <c r="OW62" s="181"/>
      <c r="OX62" s="181"/>
      <c r="OY62" s="181"/>
      <c r="OZ62" s="181"/>
      <c r="PA62" s="181"/>
      <c r="PB62" s="181"/>
      <c r="PC62" s="181"/>
      <c r="PD62" s="181"/>
      <c r="PE62" s="181"/>
      <c r="PF62" s="181"/>
      <c r="PG62" s="181"/>
      <c r="PH62" s="181"/>
      <c r="PI62" s="181"/>
      <c r="PJ62" s="181"/>
      <c r="PK62" s="181"/>
      <c r="PL62" s="181"/>
      <c r="PM62" s="181"/>
      <c r="PN62" s="181"/>
      <c r="PO62" s="181"/>
      <c r="PP62" s="181"/>
      <c r="PQ62" s="181"/>
      <c r="PR62" s="181"/>
      <c r="PS62" s="181"/>
      <c r="PT62" s="181"/>
      <c r="PU62" s="181"/>
      <c r="PV62" s="181"/>
      <c r="PW62" s="181"/>
      <c r="PX62" s="181"/>
      <c r="PY62" s="181"/>
      <c r="PZ62" s="181"/>
      <c r="QA62" s="181"/>
      <c r="QB62" s="181"/>
      <c r="QC62" s="181"/>
      <c r="QD62" s="181"/>
      <c r="QE62" s="181"/>
      <c r="QF62" s="181"/>
      <c r="QG62" s="181"/>
      <c r="QH62" s="181"/>
      <c r="QI62" s="181"/>
      <c r="QJ62" s="181"/>
      <c r="QK62" s="181"/>
      <c r="QL62" s="181"/>
      <c r="QM62" s="181"/>
      <c r="QN62" s="181"/>
      <c r="QO62" s="181"/>
      <c r="QP62" s="181"/>
      <c r="QQ62" s="181"/>
      <c r="QR62" s="181"/>
      <c r="QS62" s="181"/>
      <c r="QT62" s="181"/>
      <c r="QU62" s="181"/>
      <c r="QV62" s="181"/>
      <c r="QW62" s="181"/>
      <c r="QX62" s="181"/>
      <c r="QY62" s="181"/>
      <c r="QZ62" s="181"/>
      <c r="RA62" s="181"/>
      <c r="RB62" s="181"/>
      <c r="RC62" s="181"/>
      <c r="RD62" s="181"/>
      <c r="RE62" s="181"/>
      <c r="RF62" s="181"/>
      <c r="RG62" s="181"/>
      <c r="RH62" s="181"/>
      <c r="RI62" s="181"/>
      <c r="RJ62" s="181"/>
      <c r="RK62" s="181"/>
      <c r="RL62" s="181"/>
      <c r="RM62" s="181"/>
      <c r="RN62" s="181"/>
      <c r="RO62" s="181"/>
      <c r="RP62" s="181"/>
      <c r="RQ62" s="181"/>
      <c r="RR62" s="181"/>
      <c r="RS62" s="181"/>
      <c r="RT62" s="181"/>
      <c r="RU62" s="181"/>
      <c r="RV62" s="181"/>
      <c r="RW62" s="181"/>
      <c r="RX62" s="181"/>
      <c r="RY62" s="181"/>
      <c r="RZ62" s="181"/>
      <c r="SA62" s="181"/>
      <c r="SB62" s="181"/>
      <c r="SC62" s="181"/>
      <c r="SD62" s="181"/>
      <c r="SE62" s="181"/>
      <c r="SF62" s="181"/>
      <c r="SG62" s="181"/>
      <c r="SH62" s="181"/>
      <c r="SI62" s="181"/>
      <c r="SJ62" s="181"/>
      <c r="SK62" s="181"/>
      <c r="SL62" s="181"/>
      <c r="SM62" s="181"/>
      <c r="SN62" s="181"/>
      <c r="SO62" s="181"/>
      <c r="SP62" s="181"/>
      <c r="SQ62" s="181"/>
      <c r="SR62" s="181"/>
      <c r="SS62" s="181"/>
      <c r="ST62" s="181"/>
      <c r="SU62" s="181"/>
      <c r="SV62" s="181"/>
      <c r="SW62" s="181"/>
      <c r="SX62" s="181"/>
      <c r="SY62" s="181"/>
      <c r="SZ62" s="181"/>
      <c r="TA62" s="181"/>
      <c r="TB62" s="181"/>
      <c r="TC62" s="181"/>
      <c r="TD62" s="181"/>
      <c r="TE62" s="181"/>
      <c r="TF62" s="181"/>
      <c r="TG62" s="181"/>
      <c r="TH62" s="181"/>
      <c r="TI62" s="181"/>
      <c r="TJ62" s="181"/>
      <c r="TK62" s="181"/>
      <c r="TL62" s="181"/>
      <c r="TM62" s="181"/>
      <c r="TN62" s="181"/>
      <c r="TO62" s="181"/>
      <c r="TP62" s="181"/>
      <c r="TQ62" s="181"/>
      <c r="TR62" s="181"/>
      <c r="TS62" s="181"/>
      <c r="TT62" s="181"/>
      <c r="TU62" s="181"/>
      <c r="TV62" s="181"/>
      <c r="TW62" s="181"/>
      <c r="TX62" s="181"/>
      <c r="TY62" s="181"/>
      <c r="TZ62" s="181"/>
      <c r="UA62" s="181"/>
      <c r="UB62" s="181"/>
      <c r="UC62" s="181"/>
      <c r="UD62" s="181"/>
      <c r="UE62" s="181"/>
      <c r="UF62" s="181"/>
      <c r="UG62" s="181"/>
      <c r="UH62" s="181"/>
      <c r="UI62" s="181"/>
      <c r="UJ62" s="181"/>
      <c r="UK62" s="181"/>
      <c r="UL62" s="181"/>
      <c r="UM62" s="181"/>
      <c r="UN62" s="181"/>
      <c r="UO62" s="181"/>
      <c r="UP62" s="181"/>
      <c r="UQ62" s="181"/>
      <c r="UR62" s="181"/>
      <c r="US62" s="181"/>
      <c r="UT62" s="181"/>
      <c r="UU62" s="181"/>
      <c r="UV62" s="181"/>
      <c r="UW62" s="181"/>
      <c r="UX62" s="181"/>
      <c r="UY62" s="181"/>
      <c r="UZ62" s="181"/>
      <c r="VA62" s="181"/>
      <c r="VB62" s="181"/>
      <c r="VC62" s="181"/>
      <c r="VD62" s="181"/>
      <c r="VE62" s="181"/>
      <c r="VF62" s="181"/>
      <c r="VG62" s="181"/>
      <c r="VH62" s="181"/>
      <c r="VI62" s="181"/>
      <c r="VJ62" s="181"/>
      <c r="VK62" s="181"/>
      <c r="VL62" s="181"/>
      <c r="VM62" s="181"/>
      <c r="VN62" s="181"/>
      <c r="VO62" s="181"/>
      <c r="VP62" s="181"/>
      <c r="VQ62" s="181"/>
      <c r="VR62" s="181"/>
      <c r="AAW62" s="2622"/>
      <c r="AAX62" s="2622"/>
      <c r="AAY62" s="2622"/>
      <c r="AAZ62" s="2622"/>
      <c r="ABA62" s="2622"/>
      <c r="ABB62" s="2737"/>
      <c r="ABC62" s="2737"/>
      <c r="ABD62" s="2737"/>
      <c r="ABE62" s="2737"/>
      <c r="ABF62" s="2737"/>
      <c r="ABG62" s="2737"/>
      <c r="ABH62" s="2737"/>
      <c r="ABI62" s="2737"/>
      <c r="ABJ62" s="2622"/>
      <c r="ABK62" s="2737"/>
      <c r="ABM62" s="2737"/>
      <c r="ABN62" s="2737"/>
      <c r="ABO62" s="2737"/>
      <c r="ABP62" s="2737"/>
      <c r="ABQ62" s="2737"/>
      <c r="ABR62" s="2737"/>
      <c r="ABS62" s="2737"/>
      <c r="ABT62" s="2622"/>
      <c r="ABU62" s="2622"/>
      <c r="ABV62" s="2737"/>
      <c r="ABW62" s="2737"/>
      <c r="ABX62" s="2737"/>
      <c r="ABY62" s="2737"/>
      <c r="ABZ62" s="2737"/>
      <c r="ACA62" s="2737"/>
      <c r="ACB62" s="2737"/>
      <c r="ACC62" s="2737"/>
      <c r="ACD62" s="2737"/>
      <c r="ACE62" s="2622"/>
      <c r="ACF62" s="2737"/>
      <c r="ACG62" s="2737"/>
      <c r="ACH62" s="2737"/>
      <c r="ACI62" s="2737"/>
      <c r="ACJ62" s="2737"/>
      <c r="ACK62" s="2737"/>
      <c r="ACL62" s="2737"/>
      <c r="ACM62" s="2737"/>
      <c r="ACN62" s="2622"/>
      <c r="ACO62" s="2737"/>
      <c r="ACP62" s="2737"/>
      <c r="ACQ62" s="2737"/>
      <c r="ACR62" s="2737"/>
      <c r="ACS62" s="2737"/>
      <c r="ACT62" s="2737"/>
      <c r="ACU62" s="2737"/>
      <c r="ACV62" s="2737"/>
      <c r="ACW62" s="2622"/>
      <c r="ACX62" s="2737"/>
      <c r="ACY62" s="2737"/>
      <c r="ACZ62" s="2737"/>
      <c r="ADA62" s="2737"/>
      <c r="ADB62" s="2737"/>
      <c r="ADC62" s="2737"/>
      <c r="ADD62" s="2737"/>
      <c r="ADE62" s="2737"/>
      <c r="ADF62" s="2737"/>
      <c r="ADH62" s="2737"/>
      <c r="ADI62" s="2737"/>
      <c r="ADJ62" s="2737"/>
      <c r="ADK62" s="2737"/>
      <c r="ADL62" s="2737"/>
      <c r="ADM62" s="2737"/>
      <c r="ADN62" s="2737"/>
      <c r="ADO62" s="2737"/>
      <c r="ADQ62" s="2737"/>
      <c r="ADR62" s="2737"/>
      <c r="ADS62" s="2737"/>
      <c r="ADT62" s="2737"/>
      <c r="ADU62" s="2737"/>
      <c r="ADV62" s="2737"/>
      <c r="ADW62" s="2737"/>
      <c r="ADX62" s="2737"/>
      <c r="ADY62" s="2737"/>
      <c r="ADZ62" s="2737"/>
      <c r="AEA62" s="2737"/>
      <c r="AEB62" s="2737"/>
      <c r="AEC62" s="2737"/>
      <c r="AED62" s="2737"/>
      <c r="AEE62" s="2737"/>
      <c r="AEF62" s="2737"/>
      <c r="AEG62" s="2737"/>
      <c r="AEH62" s="2737"/>
      <c r="AEI62" s="2737"/>
      <c r="AEJ62" s="2737"/>
      <c r="AEK62" s="2737"/>
      <c r="AEL62" s="2737"/>
      <c r="AEM62" s="2737"/>
      <c r="AEN62" s="2737"/>
      <c r="AEO62" s="2737"/>
      <c r="AEP62" s="2737"/>
      <c r="AEQ62" s="2737"/>
      <c r="AER62" s="2737"/>
      <c r="AES62" s="2737"/>
      <c r="AET62" s="2737"/>
      <c r="AEU62" s="2737"/>
      <c r="AEV62" s="2737"/>
      <c r="AEW62" s="2737"/>
      <c r="AEX62" s="2737"/>
      <c r="AFG62" s="2737"/>
      <c r="AFP62" s="2737"/>
      <c r="AGI62" s="2737"/>
      <c r="AGN62" s="2622"/>
      <c r="AGR62" s="2737"/>
      <c r="AHB62" s="2737"/>
      <c r="AHJ62" s="2737"/>
      <c r="AHV62" s="2737"/>
      <c r="AHY62" s="2622"/>
      <c r="AII62" s="2622"/>
      <c r="AIJ62" s="2622"/>
      <c r="AIR62" s="2622"/>
      <c r="AIS62" s="2622"/>
      <c r="AJP62" s="2737"/>
      <c r="AKC62" s="5797"/>
      <c r="AKD62" s="2737"/>
      <c r="AKU62" s="2622"/>
      <c r="ALL62" s="2622"/>
      <c r="ALM62" s="2737"/>
      <c r="ALW62" s="2737"/>
      <c r="ALX62" s="2737"/>
      <c r="AMG62" s="2737"/>
      <c r="AOI62" s="2737"/>
      <c r="AOV62" s="5797"/>
      <c r="AOW62" s="5797"/>
      <c r="AOX62" s="5797"/>
      <c r="AOY62" s="5797"/>
      <c r="AOZ62" s="5797"/>
      <c r="APA62" s="5797"/>
      <c r="APB62" s="5797"/>
      <c r="APC62" s="5797"/>
      <c r="APD62" s="5797"/>
      <c r="APE62" s="5797"/>
      <c r="APT62" s="2737"/>
      <c r="AQE62" s="2622"/>
      <c r="ARE62" s="2622"/>
      <c r="ASA62" s="2622"/>
      <c r="ASJ62" s="2622"/>
      <c r="ASK62" s="2737"/>
      <c r="ASL62" s="2737"/>
      <c r="ASM62" s="2737"/>
      <c r="ASN62" s="2737"/>
      <c r="ASO62" s="2737"/>
      <c r="ASP62" s="2737"/>
      <c r="ASQ62" s="2737"/>
      <c r="ASR62" s="2737"/>
      <c r="ASS62" s="2737"/>
      <c r="ATA62" s="2622"/>
      <c r="AUU62" s="2617"/>
      <c r="AUV62" s="2627" t="s">
        <v>105</v>
      </c>
      <c r="AUW62" s="2627"/>
      <c r="AUX62" s="2627"/>
      <c r="AUY62" s="2617"/>
      <c r="AUZ62" s="2617"/>
      <c r="AVA62" s="181"/>
      <c r="AVB62" s="181"/>
      <c r="AVC62" s="181"/>
      <c r="AVD62" s="181"/>
      <c r="AVE62" s="181"/>
      <c r="AVF62" s="181"/>
      <c r="AVG62" s="181"/>
      <c r="AVH62" s="181"/>
      <c r="AVI62" s="181"/>
      <c r="AVJ62" s="181"/>
      <c r="AVK62" s="181"/>
      <c r="AVL62" s="181"/>
      <c r="AVM62" s="181"/>
      <c r="AVN62" s="181"/>
      <c r="AVO62" s="181"/>
      <c r="AVP62" s="181"/>
      <c r="AVQ62" s="181"/>
      <c r="AVR62" s="181"/>
      <c r="AVS62" s="181"/>
      <c r="AVT62" s="181"/>
      <c r="AVU62" s="181"/>
      <c r="AVV62" s="181"/>
      <c r="AVW62" s="181"/>
      <c r="AVX62" s="181"/>
      <c r="AVY62" s="181"/>
      <c r="AVZ62" s="181"/>
      <c r="AWA62" s="181"/>
      <c r="AWB62" s="181"/>
      <c r="AWC62" s="181"/>
      <c r="AWD62" s="181"/>
      <c r="AWE62" s="181"/>
      <c r="AWF62" s="181"/>
      <c r="AWG62" s="181"/>
      <c r="AWH62" s="181"/>
      <c r="AWI62" s="181"/>
      <c r="AWJ62" s="181"/>
      <c r="AWK62" s="181"/>
      <c r="AWL62" s="181"/>
      <c r="AWM62" s="181"/>
      <c r="AWN62" s="181"/>
      <c r="AWO62" s="181"/>
      <c r="AWP62" s="181"/>
      <c r="AWQ62" s="181"/>
      <c r="AWR62" s="2617"/>
      <c r="AWS62" s="2617"/>
      <c r="AWT62" s="2617"/>
      <c r="AWU62" s="2617"/>
      <c r="AWV62" s="2617"/>
      <c r="AWW62" s="2617"/>
      <c r="AWX62" s="2617"/>
      <c r="AWY62" s="2617"/>
      <c r="AWZ62" s="2617"/>
      <c r="AXA62" s="2617"/>
      <c r="AXB62" s="2617"/>
      <c r="AXC62" s="2617"/>
      <c r="AXD62" s="2617"/>
      <c r="AXE62" s="2617"/>
      <c r="AXF62" s="2617"/>
      <c r="AXG62" s="2617"/>
      <c r="AXH62" s="2617"/>
      <c r="AXI62" s="2617"/>
      <c r="AXJ62" s="2617"/>
      <c r="AXK62" s="2617"/>
      <c r="BCC62" s="181"/>
      <c r="BDL62" s="2617"/>
      <c r="BDZ62" s="2617"/>
      <c r="BFE62" s="3398"/>
    </row>
    <row r="63" spans="32:1513" x14ac:dyDescent="0.2">
      <c r="AH63" s="206" t="s">
        <v>1040</v>
      </c>
      <c r="AI63" s="199"/>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c r="RO63" s="181"/>
      <c r="RP63" s="181"/>
      <c r="RQ63" s="181"/>
      <c r="RR63" s="181"/>
      <c r="RS63" s="181"/>
      <c r="RT63" s="181"/>
      <c r="RU63" s="181"/>
      <c r="RV63" s="181"/>
      <c r="RW63" s="181"/>
      <c r="RX63" s="181"/>
      <c r="RY63" s="181"/>
      <c r="RZ63" s="181"/>
      <c r="SA63" s="181"/>
      <c r="SB63" s="181"/>
      <c r="SC63" s="181"/>
      <c r="SD63" s="181"/>
      <c r="SE63" s="181"/>
      <c r="SF63" s="181"/>
      <c r="SG63" s="181"/>
      <c r="SH63" s="181"/>
      <c r="SI63" s="181"/>
      <c r="SJ63" s="181"/>
      <c r="SK63" s="181"/>
      <c r="SL63" s="181"/>
      <c r="SM63" s="181"/>
      <c r="SN63" s="181"/>
      <c r="SO63" s="181"/>
      <c r="SP63" s="181"/>
      <c r="SQ63" s="181"/>
      <c r="SR63" s="181"/>
      <c r="SS63" s="181"/>
      <c r="ST63" s="181"/>
      <c r="SU63" s="181"/>
      <c r="SV63" s="181"/>
      <c r="SW63" s="181"/>
      <c r="SX63" s="181"/>
      <c r="SY63" s="181"/>
      <c r="SZ63" s="181"/>
      <c r="TA63" s="181"/>
      <c r="TB63" s="181"/>
      <c r="TC63" s="181"/>
      <c r="TD63" s="181"/>
      <c r="TE63" s="181"/>
      <c r="TF63" s="181"/>
      <c r="TG63" s="181"/>
      <c r="TH63" s="181"/>
      <c r="TI63" s="181"/>
      <c r="TJ63" s="181"/>
      <c r="TK63" s="181"/>
      <c r="TL63" s="181"/>
      <c r="TM63" s="181"/>
      <c r="TN63" s="181"/>
      <c r="TO63" s="181"/>
      <c r="TP63" s="181"/>
      <c r="TQ63" s="181"/>
      <c r="TR63" s="181"/>
      <c r="TS63" s="181"/>
      <c r="TT63" s="181"/>
      <c r="TU63" s="181"/>
      <c r="TV63" s="181"/>
      <c r="TW63" s="181"/>
      <c r="TX63" s="181"/>
      <c r="TY63" s="181"/>
      <c r="TZ63" s="181"/>
      <c r="UA63" s="181"/>
      <c r="UB63" s="181"/>
      <c r="UC63" s="181"/>
      <c r="UD63" s="181"/>
      <c r="UE63" s="181"/>
      <c r="UF63" s="181"/>
      <c r="UG63" s="181"/>
      <c r="UH63" s="181"/>
      <c r="UI63" s="181"/>
      <c r="UJ63" s="181"/>
      <c r="UK63" s="181"/>
      <c r="UL63" s="181"/>
      <c r="UM63" s="181"/>
      <c r="UN63" s="181"/>
      <c r="UO63" s="181"/>
      <c r="UP63" s="181"/>
      <c r="UQ63" s="181"/>
      <c r="UR63" s="181"/>
      <c r="US63" s="181"/>
      <c r="UT63" s="181"/>
      <c r="UU63" s="181"/>
      <c r="UV63" s="181"/>
      <c r="UW63" s="181"/>
      <c r="UX63" s="181"/>
      <c r="UY63" s="181"/>
      <c r="UZ63" s="181"/>
      <c r="VA63" s="181"/>
      <c r="VB63" s="181"/>
      <c r="VC63" s="181"/>
      <c r="VD63" s="181"/>
      <c r="VE63" s="181"/>
      <c r="VF63" s="181"/>
      <c r="VG63" s="181"/>
      <c r="VH63" s="181"/>
      <c r="VI63" s="181"/>
      <c r="VJ63" s="181"/>
      <c r="VK63" s="181"/>
      <c r="VL63" s="181"/>
      <c r="VM63" s="181"/>
      <c r="VN63" s="181"/>
      <c r="VO63" s="181"/>
      <c r="VP63" s="181"/>
      <c r="VQ63" s="181"/>
      <c r="VR63" s="181"/>
      <c r="AAW63" s="2622"/>
      <c r="AAX63" s="2622"/>
      <c r="AAY63" s="2622"/>
      <c r="AAZ63" s="2622"/>
      <c r="ABA63" s="3767" t="s">
        <v>1262</v>
      </c>
      <c r="ABB63" s="3768"/>
      <c r="ABC63" s="3768"/>
      <c r="ABD63" s="3768"/>
      <c r="ABE63" s="3768"/>
      <c r="ABF63" s="3768"/>
      <c r="ABG63" s="3768"/>
      <c r="ABH63" s="3768"/>
      <c r="ABI63" s="5806"/>
      <c r="ABJ63" s="2622"/>
      <c r="ABK63" s="3767" t="str">
        <f>_Calcs!$M$54</f>
        <v>Manuell driftsrensk</v>
      </c>
      <c r="ABL63" s="3768"/>
      <c r="ABM63" s="3768"/>
      <c r="ABN63" s="3768"/>
      <c r="ABO63" s="3768"/>
      <c r="ABP63" s="3768"/>
      <c r="ABQ63" s="3768"/>
      <c r="ABR63" s="3768"/>
      <c r="ABS63" s="3769"/>
      <c r="ABT63" s="2622"/>
      <c r="ABU63" s="3767" t="str">
        <f>_Calcs!$M$55</f>
        <v>Registrering og kartlegging</v>
      </c>
      <c r="ABV63" s="3768"/>
      <c r="ABW63" s="3768"/>
      <c r="ABX63" s="3768"/>
      <c r="ABY63" s="3768"/>
      <c r="ABZ63" s="3768"/>
      <c r="ACA63" s="3768"/>
      <c r="ACB63" s="3768"/>
      <c r="ACC63" s="3769"/>
      <c r="ACD63" s="2737"/>
      <c r="ACE63" s="3630" t="s">
        <v>1180</v>
      </c>
      <c r="ACF63" s="3631"/>
      <c r="ACG63" s="3631"/>
      <c r="ACH63" s="3631"/>
      <c r="ACI63" s="3631"/>
      <c r="ACJ63" s="3631"/>
      <c r="ACK63" s="3631"/>
      <c r="ACL63" s="3631"/>
      <c r="ACM63" s="3631"/>
      <c r="ACN63" s="3590"/>
      <c r="ACO63" s="3590"/>
      <c r="ACP63" s="3590"/>
      <c r="ACQ63" s="3590"/>
      <c r="ACR63" s="3590"/>
      <c r="ACS63" s="3590"/>
      <c r="ACT63" s="3590"/>
      <c r="ACU63" s="3590"/>
      <c r="ACV63" s="3590"/>
      <c r="ACW63" s="3590"/>
      <c r="ACX63" s="3590"/>
      <c r="ACY63" s="3590"/>
      <c r="ACZ63" s="3590"/>
      <c r="ADA63" s="3590"/>
      <c r="ADB63" s="3590"/>
      <c r="ADC63" s="3590"/>
      <c r="ADD63" s="3590"/>
      <c r="ADE63" s="3362"/>
      <c r="ADF63" s="2737"/>
      <c r="ADG63" s="3630" t="s">
        <v>1550</v>
      </c>
      <c r="ADH63" s="3631"/>
      <c r="ADI63" s="3631"/>
      <c r="ADJ63" s="3631"/>
      <c r="ADK63" s="3631"/>
      <c r="ADL63" s="3631"/>
      <c r="ADM63" s="3631"/>
      <c r="ADN63" s="3631"/>
      <c r="ADO63" s="3631"/>
      <c r="ADP63" s="3590"/>
      <c r="ADQ63" s="3631"/>
      <c r="ADR63" s="3590"/>
      <c r="ADS63" s="3590"/>
      <c r="ADT63" s="3590"/>
      <c r="ADU63" s="3590"/>
      <c r="ADV63" s="3590"/>
      <c r="ADW63" s="3590"/>
      <c r="ADX63" s="3590"/>
      <c r="ADY63" s="3590"/>
      <c r="ADZ63" s="3590"/>
      <c r="AEA63" s="3590"/>
      <c r="AEB63" s="3590"/>
      <c r="AEC63" s="3590"/>
      <c r="AED63" s="3590"/>
      <c r="AEE63" s="3590"/>
      <c r="AEF63" s="3590"/>
      <c r="AEG63" s="3362"/>
      <c r="AEH63" s="2737"/>
      <c r="AEI63" s="2737"/>
      <c r="AEJ63" s="2737"/>
      <c r="AEK63" s="2737"/>
      <c r="AEL63" s="2737"/>
      <c r="AEM63" s="2737"/>
      <c r="AEN63" s="2737"/>
      <c r="AEO63" s="2737"/>
      <c r="AEP63" s="2737"/>
      <c r="AEQ63" s="2737"/>
      <c r="AER63" s="2737"/>
      <c r="AES63" s="5803" t="str">
        <f>_Calcs!$M$59</f>
        <v>Bergbånd langs forbolting</v>
      </c>
      <c r="AET63" s="5804"/>
      <c r="AEU63" s="5804"/>
      <c r="AEV63" s="5804"/>
      <c r="AEW63" s="5804"/>
      <c r="AEX63" s="5804"/>
      <c r="AEY63" s="5804"/>
      <c r="AEZ63" s="5805"/>
      <c r="AFB63" s="7248" t="str">
        <f>_Calcs!$M$60</f>
        <v>Tilleggs-bergbånd</v>
      </c>
      <c r="AFC63" s="7249"/>
      <c r="AFD63" s="7249"/>
      <c r="AFE63" s="7249"/>
      <c r="AFF63" s="7249"/>
      <c r="AFG63" s="7249"/>
      <c r="AFH63" s="7250"/>
      <c r="AFJ63" s="7248" t="str">
        <f>_Calcs!$M$61</f>
        <v>Festebolter for bergbånd og nett</v>
      </c>
      <c r="AFK63" s="7249"/>
      <c r="AFL63" s="7249"/>
      <c r="AFM63" s="7249"/>
      <c r="AFN63" s="7249"/>
      <c r="AFO63" s="7249"/>
      <c r="AFP63" s="7249"/>
      <c r="AFQ63" s="5151"/>
      <c r="AFR63" s="5801"/>
      <c r="AFS63" s="5801"/>
      <c r="AFT63" s="5801"/>
      <c r="AFU63" s="5801"/>
      <c r="AFV63" s="5801"/>
      <c r="AFW63" s="5801"/>
      <c r="AFX63" s="5801"/>
      <c r="AFY63" s="5801"/>
      <c r="AFZ63" s="5801"/>
      <c r="AGA63" s="5801"/>
      <c r="AGB63" s="5801"/>
      <c r="AGC63" s="5801"/>
      <c r="AGD63" s="5801"/>
      <c r="AGE63" s="5801"/>
      <c r="AGF63" s="5801"/>
      <c r="AGG63" s="5801"/>
      <c r="AGH63" s="5801"/>
      <c r="AGI63" s="5802"/>
      <c r="AGJ63" s="5797"/>
      <c r="AGK63" s="5797"/>
      <c r="AGL63" s="5797"/>
      <c r="AGM63" s="5797"/>
      <c r="AGN63" s="2622"/>
      <c r="AGO63" s="7236" t="str">
        <f>_Calcs!$L$62</f>
        <v>Nett</v>
      </c>
      <c r="AGP63" s="7237"/>
      <c r="AGQ63" s="7237"/>
      <c r="AGR63" s="7237"/>
      <c r="AGS63" s="7237"/>
      <c r="AGT63" s="7237"/>
      <c r="AGU63" s="7238"/>
      <c r="AGV63" s="5797"/>
      <c r="AGW63" s="7245" t="str">
        <f>_Calcs!$L$64</f>
        <v>Festebolter for nett</v>
      </c>
      <c r="AGX63" s="7246"/>
      <c r="AGY63" s="7246"/>
      <c r="AGZ63" s="7246"/>
      <c r="AHA63" s="7246"/>
      <c r="AHB63" s="7246"/>
      <c r="AHC63" s="7247"/>
      <c r="AHD63" s="5797"/>
      <c r="AHF63" s="7236" t="str">
        <f>_Calcs!$L$63</f>
        <v>Sprøytebetong ved nett</v>
      </c>
      <c r="AHG63" s="7237"/>
      <c r="AHH63" s="7237"/>
      <c r="AHI63" s="7237"/>
      <c r="AHJ63" s="7237"/>
      <c r="AHK63" s="7237"/>
      <c r="AHL63" s="7238"/>
      <c r="AHP63" s="5627"/>
      <c r="AHQ63" s="5628" t="s">
        <v>1552</v>
      </c>
      <c r="AHR63" s="5628"/>
      <c r="AHS63" s="5628"/>
      <c r="AHT63" s="5628"/>
      <c r="AHU63" s="5628"/>
      <c r="AHV63" s="5628"/>
      <c r="AHW63" s="5628"/>
      <c r="AHX63" s="5629"/>
      <c r="AHY63" s="2622"/>
      <c r="AHZ63" s="5627"/>
      <c r="AIA63" s="5628" t="s">
        <v>1551</v>
      </c>
      <c r="AIB63" s="5628"/>
      <c r="AIC63" s="5628"/>
      <c r="AID63" s="5628"/>
      <c r="AIE63" s="5628"/>
      <c r="AIF63" s="5628"/>
      <c r="AIG63" s="5628"/>
      <c r="AIH63" s="5630"/>
      <c r="AII63" s="207"/>
      <c r="AIJ63" s="5631"/>
      <c r="AIK63" s="5632"/>
      <c r="AIL63" s="5632"/>
      <c r="AIM63" s="5632"/>
      <c r="AIN63" s="5632"/>
      <c r="AIO63" s="5632"/>
      <c r="AIP63" s="5632"/>
      <c r="AIQ63" s="5632"/>
      <c r="AIR63" s="5633"/>
      <c r="AIS63" s="2622"/>
      <c r="AIT63" s="7251" t="s">
        <v>1349</v>
      </c>
      <c r="AIU63" s="7252"/>
      <c r="AIV63" s="7252"/>
      <c r="AIW63" s="7252"/>
      <c r="AIX63" s="7252"/>
      <c r="AIY63" s="7252"/>
      <c r="AIZ63" s="7252"/>
      <c r="AJA63" s="7252"/>
      <c r="AJB63" s="7252"/>
      <c r="AJC63" s="7252"/>
      <c r="AJD63" s="7252"/>
      <c r="AJE63" s="7252"/>
      <c r="AJF63" s="7252"/>
      <c r="AJG63" s="7252"/>
      <c r="AJH63" s="7252"/>
      <c r="AJI63" s="7252"/>
      <c r="AJJ63" s="7252"/>
      <c r="AJK63" s="7252"/>
      <c r="AJL63" s="7252"/>
      <c r="AJM63" s="7252"/>
      <c r="AJN63" s="7252"/>
      <c r="AJO63" s="7252"/>
      <c r="AJP63" s="7252"/>
      <c r="AJQ63" s="7252"/>
      <c r="AJR63" s="5798"/>
      <c r="AJS63" s="5798"/>
      <c r="AJT63" s="5798"/>
      <c r="AJU63" s="5798"/>
      <c r="AJV63" s="5798"/>
      <c r="AJW63" s="5798"/>
      <c r="AJX63" s="5798"/>
      <c r="AJY63" s="5798"/>
      <c r="AJZ63" s="3641"/>
      <c r="AKA63" s="5797"/>
      <c r="AKB63" s="5797"/>
      <c r="AKC63" s="5797"/>
      <c r="AKD63" s="3640"/>
      <c r="AKE63" s="3638" t="s">
        <v>1534</v>
      </c>
      <c r="AKF63" s="3638"/>
      <c r="AKG63" s="3638"/>
      <c r="AKH63" s="3638"/>
      <c r="AKI63" s="3638"/>
      <c r="AKJ63" s="3638"/>
      <c r="AKK63" s="3638"/>
      <c r="AKL63" s="3638"/>
      <c r="AKM63" s="3638"/>
      <c r="AKN63" s="3638"/>
      <c r="AKO63" s="3638"/>
      <c r="AKP63" s="3638"/>
      <c r="AKQ63" s="3638"/>
      <c r="AKR63" s="3638"/>
      <c r="AKS63" s="3638"/>
      <c r="AKT63" s="3638"/>
      <c r="AKU63" s="3638"/>
      <c r="AKV63" s="3638"/>
      <c r="AKW63" s="3638"/>
      <c r="AKX63" s="3638"/>
      <c r="AKY63" s="3638"/>
      <c r="AKZ63" s="3638"/>
      <c r="ALA63" s="3638"/>
      <c r="ALB63" s="3639"/>
      <c r="ALC63" s="3642"/>
      <c r="ALD63" s="3644"/>
      <c r="ALE63" s="3645" t="s">
        <v>1199</v>
      </c>
      <c r="ALF63" s="3645"/>
      <c r="ALG63" s="3645"/>
      <c r="ALH63" s="3645"/>
      <c r="ALI63" s="3645"/>
      <c r="ALJ63" s="3645"/>
      <c r="ALK63" s="3645"/>
      <c r="ALL63" s="3752"/>
      <c r="ALM63" s="2737"/>
      <c r="ALN63" s="3583"/>
      <c r="ALO63" s="3637" t="s">
        <v>1536</v>
      </c>
      <c r="ALP63" s="3590"/>
      <c r="ALQ63" s="3590"/>
      <c r="ALR63" s="3590"/>
      <c r="ALS63" s="3590"/>
      <c r="ALT63" s="3590"/>
      <c r="ALU63" s="3590"/>
      <c r="ALV63" s="3590"/>
      <c r="ALW63" s="3590"/>
      <c r="ALX63" s="3590"/>
      <c r="ALY63" s="3590"/>
      <c r="ALZ63" s="3590"/>
      <c r="AMA63" s="3590"/>
      <c r="AMB63" s="3590"/>
      <c r="AMC63" s="3590"/>
      <c r="AMD63" s="3590"/>
      <c r="AME63" s="3590"/>
      <c r="AMF63" s="3590"/>
      <c r="AMG63" s="3590"/>
      <c r="AMH63" s="3590"/>
      <c r="AMI63" s="3590"/>
      <c r="AMJ63" s="3590"/>
      <c r="AMK63" s="3590"/>
      <c r="AML63" s="3590"/>
      <c r="AMM63" s="3362"/>
      <c r="AMN63" s="5797"/>
      <c r="AMO63" s="5797"/>
      <c r="AMP63" s="5797"/>
      <c r="AMQ63" s="5797"/>
      <c r="AMR63" s="5797"/>
      <c r="AMS63" s="5797"/>
      <c r="AMT63" s="5797"/>
      <c r="AMU63" s="5797"/>
      <c r="AMV63" s="5797"/>
      <c r="AMW63" s="5797"/>
      <c r="AMX63" s="5797"/>
      <c r="AMY63" s="5797"/>
      <c r="AMZ63" s="5797"/>
      <c r="ANA63" s="5797"/>
      <c r="ANB63" s="5797"/>
      <c r="ANC63" s="5797"/>
      <c r="AND63" s="5797"/>
      <c r="ANE63" s="5797"/>
      <c r="ANF63" s="5797"/>
      <c r="ANG63" s="5797"/>
      <c r="ANH63" s="5797"/>
      <c r="ANI63" s="5797"/>
      <c r="ANJ63" s="5797"/>
      <c r="ANK63" s="5797"/>
      <c r="ANL63" s="5797"/>
      <c r="ANM63" s="5797"/>
      <c r="ANN63" s="5797"/>
      <c r="ANO63" s="5797"/>
      <c r="ANP63" s="5797"/>
      <c r="ANQ63" s="5797"/>
      <c r="ANR63" s="5797"/>
      <c r="ANS63" s="5797"/>
      <c r="ANT63" s="5797"/>
      <c r="ANU63" s="5797"/>
      <c r="ANV63" s="5797"/>
      <c r="ANW63" s="5797"/>
      <c r="ANX63" s="5797"/>
      <c r="ANY63" s="5797"/>
      <c r="ANZ63" s="5797"/>
      <c r="AOA63" s="5797"/>
      <c r="AOB63" s="5797"/>
      <c r="AOC63" s="5797"/>
      <c r="AOD63" s="5797"/>
      <c r="AOE63" s="5797"/>
      <c r="AOF63" s="5797"/>
      <c r="AOG63" s="5797"/>
      <c r="AOH63" s="5797"/>
      <c r="AOI63" s="5797"/>
      <c r="AOJ63" s="5797"/>
      <c r="AOK63" s="5797"/>
      <c r="AOL63" s="5797"/>
      <c r="AOM63" s="5797"/>
      <c r="AOO63" s="3721"/>
      <c r="AOP63" s="3722" t="s">
        <v>1417</v>
      </c>
      <c r="AOQ63" s="3722"/>
      <c r="AOR63" s="3722"/>
      <c r="AOS63" s="3722"/>
      <c r="AOT63" s="3722"/>
      <c r="AOU63" s="3722"/>
      <c r="AOV63" s="3722"/>
      <c r="AOW63" s="3722"/>
      <c r="AOX63" s="3722"/>
      <c r="AOY63" s="3722" t="s">
        <v>1417</v>
      </c>
      <c r="AOZ63" s="3722"/>
      <c r="APA63" s="3722"/>
      <c r="APB63" s="3722"/>
      <c r="APC63" s="3722"/>
      <c r="APD63" s="3722"/>
      <c r="APE63" s="3722"/>
      <c r="APF63" s="3722"/>
      <c r="APG63" s="3722" t="s">
        <v>1417</v>
      </c>
      <c r="APH63" s="3722"/>
      <c r="API63" s="3722"/>
      <c r="APJ63" s="3722"/>
      <c r="APK63" s="3722"/>
      <c r="APL63" s="3722"/>
      <c r="APM63" s="3722"/>
      <c r="APN63" s="3722"/>
      <c r="APO63" s="3722"/>
      <c r="APP63" s="3722"/>
      <c r="APQ63" s="3722"/>
      <c r="APR63" s="3722"/>
      <c r="APS63" s="3722"/>
      <c r="APT63" s="3722"/>
      <c r="APU63" s="3722"/>
      <c r="APV63" s="3722"/>
      <c r="APW63" s="3722"/>
      <c r="APX63" s="3722"/>
      <c r="APY63" s="3722"/>
      <c r="APZ63" s="3722"/>
      <c r="AQA63" s="3722"/>
      <c r="AQB63" s="3722"/>
      <c r="AQC63" s="3722"/>
      <c r="AQD63" s="3722"/>
      <c r="AQE63" s="3722"/>
      <c r="AQF63" s="3722"/>
      <c r="AQG63" s="3722"/>
      <c r="AQH63" s="3722"/>
      <c r="AQI63" s="3722"/>
      <c r="AQJ63" s="3722"/>
      <c r="AQK63" s="3722"/>
      <c r="AQL63" s="3723"/>
      <c r="AQN63" s="3721"/>
      <c r="AQO63" s="3722" t="s">
        <v>1418</v>
      </c>
      <c r="AQP63" s="3722"/>
      <c r="AQQ63" s="3722"/>
      <c r="AQR63" s="3722"/>
      <c r="AQS63" s="3722"/>
      <c r="AQT63" s="3722"/>
      <c r="AQU63" s="3722"/>
      <c r="AQV63" s="3722"/>
      <c r="AQW63" s="3722"/>
      <c r="AQX63" s="3722"/>
      <c r="AQY63" s="3722"/>
      <c r="AQZ63" s="3722"/>
      <c r="ARA63" s="3722"/>
      <c r="ARB63" s="3722"/>
      <c r="ARC63" s="3722"/>
      <c r="ARD63" s="3722"/>
      <c r="ARE63" s="3722"/>
      <c r="ARF63" s="3722"/>
      <c r="ARG63" s="3722"/>
      <c r="ARH63" s="3722"/>
      <c r="ARI63" s="3722"/>
      <c r="ARJ63" s="3722"/>
      <c r="ARK63" s="3722"/>
      <c r="ARL63" s="3723"/>
      <c r="ART63" s="7241" t="s">
        <v>107</v>
      </c>
      <c r="ARU63" s="7242"/>
      <c r="ARV63" s="7242"/>
      <c r="ARW63" s="7242"/>
      <c r="ARX63" s="7242"/>
      <c r="ARY63" s="7242"/>
      <c r="ARZ63" s="7242"/>
      <c r="ASA63" s="7242"/>
      <c r="ASB63" s="7242"/>
      <c r="ASC63" s="7242"/>
      <c r="ASD63" s="7242"/>
      <c r="ASE63" s="7242"/>
      <c r="ASF63" s="7242"/>
      <c r="ASG63" s="7242"/>
      <c r="ASH63" s="7242"/>
      <c r="ASI63" s="7242"/>
      <c r="ASJ63" s="7242"/>
      <c r="ASK63" s="7242"/>
      <c r="ASL63" s="7242"/>
      <c r="ASM63" s="7242"/>
      <c r="ASN63" s="7242"/>
      <c r="ASO63" s="7242"/>
      <c r="ASP63" s="7242"/>
      <c r="ASQ63" s="7243"/>
      <c r="ASR63" s="2737"/>
      <c r="ASS63" s="2737"/>
      <c r="AST63" s="7235" t="s">
        <v>990</v>
      </c>
      <c r="ASU63" s="7235"/>
      <c r="ASV63" s="7235"/>
      <c r="ASW63" s="7235"/>
      <c r="ASX63" s="7235"/>
      <c r="ASY63" s="7235"/>
      <c r="ASZ63" s="7235"/>
      <c r="ATA63" s="2622"/>
      <c r="AUU63" s="2617"/>
      <c r="AUV63" s="2617"/>
      <c r="AUW63" s="2617"/>
      <c r="AUX63" s="2617"/>
      <c r="AUY63" s="2617"/>
      <c r="AUZ63" s="2617"/>
      <c r="AVA63" s="181"/>
      <c r="AVB63" s="181"/>
      <c r="AVC63" s="181"/>
      <c r="AVD63" s="181"/>
      <c r="AVE63" s="181"/>
      <c r="AVF63" s="181"/>
      <c r="AVG63" s="181"/>
      <c r="AVH63" s="181"/>
      <c r="AVI63" s="181"/>
      <c r="AVJ63" s="181"/>
      <c r="AVK63" s="181"/>
      <c r="AVL63" s="181"/>
      <c r="AVM63" s="181"/>
      <c r="AVN63" s="181"/>
      <c r="AVO63" s="181"/>
      <c r="AVP63" s="181"/>
      <c r="AVQ63" s="181"/>
      <c r="AVR63" s="181"/>
      <c r="AVS63" s="181"/>
      <c r="AVT63" s="181"/>
      <c r="AVU63" s="181"/>
      <c r="AVV63" s="181"/>
      <c r="AVW63" s="181"/>
      <c r="AVX63" s="181"/>
      <c r="AVY63" s="181"/>
      <c r="AVZ63" s="181"/>
      <c r="AWA63" s="181"/>
      <c r="AWB63" s="181"/>
      <c r="AWC63" s="181"/>
      <c r="AWD63" s="181"/>
      <c r="AWE63" s="181"/>
      <c r="AWF63" s="181"/>
      <c r="AWG63" s="181"/>
      <c r="AWH63" s="181"/>
      <c r="AWI63" s="181"/>
      <c r="AWJ63" s="181"/>
      <c r="AWK63" s="181"/>
      <c r="AWL63" s="181"/>
      <c r="AWM63" s="181"/>
      <c r="AWN63" s="181"/>
      <c r="AWO63" s="181"/>
      <c r="AWP63" s="181"/>
      <c r="AWQ63" s="181"/>
      <c r="AWR63" s="2617"/>
      <c r="AWS63" s="2617"/>
      <c r="AWT63" s="2617"/>
      <c r="AWU63" s="2617"/>
      <c r="AWV63" s="2617"/>
      <c r="AWW63" s="2617"/>
      <c r="AWX63" s="2617"/>
      <c r="AWY63" s="2617"/>
      <c r="AWZ63" s="2617"/>
      <c r="AXA63" s="2617"/>
      <c r="AXB63" s="2617"/>
      <c r="AXC63" s="2617"/>
      <c r="AXD63" s="2617"/>
      <c r="AXE63" s="2617"/>
      <c r="AXF63" s="2617"/>
      <c r="AXG63" s="2617"/>
      <c r="AXH63" s="2617"/>
      <c r="AXI63" s="2617"/>
      <c r="AXJ63" s="2617"/>
      <c r="AXK63" s="2617"/>
      <c r="BCC63" s="181"/>
      <c r="BDL63" s="2617"/>
      <c r="BDZ63" s="2617"/>
      <c r="BFE63" s="3398"/>
    </row>
    <row r="64" spans="32:1513" x14ac:dyDescent="0.2">
      <c r="AH64" s="206" t="s">
        <v>1039</v>
      </c>
      <c r="AI64" s="3835" t="str">
        <f>IF(AI62=FALSE,INDEX(vegprofil[Buelendge],MATCH($AI$61,vegprofil[Name],0)),"!")</f>
        <v>!</v>
      </c>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c r="FT64" s="181"/>
      <c r="FU64" s="181"/>
      <c r="FV64" s="181"/>
      <c r="FW64" s="181"/>
      <c r="FX64" s="181"/>
      <c r="FY64" s="181"/>
      <c r="FZ64" s="181"/>
      <c r="GA64" s="181"/>
      <c r="GB64" s="181"/>
      <c r="GC64" s="181"/>
      <c r="GD64" s="181"/>
      <c r="GE64" s="181"/>
      <c r="GF64" s="181"/>
      <c r="GG64" s="181"/>
      <c r="GH64" s="181"/>
      <c r="GI64" s="181"/>
      <c r="GJ64" s="181"/>
      <c r="GK64" s="181"/>
      <c r="GL64" s="181"/>
      <c r="GM64" s="181"/>
      <c r="GN64" s="181"/>
      <c r="GO64" s="181"/>
      <c r="GP64" s="181"/>
      <c r="GQ64" s="181"/>
      <c r="GR64" s="181"/>
      <c r="GS64" s="181"/>
      <c r="GT64" s="181"/>
      <c r="GU64" s="181"/>
      <c r="GV64" s="181"/>
      <c r="GW64" s="181"/>
      <c r="GX64" s="181"/>
      <c r="GY64" s="181"/>
      <c r="GZ64" s="181"/>
      <c r="HA64" s="181"/>
      <c r="HB64" s="181"/>
      <c r="HC64" s="181"/>
      <c r="HD64" s="181"/>
      <c r="HE64" s="181"/>
      <c r="HF64" s="181"/>
      <c r="HG64" s="181"/>
      <c r="HH64" s="181"/>
      <c r="HI64" s="181"/>
      <c r="HJ64" s="181"/>
      <c r="HK64" s="181"/>
      <c r="HL64" s="181"/>
      <c r="HM64" s="181"/>
      <c r="HN64" s="181"/>
      <c r="HO64" s="181"/>
      <c r="HP64" s="181"/>
      <c r="HQ64" s="181"/>
      <c r="LF64" s="181"/>
      <c r="LG64" s="181"/>
      <c r="LH64" s="181"/>
      <c r="LI64" s="181"/>
      <c r="LJ64" s="181"/>
      <c r="LK64" s="181"/>
      <c r="LL64" s="181"/>
      <c r="LM64" s="181"/>
      <c r="LN64" s="181"/>
      <c r="LO64" s="181"/>
      <c r="LP64" s="181"/>
      <c r="LQ64" s="181"/>
      <c r="LR64" s="181"/>
      <c r="LS64" s="181"/>
      <c r="LT64" s="181"/>
      <c r="LU64" s="181"/>
      <c r="LV64" s="181"/>
      <c r="LW64" s="181"/>
      <c r="LX64" s="181"/>
      <c r="LY64" s="181"/>
      <c r="LZ64" s="181"/>
      <c r="MA64" s="181"/>
      <c r="MB64" s="181"/>
      <c r="MC64" s="181"/>
      <c r="MD64" s="181"/>
      <c r="ME64" s="181"/>
      <c r="MF64" s="181"/>
      <c r="MG64" s="181"/>
      <c r="MH64" s="181"/>
      <c r="MI64" s="181"/>
      <c r="MJ64" s="181"/>
      <c r="MK64" s="181"/>
      <c r="ML64" s="181"/>
      <c r="MM64" s="181"/>
      <c r="MN64" s="181"/>
      <c r="MO64" s="181"/>
      <c r="MP64" s="181"/>
      <c r="MQ64" s="181"/>
      <c r="MR64" s="181"/>
      <c r="MS64" s="181"/>
      <c r="MT64" s="181"/>
      <c r="MU64" s="181"/>
      <c r="MV64" s="181"/>
      <c r="MW64" s="181"/>
      <c r="MX64" s="181"/>
      <c r="MY64" s="181"/>
      <c r="MZ64" s="181"/>
      <c r="NA64" s="181"/>
      <c r="NB64" s="181"/>
      <c r="NC64" s="181"/>
      <c r="ND64" s="181"/>
      <c r="NE64" s="181"/>
      <c r="NF64" s="181"/>
      <c r="NG64" s="181"/>
      <c r="NH64" s="181"/>
      <c r="NI64" s="181"/>
      <c r="NJ64" s="181"/>
      <c r="NK64" s="181"/>
      <c r="NL64" s="181"/>
      <c r="NM64" s="181"/>
      <c r="NN64" s="181"/>
      <c r="NO64" s="181"/>
      <c r="NP64" s="181"/>
      <c r="NQ64" s="181"/>
      <c r="NR64" s="181"/>
      <c r="NS64" s="181"/>
      <c r="NT64" s="181"/>
      <c r="NU64" s="181"/>
      <c r="NV64" s="181"/>
      <c r="NW64" s="181"/>
      <c r="NX64" s="181"/>
      <c r="NY64" s="181"/>
      <c r="NZ64" s="181"/>
      <c r="OA64" s="181"/>
      <c r="OB64" s="181"/>
      <c r="OC64" s="181"/>
      <c r="OD64" s="181"/>
      <c r="OE64" s="181"/>
      <c r="OF64" s="181"/>
      <c r="OG64" s="181"/>
      <c r="OH64" s="181"/>
      <c r="OI64" s="181"/>
      <c r="OJ64" s="181"/>
      <c r="OK64" s="181"/>
      <c r="OL64" s="181"/>
      <c r="OM64" s="181"/>
      <c r="ON64" s="181"/>
      <c r="OO64" s="181"/>
      <c r="OP64" s="181"/>
      <c r="OQ64" s="181"/>
      <c r="OR64" s="181"/>
      <c r="OS64" s="181"/>
      <c r="OT64" s="181"/>
      <c r="OU64" s="181"/>
      <c r="OV64" s="181"/>
      <c r="OW64" s="181"/>
      <c r="OX64" s="181"/>
      <c r="OY64" s="181"/>
      <c r="OZ64" s="181"/>
      <c r="PA64" s="181"/>
      <c r="PB64" s="181"/>
      <c r="PC64" s="181"/>
      <c r="PD64" s="181"/>
      <c r="PE64" s="181"/>
      <c r="PF64" s="181"/>
      <c r="PG64" s="181"/>
      <c r="PH64" s="181"/>
      <c r="PI64" s="181"/>
      <c r="PJ64" s="181"/>
      <c r="PK64" s="181"/>
      <c r="PL64" s="181"/>
      <c r="PM64" s="181"/>
      <c r="PN64" s="181"/>
      <c r="PO64" s="181"/>
      <c r="PP64" s="181"/>
      <c r="PQ64" s="181"/>
      <c r="PR64" s="181"/>
      <c r="PS64" s="181"/>
      <c r="PT64" s="181"/>
      <c r="PU64" s="181"/>
      <c r="PV64" s="181"/>
      <c r="PW64" s="181"/>
      <c r="PX64" s="181"/>
      <c r="PY64" s="181"/>
      <c r="PZ64" s="181"/>
      <c r="QA64" s="181"/>
      <c r="QB64" s="181"/>
      <c r="QC64" s="181"/>
      <c r="QD64" s="181"/>
      <c r="QE64" s="181"/>
      <c r="QF64" s="181"/>
      <c r="QG64" s="181"/>
      <c r="QH64" s="181"/>
      <c r="QI64" s="181"/>
      <c r="QJ64" s="181"/>
      <c r="QK64" s="181"/>
      <c r="QL64" s="181"/>
      <c r="QM64" s="181"/>
      <c r="QN64" s="181"/>
      <c r="QO64" s="181"/>
      <c r="QP64" s="181"/>
      <c r="QQ64" s="181"/>
      <c r="QR64" s="181"/>
      <c r="QS64" s="181"/>
      <c r="QT64" s="181"/>
      <c r="QU64" s="181"/>
      <c r="QV64" s="181"/>
      <c r="QW64" s="181"/>
      <c r="QX64" s="181"/>
      <c r="QY64" s="181"/>
      <c r="QZ64" s="181"/>
      <c r="RA64" s="181"/>
      <c r="RB64" s="181"/>
      <c r="RC64" s="181"/>
      <c r="RD64" s="181"/>
      <c r="RE64" s="181"/>
      <c r="RF64" s="181"/>
      <c r="RG64" s="181"/>
      <c r="RH64" s="181"/>
      <c r="RI64" s="181"/>
      <c r="RJ64" s="181"/>
      <c r="RK64" s="181"/>
      <c r="RL64" s="181"/>
      <c r="RM64" s="181"/>
      <c r="RN64" s="181"/>
      <c r="RO64" s="181"/>
      <c r="RP64" s="181"/>
      <c r="RQ64" s="181"/>
      <c r="RR64" s="181"/>
      <c r="RS64" s="181"/>
      <c r="RT64" s="181"/>
      <c r="RU64" s="181"/>
      <c r="RV64" s="181"/>
      <c r="RW64" s="181"/>
      <c r="RX64" s="181"/>
      <c r="RY64" s="181"/>
      <c r="RZ64" s="181"/>
      <c r="SA64" s="181"/>
      <c r="SB64" s="181"/>
      <c r="SC64" s="181"/>
      <c r="SD64" s="181"/>
      <c r="SE64" s="181"/>
      <c r="SF64" s="181"/>
      <c r="SG64" s="181"/>
      <c r="SH64" s="181"/>
      <c r="SI64" s="181"/>
      <c r="SJ64" s="181"/>
      <c r="SK64" s="181"/>
      <c r="SL64" s="181"/>
      <c r="SM64" s="181"/>
      <c r="SN64" s="181"/>
      <c r="SO64" s="181"/>
      <c r="SP64" s="181"/>
      <c r="SQ64" s="181"/>
      <c r="SR64" s="181"/>
      <c r="SS64" s="181"/>
      <c r="ST64" s="181"/>
      <c r="SU64" s="181"/>
      <c r="SV64" s="181"/>
      <c r="SW64" s="181"/>
      <c r="SX64" s="181"/>
      <c r="SY64" s="181"/>
      <c r="SZ64" s="181"/>
      <c r="TA64" s="181"/>
      <c r="TB64" s="181"/>
      <c r="TC64" s="181"/>
      <c r="TD64" s="181"/>
      <c r="TE64" s="181"/>
      <c r="TF64" s="181"/>
      <c r="TG64" s="181"/>
      <c r="TH64" s="181"/>
      <c r="TI64" s="181"/>
      <c r="TJ64" s="181"/>
      <c r="TK64" s="181"/>
      <c r="TL64" s="181"/>
      <c r="TM64" s="181"/>
      <c r="TN64" s="181"/>
      <c r="TO64" s="181"/>
      <c r="TP64" s="181"/>
      <c r="TQ64" s="181"/>
      <c r="TR64" s="181"/>
      <c r="TS64" s="181"/>
      <c r="TT64" s="181"/>
      <c r="TU64" s="181"/>
      <c r="TV64" s="181"/>
      <c r="TW64" s="181"/>
      <c r="TX64" s="181"/>
      <c r="TY64" s="181"/>
      <c r="TZ64" s="181"/>
      <c r="UA64" s="181"/>
      <c r="UB64" s="181"/>
      <c r="UC64" s="181"/>
      <c r="UD64" s="181"/>
      <c r="UE64" s="181"/>
      <c r="UF64" s="181"/>
      <c r="UG64" s="181"/>
      <c r="UH64" s="181"/>
      <c r="UI64" s="181"/>
      <c r="UJ64" s="181"/>
      <c r="UK64" s="181"/>
      <c r="UL64" s="181"/>
      <c r="UM64" s="181"/>
      <c r="UN64" s="181"/>
      <c r="UO64" s="181"/>
      <c r="UP64" s="181"/>
      <c r="UQ64" s="181"/>
      <c r="UR64" s="181"/>
      <c r="US64" s="181"/>
      <c r="UT64" s="181"/>
      <c r="UU64" s="181"/>
      <c r="UV64" s="181"/>
      <c r="UW64" s="181"/>
      <c r="UX64" s="181"/>
      <c r="UY64" s="181"/>
      <c r="UZ64" s="181"/>
      <c r="VA64" s="181"/>
      <c r="VB64" s="181"/>
      <c r="VC64" s="181"/>
      <c r="VD64" s="181"/>
      <c r="VE64" s="181"/>
      <c r="VF64" s="181"/>
      <c r="VG64" s="181"/>
      <c r="VH64" s="181"/>
      <c r="VI64" s="181"/>
      <c r="VJ64" s="181"/>
      <c r="VK64" s="181"/>
      <c r="VL64" s="181"/>
      <c r="VM64" s="181"/>
      <c r="VN64" s="181"/>
      <c r="VO64" s="181"/>
      <c r="VP64" s="181"/>
      <c r="VQ64" s="181"/>
      <c r="VR64" s="181"/>
      <c r="AAW64" s="2622"/>
      <c r="AAX64" s="2622"/>
      <c r="AAY64" s="2772" t="s">
        <v>923</v>
      </c>
      <c r="AAZ64" s="2622"/>
      <c r="ABA64" s="3351" t="s">
        <v>1503</v>
      </c>
      <c r="ABB64" s="5797"/>
      <c r="ABC64" s="5797"/>
      <c r="ABD64" s="5797"/>
      <c r="ABE64" s="5797"/>
      <c r="ABF64" s="5797"/>
      <c r="ABG64" s="5797"/>
      <c r="ABH64" s="5797"/>
      <c r="ABI64" s="3618"/>
      <c r="ABJ64" s="2622"/>
      <c r="ABK64" s="3351" t="s">
        <v>1530</v>
      </c>
      <c r="ABL64" s="5797"/>
      <c r="ABM64" s="5797"/>
      <c r="ABN64" s="5797"/>
      <c r="ABO64" s="5797"/>
      <c r="ABP64" s="5797"/>
      <c r="ABQ64" s="5797"/>
      <c r="ABR64" s="5797"/>
      <c r="ABS64" s="5799"/>
      <c r="ABT64" s="2622"/>
      <c r="ABU64" s="3351" t="s">
        <v>1530</v>
      </c>
      <c r="ABV64" s="2720"/>
      <c r="ABW64" s="5797"/>
      <c r="ABX64" s="5797"/>
      <c r="ABY64" s="5797"/>
      <c r="ABZ64" s="5797"/>
      <c r="ACA64" s="5797"/>
      <c r="ACB64" s="5797"/>
      <c r="ACC64" s="5799"/>
      <c r="ACD64" s="2737"/>
      <c r="ACE64" s="3351" t="s">
        <v>1531</v>
      </c>
      <c r="ACF64" s="3363"/>
      <c r="ACG64" s="3363"/>
      <c r="ACH64" s="3363"/>
      <c r="ACI64" s="3363"/>
      <c r="ACJ64" s="3363"/>
      <c r="ACK64" s="3363"/>
      <c r="ACL64" s="3363"/>
      <c r="ACM64" s="5797"/>
      <c r="ACN64" s="184"/>
      <c r="ACO64" s="3364" t="s">
        <v>1532</v>
      </c>
      <c r="ACP64" s="3365"/>
      <c r="ACQ64" s="3365"/>
      <c r="ACR64" s="5797"/>
      <c r="ACS64" s="5797"/>
      <c r="ACT64" s="5797"/>
      <c r="ACU64" s="5797"/>
      <c r="ACV64" s="5797"/>
      <c r="ACW64" s="184"/>
      <c r="ACX64" s="3364" t="s">
        <v>1533</v>
      </c>
      <c r="ACY64" s="3365"/>
      <c r="ACZ64" s="3365"/>
      <c r="ADA64" s="5797"/>
      <c r="ADB64" s="5797"/>
      <c r="ADC64" s="5797"/>
      <c r="ADD64" s="5797"/>
      <c r="ADE64" s="5799"/>
      <c r="ADF64" s="2737"/>
      <c r="ADG64" s="3351" t="str">
        <f>ACE64</f>
        <v>Bolting senteravstand</v>
      </c>
      <c r="ADH64" s="5797"/>
      <c r="ADI64" s="5797"/>
      <c r="ADJ64" s="5797"/>
      <c r="ADK64" s="5797"/>
      <c r="ADL64" s="5797"/>
      <c r="ADM64" s="5797"/>
      <c r="ADN64" s="5797"/>
      <c r="ADO64" s="5797"/>
      <c r="ADP64" s="184"/>
      <c r="ADQ64" s="5797"/>
      <c r="ADR64" s="3364" t="s">
        <v>1532</v>
      </c>
      <c r="ADS64" s="3365"/>
      <c r="ADT64" s="3365"/>
      <c r="ADU64" s="5797"/>
      <c r="ADV64" s="5797"/>
      <c r="ADW64" s="5797"/>
      <c r="ADX64" s="5797"/>
      <c r="ADY64" s="5797"/>
      <c r="ADZ64" s="3364" t="s">
        <v>1533</v>
      </c>
      <c r="AEA64" s="3365"/>
      <c r="AEB64" s="3365"/>
      <c r="AEC64" s="5797"/>
      <c r="AED64" s="5797"/>
      <c r="AEE64" s="5797"/>
      <c r="AEF64" s="5797"/>
      <c r="AEG64" s="5799"/>
      <c r="AEH64" s="2737"/>
      <c r="AEI64" s="2737"/>
      <c r="AEJ64" s="2737"/>
      <c r="AEK64" s="2737"/>
      <c r="AEL64" s="2737"/>
      <c r="AEM64" s="2737"/>
      <c r="AEN64" s="2737"/>
      <c r="AEO64" s="2737"/>
      <c r="AEP64" s="2737"/>
      <c r="AEQ64" s="2737"/>
      <c r="AER64" s="2737"/>
      <c r="AES64" s="3351" t="s">
        <v>1261</v>
      </c>
      <c r="AET64" s="184"/>
      <c r="AEU64" s="5797"/>
      <c r="AEV64" s="5797"/>
      <c r="AEW64" s="5797"/>
      <c r="AEX64" s="5797"/>
      <c r="AEY64" s="5797"/>
      <c r="AEZ64" s="5799"/>
      <c r="AFB64" s="3351" t="str">
        <f>_Calcs!$O$60</f>
        <v>Tilleggs-bergbånd per metre av tunnel</v>
      </c>
      <c r="AFC64" s="5797"/>
      <c r="AFD64" s="5797"/>
      <c r="AFE64" s="5797"/>
      <c r="AFF64" s="5797"/>
      <c r="AFG64" s="5797"/>
      <c r="AFH64" s="5799"/>
      <c r="AFJ64" s="3351" t="str">
        <f>_Calcs!$O$61</f>
        <v>Festebolter for bergbånd senteravstand</v>
      </c>
      <c r="AFK64" s="5797"/>
      <c r="AFL64" s="5797"/>
      <c r="AFM64" s="5797"/>
      <c r="AFN64" s="5797"/>
      <c r="AFO64" s="5797"/>
      <c r="AFP64" s="5797"/>
      <c r="AFQ64" s="5797"/>
      <c r="AFR64" s="3364" t="s">
        <v>1532</v>
      </c>
      <c r="AFS64" s="3365"/>
      <c r="AFT64" s="3365"/>
      <c r="AFU64" s="5797"/>
      <c r="AFV64" s="5797"/>
      <c r="AFW64" s="5797"/>
      <c r="AFX64" s="5797"/>
      <c r="AFY64" s="5797"/>
      <c r="AFZ64" s="184"/>
      <c r="AGA64" s="5797"/>
      <c r="AGB64" s="3364" t="s">
        <v>1533</v>
      </c>
      <c r="AGC64" s="3365"/>
      <c r="AGD64" s="3365"/>
      <c r="AGE64" s="5797"/>
      <c r="AGF64" s="5797"/>
      <c r="AGG64" s="5797"/>
      <c r="AGH64" s="5797"/>
      <c r="AGI64" s="5799"/>
      <c r="AGJ64" s="5797"/>
      <c r="AGK64" s="5797"/>
      <c r="AGL64" s="5797"/>
      <c r="AGM64" s="5797"/>
      <c r="AGN64" s="2622"/>
      <c r="AGO64" s="3351" t="str">
        <f>_Calcs!$M$62</f>
        <v>Nett (kvadratmeter) per meter av tunnel</v>
      </c>
      <c r="AGP64" s="3352"/>
      <c r="AGQ64" s="3352"/>
      <c r="AGR64" s="5797"/>
      <c r="AGS64" s="5797"/>
      <c r="AGT64" s="5797"/>
      <c r="AGU64" s="5799"/>
      <c r="AGV64" s="5797"/>
      <c r="AGW64" s="3351" t="str">
        <f>_Calcs!$M$64</f>
        <v>Festebolter for nett senteravstand</v>
      </c>
      <c r="AGX64" s="3352"/>
      <c r="AGY64" s="3352"/>
      <c r="AGZ64" s="5797"/>
      <c r="AHA64" s="5797"/>
      <c r="AHB64" s="5797"/>
      <c r="AHC64" s="5799"/>
      <c r="AHD64" s="5797"/>
      <c r="AHF64" s="3351" t="str">
        <f>_Calcs!$M$63</f>
        <v>Tilleggs-sprøytebetong (tykkelse) per nett areal</v>
      </c>
      <c r="AHG64" s="3352"/>
      <c r="AHH64" s="3352"/>
      <c r="AHI64" s="5797"/>
      <c r="AHJ64" s="5797"/>
      <c r="AHK64" s="5797"/>
      <c r="AHL64" s="5799"/>
      <c r="AHP64" s="5800" t="s">
        <v>1066</v>
      </c>
      <c r="AHQ64" s="2639"/>
      <c r="AHR64" s="5797"/>
      <c r="AHS64" s="5797"/>
      <c r="AHT64" s="5797"/>
      <c r="AHU64" s="5797"/>
      <c r="AHV64" s="5797"/>
      <c r="AHW64" s="5797"/>
      <c r="AHX64" s="5799"/>
      <c r="AHY64" s="2622"/>
      <c r="AHZ64" s="5800" t="s">
        <v>1066</v>
      </c>
      <c r="AIB64" s="5797"/>
      <c r="AIC64" s="5797"/>
      <c r="AID64" s="5797"/>
      <c r="AIE64" s="5797"/>
      <c r="AIF64" s="5797"/>
      <c r="AIG64" s="5797"/>
      <c r="AIH64" s="5799"/>
      <c r="AII64" s="184"/>
      <c r="AIJ64" s="3811"/>
      <c r="AIK64" s="402" t="s">
        <v>1167</v>
      </c>
      <c r="AIL64" s="5797"/>
      <c r="AIM64" s="5797"/>
      <c r="AIN64" s="5797"/>
      <c r="AIO64" s="5797"/>
      <c r="AIP64" s="5797"/>
      <c r="AIQ64" s="5797"/>
      <c r="AIR64" s="3753"/>
      <c r="AIS64" s="2622"/>
      <c r="AIT64" s="5800"/>
      <c r="AIU64" s="5797" t="s">
        <v>1077</v>
      </c>
      <c r="AIV64" s="5797"/>
      <c r="AIW64" s="5797"/>
      <c r="AIX64" s="5797"/>
      <c r="AIY64" s="5797"/>
      <c r="AIZ64" s="5797"/>
      <c r="AJA64" s="5797"/>
      <c r="AJB64" s="5797"/>
      <c r="AJC64" s="5797" t="s">
        <v>1618</v>
      </c>
      <c r="AJD64" s="5797"/>
      <c r="AJE64" s="5797"/>
      <c r="AJF64" s="5797"/>
      <c r="AJG64" s="5797"/>
      <c r="AJH64" s="5797"/>
      <c r="AJI64" s="5797"/>
      <c r="AJJ64" s="5797"/>
      <c r="AJK64" s="5797" t="s">
        <v>2226</v>
      </c>
      <c r="AJL64" s="5797"/>
      <c r="AJM64" s="5797"/>
      <c r="AJN64" s="5797"/>
      <c r="AJO64" s="5797"/>
      <c r="AJP64" s="5797"/>
      <c r="AJQ64" s="5797"/>
      <c r="AJR64" s="5797"/>
      <c r="AJS64" s="5797" t="s">
        <v>1579</v>
      </c>
      <c r="AJT64" s="5797"/>
      <c r="AJU64" s="5797"/>
      <c r="AJV64" s="5797"/>
      <c r="AJW64" s="5797"/>
      <c r="AJX64" s="5797"/>
      <c r="AJY64" s="5797"/>
      <c r="AJZ64" s="5799"/>
      <c r="AKA64" s="5797"/>
      <c r="AKB64" s="5797"/>
      <c r="AKC64" s="5797"/>
      <c r="AKD64" s="5800"/>
      <c r="AKE64" s="3364" t="s">
        <v>1535</v>
      </c>
      <c r="AKF64" s="5797"/>
      <c r="AKG64" s="5797"/>
      <c r="AKH64" s="5797"/>
      <c r="AKI64" s="5797"/>
      <c r="AKJ64" s="5797"/>
      <c r="AKK64" s="5797"/>
      <c r="AKL64" s="5797"/>
      <c r="AKM64" s="3364" t="s">
        <v>1532</v>
      </c>
      <c r="AKN64" s="3365"/>
      <c r="AKO64" s="3365"/>
      <c r="AKP64" s="5797"/>
      <c r="AKQ64" s="5797"/>
      <c r="AKR64" s="5797"/>
      <c r="AKS64" s="5797"/>
      <c r="AKT64" s="5797"/>
      <c r="AKU64" s="184"/>
      <c r="AKV64" s="3364" t="s">
        <v>1533</v>
      </c>
      <c r="AKW64" s="3365"/>
      <c r="AKX64" s="3365"/>
      <c r="AKY64" s="5797"/>
      <c r="AKZ64" s="5797"/>
      <c r="ALA64" s="5797"/>
      <c r="ALB64" s="5799"/>
      <c r="ALC64" s="3642"/>
      <c r="ALD64" s="5800"/>
      <c r="ALE64" s="402" t="s">
        <v>1537</v>
      </c>
      <c r="ALF64" s="5797"/>
      <c r="ALG64" s="5797"/>
      <c r="ALH64" s="5797"/>
      <c r="ALI64" s="5797"/>
      <c r="ALJ64" s="5797"/>
      <c r="ALK64" s="5797"/>
      <c r="ALL64" s="3753"/>
      <c r="ALM64" s="2737"/>
      <c r="ALN64" s="5800"/>
      <c r="ALO64" s="402" t="s">
        <v>1538</v>
      </c>
      <c r="ALP64" s="5797"/>
      <c r="ALQ64" s="5797"/>
      <c r="ALR64" s="5797"/>
      <c r="ALS64" s="5797"/>
      <c r="ALT64" s="5797"/>
      <c r="ALU64" s="5797"/>
      <c r="ALV64" s="5797"/>
      <c r="ALW64" s="5797"/>
      <c r="ALX64" s="3364" t="s">
        <v>1532</v>
      </c>
      <c r="ALY64" s="3365"/>
      <c r="ALZ64" s="3365"/>
      <c r="AMA64" s="5797"/>
      <c r="AMB64" s="5797"/>
      <c r="AMC64" s="5797"/>
      <c r="AMD64" s="5797"/>
      <c r="AME64" s="5797"/>
      <c r="AMF64" s="184"/>
      <c r="AMG64" s="3364" t="s">
        <v>1533</v>
      </c>
      <c r="AMH64" s="3365"/>
      <c r="AMI64" s="3365"/>
      <c r="AMJ64" s="5797"/>
      <c r="AMK64" s="5797"/>
      <c r="AML64" s="5797"/>
      <c r="AMM64" s="5799"/>
      <c r="AMN64" s="5797"/>
      <c r="AMO64" s="5797"/>
      <c r="AMP64" s="5797"/>
      <c r="AMQ64" s="5797"/>
      <c r="AMR64" s="5797"/>
      <c r="AMS64" s="5797"/>
      <c r="AMT64" s="5797"/>
      <c r="AMU64" s="5797"/>
      <c r="AMV64" s="5797"/>
      <c r="AMW64" s="5797"/>
      <c r="AMX64" s="5797"/>
      <c r="AMY64" s="5797"/>
      <c r="AMZ64" s="5797"/>
      <c r="ANA64" s="5797"/>
      <c r="ANB64" s="5797"/>
      <c r="ANC64" s="5797"/>
      <c r="AND64" s="5797"/>
      <c r="ANE64" s="5797"/>
      <c r="ANF64" s="5797"/>
      <c r="ANG64" s="5797"/>
      <c r="ANH64" s="5797"/>
      <c r="ANI64" s="5797"/>
      <c r="ANJ64" s="5797"/>
      <c r="ANK64" s="5797"/>
      <c r="ANL64" s="5797"/>
      <c r="ANM64" s="5797"/>
      <c r="ANN64" s="5797"/>
      <c r="ANO64" s="5797"/>
      <c r="ANP64" s="5797"/>
      <c r="ANQ64" s="5797"/>
      <c r="ANR64" s="5797"/>
      <c r="ANS64" s="5797"/>
      <c r="ANT64" s="5797"/>
      <c r="ANU64" s="5797"/>
      <c r="ANV64" s="5797"/>
      <c r="ANW64" s="5797"/>
      <c r="ANX64" s="5797"/>
      <c r="ANY64" s="5797"/>
      <c r="ANZ64" s="5797"/>
      <c r="AOA64" s="5797"/>
      <c r="AOB64" s="5797"/>
      <c r="AOC64" s="5797"/>
      <c r="AOD64" s="5797"/>
      <c r="AOE64" s="5797"/>
      <c r="AOF64" s="5797"/>
      <c r="AOG64" s="5797"/>
      <c r="AOH64" s="5797"/>
      <c r="AOI64" s="5797"/>
      <c r="AOJ64" s="5797"/>
      <c r="AOK64" s="5797"/>
      <c r="AOL64" s="5797"/>
      <c r="AOM64" s="5797"/>
      <c r="AOO64" s="5800"/>
      <c r="AOP64" s="3364" t="s">
        <v>1618</v>
      </c>
      <c r="AOQ64" s="5797"/>
      <c r="AOR64" s="5797"/>
      <c r="AOS64" s="5797"/>
      <c r="AOT64" s="5797"/>
      <c r="AOU64" s="5797"/>
      <c r="AOV64" s="5797"/>
      <c r="AOW64" s="5797"/>
      <c r="AOX64" s="5797"/>
      <c r="AOY64" s="3364" t="s">
        <v>2252</v>
      </c>
      <c r="AOZ64" s="5797"/>
      <c r="APA64" s="5797"/>
      <c r="APB64" s="5797"/>
      <c r="APC64" s="5797"/>
      <c r="APD64" s="5797"/>
      <c r="APE64" s="5797"/>
      <c r="APF64" s="5797"/>
      <c r="APG64" s="3364" t="s">
        <v>1555</v>
      </c>
      <c r="APH64" s="5797"/>
      <c r="API64" s="5797"/>
      <c r="APJ64" s="5797"/>
      <c r="APK64" s="5797"/>
      <c r="APL64" s="5797"/>
      <c r="APM64" s="5797"/>
      <c r="APN64" s="5797"/>
      <c r="APO64" s="3364" t="s">
        <v>1991</v>
      </c>
      <c r="APP64" s="5797"/>
      <c r="APQ64" s="5797"/>
      <c r="APR64" s="5797"/>
      <c r="APS64" s="5797"/>
      <c r="APT64" s="5797"/>
      <c r="APU64" s="5797"/>
      <c r="APV64" s="5797"/>
      <c r="APW64" s="3364" t="s">
        <v>1558</v>
      </c>
      <c r="APX64" s="3365"/>
      <c r="APY64" s="3365"/>
      <c r="APZ64" s="5797"/>
      <c r="AQA64" s="5797"/>
      <c r="AQB64" s="5797"/>
      <c r="AQC64" s="5797"/>
      <c r="AQD64" s="5797"/>
      <c r="AQE64" s="184"/>
      <c r="AQF64" s="3364" t="s">
        <v>1559</v>
      </c>
      <c r="AQG64" s="3365"/>
      <c r="AQH64" s="3365"/>
      <c r="AQI64" s="5797"/>
      <c r="AQJ64" s="5797"/>
      <c r="AQK64" s="5797"/>
      <c r="AQL64" s="5799"/>
      <c r="AQN64" s="5800"/>
      <c r="AQO64" s="3364" t="s">
        <v>1992</v>
      </c>
      <c r="AQP64" s="5797"/>
      <c r="AQQ64" s="5797"/>
      <c r="AQR64" s="5797"/>
      <c r="AQS64" s="5797"/>
      <c r="AQT64" s="5797"/>
      <c r="AQU64" s="5797"/>
      <c r="AQV64" s="5797"/>
      <c r="AQW64" s="3364" t="s">
        <v>1560</v>
      </c>
      <c r="AQX64" s="3365"/>
      <c r="AQY64" s="3365"/>
      <c r="AQZ64" s="5797"/>
      <c r="ARA64" s="5797"/>
      <c r="ARB64" s="5797"/>
      <c r="ARC64" s="5797"/>
      <c r="ARD64" s="5797"/>
      <c r="ARE64" s="184"/>
      <c r="ARF64" s="3364" t="s">
        <v>1561</v>
      </c>
      <c r="ARG64" s="3365"/>
      <c r="ARH64" s="3365"/>
      <c r="ARI64" s="5797"/>
      <c r="ARJ64" s="5797"/>
      <c r="ARK64" s="5797"/>
      <c r="ARL64" s="5799"/>
      <c r="ART64" s="3351" t="s">
        <v>963</v>
      </c>
      <c r="ARU64" s="3363"/>
      <c r="ARV64" s="3363"/>
      <c r="ARW64" s="5797"/>
      <c r="ARX64" s="5797"/>
      <c r="ARY64" s="5797"/>
      <c r="ARZ64" s="5797"/>
      <c r="ASA64" s="184"/>
      <c r="ASB64" s="3364" t="s">
        <v>2063</v>
      </c>
      <c r="ASC64" s="3365"/>
      <c r="ASD64" s="3365"/>
      <c r="ASE64" s="5797"/>
      <c r="ASF64" s="5797"/>
      <c r="ASG64" s="5797"/>
      <c r="ASH64" s="5797"/>
      <c r="ASI64" s="5797"/>
      <c r="ASJ64" s="184"/>
      <c r="ASK64" s="3364" t="s">
        <v>2064</v>
      </c>
      <c r="ASL64" s="3365"/>
      <c r="ASM64" s="3365"/>
      <c r="ASN64" s="5797"/>
      <c r="ASO64" s="5797"/>
      <c r="ASP64" s="5797"/>
      <c r="ASQ64" s="5799"/>
      <c r="ASR64" s="2737"/>
      <c r="ASS64" s="2737"/>
      <c r="AST64" s="5797" t="s">
        <v>834</v>
      </c>
      <c r="ASU64" s="5797"/>
      <c r="ASV64" s="5797" t="s">
        <v>838</v>
      </c>
      <c r="ASW64" s="5797"/>
      <c r="ASX64" s="5797" t="s">
        <v>21</v>
      </c>
      <c r="ASY64" s="5797"/>
      <c r="ASZ64" s="5797" t="s">
        <v>839</v>
      </c>
      <c r="ATA64" s="2622"/>
      <c r="AUU64" s="2617"/>
      <c r="AUV64" s="2617"/>
      <c r="AUW64" s="2617"/>
      <c r="AUX64" s="2617"/>
      <c r="AUY64" s="2617"/>
      <c r="AUZ64" s="2617"/>
      <c r="AVA64" s="181"/>
      <c r="AVB64" s="181"/>
      <c r="AVC64" s="181"/>
      <c r="AVD64" s="181"/>
      <c r="AVE64" s="181"/>
      <c r="AVF64" s="181"/>
      <c r="AVG64" s="181"/>
      <c r="AVH64" s="181"/>
      <c r="AVI64" s="181"/>
      <c r="AVJ64" s="181"/>
      <c r="AVK64" s="181"/>
      <c r="AVL64" s="181"/>
      <c r="AVM64" s="181"/>
      <c r="AVN64" s="181"/>
      <c r="AVO64" s="181"/>
      <c r="AVP64" s="181"/>
      <c r="AVQ64" s="181"/>
      <c r="AVR64" s="181"/>
      <c r="AVS64" s="181"/>
      <c r="AVT64" s="181"/>
      <c r="AVU64" s="181"/>
      <c r="AVV64" s="181"/>
      <c r="AVW64" s="181"/>
      <c r="AVX64" s="181"/>
      <c r="AVY64" s="181"/>
      <c r="AVZ64" s="181"/>
      <c r="AWA64" s="181"/>
      <c r="AWB64" s="181"/>
      <c r="AWC64" s="181"/>
      <c r="AWD64" s="181"/>
      <c r="AWE64" s="181"/>
      <c r="AWF64" s="181"/>
      <c r="AWG64" s="181"/>
      <c r="AWH64" s="181"/>
      <c r="AWI64" s="181"/>
      <c r="AWJ64" s="181"/>
      <c r="AWK64" s="181"/>
      <c r="AWL64" s="181"/>
      <c r="AWM64" s="181"/>
      <c r="AWN64" s="181"/>
      <c r="AWO64" s="181"/>
      <c r="AWP64" s="181"/>
      <c r="AWQ64" s="181"/>
      <c r="AWR64" s="2617"/>
      <c r="AWS64" s="2617"/>
      <c r="AWT64" s="2617"/>
      <c r="AWU64" s="2617"/>
      <c r="AWV64" s="2617"/>
      <c r="AWW64" s="2617"/>
      <c r="AWX64" s="2617"/>
      <c r="AWY64" s="2617"/>
      <c r="AWZ64" s="2617"/>
      <c r="AXA64" s="2617"/>
      <c r="AXB64" s="2617"/>
      <c r="AXC64" s="2617"/>
      <c r="AXD64" s="2617"/>
      <c r="AXE64" s="2617"/>
      <c r="AXF64" s="2617"/>
      <c r="AXG64" s="2617"/>
      <c r="AXH64" s="2617"/>
      <c r="AXI64" s="2617"/>
      <c r="AXJ64" s="2617"/>
      <c r="AXK64" s="2617"/>
      <c r="BCC64" s="181"/>
      <c r="BFE64" s="3398"/>
    </row>
    <row r="65" spans="1:1513" s="2625" customFormat="1" ht="19.5" x14ac:dyDescent="0.3">
      <c r="A65" s="3458"/>
      <c r="B65" s="3458"/>
      <c r="C65" s="3458"/>
      <c r="D65" s="3458"/>
      <c r="E65" s="3458"/>
      <c r="F65" s="3458"/>
      <c r="G65" s="3458"/>
      <c r="H65" s="3458"/>
      <c r="I65" s="3458"/>
      <c r="J65" s="3458"/>
      <c r="K65" s="3458"/>
      <c r="L65" s="3458"/>
      <c r="M65" s="3458"/>
      <c r="N65" s="3458"/>
      <c r="O65" s="3458"/>
      <c r="P65" s="3458"/>
      <c r="Q65" s="3458"/>
      <c r="R65" s="3458"/>
      <c r="S65" s="3458"/>
      <c r="T65" s="3458"/>
      <c r="U65" s="3458"/>
      <c r="V65" s="3458"/>
      <c r="W65" s="3458"/>
      <c r="X65" s="3458"/>
      <c r="Y65" s="3458"/>
      <c r="Z65" s="3458"/>
      <c r="AA65" s="3458"/>
      <c r="AB65" s="3458"/>
      <c r="AC65" s="3458"/>
      <c r="AH65" s="1172" t="s">
        <v>1498</v>
      </c>
      <c r="AI65" s="185"/>
      <c r="AK65" s="2688"/>
      <c r="AL65" s="2686"/>
      <c r="AM65" s="2617"/>
      <c r="AN65" s="2688"/>
      <c r="AQ65" s="2622"/>
      <c r="BN65" s="2617"/>
      <c r="BO65" s="2617"/>
      <c r="BP65" s="2617"/>
      <c r="BQ65" s="2617"/>
      <c r="BR65" s="2617"/>
      <c r="BS65" s="2617"/>
      <c r="BT65" s="2617"/>
      <c r="BU65" s="2617"/>
      <c r="BV65" s="2617"/>
      <c r="BW65" s="2617"/>
      <c r="BX65" s="2617"/>
      <c r="BY65" s="2617"/>
      <c r="BZ65" s="2617"/>
      <c r="CA65" s="2617"/>
      <c r="CB65" s="2617"/>
      <c r="CC65" s="2617"/>
      <c r="CD65" s="2617"/>
      <c r="CE65" s="2617"/>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c r="FU65" s="181"/>
      <c r="FV65" s="181"/>
      <c r="FW65" s="181"/>
      <c r="FX65" s="181"/>
      <c r="FY65" s="181"/>
      <c r="FZ65" s="181"/>
      <c r="GA65" s="181"/>
      <c r="GB65" s="181"/>
      <c r="GC65" s="181"/>
      <c r="GD65" s="181"/>
      <c r="GE65" s="181"/>
      <c r="GF65" s="181"/>
      <c r="GG65" s="181"/>
      <c r="GH65" s="181"/>
      <c r="GI65" s="181"/>
      <c r="GJ65" s="181"/>
      <c r="GK65" s="181"/>
      <c r="GL65" s="181"/>
      <c r="GM65" s="181"/>
      <c r="GN65" s="181"/>
      <c r="GO65" s="181"/>
      <c r="GP65" s="181"/>
      <c r="GQ65" s="181"/>
      <c r="GR65" s="181"/>
      <c r="GS65" s="181"/>
      <c r="GT65" s="181"/>
      <c r="GU65" s="181"/>
      <c r="GV65" s="181"/>
      <c r="GW65" s="181"/>
      <c r="GX65" s="181"/>
      <c r="GY65" s="181"/>
      <c r="GZ65" s="181"/>
      <c r="HA65" s="181"/>
      <c r="HB65" s="181"/>
      <c r="HC65" s="181"/>
      <c r="HD65" s="181"/>
      <c r="HE65" s="181"/>
      <c r="HF65" s="181"/>
      <c r="HG65" s="181"/>
      <c r="HH65" s="181"/>
      <c r="HI65" s="181"/>
      <c r="HJ65" s="181"/>
      <c r="HK65" s="181"/>
      <c r="HL65" s="181"/>
      <c r="HM65" s="181"/>
      <c r="HN65" s="181"/>
      <c r="HO65" s="181"/>
      <c r="HP65" s="181"/>
      <c r="HQ65" s="181"/>
      <c r="HR65" s="2626"/>
      <c r="HS65" s="2626"/>
      <c r="HT65" s="2626"/>
      <c r="HU65" s="2626"/>
      <c r="HV65" s="2626"/>
      <c r="HW65" s="2626"/>
      <c r="HX65" s="2626"/>
      <c r="HY65" s="2626"/>
      <c r="HZ65" s="2626"/>
      <c r="IA65" s="2626"/>
      <c r="IB65" s="2626"/>
      <c r="IC65" s="2626"/>
      <c r="ID65" s="2626"/>
      <c r="IE65" s="2626"/>
      <c r="IF65" s="2626"/>
      <c r="IG65" s="2626"/>
      <c r="IH65" s="2626"/>
      <c r="II65" s="2626"/>
      <c r="IJ65" s="2626"/>
      <c r="IK65" s="2626"/>
      <c r="IL65" s="2626"/>
      <c r="IM65" s="2626"/>
      <c r="IN65" s="2626"/>
      <c r="IO65" s="2626"/>
      <c r="IP65" s="2626"/>
      <c r="IQ65" s="2626"/>
      <c r="IR65" s="2626"/>
      <c r="IS65" s="2626"/>
      <c r="IT65" s="2626"/>
      <c r="IU65" s="2626"/>
      <c r="IV65" s="2626"/>
      <c r="IW65" s="2626"/>
      <c r="IX65" s="2626"/>
      <c r="IY65" s="2626"/>
      <c r="IZ65" s="2626"/>
      <c r="JA65" s="2626"/>
      <c r="JB65" s="2626"/>
      <c r="JC65" s="2626"/>
      <c r="JD65" s="2626"/>
      <c r="JE65" s="2626"/>
      <c r="JF65" s="2626"/>
      <c r="JG65" s="2626"/>
      <c r="JH65" s="2626"/>
      <c r="JI65" s="2626"/>
      <c r="JJ65" s="2626"/>
      <c r="JK65" s="2626"/>
      <c r="JL65" s="2626"/>
      <c r="JM65" s="2626"/>
      <c r="JN65" s="2626"/>
      <c r="JO65" s="2626"/>
      <c r="JP65" s="2626"/>
      <c r="JQ65" s="2626"/>
      <c r="JR65" s="2626"/>
      <c r="JS65" s="2626"/>
      <c r="JT65" s="2626"/>
      <c r="JU65" s="2626"/>
      <c r="JV65" s="2626"/>
      <c r="JW65" s="2626"/>
      <c r="JX65" s="2626"/>
      <c r="JY65" s="2626"/>
      <c r="JZ65" s="2626"/>
      <c r="KA65" s="2626"/>
      <c r="KB65" s="2626"/>
      <c r="KC65" s="2626"/>
      <c r="KD65" s="2626"/>
      <c r="KE65" s="2626"/>
      <c r="KF65" s="2626"/>
      <c r="KG65" s="2626"/>
      <c r="KH65" s="2626"/>
      <c r="KI65" s="2626"/>
      <c r="KJ65" s="2626"/>
      <c r="KK65" s="2626"/>
      <c r="KL65" s="2626"/>
      <c r="KM65" s="2626"/>
      <c r="KN65" s="2626"/>
      <c r="KO65" s="2626"/>
      <c r="KP65" s="2626"/>
      <c r="KQ65" s="2626"/>
      <c r="KR65" s="2626"/>
      <c r="KS65" s="2626"/>
      <c r="KT65" s="2626"/>
      <c r="KU65" s="2626"/>
      <c r="KV65" s="2626"/>
      <c r="KW65" s="2626"/>
      <c r="KX65" s="2626"/>
      <c r="KY65" s="2626"/>
      <c r="KZ65" s="2626"/>
      <c r="LA65" s="2626"/>
      <c r="LB65" s="2626"/>
      <c r="LC65" s="2626"/>
      <c r="LD65" s="2626"/>
      <c r="LE65" s="2626"/>
      <c r="LF65" s="181"/>
      <c r="LG65" s="181"/>
      <c r="LH65" s="181"/>
      <c r="LI65" s="181"/>
      <c r="LJ65" s="181"/>
      <c r="LK65" s="181"/>
      <c r="LL65" s="181"/>
      <c r="LM65" s="181"/>
      <c r="LN65" s="181"/>
      <c r="LO65" s="181"/>
      <c r="LP65" s="181"/>
      <c r="LQ65" s="181"/>
      <c r="LR65" s="181"/>
      <c r="LS65" s="181"/>
      <c r="LT65" s="181"/>
      <c r="LU65" s="181"/>
      <c r="LV65" s="181"/>
      <c r="LW65" s="181"/>
      <c r="LX65" s="181"/>
      <c r="LY65" s="181"/>
      <c r="LZ65" s="181"/>
      <c r="MA65" s="181"/>
      <c r="MB65" s="181"/>
      <c r="MC65" s="181"/>
      <c r="MD65" s="181"/>
      <c r="ME65" s="181"/>
      <c r="MF65" s="181"/>
      <c r="MG65" s="181"/>
      <c r="MH65" s="181"/>
      <c r="MI65" s="181"/>
      <c r="MJ65" s="181"/>
      <c r="MK65" s="181"/>
      <c r="ML65" s="181"/>
      <c r="MM65" s="181"/>
      <c r="MN65" s="181"/>
      <c r="MO65" s="181"/>
      <c r="MP65" s="181"/>
      <c r="MQ65" s="181"/>
      <c r="MR65" s="181"/>
      <c r="MS65" s="181"/>
      <c r="MT65" s="181"/>
      <c r="MU65" s="181"/>
      <c r="MV65" s="181"/>
      <c r="MW65" s="181"/>
      <c r="MX65" s="181"/>
      <c r="MY65" s="181"/>
      <c r="MZ65" s="181"/>
      <c r="NA65" s="181"/>
      <c r="NB65" s="181"/>
      <c r="NC65" s="181"/>
      <c r="ND65" s="181"/>
      <c r="NE65" s="181"/>
      <c r="NF65" s="181"/>
      <c r="NG65" s="181"/>
      <c r="NH65" s="181"/>
      <c r="NI65" s="181"/>
      <c r="NJ65" s="181"/>
      <c r="NK65" s="181"/>
      <c r="NL65" s="181"/>
      <c r="NM65" s="181"/>
      <c r="NN65" s="181"/>
      <c r="NO65" s="181"/>
      <c r="NP65" s="181"/>
      <c r="NQ65" s="181"/>
      <c r="NR65" s="181"/>
      <c r="NS65" s="181"/>
      <c r="NT65" s="181"/>
      <c r="NU65" s="181"/>
      <c r="NV65" s="181"/>
      <c r="NW65" s="181"/>
      <c r="NX65" s="181"/>
      <c r="NY65" s="181"/>
      <c r="NZ65" s="181"/>
      <c r="OA65" s="181"/>
      <c r="OB65" s="181"/>
      <c r="OC65" s="181"/>
      <c r="OD65" s="181"/>
      <c r="OE65" s="181"/>
      <c r="OF65" s="181"/>
      <c r="OG65" s="181"/>
      <c r="OH65" s="181"/>
      <c r="OI65" s="181"/>
      <c r="OJ65" s="181"/>
      <c r="OK65" s="181"/>
      <c r="OL65" s="181"/>
      <c r="OM65" s="181"/>
      <c r="ON65" s="181"/>
      <c r="OO65" s="181"/>
      <c r="OP65" s="181"/>
      <c r="OQ65" s="181"/>
      <c r="OR65" s="181"/>
      <c r="OS65" s="181"/>
      <c r="OT65" s="181"/>
      <c r="OU65" s="181"/>
      <c r="OV65" s="181"/>
      <c r="OW65" s="181"/>
      <c r="OX65" s="181"/>
      <c r="OY65" s="181"/>
      <c r="OZ65" s="181"/>
      <c r="PA65" s="181"/>
      <c r="PB65" s="181"/>
      <c r="PC65" s="181"/>
      <c r="PD65" s="181"/>
      <c r="PE65" s="181"/>
      <c r="PF65" s="181"/>
      <c r="PG65" s="181"/>
      <c r="PH65" s="181"/>
      <c r="PI65" s="181"/>
      <c r="PJ65" s="181"/>
      <c r="PK65" s="181"/>
      <c r="PL65" s="181"/>
      <c r="PM65" s="181"/>
      <c r="PN65" s="181"/>
      <c r="PO65" s="181"/>
      <c r="PP65" s="181"/>
      <c r="PQ65" s="181"/>
      <c r="PR65" s="181"/>
      <c r="PS65" s="181"/>
      <c r="PT65" s="181"/>
      <c r="PU65" s="181"/>
      <c r="PV65" s="181"/>
      <c r="PW65" s="181"/>
      <c r="PX65" s="181"/>
      <c r="PY65" s="181"/>
      <c r="PZ65" s="181"/>
      <c r="QA65" s="181"/>
      <c r="QB65" s="181"/>
      <c r="QC65" s="181"/>
      <c r="QD65" s="181"/>
      <c r="QE65" s="181"/>
      <c r="QF65" s="181"/>
      <c r="QG65" s="181"/>
      <c r="QH65" s="181"/>
      <c r="QI65" s="181"/>
      <c r="QJ65" s="181"/>
      <c r="QK65" s="181"/>
      <c r="QL65" s="181"/>
      <c r="QM65" s="181"/>
      <c r="QN65" s="181"/>
      <c r="QO65" s="181"/>
      <c r="QP65" s="181"/>
      <c r="QQ65" s="181"/>
      <c r="QR65" s="181"/>
      <c r="QS65" s="181"/>
      <c r="QT65" s="181"/>
      <c r="QU65" s="181"/>
      <c r="QV65" s="181"/>
      <c r="QW65" s="181"/>
      <c r="QX65" s="181"/>
      <c r="QY65" s="181"/>
      <c r="QZ65" s="181"/>
      <c r="RA65" s="181"/>
      <c r="RB65" s="181"/>
      <c r="RC65" s="181"/>
      <c r="RD65" s="181"/>
      <c r="RE65" s="181"/>
      <c r="RF65" s="181"/>
      <c r="RG65" s="181"/>
      <c r="RH65" s="181"/>
      <c r="RI65" s="181"/>
      <c r="RJ65" s="181"/>
      <c r="RK65" s="181"/>
      <c r="RL65" s="181"/>
      <c r="RM65" s="181"/>
      <c r="RN65" s="181"/>
      <c r="RO65" s="181"/>
      <c r="RP65" s="181"/>
      <c r="RQ65" s="181"/>
      <c r="RR65" s="181"/>
      <c r="RS65" s="181"/>
      <c r="RT65" s="181"/>
      <c r="RU65" s="181"/>
      <c r="RV65" s="181"/>
      <c r="RW65" s="181"/>
      <c r="RX65" s="181"/>
      <c r="RY65" s="181"/>
      <c r="RZ65" s="181"/>
      <c r="SA65" s="181"/>
      <c r="SB65" s="181"/>
      <c r="SC65" s="181"/>
      <c r="SD65" s="181"/>
      <c r="SE65" s="181"/>
      <c r="SF65" s="181"/>
      <c r="SG65" s="181"/>
      <c r="SH65" s="181"/>
      <c r="SI65" s="181"/>
      <c r="SJ65" s="181"/>
      <c r="SK65" s="181"/>
      <c r="SL65" s="181"/>
      <c r="SM65" s="181"/>
      <c r="SN65" s="181"/>
      <c r="SO65" s="181"/>
      <c r="SP65" s="181"/>
      <c r="SQ65" s="181"/>
      <c r="SR65" s="181"/>
      <c r="SS65" s="181"/>
      <c r="ST65" s="181"/>
      <c r="SU65" s="181"/>
      <c r="SV65" s="181"/>
      <c r="SW65" s="181"/>
      <c r="SX65" s="181"/>
      <c r="SY65" s="181"/>
      <c r="SZ65" s="181"/>
      <c r="TA65" s="181"/>
      <c r="TB65" s="181"/>
      <c r="TC65" s="181"/>
      <c r="TD65" s="181"/>
      <c r="TE65" s="181"/>
      <c r="TF65" s="181"/>
      <c r="TG65" s="181"/>
      <c r="TH65" s="181"/>
      <c r="TI65" s="181"/>
      <c r="TJ65" s="181"/>
      <c r="TK65" s="181"/>
      <c r="TL65" s="181"/>
      <c r="TM65" s="181"/>
      <c r="TN65" s="181"/>
      <c r="TO65" s="181"/>
      <c r="TP65" s="181"/>
      <c r="TQ65" s="181"/>
      <c r="TR65" s="181"/>
      <c r="TS65" s="181"/>
      <c r="TT65" s="181"/>
      <c r="TU65" s="181"/>
      <c r="TV65" s="181"/>
      <c r="TW65" s="181"/>
      <c r="TX65" s="181"/>
      <c r="TY65" s="181"/>
      <c r="TZ65" s="181"/>
      <c r="UA65" s="181"/>
      <c r="UB65" s="181"/>
      <c r="UC65" s="181"/>
      <c r="UD65" s="181"/>
      <c r="UE65" s="181"/>
      <c r="UF65" s="181"/>
      <c r="UG65" s="181"/>
      <c r="UH65" s="181"/>
      <c r="UI65" s="181"/>
      <c r="UJ65" s="181"/>
      <c r="UK65" s="181"/>
      <c r="UL65" s="181"/>
      <c r="UM65" s="181"/>
      <c r="UN65" s="181"/>
      <c r="UO65" s="181"/>
      <c r="UP65" s="181"/>
      <c r="UQ65" s="181"/>
      <c r="UR65" s="181"/>
      <c r="US65" s="181"/>
      <c r="UT65" s="181"/>
      <c r="UU65" s="181"/>
      <c r="UV65" s="181"/>
      <c r="UW65" s="181"/>
      <c r="UX65" s="181"/>
      <c r="UY65" s="181"/>
      <c r="UZ65" s="181"/>
      <c r="VA65" s="181"/>
      <c r="VB65" s="181"/>
      <c r="VC65" s="181"/>
      <c r="VD65" s="181"/>
      <c r="VE65" s="181"/>
      <c r="VF65" s="181"/>
      <c r="VG65" s="181"/>
      <c r="VH65" s="181"/>
      <c r="VI65" s="181"/>
      <c r="VJ65" s="181"/>
      <c r="VK65" s="181"/>
      <c r="VL65" s="181"/>
      <c r="VM65" s="181"/>
      <c r="VN65" s="181"/>
      <c r="VO65" s="181"/>
      <c r="VP65" s="181"/>
      <c r="VQ65" s="181"/>
      <c r="VR65" s="181"/>
      <c r="VS65" s="2626"/>
      <c r="VT65" s="2626"/>
      <c r="VU65" s="2626"/>
      <c r="VV65" s="2626"/>
      <c r="VW65" s="2626"/>
      <c r="VX65" s="2626"/>
      <c r="VY65" s="2626"/>
      <c r="VZ65" s="2626"/>
      <c r="WA65" s="2626"/>
      <c r="WB65" s="2626"/>
      <c r="WC65" s="2626"/>
      <c r="WD65" s="2626"/>
      <c r="WE65" s="2626"/>
      <c r="WF65" s="2626"/>
      <c r="WG65" s="2626"/>
      <c r="WH65" s="2626"/>
      <c r="WI65" s="2626"/>
      <c r="WJ65" s="2626"/>
      <c r="WK65" s="2626"/>
      <c r="WL65" s="2626"/>
      <c r="WM65" s="2626"/>
      <c r="WN65" s="2626"/>
      <c r="WO65" s="2626"/>
      <c r="WP65" s="2626"/>
      <c r="WQ65" s="2626"/>
      <c r="WR65" s="2626"/>
      <c r="WS65" s="2626"/>
      <c r="WT65" s="2626"/>
      <c r="WU65" s="2626"/>
      <c r="WV65" s="2626"/>
      <c r="WW65" s="2626"/>
      <c r="WX65" s="2626"/>
      <c r="WY65" s="2626"/>
      <c r="WZ65" s="2626"/>
      <c r="XA65" s="2626"/>
      <c r="XB65" s="2626"/>
      <c r="XC65" s="2626"/>
      <c r="XD65" s="2626"/>
      <c r="XE65" s="2626"/>
      <c r="XF65" s="2626"/>
      <c r="XG65" s="2626"/>
      <c r="XH65" s="2626"/>
      <c r="XI65" s="2626"/>
      <c r="XJ65" s="2626"/>
      <c r="XK65" s="2626"/>
      <c r="XL65" s="2626"/>
      <c r="XM65" s="2626"/>
      <c r="XN65" s="2626"/>
      <c r="XO65" s="2626"/>
      <c r="XP65" s="2626"/>
      <c r="XQ65" s="2626"/>
      <c r="XR65" s="2626"/>
      <c r="XS65" s="2626"/>
      <c r="XT65" s="2626"/>
      <c r="XU65" s="2626"/>
      <c r="XV65" s="2626"/>
      <c r="XW65" s="2626"/>
      <c r="XX65" s="2626"/>
      <c r="XY65" s="2626"/>
      <c r="XZ65" s="2626"/>
      <c r="YA65" s="2626"/>
      <c r="YB65" s="2626"/>
      <c r="YC65" s="2626"/>
      <c r="YD65" s="2626"/>
      <c r="YE65" s="2626"/>
      <c r="YF65" s="2626"/>
      <c r="YG65" s="2626"/>
      <c r="YH65" s="2626"/>
      <c r="YI65" s="2626"/>
      <c r="YJ65" s="2626"/>
      <c r="YK65" s="2626"/>
      <c r="YL65" s="2626"/>
      <c r="YM65" s="2626"/>
      <c r="YN65" s="2626"/>
      <c r="YO65" s="2626"/>
      <c r="YP65" s="2626"/>
      <c r="YQ65" s="2626"/>
      <c r="YR65" s="2626"/>
      <c r="YS65" s="2626"/>
      <c r="YT65" s="2626"/>
      <c r="YU65" s="2626"/>
      <c r="YV65" s="2626"/>
      <c r="YW65" s="2626"/>
      <c r="YX65" s="2626"/>
      <c r="YY65" s="2626"/>
      <c r="YZ65" s="2626"/>
      <c r="ZA65" s="2626"/>
      <c r="ZB65" s="2626"/>
      <c r="ZC65" s="2626"/>
      <c r="ZD65" s="2626"/>
      <c r="ZE65" s="2626"/>
      <c r="ZF65" s="2626"/>
      <c r="ZG65" s="2626"/>
      <c r="ZH65" s="2626"/>
      <c r="AAW65" s="2622"/>
      <c r="AAX65" s="2622"/>
      <c r="AAY65" s="2622"/>
      <c r="AAZ65" s="2622"/>
      <c r="ABA65" s="5800"/>
      <c r="ABB65" s="5797"/>
      <c r="ABC65" s="5797"/>
      <c r="ABD65" s="5797"/>
      <c r="ABE65" s="5797"/>
      <c r="ABF65" s="5797"/>
      <c r="ABG65" s="5797"/>
      <c r="ABH65" s="5797"/>
      <c r="ABI65" s="3618"/>
      <c r="ABJ65" s="2622"/>
      <c r="ABK65" s="5800"/>
      <c r="ABL65" s="2720"/>
      <c r="ABM65" s="5797"/>
      <c r="ABN65" s="5797"/>
      <c r="ABO65" s="5797"/>
      <c r="ABP65" s="5797"/>
      <c r="ABQ65" s="5797"/>
      <c r="ABR65" s="5797"/>
      <c r="ABS65" s="5799"/>
      <c r="ABT65" s="2622"/>
      <c r="ABU65" s="5800"/>
      <c r="ABV65" s="2720"/>
      <c r="ABW65" s="5797"/>
      <c r="ABX65" s="5797"/>
      <c r="ABY65" s="5797"/>
      <c r="ABZ65" s="5797"/>
      <c r="ACA65" s="5797"/>
      <c r="ACB65" s="5797"/>
      <c r="ACC65" s="5799"/>
      <c r="ACD65" s="2737"/>
      <c r="ACE65" s="5800"/>
      <c r="ACF65" s="5797"/>
      <c r="ACG65" s="5797"/>
      <c r="ACH65" s="5797"/>
      <c r="ACI65" s="5797"/>
      <c r="ACJ65" s="3366"/>
      <c r="ACK65" s="5797"/>
      <c r="ACL65" s="5797"/>
      <c r="ACM65" s="5797"/>
      <c r="ACN65" s="184"/>
      <c r="ACO65" s="3367"/>
      <c r="ACP65" s="5797"/>
      <c r="ACQ65" s="5797"/>
      <c r="ACR65" s="5797"/>
      <c r="ACS65" s="3366"/>
      <c r="ACT65" s="5797"/>
      <c r="ACU65" s="5797"/>
      <c r="ACV65" s="5797"/>
      <c r="ACW65" s="184"/>
      <c r="ACX65" s="3367"/>
      <c r="ACY65" s="5797"/>
      <c r="ACZ65" s="5797"/>
      <c r="ADA65" s="5797"/>
      <c r="ADB65" s="3366"/>
      <c r="ADC65" s="5797"/>
      <c r="ADD65" s="5797"/>
      <c r="ADE65" s="5799"/>
      <c r="ADF65" s="2737"/>
      <c r="ADG65" s="5800"/>
      <c r="ADH65" s="5797"/>
      <c r="ADI65" s="5797"/>
      <c r="ADJ65" s="5797"/>
      <c r="ADK65" s="5797"/>
      <c r="ADL65" s="3366"/>
      <c r="ADM65" s="5797"/>
      <c r="ADN65" s="5797"/>
      <c r="ADO65" s="5797"/>
      <c r="ADP65" s="184"/>
      <c r="ADQ65" s="5797"/>
      <c r="ADR65" s="3367"/>
      <c r="ADS65" s="5797"/>
      <c r="ADT65" s="5797"/>
      <c r="ADU65" s="5797"/>
      <c r="ADV65" s="3366"/>
      <c r="ADW65" s="5797"/>
      <c r="ADX65" s="5797"/>
      <c r="ADY65" s="5797"/>
      <c r="ADZ65" s="3367"/>
      <c r="AEA65" s="5797"/>
      <c r="AEB65" s="5797"/>
      <c r="AEC65" s="5797"/>
      <c r="AED65" s="3366"/>
      <c r="AEE65" s="5797"/>
      <c r="AEF65" s="5797"/>
      <c r="AEG65" s="5799"/>
      <c r="AEH65" s="2737"/>
      <c r="AEI65" s="2737"/>
      <c r="AEJ65" s="2737"/>
      <c r="AEK65" s="2737"/>
      <c r="AEL65" s="2737"/>
      <c r="AEM65" s="2737"/>
      <c r="AEN65" s="2737"/>
      <c r="AEO65" s="2737"/>
      <c r="AEP65" s="2737"/>
      <c r="AEQ65" s="2737"/>
      <c r="AER65" s="2737"/>
      <c r="AES65" s="3378" t="s">
        <v>949</v>
      </c>
      <c r="AET65" s="184"/>
      <c r="AEU65" s="5797"/>
      <c r="AEV65" s="5797"/>
      <c r="AEW65" s="5797"/>
      <c r="AEX65" s="5797"/>
      <c r="AEY65" s="5797"/>
      <c r="AEZ65" s="5799"/>
      <c r="AFA65" s="2737"/>
      <c r="AFB65" s="3378" t="s">
        <v>949</v>
      </c>
      <c r="AFC65" s="5797"/>
      <c r="AFD65" s="5797"/>
      <c r="AFE65" s="5797"/>
      <c r="AFF65" s="5797"/>
      <c r="AFG65" s="5797"/>
      <c r="AFH65" s="5799"/>
      <c r="AFI65" s="2737"/>
      <c r="AFJ65" s="3378" t="s">
        <v>949</v>
      </c>
      <c r="AFK65" s="5797"/>
      <c r="AFL65" s="5797"/>
      <c r="AFM65" s="5797"/>
      <c r="AFN65" s="5797"/>
      <c r="AFO65" s="5797"/>
      <c r="AFP65" s="5797"/>
      <c r="AFQ65" s="5797"/>
      <c r="AFR65" s="3367"/>
      <c r="AFS65" s="5797"/>
      <c r="AFT65" s="5797"/>
      <c r="AFU65" s="5797"/>
      <c r="AFV65" s="3366"/>
      <c r="AFW65" s="5797"/>
      <c r="AFX65" s="5797"/>
      <c r="AFY65" s="5797"/>
      <c r="AFZ65" s="184"/>
      <c r="AGA65" s="5797"/>
      <c r="AGB65" s="3367"/>
      <c r="AGC65" s="5797"/>
      <c r="AGD65" s="5797"/>
      <c r="AGE65" s="5797"/>
      <c r="AGF65" s="3366"/>
      <c r="AGG65" s="5797"/>
      <c r="AGH65" s="5797"/>
      <c r="AGI65" s="5799"/>
      <c r="AGJ65" s="5797"/>
      <c r="AGK65" s="5797"/>
      <c r="AGL65" s="5797"/>
      <c r="AGM65" s="5797"/>
      <c r="AGN65" s="2622"/>
      <c r="AGO65" s="3378" t="s">
        <v>949</v>
      </c>
      <c r="AGP65" s="5797"/>
      <c r="AGQ65" s="5797"/>
      <c r="AGR65" s="5797"/>
      <c r="AGS65" s="5797"/>
      <c r="AGT65" s="5797"/>
      <c r="AGU65" s="5799"/>
      <c r="AGV65" s="5797"/>
      <c r="AGW65" s="3378" t="s">
        <v>949</v>
      </c>
      <c r="AGX65" s="5797"/>
      <c r="AGY65" s="5797"/>
      <c r="AGZ65" s="5797"/>
      <c r="AHA65" s="5797"/>
      <c r="AHB65" s="5797"/>
      <c r="AHC65" s="5799"/>
      <c r="AHD65" s="5797"/>
      <c r="AHE65" s="2737"/>
      <c r="AHF65" s="3378" t="s">
        <v>949</v>
      </c>
      <c r="AHG65" s="5797"/>
      <c r="AHH65" s="5797"/>
      <c r="AHI65" s="5797"/>
      <c r="AHJ65" s="5797"/>
      <c r="AHK65" s="5797"/>
      <c r="AHL65" s="5799"/>
      <c r="AHM65" s="2737"/>
      <c r="AHN65" s="2737"/>
      <c r="AHO65" s="2737"/>
      <c r="AHP65" s="5800"/>
      <c r="AHQ65" s="5797"/>
      <c r="AHR65" s="5797"/>
      <c r="AHS65" s="5797"/>
      <c r="AHT65" s="5797"/>
      <c r="AHU65" s="5797"/>
      <c r="AHV65" s="5797"/>
      <c r="AHW65" s="5797"/>
      <c r="AHX65" s="5799"/>
      <c r="AHY65" s="2622"/>
      <c r="AHZ65" s="5800"/>
      <c r="AIA65" s="5797"/>
      <c r="AIB65" s="5797"/>
      <c r="AIC65" s="5797"/>
      <c r="AID65" s="5797"/>
      <c r="AIE65" s="5797"/>
      <c r="AIF65" s="5797"/>
      <c r="AIG65" s="5797"/>
      <c r="AIH65" s="5799"/>
      <c r="AII65" s="184"/>
      <c r="AIJ65" s="3811"/>
      <c r="AIK65" s="5797"/>
      <c r="AIL65" s="5797"/>
      <c r="AIM65" s="5797"/>
      <c r="AIN65" s="5797"/>
      <c r="AIO65" s="5797"/>
      <c r="AIP65" s="5797"/>
      <c r="AIQ65" s="5797"/>
      <c r="AIR65" s="3753"/>
      <c r="AIS65" s="2622"/>
      <c r="AIT65" s="5800"/>
      <c r="AIU65" s="5797"/>
      <c r="AIV65" s="5797"/>
      <c r="AIW65" s="5797"/>
      <c r="AIX65" s="5797"/>
      <c r="AIY65" s="5797"/>
      <c r="AIZ65" s="5797"/>
      <c r="AJA65" s="5797"/>
      <c r="AJB65" s="5797"/>
      <c r="AJC65" s="5797"/>
      <c r="AJD65" s="5797"/>
      <c r="AJE65" s="5797"/>
      <c r="AJF65" s="5797"/>
      <c r="AJG65" s="5797"/>
      <c r="AJH65" s="5797"/>
      <c r="AJI65" s="5797"/>
      <c r="AJJ65" s="5797"/>
      <c r="AJK65" s="5797"/>
      <c r="AJL65" s="5797"/>
      <c r="AJM65" s="5797"/>
      <c r="AJN65" s="5797"/>
      <c r="AJO65" s="5797"/>
      <c r="AJP65" s="5797"/>
      <c r="AJQ65" s="5797"/>
      <c r="AJR65" s="5797"/>
      <c r="AJS65" s="5797"/>
      <c r="AJT65" s="5797"/>
      <c r="AJU65" s="5797"/>
      <c r="AJV65" s="5797"/>
      <c r="AJW65" s="5797"/>
      <c r="AJX65" s="5797"/>
      <c r="AJY65" s="5797"/>
      <c r="AJZ65" s="5799"/>
      <c r="AKA65" s="5797"/>
      <c r="AKB65" s="5797"/>
      <c r="AKC65" s="5797"/>
      <c r="AKD65" s="5800"/>
      <c r="AKE65" s="5797"/>
      <c r="AKF65" s="5797"/>
      <c r="AKG65" s="5797"/>
      <c r="AKH65" s="5797"/>
      <c r="AKI65" s="5797"/>
      <c r="AKJ65" s="5797"/>
      <c r="AKK65" s="5797"/>
      <c r="AKL65" s="5797"/>
      <c r="AKM65" s="3367" t="s">
        <v>949</v>
      </c>
      <c r="AKN65" s="5797"/>
      <c r="AKO65" s="5797"/>
      <c r="AKP65" s="5797"/>
      <c r="AKQ65" s="3366"/>
      <c r="AKR65" s="5797"/>
      <c r="AKS65" s="5797"/>
      <c r="AKT65" s="5797"/>
      <c r="AKU65" s="184"/>
      <c r="AKV65" s="3367" t="s">
        <v>949</v>
      </c>
      <c r="AKW65" s="5797"/>
      <c r="AKX65" s="5797"/>
      <c r="AKY65" s="5797"/>
      <c r="AKZ65" s="3366"/>
      <c r="ALA65" s="5797"/>
      <c r="ALB65" s="5799"/>
      <c r="ALC65" s="3642"/>
      <c r="ALD65" s="5800"/>
      <c r="ALE65" s="5797"/>
      <c r="ALF65" s="5797"/>
      <c r="ALG65" s="5797"/>
      <c r="ALH65" s="5797"/>
      <c r="ALI65" s="5797"/>
      <c r="ALJ65" s="5797"/>
      <c r="ALK65" s="5797"/>
      <c r="ALL65" s="3753"/>
      <c r="ALM65" s="2737"/>
      <c r="ALN65" s="5800"/>
      <c r="ALO65" s="5797"/>
      <c r="ALP65" s="5797"/>
      <c r="ALQ65" s="5797"/>
      <c r="ALR65" s="5797"/>
      <c r="ALS65" s="5797"/>
      <c r="ALT65" s="5797"/>
      <c r="ALU65" s="5797"/>
      <c r="ALV65" s="5797"/>
      <c r="ALW65" s="5797"/>
      <c r="ALX65" s="3367" t="s">
        <v>949</v>
      </c>
      <c r="ALY65" s="5797"/>
      <c r="ALZ65" s="5797"/>
      <c r="AMA65" s="5797"/>
      <c r="AMB65" s="3366"/>
      <c r="AMC65" s="5797"/>
      <c r="AMD65" s="5797"/>
      <c r="AME65" s="5797"/>
      <c r="AMF65" s="184"/>
      <c r="AMG65" s="3367" t="s">
        <v>949</v>
      </c>
      <c r="AMH65" s="5797"/>
      <c r="AMI65" s="5797"/>
      <c r="AMJ65" s="5797"/>
      <c r="AMK65" s="3366"/>
      <c r="AML65" s="5797"/>
      <c r="AMM65" s="5799"/>
      <c r="AMN65" s="5797"/>
      <c r="AMO65" s="5797"/>
      <c r="AMP65" s="5797"/>
      <c r="AMQ65" s="5797"/>
      <c r="AMR65" s="5797"/>
      <c r="AMS65" s="5797"/>
      <c r="AMT65" s="5797"/>
      <c r="AMU65" s="5797"/>
      <c r="AMV65" s="5797"/>
      <c r="AMW65" s="5797"/>
      <c r="AMX65" s="5797"/>
      <c r="AMY65" s="5797"/>
      <c r="AMZ65" s="5797"/>
      <c r="ANA65" s="5797"/>
      <c r="ANB65" s="5797"/>
      <c r="ANC65" s="5797"/>
      <c r="AND65" s="5797"/>
      <c r="ANE65" s="5797"/>
      <c r="ANF65" s="5797"/>
      <c r="ANG65" s="5797"/>
      <c r="ANH65" s="5797"/>
      <c r="ANI65" s="5797"/>
      <c r="ANJ65" s="5797"/>
      <c r="ANK65" s="5797"/>
      <c r="ANL65" s="5797"/>
      <c r="ANM65" s="5797"/>
      <c r="ANN65" s="5797"/>
      <c r="ANO65" s="5797"/>
      <c r="ANP65" s="5797"/>
      <c r="ANQ65" s="5797"/>
      <c r="ANR65" s="5797"/>
      <c r="ANS65" s="5797"/>
      <c r="ANT65" s="5797"/>
      <c r="ANU65" s="5797"/>
      <c r="ANV65" s="5797"/>
      <c r="ANW65" s="5797"/>
      <c r="ANX65" s="5797"/>
      <c r="ANY65" s="5797"/>
      <c r="ANZ65" s="5797"/>
      <c r="AOA65" s="5797"/>
      <c r="AOB65" s="5797"/>
      <c r="AOC65" s="5797"/>
      <c r="AOD65" s="5797"/>
      <c r="AOE65" s="5797"/>
      <c r="AOF65" s="5797"/>
      <c r="AOG65" s="5797"/>
      <c r="AOH65" s="5797"/>
      <c r="AOI65" s="5797"/>
      <c r="AOJ65" s="5797"/>
      <c r="AOK65" s="5797"/>
      <c r="AOL65" s="5797"/>
      <c r="AOM65" s="5797"/>
      <c r="AON65" s="2737"/>
      <c r="AOO65" s="5800"/>
      <c r="AOP65" s="5797"/>
      <c r="AOQ65" s="5797"/>
      <c r="AOR65" s="5797"/>
      <c r="AOS65" s="5797"/>
      <c r="AOT65" s="5797"/>
      <c r="AOU65" s="5797"/>
      <c r="AOV65" s="5797"/>
      <c r="AOW65" s="5797"/>
      <c r="AOX65" s="5797"/>
      <c r="AOY65" s="5797"/>
      <c r="AOZ65" s="5797"/>
      <c r="APA65" s="5797"/>
      <c r="APB65" s="5797"/>
      <c r="APC65" s="5797"/>
      <c r="APD65" s="5797"/>
      <c r="APE65" s="5797"/>
      <c r="APF65" s="5797"/>
      <c r="APG65" s="5797"/>
      <c r="APH65" s="5797"/>
      <c r="API65" s="5797"/>
      <c r="APJ65" s="5797"/>
      <c r="APK65" s="5797"/>
      <c r="APL65" s="5797"/>
      <c r="APM65" s="5797"/>
      <c r="APN65" s="5797"/>
      <c r="APO65" s="5797"/>
      <c r="APP65" s="5797"/>
      <c r="APQ65" s="5797"/>
      <c r="APR65" s="5797"/>
      <c r="APS65" s="5797"/>
      <c r="APT65" s="5797"/>
      <c r="APU65" s="5797"/>
      <c r="APV65" s="5797"/>
      <c r="APW65" s="3367"/>
      <c r="APX65" s="5797"/>
      <c r="APY65" s="5797"/>
      <c r="APZ65" s="5797"/>
      <c r="AQA65" s="3366"/>
      <c r="AQB65" s="5797"/>
      <c r="AQC65" s="5797"/>
      <c r="AQD65" s="5797"/>
      <c r="AQE65" s="184"/>
      <c r="AQF65" s="3367" t="s">
        <v>949</v>
      </c>
      <c r="AQG65" s="5797"/>
      <c r="AQH65" s="5797"/>
      <c r="AQI65" s="5797"/>
      <c r="AQJ65" s="3366"/>
      <c r="AQK65" s="5797"/>
      <c r="AQL65" s="5799"/>
      <c r="AQM65" s="2737"/>
      <c r="AQN65" s="5800"/>
      <c r="AQO65" s="5797"/>
      <c r="AQP65" s="5797"/>
      <c r="AQQ65" s="5797"/>
      <c r="AQR65" s="5797"/>
      <c r="AQS65" s="5797"/>
      <c r="AQT65" s="5797"/>
      <c r="AQU65" s="5797"/>
      <c r="AQV65" s="5797"/>
      <c r="AQW65" s="3367"/>
      <c r="AQX65" s="5797"/>
      <c r="AQY65" s="5797"/>
      <c r="AQZ65" s="5797"/>
      <c r="ARA65" s="3366"/>
      <c r="ARB65" s="5797"/>
      <c r="ARC65" s="5797"/>
      <c r="ARD65" s="5797"/>
      <c r="ARE65" s="184"/>
      <c r="ARF65" s="3367" t="s">
        <v>949</v>
      </c>
      <c r="ARG65" s="5797"/>
      <c r="ARH65" s="5797"/>
      <c r="ARI65" s="5797"/>
      <c r="ARJ65" s="3366"/>
      <c r="ARK65" s="5797"/>
      <c r="ARL65" s="5799"/>
      <c r="ARM65" s="2737"/>
      <c r="ARN65" s="2737"/>
      <c r="ARO65" s="2737"/>
      <c r="ARP65" s="2737"/>
      <c r="ARQ65" s="2737"/>
      <c r="ARR65" s="2737"/>
      <c r="ARS65" s="2737"/>
      <c r="ART65" s="5800"/>
      <c r="ARU65" s="5797"/>
      <c r="ARV65" s="5797"/>
      <c r="ARW65" s="5797"/>
      <c r="ARX65" s="5797"/>
      <c r="ARY65" s="5797"/>
      <c r="ARZ65" s="5797"/>
      <c r="ASA65" s="184"/>
      <c r="ASB65" s="2737"/>
      <c r="ASC65" s="5797"/>
      <c r="ASD65" s="5797"/>
      <c r="ASE65" s="5797"/>
      <c r="ASF65" s="3366"/>
      <c r="ASG65" s="5797"/>
      <c r="ASH65" s="5797"/>
      <c r="ASI65" s="5797"/>
      <c r="ASJ65" s="184"/>
      <c r="ASK65" s="3367" t="s">
        <v>949</v>
      </c>
      <c r="ASL65" s="5797"/>
      <c r="ASM65" s="5797"/>
      <c r="ASN65" s="5797"/>
      <c r="ASO65" s="3366"/>
      <c r="ASP65" s="5797"/>
      <c r="ASQ65" s="5799"/>
      <c r="ASR65" s="2737"/>
      <c r="ASS65" s="2737"/>
      <c r="AST65" s="5797"/>
      <c r="ASU65" s="5797"/>
      <c r="ASV65" s="5797"/>
      <c r="ASW65" s="5797"/>
      <c r="ASX65" s="5797"/>
      <c r="ASY65" s="5797"/>
      <c r="ASZ65" s="5797"/>
      <c r="ATA65" s="2622"/>
      <c r="ATB65" s="2737"/>
      <c r="ATC65" s="2737"/>
      <c r="ATD65" s="2737"/>
      <c r="ATE65" s="2737"/>
      <c r="ATF65" s="2737"/>
      <c r="ATG65" s="2737"/>
      <c r="ATH65" s="2737"/>
      <c r="ATI65" s="2737"/>
      <c r="ATJ65" s="2737"/>
      <c r="ATK65" s="2737"/>
      <c r="ATL65" s="2737"/>
      <c r="ATM65" s="2737"/>
      <c r="ATN65" s="2737"/>
      <c r="ATO65" s="2737"/>
      <c r="ATP65" s="2737"/>
      <c r="ATQ65" s="2737"/>
      <c r="ATR65" s="2737"/>
      <c r="ATS65" s="2626"/>
      <c r="ATT65" s="2737"/>
      <c r="ATU65" s="2737"/>
      <c r="ATV65" s="2737"/>
      <c r="ATW65" s="2737"/>
      <c r="ATX65" s="2737"/>
      <c r="ATY65" s="2737"/>
      <c r="ATZ65" s="2737"/>
      <c r="AUA65" s="2737"/>
      <c r="AUB65" s="2737"/>
      <c r="AUC65" s="2737"/>
      <c r="AUD65" s="2737"/>
      <c r="AUE65" s="2737"/>
      <c r="AUF65" s="2737"/>
      <c r="AUG65" s="2737"/>
      <c r="AUH65" s="2737"/>
      <c r="AUI65" s="2737"/>
      <c r="AUJ65" s="2737"/>
      <c r="AUK65" s="2737"/>
      <c r="AUL65" s="2737"/>
      <c r="AUM65" s="2737"/>
      <c r="AUN65" s="2737"/>
      <c r="AUO65" s="2737"/>
      <c r="AUP65" s="2737"/>
      <c r="AUQ65" s="2737"/>
      <c r="AUR65" s="2737"/>
      <c r="AUS65" s="2626"/>
      <c r="AUT65" s="2737"/>
      <c r="AUV65" s="2617"/>
      <c r="AUW65" s="2617"/>
      <c r="AUX65" s="2617"/>
      <c r="AUY65" s="2617"/>
      <c r="AUZ65" s="2617"/>
      <c r="AVA65" s="181"/>
      <c r="AVB65" s="181"/>
      <c r="AVC65" s="181"/>
      <c r="AVD65" s="181"/>
      <c r="AVE65" s="181"/>
      <c r="AVF65" s="181"/>
      <c r="AVG65" s="181"/>
      <c r="AVH65" s="181"/>
      <c r="AVI65" s="181"/>
      <c r="AVJ65" s="181"/>
      <c r="AVK65" s="181"/>
      <c r="AVL65" s="181"/>
      <c r="AVM65" s="181"/>
      <c r="AVN65" s="181"/>
      <c r="AVO65" s="181"/>
      <c r="AVP65" s="181"/>
      <c r="AVQ65" s="181"/>
      <c r="AVR65" s="181"/>
      <c r="AVS65" s="181"/>
      <c r="AVT65" s="181"/>
      <c r="AVU65" s="181"/>
      <c r="AVV65" s="181"/>
      <c r="AVW65" s="181"/>
      <c r="AVX65" s="181"/>
      <c r="AVY65" s="181"/>
      <c r="AVZ65" s="181"/>
      <c r="AWA65" s="181"/>
      <c r="AWB65" s="181"/>
      <c r="AWC65" s="181"/>
      <c r="AWD65" s="181"/>
      <c r="AWE65" s="181"/>
      <c r="AWF65" s="181"/>
      <c r="AWG65" s="181"/>
      <c r="AWH65" s="181"/>
      <c r="AWI65" s="181"/>
      <c r="AWJ65" s="181"/>
      <c r="AWK65" s="181"/>
      <c r="AWL65" s="181"/>
      <c r="AWM65" s="181"/>
      <c r="AWN65" s="181"/>
      <c r="AWO65" s="181"/>
      <c r="AWP65" s="181"/>
      <c r="AWQ65" s="181"/>
      <c r="AWR65" s="2617"/>
      <c r="AWS65" s="2617"/>
      <c r="AWT65" s="2617"/>
      <c r="AWU65" s="2617"/>
      <c r="AWV65" s="2617"/>
      <c r="AWW65" s="2617"/>
      <c r="AWX65" s="2617"/>
      <c r="AWY65" s="2617"/>
      <c r="AWZ65" s="2617"/>
      <c r="AXA65" s="2617"/>
      <c r="AXB65" s="2617"/>
      <c r="AXC65" s="2617"/>
      <c r="AXD65" s="2617"/>
      <c r="AXE65" s="2617"/>
      <c r="AXF65" s="2617"/>
      <c r="AXG65" s="2617"/>
      <c r="AXH65" s="2617"/>
      <c r="AXI65" s="2617"/>
      <c r="AXJ65" s="2617"/>
      <c r="AXK65" s="2617"/>
      <c r="AXL65" s="2617"/>
      <c r="AXM65" s="2617"/>
      <c r="AXN65" s="2617"/>
      <c r="AXO65" s="2617"/>
      <c r="AXP65" s="2617"/>
      <c r="AXQ65" s="2617"/>
      <c r="AXR65" s="2617"/>
      <c r="AXS65" s="2617"/>
      <c r="AXT65" s="2617"/>
      <c r="AXU65" s="2617"/>
      <c r="AXV65" s="2617"/>
      <c r="AXW65" s="2617"/>
      <c r="AXX65" s="2617"/>
      <c r="AXY65" s="2617"/>
      <c r="AXZ65" s="2617"/>
      <c r="AYA65" s="2617"/>
      <c r="AYB65" s="2617"/>
      <c r="AYC65" s="2617"/>
      <c r="AYD65" s="2617"/>
      <c r="AYE65" s="2617"/>
      <c r="AYF65" s="2617"/>
      <c r="AYG65" s="2617"/>
      <c r="BBV65" s="2617"/>
      <c r="BBW65" s="2617"/>
      <c r="BBX65" s="2617"/>
      <c r="BBY65" s="2617"/>
      <c r="BBZ65" s="2617"/>
      <c r="BCA65" s="2617"/>
      <c r="BCB65" s="2617"/>
      <c r="BCC65" s="181"/>
      <c r="BDL65" s="2626"/>
      <c r="BDZ65" s="2626"/>
      <c r="BFE65" s="3398"/>
    </row>
    <row r="66" spans="1:1513" x14ac:dyDescent="0.2">
      <c r="AH66" s="206" t="s">
        <v>1499</v>
      </c>
      <c r="AI66" s="3617" t="e">
        <f>INDEX(klasse_tunnelprofil[Vegg],MATCH($AI$80,klasse_tunnelprofil[Tunnel_ID],0))</f>
        <v>#N/A</v>
      </c>
      <c r="AL66" s="2617"/>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c r="FU66" s="181"/>
      <c r="FV66" s="181"/>
      <c r="FW66" s="181"/>
      <c r="FX66" s="181"/>
      <c r="FY66" s="181"/>
      <c r="FZ66" s="181"/>
      <c r="GA66" s="181"/>
      <c r="GB66" s="181"/>
      <c r="GC66" s="181"/>
      <c r="GD66" s="181"/>
      <c r="GE66" s="181"/>
      <c r="GF66" s="181"/>
      <c r="GG66" s="181"/>
      <c r="GH66" s="181"/>
      <c r="GI66" s="181"/>
      <c r="GJ66" s="181"/>
      <c r="GK66" s="181"/>
      <c r="GL66" s="181"/>
      <c r="GM66" s="181"/>
      <c r="GN66" s="181"/>
      <c r="GO66" s="181"/>
      <c r="GP66" s="181"/>
      <c r="GQ66" s="181"/>
      <c r="GR66" s="181"/>
      <c r="GS66" s="181"/>
      <c r="GT66" s="181"/>
      <c r="GU66" s="181"/>
      <c r="GV66" s="181"/>
      <c r="GW66" s="181"/>
      <c r="GX66" s="181"/>
      <c r="GY66" s="181"/>
      <c r="GZ66" s="181"/>
      <c r="HA66" s="181"/>
      <c r="HB66" s="181"/>
      <c r="HC66" s="181"/>
      <c r="HD66" s="181"/>
      <c r="HE66" s="181"/>
      <c r="HF66" s="181"/>
      <c r="HG66" s="181"/>
      <c r="HH66" s="181"/>
      <c r="HI66" s="181"/>
      <c r="HJ66" s="181"/>
      <c r="HK66" s="181"/>
      <c r="HL66" s="181"/>
      <c r="HM66" s="181"/>
      <c r="HN66" s="181"/>
      <c r="HO66" s="181"/>
      <c r="HP66" s="181"/>
      <c r="HQ66" s="181"/>
      <c r="LF66" s="181"/>
      <c r="LG66" s="181"/>
      <c r="LH66" s="181"/>
      <c r="LI66" s="181"/>
      <c r="LJ66" s="181"/>
      <c r="LK66" s="181"/>
      <c r="LL66" s="181"/>
      <c r="LM66" s="181"/>
      <c r="LN66" s="181"/>
      <c r="LO66" s="181"/>
      <c r="LP66" s="181"/>
      <c r="LQ66" s="181"/>
      <c r="LR66" s="181"/>
      <c r="LS66" s="181"/>
      <c r="LT66" s="181"/>
      <c r="LU66" s="181"/>
      <c r="LV66" s="181"/>
      <c r="LW66" s="181"/>
      <c r="LX66" s="181"/>
      <c r="LY66" s="181"/>
      <c r="LZ66" s="181"/>
      <c r="MA66" s="181"/>
      <c r="MB66" s="181"/>
      <c r="MC66" s="181"/>
      <c r="MD66" s="181"/>
      <c r="ME66" s="181"/>
      <c r="MF66" s="181"/>
      <c r="MG66" s="181"/>
      <c r="MH66" s="181"/>
      <c r="MI66" s="181"/>
      <c r="MJ66" s="181"/>
      <c r="MK66" s="181"/>
      <c r="ML66" s="181"/>
      <c r="MM66" s="181"/>
      <c r="MN66" s="181"/>
      <c r="MO66" s="181"/>
      <c r="MP66" s="181"/>
      <c r="MQ66" s="181"/>
      <c r="MR66" s="181"/>
      <c r="MS66" s="181"/>
      <c r="MT66" s="181"/>
      <c r="MU66" s="181"/>
      <c r="MV66" s="181"/>
      <c r="MW66" s="181"/>
      <c r="MX66" s="181"/>
      <c r="MY66" s="181"/>
      <c r="MZ66" s="181"/>
      <c r="NA66" s="181"/>
      <c r="NB66" s="181"/>
      <c r="NC66" s="181"/>
      <c r="ND66" s="181"/>
      <c r="NE66" s="181"/>
      <c r="NF66" s="181"/>
      <c r="NG66" s="181"/>
      <c r="NH66" s="181"/>
      <c r="NI66" s="181"/>
      <c r="NJ66" s="181"/>
      <c r="NK66" s="181"/>
      <c r="NL66" s="181"/>
      <c r="NM66" s="181"/>
      <c r="NN66" s="181"/>
      <c r="NO66" s="181"/>
      <c r="NP66" s="181"/>
      <c r="NQ66" s="181"/>
      <c r="NR66" s="181"/>
      <c r="NS66" s="181"/>
      <c r="NT66" s="181"/>
      <c r="NU66" s="181"/>
      <c r="NV66" s="181"/>
      <c r="NW66" s="181"/>
      <c r="NX66" s="181"/>
      <c r="NY66" s="181"/>
      <c r="NZ66" s="181"/>
      <c r="OA66" s="181"/>
      <c r="OB66" s="181"/>
      <c r="OC66" s="181"/>
      <c r="OD66" s="181"/>
      <c r="OE66" s="181"/>
      <c r="OF66" s="181"/>
      <c r="OG66" s="181"/>
      <c r="OH66" s="181"/>
      <c r="OI66" s="181"/>
      <c r="OJ66" s="181"/>
      <c r="OK66" s="181"/>
      <c r="OL66" s="181"/>
      <c r="OM66" s="181"/>
      <c r="ON66" s="181"/>
      <c r="OO66" s="181"/>
      <c r="OP66" s="181"/>
      <c r="OQ66" s="181"/>
      <c r="OR66" s="181"/>
      <c r="OS66" s="181"/>
      <c r="OT66" s="181"/>
      <c r="OU66" s="181"/>
      <c r="OV66" s="181"/>
      <c r="OW66" s="181"/>
      <c r="OX66" s="181"/>
      <c r="OY66" s="181"/>
      <c r="OZ66" s="181"/>
      <c r="PA66" s="181"/>
      <c r="PB66" s="181"/>
      <c r="PC66" s="181"/>
      <c r="PD66" s="181"/>
      <c r="PE66" s="181"/>
      <c r="PF66" s="181"/>
      <c r="PG66" s="181"/>
      <c r="PH66" s="181"/>
      <c r="PI66" s="181"/>
      <c r="PJ66" s="181"/>
      <c r="PK66" s="181"/>
      <c r="PL66" s="181"/>
      <c r="PM66" s="181"/>
      <c r="PN66" s="181"/>
      <c r="PO66" s="181"/>
      <c r="PP66" s="181"/>
      <c r="PQ66" s="181"/>
      <c r="PR66" s="181"/>
      <c r="PS66" s="181"/>
      <c r="PT66" s="181"/>
      <c r="PU66" s="181"/>
      <c r="PV66" s="181"/>
      <c r="PW66" s="181"/>
      <c r="PX66" s="181"/>
      <c r="PY66" s="181"/>
      <c r="PZ66" s="181"/>
      <c r="QA66" s="181"/>
      <c r="QB66" s="181"/>
      <c r="QC66" s="181"/>
      <c r="QD66" s="181"/>
      <c r="QE66" s="181"/>
      <c r="QF66" s="181"/>
      <c r="QG66" s="181"/>
      <c r="QH66" s="181"/>
      <c r="QI66" s="181"/>
      <c r="QJ66" s="181"/>
      <c r="QK66" s="181"/>
      <c r="QL66" s="181"/>
      <c r="QM66" s="181"/>
      <c r="QN66" s="181"/>
      <c r="QO66" s="181"/>
      <c r="QP66" s="181"/>
      <c r="QQ66" s="181"/>
      <c r="QR66" s="181"/>
      <c r="QS66" s="181"/>
      <c r="QT66" s="181"/>
      <c r="QU66" s="181"/>
      <c r="QV66" s="181"/>
      <c r="QW66" s="181"/>
      <c r="QX66" s="181"/>
      <c r="QY66" s="181"/>
      <c r="QZ66" s="181"/>
      <c r="RA66" s="181"/>
      <c r="RB66" s="181"/>
      <c r="RC66" s="181"/>
      <c r="RD66" s="181"/>
      <c r="RE66" s="181"/>
      <c r="RF66" s="181"/>
      <c r="RG66" s="181"/>
      <c r="RH66" s="181"/>
      <c r="RI66" s="181"/>
      <c r="RJ66" s="181"/>
      <c r="RK66" s="181"/>
      <c r="RL66" s="181"/>
      <c r="RM66" s="181"/>
      <c r="RN66" s="181"/>
      <c r="RO66" s="181"/>
      <c r="RP66" s="181"/>
      <c r="RQ66" s="181"/>
      <c r="RR66" s="181"/>
      <c r="RS66" s="181"/>
      <c r="RT66" s="181"/>
      <c r="RU66" s="181"/>
      <c r="RV66" s="181"/>
      <c r="RW66" s="181"/>
      <c r="RX66" s="181"/>
      <c r="RY66" s="181"/>
      <c r="RZ66" s="181"/>
      <c r="SA66" s="181"/>
      <c r="SB66" s="181"/>
      <c r="SC66" s="181"/>
      <c r="SD66" s="181"/>
      <c r="SE66" s="181"/>
      <c r="SF66" s="181"/>
      <c r="SG66" s="181"/>
      <c r="SH66" s="181"/>
      <c r="SI66" s="181"/>
      <c r="SJ66" s="181"/>
      <c r="SK66" s="181"/>
      <c r="SL66" s="181"/>
      <c r="SM66" s="181"/>
      <c r="SN66" s="181"/>
      <c r="SO66" s="181"/>
      <c r="SP66" s="181"/>
      <c r="SQ66" s="181"/>
      <c r="SR66" s="181"/>
      <c r="SS66" s="181"/>
      <c r="ST66" s="181"/>
      <c r="SU66" s="181"/>
      <c r="SV66" s="181"/>
      <c r="SW66" s="181"/>
      <c r="SX66" s="181"/>
      <c r="SY66" s="181"/>
      <c r="SZ66" s="181"/>
      <c r="TA66" s="181"/>
      <c r="TB66" s="181"/>
      <c r="TC66" s="181"/>
      <c r="TD66" s="181"/>
      <c r="TE66" s="181"/>
      <c r="TF66" s="181"/>
      <c r="TG66" s="181"/>
      <c r="TH66" s="181"/>
      <c r="TI66" s="181"/>
      <c r="TJ66" s="181"/>
      <c r="TK66" s="181"/>
      <c r="TL66" s="181"/>
      <c r="TM66" s="181"/>
      <c r="TN66" s="181"/>
      <c r="TO66" s="181"/>
      <c r="TP66" s="181"/>
      <c r="TQ66" s="181"/>
      <c r="TR66" s="181"/>
      <c r="TS66" s="181"/>
      <c r="TT66" s="181"/>
      <c r="TU66" s="181"/>
      <c r="TV66" s="181"/>
      <c r="TW66" s="181"/>
      <c r="TX66" s="181"/>
      <c r="TY66" s="181"/>
      <c r="TZ66" s="181"/>
      <c r="UA66" s="181"/>
      <c r="UB66" s="181"/>
      <c r="UC66" s="181"/>
      <c r="UD66" s="181"/>
      <c r="UE66" s="181"/>
      <c r="UF66" s="181"/>
      <c r="UG66" s="181"/>
      <c r="UH66" s="181"/>
      <c r="UI66" s="181"/>
      <c r="UJ66" s="181"/>
      <c r="UK66" s="181"/>
      <c r="UL66" s="181"/>
      <c r="UM66" s="181"/>
      <c r="UN66" s="181"/>
      <c r="UO66" s="181"/>
      <c r="UP66" s="181"/>
      <c r="UQ66" s="181"/>
      <c r="UR66" s="181"/>
      <c r="US66" s="181"/>
      <c r="UT66" s="181"/>
      <c r="UU66" s="181"/>
      <c r="UV66" s="181"/>
      <c r="UW66" s="181"/>
      <c r="UX66" s="181"/>
      <c r="UY66" s="181"/>
      <c r="UZ66" s="181"/>
      <c r="VA66" s="181"/>
      <c r="VB66" s="181"/>
      <c r="VC66" s="181"/>
      <c r="VD66" s="181"/>
      <c r="VE66" s="181"/>
      <c r="VF66" s="181"/>
      <c r="VG66" s="181"/>
      <c r="VH66" s="181"/>
      <c r="VI66" s="181"/>
      <c r="VJ66" s="181"/>
      <c r="VK66" s="181"/>
      <c r="VL66" s="181"/>
      <c r="VM66" s="181"/>
      <c r="VN66" s="181"/>
      <c r="VO66" s="181"/>
      <c r="VP66" s="181"/>
      <c r="VQ66" s="181"/>
      <c r="VR66" s="181"/>
      <c r="AAW66" s="2622"/>
      <c r="AAX66" s="2622"/>
      <c r="AAY66" s="2622"/>
      <c r="AAZ66" s="2622"/>
      <c r="ABA66" s="5800"/>
      <c r="ABB66" s="5797"/>
      <c r="ABC66" s="5797"/>
      <c r="ABD66" s="5797"/>
      <c r="ABE66" s="5797"/>
      <c r="ABF66" s="5797"/>
      <c r="ABG66" s="5797"/>
      <c r="ABH66" s="5797"/>
      <c r="ABI66" s="3618"/>
      <c r="ABJ66" s="2622"/>
      <c r="ABK66" s="5800"/>
      <c r="ABL66" s="2720"/>
      <c r="ABM66" s="5797"/>
      <c r="ABN66" s="5797"/>
      <c r="ABO66" s="5797"/>
      <c r="ABP66" s="5797"/>
      <c r="ABQ66" s="5797"/>
      <c r="ABR66" s="5797"/>
      <c r="ABS66" s="5799"/>
      <c r="ABT66" s="2622"/>
      <c r="ABU66" s="5800"/>
      <c r="ABV66" s="2720"/>
      <c r="ABW66" s="5797"/>
      <c r="ABX66" s="5797"/>
      <c r="ABY66" s="5797"/>
      <c r="ABZ66" s="5797"/>
      <c r="ACA66" s="5797"/>
      <c r="ACB66" s="5797"/>
      <c r="ACC66" s="5799"/>
      <c r="ACD66" s="2737"/>
      <c r="ACE66" s="5800"/>
      <c r="ACF66" s="5797"/>
      <c r="ACG66" s="5797"/>
      <c r="ACH66" s="5797"/>
      <c r="ACI66" s="5797"/>
      <c r="ACJ66" s="5797"/>
      <c r="ACK66" s="5797"/>
      <c r="ACL66" s="5797"/>
      <c r="ACM66" s="5797"/>
      <c r="ACN66" s="184"/>
      <c r="ACO66" s="5797"/>
      <c r="ACP66" s="5797"/>
      <c r="ACQ66" s="5797"/>
      <c r="ACR66" s="5797"/>
      <c r="ACS66" s="5797"/>
      <c r="ACT66" s="5797"/>
      <c r="ACU66" s="5797"/>
      <c r="ACV66" s="5797"/>
      <c r="ACW66" s="184"/>
      <c r="ACX66" s="5797"/>
      <c r="ACY66" s="5797"/>
      <c r="ACZ66" s="5797"/>
      <c r="ADA66" s="5797"/>
      <c r="ADB66" s="5797"/>
      <c r="ADC66" s="5797"/>
      <c r="ADD66" s="5797"/>
      <c r="ADE66" s="5799"/>
      <c r="ADF66" s="2737"/>
      <c r="ADG66" s="5800"/>
      <c r="ADH66" s="5797"/>
      <c r="ADI66" s="5797"/>
      <c r="ADJ66" s="5797"/>
      <c r="ADK66" s="5797"/>
      <c r="ADL66" s="5797"/>
      <c r="ADM66" s="5797"/>
      <c r="ADN66" s="5797"/>
      <c r="ADO66" s="5797"/>
      <c r="ADP66" s="184"/>
      <c r="ADQ66" s="5797"/>
      <c r="ADR66" s="5797"/>
      <c r="ADS66" s="5797"/>
      <c r="ADT66" s="5797"/>
      <c r="ADU66" s="5797"/>
      <c r="ADV66" s="5797"/>
      <c r="ADW66" s="5797"/>
      <c r="ADX66" s="5797"/>
      <c r="ADY66" s="5797"/>
      <c r="ADZ66" s="5797"/>
      <c r="AEA66" s="5797"/>
      <c r="AEB66" s="5797"/>
      <c r="AEC66" s="5797"/>
      <c r="AED66" s="5797"/>
      <c r="AEE66" s="5797"/>
      <c r="AEF66" s="5797"/>
      <c r="AEG66" s="5799"/>
      <c r="AEH66" s="2737"/>
      <c r="AEI66" s="2737"/>
      <c r="AEJ66" s="2737"/>
      <c r="AEK66" s="2737"/>
      <c r="AEL66" s="2737"/>
      <c r="AEM66" s="2737"/>
      <c r="AEN66" s="2737"/>
      <c r="AEO66" s="2737"/>
      <c r="AEP66" s="2737"/>
      <c r="AEQ66" s="2737"/>
      <c r="AER66" s="2737"/>
      <c r="AES66" s="5800"/>
      <c r="AET66" s="184"/>
      <c r="AEU66" s="5797"/>
      <c r="AEV66" s="5797"/>
      <c r="AEW66" s="5797"/>
      <c r="AEX66" s="5797"/>
      <c r="AEY66" s="5797"/>
      <c r="AEZ66" s="5799"/>
      <c r="AFB66" s="5800"/>
      <c r="AFC66" s="5797"/>
      <c r="AFD66" s="5797"/>
      <c r="AFE66" s="5797"/>
      <c r="AFF66" s="5797"/>
      <c r="AFG66" s="5797"/>
      <c r="AFH66" s="5799"/>
      <c r="AFJ66" s="5800"/>
      <c r="AFK66" s="5797"/>
      <c r="AFL66" s="5797"/>
      <c r="AFM66" s="5797"/>
      <c r="AFN66" s="5797"/>
      <c r="AFO66" s="5797"/>
      <c r="AFP66" s="5797"/>
      <c r="AFQ66" s="5797"/>
      <c r="AFR66" s="5797"/>
      <c r="AFS66" s="5797"/>
      <c r="AFT66" s="5797"/>
      <c r="AFU66" s="5797"/>
      <c r="AFV66" s="5797"/>
      <c r="AFW66" s="5797"/>
      <c r="AFX66" s="5797"/>
      <c r="AFY66" s="5797"/>
      <c r="AFZ66" s="184"/>
      <c r="AGA66" s="5797"/>
      <c r="AGB66" s="5797"/>
      <c r="AGC66" s="5797"/>
      <c r="AGD66" s="5797"/>
      <c r="AGE66" s="5797"/>
      <c r="AGF66" s="5797"/>
      <c r="AGG66" s="5797"/>
      <c r="AGH66" s="5797"/>
      <c r="AGI66" s="5799"/>
      <c r="AGJ66" s="5797"/>
      <c r="AGK66" s="5797"/>
      <c r="AGL66" s="5797"/>
      <c r="AGM66" s="5797"/>
      <c r="AGN66" s="2622"/>
      <c r="AGO66" s="5800"/>
      <c r="AGP66" s="5797"/>
      <c r="AGQ66" s="5797"/>
      <c r="AGR66" s="5797"/>
      <c r="AGS66" s="5797"/>
      <c r="AGT66" s="5797"/>
      <c r="AGU66" s="5799"/>
      <c r="AGV66" s="5797"/>
      <c r="AGW66" s="5800"/>
      <c r="AGX66" s="5797"/>
      <c r="AGY66" s="5797"/>
      <c r="AGZ66" s="5797"/>
      <c r="AHA66" s="5797"/>
      <c r="AHB66" s="5797"/>
      <c r="AHC66" s="5799"/>
      <c r="AHD66" s="5797"/>
      <c r="AHF66" s="5800"/>
      <c r="AHG66" s="5797"/>
      <c r="AHH66" s="5797"/>
      <c r="AHI66" s="5797"/>
      <c r="AHJ66" s="5797"/>
      <c r="AHK66" s="5797"/>
      <c r="AHL66" s="5799"/>
      <c r="AHP66" s="5800"/>
      <c r="AHQ66" s="5797"/>
      <c r="AHR66" s="5797"/>
      <c r="AHS66" s="5797"/>
      <c r="AHT66" s="5797"/>
      <c r="AHU66" s="5797"/>
      <c r="AHV66" s="5797"/>
      <c r="AHW66" s="5797"/>
      <c r="AHX66" s="5799"/>
      <c r="AHY66" s="2622"/>
      <c r="AHZ66" s="5800"/>
      <c r="AIA66" s="5797"/>
      <c r="AIB66" s="5797"/>
      <c r="AIC66" s="5797"/>
      <c r="AID66" s="5797"/>
      <c r="AIE66" s="5797"/>
      <c r="AIF66" s="5797"/>
      <c r="AIG66" s="5797"/>
      <c r="AIH66" s="5799"/>
      <c r="AII66" s="184"/>
      <c r="AIJ66" s="3811"/>
      <c r="AIK66" s="5797"/>
      <c r="AIL66" s="5797"/>
      <c r="AIM66" s="5797"/>
      <c r="AIN66" s="5797"/>
      <c r="AIO66" s="5797"/>
      <c r="AIP66" s="5797"/>
      <c r="AIQ66" s="5797"/>
      <c r="AIR66" s="3753"/>
      <c r="AIS66" s="2622"/>
      <c r="AIT66" s="5800"/>
      <c r="AIU66" s="5797"/>
      <c r="AIV66" s="5797"/>
      <c r="AIW66" s="5797"/>
      <c r="AIX66" s="5797"/>
      <c r="AIY66" s="5797"/>
      <c r="AIZ66" s="5797"/>
      <c r="AJA66" s="5797"/>
      <c r="AJB66" s="5797"/>
      <c r="AJC66" s="5797"/>
      <c r="AJD66" s="5797"/>
      <c r="AJE66" s="5797"/>
      <c r="AJF66" s="5797"/>
      <c r="AJG66" s="5797"/>
      <c r="AJH66" s="5797"/>
      <c r="AJI66" s="5797"/>
      <c r="AJJ66" s="5797"/>
      <c r="AJK66" s="5797"/>
      <c r="AJL66" s="5797"/>
      <c r="AJM66" s="5797"/>
      <c r="AJN66" s="5797"/>
      <c r="AJO66" s="5797"/>
      <c r="AJP66" s="5797"/>
      <c r="AJQ66" s="5797"/>
      <c r="AJR66" s="5797"/>
      <c r="AJS66" s="5797"/>
      <c r="AJT66" s="5797"/>
      <c r="AJU66" s="5797"/>
      <c r="AJV66" s="5797"/>
      <c r="AJW66" s="5797"/>
      <c r="AJX66" s="5797"/>
      <c r="AJY66" s="5797"/>
      <c r="AJZ66" s="5799"/>
      <c r="AKA66" s="5797"/>
      <c r="AKB66" s="5797"/>
      <c r="AKC66" s="5797"/>
      <c r="AKD66" s="5800"/>
      <c r="AKE66" s="5797"/>
      <c r="AKF66" s="5797"/>
      <c r="AKG66" s="5797"/>
      <c r="AKH66" s="5797"/>
      <c r="AKI66" s="5797"/>
      <c r="AKJ66" s="5797"/>
      <c r="AKK66" s="5797"/>
      <c r="AKL66" s="5797"/>
      <c r="AKM66" s="5797"/>
      <c r="AKN66" s="5797"/>
      <c r="AKO66" s="5797"/>
      <c r="AKP66" s="5797"/>
      <c r="AKQ66" s="5797"/>
      <c r="AKR66" s="5797"/>
      <c r="AKS66" s="5797"/>
      <c r="AKT66" s="5797"/>
      <c r="AKU66" s="184"/>
      <c r="AKV66" s="5797"/>
      <c r="AKW66" s="5797"/>
      <c r="AKX66" s="5797"/>
      <c r="AKY66" s="5797"/>
      <c r="AKZ66" s="5797"/>
      <c r="ALA66" s="5797"/>
      <c r="ALB66" s="5799"/>
      <c r="ALC66" s="3642"/>
      <c r="ALD66" s="5800"/>
      <c r="ALE66" s="5797"/>
      <c r="ALF66" s="5797"/>
      <c r="ALG66" s="5797"/>
      <c r="ALH66" s="5797"/>
      <c r="ALI66" s="5797"/>
      <c r="ALJ66" s="5797"/>
      <c r="ALK66" s="5797"/>
      <c r="ALL66" s="3753"/>
      <c r="ALM66" s="2737"/>
      <c r="ALN66" s="5800"/>
      <c r="ALO66" s="5797"/>
      <c r="ALP66" s="5797"/>
      <c r="ALQ66" s="5797"/>
      <c r="ALR66" s="5797"/>
      <c r="ALS66" s="5797"/>
      <c r="ALT66" s="5797"/>
      <c r="ALU66" s="5797"/>
      <c r="ALV66" s="5797"/>
      <c r="ALW66" s="5797"/>
      <c r="ALX66" s="5797"/>
      <c r="ALY66" s="5797"/>
      <c r="ALZ66" s="5797"/>
      <c r="AMA66" s="5797"/>
      <c r="AMB66" s="5797"/>
      <c r="AMC66" s="5797"/>
      <c r="AMD66" s="5797"/>
      <c r="AME66" s="5797"/>
      <c r="AMF66" s="184"/>
      <c r="AMG66" s="5797"/>
      <c r="AMH66" s="5797"/>
      <c r="AMI66" s="5797"/>
      <c r="AMJ66" s="5797"/>
      <c r="AMK66" s="5797"/>
      <c r="AML66" s="5797"/>
      <c r="AMM66" s="5799"/>
      <c r="AMN66" s="5797"/>
      <c r="AMO66" s="5797"/>
      <c r="AMP66" s="5797"/>
      <c r="AMQ66" s="5797"/>
      <c r="AMR66" s="5797"/>
      <c r="AMS66" s="5797"/>
      <c r="AMT66" s="5797"/>
      <c r="AMU66" s="5797"/>
      <c r="AMV66" s="5797"/>
      <c r="AMW66" s="5797"/>
      <c r="AMX66" s="5797"/>
      <c r="AMY66" s="5797"/>
      <c r="AMZ66" s="5797"/>
      <c r="ANA66" s="5797"/>
      <c r="ANB66" s="5797"/>
      <c r="ANC66" s="5797"/>
      <c r="AND66" s="5797"/>
      <c r="ANE66" s="5797"/>
      <c r="ANF66" s="5797"/>
      <c r="ANG66" s="5797"/>
      <c r="ANH66" s="5797"/>
      <c r="ANI66" s="5797"/>
      <c r="ANJ66" s="5797"/>
      <c r="ANK66" s="5797"/>
      <c r="ANL66" s="5797"/>
      <c r="ANM66" s="5797"/>
      <c r="ANN66" s="5797"/>
      <c r="ANO66" s="5797"/>
      <c r="ANP66" s="5797"/>
      <c r="ANQ66" s="5797"/>
      <c r="ANR66" s="5797"/>
      <c r="ANS66" s="5797"/>
      <c r="ANT66" s="5797"/>
      <c r="ANU66" s="5797"/>
      <c r="ANV66" s="5797"/>
      <c r="ANW66" s="5797"/>
      <c r="ANX66" s="5797"/>
      <c r="ANY66" s="5797"/>
      <c r="ANZ66" s="5797"/>
      <c r="AOA66" s="5797"/>
      <c r="AOB66" s="5797"/>
      <c r="AOC66" s="5797"/>
      <c r="AOD66" s="5797"/>
      <c r="AOE66" s="5797"/>
      <c r="AOF66" s="5797"/>
      <c r="AOG66" s="5797"/>
      <c r="AOH66" s="5797"/>
      <c r="AOI66" s="5797"/>
      <c r="AOJ66" s="5797"/>
      <c r="AOK66" s="5797"/>
      <c r="AOL66" s="5797"/>
      <c r="AOM66" s="5797"/>
      <c r="AOO66" s="5800"/>
      <c r="AOP66" s="5797"/>
      <c r="AOQ66" s="5797"/>
      <c r="AOR66" s="5797"/>
      <c r="AOS66" s="5797"/>
      <c r="AOT66" s="5797"/>
      <c r="AOU66" s="5797"/>
      <c r="AOV66" s="5797"/>
      <c r="AOW66" s="5797"/>
      <c r="AOX66" s="5797"/>
      <c r="AOY66" s="5797"/>
      <c r="AOZ66" s="5797"/>
      <c r="APA66" s="5797"/>
      <c r="APB66" s="5797"/>
      <c r="APC66" s="5797"/>
      <c r="APD66" s="5797"/>
      <c r="APE66" s="5797"/>
      <c r="APF66" s="5797"/>
      <c r="APG66" s="5797"/>
      <c r="APH66" s="5797"/>
      <c r="API66" s="5797"/>
      <c r="APJ66" s="5797"/>
      <c r="APK66" s="5797"/>
      <c r="APL66" s="5797"/>
      <c r="APM66" s="5797"/>
      <c r="APN66" s="5797"/>
      <c r="APO66" s="5797"/>
      <c r="APP66" s="5797"/>
      <c r="APQ66" s="5797"/>
      <c r="APR66" s="5797"/>
      <c r="APS66" s="5797"/>
      <c r="APT66" s="5797"/>
      <c r="APU66" s="5797"/>
      <c r="APV66" s="5797"/>
      <c r="APW66" s="5797"/>
      <c r="APX66" s="5797"/>
      <c r="APY66" s="5797"/>
      <c r="APZ66" s="5797"/>
      <c r="AQA66" s="5797"/>
      <c r="AQB66" s="5797"/>
      <c r="AQC66" s="5797"/>
      <c r="AQD66" s="5797"/>
      <c r="AQE66" s="184"/>
      <c r="AQF66" s="5797"/>
      <c r="AQG66" s="5797"/>
      <c r="AQH66" s="5797"/>
      <c r="AQI66" s="5797"/>
      <c r="AQJ66" s="5797"/>
      <c r="AQK66" s="5797"/>
      <c r="AQL66" s="5799"/>
      <c r="AQN66" s="5800"/>
      <c r="AQO66" s="5797"/>
      <c r="AQP66" s="5797"/>
      <c r="AQQ66" s="5797"/>
      <c r="AQR66" s="5797"/>
      <c r="AQS66" s="5797"/>
      <c r="AQT66" s="5797"/>
      <c r="AQU66" s="5797"/>
      <c r="AQV66" s="5797"/>
      <c r="AQW66" s="5797"/>
      <c r="AQX66" s="5797"/>
      <c r="AQY66" s="5797"/>
      <c r="AQZ66" s="5797"/>
      <c r="ARA66" s="5797"/>
      <c r="ARB66" s="5797"/>
      <c r="ARC66" s="5797"/>
      <c r="ARD66" s="5797"/>
      <c r="ARE66" s="184"/>
      <c r="ARF66" s="5797"/>
      <c r="ARG66" s="5797"/>
      <c r="ARH66" s="5797"/>
      <c r="ARI66" s="5797"/>
      <c r="ARJ66" s="5797"/>
      <c r="ARK66" s="5797"/>
      <c r="ARL66" s="5799"/>
      <c r="ART66" s="5800"/>
      <c r="ARU66" s="5797"/>
      <c r="ARV66" s="5797"/>
      <c r="ARW66" s="5797"/>
      <c r="ARX66" s="5797"/>
      <c r="ARY66" s="5797"/>
      <c r="ARZ66" s="5797"/>
      <c r="ASA66" s="184"/>
      <c r="ASB66" s="5797"/>
      <c r="ASC66" s="5797"/>
      <c r="ASD66" s="5797"/>
      <c r="ASE66" s="5797"/>
      <c r="ASF66" s="5797"/>
      <c r="ASG66" s="5797"/>
      <c r="ASH66" s="5797"/>
      <c r="ASI66" s="5797"/>
      <c r="ASJ66" s="184"/>
      <c r="ASK66" s="5797"/>
      <c r="ASL66" s="5797"/>
      <c r="ASM66" s="5797"/>
      <c r="ASN66" s="5797"/>
      <c r="ASO66" s="5797"/>
      <c r="ASP66" s="5797"/>
      <c r="ASQ66" s="5799"/>
      <c r="ASR66" s="2737"/>
      <c r="ASS66" s="2737"/>
      <c r="ATA66" s="2622"/>
      <c r="AUU66" s="2617"/>
      <c r="AUV66" s="2970" t="s">
        <v>1324</v>
      </c>
      <c r="AUW66" s="2617"/>
      <c r="AUX66" s="2617"/>
      <c r="AUY66" s="2617"/>
      <c r="AUZ66" s="2617"/>
      <c r="AVA66" s="181"/>
      <c r="AVB66" s="181"/>
      <c r="AVC66" s="181"/>
      <c r="AVD66" s="181"/>
      <c r="AVE66" s="181"/>
      <c r="AVF66" s="181"/>
      <c r="AVG66" s="181"/>
      <c r="AVH66" s="181"/>
      <c r="AVI66" s="181"/>
      <c r="AVJ66" s="181"/>
      <c r="AVK66" s="181"/>
      <c r="AVL66" s="181"/>
      <c r="AVM66" s="181"/>
      <c r="AVN66" s="181"/>
      <c r="AVO66" s="181"/>
      <c r="AVP66" s="181"/>
      <c r="AVQ66" s="181"/>
      <c r="AVR66" s="181"/>
      <c r="AVS66" s="181"/>
      <c r="AVT66" s="181"/>
      <c r="AVU66" s="181"/>
      <c r="AVV66" s="181"/>
      <c r="AVW66" s="181"/>
      <c r="AVX66" s="181"/>
      <c r="AVY66" s="181"/>
      <c r="AVZ66" s="181"/>
      <c r="AWA66" s="181"/>
      <c r="AWB66" s="181"/>
      <c r="AWC66" s="181"/>
      <c r="AWD66" s="181"/>
      <c r="AWE66" s="181"/>
      <c r="AWF66" s="181"/>
      <c r="AWG66" s="181"/>
      <c r="AWH66" s="181"/>
      <c r="AWI66" s="181"/>
      <c r="AWJ66" s="181"/>
      <c r="AWK66" s="181"/>
      <c r="AWL66" s="181"/>
      <c r="AWM66" s="181"/>
      <c r="AWN66" s="181"/>
      <c r="AWO66" s="181"/>
      <c r="AWP66" s="181"/>
      <c r="AWQ66" s="181"/>
      <c r="AWR66" s="2617"/>
      <c r="AWS66" s="2617"/>
      <c r="AWT66" s="2617"/>
      <c r="AWU66" s="2617"/>
      <c r="AWV66" s="2617"/>
      <c r="AWW66" s="2617"/>
      <c r="AWX66" s="2617"/>
      <c r="AWY66" s="2617"/>
      <c r="AWZ66" s="2617"/>
      <c r="AXA66" s="2617"/>
      <c r="AXB66" s="2617"/>
      <c r="AXC66" s="2617"/>
      <c r="AXD66" s="2617"/>
      <c r="AXE66" s="2617"/>
      <c r="AXF66" s="2617"/>
      <c r="AXG66" s="2617"/>
      <c r="AXH66" s="2617"/>
      <c r="AXI66" s="2617"/>
      <c r="AXJ66" s="2617"/>
      <c r="AXK66" s="2617"/>
      <c r="BCC66" s="181"/>
      <c r="BFE66" s="3398"/>
    </row>
    <row r="67" spans="1:1513" x14ac:dyDescent="0.2">
      <c r="AH67" s="4256" t="s">
        <v>1541</v>
      </c>
      <c r="AI67" s="4256"/>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c r="FT67" s="181"/>
      <c r="FU67" s="181"/>
      <c r="FV67" s="181"/>
      <c r="FW67" s="181"/>
      <c r="FX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181"/>
      <c r="HA67" s="181"/>
      <c r="HB67" s="181"/>
      <c r="HC67" s="181"/>
      <c r="HD67" s="181"/>
      <c r="HE67" s="181"/>
      <c r="HF67" s="181"/>
      <c r="HG67" s="181"/>
      <c r="HH67" s="181"/>
      <c r="HI67" s="181"/>
      <c r="HJ67" s="181"/>
      <c r="HK67" s="181"/>
      <c r="HL67" s="181"/>
      <c r="HM67" s="181"/>
      <c r="HN67" s="181"/>
      <c r="HO67" s="181"/>
      <c r="HP67" s="181"/>
      <c r="HQ67" s="181"/>
      <c r="LF67" s="181"/>
      <c r="LG67" s="181"/>
      <c r="LH67" s="181"/>
      <c r="LI67" s="181"/>
      <c r="LJ67" s="181"/>
      <c r="LK67" s="181"/>
      <c r="LL67" s="181"/>
      <c r="LM67" s="181"/>
      <c r="LN67" s="181"/>
      <c r="LO67" s="181"/>
      <c r="LP67" s="181"/>
      <c r="LQ67" s="181"/>
      <c r="LR67" s="181"/>
      <c r="LS67" s="181"/>
      <c r="LT67" s="181"/>
      <c r="LU67" s="181"/>
      <c r="LV67" s="181"/>
      <c r="LW67" s="181"/>
      <c r="LX67" s="181"/>
      <c r="LY67" s="181"/>
      <c r="LZ67" s="181"/>
      <c r="MA67" s="181"/>
      <c r="MB67" s="181"/>
      <c r="MC67" s="181"/>
      <c r="MD67" s="181"/>
      <c r="ME67" s="181"/>
      <c r="MF67" s="181"/>
      <c r="MG67" s="181"/>
      <c r="MH67" s="181"/>
      <c r="MI67" s="181"/>
      <c r="MJ67" s="181"/>
      <c r="MK67" s="181"/>
      <c r="ML67" s="181"/>
      <c r="MM67" s="181"/>
      <c r="MN67" s="181"/>
      <c r="MO67" s="181"/>
      <c r="MP67" s="181"/>
      <c r="MQ67" s="181"/>
      <c r="MR67" s="181"/>
      <c r="MS67" s="181"/>
      <c r="MT67" s="181"/>
      <c r="MU67" s="181"/>
      <c r="MV67" s="181"/>
      <c r="MW67" s="181"/>
      <c r="MX67" s="181"/>
      <c r="MY67" s="181"/>
      <c r="MZ67" s="181"/>
      <c r="NA67" s="181"/>
      <c r="NB67" s="181"/>
      <c r="NC67" s="181"/>
      <c r="ND67" s="181"/>
      <c r="NE67" s="181"/>
      <c r="NF67" s="181"/>
      <c r="NG67" s="181"/>
      <c r="NH67" s="181"/>
      <c r="NI67" s="181"/>
      <c r="NJ67" s="181"/>
      <c r="NK67" s="181"/>
      <c r="NL67" s="181"/>
      <c r="NM67" s="181"/>
      <c r="NN67" s="181"/>
      <c r="NO67" s="181"/>
      <c r="NP67" s="181"/>
      <c r="NQ67" s="181"/>
      <c r="NR67" s="181"/>
      <c r="NS67" s="181"/>
      <c r="NT67" s="181"/>
      <c r="NU67" s="181"/>
      <c r="NV67" s="181"/>
      <c r="NW67" s="181"/>
      <c r="NX67" s="181"/>
      <c r="NY67" s="181"/>
      <c r="NZ67" s="181"/>
      <c r="OA67" s="181"/>
      <c r="OB67" s="181"/>
      <c r="OC67" s="181"/>
      <c r="OD67" s="181"/>
      <c r="OE67" s="181"/>
      <c r="OF67" s="181"/>
      <c r="OG67" s="181"/>
      <c r="OH67" s="181"/>
      <c r="OI67" s="181"/>
      <c r="OJ67" s="181"/>
      <c r="OK67" s="181"/>
      <c r="OL67" s="181"/>
      <c r="OM67" s="181"/>
      <c r="ON67" s="181"/>
      <c r="OO67" s="181"/>
      <c r="OP67" s="181"/>
      <c r="OQ67" s="181"/>
      <c r="OR67" s="181"/>
      <c r="OS67" s="181"/>
      <c r="OT67" s="181"/>
      <c r="OU67" s="181"/>
      <c r="OV67" s="181"/>
      <c r="OW67" s="181"/>
      <c r="OX67" s="181"/>
      <c r="OY67" s="181"/>
      <c r="OZ67" s="181"/>
      <c r="PA67" s="181"/>
      <c r="PB67" s="181"/>
      <c r="PC67" s="181"/>
      <c r="PD67" s="181"/>
      <c r="PE67" s="181"/>
      <c r="PF67" s="181"/>
      <c r="PG67" s="181"/>
      <c r="PH67" s="181"/>
      <c r="PI67" s="181"/>
      <c r="PJ67" s="181"/>
      <c r="PK67" s="181"/>
      <c r="PL67" s="181"/>
      <c r="PM67" s="181"/>
      <c r="PN67" s="181"/>
      <c r="PO67" s="181"/>
      <c r="PP67" s="181"/>
      <c r="PQ67" s="181"/>
      <c r="PR67" s="181"/>
      <c r="PS67" s="181"/>
      <c r="PT67" s="181"/>
      <c r="PU67" s="181"/>
      <c r="PV67" s="181"/>
      <c r="PW67" s="181"/>
      <c r="PX67" s="181"/>
      <c r="PY67" s="181"/>
      <c r="PZ67" s="181"/>
      <c r="QA67" s="181"/>
      <c r="QB67" s="181"/>
      <c r="QC67" s="181"/>
      <c r="QD67" s="181"/>
      <c r="QE67" s="181"/>
      <c r="QF67" s="181"/>
      <c r="QG67" s="181"/>
      <c r="QH67" s="181"/>
      <c r="QI67" s="181"/>
      <c r="QJ67" s="181"/>
      <c r="QK67" s="181"/>
      <c r="QL67" s="181"/>
      <c r="QM67" s="181"/>
      <c r="QN67" s="181"/>
      <c r="QO67" s="181"/>
      <c r="QP67" s="181"/>
      <c r="QQ67" s="181"/>
      <c r="QR67" s="181"/>
      <c r="QS67" s="181"/>
      <c r="QT67" s="181"/>
      <c r="QU67" s="181"/>
      <c r="QV67" s="181"/>
      <c r="QW67" s="181"/>
      <c r="QX67" s="181"/>
      <c r="QY67" s="181"/>
      <c r="QZ67" s="181"/>
      <c r="RA67" s="181"/>
      <c r="RB67" s="181"/>
      <c r="RC67" s="181"/>
      <c r="RD67" s="181"/>
      <c r="RE67" s="181"/>
      <c r="RF67" s="181"/>
      <c r="RG67" s="181"/>
      <c r="RH67" s="181"/>
      <c r="RI67" s="181"/>
      <c r="RJ67" s="181"/>
      <c r="RK67" s="181"/>
      <c r="RL67" s="181"/>
      <c r="RM67" s="181"/>
      <c r="RN67" s="181"/>
      <c r="RO67" s="181"/>
      <c r="RP67" s="181"/>
      <c r="RQ67" s="181"/>
      <c r="RR67" s="181"/>
      <c r="RS67" s="181"/>
      <c r="RT67" s="181"/>
      <c r="RU67" s="181"/>
      <c r="RV67" s="181"/>
      <c r="RW67" s="181"/>
      <c r="RX67" s="181"/>
      <c r="RY67" s="181"/>
      <c r="RZ67" s="181"/>
      <c r="SA67" s="181"/>
      <c r="SB67" s="181"/>
      <c r="SC67" s="181"/>
      <c r="SD67" s="181"/>
      <c r="SE67" s="181"/>
      <c r="SF67" s="181"/>
      <c r="SG67" s="181"/>
      <c r="SH67" s="181"/>
      <c r="SI67" s="181"/>
      <c r="SJ67" s="181"/>
      <c r="SK67" s="181"/>
      <c r="SL67" s="181"/>
      <c r="SM67" s="181"/>
      <c r="SN67" s="181"/>
      <c r="SO67" s="181"/>
      <c r="SP67" s="181"/>
      <c r="SQ67" s="181"/>
      <c r="SR67" s="181"/>
      <c r="SS67" s="181"/>
      <c r="ST67" s="181"/>
      <c r="SU67" s="181"/>
      <c r="SV67" s="181"/>
      <c r="SW67" s="181"/>
      <c r="SX67" s="181"/>
      <c r="SY67" s="181"/>
      <c r="SZ67" s="181"/>
      <c r="TA67" s="181"/>
      <c r="TB67" s="181"/>
      <c r="TC67" s="181"/>
      <c r="TD67" s="181"/>
      <c r="TE67" s="181"/>
      <c r="TF67" s="181"/>
      <c r="TG67" s="181"/>
      <c r="TH67" s="181"/>
      <c r="TI67" s="181"/>
      <c r="TJ67" s="181"/>
      <c r="TK67" s="181"/>
      <c r="TL67" s="181"/>
      <c r="TM67" s="181"/>
      <c r="TN67" s="181"/>
      <c r="TO67" s="181"/>
      <c r="TP67" s="181"/>
      <c r="TQ67" s="181"/>
      <c r="TR67" s="181"/>
      <c r="TS67" s="181"/>
      <c r="TT67" s="181"/>
      <c r="TU67" s="181"/>
      <c r="TV67" s="181"/>
      <c r="TW67" s="181"/>
      <c r="TX67" s="181"/>
      <c r="TY67" s="181"/>
      <c r="TZ67" s="181"/>
      <c r="UA67" s="181"/>
      <c r="UB67" s="181"/>
      <c r="UC67" s="181"/>
      <c r="UD67" s="181"/>
      <c r="UE67" s="181"/>
      <c r="UF67" s="181"/>
      <c r="UG67" s="181"/>
      <c r="UH67" s="181"/>
      <c r="UI67" s="181"/>
      <c r="UJ67" s="181"/>
      <c r="UK67" s="181"/>
      <c r="UL67" s="181"/>
      <c r="UM67" s="181"/>
      <c r="UN67" s="181"/>
      <c r="UO67" s="181"/>
      <c r="UP67" s="181"/>
      <c r="UQ67" s="181"/>
      <c r="UR67" s="181"/>
      <c r="US67" s="181"/>
      <c r="UT67" s="181"/>
      <c r="UU67" s="181"/>
      <c r="UV67" s="181"/>
      <c r="UW67" s="181"/>
      <c r="UX67" s="181"/>
      <c r="UY67" s="181"/>
      <c r="UZ67" s="181"/>
      <c r="VA67" s="181"/>
      <c r="VB67" s="181"/>
      <c r="VC67" s="181"/>
      <c r="VD67" s="181"/>
      <c r="VE67" s="181"/>
      <c r="VF67" s="181"/>
      <c r="VG67" s="181"/>
      <c r="VH67" s="181"/>
      <c r="VI67" s="181"/>
      <c r="VJ67" s="181"/>
      <c r="VK67" s="181"/>
      <c r="VL67" s="181"/>
      <c r="VM67" s="181"/>
      <c r="VN67" s="181"/>
      <c r="VO67" s="181"/>
      <c r="VP67" s="181"/>
      <c r="VQ67" s="181"/>
      <c r="VR67" s="181"/>
      <c r="AAW67" s="251"/>
      <c r="AAX67" s="251"/>
      <c r="AAY67" s="251"/>
      <c r="AAZ67" s="251"/>
      <c r="ABA67" s="3355" t="str">
        <f>ABA64</f>
        <v>Gjennomsnitt salve-lengde</v>
      </c>
      <c r="ABB67" s="5797"/>
      <c r="ABC67" s="5797"/>
      <c r="ABD67" s="5797"/>
      <c r="ABE67" s="5797"/>
      <c r="ABF67" s="5797"/>
      <c r="ABG67" s="5797"/>
      <c r="ABH67" s="5797"/>
      <c r="ABI67" s="5807"/>
      <c r="ABJ67" s="251"/>
      <c r="ABK67" s="3355" t="str">
        <f>ABK64</f>
        <v>Minutter per salve</v>
      </c>
      <c r="ABL67" s="207"/>
      <c r="ABM67" s="5797"/>
      <c r="ABN67" s="5797"/>
      <c r="ABO67" s="5797"/>
      <c r="ABP67" s="5797"/>
      <c r="ABQ67" s="5797"/>
      <c r="ABR67" s="5797"/>
      <c r="ABS67" s="5799"/>
      <c r="ABT67" s="251"/>
      <c r="ABU67" s="3355" t="str">
        <f>ABU64</f>
        <v>Minutter per salve</v>
      </c>
      <c r="ABV67" s="207"/>
      <c r="ABW67" s="5797"/>
      <c r="ABX67" s="5797"/>
      <c r="ABY67" s="5797"/>
      <c r="ABZ67" s="5797"/>
      <c r="ACA67" s="5797"/>
      <c r="ACB67" s="5797"/>
      <c r="ACC67" s="5799"/>
      <c r="ACD67" s="5797"/>
      <c r="ACE67" s="3632"/>
      <c r="ACF67" s="7235" t="s">
        <v>1531</v>
      </c>
      <c r="ACG67" s="7235"/>
      <c r="ACH67" s="7235"/>
      <c r="ACI67" s="7235"/>
      <c r="ACJ67" s="7235"/>
      <c r="ACK67" s="7235"/>
      <c r="ACL67" s="7235"/>
      <c r="ACM67" s="5797"/>
      <c r="ACN67" s="251"/>
      <c r="ACO67" s="7235" t="s">
        <v>1660</v>
      </c>
      <c r="ACP67" s="7235"/>
      <c r="ACQ67" s="7235"/>
      <c r="ACR67" s="7235"/>
      <c r="ACS67" s="7235"/>
      <c r="ACT67" s="7235"/>
      <c r="ACU67" s="7235"/>
      <c r="ACV67" s="5797"/>
      <c r="ACW67" s="251"/>
      <c r="ACX67" s="7235" t="s">
        <v>1533</v>
      </c>
      <c r="ACY67" s="7235"/>
      <c r="ACZ67" s="7235"/>
      <c r="ADA67" s="7235"/>
      <c r="ADB67" s="7235"/>
      <c r="ADC67" s="7235"/>
      <c r="ADD67" s="7235"/>
      <c r="ADE67" s="5799"/>
      <c r="ADF67" s="5797"/>
      <c r="ADG67" s="3632"/>
      <c r="ADH67" s="7235" t="s">
        <v>1531</v>
      </c>
      <c r="ADI67" s="7235"/>
      <c r="ADJ67" s="7235"/>
      <c r="ADK67" s="7235"/>
      <c r="ADL67" s="7235"/>
      <c r="ADM67" s="7235"/>
      <c r="ADN67" s="7235"/>
      <c r="ADO67" s="5797"/>
      <c r="ADP67" s="251"/>
      <c r="ADQ67" s="5797"/>
      <c r="ADR67" s="7235" t="str">
        <f>ADR64</f>
        <v>Boltelengde fordeling (≤ 4 m)</v>
      </c>
      <c r="ADS67" s="7235"/>
      <c r="ADT67" s="7235"/>
      <c r="ADU67" s="7235"/>
      <c r="ADV67" s="7235"/>
      <c r="ADW67" s="7235"/>
      <c r="ADX67" s="7235"/>
      <c r="ADY67" s="5797"/>
      <c r="ADZ67" s="7235" t="str">
        <f>ADZ64</f>
        <v>Boltelengde fordeling (&gt; 4 m)</v>
      </c>
      <c r="AEA67" s="7235"/>
      <c r="AEB67" s="7235"/>
      <c r="AEC67" s="7235"/>
      <c r="AED67" s="7235"/>
      <c r="AEE67" s="7235"/>
      <c r="AEF67" s="7235"/>
      <c r="AEG67" s="5799"/>
      <c r="AEH67" s="5797"/>
      <c r="AEI67" s="5797"/>
      <c r="AEJ67" s="5797"/>
      <c r="AEK67" s="5797"/>
      <c r="AEL67" s="5797"/>
      <c r="AEM67" s="5797"/>
      <c r="AEN67" s="5797"/>
      <c r="AEO67" s="5797"/>
      <c r="AEP67" s="5797"/>
      <c r="AEQ67" s="5797"/>
      <c r="AER67" s="5797"/>
      <c r="AES67" s="3355" t="str">
        <f>AES64</f>
        <v>Bergbånd overlappingsfaktor</v>
      </c>
      <c r="AET67" s="207"/>
      <c r="AEU67" s="402"/>
      <c r="AEV67" s="402"/>
      <c r="AEW67" s="402"/>
      <c r="AEX67" s="402"/>
      <c r="AEY67" s="402"/>
      <c r="AEZ67" s="3379"/>
      <c r="AFA67" s="5797"/>
      <c r="AFB67" s="3355" t="str">
        <f>AFB64</f>
        <v>Tilleggs-bergbånd per metre av tunnel</v>
      </c>
      <c r="AFC67" s="402"/>
      <c r="AFD67" s="402"/>
      <c r="AFE67" s="402"/>
      <c r="AFF67" s="402"/>
      <c r="AFG67" s="402"/>
      <c r="AFH67" s="3379"/>
      <c r="AFI67" s="5797"/>
      <c r="AFJ67" s="3355" t="str">
        <f>AFJ64</f>
        <v>Festebolter for bergbånd senteravstand</v>
      </c>
      <c r="AFK67" s="402"/>
      <c r="AFL67" s="402"/>
      <c r="AFM67" s="402"/>
      <c r="AFN67" s="402"/>
      <c r="AFO67" s="402"/>
      <c r="AFP67" s="402"/>
      <c r="AFQ67" s="5797"/>
      <c r="AFR67" s="7235" t="str">
        <f>AFR64</f>
        <v>Boltelengde fordeling (≤ 4 m)</v>
      </c>
      <c r="AFS67" s="7235"/>
      <c r="AFT67" s="7235"/>
      <c r="AFU67" s="7235"/>
      <c r="AFV67" s="7235"/>
      <c r="AFW67" s="7235"/>
      <c r="AFX67" s="7235"/>
      <c r="AFY67" s="5797"/>
      <c r="AFZ67" s="251"/>
      <c r="AGA67" s="5797"/>
      <c r="AGB67" s="7235" t="str">
        <f>AGB64</f>
        <v>Boltelengde fordeling (&gt; 4 m)</v>
      </c>
      <c r="AGC67" s="7235"/>
      <c r="AGD67" s="7235"/>
      <c r="AGE67" s="7235"/>
      <c r="AGF67" s="7235"/>
      <c r="AGG67" s="7235"/>
      <c r="AGH67" s="7235"/>
      <c r="AGI67" s="5799"/>
      <c r="AGJ67" s="402"/>
      <c r="AGK67" s="402"/>
      <c r="AGL67" s="402"/>
      <c r="AGM67" s="402"/>
      <c r="AGN67" s="402"/>
      <c r="AGO67" s="3355" t="str">
        <f>AGO64</f>
        <v>Nett (kvadratmeter) per meter av tunnel</v>
      </c>
      <c r="AGP67" s="402"/>
      <c r="AGQ67" s="402"/>
      <c r="AGR67" s="402"/>
      <c r="AGS67" s="402"/>
      <c r="AGT67" s="402"/>
      <c r="AGU67" s="3379"/>
      <c r="AGV67" s="402"/>
      <c r="AGW67" s="3355" t="str">
        <f>AGW64</f>
        <v>Festebolter for nett senteravstand</v>
      </c>
      <c r="AGX67" s="402"/>
      <c r="AGY67" s="402"/>
      <c r="AGZ67" s="402"/>
      <c r="AHA67" s="402"/>
      <c r="AHB67" s="402"/>
      <c r="AHC67" s="3379"/>
      <c r="AHD67" s="402"/>
      <c r="AHE67" s="402"/>
      <c r="AHF67" s="3355" t="str">
        <f>AHF64</f>
        <v>Tilleggs-sprøytebetong (tykkelse) per nett areal</v>
      </c>
      <c r="AHG67" s="402"/>
      <c r="AHH67" s="402"/>
      <c r="AHI67" s="402"/>
      <c r="AHJ67" s="402"/>
      <c r="AHK67" s="402"/>
      <c r="AHL67" s="3379"/>
      <c r="AHM67" s="402"/>
      <c r="AHN67" s="402"/>
      <c r="AHO67" s="402"/>
      <c r="AHP67" s="3355"/>
      <c r="AHQ67" s="402" t="s">
        <v>1990</v>
      </c>
      <c r="AHR67" s="402"/>
      <c r="AHS67" s="402"/>
      <c r="AHT67" s="402"/>
      <c r="AHU67" s="402"/>
      <c r="AHV67" s="402"/>
      <c r="AHW67" s="402"/>
      <c r="AHX67" s="3379"/>
      <c r="AHY67" s="251"/>
      <c r="AHZ67" s="3355"/>
      <c r="AIA67" s="402" t="s">
        <v>1990</v>
      </c>
      <c r="AIB67" s="402"/>
      <c r="AIC67" s="402"/>
      <c r="AID67" s="402"/>
      <c r="AIE67" s="402"/>
      <c r="AIF67" s="402"/>
      <c r="AIG67" s="402"/>
      <c r="AIH67" s="3379"/>
      <c r="AII67" s="402"/>
      <c r="AIJ67" s="3355"/>
      <c r="AIK67" s="402" t="s">
        <v>1167</v>
      </c>
      <c r="AIL67" s="402"/>
      <c r="AIM67" s="402"/>
      <c r="AIN67" s="402"/>
      <c r="AIO67" s="402"/>
      <c r="AIP67" s="402"/>
      <c r="AIQ67" s="402"/>
      <c r="AIR67" s="3812"/>
      <c r="AIS67" s="251"/>
      <c r="AIT67" s="5800"/>
      <c r="AIU67" s="5797" t="str">
        <f>AIU64</f>
        <v>Buedimensjon</v>
      </c>
      <c r="AIV67" s="5797"/>
      <c r="AIW67" s="5797"/>
      <c r="AIX67" s="5797"/>
      <c r="AIY67" s="5797"/>
      <c r="AIZ67" s="5797"/>
      <c r="AJA67" s="5797"/>
      <c r="AJB67" s="5797"/>
      <c r="AJC67" s="5797" t="str">
        <f>AJC64</f>
        <v>Andel av lengde av tunnelklassen</v>
      </c>
      <c r="AJD67" s="5797"/>
      <c r="AJE67" s="5797"/>
      <c r="AJF67" s="5797"/>
      <c r="AJG67" s="5797"/>
      <c r="AJH67" s="5797"/>
      <c r="AJI67" s="5797"/>
      <c r="AJJ67" s="5797"/>
      <c r="AJK67" s="5797" t="str">
        <f>AJK64</f>
        <v>Bue senteravstand</v>
      </c>
      <c r="AJL67" s="5797"/>
      <c r="AJM67" s="5797"/>
      <c r="AJN67" s="5797"/>
      <c r="AJO67" s="5797"/>
      <c r="AJP67" s="5797"/>
      <c r="AJQ67" s="5797"/>
      <c r="AJR67" s="5797"/>
      <c r="AJS67" s="5797" t="str">
        <f>AJS64</f>
        <v>Utvidelse av spreningsprofil bredde</v>
      </c>
      <c r="AJT67" s="5797"/>
      <c r="AJU67" s="5797"/>
      <c r="AJV67" s="5797"/>
      <c r="AJW67" s="5797"/>
      <c r="AJX67" s="5797"/>
      <c r="AJY67" s="5797"/>
      <c r="AJZ67" s="5799"/>
      <c r="AKA67" s="5797"/>
      <c r="AKB67" s="5797"/>
      <c r="AKC67" s="5797"/>
      <c r="AKD67" s="5800"/>
      <c r="AKE67" s="402" t="s">
        <v>1535</v>
      </c>
      <c r="AKF67" s="5797"/>
      <c r="AKG67" s="5797"/>
      <c r="AKH67" s="5797"/>
      <c r="AKI67" s="5797"/>
      <c r="AKJ67" s="5797"/>
      <c r="AKK67" s="5797"/>
      <c r="AKL67" s="5797"/>
      <c r="AKM67" s="7235" t="s">
        <v>1085</v>
      </c>
      <c r="AKN67" s="7235"/>
      <c r="AKO67" s="7235"/>
      <c r="AKP67" s="7235"/>
      <c r="AKQ67" s="7235"/>
      <c r="AKR67" s="7235"/>
      <c r="AKS67" s="7235"/>
      <c r="AKT67" s="5797"/>
      <c r="AKU67" s="251"/>
      <c r="AKV67" s="7235" t="s">
        <v>1086</v>
      </c>
      <c r="AKW67" s="7235"/>
      <c r="AKX67" s="7235"/>
      <c r="AKY67" s="7235"/>
      <c r="AKZ67" s="7235"/>
      <c r="ALA67" s="7235"/>
      <c r="ALB67" s="7240"/>
      <c r="ALC67" s="3642"/>
      <c r="ALD67" s="3355"/>
      <c r="ALE67" s="207"/>
      <c r="ALF67" s="402"/>
      <c r="ALG67" s="402"/>
      <c r="ALH67" s="402"/>
      <c r="ALI67" s="402"/>
      <c r="ALJ67" s="402"/>
      <c r="ALK67" s="402"/>
      <c r="ALL67" s="3379"/>
      <c r="ALM67" s="2737"/>
      <c r="ALN67" s="5800"/>
      <c r="ALO67" s="402" t="s">
        <v>1872</v>
      </c>
      <c r="ALP67" s="5797"/>
      <c r="ALQ67" s="5797"/>
      <c r="ALR67" s="5797"/>
      <c r="ALS67" s="5797"/>
      <c r="ALT67" s="5797"/>
      <c r="ALU67" s="5797"/>
      <c r="ALV67" s="5797"/>
      <c r="ALW67" s="5797"/>
      <c r="ALX67" s="7235" t="s">
        <v>1085</v>
      </c>
      <c r="ALY67" s="7235"/>
      <c r="ALZ67" s="7235"/>
      <c r="AMA67" s="7235"/>
      <c r="AMB67" s="7235"/>
      <c r="AMC67" s="7235"/>
      <c r="AMD67" s="7235"/>
      <c r="AME67" s="5797"/>
      <c r="AMF67" s="251"/>
      <c r="AMG67" s="7235" t="s">
        <v>1086</v>
      </c>
      <c r="AMH67" s="7235"/>
      <c r="AMI67" s="7235"/>
      <c r="AMJ67" s="7235"/>
      <c r="AMK67" s="7235"/>
      <c r="AML67" s="7235"/>
      <c r="AMM67" s="7240"/>
      <c r="AMN67" s="5797"/>
      <c r="AMO67" s="5797"/>
      <c r="AMP67" s="5797"/>
      <c r="AMQ67" s="5797"/>
      <c r="AMR67" s="5797"/>
      <c r="AMS67" s="5797"/>
      <c r="AMT67" s="5797"/>
      <c r="AMU67" s="5797"/>
      <c r="AMV67" s="5797"/>
      <c r="AMW67" s="5797"/>
      <c r="AMX67" s="5797"/>
      <c r="AMY67" s="5797"/>
      <c r="AMZ67" s="5797"/>
      <c r="ANA67" s="5797"/>
      <c r="ANB67" s="5797"/>
      <c r="ANC67" s="5797"/>
      <c r="AND67" s="5797"/>
      <c r="ANE67" s="5797"/>
      <c r="ANF67" s="5797"/>
      <c r="ANG67" s="5797"/>
      <c r="ANH67" s="5797"/>
      <c r="ANI67" s="5797"/>
      <c r="ANJ67" s="5797"/>
      <c r="ANK67" s="5797"/>
      <c r="ANL67" s="5797"/>
      <c r="ANM67" s="5797"/>
      <c r="ANN67" s="5797"/>
      <c r="ANO67" s="5797"/>
      <c r="ANP67" s="5797"/>
      <c r="ANQ67" s="5797"/>
      <c r="ANR67" s="5797"/>
      <c r="ANS67" s="5797"/>
      <c r="ANT67" s="5797"/>
      <c r="ANU67" s="5797"/>
      <c r="ANV67" s="5797"/>
      <c r="ANW67" s="5797"/>
      <c r="ANX67" s="5797"/>
      <c r="ANY67" s="5797"/>
      <c r="ANZ67" s="5797"/>
      <c r="AOA67" s="5797"/>
      <c r="AOB67" s="5797"/>
      <c r="AOC67" s="5797"/>
      <c r="AOD67" s="5797"/>
      <c r="AOE67" s="5797"/>
      <c r="AOF67" s="5797"/>
      <c r="AOG67" s="5797"/>
      <c r="AOH67" s="5797"/>
      <c r="AOI67" s="5797"/>
      <c r="AOJ67" s="5797"/>
      <c r="AOK67" s="5797"/>
      <c r="AOL67" s="5797"/>
      <c r="AOM67" s="5797"/>
      <c r="AOO67" s="5800"/>
      <c r="AOP67" s="5797" t="str">
        <f>AOP64</f>
        <v>Andel av lengde av tunnelklassen</v>
      </c>
      <c r="AOQ67" s="5797"/>
      <c r="AOR67" s="5797"/>
      <c r="AOS67" s="5797"/>
      <c r="AOT67" s="5797"/>
      <c r="AOU67" s="5797"/>
      <c r="AOV67" s="5797"/>
      <c r="AOW67" s="5797"/>
      <c r="AOX67" s="5797"/>
      <c r="AOY67" s="5797" t="str">
        <f>AOY64</f>
        <v>Ekvivalent lengde</v>
      </c>
      <c r="AOZ67" s="5797"/>
      <c r="APA67" s="5797"/>
      <c r="APB67" s="5797"/>
      <c r="APC67" s="5797"/>
      <c r="APD67" s="5797"/>
      <c r="APE67" s="5797"/>
      <c r="APF67" s="5797"/>
      <c r="APG67" s="5797" t="str">
        <f>APG64</f>
        <v>Forbolting -bueområde</v>
      </c>
      <c r="APH67" s="5797"/>
      <c r="API67" s="5797"/>
      <c r="APJ67" s="5797"/>
      <c r="APK67" s="5797"/>
      <c r="APL67" s="5797"/>
      <c r="APM67" s="5797"/>
      <c r="APN67" s="5797"/>
      <c r="APO67" s="5797" t="str">
        <f>APO64</f>
        <v>Forbolting senteravstand</v>
      </c>
      <c r="APP67" s="5797"/>
      <c r="APQ67" s="5797"/>
      <c r="APR67" s="5797"/>
      <c r="APS67" s="5797"/>
      <c r="APT67" s="5797"/>
      <c r="APU67" s="5797"/>
      <c r="APV67" s="5797"/>
      <c r="APW67" s="7235" t="str">
        <f>APW64</f>
        <v>Forbolting: boltelengde fordeling (≤ 4 m)</v>
      </c>
      <c r="APX67" s="7235"/>
      <c r="APY67" s="7235"/>
      <c r="APZ67" s="7235"/>
      <c r="AQA67" s="7235"/>
      <c r="AQB67" s="7235"/>
      <c r="AQC67" s="7235"/>
      <c r="AQD67" s="5797"/>
      <c r="AQE67" s="251"/>
      <c r="AQF67" s="7235" t="str">
        <f>AQF64</f>
        <v>Forbolting: boltelengde fordeling (&gt; 4 m)</v>
      </c>
      <c r="AQG67" s="7235"/>
      <c r="AQH67" s="7235"/>
      <c r="AQI67" s="7235"/>
      <c r="AQJ67" s="7235"/>
      <c r="AQK67" s="7235"/>
      <c r="AQL67" s="7240"/>
      <c r="AQN67" s="5800"/>
      <c r="AQO67" s="402" t="str">
        <f>AQO64</f>
        <v>Opphengbolting senteravstand</v>
      </c>
      <c r="AQP67" s="5797"/>
      <c r="AQQ67" s="5797"/>
      <c r="AQR67" s="5797"/>
      <c r="AQS67" s="5797"/>
      <c r="AQT67" s="5797"/>
      <c r="AQU67" s="5797"/>
      <c r="AQV67" s="5797"/>
      <c r="AQW67" s="7235" t="str">
        <f>AQW64</f>
        <v>Opphengbolting: boltelengde fordeling (≤ 4 m)</v>
      </c>
      <c r="AQX67" s="7235"/>
      <c r="AQY67" s="7235"/>
      <c r="AQZ67" s="7235"/>
      <c r="ARA67" s="7235"/>
      <c r="ARB67" s="7235"/>
      <c r="ARC67" s="7235"/>
      <c r="ARD67" s="5797"/>
      <c r="ARE67" s="251"/>
      <c r="ARF67" s="7235" t="str">
        <f>ARF64</f>
        <v>Opphengbolting: boltelengde fordeling (&gt; 4 m)</v>
      </c>
      <c r="ARG67" s="7235"/>
      <c r="ARH67" s="7235"/>
      <c r="ARI67" s="7235"/>
      <c r="ARJ67" s="7235"/>
      <c r="ARK67" s="7235"/>
      <c r="ARL67" s="7240"/>
      <c r="ARS67" s="5797"/>
      <c r="ART67" s="7239" t="s">
        <v>960</v>
      </c>
      <c r="ARU67" s="7235"/>
      <c r="ARV67" s="7235"/>
      <c r="ARW67" s="7235"/>
      <c r="ARX67" s="7235"/>
      <c r="ARY67" s="7235"/>
      <c r="ARZ67" s="7235"/>
      <c r="ASA67" s="251"/>
      <c r="ASB67" s="7235" t="str">
        <f>ASB64</f>
        <v>Sikringsstøp fordeling (1., 2. og 3. støp)</v>
      </c>
      <c r="ASC67" s="7235"/>
      <c r="ASD67" s="7235"/>
      <c r="ASE67" s="7235"/>
      <c r="ASF67" s="7235"/>
      <c r="ASG67" s="7235"/>
      <c r="ASH67" s="7235"/>
      <c r="ASI67" s="5797"/>
      <c r="ASJ67" s="251"/>
      <c r="ASK67" s="7235" t="str">
        <f>ASK64</f>
        <v>Sikringsstøp fordeling (4. og etterfølgende støper)</v>
      </c>
      <c r="ASL67" s="7235"/>
      <c r="ASM67" s="7235"/>
      <c r="ASN67" s="7235"/>
      <c r="ASO67" s="7235"/>
      <c r="ASP67" s="7235"/>
      <c r="ASQ67" s="7240"/>
      <c r="ASR67" s="5797"/>
      <c r="ASS67" s="5797"/>
      <c r="AST67" s="2625"/>
      <c r="ASU67" s="2625"/>
      <c r="ASV67" s="2625"/>
      <c r="ASW67" s="2625"/>
      <c r="ASX67" s="2625"/>
      <c r="ASY67" s="2625"/>
      <c r="ASZ67" s="2625"/>
      <c r="ATA67" s="251"/>
      <c r="AUU67" s="2617"/>
      <c r="AUV67" s="2617"/>
      <c r="AUW67" s="2617"/>
      <c r="AUX67" s="2617"/>
      <c r="AUY67" s="2617"/>
      <c r="AUZ67" s="2617"/>
      <c r="AVA67" s="181"/>
      <c r="AVB67" s="181"/>
      <c r="AVC67" s="181"/>
      <c r="AVD67" s="181"/>
      <c r="AVE67" s="181"/>
      <c r="AVF67" s="181"/>
      <c r="AVG67" s="181"/>
      <c r="AVH67" s="181"/>
      <c r="AVI67" s="181"/>
      <c r="AVJ67" s="181"/>
      <c r="AVK67" s="181"/>
      <c r="AVL67" s="181"/>
      <c r="AVM67" s="181"/>
      <c r="AVN67" s="181"/>
      <c r="AVO67" s="181"/>
      <c r="AVP67" s="181"/>
      <c r="AVQ67" s="181"/>
      <c r="AVR67" s="181"/>
      <c r="AVS67" s="181"/>
      <c r="AVT67" s="181"/>
      <c r="AVU67" s="181"/>
      <c r="AVV67" s="181"/>
      <c r="AVW67" s="181"/>
      <c r="AVX67" s="181"/>
      <c r="AVY67" s="181"/>
      <c r="AVZ67" s="181"/>
      <c r="AWA67" s="181"/>
      <c r="AWB67" s="181"/>
      <c r="AWC67" s="181"/>
      <c r="AWD67" s="181"/>
      <c r="AWE67" s="181"/>
      <c r="AWF67" s="181"/>
      <c r="AWG67" s="181"/>
      <c r="AWH67" s="181"/>
      <c r="AWI67" s="181"/>
      <c r="AWJ67" s="181"/>
      <c r="AWK67" s="181"/>
      <c r="AWL67" s="181"/>
      <c r="AWM67" s="181"/>
      <c r="AWN67" s="181"/>
      <c r="AWO67" s="181"/>
      <c r="AWP67" s="181"/>
      <c r="AWQ67" s="181"/>
      <c r="AWR67" s="2617"/>
      <c r="AWS67" s="2617"/>
      <c r="AWT67" s="2617"/>
      <c r="AWU67" s="2617"/>
      <c r="AWV67" s="2617"/>
      <c r="AWW67" s="2617"/>
      <c r="AWX67" s="2617"/>
      <c r="AWY67" s="2617"/>
      <c r="AWZ67" s="2617"/>
      <c r="AXA67" s="2617"/>
      <c r="AXB67" s="2617"/>
      <c r="AXC67" s="2617"/>
      <c r="AXD67" s="2617"/>
      <c r="AXE67" s="2617"/>
      <c r="AXF67" s="2617"/>
      <c r="AXG67" s="2617"/>
      <c r="AXH67" s="2617"/>
      <c r="AXI67" s="2617"/>
      <c r="AXJ67" s="2617"/>
      <c r="AXK67" s="2617"/>
      <c r="BCC67" s="181"/>
      <c r="BFE67" s="3398"/>
    </row>
    <row r="68" spans="1:1513" x14ac:dyDescent="0.2">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c r="FT68" s="181"/>
      <c r="FU68" s="181"/>
      <c r="FV68" s="181"/>
      <c r="FW68" s="181"/>
      <c r="FX68" s="181"/>
      <c r="FY68" s="181"/>
      <c r="FZ68" s="181"/>
      <c r="GA68" s="181"/>
      <c r="GB68" s="181"/>
      <c r="GC68" s="181"/>
      <c r="GD68" s="181"/>
      <c r="GE68" s="181"/>
      <c r="GF68" s="181"/>
      <c r="GG68" s="181"/>
      <c r="GH68" s="181"/>
      <c r="GI68" s="181"/>
      <c r="GJ68" s="181"/>
      <c r="GK68" s="181"/>
      <c r="GL68" s="181"/>
      <c r="GM68" s="181"/>
      <c r="GN68" s="181"/>
      <c r="GO68" s="181"/>
      <c r="GP68" s="181"/>
      <c r="GQ68" s="181"/>
      <c r="GR68" s="181"/>
      <c r="GS68" s="181"/>
      <c r="GT68" s="181"/>
      <c r="GU68" s="181"/>
      <c r="GV68" s="181"/>
      <c r="GW68" s="181"/>
      <c r="GX68" s="181"/>
      <c r="GY68" s="181"/>
      <c r="GZ68" s="181"/>
      <c r="HA68" s="181"/>
      <c r="HB68" s="181"/>
      <c r="HC68" s="181"/>
      <c r="HD68" s="181"/>
      <c r="HE68" s="181"/>
      <c r="HF68" s="181"/>
      <c r="HG68" s="181"/>
      <c r="HH68" s="181"/>
      <c r="HI68" s="181"/>
      <c r="HJ68" s="181"/>
      <c r="HK68" s="181"/>
      <c r="HL68" s="181"/>
      <c r="HM68" s="181"/>
      <c r="HN68" s="181"/>
      <c r="HO68" s="181"/>
      <c r="HP68" s="181"/>
      <c r="HQ68" s="181"/>
      <c r="LF68" s="181"/>
      <c r="LG68" s="181"/>
      <c r="LH68" s="181"/>
      <c r="LI68" s="181"/>
      <c r="LJ68" s="181"/>
      <c r="LK68" s="181"/>
      <c r="LL68" s="181"/>
      <c r="LM68" s="181"/>
      <c r="LN68" s="181"/>
      <c r="LO68" s="181"/>
      <c r="LP68" s="181"/>
      <c r="LQ68" s="181"/>
      <c r="LR68" s="181"/>
      <c r="LS68" s="181"/>
      <c r="LT68" s="181"/>
      <c r="LU68" s="181"/>
      <c r="LV68" s="181"/>
      <c r="LW68" s="181"/>
      <c r="LX68" s="181"/>
      <c r="LY68" s="181"/>
      <c r="LZ68" s="181"/>
      <c r="MA68" s="181"/>
      <c r="MB68" s="181"/>
      <c r="MC68" s="181"/>
      <c r="MD68" s="181"/>
      <c r="ME68" s="181"/>
      <c r="MF68" s="181"/>
      <c r="MG68" s="181"/>
      <c r="MH68" s="181"/>
      <c r="MI68" s="181"/>
      <c r="MJ68" s="181"/>
      <c r="MK68" s="181"/>
      <c r="ML68" s="181"/>
      <c r="MM68" s="181"/>
      <c r="MN68" s="181"/>
      <c r="MO68" s="181"/>
      <c r="MP68" s="181"/>
      <c r="MQ68" s="181"/>
      <c r="MR68" s="181"/>
      <c r="MS68" s="181"/>
      <c r="MT68" s="181"/>
      <c r="MU68" s="181"/>
      <c r="MV68" s="181"/>
      <c r="MW68" s="181"/>
      <c r="MX68" s="181"/>
      <c r="MY68" s="181"/>
      <c r="MZ68" s="181"/>
      <c r="NA68" s="181"/>
      <c r="NB68" s="181"/>
      <c r="NC68" s="181"/>
      <c r="ND68" s="181"/>
      <c r="NE68" s="181"/>
      <c r="NF68" s="181"/>
      <c r="NG68" s="181"/>
      <c r="NH68" s="181"/>
      <c r="NI68" s="181"/>
      <c r="NJ68" s="181"/>
      <c r="NK68" s="181"/>
      <c r="NL68" s="181"/>
      <c r="NM68" s="181"/>
      <c r="NN68" s="181"/>
      <c r="NO68" s="181"/>
      <c r="NP68" s="181"/>
      <c r="NQ68" s="181"/>
      <c r="NR68" s="181"/>
      <c r="NS68" s="181"/>
      <c r="NT68" s="181"/>
      <c r="NU68" s="181"/>
      <c r="NV68" s="181"/>
      <c r="NW68" s="181"/>
      <c r="NX68" s="181"/>
      <c r="NY68" s="181"/>
      <c r="NZ68" s="181"/>
      <c r="OA68" s="181"/>
      <c r="OB68" s="181"/>
      <c r="OC68" s="181"/>
      <c r="OD68" s="181"/>
      <c r="OE68" s="181"/>
      <c r="OF68" s="181"/>
      <c r="OG68" s="181"/>
      <c r="OH68" s="181"/>
      <c r="OI68" s="181"/>
      <c r="OJ68" s="181"/>
      <c r="OK68" s="181"/>
      <c r="OL68" s="181"/>
      <c r="OM68" s="181"/>
      <c r="ON68" s="181"/>
      <c r="OO68" s="181"/>
      <c r="OP68" s="181"/>
      <c r="OQ68" s="181"/>
      <c r="OR68" s="181"/>
      <c r="OS68" s="181"/>
      <c r="OT68" s="181"/>
      <c r="OU68" s="181"/>
      <c r="OV68" s="181"/>
      <c r="OW68" s="181"/>
      <c r="OX68" s="181"/>
      <c r="OY68" s="181"/>
      <c r="OZ68" s="181"/>
      <c r="PA68" s="181"/>
      <c r="PB68" s="181"/>
      <c r="PC68" s="181"/>
      <c r="PD68" s="181"/>
      <c r="PE68" s="181"/>
      <c r="PF68" s="181"/>
      <c r="PG68" s="181"/>
      <c r="PH68" s="181"/>
      <c r="PI68" s="181"/>
      <c r="PJ68" s="181"/>
      <c r="PK68" s="181"/>
      <c r="PL68" s="181"/>
      <c r="PM68" s="181"/>
      <c r="PN68" s="181"/>
      <c r="PO68" s="181"/>
      <c r="PP68" s="181"/>
      <c r="PQ68" s="181"/>
      <c r="PR68" s="181"/>
      <c r="PS68" s="181"/>
      <c r="PT68" s="181"/>
      <c r="PU68" s="181"/>
      <c r="PV68" s="181"/>
      <c r="PW68" s="181"/>
      <c r="PX68" s="181"/>
      <c r="PY68" s="181"/>
      <c r="PZ68" s="181"/>
      <c r="QA68" s="181"/>
      <c r="QB68" s="181"/>
      <c r="QC68" s="181"/>
      <c r="QD68" s="181"/>
      <c r="QE68" s="181"/>
      <c r="QF68" s="181"/>
      <c r="QG68" s="181"/>
      <c r="QH68" s="181"/>
      <c r="QI68" s="181"/>
      <c r="QJ68" s="181"/>
      <c r="QK68" s="181"/>
      <c r="QL68" s="181"/>
      <c r="QM68" s="181"/>
      <c r="QN68" s="181"/>
      <c r="QO68" s="181"/>
      <c r="QP68" s="181"/>
      <c r="QQ68" s="181"/>
      <c r="QR68" s="181"/>
      <c r="QS68" s="181"/>
      <c r="QT68" s="181"/>
      <c r="QU68" s="181"/>
      <c r="QV68" s="181"/>
      <c r="QW68" s="181"/>
      <c r="QX68" s="181"/>
      <c r="QY68" s="181"/>
      <c r="QZ68" s="181"/>
      <c r="RA68" s="181"/>
      <c r="RB68" s="181"/>
      <c r="RC68" s="181"/>
      <c r="RD68" s="181"/>
      <c r="RE68" s="181"/>
      <c r="RF68" s="181"/>
      <c r="RG68" s="181"/>
      <c r="RH68" s="181"/>
      <c r="RI68" s="181"/>
      <c r="RJ68" s="181"/>
      <c r="RK68" s="181"/>
      <c r="RL68" s="181"/>
      <c r="RM68" s="181"/>
      <c r="RN68" s="181"/>
      <c r="RO68" s="181"/>
      <c r="RP68" s="181"/>
      <c r="RQ68" s="181"/>
      <c r="RR68" s="181"/>
      <c r="RS68" s="181"/>
      <c r="RT68" s="181"/>
      <c r="RU68" s="181"/>
      <c r="RV68" s="181"/>
      <c r="RW68" s="181"/>
      <c r="RX68" s="181"/>
      <c r="RY68" s="181"/>
      <c r="RZ68" s="181"/>
      <c r="SA68" s="181"/>
      <c r="SB68" s="181"/>
      <c r="SC68" s="181"/>
      <c r="SD68" s="181"/>
      <c r="SE68" s="181"/>
      <c r="SF68" s="181"/>
      <c r="SG68" s="181"/>
      <c r="SH68" s="181"/>
      <c r="SI68" s="181"/>
      <c r="SJ68" s="181"/>
      <c r="SK68" s="181"/>
      <c r="SL68" s="181"/>
      <c r="SM68" s="181"/>
      <c r="SN68" s="181"/>
      <c r="SO68" s="181"/>
      <c r="SP68" s="181"/>
      <c r="SQ68" s="181"/>
      <c r="SR68" s="181"/>
      <c r="SS68" s="181"/>
      <c r="ST68" s="181"/>
      <c r="SU68" s="181"/>
      <c r="SV68" s="181"/>
      <c r="SW68" s="181"/>
      <c r="SX68" s="181"/>
      <c r="SY68" s="181"/>
      <c r="SZ68" s="181"/>
      <c r="TA68" s="181"/>
      <c r="TB68" s="181"/>
      <c r="TC68" s="181"/>
      <c r="TD68" s="181"/>
      <c r="TE68" s="181"/>
      <c r="TF68" s="181"/>
      <c r="TG68" s="181"/>
      <c r="TH68" s="181"/>
      <c r="TI68" s="181"/>
      <c r="TJ68" s="181"/>
      <c r="TK68" s="181"/>
      <c r="TL68" s="181"/>
      <c r="TM68" s="181"/>
      <c r="TN68" s="181"/>
      <c r="TO68" s="181"/>
      <c r="TP68" s="181"/>
      <c r="TQ68" s="181"/>
      <c r="TR68" s="181"/>
      <c r="TS68" s="181"/>
      <c r="TT68" s="181"/>
      <c r="TU68" s="181"/>
      <c r="TV68" s="181"/>
      <c r="TW68" s="181"/>
      <c r="TX68" s="181"/>
      <c r="TY68" s="181"/>
      <c r="TZ68" s="181"/>
      <c r="UA68" s="181"/>
      <c r="UB68" s="181"/>
      <c r="UC68" s="181"/>
      <c r="UD68" s="181"/>
      <c r="UE68" s="181"/>
      <c r="UF68" s="181"/>
      <c r="UG68" s="181"/>
      <c r="UH68" s="181"/>
      <c r="UI68" s="181"/>
      <c r="UJ68" s="181"/>
      <c r="UK68" s="181"/>
      <c r="UL68" s="181"/>
      <c r="UM68" s="181"/>
      <c r="UN68" s="181"/>
      <c r="UO68" s="181"/>
      <c r="UP68" s="181"/>
      <c r="UQ68" s="181"/>
      <c r="UR68" s="181"/>
      <c r="US68" s="181"/>
      <c r="UT68" s="181"/>
      <c r="UU68" s="181"/>
      <c r="UV68" s="181"/>
      <c r="UW68" s="181"/>
      <c r="UX68" s="181"/>
      <c r="UY68" s="181"/>
      <c r="UZ68" s="181"/>
      <c r="VA68" s="181"/>
      <c r="VB68" s="181"/>
      <c r="VC68" s="181"/>
      <c r="VD68" s="181"/>
      <c r="VE68" s="181"/>
      <c r="VF68" s="181"/>
      <c r="VG68" s="181"/>
      <c r="VH68" s="181"/>
      <c r="VI68" s="181"/>
      <c r="VJ68" s="181"/>
      <c r="VK68" s="181"/>
      <c r="VL68" s="181"/>
      <c r="VM68" s="181"/>
      <c r="VN68" s="181"/>
      <c r="VO68" s="181"/>
      <c r="VP68" s="181"/>
      <c r="VQ68" s="181"/>
      <c r="VR68" s="181"/>
      <c r="AAW68" s="184"/>
      <c r="AAX68" s="184"/>
      <c r="AAY68" s="184"/>
      <c r="AAZ68" s="184"/>
      <c r="ABA68" s="3811"/>
      <c r="ABB68" s="5797" t="s">
        <v>834</v>
      </c>
      <c r="ABC68" s="5797"/>
      <c r="ABD68" s="5797" t="s">
        <v>838</v>
      </c>
      <c r="ABE68" s="5797"/>
      <c r="ABF68" s="5797" t="s">
        <v>21</v>
      </c>
      <c r="ABG68" s="5797"/>
      <c r="ABH68" s="5797" t="s">
        <v>839</v>
      </c>
      <c r="ABI68" s="5799"/>
      <c r="ABJ68" s="184"/>
      <c r="ABK68" s="3811"/>
      <c r="ABL68" s="5797" t="s">
        <v>834</v>
      </c>
      <c r="ABM68" s="5797"/>
      <c r="ABN68" s="5797" t="s">
        <v>838</v>
      </c>
      <c r="ABO68" s="5797"/>
      <c r="ABP68" s="5797" t="s">
        <v>21</v>
      </c>
      <c r="ABQ68" s="5797"/>
      <c r="ABR68" s="5797" t="s">
        <v>839</v>
      </c>
      <c r="ABS68" s="5799"/>
      <c r="ABT68" s="184"/>
      <c r="ABU68" s="3811"/>
      <c r="ABV68" s="5797" t="s">
        <v>834</v>
      </c>
      <c r="ABW68" s="5797"/>
      <c r="ABX68" s="5797" t="s">
        <v>838</v>
      </c>
      <c r="ABY68" s="5797"/>
      <c r="ABZ68" s="5797" t="s">
        <v>21</v>
      </c>
      <c r="ACA68" s="5797"/>
      <c r="ACB68" s="5797" t="s">
        <v>839</v>
      </c>
      <c r="ACC68" s="5799"/>
      <c r="ACD68" s="5797"/>
      <c r="ACE68" s="5800"/>
      <c r="ACF68" s="5797" t="s">
        <v>834</v>
      </c>
      <c r="ACG68" s="5797"/>
      <c r="ACH68" s="5797" t="s">
        <v>838</v>
      </c>
      <c r="ACI68" s="5797"/>
      <c r="ACJ68" s="5797" t="s">
        <v>21</v>
      </c>
      <c r="ACK68" s="5797"/>
      <c r="ACL68" s="5797" t="s">
        <v>839</v>
      </c>
      <c r="ACM68" s="5797"/>
      <c r="ACN68" s="184"/>
      <c r="ACO68" s="5797" t="s">
        <v>834</v>
      </c>
      <c r="ACP68" s="5797"/>
      <c r="ACQ68" s="5797" t="s">
        <v>838</v>
      </c>
      <c r="ACR68" s="5797"/>
      <c r="ACS68" s="5797" t="s">
        <v>21</v>
      </c>
      <c r="ACT68" s="5797"/>
      <c r="ACU68" s="5797" t="s">
        <v>839</v>
      </c>
      <c r="ACV68" s="5797"/>
      <c r="ACW68" s="184"/>
      <c r="ACX68" s="5797" t="s">
        <v>834</v>
      </c>
      <c r="ACY68" s="5797"/>
      <c r="ACZ68" s="5797" t="s">
        <v>838</v>
      </c>
      <c r="ADA68" s="5797"/>
      <c r="ADB68" s="5797" t="s">
        <v>21</v>
      </c>
      <c r="ADC68" s="5797"/>
      <c r="ADD68" s="5797" t="s">
        <v>839</v>
      </c>
      <c r="ADE68" s="5799"/>
      <c r="ADF68" s="5797"/>
      <c r="ADG68" s="5800"/>
      <c r="ADH68" s="5797" t="s">
        <v>834</v>
      </c>
      <c r="ADI68" s="5797"/>
      <c r="ADJ68" s="5797" t="s">
        <v>838</v>
      </c>
      <c r="ADK68" s="5797"/>
      <c r="ADL68" s="5797" t="s">
        <v>21</v>
      </c>
      <c r="ADM68" s="5797"/>
      <c r="ADN68" s="5797" t="s">
        <v>839</v>
      </c>
      <c r="ADO68" s="5797"/>
      <c r="ADP68" s="184"/>
      <c r="ADQ68" s="5797"/>
      <c r="ADR68" s="5797" t="s">
        <v>834</v>
      </c>
      <c r="ADS68" s="5797"/>
      <c r="ADT68" s="5797" t="s">
        <v>838</v>
      </c>
      <c r="ADU68" s="5797"/>
      <c r="ADV68" s="5797" t="s">
        <v>21</v>
      </c>
      <c r="ADW68" s="5797"/>
      <c r="ADX68" s="5797" t="s">
        <v>839</v>
      </c>
      <c r="ADY68" s="5797"/>
      <c r="ADZ68" s="5797" t="s">
        <v>834</v>
      </c>
      <c r="AEA68" s="5797"/>
      <c r="AEB68" s="5797" t="s">
        <v>838</v>
      </c>
      <c r="AEC68" s="5797"/>
      <c r="AED68" s="5797" t="s">
        <v>21</v>
      </c>
      <c r="AEE68" s="5797"/>
      <c r="AEF68" s="5797" t="s">
        <v>839</v>
      </c>
      <c r="AEG68" s="5799"/>
      <c r="AEH68" s="5797"/>
      <c r="AEI68" s="5797"/>
      <c r="AEJ68" s="5797"/>
      <c r="AEK68" s="5797"/>
      <c r="AEL68" s="5797"/>
      <c r="AEM68" s="5797"/>
      <c r="AEN68" s="5797"/>
      <c r="AEO68" s="5797"/>
      <c r="AEP68" s="5797"/>
      <c r="AEQ68" s="5797"/>
      <c r="AER68" s="5797"/>
      <c r="AES68" s="5800"/>
      <c r="AET68" s="5797" t="s">
        <v>834</v>
      </c>
      <c r="AEU68" s="5797"/>
      <c r="AEV68" s="5797" t="s">
        <v>838</v>
      </c>
      <c r="AEW68" s="5797"/>
      <c r="AEX68" s="5797" t="s">
        <v>21</v>
      </c>
      <c r="AEY68" s="5797"/>
      <c r="AEZ68" s="5799" t="s">
        <v>839</v>
      </c>
      <c r="AFA68" s="5797"/>
      <c r="AFB68" s="5800" t="s">
        <v>834</v>
      </c>
      <c r="AFC68" s="5797"/>
      <c r="AFD68" s="5797" t="s">
        <v>838</v>
      </c>
      <c r="AFE68" s="5797"/>
      <c r="AFF68" s="5797" t="s">
        <v>21</v>
      </c>
      <c r="AFG68" s="5797"/>
      <c r="AFH68" s="5799" t="s">
        <v>839</v>
      </c>
      <c r="AFI68" s="5797"/>
      <c r="AFJ68" s="5800" t="s">
        <v>834</v>
      </c>
      <c r="AFK68" s="5797"/>
      <c r="AFL68" s="5797" t="s">
        <v>838</v>
      </c>
      <c r="AFM68" s="5797"/>
      <c r="AFN68" s="5797" t="s">
        <v>21</v>
      </c>
      <c r="AFO68" s="5797"/>
      <c r="AFP68" s="5797" t="s">
        <v>839</v>
      </c>
      <c r="AFQ68" s="5797"/>
      <c r="AFR68" s="5797" t="s">
        <v>834</v>
      </c>
      <c r="AFS68" s="5797"/>
      <c r="AFT68" s="5797" t="s">
        <v>838</v>
      </c>
      <c r="AFU68" s="5797"/>
      <c r="AFV68" s="5797" t="s">
        <v>21</v>
      </c>
      <c r="AFW68" s="5797"/>
      <c r="AFX68" s="5797" t="s">
        <v>839</v>
      </c>
      <c r="AFY68" s="5797"/>
      <c r="AFZ68" s="184"/>
      <c r="AGA68" s="5797"/>
      <c r="AGB68" s="5797" t="s">
        <v>834</v>
      </c>
      <c r="AGC68" s="5797"/>
      <c r="AGD68" s="5797" t="s">
        <v>838</v>
      </c>
      <c r="AGE68" s="5797"/>
      <c r="AGF68" s="5797" t="s">
        <v>21</v>
      </c>
      <c r="AGG68" s="5797"/>
      <c r="AGH68" s="5797" t="s">
        <v>839</v>
      </c>
      <c r="AGI68" s="5799"/>
      <c r="AGJ68" s="5797"/>
      <c r="AGK68" s="5797"/>
      <c r="AGL68" s="5797"/>
      <c r="AGM68" s="5797"/>
      <c r="AGN68" s="184"/>
      <c r="AGO68" s="5800" t="s">
        <v>834</v>
      </c>
      <c r="AGP68" s="5797"/>
      <c r="AGQ68" s="5797" t="s">
        <v>838</v>
      </c>
      <c r="AGR68" s="5797"/>
      <c r="AGS68" s="5797" t="s">
        <v>21</v>
      </c>
      <c r="AGT68" s="5797"/>
      <c r="AGU68" s="5799" t="s">
        <v>839</v>
      </c>
      <c r="AGV68" s="5797"/>
      <c r="AGW68" s="5800" t="s">
        <v>834</v>
      </c>
      <c r="AGX68" s="5797"/>
      <c r="AGY68" s="5797" t="s">
        <v>838</v>
      </c>
      <c r="AGZ68" s="5797"/>
      <c r="AHA68" s="5797" t="s">
        <v>21</v>
      </c>
      <c r="AHB68" s="5797"/>
      <c r="AHC68" s="5799" t="s">
        <v>839</v>
      </c>
      <c r="AHD68" s="5797"/>
      <c r="AHE68" s="5797"/>
      <c r="AHF68" s="5800" t="s">
        <v>834</v>
      </c>
      <c r="AHG68" s="5797"/>
      <c r="AHH68" s="5797" t="s">
        <v>838</v>
      </c>
      <c r="AHI68" s="5797"/>
      <c r="AHJ68" s="5797" t="s">
        <v>21</v>
      </c>
      <c r="AHK68" s="5797"/>
      <c r="AHL68" s="5799" t="s">
        <v>839</v>
      </c>
      <c r="AHM68" s="5797"/>
      <c r="AHN68" s="5797"/>
      <c r="AHO68" s="5797"/>
      <c r="AHP68" s="5800"/>
      <c r="AHQ68" s="5797" t="s">
        <v>834</v>
      </c>
      <c r="AHR68" s="5797"/>
      <c r="AHS68" s="5797" t="s">
        <v>838</v>
      </c>
      <c r="AHT68" s="5797"/>
      <c r="AHU68" s="5797" t="s">
        <v>21</v>
      </c>
      <c r="AHV68" s="5797"/>
      <c r="AHW68" s="5797" t="s">
        <v>839</v>
      </c>
      <c r="AHX68" s="5799"/>
      <c r="AHY68" s="184"/>
      <c r="AHZ68" s="5800"/>
      <c r="AIA68" s="5797" t="s">
        <v>834</v>
      </c>
      <c r="AIB68" s="5797"/>
      <c r="AIC68" s="5797" t="s">
        <v>838</v>
      </c>
      <c r="AID68" s="5797"/>
      <c r="AIE68" s="5797" t="s">
        <v>21</v>
      </c>
      <c r="AIF68" s="5797"/>
      <c r="AIG68" s="5797" t="s">
        <v>839</v>
      </c>
      <c r="AIH68" s="5799"/>
      <c r="AII68" s="184"/>
      <c r="AIJ68" s="3811"/>
      <c r="AIK68" s="5797" t="s">
        <v>834</v>
      </c>
      <c r="AIL68" s="5797"/>
      <c r="AIM68" s="5797" t="s">
        <v>838</v>
      </c>
      <c r="AIN68" s="5797"/>
      <c r="AIO68" s="5797" t="s">
        <v>21</v>
      </c>
      <c r="AIP68" s="5797"/>
      <c r="AIQ68" s="5797" t="s">
        <v>839</v>
      </c>
      <c r="AIR68" s="3753"/>
      <c r="AIS68" s="184"/>
      <c r="AIT68" s="5800"/>
      <c r="AIU68" s="5797" t="s">
        <v>834</v>
      </c>
      <c r="AIV68" s="5797"/>
      <c r="AIW68" s="5797" t="s">
        <v>838</v>
      </c>
      <c r="AIX68" s="5797"/>
      <c r="AIY68" s="5797" t="s">
        <v>21</v>
      </c>
      <c r="AIZ68" s="5797"/>
      <c r="AJA68" s="5797" t="s">
        <v>839</v>
      </c>
      <c r="AJB68" s="5797"/>
      <c r="AJC68" s="5797" t="s">
        <v>834</v>
      </c>
      <c r="AJD68" s="5797"/>
      <c r="AJE68" s="5797" t="s">
        <v>838</v>
      </c>
      <c r="AJF68" s="5797"/>
      <c r="AJG68" s="5797" t="s">
        <v>21</v>
      </c>
      <c r="AJH68" s="5797"/>
      <c r="AJI68" s="5797" t="s">
        <v>839</v>
      </c>
      <c r="AJJ68" s="5797"/>
      <c r="AJK68" s="5797" t="s">
        <v>834</v>
      </c>
      <c r="AJL68" s="5797"/>
      <c r="AJM68" s="5797" t="s">
        <v>838</v>
      </c>
      <c r="AJN68" s="5797"/>
      <c r="AJO68" s="5797" t="s">
        <v>21</v>
      </c>
      <c r="AJP68" s="5797"/>
      <c r="AJQ68" s="5797" t="s">
        <v>839</v>
      </c>
      <c r="AJR68" s="5797"/>
      <c r="AJS68" s="5797" t="s">
        <v>834</v>
      </c>
      <c r="AJT68" s="5797"/>
      <c r="AJU68" s="5797" t="s">
        <v>838</v>
      </c>
      <c r="AJV68" s="5797"/>
      <c r="AJW68" s="5797" t="s">
        <v>21</v>
      </c>
      <c r="AJX68" s="5797"/>
      <c r="AJY68" s="5797" t="s">
        <v>839</v>
      </c>
      <c r="AJZ68" s="5799"/>
      <c r="AKA68" s="5797"/>
      <c r="AKB68" s="5797"/>
      <c r="AKC68" s="5797"/>
      <c r="AKD68" s="5800"/>
      <c r="AKE68" s="5797" t="s">
        <v>834</v>
      </c>
      <c r="AKF68" s="5797"/>
      <c r="AKG68" s="5797" t="s">
        <v>838</v>
      </c>
      <c r="AKH68" s="5797"/>
      <c r="AKI68" s="5797" t="s">
        <v>21</v>
      </c>
      <c r="AKJ68" s="5797"/>
      <c r="AKK68" s="5797" t="s">
        <v>839</v>
      </c>
      <c r="AKL68" s="5797"/>
      <c r="AKM68" s="5797" t="s">
        <v>834</v>
      </c>
      <c r="AKN68" s="5797"/>
      <c r="AKO68" s="5797" t="s">
        <v>838</v>
      </c>
      <c r="AKP68" s="5797"/>
      <c r="AKQ68" s="5797" t="s">
        <v>21</v>
      </c>
      <c r="AKR68" s="5797"/>
      <c r="AKS68" s="5797" t="s">
        <v>839</v>
      </c>
      <c r="AKT68" s="5797"/>
      <c r="AKU68" s="184"/>
      <c r="AKV68" s="5797" t="s">
        <v>834</v>
      </c>
      <c r="AKW68" s="5797"/>
      <c r="AKX68" s="5797" t="s">
        <v>838</v>
      </c>
      <c r="AKY68" s="5797"/>
      <c r="AKZ68" s="5797" t="s">
        <v>21</v>
      </c>
      <c r="ALA68" s="5797"/>
      <c r="ALB68" s="5799" t="s">
        <v>839</v>
      </c>
      <c r="ALC68" s="3642"/>
      <c r="ALD68" s="5800"/>
      <c r="ALE68" s="5797" t="s">
        <v>834</v>
      </c>
      <c r="ALF68" s="5797"/>
      <c r="ALG68" s="5797" t="s">
        <v>838</v>
      </c>
      <c r="ALH68" s="5797"/>
      <c r="ALI68" s="5797" t="s">
        <v>21</v>
      </c>
      <c r="ALJ68" s="5797"/>
      <c r="ALK68" s="5797" t="s">
        <v>839</v>
      </c>
      <c r="ALL68" s="3753"/>
      <c r="ALM68" s="2737"/>
      <c r="ALN68" s="5800"/>
      <c r="ALO68" s="5797" t="s">
        <v>834</v>
      </c>
      <c r="ALP68" s="5797"/>
      <c r="ALQ68" s="5797" t="s">
        <v>838</v>
      </c>
      <c r="ALR68" s="5797"/>
      <c r="ALS68" s="5797" t="s">
        <v>21</v>
      </c>
      <c r="ALT68" s="5797"/>
      <c r="ALU68" s="5797" t="s">
        <v>839</v>
      </c>
      <c r="ALV68" s="5797"/>
      <c r="ALW68" s="5797"/>
      <c r="ALX68" s="5797" t="s">
        <v>834</v>
      </c>
      <c r="ALY68" s="5797"/>
      <c r="ALZ68" s="5797" t="s">
        <v>838</v>
      </c>
      <c r="AMA68" s="5797"/>
      <c r="AMB68" s="5797" t="s">
        <v>21</v>
      </c>
      <c r="AMC68" s="5797"/>
      <c r="AMD68" s="5797" t="s">
        <v>839</v>
      </c>
      <c r="AME68" s="5797"/>
      <c r="AMF68" s="184"/>
      <c r="AMG68" s="5797" t="s">
        <v>834</v>
      </c>
      <c r="AMH68" s="5797"/>
      <c r="AMI68" s="5797" t="s">
        <v>838</v>
      </c>
      <c r="AMJ68" s="5797"/>
      <c r="AMK68" s="5797" t="s">
        <v>21</v>
      </c>
      <c r="AML68" s="5797"/>
      <c r="AMM68" s="5799" t="s">
        <v>839</v>
      </c>
      <c r="AMN68" s="5797"/>
      <c r="AMO68" s="5797"/>
      <c r="AMP68" s="5797"/>
      <c r="AMQ68" s="5797"/>
      <c r="AMR68" s="5797"/>
      <c r="AMS68" s="5797"/>
      <c r="AMT68" s="5797"/>
      <c r="AMU68" s="5797"/>
      <c r="AMV68" s="5797"/>
      <c r="AMW68" s="5797"/>
      <c r="AMX68" s="5797"/>
      <c r="AMY68" s="5797"/>
      <c r="AMZ68" s="5797"/>
      <c r="ANA68" s="5797"/>
      <c r="ANB68" s="5797"/>
      <c r="ANC68" s="5797"/>
      <c r="AND68" s="5797"/>
      <c r="ANE68" s="5797"/>
      <c r="ANF68" s="5797"/>
      <c r="ANG68" s="5797"/>
      <c r="ANH68" s="5797"/>
      <c r="ANI68" s="5797"/>
      <c r="ANJ68" s="5797"/>
      <c r="ANK68" s="5797"/>
      <c r="ANL68" s="5797"/>
      <c r="ANM68" s="5797"/>
      <c r="ANN68" s="5797"/>
      <c r="ANO68" s="5797"/>
      <c r="ANP68" s="5797"/>
      <c r="ANQ68" s="5797"/>
      <c r="ANR68" s="5797"/>
      <c r="ANS68" s="5797"/>
      <c r="ANT68" s="5797"/>
      <c r="ANU68" s="5797"/>
      <c r="ANV68" s="5797"/>
      <c r="ANW68" s="5797"/>
      <c r="ANX68" s="5797"/>
      <c r="ANY68" s="5797"/>
      <c r="ANZ68" s="5797"/>
      <c r="AOA68" s="5797"/>
      <c r="AOB68" s="5797"/>
      <c r="AOC68" s="5797"/>
      <c r="AOD68" s="5797"/>
      <c r="AOE68" s="5797"/>
      <c r="AOF68" s="5797"/>
      <c r="AOG68" s="5797"/>
      <c r="AOH68" s="5797"/>
      <c r="AOI68" s="5797"/>
      <c r="AOJ68" s="5797"/>
      <c r="AOK68" s="5797"/>
      <c r="AOL68" s="5797"/>
      <c r="AOM68" s="5797"/>
      <c r="AOO68" s="5800"/>
      <c r="AOP68" s="5797" t="s">
        <v>834</v>
      </c>
      <c r="AOQ68" s="5797"/>
      <c r="AOR68" s="5797" t="s">
        <v>838</v>
      </c>
      <c r="AOS68" s="5797"/>
      <c r="AOT68" s="5797" t="s">
        <v>21</v>
      </c>
      <c r="AOU68" s="5797"/>
      <c r="AOV68" s="5797" t="s">
        <v>839</v>
      </c>
      <c r="AOW68" s="5797"/>
      <c r="AOX68" s="5797"/>
      <c r="AOY68" s="5797" t="s">
        <v>834</v>
      </c>
      <c r="AOZ68" s="5797"/>
      <c r="APA68" s="5797" t="s">
        <v>838</v>
      </c>
      <c r="APB68" s="5797"/>
      <c r="APC68" s="5797" t="s">
        <v>21</v>
      </c>
      <c r="APD68" s="5797"/>
      <c r="APE68" s="5797" t="s">
        <v>839</v>
      </c>
      <c r="APF68" s="5797"/>
      <c r="APG68" s="5797" t="s">
        <v>834</v>
      </c>
      <c r="APH68" s="5797"/>
      <c r="API68" s="5797" t="s">
        <v>838</v>
      </c>
      <c r="APJ68" s="5797"/>
      <c r="APK68" s="5797" t="s">
        <v>21</v>
      </c>
      <c r="APL68" s="5797"/>
      <c r="APM68" s="5797" t="s">
        <v>839</v>
      </c>
      <c r="APN68" s="5797"/>
      <c r="APO68" s="5797" t="s">
        <v>834</v>
      </c>
      <c r="APP68" s="5797"/>
      <c r="APQ68" s="5797" t="s">
        <v>838</v>
      </c>
      <c r="APR68" s="5797"/>
      <c r="APS68" s="5797" t="s">
        <v>21</v>
      </c>
      <c r="APT68" s="5797"/>
      <c r="APU68" s="5797" t="s">
        <v>839</v>
      </c>
      <c r="APV68" s="5797"/>
      <c r="APW68" s="5797" t="s">
        <v>834</v>
      </c>
      <c r="APX68" s="5797"/>
      <c r="APY68" s="5797" t="s">
        <v>838</v>
      </c>
      <c r="APZ68" s="5797"/>
      <c r="AQA68" s="5797" t="s">
        <v>21</v>
      </c>
      <c r="AQB68" s="5797"/>
      <c r="AQC68" s="5797" t="s">
        <v>839</v>
      </c>
      <c r="AQD68" s="5797"/>
      <c r="AQE68" s="184"/>
      <c r="AQF68" s="5797" t="s">
        <v>834</v>
      </c>
      <c r="AQG68" s="5797"/>
      <c r="AQH68" s="5797" t="s">
        <v>838</v>
      </c>
      <c r="AQI68" s="5797"/>
      <c r="AQJ68" s="5797" t="s">
        <v>21</v>
      </c>
      <c r="AQK68" s="5797"/>
      <c r="AQL68" s="5799" t="s">
        <v>839</v>
      </c>
      <c r="AQN68" s="5800"/>
      <c r="AQO68" s="5797" t="s">
        <v>834</v>
      </c>
      <c r="AQP68" s="5797"/>
      <c r="AQQ68" s="5797" t="s">
        <v>838</v>
      </c>
      <c r="AQR68" s="5797"/>
      <c r="AQS68" s="5797" t="s">
        <v>21</v>
      </c>
      <c r="AQT68" s="5797"/>
      <c r="AQU68" s="5797" t="s">
        <v>839</v>
      </c>
      <c r="AQV68" s="5797"/>
      <c r="AQW68" s="5797" t="s">
        <v>834</v>
      </c>
      <c r="AQX68" s="5797"/>
      <c r="AQY68" s="5797" t="s">
        <v>838</v>
      </c>
      <c r="AQZ68" s="5797"/>
      <c r="ARA68" s="5797" t="s">
        <v>21</v>
      </c>
      <c r="ARB68" s="5797"/>
      <c r="ARC68" s="5797" t="s">
        <v>839</v>
      </c>
      <c r="ARD68" s="5797"/>
      <c r="ARE68" s="184"/>
      <c r="ARF68" s="5797" t="s">
        <v>834</v>
      </c>
      <c r="ARG68" s="5797"/>
      <c r="ARH68" s="5797" t="s">
        <v>838</v>
      </c>
      <c r="ARI68" s="5797"/>
      <c r="ARJ68" s="5797" t="s">
        <v>21</v>
      </c>
      <c r="ARK68" s="5797"/>
      <c r="ARL68" s="5799" t="s">
        <v>839</v>
      </c>
      <c r="ARS68" s="5797"/>
      <c r="ART68" s="5800" t="s">
        <v>834</v>
      </c>
      <c r="ARU68" s="5797"/>
      <c r="ARV68" s="5797" t="s">
        <v>838</v>
      </c>
      <c r="ARW68" s="5797"/>
      <c r="ARX68" s="5797" t="s">
        <v>21</v>
      </c>
      <c r="ARY68" s="5797"/>
      <c r="ARZ68" s="5797" t="s">
        <v>839</v>
      </c>
      <c r="ASA68" s="184"/>
      <c r="ASB68" s="5797" t="s">
        <v>834</v>
      </c>
      <c r="ASC68" s="5797"/>
      <c r="ASD68" s="5797" t="s">
        <v>838</v>
      </c>
      <c r="ASE68" s="5797"/>
      <c r="ASF68" s="5797" t="s">
        <v>21</v>
      </c>
      <c r="ASG68" s="5797"/>
      <c r="ASH68" s="5797" t="s">
        <v>839</v>
      </c>
      <c r="ASI68" s="5797"/>
      <c r="ASJ68" s="184"/>
      <c r="ASK68" s="5797" t="s">
        <v>834</v>
      </c>
      <c r="ASL68" s="5797"/>
      <c r="ASM68" s="5797" t="s">
        <v>838</v>
      </c>
      <c r="ASN68" s="5797"/>
      <c r="ASO68" s="5797" t="s">
        <v>21</v>
      </c>
      <c r="ASP68" s="5797"/>
      <c r="ASQ68" s="5799" t="s">
        <v>839</v>
      </c>
      <c r="ASR68" s="5797"/>
      <c r="ASS68" s="5797"/>
      <c r="ATA68" s="184"/>
      <c r="AUU68" s="2617"/>
      <c r="AUV68" s="2617"/>
      <c r="AUW68" s="2617"/>
      <c r="AUX68" s="2617"/>
      <c r="AUY68" s="2617"/>
      <c r="AUZ68" s="2617"/>
      <c r="AVA68" s="181"/>
      <c r="AVB68" s="181"/>
      <c r="AVC68" s="181"/>
      <c r="AVD68" s="181"/>
      <c r="AVE68" s="181"/>
      <c r="AVF68" s="181"/>
      <c r="AVG68" s="181"/>
      <c r="AVH68" s="181"/>
      <c r="AVI68" s="181"/>
      <c r="AVJ68" s="181"/>
      <c r="AVK68" s="181"/>
      <c r="AVL68" s="181"/>
      <c r="AVM68" s="181"/>
      <c r="AVN68" s="181"/>
      <c r="AVO68" s="181"/>
      <c r="AVP68" s="181"/>
      <c r="AVQ68" s="181"/>
      <c r="AVR68" s="181"/>
      <c r="AVS68" s="181"/>
      <c r="AVT68" s="181"/>
      <c r="AVU68" s="181"/>
      <c r="AVV68" s="181"/>
      <c r="AVW68" s="181"/>
      <c r="AVX68" s="181"/>
      <c r="AVY68" s="181"/>
      <c r="AVZ68" s="181"/>
      <c r="AWA68" s="181"/>
      <c r="AWB68" s="181"/>
      <c r="AWC68" s="181"/>
      <c r="AWD68" s="181"/>
      <c r="AWE68" s="181"/>
      <c r="AWF68" s="181"/>
      <c r="AWG68" s="181"/>
      <c r="AWH68" s="181"/>
      <c r="AWI68" s="181"/>
      <c r="AWJ68" s="181"/>
      <c r="AWK68" s="181"/>
      <c r="AWL68" s="181"/>
      <c r="AWM68" s="181"/>
      <c r="AWN68" s="181"/>
      <c r="AWO68" s="181"/>
      <c r="AWP68" s="181"/>
      <c r="AWQ68" s="181"/>
      <c r="AWR68" s="2617"/>
      <c r="AWS68" s="2617"/>
      <c r="AWT68" s="2617"/>
      <c r="AWU68" s="2617"/>
      <c r="AWV68" s="2617"/>
      <c r="AWW68" s="2617"/>
      <c r="AWX68" s="2617"/>
      <c r="AWY68" s="2617"/>
      <c r="AWZ68" s="2617"/>
      <c r="AXA68" s="2617"/>
      <c r="AXB68" s="2617"/>
      <c r="AXC68" s="2617"/>
      <c r="AXD68" s="2617"/>
      <c r="AXE68" s="2617"/>
      <c r="AXF68" s="2617"/>
      <c r="AXG68" s="2617"/>
      <c r="AXH68" s="2617"/>
      <c r="AXI68" s="2617"/>
      <c r="AXJ68" s="2617"/>
      <c r="AXK68" s="2617"/>
      <c r="BCC68" s="181"/>
      <c r="BFE68" s="3398"/>
    </row>
    <row r="69" spans="1:1513" x14ac:dyDescent="0.2">
      <c r="AH69" s="1172" t="s">
        <v>1500</v>
      </c>
      <c r="AI69" s="538"/>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c r="FT69" s="181"/>
      <c r="FU69" s="181"/>
      <c r="FV69" s="181"/>
      <c r="FW69" s="181"/>
      <c r="FX69" s="181"/>
      <c r="FY69" s="181"/>
      <c r="FZ69" s="181"/>
      <c r="GA69" s="181"/>
      <c r="GB69" s="181"/>
      <c r="GC69" s="181"/>
      <c r="GD69" s="181"/>
      <c r="GE69" s="181"/>
      <c r="GF69" s="181"/>
      <c r="GG69" s="181"/>
      <c r="GH69" s="181"/>
      <c r="GI69" s="181"/>
      <c r="GJ69" s="181"/>
      <c r="GK69" s="181"/>
      <c r="GL69" s="181"/>
      <c r="GM69" s="181"/>
      <c r="GN69" s="181"/>
      <c r="GO69" s="181"/>
      <c r="GP69" s="181"/>
      <c r="GQ69" s="181"/>
      <c r="GR69" s="181"/>
      <c r="GS69" s="181"/>
      <c r="GT69" s="181"/>
      <c r="GU69" s="181"/>
      <c r="GV69" s="181"/>
      <c r="GW69" s="181"/>
      <c r="GX69" s="181"/>
      <c r="GY69" s="181"/>
      <c r="GZ69" s="181"/>
      <c r="HA69" s="181"/>
      <c r="HB69" s="181"/>
      <c r="HC69" s="181"/>
      <c r="HD69" s="181"/>
      <c r="HE69" s="181"/>
      <c r="HF69" s="181"/>
      <c r="HG69" s="181"/>
      <c r="HH69" s="181"/>
      <c r="HI69" s="181"/>
      <c r="HJ69" s="181"/>
      <c r="HK69" s="181"/>
      <c r="HL69" s="181"/>
      <c r="HM69" s="181"/>
      <c r="HN69" s="181"/>
      <c r="HO69" s="181"/>
      <c r="HP69" s="181"/>
      <c r="HQ69" s="181"/>
      <c r="LF69" s="181"/>
      <c r="LG69" s="181"/>
      <c r="LH69" s="181"/>
      <c r="LI69" s="181"/>
      <c r="LJ69" s="181"/>
      <c r="LK69" s="181"/>
      <c r="LL69" s="181"/>
      <c r="LM69" s="181"/>
      <c r="LN69" s="181"/>
      <c r="LO69" s="181"/>
      <c r="LP69" s="181"/>
      <c r="LQ69" s="181"/>
      <c r="LR69" s="181"/>
      <c r="LS69" s="181"/>
      <c r="LT69" s="181"/>
      <c r="LU69" s="181"/>
      <c r="LV69" s="181"/>
      <c r="LW69" s="181"/>
      <c r="LX69" s="181"/>
      <c r="LY69" s="181"/>
      <c r="LZ69" s="181"/>
      <c r="MA69" s="181"/>
      <c r="MB69" s="181"/>
      <c r="MC69" s="181"/>
      <c r="MD69" s="181"/>
      <c r="ME69" s="181"/>
      <c r="MF69" s="181"/>
      <c r="MG69" s="181"/>
      <c r="MH69" s="181"/>
      <c r="MI69" s="181"/>
      <c r="MJ69" s="181"/>
      <c r="MK69" s="181"/>
      <c r="ML69" s="181"/>
      <c r="MM69" s="181"/>
      <c r="MN69" s="181"/>
      <c r="MO69" s="181"/>
      <c r="MP69" s="181"/>
      <c r="MQ69" s="181"/>
      <c r="MR69" s="181"/>
      <c r="MS69" s="181"/>
      <c r="MT69" s="181"/>
      <c r="MU69" s="181"/>
      <c r="MV69" s="181"/>
      <c r="MW69" s="181"/>
      <c r="MX69" s="181"/>
      <c r="MY69" s="181"/>
      <c r="MZ69" s="181"/>
      <c r="NA69" s="181"/>
      <c r="NB69" s="181"/>
      <c r="NC69" s="181"/>
      <c r="ND69" s="181"/>
      <c r="NE69" s="181"/>
      <c r="NF69" s="181"/>
      <c r="NG69" s="181"/>
      <c r="NH69" s="181"/>
      <c r="NI69" s="181"/>
      <c r="NJ69" s="181"/>
      <c r="NK69" s="181"/>
      <c r="NL69" s="181"/>
      <c r="NM69" s="181"/>
      <c r="NN69" s="181"/>
      <c r="NO69" s="181"/>
      <c r="NP69" s="181"/>
      <c r="NQ69" s="181"/>
      <c r="NR69" s="181"/>
      <c r="NS69" s="181"/>
      <c r="NT69" s="181"/>
      <c r="NU69" s="181"/>
      <c r="NV69" s="181"/>
      <c r="NW69" s="181"/>
      <c r="NX69" s="181"/>
      <c r="NY69" s="181"/>
      <c r="NZ69" s="181"/>
      <c r="OA69" s="181"/>
      <c r="OB69" s="181"/>
      <c r="OC69" s="181"/>
      <c r="OD69" s="181"/>
      <c r="OE69" s="181"/>
      <c r="OF69" s="181"/>
      <c r="OG69" s="181"/>
      <c r="OH69" s="181"/>
      <c r="OI69" s="181"/>
      <c r="OJ69" s="181"/>
      <c r="OK69" s="181"/>
      <c r="OL69" s="181"/>
      <c r="OM69" s="181"/>
      <c r="ON69" s="181"/>
      <c r="OO69" s="181"/>
      <c r="OP69" s="181"/>
      <c r="OQ69" s="181"/>
      <c r="OR69" s="181"/>
      <c r="OS69" s="181"/>
      <c r="OT69" s="181"/>
      <c r="OU69" s="181"/>
      <c r="OV69" s="181"/>
      <c r="OW69" s="181"/>
      <c r="OX69" s="181"/>
      <c r="OY69" s="181"/>
      <c r="OZ69" s="181"/>
      <c r="PA69" s="181"/>
      <c r="PB69" s="181"/>
      <c r="PC69" s="181"/>
      <c r="PD69" s="181"/>
      <c r="PE69" s="181"/>
      <c r="PF69" s="181"/>
      <c r="PG69" s="181"/>
      <c r="PH69" s="181"/>
      <c r="PI69" s="181"/>
      <c r="PJ69" s="181"/>
      <c r="PK69" s="181"/>
      <c r="PL69" s="181"/>
      <c r="PM69" s="181"/>
      <c r="PN69" s="181"/>
      <c r="PO69" s="181"/>
      <c r="PP69" s="181"/>
      <c r="PQ69" s="181"/>
      <c r="PR69" s="181"/>
      <c r="PS69" s="181"/>
      <c r="PT69" s="181"/>
      <c r="PU69" s="181"/>
      <c r="PV69" s="181"/>
      <c r="PW69" s="181"/>
      <c r="PX69" s="181"/>
      <c r="PY69" s="181"/>
      <c r="PZ69" s="181"/>
      <c r="QA69" s="181"/>
      <c r="QB69" s="181"/>
      <c r="QC69" s="181"/>
      <c r="QD69" s="181"/>
      <c r="QE69" s="181"/>
      <c r="QF69" s="181"/>
      <c r="QG69" s="181"/>
      <c r="QH69" s="181"/>
      <c r="QI69" s="181"/>
      <c r="QJ69" s="181"/>
      <c r="QK69" s="181"/>
      <c r="QL69" s="181"/>
      <c r="QM69" s="181"/>
      <c r="QN69" s="181"/>
      <c r="QO69" s="181"/>
      <c r="QP69" s="181"/>
      <c r="QQ69" s="181"/>
      <c r="QR69" s="181"/>
      <c r="QS69" s="181"/>
      <c r="QT69" s="181"/>
      <c r="QU69" s="181"/>
      <c r="QV69" s="181"/>
      <c r="QW69" s="181"/>
      <c r="QX69" s="181"/>
      <c r="QY69" s="181"/>
      <c r="QZ69" s="181"/>
      <c r="RA69" s="181"/>
      <c r="RB69" s="181"/>
      <c r="RC69" s="181"/>
      <c r="RD69" s="181"/>
      <c r="RE69" s="181"/>
      <c r="RF69" s="181"/>
      <c r="RG69" s="181"/>
      <c r="RH69" s="181"/>
      <c r="RI69" s="181"/>
      <c r="RJ69" s="181"/>
      <c r="RK69" s="181"/>
      <c r="RL69" s="181"/>
      <c r="RM69" s="181"/>
      <c r="RN69" s="181"/>
      <c r="RO69" s="181"/>
      <c r="RP69" s="181"/>
      <c r="RQ69" s="181"/>
      <c r="RR69" s="181"/>
      <c r="RS69" s="181"/>
      <c r="RT69" s="181"/>
      <c r="RU69" s="181"/>
      <c r="RV69" s="181"/>
      <c r="RW69" s="181"/>
      <c r="RX69" s="181"/>
      <c r="RY69" s="181"/>
      <c r="RZ69" s="181"/>
      <c r="SA69" s="181"/>
      <c r="SB69" s="181"/>
      <c r="SC69" s="181"/>
      <c r="SD69" s="181"/>
      <c r="SE69" s="181"/>
      <c r="SF69" s="181"/>
      <c r="SG69" s="181"/>
      <c r="SH69" s="181"/>
      <c r="SI69" s="181"/>
      <c r="SJ69" s="181"/>
      <c r="SK69" s="181"/>
      <c r="SL69" s="181"/>
      <c r="SM69" s="181"/>
      <c r="SN69" s="181"/>
      <c r="SO69" s="181"/>
      <c r="SP69" s="181"/>
      <c r="SQ69" s="181"/>
      <c r="SR69" s="181"/>
      <c r="SS69" s="181"/>
      <c r="ST69" s="181"/>
      <c r="SU69" s="181"/>
      <c r="SV69" s="181"/>
      <c r="SW69" s="181"/>
      <c r="SX69" s="181"/>
      <c r="SY69" s="181"/>
      <c r="SZ69" s="181"/>
      <c r="TA69" s="181"/>
      <c r="TB69" s="181"/>
      <c r="TC69" s="181"/>
      <c r="TD69" s="181"/>
      <c r="TE69" s="181"/>
      <c r="TF69" s="181"/>
      <c r="TG69" s="181"/>
      <c r="TH69" s="181"/>
      <c r="TI69" s="181"/>
      <c r="TJ69" s="181"/>
      <c r="TK69" s="181"/>
      <c r="TL69" s="181"/>
      <c r="TM69" s="181"/>
      <c r="TN69" s="181"/>
      <c r="TO69" s="181"/>
      <c r="TP69" s="181"/>
      <c r="TQ69" s="181"/>
      <c r="TR69" s="181"/>
      <c r="TS69" s="181"/>
      <c r="TT69" s="181"/>
      <c r="TU69" s="181"/>
      <c r="TV69" s="181"/>
      <c r="TW69" s="181"/>
      <c r="TX69" s="181"/>
      <c r="TY69" s="181"/>
      <c r="TZ69" s="181"/>
      <c r="UA69" s="181"/>
      <c r="UB69" s="181"/>
      <c r="UC69" s="181"/>
      <c r="UD69" s="181"/>
      <c r="UE69" s="181"/>
      <c r="UF69" s="181"/>
      <c r="UG69" s="181"/>
      <c r="UH69" s="181"/>
      <c r="UI69" s="181"/>
      <c r="UJ69" s="181"/>
      <c r="UK69" s="181"/>
      <c r="UL69" s="181"/>
      <c r="UM69" s="181"/>
      <c r="UN69" s="181"/>
      <c r="UO69" s="181"/>
      <c r="UP69" s="181"/>
      <c r="UQ69" s="181"/>
      <c r="UR69" s="181"/>
      <c r="US69" s="181"/>
      <c r="UT69" s="181"/>
      <c r="UU69" s="181"/>
      <c r="UV69" s="181"/>
      <c r="UW69" s="181"/>
      <c r="UX69" s="181"/>
      <c r="UY69" s="181"/>
      <c r="UZ69" s="181"/>
      <c r="VA69" s="181"/>
      <c r="VB69" s="181"/>
      <c r="VC69" s="181"/>
      <c r="VD69" s="181"/>
      <c r="VE69" s="181"/>
      <c r="VF69" s="181"/>
      <c r="VG69" s="181"/>
      <c r="VH69" s="181"/>
      <c r="VI69" s="181"/>
      <c r="VJ69" s="181"/>
      <c r="VK69" s="181"/>
      <c r="VL69" s="181"/>
      <c r="VM69" s="181"/>
      <c r="VN69" s="181"/>
      <c r="VO69" s="181"/>
      <c r="VP69" s="181"/>
      <c r="VQ69" s="181"/>
      <c r="VR69" s="181"/>
      <c r="AAW69" s="372" t="s">
        <v>865</v>
      </c>
      <c r="AAX69" s="372"/>
      <c r="AAY69" s="372"/>
      <c r="AAZ69" s="251"/>
      <c r="ABA69" s="5808"/>
      <c r="ABB69" s="2720"/>
      <c r="ABC69" s="2720"/>
      <c r="ABD69" s="2720"/>
      <c r="ABE69" s="2720"/>
      <c r="ABF69" s="2720"/>
      <c r="ABG69" s="2720"/>
      <c r="ABH69" s="2720"/>
      <c r="ABI69" s="3618"/>
      <c r="ABJ69" s="251"/>
      <c r="ABK69" s="5808"/>
      <c r="ABL69" s="2720"/>
      <c r="ABM69" s="2720"/>
      <c r="ABN69" s="2720"/>
      <c r="ABO69" s="2720"/>
      <c r="ABP69" s="2720"/>
      <c r="ABQ69" s="2720"/>
      <c r="ABR69" s="2720"/>
      <c r="ABS69" s="3618"/>
      <c r="ABT69" s="251"/>
      <c r="ABU69" s="5808"/>
      <c r="ABV69" s="2720"/>
      <c r="ABW69" s="2720"/>
      <c r="ABX69" s="2720"/>
      <c r="ABY69" s="2720"/>
      <c r="ABZ69" s="2720"/>
      <c r="ACA69" s="2720"/>
      <c r="ACB69" s="2720"/>
      <c r="ACC69" s="3618"/>
      <c r="ACD69" s="5797"/>
      <c r="ACE69" s="3356"/>
      <c r="ACF69" s="2720"/>
      <c r="ACG69" s="5797"/>
      <c r="ACH69" s="5797"/>
      <c r="ACI69" s="5797"/>
      <c r="ACJ69" s="5797"/>
      <c r="ACK69" s="5797"/>
      <c r="ACL69" s="5797"/>
      <c r="ACM69" s="5797"/>
      <c r="ACN69" s="184"/>
      <c r="ACO69" s="2720"/>
      <c r="ACP69" s="5797"/>
      <c r="ACQ69" s="5797"/>
      <c r="ACR69" s="5797"/>
      <c r="ACS69" s="5797"/>
      <c r="ACT69" s="5797"/>
      <c r="ACU69" s="5797"/>
      <c r="ACV69" s="5797"/>
      <c r="ACW69" s="184"/>
      <c r="ACX69" s="3350"/>
      <c r="ACY69" s="5797"/>
      <c r="ACZ69" s="5797"/>
      <c r="ADA69" s="5797"/>
      <c r="ADB69" s="5797"/>
      <c r="ADC69" s="5797"/>
      <c r="ADD69" s="5797"/>
      <c r="ADE69" s="5799"/>
      <c r="ADF69" s="5797"/>
      <c r="ADG69" s="3356"/>
      <c r="ADH69" s="2720"/>
      <c r="ADI69" s="5797"/>
      <c r="ADJ69" s="5797"/>
      <c r="ADK69" s="5797"/>
      <c r="ADL69" s="5797"/>
      <c r="ADM69" s="5797"/>
      <c r="ADN69" s="5797"/>
      <c r="ADO69" s="5797"/>
      <c r="ADP69" s="184"/>
      <c r="ADQ69" s="5797"/>
      <c r="ADR69" s="2720"/>
      <c r="ADS69" s="5797"/>
      <c r="ADT69" s="5797"/>
      <c r="ADU69" s="5797"/>
      <c r="ADV69" s="5797"/>
      <c r="ADW69" s="5797"/>
      <c r="ADX69" s="5797"/>
      <c r="ADY69" s="5797"/>
      <c r="ADZ69" s="3350"/>
      <c r="AEA69" s="5797"/>
      <c r="AEB69" s="5797"/>
      <c r="AEC69" s="5797"/>
      <c r="AED69" s="5797"/>
      <c r="AEE69" s="5797"/>
      <c r="AEF69" s="5797"/>
      <c r="AEG69" s="5799"/>
      <c r="AEH69" s="5797"/>
      <c r="AEI69" s="5797"/>
      <c r="AEJ69" s="5797"/>
      <c r="AEK69" s="5797"/>
      <c r="AEL69" s="5797"/>
      <c r="AEM69" s="5797"/>
      <c r="AEN69" s="5797"/>
      <c r="AEO69" s="5797"/>
      <c r="AEP69" s="5797"/>
      <c r="AEQ69" s="5797"/>
      <c r="AER69" s="5797"/>
      <c r="AES69" s="5800"/>
      <c r="AET69" s="2720"/>
      <c r="AEU69" s="5797"/>
      <c r="AEV69" s="5797"/>
      <c r="AEW69" s="5797"/>
      <c r="AEX69" s="5797"/>
      <c r="AEY69" s="5797"/>
      <c r="AEZ69" s="5799"/>
      <c r="AFA69" s="5797"/>
      <c r="AFB69" s="3356"/>
      <c r="AFC69" s="5797"/>
      <c r="AFD69" s="5797"/>
      <c r="AFE69" s="5797"/>
      <c r="AFF69" s="5797"/>
      <c r="AFG69" s="5797"/>
      <c r="AFH69" s="5799"/>
      <c r="AFI69" s="5797"/>
      <c r="AFJ69" s="3356"/>
      <c r="AFK69" s="5797"/>
      <c r="AFL69" s="5797"/>
      <c r="AFM69" s="5797"/>
      <c r="AFN69" s="5797"/>
      <c r="AFO69" s="5797"/>
      <c r="AFP69" s="5797"/>
      <c r="AFQ69" s="5797"/>
      <c r="AFR69" s="2720"/>
      <c r="AFS69" s="5797"/>
      <c r="AFT69" s="5797"/>
      <c r="AFU69" s="5797"/>
      <c r="AFV69" s="5797"/>
      <c r="AFW69" s="5797"/>
      <c r="AFX69" s="5797"/>
      <c r="AFY69" s="5797"/>
      <c r="AFZ69" s="184"/>
      <c r="AGA69" s="5797"/>
      <c r="AGB69" s="3350"/>
      <c r="AGC69" s="5797"/>
      <c r="AGD69" s="5797"/>
      <c r="AGE69" s="5797"/>
      <c r="AGF69" s="5797"/>
      <c r="AGG69" s="5797"/>
      <c r="AGH69" s="5797"/>
      <c r="AGI69" s="5799"/>
      <c r="AGJ69" s="5797"/>
      <c r="AGK69" s="5797"/>
      <c r="AGL69" s="5797"/>
      <c r="AGM69" s="5797"/>
      <c r="AGN69" s="184"/>
      <c r="AGO69" s="3356"/>
      <c r="AGP69" s="5797"/>
      <c r="AGQ69" s="5797"/>
      <c r="AGR69" s="5797"/>
      <c r="AGS69" s="5797"/>
      <c r="AGT69" s="5797"/>
      <c r="AGU69" s="5799"/>
      <c r="AGV69" s="5797"/>
      <c r="AGW69" s="3356"/>
      <c r="AGX69" s="5797"/>
      <c r="AGY69" s="5797"/>
      <c r="AGZ69" s="5797"/>
      <c r="AHA69" s="5797"/>
      <c r="AHB69" s="5797"/>
      <c r="AHC69" s="5799"/>
      <c r="AHD69" s="5797"/>
      <c r="AHE69" s="5797"/>
      <c r="AHF69" s="3356"/>
      <c r="AHG69" s="5797"/>
      <c r="AHH69" s="5797"/>
      <c r="AHI69" s="5797"/>
      <c r="AHJ69" s="5797"/>
      <c r="AHK69" s="5797"/>
      <c r="AHL69" s="5799"/>
      <c r="AHM69" s="5797"/>
      <c r="AHN69" s="5797"/>
      <c r="AHO69" s="5797"/>
      <c r="AHP69" s="5800"/>
      <c r="AHQ69" s="2720"/>
      <c r="AHR69" s="5797"/>
      <c r="AHS69" s="5797"/>
      <c r="AHT69" s="5797"/>
      <c r="AHU69" s="5797"/>
      <c r="AHV69" s="5797"/>
      <c r="AHW69" s="5797"/>
      <c r="AHX69" s="5799"/>
      <c r="AHY69" s="184"/>
      <c r="AHZ69" s="5800"/>
      <c r="AIA69" s="2720"/>
      <c r="AIB69" s="5797"/>
      <c r="AIC69" s="5797"/>
      <c r="AID69" s="5797"/>
      <c r="AIE69" s="5797"/>
      <c r="AIF69" s="5797"/>
      <c r="AIG69" s="5797"/>
      <c r="AIH69" s="5799"/>
      <c r="AII69" s="184"/>
      <c r="AIJ69" s="3811"/>
      <c r="AIK69" s="2720"/>
      <c r="AIL69" s="5797"/>
      <c r="AIM69" s="5797"/>
      <c r="AIN69" s="5797"/>
      <c r="AIO69" s="5797"/>
      <c r="AIP69" s="5797"/>
      <c r="AIQ69" s="5797"/>
      <c r="AIR69" s="3753"/>
      <c r="AIS69" s="184"/>
      <c r="AIT69" s="5800"/>
      <c r="AIU69" s="2720"/>
      <c r="AIV69" s="5797"/>
      <c r="AIW69" s="5797"/>
      <c r="AIX69" s="5797"/>
      <c r="AIY69" s="5797"/>
      <c r="AIZ69" s="5797"/>
      <c r="AJA69" s="5797"/>
      <c r="AJB69" s="5797"/>
      <c r="AJC69" s="2720"/>
      <c r="AJD69" s="5797"/>
      <c r="AJE69" s="5797"/>
      <c r="AJF69" s="5797"/>
      <c r="AJG69" s="5797"/>
      <c r="AJH69" s="5797"/>
      <c r="AJI69" s="5797"/>
      <c r="AJJ69" s="5797"/>
      <c r="AJK69" s="2720"/>
      <c r="AJL69" s="5797"/>
      <c r="AJM69" s="5797"/>
      <c r="AJN69" s="5797"/>
      <c r="AJO69" s="5797"/>
      <c r="AJP69" s="5797"/>
      <c r="AJQ69" s="5797"/>
      <c r="AJR69" s="5797"/>
      <c r="AJS69" s="2720"/>
      <c r="AJT69" s="5797"/>
      <c r="AJU69" s="5797"/>
      <c r="AJV69" s="5797"/>
      <c r="AJW69" s="5797"/>
      <c r="AJX69" s="5797"/>
      <c r="AJY69" s="5797"/>
      <c r="AJZ69" s="5799"/>
      <c r="AKA69" s="5797"/>
      <c r="AKB69" s="5797"/>
      <c r="AKC69" s="5797"/>
      <c r="AKD69" s="5800"/>
      <c r="AKE69" s="2720"/>
      <c r="AKF69" s="5797"/>
      <c r="AKG69" s="5797"/>
      <c r="AKH69" s="5797"/>
      <c r="AKI69" s="5797"/>
      <c r="AKJ69" s="5797"/>
      <c r="AKK69" s="5797"/>
      <c r="AKL69" s="5797"/>
      <c r="AKM69" s="2720"/>
      <c r="AKN69" s="5797"/>
      <c r="AKO69" s="5797"/>
      <c r="AKP69" s="5797"/>
      <c r="AKQ69" s="5797"/>
      <c r="AKR69" s="5797"/>
      <c r="AKS69" s="5797"/>
      <c r="AKT69" s="5797"/>
      <c r="AKU69" s="184"/>
      <c r="AKV69" s="3350"/>
      <c r="AKW69" s="5797"/>
      <c r="AKX69" s="5797"/>
      <c r="AKY69" s="5797"/>
      <c r="AKZ69" s="5797"/>
      <c r="ALA69" s="5797"/>
      <c r="ALB69" s="5799"/>
      <c r="ALC69" s="3642"/>
      <c r="ALD69" s="5800"/>
      <c r="ALE69" s="2720"/>
      <c r="ALF69" s="5797"/>
      <c r="ALG69" s="5797"/>
      <c r="ALH69" s="5797"/>
      <c r="ALI69" s="5797"/>
      <c r="ALJ69" s="5797"/>
      <c r="ALK69" s="5797"/>
      <c r="ALL69" s="3753"/>
      <c r="ALM69" s="2737"/>
      <c r="ALN69" s="5800"/>
      <c r="ALO69" s="2720"/>
      <c r="ALP69" s="5797"/>
      <c r="ALQ69" s="5797"/>
      <c r="ALR69" s="5797"/>
      <c r="ALS69" s="5797"/>
      <c r="ALT69" s="5797"/>
      <c r="ALU69" s="5797"/>
      <c r="ALV69" s="5797"/>
      <c r="ALW69" s="5797"/>
      <c r="ALX69" s="2720"/>
      <c r="ALY69" s="5797"/>
      <c r="ALZ69" s="5797"/>
      <c r="AMA69" s="5797"/>
      <c r="AMB69" s="5797"/>
      <c r="AMC69" s="5797"/>
      <c r="AMD69" s="5797"/>
      <c r="AME69" s="5797"/>
      <c r="AMF69" s="184"/>
      <c r="AMG69" s="3350"/>
      <c r="AMH69" s="5797"/>
      <c r="AMI69" s="5797"/>
      <c r="AMJ69" s="5797"/>
      <c r="AMK69" s="5797"/>
      <c r="AML69" s="5797"/>
      <c r="AMM69" s="5799"/>
      <c r="AMN69" s="5797"/>
      <c r="AMO69" s="5797"/>
      <c r="AMP69" s="5797"/>
      <c r="AMQ69" s="5797"/>
      <c r="AMR69" s="5797"/>
      <c r="AMS69" s="5797"/>
      <c r="AMT69" s="5797"/>
      <c r="AMU69" s="5797"/>
      <c r="AMV69" s="5797"/>
      <c r="AMW69" s="5797"/>
      <c r="AMX69" s="5797"/>
      <c r="AMY69" s="5797"/>
      <c r="AMZ69" s="5797"/>
      <c r="ANA69" s="5797"/>
      <c r="ANB69" s="5797"/>
      <c r="ANC69" s="5797"/>
      <c r="AND69" s="5797"/>
      <c r="ANE69" s="5797"/>
      <c r="ANF69" s="5797"/>
      <c r="ANG69" s="5797"/>
      <c r="ANH69" s="5797"/>
      <c r="ANI69" s="5797"/>
      <c r="ANJ69" s="5797"/>
      <c r="ANK69" s="5797"/>
      <c r="ANL69" s="5797"/>
      <c r="ANM69" s="5797"/>
      <c r="ANN69" s="5797"/>
      <c r="ANO69" s="5797"/>
      <c r="ANP69" s="5797"/>
      <c r="ANQ69" s="5797"/>
      <c r="ANR69" s="5797"/>
      <c r="ANS69" s="5797"/>
      <c r="ANT69" s="5797"/>
      <c r="ANU69" s="5797"/>
      <c r="ANV69" s="5797"/>
      <c r="ANW69" s="5797"/>
      <c r="ANX69" s="5797"/>
      <c r="ANY69" s="5797"/>
      <c r="ANZ69" s="5797"/>
      <c r="AOA69" s="5797"/>
      <c r="AOB69" s="5797"/>
      <c r="AOC69" s="5797"/>
      <c r="AOD69" s="5797"/>
      <c r="AOE69" s="5797"/>
      <c r="AOF69" s="5797"/>
      <c r="AOG69" s="5797"/>
      <c r="AOH69" s="5797"/>
      <c r="AOI69" s="5797"/>
      <c r="AOJ69" s="5797"/>
      <c r="AOK69" s="5797"/>
      <c r="AOL69" s="5797"/>
      <c r="AOM69" s="5797"/>
      <c r="AOO69" s="5800"/>
      <c r="AOP69" s="2720"/>
      <c r="AOQ69" s="5797"/>
      <c r="AOR69" s="5797"/>
      <c r="AOS69" s="5797"/>
      <c r="AOT69" s="5797"/>
      <c r="AOU69" s="5797"/>
      <c r="AOV69" s="5797"/>
      <c r="AOW69" s="5797"/>
      <c r="AOX69" s="5797"/>
      <c r="AOY69" s="2720"/>
      <c r="AOZ69" s="5797"/>
      <c r="APA69" s="5797"/>
      <c r="APB69" s="5797"/>
      <c r="APC69" s="5797"/>
      <c r="APD69" s="5797"/>
      <c r="APE69" s="5797"/>
      <c r="APF69" s="5797"/>
      <c r="APG69" s="2720"/>
      <c r="APH69" s="5797"/>
      <c r="API69" s="5797"/>
      <c r="APJ69" s="5797"/>
      <c r="APK69" s="5797"/>
      <c r="APL69" s="5797"/>
      <c r="APM69" s="5797"/>
      <c r="APN69" s="5797"/>
      <c r="APO69" s="2720"/>
      <c r="APP69" s="5797"/>
      <c r="APQ69" s="5797"/>
      <c r="APR69" s="5797"/>
      <c r="APS69" s="5797"/>
      <c r="APT69" s="5797"/>
      <c r="APU69" s="5797"/>
      <c r="APV69" s="5797"/>
      <c r="APW69" s="2720"/>
      <c r="APX69" s="5797"/>
      <c r="APY69" s="5797"/>
      <c r="APZ69" s="5797"/>
      <c r="AQA69" s="5797"/>
      <c r="AQB69" s="5797"/>
      <c r="AQC69" s="5797"/>
      <c r="AQD69" s="5797"/>
      <c r="AQE69" s="184"/>
      <c r="AQF69" s="3350"/>
      <c r="AQG69" s="5797"/>
      <c r="AQH69" s="5797"/>
      <c r="AQI69" s="5797"/>
      <c r="AQJ69" s="5797"/>
      <c r="AQK69" s="5797"/>
      <c r="AQL69" s="5799"/>
      <c r="AQN69" s="5800"/>
      <c r="AQO69" s="2720"/>
      <c r="AQP69" s="5797"/>
      <c r="AQQ69" s="5797"/>
      <c r="AQR69" s="5797"/>
      <c r="AQS69" s="5797"/>
      <c r="AQT69" s="5797"/>
      <c r="AQU69" s="5797"/>
      <c r="AQV69" s="5797"/>
      <c r="AQW69" s="2720"/>
      <c r="AQX69" s="5797"/>
      <c r="AQY69" s="5797"/>
      <c r="AQZ69" s="5797"/>
      <c r="ARA69" s="5797"/>
      <c r="ARB69" s="5797"/>
      <c r="ARC69" s="5797"/>
      <c r="ARD69" s="5797"/>
      <c r="ARE69" s="184"/>
      <c r="ARF69" s="3350"/>
      <c r="ARG69" s="5797"/>
      <c r="ARH69" s="5797"/>
      <c r="ARI69" s="5797"/>
      <c r="ARJ69" s="5797"/>
      <c r="ARK69" s="5797"/>
      <c r="ARL69" s="5799"/>
      <c r="ARS69" s="5797"/>
      <c r="ART69" s="3356"/>
      <c r="ARU69" s="5797"/>
      <c r="ARV69" s="5797"/>
      <c r="ARW69" s="5797"/>
      <c r="ARX69" s="5797"/>
      <c r="ARY69" s="5797"/>
      <c r="ARZ69" s="5797"/>
      <c r="ASA69" s="184"/>
      <c r="ASB69" s="2720"/>
      <c r="ASC69" s="5797"/>
      <c r="ASD69" s="5797"/>
      <c r="ASE69" s="5797"/>
      <c r="ASF69" s="5797"/>
      <c r="ASG69" s="5797"/>
      <c r="ASH69" s="5797"/>
      <c r="ASI69" s="5797"/>
      <c r="ASJ69" s="184"/>
      <c r="ASK69" s="2720"/>
      <c r="ASL69" s="5797"/>
      <c r="ASM69" s="5797"/>
      <c r="ASN69" s="5797"/>
      <c r="ASO69" s="5797"/>
      <c r="ASP69" s="5797"/>
      <c r="ASQ69" s="5799"/>
      <c r="ASR69" s="5797"/>
      <c r="ASS69" s="5797"/>
      <c r="ATA69" s="184"/>
      <c r="AUU69" s="2617"/>
      <c r="AUV69" s="2617"/>
      <c r="AUW69" s="2617"/>
      <c r="AUX69" s="2617"/>
      <c r="AUY69" s="2617"/>
      <c r="AUZ69" s="2617"/>
      <c r="AVA69" s="181"/>
      <c r="AVB69" s="181"/>
      <c r="AVC69" s="181"/>
      <c r="AVD69" s="181"/>
      <c r="AVE69" s="181"/>
      <c r="AVF69" s="181"/>
      <c r="AVG69" s="181"/>
      <c r="AVH69" s="181"/>
      <c r="AVI69" s="181"/>
      <c r="AVJ69" s="181"/>
      <c r="AVK69" s="181"/>
      <c r="AVL69" s="181"/>
      <c r="AVM69" s="181"/>
      <c r="AVN69" s="181"/>
      <c r="AVO69" s="181"/>
      <c r="AVP69" s="181"/>
      <c r="AVQ69" s="181"/>
      <c r="AVR69" s="181"/>
      <c r="AVS69" s="181"/>
      <c r="AVT69" s="181"/>
      <c r="AVU69" s="181"/>
      <c r="AVV69" s="181"/>
      <c r="AVW69" s="181"/>
      <c r="AVX69" s="181"/>
      <c r="AVY69" s="181"/>
      <c r="AVZ69" s="181"/>
      <c r="AWA69" s="181"/>
      <c r="AWB69" s="181"/>
      <c r="AWC69" s="181"/>
      <c r="AWD69" s="181"/>
      <c r="AWE69" s="181"/>
      <c r="AWF69" s="181"/>
      <c r="AWG69" s="181"/>
      <c r="AWH69" s="181"/>
      <c r="AWI69" s="181"/>
      <c r="AWJ69" s="181"/>
      <c r="AWK69" s="181"/>
      <c r="AWL69" s="181"/>
      <c r="AWM69" s="181"/>
      <c r="AWN69" s="181"/>
      <c r="AWO69" s="181"/>
      <c r="AWP69" s="181"/>
      <c r="AWQ69" s="181"/>
      <c r="AWR69" s="2617"/>
      <c r="AWS69" s="2617"/>
      <c r="AWT69" s="2617"/>
      <c r="AWU69" s="2617"/>
      <c r="AWV69" s="2617"/>
      <c r="AWW69" s="2617"/>
      <c r="AWX69" s="2617"/>
      <c r="AWY69" s="2617"/>
      <c r="AWZ69" s="2617"/>
      <c r="AXA69" s="2617"/>
      <c r="AXB69" s="2617"/>
      <c r="AXC69" s="2617"/>
      <c r="AXD69" s="2617"/>
      <c r="AXE69" s="2617"/>
      <c r="AXF69" s="2617"/>
      <c r="AXG69" s="2617"/>
      <c r="AXH69" s="2617"/>
      <c r="AXI69" s="2617"/>
      <c r="AXJ69" s="2617"/>
      <c r="AXK69" s="2617"/>
      <c r="BCC69" s="181"/>
      <c r="BFE69" s="3398"/>
    </row>
    <row r="70" spans="1:1513" ht="30.75" x14ac:dyDescent="0.2">
      <c r="AH70" s="206" t="s">
        <v>1501</v>
      </c>
      <c r="AI70" s="3617" t="e">
        <f>AI64-(AI66*2)</f>
        <v>#VALUE!</v>
      </c>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c r="FS70" s="181"/>
      <c r="FT70" s="181"/>
      <c r="FU70" s="181"/>
      <c r="FV70" s="181"/>
      <c r="FW70" s="181"/>
      <c r="FX70" s="181"/>
      <c r="FY70" s="181"/>
      <c r="FZ70" s="181"/>
      <c r="GA70" s="181"/>
      <c r="GB70" s="181"/>
      <c r="GC70" s="181"/>
      <c r="GD70" s="181"/>
      <c r="GE70" s="181"/>
      <c r="GF70" s="181"/>
      <c r="GG70" s="181"/>
      <c r="GH70" s="181"/>
      <c r="GI70" s="181"/>
      <c r="GJ70" s="181"/>
      <c r="GK70" s="181"/>
      <c r="GL70" s="181"/>
      <c r="GM70" s="181"/>
      <c r="GN70" s="181"/>
      <c r="GO70" s="181"/>
      <c r="GP70" s="181"/>
      <c r="GQ70" s="181"/>
      <c r="GR70" s="181"/>
      <c r="GS70" s="181"/>
      <c r="GT70" s="181"/>
      <c r="GU70" s="181"/>
      <c r="GV70" s="181"/>
      <c r="GW70" s="181"/>
      <c r="GX70" s="181"/>
      <c r="GY70" s="181"/>
      <c r="GZ70" s="181"/>
      <c r="HA70" s="181"/>
      <c r="HB70" s="181"/>
      <c r="HC70" s="181"/>
      <c r="HD70" s="181"/>
      <c r="HE70" s="181"/>
      <c r="HF70" s="181"/>
      <c r="HG70" s="181"/>
      <c r="HH70" s="181"/>
      <c r="HI70" s="181"/>
      <c r="HJ70" s="181"/>
      <c r="HK70" s="181"/>
      <c r="HL70" s="181"/>
      <c r="HM70" s="181"/>
      <c r="HN70" s="181"/>
      <c r="HO70" s="181"/>
      <c r="HP70" s="181"/>
      <c r="HQ70" s="181"/>
      <c r="LF70" s="181"/>
      <c r="LG70" s="181"/>
      <c r="LH70" s="181"/>
      <c r="LI70" s="181"/>
      <c r="LJ70" s="181"/>
      <c r="LK70" s="181"/>
      <c r="LL70" s="181"/>
      <c r="LM70" s="181"/>
      <c r="LN70" s="181"/>
      <c r="LO70" s="181"/>
      <c r="LP70" s="181"/>
      <c r="LQ70" s="181"/>
      <c r="LR70" s="181"/>
      <c r="LS70" s="181"/>
      <c r="LT70" s="181"/>
      <c r="LU70" s="181"/>
      <c r="LV70" s="181"/>
      <c r="LW70" s="181"/>
      <c r="LX70" s="181"/>
      <c r="LY70" s="181"/>
      <c r="LZ70" s="181"/>
      <c r="MA70" s="181"/>
      <c r="MB70" s="181"/>
      <c r="MC70" s="181"/>
      <c r="MD70" s="181"/>
      <c r="ME70" s="181"/>
      <c r="MF70" s="181"/>
      <c r="MG70" s="181"/>
      <c r="MH70" s="181"/>
      <c r="MI70" s="181"/>
      <c r="MJ70" s="181"/>
      <c r="MK70" s="181"/>
      <c r="ML70" s="181"/>
      <c r="MM70" s="181"/>
      <c r="MN70" s="181"/>
      <c r="MO70" s="181"/>
      <c r="MP70" s="181"/>
      <c r="MQ70" s="181"/>
      <c r="MR70" s="181"/>
      <c r="MS70" s="181"/>
      <c r="MT70" s="181"/>
      <c r="MU70" s="181"/>
      <c r="MV70" s="181"/>
      <c r="MW70" s="181"/>
      <c r="MX70" s="181"/>
      <c r="MY70" s="181"/>
      <c r="MZ70" s="181"/>
      <c r="NA70" s="181"/>
      <c r="NB70" s="181"/>
      <c r="NC70" s="181"/>
      <c r="ND70" s="181"/>
      <c r="NE70" s="181"/>
      <c r="NF70" s="181"/>
      <c r="NG70" s="181"/>
      <c r="NH70" s="181"/>
      <c r="NI70" s="181"/>
      <c r="NJ70" s="181"/>
      <c r="NK70" s="181"/>
      <c r="NL70" s="181"/>
      <c r="NM70" s="181"/>
      <c r="NN70" s="181"/>
      <c r="NO70" s="181"/>
      <c r="NP70" s="181"/>
      <c r="NQ70" s="181"/>
      <c r="NR70" s="181"/>
      <c r="NS70" s="181"/>
      <c r="NT70" s="181"/>
      <c r="NU70" s="181"/>
      <c r="NV70" s="181"/>
      <c r="NW70" s="181"/>
      <c r="NX70" s="181"/>
      <c r="NY70" s="181"/>
      <c r="NZ70" s="181"/>
      <c r="OA70" s="181"/>
      <c r="OB70" s="181"/>
      <c r="OC70" s="181"/>
      <c r="OD70" s="181"/>
      <c r="OE70" s="181"/>
      <c r="OF70" s="181"/>
      <c r="OG70" s="181"/>
      <c r="OH70" s="181"/>
      <c r="OI70" s="181"/>
      <c r="OJ70" s="181"/>
      <c r="OK70" s="181"/>
      <c r="OL70" s="181"/>
      <c r="OM70" s="181"/>
      <c r="ON70" s="181"/>
      <c r="OO70" s="181"/>
      <c r="OP70" s="181"/>
      <c r="OQ70" s="181"/>
      <c r="OR70" s="181"/>
      <c r="OS70" s="181"/>
      <c r="OT70" s="181"/>
      <c r="OU70" s="181"/>
      <c r="OV70" s="181"/>
      <c r="OW70" s="181"/>
      <c r="OX70" s="181"/>
      <c r="OY70" s="181"/>
      <c r="OZ70" s="181"/>
      <c r="PA70" s="181"/>
      <c r="PB70" s="181"/>
      <c r="PC70" s="181"/>
      <c r="PD70" s="181"/>
      <c r="PE70" s="181"/>
      <c r="PF70" s="181"/>
      <c r="PG70" s="181"/>
      <c r="PH70" s="181"/>
      <c r="PI70" s="181"/>
      <c r="PJ70" s="181"/>
      <c r="PK70" s="181"/>
      <c r="PL70" s="181"/>
      <c r="PM70" s="181"/>
      <c r="PN70" s="181"/>
      <c r="PO70" s="181"/>
      <c r="PP70" s="181"/>
      <c r="PQ70" s="181"/>
      <c r="PR70" s="181"/>
      <c r="PS70" s="181"/>
      <c r="PT70" s="181"/>
      <c r="PU70" s="181"/>
      <c r="PV70" s="181"/>
      <c r="PW70" s="181"/>
      <c r="PX70" s="181"/>
      <c r="PY70" s="181"/>
      <c r="PZ70" s="181"/>
      <c r="QA70" s="181"/>
      <c r="QB70" s="181"/>
      <c r="QC70" s="181"/>
      <c r="QD70" s="181"/>
      <c r="QE70" s="181"/>
      <c r="QF70" s="181"/>
      <c r="QG70" s="181"/>
      <c r="QH70" s="181"/>
      <c r="QI70" s="181"/>
      <c r="QJ70" s="181"/>
      <c r="QK70" s="181"/>
      <c r="QL70" s="181"/>
      <c r="QM70" s="181"/>
      <c r="QN70" s="181"/>
      <c r="QO70" s="181"/>
      <c r="QP70" s="181"/>
      <c r="QQ70" s="181"/>
      <c r="QR70" s="181"/>
      <c r="QS70" s="181"/>
      <c r="QT70" s="181"/>
      <c r="QU70" s="181"/>
      <c r="QV70" s="181"/>
      <c r="QW70" s="181"/>
      <c r="QX70" s="181"/>
      <c r="QY70" s="181"/>
      <c r="QZ70" s="181"/>
      <c r="RA70" s="181"/>
      <c r="RB70" s="181"/>
      <c r="RC70" s="181"/>
      <c r="RD70" s="181"/>
      <c r="RE70" s="181"/>
      <c r="RF70" s="181"/>
      <c r="RG70" s="181"/>
      <c r="RH70" s="181"/>
      <c r="RI70" s="181"/>
      <c r="RJ70" s="181"/>
      <c r="RK70" s="181"/>
      <c r="RL70" s="181"/>
      <c r="RM70" s="181"/>
      <c r="RN70" s="181"/>
      <c r="RO70" s="181"/>
      <c r="RP70" s="181"/>
      <c r="RQ70" s="181"/>
      <c r="RR70" s="181"/>
      <c r="RS70" s="181"/>
      <c r="RT70" s="181"/>
      <c r="RU70" s="181"/>
      <c r="RV70" s="181"/>
      <c r="RW70" s="181"/>
      <c r="RX70" s="181"/>
      <c r="RY70" s="181"/>
      <c r="RZ70" s="181"/>
      <c r="SA70" s="181"/>
      <c r="SB70" s="181"/>
      <c r="SC70" s="181"/>
      <c r="SD70" s="181"/>
      <c r="SE70" s="181"/>
      <c r="SF70" s="181"/>
      <c r="SG70" s="181"/>
      <c r="SH70" s="181"/>
      <c r="SI70" s="181"/>
      <c r="SJ70" s="181"/>
      <c r="SK70" s="181"/>
      <c r="SL70" s="181"/>
      <c r="SM70" s="181"/>
      <c r="SN70" s="181"/>
      <c r="SO70" s="181"/>
      <c r="SP70" s="181"/>
      <c r="SQ70" s="181"/>
      <c r="SR70" s="181"/>
      <c r="SS70" s="181"/>
      <c r="ST70" s="181"/>
      <c r="SU70" s="181"/>
      <c r="SV70" s="181"/>
      <c r="SW70" s="181"/>
      <c r="SX70" s="181"/>
      <c r="SY70" s="181"/>
      <c r="SZ70" s="181"/>
      <c r="TA70" s="181"/>
      <c r="TB70" s="181"/>
      <c r="TC70" s="181"/>
      <c r="TD70" s="181"/>
      <c r="TE70" s="181"/>
      <c r="TF70" s="181"/>
      <c r="TG70" s="181"/>
      <c r="TH70" s="181"/>
      <c r="TI70" s="181"/>
      <c r="TJ70" s="181"/>
      <c r="TK70" s="181"/>
      <c r="TL70" s="181"/>
      <c r="TM70" s="181"/>
      <c r="TN70" s="181"/>
      <c r="TO70" s="181"/>
      <c r="TP70" s="181"/>
      <c r="TQ70" s="181"/>
      <c r="TR70" s="181"/>
      <c r="TS70" s="181"/>
      <c r="TT70" s="181"/>
      <c r="TU70" s="181"/>
      <c r="TV70" s="181"/>
      <c r="TW70" s="181"/>
      <c r="TX70" s="181"/>
      <c r="TY70" s="181"/>
      <c r="TZ70" s="181"/>
      <c r="UA70" s="181"/>
      <c r="UB70" s="181"/>
      <c r="UC70" s="181"/>
      <c r="UD70" s="181"/>
      <c r="UE70" s="181"/>
      <c r="UF70" s="181"/>
      <c r="UG70" s="181"/>
      <c r="UH70" s="181"/>
      <c r="UI70" s="181"/>
      <c r="UJ70" s="181"/>
      <c r="UK70" s="181"/>
      <c r="UL70" s="181"/>
      <c r="UM70" s="181"/>
      <c r="UN70" s="181"/>
      <c r="UO70" s="181"/>
      <c r="UP70" s="181"/>
      <c r="UQ70" s="181"/>
      <c r="UR70" s="181"/>
      <c r="US70" s="181"/>
      <c r="UT70" s="181"/>
      <c r="UU70" s="181"/>
      <c r="UV70" s="181"/>
      <c r="UW70" s="181"/>
      <c r="UX70" s="181"/>
      <c r="UY70" s="181"/>
      <c r="UZ70" s="181"/>
      <c r="VA70" s="181"/>
      <c r="VB70" s="181"/>
      <c r="VC70" s="181"/>
      <c r="VD70" s="181"/>
      <c r="VE70" s="181"/>
      <c r="VF70" s="181"/>
      <c r="VG70" s="181"/>
      <c r="VH70" s="181"/>
      <c r="VI70" s="181"/>
      <c r="VJ70" s="181"/>
      <c r="VK70" s="181"/>
      <c r="VL70" s="181"/>
      <c r="VM70" s="181"/>
      <c r="VN70" s="181"/>
      <c r="VO70" s="181"/>
      <c r="VP70" s="181"/>
      <c r="VQ70" s="181"/>
      <c r="VR70" s="181"/>
      <c r="AAW70" s="372" t="s">
        <v>189</v>
      </c>
      <c r="AAX70" s="372"/>
      <c r="AAY70" s="372" t="s">
        <v>893</v>
      </c>
      <c r="AAZ70" s="184"/>
      <c r="ABA70" s="3811"/>
      <c r="ABB70" s="5797" t="b">
        <v>1</v>
      </c>
      <c r="ABC70" s="5797"/>
      <c r="ABD70" s="2983">
        <f>'!Egen_SK'!$X$76</f>
        <v>0</v>
      </c>
      <c r="ABE70" s="5797"/>
      <c r="ABF70" s="3624" t="e">
        <f>INDEX(klasse_salve[salve_lengde_a],MATCH($AI$79,klasse_salve[Type_size],0))</f>
        <v>#N/A</v>
      </c>
      <c r="ABG70" s="5797"/>
      <c r="ABH70" s="3010" t="e">
        <f>IF(ABB70=TRUE,ABF70,ABD70)</f>
        <v>#N/A</v>
      </c>
      <c r="ABI70" s="5799"/>
      <c r="ABJ70" s="184"/>
      <c r="ABK70" s="3811"/>
      <c r="ABL70" s="5797" t="b">
        <v>1</v>
      </c>
      <c r="ABM70" s="5797"/>
      <c r="ABN70" s="2983">
        <f>'!Egen_SK'!$X$85</f>
        <v>20</v>
      </c>
      <c r="ABO70" s="5797"/>
      <c r="ABP70" s="3624" t="e">
        <f>INDEX(klasseqty_rensk[manual_tid_salve_a],MATCH($AI$79,klasseqty_bolting[Type_size],0))</f>
        <v>#N/A</v>
      </c>
      <c r="ABQ70" s="5797"/>
      <c r="ABR70" s="3010" t="e">
        <f>IF(ABL70=TRUE,ABP70,ABN70)</f>
        <v>#N/A</v>
      </c>
      <c r="ABS70" s="5799"/>
      <c r="ABT70" s="184"/>
      <c r="ABU70" s="3811"/>
      <c r="ABV70" s="5797" t="b">
        <v>1</v>
      </c>
      <c r="ABW70" s="5797"/>
      <c r="ABX70" s="2983">
        <f>'!Egen_SK'!$X$92</f>
        <v>0</v>
      </c>
      <c r="ABY70" s="5797"/>
      <c r="ABZ70" s="3624" t="e">
        <f>INDEX(klasseqty_rensk[inspectiontid_a],MATCH($AI$79,klasseqty_bolting[Type_size],0))</f>
        <v>#N/A</v>
      </c>
      <c r="ACA70" s="5797"/>
      <c r="ACB70" s="3010" t="e">
        <f>IF(ABV70=TRUE,ABZ70,ABX70)</f>
        <v>#N/A</v>
      </c>
      <c r="ACC70" s="5799"/>
      <c r="ACD70" s="5797"/>
      <c r="ACE70" s="5800"/>
      <c r="ACF70" s="5797" t="b">
        <v>1</v>
      </c>
      <c r="ACG70" s="5797"/>
      <c r="ACH70" s="2983">
        <f>'!Egen_SK'!$X$101</f>
        <v>0</v>
      </c>
      <c r="ACI70" s="5797"/>
      <c r="ACJ70" s="2774" t="e">
        <f>INDEX(klasseqty_bolting[veder_cc_a],MATCH($AI$79,klasseqty_bolting[Type_size],0))</f>
        <v>#N/A</v>
      </c>
      <c r="ACK70" s="5797"/>
      <c r="ACL70" s="2775" t="e">
        <f>IF(ACF70=TRUE,ACJ70,ACH70)</f>
        <v>#N/A</v>
      </c>
      <c r="ACM70" s="5797"/>
      <c r="ACN70" s="184"/>
      <c r="ACO70" s="5797" t="b">
        <v>1</v>
      </c>
      <c r="ACP70" s="5797"/>
      <c r="ACQ70" s="2782">
        <f>'!Egen_SK'!$X$105</f>
        <v>0</v>
      </c>
      <c r="ACR70" s="5797"/>
      <c r="ACS70" s="3547" t="e">
        <f>INDEX(klasseqty_bolting[veder_length_lt4_a],MATCH($AI$79,klasseqty_bolting[Type_size],0))</f>
        <v>#N/A</v>
      </c>
      <c r="ACT70" s="5797"/>
      <c r="ACU70" s="2781" t="e">
        <f>IF(ACO70=TRUE,ACS70,ACQ70)</f>
        <v>#N/A</v>
      </c>
      <c r="ACV70" s="5797"/>
      <c r="ACW70" s="184"/>
      <c r="ACX70" s="5797"/>
      <c r="ACY70" s="5797"/>
      <c r="ACZ70" s="2782" t="str">
        <f>IF(ACO70=FALSE,1-ACQ70,"")</f>
        <v/>
      </c>
      <c r="ADA70" s="5797"/>
      <c r="ADB70" s="3547" t="e">
        <f>INDEX(klasseqty_bolting[veder_length_gt4_a],MATCH($AI$79,klasseqty_bolting[Type_size],0))</f>
        <v>#N/A</v>
      </c>
      <c r="ADC70" s="5797"/>
      <c r="ADD70" s="2781" t="e">
        <f>IF(ACO70=TRUE,ADB70,ACZ70)</f>
        <v>#N/A</v>
      </c>
      <c r="ADE70" s="5809"/>
      <c r="ADF70" s="5797"/>
      <c r="ADG70" s="5800"/>
      <c r="ADH70" s="5797" t="b">
        <v>1</v>
      </c>
      <c r="ADI70" s="5797"/>
      <c r="ADJ70" s="2983">
        <f>'!Egen_SK'!$X$114</f>
        <v>0</v>
      </c>
      <c r="ADK70" s="5797"/>
      <c r="ADL70" s="2774" t="e">
        <f>INDEX(klasseqty_bolting[vegg_cc_a],MATCH($AI$79,klasseqty_bolting[Type_size],0))</f>
        <v>#N/A</v>
      </c>
      <c r="ADM70" s="5797"/>
      <c r="ADN70" s="2775" t="e">
        <f>IF(ADH70=TRUE,ADL70,ADJ70)</f>
        <v>#N/A</v>
      </c>
      <c r="ADO70" s="5797"/>
      <c r="ADP70" s="184"/>
      <c r="ADQ70" s="5797"/>
      <c r="ADR70" s="5797" t="b">
        <v>1</v>
      </c>
      <c r="ADS70" s="5797"/>
      <c r="ADT70" s="2782">
        <f>'!Egen_SK'!$X$118</f>
        <v>0</v>
      </c>
      <c r="ADU70" s="5797"/>
      <c r="ADV70" s="3547" t="e">
        <f>INDEX(klasseqty_bolting[vegg_length_lt4_a],MATCH($AI$79,klasseqty_bolting[Type_size],0))</f>
        <v>#N/A</v>
      </c>
      <c r="ADW70" s="5797"/>
      <c r="ADX70" s="2781" t="e">
        <f>IF(ADR70=TRUE,ADV70,ADT70)</f>
        <v>#N/A</v>
      </c>
      <c r="ADY70" s="5797"/>
      <c r="ADZ70" s="5797"/>
      <c r="AEA70" s="5797"/>
      <c r="AEB70" s="2782" t="str">
        <f t="shared" ref="AEB70:AEB77" si="270">IF(ADR70=FALSE,1-ADT70,"")</f>
        <v/>
      </c>
      <c r="AEC70" s="5797"/>
      <c r="AED70" s="3547" t="e">
        <f>INDEX(klasseqty_bolting[vegg_length_gt4_a],MATCH($AI$79,klasseqty_bolting[Type_size],0))</f>
        <v>#N/A</v>
      </c>
      <c r="AEE70" s="5797"/>
      <c r="AEF70" s="2781" t="e">
        <f t="shared" ref="AEF70:AEF77" si="271">IF(ADR70=TRUE,AED70,AEB70)</f>
        <v>#N/A</v>
      </c>
      <c r="AEG70" s="5799"/>
      <c r="AEH70" s="5797"/>
      <c r="AEI70" s="5797"/>
      <c r="AEJ70" s="5797"/>
      <c r="AEK70" s="5797"/>
      <c r="AEL70" s="5797"/>
      <c r="AEM70" s="5797"/>
      <c r="AEN70" s="5797"/>
      <c r="AEO70" s="5797"/>
      <c r="AEP70" s="5797"/>
      <c r="AEQ70" s="5797"/>
      <c r="AER70" s="5797"/>
      <c r="AES70" s="5800"/>
      <c r="AET70" s="5797" t="b">
        <v>1</v>
      </c>
      <c r="AEU70" s="5797"/>
      <c r="AEV70" s="2983">
        <f>'!Egen_SK'!$X$248</f>
        <v>1.5</v>
      </c>
      <c r="AEW70" s="5797"/>
      <c r="AEX70" s="2773" t="e">
        <f>INDEX(klasseqty_bergbånd[overlappingsfaktor_a],MATCH($AI$79,klasseqty_bergbånd[Type_size],0))</f>
        <v>#N/A</v>
      </c>
      <c r="AEY70" s="5797"/>
      <c r="AEZ70" s="3376" t="e">
        <f t="shared" ref="AEZ70:AEZ77" si="272">IF(AET70=TRUE,AEX70,AEV70)</f>
        <v>#N/A</v>
      </c>
      <c r="AFA70" s="5797"/>
      <c r="AFB70" s="5800" t="b">
        <v>1</v>
      </c>
      <c r="AFC70" s="5797"/>
      <c r="AFD70" s="2983">
        <f>'!Egen_SK'!$X$255</f>
        <v>0</v>
      </c>
      <c r="AFE70" s="5797"/>
      <c r="AFF70" s="2773" t="e">
        <f>INDEX(klasseqty_bergbånd[tilleggs_bergbånd_a],MATCH($AI$79,klasseqty_bergbånd[Type_size],0))</f>
        <v>#N/A</v>
      </c>
      <c r="AFG70" s="5797"/>
      <c r="AFH70" s="3376" t="e">
        <f t="shared" ref="AFH70:AFH77" si="273">IF(AFB70=TRUE,AFF70,AFD70)</f>
        <v>#N/A</v>
      </c>
      <c r="AFI70" s="5797"/>
      <c r="AFJ70" s="5800" t="b">
        <v>1</v>
      </c>
      <c r="AFK70" s="5797"/>
      <c r="AFL70" s="2983">
        <f>'!Egen_SK'!$X$262</f>
        <v>0</v>
      </c>
      <c r="AFM70" s="5797"/>
      <c r="AFN70" s="3011" t="e">
        <f>INDEX(klasseqty_bergbånd[tilleggs_bergbånd_festebolter_senteravstand_a],MATCH($AI$79,klasseqty_bergbånd[Type_size],0))</f>
        <v>#N/A</v>
      </c>
      <c r="AFO70" s="5797"/>
      <c r="AFP70" s="2775" t="e">
        <f t="shared" ref="AFP70:AFP77" si="274">IF(AFJ70=TRUE,AFN70,AFL70)</f>
        <v>#N/A</v>
      </c>
      <c r="AFQ70" s="5797"/>
      <c r="AFR70" s="5797" t="b">
        <v>1</v>
      </c>
      <c r="AFS70" s="5797"/>
      <c r="AFT70" s="2782">
        <f>'!Egen_SK'!$X$266</f>
        <v>0</v>
      </c>
      <c r="AFU70" s="5797"/>
      <c r="AFV70" s="3547" t="e">
        <f>INDEX(klasseqty_bergbånd[tilleggs_bergbånd_festebolter_lt4_a],MATCH($AI$79,klasseqty_bergbånd[Type_size],0))</f>
        <v>#N/A</v>
      </c>
      <c r="AFW70" s="5797"/>
      <c r="AFX70" s="2781" t="e">
        <f>IF(AFR70=TRUE,AFV70,AFT70)</f>
        <v>#N/A</v>
      </c>
      <c r="AFY70" s="5797"/>
      <c r="AFZ70" s="184"/>
      <c r="AGA70" s="5797"/>
      <c r="AGB70" s="5797"/>
      <c r="AGC70" s="5797"/>
      <c r="AGD70" s="2782" t="str">
        <f>IF(AFR70=FALSE,1-AFT70,"")</f>
        <v/>
      </c>
      <c r="AGE70" s="5797"/>
      <c r="AGF70" s="3547" t="e">
        <f>INDEX(klasseqty_bergbånd[tilleggs_bergbånd_festebolter_gt4_a],MATCH($AI$79,klasseqty_bergbånd[Type_size],0))</f>
        <v>#N/A</v>
      </c>
      <c r="AGG70" s="5797"/>
      <c r="AGH70" s="2781" t="e">
        <f>IF(AFR70=TRUE,AGF70,AGD70)</f>
        <v>#N/A</v>
      </c>
      <c r="AGI70" s="5799"/>
      <c r="AGJ70" s="5152"/>
      <c r="AGK70" s="5152"/>
      <c r="AGL70" s="5152"/>
      <c r="AGM70" s="5152"/>
      <c r="AGN70" s="2622"/>
      <c r="AGO70" s="5800" t="b">
        <v>1</v>
      </c>
      <c r="AGP70" s="5797"/>
      <c r="AGQ70" s="2983">
        <f>'!Egen_SK'!$X$277</f>
        <v>0</v>
      </c>
      <c r="AGR70" s="5797"/>
      <c r="AGS70" s="3011" t="e">
        <f>INDEX(klasseqty_nett[nett_hypp_a],MATCH($AI$79,klasseqty_nett[Type_size],0))</f>
        <v>#N/A</v>
      </c>
      <c r="AGT70" s="5797"/>
      <c r="AGU70" s="3376" t="e">
        <f t="shared" ref="AGU70:AGU77" si="275">IF(AGO70=TRUE,AGS70,AGQ70)</f>
        <v>#N/A</v>
      </c>
      <c r="AGV70" s="5152"/>
      <c r="AGW70" s="5800" t="b">
        <v>1</v>
      </c>
      <c r="AGX70" s="5797"/>
      <c r="AGY70" s="2983">
        <f>'!Egen_SK'!$X$284</f>
        <v>0</v>
      </c>
      <c r="AGZ70" s="5797"/>
      <c r="AHA70" s="3011" t="e">
        <f>INDEX(klasseqty_nett[nett_festebolter_avstand_a],MATCH($AI$79,klasseqty_nett[Type_size],0))</f>
        <v>#N/A</v>
      </c>
      <c r="AHB70" s="5797"/>
      <c r="AHC70" s="3376" t="e">
        <f t="shared" ref="AHC70:AHC77" si="276">IF(AGW70=TRUE,AHA70,AGY70)</f>
        <v>#N/A</v>
      </c>
      <c r="AHD70" s="5152"/>
      <c r="AHF70" s="5800" t="b">
        <v>1</v>
      </c>
      <c r="AHG70" s="5797"/>
      <c r="AHH70" s="2983">
        <f>'!Egen_SK'!$X$291</f>
        <v>0</v>
      </c>
      <c r="AHI70" s="5797"/>
      <c r="AHJ70" s="3011" t="e">
        <f>INDEX(klasseqty_nett[nett_sprøytebetong_tykkelse_a],MATCH($AI$79,klasseqty_nett[Type_size],0))</f>
        <v>#N/A</v>
      </c>
      <c r="AHK70" s="5797"/>
      <c r="AHL70" s="3376" t="e">
        <f t="shared" ref="AHL70:AHL77" si="277">IF(AHF70=TRUE,AHJ70,AHH70)</f>
        <v>#N/A</v>
      </c>
      <c r="AHP70" s="5800"/>
      <c r="AHQ70" s="5797" t="b">
        <v>1</v>
      </c>
      <c r="AHR70" s="5797"/>
      <c r="AHS70" s="2983">
        <f>'!Egen_SK'!$X$129</f>
        <v>0</v>
      </c>
      <c r="AHT70" s="5797"/>
      <c r="AHU70" s="3624" t="e">
        <f>INDEX(klasseqty_sprøyte[veder_tykkelse_a],MATCH($AI$79,klasseqty_sprøyte[Type_size],0))</f>
        <v>#N/A</v>
      </c>
      <c r="AHV70" s="5797"/>
      <c r="AHW70" s="2775" t="e">
        <f t="shared" ref="AHW70:AHW77" si="278">IF(AHQ70=TRUE,AHU70,AHS70)</f>
        <v>#N/A</v>
      </c>
      <c r="AHX70" s="3709"/>
      <c r="AHY70" s="2622"/>
      <c r="AHZ70" s="5800"/>
      <c r="AIA70" s="5797" t="b">
        <v>1</v>
      </c>
      <c r="AIB70" s="5797"/>
      <c r="AIC70" s="2983">
        <f>'!Egen_SK'!$X$136</f>
        <v>0</v>
      </c>
      <c r="AID70" s="5797"/>
      <c r="AIE70" s="3624" t="e">
        <f>INDEX(klasseqty_sprøyte[vegg_tykkelse_a],MATCH($AI$79,klasseqty_sprøyte[Type_size],0))</f>
        <v>#N/A</v>
      </c>
      <c r="AIF70" s="5797"/>
      <c r="AIG70" s="2775" t="e">
        <f t="shared" ref="AIG70:AIG77" si="279">IF(AIA70=TRUE,AIE70,AIC70)</f>
        <v>#N/A</v>
      </c>
      <c r="AIH70" s="3709"/>
      <c r="AII70" s="184"/>
      <c r="AIJ70" s="3811"/>
      <c r="AIK70" s="5797" t="b">
        <v>1</v>
      </c>
      <c r="AIL70" s="5797"/>
      <c r="AIM70" s="2983">
        <f>'!Egen_SK'!$X$143</f>
        <v>0</v>
      </c>
      <c r="AIN70" s="5797"/>
      <c r="AIO70" s="3011" t="e">
        <f>INDEX(klasseqty_sprøyte[ruhetfaktor_a],MATCH($AI$79,klasseqty_sprøyte[Type_size],0))</f>
        <v>#N/A</v>
      </c>
      <c r="AIP70" s="5797"/>
      <c r="AIQ70" s="2775" t="e">
        <f t="shared" ref="AIQ70:AIQ77" si="280">IF(AIK70=TRUE,AIO70,AIM70)</f>
        <v>#N/A</v>
      </c>
      <c r="AIR70" s="3753"/>
      <c r="AIS70" s="2622"/>
      <c r="AIT70" s="5800"/>
      <c r="AIU70" s="5797" t="b">
        <v>1</v>
      </c>
      <c r="AIV70" s="5797"/>
      <c r="AIW70" s="3319">
        <f>'!Egen_SK'!$X$193</f>
        <v>0</v>
      </c>
      <c r="AIX70" s="5797"/>
      <c r="AIY70" s="2773" t="e">
        <f>INDEX(klasseqty_buer[dimensjon_a],MATCH($AI$79,klasseqty_buer[Type_size],0))</f>
        <v>#N/A</v>
      </c>
      <c r="AIZ70" s="5797"/>
      <c r="AJA70" s="2775" t="e">
        <f t="shared" ref="AJA70:AJA77" si="281">IF(AIU70=TRUE,AIY70,AIW70)</f>
        <v>#N/A</v>
      </c>
      <c r="AJB70" s="5797"/>
      <c r="AJC70" s="5797" t="b">
        <v>1</v>
      </c>
      <c r="AJD70" s="5797"/>
      <c r="AJE70" s="2782">
        <f>'!Egen_SK'!$X$198</f>
        <v>0</v>
      </c>
      <c r="AJF70" s="5797"/>
      <c r="AJG70" s="3547" t="e">
        <f>INDEX(klasseqty_buer[andel_a],MATCH($AI$79,klasseqty_buer[Type_size],0))</f>
        <v>#N/A</v>
      </c>
      <c r="AJH70" s="5797"/>
      <c r="AJI70" s="4140" t="e">
        <f t="shared" ref="AJI70:AJI77" si="282">IF(AJC70=TRUE,AJG70,AJE70)</f>
        <v>#N/A</v>
      </c>
      <c r="AJJ70" s="5797"/>
      <c r="AJK70" s="5797" t="b">
        <v>1</v>
      </c>
      <c r="AJL70" s="5797"/>
      <c r="AJM70" s="2983">
        <f>'!Egen_SK'!$X$202</f>
        <v>0</v>
      </c>
      <c r="AJN70" s="5797"/>
      <c r="AJO70" s="3011" t="e">
        <f>INDEX(klasseqty_buer[bue_senteravstand_a],MATCH($AI$79,klasseqty_buer[Type_size],0))</f>
        <v>#N/A</v>
      </c>
      <c r="AJP70" s="5797"/>
      <c r="AJQ70" s="2775" t="e">
        <f t="shared" ref="AJQ70:AJQ77" si="283">IF(AJK70=TRUE,AJO70,AJM70)</f>
        <v>#N/A</v>
      </c>
      <c r="AJR70" s="5797"/>
      <c r="AJS70" s="5797" t="b">
        <v>1</v>
      </c>
      <c r="AJT70" s="5797"/>
      <c r="AJU70" s="2983">
        <f>'!Egen_SK'!$X$206</f>
        <v>0</v>
      </c>
      <c r="AJV70" s="5797"/>
      <c r="AJW70" s="3011" t="e">
        <f>INDEX(klasseqty_buer[utvidelse_a],MATCH($AI$79,klasseqty_buer[Type_size],0))</f>
        <v>#N/A</v>
      </c>
      <c r="AJX70" s="5797"/>
      <c r="AJY70" s="2775" t="e">
        <f t="shared" ref="AJY70:AJY77" si="284">IF(AJS70=TRUE,AJW70,AJU70)</f>
        <v>#N/A</v>
      </c>
      <c r="AJZ70" s="5799"/>
      <c r="AKA70" s="5797"/>
      <c r="AKB70" s="5797"/>
      <c r="AKC70" s="5797"/>
      <c r="AKD70" s="5800"/>
      <c r="AKE70" s="5797" t="b">
        <v>1</v>
      </c>
      <c r="AKF70" s="5797"/>
      <c r="AKG70" s="2983">
        <f>'!Egen_SK'!$X$213</f>
        <v>0</v>
      </c>
      <c r="AKH70" s="5797"/>
      <c r="AKI70" s="3011" t="e">
        <f>INDEX(klasseqty_buer[radiellebolter_senteravstand_a],MATCH($AI$79,klasseqty_buer[Type_size],0))</f>
        <v>#N/A</v>
      </c>
      <c r="AKJ70" s="5797"/>
      <c r="AKK70" s="2775" t="e">
        <f t="shared" ref="AKK70:AKK77" si="285">IF(AKE70=TRUE,AKI70,AKG70)</f>
        <v>#N/A</v>
      </c>
      <c r="AKL70" s="5797"/>
      <c r="AKM70" s="5797" t="b">
        <v>1</v>
      </c>
      <c r="AKN70" s="5797"/>
      <c r="AKO70" s="3712">
        <f>'!Egen_SK'!$X$217</f>
        <v>0</v>
      </c>
      <c r="AKP70" s="5797"/>
      <c r="AKQ70" s="3547" t="e">
        <f>INDEX(klasseqty_buer[radiellebolter_lt4_a],MATCH($AI$79,klasseqty_buer[Type_size],0))</f>
        <v>#N/A</v>
      </c>
      <c r="AKR70" s="5797"/>
      <c r="AKS70" s="2781" t="e">
        <f>IF(AKM70=TRUE,AKQ70,AKO70)</f>
        <v>#N/A</v>
      </c>
      <c r="AKT70" s="5797"/>
      <c r="AKU70" s="184"/>
      <c r="AKV70" s="5797"/>
      <c r="AKW70" s="5797"/>
      <c r="AKX70" s="2782" t="str">
        <f>IF(AKM70=FALSE,1-AKO70,"")</f>
        <v/>
      </c>
      <c r="AKY70" s="5797"/>
      <c r="AKZ70" s="3547" t="e">
        <f>INDEX(klasseqty_buer[radiellebolter_gt4_a],MATCH($AI$79,klasseqty_buer[Type_size],0))</f>
        <v>#N/A</v>
      </c>
      <c r="ALA70" s="5797"/>
      <c r="ALB70" s="3368" t="e">
        <f>IF(AKM70=TRUE,AKZ70,AKX70)</f>
        <v>#N/A</v>
      </c>
      <c r="ALC70" s="3643"/>
      <c r="ALD70" s="5800"/>
      <c r="ALE70" s="5797" t="b">
        <v>1</v>
      </c>
      <c r="ALF70" s="5797"/>
      <c r="ALG70" s="2983">
        <f>'!Egen_SK'!$X$226</f>
        <v>0</v>
      </c>
      <c r="ALH70" s="5797"/>
      <c r="ALI70" s="3011" t="e">
        <f>INDEX(klasseqty_buer[tillegs-sprøytebetong_a],MATCH($AI$79,klasseqty_buer[Type_size],0))</f>
        <v>#N/A</v>
      </c>
      <c r="ALJ70" s="5797"/>
      <c r="ALK70" s="2775" t="e">
        <f t="shared" ref="ALK70:ALK77" si="286">IF(ALE70=TRUE,ALI70,ALG70)</f>
        <v>#N/A</v>
      </c>
      <c r="ALL70" s="3753"/>
      <c r="ALM70" s="2737"/>
      <c r="ALN70" s="5800"/>
      <c r="ALO70" s="5797" t="b">
        <v>1</v>
      </c>
      <c r="ALP70" s="5797"/>
      <c r="ALQ70" s="3715">
        <f>'!Egen_SK'!$X$233</f>
        <v>0</v>
      </c>
      <c r="ALR70" s="5797"/>
      <c r="ALS70" s="3717" t="e">
        <f>INDEX(klasseqty_buer[forankring_a],MATCH($AI$79,klasseqty_buer[Type_size],0))</f>
        <v>#N/A</v>
      </c>
      <c r="ALT70" s="5797"/>
      <c r="ALU70" s="3719" t="e">
        <f t="shared" ref="ALU70:ALU77" si="287">IF(ALO70=TRUE,ALS70,ALQ70)</f>
        <v>#N/A</v>
      </c>
      <c r="ALV70" s="5797"/>
      <c r="ALW70" s="5797"/>
      <c r="ALX70" s="5797" t="b">
        <v>1</v>
      </c>
      <c r="ALY70" s="5797"/>
      <c r="ALZ70" s="2782">
        <f>'!Egen_SK'!$X$237</f>
        <v>0</v>
      </c>
      <c r="AMA70" s="5797"/>
      <c r="AMB70" s="3547" t="e">
        <f>INDEX(klasseqty_buer[forankring_lt4_a],MATCH($AI$79,klasseqty_buer[Type_size],0))</f>
        <v>#N/A</v>
      </c>
      <c r="AMC70" s="5797"/>
      <c r="AMD70" s="2781" t="e">
        <f>IF(ALX70=TRUE,AMB70,ALZ70)</f>
        <v>#N/A</v>
      </c>
      <c r="AME70" s="5797"/>
      <c r="AMF70" s="184"/>
      <c r="AMG70" s="5797"/>
      <c r="AMH70" s="5797"/>
      <c r="AMI70" s="2782" t="str">
        <f>IF(ALX70=FALSE,1-ALZ70,"")</f>
        <v/>
      </c>
      <c r="AMJ70" s="5797"/>
      <c r="AMK70" s="3547" t="e">
        <f>INDEX(klasseqty_buer[forankring_gt4_a],MATCH($AI$79,klasseqty_buer[Type_size],0))</f>
        <v>#N/A</v>
      </c>
      <c r="AML70" s="5797"/>
      <c r="AMM70" s="3368" t="e">
        <f>IF(ALX70=TRUE,AMK70,AMI70)</f>
        <v>#N/A</v>
      </c>
      <c r="AMN70" s="5548"/>
      <c r="AMO70" s="5548"/>
      <c r="AMP70" s="5548"/>
      <c r="AMQ70" s="5548"/>
      <c r="AMR70" s="5548"/>
      <c r="AMS70" s="5548"/>
      <c r="AMT70" s="5548"/>
      <c r="AMU70" s="5548"/>
      <c r="AMV70" s="5548"/>
      <c r="AMW70" s="5548"/>
      <c r="AMX70" s="5548"/>
      <c r="AMY70" s="5548"/>
      <c r="AMZ70" s="5548"/>
      <c r="ANA70" s="5548"/>
      <c r="ANB70" s="5548"/>
      <c r="ANC70" s="5548"/>
      <c r="AND70" s="5548"/>
      <c r="ANE70" s="5548"/>
      <c r="ANF70" s="5548"/>
      <c r="ANG70" s="5548"/>
      <c r="ANH70" s="5548"/>
      <c r="ANI70" s="5548"/>
      <c r="ANJ70" s="5548"/>
      <c r="ANK70" s="5548"/>
      <c r="ANL70" s="5548"/>
      <c r="ANM70" s="5548"/>
      <c r="ANN70" s="5548"/>
      <c r="ANO70" s="5548"/>
      <c r="ANP70" s="5548"/>
      <c r="ANQ70" s="5548"/>
      <c r="ANR70" s="5548"/>
      <c r="ANS70" s="5548"/>
      <c r="ANT70" s="5548"/>
      <c r="ANU70" s="5548"/>
      <c r="ANV70" s="5548"/>
      <c r="ANW70" s="5548"/>
      <c r="ANX70" s="5548"/>
      <c r="ANY70" s="5548"/>
      <c r="ANZ70" s="5548"/>
      <c r="AOA70" s="5548"/>
      <c r="AOB70" s="5548"/>
      <c r="AOC70" s="5548"/>
      <c r="AOD70" s="5548"/>
      <c r="AOE70" s="5548"/>
      <c r="AOF70" s="5548"/>
      <c r="AOG70" s="5548"/>
      <c r="AOH70" s="5548"/>
      <c r="AOI70" s="5548"/>
      <c r="AOJ70" s="5548"/>
      <c r="AOK70" s="5548"/>
      <c r="AOL70" s="5548"/>
      <c r="AOM70" s="5548"/>
      <c r="AOO70" s="5800"/>
      <c r="AOP70" s="5797" t="b">
        <v>1</v>
      </c>
      <c r="AOQ70" s="5797"/>
      <c r="AOR70" s="2983">
        <f>'!Egen_SK'!$X$157</f>
        <v>1</v>
      </c>
      <c r="AOS70" s="5797"/>
      <c r="AOT70" s="3547" t="e">
        <f>INDEX(klasseqty_forbolting[andel_av_tunnelklasse_a],MATCH($AI$79,klasseqty_forbolting[Type_size],0))</f>
        <v>#N/A</v>
      </c>
      <c r="AOU70" s="5797"/>
      <c r="AOV70" s="4140" t="e">
        <f t="shared" ref="AOV70:AOV77" si="288">IF(AOP70=TRUE,AOT70,AOR70)</f>
        <v>#N/A</v>
      </c>
      <c r="AOW70" s="5797"/>
      <c r="AOX70" s="5797"/>
      <c r="AOY70" s="5797" t="b">
        <v>1</v>
      </c>
      <c r="AOZ70" s="5797"/>
      <c r="APA70" s="2983" t="str">
        <f>IF(AOP70=FALSE,1,"")</f>
        <v/>
      </c>
      <c r="APB70" s="5797"/>
      <c r="APC70" s="3624" t="e">
        <f>INDEX(klasseqty_forbolting[andel_av_tunnelklasse_a],MATCH($AI$79,klasseqty_forbolting[Type_size],0))</f>
        <v>#N/A</v>
      </c>
      <c r="APD70" s="5797"/>
      <c r="APE70" s="5165" t="e">
        <f t="shared" ref="APE70:APE77" si="289">IF(AOY70=TRUE,APC70,APA70)</f>
        <v>#N/A</v>
      </c>
      <c r="APF70" s="5797"/>
      <c r="APG70" s="5797" t="b">
        <v>1</v>
      </c>
      <c r="APH70" s="5797"/>
      <c r="API70" s="2983">
        <f>'!Egen_SK'!$X$152</f>
        <v>0</v>
      </c>
      <c r="APJ70" s="5797"/>
      <c r="APK70" s="3011" t="e">
        <f>INDEX(klasseqty_forbolting[bueområde_a],MATCH($AI$79,klasseqty_forbolting[Type_size],0))</f>
        <v>#N/A</v>
      </c>
      <c r="APL70" s="5797"/>
      <c r="APM70" s="2775" t="e">
        <f t="shared" ref="APM70:APM77" si="290">IF(APG70=TRUE,APK70,API70)</f>
        <v>#N/A</v>
      </c>
      <c r="APN70" s="5797"/>
      <c r="APO70" s="5797" t="b">
        <v>1</v>
      </c>
      <c r="APP70" s="5797"/>
      <c r="APQ70" s="2983">
        <f>'!Egen_SK'!$X$165</f>
        <v>5</v>
      </c>
      <c r="APR70" s="5797"/>
      <c r="APS70" s="3011" t="e">
        <f>INDEX(klasseqty_forbolting[forbolting_senteravstand_a],MATCH($AI$79,klasseqty_forbolting[Type_size],0))</f>
        <v>#N/A</v>
      </c>
      <c r="APT70" s="5797"/>
      <c r="APU70" s="2775" t="e">
        <f t="shared" ref="APU70:APU77" si="291">IF(APO70=TRUE,APS70,APQ70)</f>
        <v>#N/A</v>
      </c>
      <c r="APV70" s="5797"/>
      <c r="APW70" s="5797" t="b">
        <v>1</v>
      </c>
      <c r="APX70" s="5797"/>
      <c r="APY70" s="3712">
        <f>'!Egen_SK'!$X$169</f>
        <v>1</v>
      </c>
      <c r="APZ70" s="5797"/>
      <c r="AQA70" s="3547" t="e">
        <f>INDEX(klasseqty_forbolting[forbolting_lt4_a],MATCH($AI$79,klasseqty_forbolting[Type_size],0))</f>
        <v>#N/A</v>
      </c>
      <c r="AQB70" s="5797"/>
      <c r="AQC70" s="2781" t="e">
        <f>IF(APW70=TRUE,AQA70,APY70)</f>
        <v>#N/A</v>
      </c>
      <c r="AQD70" s="5797"/>
      <c r="AQE70" s="184"/>
      <c r="AQF70" s="5797"/>
      <c r="AQG70" s="5797"/>
      <c r="AQH70" s="2782" t="str">
        <f>IF(APW70=FALSE,1-APY70,"")</f>
        <v/>
      </c>
      <c r="AQI70" s="5797"/>
      <c r="AQJ70" s="3547" t="e">
        <f>INDEX(klasseqty_forbolting[forbolting_gt4_a],MATCH($AI$79,klasseqty_forbolting[Type_size],0))</f>
        <v>#N/A</v>
      </c>
      <c r="AQK70" s="5797"/>
      <c r="AQL70" s="3368" t="e">
        <f>IF(APW70=TRUE,AQJ70,AQH70)</f>
        <v>#N/A</v>
      </c>
      <c r="AQN70" s="5800"/>
      <c r="AQO70" s="5797" t="b">
        <v>1</v>
      </c>
      <c r="AQP70" s="5797"/>
      <c r="AQQ70" s="2983">
        <f>'!Egen_SK'!$X$178</f>
        <v>0</v>
      </c>
      <c r="AQR70" s="5797"/>
      <c r="AQS70" s="3011" t="e">
        <f>INDEX(klasseqty_forbolting[oppheng_senteravstand_a],MATCH($AI$79,klasseqty_forbolting[Type_size],0))</f>
        <v>#N/A</v>
      </c>
      <c r="AQT70" s="5797"/>
      <c r="AQU70" s="2775" t="e">
        <f t="shared" ref="AQU70:AQU77" si="292">IF(AQO70=TRUE,AQS70,AQQ70)</f>
        <v>#N/A</v>
      </c>
      <c r="AQV70" s="5797"/>
      <c r="AQW70" s="5797" t="b">
        <v>1</v>
      </c>
      <c r="AQX70" s="5797"/>
      <c r="AQY70" s="3712">
        <f>'!Egen_SK'!$X$182</f>
        <v>0</v>
      </c>
      <c r="AQZ70" s="5797"/>
      <c r="ARA70" s="3547" t="e">
        <f>INDEX(klasseqty_forbolting[oppheng_lt4_a],MATCH($AI$79,klasseqty_forbolting[Type_size],0))</f>
        <v>#N/A</v>
      </c>
      <c r="ARB70" s="5797"/>
      <c r="ARC70" s="2781" t="e">
        <f>IF(AQW70=TRUE,ARA70,AQY70)</f>
        <v>#N/A</v>
      </c>
      <c r="ARD70" s="5797"/>
      <c r="ARE70" s="184"/>
      <c r="ARF70" s="5797"/>
      <c r="ARG70" s="5797"/>
      <c r="ARH70" s="2782" t="str">
        <f>IF(AQW70=FALSE,1-AQY70,"")</f>
        <v/>
      </c>
      <c r="ARI70" s="5797"/>
      <c r="ARJ70" s="3547" t="e">
        <f>INDEX(klasseqty_forbolting[oppheng_gt4_a],MATCH($AI$79,klasseqty_forbolting[Type_size],0))</f>
        <v>#N/A</v>
      </c>
      <c r="ARK70" s="5797"/>
      <c r="ARL70" s="3368" t="e">
        <f>IF(AQW70=TRUE,ARJ70,ARH70)</f>
        <v>#N/A</v>
      </c>
      <c r="ART70" s="5800" t="b">
        <v>1</v>
      </c>
      <c r="ARU70" s="5797"/>
      <c r="ARV70" s="3712">
        <f>'!Egen_SK'!$X$312</f>
        <v>0</v>
      </c>
      <c r="ARW70" s="5797"/>
      <c r="ARX70" s="3624" t="e">
        <f>INDEX(klasseqty_sik1234[sikringsstøp_hypp_a],MATCH($AI$79,klasseqty_sik1234[Type_size],0))</f>
        <v>#N/A</v>
      </c>
      <c r="ARY70" s="5797"/>
      <c r="ARZ70" s="2775" t="e">
        <f t="shared" ref="ARZ70:ARZ77" si="293">IF(ART70=TRUE,ARX70,ARV70)</f>
        <v>#N/A</v>
      </c>
      <c r="ASA70" s="184"/>
      <c r="ASB70" s="5797" t="b">
        <v>1</v>
      </c>
      <c r="ASC70" s="5797"/>
      <c r="ASD70" s="2983">
        <f>'!Egen_SK'!$X$316</f>
        <v>0</v>
      </c>
      <c r="ASE70" s="5797"/>
      <c r="ASF70" s="3547" t="e">
        <f>INDEX(klasseqty_sik1234[sikringsstøp_123_a],MATCH($AI$79,klasseqty_sik1234[Type_size],0))</f>
        <v>#N/A</v>
      </c>
      <c r="ASG70" s="5797"/>
      <c r="ASH70" s="2781" t="e">
        <f>IF(ASB70=TRUE,ASF70,ASD70)</f>
        <v>#N/A</v>
      </c>
      <c r="ASI70" s="5797"/>
      <c r="ASJ70" s="184"/>
      <c r="ASK70" s="5797"/>
      <c r="ASL70" s="5797"/>
      <c r="ASM70" s="2782" t="str">
        <f>IF(ASB70=FALSE,1-ASD70,"")</f>
        <v/>
      </c>
      <c r="ASN70" s="5797"/>
      <c r="ASO70" s="3547" t="e">
        <f>INDEX(klasseqty_sik1234[sikringsstøp_4_a],MATCH($AI$79,klasseqty_sik1234[Type_size],0))</f>
        <v>#N/A</v>
      </c>
      <c r="ASP70" s="5797"/>
      <c r="ASQ70" s="3368" t="e">
        <f>IF(ASB70=TRUE,ASO70,ASM70)</f>
        <v>#N/A</v>
      </c>
      <c r="ASR70" s="2737"/>
      <c r="ASS70" s="2737"/>
      <c r="ATA70" s="2622"/>
      <c r="AUU70" s="2617"/>
      <c r="AUV70" s="2627" t="s">
        <v>1323</v>
      </c>
      <c r="AUW70" s="2627"/>
      <c r="AUX70" s="2627"/>
      <c r="AUY70" s="2627"/>
      <c r="AUZ70" s="2627"/>
      <c r="AVA70" s="2617"/>
      <c r="AVB70" s="2617"/>
      <c r="AVC70" s="2617"/>
      <c r="AVD70" s="2617"/>
      <c r="AVE70" s="2617"/>
      <c r="AVF70" s="2617"/>
      <c r="AVG70" s="2617"/>
      <c r="AVH70" s="2617"/>
      <c r="AVI70" s="2617"/>
      <c r="AVJ70" s="2617"/>
      <c r="AVK70" s="2617"/>
      <c r="AVL70" s="2617"/>
      <c r="AVM70" s="2617"/>
      <c r="AVN70" s="2617"/>
      <c r="AVO70" s="2617"/>
      <c r="AVP70" s="2617"/>
      <c r="AVQ70" s="2617"/>
      <c r="AVR70" s="2617"/>
      <c r="AVS70" s="2617"/>
      <c r="AVT70" s="2617"/>
      <c r="AVU70" s="2617"/>
      <c r="AVV70" s="2617"/>
      <c r="AVW70" s="2617"/>
      <c r="AVX70" s="2617"/>
      <c r="AVY70" s="2617"/>
      <c r="AVZ70" s="2617"/>
      <c r="AWA70" s="2617"/>
      <c r="AWB70" s="2617"/>
      <c r="AWC70" s="2617"/>
      <c r="AWD70" s="2617"/>
      <c r="AWE70" s="2617"/>
      <c r="AWF70" s="2617"/>
      <c r="AWG70" s="2617"/>
      <c r="AWH70" s="2617"/>
      <c r="AWI70" s="2617"/>
      <c r="AWJ70" s="2617"/>
      <c r="AWK70" s="2617"/>
      <c r="AWL70" s="2617"/>
      <c r="AWM70" s="2617"/>
      <c r="AWN70" s="2617"/>
      <c r="AWO70" s="2617"/>
      <c r="AWP70" s="2617"/>
      <c r="AWQ70" s="2617"/>
      <c r="AWR70" s="2617"/>
      <c r="AWS70" s="2617"/>
      <c r="AWT70" s="2617"/>
      <c r="AWU70" s="2617"/>
      <c r="AWV70" s="2617"/>
      <c r="AWW70" s="2617"/>
      <c r="AWX70" s="2617"/>
      <c r="AWY70" s="2617"/>
      <c r="AWZ70" s="2617"/>
      <c r="AXA70" s="2617"/>
      <c r="AXB70" s="2617"/>
      <c r="AXC70" s="2617"/>
      <c r="AXD70" s="2617"/>
      <c r="AXE70" s="2617"/>
      <c r="AXF70" s="2617"/>
      <c r="AXG70" s="2617"/>
      <c r="AXH70" s="2617"/>
      <c r="AXI70" s="2617"/>
      <c r="AXJ70" s="2617"/>
      <c r="AXK70" s="2617"/>
      <c r="BFE70" s="3398"/>
    </row>
    <row r="71" spans="1:1513" x14ac:dyDescent="0.2">
      <c r="AH71" s="4256" t="s">
        <v>1540</v>
      </c>
      <c r="AI71" s="4256"/>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c r="FT71" s="181"/>
      <c r="FU71" s="181"/>
      <c r="FV71" s="181"/>
      <c r="FW71" s="181"/>
      <c r="FX71" s="181"/>
      <c r="FY71" s="181"/>
      <c r="FZ71" s="181"/>
      <c r="GA71" s="181"/>
      <c r="GB71" s="181"/>
      <c r="GC71" s="181"/>
      <c r="GD71" s="181"/>
      <c r="GE71" s="181"/>
      <c r="GF71" s="181"/>
      <c r="GG71" s="181"/>
      <c r="GH71" s="181"/>
      <c r="GI71" s="181"/>
      <c r="GJ71" s="181"/>
      <c r="GK71" s="181"/>
      <c r="GL71" s="181"/>
      <c r="GM71" s="181"/>
      <c r="GN71" s="181"/>
      <c r="GO71" s="181"/>
      <c r="GP71" s="181"/>
      <c r="GQ71" s="181"/>
      <c r="GR71" s="181"/>
      <c r="GS71" s="181"/>
      <c r="GT71" s="181"/>
      <c r="GU71" s="181"/>
      <c r="GV71" s="181"/>
      <c r="GW71" s="181"/>
      <c r="GX71" s="181"/>
      <c r="GY71" s="181"/>
      <c r="GZ71" s="181"/>
      <c r="HA71" s="181"/>
      <c r="HB71" s="181"/>
      <c r="HC71" s="181"/>
      <c r="HD71" s="181"/>
      <c r="HE71" s="181"/>
      <c r="HF71" s="181"/>
      <c r="HG71" s="181"/>
      <c r="HH71" s="181"/>
      <c r="HI71" s="181"/>
      <c r="HJ71" s="181"/>
      <c r="HK71" s="181"/>
      <c r="HL71" s="181"/>
      <c r="HM71" s="181"/>
      <c r="HN71" s="181"/>
      <c r="HO71" s="181"/>
      <c r="HP71" s="181"/>
      <c r="HQ71" s="181"/>
      <c r="LF71" s="181"/>
      <c r="LG71" s="181"/>
      <c r="LH71" s="181"/>
      <c r="LI71" s="181"/>
      <c r="LJ71" s="181"/>
      <c r="LK71" s="181"/>
      <c r="LL71" s="181"/>
      <c r="LM71" s="181"/>
      <c r="LN71" s="181"/>
      <c r="LO71" s="181"/>
      <c r="LP71" s="181"/>
      <c r="LQ71" s="181"/>
      <c r="LR71" s="181"/>
      <c r="LS71" s="181"/>
      <c r="LT71" s="181"/>
      <c r="LU71" s="181"/>
      <c r="LV71" s="181"/>
      <c r="LW71" s="181"/>
      <c r="LX71" s="181"/>
      <c r="LY71" s="181"/>
      <c r="LZ71" s="181"/>
      <c r="MA71" s="181"/>
      <c r="MB71" s="181"/>
      <c r="MC71" s="181"/>
      <c r="MD71" s="181"/>
      <c r="ME71" s="181"/>
      <c r="MF71" s="181"/>
      <c r="MG71" s="181"/>
      <c r="MH71" s="181"/>
      <c r="MI71" s="181"/>
      <c r="MJ71" s="181"/>
      <c r="MK71" s="181"/>
      <c r="ML71" s="181"/>
      <c r="MM71" s="181"/>
      <c r="MN71" s="181"/>
      <c r="MO71" s="181"/>
      <c r="MP71" s="181"/>
      <c r="MQ71" s="181"/>
      <c r="MR71" s="181"/>
      <c r="MS71" s="181"/>
      <c r="MT71" s="181"/>
      <c r="MU71" s="181"/>
      <c r="MV71" s="181"/>
      <c r="MW71" s="181"/>
      <c r="MX71" s="181"/>
      <c r="MY71" s="181"/>
      <c r="MZ71" s="181"/>
      <c r="NA71" s="181"/>
      <c r="NB71" s="181"/>
      <c r="NC71" s="181"/>
      <c r="ND71" s="181"/>
      <c r="NE71" s="181"/>
      <c r="NF71" s="181"/>
      <c r="NG71" s="181"/>
      <c r="NH71" s="181"/>
      <c r="NI71" s="181"/>
      <c r="NJ71" s="181"/>
      <c r="NK71" s="181"/>
      <c r="NL71" s="181"/>
      <c r="NM71" s="181"/>
      <c r="NN71" s="181"/>
      <c r="NO71" s="181"/>
      <c r="NP71" s="181"/>
      <c r="NQ71" s="181"/>
      <c r="NR71" s="181"/>
      <c r="NS71" s="181"/>
      <c r="NT71" s="181"/>
      <c r="NU71" s="181"/>
      <c r="NV71" s="181"/>
      <c r="NW71" s="181"/>
      <c r="NX71" s="181"/>
      <c r="NY71" s="181"/>
      <c r="NZ71" s="181"/>
      <c r="OA71" s="181"/>
      <c r="OB71" s="181"/>
      <c r="OC71" s="181"/>
      <c r="OD71" s="181"/>
      <c r="OE71" s="181"/>
      <c r="OF71" s="181"/>
      <c r="OG71" s="181"/>
      <c r="OH71" s="181"/>
      <c r="OI71" s="181"/>
      <c r="OJ71" s="181"/>
      <c r="OK71" s="181"/>
      <c r="OL71" s="181"/>
      <c r="OM71" s="181"/>
      <c r="ON71" s="181"/>
      <c r="OO71" s="181"/>
      <c r="OP71" s="181"/>
      <c r="OQ71" s="181"/>
      <c r="OR71" s="181"/>
      <c r="OS71" s="181"/>
      <c r="OT71" s="181"/>
      <c r="OU71" s="181"/>
      <c r="OV71" s="181"/>
      <c r="OW71" s="181"/>
      <c r="OX71" s="181"/>
      <c r="OY71" s="181"/>
      <c r="OZ71" s="181"/>
      <c r="PA71" s="181"/>
      <c r="PB71" s="181"/>
      <c r="PC71" s="181"/>
      <c r="PD71" s="181"/>
      <c r="PE71" s="181"/>
      <c r="PF71" s="181"/>
      <c r="PG71" s="181"/>
      <c r="PH71" s="181"/>
      <c r="PI71" s="181"/>
      <c r="PJ71" s="181"/>
      <c r="PK71" s="181"/>
      <c r="PL71" s="181"/>
      <c r="PM71" s="181"/>
      <c r="PN71" s="181"/>
      <c r="PO71" s="181"/>
      <c r="PP71" s="181"/>
      <c r="PQ71" s="181"/>
      <c r="PR71" s="181"/>
      <c r="PS71" s="181"/>
      <c r="PT71" s="181"/>
      <c r="PU71" s="181"/>
      <c r="PV71" s="181"/>
      <c r="PW71" s="181"/>
      <c r="PX71" s="181"/>
      <c r="PY71" s="181"/>
      <c r="PZ71" s="181"/>
      <c r="QA71" s="181"/>
      <c r="QB71" s="181"/>
      <c r="QC71" s="181"/>
      <c r="QD71" s="181"/>
      <c r="QE71" s="181"/>
      <c r="QF71" s="181"/>
      <c r="QG71" s="181"/>
      <c r="QH71" s="181"/>
      <c r="QI71" s="181"/>
      <c r="QJ71" s="181"/>
      <c r="QK71" s="181"/>
      <c r="QL71" s="181"/>
      <c r="QM71" s="181"/>
      <c r="QN71" s="181"/>
      <c r="QO71" s="181"/>
      <c r="QP71" s="181"/>
      <c r="QQ71" s="181"/>
      <c r="QR71" s="181"/>
      <c r="QS71" s="181"/>
      <c r="QT71" s="181"/>
      <c r="QU71" s="181"/>
      <c r="QV71" s="181"/>
      <c r="QW71" s="181"/>
      <c r="QX71" s="181"/>
      <c r="QY71" s="181"/>
      <c r="QZ71" s="181"/>
      <c r="RA71" s="181"/>
      <c r="RB71" s="181"/>
      <c r="RC71" s="181"/>
      <c r="RD71" s="181"/>
      <c r="RE71" s="181"/>
      <c r="RF71" s="181"/>
      <c r="RG71" s="181"/>
      <c r="RH71" s="181"/>
      <c r="RI71" s="181"/>
      <c r="RJ71" s="181"/>
      <c r="RK71" s="181"/>
      <c r="RL71" s="181"/>
      <c r="RM71" s="181"/>
      <c r="RN71" s="181"/>
      <c r="RO71" s="181"/>
      <c r="RP71" s="181"/>
      <c r="RQ71" s="181"/>
      <c r="RR71" s="181"/>
      <c r="RS71" s="181"/>
      <c r="RT71" s="181"/>
      <c r="RU71" s="181"/>
      <c r="RV71" s="181"/>
      <c r="RW71" s="181"/>
      <c r="RX71" s="181"/>
      <c r="RY71" s="181"/>
      <c r="RZ71" s="181"/>
      <c r="SA71" s="181"/>
      <c r="SB71" s="181"/>
      <c r="SC71" s="181"/>
      <c r="SD71" s="181"/>
      <c r="SE71" s="181"/>
      <c r="SF71" s="181"/>
      <c r="SG71" s="181"/>
      <c r="SH71" s="181"/>
      <c r="SI71" s="181"/>
      <c r="SJ71" s="181"/>
      <c r="SK71" s="181"/>
      <c r="SL71" s="181"/>
      <c r="SM71" s="181"/>
      <c r="SN71" s="181"/>
      <c r="SO71" s="181"/>
      <c r="SP71" s="181"/>
      <c r="SQ71" s="181"/>
      <c r="SR71" s="181"/>
      <c r="SS71" s="181"/>
      <c r="ST71" s="181"/>
      <c r="SU71" s="181"/>
      <c r="SV71" s="181"/>
      <c r="SW71" s="181"/>
      <c r="SX71" s="181"/>
      <c r="SY71" s="181"/>
      <c r="SZ71" s="181"/>
      <c r="TA71" s="181"/>
      <c r="TB71" s="181"/>
      <c r="TC71" s="181"/>
      <c r="TD71" s="181"/>
      <c r="TE71" s="181"/>
      <c r="TF71" s="181"/>
      <c r="TG71" s="181"/>
      <c r="TH71" s="181"/>
      <c r="TI71" s="181"/>
      <c r="TJ71" s="181"/>
      <c r="TK71" s="181"/>
      <c r="TL71" s="181"/>
      <c r="TM71" s="181"/>
      <c r="TN71" s="181"/>
      <c r="TO71" s="181"/>
      <c r="TP71" s="181"/>
      <c r="TQ71" s="181"/>
      <c r="TR71" s="181"/>
      <c r="TS71" s="181"/>
      <c r="TT71" s="181"/>
      <c r="TU71" s="181"/>
      <c r="TV71" s="181"/>
      <c r="TW71" s="181"/>
      <c r="TX71" s="181"/>
      <c r="TY71" s="181"/>
      <c r="TZ71" s="181"/>
      <c r="UA71" s="181"/>
      <c r="UB71" s="181"/>
      <c r="UC71" s="181"/>
      <c r="UD71" s="181"/>
      <c r="UE71" s="181"/>
      <c r="UF71" s="181"/>
      <c r="UG71" s="181"/>
      <c r="UH71" s="181"/>
      <c r="UI71" s="181"/>
      <c r="UJ71" s="181"/>
      <c r="UK71" s="181"/>
      <c r="UL71" s="181"/>
      <c r="UM71" s="181"/>
      <c r="UN71" s="181"/>
      <c r="UO71" s="181"/>
      <c r="UP71" s="181"/>
      <c r="UQ71" s="181"/>
      <c r="UR71" s="181"/>
      <c r="US71" s="181"/>
      <c r="UT71" s="181"/>
      <c r="UU71" s="181"/>
      <c r="UV71" s="181"/>
      <c r="UW71" s="181"/>
      <c r="UX71" s="181"/>
      <c r="UY71" s="181"/>
      <c r="UZ71" s="181"/>
      <c r="VA71" s="181"/>
      <c r="VB71" s="181"/>
      <c r="VC71" s="181"/>
      <c r="VD71" s="181"/>
      <c r="VE71" s="181"/>
      <c r="VF71" s="181"/>
      <c r="VG71" s="181"/>
      <c r="VH71" s="181"/>
      <c r="VI71" s="181"/>
      <c r="VJ71" s="181"/>
      <c r="VK71" s="181"/>
      <c r="VL71" s="181"/>
      <c r="VM71" s="181"/>
      <c r="VN71" s="181"/>
      <c r="VO71" s="181"/>
      <c r="VP71" s="181"/>
      <c r="VQ71" s="181"/>
      <c r="VR71" s="181"/>
      <c r="AAW71" s="372" t="s">
        <v>190</v>
      </c>
      <c r="AAX71" s="372"/>
      <c r="AAY71" s="372" t="s">
        <v>893</v>
      </c>
      <c r="AAZ71" s="184"/>
      <c r="ABA71" s="3811"/>
      <c r="ABB71" s="5797" t="b">
        <v>1</v>
      </c>
      <c r="ABC71" s="5797"/>
      <c r="ABD71" s="2983">
        <f>'!Egen_SK'!$AL$76</f>
        <v>0</v>
      </c>
      <c r="ABE71" s="5797"/>
      <c r="ABF71" s="3624" t="e">
        <f>INDEX(klasse_salve[salve_lengde_b],MATCH($AI$79,klasse_salve[Type_size],0))</f>
        <v>#N/A</v>
      </c>
      <c r="ABG71" s="5797"/>
      <c r="ABH71" s="3010" t="e">
        <f t="shared" ref="ABH71:ABH77" si="294">IF(ABB71=TRUE,ABF71,ABD71)</f>
        <v>#N/A</v>
      </c>
      <c r="ABI71" s="5799"/>
      <c r="ABJ71" s="184"/>
      <c r="ABK71" s="3811"/>
      <c r="ABL71" s="5797" t="b">
        <v>1</v>
      </c>
      <c r="ABM71" s="5797"/>
      <c r="ABN71" s="2983">
        <f>'!Egen_SK'!$AL$85</f>
        <v>0</v>
      </c>
      <c r="ABO71" s="5797"/>
      <c r="ABP71" s="3624" t="e">
        <f>INDEX(klasseqty_rensk[manual_tid_salve_b],MATCH($AI$79,klasseqty_bolting[Type_size],0))</f>
        <v>#N/A</v>
      </c>
      <c r="ABQ71" s="5797"/>
      <c r="ABR71" s="3010" t="e">
        <f t="shared" ref="ABR71:ABR77" si="295">IF(ABL71=TRUE,ABP71,ABN71)</f>
        <v>#N/A</v>
      </c>
      <c r="ABS71" s="5799"/>
      <c r="ABT71" s="184"/>
      <c r="ABU71" s="3811"/>
      <c r="ABV71" s="5797" t="b">
        <v>1</v>
      </c>
      <c r="ABW71" s="5797"/>
      <c r="ABX71" s="2983">
        <f>'!Egen_SK'!$AL$92</f>
        <v>0</v>
      </c>
      <c r="ABY71" s="5797"/>
      <c r="ABZ71" s="3624" t="e">
        <f>INDEX(klasseqty_rensk[inspectiontid_b],MATCH($AI$79,klasseqty_bolting[Type_size],0))</f>
        <v>#N/A</v>
      </c>
      <c r="ACA71" s="5797"/>
      <c r="ACB71" s="3010" t="e">
        <f t="shared" ref="ACB71:ACB77" si="296">IF(ABV71=TRUE,ABZ71,ABX71)</f>
        <v>#N/A</v>
      </c>
      <c r="ACC71" s="5799"/>
      <c r="ACD71" s="5797"/>
      <c r="ACE71" s="5800"/>
      <c r="ACF71" s="5797" t="b">
        <v>1</v>
      </c>
      <c r="ACG71" s="5797"/>
      <c r="ACH71" s="2983">
        <f>'!Egen_SK'!$AL$101</f>
        <v>0</v>
      </c>
      <c r="ACI71" s="5797"/>
      <c r="ACJ71" s="2774" t="e">
        <f>INDEX(klasseqty_bolting[veder_cc_b],MATCH($AI$79,klasseqty_bolting[Type_size],0))</f>
        <v>#N/A</v>
      </c>
      <c r="ACK71" s="5797"/>
      <c r="ACL71" s="2775" t="e">
        <f t="shared" ref="ACL71:ACL77" si="297">IF(ACF71=TRUE,ACJ71,ACH71)</f>
        <v>#N/A</v>
      </c>
      <c r="ACM71" s="5797"/>
      <c r="ACN71" s="184"/>
      <c r="ACO71" s="5797" t="b">
        <v>1</v>
      </c>
      <c r="ACP71" s="5797"/>
      <c r="ACQ71" s="2782">
        <f>'!Egen_SK'!$AL$105</f>
        <v>0</v>
      </c>
      <c r="ACR71" s="5797"/>
      <c r="ACS71" s="3547" t="e">
        <f>INDEX(klasseqty_bolting[veder_length_lt4_b],MATCH($AI$79,klasseqty_bolting[Type_size],0))</f>
        <v>#N/A</v>
      </c>
      <c r="ACT71" s="5797"/>
      <c r="ACU71" s="2781" t="e">
        <f t="shared" ref="ACU71:ACU77" si="298">IF(ACO71=TRUE,ACS71,ACQ71)</f>
        <v>#N/A</v>
      </c>
      <c r="ACV71" s="5797"/>
      <c r="ACW71" s="184"/>
      <c r="ACX71" s="5797"/>
      <c r="ACY71" s="5797"/>
      <c r="ACZ71" s="2782" t="str">
        <f t="shared" ref="ACZ71:ACZ77" si="299">IF(ACO71=FALSE,1-ACQ71,"")</f>
        <v/>
      </c>
      <c r="ADA71" s="5797"/>
      <c r="ADB71" s="3547" t="e">
        <f>INDEX(klasseqty_bolting[veder_length_gt4_b],MATCH($AI$79,klasseqty_bolting[Type_size],0))</f>
        <v>#N/A</v>
      </c>
      <c r="ADC71" s="5797"/>
      <c r="ADD71" s="2781" t="e">
        <f t="shared" ref="ADD71:ADD77" si="300">IF(ACO71=TRUE,ADB71,ACZ71)</f>
        <v>#N/A</v>
      </c>
      <c r="ADE71" s="5809"/>
      <c r="ADF71" s="5797"/>
      <c r="ADG71" s="5800"/>
      <c r="ADH71" s="5797" t="b">
        <v>1</v>
      </c>
      <c r="ADI71" s="5797"/>
      <c r="ADJ71" s="2983">
        <f>'!Egen_SK'!$AL$114</f>
        <v>0</v>
      </c>
      <c r="ADK71" s="5797"/>
      <c r="ADL71" s="2774" t="e">
        <f>INDEX(klasseqty_bolting[vegg_cc_b],MATCH($AI$79,klasseqty_bolting[Type_size],0))</f>
        <v>#N/A</v>
      </c>
      <c r="ADM71" s="5797"/>
      <c r="ADN71" s="2775" t="e">
        <f t="shared" ref="ADN71:ADN77" si="301">IF(ADH71=TRUE,ADL71,ADJ71)</f>
        <v>#N/A</v>
      </c>
      <c r="ADO71" s="5797"/>
      <c r="ADP71" s="184"/>
      <c r="ADQ71" s="5797"/>
      <c r="ADR71" s="5797" t="b">
        <v>1</v>
      </c>
      <c r="ADS71" s="5797"/>
      <c r="ADT71" s="2782">
        <f>'!Egen_SK'!$AL$118</f>
        <v>0</v>
      </c>
      <c r="ADU71" s="5797"/>
      <c r="ADV71" s="3547" t="e">
        <f>INDEX(klasseqty_bolting[vegg_length_lt4_b],MATCH($AI$79,klasseqty_bolting[Type_size],0))</f>
        <v>#N/A</v>
      </c>
      <c r="ADW71" s="5797"/>
      <c r="ADX71" s="2781" t="e">
        <f t="shared" ref="ADX71:ADX77" si="302">IF(ADR71=TRUE,ADV71,ADT71)</f>
        <v>#N/A</v>
      </c>
      <c r="ADY71" s="5797"/>
      <c r="ADZ71" s="5797"/>
      <c r="AEA71" s="5797"/>
      <c r="AEB71" s="2782" t="str">
        <f t="shared" si="270"/>
        <v/>
      </c>
      <c r="AEC71" s="5797"/>
      <c r="AED71" s="3547" t="e">
        <f>INDEX(klasseqty_bolting[vegg_length_gt4_b],MATCH($AI$79,klasseqty_bolting[Type_size],0))</f>
        <v>#N/A</v>
      </c>
      <c r="AEE71" s="5797"/>
      <c r="AEF71" s="2781" t="e">
        <f t="shared" si="271"/>
        <v>#N/A</v>
      </c>
      <c r="AEG71" s="5799"/>
      <c r="AEH71" s="5797"/>
      <c r="AEI71" s="5797"/>
      <c r="AEJ71" s="5797"/>
      <c r="AEK71" s="5797"/>
      <c r="AEL71" s="5797"/>
      <c r="AEM71" s="5797"/>
      <c r="AEN71" s="5797"/>
      <c r="AEO71" s="5797"/>
      <c r="AEP71" s="5797"/>
      <c r="AEQ71" s="5797"/>
      <c r="AER71" s="5797"/>
      <c r="AES71" s="5800"/>
      <c r="AET71" s="5797" t="b">
        <v>1</v>
      </c>
      <c r="AEU71" s="5797"/>
      <c r="AEV71" s="2983">
        <f>'!Egen_SK'!$AL$248</f>
        <v>2</v>
      </c>
      <c r="AEW71" s="5797"/>
      <c r="AEX71" s="2773" t="e">
        <f>INDEX(klasseqty_bergbånd[overlappingsfaktor_b],MATCH($AI$79,klasseqty_bergbånd[Type_size],0))</f>
        <v>#N/A</v>
      </c>
      <c r="AEY71" s="5797"/>
      <c r="AEZ71" s="3376" t="e">
        <f t="shared" si="272"/>
        <v>#N/A</v>
      </c>
      <c r="AFA71" s="5797"/>
      <c r="AFB71" s="5800" t="b">
        <v>1</v>
      </c>
      <c r="AFC71" s="5797"/>
      <c r="AFD71" s="2983">
        <f>'!Egen_SK'!$AL$255</f>
        <v>0</v>
      </c>
      <c r="AFE71" s="5797"/>
      <c r="AFF71" s="2773" t="e">
        <f>INDEX(klasseqty_bergbånd[tilleggs_bergbånd_b],MATCH($AI$79,klasseqty_bergbånd[Type_size],0))</f>
        <v>#N/A</v>
      </c>
      <c r="AFG71" s="5797"/>
      <c r="AFH71" s="3376" t="e">
        <f t="shared" si="273"/>
        <v>#N/A</v>
      </c>
      <c r="AFI71" s="5797"/>
      <c r="AFJ71" s="5800" t="b">
        <v>1</v>
      </c>
      <c r="AFK71" s="5797"/>
      <c r="AFL71" s="2983">
        <f>'!Egen_SK'!$AL$262</f>
        <v>0</v>
      </c>
      <c r="AFM71" s="5797"/>
      <c r="AFN71" s="3011" t="e">
        <f>INDEX(klasseqty_bergbånd[tilleggs_bergbånd_festebolter_senteravstand_b],MATCH($AI$79,klasseqty_bergbånd[Type_size],0))</f>
        <v>#N/A</v>
      </c>
      <c r="AFO71" s="5797"/>
      <c r="AFP71" s="2775" t="e">
        <f t="shared" si="274"/>
        <v>#N/A</v>
      </c>
      <c r="AFQ71" s="5797"/>
      <c r="AFR71" s="5797" t="b">
        <v>1</v>
      </c>
      <c r="AFS71" s="5797"/>
      <c r="AFT71" s="2782">
        <f>'!Egen_SK'!$AL$266</f>
        <v>0</v>
      </c>
      <c r="AFU71" s="5797"/>
      <c r="AFV71" s="3547" t="e">
        <f>INDEX(klasseqty_bergbånd[tilleggs_bergbånd_festebolter_lt4_b],MATCH($AI$79,klasseqty_bergbånd[Type_size],0))</f>
        <v>#N/A</v>
      </c>
      <c r="AFW71" s="5797"/>
      <c r="AFX71" s="2781" t="e">
        <f t="shared" ref="AFX71:AFX77" si="303">IF(AFR71=TRUE,AFV71,AFT71)</f>
        <v>#N/A</v>
      </c>
      <c r="AFY71" s="5797"/>
      <c r="AFZ71" s="184"/>
      <c r="AGA71" s="5797"/>
      <c r="AGB71" s="5797"/>
      <c r="AGC71" s="5797"/>
      <c r="AGD71" s="2782" t="str">
        <f t="shared" ref="AGD71:AGD77" si="304">IF(AFR71=FALSE,1-AFT71,"")</f>
        <v/>
      </c>
      <c r="AGE71" s="5797"/>
      <c r="AGF71" s="3547" t="e">
        <f>INDEX(klasseqty_bergbånd[tilleggs_bergbånd_festebolter_gt4_b],MATCH($AI$79,klasseqty_bergbånd[Type_size],0))</f>
        <v>#N/A</v>
      </c>
      <c r="AGG71" s="5797"/>
      <c r="AGH71" s="2781" t="e">
        <f t="shared" ref="AGH71:AGH77" si="305">IF(AFR71=TRUE,AGF71,AGD71)</f>
        <v>#N/A</v>
      </c>
      <c r="AGI71" s="5799"/>
      <c r="AGJ71" s="5152"/>
      <c r="AGK71" s="5152"/>
      <c r="AGL71" s="5152"/>
      <c r="AGM71" s="5152"/>
      <c r="AGN71" s="2622"/>
      <c r="AGO71" s="5800" t="b">
        <v>1</v>
      </c>
      <c r="AGP71" s="5797"/>
      <c r="AGQ71" s="2983">
        <f>'!Egen_SK'!$AL$277</f>
        <v>0</v>
      </c>
      <c r="AGR71" s="5797"/>
      <c r="AGS71" s="3011" t="e">
        <f>INDEX(klasseqty_nett[nett_hypp_b],MATCH($AI$79,klasseqty_nett[Type_size],0))</f>
        <v>#N/A</v>
      </c>
      <c r="AGT71" s="5797"/>
      <c r="AGU71" s="3376" t="e">
        <f t="shared" si="275"/>
        <v>#N/A</v>
      </c>
      <c r="AGV71" s="5152"/>
      <c r="AGW71" s="5800" t="b">
        <v>1</v>
      </c>
      <c r="AGX71" s="5797"/>
      <c r="AGY71" s="2983">
        <f>'!Egen_SK'!$AL$284</f>
        <v>0</v>
      </c>
      <c r="AGZ71" s="5797"/>
      <c r="AHA71" s="3011" t="e">
        <f>INDEX(klasseqty_nett[nett_festebolter_avstand_b],MATCH($AI$79,klasseqty_nett[Type_size],0))</f>
        <v>#N/A</v>
      </c>
      <c r="AHB71" s="5797"/>
      <c r="AHC71" s="3376" t="e">
        <f t="shared" si="276"/>
        <v>#N/A</v>
      </c>
      <c r="AHD71" s="5152"/>
      <c r="AHF71" s="5800" t="b">
        <v>1</v>
      </c>
      <c r="AHG71" s="5797"/>
      <c r="AHH71" s="2983">
        <f>'!Egen_SK'!$AL$291</f>
        <v>0</v>
      </c>
      <c r="AHI71" s="5797"/>
      <c r="AHJ71" s="3011" t="e">
        <f>INDEX(klasseqty_nett[nett_sprøytebetong_tykkelse_b],MATCH($AI$79,klasseqty_nett[Type_size],0))</f>
        <v>#N/A</v>
      </c>
      <c r="AHK71" s="5797"/>
      <c r="AHL71" s="3376" t="e">
        <f t="shared" si="277"/>
        <v>#N/A</v>
      </c>
      <c r="AHP71" s="5800"/>
      <c r="AHQ71" s="5797" t="b">
        <v>1</v>
      </c>
      <c r="AHR71" s="5797"/>
      <c r="AHS71" s="2983">
        <f>'!Egen_SK'!$AL$129</f>
        <v>0</v>
      </c>
      <c r="AHT71" s="5797"/>
      <c r="AHU71" s="3624" t="e">
        <f>INDEX(klasseqty_sprøyte[veder_tykkelse_b],MATCH($AI$79,klasseqty_sprøyte[Type_size],0))</f>
        <v>#N/A</v>
      </c>
      <c r="AHV71" s="5797"/>
      <c r="AHW71" s="2775" t="e">
        <f t="shared" si="278"/>
        <v>#N/A</v>
      </c>
      <c r="AHX71" s="3709"/>
      <c r="AHY71" s="2622"/>
      <c r="AHZ71" s="5800"/>
      <c r="AIA71" s="5797" t="b">
        <v>1</v>
      </c>
      <c r="AIB71" s="5797"/>
      <c r="AIC71" s="2983">
        <f>'!Egen_SK'!$AL$136</f>
        <v>0</v>
      </c>
      <c r="AID71" s="5797"/>
      <c r="AIE71" s="3624" t="e">
        <f>INDEX(klasseqty_sprøyte[vegg_tykkelse_b],MATCH($AI$79,klasseqty_sprøyte[Type_size],0))</f>
        <v>#N/A</v>
      </c>
      <c r="AIF71" s="5797"/>
      <c r="AIG71" s="2775" t="e">
        <f t="shared" si="279"/>
        <v>#N/A</v>
      </c>
      <c r="AIH71" s="3709"/>
      <c r="AII71" s="184"/>
      <c r="AIJ71" s="3811"/>
      <c r="AIK71" s="5797" t="b">
        <v>1</v>
      </c>
      <c r="AIL71" s="5797"/>
      <c r="AIM71" s="2983">
        <f>'!Egen_SK'!$AL$143</f>
        <v>0</v>
      </c>
      <c r="AIN71" s="5797"/>
      <c r="AIO71" s="3011" t="e">
        <f>INDEX(klasseqty_sprøyte[ruhetfaktor_b],MATCH($AI$79,klasseqty_sprøyte[Type_size],0))</f>
        <v>#N/A</v>
      </c>
      <c r="AIP71" s="5797"/>
      <c r="AIQ71" s="2775" t="e">
        <f t="shared" si="280"/>
        <v>#N/A</v>
      </c>
      <c r="AIR71" s="3753"/>
      <c r="AIS71" s="2622"/>
      <c r="AIT71" s="5800"/>
      <c r="AIU71" s="5797" t="b">
        <v>1</v>
      </c>
      <c r="AIV71" s="5797"/>
      <c r="AIW71" s="3319">
        <f>'!Egen_SK'!$AL$193</f>
        <v>0</v>
      </c>
      <c r="AIX71" s="5797"/>
      <c r="AIY71" s="2773" t="e">
        <f>INDEX(klasseqty_buer[dimensjon_b],MATCH($AI$79,klasseqty_buer[Type_size],0))</f>
        <v>#N/A</v>
      </c>
      <c r="AIZ71" s="5797"/>
      <c r="AJA71" s="2775" t="e">
        <f t="shared" si="281"/>
        <v>#N/A</v>
      </c>
      <c r="AJB71" s="5797"/>
      <c r="AJC71" s="5797" t="b">
        <v>1</v>
      </c>
      <c r="AJD71" s="5797"/>
      <c r="AJE71" s="2782">
        <f>'!Egen_SK'!$AL$198</f>
        <v>0</v>
      </c>
      <c r="AJF71" s="5797"/>
      <c r="AJG71" s="3547" t="e">
        <f>INDEX(klasseqty_buer[andel_b],MATCH($AI$79,klasseqty_buer[Type_size],0))</f>
        <v>#N/A</v>
      </c>
      <c r="AJH71" s="5797"/>
      <c r="AJI71" s="4140" t="e">
        <f t="shared" si="282"/>
        <v>#N/A</v>
      </c>
      <c r="AJJ71" s="5797"/>
      <c r="AJK71" s="5797" t="b">
        <v>1</v>
      </c>
      <c r="AJL71" s="5797"/>
      <c r="AJM71" s="2983">
        <f>'!Egen_SK'!$AL$202</f>
        <v>0</v>
      </c>
      <c r="AJN71" s="5797"/>
      <c r="AJO71" s="3011" t="e">
        <f>INDEX(klasseqty_buer[bue_senteravstand_b],MATCH($AI$79,klasseqty_buer[Type_size],0))</f>
        <v>#N/A</v>
      </c>
      <c r="AJP71" s="5797"/>
      <c r="AJQ71" s="2775" t="e">
        <f t="shared" si="283"/>
        <v>#N/A</v>
      </c>
      <c r="AJR71" s="5797"/>
      <c r="AJS71" s="5797" t="b">
        <v>1</v>
      </c>
      <c r="AJT71" s="5797"/>
      <c r="AJU71" s="2983">
        <f>'!Egen_SK'!$AL$206</f>
        <v>0</v>
      </c>
      <c r="AJV71" s="5797"/>
      <c r="AJW71" s="3011" t="e">
        <f>INDEX(klasseqty_buer[utvidelse_b],MATCH($AI$79,klasseqty_buer[Type_size],0))</f>
        <v>#N/A</v>
      </c>
      <c r="AJX71" s="5797"/>
      <c r="AJY71" s="2775" t="e">
        <f t="shared" si="284"/>
        <v>#N/A</v>
      </c>
      <c r="AJZ71" s="5799"/>
      <c r="AKA71" s="5797"/>
      <c r="AKB71" s="5797"/>
      <c r="AKC71" s="5797"/>
      <c r="AKD71" s="5800"/>
      <c r="AKE71" s="5797" t="b">
        <v>1</v>
      </c>
      <c r="AKF71" s="5797"/>
      <c r="AKG71" s="2983">
        <f>'!Egen_SK'!$AL$213</f>
        <v>0</v>
      </c>
      <c r="AKH71" s="5797"/>
      <c r="AKI71" s="3011" t="e">
        <f>INDEX(klasseqty_buer[radiellebolter_senteravstand_b],MATCH($AI$79,klasseqty_buer[Type_size],0))</f>
        <v>#N/A</v>
      </c>
      <c r="AKJ71" s="5797"/>
      <c r="AKK71" s="2775" t="e">
        <f t="shared" si="285"/>
        <v>#N/A</v>
      </c>
      <c r="AKL71" s="5797"/>
      <c r="AKM71" s="5797" t="b">
        <v>1</v>
      </c>
      <c r="AKN71" s="5797"/>
      <c r="AKO71" s="3712">
        <f>'!Egen_SK'!$AL$217</f>
        <v>0</v>
      </c>
      <c r="AKP71" s="5797"/>
      <c r="AKQ71" s="3547" t="e">
        <f>INDEX(klasseqty_buer[radiellebolter_lt4_b],MATCH($AI$79,klasseqty_buer[Type_size],0))</f>
        <v>#N/A</v>
      </c>
      <c r="AKR71" s="5797"/>
      <c r="AKS71" s="2781" t="e">
        <f t="shared" ref="AKS71:AKS77" si="306">IF(AKM71=TRUE,AKQ71,AKO71)</f>
        <v>#N/A</v>
      </c>
      <c r="AKT71" s="5797"/>
      <c r="AKU71" s="184"/>
      <c r="AKV71" s="5797"/>
      <c r="AKW71" s="5797"/>
      <c r="AKX71" s="2782" t="str">
        <f t="shared" ref="AKX71:AKX77" si="307">IF(AKM71=FALSE,1-AKO71,"")</f>
        <v/>
      </c>
      <c r="AKY71" s="5797"/>
      <c r="AKZ71" s="3547" t="e">
        <f>INDEX(klasseqty_buer[radiellebolter_gt4_b],MATCH($AI$79,klasseqty_buer[Type_size],0))</f>
        <v>#N/A</v>
      </c>
      <c r="ALA71" s="5797"/>
      <c r="ALB71" s="3368" t="e">
        <f t="shared" ref="ALB71:ALB77" si="308">IF(AKM71=TRUE,AKZ71,AKX71)</f>
        <v>#N/A</v>
      </c>
      <c r="ALC71" s="3643"/>
      <c r="ALD71" s="5800"/>
      <c r="ALE71" s="5797" t="b">
        <v>1</v>
      </c>
      <c r="ALF71" s="5797"/>
      <c r="ALG71" s="2983">
        <f>'!Egen_SK'!$AL$226</f>
        <v>0</v>
      </c>
      <c r="ALH71" s="5797"/>
      <c r="ALI71" s="3011" t="e">
        <f>INDEX(klasseqty_buer[tillegs-sprøytebetong_b],MATCH($AI$79,klasseqty_buer[Type_size],0))</f>
        <v>#N/A</v>
      </c>
      <c r="ALJ71" s="5797"/>
      <c r="ALK71" s="2775" t="e">
        <f t="shared" si="286"/>
        <v>#N/A</v>
      </c>
      <c r="ALL71" s="3753"/>
      <c r="ALM71" s="2737"/>
      <c r="ALN71" s="5800"/>
      <c r="ALO71" s="5797" t="b">
        <v>1</v>
      </c>
      <c r="ALP71" s="5797"/>
      <c r="ALQ71" s="3715">
        <f>'!Egen_SK'!$AL$233</f>
        <v>0</v>
      </c>
      <c r="ALR71" s="5797"/>
      <c r="ALS71" s="3717" t="e">
        <f>INDEX(klasseqty_buer[forankring_b],MATCH($AI$79,klasseqty_buer[Type_size],0))</f>
        <v>#N/A</v>
      </c>
      <c r="ALT71" s="5797"/>
      <c r="ALU71" s="3719" t="e">
        <f t="shared" si="287"/>
        <v>#N/A</v>
      </c>
      <c r="ALV71" s="5797"/>
      <c r="ALW71" s="5797"/>
      <c r="ALX71" s="5797" t="b">
        <v>1</v>
      </c>
      <c r="ALY71" s="5797"/>
      <c r="ALZ71" s="2782">
        <f>'!Egen_SK'!$AL$237</f>
        <v>0</v>
      </c>
      <c r="AMA71" s="5797"/>
      <c r="AMB71" s="3547" t="e">
        <f>INDEX(klasseqty_buer[forankring_lt4_b],MATCH($AI$79,klasseqty_buer[Type_size],0))</f>
        <v>#N/A</v>
      </c>
      <c r="AMC71" s="5797"/>
      <c r="AMD71" s="2781" t="e">
        <f t="shared" ref="AMD71:AMD77" si="309">IF(ALX71=TRUE,AMB71,ALZ71)</f>
        <v>#N/A</v>
      </c>
      <c r="AME71" s="5797"/>
      <c r="AMF71" s="184"/>
      <c r="AMG71" s="5797"/>
      <c r="AMH71" s="5797"/>
      <c r="AMI71" s="2782" t="str">
        <f t="shared" ref="AMI71:AMI77" si="310">IF(ALX71=FALSE,1-ALZ71,"")</f>
        <v/>
      </c>
      <c r="AMJ71" s="5797"/>
      <c r="AMK71" s="3547" t="e">
        <f>INDEX(klasseqty_buer[forankring_gt4_b],MATCH($AI$79,klasseqty_buer[Type_size],0))</f>
        <v>#N/A</v>
      </c>
      <c r="AML71" s="5797"/>
      <c r="AMM71" s="3368" t="e">
        <f t="shared" ref="AMM71:AMM77" si="311">IF(ALX71=TRUE,AMK71,AMI71)</f>
        <v>#N/A</v>
      </c>
      <c r="AMN71" s="5548"/>
      <c r="AMO71" s="5548"/>
      <c r="AMP71" s="5548"/>
      <c r="AMQ71" s="5548"/>
      <c r="AMR71" s="5548"/>
      <c r="AMS71" s="5548"/>
      <c r="AMT71" s="5548"/>
      <c r="AMU71" s="5548"/>
      <c r="AMV71" s="5548"/>
      <c r="AMW71" s="5548"/>
      <c r="AMX71" s="5548"/>
      <c r="AMY71" s="5548"/>
      <c r="AMZ71" s="5548"/>
      <c r="ANA71" s="5548"/>
      <c r="ANB71" s="5548"/>
      <c r="ANC71" s="5548"/>
      <c r="AND71" s="5548"/>
      <c r="ANE71" s="5548"/>
      <c r="ANF71" s="5548"/>
      <c r="ANG71" s="5548"/>
      <c r="ANH71" s="5548"/>
      <c r="ANI71" s="5548"/>
      <c r="ANJ71" s="5548"/>
      <c r="ANK71" s="5548"/>
      <c r="ANL71" s="5548"/>
      <c r="ANM71" s="5548"/>
      <c r="ANN71" s="5548"/>
      <c r="ANO71" s="5548"/>
      <c r="ANP71" s="5548"/>
      <c r="ANQ71" s="5548"/>
      <c r="ANR71" s="5548"/>
      <c r="ANS71" s="5548"/>
      <c r="ANT71" s="5548"/>
      <c r="ANU71" s="5548"/>
      <c r="ANV71" s="5548"/>
      <c r="ANW71" s="5548"/>
      <c r="ANX71" s="5548"/>
      <c r="ANY71" s="5548"/>
      <c r="ANZ71" s="5548"/>
      <c r="AOA71" s="5548"/>
      <c r="AOB71" s="5548"/>
      <c r="AOC71" s="5548"/>
      <c r="AOD71" s="5548"/>
      <c r="AOE71" s="5548"/>
      <c r="AOF71" s="5548"/>
      <c r="AOG71" s="5548"/>
      <c r="AOH71" s="5548"/>
      <c r="AOI71" s="5548"/>
      <c r="AOJ71" s="5548"/>
      <c r="AOK71" s="5548"/>
      <c r="AOL71" s="5548"/>
      <c r="AOM71" s="5548"/>
      <c r="AOO71" s="5800"/>
      <c r="AOP71" s="5797" t="b">
        <v>1</v>
      </c>
      <c r="AOQ71" s="5797"/>
      <c r="AOR71" s="2983">
        <f>'!Egen_SK'!$AL$157</f>
        <v>1</v>
      </c>
      <c r="AOS71" s="5797"/>
      <c r="AOT71" s="3547" t="e">
        <f>INDEX(klasseqty_forbolting[andel_av_tunnelklasse_b],MATCH($AI$79,klasseqty_forbolting[Type_size],0))</f>
        <v>#N/A</v>
      </c>
      <c r="AOU71" s="5797"/>
      <c r="AOV71" s="4140" t="e">
        <f t="shared" si="288"/>
        <v>#N/A</v>
      </c>
      <c r="AOW71" s="5797"/>
      <c r="AOX71" s="5797"/>
      <c r="AOY71" s="5797" t="b">
        <v>1</v>
      </c>
      <c r="AOZ71" s="5797"/>
      <c r="APA71" s="2983" t="str">
        <f t="shared" ref="APA71:APA77" si="312">IF(AOP71=FALSE,1,"")</f>
        <v/>
      </c>
      <c r="APB71" s="5797"/>
      <c r="APC71" s="3624" t="e">
        <f>INDEX(klasseqty_forbolting[andel_av_tunnelklasse_b],MATCH($AI$79,klasseqty_forbolting[Type_size],0))</f>
        <v>#N/A</v>
      </c>
      <c r="APD71" s="5797"/>
      <c r="APE71" s="5165" t="e">
        <f t="shared" si="289"/>
        <v>#N/A</v>
      </c>
      <c r="APF71" s="5797"/>
      <c r="APG71" s="5797" t="b">
        <v>1</v>
      </c>
      <c r="APH71" s="5797"/>
      <c r="API71" s="2983" t="str">
        <f>'!Egen_SK'!$AL$152</f>
        <v>Ingen</v>
      </c>
      <c r="APJ71" s="5797"/>
      <c r="APK71" s="3011" t="e">
        <f>INDEX(klasseqty_forbolting[bueområde_b],MATCH($AI$79,klasseqty_forbolting[Type_size],0))</f>
        <v>#N/A</v>
      </c>
      <c r="APL71" s="5797"/>
      <c r="APM71" s="2775" t="e">
        <f t="shared" si="290"/>
        <v>#N/A</v>
      </c>
      <c r="APN71" s="5797"/>
      <c r="APO71" s="5797" t="b">
        <v>1</v>
      </c>
      <c r="APP71" s="5797"/>
      <c r="APQ71" s="2983">
        <f>'!Egen_SK'!$AL$165</f>
        <v>0</v>
      </c>
      <c r="APR71" s="5797"/>
      <c r="APS71" s="3011" t="e">
        <f>INDEX(klasseqty_forbolting[forbolting_senteravstand_b],MATCH($AI$79,klasseqty_forbolting[Type_size],0))</f>
        <v>#N/A</v>
      </c>
      <c r="APT71" s="5797"/>
      <c r="APU71" s="2775" t="e">
        <f t="shared" si="291"/>
        <v>#N/A</v>
      </c>
      <c r="APV71" s="5797"/>
      <c r="APW71" s="5797" t="b">
        <v>1</v>
      </c>
      <c r="APX71" s="5797"/>
      <c r="APY71" s="3712">
        <f>'!Egen_SK'!$AL$169</f>
        <v>0</v>
      </c>
      <c r="APZ71" s="5797"/>
      <c r="AQA71" s="3547" t="e">
        <f>INDEX(klasseqty_forbolting[forbolting_lt4_b],MATCH($AI$79,klasseqty_forbolting[Type_size],0))</f>
        <v>#N/A</v>
      </c>
      <c r="AQB71" s="5797"/>
      <c r="AQC71" s="2781" t="e">
        <f t="shared" ref="AQC71:AQC77" si="313">IF(APW71=TRUE,AQA71,APY71)</f>
        <v>#N/A</v>
      </c>
      <c r="AQD71" s="5797"/>
      <c r="AQE71" s="184"/>
      <c r="AQF71" s="5797"/>
      <c r="AQG71" s="5797"/>
      <c r="AQH71" s="2782" t="str">
        <f t="shared" ref="AQH71:AQH77" si="314">IF(APW71=FALSE,1-APY71,"")</f>
        <v/>
      </c>
      <c r="AQI71" s="5797"/>
      <c r="AQJ71" s="3547" t="e">
        <f>INDEX(klasseqty_forbolting[forbolting_gt4_b],MATCH($AI$79,klasseqty_forbolting[Type_size],0))</f>
        <v>#N/A</v>
      </c>
      <c r="AQK71" s="5797"/>
      <c r="AQL71" s="3368" t="e">
        <f t="shared" ref="AQL71:AQL77" si="315">IF(APW71=TRUE,AQJ71,AQH71)</f>
        <v>#N/A</v>
      </c>
      <c r="AQN71" s="5800"/>
      <c r="AQO71" s="5797" t="b">
        <v>1</v>
      </c>
      <c r="AQP71" s="5797"/>
      <c r="AQQ71" s="2983">
        <f>'!Egen_SK'!$AL$178</f>
        <v>0</v>
      </c>
      <c r="AQR71" s="5797"/>
      <c r="AQS71" s="3011" t="e">
        <f>INDEX(klasseqty_forbolting[oppheng_senteravstand_b],MATCH($AI$79,klasseqty_forbolting[Type_size],0))</f>
        <v>#N/A</v>
      </c>
      <c r="AQT71" s="5797"/>
      <c r="AQU71" s="2775" t="e">
        <f t="shared" si="292"/>
        <v>#N/A</v>
      </c>
      <c r="AQV71" s="5797"/>
      <c r="AQW71" s="5797" t="b">
        <v>1</v>
      </c>
      <c r="AQX71" s="5797"/>
      <c r="AQY71" s="3712">
        <f>'!Egen_SK'!$AL$182</f>
        <v>0</v>
      </c>
      <c r="AQZ71" s="5797"/>
      <c r="ARA71" s="3547" t="e">
        <f>INDEX(klasseqty_forbolting[oppheng_lt4_b],MATCH($AI$79,klasseqty_forbolting[Type_size],0))</f>
        <v>#N/A</v>
      </c>
      <c r="ARB71" s="5797"/>
      <c r="ARC71" s="2781" t="e">
        <f t="shared" ref="ARC71:ARC77" si="316">IF(AQW71=TRUE,ARA71,AQY71)</f>
        <v>#N/A</v>
      </c>
      <c r="ARD71" s="5797"/>
      <c r="ARE71" s="184"/>
      <c r="ARF71" s="5797"/>
      <c r="ARG71" s="5797"/>
      <c r="ARH71" s="2782" t="str">
        <f t="shared" ref="ARH71:ARH77" si="317">IF(AQW71=FALSE,1-AQY71,"")</f>
        <v/>
      </c>
      <c r="ARI71" s="5797"/>
      <c r="ARJ71" s="3547" t="e">
        <f>INDEX(klasseqty_forbolting[oppheng_gt4_b],MATCH($AI$79,klasseqty_forbolting[Type_size],0))</f>
        <v>#N/A</v>
      </c>
      <c r="ARK71" s="5797"/>
      <c r="ARL71" s="3368" t="e">
        <f t="shared" ref="ARL71:ARL77" si="318">IF(AQW71=TRUE,ARJ71,ARH71)</f>
        <v>#N/A</v>
      </c>
      <c r="ART71" s="5800" t="b">
        <v>1</v>
      </c>
      <c r="ARU71" s="5797"/>
      <c r="ARV71" s="3712">
        <f>'!Egen_SK'!$AL$312</f>
        <v>0</v>
      </c>
      <c r="ARW71" s="5797"/>
      <c r="ARX71" s="3624" t="e">
        <f>INDEX(klasseqty_sik1234[sikringsstøp_hypp_b],MATCH($AI$79,klasseqty_sik1234[Type_size],0))</f>
        <v>#N/A</v>
      </c>
      <c r="ARY71" s="5797"/>
      <c r="ARZ71" s="2775" t="e">
        <f t="shared" si="293"/>
        <v>#N/A</v>
      </c>
      <c r="ASA71" s="184"/>
      <c r="ASB71" s="5797" t="b">
        <v>1</v>
      </c>
      <c r="ASC71" s="5797"/>
      <c r="ASD71" s="2983">
        <f>'!Egen_SK'!$AL$316</f>
        <v>0</v>
      </c>
      <c r="ASE71" s="5797"/>
      <c r="ASF71" s="3547" t="e">
        <f>INDEX(klasseqty_sik1234[sikringsstøp_123_b],MATCH($AI$79,klasseqty_sik1234[Type_size],0))</f>
        <v>#N/A</v>
      </c>
      <c r="ASG71" s="5797"/>
      <c r="ASH71" s="2781" t="e">
        <f t="shared" ref="ASH71:ASH77" si="319">IF(ASB71=TRUE,ASF71,ASD71)</f>
        <v>#N/A</v>
      </c>
      <c r="ASI71" s="5797"/>
      <c r="ASJ71" s="184"/>
      <c r="ASK71" s="5797"/>
      <c r="ASL71" s="5797"/>
      <c r="ASM71" s="2782" t="str">
        <f t="shared" ref="ASM71:ASM77" si="320">IF(ASB71=FALSE,1-ASD71,"")</f>
        <v/>
      </c>
      <c r="ASN71" s="5797"/>
      <c r="ASO71" s="3547" t="e">
        <f>INDEX(klasseqty_sik1234[sikringsstøp_4_b],MATCH($AI$79,klasseqty_sik1234[Type_size],0))</f>
        <v>#N/A</v>
      </c>
      <c r="ASP71" s="5797"/>
      <c r="ASQ71" s="3368" t="e">
        <f t="shared" ref="ASQ71:ASQ77" si="321">IF(ASB71=TRUE,ASO71,ASM71)</f>
        <v>#N/A</v>
      </c>
      <c r="ASR71" s="2737"/>
      <c r="ASS71" s="2737"/>
      <c r="ATA71" s="2622"/>
      <c r="AUU71" s="2617"/>
      <c r="AUV71" s="2623"/>
      <c r="AUW71" s="2623"/>
      <c r="AUX71" s="2623"/>
      <c r="AUY71" s="2623"/>
      <c r="AUZ71" s="2623"/>
      <c r="AVA71" s="2617"/>
      <c r="AVB71" s="2617"/>
      <c r="AVC71" s="2617"/>
      <c r="AVD71" s="2617"/>
      <c r="AVE71" s="2617"/>
      <c r="AVF71" s="2617"/>
      <c r="AVG71" s="2617"/>
      <c r="AVH71" s="2617"/>
      <c r="AVI71" s="2617"/>
      <c r="AVJ71" s="2617"/>
      <c r="AVK71" s="2617"/>
      <c r="AVL71" s="2617"/>
      <c r="AVM71" s="2617"/>
      <c r="AVN71" s="2617"/>
      <c r="AVO71" s="2617"/>
      <c r="AVP71" s="2617"/>
      <c r="AVQ71" s="2617"/>
      <c r="AVR71" s="2617"/>
      <c r="AVS71" s="2617"/>
      <c r="AVT71" s="2617"/>
      <c r="AVU71" s="2617"/>
      <c r="AVV71" s="2617"/>
      <c r="AVW71" s="2617"/>
      <c r="AVX71" s="2617"/>
      <c r="AVY71" s="2617"/>
      <c r="AVZ71" s="2617"/>
      <c r="AWA71" s="2617"/>
      <c r="AWB71" s="2617"/>
      <c r="AWC71" s="2617"/>
      <c r="AWD71" s="2617"/>
      <c r="AWE71" s="2617"/>
      <c r="AWF71" s="2617"/>
      <c r="AWG71" s="2617"/>
      <c r="AWH71" s="2617"/>
      <c r="AWI71" s="2617"/>
      <c r="AWJ71" s="2617"/>
      <c r="AWK71" s="2617"/>
      <c r="AWL71" s="2617"/>
      <c r="AWM71" s="2617"/>
      <c r="AWN71" s="2617"/>
      <c r="AWO71" s="2617"/>
      <c r="AWP71" s="2617"/>
      <c r="AWQ71" s="2617"/>
      <c r="AWR71" s="2617"/>
      <c r="AWS71" s="2617"/>
      <c r="AWT71" s="2617"/>
      <c r="AWU71" s="2617"/>
      <c r="AWV71" s="2617"/>
      <c r="AWW71" s="2617"/>
      <c r="AWX71" s="2617"/>
      <c r="AWY71" s="2617"/>
      <c r="AWZ71" s="2617"/>
      <c r="AXA71" s="2617"/>
      <c r="AXB71" s="2617"/>
      <c r="AXC71" s="2617"/>
      <c r="AXD71" s="2617"/>
      <c r="AXE71" s="2617"/>
      <c r="AXF71" s="2617"/>
      <c r="AXG71" s="2617"/>
      <c r="AXH71" s="2617"/>
      <c r="AXI71" s="2617"/>
      <c r="AXJ71" s="2617"/>
      <c r="AXK71" s="2617"/>
      <c r="BFE71" s="3398"/>
    </row>
    <row r="72" spans="1:1513" x14ac:dyDescent="0.2">
      <c r="AH72" s="185"/>
      <c r="AI72" s="185"/>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c r="FT72" s="181"/>
      <c r="FU72" s="181"/>
      <c r="FV72" s="181"/>
      <c r="FW72" s="181"/>
      <c r="FX72" s="181"/>
      <c r="FY72" s="181"/>
      <c r="FZ72" s="181"/>
      <c r="GA72" s="181"/>
      <c r="GB72" s="181"/>
      <c r="GC72" s="181"/>
      <c r="GD72" s="181"/>
      <c r="GE72" s="181"/>
      <c r="GF72" s="181"/>
      <c r="GG72" s="181"/>
      <c r="GH72" s="181"/>
      <c r="GI72" s="181"/>
      <c r="GJ72" s="181"/>
      <c r="GK72" s="181"/>
      <c r="GL72" s="181"/>
      <c r="GM72" s="181"/>
      <c r="GN72" s="181"/>
      <c r="GO72" s="181"/>
      <c r="GP72" s="181"/>
      <c r="GQ72" s="181"/>
      <c r="GR72" s="181"/>
      <c r="GS72" s="181"/>
      <c r="GT72" s="181"/>
      <c r="GU72" s="181"/>
      <c r="GV72" s="181"/>
      <c r="GW72" s="181"/>
      <c r="GX72" s="181"/>
      <c r="GY72" s="181"/>
      <c r="GZ72" s="181"/>
      <c r="HA72" s="181"/>
      <c r="HB72" s="181"/>
      <c r="HC72" s="181"/>
      <c r="HD72" s="181"/>
      <c r="HE72" s="181"/>
      <c r="HF72" s="181"/>
      <c r="HG72" s="181"/>
      <c r="HH72" s="181"/>
      <c r="HI72" s="181"/>
      <c r="HJ72" s="181"/>
      <c r="HK72" s="181"/>
      <c r="HL72" s="181"/>
      <c r="HM72" s="181"/>
      <c r="HN72" s="181"/>
      <c r="HO72" s="181"/>
      <c r="HP72" s="181"/>
      <c r="HQ72" s="181"/>
      <c r="LF72" s="181"/>
      <c r="LG72" s="181"/>
      <c r="LH72" s="181"/>
      <c r="LI72" s="181"/>
      <c r="LJ72" s="181"/>
      <c r="LK72" s="181"/>
      <c r="LL72" s="181"/>
      <c r="LM72" s="181"/>
      <c r="LN72" s="181"/>
      <c r="LO72" s="181"/>
      <c r="LP72" s="181"/>
      <c r="LQ72" s="181"/>
      <c r="LR72" s="181"/>
      <c r="LS72" s="181"/>
      <c r="LT72" s="181"/>
      <c r="LU72" s="181"/>
      <c r="LV72" s="181"/>
      <c r="LW72" s="181"/>
      <c r="LX72" s="181"/>
      <c r="LY72" s="181"/>
      <c r="LZ72" s="181"/>
      <c r="MA72" s="181"/>
      <c r="MB72" s="181"/>
      <c r="MC72" s="181"/>
      <c r="MD72" s="181"/>
      <c r="ME72" s="181"/>
      <c r="MF72" s="181"/>
      <c r="MG72" s="181"/>
      <c r="MH72" s="181"/>
      <c r="MI72" s="181"/>
      <c r="MJ72" s="181"/>
      <c r="MK72" s="181"/>
      <c r="ML72" s="181"/>
      <c r="MM72" s="181"/>
      <c r="MN72" s="181"/>
      <c r="MO72" s="181"/>
      <c r="MP72" s="181"/>
      <c r="MQ72" s="181"/>
      <c r="MR72" s="181"/>
      <c r="MS72" s="181"/>
      <c r="MT72" s="181"/>
      <c r="MU72" s="181"/>
      <c r="MV72" s="181"/>
      <c r="MW72" s="181"/>
      <c r="MX72" s="181"/>
      <c r="MY72" s="181"/>
      <c r="MZ72" s="181"/>
      <c r="NA72" s="181"/>
      <c r="NB72" s="181"/>
      <c r="NC72" s="181"/>
      <c r="ND72" s="181"/>
      <c r="NE72" s="181"/>
      <c r="NF72" s="181"/>
      <c r="NG72" s="181"/>
      <c r="NH72" s="181"/>
      <c r="NI72" s="181"/>
      <c r="NJ72" s="181"/>
      <c r="NK72" s="181"/>
      <c r="NL72" s="181"/>
      <c r="NM72" s="181"/>
      <c r="NN72" s="181"/>
      <c r="NO72" s="181"/>
      <c r="NP72" s="181"/>
      <c r="NQ72" s="181"/>
      <c r="NR72" s="181"/>
      <c r="NS72" s="181"/>
      <c r="NT72" s="181"/>
      <c r="NU72" s="181"/>
      <c r="NV72" s="181"/>
      <c r="NW72" s="181"/>
      <c r="NX72" s="181"/>
      <c r="NY72" s="181"/>
      <c r="NZ72" s="181"/>
      <c r="OA72" s="181"/>
      <c r="OB72" s="181"/>
      <c r="OC72" s="181"/>
      <c r="OD72" s="181"/>
      <c r="OE72" s="181"/>
      <c r="OF72" s="181"/>
      <c r="OG72" s="181"/>
      <c r="OH72" s="181"/>
      <c r="OI72" s="181"/>
      <c r="OJ72" s="181"/>
      <c r="OK72" s="181"/>
      <c r="OL72" s="181"/>
      <c r="OM72" s="181"/>
      <c r="ON72" s="181"/>
      <c r="OO72" s="181"/>
      <c r="OP72" s="181"/>
      <c r="OQ72" s="181"/>
      <c r="OR72" s="181"/>
      <c r="OS72" s="181"/>
      <c r="OT72" s="181"/>
      <c r="OU72" s="181"/>
      <c r="OV72" s="181"/>
      <c r="OW72" s="181"/>
      <c r="OX72" s="181"/>
      <c r="OY72" s="181"/>
      <c r="OZ72" s="181"/>
      <c r="PA72" s="181"/>
      <c r="PB72" s="181"/>
      <c r="PC72" s="181"/>
      <c r="PD72" s="181"/>
      <c r="PE72" s="181"/>
      <c r="PF72" s="181"/>
      <c r="PG72" s="181"/>
      <c r="PH72" s="181"/>
      <c r="PI72" s="181"/>
      <c r="PJ72" s="181"/>
      <c r="PK72" s="181"/>
      <c r="PL72" s="181"/>
      <c r="PM72" s="181"/>
      <c r="PN72" s="181"/>
      <c r="PO72" s="181"/>
      <c r="PP72" s="181"/>
      <c r="PQ72" s="181"/>
      <c r="PR72" s="181"/>
      <c r="PS72" s="181"/>
      <c r="PT72" s="181"/>
      <c r="PU72" s="181"/>
      <c r="PV72" s="181"/>
      <c r="PW72" s="181"/>
      <c r="PX72" s="181"/>
      <c r="PY72" s="181"/>
      <c r="PZ72" s="181"/>
      <c r="QA72" s="181"/>
      <c r="QB72" s="181"/>
      <c r="QC72" s="181"/>
      <c r="QD72" s="181"/>
      <c r="QE72" s="181"/>
      <c r="QF72" s="181"/>
      <c r="QG72" s="181"/>
      <c r="QH72" s="181"/>
      <c r="QI72" s="181"/>
      <c r="QJ72" s="181"/>
      <c r="QK72" s="181"/>
      <c r="QL72" s="181"/>
      <c r="QM72" s="181"/>
      <c r="QN72" s="181"/>
      <c r="QO72" s="181"/>
      <c r="QP72" s="181"/>
      <c r="QQ72" s="181"/>
      <c r="QR72" s="181"/>
      <c r="QS72" s="181"/>
      <c r="QT72" s="181"/>
      <c r="QU72" s="181"/>
      <c r="QV72" s="181"/>
      <c r="QW72" s="181"/>
      <c r="QX72" s="181"/>
      <c r="QY72" s="181"/>
      <c r="QZ72" s="181"/>
      <c r="RA72" s="181"/>
      <c r="RB72" s="181"/>
      <c r="RC72" s="181"/>
      <c r="RD72" s="181"/>
      <c r="RE72" s="181"/>
      <c r="RF72" s="181"/>
      <c r="RG72" s="181"/>
      <c r="RH72" s="181"/>
      <c r="RI72" s="181"/>
      <c r="RJ72" s="181"/>
      <c r="RK72" s="181"/>
      <c r="RL72" s="181"/>
      <c r="RM72" s="181"/>
      <c r="RN72" s="181"/>
      <c r="RO72" s="181"/>
      <c r="RP72" s="181"/>
      <c r="RQ72" s="181"/>
      <c r="RR72" s="181"/>
      <c r="RS72" s="181"/>
      <c r="RT72" s="181"/>
      <c r="RU72" s="181"/>
      <c r="RV72" s="181"/>
      <c r="RW72" s="181"/>
      <c r="RX72" s="181"/>
      <c r="RY72" s="181"/>
      <c r="RZ72" s="181"/>
      <c r="SA72" s="181"/>
      <c r="SB72" s="181"/>
      <c r="SC72" s="181"/>
      <c r="SD72" s="181"/>
      <c r="SE72" s="181"/>
      <c r="SF72" s="181"/>
      <c r="SG72" s="181"/>
      <c r="SH72" s="181"/>
      <c r="SI72" s="181"/>
      <c r="SJ72" s="181"/>
      <c r="SK72" s="181"/>
      <c r="SL72" s="181"/>
      <c r="SM72" s="181"/>
      <c r="SN72" s="181"/>
      <c r="SO72" s="181"/>
      <c r="SP72" s="181"/>
      <c r="SQ72" s="181"/>
      <c r="SR72" s="181"/>
      <c r="SS72" s="181"/>
      <c r="ST72" s="181"/>
      <c r="SU72" s="181"/>
      <c r="SV72" s="181"/>
      <c r="SW72" s="181"/>
      <c r="SX72" s="181"/>
      <c r="SY72" s="181"/>
      <c r="SZ72" s="181"/>
      <c r="TA72" s="181"/>
      <c r="TB72" s="181"/>
      <c r="TC72" s="181"/>
      <c r="TD72" s="181"/>
      <c r="TE72" s="181"/>
      <c r="TF72" s="181"/>
      <c r="TG72" s="181"/>
      <c r="TH72" s="181"/>
      <c r="TI72" s="181"/>
      <c r="TJ72" s="181"/>
      <c r="TK72" s="181"/>
      <c r="TL72" s="181"/>
      <c r="TM72" s="181"/>
      <c r="TN72" s="181"/>
      <c r="TO72" s="181"/>
      <c r="TP72" s="181"/>
      <c r="TQ72" s="181"/>
      <c r="TR72" s="181"/>
      <c r="TS72" s="181"/>
      <c r="TT72" s="181"/>
      <c r="TU72" s="181"/>
      <c r="TV72" s="181"/>
      <c r="TW72" s="181"/>
      <c r="TX72" s="181"/>
      <c r="TY72" s="181"/>
      <c r="TZ72" s="181"/>
      <c r="UA72" s="181"/>
      <c r="UB72" s="181"/>
      <c r="UC72" s="181"/>
      <c r="UD72" s="181"/>
      <c r="UE72" s="181"/>
      <c r="UF72" s="181"/>
      <c r="UG72" s="181"/>
      <c r="UH72" s="181"/>
      <c r="UI72" s="181"/>
      <c r="UJ72" s="181"/>
      <c r="UK72" s="181"/>
      <c r="UL72" s="181"/>
      <c r="UM72" s="181"/>
      <c r="UN72" s="181"/>
      <c r="UO72" s="181"/>
      <c r="UP72" s="181"/>
      <c r="UQ72" s="181"/>
      <c r="UR72" s="181"/>
      <c r="US72" s="181"/>
      <c r="UT72" s="181"/>
      <c r="UU72" s="181"/>
      <c r="UV72" s="181"/>
      <c r="UW72" s="181"/>
      <c r="UX72" s="181"/>
      <c r="UY72" s="181"/>
      <c r="UZ72" s="181"/>
      <c r="VA72" s="181"/>
      <c r="VB72" s="181"/>
      <c r="VC72" s="181"/>
      <c r="VD72" s="181"/>
      <c r="VE72" s="181"/>
      <c r="VF72" s="181"/>
      <c r="VG72" s="181"/>
      <c r="VH72" s="181"/>
      <c r="VI72" s="181"/>
      <c r="VJ72" s="181"/>
      <c r="VK72" s="181"/>
      <c r="VL72" s="181"/>
      <c r="VM72" s="181"/>
      <c r="VN72" s="181"/>
      <c r="VO72" s="181"/>
      <c r="VP72" s="181"/>
      <c r="VQ72" s="181"/>
      <c r="VR72" s="181"/>
      <c r="AAW72" s="372" t="s">
        <v>191</v>
      </c>
      <c r="AAX72" s="372"/>
      <c r="AAY72" s="372" t="s">
        <v>891</v>
      </c>
      <c r="AAZ72" s="251"/>
      <c r="ABA72" s="5808"/>
      <c r="ABB72" s="5797" t="b">
        <v>1</v>
      </c>
      <c r="ABC72" s="5797"/>
      <c r="ABD72" s="2983">
        <f>'!Egen_SK'!$AT$76</f>
        <v>0</v>
      </c>
      <c r="ABE72" s="5797"/>
      <c r="ABF72" s="3624" t="e">
        <f>INDEX(klasse_salve[salve_lengde_c],MATCH($AI$79,klasse_salve[Type_size],0))</f>
        <v>#N/A</v>
      </c>
      <c r="ABG72" s="5797"/>
      <c r="ABH72" s="3010" t="e">
        <f t="shared" si="294"/>
        <v>#N/A</v>
      </c>
      <c r="ABI72" s="5799"/>
      <c r="ABJ72" s="251"/>
      <c r="ABK72" s="5808"/>
      <c r="ABL72" s="5797" t="b">
        <v>1</v>
      </c>
      <c r="ABM72" s="5797"/>
      <c r="ABN72" s="2983">
        <f>'!Egen_SK'!$AT$85</f>
        <v>0</v>
      </c>
      <c r="ABO72" s="5797"/>
      <c r="ABP72" s="3624" t="e">
        <f>INDEX(klasseqty_rensk[manual_tid_salve_c],MATCH($AI$79,klasseqty_bolting[Type_size],0))</f>
        <v>#N/A</v>
      </c>
      <c r="ABQ72" s="5797"/>
      <c r="ABR72" s="3010" t="e">
        <f t="shared" si="295"/>
        <v>#N/A</v>
      </c>
      <c r="ABS72" s="5799"/>
      <c r="ABT72" s="251"/>
      <c r="ABU72" s="5808"/>
      <c r="ABV72" s="5797" t="b">
        <v>1</v>
      </c>
      <c r="ABW72" s="5797"/>
      <c r="ABX72" s="2983">
        <f>'!Egen_SK'!$AT$92</f>
        <v>0</v>
      </c>
      <c r="ABY72" s="5797"/>
      <c r="ABZ72" s="3624" t="e">
        <f>INDEX(klasseqty_rensk[inspectiontid_c],MATCH($AI$79,klasseqty_bolting[Type_size],0))</f>
        <v>#N/A</v>
      </c>
      <c r="ACA72" s="5797"/>
      <c r="ACB72" s="3010" t="e">
        <f t="shared" si="296"/>
        <v>#N/A</v>
      </c>
      <c r="ACC72" s="5799"/>
      <c r="ACD72" s="5797"/>
      <c r="ACE72" s="5800"/>
      <c r="ACF72" s="5797" t="b">
        <v>1</v>
      </c>
      <c r="ACG72" s="5797"/>
      <c r="ACH72" s="2983">
        <f>'!Egen_SK'!$AT$101</f>
        <v>0</v>
      </c>
      <c r="ACI72" s="5797"/>
      <c r="ACJ72" s="2774" t="e">
        <f>INDEX(klasseqty_bolting[veder_cc_c],MATCH($AI$79,klasseqty_bolting[Type_size],0))</f>
        <v>#N/A</v>
      </c>
      <c r="ACK72" s="5797"/>
      <c r="ACL72" s="2775" t="e">
        <f t="shared" si="297"/>
        <v>#N/A</v>
      </c>
      <c r="ACM72" s="5797"/>
      <c r="ACN72" s="184"/>
      <c r="ACO72" s="5797" t="b">
        <v>1</v>
      </c>
      <c r="ACP72" s="5797"/>
      <c r="ACQ72" s="2782">
        <f>'!Egen_SK'!$AT$105</f>
        <v>0</v>
      </c>
      <c r="ACR72" s="5797"/>
      <c r="ACS72" s="3547" t="e">
        <f>INDEX(klasseqty_bolting[veder_length_lt4_c],MATCH($AI$79,klasseqty_bolting[Type_size],0))</f>
        <v>#N/A</v>
      </c>
      <c r="ACT72" s="5797"/>
      <c r="ACU72" s="2781" t="e">
        <f t="shared" si="298"/>
        <v>#N/A</v>
      </c>
      <c r="ACV72" s="5797"/>
      <c r="ACW72" s="184"/>
      <c r="ACX72" s="5797"/>
      <c r="ACY72" s="5797"/>
      <c r="ACZ72" s="2782" t="str">
        <f t="shared" si="299"/>
        <v/>
      </c>
      <c r="ADA72" s="5797"/>
      <c r="ADB72" s="3547" t="e">
        <f>INDEX(klasseqty_bolting[veder_length_gt4_c],MATCH($AI$79,klasseqty_bolting[Type_size],0))</f>
        <v>#N/A</v>
      </c>
      <c r="ADC72" s="5797"/>
      <c r="ADD72" s="2781" t="e">
        <f t="shared" si="300"/>
        <v>#N/A</v>
      </c>
      <c r="ADE72" s="5809"/>
      <c r="ADF72" s="5797"/>
      <c r="ADG72" s="5800"/>
      <c r="ADH72" s="5797" t="b">
        <v>1</v>
      </c>
      <c r="ADI72" s="5797"/>
      <c r="ADJ72" s="2983">
        <f>'!Egen_SK'!$AT$114</f>
        <v>0</v>
      </c>
      <c r="ADK72" s="5797"/>
      <c r="ADL72" s="2774" t="e">
        <f>INDEX(klasseqty_bolting[vegg_cc_c],MATCH($AI$79,klasseqty_bolting[Type_size],0))</f>
        <v>#N/A</v>
      </c>
      <c r="ADM72" s="5797"/>
      <c r="ADN72" s="2775" t="e">
        <f t="shared" si="301"/>
        <v>#N/A</v>
      </c>
      <c r="ADO72" s="5797"/>
      <c r="ADP72" s="184"/>
      <c r="ADQ72" s="5797"/>
      <c r="ADR72" s="5797" t="b">
        <v>1</v>
      </c>
      <c r="ADS72" s="5797"/>
      <c r="ADT72" s="2782">
        <f>'!Egen_SK'!$AT$118</f>
        <v>0</v>
      </c>
      <c r="ADU72" s="5797"/>
      <c r="ADV72" s="3547" t="e">
        <f>INDEX(klasseqty_bolting[vegg_length_lt4_c],MATCH($AI$79,klasseqty_bolting[Type_size],0))</f>
        <v>#N/A</v>
      </c>
      <c r="ADW72" s="5797"/>
      <c r="ADX72" s="2781" t="e">
        <f t="shared" si="302"/>
        <v>#N/A</v>
      </c>
      <c r="ADY72" s="5797"/>
      <c r="ADZ72" s="5797"/>
      <c r="AEA72" s="5797"/>
      <c r="AEB72" s="2782" t="str">
        <f t="shared" si="270"/>
        <v/>
      </c>
      <c r="AEC72" s="5797"/>
      <c r="AED72" s="3547" t="e">
        <f>INDEX(klasseqty_bolting[vegg_length_gt4_c],MATCH($AI$79,klasseqty_bolting[Type_size],0))</f>
        <v>#N/A</v>
      </c>
      <c r="AEE72" s="5797"/>
      <c r="AEF72" s="2781" t="e">
        <f t="shared" si="271"/>
        <v>#N/A</v>
      </c>
      <c r="AEG72" s="5799"/>
      <c r="AEH72" s="5797"/>
      <c r="AEI72" s="5797"/>
      <c r="AEJ72" s="5797"/>
      <c r="AEK72" s="5797"/>
      <c r="AEL72" s="5797"/>
      <c r="AEM72" s="5797"/>
      <c r="AEN72" s="5797"/>
      <c r="AEO72" s="5797"/>
      <c r="AEP72" s="5797"/>
      <c r="AEQ72" s="5797"/>
      <c r="AER72" s="5797"/>
      <c r="AES72" s="5800"/>
      <c r="AET72" s="5797" t="b">
        <v>1</v>
      </c>
      <c r="AEU72" s="5797"/>
      <c r="AEV72" s="2983">
        <f>'!Egen_SK'!$AT$248</f>
        <v>2</v>
      </c>
      <c r="AEW72" s="5797"/>
      <c r="AEX72" s="2773" t="e">
        <f>INDEX(klasseqty_bergbånd[overlappingsfaktor_c],MATCH($AI$79,klasseqty_bergbånd[Type_size],0))</f>
        <v>#N/A</v>
      </c>
      <c r="AEY72" s="5797"/>
      <c r="AEZ72" s="3376" t="e">
        <f t="shared" si="272"/>
        <v>#N/A</v>
      </c>
      <c r="AFA72" s="5797"/>
      <c r="AFB72" s="5800" t="b">
        <v>1</v>
      </c>
      <c r="AFC72" s="5797"/>
      <c r="AFD72" s="2983">
        <f>'!Egen_SK'!$AT$255</f>
        <v>0</v>
      </c>
      <c r="AFE72" s="5797"/>
      <c r="AFF72" s="2773" t="e">
        <f>INDEX(klasseqty_bergbånd[tilleggs_bergbånd_c],MATCH($AI$79,klasseqty_bergbånd[Type_size],0))</f>
        <v>#N/A</v>
      </c>
      <c r="AFG72" s="5797"/>
      <c r="AFH72" s="3376" t="e">
        <f t="shared" si="273"/>
        <v>#N/A</v>
      </c>
      <c r="AFI72" s="5797"/>
      <c r="AFJ72" s="5800" t="b">
        <v>1</v>
      </c>
      <c r="AFK72" s="5797"/>
      <c r="AFL72" s="2983">
        <f>'!Egen_SK'!$AT$262</f>
        <v>0</v>
      </c>
      <c r="AFM72" s="5797"/>
      <c r="AFN72" s="3011" t="e">
        <f>INDEX(klasseqty_bergbånd[tilleggs_bergbånd_festebolter_senteravstand_c],MATCH($AI$79,klasseqty_bergbånd[Type_size],0))</f>
        <v>#N/A</v>
      </c>
      <c r="AFO72" s="5797"/>
      <c r="AFP72" s="2775" t="e">
        <f t="shared" si="274"/>
        <v>#N/A</v>
      </c>
      <c r="AFQ72" s="5797"/>
      <c r="AFR72" s="5797" t="b">
        <v>1</v>
      </c>
      <c r="AFS72" s="5797"/>
      <c r="AFT72" s="2782">
        <f>'!Egen_SK'!$AT$266</f>
        <v>0</v>
      </c>
      <c r="AFU72" s="5797"/>
      <c r="AFV72" s="3547" t="e">
        <f>INDEX(klasseqty_bergbånd[tilleggs_bergbånd_festebolter_lt4_c],MATCH($AI$79,klasseqty_bergbånd[Type_size],0))</f>
        <v>#N/A</v>
      </c>
      <c r="AFW72" s="5797"/>
      <c r="AFX72" s="2781" t="e">
        <f t="shared" si="303"/>
        <v>#N/A</v>
      </c>
      <c r="AFY72" s="5797"/>
      <c r="AFZ72" s="184"/>
      <c r="AGA72" s="5797"/>
      <c r="AGB72" s="5797"/>
      <c r="AGC72" s="5797"/>
      <c r="AGD72" s="2782" t="str">
        <f t="shared" si="304"/>
        <v/>
      </c>
      <c r="AGE72" s="5797"/>
      <c r="AGF72" s="3547" t="e">
        <f>INDEX(klasseqty_bergbånd[tilleggs_bergbånd_festebolter_gt4_c],MATCH($AI$79,klasseqty_bergbånd[Type_size],0))</f>
        <v>#N/A</v>
      </c>
      <c r="AGG72" s="5797"/>
      <c r="AGH72" s="2781" t="e">
        <f t="shared" si="305"/>
        <v>#N/A</v>
      </c>
      <c r="AGI72" s="5799"/>
      <c r="AGJ72" s="5152"/>
      <c r="AGK72" s="5152"/>
      <c r="AGL72" s="5152"/>
      <c r="AGM72" s="5152"/>
      <c r="AGN72" s="2622"/>
      <c r="AGO72" s="5800" t="b">
        <v>1</v>
      </c>
      <c r="AGP72" s="5797"/>
      <c r="AGQ72" s="2983">
        <f>'!Egen_SK'!$AT$277</f>
        <v>0</v>
      </c>
      <c r="AGR72" s="5797"/>
      <c r="AGS72" s="3011" t="e">
        <f>INDEX(klasseqty_nett[nett_hypp_c],MATCH($AI$79,klasseqty_nett[Type_size],0))</f>
        <v>#N/A</v>
      </c>
      <c r="AGT72" s="5797"/>
      <c r="AGU72" s="3376" t="e">
        <f t="shared" si="275"/>
        <v>#N/A</v>
      </c>
      <c r="AGV72" s="5152"/>
      <c r="AGW72" s="5800" t="b">
        <v>1</v>
      </c>
      <c r="AGX72" s="5797"/>
      <c r="AGY72" s="2983">
        <f>'!Egen_SK'!$AT$284</f>
        <v>0</v>
      </c>
      <c r="AGZ72" s="5797"/>
      <c r="AHA72" s="3011" t="e">
        <f>INDEX(klasseqty_nett[nett_festebolter_avstand_c],MATCH($AI$79,klasseqty_nett[Type_size],0))</f>
        <v>#N/A</v>
      </c>
      <c r="AHB72" s="5797"/>
      <c r="AHC72" s="3376" t="e">
        <f t="shared" si="276"/>
        <v>#N/A</v>
      </c>
      <c r="AHD72" s="5152"/>
      <c r="AHF72" s="5800" t="b">
        <v>1</v>
      </c>
      <c r="AHG72" s="5797"/>
      <c r="AHH72" s="2983">
        <f>'!Egen_SK'!$AT$291</f>
        <v>0</v>
      </c>
      <c r="AHI72" s="5797"/>
      <c r="AHJ72" s="3011" t="e">
        <f>INDEX(klasseqty_nett[nett_sprøytebetong_tykkelse_c],MATCH($AI$79,klasseqty_nett[Type_size],0))</f>
        <v>#N/A</v>
      </c>
      <c r="AHK72" s="5797"/>
      <c r="AHL72" s="3376" t="e">
        <f t="shared" si="277"/>
        <v>#N/A</v>
      </c>
      <c r="AHP72" s="5800"/>
      <c r="AHQ72" s="5797" t="b">
        <v>1</v>
      </c>
      <c r="AHR72" s="5797"/>
      <c r="AHS72" s="2983">
        <f>'!Egen_SK'!$AT$129</f>
        <v>0</v>
      </c>
      <c r="AHT72" s="5797"/>
      <c r="AHU72" s="3624" t="e">
        <f>INDEX(klasseqty_sprøyte[veder_tykkelse_c],MATCH($AI$79,klasseqty_sprøyte[Type_size],0))</f>
        <v>#N/A</v>
      </c>
      <c r="AHV72" s="5797"/>
      <c r="AHW72" s="2775" t="e">
        <f t="shared" si="278"/>
        <v>#N/A</v>
      </c>
      <c r="AHX72" s="3709"/>
      <c r="AHY72" s="2622"/>
      <c r="AHZ72" s="5800"/>
      <c r="AIA72" s="5797" t="b">
        <v>1</v>
      </c>
      <c r="AIB72" s="5797"/>
      <c r="AIC72" s="2983">
        <f>'!Egen_SK'!$AT$136</f>
        <v>0</v>
      </c>
      <c r="AID72" s="5797"/>
      <c r="AIE72" s="3624" t="e">
        <f>INDEX(klasseqty_sprøyte[vegg_tykkelse_c],MATCH($AI$79,klasseqty_sprøyte[Type_size],0))</f>
        <v>#N/A</v>
      </c>
      <c r="AIF72" s="5797"/>
      <c r="AIG72" s="2775" t="e">
        <f t="shared" si="279"/>
        <v>#N/A</v>
      </c>
      <c r="AIH72" s="3709"/>
      <c r="AII72" s="184"/>
      <c r="AIJ72" s="3811"/>
      <c r="AIK72" s="5797" t="b">
        <v>1</v>
      </c>
      <c r="AIL72" s="5797"/>
      <c r="AIM72" s="2983">
        <f>'!Egen_SK'!$AT$143</f>
        <v>0</v>
      </c>
      <c r="AIN72" s="5797"/>
      <c r="AIO72" s="3011" t="e">
        <f>INDEX(klasseqty_sprøyte[ruhetfaktor_c],MATCH($AI$79,klasseqty_sprøyte[Type_size],0))</f>
        <v>#N/A</v>
      </c>
      <c r="AIP72" s="5797"/>
      <c r="AIQ72" s="2775" t="e">
        <f t="shared" si="280"/>
        <v>#N/A</v>
      </c>
      <c r="AIR72" s="3753"/>
      <c r="AIS72" s="2622"/>
      <c r="AIT72" s="5800"/>
      <c r="AIU72" s="5797" t="b">
        <v>1</v>
      </c>
      <c r="AIV72" s="5797"/>
      <c r="AIW72" s="3319">
        <f>'!Egen_SK'!$AT$193</f>
        <v>0</v>
      </c>
      <c r="AIX72" s="5797"/>
      <c r="AIY72" s="2773" t="e">
        <f>INDEX(klasseqty_buer[dimensjon_c],MATCH($AI$79,klasseqty_buer[Type_size],0))</f>
        <v>#N/A</v>
      </c>
      <c r="AIZ72" s="5797"/>
      <c r="AJA72" s="2775" t="e">
        <f t="shared" si="281"/>
        <v>#N/A</v>
      </c>
      <c r="AJB72" s="5797"/>
      <c r="AJC72" s="5797" t="b">
        <v>1</v>
      </c>
      <c r="AJD72" s="5797"/>
      <c r="AJE72" s="2782">
        <f>'!Egen_SK'!$AT$198</f>
        <v>0</v>
      </c>
      <c r="AJF72" s="5797"/>
      <c r="AJG72" s="3547" t="e">
        <f>INDEX(klasseqty_buer[andel_c],MATCH($AI$79,klasseqty_buer[Type_size],0))</f>
        <v>#N/A</v>
      </c>
      <c r="AJH72" s="5797"/>
      <c r="AJI72" s="4140" t="e">
        <f t="shared" si="282"/>
        <v>#N/A</v>
      </c>
      <c r="AJJ72" s="5797"/>
      <c r="AJK72" s="5797" t="b">
        <v>1</v>
      </c>
      <c r="AJL72" s="5797"/>
      <c r="AJM72" s="2983">
        <f>'!Egen_SK'!$AT$202</f>
        <v>0</v>
      </c>
      <c r="AJN72" s="5797"/>
      <c r="AJO72" s="3011" t="e">
        <f>INDEX(klasseqty_buer[bue_senteravstand_c],MATCH($AI$79,klasseqty_buer[Type_size],0))</f>
        <v>#N/A</v>
      </c>
      <c r="AJP72" s="5797"/>
      <c r="AJQ72" s="2775" t="e">
        <f t="shared" si="283"/>
        <v>#N/A</v>
      </c>
      <c r="AJR72" s="5797"/>
      <c r="AJS72" s="5797" t="b">
        <v>1</v>
      </c>
      <c r="AJT72" s="5797"/>
      <c r="AJU72" s="2983">
        <f>'!Egen_SK'!$AT$206</f>
        <v>0</v>
      </c>
      <c r="AJV72" s="5797"/>
      <c r="AJW72" s="3011" t="e">
        <f>INDEX(klasseqty_buer[utvidelse_c],MATCH($AI$79,klasseqty_buer[Type_size],0))</f>
        <v>#N/A</v>
      </c>
      <c r="AJX72" s="5797"/>
      <c r="AJY72" s="2775" t="e">
        <f t="shared" si="284"/>
        <v>#N/A</v>
      </c>
      <c r="AJZ72" s="5799"/>
      <c r="AKA72" s="5797"/>
      <c r="AKB72" s="5797"/>
      <c r="AKC72" s="5797"/>
      <c r="AKD72" s="5800"/>
      <c r="AKE72" s="5797" t="b">
        <v>1</v>
      </c>
      <c r="AKF72" s="5797"/>
      <c r="AKG72" s="2983">
        <f>'!Egen_SK'!$AT$213</f>
        <v>0</v>
      </c>
      <c r="AKH72" s="5797"/>
      <c r="AKI72" s="3011" t="e">
        <f>INDEX(klasseqty_buer[radiellebolter_senteravstand_c],MATCH($AI$79,klasseqty_buer[Type_size],0))</f>
        <v>#N/A</v>
      </c>
      <c r="AKJ72" s="5797"/>
      <c r="AKK72" s="2775" t="e">
        <f t="shared" si="285"/>
        <v>#N/A</v>
      </c>
      <c r="AKL72" s="5797"/>
      <c r="AKM72" s="5797" t="b">
        <v>1</v>
      </c>
      <c r="AKN72" s="5797"/>
      <c r="AKO72" s="3712">
        <f>'!Egen_SK'!$AT$217</f>
        <v>0</v>
      </c>
      <c r="AKP72" s="5797"/>
      <c r="AKQ72" s="3547" t="e">
        <f>INDEX(klasseqty_buer[radiellebolter_lt4_c],MATCH($AI$79,klasseqty_buer[Type_size],0))</f>
        <v>#N/A</v>
      </c>
      <c r="AKR72" s="5797"/>
      <c r="AKS72" s="2781" t="e">
        <f t="shared" si="306"/>
        <v>#N/A</v>
      </c>
      <c r="AKT72" s="5797"/>
      <c r="AKU72" s="184"/>
      <c r="AKV72" s="5797"/>
      <c r="AKW72" s="5797"/>
      <c r="AKX72" s="2782" t="str">
        <f t="shared" si="307"/>
        <v/>
      </c>
      <c r="AKY72" s="5797"/>
      <c r="AKZ72" s="3547" t="e">
        <f>INDEX(klasseqty_buer[radiellebolter_gt4_c],MATCH($AI$79,klasseqty_buer[Type_size],0))</f>
        <v>#N/A</v>
      </c>
      <c r="ALA72" s="5797"/>
      <c r="ALB72" s="3368" t="e">
        <f t="shared" si="308"/>
        <v>#N/A</v>
      </c>
      <c r="ALC72" s="3643"/>
      <c r="ALD72" s="5800"/>
      <c r="ALE72" s="5797" t="b">
        <v>1</v>
      </c>
      <c r="ALF72" s="5797"/>
      <c r="ALG72" s="2983">
        <f>'!Egen_SK'!$AT$226</f>
        <v>0</v>
      </c>
      <c r="ALH72" s="5797"/>
      <c r="ALI72" s="3011" t="e">
        <f>INDEX(klasseqty_buer[tillegs-sprøytebetong_c],MATCH($AI$79,klasseqty_buer[Type_size],0))</f>
        <v>#N/A</v>
      </c>
      <c r="ALJ72" s="5797"/>
      <c r="ALK72" s="2775" t="e">
        <f t="shared" si="286"/>
        <v>#N/A</v>
      </c>
      <c r="ALL72" s="3753"/>
      <c r="ALM72" s="2737"/>
      <c r="ALN72" s="5800"/>
      <c r="ALO72" s="5797" t="b">
        <v>1</v>
      </c>
      <c r="ALP72" s="5797"/>
      <c r="ALQ72" s="3715">
        <f>'!Egen_SK'!$AT$233</f>
        <v>0</v>
      </c>
      <c r="ALR72" s="5797"/>
      <c r="ALS72" s="3717" t="e">
        <f>INDEX(klasseqty_buer[forankring_c],MATCH($AI$79,klasseqty_buer[Type_size],0))</f>
        <v>#N/A</v>
      </c>
      <c r="ALT72" s="5797"/>
      <c r="ALU72" s="3719" t="e">
        <f t="shared" si="287"/>
        <v>#N/A</v>
      </c>
      <c r="ALV72" s="5797"/>
      <c r="ALW72" s="5797"/>
      <c r="ALX72" s="5797" t="b">
        <v>1</v>
      </c>
      <c r="ALY72" s="5797"/>
      <c r="ALZ72" s="2782">
        <f>'!Egen_SK'!$AT$237</f>
        <v>0</v>
      </c>
      <c r="AMA72" s="5797"/>
      <c r="AMB72" s="3547" t="e">
        <f>INDEX(klasseqty_buer[forankring_lt4_c],MATCH($AI$79,klasseqty_buer[Type_size],0))</f>
        <v>#N/A</v>
      </c>
      <c r="AMC72" s="5797"/>
      <c r="AMD72" s="2781" t="e">
        <f t="shared" si="309"/>
        <v>#N/A</v>
      </c>
      <c r="AME72" s="5797"/>
      <c r="AMF72" s="184"/>
      <c r="AMG72" s="5797"/>
      <c r="AMH72" s="5797"/>
      <c r="AMI72" s="2782" t="str">
        <f t="shared" si="310"/>
        <v/>
      </c>
      <c r="AMJ72" s="5797"/>
      <c r="AMK72" s="3547" t="e">
        <f>INDEX(klasseqty_buer[forankring_gt4_c],MATCH($AI$79,klasseqty_buer[Type_size],0))</f>
        <v>#N/A</v>
      </c>
      <c r="AML72" s="5797"/>
      <c r="AMM72" s="3368" t="e">
        <f t="shared" si="311"/>
        <v>#N/A</v>
      </c>
      <c r="AMN72" s="5548"/>
      <c r="AMO72" s="5548"/>
      <c r="AMP72" s="5548"/>
      <c r="AMQ72" s="5548"/>
      <c r="AMR72" s="5548"/>
      <c r="AMS72" s="5548"/>
      <c r="AMT72" s="5548"/>
      <c r="AMU72" s="5548"/>
      <c r="AMV72" s="5548"/>
      <c r="AMW72" s="5548"/>
      <c r="AMX72" s="5548"/>
      <c r="AMY72" s="5548"/>
      <c r="AMZ72" s="5548"/>
      <c r="ANA72" s="5548"/>
      <c r="ANB72" s="5548"/>
      <c r="ANC72" s="5548"/>
      <c r="AND72" s="5548"/>
      <c r="ANE72" s="5548"/>
      <c r="ANF72" s="5548"/>
      <c r="ANG72" s="5548"/>
      <c r="ANH72" s="5548"/>
      <c r="ANI72" s="5548"/>
      <c r="ANJ72" s="5548"/>
      <c r="ANK72" s="5548"/>
      <c r="ANL72" s="5548"/>
      <c r="ANM72" s="5548"/>
      <c r="ANN72" s="5548"/>
      <c r="ANO72" s="5548"/>
      <c r="ANP72" s="5548"/>
      <c r="ANQ72" s="5548"/>
      <c r="ANR72" s="5548"/>
      <c r="ANS72" s="5548"/>
      <c r="ANT72" s="5548"/>
      <c r="ANU72" s="5548"/>
      <c r="ANV72" s="5548"/>
      <c r="ANW72" s="5548"/>
      <c r="ANX72" s="5548"/>
      <c r="ANY72" s="5548"/>
      <c r="ANZ72" s="5548"/>
      <c r="AOA72" s="5548"/>
      <c r="AOB72" s="5548"/>
      <c r="AOC72" s="5548"/>
      <c r="AOD72" s="5548"/>
      <c r="AOE72" s="5548"/>
      <c r="AOF72" s="5548"/>
      <c r="AOG72" s="5548"/>
      <c r="AOH72" s="5548"/>
      <c r="AOI72" s="5548"/>
      <c r="AOJ72" s="5548"/>
      <c r="AOK72" s="5548"/>
      <c r="AOL72" s="5548"/>
      <c r="AOM72" s="5548"/>
      <c r="AOO72" s="5800"/>
      <c r="AOP72" s="5797" t="b">
        <v>1</v>
      </c>
      <c r="AOQ72" s="5797"/>
      <c r="AOR72" s="2983">
        <f>'!Egen_SK'!$AT$157</f>
        <v>1</v>
      </c>
      <c r="AOS72" s="5797"/>
      <c r="AOT72" s="3547" t="e">
        <f>INDEX(klasseqty_forbolting[andel_av_tunnelklasse_c],MATCH($AI$79,klasseqty_forbolting[Type_size],0))</f>
        <v>#N/A</v>
      </c>
      <c r="AOU72" s="5797"/>
      <c r="AOV72" s="4140" t="e">
        <f t="shared" si="288"/>
        <v>#N/A</v>
      </c>
      <c r="AOW72" s="5797"/>
      <c r="AOX72" s="5797"/>
      <c r="AOY72" s="5797" t="b">
        <v>1</v>
      </c>
      <c r="AOZ72" s="5797"/>
      <c r="APA72" s="2983" t="str">
        <f t="shared" si="312"/>
        <v/>
      </c>
      <c r="APB72" s="5797"/>
      <c r="APC72" s="3624" t="e">
        <f>INDEX(klasseqty_forbolting[andel_av_tunnelklasse_c],MATCH($AI$79,klasseqty_forbolting[Type_size],0))</f>
        <v>#N/A</v>
      </c>
      <c r="APD72" s="5797"/>
      <c r="APE72" s="5165" t="e">
        <f t="shared" si="289"/>
        <v>#N/A</v>
      </c>
      <c r="APF72" s="5797"/>
      <c r="APG72" s="5797" t="b">
        <v>1</v>
      </c>
      <c r="APH72" s="5797"/>
      <c r="API72" s="2983" t="str">
        <f>'!Egen_SK'!$AT$152</f>
        <v>Ingen</v>
      </c>
      <c r="APJ72" s="5797"/>
      <c r="APK72" s="3011" t="e">
        <f>INDEX(klasseqty_forbolting[bueområde_c],MATCH($AI$79,klasseqty_forbolting[Type_size],0))</f>
        <v>#N/A</v>
      </c>
      <c r="APL72" s="5797"/>
      <c r="APM72" s="2775" t="e">
        <f t="shared" si="290"/>
        <v>#N/A</v>
      </c>
      <c r="APN72" s="5797"/>
      <c r="APO72" s="5797" t="b">
        <v>1</v>
      </c>
      <c r="APP72" s="5797"/>
      <c r="APQ72" s="2983">
        <f>'!Egen_SK'!$AT$165</f>
        <v>0</v>
      </c>
      <c r="APR72" s="5797"/>
      <c r="APS72" s="3011" t="e">
        <f>INDEX(klasseqty_forbolting[forbolting_senteravstand_c],MATCH($AI$79,klasseqty_forbolting[Type_size],0))</f>
        <v>#N/A</v>
      </c>
      <c r="APT72" s="5797"/>
      <c r="APU72" s="2775" t="e">
        <f t="shared" si="291"/>
        <v>#N/A</v>
      </c>
      <c r="APV72" s="5797"/>
      <c r="APW72" s="5797" t="b">
        <v>1</v>
      </c>
      <c r="APX72" s="5797"/>
      <c r="APY72" s="3712">
        <f>'!Egen_SK'!$AT$169</f>
        <v>0</v>
      </c>
      <c r="APZ72" s="5797"/>
      <c r="AQA72" s="3547" t="e">
        <f>INDEX(klasseqty_forbolting[forbolting_lt4_c],MATCH($AI$79,klasseqty_forbolting[Type_size],0))</f>
        <v>#N/A</v>
      </c>
      <c r="AQB72" s="5797"/>
      <c r="AQC72" s="2781" t="e">
        <f t="shared" si="313"/>
        <v>#N/A</v>
      </c>
      <c r="AQD72" s="5797"/>
      <c r="AQE72" s="184"/>
      <c r="AQF72" s="5797"/>
      <c r="AQG72" s="5797"/>
      <c r="AQH72" s="2782" t="str">
        <f t="shared" si="314"/>
        <v/>
      </c>
      <c r="AQI72" s="5797"/>
      <c r="AQJ72" s="3547" t="e">
        <f>INDEX(klasseqty_forbolting[forbolting_gt4_c],MATCH($AI$79,klasseqty_forbolting[Type_size],0))</f>
        <v>#N/A</v>
      </c>
      <c r="AQK72" s="5797"/>
      <c r="AQL72" s="3368" t="e">
        <f t="shared" si="315"/>
        <v>#N/A</v>
      </c>
      <c r="AQN72" s="5800"/>
      <c r="AQO72" s="5797" t="b">
        <v>1</v>
      </c>
      <c r="AQP72" s="5797"/>
      <c r="AQQ72" s="2983">
        <f>'!Egen_SK'!$AT$178</f>
        <v>0</v>
      </c>
      <c r="AQR72" s="5797"/>
      <c r="AQS72" s="3011" t="e">
        <f>INDEX(klasseqty_forbolting[oppheng_senteravstand_c],MATCH($AI$79,klasseqty_forbolting[Type_size],0))</f>
        <v>#N/A</v>
      </c>
      <c r="AQT72" s="5797"/>
      <c r="AQU72" s="2775" t="e">
        <f t="shared" si="292"/>
        <v>#N/A</v>
      </c>
      <c r="AQV72" s="5797"/>
      <c r="AQW72" s="5797" t="b">
        <v>1</v>
      </c>
      <c r="AQX72" s="5797"/>
      <c r="AQY72" s="3712">
        <f>'!Egen_SK'!$AT$182</f>
        <v>0</v>
      </c>
      <c r="AQZ72" s="5797"/>
      <c r="ARA72" s="3547" t="e">
        <f>INDEX(klasseqty_forbolting[oppheng_lt4_c],MATCH($AI$79,klasseqty_forbolting[Type_size],0))</f>
        <v>#N/A</v>
      </c>
      <c r="ARB72" s="5797"/>
      <c r="ARC72" s="2781" t="e">
        <f t="shared" si="316"/>
        <v>#N/A</v>
      </c>
      <c r="ARD72" s="5797"/>
      <c r="ARE72" s="184"/>
      <c r="ARF72" s="5797"/>
      <c r="ARG72" s="5797"/>
      <c r="ARH72" s="2782" t="str">
        <f t="shared" si="317"/>
        <v/>
      </c>
      <c r="ARI72" s="5797"/>
      <c r="ARJ72" s="3547" t="e">
        <f>INDEX(klasseqty_forbolting[oppheng_gt4_c],MATCH($AI$79,klasseqty_forbolting[Type_size],0))</f>
        <v>#N/A</v>
      </c>
      <c r="ARK72" s="5797"/>
      <c r="ARL72" s="3368" t="e">
        <f t="shared" si="318"/>
        <v>#N/A</v>
      </c>
      <c r="ART72" s="5800" t="b">
        <v>1</v>
      </c>
      <c r="ARU72" s="5797"/>
      <c r="ARV72" s="3712">
        <f>'!Egen_SK'!$AT$312</f>
        <v>0</v>
      </c>
      <c r="ARW72" s="5797"/>
      <c r="ARX72" s="3624" t="e">
        <f>INDEX(klasseqty_sik1234[sikringsstøp_hypp_c],MATCH($AI$79,klasseqty_sik1234[Type_size],0))</f>
        <v>#N/A</v>
      </c>
      <c r="ARY72" s="5797"/>
      <c r="ARZ72" s="2775" t="e">
        <f t="shared" si="293"/>
        <v>#N/A</v>
      </c>
      <c r="ASA72" s="184"/>
      <c r="ASB72" s="5797" t="b">
        <v>1</v>
      </c>
      <c r="ASC72" s="5797"/>
      <c r="ASD72" s="2983">
        <f>'!Egen_SK'!$AT$316</f>
        <v>0</v>
      </c>
      <c r="ASE72" s="5797"/>
      <c r="ASF72" s="3547" t="e">
        <f>INDEX(klasseqty_sik1234[sikringsstøp_123_c],MATCH($AI$79,klasseqty_sik1234[Type_size],0))</f>
        <v>#N/A</v>
      </c>
      <c r="ASG72" s="5797"/>
      <c r="ASH72" s="2781" t="e">
        <f t="shared" si="319"/>
        <v>#N/A</v>
      </c>
      <c r="ASI72" s="5797"/>
      <c r="ASJ72" s="184"/>
      <c r="ASK72" s="5797"/>
      <c r="ASL72" s="5797"/>
      <c r="ASM72" s="2782" t="str">
        <f t="shared" si="320"/>
        <v/>
      </c>
      <c r="ASN72" s="5797"/>
      <c r="ASO72" s="3547" t="e">
        <f>INDEX(klasseqty_sik1234[sikringsstøp_4_c],MATCH($AI$79,klasseqty_sik1234[Type_size],0))</f>
        <v>#N/A</v>
      </c>
      <c r="ASP72" s="5797"/>
      <c r="ASQ72" s="3368" t="e">
        <f t="shared" si="321"/>
        <v>#N/A</v>
      </c>
      <c r="ASR72" s="2737"/>
      <c r="ASS72" s="2737"/>
      <c r="ATA72" s="2622"/>
      <c r="AUU72" s="2617"/>
      <c r="AUV72" s="3397"/>
      <c r="AUW72" s="3397"/>
      <c r="AUX72" s="3397"/>
      <c r="AUY72" s="3397"/>
      <c r="AUZ72" s="3397"/>
      <c r="AVA72" s="2617"/>
      <c r="AVB72" s="2617"/>
      <c r="AVC72" s="2617"/>
      <c r="AVD72" s="2617"/>
      <c r="AVE72" s="2617"/>
      <c r="AVF72" s="2617"/>
      <c r="AVG72" s="2617"/>
      <c r="AVH72" s="2617"/>
      <c r="AVI72" s="2617"/>
      <c r="AVJ72" s="2617"/>
      <c r="AVK72" s="2617"/>
      <c r="AVL72" s="2617"/>
      <c r="AVM72" s="2617"/>
      <c r="AVN72" s="2617"/>
      <c r="AVO72" s="2617"/>
      <c r="AVP72" s="2617"/>
      <c r="AVQ72" s="2617"/>
      <c r="AVR72" s="2617"/>
      <c r="AVS72" s="2617"/>
      <c r="AVT72" s="2617"/>
      <c r="AVU72" s="2617"/>
      <c r="AVV72" s="2617"/>
      <c r="AVW72" s="2617"/>
      <c r="AVX72" s="2617"/>
      <c r="AVY72" s="2617"/>
      <c r="AVZ72" s="2617"/>
      <c r="AWA72" s="2617"/>
      <c r="AWB72" s="2617"/>
      <c r="AWC72" s="2617"/>
      <c r="AWD72" s="2617"/>
      <c r="AWE72" s="2617"/>
      <c r="AWF72" s="2617"/>
      <c r="AWG72" s="2617"/>
      <c r="AWH72" s="2617"/>
      <c r="AWI72" s="2617"/>
      <c r="AWJ72" s="2617"/>
      <c r="AWK72" s="2617"/>
      <c r="AWL72" s="2617"/>
      <c r="AWM72" s="2617"/>
      <c r="AWN72" s="2617"/>
      <c r="AWO72" s="2617"/>
      <c r="AWP72" s="2617"/>
      <c r="AWQ72" s="2617"/>
      <c r="AWR72" s="2617"/>
      <c r="AWS72" s="2617"/>
      <c r="AWT72" s="2617"/>
      <c r="AWU72" s="2617"/>
      <c r="AWV72" s="2617"/>
      <c r="AWW72" s="2617"/>
      <c r="AWX72" s="2617"/>
      <c r="AWY72" s="2617"/>
      <c r="AWZ72" s="2617"/>
      <c r="AXA72" s="2617"/>
      <c r="AXB72" s="2617"/>
      <c r="AXC72" s="2617"/>
      <c r="AXD72" s="2617"/>
      <c r="AXE72" s="2617"/>
      <c r="AXF72" s="2617"/>
      <c r="AXG72" s="2617"/>
      <c r="AXH72" s="2617"/>
      <c r="AXI72" s="2617"/>
      <c r="AXJ72" s="2617"/>
      <c r="AXK72" s="2617"/>
      <c r="BCW72" s="184"/>
      <c r="BCX72" s="184"/>
      <c r="BFE72" s="3398"/>
    </row>
    <row r="73" spans="1:1513" x14ac:dyDescent="0.2">
      <c r="AL73" s="2617"/>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c r="FT73" s="181"/>
      <c r="FU73" s="181"/>
      <c r="FV73" s="181"/>
      <c r="FW73" s="181"/>
      <c r="FX73" s="181"/>
      <c r="FY73" s="181"/>
      <c r="FZ73" s="181"/>
      <c r="GA73" s="181"/>
      <c r="GB73" s="181"/>
      <c r="GC73" s="181"/>
      <c r="GD73" s="181"/>
      <c r="GE73" s="181"/>
      <c r="GF73" s="181"/>
      <c r="GG73" s="181"/>
      <c r="GH73" s="181"/>
      <c r="GI73" s="181"/>
      <c r="GJ73" s="181"/>
      <c r="GK73" s="181"/>
      <c r="GL73" s="181"/>
      <c r="GM73" s="181"/>
      <c r="GN73" s="181"/>
      <c r="GO73" s="181"/>
      <c r="GP73" s="181"/>
      <c r="GQ73" s="181"/>
      <c r="GR73" s="181"/>
      <c r="GS73" s="181"/>
      <c r="GT73" s="181"/>
      <c r="GU73" s="181"/>
      <c r="GV73" s="181"/>
      <c r="GW73" s="181"/>
      <c r="GX73" s="181"/>
      <c r="GY73" s="181"/>
      <c r="GZ73" s="181"/>
      <c r="HA73" s="181"/>
      <c r="HB73" s="181"/>
      <c r="HC73" s="181"/>
      <c r="HD73" s="181"/>
      <c r="HE73" s="181"/>
      <c r="HF73" s="181"/>
      <c r="HG73" s="181"/>
      <c r="HH73" s="181"/>
      <c r="HI73" s="181"/>
      <c r="HJ73" s="181"/>
      <c r="HK73" s="181"/>
      <c r="HL73" s="181"/>
      <c r="HM73" s="181"/>
      <c r="HN73" s="181"/>
      <c r="HO73" s="181"/>
      <c r="HP73" s="181"/>
      <c r="HQ73" s="181"/>
      <c r="LF73" s="181"/>
      <c r="LG73" s="181"/>
      <c r="LH73" s="181"/>
      <c r="LI73" s="181"/>
      <c r="LJ73" s="181"/>
      <c r="LK73" s="181"/>
      <c r="LL73" s="181"/>
      <c r="LM73" s="181"/>
      <c r="LN73" s="181"/>
      <c r="LO73" s="181"/>
      <c r="LP73" s="181"/>
      <c r="LQ73" s="181"/>
      <c r="LR73" s="181"/>
      <c r="LS73" s="181"/>
      <c r="LT73" s="181"/>
      <c r="LU73" s="181"/>
      <c r="LV73" s="181"/>
      <c r="LW73" s="181"/>
      <c r="LX73" s="181"/>
      <c r="LY73" s="181"/>
      <c r="LZ73" s="181"/>
      <c r="MA73" s="181"/>
      <c r="MB73" s="181"/>
      <c r="MC73" s="181"/>
      <c r="MD73" s="181"/>
      <c r="ME73" s="181"/>
      <c r="MF73" s="181"/>
      <c r="MG73" s="181"/>
      <c r="MH73" s="181"/>
      <c r="MI73" s="181"/>
      <c r="MJ73" s="181"/>
      <c r="MK73" s="181"/>
      <c r="ML73" s="181"/>
      <c r="MM73" s="181"/>
      <c r="MN73" s="181"/>
      <c r="MO73" s="181"/>
      <c r="MP73" s="181"/>
      <c r="MQ73" s="181"/>
      <c r="MR73" s="181"/>
      <c r="MS73" s="181"/>
      <c r="MT73" s="181"/>
      <c r="MU73" s="181"/>
      <c r="MV73" s="181"/>
      <c r="MW73" s="181"/>
      <c r="MX73" s="181"/>
      <c r="MY73" s="181"/>
      <c r="MZ73" s="181"/>
      <c r="NA73" s="181"/>
      <c r="NB73" s="181"/>
      <c r="NC73" s="181"/>
      <c r="ND73" s="181"/>
      <c r="NE73" s="181"/>
      <c r="NF73" s="181"/>
      <c r="NG73" s="181"/>
      <c r="NH73" s="181"/>
      <c r="NI73" s="181"/>
      <c r="NJ73" s="181"/>
      <c r="NK73" s="181"/>
      <c r="NL73" s="181"/>
      <c r="NM73" s="181"/>
      <c r="NN73" s="181"/>
      <c r="NO73" s="181"/>
      <c r="NP73" s="181"/>
      <c r="NQ73" s="181"/>
      <c r="NR73" s="181"/>
      <c r="NS73" s="181"/>
      <c r="NT73" s="181"/>
      <c r="NU73" s="181"/>
      <c r="NV73" s="181"/>
      <c r="NW73" s="181"/>
      <c r="NX73" s="181"/>
      <c r="NY73" s="181"/>
      <c r="NZ73" s="181"/>
      <c r="OA73" s="181"/>
      <c r="OB73" s="181"/>
      <c r="OC73" s="181"/>
      <c r="OD73" s="181"/>
      <c r="OE73" s="181"/>
      <c r="OF73" s="181"/>
      <c r="OG73" s="181"/>
      <c r="OH73" s="181"/>
      <c r="OI73" s="181"/>
      <c r="OJ73" s="181"/>
      <c r="OK73" s="181"/>
      <c r="OL73" s="181"/>
      <c r="OM73" s="181"/>
      <c r="ON73" s="181"/>
      <c r="OO73" s="181"/>
      <c r="OP73" s="181"/>
      <c r="OQ73" s="181"/>
      <c r="OR73" s="181"/>
      <c r="OS73" s="181"/>
      <c r="OT73" s="181"/>
      <c r="OU73" s="181"/>
      <c r="OV73" s="181"/>
      <c r="OW73" s="181"/>
      <c r="OX73" s="181"/>
      <c r="OY73" s="181"/>
      <c r="OZ73" s="181"/>
      <c r="PA73" s="181"/>
      <c r="PB73" s="181"/>
      <c r="PC73" s="181"/>
      <c r="PD73" s="181"/>
      <c r="PE73" s="181"/>
      <c r="PF73" s="181"/>
      <c r="PG73" s="181"/>
      <c r="PH73" s="181"/>
      <c r="PI73" s="181"/>
      <c r="PJ73" s="181"/>
      <c r="PK73" s="181"/>
      <c r="PL73" s="181"/>
      <c r="PM73" s="181"/>
      <c r="PN73" s="181"/>
      <c r="PO73" s="181"/>
      <c r="PP73" s="181"/>
      <c r="PQ73" s="181"/>
      <c r="PR73" s="181"/>
      <c r="PS73" s="181"/>
      <c r="PT73" s="181"/>
      <c r="PU73" s="181"/>
      <c r="PV73" s="181"/>
      <c r="PW73" s="181"/>
      <c r="PX73" s="181"/>
      <c r="PY73" s="181"/>
      <c r="PZ73" s="181"/>
      <c r="QA73" s="181"/>
      <c r="QB73" s="181"/>
      <c r="QC73" s="181"/>
      <c r="QD73" s="181"/>
      <c r="QE73" s="181"/>
      <c r="QF73" s="181"/>
      <c r="QG73" s="181"/>
      <c r="QH73" s="181"/>
      <c r="QI73" s="181"/>
      <c r="QJ73" s="181"/>
      <c r="QK73" s="181"/>
      <c r="QL73" s="181"/>
      <c r="QM73" s="181"/>
      <c r="QN73" s="181"/>
      <c r="QO73" s="181"/>
      <c r="QP73" s="181"/>
      <c r="QQ73" s="181"/>
      <c r="QR73" s="181"/>
      <c r="QS73" s="181"/>
      <c r="QT73" s="181"/>
      <c r="QU73" s="181"/>
      <c r="QV73" s="181"/>
      <c r="QW73" s="181"/>
      <c r="QX73" s="181"/>
      <c r="QY73" s="181"/>
      <c r="QZ73" s="181"/>
      <c r="RA73" s="181"/>
      <c r="RB73" s="181"/>
      <c r="RC73" s="181"/>
      <c r="RD73" s="181"/>
      <c r="RE73" s="181"/>
      <c r="RF73" s="181"/>
      <c r="RG73" s="181"/>
      <c r="RH73" s="181"/>
      <c r="RI73" s="181"/>
      <c r="RJ73" s="181"/>
      <c r="RK73" s="181"/>
      <c r="RL73" s="181"/>
      <c r="RM73" s="181"/>
      <c r="RN73" s="181"/>
      <c r="RO73" s="181"/>
      <c r="RP73" s="181"/>
      <c r="RQ73" s="181"/>
      <c r="RR73" s="181"/>
      <c r="RS73" s="181"/>
      <c r="RT73" s="181"/>
      <c r="RU73" s="181"/>
      <c r="RV73" s="181"/>
      <c r="RW73" s="181"/>
      <c r="RX73" s="181"/>
      <c r="RY73" s="181"/>
      <c r="RZ73" s="181"/>
      <c r="SA73" s="181"/>
      <c r="SB73" s="181"/>
      <c r="SC73" s="181"/>
      <c r="SD73" s="181"/>
      <c r="SE73" s="181"/>
      <c r="SF73" s="181"/>
      <c r="SG73" s="181"/>
      <c r="SH73" s="181"/>
      <c r="SI73" s="181"/>
      <c r="SJ73" s="181"/>
      <c r="SK73" s="181"/>
      <c r="SL73" s="181"/>
      <c r="SM73" s="181"/>
      <c r="SN73" s="181"/>
      <c r="SO73" s="181"/>
      <c r="SP73" s="181"/>
      <c r="SQ73" s="181"/>
      <c r="SR73" s="181"/>
      <c r="SS73" s="181"/>
      <c r="ST73" s="181"/>
      <c r="SU73" s="181"/>
      <c r="SV73" s="181"/>
      <c r="SW73" s="181"/>
      <c r="SX73" s="181"/>
      <c r="SY73" s="181"/>
      <c r="SZ73" s="181"/>
      <c r="TA73" s="181"/>
      <c r="TB73" s="181"/>
      <c r="TC73" s="181"/>
      <c r="TD73" s="181"/>
      <c r="TE73" s="181"/>
      <c r="TF73" s="181"/>
      <c r="TG73" s="181"/>
      <c r="TH73" s="181"/>
      <c r="TI73" s="181"/>
      <c r="TJ73" s="181"/>
      <c r="TK73" s="181"/>
      <c r="TL73" s="181"/>
      <c r="TM73" s="181"/>
      <c r="TN73" s="181"/>
      <c r="TO73" s="181"/>
      <c r="TP73" s="181"/>
      <c r="TQ73" s="181"/>
      <c r="TR73" s="181"/>
      <c r="TS73" s="181"/>
      <c r="TT73" s="181"/>
      <c r="TU73" s="181"/>
      <c r="TV73" s="181"/>
      <c r="TW73" s="181"/>
      <c r="TX73" s="181"/>
      <c r="TY73" s="181"/>
      <c r="TZ73" s="181"/>
      <c r="UA73" s="181"/>
      <c r="UB73" s="181"/>
      <c r="UC73" s="181"/>
      <c r="UD73" s="181"/>
      <c r="UE73" s="181"/>
      <c r="UF73" s="181"/>
      <c r="UG73" s="181"/>
      <c r="UH73" s="181"/>
      <c r="UI73" s="181"/>
      <c r="UJ73" s="181"/>
      <c r="UK73" s="181"/>
      <c r="UL73" s="181"/>
      <c r="UM73" s="181"/>
      <c r="UN73" s="181"/>
      <c r="UO73" s="181"/>
      <c r="UP73" s="181"/>
      <c r="UQ73" s="181"/>
      <c r="UR73" s="181"/>
      <c r="US73" s="181"/>
      <c r="UT73" s="181"/>
      <c r="UU73" s="181"/>
      <c r="UV73" s="181"/>
      <c r="UW73" s="181"/>
      <c r="UX73" s="181"/>
      <c r="UY73" s="181"/>
      <c r="UZ73" s="181"/>
      <c r="VA73" s="181"/>
      <c r="VB73" s="181"/>
      <c r="VC73" s="181"/>
      <c r="VD73" s="181"/>
      <c r="VE73" s="181"/>
      <c r="VF73" s="181"/>
      <c r="VG73" s="181"/>
      <c r="VH73" s="181"/>
      <c r="VI73" s="181"/>
      <c r="VJ73" s="181"/>
      <c r="VK73" s="181"/>
      <c r="VL73" s="181"/>
      <c r="VM73" s="181"/>
      <c r="VN73" s="181"/>
      <c r="VO73" s="181"/>
      <c r="VP73" s="181"/>
      <c r="VQ73" s="181"/>
      <c r="VR73" s="181"/>
      <c r="AAW73" s="372" t="s">
        <v>192</v>
      </c>
      <c r="AAX73" s="372"/>
      <c r="AAY73" s="372" t="s">
        <v>892</v>
      </c>
      <c r="AAZ73" s="184"/>
      <c r="ABA73" s="3811"/>
      <c r="ABB73" s="5797" t="b">
        <v>1</v>
      </c>
      <c r="ABC73" s="5797"/>
      <c r="ABD73" s="2983">
        <f>'!Egen_SK'!$BB$76</f>
        <v>0</v>
      </c>
      <c r="ABE73" s="5797"/>
      <c r="ABF73" s="3624" t="e">
        <f>INDEX(klasse_salve[salve_lengde_d],MATCH($AI$79,klasse_salve[Type_size],0))</f>
        <v>#N/A</v>
      </c>
      <c r="ABG73" s="5797"/>
      <c r="ABH73" s="3010" t="e">
        <f t="shared" si="294"/>
        <v>#N/A</v>
      </c>
      <c r="ABI73" s="5799"/>
      <c r="ABJ73" s="184"/>
      <c r="ABK73" s="3811"/>
      <c r="ABL73" s="5797" t="b">
        <v>1</v>
      </c>
      <c r="ABM73" s="5797"/>
      <c r="ABN73" s="2983">
        <f>'!Egen_SK'!$BB$85</f>
        <v>0</v>
      </c>
      <c r="ABO73" s="5797"/>
      <c r="ABP73" s="3624" t="e">
        <f>INDEX(klasseqty_rensk[manual_tid_salve_d],MATCH($AI$79,klasseqty_bolting[Type_size],0))</f>
        <v>#N/A</v>
      </c>
      <c r="ABQ73" s="5797"/>
      <c r="ABR73" s="3010" t="e">
        <f t="shared" si="295"/>
        <v>#N/A</v>
      </c>
      <c r="ABS73" s="5799"/>
      <c r="ABT73" s="184"/>
      <c r="ABU73" s="3811"/>
      <c r="ABV73" s="5797" t="b">
        <v>1</v>
      </c>
      <c r="ABW73" s="5797"/>
      <c r="ABX73" s="2983">
        <f>'!Egen_SK'!$BB$92</f>
        <v>0</v>
      </c>
      <c r="ABY73" s="5797"/>
      <c r="ABZ73" s="3624" t="e">
        <f>INDEX(klasseqty_rensk[inspectiontid_d],MATCH($AI$79,klasseqty_bolting[Type_size],0))</f>
        <v>#N/A</v>
      </c>
      <c r="ACA73" s="5797"/>
      <c r="ACB73" s="3010" t="e">
        <f t="shared" si="296"/>
        <v>#N/A</v>
      </c>
      <c r="ACC73" s="5799"/>
      <c r="ACD73" s="5797"/>
      <c r="ACE73" s="5800"/>
      <c r="ACF73" s="5797" t="b">
        <v>1</v>
      </c>
      <c r="ACG73" s="5797"/>
      <c r="ACH73" s="2983">
        <f>'!Egen_SK'!$BB$101</f>
        <v>0</v>
      </c>
      <c r="ACI73" s="5797"/>
      <c r="ACJ73" s="2774" t="e">
        <f>INDEX(klasseqty_bolting[veder_cc_d],MATCH($AI$79,klasseqty_bolting[Type_size],0))</f>
        <v>#N/A</v>
      </c>
      <c r="ACK73" s="5797"/>
      <c r="ACL73" s="2775" t="e">
        <f t="shared" si="297"/>
        <v>#N/A</v>
      </c>
      <c r="ACM73" s="5797"/>
      <c r="ACN73" s="184"/>
      <c r="ACO73" s="5797" t="b">
        <v>1</v>
      </c>
      <c r="ACP73" s="5797"/>
      <c r="ACQ73" s="2782">
        <f>'!Egen_SK'!$BB$105</f>
        <v>0</v>
      </c>
      <c r="ACR73" s="5797"/>
      <c r="ACS73" s="3547" t="e">
        <f>INDEX(klasseqty_bolting[veder_length_lt4_d],MATCH($AI$79,klasseqty_bolting[Type_size],0))</f>
        <v>#N/A</v>
      </c>
      <c r="ACT73" s="5797"/>
      <c r="ACU73" s="2781" t="e">
        <f t="shared" si="298"/>
        <v>#N/A</v>
      </c>
      <c r="ACV73" s="5797"/>
      <c r="ACW73" s="184"/>
      <c r="ACX73" s="5797"/>
      <c r="ACY73" s="5797"/>
      <c r="ACZ73" s="2782" t="str">
        <f t="shared" si="299"/>
        <v/>
      </c>
      <c r="ADA73" s="5797"/>
      <c r="ADB73" s="3547" t="e">
        <f>INDEX(klasseqty_bolting[veder_length_gt4_d],MATCH($AI$79,klasseqty_bolting[Type_size],0))</f>
        <v>#N/A</v>
      </c>
      <c r="ADC73" s="5797"/>
      <c r="ADD73" s="2781" t="e">
        <f t="shared" si="300"/>
        <v>#N/A</v>
      </c>
      <c r="ADE73" s="5809"/>
      <c r="ADF73" s="5797"/>
      <c r="ADG73" s="5800"/>
      <c r="ADH73" s="5797" t="b">
        <v>1</v>
      </c>
      <c r="ADI73" s="5797"/>
      <c r="ADJ73" s="2983">
        <f>'!Egen_SK'!$BB$114</f>
        <v>0</v>
      </c>
      <c r="ADK73" s="5797"/>
      <c r="ADL73" s="2774" t="e">
        <f>INDEX(klasseqty_bolting[vegg_cc_d],MATCH($AI$79,klasseqty_bolting[Type_size],0))</f>
        <v>#N/A</v>
      </c>
      <c r="ADM73" s="5797"/>
      <c r="ADN73" s="2775" t="e">
        <f t="shared" si="301"/>
        <v>#N/A</v>
      </c>
      <c r="ADO73" s="5797"/>
      <c r="ADP73" s="184"/>
      <c r="ADQ73" s="5797"/>
      <c r="ADR73" s="5797" t="b">
        <v>1</v>
      </c>
      <c r="ADS73" s="5797"/>
      <c r="ADT73" s="2782">
        <f>'!Egen_SK'!$BB$118</f>
        <v>0</v>
      </c>
      <c r="ADU73" s="5797"/>
      <c r="ADV73" s="3547" t="e">
        <f>INDEX(klasseqty_bolting[vegg_length_lt4_d],MATCH($AI$79,klasseqty_bolting[Type_size],0))</f>
        <v>#N/A</v>
      </c>
      <c r="ADW73" s="5797"/>
      <c r="ADX73" s="2781" t="e">
        <f t="shared" si="302"/>
        <v>#N/A</v>
      </c>
      <c r="ADY73" s="5797"/>
      <c r="ADZ73" s="5797"/>
      <c r="AEA73" s="5797"/>
      <c r="AEB73" s="2782" t="str">
        <f t="shared" si="270"/>
        <v/>
      </c>
      <c r="AEC73" s="5797"/>
      <c r="AED73" s="3547" t="e">
        <f>INDEX(klasseqty_bolting[vegg_length_gt4_d],MATCH($AI$79,klasseqty_bolting[Type_size],0))</f>
        <v>#N/A</v>
      </c>
      <c r="AEE73" s="5797"/>
      <c r="AEF73" s="2781" t="e">
        <f t="shared" si="271"/>
        <v>#N/A</v>
      </c>
      <c r="AEG73" s="5799"/>
      <c r="AEH73" s="5797"/>
      <c r="AEI73" s="5797"/>
      <c r="AEJ73" s="5797"/>
      <c r="AEK73" s="5797"/>
      <c r="AEL73" s="5797"/>
      <c r="AEM73" s="5797"/>
      <c r="AEN73" s="5797"/>
      <c r="AEO73" s="5797"/>
      <c r="AEP73" s="5797"/>
      <c r="AEQ73" s="5797"/>
      <c r="AER73" s="5797"/>
      <c r="AES73" s="5800"/>
      <c r="AET73" s="5797" t="b">
        <v>1</v>
      </c>
      <c r="AEU73" s="5797"/>
      <c r="AEV73" s="2983">
        <f>'!Egen_SK'!$BB$248</f>
        <v>2</v>
      </c>
      <c r="AEW73" s="5797"/>
      <c r="AEX73" s="2773" t="e">
        <f>INDEX(klasseqty_bergbånd[overlappingsfaktor_d],MATCH($AI$79,klasseqty_bergbånd[Type_size],0))</f>
        <v>#N/A</v>
      </c>
      <c r="AEY73" s="5797"/>
      <c r="AEZ73" s="3376" t="e">
        <f t="shared" si="272"/>
        <v>#N/A</v>
      </c>
      <c r="AFA73" s="5797"/>
      <c r="AFB73" s="5800" t="b">
        <v>1</v>
      </c>
      <c r="AFC73" s="5797"/>
      <c r="AFD73" s="2983">
        <f>'!Egen_SK'!$BB$255</f>
        <v>0</v>
      </c>
      <c r="AFE73" s="5797"/>
      <c r="AFF73" s="2773" t="e">
        <f>INDEX(klasseqty_bergbånd[tilleggs_bergbånd_d],MATCH($AI$79,klasseqty_bergbånd[Type_size],0))</f>
        <v>#N/A</v>
      </c>
      <c r="AFG73" s="5797"/>
      <c r="AFH73" s="3376" t="e">
        <f t="shared" si="273"/>
        <v>#N/A</v>
      </c>
      <c r="AFI73" s="5797"/>
      <c r="AFJ73" s="5800" t="b">
        <v>1</v>
      </c>
      <c r="AFK73" s="5797"/>
      <c r="AFL73" s="2983">
        <f>'!Egen_SK'!$BB$262</f>
        <v>0</v>
      </c>
      <c r="AFM73" s="5797"/>
      <c r="AFN73" s="3011" t="e">
        <f>INDEX(klasseqty_bergbånd[tilleggs_bergbånd_festebolter_senteravstand_d],MATCH($AI$79,klasseqty_bergbånd[Type_size],0))</f>
        <v>#N/A</v>
      </c>
      <c r="AFO73" s="5797"/>
      <c r="AFP73" s="2775" t="e">
        <f t="shared" si="274"/>
        <v>#N/A</v>
      </c>
      <c r="AFQ73" s="5797"/>
      <c r="AFR73" s="5797" t="b">
        <v>1</v>
      </c>
      <c r="AFS73" s="5797"/>
      <c r="AFT73" s="2782">
        <f>'!Egen_SK'!$BB$266</f>
        <v>0</v>
      </c>
      <c r="AFU73" s="5797"/>
      <c r="AFV73" s="3547" t="e">
        <f>INDEX(klasseqty_bergbånd[tilleggs_bergbånd_festebolter_lt4_d],MATCH($AI$79,klasseqty_bergbånd[Type_size],0))</f>
        <v>#N/A</v>
      </c>
      <c r="AFW73" s="5797"/>
      <c r="AFX73" s="2781" t="e">
        <f t="shared" si="303"/>
        <v>#N/A</v>
      </c>
      <c r="AFY73" s="5797"/>
      <c r="AFZ73" s="184"/>
      <c r="AGA73" s="5797"/>
      <c r="AGB73" s="5797"/>
      <c r="AGC73" s="5797"/>
      <c r="AGD73" s="2782" t="str">
        <f t="shared" si="304"/>
        <v/>
      </c>
      <c r="AGE73" s="5797"/>
      <c r="AGF73" s="3547" t="e">
        <f>INDEX(klasseqty_bergbånd[tilleggs_bergbånd_festebolter_gt4_d],MATCH($AI$79,klasseqty_bergbånd[Type_size],0))</f>
        <v>#N/A</v>
      </c>
      <c r="AGG73" s="5797"/>
      <c r="AGH73" s="2781" t="e">
        <f t="shared" si="305"/>
        <v>#N/A</v>
      </c>
      <c r="AGI73" s="5799"/>
      <c r="AGJ73" s="5152"/>
      <c r="AGK73" s="5152"/>
      <c r="AGL73" s="5152"/>
      <c r="AGM73" s="5152"/>
      <c r="AGN73" s="2622"/>
      <c r="AGO73" s="5800" t="b">
        <v>1</v>
      </c>
      <c r="AGP73" s="5797"/>
      <c r="AGQ73" s="2983">
        <f>'!Egen_SK'!$BB$277</f>
        <v>0</v>
      </c>
      <c r="AGR73" s="5797"/>
      <c r="AGS73" s="3011" t="e">
        <f>INDEX(klasseqty_nett[nett_hypp_d],MATCH($AI$79,klasseqty_nett[Type_size],0))</f>
        <v>#N/A</v>
      </c>
      <c r="AGT73" s="5797"/>
      <c r="AGU73" s="3376" t="e">
        <f t="shared" si="275"/>
        <v>#N/A</v>
      </c>
      <c r="AGV73" s="5152"/>
      <c r="AGW73" s="5800" t="b">
        <v>1</v>
      </c>
      <c r="AGX73" s="5797"/>
      <c r="AGY73" s="2983">
        <f>'!Egen_SK'!$BB$284</f>
        <v>0</v>
      </c>
      <c r="AGZ73" s="5797"/>
      <c r="AHA73" s="3011" t="e">
        <f>INDEX(klasseqty_nett[nett_festebolter_avstand_d],MATCH($AI$79,klasseqty_nett[Type_size],0))</f>
        <v>#N/A</v>
      </c>
      <c r="AHB73" s="5797"/>
      <c r="AHC73" s="3376" t="e">
        <f t="shared" si="276"/>
        <v>#N/A</v>
      </c>
      <c r="AHD73" s="5152"/>
      <c r="AHF73" s="5800" t="b">
        <v>1</v>
      </c>
      <c r="AHG73" s="5797"/>
      <c r="AHH73" s="2983">
        <f>'!Egen_SK'!$BB$291</f>
        <v>0</v>
      </c>
      <c r="AHI73" s="5797"/>
      <c r="AHJ73" s="3011" t="e">
        <f>INDEX(klasseqty_nett[nett_sprøytebetong_tykkelse_d],MATCH($AI$79,klasseqty_nett[Type_size],0))</f>
        <v>#N/A</v>
      </c>
      <c r="AHK73" s="5797"/>
      <c r="AHL73" s="3376" t="e">
        <f t="shared" si="277"/>
        <v>#N/A</v>
      </c>
      <c r="AHP73" s="5800"/>
      <c r="AHQ73" s="5797" t="b">
        <v>1</v>
      </c>
      <c r="AHR73" s="5797"/>
      <c r="AHS73" s="2983">
        <f>'!Egen_SK'!$BB$129</f>
        <v>0</v>
      </c>
      <c r="AHT73" s="5797"/>
      <c r="AHU73" s="3624" t="e">
        <f>INDEX(klasseqty_sprøyte[veder_tykkelse_d],MATCH($AI$79,klasseqty_sprøyte[Type_size],0))</f>
        <v>#N/A</v>
      </c>
      <c r="AHV73" s="5797"/>
      <c r="AHW73" s="2775" t="e">
        <f t="shared" si="278"/>
        <v>#N/A</v>
      </c>
      <c r="AHX73" s="3709"/>
      <c r="AHY73" s="2622"/>
      <c r="AHZ73" s="5800"/>
      <c r="AIA73" s="5797" t="b">
        <v>1</v>
      </c>
      <c r="AIB73" s="5797"/>
      <c r="AIC73" s="2983">
        <f>'!Egen_SK'!$BB$136</f>
        <v>0</v>
      </c>
      <c r="AID73" s="5797"/>
      <c r="AIE73" s="3624" t="e">
        <f>INDEX(klasseqty_sprøyte[vegg_tykkelse_d],MATCH($AI$79,klasseqty_sprøyte[Type_size],0))</f>
        <v>#N/A</v>
      </c>
      <c r="AIF73" s="5797"/>
      <c r="AIG73" s="2775" t="e">
        <f t="shared" si="279"/>
        <v>#N/A</v>
      </c>
      <c r="AIH73" s="3709"/>
      <c r="AII73" s="184"/>
      <c r="AIJ73" s="3811"/>
      <c r="AIK73" s="5797" t="b">
        <v>1</v>
      </c>
      <c r="AIL73" s="5797"/>
      <c r="AIM73" s="2983">
        <f>'!Egen_SK'!$BB$143</f>
        <v>0</v>
      </c>
      <c r="AIN73" s="5797"/>
      <c r="AIO73" s="3011" t="e">
        <f>INDEX(klasseqty_sprøyte[ruhetfaktor_d],MATCH($AI$79,klasseqty_sprøyte[Type_size],0))</f>
        <v>#N/A</v>
      </c>
      <c r="AIP73" s="5797"/>
      <c r="AIQ73" s="2775" t="e">
        <f t="shared" si="280"/>
        <v>#N/A</v>
      </c>
      <c r="AIR73" s="3753"/>
      <c r="AIS73" s="2622"/>
      <c r="AIT73" s="5800"/>
      <c r="AIU73" s="5797" t="b">
        <v>1</v>
      </c>
      <c r="AIV73" s="5797"/>
      <c r="AIW73" s="3319">
        <f>'!Egen_SK'!$BB$193</f>
        <v>0</v>
      </c>
      <c r="AIX73" s="5797"/>
      <c r="AIY73" s="2773" t="e">
        <f>INDEX(klasseqty_buer[dimensjon_d],MATCH($AI$79,klasseqty_buer[Type_size],0))</f>
        <v>#N/A</v>
      </c>
      <c r="AIZ73" s="5797"/>
      <c r="AJA73" s="2775" t="e">
        <f t="shared" si="281"/>
        <v>#N/A</v>
      </c>
      <c r="AJB73" s="5797"/>
      <c r="AJC73" s="5797" t="b">
        <v>1</v>
      </c>
      <c r="AJD73" s="5797"/>
      <c r="AJE73" s="2782">
        <f>'!Egen_SK'!$BB$198</f>
        <v>0</v>
      </c>
      <c r="AJF73" s="5797"/>
      <c r="AJG73" s="3547" t="e">
        <f>INDEX(klasseqty_buer[andel_d],MATCH($AI$79,klasseqty_buer[Type_size],0))</f>
        <v>#N/A</v>
      </c>
      <c r="AJH73" s="5797"/>
      <c r="AJI73" s="4140" t="e">
        <f t="shared" si="282"/>
        <v>#N/A</v>
      </c>
      <c r="AJJ73" s="5797"/>
      <c r="AJK73" s="5797" t="b">
        <v>1</v>
      </c>
      <c r="AJL73" s="5797"/>
      <c r="AJM73" s="2983">
        <f>'!Egen_SK'!$BB$202</f>
        <v>0</v>
      </c>
      <c r="AJN73" s="5797"/>
      <c r="AJO73" s="3011" t="e">
        <f>INDEX(klasseqty_buer[bue_senteravstand_d],MATCH($AI$79,klasseqty_buer[Type_size],0))</f>
        <v>#N/A</v>
      </c>
      <c r="AJP73" s="5797"/>
      <c r="AJQ73" s="2775" t="e">
        <f t="shared" si="283"/>
        <v>#N/A</v>
      </c>
      <c r="AJR73" s="5797"/>
      <c r="AJS73" s="5797" t="b">
        <v>1</v>
      </c>
      <c r="AJT73" s="5797"/>
      <c r="AJU73" s="2983">
        <f>'!Egen_SK'!$BB$206</f>
        <v>0</v>
      </c>
      <c r="AJV73" s="5797"/>
      <c r="AJW73" s="3011" t="e">
        <f>INDEX(klasseqty_buer[utvidelse_d],MATCH($AI$79,klasseqty_buer[Type_size],0))</f>
        <v>#N/A</v>
      </c>
      <c r="AJX73" s="5797"/>
      <c r="AJY73" s="2775" t="e">
        <f t="shared" si="284"/>
        <v>#N/A</v>
      </c>
      <c r="AJZ73" s="5799"/>
      <c r="AKA73" s="5797"/>
      <c r="AKB73" s="5797"/>
      <c r="AKC73" s="5797"/>
      <c r="AKD73" s="5800"/>
      <c r="AKE73" s="5797" t="b">
        <v>1</v>
      </c>
      <c r="AKF73" s="5797"/>
      <c r="AKG73" s="2983">
        <f>'!Egen_SK'!$BB$213</f>
        <v>0</v>
      </c>
      <c r="AKH73" s="5797"/>
      <c r="AKI73" s="3011" t="e">
        <f>INDEX(klasseqty_buer[radiellebolter_senteravstand_d],MATCH($AI$79,klasseqty_buer[Type_size],0))</f>
        <v>#N/A</v>
      </c>
      <c r="AKJ73" s="5797"/>
      <c r="AKK73" s="2775" t="e">
        <f t="shared" si="285"/>
        <v>#N/A</v>
      </c>
      <c r="AKL73" s="5797"/>
      <c r="AKM73" s="5797" t="b">
        <v>1</v>
      </c>
      <c r="AKN73" s="5797"/>
      <c r="AKO73" s="3712">
        <f>'!Egen_SK'!$BB$217</f>
        <v>0</v>
      </c>
      <c r="AKP73" s="5797"/>
      <c r="AKQ73" s="3547" t="e">
        <f>INDEX(klasseqty_buer[radiellebolter_lt4_d],MATCH($AI$79,klasseqty_buer[Type_size],0))</f>
        <v>#N/A</v>
      </c>
      <c r="AKR73" s="5797"/>
      <c r="AKS73" s="2781" t="e">
        <f t="shared" si="306"/>
        <v>#N/A</v>
      </c>
      <c r="AKT73" s="5797"/>
      <c r="AKU73" s="184"/>
      <c r="AKV73" s="5797"/>
      <c r="AKW73" s="5797"/>
      <c r="AKX73" s="2782" t="str">
        <f t="shared" si="307"/>
        <v/>
      </c>
      <c r="AKY73" s="5797"/>
      <c r="AKZ73" s="3547" t="e">
        <f>INDEX(klasseqty_buer[radiellebolter_gt4_d],MATCH($AI$79,klasseqty_buer[Type_size],0))</f>
        <v>#N/A</v>
      </c>
      <c r="ALA73" s="5797"/>
      <c r="ALB73" s="3368" t="e">
        <f t="shared" si="308"/>
        <v>#N/A</v>
      </c>
      <c r="ALC73" s="3643"/>
      <c r="ALD73" s="5800"/>
      <c r="ALE73" s="5797" t="b">
        <v>1</v>
      </c>
      <c r="ALF73" s="5797"/>
      <c r="ALG73" s="2983">
        <f>'!Egen_SK'!$BB$226</f>
        <v>0</v>
      </c>
      <c r="ALH73" s="5797"/>
      <c r="ALI73" s="3011" t="e">
        <f>INDEX(klasseqty_buer[tillegs-sprøytebetong_d],MATCH($AI$79,klasseqty_buer[Type_size],0))</f>
        <v>#N/A</v>
      </c>
      <c r="ALJ73" s="5797"/>
      <c r="ALK73" s="2775" t="e">
        <f t="shared" si="286"/>
        <v>#N/A</v>
      </c>
      <c r="ALL73" s="3753"/>
      <c r="ALM73" s="2737"/>
      <c r="ALN73" s="5800"/>
      <c r="ALO73" s="5797" t="b">
        <v>1</v>
      </c>
      <c r="ALP73" s="5797"/>
      <c r="ALQ73" s="3715">
        <f>'!Egen_SK'!$BB$233</f>
        <v>0</v>
      </c>
      <c r="ALR73" s="5797"/>
      <c r="ALS73" s="3717" t="e">
        <f>INDEX(klasseqty_buer[forankring_d],MATCH($AI$79,klasseqty_buer[Type_size],0))</f>
        <v>#N/A</v>
      </c>
      <c r="ALT73" s="5797"/>
      <c r="ALU73" s="3719" t="e">
        <f t="shared" si="287"/>
        <v>#N/A</v>
      </c>
      <c r="ALV73" s="5797"/>
      <c r="ALW73" s="5797"/>
      <c r="ALX73" s="5797" t="b">
        <v>1</v>
      </c>
      <c r="ALY73" s="5797"/>
      <c r="ALZ73" s="2782">
        <f>'!Egen_SK'!$BB$237</f>
        <v>0</v>
      </c>
      <c r="AMA73" s="5797"/>
      <c r="AMB73" s="3547" t="e">
        <f>INDEX(klasseqty_buer[forankring_lt4_d],MATCH($AI$79,klasseqty_buer[Type_size],0))</f>
        <v>#N/A</v>
      </c>
      <c r="AMC73" s="5797"/>
      <c r="AMD73" s="2781" t="e">
        <f t="shared" si="309"/>
        <v>#N/A</v>
      </c>
      <c r="AME73" s="5797"/>
      <c r="AMF73" s="184"/>
      <c r="AMG73" s="5797"/>
      <c r="AMH73" s="5797"/>
      <c r="AMI73" s="2782" t="str">
        <f t="shared" si="310"/>
        <v/>
      </c>
      <c r="AMJ73" s="5797"/>
      <c r="AMK73" s="3547" t="e">
        <f>INDEX(klasseqty_buer[forankring_gt4_d],MATCH($AI$79,klasseqty_buer[Type_size],0))</f>
        <v>#N/A</v>
      </c>
      <c r="AML73" s="5797"/>
      <c r="AMM73" s="3368" t="e">
        <f t="shared" si="311"/>
        <v>#N/A</v>
      </c>
      <c r="AMN73" s="5548"/>
      <c r="AMO73" s="5548"/>
      <c r="AMP73" s="5548"/>
      <c r="AMQ73" s="5548"/>
      <c r="AMR73" s="5548"/>
      <c r="AMS73" s="5548"/>
      <c r="AMT73" s="5548"/>
      <c r="AMU73" s="5548"/>
      <c r="AMV73" s="5548"/>
      <c r="AMW73" s="5548"/>
      <c r="AMX73" s="5548"/>
      <c r="AMY73" s="5548"/>
      <c r="AMZ73" s="5548"/>
      <c r="ANA73" s="5548"/>
      <c r="ANB73" s="5548"/>
      <c r="ANC73" s="5548"/>
      <c r="AND73" s="5548"/>
      <c r="ANE73" s="5548"/>
      <c r="ANF73" s="5548"/>
      <c r="ANG73" s="5548"/>
      <c r="ANH73" s="5548"/>
      <c r="ANI73" s="5548"/>
      <c r="ANJ73" s="5548"/>
      <c r="ANK73" s="5548"/>
      <c r="ANL73" s="5548"/>
      <c r="ANM73" s="5548"/>
      <c r="ANN73" s="5548"/>
      <c r="ANO73" s="5548"/>
      <c r="ANP73" s="5548"/>
      <c r="ANQ73" s="5548"/>
      <c r="ANR73" s="5548"/>
      <c r="ANS73" s="5548"/>
      <c r="ANT73" s="5548"/>
      <c r="ANU73" s="5548"/>
      <c r="ANV73" s="5548"/>
      <c r="ANW73" s="5548"/>
      <c r="ANX73" s="5548"/>
      <c r="ANY73" s="5548"/>
      <c r="ANZ73" s="5548"/>
      <c r="AOA73" s="5548"/>
      <c r="AOB73" s="5548"/>
      <c r="AOC73" s="5548"/>
      <c r="AOD73" s="5548"/>
      <c r="AOE73" s="5548"/>
      <c r="AOF73" s="5548"/>
      <c r="AOG73" s="5548"/>
      <c r="AOH73" s="5548"/>
      <c r="AOI73" s="5548"/>
      <c r="AOJ73" s="5548"/>
      <c r="AOK73" s="5548"/>
      <c r="AOL73" s="5548"/>
      <c r="AOM73" s="5548"/>
      <c r="AOO73" s="5800"/>
      <c r="AOP73" s="5797" t="b">
        <v>1</v>
      </c>
      <c r="AOQ73" s="5797"/>
      <c r="AOR73" s="2983">
        <f>'!Egen_SK'!$BB$157</f>
        <v>1</v>
      </c>
      <c r="AOS73" s="5797"/>
      <c r="AOT73" s="3547" t="e">
        <f>INDEX(klasseqty_forbolting[andel_av_tunnelklasse_d],MATCH($AI$79,klasseqty_forbolting[Type_size],0))</f>
        <v>#N/A</v>
      </c>
      <c r="AOU73" s="5797"/>
      <c r="AOV73" s="4140" t="e">
        <f t="shared" si="288"/>
        <v>#N/A</v>
      </c>
      <c r="AOW73" s="5797"/>
      <c r="AOX73" s="5797"/>
      <c r="AOY73" s="5797" t="b">
        <v>1</v>
      </c>
      <c r="AOZ73" s="5797"/>
      <c r="APA73" s="2983" t="str">
        <f t="shared" si="312"/>
        <v/>
      </c>
      <c r="APB73" s="5797"/>
      <c r="APC73" s="3624" t="e">
        <f>INDEX(klasseqty_forbolting[andel_av_tunnelklasse_d],MATCH($AI$79,klasseqty_forbolting[Type_size],0))</f>
        <v>#N/A</v>
      </c>
      <c r="APD73" s="5797"/>
      <c r="APE73" s="5165" t="e">
        <f t="shared" si="289"/>
        <v>#N/A</v>
      </c>
      <c r="APF73" s="5797"/>
      <c r="APG73" s="5797" t="b">
        <v>1</v>
      </c>
      <c r="APH73" s="5797"/>
      <c r="API73" s="2983">
        <f>'!Egen_SK'!$BB$152</f>
        <v>0</v>
      </c>
      <c r="APJ73" s="5797"/>
      <c r="APK73" s="3011" t="e">
        <f>INDEX(klasseqty_forbolting[bueområde_d],MATCH($AI$79,klasseqty_forbolting[Type_size],0))</f>
        <v>#N/A</v>
      </c>
      <c r="APL73" s="5797"/>
      <c r="APM73" s="2775" t="e">
        <f t="shared" si="290"/>
        <v>#N/A</v>
      </c>
      <c r="APN73" s="5797"/>
      <c r="APO73" s="5797" t="b">
        <v>1</v>
      </c>
      <c r="APP73" s="5797"/>
      <c r="APQ73" s="2983">
        <f>'!Egen_SK'!$BB$165</f>
        <v>0.5</v>
      </c>
      <c r="APR73" s="5797"/>
      <c r="APS73" s="3011" t="e">
        <f>INDEX(klasseqty_forbolting[forbolting_senteravstand_d],MATCH($AI$79,klasseqty_forbolting[Type_size],0))</f>
        <v>#N/A</v>
      </c>
      <c r="APT73" s="5797"/>
      <c r="APU73" s="2775" t="e">
        <f t="shared" si="291"/>
        <v>#N/A</v>
      </c>
      <c r="APV73" s="5797"/>
      <c r="APW73" s="5797" t="b">
        <v>1</v>
      </c>
      <c r="APX73" s="5797"/>
      <c r="APY73" s="3712">
        <f>'!Egen_SK'!$BB$169</f>
        <v>0</v>
      </c>
      <c r="APZ73" s="5797"/>
      <c r="AQA73" s="3547" t="e">
        <f>INDEX(klasseqty_forbolting[forbolting_lt4_d],MATCH($AI$79,klasseqty_forbolting[Type_size],0))</f>
        <v>#N/A</v>
      </c>
      <c r="AQB73" s="5797"/>
      <c r="AQC73" s="2781" t="e">
        <f t="shared" si="313"/>
        <v>#N/A</v>
      </c>
      <c r="AQD73" s="5797"/>
      <c r="AQE73" s="184"/>
      <c r="AQF73" s="5797"/>
      <c r="AQG73" s="5797"/>
      <c r="AQH73" s="2782" t="str">
        <f t="shared" si="314"/>
        <v/>
      </c>
      <c r="AQI73" s="5797"/>
      <c r="AQJ73" s="3547" t="e">
        <f>INDEX(klasseqty_forbolting[forbolting_gt4_d],MATCH($AI$79,klasseqty_forbolting[Type_size],0))</f>
        <v>#N/A</v>
      </c>
      <c r="AQK73" s="5797"/>
      <c r="AQL73" s="3368" t="e">
        <f t="shared" si="315"/>
        <v>#N/A</v>
      </c>
      <c r="AQN73" s="5800"/>
      <c r="AQO73" s="5797" t="b">
        <v>1</v>
      </c>
      <c r="AQP73" s="5797"/>
      <c r="AQQ73" s="2983">
        <f>'!Egen_SK'!$BB$178</f>
        <v>0</v>
      </c>
      <c r="AQR73" s="5797"/>
      <c r="AQS73" s="3011" t="e">
        <f>INDEX(klasseqty_forbolting[oppheng_senteravstand_d],MATCH($AI$79,klasseqty_forbolting[Type_size],0))</f>
        <v>#N/A</v>
      </c>
      <c r="AQT73" s="5797"/>
      <c r="AQU73" s="2775" t="e">
        <f t="shared" si="292"/>
        <v>#N/A</v>
      </c>
      <c r="AQV73" s="5797"/>
      <c r="AQW73" s="5797" t="b">
        <v>1</v>
      </c>
      <c r="AQX73" s="5797"/>
      <c r="AQY73" s="3712">
        <f>'!Egen_SK'!$BB$182</f>
        <v>0</v>
      </c>
      <c r="AQZ73" s="5797"/>
      <c r="ARA73" s="3547" t="e">
        <f>INDEX(klasseqty_forbolting[oppheng_lt4_d],MATCH($AI$79,klasseqty_forbolting[Type_size],0))</f>
        <v>#N/A</v>
      </c>
      <c r="ARB73" s="5797"/>
      <c r="ARC73" s="2781" t="e">
        <f t="shared" si="316"/>
        <v>#N/A</v>
      </c>
      <c r="ARD73" s="5797"/>
      <c r="ARE73" s="184"/>
      <c r="ARF73" s="5797"/>
      <c r="ARG73" s="5797"/>
      <c r="ARH73" s="2782" t="str">
        <f t="shared" si="317"/>
        <v/>
      </c>
      <c r="ARI73" s="5797"/>
      <c r="ARJ73" s="3547" t="e">
        <f>INDEX(klasseqty_forbolting[oppheng_gt4_d],MATCH($AI$79,klasseqty_forbolting[Type_size],0))</f>
        <v>#N/A</v>
      </c>
      <c r="ARK73" s="5797"/>
      <c r="ARL73" s="3368" t="e">
        <f t="shared" si="318"/>
        <v>#N/A</v>
      </c>
      <c r="ART73" s="5800" t="b">
        <v>1</v>
      </c>
      <c r="ARU73" s="5797"/>
      <c r="ARV73" s="3712">
        <f>'!Egen_SK'!$BB$312</f>
        <v>0</v>
      </c>
      <c r="ARW73" s="5797"/>
      <c r="ARX73" s="3624" t="e">
        <f>INDEX(klasseqty_sik1234[sikringsstøp_hypp_d],MATCH($AI$79,klasseqty_sik1234[Type_size],0))</f>
        <v>#N/A</v>
      </c>
      <c r="ARY73" s="5797"/>
      <c r="ARZ73" s="2775" t="e">
        <f t="shared" si="293"/>
        <v>#N/A</v>
      </c>
      <c r="ASA73" s="184"/>
      <c r="ASB73" s="5797" t="b">
        <v>1</v>
      </c>
      <c r="ASC73" s="5797"/>
      <c r="ASD73" s="2983">
        <f>'!Egen_SK'!$BB$316</f>
        <v>0</v>
      </c>
      <c r="ASE73" s="5797"/>
      <c r="ASF73" s="3547" t="e">
        <f>INDEX(klasseqty_sik1234[sikringsstøp_123_d],MATCH($AI$79,klasseqty_sik1234[Type_size],0))</f>
        <v>#N/A</v>
      </c>
      <c r="ASG73" s="5797"/>
      <c r="ASH73" s="2781" t="e">
        <f t="shared" si="319"/>
        <v>#N/A</v>
      </c>
      <c r="ASI73" s="5797"/>
      <c r="ASJ73" s="184"/>
      <c r="ASK73" s="5797"/>
      <c r="ASL73" s="5797"/>
      <c r="ASM73" s="2782" t="str">
        <f t="shared" si="320"/>
        <v/>
      </c>
      <c r="ASN73" s="5797"/>
      <c r="ASO73" s="3547" t="e">
        <f>INDEX(klasseqty_sik1234[sikringsstøp_4_d],MATCH($AI$79,klasseqty_sik1234[Type_size],0))</f>
        <v>#N/A</v>
      </c>
      <c r="ASP73" s="5797"/>
      <c r="ASQ73" s="3368" t="e">
        <f t="shared" si="321"/>
        <v>#N/A</v>
      </c>
      <c r="ASR73" s="2737"/>
      <c r="ASS73" s="2737"/>
      <c r="ATA73" s="2622"/>
      <c r="AUU73" s="2617"/>
      <c r="AUV73" s="2625"/>
      <c r="AUW73" s="2625"/>
      <c r="AUX73" s="2625"/>
      <c r="AUY73" s="2625"/>
      <c r="AUZ73" s="2625"/>
      <c r="AVA73" s="2617"/>
      <c r="AVB73" s="2617"/>
      <c r="AVC73" s="2617"/>
      <c r="AVD73" s="2617"/>
      <c r="AVE73" s="2617"/>
      <c r="AVF73" s="2617"/>
      <c r="AVG73" s="2617"/>
      <c r="AVH73" s="2617"/>
      <c r="AVI73" s="2617"/>
      <c r="AVJ73" s="2617"/>
      <c r="AVK73" s="2617"/>
      <c r="AVL73" s="2617"/>
      <c r="AVM73" s="2617"/>
      <c r="AVN73" s="2617"/>
      <c r="AVO73" s="2617"/>
      <c r="AVP73" s="2617"/>
      <c r="AVQ73" s="2617"/>
      <c r="AVR73" s="2617"/>
      <c r="AVS73" s="2617"/>
      <c r="AVT73" s="2617"/>
      <c r="AVU73" s="2617"/>
      <c r="AVV73" s="2617"/>
      <c r="AVW73" s="2617"/>
      <c r="AVX73" s="2617"/>
      <c r="AVY73" s="2617"/>
      <c r="AVZ73" s="2617"/>
      <c r="AWA73" s="2617"/>
      <c r="AWB73" s="2617"/>
      <c r="AWC73" s="2617"/>
      <c r="AWD73" s="2617"/>
      <c r="AWE73" s="2617"/>
      <c r="AWF73" s="2617"/>
      <c r="AWG73" s="2617"/>
      <c r="AWH73" s="2617"/>
      <c r="AWI73" s="2617"/>
      <c r="AWJ73" s="2617"/>
      <c r="AWK73" s="2617"/>
      <c r="AWL73" s="2617"/>
      <c r="AWM73" s="2617"/>
      <c r="AWN73" s="2617"/>
      <c r="AWO73" s="2617"/>
      <c r="AWP73" s="2617"/>
      <c r="AWQ73" s="2617"/>
      <c r="AWR73" s="2617"/>
      <c r="AWS73" s="2617"/>
      <c r="AWT73" s="2617"/>
      <c r="AWU73" s="2617"/>
      <c r="AWV73" s="2617"/>
      <c r="AWW73" s="2617"/>
      <c r="AWX73" s="2617"/>
      <c r="AWY73" s="2617"/>
      <c r="AWZ73" s="2617"/>
      <c r="AXA73" s="2617"/>
      <c r="AXB73" s="2617"/>
      <c r="AXC73" s="2617"/>
      <c r="AXD73" s="2617"/>
      <c r="AXE73" s="2617"/>
      <c r="AXF73" s="2617"/>
      <c r="AXG73" s="2617"/>
      <c r="AXH73" s="2617"/>
      <c r="AXI73" s="2617"/>
      <c r="AXJ73" s="2617"/>
      <c r="AXK73" s="2617"/>
      <c r="BFE73" s="3398"/>
    </row>
    <row r="74" spans="1:1513" ht="30.75" x14ac:dyDescent="0.2">
      <c r="AF74" s="5811"/>
      <c r="AH74" s="206" t="s">
        <v>936</v>
      </c>
      <c r="AI74" s="199" t="e">
        <f>INDEX(vegprofil[bredde],MATCH(AI61,vegprofil[Name],0))</f>
        <v>#N/A</v>
      </c>
      <c r="AL74" s="2617"/>
      <c r="AV74" s="2622"/>
      <c r="AW74" s="2622"/>
      <c r="AX74" s="2622"/>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c r="FT74" s="181"/>
      <c r="FU74" s="181"/>
      <c r="FV74" s="181"/>
      <c r="FW74" s="181"/>
      <c r="FX74" s="181"/>
      <c r="FY74" s="181"/>
      <c r="FZ74" s="181"/>
      <c r="GA74" s="181"/>
      <c r="GB74" s="181"/>
      <c r="GC74" s="181"/>
      <c r="GD74" s="181"/>
      <c r="GE74" s="181"/>
      <c r="GF74" s="181"/>
      <c r="GG74" s="181"/>
      <c r="GH74" s="181"/>
      <c r="GI74" s="181"/>
      <c r="GJ74" s="181"/>
      <c r="GK74" s="181"/>
      <c r="GL74" s="181"/>
      <c r="GM74" s="181"/>
      <c r="GN74" s="181"/>
      <c r="GO74" s="181"/>
      <c r="GP74" s="181"/>
      <c r="GQ74" s="181"/>
      <c r="GR74" s="181"/>
      <c r="GS74" s="181"/>
      <c r="GT74" s="181"/>
      <c r="GU74" s="181"/>
      <c r="GV74" s="181"/>
      <c r="GW74" s="181"/>
      <c r="GX74" s="181"/>
      <c r="GY74" s="181"/>
      <c r="GZ74" s="181"/>
      <c r="HA74" s="181"/>
      <c r="HB74" s="181"/>
      <c r="HC74" s="181"/>
      <c r="HD74" s="181"/>
      <c r="HE74" s="181"/>
      <c r="HF74" s="181"/>
      <c r="HG74" s="181"/>
      <c r="HH74" s="181"/>
      <c r="HI74" s="181"/>
      <c r="HJ74" s="181"/>
      <c r="HK74" s="181"/>
      <c r="HL74" s="181"/>
      <c r="HM74" s="181"/>
      <c r="HN74" s="181"/>
      <c r="HO74" s="181"/>
      <c r="HP74" s="181"/>
      <c r="HQ74" s="181"/>
      <c r="LF74" s="181"/>
      <c r="LG74" s="181"/>
      <c r="LH74" s="181"/>
      <c r="LI74" s="181"/>
      <c r="LJ74" s="181"/>
      <c r="LK74" s="181"/>
      <c r="LL74" s="181"/>
      <c r="LM74" s="181"/>
      <c r="LN74" s="181"/>
      <c r="LO74" s="181"/>
      <c r="LP74" s="181"/>
      <c r="LQ74" s="181"/>
      <c r="LR74" s="181"/>
      <c r="LS74" s="181"/>
      <c r="LT74" s="181"/>
      <c r="LU74" s="181"/>
      <c r="LV74" s="181"/>
      <c r="LW74" s="181"/>
      <c r="LX74" s="181"/>
      <c r="LY74" s="181"/>
      <c r="LZ74" s="181"/>
      <c r="MA74" s="181"/>
      <c r="MB74" s="181"/>
      <c r="MC74" s="181"/>
      <c r="MD74" s="181"/>
      <c r="ME74" s="181"/>
      <c r="MF74" s="181"/>
      <c r="MG74" s="181"/>
      <c r="MH74" s="181"/>
      <c r="MI74" s="181"/>
      <c r="MJ74" s="181"/>
      <c r="MK74" s="181"/>
      <c r="ML74" s="181"/>
      <c r="MM74" s="181"/>
      <c r="MN74" s="181"/>
      <c r="MO74" s="181"/>
      <c r="MP74" s="181"/>
      <c r="MQ74" s="181"/>
      <c r="MR74" s="181"/>
      <c r="MS74" s="181"/>
      <c r="MT74" s="181"/>
      <c r="MU74" s="181"/>
      <c r="MV74" s="181"/>
      <c r="MW74" s="181"/>
      <c r="MX74" s="181"/>
      <c r="MY74" s="181"/>
      <c r="MZ74" s="181"/>
      <c r="NA74" s="181"/>
      <c r="NB74" s="181"/>
      <c r="NC74" s="181"/>
      <c r="ND74" s="181"/>
      <c r="NE74" s="181"/>
      <c r="NF74" s="181"/>
      <c r="NG74" s="181"/>
      <c r="NH74" s="181"/>
      <c r="NI74" s="181"/>
      <c r="NJ74" s="181"/>
      <c r="NK74" s="181"/>
      <c r="NL74" s="181"/>
      <c r="NM74" s="181"/>
      <c r="NN74" s="181"/>
      <c r="NO74" s="181"/>
      <c r="NP74" s="181"/>
      <c r="NQ74" s="181"/>
      <c r="NR74" s="181"/>
      <c r="NS74" s="181"/>
      <c r="NT74" s="181"/>
      <c r="NU74" s="181"/>
      <c r="NV74" s="181"/>
      <c r="NW74" s="181"/>
      <c r="NX74" s="181"/>
      <c r="NY74" s="181"/>
      <c r="NZ74" s="181"/>
      <c r="OA74" s="181"/>
      <c r="OB74" s="181"/>
      <c r="OC74" s="181"/>
      <c r="OD74" s="181"/>
      <c r="OE74" s="181"/>
      <c r="OF74" s="181"/>
      <c r="OG74" s="181"/>
      <c r="OH74" s="181"/>
      <c r="OI74" s="181"/>
      <c r="OJ74" s="181"/>
      <c r="OK74" s="181"/>
      <c r="OL74" s="181"/>
      <c r="OM74" s="181"/>
      <c r="ON74" s="181"/>
      <c r="OO74" s="181"/>
      <c r="OP74" s="181"/>
      <c r="OQ74" s="181"/>
      <c r="OR74" s="181"/>
      <c r="OS74" s="181"/>
      <c r="OT74" s="181"/>
      <c r="OU74" s="181"/>
      <c r="OV74" s="181"/>
      <c r="OW74" s="181"/>
      <c r="OX74" s="181"/>
      <c r="OY74" s="181"/>
      <c r="OZ74" s="181"/>
      <c r="PA74" s="181"/>
      <c r="PB74" s="181"/>
      <c r="PC74" s="181"/>
      <c r="PD74" s="181"/>
      <c r="PE74" s="181"/>
      <c r="PF74" s="181"/>
      <c r="PG74" s="181"/>
      <c r="PH74" s="181"/>
      <c r="PI74" s="181"/>
      <c r="PJ74" s="181"/>
      <c r="PK74" s="181"/>
      <c r="PL74" s="181"/>
      <c r="PM74" s="181"/>
      <c r="PN74" s="181"/>
      <c r="PO74" s="181"/>
      <c r="PP74" s="181"/>
      <c r="PQ74" s="181"/>
      <c r="PR74" s="181"/>
      <c r="PS74" s="181"/>
      <c r="PT74" s="181"/>
      <c r="PU74" s="181"/>
      <c r="PV74" s="181"/>
      <c r="PW74" s="181"/>
      <c r="PX74" s="181"/>
      <c r="PY74" s="181"/>
      <c r="PZ74" s="181"/>
      <c r="QA74" s="181"/>
      <c r="QB74" s="181"/>
      <c r="QC74" s="181"/>
      <c r="QD74" s="181"/>
      <c r="QE74" s="181"/>
      <c r="QF74" s="181"/>
      <c r="QG74" s="181"/>
      <c r="QH74" s="181"/>
      <c r="QI74" s="181"/>
      <c r="QJ74" s="181"/>
      <c r="QK74" s="181"/>
      <c r="QL74" s="181"/>
      <c r="QM74" s="181"/>
      <c r="QN74" s="181"/>
      <c r="QO74" s="181"/>
      <c r="QP74" s="181"/>
      <c r="QQ74" s="181"/>
      <c r="QR74" s="181"/>
      <c r="QS74" s="181"/>
      <c r="QT74" s="181"/>
      <c r="QU74" s="181"/>
      <c r="QV74" s="181"/>
      <c r="QW74" s="181"/>
      <c r="QX74" s="181"/>
      <c r="QY74" s="181"/>
      <c r="QZ74" s="181"/>
      <c r="RA74" s="181"/>
      <c r="RB74" s="181"/>
      <c r="RC74" s="181"/>
      <c r="RD74" s="181"/>
      <c r="RE74" s="181"/>
      <c r="RF74" s="181"/>
      <c r="RG74" s="181"/>
      <c r="RH74" s="181"/>
      <c r="RI74" s="181"/>
      <c r="RJ74" s="181"/>
      <c r="RK74" s="181"/>
      <c r="RL74" s="181"/>
      <c r="RM74" s="181"/>
      <c r="RN74" s="181"/>
      <c r="RO74" s="181"/>
      <c r="RP74" s="181"/>
      <c r="RQ74" s="181"/>
      <c r="RR74" s="181"/>
      <c r="RS74" s="181"/>
      <c r="RT74" s="181"/>
      <c r="RU74" s="181"/>
      <c r="RV74" s="181"/>
      <c r="RW74" s="181"/>
      <c r="RX74" s="181"/>
      <c r="RY74" s="181"/>
      <c r="RZ74" s="181"/>
      <c r="SA74" s="181"/>
      <c r="SB74" s="181"/>
      <c r="SC74" s="181"/>
      <c r="SD74" s="181"/>
      <c r="SE74" s="181"/>
      <c r="SF74" s="181"/>
      <c r="SG74" s="181"/>
      <c r="SH74" s="181"/>
      <c r="SI74" s="181"/>
      <c r="SJ74" s="181"/>
      <c r="SK74" s="181"/>
      <c r="SL74" s="181"/>
      <c r="SM74" s="181"/>
      <c r="SN74" s="181"/>
      <c r="SO74" s="181"/>
      <c r="SP74" s="181"/>
      <c r="SQ74" s="181"/>
      <c r="SR74" s="181"/>
      <c r="SS74" s="181"/>
      <c r="ST74" s="181"/>
      <c r="SU74" s="181"/>
      <c r="SV74" s="181"/>
      <c r="SW74" s="181"/>
      <c r="SX74" s="181"/>
      <c r="SY74" s="181"/>
      <c r="SZ74" s="181"/>
      <c r="TA74" s="181"/>
      <c r="TB74" s="181"/>
      <c r="TC74" s="181"/>
      <c r="TD74" s="181"/>
      <c r="TE74" s="181"/>
      <c r="TF74" s="181"/>
      <c r="TG74" s="181"/>
      <c r="TH74" s="181"/>
      <c r="TI74" s="181"/>
      <c r="TJ74" s="181"/>
      <c r="TK74" s="181"/>
      <c r="TL74" s="181"/>
      <c r="TM74" s="181"/>
      <c r="TN74" s="181"/>
      <c r="TO74" s="181"/>
      <c r="TP74" s="181"/>
      <c r="TQ74" s="181"/>
      <c r="TR74" s="181"/>
      <c r="TS74" s="181"/>
      <c r="TT74" s="181"/>
      <c r="TU74" s="181"/>
      <c r="TV74" s="181"/>
      <c r="TW74" s="181"/>
      <c r="TX74" s="181"/>
      <c r="TY74" s="181"/>
      <c r="TZ74" s="181"/>
      <c r="UA74" s="181"/>
      <c r="UB74" s="181"/>
      <c r="UC74" s="181"/>
      <c r="UD74" s="181"/>
      <c r="UE74" s="181"/>
      <c r="UF74" s="181"/>
      <c r="UG74" s="181"/>
      <c r="UH74" s="181"/>
      <c r="UI74" s="181"/>
      <c r="UJ74" s="181"/>
      <c r="UK74" s="181"/>
      <c r="UL74" s="181"/>
      <c r="UM74" s="181"/>
      <c r="UN74" s="181"/>
      <c r="UO74" s="181"/>
      <c r="UP74" s="181"/>
      <c r="UQ74" s="181"/>
      <c r="UR74" s="181"/>
      <c r="US74" s="181"/>
      <c r="UT74" s="181"/>
      <c r="UU74" s="181"/>
      <c r="UV74" s="181"/>
      <c r="UW74" s="181"/>
      <c r="UX74" s="181"/>
      <c r="UY74" s="181"/>
      <c r="UZ74" s="181"/>
      <c r="VA74" s="181"/>
      <c r="VB74" s="181"/>
      <c r="VC74" s="181"/>
      <c r="VD74" s="181"/>
      <c r="VE74" s="181"/>
      <c r="VF74" s="181"/>
      <c r="VG74" s="181"/>
      <c r="VH74" s="181"/>
      <c r="VI74" s="181"/>
      <c r="VJ74" s="181"/>
      <c r="VK74" s="181"/>
      <c r="VL74" s="181"/>
      <c r="VM74" s="181"/>
      <c r="VN74" s="181"/>
      <c r="VO74" s="181"/>
      <c r="VP74" s="181"/>
      <c r="VQ74" s="181"/>
      <c r="VR74" s="181"/>
      <c r="AAW74" s="372" t="s">
        <v>899</v>
      </c>
      <c r="AAX74" s="372" t="s">
        <v>876</v>
      </c>
      <c r="AAY74" s="372" t="s">
        <v>890</v>
      </c>
      <c r="AAZ74" s="184"/>
      <c r="ABA74" s="3811"/>
      <c r="ABB74" s="5797" t="b">
        <v>1</v>
      </c>
      <c r="ABC74" s="5797"/>
      <c r="ABD74" s="2983">
        <f>'!Egen_SK'!$BJ$76</f>
        <v>0</v>
      </c>
      <c r="ABE74" s="5797"/>
      <c r="ABF74" s="3624" t="e">
        <f>INDEX(klasse_salve[salve_lengde_e1],MATCH($AI$79,klasse_salve[Type_size],0))</f>
        <v>#N/A</v>
      </c>
      <c r="ABG74" s="5797"/>
      <c r="ABH74" s="3010" t="e">
        <f t="shared" si="294"/>
        <v>#N/A</v>
      </c>
      <c r="ABI74" s="5799"/>
      <c r="ABJ74" s="184"/>
      <c r="ABK74" s="3811"/>
      <c r="ABL74" s="5797" t="b">
        <v>1</v>
      </c>
      <c r="ABM74" s="5797"/>
      <c r="ABN74" s="2983">
        <f>'!Egen_SK'!$BJ$85</f>
        <v>0</v>
      </c>
      <c r="ABO74" s="5797"/>
      <c r="ABP74" s="3624" t="e">
        <f>INDEX(klasseqty_rensk[manual_tid_salve_e1],MATCH($AI$79,klasseqty_bolting[Type_size],0))</f>
        <v>#N/A</v>
      </c>
      <c r="ABQ74" s="5797"/>
      <c r="ABR74" s="3010" t="e">
        <f t="shared" si="295"/>
        <v>#N/A</v>
      </c>
      <c r="ABS74" s="5799"/>
      <c r="ABT74" s="184"/>
      <c r="ABU74" s="3811"/>
      <c r="ABV74" s="5797" t="b">
        <v>1</v>
      </c>
      <c r="ABW74" s="5797"/>
      <c r="ABX74" s="2983">
        <f>'!Egen_SK'!$BJ$92</f>
        <v>0</v>
      </c>
      <c r="ABY74" s="5797"/>
      <c r="ABZ74" s="3624" t="e">
        <f>INDEX(klasseqty_rensk[inspectiontid_e1],MATCH($AI$79,klasseqty_bolting[Type_size],0))</f>
        <v>#N/A</v>
      </c>
      <c r="ACA74" s="5797"/>
      <c r="ACB74" s="3010" t="e">
        <f t="shared" si="296"/>
        <v>#N/A</v>
      </c>
      <c r="ACC74" s="5799"/>
      <c r="ACD74" s="5797"/>
      <c r="ACE74" s="5800"/>
      <c r="ACF74" s="5797" t="b">
        <v>1</v>
      </c>
      <c r="ACG74" s="5797"/>
      <c r="ACH74" s="2983">
        <f>'!Egen_SK'!$BJ$101</f>
        <v>0</v>
      </c>
      <c r="ACI74" s="5797"/>
      <c r="ACJ74" s="2774" t="e">
        <f>INDEX(klasseqty_bolting[veder_cc_e1],MATCH($AI$79,klasseqty_bolting[Type_size],0))</f>
        <v>#N/A</v>
      </c>
      <c r="ACK74" s="5797"/>
      <c r="ACL74" s="2775" t="e">
        <f t="shared" si="297"/>
        <v>#N/A</v>
      </c>
      <c r="ACM74" s="5797"/>
      <c r="ACN74" s="184"/>
      <c r="ACO74" s="5797" t="b">
        <v>1</v>
      </c>
      <c r="ACP74" s="5797"/>
      <c r="ACQ74" s="2782">
        <f>'!Egen_SK'!$BJ$105</f>
        <v>0</v>
      </c>
      <c r="ACR74" s="5797"/>
      <c r="ACS74" s="3547" t="e">
        <f>INDEX(klasseqty_bolting[veder_length_lt4_e1],MATCH($AI$79,klasseqty_bolting[Type_size],0))</f>
        <v>#N/A</v>
      </c>
      <c r="ACT74" s="5797"/>
      <c r="ACU74" s="2781" t="e">
        <f t="shared" si="298"/>
        <v>#N/A</v>
      </c>
      <c r="ACV74" s="5797"/>
      <c r="ACW74" s="184"/>
      <c r="ACX74" s="5797"/>
      <c r="ACY74" s="5797"/>
      <c r="ACZ74" s="2782" t="str">
        <f t="shared" si="299"/>
        <v/>
      </c>
      <c r="ADA74" s="5797"/>
      <c r="ADB74" s="3547" t="e">
        <f>INDEX(klasseqty_bolting[veder_length_gt4_e1],MATCH($AI$79,klasseqty_bolting[Type_size],0))</f>
        <v>#N/A</v>
      </c>
      <c r="ADC74" s="5797"/>
      <c r="ADD74" s="2781" t="e">
        <f t="shared" si="300"/>
        <v>#N/A</v>
      </c>
      <c r="ADE74" s="5809"/>
      <c r="ADF74" s="5797"/>
      <c r="ADG74" s="5800"/>
      <c r="ADH74" s="5797" t="b">
        <v>1</v>
      </c>
      <c r="ADI74" s="5797"/>
      <c r="ADJ74" s="2983">
        <f>'!Egen_SK'!$BJ$114</f>
        <v>0</v>
      </c>
      <c r="ADK74" s="5797"/>
      <c r="ADL74" s="2774" t="e">
        <f>INDEX(klasseqty_bolting[vegg_cc_e1],MATCH($AI$79,klasseqty_bolting[Type_size],0))</f>
        <v>#N/A</v>
      </c>
      <c r="ADM74" s="5797"/>
      <c r="ADN74" s="2775" t="e">
        <f t="shared" si="301"/>
        <v>#N/A</v>
      </c>
      <c r="ADO74" s="5797"/>
      <c r="ADP74" s="184"/>
      <c r="ADQ74" s="5797"/>
      <c r="ADR74" s="5797" t="b">
        <v>1</v>
      </c>
      <c r="ADS74" s="5797"/>
      <c r="ADT74" s="2782">
        <f>'!Egen_SK'!$BJ$118</f>
        <v>0</v>
      </c>
      <c r="ADU74" s="5797"/>
      <c r="ADV74" s="3547" t="e">
        <f>INDEX(klasseqty_bolting[vegg_length_lt4_e1],MATCH($AI$79,klasseqty_bolting[Type_size],0))</f>
        <v>#N/A</v>
      </c>
      <c r="ADW74" s="5797"/>
      <c r="ADX74" s="2781" t="e">
        <f t="shared" si="302"/>
        <v>#N/A</v>
      </c>
      <c r="ADY74" s="5797"/>
      <c r="ADZ74" s="5797"/>
      <c r="AEA74" s="5797"/>
      <c r="AEB74" s="2782" t="str">
        <f t="shared" si="270"/>
        <v/>
      </c>
      <c r="AEC74" s="5797"/>
      <c r="AED74" s="3547" t="e">
        <f>INDEX(klasseqty_bolting[vegg_length_gt4_e1],MATCH($AI$79,klasseqty_bolting[Type_size],0))</f>
        <v>#N/A</v>
      </c>
      <c r="AEE74" s="5797"/>
      <c r="AEF74" s="2781" t="e">
        <f t="shared" si="271"/>
        <v>#N/A</v>
      </c>
      <c r="AEG74" s="5799"/>
      <c r="AEH74" s="5797"/>
      <c r="AEI74" s="5797"/>
      <c r="AEJ74" s="5797"/>
      <c r="AEK74" s="5797"/>
      <c r="AEL74" s="5797"/>
      <c r="AEM74" s="5797"/>
      <c r="AEN74" s="5797"/>
      <c r="AEO74" s="5797"/>
      <c r="AEP74" s="5797"/>
      <c r="AEQ74" s="5797"/>
      <c r="AER74" s="5797"/>
      <c r="AES74" s="5800"/>
      <c r="AET74" s="5797" t="b">
        <v>1</v>
      </c>
      <c r="AEU74" s="5797"/>
      <c r="AEV74" s="2983">
        <f>'!Egen_SK'!$BJ$248</f>
        <v>2</v>
      </c>
      <c r="AEW74" s="5797"/>
      <c r="AEX74" s="2773" t="e">
        <f>INDEX(klasseqty_bergbånd[overlappingsfaktor_e1],MATCH($AI$79,klasseqty_bergbånd[Type_size],0))</f>
        <v>#N/A</v>
      </c>
      <c r="AEY74" s="5797"/>
      <c r="AEZ74" s="3376" t="e">
        <f t="shared" si="272"/>
        <v>#N/A</v>
      </c>
      <c r="AFA74" s="5797"/>
      <c r="AFB74" s="5800" t="b">
        <v>1</v>
      </c>
      <c r="AFC74" s="5797"/>
      <c r="AFD74" s="2983">
        <f>'!Egen_SK'!$BJ$255</f>
        <v>0</v>
      </c>
      <c r="AFE74" s="5797"/>
      <c r="AFF74" s="2773" t="e">
        <f>INDEX(klasseqty_bergbånd[tilleggs_bergbånd_e1],MATCH($AI$79,klasseqty_bergbånd[Type_size],0))</f>
        <v>#N/A</v>
      </c>
      <c r="AFG74" s="5797"/>
      <c r="AFH74" s="3376" t="e">
        <f t="shared" si="273"/>
        <v>#N/A</v>
      </c>
      <c r="AFI74" s="5797"/>
      <c r="AFJ74" s="5800" t="b">
        <v>1</v>
      </c>
      <c r="AFK74" s="5797"/>
      <c r="AFL74" s="2983">
        <f>'!Egen_SK'!$BJ$262</f>
        <v>0</v>
      </c>
      <c r="AFM74" s="5797"/>
      <c r="AFN74" s="3011" t="e">
        <f>INDEX(klasseqty_bergbånd[tilleggs_bergbånd_festebolter_senteravstand_e1],MATCH($AI$79,klasseqty_bergbånd[Type_size],0))</f>
        <v>#N/A</v>
      </c>
      <c r="AFO74" s="5797"/>
      <c r="AFP74" s="2775" t="e">
        <f t="shared" si="274"/>
        <v>#N/A</v>
      </c>
      <c r="AFQ74" s="5797"/>
      <c r="AFR74" s="5797" t="b">
        <v>1</v>
      </c>
      <c r="AFS74" s="5797"/>
      <c r="AFT74" s="2782">
        <f>'!Egen_SK'!$BJ$266</f>
        <v>0</v>
      </c>
      <c r="AFU74" s="5797"/>
      <c r="AFV74" s="3547" t="e">
        <f>INDEX(klasseqty_bergbånd[tilleggs_bergbånd_festebolter_lt4_e1],MATCH($AI$79,klasseqty_bergbånd[Type_size],0))</f>
        <v>#N/A</v>
      </c>
      <c r="AFW74" s="5797"/>
      <c r="AFX74" s="2781" t="e">
        <f t="shared" si="303"/>
        <v>#N/A</v>
      </c>
      <c r="AFY74" s="5797"/>
      <c r="AFZ74" s="184"/>
      <c r="AGA74" s="5797"/>
      <c r="AGB74" s="5797"/>
      <c r="AGC74" s="5797"/>
      <c r="AGD74" s="2782" t="str">
        <f t="shared" si="304"/>
        <v/>
      </c>
      <c r="AGE74" s="5797"/>
      <c r="AGF74" s="3547" t="e">
        <f>INDEX(klasseqty_bergbånd[tilleggs_bergbånd_festebolter_gt4_e1],MATCH($AI$79,klasseqty_bergbånd[Type_size],0))</f>
        <v>#N/A</v>
      </c>
      <c r="AGG74" s="5797"/>
      <c r="AGH74" s="2781" t="e">
        <f t="shared" si="305"/>
        <v>#N/A</v>
      </c>
      <c r="AGI74" s="5799"/>
      <c r="AGJ74" s="5152"/>
      <c r="AGK74" s="5152"/>
      <c r="AGL74" s="5152"/>
      <c r="AGM74" s="5152"/>
      <c r="AGN74" s="2622"/>
      <c r="AGO74" s="5800" t="b">
        <v>1</v>
      </c>
      <c r="AGP74" s="5797"/>
      <c r="AGQ74" s="2983">
        <f>'!Egen_SK'!$BJ$277</f>
        <v>0</v>
      </c>
      <c r="AGR74" s="5797"/>
      <c r="AGS74" s="3011" t="e">
        <f>INDEX(klasseqty_nett[nett_hypp_e1],MATCH($AI$79,klasseqty_nett[Type_size],0))</f>
        <v>#N/A</v>
      </c>
      <c r="AGT74" s="5797"/>
      <c r="AGU74" s="3376" t="e">
        <f t="shared" si="275"/>
        <v>#N/A</v>
      </c>
      <c r="AGV74" s="5152"/>
      <c r="AGW74" s="5800" t="b">
        <v>1</v>
      </c>
      <c r="AGX74" s="5797"/>
      <c r="AGY74" s="2983">
        <f>'!Egen_SK'!$BJ$284</f>
        <v>0</v>
      </c>
      <c r="AGZ74" s="5797"/>
      <c r="AHA74" s="3011" t="e">
        <f>INDEX(klasseqty_nett[nett_festebolter_avstand_e1],MATCH($AI$79,klasseqty_nett[Type_size],0))</f>
        <v>#N/A</v>
      </c>
      <c r="AHB74" s="5797"/>
      <c r="AHC74" s="3376" t="e">
        <f t="shared" si="276"/>
        <v>#N/A</v>
      </c>
      <c r="AHD74" s="5152"/>
      <c r="AHF74" s="5800" t="b">
        <v>1</v>
      </c>
      <c r="AHG74" s="5797"/>
      <c r="AHH74" s="2983">
        <f>'!Egen_SK'!$BJ$291</f>
        <v>0</v>
      </c>
      <c r="AHI74" s="5797"/>
      <c r="AHJ74" s="3011" t="e">
        <f>INDEX(klasseqty_nett[nett_sprøytebetong_tykkelse_e1],MATCH($AI$79,klasseqty_nett[Type_size],0))</f>
        <v>#N/A</v>
      </c>
      <c r="AHK74" s="5797"/>
      <c r="AHL74" s="3376" t="e">
        <f t="shared" si="277"/>
        <v>#N/A</v>
      </c>
      <c r="AHP74" s="5800"/>
      <c r="AHQ74" s="5797" t="b">
        <v>1</v>
      </c>
      <c r="AHR74" s="5797"/>
      <c r="AHS74" s="2983">
        <f>'!Egen_SK'!$BJ$129</f>
        <v>0</v>
      </c>
      <c r="AHT74" s="5797"/>
      <c r="AHU74" s="3624" t="e">
        <f>INDEX(klasseqty_sprøyte[veder_tykkelse_e1],MATCH($AI$79,klasseqty_sprøyte[Type_size],0))</f>
        <v>#N/A</v>
      </c>
      <c r="AHV74" s="5797"/>
      <c r="AHW74" s="2775" t="e">
        <f t="shared" si="278"/>
        <v>#N/A</v>
      </c>
      <c r="AHX74" s="3709"/>
      <c r="AHY74" s="2622"/>
      <c r="AHZ74" s="5800"/>
      <c r="AIA74" s="5797" t="b">
        <v>1</v>
      </c>
      <c r="AIB74" s="5797"/>
      <c r="AIC74" s="2983">
        <f>'!Egen_SK'!$BJ$136</f>
        <v>0</v>
      </c>
      <c r="AID74" s="5797"/>
      <c r="AIE74" s="3624" t="e">
        <f>INDEX(klasseqty_sprøyte[vegg_tykkelse_e1],MATCH($AI$79,klasseqty_sprøyte[Type_size],0))</f>
        <v>#N/A</v>
      </c>
      <c r="AIF74" s="5797"/>
      <c r="AIG74" s="2775" t="e">
        <f t="shared" si="279"/>
        <v>#N/A</v>
      </c>
      <c r="AIH74" s="3709"/>
      <c r="AII74" s="184"/>
      <c r="AIJ74" s="3811"/>
      <c r="AIK74" s="5797" t="b">
        <v>1</v>
      </c>
      <c r="AIL74" s="5797"/>
      <c r="AIM74" s="2983">
        <f>'!Egen_SK'!$BJ$143</f>
        <v>0</v>
      </c>
      <c r="AIN74" s="5797"/>
      <c r="AIO74" s="3011" t="e">
        <f>INDEX(klasseqty_sprøyte[ruhetfaktor_e1],MATCH($AI$79,klasseqty_sprøyte[Type_size],0))</f>
        <v>#N/A</v>
      </c>
      <c r="AIP74" s="5797"/>
      <c r="AIQ74" s="2775" t="e">
        <f t="shared" si="280"/>
        <v>#N/A</v>
      </c>
      <c r="AIR74" s="3753"/>
      <c r="AIS74" s="2622"/>
      <c r="AIT74" s="5800"/>
      <c r="AIU74" s="5797" t="b">
        <v>1</v>
      </c>
      <c r="AIV74" s="5797"/>
      <c r="AIW74" s="3319">
        <f>'!Egen_SK'!$BJ$193</f>
        <v>0</v>
      </c>
      <c r="AIX74" s="5797"/>
      <c r="AIY74" s="2773" t="e">
        <f>INDEX(klasseqty_buer[dimensjon_e1],MATCH($AI$79,klasseqty_buer[Type_size],0))</f>
        <v>#N/A</v>
      </c>
      <c r="AIZ74" s="5797"/>
      <c r="AJA74" s="2775" t="e">
        <f t="shared" si="281"/>
        <v>#N/A</v>
      </c>
      <c r="AJB74" s="5797"/>
      <c r="AJC74" s="5797" t="b">
        <v>1</v>
      </c>
      <c r="AJD74" s="5797"/>
      <c r="AJE74" s="2782">
        <f>'!Egen_SK'!$BJ$198</f>
        <v>0</v>
      </c>
      <c r="AJF74" s="5797"/>
      <c r="AJG74" s="3547" t="e">
        <f>INDEX(klasseqty_buer[andel_e1],MATCH($AI$79,klasseqty_buer[Type_size],0))</f>
        <v>#N/A</v>
      </c>
      <c r="AJH74" s="5797"/>
      <c r="AJI74" s="4140" t="e">
        <f t="shared" si="282"/>
        <v>#N/A</v>
      </c>
      <c r="AJJ74" s="5797"/>
      <c r="AJK74" s="5797" t="b">
        <v>1</v>
      </c>
      <c r="AJL74" s="5797"/>
      <c r="AJM74" s="2983">
        <f>'!Egen_SK'!$BJ$202</f>
        <v>0</v>
      </c>
      <c r="AJN74" s="5797"/>
      <c r="AJO74" s="3011" t="e">
        <f>INDEX(klasseqty_buer[bue_senteravstand_e1],MATCH($AI$79,klasseqty_buer[Type_size],0))</f>
        <v>#N/A</v>
      </c>
      <c r="AJP74" s="5797"/>
      <c r="AJQ74" s="2775" t="e">
        <f t="shared" si="283"/>
        <v>#N/A</v>
      </c>
      <c r="AJR74" s="5797"/>
      <c r="AJS74" s="5797" t="b">
        <v>1</v>
      </c>
      <c r="AJT74" s="5797"/>
      <c r="AJU74" s="2983">
        <f>'!Egen_SK'!$BJ$206</f>
        <v>0</v>
      </c>
      <c r="AJV74" s="5797"/>
      <c r="AJW74" s="3011" t="e">
        <f>INDEX(klasseqty_buer[utvidelse_e1],MATCH($AI$79,klasseqty_buer[Type_size],0))</f>
        <v>#N/A</v>
      </c>
      <c r="AJX74" s="5797"/>
      <c r="AJY74" s="2775" t="e">
        <f t="shared" si="284"/>
        <v>#N/A</v>
      </c>
      <c r="AJZ74" s="5799"/>
      <c r="AKA74" s="5797"/>
      <c r="AKB74" s="5797"/>
      <c r="AKC74" s="5797"/>
      <c r="AKD74" s="5800"/>
      <c r="AKE74" s="5797" t="b">
        <v>1</v>
      </c>
      <c r="AKF74" s="5797"/>
      <c r="AKG74" s="2983">
        <f>'!Egen_SK'!$BJ$213</f>
        <v>0</v>
      </c>
      <c r="AKH74" s="5797"/>
      <c r="AKI74" s="3011" t="e">
        <f>INDEX(klasseqty_buer[radiellebolter_senteravstand_e1],MATCH($AI$79,klasseqty_buer[Type_size],0))</f>
        <v>#N/A</v>
      </c>
      <c r="AKJ74" s="5797"/>
      <c r="AKK74" s="2775" t="e">
        <f t="shared" si="285"/>
        <v>#N/A</v>
      </c>
      <c r="AKL74" s="5797"/>
      <c r="AKM74" s="5797" t="b">
        <v>1</v>
      </c>
      <c r="AKN74" s="5797"/>
      <c r="AKO74" s="3712">
        <f>'!Egen_SK'!$BJ$217</f>
        <v>0</v>
      </c>
      <c r="AKP74" s="5797"/>
      <c r="AKQ74" s="3547" t="e">
        <f>INDEX(klasseqty_buer[radiellebolter_lt4_e1],MATCH($AI$79,klasseqty_buer[Type_size],0))</f>
        <v>#N/A</v>
      </c>
      <c r="AKR74" s="5797"/>
      <c r="AKS74" s="2781" t="e">
        <f t="shared" si="306"/>
        <v>#N/A</v>
      </c>
      <c r="AKT74" s="5797"/>
      <c r="AKU74" s="184"/>
      <c r="AKV74" s="5797"/>
      <c r="AKW74" s="5797"/>
      <c r="AKX74" s="2782" t="str">
        <f t="shared" si="307"/>
        <v/>
      </c>
      <c r="AKY74" s="5797"/>
      <c r="AKZ74" s="3547" t="e">
        <f>INDEX(klasseqty_buer[radiellebolter_gt4_e1],MATCH($AI$79,klasseqty_buer[Type_size],0))</f>
        <v>#N/A</v>
      </c>
      <c r="ALA74" s="5797"/>
      <c r="ALB74" s="3368" t="e">
        <f t="shared" si="308"/>
        <v>#N/A</v>
      </c>
      <c r="ALC74" s="3643"/>
      <c r="ALD74" s="5800"/>
      <c r="ALE74" s="5797" t="b">
        <v>1</v>
      </c>
      <c r="ALF74" s="5797"/>
      <c r="ALG74" s="2983">
        <f>'!Egen_SK'!$BJ$226</f>
        <v>0</v>
      </c>
      <c r="ALH74" s="5797"/>
      <c r="ALI74" s="3011" t="e">
        <f>INDEX(klasseqty_buer[tillegs-sprøytebetong_e1],MATCH($AI$79,klasseqty_buer[Type_size],0))</f>
        <v>#N/A</v>
      </c>
      <c r="ALJ74" s="5797"/>
      <c r="ALK74" s="2775" t="e">
        <f t="shared" si="286"/>
        <v>#N/A</v>
      </c>
      <c r="ALL74" s="3753"/>
      <c r="ALM74" s="2737"/>
      <c r="ALN74" s="5800"/>
      <c r="ALO74" s="5797" t="b">
        <v>1</v>
      </c>
      <c r="ALP74" s="5797"/>
      <c r="ALQ74" s="3715">
        <f>'!Egen_SK'!$BJ$233</f>
        <v>0</v>
      </c>
      <c r="ALR74" s="5797"/>
      <c r="ALS74" s="3717" t="e">
        <f>INDEX(klasseqty_buer[forankring_e1],MATCH($AI$79,klasseqty_buer[Type_size],0))</f>
        <v>#N/A</v>
      </c>
      <c r="ALT74" s="5797"/>
      <c r="ALU74" s="3719" t="e">
        <f t="shared" si="287"/>
        <v>#N/A</v>
      </c>
      <c r="ALV74" s="5797"/>
      <c r="ALW74" s="5797"/>
      <c r="ALX74" s="5797" t="b">
        <v>1</v>
      </c>
      <c r="ALY74" s="5797"/>
      <c r="ALZ74" s="2782">
        <f>'!Egen_SK'!$BJ$237</f>
        <v>0</v>
      </c>
      <c r="AMA74" s="5797"/>
      <c r="AMB74" s="3547" t="e">
        <f>INDEX(klasseqty_buer[forankring_lt4_e1],MATCH($AI$79,klasseqty_buer[Type_size],0))</f>
        <v>#N/A</v>
      </c>
      <c r="AMC74" s="5797"/>
      <c r="AMD74" s="2781" t="e">
        <f t="shared" si="309"/>
        <v>#N/A</v>
      </c>
      <c r="AME74" s="5797"/>
      <c r="AMF74" s="184"/>
      <c r="AMG74" s="5797"/>
      <c r="AMH74" s="5797"/>
      <c r="AMI74" s="2782" t="str">
        <f t="shared" si="310"/>
        <v/>
      </c>
      <c r="AMJ74" s="5797"/>
      <c r="AMK74" s="3547" t="e">
        <f>INDEX(klasseqty_buer[forankring_gt4_e1],MATCH($AI$79,klasseqty_buer[Type_size],0))</f>
        <v>#N/A</v>
      </c>
      <c r="AML74" s="5797"/>
      <c r="AMM74" s="3368" t="e">
        <f t="shared" si="311"/>
        <v>#N/A</v>
      </c>
      <c r="AMN74" s="5548"/>
      <c r="AMO74" s="5548"/>
      <c r="AMP74" s="5548"/>
      <c r="AMQ74" s="5548"/>
      <c r="AMR74" s="5548"/>
      <c r="AMS74" s="5548"/>
      <c r="AMT74" s="5548"/>
      <c r="AMU74" s="5548"/>
      <c r="AMV74" s="5548"/>
      <c r="AMW74" s="5548"/>
      <c r="AMX74" s="5548"/>
      <c r="AMY74" s="5548"/>
      <c r="AMZ74" s="5548"/>
      <c r="ANA74" s="5548"/>
      <c r="ANB74" s="5548"/>
      <c r="ANC74" s="5548"/>
      <c r="AND74" s="5548"/>
      <c r="ANE74" s="5548"/>
      <c r="ANF74" s="5548"/>
      <c r="ANG74" s="5548"/>
      <c r="ANH74" s="5548"/>
      <c r="ANI74" s="5548"/>
      <c r="ANJ74" s="5548"/>
      <c r="ANK74" s="5548"/>
      <c r="ANL74" s="5548"/>
      <c r="ANM74" s="5548"/>
      <c r="ANN74" s="5548"/>
      <c r="ANO74" s="5548"/>
      <c r="ANP74" s="5548"/>
      <c r="ANQ74" s="5548"/>
      <c r="ANR74" s="5548"/>
      <c r="ANS74" s="5548"/>
      <c r="ANT74" s="5548"/>
      <c r="ANU74" s="5548"/>
      <c r="ANV74" s="5548"/>
      <c r="ANW74" s="5548"/>
      <c r="ANX74" s="5548"/>
      <c r="ANY74" s="5548"/>
      <c r="ANZ74" s="5548"/>
      <c r="AOA74" s="5548"/>
      <c r="AOB74" s="5548"/>
      <c r="AOC74" s="5548"/>
      <c r="AOD74" s="5548"/>
      <c r="AOE74" s="5548"/>
      <c r="AOF74" s="5548"/>
      <c r="AOG74" s="5548"/>
      <c r="AOH74" s="5548"/>
      <c r="AOI74" s="5548"/>
      <c r="AOJ74" s="5548"/>
      <c r="AOK74" s="5548"/>
      <c r="AOL74" s="5548"/>
      <c r="AOM74" s="5548"/>
      <c r="AOO74" s="5800"/>
      <c r="AOP74" s="5797" t="b">
        <v>1</v>
      </c>
      <c r="AOQ74" s="5797"/>
      <c r="AOR74" s="2983">
        <f>'!Egen_SK'!$BJ$157</f>
        <v>1</v>
      </c>
      <c r="AOS74" s="5797"/>
      <c r="AOT74" s="3547" t="e">
        <f>INDEX(klasseqty_forbolting[andel_av_tunnelklasse_e1],MATCH($AI$79,klasseqty_forbolting[Type_size],0))</f>
        <v>#N/A</v>
      </c>
      <c r="AOU74" s="5797"/>
      <c r="AOV74" s="4140" t="e">
        <f t="shared" si="288"/>
        <v>#N/A</v>
      </c>
      <c r="AOW74" s="5797"/>
      <c r="AOX74" s="5797"/>
      <c r="AOY74" s="5797" t="b">
        <v>1</v>
      </c>
      <c r="AOZ74" s="5797"/>
      <c r="APA74" s="2983" t="str">
        <f t="shared" si="312"/>
        <v/>
      </c>
      <c r="APB74" s="5797"/>
      <c r="APC74" s="3624" t="e">
        <f>INDEX(klasseqty_forbolting[andel_av_tunnelklasse_e1],MATCH($AI$79,klasseqty_forbolting[Type_size],0))</f>
        <v>#N/A</v>
      </c>
      <c r="APD74" s="5797"/>
      <c r="APE74" s="5165" t="e">
        <f t="shared" si="289"/>
        <v>#N/A</v>
      </c>
      <c r="APF74" s="5797"/>
      <c r="APG74" s="5797" t="b">
        <v>1</v>
      </c>
      <c r="APH74" s="5797"/>
      <c r="API74" s="2983">
        <f>'!Egen_SK'!$BJ$152</f>
        <v>0</v>
      </c>
      <c r="APJ74" s="5797"/>
      <c r="APK74" s="3011" t="e">
        <f>INDEX(klasseqty_forbolting[bueområde_e1],MATCH($AI$79,klasseqty_forbolting[Type_size],0))</f>
        <v>#N/A</v>
      </c>
      <c r="APL74" s="5797"/>
      <c r="APM74" s="2775" t="e">
        <f t="shared" si="290"/>
        <v>#N/A</v>
      </c>
      <c r="APN74" s="5797"/>
      <c r="APO74" s="5797" t="b">
        <v>1</v>
      </c>
      <c r="APP74" s="5797"/>
      <c r="APQ74" s="2983">
        <f>'!Egen_SK'!$BJ$165</f>
        <v>0</v>
      </c>
      <c r="APR74" s="5797"/>
      <c r="APS74" s="3011" t="e">
        <f>INDEX(klasseqty_forbolting[forbolting_senteravstand_e1],MATCH($AI$79,klasseqty_forbolting[Type_size],0))</f>
        <v>#N/A</v>
      </c>
      <c r="APT74" s="5797"/>
      <c r="APU74" s="2775" t="e">
        <f t="shared" si="291"/>
        <v>#N/A</v>
      </c>
      <c r="APV74" s="5797"/>
      <c r="APW74" s="5797" t="b">
        <v>1</v>
      </c>
      <c r="APX74" s="5797"/>
      <c r="APY74" s="3712">
        <f>'!Egen_SK'!$BJ$169</f>
        <v>0</v>
      </c>
      <c r="APZ74" s="5797"/>
      <c r="AQA74" s="3547" t="e">
        <f>INDEX(klasseqty_forbolting[forbolting_lt4_e1],MATCH($AI$79,klasseqty_forbolting[Type_size],0))</f>
        <v>#N/A</v>
      </c>
      <c r="AQB74" s="5797"/>
      <c r="AQC74" s="2781" t="e">
        <f t="shared" si="313"/>
        <v>#N/A</v>
      </c>
      <c r="AQD74" s="5797"/>
      <c r="AQE74" s="184"/>
      <c r="AQF74" s="5797"/>
      <c r="AQG74" s="5797"/>
      <c r="AQH74" s="2782" t="str">
        <f t="shared" si="314"/>
        <v/>
      </c>
      <c r="AQI74" s="5797"/>
      <c r="AQJ74" s="3547" t="e">
        <f>INDEX(klasseqty_forbolting[forbolting_gt4_e1],MATCH($AI$79,klasseqty_forbolting[Type_size],0))</f>
        <v>#N/A</v>
      </c>
      <c r="AQK74" s="5797"/>
      <c r="AQL74" s="3368" t="e">
        <f t="shared" si="315"/>
        <v>#N/A</v>
      </c>
      <c r="AQN74" s="5800"/>
      <c r="AQO74" s="5797" t="b">
        <v>1</v>
      </c>
      <c r="AQP74" s="5797"/>
      <c r="AQQ74" s="2983">
        <f>'!Egen_SK'!$BJ$178</f>
        <v>0</v>
      </c>
      <c r="AQR74" s="5797"/>
      <c r="AQS74" s="3011" t="e">
        <f>INDEX(klasseqty_forbolting[oppheng_senteravstand_e1],MATCH($AI$79,klasseqty_forbolting[Type_size],0))</f>
        <v>#N/A</v>
      </c>
      <c r="AQT74" s="5797"/>
      <c r="AQU74" s="2775" t="e">
        <f t="shared" si="292"/>
        <v>#N/A</v>
      </c>
      <c r="AQV74" s="5797"/>
      <c r="AQW74" s="5797" t="b">
        <v>1</v>
      </c>
      <c r="AQX74" s="5797"/>
      <c r="AQY74" s="3712">
        <f>'!Egen_SK'!$BJ$182</f>
        <v>0</v>
      </c>
      <c r="AQZ74" s="5797"/>
      <c r="ARA74" s="3547" t="e">
        <f>INDEX(klasseqty_forbolting[oppheng_lt4_e1],MATCH($AI$79,klasseqty_forbolting[Type_size],0))</f>
        <v>#N/A</v>
      </c>
      <c r="ARB74" s="5797"/>
      <c r="ARC74" s="2781" t="e">
        <f t="shared" si="316"/>
        <v>#N/A</v>
      </c>
      <c r="ARD74" s="5797"/>
      <c r="ARE74" s="184"/>
      <c r="ARF74" s="5797"/>
      <c r="ARG74" s="5797"/>
      <c r="ARH74" s="2782" t="str">
        <f t="shared" si="317"/>
        <v/>
      </c>
      <c r="ARI74" s="5797"/>
      <c r="ARJ74" s="3547" t="e">
        <f>INDEX(klasseqty_forbolting[oppheng_gt4_e1],MATCH($AI$79,klasseqty_forbolting[Type_size],0))</f>
        <v>#N/A</v>
      </c>
      <c r="ARK74" s="5797"/>
      <c r="ARL74" s="3368" t="e">
        <f t="shared" si="318"/>
        <v>#N/A</v>
      </c>
      <c r="ART74" s="5800" t="b">
        <v>1</v>
      </c>
      <c r="ARU74" s="5797"/>
      <c r="ARV74" s="3712">
        <f>'!Egen_SK'!$BJ$312</f>
        <v>0</v>
      </c>
      <c r="ARW74" s="5797"/>
      <c r="ARX74" s="3624" t="e">
        <f>INDEX(klasseqty_sik1234[sikringsstøp_hypp_e1],MATCH($AI$79,klasseqty_sik1234[Type_size],0))</f>
        <v>#N/A</v>
      </c>
      <c r="ARY74" s="5797"/>
      <c r="ARZ74" s="2775" t="e">
        <f t="shared" si="293"/>
        <v>#N/A</v>
      </c>
      <c r="ASA74" s="184"/>
      <c r="ASB74" s="5797" t="b">
        <v>1</v>
      </c>
      <c r="ASC74" s="5797"/>
      <c r="ASD74" s="2983">
        <f>'!Egen_SK'!$BJ$316</f>
        <v>0</v>
      </c>
      <c r="ASE74" s="5797"/>
      <c r="ASF74" s="3547" t="e">
        <f>INDEX(klasseqty_sik1234[sikringsstøp_123_e1],MATCH($AI$79,klasseqty_sik1234[Type_size],0))</f>
        <v>#N/A</v>
      </c>
      <c r="ASG74" s="5797"/>
      <c r="ASH74" s="2781" t="e">
        <f t="shared" si="319"/>
        <v>#N/A</v>
      </c>
      <c r="ASI74" s="5797"/>
      <c r="ASJ74" s="184"/>
      <c r="ASK74" s="5797"/>
      <c r="ASL74" s="5797"/>
      <c r="ASM74" s="2782" t="str">
        <f t="shared" si="320"/>
        <v/>
      </c>
      <c r="ASN74" s="5797"/>
      <c r="ASO74" s="3547" t="e">
        <f>INDEX(klasseqty_sik1234[sikringsstøp_4_e1],MATCH($AI$79,klasseqty_sik1234[Type_size],0))</f>
        <v>#N/A</v>
      </c>
      <c r="ASP74" s="5797"/>
      <c r="ASQ74" s="3368" t="e">
        <f t="shared" si="321"/>
        <v>#N/A</v>
      </c>
      <c r="ASR74" s="2737"/>
      <c r="ASS74" s="2737"/>
      <c r="ATA74" s="2622"/>
      <c r="AUU74" s="2617"/>
      <c r="AUV74" s="3556" t="s">
        <v>1359</v>
      </c>
      <c r="AUW74" s="3560" t="s">
        <v>1325</v>
      </c>
      <c r="AUX74" s="3560" t="s">
        <v>1326</v>
      </c>
      <c r="AUY74" s="3560" t="s">
        <v>1327</v>
      </c>
      <c r="AUZ74" s="3560" t="s">
        <v>1328</v>
      </c>
      <c r="AVA74" s="3560" t="s">
        <v>1329</v>
      </c>
      <c r="AVB74" s="3560" t="s">
        <v>1330</v>
      </c>
      <c r="AVC74" s="3560" t="s">
        <v>1331</v>
      </c>
      <c r="AVD74" s="3560" t="s">
        <v>1332</v>
      </c>
      <c r="AVE74" s="3560" t="s">
        <v>1333</v>
      </c>
      <c r="AVF74" s="3560" t="s">
        <v>1334</v>
      </c>
      <c r="AVG74" s="3560" t="s">
        <v>1335</v>
      </c>
      <c r="AVH74" s="3560" t="s">
        <v>1336</v>
      </c>
      <c r="AVI74" s="3560" t="s">
        <v>1337</v>
      </c>
      <c r="AVJ74" s="3560" t="s">
        <v>1338</v>
      </c>
      <c r="AVK74" s="3560" t="s">
        <v>1339</v>
      </c>
      <c r="AVL74" s="3560" t="s">
        <v>1340</v>
      </c>
      <c r="AVM74" s="3560" t="s">
        <v>1341</v>
      </c>
      <c r="AVN74" s="3560" t="s">
        <v>1342</v>
      </c>
      <c r="AVO74" s="3560" t="s">
        <v>1343</v>
      </c>
      <c r="AVP74" s="3560" t="s">
        <v>1344</v>
      </c>
      <c r="AVQ74" s="3560" t="s">
        <v>1345</v>
      </c>
      <c r="AVR74" s="3560" t="s">
        <v>1346</v>
      </c>
      <c r="AVS74" s="3560" t="s">
        <v>1347</v>
      </c>
      <c r="AVT74" s="3560" t="s">
        <v>1348</v>
      </c>
      <c r="AVU74" s="2617"/>
      <c r="AVV74" s="2617"/>
      <c r="AVW74" s="2617"/>
      <c r="AVX74" s="2617"/>
      <c r="AVY74" s="2617"/>
      <c r="AVZ74" s="2617"/>
      <c r="AWA74" s="2617"/>
      <c r="AWB74" s="2617"/>
      <c r="AWC74" s="2617"/>
      <c r="AWD74" s="2617"/>
      <c r="AWE74" s="2617"/>
      <c r="AWF74" s="2617"/>
      <c r="AWG74" s="2617"/>
      <c r="AWH74" s="2617"/>
      <c r="AWI74" s="2617"/>
      <c r="AWJ74" s="2617"/>
      <c r="AWK74" s="2617"/>
      <c r="AWL74" s="2617"/>
      <c r="AWM74" s="2617"/>
      <c r="AWN74" s="2617"/>
      <c r="AWO74" s="2617"/>
      <c r="AWP74" s="2617"/>
      <c r="AWQ74" s="2617"/>
      <c r="AWR74" s="2617"/>
      <c r="AWS74" s="2617"/>
      <c r="AWT74" s="2617"/>
      <c r="AWU74" s="2617"/>
      <c r="AWV74" s="2617"/>
      <c r="AWW74" s="2617"/>
      <c r="AWX74" s="2617"/>
      <c r="AWY74" s="2617"/>
      <c r="AWZ74" s="2617"/>
      <c r="AXA74" s="2617"/>
      <c r="AXB74" s="2617"/>
      <c r="AXC74" s="2617"/>
      <c r="AXD74" s="2617"/>
      <c r="AXE74" s="2617"/>
      <c r="AXF74" s="2617"/>
      <c r="AXG74" s="2617"/>
      <c r="AXH74" s="2617"/>
      <c r="AXI74" s="2617"/>
      <c r="AXJ74" s="2617"/>
      <c r="AXK74" s="2617"/>
      <c r="BCH74" s="2627" t="s">
        <v>1124</v>
      </c>
      <c r="BCI74" s="2627"/>
      <c r="BFE74" s="3398"/>
    </row>
    <row r="75" spans="1:1513" x14ac:dyDescent="0.2">
      <c r="AF75" s="5811"/>
      <c r="AH75" s="206" t="s">
        <v>242</v>
      </c>
      <c r="AI75" s="199" t="s">
        <v>571</v>
      </c>
      <c r="AK75" s="2625"/>
      <c r="AL75" s="2617"/>
      <c r="AM75" s="2625"/>
      <c r="AN75" s="2625"/>
      <c r="AV75" s="2622"/>
      <c r="AW75" s="2622"/>
      <c r="AX75" s="2622"/>
      <c r="CG75" s="181"/>
      <c r="CH75" s="181"/>
      <c r="CI75" s="181"/>
      <c r="CJ75" s="181"/>
      <c r="CK75" s="181"/>
      <c r="CL75" s="181"/>
      <c r="CM75" s="2625"/>
      <c r="CN75" s="2625"/>
      <c r="CO75" s="2625"/>
      <c r="CP75" s="2625"/>
      <c r="CQ75" s="2625"/>
      <c r="CR75" s="2625"/>
      <c r="CS75" s="2625"/>
      <c r="CT75" s="2625"/>
      <c r="CU75" s="2625"/>
      <c r="AAW75" s="372" t="s">
        <v>898</v>
      </c>
      <c r="AAX75" s="372" t="s">
        <v>875</v>
      </c>
      <c r="AAY75" s="372" t="s">
        <v>890</v>
      </c>
      <c r="AAZ75" s="184"/>
      <c r="ABA75" s="3811"/>
      <c r="ABB75" s="5797" t="b">
        <v>1</v>
      </c>
      <c r="ABC75" s="5797"/>
      <c r="ABD75" s="2983">
        <f>'!Egen_SK'!$BR$76</f>
        <v>0</v>
      </c>
      <c r="ABE75" s="5797"/>
      <c r="ABF75" s="3624" t="e">
        <f>INDEX(klasse_salve[salve_lengde_e2],MATCH($AI$79,klasse_salve[Type_size],0))</f>
        <v>#N/A</v>
      </c>
      <c r="ABG75" s="5797"/>
      <c r="ABH75" s="3010" t="e">
        <f t="shared" si="294"/>
        <v>#N/A</v>
      </c>
      <c r="ABI75" s="5799"/>
      <c r="ABJ75" s="184"/>
      <c r="ABK75" s="3811"/>
      <c r="ABL75" s="5797" t="b">
        <v>1</v>
      </c>
      <c r="ABM75" s="5797"/>
      <c r="ABN75" s="2983">
        <f>'!Egen_SK'!$BR$85</f>
        <v>0</v>
      </c>
      <c r="ABO75" s="5797"/>
      <c r="ABP75" s="3624" t="e">
        <f>INDEX(klasseqty_rensk[manual_tid_salve_e2],MATCH($AI$79,klasseqty_bolting[Type_size],0))</f>
        <v>#N/A</v>
      </c>
      <c r="ABQ75" s="5797"/>
      <c r="ABR75" s="3010" t="e">
        <f t="shared" si="295"/>
        <v>#N/A</v>
      </c>
      <c r="ABS75" s="5799"/>
      <c r="ABT75" s="184"/>
      <c r="ABU75" s="3811"/>
      <c r="ABV75" s="5797" t="b">
        <v>1</v>
      </c>
      <c r="ABW75" s="5797"/>
      <c r="ABX75" s="2983">
        <f>'!Egen_SK'!$BR$92</f>
        <v>0</v>
      </c>
      <c r="ABY75" s="5797"/>
      <c r="ABZ75" s="3624" t="e">
        <f>INDEX(klasseqty_rensk[inspectiontid_e2],MATCH($AI$79,klasseqty_bolting[Type_size],0))</f>
        <v>#N/A</v>
      </c>
      <c r="ACA75" s="5797"/>
      <c r="ACB75" s="3010" t="e">
        <f t="shared" si="296"/>
        <v>#N/A</v>
      </c>
      <c r="ACC75" s="5799"/>
      <c r="ACD75" s="5797"/>
      <c r="ACE75" s="5800"/>
      <c r="ACF75" s="5797" t="b">
        <v>1</v>
      </c>
      <c r="ACG75" s="5797"/>
      <c r="ACH75" s="2983">
        <f>'!Egen_SK'!$BR$101</f>
        <v>0</v>
      </c>
      <c r="ACI75" s="5797"/>
      <c r="ACJ75" s="2774" t="e">
        <f>INDEX(klasseqty_bolting[veder_cc_e2],MATCH($AI$79,klasseqty_bolting[Type_size],0))</f>
        <v>#N/A</v>
      </c>
      <c r="ACK75" s="5797"/>
      <c r="ACL75" s="2775" t="e">
        <f t="shared" si="297"/>
        <v>#N/A</v>
      </c>
      <c r="ACM75" s="5797"/>
      <c r="ACN75" s="184"/>
      <c r="ACO75" s="5797" t="b">
        <v>1</v>
      </c>
      <c r="ACP75" s="5797"/>
      <c r="ACQ75" s="2782">
        <f>'!Egen_SK'!$BR$105</f>
        <v>0</v>
      </c>
      <c r="ACR75" s="5797"/>
      <c r="ACS75" s="3547" t="e">
        <f>INDEX(klasseqty_bolting[veder_length_lt4_e2],MATCH($AI$79,klasseqty_bolting[Type_size],0))</f>
        <v>#N/A</v>
      </c>
      <c r="ACT75" s="5797"/>
      <c r="ACU75" s="2781" t="e">
        <f t="shared" si="298"/>
        <v>#N/A</v>
      </c>
      <c r="ACV75" s="5797"/>
      <c r="ACW75" s="184"/>
      <c r="ACX75" s="5797"/>
      <c r="ACY75" s="5797"/>
      <c r="ACZ75" s="2782" t="str">
        <f t="shared" si="299"/>
        <v/>
      </c>
      <c r="ADA75" s="5797"/>
      <c r="ADB75" s="3547" t="e">
        <f>INDEX(klasseqty_bolting[veder_length_gt4_e2],MATCH($AI$79,klasseqty_bolting[Type_size],0))</f>
        <v>#N/A</v>
      </c>
      <c r="ADC75" s="5797"/>
      <c r="ADD75" s="2781" t="e">
        <f t="shared" si="300"/>
        <v>#N/A</v>
      </c>
      <c r="ADE75" s="5809"/>
      <c r="ADF75" s="5797"/>
      <c r="ADG75" s="5800"/>
      <c r="ADH75" s="5797" t="b">
        <v>1</v>
      </c>
      <c r="ADI75" s="5797"/>
      <c r="ADJ75" s="2983">
        <f>'!Egen_SK'!$BR$114</f>
        <v>0</v>
      </c>
      <c r="ADK75" s="5797"/>
      <c r="ADL75" s="2774" t="e">
        <f>INDEX(klasseqty_bolting[vegg_cc_e2],MATCH($AI$79,klasseqty_bolting[Type_size],0))</f>
        <v>#N/A</v>
      </c>
      <c r="ADM75" s="5797"/>
      <c r="ADN75" s="2775" t="e">
        <f t="shared" si="301"/>
        <v>#N/A</v>
      </c>
      <c r="ADO75" s="5797"/>
      <c r="ADP75" s="184"/>
      <c r="ADQ75" s="5797"/>
      <c r="ADR75" s="5797" t="b">
        <v>1</v>
      </c>
      <c r="ADS75" s="5797"/>
      <c r="ADT75" s="2782">
        <f>'!Egen_SK'!$BR$118</f>
        <v>0</v>
      </c>
      <c r="ADU75" s="5797"/>
      <c r="ADV75" s="3547" t="e">
        <f>INDEX(klasseqty_bolting[vegg_length_lt4_e2],MATCH($AI$79,klasseqty_bolting[Type_size],0))</f>
        <v>#N/A</v>
      </c>
      <c r="ADW75" s="5797"/>
      <c r="ADX75" s="2781" t="e">
        <f t="shared" si="302"/>
        <v>#N/A</v>
      </c>
      <c r="ADY75" s="5797"/>
      <c r="ADZ75" s="5797"/>
      <c r="AEA75" s="5797"/>
      <c r="AEB75" s="2782" t="str">
        <f t="shared" si="270"/>
        <v/>
      </c>
      <c r="AEC75" s="5797"/>
      <c r="AED75" s="3547" t="e">
        <f>INDEX(klasseqty_bolting[vegg_length_gt4_e2],MATCH($AI$79,klasseqty_bolting[Type_size],0))</f>
        <v>#N/A</v>
      </c>
      <c r="AEE75" s="5797"/>
      <c r="AEF75" s="2781" t="e">
        <f t="shared" si="271"/>
        <v>#N/A</v>
      </c>
      <c r="AEG75" s="5799"/>
      <c r="AEH75" s="5797"/>
      <c r="AEI75" s="5797"/>
      <c r="AEJ75" s="5797"/>
      <c r="AEK75" s="5797"/>
      <c r="AEL75" s="5797"/>
      <c r="AEM75" s="5797"/>
      <c r="AEN75" s="5797"/>
      <c r="AEO75" s="5797"/>
      <c r="AEP75" s="5797"/>
      <c r="AEQ75" s="5797"/>
      <c r="AER75" s="5797"/>
      <c r="AES75" s="5800"/>
      <c r="AET75" s="5797" t="b">
        <v>1</v>
      </c>
      <c r="AEU75" s="5797"/>
      <c r="AEV75" s="2983">
        <f>'!Egen_SK'!$BR$248</f>
        <v>2</v>
      </c>
      <c r="AEW75" s="5797"/>
      <c r="AEX75" s="2773" t="e">
        <f>INDEX(klasseqty_bergbånd[overlappingsfaktor_e2],MATCH($AI$79,klasseqty_bergbånd[Type_size],0))</f>
        <v>#N/A</v>
      </c>
      <c r="AEY75" s="5797"/>
      <c r="AEZ75" s="3376" t="e">
        <f t="shared" si="272"/>
        <v>#N/A</v>
      </c>
      <c r="AFA75" s="5797"/>
      <c r="AFB75" s="5800" t="b">
        <v>1</v>
      </c>
      <c r="AFC75" s="5797"/>
      <c r="AFD75" s="2983">
        <f>'!Egen_SK'!$BR$255</f>
        <v>0</v>
      </c>
      <c r="AFE75" s="5797"/>
      <c r="AFF75" s="2773" t="e">
        <f>INDEX(klasseqty_bergbånd[tilleggs_bergbånd_e2],MATCH($AI$79,klasseqty_bergbånd[Type_size],0))</f>
        <v>#N/A</v>
      </c>
      <c r="AFG75" s="5797"/>
      <c r="AFH75" s="3376" t="e">
        <f t="shared" si="273"/>
        <v>#N/A</v>
      </c>
      <c r="AFI75" s="5797"/>
      <c r="AFJ75" s="5800" t="b">
        <v>1</v>
      </c>
      <c r="AFK75" s="5797"/>
      <c r="AFL75" s="2983">
        <f>'!Egen_SK'!$BR$262</f>
        <v>0</v>
      </c>
      <c r="AFM75" s="5797"/>
      <c r="AFN75" s="3011" t="e">
        <f>INDEX(klasseqty_bergbånd[tilleggs_bergbånd_festebolter_senteravstand_e2],MATCH($AI$79,klasseqty_bergbånd[Type_size],0))</f>
        <v>#N/A</v>
      </c>
      <c r="AFO75" s="5797"/>
      <c r="AFP75" s="2775" t="e">
        <f t="shared" si="274"/>
        <v>#N/A</v>
      </c>
      <c r="AFQ75" s="5797"/>
      <c r="AFR75" s="5797" t="b">
        <v>1</v>
      </c>
      <c r="AFS75" s="5797"/>
      <c r="AFT75" s="2782">
        <f>'!Egen_SK'!$BR$266</f>
        <v>0</v>
      </c>
      <c r="AFU75" s="5797"/>
      <c r="AFV75" s="3547" t="e">
        <f>INDEX(klasseqty_bergbånd[tilleggs_bergbånd_festebolter_lt4_e2],MATCH($AI$79,klasseqty_bergbånd[Type_size],0))</f>
        <v>#N/A</v>
      </c>
      <c r="AFW75" s="5797"/>
      <c r="AFX75" s="2781" t="e">
        <f t="shared" si="303"/>
        <v>#N/A</v>
      </c>
      <c r="AFY75" s="5797"/>
      <c r="AFZ75" s="184"/>
      <c r="AGA75" s="5797"/>
      <c r="AGB75" s="5797"/>
      <c r="AGC75" s="5797"/>
      <c r="AGD75" s="2782" t="str">
        <f t="shared" si="304"/>
        <v/>
      </c>
      <c r="AGE75" s="5797"/>
      <c r="AGF75" s="3547" t="e">
        <f>INDEX(klasseqty_bergbånd[tilleggs_bergbånd_festebolter_gt4_e2],MATCH($AI$79,klasseqty_bergbånd[Type_size],0))</f>
        <v>#N/A</v>
      </c>
      <c r="AGG75" s="5797"/>
      <c r="AGH75" s="2781" t="e">
        <f t="shared" si="305"/>
        <v>#N/A</v>
      </c>
      <c r="AGI75" s="5799"/>
      <c r="AGJ75" s="5152"/>
      <c r="AGK75" s="5152"/>
      <c r="AGL75" s="5152"/>
      <c r="AGM75" s="5152"/>
      <c r="AGN75" s="2622"/>
      <c r="AGO75" s="5800" t="b">
        <v>1</v>
      </c>
      <c r="AGP75" s="5797"/>
      <c r="AGQ75" s="2983">
        <f>'!Egen_SK'!$BR$277</f>
        <v>0</v>
      </c>
      <c r="AGR75" s="5797"/>
      <c r="AGS75" s="3011" t="e">
        <f>INDEX(klasseqty_nett[nett_hypp_e2],MATCH($AI$79,klasseqty_nett[Type_size],0))</f>
        <v>#N/A</v>
      </c>
      <c r="AGT75" s="5797"/>
      <c r="AGU75" s="3376" t="e">
        <f t="shared" si="275"/>
        <v>#N/A</v>
      </c>
      <c r="AGV75" s="5152"/>
      <c r="AGW75" s="5800" t="b">
        <v>1</v>
      </c>
      <c r="AGX75" s="5797"/>
      <c r="AGY75" s="2983">
        <f>'!Egen_SK'!$BR$284</f>
        <v>0</v>
      </c>
      <c r="AGZ75" s="5797"/>
      <c r="AHA75" s="3011" t="e">
        <f>INDEX(klasseqty_nett[nett_festebolter_avstand_e2],MATCH($AI$79,klasseqty_nett[Type_size],0))</f>
        <v>#N/A</v>
      </c>
      <c r="AHB75" s="5797"/>
      <c r="AHC75" s="3376" t="e">
        <f t="shared" si="276"/>
        <v>#N/A</v>
      </c>
      <c r="AHD75" s="5152"/>
      <c r="AHF75" s="5800" t="b">
        <v>1</v>
      </c>
      <c r="AHG75" s="5797"/>
      <c r="AHH75" s="2983">
        <f>'!Egen_SK'!$BR$291</f>
        <v>0</v>
      </c>
      <c r="AHI75" s="5797"/>
      <c r="AHJ75" s="3011" t="e">
        <f>INDEX(klasseqty_nett[nett_sprøytebetong_tykkelse_e2],MATCH($AI$79,klasseqty_nett[Type_size],0))</f>
        <v>#N/A</v>
      </c>
      <c r="AHK75" s="5797"/>
      <c r="AHL75" s="3376" t="e">
        <f t="shared" si="277"/>
        <v>#N/A</v>
      </c>
      <c r="AHP75" s="5800"/>
      <c r="AHQ75" s="5797" t="b">
        <v>1</v>
      </c>
      <c r="AHR75" s="5797"/>
      <c r="AHS75" s="2983">
        <f>'!Egen_SK'!$BR$129</f>
        <v>0</v>
      </c>
      <c r="AHT75" s="5797"/>
      <c r="AHU75" s="3624" t="e">
        <f>INDEX(klasseqty_sprøyte[veder_tykkelse_e2],MATCH($AI$79,klasseqty_sprøyte[Type_size],0))</f>
        <v>#N/A</v>
      </c>
      <c r="AHV75" s="5797"/>
      <c r="AHW75" s="2775" t="e">
        <f t="shared" si="278"/>
        <v>#N/A</v>
      </c>
      <c r="AHX75" s="3709"/>
      <c r="AHY75" s="2622"/>
      <c r="AHZ75" s="5800"/>
      <c r="AIA75" s="5797" t="b">
        <v>1</v>
      </c>
      <c r="AIB75" s="5797"/>
      <c r="AIC75" s="2983">
        <f>'!Egen_SK'!$BR$136</f>
        <v>0</v>
      </c>
      <c r="AID75" s="5797"/>
      <c r="AIE75" s="3624" t="e">
        <f>INDEX(klasseqty_sprøyte[vegg_tykkelse_e2],MATCH($AI$79,klasseqty_sprøyte[Type_size],0))</f>
        <v>#N/A</v>
      </c>
      <c r="AIF75" s="5797"/>
      <c r="AIG75" s="2775" t="e">
        <f t="shared" si="279"/>
        <v>#N/A</v>
      </c>
      <c r="AIH75" s="3709"/>
      <c r="AII75" s="184"/>
      <c r="AIJ75" s="3811"/>
      <c r="AIK75" s="5797" t="b">
        <v>1</v>
      </c>
      <c r="AIL75" s="5797"/>
      <c r="AIM75" s="2983">
        <f>'!Egen_SK'!$BR$143</f>
        <v>0</v>
      </c>
      <c r="AIN75" s="5797"/>
      <c r="AIO75" s="3011" t="e">
        <f>INDEX(klasseqty_sprøyte[ruhetfaktor_e2],MATCH($AI$79,klasseqty_sprøyte[Type_size],0))</f>
        <v>#N/A</v>
      </c>
      <c r="AIP75" s="5797"/>
      <c r="AIQ75" s="2775" t="e">
        <f t="shared" si="280"/>
        <v>#N/A</v>
      </c>
      <c r="AIR75" s="3753"/>
      <c r="AIS75" s="2622"/>
      <c r="AIT75" s="5800"/>
      <c r="AIU75" s="5797" t="b">
        <v>1</v>
      </c>
      <c r="AIV75" s="5797"/>
      <c r="AIW75" s="3319">
        <f>'!Egen_SK'!$BR$193</f>
        <v>0</v>
      </c>
      <c r="AIX75" s="5797"/>
      <c r="AIY75" s="2773" t="e">
        <f>INDEX(klasseqty_buer[dimensjon_e2],MATCH($AI$79,klasseqty_buer[Type_size],0))</f>
        <v>#N/A</v>
      </c>
      <c r="AIZ75" s="5797"/>
      <c r="AJA75" s="2775" t="e">
        <f t="shared" si="281"/>
        <v>#N/A</v>
      </c>
      <c r="AJB75" s="5797"/>
      <c r="AJC75" s="5797" t="b">
        <v>1</v>
      </c>
      <c r="AJD75" s="5797"/>
      <c r="AJE75" s="2782">
        <f>'!Egen_SK'!$BR$198</f>
        <v>0</v>
      </c>
      <c r="AJF75" s="5797"/>
      <c r="AJG75" s="3547" t="e">
        <f>INDEX(klasseqty_buer[andel_e2],MATCH($AI$79,klasseqty_buer[Type_size],0))</f>
        <v>#N/A</v>
      </c>
      <c r="AJH75" s="5797"/>
      <c r="AJI75" s="4140" t="e">
        <f t="shared" si="282"/>
        <v>#N/A</v>
      </c>
      <c r="AJJ75" s="5797"/>
      <c r="AJK75" s="5797" t="b">
        <v>1</v>
      </c>
      <c r="AJL75" s="5797"/>
      <c r="AJM75" s="2983">
        <f>'!Egen_SK'!$BR$202</f>
        <v>0</v>
      </c>
      <c r="AJN75" s="5797"/>
      <c r="AJO75" s="3011" t="e">
        <f>INDEX(klasseqty_buer[bue_senteravstand_e2],MATCH($AI$79,klasseqty_buer[Type_size],0))</f>
        <v>#N/A</v>
      </c>
      <c r="AJP75" s="5797"/>
      <c r="AJQ75" s="2775" t="e">
        <f t="shared" si="283"/>
        <v>#N/A</v>
      </c>
      <c r="AJR75" s="5797"/>
      <c r="AJS75" s="5797" t="b">
        <v>1</v>
      </c>
      <c r="AJT75" s="5797"/>
      <c r="AJU75" s="2983">
        <f>'!Egen_SK'!$BR$206</f>
        <v>0</v>
      </c>
      <c r="AJV75" s="5797"/>
      <c r="AJW75" s="3011" t="e">
        <f>INDEX(klasseqty_buer[utvidelse_e2],MATCH($AI$79,klasseqty_buer[Type_size],0))</f>
        <v>#N/A</v>
      </c>
      <c r="AJX75" s="5797"/>
      <c r="AJY75" s="2775" t="e">
        <f t="shared" si="284"/>
        <v>#N/A</v>
      </c>
      <c r="AJZ75" s="5799"/>
      <c r="AKA75" s="5797"/>
      <c r="AKB75" s="5797"/>
      <c r="AKC75" s="5797"/>
      <c r="AKD75" s="5800"/>
      <c r="AKE75" s="5797" t="b">
        <v>1</v>
      </c>
      <c r="AKF75" s="5797"/>
      <c r="AKG75" s="2983">
        <f>'!Egen_SK'!$BR$213</f>
        <v>0</v>
      </c>
      <c r="AKH75" s="5797"/>
      <c r="AKI75" s="3011" t="e">
        <f>INDEX(klasseqty_buer[radiellebolter_senteravstand_e2],MATCH($AI$79,klasseqty_buer[Type_size],0))</f>
        <v>#N/A</v>
      </c>
      <c r="AKJ75" s="5797"/>
      <c r="AKK75" s="2775" t="e">
        <f t="shared" si="285"/>
        <v>#N/A</v>
      </c>
      <c r="AKL75" s="5797"/>
      <c r="AKM75" s="5797" t="b">
        <v>1</v>
      </c>
      <c r="AKN75" s="5797"/>
      <c r="AKO75" s="3712">
        <f>'!Egen_SK'!$BR$217</f>
        <v>0</v>
      </c>
      <c r="AKP75" s="5797"/>
      <c r="AKQ75" s="3547" t="e">
        <f>INDEX(klasseqty_buer[radiellebolter_lt4_e2],MATCH($AI$79,klasseqty_buer[Type_size],0))</f>
        <v>#N/A</v>
      </c>
      <c r="AKR75" s="5797"/>
      <c r="AKS75" s="2781" t="e">
        <f t="shared" si="306"/>
        <v>#N/A</v>
      </c>
      <c r="AKT75" s="5797"/>
      <c r="AKU75" s="184"/>
      <c r="AKV75" s="5797"/>
      <c r="AKW75" s="5797"/>
      <c r="AKX75" s="2782" t="str">
        <f t="shared" si="307"/>
        <v/>
      </c>
      <c r="AKY75" s="5797"/>
      <c r="AKZ75" s="3547" t="e">
        <f>INDEX(klasseqty_buer[radiellebolter_gt4_e2],MATCH($AI$79,klasseqty_buer[Type_size],0))</f>
        <v>#N/A</v>
      </c>
      <c r="ALA75" s="5797"/>
      <c r="ALB75" s="3368" t="e">
        <f t="shared" si="308"/>
        <v>#N/A</v>
      </c>
      <c r="ALC75" s="3643"/>
      <c r="ALD75" s="5800"/>
      <c r="ALE75" s="5797" t="b">
        <v>1</v>
      </c>
      <c r="ALF75" s="5797"/>
      <c r="ALG75" s="2983">
        <f>'!Egen_SK'!$BR$226</f>
        <v>0</v>
      </c>
      <c r="ALH75" s="5797"/>
      <c r="ALI75" s="3011" t="e">
        <f>INDEX(klasseqty_buer[tillegs-sprøytebetong_e2],MATCH($AI$79,klasseqty_buer[Type_size],0))</f>
        <v>#N/A</v>
      </c>
      <c r="ALJ75" s="5797"/>
      <c r="ALK75" s="2775" t="e">
        <f t="shared" si="286"/>
        <v>#N/A</v>
      </c>
      <c r="ALL75" s="3753"/>
      <c r="ALM75" s="2737"/>
      <c r="ALN75" s="5800"/>
      <c r="ALO75" s="5797" t="b">
        <v>1</v>
      </c>
      <c r="ALP75" s="5797"/>
      <c r="ALQ75" s="3715">
        <f>'!Egen_SK'!$BR$233</f>
        <v>0</v>
      </c>
      <c r="ALR75" s="5797"/>
      <c r="ALS75" s="3717" t="e">
        <f>INDEX(klasseqty_buer[forankring_e2],MATCH($AI$79,klasseqty_buer[Type_size],0))</f>
        <v>#N/A</v>
      </c>
      <c r="ALT75" s="5797"/>
      <c r="ALU75" s="3719" t="e">
        <f t="shared" si="287"/>
        <v>#N/A</v>
      </c>
      <c r="ALV75" s="5797"/>
      <c r="ALW75" s="5797"/>
      <c r="ALX75" s="5797" t="b">
        <v>1</v>
      </c>
      <c r="ALY75" s="5797"/>
      <c r="ALZ75" s="2782">
        <f>'!Egen_SK'!$BR$237</f>
        <v>0</v>
      </c>
      <c r="AMA75" s="5797"/>
      <c r="AMB75" s="3547" t="e">
        <f>INDEX(klasseqty_buer[forankring_lt4_e2],MATCH($AI$79,klasseqty_buer[Type_size],0))</f>
        <v>#N/A</v>
      </c>
      <c r="AMC75" s="5797"/>
      <c r="AMD75" s="2781" t="e">
        <f t="shared" si="309"/>
        <v>#N/A</v>
      </c>
      <c r="AME75" s="5797"/>
      <c r="AMF75" s="184"/>
      <c r="AMG75" s="5797"/>
      <c r="AMH75" s="5797"/>
      <c r="AMI75" s="2782" t="str">
        <f t="shared" si="310"/>
        <v/>
      </c>
      <c r="AMJ75" s="5797"/>
      <c r="AMK75" s="3547" t="e">
        <f>INDEX(klasseqty_buer[forankring_gt4_e2],MATCH($AI$79,klasseqty_buer[Type_size],0))</f>
        <v>#N/A</v>
      </c>
      <c r="AML75" s="5797"/>
      <c r="AMM75" s="3368" t="e">
        <f t="shared" si="311"/>
        <v>#N/A</v>
      </c>
      <c r="AMN75" s="5548"/>
      <c r="AMO75" s="5548"/>
      <c r="AMP75" s="5548"/>
      <c r="AMQ75" s="5548"/>
      <c r="AMR75" s="5548"/>
      <c r="AMS75" s="5548"/>
      <c r="AMT75" s="5548"/>
      <c r="AMU75" s="5548"/>
      <c r="AMV75" s="5548"/>
      <c r="AMW75" s="5548"/>
      <c r="AMX75" s="5548"/>
      <c r="AMY75" s="5548"/>
      <c r="AMZ75" s="5548"/>
      <c r="ANA75" s="5548"/>
      <c r="ANB75" s="5548"/>
      <c r="ANC75" s="5548"/>
      <c r="AND75" s="5548"/>
      <c r="ANE75" s="5548"/>
      <c r="ANF75" s="5548"/>
      <c r="ANG75" s="5548"/>
      <c r="ANH75" s="5548"/>
      <c r="ANI75" s="5548"/>
      <c r="ANJ75" s="5548"/>
      <c r="ANK75" s="5548"/>
      <c r="ANL75" s="5548"/>
      <c r="ANM75" s="5548"/>
      <c r="ANN75" s="5548"/>
      <c r="ANO75" s="5548"/>
      <c r="ANP75" s="5548"/>
      <c r="ANQ75" s="5548"/>
      <c r="ANR75" s="5548"/>
      <c r="ANS75" s="5548"/>
      <c r="ANT75" s="5548"/>
      <c r="ANU75" s="5548"/>
      <c r="ANV75" s="5548"/>
      <c r="ANW75" s="5548"/>
      <c r="ANX75" s="5548"/>
      <c r="ANY75" s="5548"/>
      <c r="ANZ75" s="5548"/>
      <c r="AOA75" s="5548"/>
      <c r="AOB75" s="5548"/>
      <c r="AOC75" s="5548"/>
      <c r="AOD75" s="5548"/>
      <c r="AOE75" s="5548"/>
      <c r="AOF75" s="5548"/>
      <c r="AOG75" s="5548"/>
      <c r="AOH75" s="5548"/>
      <c r="AOI75" s="5548"/>
      <c r="AOJ75" s="5548"/>
      <c r="AOK75" s="5548"/>
      <c r="AOL75" s="5548"/>
      <c r="AOM75" s="5548"/>
      <c r="AOO75" s="5800"/>
      <c r="AOP75" s="5797" t="b">
        <v>1</v>
      </c>
      <c r="AOQ75" s="5797"/>
      <c r="AOR75" s="2983">
        <f>'!Egen_SK'!$BR$157</f>
        <v>0</v>
      </c>
      <c r="AOS75" s="5797"/>
      <c r="AOT75" s="3547" t="e">
        <f>INDEX(klasseqty_forbolting[andel_av_tunnelklasse_e2],MATCH($AI$79,klasseqty_forbolting[Type_size],0))</f>
        <v>#N/A</v>
      </c>
      <c r="AOU75" s="5797"/>
      <c r="AOV75" s="4140" t="e">
        <f t="shared" si="288"/>
        <v>#N/A</v>
      </c>
      <c r="AOW75" s="5797"/>
      <c r="AOX75" s="5797"/>
      <c r="AOY75" s="5797" t="b">
        <v>1</v>
      </c>
      <c r="AOZ75" s="5797"/>
      <c r="APA75" s="2983" t="str">
        <f t="shared" si="312"/>
        <v/>
      </c>
      <c r="APB75" s="5797"/>
      <c r="APC75" s="3624" t="e">
        <f>INDEX(klasseqty_forbolting[andel_av_tunnelklasse_e2],MATCH($AI$79,klasseqty_forbolting[Type_size],0))</f>
        <v>#N/A</v>
      </c>
      <c r="APD75" s="5797"/>
      <c r="APE75" s="5165" t="e">
        <f t="shared" si="289"/>
        <v>#N/A</v>
      </c>
      <c r="APF75" s="5797"/>
      <c r="APG75" s="5797" t="b">
        <v>1</v>
      </c>
      <c r="APH75" s="5797"/>
      <c r="API75" s="2983">
        <f>'!Egen_SK'!$BR$152</f>
        <v>0</v>
      </c>
      <c r="APJ75" s="5797"/>
      <c r="APK75" s="3011" t="e">
        <f>INDEX(klasseqty_forbolting[bueområde_e2],MATCH($AI$79,klasseqty_forbolting[Type_size],0))</f>
        <v>#N/A</v>
      </c>
      <c r="APL75" s="5797"/>
      <c r="APM75" s="2775" t="e">
        <f t="shared" si="290"/>
        <v>#N/A</v>
      </c>
      <c r="APN75" s="5797"/>
      <c r="APO75" s="5797" t="b">
        <v>1</v>
      </c>
      <c r="APP75" s="5797"/>
      <c r="APQ75" s="2983">
        <f>'!Egen_SK'!$BR$165</f>
        <v>0</v>
      </c>
      <c r="APR75" s="5797"/>
      <c r="APS75" s="3011" t="e">
        <f>INDEX(klasseqty_forbolting[forbolting_senteravstand_e2],MATCH($AI$79,klasseqty_forbolting[Type_size],0))</f>
        <v>#N/A</v>
      </c>
      <c r="APT75" s="5797"/>
      <c r="APU75" s="2775" t="e">
        <f t="shared" si="291"/>
        <v>#N/A</v>
      </c>
      <c r="APV75" s="5797"/>
      <c r="APW75" s="5797" t="b">
        <v>1</v>
      </c>
      <c r="APX75" s="5797"/>
      <c r="APY75" s="3712">
        <f>'!Egen_SK'!$BR$169</f>
        <v>0</v>
      </c>
      <c r="APZ75" s="5797"/>
      <c r="AQA75" s="3547" t="e">
        <f>INDEX(klasseqty_forbolting[forbolting_lt4_e2],MATCH($AI$79,klasseqty_forbolting[Type_size],0))</f>
        <v>#N/A</v>
      </c>
      <c r="AQB75" s="5797"/>
      <c r="AQC75" s="2781" t="e">
        <f t="shared" si="313"/>
        <v>#N/A</v>
      </c>
      <c r="AQD75" s="5797"/>
      <c r="AQE75" s="184"/>
      <c r="AQF75" s="5797"/>
      <c r="AQG75" s="5797"/>
      <c r="AQH75" s="2782" t="str">
        <f t="shared" si="314"/>
        <v/>
      </c>
      <c r="AQI75" s="5797"/>
      <c r="AQJ75" s="3547" t="e">
        <f>INDEX(klasseqty_forbolting[forbolting_gt4_e2],MATCH($AI$79,klasseqty_forbolting[Type_size],0))</f>
        <v>#N/A</v>
      </c>
      <c r="AQK75" s="5797"/>
      <c r="AQL75" s="3368" t="e">
        <f t="shared" si="315"/>
        <v>#N/A</v>
      </c>
      <c r="AQN75" s="5800"/>
      <c r="AQO75" s="5797" t="b">
        <v>1</v>
      </c>
      <c r="AQP75" s="5797"/>
      <c r="AQQ75" s="2983">
        <f>'!Egen_SK'!$BR$178</f>
        <v>0</v>
      </c>
      <c r="AQR75" s="5797"/>
      <c r="AQS75" s="3011" t="e">
        <f>INDEX(klasseqty_forbolting[oppheng_senteravstand_e2],MATCH($AI$79,klasseqty_forbolting[Type_size],0))</f>
        <v>#N/A</v>
      </c>
      <c r="AQT75" s="5797"/>
      <c r="AQU75" s="2775" t="e">
        <f t="shared" si="292"/>
        <v>#N/A</v>
      </c>
      <c r="AQV75" s="5797"/>
      <c r="AQW75" s="5797" t="b">
        <v>1</v>
      </c>
      <c r="AQX75" s="5797"/>
      <c r="AQY75" s="3712">
        <f>'!Egen_SK'!$BR$182</f>
        <v>0</v>
      </c>
      <c r="AQZ75" s="5797"/>
      <c r="ARA75" s="3547" t="e">
        <f>INDEX(klasseqty_forbolting[oppheng_lt4_e2],MATCH($AI$79,klasseqty_forbolting[Type_size],0))</f>
        <v>#N/A</v>
      </c>
      <c r="ARB75" s="5797"/>
      <c r="ARC75" s="2781" t="e">
        <f t="shared" si="316"/>
        <v>#N/A</v>
      </c>
      <c r="ARD75" s="5797"/>
      <c r="ARE75" s="184"/>
      <c r="ARF75" s="5797"/>
      <c r="ARG75" s="5797"/>
      <c r="ARH75" s="2782" t="str">
        <f t="shared" si="317"/>
        <v/>
      </c>
      <c r="ARI75" s="5797"/>
      <c r="ARJ75" s="3547" t="e">
        <f>INDEX(klasseqty_forbolting[oppheng_gt4_e2],MATCH($AI$79,klasseqty_forbolting[Type_size],0))</f>
        <v>#N/A</v>
      </c>
      <c r="ARK75" s="5797"/>
      <c r="ARL75" s="3368" t="e">
        <f t="shared" si="318"/>
        <v>#N/A</v>
      </c>
      <c r="ART75" s="5800" t="b">
        <v>1</v>
      </c>
      <c r="ARU75" s="5797"/>
      <c r="ARV75" s="3712">
        <f>'!Egen_SK'!$BR$312</f>
        <v>0</v>
      </c>
      <c r="ARW75" s="5797"/>
      <c r="ARX75" s="3624" t="e">
        <f>INDEX(klasseqty_sik1234[sikringsstøp_hypp_e2],MATCH($AI$79,klasseqty_sik1234[Type_size],0))</f>
        <v>#N/A</v>
      </c>
      <c r="ARY75" s="5797"/>
      <c r="ARZ75" s="2775" t="e">
        <f t="shared" si="293"/>
        <v>#N/A</v>
      </c>
      <c r="ASA75" s="184"/>
      <c r="ASB75" s="5797" t="b">
        <v>1</v>
      </c>
      <c r="ASC75" s="5797"/>
      <c r="ASD75" s="2983">
        <f>'!Egen_SK'!$BR$316</f>
        <v>0</v>
      </c>
      <c r="ASE75" s="5797"/>
      <c r="ASF75" s="3547" t="e">
        <f>INDEX(klasseqty_sik1234[sikringsstøp_123_e2],MATCH($AI$79,klasseqty_sik1234[Type_size],0))</f>
        <v>#N/A</v>
      </c>
      <c r="ASG75" s="5797"/>
      <c r="ASH75" s="2781" t="e">
        <f t="shared" si="319"/>
        <v>#N/A</v>
      </c>
      <c r="ASI75" s="5797"/>
      <c r="ASJ75" s="184"/>
      <c r="ASK75" s="5797"/>
      <c r="ASL75" s="5797"/>
      <c r="ASM75" s="2782" t="str">
        <f t="shared" si="320"/>
        <v/>
      </c>
      <c r="ASN75" s="5797"/>
      <c r="ASO75" s="3547" t="e">
        <f>INDEX(klasseqty_sik1234[sikringsstøp_4_e2],MATCH($AI$79,klasseqty_sik1234[Type_size],0))</f>
        <v>#N/A</v>
      </c>
      <c r="ASP75" s="5797"/>
      <c r="ASQ75" s="3368" t="e">
        <f t="shared" si="321"/>
        <v>#N/A</v>
      </c>
      <c r="ASR75" s="2737"/>
      <c r="ASS75" s="2737"/>
      <c r="ATA75" s="2622"/>
      <c r="AUU75" s="2617"/>
      <c r="AUV75" s="2629" t="s">
        <v>1267</v>
      </c>
      <c r="AUW75" s="237">
        <v>80</v>
      </c>
      <c r="AUX75" s="237">
        <v>80</v>
      </c>
      <c r="AUY75" s="237">
        <v>80</v>
      </c>
      <c r="AUZ75" s="237">
        <v>100</v>
      </c>
      <c r="AVA75" s="237">
        <v>150</v>
      </c>
      <c r="AVB75" s="237">
        <v>150</v>
      </c>
      <c r="AVC75" s="237">
        <v>200</v>
      </c>
      <c r="AVD75" s="2631">
        <v>250</v>
      </c>
      <c r="AVE75" s="3816">
        <v>0</v>
      </c>
      <c r="AVF75" s="3557">
        <v>0</v>
      </c>
      <c r="AVG75" s="3557">
        <v>80</v>
      </c>
      <c r="AVH75" s="3557">
        <v>90</v>
      </c>
      <c r="AVI75" s="3557">
        <v>130</v>
      </c>
      <c r="AVJ75" s="3557">
        <v>150</v>
      </c>
      <c r="AVK75" s="3557">
        <v>200</v>
      </c>
      <c r="AVL75" s="3557">
        <v>250</v>
      </c>
      <c r="AVM75" s="3557">
        <v>1.3</v>
      </c>
      <c r="AVN75" s="3557">
        <v>1.3</v>
      </c>
      <c r="AVO75" s="3557">
        <v>1.3</v>
      </c>
      <c r="AVP75" s="3557">
        <v>1.35</v>
      </c>
      <c r="AVQ75" s="3557">
        <v>1.4</v>
      </c>
      <c r="AVR75" s="3557">
        <v>1.4</v>
      </c>
      <c r="AVS75" s="3557">
        <v>1.45</v>
      </c>
      <c r="AVT75" s="3557">
        <v>1.5</v>
      </c>
      <c r="AVU75" s="2617"/>
      <c r="AVV75" s="2617"/>
      <c r="AVW75" s="2617"/>
      <c r="AVX75" s="2617"/>
      <c r="AVY75" s="2617"/>
      <c r="AVZ75" s="2617"/>
      <c r="AWA75" s="2617"/>
      <c r="AWB75" s="2617"/>
      <c r="AWC75" s="2617"/>
      <c r="AWD75" s="2617"/>
      <c r="AWE75" s="2617"/>
      <c r="AWF75" s="2617"/>
      <c r="AWG75" s="2617"/>
      <c r="AWH75" s="2617"/>
      <c r="AWI75" s="2617"/>
      <c r="AWJ75" s="2617"/>
      <c r="AWK75" s="2617"/>
      <c r="AWL75" s="2617"/>
      <c r="AWM75" s="2617"/>
      <c r="AWN75" s="2617"/>
      <c r="AWO75" s="2617"/>
      <c r="AWP75" s="2617"/>
      <c r="AWQ75" s="2617"/>
      <c r="AWR75" s="2617"/>
      <c r="AWS75" s="2617"/>
      <c r="AWT75" s="2617"/>
      <c r="AWU75" s="2617"/>
      <c r="AWV75" s="2617"/>
      <c r="AWW75" s="2617"/>
      <c r="AWX75" s="2617"/>
      <c r="AWY75" s="2617"/>
      <c r="AWZ75" s="2617"/>
      <c r="AXA75" s="2617"/>
      <c r="AXB75" s="2617"/>
      <c r="AXC75" s="2617"/>
      <c r="AXD75" s="2617"/>
      <c r="AXE75" s="2617"/>
      <c r="AXF75" s="2617"/>
      <c r="AXG75" s="2617"/>
      <c r="AXH75" s="2617"/>
      <c r="AXI75" s="2617"/>
      <c r="AXJ75" s="2617"/>
      <c r="AXK75" s="2617"/>
      <c r="BFE75" s="3398"/>
    </row>
    <row r="76" spans="1:1513" x14ac:dyDescent="0.2">
      <c r="AF76" s="4200" t="s">
        <v>2143</v>
      </c>
      <c r="AH76" s="206" t="s">
        <v>1319</v>
      </c>
      <c r="AI76" s="199" t="str">
        <f>IF($AI$75=_List!CK7,"veg",IF($AI$75=_List!CK8,"jern",""))</f>
        <v>veg</v>
      </c>
      <c r="AL76" s="2617"/>
      <c r="AV76" s="2622"/>
      <c r="AW76" s="2622"/>
      <c r="AX76" s="2622"/>
      <c r="CG76" s="181"/>
      <c r="CH76" s="181"/>
      <c r="CI76" s="181"/>
      <c r="CJ76" s="181"/>
      <c r="CK76" s="181"/>
      <c r="CL76" s="181"/>
      <c r="AAW76" s="372" t="s">
        <v>877</v>
      </c>
      <c r="AAX76" s="372"/>
      <c r="AAY76" s="372" t="s">
        <v>889</v>
      </c>
      <c r="AAZ76" s="184"/>
      <c r="ABA76" s="3811"/>
      <c r="ABB76" s="5797" t="b">
        <v>1</v>
      </c>
      <c r="ABC76" s="5797"/>
      <c r="ABD76" s="2983">
        <f>'!Egen_SK'!$BZ$76</f>
        <v>0</v>
      </c>
      <c r="ABE76" s="5797"/>
      <c r="ABF76" s="3624" t="e">
        <f>INDEX(klasse_salve[salve_lengde_f],MATCH($AI$79,klasse_salve[Type_size],0))</f>
        <v>#N/A</v>
      </c>
      <c r="ABG76" s="5797"/>
      <c r="ABH76" s="3010" t="e">
        <f t="shared" si="294"/>
        <v>#N/A</v>
      </c>
      <c r="ABI76" s="5799"/>
      <c r="ABJ76" s="184"/>
      <c r="ABK76" s="3811"/>
      <c r="ABL76" s="5797" t="b">
        <v>1</v>
      </c>
      <c r="ABM76" s="5797"/>
      <c r="ABN76" s="2983">
        <f>'!Egen_SK'!$BZ$85</f>
        <v>0</v>
      </c>
      <c r="ABO76" s="5797"/>
      <c r="ABP76" s="3624" t="e">
        <f>INDEX(klasseqty_rensk[manual_tid_salve_f],MATCH($AI$79,klasseqty_bolting[Type_size],0))</f>
        <v>#N/A</v>
      </c>
      <c r="ABQ76" s="5797"/>
      <c r="ABR76" s="3010" t="e">
        <f t="shared" si="295"/>
        <v>#N/A</v>
      </c>
      <c r="ABS76" s="5799"/>
      <c r="ABT76" s="184"/>
      <c r="ABU76" s="3811"/>
      <c r="ABV76" s="5797" t="b">
        <v>1</v>
      </c>
      <c r="ABW76" s="5797"/>
      <c r="ABX76" s="2983">
        <f>'!Egen_SK'!$BZ$92</f>
        <v>0</v>
      </c>
      <c r="ABY76" s="5797"/>
      <c r="ABZ76" s="3624" t="e">
        <f>INDEX(klasseqty_rensk[inspectiontid_f],MATCH($AI$79,klasseqty_bolting[Type_size],0))</f>
        <v>#N/A</v>
      </c>
      <c r="ACA76" s="5797"/>
      <c r="ACB76" s="3010" t="e">
        <f t="shared" si="296"/>
        <v>#N/A</v>
      </c>
      <c r="ACC76" s="5799"/>
      <c r="ACD76" s="5797"/>
      <c r="ACE76" s="5800"/>
      <c r="ACF76" s="5797" t="b">
        <v>1</v>
      </c>
      <c r="ACG76" s="5797"/>
      <c r="ACH76" s="2983">
        <f>'!Egen_SK'!$BZ$101</f>
        <v>0</v>
      </c>
      <c r="ACI76" s="5797"/>
      <c r="ACJ76" s="2774" t="e">
        <f>INDEX(klasseqty_bolting[veder_cc_f],MATCH($AI$79,klasseqty_bolting[Type_size],0))</f>
        <v>#N/A</v>
      </c>
      <c r="ACK76" s="5797"/>
      <c r="ACL76" s="2775" t="e">
        <f t="shared" si="297"/>
        <v>#N/A</v>
      </c>
      <c r="ACM76" s="5797"/>
      <c r="ACN76" s="184"/>
      <c r="ACO76" s="5797" t="b">
        <v>1</v>
      </c>
      <c r="ACP76" s="5797"/>
      <c r="ACQ76" s="2782">
        <f>'!Egen_SK'!$BZ$105</f>
        <v>0</v>
      </c>
      <c r="ACR76" s="5797"/>
      <c r="ACS76" s="3547" t="e">
        <f>INDEX(klasseqty_bolting[veder_length_lt4_f],MATCH($AI$79,klasseqty_bolting[Type_size],0))</f>
        <v>#N/A</v>
      </c>
      <c r="ACT76" s="5797"/>
      <c r="ACU76" s="2781" t="e">
        <f t="shared" si="298"/>
        <v>#N/A</v>
      </c>
      <c r="ACV76" s="5797"/>
      <c r="ACW76" s="184"/>
      <c r="ACX76" s="5797"/>
      <c r="ACY76" s="5797"/>
      <c r="ACZ76" s="2782" t="str">
        <f t="shared" si="299"/>
        <v/>
      </c>
      <c r="ADA76" s="5797"/>
      <c r="ADB76" s="3547" t="e">
        <f>INDEX(klasseqty_bolting[veder_length_gt4_f],MATCH($AI$79,klasseqty_bolting[Type_size],0))</f>
        <v>#N/A</v>
      </c>
      <c r="ADC76" s="5797"/>
      <c r="ADD76" s="2781" t="e">
        <f t="shared" si="300"/>
        <v>#N/A</v>
      </c>
      <c r="ADE76" s="5809"/>
      <c r="ADF76" s="5797"/>
      <c r="ADG76" s="5800"/>
      <c r="ADH76" s="5797" t="b">
        <v>1</v>
      </c>
      <c r="ADI76" s="5797"/>
      <c r="ADJ76" s="2983">
        <f>'!Egen_SK'!$BZ$114</f>
        <v>0</v>
      </c>
      <c r="ADK76" s="5797"/>
      <c r="ADL76" s="2774" t="e">
        <f>INDEX(klasseqty_bolting[vegg_cc_f],MATCH($AI$79,klasseqty_bolting[Type_size],0))</f>
        <v>#N/A</v>
      </c>
      <c r="ADM76" s="5797"/>
      <c r="ADN76" s="2775" t="e">
        <f t="shared" si="301"/>
        <v>#N/A</v>
      </c>
      <c r="ADO76" s="5797"/>
      <c r="ADP76" s="184"/>
      <c r="ADQ76" s="5797"/>
      <c r="ADR76" s="5797" t="b">
        <v>1</v>
      </c>
      <c r="ADS76" s="5797"/>
      <c r="ADT76" s="2782">
        <f>'!Egen_SK'!$BZ$118</f>
        <v>0</v>
      </c>
      <c r="ADU76" s="5797"/>
      <c r="ADV76" s="3547" t="e">
        <f>INDEX(klasseqty_bolting[vegg_length_lt4_f],MATCH($AI$79,klasseqty_bolting[Type_size],0))</f>
        <v>#N/A</v>
      </c>
      <c r="ADW76" s="5797"/>
      <c r="ADX76" s="2781" t="e">
        <f t="shared" si="302"/>
        <v>#N/A</v>
      </c>
      <c r="ADY76" s="5797"/>
      <c r="ADZ76" s="5797"/>
      <c r="AEA76" s="5797"/>
      <c r="AEB76" s="2782" t="str">
        <f t="shared" si="270"/>
        <v/>
      </c>
      <c r="AEC76" s="5797"/>
      <c r="AED76" s="3547" t="e">
        <f>INDEX(klasseqty_bolting[vegg_length_gt4_f],MATCH($AI$79,klasseqty_bolting[Type_size],0))</f>
        <v>#N/A</v>
      </c>
      <c r="AEE76" s="5797"/>
      <c r="AEF76" s="2781" t="e">
        <f t="shared" si="271"/>
        <v>#N/A</v>
      </c>
      <c r="AEG76" s="5799"/>
      <c r="AEH76" s="5797"/>
      <c r="AEI76" s="5797"/>
      <c r="AEJ76" s="5797"/>
      <c r="AEK76" s="5797"/>
      <c r="AEL76" s="5797"/>
      <c r="AEM76" s="5797"/>
      <c r="AEN76" s="5797"/>
      <c r="AEO76" s="5797"/>
      <c r="AEP76" s="5797"/>
      <c r="AEQ76" s="5797"/>
      <c r="AER76" s="5797"/>
      <c r="AES76" s="5800"/>
      <c r="AET76" s="5797" t="b">
        <v>1</v>
      </c>
      <c r="AEU76" s="5797"/>
      <c r="AEV76" s="2983">
        <f>'!Egen_SK'!$BZ$248</f>
        <v>0</v>
      </c>
      <c r="AEW76" s="5797"/>
      <c r="AEX76" s="2773" t="e">
        <f>INDEX(klasseqty_bergbånd[overlappingsfaktor_f],MATCH($AI$79,klasseqty_bergbånd[Type_size],0))</f>
        <v>#N/A</v>
      </c>
      <c r="AEY76" s="5797"/>
      <c r="AEZ76" s="3376" t="e">
        <f t="shared" si="272"/>
        <v>#N/A</v>
      </c>
      <c r="AFA76" s="5797"/>
      <c r="AFB76" s="5800" t="b">
        <v>1</v>
      </c>
      <c r="AFC76" s="5797"/>
      <c r="AFD76" s="2983">
        <f>'!Egen_SK'!$BZ$255</f>
        <v>0</v>
      </c>
      <c r="AFE76" s="5797"/>
      <c r="AFF76" s="2773" t="e">
        <f>INDEX(klasseqty_bergbånd[tilleggs_bergbånd_f],MATCH($AI$79,klasseqty_bergbånd[Type_size],0))</f>
        <v>#N/A</v>
      </c>
      <c r="AFG76" s="5797"/>
      <c r="AFH76" s="3376" t="e">
        <f t="shared" si="273"/>
        <v>#N/A</v>
      </c>
      <c r="AFI76" s="5797"/>
      <c r="AFJ76" s="5800" t="b">
        <v>1</v>
      </c>
      <c r="AFK76" s="5797"/>
      <c r="AFL76" s="2983">
        <f>'!Egen_SK'!$BZ$262</f>
        <v>0</v>
      </c>
      <c r="AFM76" s="5797"/>
      <c r="AFN76" s="3011" t="e">
        <f>INDEX(klasseqty_bergbånd[tilleggs_bergbånd_festebolter_senteravstand_f],MATCH($AI$79,klasseqty_bergbånd[Type_size],0))</f>
        <v>#N/A</v>
      </c>
      <c r="AFO76" s="5797"/>
      <c r="AFP76" s="2775" t="e">
        <f t="shared" si="274"/>
        <v>#N/A</v>
      </c>
      <c r="AFQ76" s="5797"/>
      <c r="AFR76" s="5797" t="b">
        <v>1</v>
      </c>
      <c r="AFS76" s="5797"/>
      <c r="AFT76" s="2782">
        <f>'!Egen_SK'!$BZ$266</f>
        <v>0</v>
      </c>
      <c r="AFU76" s="5797"/>
      <c r="AFV76" s="3547" t="e">
        <f>INDEX(klasseqty_bergbånd[tilleggs_bergbånd_festebolter_lt4_f],MATCH($AI$79,klasseqty_bergbånd[Type_size],0))</f>
        <v>#N/A</v>
      </c>
      <c r="AFW76" s="5797"/>
      <c r="AFX76" s="2781" t="e">
        <f t="shared" si="303"/>
        <v>#N/A</v>
      </c>
      <c r="AFY76" s="5797"/>
      <c r="AFZ76" s="184"/>
      <c r="AGA76" s="5797"/>
      <c r="AGB76" s="5797"/>
      <c r="AGC76" s="5797"/>
      <c r="AGD76" s="2782" t="str">
        <f t="shared" si="304"/>
        <v/>
      </c>
      <c r="AGE76" s="5797"/>
      <c r="AGF76" s="3547" t="e">
        <f>INDEX(klasseqty_bergbånd[tilleggs_bergbånd_festebolter_gt4_f],MATCH($AI$79,klasseqty_bergbånd[Type_size],0))</f>
        <v>#N/A</v>
      </c>
      <c r="AGG76" s="5797"/>
      <c r="AGH76" s="2781" t="e">
        <f t="shared" si="305"/>
        <v>#N/A</v>
      </c>
      <c r="AGI76" s="5799"/>
      <c r="AGJ76" s="5152"/>
      <c r="AGK76" s="5152"/>
      <c r="AGL76" s="5152"/>
      <c r="AGM76" s="5152"/>
      <c r="AGN76" s="2622"/>
      <c r="AGO76" s="5800" t="b">
        <v>1</v>
      </c>
      <c r="AGP76" s="5797"/>
      <c r="AGQ76" s="2983">
        <f>'!Egen_SK'!$BZ$277</f>
        <v>0</v>
      </c>
      <c r="AGR76" s="5797"/>
      <c r="AGS76" s="3011" t="e">
        <f>INDEX(klasseqty_nett[nett_hypp_f],MATCH($AI$79,klasseqty_nett[Type_size],0))</f>
        <v>#N/A</v>
      </c>
      <c r="AGT76" s="5797"/>
      <c r="AGU76" s="3376" t="e">
        <f t="shared" si="275"/>
        <v>#N/A</v>
      </c>
      <c r="AGV76" s="5152"/>
      <c r="AGW76" s="5800" t="b">
        <v>1</v>
      </c>
      <c r="AGX76" s="5797"/>
      <c r="AGY76" s="2983">
        <f>'!Egen_SK'!$BZ$284</f>
        <v>0</v>
      </c>
      <c r="AGZ76" s="5797"/>
      <c r="AHA76" s="3011" t="e">
        <f>INDEX(klasseqty_nett[nett_festebolter_avstand_f],MATCH($AI$79,klasseqty_nett[Type_size],0))</f>
        <v>#N/A</v>
      </c>
      <c r="AHB76" s="5797"/>
      <c r="AHC76" s="3376" t="e">
        <f t="shared" si="276"/>
        <v>#N/A</v>
      </c>
      <c r="AHD76" s="5152"/>
      <c r="AHF76" s="5800" t="b">
        <v>1</v>
      </c>
      <c r="AHG76" s="5797"/>
      <c r="AHH76" s="2983">
        <f>'!Egen_SK'!$BZ$291</f>
        <v>0</v>
      </c>
      <c r="AHI76" s="5797"/>
      <c r="AHJ76" s="3011" t="e">
        <f>INDEX(klasseqty_nett[nett_sprøytebetong_tykkelse_f],MATCH($AI$79,klasseqty_nett[Type_size],0))</f>
        <v>#N/A</v>
      </c>
      <c r="AHK76" s="5797"/>
      <c r="AHL76" s="3376" t="e">
        <f t="shared" si="277"/>
        <v>#N/A</v>
      </c>
      <c r="AHP76" s="5800"/>
      <c r="AHQ76" s="5797" t="b">
        <v>1</v>
      </c>
      <c r="AHR76" s="5797"/>
      <c r="AHS76" s="2983">
        <f>'!Egen_SK'!$BZ$129</f>
        <v>0</v>
      </c>
      <c r="AHT76" s="5797"/>
      <c r="AHU76" s="3624" t="e">
        <f>INDEX(klasseqty_sprøyte[veder_tykkelse_f],MATCH($AI$79,klasseqty_sprøyte[Type_size],0))</f>
        <v>#N/A</v>
      </c>
      <c r="AHV76" s="5797"/>
      <c r="AHW76" s="2775" t="e">
        <f t="shared" si="278"/>
        <v>#N/A</v>
      </c>
      <c r="AHX76" s="3709"/>
      <c r="AHY76" s="2622"/>
      <c r="AHZ76" s="5800"/>
      <c r="AIA76" s="5797" t="b">
        <v>1</v>
      </c>
      <c r="AIB76" s="5797"/>
      <c r="AIC76" s="2983">
        <f>'!Egen_SK'!$BZ$136</f>
        <v>0</v>
      </c>
      <c r="AID76" s="5797"/>
      <c r="AIE76" s="3624" t="e">
        <f>INDEX(klasseqty_sprøyte[vegg_tykkelse_f],MATCH($AI$79,klasseqty_sprøyte[Type_size],0))</f>
        <v>#N/A</v>
      </c>
      <c r="AIF76" s="5797"/>
      <c r="AIG76" s="2775" t="e">
        <f t="shared" si="279"/>
        <v>#N/A</v>
      </c>
      <c r="AIH76" s="3709"/>
      <c r="AII76" s="184"/>
      <c r="AIJ76" s="3811"/>
      <c r="AIK76" s="5797" t="b">
        <v>1</v>
      </c>
      <c r="AIL76" s="5797"/>
      <c r="AIM76" s="2983">
        <f>'!Egen_SK'!$BZ$143</f>
        <v>0</v>
      </c>
      <c r="AIN76" s="5797"/>
      <c r="AIO76" s="3011" t="e">
        <f>INDEX(klasseqty_sprøyte[ruhetfaktor_f],MATCH($AI$79,klasseqty_sprøyte[Type_size],0))</f>
        <v>#N/A</v>
      </c>
      <c r="AIP76" s="5797"/>
      <c r="AIQ76" s="2775" t="e">
        <f t="shared" si="280"/>
        <v>#N/A</v>
      </c>
      <c r="AIR76" s="3753"/>
      <c r="AIS76" s="2622"/>
      <c r="AIT76" s="5800"/>
      <c r="AIU76" s="5797" t="b">
        <v>1</v>
      </c>
      <c r="AIV76" s="5797"/>
      <c r="AIW76" s="3319">
        <f>'!Egen_SK'!$BZ$193</f>
        <v>0</v>
      </c>
      <c r="AIX76" s="5797"/>
      <c r="AIY76" s="2773" t="e">
        <f>INDEX(klasseqty_buer[dimensjon_f],MATCH($AI$79,klasseqty_buer[Type_size],0))</f>
        <v>#N/A</v>
      </c>
      <c r="AIZ76" s="5797"/>
      <c r="AJA76" s="2775" t="e">
        <f t="shared" si="281"/>
        <v>#N/A</v>
      </c>
      <c r="AJB76" s="5797"/>
      <c r="AJC76" s="5797" t="b">
        <v>1</v>
      </c>
      <c r="AJD76" s="5797"/>
      <c r="AJE76" s="2782">
        <f>'!Egen_SK'!$BZ$198</f>
        <v>0</v>
      </c>
      <c r="AJF76" s="5797"/>
      <c r="AJG76" s="3547" t="e">
        <f>INDEX(klasseqty_buer[andel_f],MATCH($AI$79,klasseqty_buer[Type_size],0))</f>
        <v>#N/A</v>
      </c>
      <c r="AJH76" s="5797"/>
      <c r="AJI76" s="4140" t="e">
        <f t="shared" si="282"/>
        <v>#N/A</v>
      </c>
      <c r="AJJ76" s="5797"/>
      <c r="AJK76" s="5797" t="b">
        <v>1</v>
      </c>
      <c r="AJL76" s="5797"/>
      <c r="AJM76" s="2983">
        <f>'!Egen_SK'!$BZ$202</f>
        <v>0</v>
      </c>
      <c r="AJN76" s="5797"/>
      <c r="AJO76" s="3011" t="e">
        <f>INDEX(klasseqty_buer[bue_senteravstand_f],MATCH($AI$79,klasseqty_buer[Type_size],0))</f>
        <v>#N/A</v>
      </c>
      <c r="AJP76" s="5797"/>
      <c r="AJQ76" s="2775" t="e">
        <f t="shared" si="283"/>
        <v>#N/A</v>
      </c>
      <c r="AJR76" s="5797"/>
      <c r="AJS76" s="5797" t="b">
        <v>1</v>
      </c>
      <c r="AJT76" s="5797"/>
      <c r="AJU76" s="2983">
        <f>'!Egen_SK'!$BZ$206</f>
        <v>0</v>
      </c>
      <c r="AJV76" s="5797"/>
      <c r="AJW76" s="3011" t="e">
        <f>INDEX(klasseqty_buer[utvidelse_f],MATCH($AI$79,klasseqty_buer[Type_size],0))</f>
        <v>#N/A</v>
      </c>
      <c r="AJX76" s="5797"/>
      <c r="AJY76" s="2775" t="e">
        <f t="shared" si="284"/>
        <v>#N/A</v>
      </c>
      <c r="AJZ76" s="5799"/>
      <c r="AKA76" s="5797"/>
      <c r="AKB76" s="5797"/>
      <c r="AKC76" s="5797"/>
      <c r="AKD76" s="5800"/>
      <c r="AKE76" s="5797" t="b">
        <v>1</v>
      </c>
      <c r="AKF76" s="5797"/>
      <c r="AKG76" s="2983">
        <f>'!Egen_SK'!$BZ$213</f>
        <v>0</v>
      </c>
      <c r="AKH76" s="5797"/>
      <c r="AKI76" s="3011" t="e">
        <f>INDEX(klasseqty_buer[radiellebolter_senteravstand_f],MATCH($AI$79,klasseqty_buer[Type_size],0))</f>
        <v>#N/A</v>
      </c>
      <c r="AKJ76" s="5797"/>
      <c r="AKK76" s="2775" t="e">
        <f t="shared" si="285"/>
        <v>#N/A</v>
      </c>
      <c r="AKL76" s="5797"/>
      <c r="AKM76" s="5797" t="b">
        <v>1</v>
      </c>
      <c r="AKN76" s="5797"/>
      <c r="AKO76" s="3712">
        <f>'!Egen_SK'!$BZ$217</f>
        <v>0</v>
      </c>
      <c r="AKP76" s="5797"/>
      <c r="AKQ76" s="3547" t="e">
        <f>INDEX(klasseqty_buer[radiellebolter_lt4_f],MATCH($AI$79,klasseqty_buer[Type_size],0))</f>
        <v>#N/A</v>
      </c>
      <c r="AKR76" s="5797"/>
      <c r="AKS76" s="2781" t="e">
        <f t="shared" si="306"/>
        <v>#N/A</v>
      </c>
      <c r="AKT76" s="5797"/>
      <c r="AKU76" s="184"/>
      <c r="AKV76" s="5797"/>
      <c r="AKW76" s="5797"/>
      <c r="AKX76" s="2782" t="str">
        <f t="shared" si="307"/>
        <v/>
      </c>
      <c r="AKY76" s="5797"/>
      <c r="AKZ76" s="3547" t="e">
        <f>INDEX(klasseqty_buer[radiellebolter_gt4_f],MATCH($AI$79,klasseqty_buer[Type_size],0))</f>
        <v>#N/A</v>
      </c>
      <c r="ALA76" s="5797"/>
      <c r="ALB76" s="3368" t="e">
        <f t="shared" si="308"/>
        <v>#N/A</v>
      </c>
      <c r="ALC76" s="3643"/>
      <c r="ALD76" s="5800"/>
      <c r="ALE76" s="5797" t="b">
        <v>1</v>
      </c>
      <c r="ALF76" s="5797"/>
      <c r="ALG76" s="2983">
        <f>'!Egen_SK'!$BZ$226</f>
        <v>0</v>
      </c>
      <c r="ALH76" s="5797"/>
      <c r="ALI76" s="3011" t="e">
        <f>INDEX(klasseqty_buer[tillegs-sprøytebetong_f],MATCH($AI$79,klasseqty_buer[Type_size],0))</f>
        <v>#N/A</v>
      </c>
      <c r="ALJ76" s="5797"/>
      <c r="ALK76" s="2775" t="e">
        <f t="shared" si="286"/>
        <v>#N/A</v>
      </c>
      <c r="ALL76" s="3753"/>
      <c r="ALM76" s="2737"/>
      <c r="ALN76" s="5800"/>
      <c r="ALO76" s="5797" t="b">
        <v>1</v>
      </c>
      <c r="ALP76" s="5797"/>
      <c r="ALQ76" s="3715">
        <f>'!Egen_SK'!$BZ$233</f>
        <v>0</v>
      </c>
      <c r="ALR76" s="5797"/>
      <c r="ALS76" s="3717" t="e">
        <f>INDEX(klasseqty_buer[forankring_f],MATCH($AI$79,klasseqty_buer[Type_size],0))</f>
        <v>#N/A</v>
      </c>
      <c r="ALT76" s="5797"/>
      <c r="ALU76" s="3719" t="e">
        <f t="shared" si="287"/>
        <v>#N/A</v>
      </c>
      <c r="ALV76" s="5797"/>
      <c r="ALW76" s="5797"/>
      <c r="ALX76" s="5797" t="b">
        <v>1</v>
      </c>
      <c r="ALY76" s="5797"/>
      <c r="ALZ76" s="2782">
        <f>'!Egen_SK'!$BZ$237</f>
        <v>0</v>
      </c>
      <c r="AMA76" s="5797"/>
      <c r="AMB76" s="3547" t="e">
        <f>INDEX(klasseqty_buer[forankring_lt4_f],MATCH($AI$79,klasseqty_buer[Type_size],0))</f>
        <v>#N/A</v>
      </c>
      <c r="AMC76" s="5797"/>
      <c r="AMD76" s="2781" t="e">
        <f t="shared" si="309"/>
        <v>#N/A</v>
      </c>
      <c r="AME76" s="5797"/>
      <c r="AMF76" s="184"/>
      <c r="AMG76" s="5797"/>
      <c r="AMH76" s="5797"/>
      <c r="AMI76" s="2782" t="str">
        <f t="shared" si="310"/>
        <v/>
      </c>
      <c r="AMJ76" s="5797"/>
      <c r="AMK76" s="3547" t="e">
        <f>INDEX(klasseqty_buer[forankring_gt4_f],MATCH($AI$79,klasseqty_buer[Type_size],0))</f>
        <v>#N/A</v>
      </c>
      <c r="AML76" s="5797"/>
      <c r="AMM76" s="3368" t="e">
        <f t="shared" si="311"/>
        <v>#N/A</v>
      </c>
      <c r="AMN76" s="5548"/>
      <c r="AMO76" s="5548"/>
      <c r="AMP76" s="5548"/>
      <c r="AMQ76" s="5548"/>
      <c r="AMR76" s="5548"/>
      <c r="AMS76" s="5548"/>
      <c r="AMT76" s="5548"/>
      <c r="AMU76" s="5548"/>
      <c r="AMV76" s="5548"/>
      <c r="AMW76" s="5548"/>
      <c r="AMX76" s="5548"/>
      <c r="AMY76" s="5548"/>
      <c r="AMZ76" s="5548"/>
      <c r="ANA76" s="5548"/>
      <c r="ANB76" s="5548"/>
      <c r="ANC76" s="5548"/>
      <c r="AND76" s="5548"/>
      <c r="ANE76" s="5548"/>
      <c r="ANF76" s="5548"/>
      <c r="ANG76" s="5548"/>
      <c r="ANH76" s="5548"/>
      <c r="ANI76" s="5548"/>
      <c r="ANJ76" s="5548"/>
      <c r="ANK76" s="5548"/>
      <c r="ANL76" s="5548"/>
      <c r="ANM76" s="5548"/>
      <c r="ANN76" s="5548"/>
      <c r="ANO76" s="5548"/>
      <c r="ANP76" s="5548"/>
      <c r="ANQ76" s="5548"/>
      <c r="ANR76" s="5548"/>
      <c r="ANS76" s="5548"/>
      <c r="ANT76" s="5548"/>
      <c r="ANU76" s="5548"/>
      <c r="ANV76" s="5548"/>
      <c r="ANW76" s="5548"/>
      <c r="ANX76" s="5548"/>
      <c r="ANY76" s="5548"/>
      <c r="ANZ76" s="5548"/>
      <c r="AOA76" s="5548"/>
      <c r="AOB76" s="5548"/>
      <c r="AOC76" s="5548"/>
      <c r="AOD76" s="5548"/>
      <c r="AOE76" s="5548"/>
      <c r="AOF76" s="5548"/>
      <c r="AOG76" s="5548"/>
      <c r="AOH76" s="5548"/>
      <c r="AOI76" s="5548"/>
      <c r="AOJ76" s="5548"/>
      <c r="AOK76" s="5548"/>
      <c r="AOL76" s="5548"/>
      <c r="AOM76" s="5548"/>
      <c r="AOO76" s="5800"/>
      <c r="AOP76" s="5797" t="b">
        <v>1</v>
      </c>
      <c r="AOQ76" s="5797"/>
      <c r="AOR76" s="2983">
        <f>'!Egen_SK'!$BZ$157</f>
        <v>0</v>
      </c>
      <c r="AOS76" s="5797"/>
      <c r="AOT76" s="3547" t="e">
        <f>INDEX(klasseqty_forbolting[andel_av_tunnelklasse_f],MATCH($AI$79,klasseqty_forbolting[Type_size],0))</f>
        <v>#N/A</v>
      </c>
      <c r="AOU76" s="5797"/>
      <c r="AOV76" s="4140" t="e">
        <f t="shared" si="288"/>
        <v>#N/A</v>
      </c>
      <c r="AOW76" s="5797"/>
      <c r="AOX76" s="5797"/>
      <c r="AOY76" s="5797" t="b">
        <v>1</v>
      </c>
      <c r="AOZ76" s="5797"/>
      <c r="APA76" s="2983" t="str">
        <f t="shared" si="312"/>
        <v/>
      </c>
      <c r="APB76" s="5797"/>
      <c r="APC76" s="3624" t="e">
        <f>INDEX(klasseqty_forbolting[andel_av_tunnelklasse_f],MATCH($AI$79,klasseqty_forbolting[Type_size],0))</f>
        <v>#N/A</v>
      </c>
      <c r="APD76" s="5797"/>
      <c r="APE76" s="5165" t="e">
        <f t="shared" si="289"/>
        <v>#N/A</v>
      </c>
      <c r="APF76" s="5797"/>
      <c r="APG76" s="5797" t="b">
        <v>1</v>
      </c>
      <c r="APH76" s="5797"/>
      <c r="API76" s="2983">
        <f>'!Egen_SK'!$BZ$152</f>
        <v>0</v>
      </c>
      <c r="APJ76" s="5797"/>
      <c r="APK76" s="3011" t="e">
        <f>INDEX(klasseqty_forbolting[bueområde_f],MATCH($AI$79,klasseqty_forbolting[Type_size],0))</f>
        <v>#N/A</v>
      </c>
      <c r="APL76" s="5797"/>
      <c r="APM76" s="2775" t="e">
        <f t="shared" si="290"/>
        <v>#N/A</v>
      </c>
      <c r="APN76" s="5797"/>
      <c r="APO76" s="5797" t="b">
        <v>1</v>
      </c>
      <c r="APP76" s="5797"/>
      <c r="APQ76" s="2983">
        <f>'!Egen_SK'!$BZ$165</f>
        <v>0</v>
      </c>
      <c r="APR76" s="5797"/>
      <c r="APS76" s="3011" t="e">
        <f>INDEX(klasseqty_forbolting[forbolting_senteravstand_f],MATCH($AI$79,klasseqty_forbolting[Type_size],0))</f>
        <v>#N/A</v>
      </c>
      <c r="APT76" s="5797"/>
      <c r="APU76" s="2775" t="e">
        <f t="shared" si="291"/>
        <v>#N/A</v>
      </c>
      <c r="APV76" s="5797"/>
      <c r="APW76" s="5797" t="b">
        <v>1</v>
      </c>
      <c r="APX76" s="5797"/>
      <c r="APY76" s="3712">
        <f>'!Egen_SK'!$BZ$169</f>
        <v>0</v>
      </c>
      <c r="APZ76" s="5797"/>
      <c r="AQA76" s="3547" t="e">
        <f>INDEX(klasseqty_forbolting[forbolting_lt4_f],MATCH($AI$79,klasseqty_forbolting[Type_size],0))</f>
        <v>#N/A</v>
      </c>
      <c r="AQB76" s="5797"/>
      <c r="AQC76" s="2781" t="e">
        <f t="shared" si="313"/>
        <v>#N/A</v>
      </c>
      <c r="AQD76" s="5797"/>
      <c r="AQE76" s="184"/>
      <c r="AQF76" s="5797"/>
      <c r="AQG76" s="5797"/>
      <c r="AQH76" s="2782" t="str">
        <f t="shared" si="314"/>
        <v/>
      </c>
      <c r="AQI76" s="5797"/>
      <c r="AQJ76" s="3547" t="e">
        <f>INDEX(klasseqty_forbolting[forbolting_gt4_f],MATCH($AI$79,klasseqty_forbolting[Type_size],0))</f>
        <v>#N/A</v>
      </c>
      <c r="AQK76" s="5797"/>
      <c r="AQL76" s="3368" t="e">
        <f t="shared" si="315"/>
        <v>#N/A</v>
      </c>
      <c r="AQN76" s="5800"/>
      <c r="AQO76" s="5797" t="b">
        <v>1</v>
      </c>
      <c r="AQP76" s="5797"/>
      <c r="AQQ76" s="2983">
        <f>'!Egen_SK'!$BZ$178</f>
        <v>0</v>
      </c>
      <c r="AQR76" s="5797"/>
      <c r="AQS76" s="3011" t="e">
        <f>INDEX(klasseqty_forbolting[oppheng_senteravstand_f],MATCH($AI$79,klasseqty_forbolting[Type_size],0))</f>
        <v>#N/A</v>
      </c>
      <c r="AQT76" s="5797"/>
      <c r="AQU76" s="2775" t="e">
        <f t="shared" si="292"/>
        <v>#N/A</v>
      </c>
      <c r="AQV76" s="5797"/>
      <c r="AQW76" s="5797" t="b">
        <v>1</v>
      </c>
      <c r="AQX76" s="5797"/>
      <c r="AQY76" s="3712">
        <f>'!Egen_SK'!$BZ$182</f>
        <v>0</v>
      </c>
      <c r="AQZ76" s="5797"/>
      <c r="ARA76" s="3547" t="e">
        <f>INDEX(klasseqty_forbolting[oppheng_lt4_f],MATCH($AI$79,klasseqty_forbolting[Type_size],0))</f>
        <v>#N/A</v>
      </c>
      <c r="ARB76" s="5797"/>
      <c r="ARC76" s="2781" t="e">
        <f t="shared" si="316"/>
        <v>#N/A</v>
      </c>
      <c r="ARD76" s="5797"/>
      <c r="ARE76" s="184"/>
      <c r="ARF76" s="5797"/>
      <c r="ARG76" s="5797"/>
      <c r="ARH76" s="2782" t="str">
        <f t="shared" si="317"/>
        <v/>
      </c>
      <c r="ARI76" s="5797"/>
      <c r="ARJ76" s="3547" t="e">
        <f>INDEX(klasseqty_forbolting[oppheng_gt4_f],MATCH($AI$79,klasseqty_forbolting[Type_size],0))</f>
        <v>#N/A</v>
      </c>
      <c r="ARK76" s="5797"/>
      <c r="ARL76" s="3368" t="e">
        <f t="shared" si="318"/>
        <v>#N/A</v>
      </c>
      <c r="ART76" s="5800" t="b">
        <v>1</v>
      </c>
      <c r="ARU76" s="5797"/>
      <c r="ARV76" s="3712">
        <f>'!Egen_SK'!$BZ$312</f>
        <v>0</v>
      </c>
      <c r="ARW76" s="5797"/>
      <c r="ARX76" s="3624" t="e">
        <f>INDEX(klasseqty_sik1234[sikringsstøp_hypp_f],MATCH($AI$79,klasseqty_sik1234[Type_size],0))</f>
        <v>#N/A</v>
      </c>
      <c r="ARY76" s="5797"/>
      <c r="ARZ76" s="2775" t="e">
        <f t="shared" si="293"/>
        <v>#N/A</v>
      </c>
      <c r="ASA76" s="184"/>
      <c r="ASB76" s="5797" t="b">
        <v>1</v>
      </c>
      <c r="ASC76" s="5797"/>
      <c r="ASD76" s="2983">
        <f>'!Egen_SK'!$BZ$316</f>
        <v>0</v>
      </c>
      <c r="ASE76" s="5797"/>
      <c r="ASF76" s="3547" t="e">
        <f>INDEX(klasseqty_sik1234[sikringsstøp_123_f],MATCH($AI$79,klasseqty_sik1234[Type_size],0))</f>
        <v>#N/A</v>
      </c>
      <c r="ASG76" s="5797"/>
      <c r="ASH76" s="2781" t="e">
        <f t="shared" si="319"/>
        <v>#N/A</v>
      </c>
      <c r="ASI76" s="5797"/>
      <c r="ASJ76" s="184"/>
      <c r="ASK76" s="5797"/>
      <c r="ASL76" s="5797"/>
      <c r="ASM76" s="2782" t="str">
        <f t="shared" si="320"/>
        <v/>
      </c>
      <c r="ASN76" s="5797"/>
      <c r="ASO76" s="3547" t="e">
        <f>INDEX(klasseqty_sik1234[sikringsstøp_4_f],MATCH($AI$79,klasseqty_sik1234[Type_size],0))</f>
        <v>#N/A</v>
      </c>
      <c r="ASP76" s="5797"/>
      <c r="ASQ76" s="3368" t="e">
        <f t="shared" si="321"/>
        <v>#N/A</v>
      </c>
      <c r="ASR76" s="2737"/>
      <c r="ASS76" s="2737"/>
      <c r="ATA76" s="2622"/>
      <c r="AUU76" s="2617"/>
      <c r="AUV76" s="2629" t="s">
        <v>1268</v>
      </c>
      <c r="AUW76" s="237">
        <v>80</v>
      </c>
      <c r="AUX76" s="237">
        <v>80</v>
      </c>
      <c r="AUY76" s="237">
        <v>80</v>
      </c>
      <c r="AUZ76" s="237">
        <v>100</v>
      </c>
      <c r="AVA76" s="237">
        <v>150</v>
      </c>
      <c r="AVB76" s="237">
        <v>150</v>
      </c>
      <c r="AVC76" s="237">
        <v>250</v>
      </c>
      <c r="AVD76" s="2631">
        <v>300</v>
      </c>
      <c r="AVE76" s="237">
        <v>0</v>
      </c>
      <c r="AVF76" s="237">
        <v>80</v>
      </c>
      <c r="AVG76" s="237">
        <v>80</v>
      </c>
      <c r="AVH76" s="237">
        <v>100</v>
      </c>
      <c r="AVI76" s="237">
        <v>150</v>
      </c>
      <c r="AVJ76" s="237">
        <v>150</v>
      </c>
      <c r="AVK76" s="237">
        <v>250</v>
      </c>
      <c r="AVL76" s="237">
        <v>300</v>
      </c>
      <c r="AVM76" s="237">
        <v>1.3</v>
      </c>
      <c r="AVN76" s="237">
        <v>1.3</v>
      </c>
      <c r="AVO76" s="237">
        <v>1.3</v>
      </c>
      <c r="AVP76" s="237">
        <v>1.35</v>
      </c>
      <c r="AVQ76" s="237">
        <v>1.4</v>
      </c>
      <c r="AVR76" s="237">
        <v>1.45</v>
      </c>
      <c r="AVS76" s="237">
        <v>1.5</v>
      </c>
      <c r="AVT76" s="237">
        <v>1.55</v>
      </c>
      <c r="AVU76" s="2617"/>
      <c r="AVV76" s="2617"/>
      <c r="AVW76" s="2617"/>
      <c r="AVX76" s="2617"/>
      <c r="AVY76" s="2617"/>
      <c r="AVZ76" s="2617"/>
      <c r="AWA76" s="2617"/>
      <c r="AWB76" s="2617"/>
      <c r="AWC76" s="2617"/>
      <c r="AWD76" s="2617"/>
      <c r="AWE76" s="2617"/>
      <c r="AWF76" s="2617"/>
      <c r="AWG76" s="2617"/>
      <c r="AWH76" s="2617"/>
      <c r="AWI76" s="2617"/>
      <c r="AWJ76" s="2617"/>
      <c r="AWK76" s="2617"/>
      <c r="AWL76" s="2617"/>
      <c r="AWM76" s="2617"/>
      <c r="AWN76" s="2617"/>
      <c r="AWO76" s="2617"/>
      <c r="AWP76" s="2617"/>
      <c r="AWQ76" s="2617"/>
      <c r="AWR76" s="2617"/>
      <c r="AWS76" s="2617"/>
      <c r="AWT76" s="2617"/>
      <c r="AWU76" s="2617"/>
      <c r="AWV76" s="2617"/>
      <c r="AWW76" s="2617"/>
      <c r="AWX76" s="2617"/>
      <c r="AWY76" s="2617"/>
      <c r="AWZ76" s="2617"/>
      <c r="AXA76" s="2617"/>
      <c r="AXB76" s="2617"/>
      <c r="AXC76" s="2617"/>
      <c r="AXD76" s="2617"/>
      <c r="AXE76" s="2617"/>
      <c r="AXF76" s="2617"/>
      <c r="AXG76" s="2617"/>
      <c r="AXH76" s="2617"/>
      <c r="AXI76" s="2617"/>
      <c r="AXJ76" s="2617"/>
      <c r="AXK76" s="2617"/>
      <c r="BCH76" s="433" t="s">
        <v>1139</v>
      </c>
      <c r="BFE76" s="3398"/>
    </row>
    <row r="77" spans="1:1513" ht="15" thickBot="1" x14ac:dyDescent="0.25">
      <c r="AH77" s="206" t="s">
        <v>1321</v>
      </c>
      <c r="AI77" s="199">
        <f>IF(_Calcs!$BK$35&lt;90,60,90)</f>
        <v>90</v>
      </c>
      <c r="AL77" s="2617"/>
      <c r="AV77" s="2622"/>
      <c r="AW77" s="2622"/>
      <c r="AX77" s="2622"/>
      <c r="CG77" s="181"/>
      <c r="CH77" s="181"/>
      <c r="CI77" s="181"/>
      <c r="CJ77" s="181"/>
      <c r="CK77" s="181"/>
      <c r="CL77" s="181"/>
      <c r="AAW77" s="372" t="s">
        <v>894</v>
      </c>
      <c r="AAX77" s="372"/>
      <c r="AAY77" s="372" t="s">
        <v>895</v>
      </c>
      <c r="AAZ77" s="184"/>
      <c r="ABA77" s="3813"/>
      <c r="ABB77" s="3358" t="b">
        <v>1</v>
      </c>
      <c r="ABC77" s="3358"/>
      <c r="ABD77" s="3359">
        <f>'!Egen_SK'!$CH$76</f>
        <v>0</v>
      </c>
      <c r="ABE77" s="3358"/>
      <c r="ABF77" s="3625" t="e">
        <f>INDEX(klasse_salve[salve_lengde_g],MATCH($AI$79,klasse_salve[Type_size],0))</f>
        <v>#N/A</v>
      </c>
      <c r="ABG77" s="3358"/>
      <c r="ABH77" s="3361" t="e">
        <f t="shared" si="294"/>
        <v>#N/A</v>
      </c>
      <c r="ABI77" s="3619"/>
      <c r="ABJ77" s="184"/>
      <c r="ABK77" s="3813"/>
      <c r="ABL77" s="3358" t="b">
        <v>1</v>
      </c>
      <c r="ABM77" s="3358"/>
      <c r="ABN77" s="3359">
        <f>'!Egen_SK'!$CH$85</f>
        <v>0</v>
      </c>
      <c r="ABO77" s="3358"/>
      <c r="ABP77" s="3625" t="e">
        <f>INDEX(klasseqty_rensk[manual_tid_salve_g],MATCH($AI$79,klasseqty_bolting[Type_size],0))</f>
        <v>#N/A</v>
      </c>
      <c r="ABQ77" s="3358"/>
      <c r="ABR77" s="3361" t="e">
        <f t="shared" si="295"/>
        <v>#N/A</v>
      </c>
      <c r="ABS77" s="3619"/>
      <c r="ABT77" s="184"/>
      <c r="ABU77" s="3813"/>
      <c r="ABV77" s="3358" t="b">
        <v>1</v>
      </c>
      <c r="ABW77" s="3358"/>
      <c r="ABX77" s="3359">
        <f>'!Egen_SK'!$CH$92</f>
        <v>0</v>
      </c>
      <c r="ABY77" s="3358"/>
      <c r="ABZ77" s="3625" t="e">
        <f>INDEX(klasseqty_rensk[inspectiontid_g],MATCH($AI$79,klasseqty_bolting[Type_size],0))</f>
        <v>#N/A</v>
      </c>
      <c r="ACA77" s="3358"/>
      <c r="ACB77" s="3361" t="e">
        <f t="shared" si="296"/>
        <v>#N/A</v>
      </c>
      <c r="ACC77" s="3619"/>
      <c r="ACD77" s="5797"/>
      <c r="ACE77" s="3357"/>
      <c r="ACF77" s="3358" t="b">
        <v>1</v>
      </c>
      <c r="ACG77" s="3358"/>
      <c r="ACH77" s="3359">
        <f>'!Egen_SK'!$CH$101</f>
        <v>0</v>
      </c>
      <c r="ACI77" s="3358"/>
      <c r="ACJ77" s="3370" t="e">
        <f>INDEX(klasseqty_bolting[veder_cc_g],MATCH($AI$79,klasseqty_bolting[Type_size],0))</f>
        <v>#N/A</v>
      </c>
      <c r="ACK77" s="3358"/>
      <c r="ACL77" s="3371" t="e">
        <f t="shared" si="297"/>
        <v>#N/A</v>
      </c>
      <c r="ACM77" s="3358"/>
      <c r="ACN77" s="277"/>
      <c r="ACO77" s="3358" t="b">
        <v>1</v>
      </c>
      <c r="ACP77" s="3358"/>
      <c r="ACQ77" s="3369">
        <f>'!Egen_SK'!$CH$105</f>
        <v>0</v>
      </c>
      <c r="ACR77" s="3358"/>
      <c r="ACS77" s="3548" t="e">
        <f>INDEX(klasseqty_bolting[veder_length_lt4_g],MATCH($AI$79,klasseqty_bolting[Type_size],0))</f>
        <v>#N/A</v>
      </c>
      <c r="ACT77" s="3358"/>
      <c r="ACU77" s="3372" t="e">
        <f t="shared" si="298"/>
        <v>#N/A</v>
      </c>
      <c r="ACV77" s="3358"/>
      <c r="ACW77" s="277"/>
      <c r="ACX77" s="3358"/>
      <c r="ACY77" s="3358"/>
      <c r="ACZ77" s="3369" t="str">
        <f t="shared" si="299"/>
        <v/>
      </c>
      <c r="ADA77" s="3358"/>
      <c r="ADB77" s="3548" t="e">
        <f>INDEX(klasseqty_bolting[veder_length_gt4_g],MATCH($AI$79,klasseqty_bolting[Type_size],0))</f>
        <v>#N/A</v>
      </c>
      <c r="ADC77" s="3358"/>
      <c r="ADD77" s="3372" t="e">
        <f t="shared" si="300"/>
        <v>#N/A</v>
      </c>
      <c r="ADE77" s="5810"/>
      <c r="ADF77" s="5797"/>
      <c r="ADG77" s="3357"/>
      <c r="ADH77" s="3358" t="b">
        <v>1</v>
      </c>
      <c r="ADI77" s="3358"/>
      <c r="ADJ77" s="3359">
        <f>'!Egen_SK'!$CH$114</f>
        <v>0</v>
      </c>
      <c r="ADK77" s="3358"/>
      <c r="ADL77" s="3370" t="e">
        <f>INDEX(klasseqty_bolting[vegg_cc_g],MATCH($AI$79,klasseqty_bolting[Type_size],0))</f>
        <v>#N/A</v>
      </c>
      <c r="ADM77" s="3358"/>
      <c r="ADN77" s="3371" t="e">
        <f t="shared" si="301"/>
        <v>#N/A</v>
      </c>
      <c r="ADO77" s="3358"/>
      <c r="ADP77" s="277"/>
      <c r="ADQ77" s="3358"/>
      <c r="ADR77" s="3358" t="b">
        <v>1</v>
      </c>
      <c r="ADS77" s="3358"/>
      <c r="ADT77" s="3369">
        <f>'!Egen_SK'!$CH$118</f>
        <v>0</v>
      </c>
      <c r="ADU77" s="3358"/>
      <c r="ADV77" s="3548" t="e">
        <f>INDEX(klasseqty_bolting[vegg_length_lt4_g],MATCH($AI$79,klasseqty_bolting[Type_size],0))</f>
        <v>#N/A</v>
      </c>
      <c r="ADW77" s="3358"/>
      <c r="ADX77" s="3372" t="e">
        <f t="shared" si="302"/>
        <v>#N/A</v>
      </c>
      <c r="ADY77" s="3358"/>
      <c r="ADZ77" s="3358"/>
      <c r="AEA77" s="3358"/>
      <c r="AEB77" s="3369" t="str">
        <f t="shared" si="270"/>
        <v/>
      </c>
      <c r="AEC77" s="3358"/>
      <c r="AED77" s="3548" t="e">
        <f>INDEX(klasseqty_bolting[vegg_length_gt4_g],MATCH($AI$79,klasseqty_bolting[Type_size],0))</f>
        <v>#N/A</v>
      </c>
      <c r="AEE77" s="3358"/>
      <c r="AEF77" s="3372" t="e">
        <f t="shared" si="271"/>
        <v>#N/A</v>
      </c>
      <c r="AEG77" s="3619"/>
      <c r="AEH77" s="5797"/>
      <c r="AEI77" s="5797"/>
      <c r="AEJ77" s="5797"/>
      <c r="AEK77" s="5797"/>
      <c r="AEL77" s="5797"/>
      <c r="AEM77" s="5797"/>
      <c r="AEN77" s="5797"/>
      <c r="AEO77" s="5797"/>
      <c r="AEP77" s="5797"/>
      <c r="AEQ77" s="5797"/>
      <c r="AER77" s="5797"/>
      <c r="AES77" s="3357"/>
      <c r="AET77" s="3358" t="b">
        <v>1</v>
      </c>
      <c r="AEU77" s="3358"/>
      <c r="AEV77" s="3359">
        <f>'!Egen_SK'!$CH$248</f>
        <v>0</v>
      </c>
      <c r="AEW77" s="3358"/>
      <c r="AEX77" s="3360" t="e">
        <f>INDEX(klasseqty_bergbånd[overlappingsfaktor_g],MATCH($AI$79,klasseqty_bergbånd[Type_size],0))</f>
        <v>#N/A</v>
      </c>
      <c r="AEY77" s="3358"/>
      <c r="AEZ77" s="3377" t="e">
        <f t="shared" si="272"/>
        <v>#N/A</v>
      </c>
      <c r="AFA77" s="5797"/>
      <c r="AFB77" s="3357" t="b">
        <v>1</v>
      </c>
      <c r="AFC77" s="3358"/>
      <c r="AFD77" s="3359">
        <f>'!Egen_SK'!$CH$255</f>
        <v>0</v>
      </c>
      <c r="AFE77" s="3358"/>
      <c r="AFF77" s="3360" t="e">
        <f>INDEX(klasseqty_bergbånd[tilleggs_bergbånd_g],MATCH($AI$79,klasseqty_bergbånd[Type_size],0))</f>
        <v>#N/A</v>
      </c>
      <c r="AFG77" s="3358"/>
      <c r="AFH77" s="3377" t="e">
        <f t="shared" si="273"/>
        <v>#N/A</v>
      </c>
      <c r="AFI77" s="5797"/>
      <c r="AFJ77" s="3357" t="b">
        <v>1</v>
      </c>
      <c r="AFK77" s="3358"/>
      <c r="AFL77" s="3359">
        <f>'!Egen_SK'!$CH$262</f>
        <v>0</v>
      </c>
      <c r="AFM77" s="3358"/>
      <c r="AFN77" s="3375" t="e">
        <f>INDEX(klasseqty_bergbånd[tilleggs_bergbånd_festebolter_senteravstand_g],MATCH($AI$79,klasseqty_bergbånd[Type_size],0))</f>
        <v>#N/A</v>
      </c>
      <c r="AFO77" s="3358"/>
      <c r="AFP77" s="3371" t="e">
        <f t="shared" si="274"/>
        <v>#N/A</v>
      </c>
      <c r="AFQ77" s="3358"/>
      <c r="AFR77" s="3358" t="b">
        <v>1</v>
      </c>
      <c r="AFS77" s="3358"/>
      <c r="AFT77" s="3369">
        <f>'!Egen_SK'!$CH$266</f>
        <v>0</v>
      </c>
      <c r="AFU77" s="3358"/>
      <c r="AFV77" s="3548" t="e">
        <f>INDEX(klasseqty_bergbånd[tilleggs_bergbånd_festebolter_lt4_g],MATCH($AI$79,klasseqty_bergbånd[Type_size],0))</f>
        <v>#N/A</v>
      </c>
      <c r="AFW77" s="3358"/>
      <c r="AFX77" s="3372" t="e">
        <f t="shared" si="303"/>
        <v>#N/A</v>
      </c>
      <c r="AFY77" s="3358"/>
      <c r="AFZ77" s="277"/>
      <c r="AGA77" s="3358"/>
      <c r="AGB77" s="3358"/>
      <c r="AGC77" s="3358"/>
      <c r="AGD77" s="3369" t="str">
        <f t="shared" si="304"/>
        <v/>
      </c>
      <c r="AGE77" s="3358"/>
      <c r="AGF77" s="3548" t="e">
        <f>INDEX(klasseqty_bergbånd[tilleggs_bergbånd_festebolter_gt4_g],MATCH($AI$79,klasseqty_bergbånd[Type_size],0))</f>
        <v>#N/A</v>
      </c>
      <c r="AGG77" s="3358"/>
      <c r="AGH77" s="3372" t="e">
        <f t="shared" si="305"/>
        <v>#N/A</v>
      </c>
      <c r="AGI77" s="3619"/>
      <c r="AGJ77" s="5152"/>
      <c r="AGK77" s="5152"/>
      <c r="AGL77" s="5152"/>
      <c r="AGM77" s="5152"/>
      <c r="AGN77" s="2622"/>
      <c r="AGO77" s="3357" t="b">
        <v>1</v>
      </c>
      <c r="AGP77" s="3358"/>
      <c r="AGQ77" s="3359">
        <f>'!Egen_SK'!$CH$277</f>
        <v>0</v>
      </c>
      <c r="AGR77" s="3358"/>
      <c r="AGS77" s="3375" t="e">
        <f>INDEX(klasseqty_nett[nett_hypp_g],MATCH($AI$79,klasseqty_nett[Type_size],0))</f>
        <v>#N/A</v>
      </c>
      <c r="AGT77" s="3358"/>
      <c r="AGU77" s="3377" t="e">
        <f t="shared" si="275"/>
        <v>#N/A</v>
      </c>
      <c r="AGV77" s="5152"/>
      <c r="AGW77" s="3357" t="b">
        <v>1</v>
      </c>
      <c r="AGX77" s="3358"/>
      <c r="AGY77" s="3359">
        <f>'!Egen_SK'!$CH$284</f>
        <v>0</v>
      </c>
      <c r="AGZ77" s="3358"/>
      <c r="AHA77" s="3375" t="e">
        <f>INDEX(klasseqty_nett[nett_festebolter_avstand_g],MATCH($AI$79,klasseqty_nett[Type_size],0))</f>
        <v>#N/A</v>
      </c>
      <c r="AHB77" s="3358"/>
      <c r="AHC77" s="3377" t="e">
        <f t="shared" si="276"/>
        <v>#N/A</v>
      </c>
      <c r="AHD77" s="5152"/>
      <c r="AHF77" s="3357" t="b">
        <v>1</v>
      </c>
      <c r="AHG77" s="3358"/>
      <c r="AHH77" s="3359">
        <f>'!Egen_SK'!$CH$291</f>
        <v>0</v>
      </c>
      <c r="AHI77" s="3358"/>
      <c r="AHJ77" s="3375" t="e">
        <f>INDEX(klasseqty_nett[nett_sprøytebetong_tykkelse_g],MATCH($AI$79,klasseqty_nett[Type_size],0))</f>
        <v>#N/A</v>
      </c>
      <c r="AHK77" s="3358"/>
      <c r="AHL77" s="3377" t="e">
        <f t="shared" si="277"/>
        <v>#N/A</v>
      </c>
      <c r="AHP77" s="3357"/>
      <c r="AHQ77" s="3358" t="b">
        <v>1</v>
      </c>
      <c r="AHR77" s="3358"/>
      <c r="AHS77" s="3359">
        <f>'!Egen_SK'!$CH$129</f>
        <v>0</v>
      </c>
      <c r="AHT77" s="3358"/>
      <c r="AHU77" s="3625" t="e">
        <f>INDEX(klasseqty_sprøyte[veder_tykkelse_g],MATCH($AI$79,klasseqty_sprøyte[Type_size],0))</f>
        <v>#N/A</v>
      </c>
      <c r="AHV77" s="3358"/>
      <c r="AHW77" s="3371" t="e">
        <f t="shared" si="278"/>
        <v>#N/A</v>
      </c>
      <c r="AHX77" s="3710"/>
      <c r="AHY77" s="2622"/>
      <c r="AHZ77" s="3357"/>
      <c r="AIA77" s="3358" t="b">
        <v>1</v>
      </c>
      <c r="AIB77" s="3358"/>
      <c r="AIC77" s="3359">
        <f>'!Egen_SK'!$CH$136</f>
        <v>0</v>
      </c>
      <c r="AID77" s="3358"/>
      <c r="AIE77" s="3625" t="e">
        <f>INDEX(klasseqty_sprøyte[vegg_tykkelse_g],MATCH($AI$79,klasseqty_sprøyte[Type_size],0))</f>
        <v>#N/A</v>
      </c>
      <c r="AIF77" s="3358"/>
      <c r="AIG77" s="3371" t="e">
        <f t="shared" si="279"/>
        <v>#N/A</v>
      </c>
      <c r="AIH77" s="3710"/>
      <c r="AII77" s="184"/>
      <c r="AIJ77" s="3813"/>
      <c r="AIK77" s="3358" t="b">
        <v>1</v>
      </c>
      <c r="AIL77" s="3358"/>
      <c r="AIM77" s="3359">
        <f>'!Egen_SK'!$CH$143</f>
        <v>0</v>
      </c>
      <c r="AIN77" s="3358"/>
      <c r="AIO77" s="3375" t="e">
        <f>INDEX(klasseqty_sprøyte[ruhetfaktor_g],MATCH($AI$79,klasseqty_sprøyte[Type_size],0))</f>
        <v>#N/A</v>
      </c>
      <c r="AIP77" s="3358"/>
      <c r="AIQ77" s="3371" t="e">
        <f t="shared" si="280"/>
        <v>#N/A</v>
      </c>
      <c r="AIR77" s="3754"/>
      <c r="AIS77" s="2622"/>
      <c r="AIT77" s="3357"/>
      <c r="AIU77" s="3358" t="b">
        <v>1</v>
      </c>
      <c r="AIV77" s="3358"/>
      <c r="AIW77" s="3374">
        <f>'!Egen_SK'!$CH$193</f>
        <v>0</v>
      </c>
      <c r="AIX77" s="3358"/>
      <c r="AIY77" s="3360" t="e">
        <f>INDEX(klasseqty_buer[dimensjon_g],MATCH($AI$79,klasseqty_buer[Type_size],0))</f>
        <v>#N/A</v>
      </c>
      <c r="AIZ77" s="3358"/>
      <c r="AJA77" s="3371" t="e">
        <f t="shared" si="281"/>
        <v>#N/A</v>
      </c>
      <c r="AJB77" s="3358"/>
      <c r="AJC77" s="3358" t="b">
        <v>1</v>
      </c>
      <c r="AJD77" s="3358"/>
      <c r="AJE77" s="3369">
        <f>'!Egen_SK'!$CH$198</f>
        <v>0</v>
      </c>
      <c r="AJF77" s="3358"/>
      <c r="AJG77" s="3548" t="e">
        <f>INDEX(klasseqty_buer[andel_g],MATCH($AI$79,klasseqty_buer[Type_size],0))</f>
        <v>#N/A</v>
      </c>
      <c r="AJH77" s="3358"/>
      <c r="AJI77" s="4141" t="e">
        <f t="shared" si="282"/>
        <v>#N/A</v>
      </c>
      <c r="AJJ77" s="3358"/>
      <c r="AJK77" s="3358" t="b">
        <v>1</v>
      </c>
      <c r="AJL77" s="3358"/>
      <c r="AJM77" s="3359">
        <f>'!Egen_SK'!$CH$202</f>
        <v>0</v>
      </c>
      <c r="AJN77" s="3358"/>
      <c r="AJO77" s="3375" t="e">
        <f>INDEX(klasseqty_buer[bue_senteravstand_g],MATCH($AI$79,klasseqty_buer[Type_size],0))</f>
        <v>#N/A</v>
      </c>
      <c r="AJP77" s="3358"/>
      <c r="AJQ77" s="3371" t="e">
        <f t="shared" si="283"/>
        <v>#N/A</v>
      </c>
      <c r="AJR77" s="3358"/>
      <c r="AJS77" s="3358" t="b">
        <v>1</v>
      </c>
      <c r="AJT77" s="3358"/>
      <c r="AJU77" s="3359">
        <f>'!Egen_SK'!$CH$206</f>
        <v>0</v>
      </c>
      <c r="AJV77" s="3358"/>
      <c r="AJW77" s="3375" t="e">
        <f>INDEX(klasseqty_buer[utvidelse_g],MATCH($AI$79,klasseqty_buer[Type_size],0))</f>
        <v>#N/A</v>
      </c>
      <c r="AJX77" s="3358"/>
      <c r="AJY77" s="3371" t="e">
        <f t="shared" si="284"/>
        <v>#N/A</v>
      </c>
      <c r="AJZ77" s="3619"/>
      <c r="AKA77" s="5797"/>
      <c r="AKB77" s="5797"/>
      <c r="AKC77" s="5797"/>
      <c r="AKD77" s="3357"/>
      <c r="AKE77" s="3358" t="b">
        <v>1</v>
      </c>
      <c r="AKF77" s="3358"/>
      <c r="AKG77" s="3359">
        <f>'!Egen_SK'!$CH$213</f>
        <v>0</v>
      </c>
      <c r="AKH77" s="3358"/>
      <c r="AKI77" s="3375" t="e">
        <f>INDEX(klasseqty_buer[radiellebolter_senteravstand_g],MATCH($AI$79,klasseqty_buer[Type_size],0))</f>
        <v>#N/A</v>
      </c>
      <c r="AKJ77" s="3358"/>
      <c r="AKK77" s="3371" t="e">
        <f t="shared" si="285"/>
        <v>#N/A</v>
      </c>
      <c r="AKL77" s="3358"/>
      <c r="AKM77" s="3358" t="b">
        <v>1</v>
      </c>
      <c r="AKN77" s="3358"/>
      <c r="AKO77" s="3713">
        <f>'!Egen_SK'!$CH$217</f>
        <v>0</v>
      </c>
      <c r="AKP77" s="3358"/>
      <c r="AKQ77" s="3548" t="e">
        <f>INDEX(klasseqty_buer[radiellebolter_lt4_g],MATCH($AI$79,klasseqty_buer[Type_size],0))</f>
        <v>#N/A</v>
      </c>
      <c r="AKR77" s="3358"/>
      <c r="AKS77" s="3372" t="e">
        <f t="shared" si="306"/>
        <v>#N/A</v>
      </c>
      <c r="AKT77" s="3358"/>
      <c r="AKU77" s="277"/>
      <c r="AKV77" s="3358"/>
      <c r="AKW77" s="3358"/>
      <c r="AKX77" s="3369" t="str">
        <f t="shared" si="307"/>
        <v/>
      </c>
      <c r="AKY77" s="3358"/>
      <c r="AKZ77" s="3548" t="e">
        <f>INDEX(klasseqty_buer[radiellebolter_gt4_g],MATCH($AI$79,klasseqty_buer[Type_size],0))</f>
        <v>#N/A</v>
      </c>
      <c r="ALA77" s="3358"/>
      <c r="ALB77" s="3373" t="e">
        <f t="shared" si="308"/>
        <v>#N/A</v>
      </c>
      <c r="ALC77" s="3643"/>
      <c r="ALD77" s="3357"/>
      <c r="ALE77" s="3358" t="b">
        <v>1</v>
      </c>
      <c r="ALF77" s="3358"/>
      <c r="ALG77" s="3359">
        <f>'!Egen_SK'!$CH$226</f>
        <v>0</v>
      </c>
      <c r="ALH77" s="3358"/>
      <c r="ALI77" s="3375" t="e">
        <f>INDEX(klasseqty_buer[tillegs-sprøytebetong_g],MATCH($AI$79,klasseqty_buer[Type_size],0))</f>
        <v>#N/A</v>
      </c>
      <c r="ALJ77" s="3358"/>
      <c r="ALK77" s="3371" t="e">
        <f t="shared" si="286"/>
        <v>#N/A</v>
      </c>
      <c r="ALL77" s="3754"/>
      <c r="ALM77" s="2737"/>
      <c r="ALN77" s="3357"/>
      <c r="ALO77" s="3358" t="b">
        <v>1</v>
      </c>
      <c r="ALP77" s="3358"/>
      <c r="ALQ77" s="3716">
        <f>'!Egen_SK'!$CH$233</f>
        <v>0</v>
      </c>
      <c r="ALR77" s="3358"/>
      <c r="ALS77" s="3718" t="e">
        <f>INDEX(klasseqty_buer[forankring_g],MATCH($AI$79,klasseqty_buer[Type_size],0))</f>
        <v>#N/A</v>
      </c>
      <c r="ALT77" s="3358"/>
      <c r="ALU77" s="3720" t="e">
        <f t="shared" si="287"/>
        <v>#N/A</v>
      </c>
      <c r="ALV77" s="3358"/>
      <c r="ALW77" s="3358"/>
      <c r="ALX77" s="3358" t="b">
        <v>1</v>
      </c>
      <c r="ALY77" s="3358"/>
      <c r="ALZ77" s="3369">
        <f>'!Egen_SK'!$CH$237</f>
        <v>0</v>
      </c>
      <c r="AMA77" s="3358"/>
      <c r="AMB77" s="3548" t="e">
        <f>INDEX(klasseqty_buer[forankring_lt4_g],MATCH($AI$79,klasseqty_buer[Type_size],0))</f>
        <v>#N/A</v>
      </c>
      <c r="AMC77" s="3358"/>
      <c r="AMD77" s="3372" t="e">
        <f t="shared" si="309"/>
        <v>#N/A</v>
      </c>
      <c r="AME77" s="3358"/>
      <c r="AMF77" s="277"/>
      <c r="AMG77" s="3358"/>
      <c r="AMH77" s="3358"/>
      <c r="AMI77" s="3369" t="str">
        <f t="shared" si="310"/>
        <v/>
      </c>
      <c r="AMJ77" s="3358"/>
      <c r="AMK77" s="3548" t="e">
        <f>INDEX(klasseqty_buer[forankring_gt4_g],MATCH($AI$79,klasseqty_buer[Type_size],0))</f>
        <v>#N/A</v>
      </c>
      <c r="AML77" s="3358"/>
      <c r="AMM77" s="3373" t="e">
        <f t="shared" si="311"/>
        <v>#N/A</v>
      </c>
      <c r="AMN77" s="5548"/>
      <c r="AMO77" s="5548"/>
      <c r="AMP77" s="5548"/>
      <c r="AMQ77" s="5548"/>
      <c r="AMR77" s="5548"/>
      <c r="AMS77" s="5548"/>
      <c r="AMT77" s="5548"/>
      <c r="AMU77" s="5548"/>
      <c r="AMV77" s="5548"/>
      <c r="AMW77" s="5548"/>
      <c r="AMX77" s="5548"/>
      <c r="AMY77" s="5548"/>
      <c r="AMZ77" s="5548"/>
      <c r="ANA77" s="5548"/>
      <c r="ANB77" s="5548"/>
      <c r="ANC77" s="5548"/>
      <c r="AND77" s="5548"/>
      <c r="ANE77" s="5548"/>
      <c r="ANF77" s="5548"/>
      <c r="ANG77" s="5548"/>
      <c r="ANH77" s="5548"/>
      <c r="ANI77" s="5548"/>
      <c r="ANJ77" s="5548"/>
      <c r="ANK77" s="5548"/>
      <c r="ANL77" s="5548"/>
      <c r="ANM77" s="5548"/>
      <c r="ANN77" s="5548"/>
      <c r="ANO77" s="5548"/>
      <c r="ANP77" s="5548"/>
      <c r="ANQ77" s="5548"/>
      <c r="ANR77" s="5548"/>
      <c r="ANS77" s="5548"/>
      <c r="ANT77" s="5548"/>
      <c r="ANU77" s="5548"/>
      <c r="ANV77" s="5548"/>
      <c r="ANW77" s="5548"/>
      <c r="ANX77" s="5548"/>
      <c r="ANY77" s="5548"/>
      <c r="ANZ77" s="5548"/>
      <c r="AOA77" s="5548"/>
      <c r="AOB77" s="5548"/>
      <c r="AOC77" s="5548"/>
      <c r="AOD77" s="5548"/>
      <c r="AOE77" s="5548"/>
      <c r="AOF77" s="5548"/>
      <c r="AOG77" s="5548"/>
      <c r="AOH77" s="5548"/>
      <c r="AOI77" s="5548"/>
      <c r="AOJ77" s="5548"/>
      <c r="AOK77" s="5548"/>
      <c r="AOL77" s="5548"/>
      <c r="AOM77" s="5548"/>
      <c r="AOO77" s="3357"/>
      <c r="AOP77" s="3358" t="b">
        <v>1</v>
      </c>
      <c r="AOQ77" s="3358"/>
      <c r="AOR77" s="3359">
        <f>'!Egen_SK'!$CH$157</f>
        <v>0</v>
      </c>
      <c r="AOS77" s="3358"/>
      <c r="AOT77" s="3548" t="e">
        <f>INDEX(klasseqty_forbolting[andel_av_tunnelklasse_g],MATCH($AI$79,klasseqty_forbolting[Type_size],0))</f>
        <v>#N/A</v>
      </c>
      <c r="AOU77" s="3358"/>
      <c r="AOV77" s="4141" t="e">
        <f t="shared" si="288"/>
        <v>#N/A</v>
      </c>
      <c r="AOW77" s="3358"/>
      <c r="AOX77" s="3358"/>
      <c r="AOY77" s="3358" t="b">
        <v>1</v>
      </c>
      <c r="AOZ77" s="3358"/>
      <c r="APA77" s="3359" t="str">
        <f t="shared" si="312"/>
        <v/>
      </c>
      <c r="APB77" s="3358"/>
      <c r="APC77" s="3625" t="e">
        <f>INDEX(klasseqty_forbolting[andel_av_tunnelklasse_g],MATCH($AI$79,klasseqty_forbolting[Type_size],0))</f>
        <v>#N/A</v>
      </c>
      <c r="APD77" s="3358"/>
      <c r="APE77" s="5166" t="e">
        <f t="shared" si="289"/>
        <v>#N/A</v>
      </c>
      <c r="APF77" s="3358"/>
      <c r="APG77" s="3358" t="b">
        <v>1</v>
      </c>
      <c r="APH77" s="3358"/>
      <c r="API77" s="3359">
        <f>'!Egen_SK'!$CH$152</f>
        <v>0</v>
      </c>
      <c r="APJ77" s="3358"/>
      <c r="APK77" s="3375" t="e">
        <f>INDEX(klasseqty_forbolting[bueområde_g],MATCH($AI$79,klasseqty_forbolting[Type_size],0))</f>
        <v>#N/A</v>
      </c>
      <c r="APL77" s="3358"/>
      <c r="APM77" s="3371" t="e">
        <f t="shared" si="290"/>
        <v>#N/A</v>
      </c>
      <c r="APN77" s="3358"/>
      <c r="APO77" s="3358" t="b">
        <v>1</v>
      </c>
      <c r="APP77" s="3358"/>
      <c r="APQ77" s="3359">
        <f>'!Egen_SK'!$CH$165</f>
        <v>0</v>
      </c>
      <c r="APR77" s="3358"/>
      <c r="APS77" s="3375" t="e">
        <f>INDEX(klasseqty_forbolting[forbolting_senteravstand_g],MATCH($AI$79,klasseqty_forbolting[Type_size],0))</f>
        <v>#N/A</v>
      </c>
      <c r="APT77" s="3358"/>
      <c r="APU77" s="3371" t="e">
        <f t="shared" si="291"/>
        <v>#N/A</v>
      </c>
      <c r="APV77" s="3358"/>
      <c r="APW77" s="3358" t="b">
        <v>1</v>
      </c>
      <c r="APX77" s="3358"/>
      <c r="APY77" s="3713">
        <f>'!Egen_SK'!$CH$169</f>
        <v>0</v>
      </c>
      <c r="APZ77" s="3358"/>
      <c r="AQA77" s="3548" t="e">
        <f>INDEX(klasseqty_forbolting[forbolting_lt4_g],MATCH($AI$79,klasseqty_forbolting[Type_size],0))</f>
        <v>#N/A</v>
      </c>
      <c r="AQB77" s="3358"/>
      <c r="AQC77" s="3372" t="e">
        <f t="shared" si="313"/>
        <v>#N/A</v>
      </c>
      <c r="AQD77" s="3358"/>
      <c r="AQE77" s="277"/>
      <c r="AQF77" s="3358"/>
      <c r="AQG77" s="3358"/>
      <c r="AQH77" s="3369" t="str">
        <f t="shared" si="314"/>
        <v/>
      </c>
      <c r="AQI77" s="3358"/>
      <c r="AQJ77" s="3548" t="e">
        <f>INDEX(klasseqty_forbolting[forbolting_gt4_g],MATCH($AI$79,klasseqty_forbolting[Type_size],0))</f>
        <v>#N/A</v>
      </c>
      <c r="AQK77" s="3358"/>
      <c r="AQL77" s="3373" t="e">
        <f t="shared" si="315"/>
        <v>#N/A</v>
      </c>
      <c r="AQN77" s="3357"/>
      <c r="AQO77" s="3358" t="b">
        <v>1</v>
      </c>
      <c r="AQP77" s="3358"/>
      <c r="AQQ77" s="3359">
        <f>'!Egen_SK'!$CH$178</f>
        <v>0</v>
      </c>
      <c r="AQR77" s="3358"/>
      <c r="AQS77" s="3375" t="e">
        <f>INDEX(klasseqty_forbolting[oppheng_senteravstand_g],MATCH($AI$79,klasseqty_forbolting[Type_size],0))</f>
        <v>#N/A</v>
      </c>
      <c r="AQT77" s="3358"/>
      <c r="AQU77" s="3371" t="e">
        <f t="shared" si="292"/>
        <v>#N/A</v>
      </c>
      <c r="AQV77" s="3358"/>
      <c r="AQW77" s="3358" t="b">
        <v>1</v>
      </c>
      <c r="AQX77" s="3358"/>
      <c r="AQY77" s="3713">
        <f>'!Egen_SK'!$CH$182</f>
        <v>0</v>
      </c>
      <c r="AQZ77" s="3358"/>
      <c r="ARA77" s="3548" t="e">
        <f>INDEX(klasseqty_forbolting[oppheng_lt4_g],MATCH($AI$79,klasseqty_forbolting[Type_size],0))</f>
        <v>#N/A</v>
      </c>
      <c r="ARB77" s="3358"/>
      <c r="ARC77" s="3372" t="e">
        <f t="shared" si="316"/>
        <v>#N/A</v>
      </c>
      <c r="ARD77" s="3358"/>
      <c r="ARE77" s="277"/>
      <c r="ARF77" s="3358"/>
      <c r="ARG77" s="3358"/>
      <c r="ARH77" s="3369" t="str">
        <f t="shared" si="317"/>
        <v/>
      </c>
      <c r="ARI77" s="3358"/>
      <c r="ARJ77" s="3548" t="e">
        <f>INDEX(klasseqty_forbolting[oppheng_gt4_g],MATCH($AI$79,klasseqty_forbolting[Type_size],0))</f>
        <v>#N/A</v>
      </c>
      <c r="ARK77" s="3358"/>
      <c r="ARL77" s="3373" t="e">
        <f t="shared" si="318"/>
        <v>#N/A</v>
      </c>
      <c r="ART77" s="3357" t="b">
        <v>1</v>
      </c>
      <c r="ARU77" s="3358"/>
      <c r="ARV77" s="3713">
        <f>'!Egen_SK'!$CH$312</f>
        <v>0</v>
      </c>
      <c r="ARW77" s="3358"/>
      <c r="ARX77" s="3625" t="e">
        <f>INDEX(klasseqty_sik1234[sikringsstøp_hypp_g],MATCH($AI$79,klasseqty_sik1234[Type_size],0))</f>
        <v>#N/A</v>
      </c>
      <c r="ARY77" s="3358"/>
      <c r="ARZ77" s="3371" t="e">
        <f t="shared" si="293"/>
        <v>#N/A</v>
      </c>
      <c r="ASA77" s="277"/>
      <c r="ASB77" s="3358" t="b">
        <v>1</v>
      </c>
      <c r="ASC77" s="3358"/>
      <c r="ASD77" s="3359">
        <f>'!Egen_SK'!$CH$316</f>
        <v>0</v>
      </c>
      <c r="ASE77" s="3358"/>
      <c r="ASF77" s="3548" t="e">
        <f>INDEX(klasseqty_sik1234[sikringsstøp_123_g],MATCH($AI$79,klasseqty_sik1234[Type_size],0))</f>
        <v>#N/A</v>
      </c>
      <c r="ASG77" s="3358"/>
      <c r="ASH77" s="3372" t="e">
        <f t="shared" si="319"/>
        <v>#N/A</v>
      </c>
      <c r="ASI77" s="3358"/>
      <c r="ASJ77" s="277"/>
      <c r="ASK77" s="3358"/>
      <c r="ASL77" s="3358"/>
      <c r="ASM77" s="3369" t="str">
        <f t="shared" si="320"/>
        <v/>
      </c>
      <c r="ASN77" s="3358"/>
      <c r="ASO77" s="3548" t="e">
        <f>INDEX(klasseqty_sik1234[sikringsstøp_4_g],MATCH($AI$79,klasseqty_sik1234[Type_size],0))</f>
        <v>#N/A</v>
      </c>
      <c r="ASP77" s="3358"/>
      <c r="ASQ77" s="3373" t="e">
        <f t="shared" si="321"/>
        <v>#N/A</v>
      </c>
      <c r="ASR77" s="2737"/>
      <c r="ASS77" s="2737"/>
      <c r="ATA77" s="2622"/>
      <c r="AUU77" s="2617"/>
      <c r="AUV77" s="2629" t="s">
        <v>1270</v>
      </c>
      <c r="AUW77" s="237">
        <v>60</v>
      </c>
      <c r="AUX77" s="237">
        <v>60</v>
      </c>
      <c r="AUY77" s="237">
        <v>60</v>
      </c>
      <c r="AUZ77" s="237">
        <v>80</v>
      </c>
      <c r="AVA77" s="237">
        <v>120</v>
      </c>
      <c r="AVB77" s="237">
        <v>150</v>
      </c>
      <c r="AVC77" s="237">
        <v>200</v>
      </c>
      <c r="AVD77" s="2631">
        <v>250</v>
      </c>
      <c r="AVE77" s="237">
        <v>0</v>
      </c>
      <c r="AVF77" s="237">
        <v>0</v>
      </c>
      <c r="AVG77" s="237">
        <v>60</v>
      </c>
      <c r="AVH77" s="237">
        <v>80</v>
      </c>
      <c r="AVI77" s="237">
        <v>120</v>
      </c>
      <c r="AVJ77" s="237">
        <v>120</v>
      </c>
      <c r="AVK77" s="237">
        <v>150</v>
      </c>
      <c r="AVL77" s="237">
        <v>200</v>
      </c>
      <c r="AVM77" s="237"/>
      <c r="AVN77" s="237"/>
      <c r="AVO77" s="237"/>
      <c r="AVP77" s="237"/>
      <c r="AVQ77" s="237"/>
      <c r="AVR77" s="237"/>
      <c r="AVS77" s="237"/>
      <c r="AVT77" s="237"/>
      <c r="AVU77" s="2617"/>
      <c r="AVV77" s="2617"/>
      <c r="AVW77" s="2617"/>
      <c r="AVX77" s="2617"/>
      <c r="AVY77" s="2617"/>
      <c r="AVZ77" s="2617"/>
      <c r="AWA77" s="2617"/>
      <c r="AWB77" s="2617"/>
      <c r="AWC77" s="2617"/>
      <c r="AWD77" s="2617"/>
      <c r="AWE77" s="2617"/>
      <c r="AWF77" s="2617"/>
      <c r="AWG77" s="2617"/>
      <c r="AWH77" s="2617"/>
      <c r="AWI77" s="2617"/>
      <c r="AWJ77" s="2617"/>
      <c r="AWK77" s="2617"/>
      <c r="AWL77" s="2617"/>
      <c r="AWM77" s="2617"/>
      <c r="AWN77" s="2617"/>
      <c r="AWO77" s="2617"/>
      <c r="AWP77" s="2617"/>
      <c r="AWQ77" s="2617"/>
      <c r="AWR77" s="2617"/>
      <c r="AWS77" s="2617"/>
      <c r="AWT77" s="2617"/>
      <c r="AWU77" s="2617"/>
      <c r="AWV77" s="2617"/>
      <c r="AWW77" s="2617"/>
      <c r="AWX77" s="2617"/>
      <c r="AWY77" s="2617"/>
      <c r="AWZ77" s="2617"/>
      <c r="AXA77" s="2617"/>
      <c r="AXB77" s="2617"/>
      <c r="AXC77" s="2617"/>
      <c r="AXD77" s="2617"/>
      <c r="AXE77" s="2617"/>
      <c r="AXF77" s="2617"/>
      <c r="AXG77" s="2617"/>
      <c r="AXH77" s="2617"/>
      <c r="AXI77" s="2617"/>
      <c r="AXJ77" s="2617"/>
      <c r="AXK77" s="2617"/>
      <c r="BFE77" s="3398"/>
    </row>
    <row r="78" spans="1:1513" ht="30.75" x14ac:dyDescent="0.2">
      <c r="AH78" s="206"/>
      <c r="AI78" s="199"/>
      <c r="AL78" s="2617"/>
      <c r="AU78" s="2627" t="s">
        <v>2353</v>
      </c>
      <c r="AV78" s="2628"/>
      <c r="AW78" s="2628"/>
      <c r="AX78" s="2628"/>
      <c r="CG78" s="181"/>
      <c r="CH78" s="181"/>
      <c r="CI78" s="181"/>
      <c r="CJ78" s="181"/>
      <c r="CK78" s="181"/>
      <c r="CL78" s="181"/>
      <c r="AUU78" s="2617"/>
      <c r="AUV78" s="3558" t="s">
        <v>1269</v>
      </c>
      <c r="AUW78" s="2635">
        <v>60</v>
      </c>
      <c r="AUX78" s="2635">
        <v>60</v>
      </c>
      <c r="AUY78" s="2635">
        <v>60</v>
      </c>
      <c r="AUZ78" s="2635">
        <v>80</v>
      </c>
      <c r="AVA78" s="2635">
        <v>120</v>
      </c>
      <c r="AVB78" s="2635">
        <v>150</v>
      </c>
      <c r="AVC78" s="2635">
        <v>250</v>
      </c>
      <c r="AVD78" s="3559">
        <v>300</v>
      </c>
      <c r="AVE78" s="2635">
        <v>0</v>
      </c>
      <c r="AVF78" s="2635">
        <v>0</v>
      </c>
      <c r="AVG78" s="2635">
        <v>60</v>
      </c>
      <c r="AVH78" s="2635">
        <v>80</v>
      </c>
      <c r="AVI78" s="2635">
        <v>120</v>
      </c>
      <c r="AVJ78" s="2635">
        <v>150</v>
      </c>
      <c r="AVK78" s="2635">
        <v>200</v>
      </c>
      <c r="AVL78" s="2635">
        <v>250</v>
      </c>
      <c r="AVM78" s="2635">
        <v>1.3</v>
      </c>
      <c r="AVN78" s="2635">
        <v>1.3</v>
      </c>
      <c r="AVO78" s="2635">
        <v>1.3</v>
      </c>
      <c r="AVP78" s="2635">
        <v>1.35</v>
      </c>
      <c r="AVQ78" s="2635">
        <v>1.4</v>
      </c>
      <c r="AVR78" s="2635">
        <v>1.45</v>
      </c>
      <c r="AVS78" s="2635">
        <v>1.5</v>
      </c>
      <c r="AVT78" s="2635">
        <v>1.55</v>
      </c>
      <c r="AVU78" s="2617"/>
      <c r="AVV78" s="2617"/>
      <c r="AVW78" s="2617"/>
      <c r="AVX78" s="2617"/>
      <c r="AVY78" s="2617"/>
      <c r="AVZ78" s="2617"/>
      <c r="AWA78" s="2617"/>
      <c r="AWB78" s="2617"/>
      <c r="AWC78" s="2617"/>
      <c r="AWD78" s="2617"/>
      <c r="AWE78" s="2617"/>
      <c r="AWF78" s="2617"/>
      <c r="AWG78" s="2617"/>
      <c r="AWH78" s="2617"/>
      <c r="AWI78" s="2617"/>
      <c r="AWJ78" s="2617"/>
      <c r="AWK78" s="2617"/>
      <c r="AWL78" s="2617"/>
      <c r="AWM78" s="2617"/>
      <c r="AWN78" s="2617"/>
      <c r="AWO78" s="2617"/>
      <c r="AWP78" s="2617"/>
      <c r="AWQ78" s="2617"/>
      <c r="AWR78" s="2617"/>
      <c r="AWS78" s="2617"/>
      <c r="AWT78" s="2617"/>
      <c r="AWU78" s="2617"/>
      <c r="AWV78" s="2617"/>
      <c r="AWW78" s="2617"/>
      <c r="AWX78" s="2617"/>
      <c r="AWY78" s="2617"/>
      <c r="AWZ78" s="2617"/>
      <c r="AXA78" s="2617"/>
      <c r="AXB78" s="2617"/>
      <c r="AXC78" s="2617"/>
      <c r="AXD78" s="2617"/>
      <c r="AXE78" s="2617"/>
      <c r="AXF78" s="2617"/>
      <c r="AXG78" s="2617"/>
      <c r="AXH78" s="2617"/>
      <c r="AXI78" s="2617"/>
      <c r="AXJ78" s="2617"/>
      <c r="AXK78" s="2617"/>
      <c r="BFE78" s="3398"/>
    </row>
    <row r="79" spans="1:1513" x14ac:dyDescent="0.2">
      <c r="AF79" s="4200" t="s">
        <v>2647</v>
      </c>
      <c r="AH79" s="2814" t="s">
        <v>1318</v>
      </c>
      <c r="AI79" s="2682" t="str">
        <f>IF($AI$62=FALSE,AI76&amp;AI77,"!")</f>
        <v>!</v>
      </c>
      <c r="AL79" s="2617"/>
      <c r="AV79" s="2622"/>
      <c r="AW79" s="2622"/>
      <c r="AX79" s="2622"/>
      <c r="BP79" s="2625"/>
      <c r="CG79" s="181"/>
      <c r="CH79" s="181"/>
      <c r="CI79" s="181"/>
      <c r="CJ79" s="181"/>
      <c r="CK79" s="181"/>
      <c r="CL79" s="181"/>
      <c r="AUU79" s="2617"/>
      <c r="AUV79" s="2617"/>
      <c r="AUW79" s="2617"/>
      <c r="AUX79" s="2617"/>
      <c r="AUY79" s="2617"/>
      <c r="AUZ79" s="2617"/>
      <c r="AVA79" s="2617"/>
      <c r="AVB79" s="2617"/>
      <c r="AVC79" s="2617"/>
      <c r="AVD79" s="2617"/>
      <c r="AVE79" s="2617"/>
      <c r="AVF79" s="2617"/>
      <c r="AVG79" s="2617"/>
      <c r="AVH79" s="2617"/>
      <c r="AVI79" s="2617"/>
      <c r="AVJ79" s="2617"/>
      <c r="AVK79" s="2617"/>
      <c r="AVL79" s="2617"/>
      <c r="AVM79" s="2617"/>
      <c r="AVN79" s="2617"/>
      <c r="AVO79" s="2617"/>
      <c r="AVP79" s="2617"/>
      <c r="AVQ79" s="2617"/>
      <c r="AVR79" s="2617"/>
      <c r="AVS79" s="2617"/>
      <c r="AVT79" s="2617"/>
      <c r="AVU79" s="2617"/>
      <c r="AVV79" s="2617"/>
      <c r="AVW79" s="2617"/>
      <c r="AVX79" s="2617"/>
      <c r="AVY79" s="2617"/>
      <c r="AVZ79" s="2617"/>
      <c r="AWA79" s="2617"/>
      <c r="AWB79" s="2617"/>
      <c r="AWC79" s="2617"/>
      <c r="AWD79" s="2617"/>
      <c r="AWE79" s="2617"/>
      <c r="AWF79" s="2617"/>
      <c r="AWG79" s="2617"/>
      <c r="AWH79" s="2617"/>
      <c r="AWI79" s="2617"/>
      <c r="AWJ79" s="2617"/>
      <c r="AWK79" s="2617"/>
      <c r="AWL79" s="2617"/>
      <c r="AWM79" s="2617"/>
      <c r="AWN79" s="2617"/>
      <c r="AWO79" s="2617"/>
      <c r="AWP79" s="2617"/>
      <c r="AWQ79" s="2617"/>
      <c r="AWR79" s="2617"/>
      <c r="AWS79" s="2617"/>
      <c r="AWT79" s="2617"/>
      <c r="AWU79" s="2617"/>
      <c r="AWV79" s="2617"/>
      <c r="AWW79" s="2617"/>
      <c r="AWX79" s="2617"/>
      <c r="AWY79" s="2617"/>
      <c r="AWZ79" s="2617"/>
      <c r="AXA79" s="2617"/>
      <c r="AXB79" s="2617"/>
      <c r="AXC79" s="2617"/>
      <c r="AXD79" s="2617"/>
      <c r="AXE79" s="2617"/>
      <c r="AXF79" s="2617"/>
      <c r="AXG79" s="2617"/>
      <c r="AXH79" s="2617"/>
      <c r="AXI79" s="2617"/>
      <c r="AXJ79" s="2617"/>
      <c r="AXK79" s="2617"/>
      <c r="BCH79" s="185"/>
      <c r="BCI79" s="206" t="s">
        <v>1127</v>
      </c>
      <c r="BCJ79" s="199" t="s">
        <v>1126</v>
      </c>
      <c r="BCK79" s="206" t="s">
        <v>1128</v>
      </c>
      <c r="BCL79" s="206" t="s">
        <v>1129</v>
      </c>
      <c r="BCM79" s="206" t="s">
        <v>1130</v>
      </c>
      <c r="BCN79" s="206" t="s">
        <v>1125</v>
      </c>
      <c r="BCO79" s="206" t="s">
        <v>1131</v>
      </c>
      <c r="BCP79" s="206" t="s">
        <v>1132</v>
      </c>
      <c r="BCQ79" s="2999" t="s">
        <v>1133</v>
      </c>
      <c r="BCR79" s="3000" t="s">
        <v>1134</v>
      </c>
      <c r="BCS79" s="3001" t="s">
        <v>1136</v>
      </c>
      <c r="BCT79" s="199" t="s">
        <v>1137</v>
      </c>
      <c r="BCU79" s="199" t="s">
        <v>1135</v>
      </c>
      <c r="BCV79" s="3002" t="s">
        <v>1140</v>
      </c>
      <c r="BFE79" s="3398"/>
    </row>
    <row r="80" spans="1:1513" x14ac:dyDescent="0.2">
      <c r="AH80" s="206" t="s">
        <v>1490</v>
      </c>
      <c r="AI80" s="199" t="str">
        <f>AI76&amp;"_"&amp;AI61</f>
        <v>veg_0</v>
      </c>
      <c r="AL80" s="2617"/>
      <c r="AU80" s="2970" t="s">
        <v>937</v>
      </c>
      <c r="CG80" s="181"/>
      <c r="CH80" s="181"/>
      <c r="CI80" s="181"/>
      <c r="CJ80" s="181"/>
      <c r="CK80" s="181"/>
      <c r="CL80" s="181"/>
      <c r="AUU80" s="2617"/>
      <c r="AUV80" s="2617"/>
      <c r="AUW80" s="2617"/>
      <c r="AUX80" s="2617"/>
      <c r="AUY80" s="2617"/>
      <c r="AUZ80" s="2617"/>
      <c r="AVA80" s="2617"/>
      <c r="AVB80" s="2617"/>
      <c r="AVC80" s="2617"/>
      <c r="AVD80" s="2617"/>
      <c r="AVE80" s="2617"/>
      <c r="AVF80" s="2617"/>
      <c r="AVG80" s="2617"/>
      <c r="AVH80" s="2617"/>
      <c r="AVI80" s="2617"/>
      <c r="AVJ80" s="2617"/>
      <c r="AVK80" s="2617"/>
      <c r="AVL80" s="2617"/>
      <c r="AVM80" s="2617"/>
      <c r="AVN80" s="2617"/>
      <c r="AVO80" s="2617"/>
      <c r="AVP80" s="2617"/>
      <c r="AVQ80" s="2617"/>
      <c r="AVR80" s="2617"/>
      <c r="AVS80" s="2617"/>
      <c r="AVT80" s="2617"/>
      <c r="AVU80" s="2617"/>
      <c r="AVV80" s="2617"/>
      <c r="AVW80" s="2617"/>
      <c r="AVX80" s="2617"/>
      <c r="AVY80" s="2617"/>
      <c r="AVZ80" s="2617"/>
      <c r="AWA80" s="2617"/>
      <c r="AWB80" s="2617"/>
      <c r="AWC80" s="2617"/>
      <c r="AWD80" s="2617"/>
      <c r="AWE80" s="2617"/>
      <c r="AWF80" s="2617"/>
      <c r="AWG80" s="2617"/>
      <c r="AWH80" s="2617"/>
      <c r="AWI80" s="2617"/>
      <c r="AWJ80" s="2617"/>
      <c r="AWK80" s="2617"/>
      <c r="AWL80" s="2617"/>
      <c r="AWM80" s="2617"/>
      <c r="AWN80" s="2617"/>
      <c r="AWO80" s="2617"/>
      <c r="AWP80" s="2617"/>
      <c r="AWQ80" s="2617"/>
      <c r="AWR80" s="2617"/>
      <c r="AWS80" s="2617"/>
      <c r="AWT80" s="2617"/>
      <c r="AWU80" s="2617"/>
      <c r="AWV80" s="2617"/>
      <c r="AWW80" s="2617"/>
      <c r="AWX80" s="2617"/>
      <c r="AWY80" s="2617"/>
      <c r="AWZ80" s="2617"/>
      <c r="AXA80" s="2617"/>
      <c r="AXB80" s="2617"/>
      <c r="AXC80" s="2617"/>
      <c r="AXD80" s="2617"/>
      <c r="AXE80" s="2617"/>
      <c r="AXF80" s="2617"/>
      <c r="AXG80" s="2617"/>
      <c r="AXH80" s="2617"/>
      <c r="AXI80" s="2617"/>
      <c r="AXJ80" s="2617"/>
      <c r="AXK80" s="2617"/>
      <c r="BCH80" s="185" t="str">
        <f>TM21</f>
        <v>Enkelt</v>
      </c>
      <c r="BCI80" s="206">
        <v>300</v>
      </c>
      <c r="BCJ80" s="199">
        <v>6</v>
      </c>
      <c r="BCK80" s="206">
        <v>50</v>
      </c>
      <c r="BCL80" s="206">
        <v>20</v>
      </c>
      <c r="BCM80" s="206">
        <v>110</v>
      </c>
      <c r="BCN80" s="206">
        <v>1.5</v>
      </c>
      <c r="BCO80" s="206">
        <f>BCN80*BCI80</f>
        <v>450</v>
      </c>
      <c r="BCP80" s="206">
        <f>(BCK80*2)+BCL80+(BCM80*(BCJ80-1))</f>
        <v>670</v>
      </c>
      <c r="BCQ80" s="2999">
        <f>BCP80*BCI80/1000/1000</f>
        <v>0.20100000000000001</v>
      </c>
      <c r="BCR80" s="3000">
        <f>BCO80*BCI80/1000/1000</f>
        <v>0.13500000000000001</v>
      </c>
      <c r="BCS80" s="3001">
        <v>100</v>
      </c>
      <c r="BCT80" s="199">
        <f>(BCO80*2)+BCP80</f>
        <v>1570</v>
      </c>
      <c r="BCU80" s="199">
        <f>BCT80*BCS80/1000/1000</f>
        <v>0.157</v>
      </c>
      <c r="BCV80" s="3002">
        <f>BCQ80+BCR80+BCU80</f>
        <v>0.49299999999999999</v>
      </c>
      <c r="BFE80" s="3398"/>
    </row>
    <row r="81" spans="34:1022 1075:1514" x14ac:dyDescent="0.2">
      <c r="AH81" s="2639"/>
      <c r="AI81" s="2625"/>
      <c r="AJ81" s="2625"/>
      <c r="AL81" s="2617"/>
      <c r="AV81" s="2622"/>
      <c r="AW81" s="2622"/>
      <c r="AX81" s="2622"/>
      <c r="CG81" s="181"/>
      <c r="CH81" s="181"/>
      <c r="CI81" s="181"/>
      <c r="CJ81" s="181"/>
      <c r="CK81" s="181"/>
      <c r="CL81" s="181"/>
      <c r="AUU81" s="2617"/>
      <c r="AUV81" s="2617"/>
      <c r="AUW81" s="2617"/>
      <c r="AUX81" s="2617"/>
      <c r="AUY81" s="2617"/>
      <c r="AUZ81" s="2617"/>
      <c r="AVA81" s="2617"/>
      <c r="AVB81" s="2617"/>
      <c r="AVC81" s="2617"/>
      <c r="AVD81" s="2617"/>
      <c r="AVE81" s="2617"/>
      <c r="AVF81" s="2617"/>
      <c r="AVG81" s="2617"/>
      <c r="AVH81" s="2617"/>
      <c r="AVI81" s="2617"/>
      <c r="AVJ81" s="2617"/>
      <c r="AVK81" s="2617"/>
      <c r="AVL81" s="2617"/>
      <c r="AVM81" s="2617"/>
      <c r="AVN81" s="2617"/>
      <c r="AVO81" s="2617"/>
      <c r="AVP81" s="2617"/>
      <c r="AVQ81" s="2617"/>
      <c r="AVR81" s="2617"/>
      <c r="AVS81" s="2617"/>
      <c r="AVT81" s="2617"/>
      <c r="AVU81" s="2617"/>
      <c r="AVV81" s="2617"/>
      <c r="AVW81" s="2617"/>
      <c r="AVX81" s="2617"/>
      <c r="AVY81" s="2617"/>
      <c r="AVZ81" s="2617"/>
      <c r="AWA81" s="2617"/>
      <c r="AWB81" s="2617"/>
      <c r="AWC81" s="2617"/>
      <c r="AWD81" s="2617"/>
      <c r="AWE81" s="2617"/>
      <c r="AWF81" s="2617"/>
      <c r="AWG81" s="2617"/>
      <c r="AWH81" s="2617"/>
      <c r="AWI81" s="2617"/>
      <c r="AWJ81" s="2617"/>
      <c r="AWK81" s="2617"/>
      <c r="AWL81" s="2617"/>
      <c r="AWM81" s="2617"/>
      <c r="AWN81" s="2617"/>
      <c r="AWO81" s="2617"/>
      <c r="AWP81" s="2617"/>
      <c r="AWQ81" s="2617"/>
      <c r="AWR81" s="2617"/>
      <c r="AWS81" s="2617"/>
      <c r="AWT81" s="2617"/>
      <c r="AWU81" s="2617"/>
      <c r="AWV81" s="2617"/>
      <c r="AWW81" s="2617"/>
      <c r="AWX81" s="2617"/>
      <c r="AWY81" s="2617"/>
      <c r="AWZ81" s="2617"/>
      <c r="AXA81" s="2617"/>
      <c r="AXB81" s="2617"/>
      <c r="AXC81" s="2617"/>
      <c r="AXD81" s="2617"/>
      <c r="AXE81" s="2617"/>
      <c r="AXF81" s="2617"/>
      <c r="AXG81" s="2617"/>
      <c r="AXH81" s="2617"/>
      <c r="AXI81" s="2617"/>
      <c r="AXJ81" s="2617"/>
      <c r="AXK81" s="2617"/>
      <c r="BCH81" s="185" t="str">
        <f>TM22</f>
        <v>Dobbelt</v>
      </c>
      <c r="BCI81" s="206">
        <v>600</v>
      </c>
      <c r="BCJ81" s="199">
        <v>6</v>
      </c>
      <c r="BCK81" s="206">
        <v>50</v>
      </c>
      <c r="BCL81" s="206">
        <v>20</v>
      </c>
      <c r="BCM81" s="206">
        <v>110</v>
      </c>
      <c r="BCN81" s="206">
        <v>1.5</v>
      </c>
      <c r="BCO81" s="206">
        <f>BCN81*BCI81</f>
        <v>900</v>
      </c>
      <c r="BCP81" s="206">
        <f>(BCK81*2)+BCL81+(BCM81*(BCJ81-1))</f>
        <v>670</v>
      </c>
      <c r="BCQ81" s="2999">
        <f>BCP81*BCI81/1000/1000</f>
        <v>0.40200000000000002</v>
      </c>
      <c r="BCR81" s="3000">
        <f>BCO81*BCI81/1000/1000</f>
        <v>0.54</v>
      </c>
      <c r="BCS81" s="3001">
        <v>100</v>
      </c>
      <c r="BCT81" s="199">
        <f>(BCO81*2)+BCP81</f>
        <v>2470</v>
      </c>
      <c r="BCU81" s="199">
        <f>BCT81*BCS81/1000/1000</f>
        <v>0.247</v>
      </c>
      <c r="BCV81" s="3002">
        <f>BCQ81+BCR81+BCU81</f>
        <v>1.1890000000000001</v>
      </c>
      <c r="BFE81" s="3400"/>
    </row>
    <row r="82" spans="34:1022 1075:1514" x14ac:dyDescent="0.2">
      <c r="AL82" s="2617"/>
      <c r="AV82" s="2622"/>
      <c r="AW82" s="2622"/>
      <c r="AX82" s="2622"/>
      <c r="CG82" s="181"/>
      <c r="CH82" s="181"/>
      <c r="CI82" s="181"/>
      <c r="CJ82" s="181"/>
      <c r="CK82" s="181"/>
      <c r="CL82" s="181"/>
      <c r="AUU82" s="2617"/>
      <c r="AUV82" s="2617"/>
      <c r="AUW82" s="2617"/>
      <c r="AUX82" s="2617"/>
      <c r="AUY82" s="2617"/>
      <c r="AUZ82" s="2617"/>
      <c r="AVA82" s="2617"/>
      <c r="AVB82" s="2617"/>
      <c r="AVC82" s="2617"/>
      <c r="AVD82" s="2617"/>
      <c r="AVE82" s="2617"/>
      <c r="AVF82" s="2617"/>
      <c r="AVG82" s="2617"/>
      <c r="AVH82" s="2617"/>
      <c r="AVI82" s="2617"/>
      <c r="AVJ82" s="2617"/>
      <c r="AVK82" s="2617"/>
      <c r="AVL82" s="2617"/>
      <c r="AVM82" s="2617"/>
      <c r="AVN82" s="2617"/>
      <c r="AVO82" s="2617"/>
      <c r="AVP82" s="2617"/>
      <c r="AVQ82" s="2617"/>
      <c r="AVR82" s="2617"/>
      <c r="AVS82" s="2617"/>
      <c r="AVT82" s="2617"/>
      <c r="AVU82" s="2617"/>
      <c r="AVV82" s="2617"/>
      <c r="AVW82" s="2617"/>
      <c r="AVX82" s="2617"/>
      <c r="AVY82" s="2617"/>
      <c r="AVZ82" s="2617"/>
      <c r="AWA82" s="2617"/>
      <c r="AWB82" s="2617"/>
      <c r="AWC82" s="2617"/>
      <c r="AWD82" s="2617"/>
      <c r="AWE82" s="2617"/>
      <c r="AWF82" s="2617"/>
      <c r="AWG82" s="2617"/>
      <c r="AWH82" s="2617"/>
      <c r="AWI82" s="2617"/>
      <c r="AWJ82" s="2617"/>
      <c r="AWK82" s="2617"/>
      <c r="AWL82" s="2617"/>
      <c r="AWM82" s="2617"/>
      <c r="AWN82" s="2617"/>
      <c r="AWO82" s="2617"/>
      <c r="AWP82" s="2617"/>
      <c r="AWQ82" s="2617"/>
      <c r="AWR82" s="2617"/>
      <c r="AWS82" s="2617"/>
      <c r="AWT82" s="2617"/>
      <c r="AWU82" s="2617"/>
      <c r="AWV82" s="2617"/>
      <c r="AWW82" s="2617"/>
      <c r="AWX82" s="2617"/>
      <c r="AWY82" s="2617"/>
      <c r="AWZ82" s="2617"/>
      <c r="AXA82" s="2617"/>
      <c r="AXB82" s="2617"/>
      <c r="AXC82" s="2617"/>
      <c r="AXD82" s="2617"/>
      <c r="AXE82" s="2617"/>
      <c r="AXF82" s="2617"/>
      <c r="AXG82" s="2617"/>
      <c r="AXH82" s="2617"/>
      <c r="AXI82" s="2617"/>
      <c r="AXJ82" s="2617"/>
      <c r="AXK82" s="2617"/>
      <c r="BCH82" s="185" t="s">
        <v>1138</v>
      </c>
      <c r="BCI82" s="206">
        <v>500</v>
      </c>
      <c r="BCJ82" s="199">
        <v>6</v>
      </c>
      <c r="BCK82" s="206">
        <v>42.5</v>
      </c>
      <c r="BCL82" s="206">
        <v>15</v>
      </c>
      <c r="BCM82" s="206">
        <v>120</v>
      </c>
      <c r="BCN82" s="206">
        <v>1.5</v>
      </c>
      <c r="BCO82" s="206">
        <f>BCN82*BCI82</f>
        <v>750</v>
      </c>
      <c r="BCP82" s="206">
        <f>(BCK82*2)+BCL82+(BCM82*(BCJ82-1))</f>
        <v>700</v>
      </c>
      <c r="BCQ82" s="2999">
        <f>BCP82*BCI82/1000/1000</f>
        <v>0.35</v>
      </c>
      <c r="BCR82" s="3000">
        <f>BCO82*BCI82/1000/1000</f>
        <v>0.375</v>
      </c>
      <c r="BCS82" s="3001">
        <v>60</v>
      </c>
      <c r="BCT82" s="199">
        <f>(BCO82*2)+BCP82</f>
        <v>2200</v>
      </c>
      <c r="BCU82" s="199">
        <f>BCT82*BCS82/1000/1000</f>
        <v>0.13200000000000001</v>
      </c>
      <c r="BCV82" s="3002">
        <f>BCQ82+BCR82+BCU82</f>
        <v>0.85699999999999998</v>
      </c>
      <c r="BFE82" s="3398"/>
    </row>
    <row r="83" spans="34:1022 1075:1514" x14ac:dyDescent="0.2">
      <c r="AL83" s="2617"/>
      <c r="AU83" s="1762" t="s">
        <v>257</v>
      </c>
      <c r="AV83" s="2637" t="s">
        <v>283</v>
      </c>
      <c r="AW83" s="2637" t="s">
        <v>284</v>
      </c>
      <c r="AX83" s="2637" t="s">
        <v>285</v>
      </c>
      <c r="AY83" s="5572" t="s">
        <v>1015</v>
      </c>
      <c r="AZ83" s="5572" t="s">
        <v>1016</v>
      </c>
      <c r="BA83" s="5572" t="s">
        <v>1017</v>
      </c>
      <c r="BB83" s="5572" t="s">
        <v>1018</v>
      </c>
      <c r="BC83" s="5572" t="s">
        <v>1019</v>
      </c>
      <c r="BD83" s="5572" t="s">
        <v>1020</v>
      </c>
      <c r="BE83" s="5572" t="s">
        <v>1021</v>
      </c>
      <c r="BF83" s="5573" t="s">
        <v>1022</v>
      </c>
      <c r="BG83" s="2637" t="s">
        <v>1023</v>
      </c>
      <c r="BH83" s="2637" t="s">
        <v>1024</v>
      </c>
      <c r="BI83" s="2637" t="s">
        <v>900</v>
      </c>
      <c r="BJ83" s="2637" t="s">
        <v>2404</v>
      </c>
      <c r="BK83" s="2637" t="s">
        <v>943</v>
      </c>
      <c r="BL83" s="2637" t="s">
        <v>187</v>
      </c>
      <c r="CG83" s="181"/>
      <c r="CH83" s="181"/>
      <c r="CI83" s="181"/>
      <c r="CJ83" s="181"/>
      <c r="CK83" s="181"/>
      <c r="CL83" s="181"/>
      <c r="LR83" s="2617"/>
      <c r="AEY83" s="2622"/>
      <c r="AFG83" s="2737"/>
      <c r="AFH83" s="2622"/>
      <c r="AFP83" s="2737"/>
      <c r="AFQ83" s="2622"/>
      <c r="AFZ83" s="2737"/>
      <c r="AGA83" s="2622"/>
      <c r="AGI83" s="2737"/>
      <c r="AGJ83" s="2622"/>
      <c r="AGR83" s="2737"/>
      <c r="AGS83" s="2622"/>
      <c r="AHB83" s="2737"/>
      <c r="AHC83" s="2622"/>
      <c r="AHJ83" s="2737"/>
      <c r="AHK83" s="2622"/>
      <c r="AHV83" s="2737"/>
      <c r="AHW83" s="2622"/>
      <c r="AJP83" s="2737"/>
      <c r="AJQ83" s="2622"/>
      <c r="AKD83" s="2737"/>
      <c r="AKE83" s="2622"/>
      <c r="AKM83" s="2622"/>
      <c r="AKU83" s="2622"/>
      <c r="ALM83" s="2737"/>
      <c r="ALN83" s="2622"/>
      <c r="ALW83" s="2737"/>
      <c r="ALY83" s="2622"/>
      <c r="AMF83" s="2737"/>
      <c r="AMH83" s="2622"/>
      <c r="AOI83" s="2737"/>
      <c r="AOJ83" s="2622"/>
      <c r="AOZ83" s="2737"/>
      <c r="APA83" s="2622"/>
      <c r="APT83" s="2737"/>
      <c r="APU83" s="2622"/>
      <c r="ASJ83" s="2737"/>
      <c r="ASK83" s="4124"/>
      <c r="AST83" s="5162"/>
      <c r="ATS83" s="2737"/>
      <c r="ATT83" s="2622"/>
      <c r="AUS83" s="2737"/>
      <c r="AUT83" s="2622"/>
      <c r="AUU83" s="2617"/>
      <c r="AUV83" s="2617"/>
      <c r="AUW83" s="2617"/>
      <c r="AUX83" s="2617"/>
      <c r="AUY83" s="2617"/>
      <c r="AUZ83" s="2617"/>
      <c r="AVA83" s="2625"/>
      <c r="AVB83" s="2617"/>
      <c r="AVC83" s="2617"/>
      <c r="AVD83" s="2617"/>
      <c r="AVE83" s="2617"/>
      <c r="AVF83" s="2617"/>
      <c r="AVG83" s="2617"/>
      <c r="AVH83" s="2617"/>
      <c r="AVI83" s="2617"/>
      <c r="AVJ83" s="2617"/>
      <c r="AVK83" s="2617"/>
      <c r="AVL83" s="2617"/>
      <c r="AVM83" s="2617"/>
      <c r="AVN83" s="2617"/>
      <c r="AVO83" s="2617"/>
      <c r="AVP83" s="2617"/>
      <c r="AVQ83" s="2617"/>
      <c r="AVR83" s="2617"/>
      <c r="AVS83" s="2617"/>
      <c r="AVT83" s="2617"/>
      <c r="AVU83" s="2617"/>
      <c r="AVV83" s="2617"/>
      <c r="AVW83" s="2617"/>
      <c r="AVX83" s="2617"/>
      <c r="AVY83" s="2617"/>
      <c r="AVZ83" s="2617"/>
      <c r="AWA83" s="2617"/>
      <c r="AWB83" s="2617"/>
      <c r="AWC83" s="2617"/>
      <c r="AWD83" s="2617"/>
      <c r="AWE83" s="2617"/>
      <c r="AWF83" s="2617"/>
      <c r="AWG83" s="2617"/>
      <c r="AWH83" s="2617"/>
      <c r="AWI83" s="2617"/>
      <c r="AWJ83" s="2617"/>
      <c r="AWK83" s="2617"/>
      <c r="AWL83" s="2617"/>
      <c r="AWM83" s="2617"/>
      <c r="AWN83" s="2617"/>
      <c r="AWO83" s="2617"/>
      <c r="AWP83" s="2617"/>
      <c r="AWQ83" s="2617"/>
      <c r="AWR83" s="2617"/>
      <c r="AWS83" s="2617"/>
      <c r="AWT83" s="2617"/>
      <c r="AWU83" s="2617"/>
      <c r="AWV83" s="2617"/>
      <c r="AWW83" s="2617"/>
      <c r="AWX83" s="2617"/>
      <c r="AWY83" s="2617"/>
      <c r="AWZ83" s="2617"/>
      <c r="AXA83" s="2617"/>
      <c r="AXB83" s="2617"/>
      <c r="AXC83" s="2617"/>
      <c r="AXD83" s="2617"/>
      <c r="AXE83" s="2617"/>
      <c r="AXF83" s="2617"/>
      <c r="AXG83" s="2617"/>
      <c r="AXH83" s="2617"/>
      <c r="AXI83" s="2617"/>
      <c r="AXJ83" s="2617"/>
      <c r="AXK83" s="2617"/>
      <c r="BCI83" s="185"/>
      <c r="BCJ83" s="206"/>
      <c r="BCK83" s="199"/>
      <c r="BCL83" s="206"/>
      <c r="BCM83" s="206"/>
      <c r="BCN83" s="206"/>
      <c r="BCO83" s="206"/>
      <c r="BCP83" s="206"/>
      <c r="BCQ83" s="206"/>
      <c r="BCR83" s="2999"/>
      <c r="BCS83" s="3000"/>
      <c r="BCT83" s="3001"/>
      <c r="BCU83" s="199"/>
      <c r="BCV83" s="199"/>
      <c r="BCW83" s="3002"/>
      <c r="BDJ83" s="2622"/>
      <c r="BDL83" s="2617"/>
      <c r="BDX83" s="2622"/>
      <c r="BDZ83" s="2617"/>
      <c r="BEF83" s="2622"/>
      <c r="BEH83" s="2617"/>
      <c r="BEI83" s="2622"/>
      <c r="BFF83" s="3398"/>
    </row>
    <row r="84" spans="34:1022 1075:1514" ht="30.75" x14ac:dyDescent="0.2">
      <c r="AH84" s="5582" t="s">
        <v>2539</v>
      </c>
      <c r="AI84" s="5583"/>
      <c r="AJ84" s="5584"/>
      <c r="AL84" s="2617"/>
      <c r="AU84" s="2629" t="str">
        <f>_Calcs!$BD$67</f>
        <v>Hele tunnelen</v>
      </c>
      <c r="AV84" s="2630"/>
      <c r="AW84" s="237" t="b">
        <f>IF(AI31=1,1)</f>
        <v>0</v>
      </c>
      <c r="AX84" s="238">
        <f>IF(AI31=1,position_klasse[[#This Row],[on/off]],0)</f>
        <v>0</v>
      </c>
      <c r="AY84" s="5574" t="str">
        <f>IFERROR(INDEX(inputs_klasse[A],MATCH($AX84,inputs_klasse[Position],0)),"")</f>
        <v/>
      </c>
      <c r="AZ84" s="5574" t="str">
        <f>IFERROR(INDEX(inputs_klasse[B],MATCH($AX84,inputs_klasse[Position],0)),"")</f>
        <v/>
      </c>
      <c r="BA84" s="5574" t="str">
        <f>IFERROR(INDEX(inputs_klasse[C],MATCH($AX84,inputs_klasse[Position],0)),"")</f>
        <v/>
      </c>
      <c r="BB84" s="5574" t="str">
        <f>IFERROR(INDEX(inputs_klasse[D],MATCH($AX84,inputs_klasse[Position],0)),"")</f>
        <v/>
      </c>
      <c r="BC84" s="5574" t="str">
        <f>IFERROR(INDEX(inputs_klasse[E1],MATCH($AX84,inputs_klasse[Position],0)),"")</f>
        <v/>
      </c>
      <c r="BD84" s="5574" t="str">
        <f>IFERROR(INDEX(inputs_klasse[E2],MATCH($AX84,inputs_klasse[Position],0)),"")</f>
        <v/>
      </c>
      <c r="BE84" s="5574" t="str">
        <f>IFERROR(INDEX(inputs_klasse[F],MATCH($AX84,inputs_klasse[Position],0)),"")</f>
        <v/>
      </c>
      <c r="BF84" s="5575" t="str">
        <f>IFERROR(INDEX(inputs_klasse[G],MATCH($AX84,inputs_klasse[Position],0)),"")</f>
        <v/>
      </c>
      <c r="BG84" s="2985" t="b">
        <f>IF(position_klasse[[#This Row],[Position]]&gt;0,_Calcs!$BH$34)</f>
        <v>0</v>
      </c>
      <c r="BH84" s="1811">
        <f>SUM(position_klasse[[#This Row],[lengde_A]:[lengde_G]])</f>
        <v>0</v>
      </c>
      <c r="BI84" s="1811">
        <f>position_klasse[[#This Row],[actual_lengde]]-position_klasse[[#This Row],[klasse_total_length]]</f>
        <v>0</v>
      </c>
      <c r="BJ84" s="1811" t="e">
        <f>INDEX(checks_klasse[total_klasse],MATCH(position_klasse[[#This Row],[Position]],checks_klasse[Position],0))</f>
        <v>#N/A</v>
      </c>
      <c r="BK84" s="1811" t="e">
        <f>IF(AND(position_klasse[[#This Row],[input_blank_check]]=0,INDEX(outputs_checks[Normal salve volum],MATCH(position_klasse[[#This Row],[Position]],outputs_checks[Position],0))=1,position_klasse[[#This Row],[remain_length]]=0,position_klasse[[#This Row],[Position]]&gt;0),1,0)</f>
        <v>#N/A</v>
      </c>
      <c r="BL84" s="1813"/>
      <c r="CG84" s="181"/>
      <c r="CH84" s="181"/>
      <c r="CI84" s="181"/>
      <c r="CJ84" s="181"/>
      <c r="CK84" s="181"/>
      <c r="CL84" s="181"/>
      <c r="LR84" s="2617"/>
      <c r="AEY84" s="2622"/>
      <c r="AFG84" s="2737"/>
      <c r="AFH84" s="2622"/>
      <c r="AFP84" s="2737"/>
      <c r="AFQ84" s="2622"/>
      <c r="AFZ84" s="2737"/>
      <c r="AGA84" s="2622"/>
      <c r="AGI84" s="2737"/>
      <c r="AGJ84" s="2622"/>
      <c r="AGR84" s="2737"/>
      <c r="AGS84" s="2622"/>
      <c r="AHB84" s="2737"/>
      <c r="AHC84" s="2622"/>
      <c r="AHJ84" s="2737"/>
      <c r="AHK84" s="2622"/>
      <c r="AHV84" s="2737"/>
      <c r="AHW84" s="2622"/>
      <c r="AJP84" s="2737"/>
      <c r="AJQ84" s="2622"/>
      <c r="AKD84" s="2737"/>
      <c r="AKE84" s="2622"/>
      <c r="AKM84" s="2622"/>
      <c r="AKU84" s="2622"/>
      <c r="ALM84" s="2737"/>
      <c r="ALN84" s="2622"/>
      <c r="ALW84" s="2737"/>
      <c r="ALY84" s="2622"/>
      <c r="AMF84" s="2737"/>
      <c r="AMH84" s="2622"/>
      <c r="AOI84" s="2737"/>
      <c r="AOJ84" s="2622"/>
      <c r="AOZ84" s="2737"/>
      <c r="APA84" s="2622"/>
      <c r="APT84" s="2737"/>
      <c r="APU84" s="2622"/>
      <c r="ASJ84" s="2737"/>
      <c r="ASK84" s="4124"/>
      <c r="AST84" s="5162"/>
      <c r="ATS84" s="2737"/>
      <c r="ATT84" s="2622"/>
      <c r="AUS84" s="2737"/>
      <c r="AUT84" s="2622"/>
      <c r="AUU84" s="2617"/>
      <c r="AUV84" s="2617"/>
      <c r="AUW84" s="2617"/>
      <c r="AUX84" s="2617"/>
      <c r="AUY84" s="2617"/>
      <c r="AUZ84" s="2617"/>
      <c r="AVA84" s="2617"/>
      <c r="AVB84" s="2617"/>
      <c r="AVC84" s="2617"/>
      <c r="AVD84" s="2617"/>
      <c r="AVE84" s="2617"/>
      <c r="AVF84" s="2617"/>
      <c r="AVG84" s="2617"/>
      <c r="AVH84" s="2617"/>
      <c r="AVI84" s="2617"/>
      <c r="AVJ84" s="2617"/>
      <c r="AVK84" s="2617"/>
      <c r="AVL84" s="2617"/>
      <c r="AVM84" s="2617"/>
      <c r="AVN84" s="2617"/>
      <c r="AVO84" s="2617"/>
      <c r="AVP84" s="2617"/>
      <c r="AVQ84" s="2617"/>
      <c r="AVR84" s="2617"/>
      <c r="AVS84" s="2617"/>
      <c r="AVT84" s="2617"/>
      <c r="AVU84" s="2617"/>
      <c r="AVV84" s="2617"/>
      <c r="AVW84" s="2617"/>
      <c r="AVX84" s="2617"/>
      <c r="AVY84" s="2617"/>
      <c r="AVZ84" s="2617"/>
      <c r="AWA84" s="2617"/>
      <c r="AWB84" s="2617"/>
      <c r="AWC84" s="2617"/>
      <c r="AWD84" s="2617"/>
      <c r="AWE84" s="2617"/>
      <c r="AWF84" s="2617"/>
      <c r="AWG84" s="2617"/>
      <c r="AWH84" s="2617"/>
      <c r="AWI84" s="2617"/>
      <c r="AWJ84" s="2617"/>
      <c r="AWK84" s="2617"/>
      <c r="AWL84" s="2617"/>
      <c r="AWM84" s="2617"/>
      <c r="AWN84" s="2617"/>
      <c r="AWO84" s="2617"/>
      <c r="AWP84" s="2617"/>
      <c r="AWQ84" s="2617"/>
      <c r="AWR84" s="2617"/>
      <c r="AWS84" s="2617"/>
      <c r="AWT84" s="2617"/>
      <c r="AWU84" s="2617"/>
      <c r="AWV84" s="2617"/>
      <c r="AWW84" s="2617"/>
      <c r="AWX84" s="2617"/>
      <c r="AWY84" s="2617"/>
      <c r="AWZ84" s="2617"/>
      <c r="AXA84" s="2617"/>
      <c r="AXB84" s="2617"/>
      <c r="AXC84" s="2617"/>
      <c r="AXD84" s="2617"/>
      <c r="AXE84" s="2617"/>
      <c r="AXF84" s="2617"/>
      <c r="AXG84" s="2617"/>
      <c r="AXH84" s="2617"/>
      <c r="AXI84" s="2617"/>
      <c r="AXJ84" s="2617"/>
      <c r="AXK84" s="2617"/>
      <c r="BCJ84" s="2617"/>
      <c r="BDJ84" s="2622"/>
      <c r="BDL84" s="2617"/>
      <c r="BDX84" s="2622"/>
      <c r="BDZ84" s="2617"/>
      <c r="BEF84" s="2622"/>
      <c r="BEH84" s="2617"/>
      <c r="BEI84" s="2622"/>
      <c r="BFF84" s="3398"/>
    </row>
    <row r="85" spans="34:1022 1075:1514" x14ac:dyDescent="0.2">
      <c r="AL85" s="2617"/>
      <c r="AU85" s="2629"/>
      <c r="AV85" s="2630"/>
      <c r="AW85" s="237"/>
      <c r="AX85" s="238"/>
      <c r="AY85" s="5574"/>
      <c r="AZ85" s="5576"/>
      <c r="BA85" s="5576"/>
      <c r="BB85" s="5576"/>
      <c r="BC85" s="5576"/>
      <c r="BD85" s="5576"/>
      <c r="BE85" s="5576"/>
      <c r="BF85" s="5577"/>
      <c r="BG85" s="1811"/>
      <c r="BH85" s="1811"/>
      <c r="BI85" s="1811"/>
      <c r="BJ85" s="1811"/>
      <c r="BK85" s="1811"/>
      <c r="BL85" s="1811"/>
      <c r="CG85" s="181"/>
      <c r="CH85" s="181"/>
      <c r="CI85" s="181"/>
      <c r="CJ85" s="181"/>
      <c r="CK85" s="181"/>
      <c r="CL85" s="181"/>
      <c r="LR85" s="2617"/>
      <c r="AEY85" s="2622"/>
      <c r="AFG85" s="2737"/>
      <c r="AFH85" s="2622"/>
      <c r="AFP85" s="2737"/>
      <c r="AFQ85" s="2622"/>
      <c r="AFZ85" s="2737"/>
      <c r="AGA85" s="2622"/>
      <c r="AGI85" s="2737"/>
      <c r="AGJ85" s="2622"/>
      <c r="AGR85" s="2737"/>
      <c r="AGS85" s="2622"/>
      <c r="AHB85" s="2737"/>
      <c r="AHC85" s="2622"/>
      <c r="AHJ85" s="2737"/>
      <c r="AHK85" s="2622"/>
      <c r="AHV85" s="2737"/>
      <c r="AHW85" s="2622"/>
      <c r="AJP85" s="2737"/>
      <c r="AJQ85" s="2622"/>
      <c r="AKD85" s="2737"/>
      <c r="AKE85" s="2622"/>
      <c r="AKM85" s="2622"/>
      <c r="AKU85" s="2622"/>
      <c r="ALM85" s="2737"/>
      <c r="ALN85" s="2622"/>
      <c r="ALW85" s="2737"/>
      <c r="ALY85" s="2622"/>
      <c r="AMF85" s="2737"/>
      <c r="AMH85" s="2622"/>
      <c r="AOI85" s="2737"/>
      <c r="AOJ85" s="2622"/>
      <c r="AOZ85" s="2737"/>
      <c r="APA85" s="2622"/>
      <c r="APT85" s="2737"/>
      <c r="APU85" s="2622"/>
      <c r="ASJ85" s="2737"/>
      <c r="ASK85" s="4124"/>
      <c r="AST85" s="5162"/>
      <c r="ATS85" s="2737"/>
      <c r="ATT85" s="2622"/>
      <c r="AUS85" s="2737"/>
      <c r="AUT85" s="2622"/>
      <c r="AUU85" s="2617"/>
      <c r="AUV85" s="2617"/>
      <c r="AUW85" s="2617"/>
      <c r="AUX85" s="2617"/>
      <c r="AUY85" s="2617"/>
      <c r="AUZ85" s="2617"/>
      <c r="AVA85" s="2617"/>
      <c r="AVB85" s="2617"/>
      <c r="AVC85" s="2617"/>
      <c r="AVD85" s="2617"/>
      <c r="AVE85" s="2617"/>
      <c r="AVF85" s="2617"/>
      <c r="AVG85" s="2617"/>
      <c r="AVH85" s="2617"/>
      <c r="AVI85" s="2617"/>
      <c r="AVJ85" s="2617"/>
      <c r="AVK85" s="2617"/>
      <c r="AVL85" s="2617"/>
      <c r="AVM85" s="2617"/>
      <c r="AVN85" s="2617"/>
      <c r="AVO85" s="2617"/>
      <c r="AVP85" s="2617"/>
      <c r="AVQ85" s="2617"/>
      <c r="AVR85" s="2617"/>
      <c r="AVS85" s="2617"/>
      <c r="AVT85" s="2617"/>
      <c r="AVU85" s="2617"/>
      <c r="AVV85" s="2617"/>
      <c r="AVW85" s="2617"/>
      <c r="AVX85" s="2617"/>
      <c r="AVY85" s="2617"/>
      <c r="AVZ85" s="2617"/>
      <c r="AWA85" s="2617"/>
      <c r="AWB85" s="2617"/>
      <c r="AWC85" s="2617"/>
      <c r="AWD85" s="2617"/>
      <c r="AWE85" s="2617"/>
      <c r="AWF85" s="2617"/>
      <c r="AWG85" s="2617"/>
      <c r="AWH85" s="2617"/>
      <c r="AWI85" s="2617"/>
      <c r="AWJ85" s="2617"/>
      <c r="AWK85" s="2617"/>
      <c r="AWL85" s="2617"/>
      <c r="AWM85" s="2617"/>
      <c r="AWN85" s="2617"/>
      <c r="AWO85" s="2617"/>
      <c r="AWP85" s="2617"/>
      <c r="AWQ85" s="2617"/>
      <c r="AWR85" s="2617"/>
      <c r="AWS85" s="2617"/>
      <c r="AWT85" s="2617"/>
      <c r="AWU85" s="2617"/>
      <c r="AWV85" s="2617"/>
      <c r="AWW85" s="2617"/>
      <c r="AWX85" s="2617"/>
      <c r="AWY85" s="2617"/>
      <c r="AWZ85" s="2617"/>
      <c r="AXA85" s="2617"/>
      <c r="AXB85" s="2617"/>
      <c r="AXC85" s="2617"/>
      <c r="AXD85" s="2617"/>
      <c r="AXE85" s="2617"/>
      <c r="AXF85" s="2617"/>
      <c r="AXG85" s="2617"/>
      <c r="AXH85" s="2617"/>
      <c r="AXI85" s="2617"/>
      <c r="AXJ85" s="2617"/>
      <c r="AXK85" s="2617"/>
      <c r="BCJ85" s="2617"/>
      <c r="BDJ85" s="2622"/>
      <c r="BDL85" s="2617"/>
      <c r="BDX85" s="2622"/>
      <c r="BDZ85" s="2617"/>
      <c r="BEF85" s="2622"/>
      <c r="BEH85" s="2617"/>
      <c r="BEI85" s="2622"/>
      <c r="BFF85" s="3398"/>
    </row>
    <row r="86" spans="34:1022 1075:1514" ht="30.75" x14ac:dyDescent="0.2">
      <c r="AH86" s="2970" t="s">
        <v>980</v>
      </c>
      <c r="AL86" s="2617"/>
      <c r="AU86" s="2632" t="str">
        <f>_Calcs!$QO$135</f>
        <v>Stuff 1-1</v>
      </c>
      <c r="AV86" s="2630">
        <f>IF(_Calcs!$BC$38=1,0,IF(_Calcs!$BC$38=2,1,0))</f>
        <v>1</v>
      </c>
      <c r="AW86" s="237">
        <f>IF(_Calcs!$BC$34&gt;0,1,0)</f>
        <v>1</v>
      </c>
      <c r="AX86" s="238">
        <f>IF($AI$31=2,INDEX(outputs_position[11],MATCH(_Calcs!$BC$35,outputs_position[lopstuff],0)),0)</f>
        <v>1</v>
      </c>
      <c r="AY86" s="5574">
        <f>IFERROR(INDEX(inputs_klasse[A],MATCH($AX86,inputs_klasse[Position],0)),"")</f>
        <v>1000</v>
      </c>
      <c r="AZ86" s="5574">
        <f>IFERROR(INDEX(inputs_klasse[B],MATCH($AX86,inputs_klasse[Position],0)),"")</f>
        <v>500</v>
      </c>
      <c r="BA86" s="5574">
        <f>IFERROR(INDEX(inputs_klasse[C],MATCH($AX86,inputs_klasse[Position],0)),"")</f>
        <v>0</v>
      </c>
      <c r="BB86" s="5574">
        <f>IFERROR(INDEX(inputs_klasse[D],MATCH($AX86,inputs_klasse[Position],0)),"")</f>
        <v>0</v>
      </c>
      <c r="BC86" s="5574">
        <f>IFERROR(INDEX(inputs_klasse[E1],MATCH($AX86,inputs_klasse[Position],0)),"")</f>
        <v>0</v>
      </c>
      <c r="BD86" s="5574">
        <f>IFERROR(INDEX(inputs_klasse[E2],MATCH($AX86,inputs_klasse[Position],0)),"")</f>
        <v>0</v>
      </c>
      <c r="BE86" s="5574">
        <f>IFERROR(INDEX(inputs_klasse[F],MATCH($AX86,inputs_klasse[Position],0)),"")</f>
        <v>0</v>
      </c>
      <c r="BF86" s="5575">
        <f>IFERROR(INDEX(inputs_klasse[G],MATCH($AX86,inputs_klasse[Position],0)),"")</f>
        <v>900</v>
      </c>
      <c r="BG86" s="1811">
        <f>IF(position_klasse[[#This Row],[Position]]&gt;0,_Calcs!BC49)</f>
        <v>0</v>
      </c>
      <c r="BH86" s="1811">
        <f>SUM(position_klasse[[#This Row],[lengde_A]:[lengde_G]])</f>
        <v>2400</v>
      </c>
      <c r="BI86" s="1811">
        <f>position_klasse[[#This Row],[actual_lengde]]-position_klasse[[#This Row],[klasse_total_length]]</f>
        <v>-2400</v>
      </c>
      <c r="BJ86" s="1811">
        <f>INDEX(checks_klasse[total_klasse],MATCH(position_klasse[[#This Row],[Position]],checks_klasse[Position],0))</f>
        <v>0</v>
      </c>
      <c r="BK86" s="1811">
        <f>IF(AND(position_klasse[[#This Row],[input_blank_check]]=0,INDEX(outputs_checks[Normal salve volum],MATCH(position_klasse[[#This Row],[Position]],outputs_checks[Position],0))=1,position_klasse[[#This Row],[remain_length]]=0,position_klasse[[#This Row],[Position]]&gt;0),1,0)</f>
        <v>0</v>
      </c>
      <c r="BL86" s="1811"/>
      <c r="CG86" s="181"/>
      <c r="CH86" s="181"/>
      <c r="CI86" s="181"/>
      <c r="CJ86" s="181"/>
      <c r="CK86" s="181"/>
      <c r="CL86" s="181"/>
      <c r="LR86" s="2617"/>
      <c r="AEY86" s="2622"/>
      <c r="AFG86" s="2737"/>
      <c r="AFH86" s="2622"/>
      <c r="AFP86" s="2737"/>
      <c r="AFQ86" s="2622"/>
      <c r="AFZ86" s="2737"/>
      <c r="AGA86" s="2622"/>
      <c r="AGI86" s="2737"/>
      <c r="AGJ86" s="2622"/>
      <c r="AGR86" s="2737"/>
      <c r="AGS86" s="2622"/>
      <c r="AHB86" s="2737"/>
      <c r="AHC86" s="2622"/>
      <c r="AHJ86" s="2737"/>
      <c r="AHK86" s="2622"/>
      <c r="AHV86" s="2737"/>
      <c r="AHW86" s="2622"/>
      <c r="AJP86" s="2737"/>
      <c r="AJQ86" s="2622"/>
      <c r="AKD86" s="2737"/>
      <c r="AKE86" s="2622"/>
      <c r="AKM86" s="2622"/>
      <c r="AKU86" s="2622"/>
      <c r="ALM86" s="2737"/>
      <c r="ALN86" s="2622"/>
      <c r="ALW86" s="2737"/>
      <c r="ALY86" s="2622"/>
      <c r="AMF86" s="2737"/>
      <c r="AMH86" s="2622"/>
      <c r="AOI86" s="2737"/>
      <c r="AOJ86" s="2622"/>
      <c r="AOZ86" s="2737"/>
      <c r="APA86" s="2622"/>
      <c r="APT86" s="2737"/>
      <c r="APU86" s="2622"/>
      <c r="ASJ86" s="2737"/>
      <c r="ASK86" s="4124"/>
      <c r="AST86" s="5162"/>
      <c r="ATS86" s="2737"/>
      <c r="ATT86" s="2622"/>
      <c r="AUS86" s="2737"/>
      <c r="AUT86" s="2622"/>
      <c r="AUU86" s="2617"/>
      <c r="AUV86" s="2627" t="s">
        <v>106</v>
      </c>
      <c r="AUW86" s="2627"/>
      <c r="AUX86" s="2617"/>
      <c r="AUY86" s="2617"/>
      <c r="AUZ86" s="2617"/>
      <c r="AVA86" s="2617"/>
      <c r="AVB86" s="2617"/>
      <c r="AVC86" s="2617"/>
      <c r="AVD86" s="2617"/>
      <c r="AVE86" s="2617"/>
      <c r="AVF86" s="2617"/>
      <c r="AVG86" s="2617"/>
      <c r="AVH86" s="2617"/>
      <c r="AVI86" s="2617"/>
      <c r="AVJ86" s="2617"/>
      <c r="AVK86" s="2617"/>
      <c r="AVL86" s="2617"/>
      <c r="AVM86" s="2617"/>
      <c r="AVN86" s="2617"/>
      <c r="AVO86" s="2617"/>
      <c r="AVP86" s="2617"/>
      <c r="AVQ86" s="2617"/>
      <c r="AVR86" s="2617"/>
      <c r="AVS86" s="2617"/>
      <c r="AVT86" s="2617"/>
      <c r="AVU86" s="2617"/>
      <c r="AVV86" s="2617"/>
      <c r="AVW86" s="2617"/>
      <c r="AVX86" s="2617"/>
      <c r="AVY86" s="2617"/>
      <c r="AVZ86" s="2617"/>
      <c r="AWA86" s="2617"/>
      <c r="AWB86" s="2617"/>
      <c r="AWC86" s="2617"/>
      <c r="AWD86" s="2617"/>
      <c r="AWE86" s="2617"/>
      <c r="AWF86" s="2617"/>
      <c r="AWG86" s="2617"/>
      <c r="AWH86" s="2617"/>
      <c r="AWI86" s="2617"/>
      <c r="AWJ86" s="2617"/>
      <c r="AWK86" s="2617"/>
      <c r="AWL86" s="2617"/>
      <c r="AWM86" s="2617"/>
      <c r="AWN86" s="2617"/>
      <c r="AWO86" s="2617"/>
      <c r="AWP86" s="2617"/>
      <c r="AWQ86" s="2617"/>
      <c r="AWR86" s="2617"/>
      <c r="AWS86" s="2617"/>
      <c r="AWT86" s="2617"/>
      <c r="AWU86" s="2617"/>
      <c r="AWV86" s="2617"/>
      <c r="AWW86" s="2617"/>
      <c r="AWX86" s="2617"/>
      <c r="AWY86" s="2617"/>
      <c r="AWZ86" s="2617"/>
      <c r="AXA86" s="2617"/>
      <c r="AXB86" s="2617"/>
      <c r="AXC86" s="2617"/>
      <c r="AXD86" s="2617"/>
      <c r="AXE86" s="2617"/>
      <c r="AXF86" s="2617"/>
      <c r="AXG86" s="2617"/>
      <c r="AXH86" s="2617"/>
      <c r="AXI86" s="2617"/>
      <c r="AXJ86" s="2617"/>
      <c r="AXK86" s="2617"/>
      <c r="BCG86" s="2625"/>
      <c r="BCH86" s="2625"/>
      <c r="BCI86" s="2625"/>
      <c r="BCJ86" s="2625"/>
      <c r="BCK86" s="2626"/>
      <c r="BCL86" s="2625"/>
      <c r="BCM86" s="2625"/>
      <c r="BCN86" s="2625"/>
      <c r="BCO86" s="2625"/>
      <c r="BCP86" s="2625"/>
      <c r="BCQ86" s="2625"/>
      <c r="BCR86" s="2625"/>
      <c r="BCS86" s="2625"/>
      <c r="BCT86" s="2625"/>
      <c r="BCU86" s="2625"/>
      <c r="BCV86" s="2625"/>
      <c r="BCW86" s="2625"/>
      <c r="BCX86" s="2625"/>
      <c r="BCY86" s="2625"/>
      <c r="BCZ86" s="2625"/>
      <c r="BDA86" s="2625"/>
      <c r="BDB86" s="2625"/>
      <c r="BDC86" s="2625"/>
      <c r="BDD86" s="2625"/>
      <c r="BDE86" s="2625"/>
      <c r="BDF86" s="2625"/>
      <c r="BDG86" s="2625"/>
      <c r="BDH86" s="2625"/>
      <c r="BDI86" s="2625"/>
      <c r="BDJ86" s="2622"/>
      <c r="BDL86" s="2617"/>
      <c r="BDX86" s="2622"/>
      <c r="BDZ86" s="2617"/>
      <c r="BEF86" s="2622"/>
      <c r="BEH86" s="2617"/>
      <c r="BEI86" s="2622"/>
      <c r="BFF86" s="3398"/>
    </row>
    <row r="87" spans="34:1022 1075:1514" x14ac:dyDescent="0.2">
      <c r="AL87" s="2617"/>
      <c r="AQ87" s="2626"/>
      <c r="AU87" s="2632" t="str">
        <f>_Calcs!$QP$135</f>
        <v>Stuff 1-2</v>
      </c>
      <c r="AV87" s="2630">
        <f>IF(_Calcs!$BC$38=1,0,IF(_Calcs!$BC$38=2,2,0))</f>
        <v>2</v>
      </c>
      <c r="AW87" s="237">
        <f>IF(_Calcs!$BC$34&gt;1,1,0)</f>
        <v>0</v>
      </c>
      <c r="AX87" s="238">
        <f>IF($AI$31=2,INDEX(outputs_position[12],MATCH(_Calcs!$BC$35,outputs_position[lopstuff],0)),0)</f>
        <v>0</v>
      </c>
      <c r="AY87" s="5574" t="str">
        <f>IFERROR(INDEX(inputs_klasse[A],MATCH($AX87,inputs_klasse[Position],0)),"")</f>
        <v/>
      </c>
      <c r="AZ87" s="5574" t="str">
        <f>IFERROR(INDEX(inputs_klasse[B],MATCH($AX87,inputs_klasse[Position],0)),"")</f>
        <v/>
      </c>
      <c r="BA87" s="5574" t="str">
        <f>IFERROR(INDEX(inputs_klasse[C],MATCH($AX87,inputs_klasse[Position],0)),"")</f>
        <v/>
      </c>
      <c r="BB87" s="5574" t="str">
        <f>IFERROR(INDEX(inputs_klasse[D],MATCH($AX87,inputs_klasse[Position],0)),"")</f>
        <v/>
      </c>
      <c r="BC87" s="5574" t="str">
        <f>IFERROR(INDEX(inputs_klasse[E1],MATCH($AX87,inputs_klasse[Position],0)),"")</f>
        <v/>
      </c>
      <c r="BD87" s="5574" t="str">
        <f>IFERROR(INDEX(inputs_klasse[E2],MATCH($AX87,inputs_klasse[Position],0)),"")</f>
        <v/>
      </c>
      <c r="BE87" s="5574" t="str">
        <f>IFERROR(INDEX(inputs_klasse[F],MATCH($AX87,inputs_klasse[Position],0)),"")</f>
        <v/>
      </c>
      <c r="BF87" s="5575" t="str">
        <f>IFERROR(INDEX(inputs_klasse[G],MATCH($AX87,inputs_klasse[Position],0)),"")</f>
        <v/>
      </c>
      <c r="BG87" s="1811" t="b">
        <f>IF(position_klasse[[#This Row],[Position]]&gt;0,_Calcs!BC50)</f>
        <v>0</v>
      </c>
      <c r="BH87" s="1811">
        <f>SUM(position_klasse[[#This Row],[lengde_A]:[lengde_G]])</f>
        <v>0</v>
      </c>
      <c r="BI87" s="1811">
        <f>position_klasse[[#This Row],[actual_lengde]]-position_klasse[[#This Row],[klasse_total_length]]</f>
        <v>0</v>
      </c>
      <c r="BJ87" s="1811" t="e">
        <f>INDEX(checks_klasse[total_klasse],MATCH(position_klasse[[#This Row],[Position]],checks_klasse[Position],0))</f>
        <v>#N/A</v>
      </c>
      <c r="BK87" s="1811" t="e">
        <f>IF(AND(position_klasse[[#This Row],[input_blank_check]]=0,INDEX(outputs_checks[Normal salve volum],MATCH(position_klasse[[#This Row],[Position]],outputs_checks[Position],0))=1,position_klasse[[#This Row],[remain_length]]=0,position_klasse[[#This Row],[Position]]&gt;0),1,0)</f>
        <v>#N/A</v>
      </c>
      <c r="BL87" s="1811"/>
      <c r="CG87" s="181"/>
      <c r="CH87" s="181"/>
      <c r="CI87" s="181"/>
      <c r="CJ87" s="181"/>
      <c r="CK87" s="181"/>
      <c r="CL87" s="181"/>
      <c r="LR87" s="2617"/>
      <c r="AEY87" s="2622"/>
      <c r="AFG87" s="2737"/>
      <c r="AFH87" s="2622"/>
      <c r="AFP87" s="2737"/>
      <c r="AFQ87" s="2622"/>
      <c r="AFZ87" s="2737"/>
      <c r="AGA87" s="2622"/>
      <c r="AGI87" s="2737"/>
      <c r="AGJ87" s="2622"/>
      <c r="AGR87" s="2737"/>
      <c r="AGS87" s="2622"/>
      <c r="AHB87" s="2737"/>
      <c r="AHC87" s="2622"/>
      <c r="AHJ87" s="2737"/>
      <c r="AHK87" s="2622"/>
      <c r="AHV87" s="2737"/>
      <c r="AHW87" s="2622"/>
      <c r="AJP87" s="2737"/>
      <c r="AJQ87" s="2622"/>
      <c r="AKD87" s="2737"/>
      <c r="AKE87" s="2622"/>
      <c r="AKM87" s="2622"/>
      <c r="AKU87" s="2622"/>
      <c r="ALM87" s="2737"/>
      <c r="ALN87" s="2622"/>
      <c r="ALW87" s="2737"/>
      <c r="ALY87" s="2622"/>
      <c r="AMF87" s="2737"/>
      <c r="AMH87" s="2622"/>
      <c r="AOI87" s="2737"/>
      <c r="AOJ87" s="2622"/>
      <c r="AOZ87" s="2737"/>
      <c r="APA87" s="2622"/>
      <c r="APT87" s="2737"/>
      <c r="APU87" s="2622"/>
      <c r="ASJ87" s="2737"/>
      <c r="ASK87" s="4124"/>
      <c r="AST87" s="5162"/>
      <c r="ATS87" s="2737"/>
      <c r="ATT87" s="2622"/>
      <c r="AUS87" s="2737"/>
      <c r="AUT87" s="2622"/>
      <c r="AUU87" s="2617"/>
      <c r="AUV87" s="2617"/>
      <c r="AUW87" s="2617"/>
      <c r="AUX87" s="181"/>
      <c r="AUY87" s="181"/>
      <c r="AUZ87" s="2617"/>
      <c r="AVA87" s="2617"/>
      <c r="AVB87" s="2617"/>
      <c r="AVC87" s="2617"/>
      <c r="AVD87" s="2617"/>
      <c r="AVE87" s="2617"/>
      <c r="AVF87" s="2617"/>
      <c r="AVG87" s="2617"/>
      <c r="AVH87" s="2617"/>
      <c r="AVI87" s="2617"/>
      <c r="AVJ87" s="2617"/>
      <c r="AVK87" s="2617"/>
      <c r="AVL87" s="2617"/>
      <c r="AVM87" s="2617"/>
      <c r="AVN87" s="2617"/>
      <c r="AVO87" s="2617"/>
      <c r="AVP87" s="2617"/>
      <c r="AVQ87" s="2617"/>
      <c r="AVR87" s="2617"/>
      <c r="AVS87" s="2617"/>
      <c r="AVT87" s="2617"/>
      <c r="AVU87" s="2617"/>
      <c r="AVV87" s="2617"/>
      <c r="AVW87" s="2617"/>
      <c r="AVX87" s="2617"/>
      <c r="AVY87" s="2617"/>
      <c r="AVZ87" s="2617"/>
      <c r="AWA87" s="2617"/>
      <c r="AWB87" s="2617"/>
      <c r="AWC87" s="2617"/>
      <c r="AWD87" s="2617"/>
      <c r="AWE87" s="2617"/>
      <c r="AWF87" s="2617"/>
      <c r="AWG87" s="2617"/>
      <c r="AWH87" s="2617"/>
      <c r="AWI87" s="2617"/>
      <c r="AWJ87" s="2617"/>
      <c r="AWK87" s="2617"/>
      <c r="AWL87" s="2617"/>
      <c r="AWM87" s="2617"/>
      <c r="AWN87" s="2617"/>
      <c r="AWO87" s="2617"/>
      <c r="AWP87" s="2617"/>
      <c r="AWQ87" s="2617"/>
      <c r="AWR87" s="2617"/>
      <c r="AWS87" s="2617"/>
      <c r="AWT87" s="2617"/>
      <c r="AWU87" s="2617"/>
      <c r="AWV87" s="2617"/>
      <c r="AWW87" s="2617"/>
      <c r="AWX87" s="2617"/>
      <c r="AWY87" s="2617"/>
      <c r="AWZ87" s="2617"/>
      <c r="AXA87" s="2617"/>
      <c r="AXB87" s="2617"/>
      <c r="AXC87" s="2617"/>
      <c r="AXD87" s="2617"/>
      <c r="AXE87" s="2617"/>
      <c r="AXF87" s="2617"/>
      <c r="AXG87" s="2617"/>
      <c r="AXH87" s="2617"/>
      <c r="AXI87" s="2617"/>
      <c r="AXJ87" s="2617"/>
      <c r="AXK87" s="2617"/>
      <c r="BCJ87" s="2617"/>
      <c r="BDJ87" s="2622"/>
      <c r="BDL87" s="2617"/>
      <c r="BDX87" s="2622"/>
      <c r="BDZ87" s="2617"/>
      <c r="BEF87" s="2622"/>
      <c r="BEH87" s="2617"/>
      <c r="BEI87" s="2622"/>
      <c r="BFF87" s="3398"/>
    </row>
    <row r="88" spans="34:1022 1075:1514" x14ac:dyDescent="0.2">
      <c r="AH88" s="5581" t="s">
        <v>979</v>
      </c>
      <c r="AI88" s="5581" t="s">
        <v>2535</v>
      </c>
      <c r="AJ88" s="5581" t="s">
        <v>2536</v>
      </c>
      <c r="AL88" s="2617"/>
      <c r="AU88" s="2632" t="str">
        <f>_Calcs!$QQ$135</f>
        <v>Stuff 1-3</v>
      </c>
      <c r="AV88" s="2630">
        <f>IF(_Calcs!$BC$38=1,0,IF(_Calcs!$BC$38=2,3,0))</f>
        <v>3</v>
      </c>
      <c r="AW88" s="237">
        <f>IF(_Calcs!$BC$34&gt;2,1,0)</f>
        <v>0</v>
      </c>
      <c r="AX88" s="238">
        <f>IF($AI$31=2,INDEX(outputs_position[13],MATCH(_Calcs!$BC$35,outputs_position[lopstuff],0)),0)</f>
        <v>0</v>
      </c>
      <c r="AY88" s="5574" t="str">
        <f>IFERROR(INDEX(inputs_klasse[A],MATCH($AX88,inputs_klasse[Position],0)),"")</f>
        <v/>
      </c>
      <c r="AZ88" s="5574" t="str">
        <f>IFERROR(INDEX(inputs_klasse[B],MATCH($AX88,inputs_klasse[Position],0)),"")</f>
        <v/>
      </c>
      <c r="BA88" s="5574" t="str">
        <f>IFERROR(INDEX(inputs_klasse[C],MATCH($AX88,inputs_klasse[Position],0)),"")</f>
        <v/>
      </c>
      <c r="BB88" s="5574" t="str">
        <f>IFERROR(INDEX(inputs_klasse[D],MATCH($AX88,inputs_klasse[Position],0)),"")</f>
        <v/>
      </c>
      <c r="BC88" s="5574" t="str">
        <f>IFERROR(INDEX(inputs_klasse[E1],MATCH($AX88,inputs_klasse[Position],0)),"")</f>
        <v/>
      </c>
      <c r="BD88" s="5574" t="str">
        <f>IFERROR(INDEX(inputs_klasse[E2],MATCH($AX88,inputs_klasse[Position],0)),"")</f>
        <v/>
      </c>
      <c r="BE88" s="5574" t="str">
        <f>IFERROR(INDEX(inputs_klasse[F],MATCH($AX88,inputs_klasse[Position],0)),"")</f>
        <v/>
      </c>
      <c r="BF88" s="5575" t="str">
        <f>IFERROR(INDEX(inputs_klasse[G],MATCH($AX88,inputs_klasse[Position],0)),"")</f>
        <v/>
      </c>
      <c r="BG88" s="1811" t="b">
        <f>IF(position_klasse[[#This Row],[Position]]&gt;0,_Calcs!BC51)</f>
        <v>0</v>
      </c>
      <c r="BH88" s="1811">
        <f>SUM(position_klasse[[#This Row],[lengde_A]:[lengde_G]])</f>
        <v>0</v>
      </c>
      <c r="BI88" s="1811">
        <f>position_klasse[[#This Row],[actual_lengde]]-position_klasse[[#This Row],[klasse_total_length]]</f>
        <v>0</v>
      </c>
      <c r="BJ88" s="1811" t="e">
        <f>INDEX(checks_klasse[total_klasse],MATCH(position_klasse[[#This Row],[Position]],checks_klasse[Position],0))</f>
        <v>#N/A</v>
      </c>
      <c r="BK88" s="1811" t="e">
        <f>IF(AND(position_klasse[[#This Row],[input_blank_check]]=0,INDEX(outputs_checks[Normal salve volum],MATCH(position_klasse[[#This Row],[Position]],outputs_checks[Position],0))=1,position_klasse[[#This Row],[remain_length]]=0,position_klasse[[#This Row],[Position]]&gt;0),1,0)</f>
        <v>#N/A</v>
      </c>
      <c r="BL88" s="1811"/>
      <c r="CG88" s="181"/>
      <c r="CH88" s="181"/>
      <c r="CI88" s="181"/>
      <c r="CJ88" s="181"/>
      <c r="CK88" s="181"/>
      <c r="CL88" s="181"/>
      <c r="LR88" s="2617"/>
      <c r="AEY88" s="2622"/>
      <c r="AFG88" s="2737"/>
      <c r="AFH88" s="2622"/>
      <c r="AFP88" s="2737"/>
      <c r="AFQ88" s="2622"/>
      <c r="AFZ88" s="2737"/>
      <c r="AGA88" s="2622"/>
      <c r="AGI88" s="2737"/>
      <c r="AGJ88" s="2622"/>
      <c r="AGR88" s="2737"/>
      <c r="AGS88" s="2622"/>
      <c r="AHB88" s="2737"/>
      <c r="AHC88" s="2622"/>
      <c r="AHJ88" s="2737"/>
      <c r="AHK88" s="2622"/>
      <c r="AHV88" s="2737"/>
      <c r="AHW88" s="2622"/>
      <c r="AJP88" s="2737"/>
      <c r="AJQ88" s="2622"/>
      <c r="AKD88" s="2737"/>
      <c r="AKE88" s="2622"/>
      <c r="AKM88" s="2622"/>
      <c r="AKU88" s="2622"/>
      <c r="ALM88" s="2737"/>
      <c r="ALN88" s="2622"/>
      <c r="ALW88" s="2737"/>
      <c r="ALY88" s="2622"/>
      <c r="AMF88" s="2737"/>
      <c r="AMH88" s="2622"/>
      <c r="AOI88" s="2737"/>
      <c r="AOJ88" s="2622"/>
      <c r="AOZ88" s="2737"/>
      <c r="APA88" s="2622"/>
      <c r="APT88" s="2737"/>
      <c r="APU88" s="2622"/>
      <c r="ASJ88" s="2737"/>
      <c r="ASK88" s="4124"/>
      <c r="AST88" s="5162"/>
      <c r="ATS88" s="2737"/>
      <c r="ATT88" s="2622"/>
      <c r="AUS88" s="2737"/>
      <c r="AUT88" s="2622"/>
      <c r="AUU88" s="2617"/>
      <c r="AUV88" s="2617"/>
      <c r="AUW88" s="2617"/>
      <c r="AUX88" s="181"/>
      <c r="AUY88" s="181"/>
      <c r="AUZ88" s="2617"/>
      <c r="AVA88" s="2617"/>
      <c r="AVB88" s="2617"/>
      <c r="AVC88" s="2617"/>
      <c r="AVD88" s="2617"/>
      <c r="AVE88" s="2617"/>
      <c r="AVF88" s="2617"/>
      <c r="AVG88" s="2617"/>
      <c r="AVH88" s="2617"/>
      <c r="AVI88" s="2617"/>
      <c r="AVJ88" s="2617"/>
      <c r="AVK88" s="2617"/>
      <c r="AVL88" s="2617"/>
      <c r="AVM88" s="2617"/>
      <c r="AVN88" s="2617"/>
      <c r="AVO88" s="2617"/>
      <c r="AVP88" s="2617"/>
      <c r="AVQ88" s="2617"/>
      <c r="AVR88" s="2617"/>
      <c r="AVS88" s="2617"/>
      <c r="AVT88" s="2617"/>
      <c r="AVU88" s="2617"/>
      <c r="AVV88" s="2617"/>
      <c r="AVW88" s="2617"/>
      <c r="AVX88" s="2617"/>
      <c r="AVY88" s="2617"/>
      <c r="AVZ88" s="2617"/>
      <c r="AWA88" s="2617"/>
      <c r="AWB88" s="2617"/>
      <c r="AWC88" s="2617"/>
      <c r="AWD88" s="2617"/>
      <c r="AWE88" s="2617"/>
      <c r="AWF88" s="2617"/>
      <c r="AWG88" s="2617"/>
      <c r="AWH88" s="2617"/>
      <c r="AWI88" s="2617"/>
      <c r="AWJ88" s="2617"/>
      <c r="AWK88" s="2617"/>
      <c r="AWL88" s="2617"/>
      <c r="AWM88" s="2617"/>
      <c r="AWN88" s="2617"/>
      <c r="AWO88" s="2617"/>
      <c r="AWP88" s="2617"/>
      <c r="AWQ88" s="2617"/>
      <c r="AWR88" s="2617"/>
      <c r="AWS88" s="2617"/>
      <c r="AWT88" s="2617"/>
      <c r="AWU88" s="2617"/>
      <c r="AWV88" s="2617"/>
      <c r="AWW88" s="2617"/>
      <c r="AWX88" s="2617"/>
      <c r="AWY88" s="2617"/>
      <c r="AWZ88" s="2617"/>
      <c r="AXA88" s="2617"/>
      <c r="AXB88" s="2617"/>
      <c r="AXC88" s="2617"/>
      <c r="AXD88" s="2617"/>
      <c r="AXE88" s="2617"/>
      <c r="AXF88" s="2617"/>
      <c r="AXG88" s="2617"/>
      <c r="AXH88" s="2617"/>
      <c r="AXI88" s="2617"/>
      <c r="AXJ88" s="2617"/>
      <c r="AXK88" s="2617"/>
      <c r="BCJ88" s="2617"/>
      <c r="BDJ88" s="2622"/>
      <c r="BDL88" s="2617"/>
      <c r="BDX88" s="2622"/>
      <c r="BDZ88" s="2617"/>
      <c r="BEF88" s="2622"/>
      <c r="BEH88" s="2617"/>
      <c r="BEI88" s="2622"/>
      <c r="BFF88" s="3398"/>
    </row>
    <row r="89" spans="34:1022 1075:1514" x14ac:dyDescent="0.2">
      <c r="AH89" s="185" t="s">
        <v>893</v>
      </c>
      <c r="AI89" s="185" t="s">
        <v>89</v>
      </c>
      <c r="AJ89" s="185" t="s">
        <v>90</v>
      </c>
      <c r="AL89" s="2617"/>
      <c r="AU89" s="2632" t="str">
        <f>_Calcs!$QR$135</f>
        <v>Stuff 1-4</v>
      </c>
      <c r="AV89" s="2630">
        <f>IF(_Calcs!$BC$38=1,0,IF(_Calcs!$BC$38=2,4,0))</f>
        <v>4</v>
      </c>
      <c r="AW89" s="237">
        <f>IF(_Calcs!$BC$34&gt;3,1,0)</f>
        <v>0</v>
      </c>
      <c r="AX89" s="238">
        <f>IF($AI$31=2,INDEX(outputs_position[14],MATCH(_Calcs!$BC$35,outputs_position[lopstuff],0)),0)</f>
        <v>0</v>
      </c>
      <c r="AY89" s="5574" t="str">
        <f>IFERROR(INDEX(inputs_klasse[A],MATCH($AX89,inputs_klasse[Position],0)),"")</f>
        <v/>
      </c>
      <c r="AZ89" s="5574" t="str">
        <f>IFERROR(INDEX(inputs_klasse[B],MATCH($AX89,inputs_klasse[Position],0)),"")</f>
        <v/>
      </c>
      <c r="BA89" s="5574" t="str">
        <f>IFERROR(INDEX(inputs_klasse[C],MATCH($AX89,inputs_klasse[Position],0)),"")</f>
        <v/>
      </c>
      <c r="BB89" s="5574" t="str">
        <f>IFERROR(INDEX(inputs_klasse[D],MATCH($AX89,inputs_klasse[Position],0)),"")</f>
        <v/>
      </c>
      <c r="BC89" s="5574" t="str">
        <f>IFERROR(INDEX(inputs_klasse[E1],MATCH($AX89,inputs_klasse[Position],0)),"")</f>
        <v/>
      </c>
      <c r="BD89" s="5574" t="str">
        <f>IFERROR(INDEX(inputs_klasse[E2],MATCH($AX89,inputs_klasse[Position],0)),"")</f>
        <v/>
      </c>
      <c r="BE89" s="5574" t="str">
        <f>IFERROR(INDEX(inputs_klasse[F],MATCH($AX89,inputs_klasse[Position],0)),"")</f>
        <v/>
      </c>
      <c r="BF89" s="5575" t="str">
        <f>IFERROR(INDEX(inputs_klasse[G],MATCH($AX89,inputs_klasse[Position],0)),"")</f>
        <v/>
      </c>
      <c r="BG89" s="1811" t="b">
        <f>IF(position_klasse[[#This Row],[Position]]&gt;0,_Calcs!BC52)</f>
        <v>0</v>
      </c>
      <c r="BH89" s="1811">
        <f>SUM(position_klasse[[#This Row],[lengde_A]:[lengde_G]])</f>
        <v>0</v>
      </c>
      <c r="BI89" s="1811">
        <f>position_klasse[[#This Row],[actual_lengde]]-position_klasse[[#This Row],[klasse_total_length]]</f>
        <v>0</v>
      </c>
      <c r="BJ89" s="1811" t="e">
        <f>INDEX(checks_klasse[total_klasse],MATCH(position_klasse[[#This Row],[Position]],checks_klasse[Position],0))</f>
        <v>#N/A</v>
      </c>
      <c r="BK89" s="1811" t="e">
        <f>IF(AND(position_klasse[[#This Row],[input_blank_check]]=0,INDEX(outputs_checks[Normal salve volum],MATCH(position_klasse[[#This Row],[Position]],outputs_checks[Position],0))=1,position_klasse[[#This Row],[remain_length]]=0,position_klasse[[#This Row],[Position]]&gt;0),1,0)</f>
        <v>#N/A</v>
      </c>
      <c r="BL89" s="1811"/>
      <c r="CG89" s="181"/>
      <c r="CH89" s="181"/>
      <c r="CI89" s="181"/>
      <c r="CJ89" s="181"/>
      <c r="CK89" s="181"/>
      <c r="CL89" s="181"/>
      <c r="LR89" s="2617"/>
      <c r="AEY89" s="2622"/>
      <c r="AFG89" s="2737"/>
      <c r="AFH89" s="2622"/>
      <c r="AFP89" s="2737"/>
      <c r="AFQ89" s="2622"/>
      <c r="AFZ89" s="2737"/>
      <c r="AGA89" s="2622"/>
      <c r="AGI89" s="2737"/>
      <c r="AGJ89" s="2622"/>
      <c r="AGR89" s="2737"/>
      <c r="AGS89" s="2622"/>
      <c r="AHB89" s="2737"/>
      <c r="AHC89" s="2622"/>
      <c r="AHJ89" s="2737"/>
      <c r="AHK89" s="2622"/>
      <c r="AHV89" s="2737"/>
      <c r="AHW89" s="2622"/>
      <c r="AJP89" s="2737"/>
      <c r="AJQ89" s="2622"/>
      <c r="AKD89" s="2737"/>
      <c r="AKE89" s="2622"/>
      <c r="AKM89" s="2622"/>
      <c r="AKU89" s="2622"/>
      <c r="ALM89" s="2737"/>
      <c r="ALN89" s="2622"/>
      <c r="ALW89" s="2737"/>
      <c r="ALY89" s="2622"/>
      <c r="AMF89" s="2737"/>
      <c r="AMH89" s="2622"/>
      <c r="AOI89" s="2737"/>
      <c r="AOJ89" s="2622"/>
      <c r="AOZ89" s="2737"/>
      <c r="APA89" s="2622"/>
      <c r="APT89" s="2737"/>
      <c r="APU89" s="2622"/>
      <c r="ASJ89" s="2737"/>
      <c r="ASK89" s="4124"/>
      <c r="AST89" s="5162"/>
      <c r="ATS89" s="2737"/>
      <c r="ATT89" s="2622"/>
      <c r="AUS89" s="2737"/>
      <c r="AUT89" s="2622"/>
      <c r="AUU89" s="2617"/>
      <c r="AUV89" s="2617"/>
      <c r="AUW89" s="2617"/>
      <c r="AUX89" s="181"/>
      <c r="AUY89" s="181"/>
      <c r="AUZ89" s="2617"/>
      <c r="AVA89" s="2617"/>
      <c r="AVB89" s="2617"/>
      <c r="AVC89" s="2617"/>
      <c r="AVD89" s="2617"/>
      <c r="AVE89" s="2617"/>
      <c r="AVF89" s="2617"/>
      <c r="AVG89" s="2617"/>
      <c r="AVH89" s="2617"/>
      <c r="AVI89" s="2617"/>
      <c r="AVJ89" s="2617"/>
      <c r="AVK89" s="2617"/>
      <c r="AVL89" s="2617"/>
      <c r="AVM89" s="2617"/>
      <c r="AVN89" s="2617"/>
      <c r="AVO89" s="2617"/>
      <c r="AVP89" s="2617"/>
      <c r="AVQ89" s="2617"/>
      <c r="AVR89" s="2617"/>
      <c r="AVS89" s="2617"/>
      <c r="AVT89" s="2617"/>
      <c r="AVU89" s="2617"/>
      <c r="AVV89" s="2617"/>
      <c r="AVW89" s="2617"/>
      <c r="AVX89" s="2617"/>
      <c r="AVY89" s="2617"/>
      <c r="AVZ89" s="2617"/>
      <c r="AWA89" s="2617"/>
      <c r="AWB89" s="2617"/>
      <c r="AWC89" s="2617"/>
      <c r="AWD89" s="2617"/>
      <c r="AWE89" s="2617"/>
      <c r="AWF89" s="2617"/>
      <c r="AWG89" s="2617"/>
      <c r="AWH89" s="2617"/>
      <c r="AWI89" s="2617"/>
      <c r="AWJ89" s="2617"/>
      <c r="AWK89" s="2617"/>
      <c r="AWL89" s="2617"/>
      <c r="AWM89" s="2617"/>
      <c r="AWN89" s="2617"/>
      <c r="AWO89" s="2617"/>
      <c r="AWP89" s="2617"/>
      <c r="AWQ89" s="2617"/>
      <c r="AWR89" s="2617"/>
      <c r="AWS89" s="2617"/>
      <c r="AWT89" s="2617"/>
      <c r="AWU89" s="2617"/>
      <c r="AWV89" s="2617"/>
      <c r="AWW89" s="2617"/>
      <c r="AWX89" s="2617"/>
      <c r="AWY89" s="2617"/>
      <c r="AWZ89" s="2617"/>
      <c r="AXA89" s="2617"/>
      <c r="AXB89" s="2617"/>
      <c r="AXC89" s="2617"/>
      <c r="AXD89" s="2617"/>
      <c r="AXE89" s="2617"/>
      <c r="AXF89" s="2617"/>
      <c r="AXG89" s="2617"/>
      <c r="AXH89" s="2617"/>
      <c r="AXI89" s="2617"/>
      <c r="AXJ89" s="2617"/>
      <c r="AXK89" s="2617"/>
      <c r="BCJ89" s="2617"/>
      <c r="BDJ89" s="2622"/>
      <c r="BDL89" s="2617"/>
      <c r="BDX89" s="2622"/>
      <c r="BDZ89" s="2617"/>
      <c r="BEF89" s="2622"/>
      <c r="BEH89" s="2617"/>
      <c r="BEI89" s="2622"/>
      <c r="BFF89" s="3398"/>
    </row>
    <row r="90" spans="34:1022 1075:1514" x14ac:dyDescent="0.2">
      <c r="AH90" s="185" t="s">
        <v>891</v>
      </c>
      <c r="AI90" s="185" t="s">
        <v>91</v>
      </c>
      <c r="AJ90" s="185"/>
      <c r="AU90" s="2632" t="str">
        <f>_Calcs!$QS$135</f>
        <v>Stuff 2-1</v>
      </c>
      <c r="AV90" s="2630">
        <f>IF(_Calcs!$BC$38=1,0,IF(_Calcs!$BC$38=2,5,0))</f>
        <v>5</v>
      </c>
      <c r="AW90" s="237">
        <f>IF(_Calcs!$BC$34&gt;4,1,0)</f>
        <v>0</v>
      </c>
      <c r="AX90" s="238">
        <f>IF($AI$31=2,INDEX(outputs_position[21],MATCH(_Calcs!$BC$35,outputs_position[lopstuff],0)),0)</f>
        <v>0</v>
      </c>
      <c r="AY90" s="5574" t="str">
        <f>IFERROR(INDEX(inputs_klasse[A],MATCH($AX90,inputs_klasse[Position],0)),"")</f>
        <v/>
      </c>
      <c r="AZ90" s="5574" t="str">
        <f>IFERROR(INDEX(inputs_klasse[B],MATCH($AX90,inputs_klasse[Position],0)),"")</f>
        <v/>
      </c>
      <c r="BA90" s="5574" t="str">
        <f>IFERROR(INDEX(inputs_klasse[C],MATCH($AX90,inputs_klasse[Position],0)),"")</f>
        <v/>
      </c>
      <c r="BB90" s="5574" t="str">
        <f>IFERROR(INDEX(inputs_klasse[D],MATCH($AX90,inputs_klasse[Position],0)),"")</f>
        <v/>
      </c>
      <c r="BC90" s="5574" t="str">
        <f>IFERROR(INDEX(inputs_klasse[E1],MATCH($AX90,inputs_klasse[Position],0)),"")</f>
        <v/>
      </c>
      <c r="BD90" s="5574" t="str">
        <f>IFERROR(INDEX(inputs_klasse[E2],MATCH($AX90,inputs_klasse[Position],0)),"")</f>
        <v/>
      </c>
      <c r="BE90" s="5574" t="str">
        <f>IFERROR(INDEX(inputs_klasse[F],MATCH($AX90,inputs_klasse[Position],0)),"")</f>
        <v/>
      </c>
      <c r="BF90" s="5575" t="str">
        <f>IFERROR(INDEX(inputs_klasse[G],MATCH($AX90,inputs_klasse[Position],0)),"")</f>
        <v/>
      </c>
      <c r="BG90" s="1811" t="b">
        <f>IF(position_klasse[[#This Row],[Position]]&gt;0,_Calcs!BC53)</f>
        <v>0</v>
      </c>
      <c r="BH90" s="1811">
        <f>SUM(position_klasse[[#This Row],[lengde_A]:[lengde_G]])</f>
        <v>0</v>
      </c>
      <c r="BI90" s="1811">
        <f>position_klasse[[#This Row],[actual_lengde]]-position_klasse[[#This Row],[klasse_total_length]]</f>
        <v>0</v>
      </c>
      <c r="BJ90" s="1811" t="e">
        <f>INDEX(checks_klasse[total_klasse],MATCH(position_klasse[[#This Row],[Position]],checks_klasse[Position],0))</f>
        <v>#N/A</v>
      </c>
      <c r="BK90" s="1811" t="e">
        <f>IF(AND(position_klasse[[#This Row],[input_blank_check]]=0,INDEX(outputs_checks[Normal salve volum],MATCH(position_klasse[[#This Row],[Position]],outputs_checks[Position],0))=1,position_klasse[[#This Row],[remain_length]]=0,position_klasse[[#This Row],[Position]]&gt;0),1,0)</f>
        <v>#N/A</v>
      </c>
      <c r="BL90" s="1811"/>
      <c r="LR90" s="2617"/>
      <c r="AEY90" s="2622"/>
      <c r="AFG90" s="2737"/>
      <c r="AFH90" s="2622"/>
      <c r="AFP90" s="2737"/>
      <c r="AFQ90" s="2622"/>
      <c r="AFZ90" s="2737"/>
      <c r="AGA90" s="2622"/>
      <c r="AGI90" s="2737"/>
      <c r="AGJ90" s="2622"/>
      <c r="AGR90" s="2737"/>
      <c r="AGS90" s="2622"/>
      <c r="AHB90" s="2737"/>
      <c r="AHC90" s="2622"/>
      <c r="AHJ90" s="2737"/>
      <c r="AHK90" s="2622"/>
      <c r="AHV90" s="2737"/>
      <c r="AHW90" s="2622"/>
      <c r="AJP90" s="2737"/>
      <c r="AJQ90" s="2622"/>
      <c r="AKD90" s="2737"/>
      <c r="AKE90" s="2622"/>
      <c r="AKM90" s="2622"/>
      <c r="AKU90" s="2622"/>
      <c r="ALM90" s="2737"/>
      <c r="ALN90" s="2622"/>
      <c r="ALW90" s="2737"/>
      <c r="ALY90" s="2622"/>
      <c r="AMF90" s="2737"/>
      <c r="AMH90" s="2622"/>
      <c r="AOI90" s="2737"/>
      <c r="AOJ90" s="2622"/>
      <c r="AOZ90" s="2737"/>
      <c r="APA90" s="2622"/>
      <c r="APT90" s="2737"/>
      <c r="APU90" s="2622"/>
      <c r="ASJ90" s="2737"/>
      <c r="ASK90" s="4124"/>
      <c r="AST90" s="5162"/>
      <c r="ATS90" s="2737"/>
      <c r="ATT90" s="2622"/>
      <c r="AUS90" s="2737"/>
      <c r="AUT90" s="2622"/>
      <c r="AUU90" s="2617"/>
      <c r="AUV90" s="2970" t="s">
        <v>1324</v>
      </c>
      <c r="AUW90" s="2617"/>
      <c r="AUX90" s="181"/>
      <c r="AUY90" s="181"/>
      <c r="AUZ90" s="2617"/>
      <c r="AVA90" s="2617"/>
      <c r="AVB90" s="2617"/>
      <c r="AVC90" s="2617"/>
      <c r="AVD90" s="2617"/>
      <c r="AVE90" s="2617"/>
      <c r="AVF90" s="2617"/>
      <c r="AVG90" s="2617"/>
      <c r="AVH90" s="2617"/>
      <c r="AVI90" s="2617"/>
      <c r="AVJ90" s="2617"/>
      <c r="AVK90" s="2617"/>
      <c r="AVL90" s="2617"/>
      <c r="AVM90" s="2617"/>
      <c r="AVN90" s="2617"/>
      <c r="AVO90" s="2617"/>
      <c r="AVP90" s="2617"/>
      <c r="AVQ90" s="2617"/>
      <c r="AVR90" s="2617"/>
      <c r="AVS90" s="2617"/>
      <c r="AVT90" s="2617"/>
      <c r="AVU90" s="2617"/>
      <c r="AVV90" s="2617"/>
      <c r="AVW90" s="2617"/>
      <c r="AVX90" s="2617"/>
      <c r="AVY90" s="2617"/>
      <c r="AVZ90" s="2617"/>
      <c r="AWA90" s="2617"/>
      <c r="AWB90" s="2617"/>
      <c r="AWC90" s="2617"/>
      <c r="AWD90" s="2617"/>
      <c r="AWE90" s="2617"/>
      <c r="AWF90" s="2617"/>
      <c r="AWG90" s="2617"/>
      <c r="AWH90" s="2617"/>
      <c r="AWI90" s="2617"/>
      <c r="AWJ90" s="2617"/>
      <c r="AWK90" s="2617"/>
      <c r="AWL90" s="2617"/>
      <c r="AWM90" s="2617"/>
      <c r="AWN90" s="2617"/>
      <c r="AWO90" s="2617"/>
      <c r="AWP90" s="2617"/>
      <c r="AWQ90" s="2617"/>
      <c r="AWR90" s="2617"/>
      <c r="AWS90" s="2617"/>
      <c r="AWT90" s="2617"/>
      <c r="AWU90" s="2617"/>
      <c r="AWV90" s="2617"/>
      <c r="AWW90" s="2617"/>
      <c r="AWX90" s="2617"/>
      <c r="AWY90" s="2617"/>
      <c r="AWZ90" s="2617"/>
      <c r="AXA90" s="2617"/>
      <c r="AXB90" s="2617"/>
      <c r="AXC90" s="2617"/>
      <c r="AXD90" s="2617"/>
      <c r="AXE90" s="2617"/>
      <c r="AXF90" s="2617"/>
      <c r="AXG90" s="2617"/>
      <c r="AXH90" s="2617"/>
      <c r="AXI90" s="2617"/>
      <c r="AXJ90" s="2617"/>
      <c r="AXK90" s="2617"/>
      <c r="BCJ90" s="2617"/>
      <c r="BDJ90" s="2622"/>
      <c r="BDL90" s="2617"/>
      <c r="BDX90" s="2622"/>
      <c r="BDZ90" s="2617"/>
      <c r="BEF90" s="2622"/>
      <c r="BEH90" s="2617"/>
      <c r="BEI90" s="2622"/>
      <c r="BFF90" s="3398"/>
    </row>
    <row r="91" spans="34:1022 1075:1514" ht="30.75" x14ac:dyDescent="0.2">
      <c r="AH91" s="185" t="s">
        <v>892</v>
      </c>
      <c r="AI91" s="185" t="s">
        <v>92</v>
      </c>
      <c r="AJ91" s="185"/>
      <c r="AU91" s="2632" t="str">
        <f>_Calcs!$QT$135</f>
        <v>Stuff 2-2</v>
      </c>
      <c r="AV91" s="2630">
        <f>IF(_Calcs!$BC$38=1,0,IF(_Calcs!$BC$38=2,6,0))</f>
        <v>6</v>
      </c>
      <c r="AW91" s="237">
        <f>IF(_Calcs!$BC$34&gt;5,1,0)</f>
        <v>0</v>
      </c>
      <c r="AX91" s="238">
        <f>IF($AI$31=2,INDEX(outputs_position[22],MATCH(_Calcs!$BC$35,outputs_position[lopstuff],0)),0)</f>
        <v>0</v>
      </c>
      <c r="AY91" s="5574" t="str">
        <f>IFERROR(INDEX(inputs_klasse[A],MATCH($AX91,inputs_klasse[Position],0)),"")</f>
        <v/>
      </c>
      <c r="AZ91" s="5574" t="str">
        <f>IFERROR(INDEX(inputs_klasse[B],MATCH($AX91,inputs_klasse[Position],0)),"")</f>
        <v/>
      </c>
      <c r="BA91" s="5574" t="str">
        <f>IFERROR(INDEX(inputs_klasse[C],MATCH($AX91,inputs_klasse[Position],0)),"")</f>
        <v/>
      </c>
      <c r="BB91" s="5574" t="str">
        <f>IFERROR(INDEX(inputs_klasse[D],MATCH($AX91,inputs_klasse[Position],0)),"")</f>
        <v/>
      </c>
      <c r="BC91" s="5574" t="str">
        <f>IFERROR(INDEX(inputs_klasse[E1],MATCH($AX91,inputs_klasse[Position],0)),"")</f>
        <v/>
      </c>
      <c r="BD91" s="5574" t="str">
        <f>IFERROR(INDEX(inputs_klasse[E2],MATCH($AX91,inputs_klasse[Position],0)),"")</f>
        <v/>
      </c>
      <c r="BE91" s="5574" t="str">
        <f>IFERROR(INDEX(inputs_klasse[F],MATCH($AX91,inputs_klasse[Position],0)),"")</f>
        <v/>
      </c>
      <c r="BF91" s="5575" t="str">
        <f>IFERROR(INDEX(inputs_klasse[G],MATCH($AX91,inputs_klasse[Position],0)),"")</f>
        <v/>
      </c>
      <c r="BG91" s="1811" t="b">
        <f>IF(position_klasse[[#This Row],[Position]]&gt;0,_Calcs!BC54)</f>
        <v>0</v>
      </c>
      <c r="BH91" s="1811">
        <f>SUM(position_klasse[[#This Row],[lengde_A]:[lengde_G]])</f>
        <v>0</v>
      </c>
      <c r="BI91" s="1811">
        <f>position_klasse[[#This Row],[actual_lengde]]-position_klasse[[#This Row],[klasse_total_length]]</f>
        <v>0</v>
      </c>
      <c r="BJ91" s="1811" t="e">
        <f>INDEX(checks_klasse[total_klasse],MATCH(position_klasse[[#This Row],[Position]],checks_klasse[Position],0))</f>
        <v>#N/A</v>
      </c>
      <c r="BK91" s="1811" t="e">
        <f>IF(AND(position_klasse[[#This Row],[input_blank_check]]=0,INDEX(outputs_checks[Normal salve volum],MATCH(position_klasse[[#This Row],[Position]],outputs_checks[Position],0))=1,position_klasse[[#This Row],[remain_length]]=0,position_klasse[[#This Row],[Position]]&gt;0),1,0)</f>
        <v>#N/A</v>
      </c>
      <c r="BL91" s="1811"/>
      <c r="LR91" s="2617"/>
      <c r="AEY91" s="2622"/>
      <c r="AFG91" s="2737"/>
      <c r="AFH91" s="2622"/>
      <c r="AFP91" s="2737"/>
      <c r="AFQ91" s="2622"/>
      <c r="AFZ91" s="2737"/>
      <c r="AGA91" s="2622"/>
      <c r="AGI91" s="2737"/>
      <c r="AGJ91" s="2622"/>
      <c r="AGR91" s="2737"/>
      <c r="AGS91" s="2622"/>
      <c r="AHB91" s="2737"/>
      <c r="AHC91" s="2622"/>
      <c r="AHJ91" s="2737"/>
      <c r="AHK91" s="2622"/>
      <c r="AHV91" s="2737"/>
      <c r="AHW91" s="2622"/>
      <c r="AJP91" s="2737"/>
      <c r="AJQ91" s="2622"/>
      <c r="AKD91" s="2737"/>
      <c r="AKE91" s="2622"/>
      <c r="AKM91" s="2622"/>
      <c r="AKU91" s="2622"/>
      <c r="ALM91" s="2737"/>
      <c r="ALN91" s="2622"/>
      <c r="ALW91" s="2737"/>
      <c r="ALY91" s="2622"/>
      <c r="AMF91" s="2737"/>
      <c r="AMH91" s="2622"/>
      <c r="AOI91" s="2737"/>
      <c r="AOJ91" s="2622"/>
      <c r="AOZ91" s="2737"/>
      <c r="APA91" s="2622"/>
      <c r="APT91" s="2737"/>
      <c r="APU91" s="2622"/>
      <c r="ASJ91" s="2737"/>
      <c r="ASK91" s="4124"/>
      <c r="AST91" s="5162"/>
      <c r="ATS91" s="2737"/>
      <c r="ATT91" s="2622"/>
      <c r="AUS91" s="2737"/>
      <c r="AUT91" s="2622"/>
      <c r="AUU91" s="2617"/>
      <c r="AUV91" s="2617"/>
      <c r="AUW91" s="2617"/>
      <c r="AUX91" s="181"/>
      <c r="AUY91" s="181"/>
      <c r="AUZ91" s="2617"/>
      <c r="AVA91" s="2617"/>
      <c r="AVB91" s="2617"/>
      <c r="AVC91" s="2617"/>
      <c r="AVD91" s="2617"/>
      <c r="AVE91" s="2617"/>
      <c r="AVF91" s="2617"/>
      <c r="AVG91" s="2617"/>
      <c r="AVH91" s="2617"/>
      <c r="AVI91" s="2617"/>
      <c r="AVJ91" s="2617"/>
      <c r="AVK91" s="2617"/>
      <c r="AVL91" s="2617"/>
      <c r="AVM91" s="2617"/>
      <c r="AVN91" s="2617"/>
      <c r="AVO91" s="2617"/>
      <c r="AVP91" s="2617"/>
      <c r="AVQ91" s="2617"/>
      <c r="AVR91" s="2617"/>
      <c r="AVS91" s="2617"/>
      <c r="AVT91" s="2617"/>
      <c r="AVU91" s="2617"/>
      <c r="AVV91" s="2617"/>
      <c r="AVW91" s="2617"/>
      <c r="AVX91" s="2617"/>
      <c r="AVY91" s="2617"/>
      <c r="AVZ91" s="2617"/>
      <c r="AWA91" s="2617"/>
      <c r="AWB91" s="2617"/>
      <c r="AWC91" s="2617"/>
      <c r="AWD91" s="2617"/>
      <c r="AWE91" s="2617"/>
      <c r="AWF91" s="2617"/>
      <c r="AWG91" s="2617"/>
      <c r="AWH91" s="2617"/>
      <c r="AWI91" s="2617"/>
      <c r="AWJ91" s="2617"/>
      <c r="AWK91" s="2617"/>
      <c r="AWL91" s="2617"/>
      <c r="AWM91" s="2617"/>
      <c r="AWN91" s="2617"/>
      <c r="AWO91" s="2617"/>
      <c r="AWP91" s="2617"/>
      <c r="AWQ91" s="2617"/>
      <c r="AWR91" s="2617"/>
      <c r="AWS91" s="2617"/>
      <c r="AWT91" s="2617"/>
      <c r="AWU91" s="2617"/>
      <c r="AWV91" s="2617"/>
      <c r="AWW91" s="2617"/>
      <c r="AWX91" s="2617"/>
      <c r="AWY91" s="2617"/>
      <c r="AWZ91" s="2617"/>
      <c r="AXA91" s="2617"/>
      <c r="AXB91" s="2617"/>
      <c r="AXC91" s="2617"/>
      <c r="AXD91" s="2617"/>
      <c r="AXE91" s="2617"/>
      <c r="AXF91" s="2617"/>
      <c r="AXG91" s="2617"/>
      <c r="AXH91" s="2617"/>
      <c r="AXI91" s="2617"/>
      <c r="AXJ91" s="2617"/>
      <c r="AXK91" s="2617"/>
      <c r="BCI91" s="2812" t="s">
        <v>1069</v>
      </c>
      <c r="BCJ91" s="2813"/>
      <c r="BCK91" s="2813"/>
      <c r="BCL91" s="2813"/>
      <c r="BCM91" s="2617"/>
      <c r="BCN91" s="2617"/>
      <c r="BCO91" s="2617"/>
      <c r="BCP91" s="2617"/>
      <c r="BDJ91" s="2622"/>
      <c r="BDL91" s="2617"/>
      <c r="BDX91" s="2622"/>
      <c r="BDZ91" s="2617"/>
      <c r="BEF91" s="2622"/>
      <c r="BEH91" s="2617"/>
      <c r="BEI91" s="2622"/>
      <c r="BFF91" s="3398"/>
    </row>
    <row r="92" spans="34:1022 1075:1514" x14ac:dyDescent="0.2">
      <c r="AH92" s="185" t="s">
        <v>890</v>
      </c>
      <c r="AI92" s="185" t="s">
        <v>93</v>
      </c>
      <c r="AJ92" s="185" t="s">
        <v>94</v>
      </c>
      <c r="AU92" s="2632" t="str">
        <f>_Calcs!$QU$135</f>
        <v>Stuff 2-3</v>
      </c>
      <c r="AV92" s="2630">
        <f>IF(_Calcs!$BC$38=1,0,IF(_Calcs!$BC$38=2,7,0))</f>
        <v>7</v>
      </c>
      <c r="AW92" s="237">
        <f>IF(_Calcs!$BC$34&gt;6,1,0)</f>
        <v>0</v>
      </c>
      <c r="AX92" s="238">
        <f>IF($AI$31=2,INDEX(outputs_position[23],MATCH(_Calcs!$BC$35,outputs_position[lopstuff],0)),0)</f>
        <v>0</v>
      </c>
      <c r="AY92" s="5574" t="str">
        <f>IFERROR(INDEX(inputs_klasse[A],MATCH($AX92,inputs_klasse[Position],0)),"")</f>
        <v/>
      </c>
      <c r="AZ92" s="5574" t="str">
        <f>IFERROR(INDEX(inputs_klasse[B],MATCH($AX92,inputs_klasse[Position],0)),"")</f>
        <v/>
      </c>
      <c r="BA92" s="5574" t="str">
        <f>IFERROR(INDEX(inputs_klasse[C],MATCH($AX92,inputs_klasse[Position],0)),"")</f>
        <v/>
      </c>
      <c r="BB92" s="5574" t="str">
        <f>IFERROR(INDEX(inputs_klasse[D],MATCH($AX92,inputs_klasse[Position],0)),"")</f>
        <v/>
      </c>
      <c r="BC92" s="5574" t="str">
        <f>IFERROR(INDEX(inputs_klasse[E1],MATCH($AX92,inputs_klasse[Position],0)),"")</f>
        <v/>
      </c>
      <c r="BD92" s="5574" t="str">
        <f>IFERROR(INDEX(inputs_klasse[E2],MATCH($AX92,inputs_klasse[Position],0)),"")</f>
        <v/>
      </c>
      <c r="BE92" s="5574" t="str">
        <f>IFERROR(INDEX(inputs_klasse[F],MATCH($AX92,inputs_klasse[Position],0)),"")</f>
        <v/>
      </c>
      <c r="BF92" s="5575" t="str">
        <f>IFERROR(INDEX(inputs_klasse[G],MATCH($AX92,inputs_klasse[Position],0)),"")</f>
        <v/>
      </c>
      <c r="BG92" s="1811" t="b">
        <f>IF(position_klasse[[#This Row],[Position]]&gt;0,_Calcs!BC55)</f>
        <v>0</v>
      </c>
      <c r="BH92" s="1811">
        <f>SUM(position_klasse[[#This Row],[lengde_A]:[lengde_G]])</f>
        <v>0</v>
      </c>
      <c r="BI92" s="1811">
        <f>position_klasse[[#This Row],[actual_lengde]]-position_klasse[[#This Row],[klasse_total_length]]</f>
        <v>0</v>
      </c>
      <c r="BJ92" s="1811" t="e">
        <f>INDEX(checks_klasse[total_klasse],MATCH(position_klasse[[#This Row],[Position]],checks_klasse[Position],0))</f>
        <v>#N/A</v>
      </c>
      <c r="BK92" s="1811" t="e">
        <f>IF(AND(position_klasse[[#This Row],[input_blank_check]]=0,INDEX(outputs_checks[Normal salve volum],MATCH(position_klasse[[#This Row],[Position]],outputs_checks[Position],0))=1,position_klasse[[#This Row],[remain_length]]=0,position_klasse[[#This Row],[Position]]&gt;0),1,0)</f>
        <v>#N/A</v>
      </c>
      <c r="BL92" s="1811"/>
      <c r="LR92" s="2617"/>
      <c r="AEY92" s="2622"/>
      <c r="AFG92" s="2737"/>
      <c r="AFH92" s="2622"/>
      <c r="AFP92" s="2737"/>
      <c r="AFQ92" s="2622"/>
      <c r="AFZ92" s="2737"/>
      <c r="AGA92" s="2622"/>
      <c r="AGI92" s="2737"/>
      <c r="AGJ92" s="2622"/>
      <c r="AGR92" s="2737"/>
      <c r="AGS92" s="2622"/>
      <c r="AHB92" s="2737"/>
      <c r="AHC92" s="2622"/>
      <c r="AHJ92" s="2737"/>
      <c r="AHK92" s="2622"/>
      <c r="AHV92" s="2737"/>
      <c r="AHW92" s="2622"/>
      <c r="AJP92" s="2737"/>
      <c r="AJQ92" s="2622"/>
      <c r="AKD92" s="2737"/>
      <c r="AKE92" s="2622"/>
      <c r="AKM92" s="2622"/>
      <c r="AKU92" s="2622"/>
      <c r="ALM92" s="2737"/>
      <c r="ALN92" s="2622"/>
      <c r="ALW92" s="2737"/>
      <c r="ALY92" s="2622"/>
      <c r="AMF92" s="2737"/>
      <c r="AMH92" s="2622"/>
      <c r="AOI92" s="2737"/>
      <c r="AOJ92" s="2622"/>
      <c r="AOZ92" s="2737"/>
      <c r="APA92" s="2622"/>
      <c r="APT92" s="2737"/>
      <c r="APU92" s="2622"/>
      <c r="ASJ92" s="2737"/>
      <c r="ASK92" s="4124"/>
      <c r="AST92" s="5162"/>
      <c r="ATS92" s="2737"/>
      <c r="ATT92" s="2622"/>
      <c r="AUS92" s="2737"/>
      <c r="AUT92" s="2622"/>
      <c r="AUU92" s="2617"/>
      <c r="AUV92" s="2617"/>
      <c r="AUW92" s="2617"/>
      <c r="AUX92" s="181"/>
      <c r="AUY92" s="181"/>
      <c r="AUZ92" s="2617"/>
      <c r="AVA92" s="2617"/>
      <c r="AVB92" s="2617"/>
      <c r="AVC92" s="2617"/>
      <c r="AVD92" s="2617"/>
      <c r="AVE92" s="2617"/>
      <c r="AVF92" s="2617"/>
      <c r="AVG92" s="2617"/>
      <c r="AVH92" s="2617"/>
      <c r="AVI92" s="2617"/>
      <c r="AVJ92" s="2617"/>
      <c r="AVK92" s="2617"/>
      <c r="AVL92" s="2617"/>
      <c r="AVM92" s="2617"/>
      <c r="AVN92" s="2617"/>
      <c r="AVO92" s="2617"/>
      <c r="AVP92" s="2617"/>
      <c r="AVQ92" s="2617"/>
      <c r="AVR92" s="2617"/>
      <c r="AVS92" s="2617"/>
      <c r="AVT92" s="2617"/>
      <c r="AVU92" s="2617"/>
      <c r="AVV92" s="2617"/>
      <c r="AVW92" s="2617"/>
      <c r="AVX92" s="2617"/>
      <c r="AVY92" s="2617"/>
      <c r="AVZ92" s="2617"/>
      <c r="AWA92" s="2617"/>
      <c r="AWB92" s="2617"/>
      <c r="AWC92" s="2617"/>
      <c r="AWD92" s="2617"/>
      <c r="AWE92" s="2617"/>
      <c r="AWF92" s="2617"/>
      <c r="AWG92" s="2617"/>
      <c r="AWH92" s="2617"/>
      <c r="AWI92" s="2617"/>
      <c r="AWJ92" s="2617"/>
      <c r="AWK92" s="2617"/>
      <c r="AWL92" s="2617"/>
      <c r="AWM92" s="2617"/>
      <c r="AWN92" s="2617"/>
      <c r="AWO92" s="2617"/>
      <c r="AWP92" s="2617"/>
      <c r="AWQ92" s="2617"/>
      <c r="AWR92" s="2617"/>
      <c r="AWS92" s="2617"/>
      <c r="AWT92" s="2617"/>
      <c r="AWU92" s="2617"/>
      <c r="AWV92" s="2617"/>
      <c r="AWW92" s="2617"/>
      <c r="AWX92" s="2617"/>
      <c r="AWY92" s="2617"/>
      <c r="AWZ92" s="2617"/>
      <c r="AXA92" s="2617"/>
      <c r="AXB92" s="2617"/>
      <c r="AXC92" s="2617"/>
      <c r="AXD92" s="2617"/>
      <c r="AXE92" s="2617"/>
      <c r="AXF92" s="2617"/>
      <c r="AXG92" s="2617"/>
      <c r="AXH92" s="2617"/>
      <c r="AXI92" s="2617"/>
      <c r="AXJ92" s="2617"/>
      <c r="AXK92" s="2617"/>
      <c r="BCJ92" s="2617"/>
      <c r="BDJ92" s="2622"/>
      <c r="BDL92" s="2617"/>
      <c r="BDX92" s="2622"/>
      <c r="BDZ92" s="2617"/>
      <c r="BEF92" s="2622"/>
      <c r="BEH92" s="2617"/>
      <c r="BEI92" s="2622"/>
      <c r="BFF92" s="3398"/>
    </row>
    <row r="93" spans="34:1022 1075:1514" x14ac:dyDescent="0.2">
      <c r="AH93" s="185" t="s">
        <v>889</v>
      </c>
      <c r="AI93" s="185" t="s">
        <v>95</v>
      </c>
      <c r="AJ93" s="185"/>
      <c r="AU93" s="2632" t="str">
        <f>_Calcs!$QV$135</f>
        <v>Stuff 2-4</v>
      </c>
      <c r="AV93" s="2630">
        <f>IF(_Calcs!$BC$38=1,0,IF(_Calcs!$BC$38=2,8,0))</f>
        <v>8</v>
      </c>
      <c r="AW93" s="237">
        <f>IF(_Calcs!$BC$34&gt;7,1,0)</f>
        <v>0</v>
      </c>
      <c r="AX93" s="238">
        <f>IF($AI$31=2,INDEX(outputs_position[24],MATCH(_Calcs!$BC$35,outputs_position[lopstuff],0)),0)</f>
        <v>0</v>
      </c>
      <c r="AY93" s="5574" t="str">
        <f>IFERROR(INDEX(inputs_klasse[A],MATCH($AX93,inputs_klasse[Position],0)),"")</f>
        <v/>
      </c>
      <c r="AZ93" s="5574" t="str">
        <f>IFERROR(INDEX(inputs_klasse[B],MATCH($AX93,inputs_klasse[Position],0)),"")</f>
        <v/>
      </c>
      <c r="BA93" s="5574" t="str">
        <f>IFERROR(INDEX(inputs_klasse[C],MATCH($AX93,inputs_klasse[Position],0)),"")</f>
        <v/>
      </c>
      <c r="BB93" s="5574" t="str">
        <f>IFERROR(INDEX(inputs_klasse[D],MATCH($AX93,inputs_klasse[Position],0)),"")</f>
        <v/>
      </c>
      <c r="BC93" s="5574" t="str">
        <f>IFERROR(INDEX(inputs_klasse[E1],MATCH($AX93,inputs_klasse[Position],0)),"")</f>
        <v/>
      </c>
      <c r="BD93" s="5574" t="str">
        <f>IFERROR(INDEX(inputs_klasse[E2],MATCH($AX93,inputs_klasse[Position],0)),"")</f>
        <v/>
      </c>
      <c r="BE93" s="5574" t="str">
        <f>IFERROR(INDEX(inputs_klasse[F],MATCH($AX93,inputs_klasse[Position],0)),"")</f>
        <v/>
      </c>
      <c r="BF93" s="5575" t="str">
        <f>IFERROR(INDEX(inputs_klasse[G],MATCH($AX93,inputs_klasse[Position],0)),"")</f>
        <v/>
      </c>
      <c r="BG93" s="1811" t="b">
        <f>IF(position_klasse[[#This Row],[Position]]&gt;0,_Calcs!BC56)</f>
        <v>0</v>
      </c>
      <c r="BH93" s="1811">
        <f>SUM(position_klasse[[#This Row],[lengde_A]:[lengde_G]])</f>
        <v>0</v>
      </c>
      <c r="BI93" s="1811">
        <f>position_klasse[[#This Row],[actual_lengde]]-position_klasse[[#This Row],[klasse_total_length]]</f>
        <v>0</v>
      </c>
      <c r="BJ93" s="1811" t="e">
        <f>INDEX(checks_klasse[total_klasse],MATCH(position_klasse[[#This Row],[Position]],checks_klasse[Position],0))</f>
        <v>#N/A</v>
      </c>
      <c r="BK93" s="1811" t="e">
        <f>IF(AND(position_klasse[[#This Row],[input_blank_check]]=0,INDEX(outputs_checks[Normal salve volum],MATCH(position_klasse[[#This Row],[Position]],outputs_checks[Position],0))=1,position_klasse[[#This Row],[remain_length]]=0,position_klasse[[#This Row],[Position]]&gt;0),1,0)</f>
        <v>#N/A</v>
      </c>
      <c r="BL93" s="1811"/>
      <c r="LR93" s="2617"/>
      <c r="AEY93" s="2622"/>
      <c r="AFG93" s="2737"/>
      <c r="AFH93" s="2622"/>
      <c r="AFP93" s="2737"/>
      <c r="AFQ93" s="2622"/>
      <c r="AFZ93" s="2737"/>
      <c r="AGA93" s="2622"/>
      <c r="AGI93" s="2737"/>
      <c r="AGJ93" s="2622"/>
      <c r="AGR93" s="2737"/>
      <c r="AGS93" s="2622"/>
      <c r="AHB93" s="2737"/>
      <c r="AHC93" s="2622"/>
      <c r="AHJ93" s="2737"/>
      <c r="AHK93" s="2622"/>
      <c r="AHV93" s="2737"/>
      <c r="AHW93" s="2622"/>
      <c r="AJP93" s="2737"/>
      <c r="AJQ93" s="2622"/>
      <c r="AKD93" s="2737"/>
      <c r="AKE93" s="2622"/>
      <c r="AKM93" s="2622"/>
      <c r="AKU93" s="2622"/>
      <c r="ALM93" s="2737"/>
      <c r="ALN93" s="2622"/>
      <c r="ALW93" s="2737"/>
      <c r="ALY93" s="2622"/>
      <c r="AMF93" s="2737"/>
      <c r="AMH93" s="2622"/>
      <c r="AOI93" s="2737"/>
      <c r="AOJ93" s="2622"/>
      <c r="AOZ93" s="2737"/>
      <c r="APA93" s="2622"/>
      <c r="APT93" s="2737"/>
      <c r="APU93" s="2622"/>
      <c r="ASJ93" s="2737"/>
      <c r="ASK93" s="4124"/>
      <c r="AST93" s="5162"/>
      <c r="ATS93" s="2737"/>
      <c r="ATT93" s="2622"/>
      <c r="AUS93" s="2737"/>
      <c r="AUT93" s="2622"/>
      <c r="AUU93" s="2617"/>
      <c r="AUV93" s="2617"/>
      <c r="AUW93" s="2617"/>
      <c r="AUX93" s="181"/>
      <c r="AUY93" s="181"/>
      <c r="AUZ93" s="2617"/>
      <c r="AVA93" s="2617"/>
      <c r="AVB93" s="2617"/>
      <c r="AVC93" s="2617"/>
      <c r="AVD93" s="2617"/>
      <c r="AVE93" s="2617"/>
      <c r="AVF93" s="2617"/>
      <c r="AVG93" s="2617"/>
      <c r="AVH93" s="2617"/>
      <c r="AVI93" s="2617"/>
      <c r="AVJ93" s="2617"/>
      <c r="AVK93" s="2617"/>
      <c r="AVL93" s="2617"/>
      <c r="AVM93" s="2617"/>
      <c r="AVN93" s="2617"/>
      <c r="AVO93" s="2617"/>
      <c r="AVP93" s="2617"/>
      <c r="AVQ93" s="2617"/>
      <c r="AVR93" s="2617"/>
      <c r="AVS93" s="2617"/>
      <c r="AVT93" s="2617"/>
      <c r="AVU93" s="2617"/>
      <c r="AVV93" s="2617"/>
      <c r="AVW93" s="2617"/>
      <c r="AVX93" s="2617"/>
      <c r="AVY93" s="2617"/>
      <c r="AVZ93" s="2617"/>
      <c r="AWA93" s="2617"/>
      <c r="AWB93" s="2617"/>
      <c r="AWC93" s="2617"/>
      <c r="AWD93" s="2617"/>
      <c r="AWE93" s="2617"/>
      <c r="AWF93" s="2617"/>
      <c r="AWG93" s="2617"/>
      <c r="AWH93" s="2617"/>
      <c r="AWI93" s="2617"/>
      <c r="AWJ93" s="2617"/>
      <c r="AWK93" s="2617"/>
      <c r="AWL93" s="2617"/>
      <c r="AWM93" s="2617"/>
      <c r="AWN93" s="2617"/>
      <c r="AWO93" s="2617"/>
      <c r="AWP93" s="2617"/>
      <c r="AWQ93" s="2617"/>
      <c r="AWR93" s="2617"/>
      <c r="AWS93" s="2617"/>
      <c r="AWT93" s="2617"/>
      <c r="AWU93" s="2617"/>
      <c r="AWV93" s="2617"/>
      <c r="AWW93" s="2617"/>
      <c r="AWX93" s="2617"/>
      <c r="AWY93" s="2617"/>
      <c r="AWZ93" s="2617"/>
      <c r="AXA93" s="2617"/>
      <c r="AXB93" s="2617"/>
      <c r="AXC93" s="2617"/>
      <c r="AXD93" s="2617"/>
      <c r="AXE93" s="2617"/>
      <c r="AXF93" s="2617"/>
      <c r="AXG93" s="2617"/>
      <c r="AXH93" s="2617"/>
      <c r="AXI93" s="2617"/>
      <c r="AXJ93" s="2617"/>
      <c r="AXK93" s="2617"/>
      <c r="BCJ93" s="2617"/>
      <c r="BDJ93" s="2622"/>
      <c r="BDL93" s="2617"/>
      <c r="BDX93" s="2622"/>
      <c r="BDZ93" s="2617"/>
      <c r="BEF93" s="2622"/>
      <c r="BEH93" s="2617"/>
      <c r="BEI93" s="2622"/>
      <c r="BFF93" s="3398"/>
    </row>
    <row r="94" spans="34:1022 1075:1514" ht="30.75" x14ac:dyDescent="0.2">
      <c r="AH94" s="185" t="s">
        <v>895</v>
      </c>
      <c r="AI94" s="185" t="s">
        <v>96</v>
      </c>
      <c r="AJ94" s="185"/>
      <c r="AU94" s="2634" t="str">
        <f>_Calcs!$QW$135</f>
        <v>Tverrslag</v>
      </c>
      <c r="AV94" s="2635"/>
      <c r="AW94" s="2635">
        <f>_Calcs!$BC$36</f>
        <v>0</v>
      </c>
      <c r="AX94" s="2636">
        <f>IF($AI$31=2,INDEX(outputs_position[Tverrslag],MATCH(_Calcs!$BC$35,outputs_position[lopstuff],0)),IF(_Calcs!$BC$36=1,$AX$84+1,0))</f>
        <v>0</v>
      </c>
      <c r="AY94" s="5578" t="str">
        <f>IFERROR(INDEX(inputs_klasse[A],MATCH($AX94,inputs_klasse[Position],0)),"")</f>
        <v/>
      </c>
      <c r="AZ94" s="5578" t="str">
        <f>IFERROR(INDEX(inputs_klasse[B],MATCH($AX94,inputs_klasse[Position],0)),"")</f>
        <v/>
      </c>
      <c r="BA94" s="5578" t="str">
        <f>IFERROR(INDEX(inputs_klasse[C],MATCH($AX94,inputs_klasse[Position],0)),"")</f>
        <v/>
      </c>
      <c r="BB94" s="5578" t="str">
        <f>IFERROR(INDEX(inputs_klasse[D],MATCH($AX94,inputs_klasse[Position],0)),"")</f>
        <v/>
      </c>
      <c r="BC94" s="5578" t="str">
        <f>IFERROR(INDEX(inputs_klasse[E1],MATCH($AX94,inputs_klasse[Position],0)),"")</f>
        <v/>
      </c>
      <c r="BD94" s="5578" t="str">
        <f>IFERROR(INDEX(inputs_klasse[E2],MATCH($AX94,inputs_klasse[Position],0)),"")</f>
        <v/>
      </c>
      <c r="BE94" s="5578" t="str">
        <f>IFERROR(INDEX(inputs_klasse[F],MATCH($AX94,inputs_klasse[Position],0)),"")</f>
        <v/>
      </c>
      <c r="BF94" s="5579" t="str">
        <f>IFERROR(INDEX(inputs_klasse[G],MATCH($AX94,inputs_klasse[Position],0)),"")</f>
        <v/>
      </c>
      <c r="BG94" s="1811" t="b">
        <f>IF(position_klasse[[#This Row],[Position]]&gt;0,_Calcs!BC57)</f>
        <v>0</v>
      </c>
      <c r="BH94" s="1811">
        <f>SUM(position_klasse[[#This Row],[lengde_A]:[lengde_G]])</f>
        <v>0</v>
      </c>
      <c r="BI94" s="1814">
        <f>position_klasse[[#This Row],[actual_lengde]]-position_klasse[[#This Row],[klasse_total_length]]</f>
        <v>0</v>
      </c>
      <c r="BJ94" s="1811" t="e">
        <f>INDEX(checks_klasse[total_klasse],MATCH(position_klasse[[#This Row],[Position]],checks_klasse[Position],0))</f>
        <v>#N/A</v>
      </c>
      <c r="BK94" s="1811" t="e">
        <f>IF(AND(position_klasse[[#This Row],[input_blank_check]]=0,INDEX(outputs_checks[Normal salve volum],MATCH(position_klasse[[#This Row],[Position]],outputs_checks[Position],0))=1,position_klasse[[#This Row],[remain_length]]=0,position_klasse[[#This Row],[Position]]&gt;0),1,0)</f>
        <v>#N/A</v>
      </c>
      <c r="BL94" s="1814"/>
      <c r="CH94" s="5148" t="s">
        <v>2090</v>
      </c>
      <c r="CI94" s="5149"/>
      <c r="CJ94" s="5149"/>
      <c r="CK94" s="5149"/>
      <c r="CL94" s="5149"/>
      <c r="CM94" s="5149"/>
      <c r="CN94" s="5149"/>
      <c r="CO94" s="5149"/>
      <c r="CP94" s="5149"/>
      <c r="CQ94" s="5149"/>
      <c r="CR94" s="5149"/>
      <c r="CS94" s="5149"/>
      <c r="CT94" s="5149"/>
      <c r="CU94" s="5149"/>
      <c r="CV94" s="5149"/>
      <c r="CW94" s="5149"/>
      <c r="CX94" s="5149"/>
      <c r="CY94" s="5149"/>
      <c r="CZ94" s="5149"/>
      <c r="DA94" s="5149"/>
      <c r="DB94" s="5149"/>
      <c r="DC94" s="5149"/>
      <c r="DD94" s="5149"/>
      <c r="DE94" s="5149"/>
      <c r="DF94" s="5149"/>
      <c r="DG94" s="5149"/>
      <c r="DH94" s="5149"/>
      <c r="DI94" s="5150"/>
      <c r="DJ94" s="5150"/>
      <c r="DK94" s="5150"/>
      <c r="DL94" s="5150"/>
      <c r="DM94" s="5150"/>
      <c r="DN94" s="5150"/>
      <c r="DO94" s="5150"/>
      <c r="DP94" s="5150"/>
      <c r="DQ94" s="5150"/>
      <c r="DR94" s="5150"/>
      <c r="DS94" s="5150"/>
      <c r="DT94" s="5150"/>
      <c r="DU94" s="5150"/>
      <c r="DV94" s="5150"/>
      <c r="DW94" s="5150"/>
      <c r="DX94" s="5150"/>
      <c r="DY94" s="5150"/>
      <c r="DZ94" s="5150"/>
      <c r="EA94" s="5150"/>
      <c r="EB94" s="5150"/>
      <c r="EC94" s="5150"/>
      <c r="ED94" s="5150"/>
      <c r="EE94" s="5150"/>
      <c r="EF94" s="5150"/>
      <c r="EG94" s="5150"/>
      <c r="EH94" s="5150"/>
      <c r="EI94" s="5150"/>
      <c r="EJ94" s="5150"/>
      <c r="EK94" s="5150"/>
      <c r="EL94" s="5150"/>
      <c r="EM94" s="5150"/>
      <c r="EN94" s="5150"/>
      <c r="EO94" s="5150"/>
      <c r="LR94" s="2617"/>
      <c r="AEY94" s="2622"/>
      <c r="AFG94" s="2737"/>
      <c r="AFH94" s="2622"/>
      <c r="AFP94" s="2737"/>
      <c r="AFQ94" s="2622"/>
      <c r="AFZ94" s="2737"/>
      <c r="AGA94" s="2622"/>
      <c r="AGI94" s="2737"/>
      <c r="AGJ94" s="2622"/>
      <c r="AGR94" s="2737"/>
      <c r="AGS94" s="2622"/>
      <c r="AHB94" s="2737"/>
      <c r="AHC94" s="2622"/>
      <c r="AHJ94" s="2737"/>
      <c r="AHK94" s="2622"/>
      <c r="AHV94" s="2737"/>
      <c r="AHW94" s="2622"/>
      <c r="AJP94" s="2737"/>
      <c r="AJQ94" s="2622"/>
      <c r="AKD94" s="2737"/>
      <c r="AKE94" s="2622"/>
      <c r="AKM94" s="2622"/>
      <c r="AKU94" s="2622"/>
      <c r="ALM94" s="2737"/>
      <c r="ALN94" s="2622"/>
      <c r="ALW94" s="2737"/>
      <c r="ALY94" s="2622"/>
      <c r="AMF94" s="2737"/>
      <c r="AMH94" s="2622"/>
      <c r="AOI94" s="2737"/>
      <c r="AOJ94" s="2622"/>
      <c r="AOZ94" s="2737"/>
      <c r="APA94" s="2622"/>
      <c r="APT94" s="2737"/>
      <c r="APU94" s="2622"/>
      <c r="ASJ94" s="2737"/>
      <c r="ASK94" s="4124"/>
      <c r="AST94" s="5162"/>
      <c r="ATS94" s="2737"/>
      <c r="ATT94" s="2622"/>
      <c r="AUS94" s="2737"/>
      <c r="AUT94" s="2622"/>
      <c r="AUU94" s="2617"/>
      <c r="AUV94" s="2627" t="s">
        <v>1350</v>
      </c>
      <c r="AUW94" s="2627"/>
      <c r="AUX94" s="181"/>
      <c r="AUY94" s="181"/>
      <c r="AUZ94" s="2617"/>
      <c r="AVA94" s="2617"/>
      <c r="AVB94" s="2617"/>
      <c r="AVC94" s="2617"/>
      <c r="AVD94" s="2617"/>
      <c r="AVE94" s="2617"/>
      <c r="AVF94" s="2617"/>
      <c r="AVG94" s="2617"/>
      <c r="AVH94" s="2617"/>
      <c r="AVI94" s="2617"/>
      <c r="AVJ94" s="2617"/>
      <c r="AVK94" s="2617"/>
      <c r="AVL94" s="2617"/>
      <c r="AVM94" s="2617"/>
      <c r="AVN94" s="2617"/>
      <c r="AVO94" s="2617"/>
      <c r="AVP94" s="2617"/>
      <c r="AVQ94" s="2617"/>
      <c r="AVR94" s="2617"/>
      <c r="AVS94" s="2617"/>
      <c r="AVT94" s="2617"/>
      <c r="AVU94" s="2617"/>
      <c r="AVV94" s="2617"/>
      <c r="AVW94" s="2617"/>
      <c r="AVX94" s="2617"/>
      <c r="AVY94" s="2617"/>
      <c r="AVZ94" s="2617"/>
      <c r="AWA94" s="2617"/>
      <c r="AWB94" s="2617"/>
      <c r="AWC94" s="2617"/>
      <c r="AWD94" s="2617"/>
      <c r="AWE94" s="2617"/>
      <c r="AWF94" s="2617"/>
      <c r="AWG94" s="2617"/>
      <c r="AWH94" s="2617"/>
      <c r="AWI94" s="2617"/>
      <c r="AWJ94" s="2617"/>
      <c r="AWK94" s="2617"/>
      <c r="AWL94" s="2617"/>
      <c r="AWM94" s="2617"/>
      <c r="AWN94" s="2617"/>
      <c r="AWO94" s="2617"/>
      <c r="AWP94" s="2617"/>
      <c r="AWQ94" s="2617"/>
      <c r="AWR94" s="2617"/>
      <c r="AWS94" s="2617"/>
      <c r="AWT94" s="2617"/>
      <c r="AWU94" s="2617"/>
      <c r="AWV94" s="2617"/>
      <c r="AWW94" s="2617"/>
      <c r="AWX94" s="2617"/>
      <c r="AWY94" s="2617"/>
      <c r="AWZ94" s="2617"/>
      <c r="AXA94" s="2617"/>
      <c r="AXB94" s="2617"/>
      <c r="AXC94" s="2617"/>
      <c r="AXD94" s="2617"/>
      <c r="AXE94" s="2617"/>
      <c r="AXF94" s="2617"/>
      <c r="AXG94" s="2617"/>
      <c r="AXH94" s="2617"/>
      <c r="AXI94" s="2617"/>
      <c r="AXJ94" s="2617"/>
      <c r="AXK94" s="2617"/>
      <c r="BCJ94" s="2617"/>
      <c r="BDJ94" s="2622"/>
      <c r="BDL94" s="2617"/>
      <c r="BDX94" s="2622"/>
      <c r="BDZ94" s="2617"/>
      <c r="BEF94" s="2622"/>
      <c r="BEH94" s="2617"/>
      <c r="BEI94" s="2622"/>
      <c r="BFF94" s="3398"/>
    </row>
    <row r="95" spans="34:1022 1075:1514" x14ac:dyDescent="0.2">
      <c r="AH95" s="2625"/>
      <c r="AV95" s="2622"/>
      <c r="AW95" s="2622"/>
      <c r="AX95" s="2622"/>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AUU95" s="181"/>
      <c r="AUV95" s="2617"/>
      <c r="AUW95" s="2617"/>
      <c r="AUX95" s="2617"/>
      <c r="AUY95" s="2617"/>
      <c r="AUZ95" s="2617"/>
      <c r="AVA95" s="2617"/>
      <c r="AVB95" s="2617"/>
      <c r="AVC95" s="2617"/>
      <c r="AVD95" s="2617"/>
      <c r="AVE95" s="2617"/>
      <c r="AVF95" s="2617"/>
      <c r="AVG95" s="2617"/>
      <c r="AVH95" s="2617"/>
      <c r="AVI95" s="2617"/>
      <c r="AVJ95" s="2617"/>
      <c r="AVK95" s="2617"/>
      <c r="AVL95" s="2617"/>
      <c r="AVM95" s="2617"/>
      <c r="AVN95" s="2617"/>
      <c r="AVO95" s="2617"/>
      <c r="AVP95" s="2617"/>
      <c r="AVQ95" s="2617"/>
      <c r="AVR95" s="2617"/>
      <c r="AVS95" s="2617"/>
      <c r="AVT95" s="2617"/>
      <c r="AVU95" s="2617"/>
      <c r="AVV95" s="2617"/>
      <c r="AVW95" s="2617"/>
      <c r="AVX95" s="2617"/>
      <c r="AVY95" s="2617"/>
      <c r="AVZ95" s="2617"/>
      <c r="AWA95" s="2617"/>
      <c r="AWB95" s="2617"/>
      <c r="AWC95" s="2617"/>
      <c r="AWD95" s="2617"/>
      <c r="AWE95" s="2617"/>
      <c r="AWF95" s="2617"/>
      <c r="AWG95" s="2617"/>
      <c r="AWH95" s="2617"/>
      <c r="AWI95" s="2617"/>
      <c r="AWJ95" s="2617"/>
      <c r="AWK95" s="2617"/>
      <c r="AWL95" s="2617"/>
      <c r="AWM95" s="2617"/>
      <c r="AWN95" s="2617"/>
      <c r="AWO95" s="2617"/>
      <c r="AWP95" s="2617"/>
      <c r="AWQ95" s="2617"/>
      <c r="AWR95" s="2617"/>
      <c r="AWS95" s="2617"/>
      <c r="AWT95" s="2617"/>
      <c r="AWU95" s="2617"/>
      <c r="AWV95" s="2617"/>
      <c r="AWW95" s="2617"/>
      <c r="AWX95" s="2617"/>
      <c r="AWY95" s="2617"/>
      <c r="AWZ95" s="2617"/>
      <c r="AXA95" s="2617"/>
      <c r="AXB95" s="2617"/>
      <c r="AXC95" s="2617"/>
      <c r="AXD95" s="2617"/>
      <c r="AXE95" s="2617"/>
      <c r="AXF95" s="2617"/>
      <c r="AXG95" s="2617"/>
      <c r="AXH95" s="2617"/>
      <c r="AXI95" s="2617"/>
      <c r="AXJ95" s="2617"/>
      <c r="AXK95" s="2617"/>
      <c r="BFE95" s="3398"/>
    </row>
    <row r="96" spans="34:1022 1075:1514" x14ac:dyDescent="0.2">
      <c r="AI96" s="3679" t="s">
        <v>924</v>
      </c>
      <c r="AV96" s="2622"/>
      <c r="AW96" s="2622"/>
      <c r="AX96" s="2622"/>
      <c r="CG96" s="433" t="s">
        <v>2145</v>
      </c>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AUU96" s="181"/>
      <c r="AUV96" s="2617"/>
      <c r="AUW96" s="2617"/>
      <c r="AUX96" s="2617"/>
      <c r="AUY96" s="2617"/>
      <c r="AUZ96" s="2617"/>
      <c r="AVA96" s="2617"/>
      <c r="AVB96" s="2617"/>
      <c r="AVC96" s="2617"/>
      <c r="AVD96" s="2617"/>
      <c r="AVE96" s="2617"/>
      <c r="AVF96" s="2617"/>
      <c r="AVG96" s="2617"/>
      <c r="AVH96" s="2617"/>
      <c r="AVI96" s="2617"/>
      <c r="AVJ96" s="2617"/>
      <c r="AVK96" s="2617"/>
      <c r="AVL96" s="2617"/>
      <c r="AVM96" s="2617"/>
      <c r="AVN96" s="2617"/>
      <c r="AVO96" s="2617"/>
      <c r="AVP96" s="2617"/>
      <c r="AVQ96" s="2617"/>
      <c r="AVR96" s="2617"/>
      <c r="AVS96" s="2617"/>
      <c r="AVT96" s="2617"/>
      <c r="AVU96" s="2617"/>
      <c r="AVV96" s="2617"/>
      <c r="AVW96" s="2617"/>
      <c r="AVX96" s="2617"/>
      <c r="AVY96" s="2617"/>
      <c r="AVZ96" s="2617"/>
      <c r="AWA96" s="2617"/>
      <c r="AWB96" s="2617"/>
      <c r="AWC96" s="2617"/>
      <c r="AWD96" s="2617"/>
      <c r="AWE96" s="2617"/>
      <c r="AWF96" s="2617"/>
      <c r="AWG96" s="2617"/>
      <c r="AWH96" s="2617"/>
      <c r="AWI96" s="2617"/>
      <c r="AWJ96" s="2617"/>
      <c r="AWK96" s="2617"/>
      <c r="AWL96" s="2617"/>
      <c r="AWM96" s="2617"/>
      <c r="AWN96" s="2617"/>
      <c r="AWO96" s="2617"/>
      <c r="AWP96" s="2617"/>
      <c r="AWQ96" s="2617"/>
      <c r="AWR96" s="2617"/>
      <c r="AWS96" s="2617"/>
      <c r="AWT96" s="2617"/>
      <c r="AWU96" s="2617"/>
      <c r="AWV96" s="2617"/>
      <c r="AWW96" s="2617"/>
      <c r="AWX96" s="2617"/>
      <c r="AWY96" s="2617"/>
      <c r="AWZ96" s="2617"/>
      <c r="AXA96" s="2617"/>
      <c r="AXB96" s="2617"/>
      <c r="AXC96" s="2617"/>
      <c r="AXD96" s="2617"/>
      <c r="AXE96" s="2617"/>
      <c r="AXF96" s="2617"/>
      <c r="AXG96" s="2617"/>
      <c r="AXH96" s="2617"/>
      <c r="AXI96" s="2617"/>
      <c r="AXJ96" s="2617"/>
      <c r="AXK96" s="2617"/>
      <c r="BFE96" s="3398"/>
    </row>
    <row r="97" spans="34:1021 1028:1521" ht="15" thickBot="1" x14ac:dyDescent="0.25">
      <c r="AH97" s="2617" t="s">
        <v>1543</v>
      </c>
      <c r="AI97" s="3679" t="s">
        <v>151</v>
      </c>
      <c r="AU97" s="199" t="s">
        <v>1071</v>
      </c>
      <c r="AV97" s="199"/>
      <c r="AW97" s="199"/>
      <c r="AX97" s="199"/>
      <c r="AY97" s="185" t="e">
        <f>AY84+AY94</f>
        <v>#VALUE!</v>
      </c>
      <c r="AZ97" s="185" t="e">
        <f t="shared" ref="AZ97:BG97" si="322">AZ84+AZ94</f>
        <v>#VALUE!</v>
      </c>
      <c r="BA97" s="185" t="e">
        <f t="shared" si="322"/>
        <v>#VALUE!</v>
      </c>
      <c r="BB97" s="185" t="e">
        <f t="shared" si="322"/>
        <v>#VALUE!</v>
      </c>
      <c r="BC97" s="185" t="e">
        <f t="shared" si="322"/>
        <v>#VALUE!</v>
      </c>
      <c r="BD97" s="185" t="e">
        <f t="shared" si="322"/>
        <v>#VALUE!</v>
      </c>
      <c r="BE97" s="185" t="e">
        <f t="shared" si="322"/>
        <v>#VALUE!</v>
      </c>
      <c r="BF97" s="185" t="e">
        <f t="shared" si="322"/>
        <v>#VALUE!</v>
      </c>
      <c r="BG97" s="185">
        <f t="shared" si="322"/>
        <v>0</v>
      </c>
      <c r="BH97" s="185">
        <f>BH84+BH94</f>
        <v>0</v>
      </c>
      <c r="BI97" s="185">
        <f>BI84+BI94</f>
        <v>0</v>
      </c>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AUU97" s="181"/>
      <c r="AUV97" s="2617"/>
      <c r="AUW97" s="2617"/>
      <c r="AUX97" s="2617"/>
      <c r="AUY97" s="2617"/>
      <c r="AUZ97" s="2617"/>
      <c r="AVA97" s="2617"/>
      <c r="AVB97" s="2617"/>
      <c r="AVC97" s="2617"/>
      <c r="AVD97" s="2617"/>
      <c r="AVE97" s="2617"/>
      <c r="AVF97" s="2617"/>
      <c r="AVG97" s="2617"/>
      <c r="AVH97" s="2617"/>
      <c r="AVI97" s="2617"/>
      <c r="AVJ97" s="2617"/>
      <c r="AVK97" s="2617"/>
      <c r="AVL97" s="2617"/>
      <c r="AVM97" s="2617"/>
      <c r="AVN97" s="2617"/>
      <c r="AVO97" s="2617"/>
      <c r="AVP97" s="2617"/>
      <c r="AVQ97" s="2617"/>
      <c r="AVR97" s="2617"/>
      <c r="AVS97" s="2617"/>
      <c r="AVT97" s="2617"/>
      <c r="AVU97" s="2617"/>
      <c r="AVV97" s="2617"/>
      <c r="AVW97" s="2617"/>
      <c r="AVX97" s="2617"/>
      <c r="AVY97" s="2617"/>
      <c r="AVZ97" s="2617"/>
      <c r="AWA97" s="2617"/>
      <c r="AWB97" s="2617"/>
      <c r="AWC97" s="2617"/>
      <c r="AWD97" s="2617"/>
      <c r="AWE97" s="2617"/>
      <c r="AWF97" s="2617"/>
      <c r="AWG97" s="2617"/>
      <c r="AWH97" s="2617"/>
      <c r="AWI97" s="2617"/>
      <c r="AWJ97" s="2617"/>
      <c r="AWK97" s="2617"/>
      <c r="AWL97" s="2617"/>
      <c r="AWM97" s="2617"/>
      <c r="AWN97" s="2617"/>
      <c r="AWO97" s="2617"/>
      <c r="AWP97" s="2617"/>
      <c r="AWQ97" s="2617"/>
      <c r="AWR97" s="2617"/>
      <c r="AWS97" s="2617"/>
      <c r="AWT97" s="2617"/>
      <c r="AWU97" s="2617"/>
      <c r="AWV97" s="2617"/>
      <c r="AWW97" s="2617"/>
      <c r="AWX97" s="2617"/>
      <c r="AWY97" s="2617"/>
      <c r="AWZ97" s="2617"/>
      <c r="AXA97" s="2617"/>
      <c r="AXB97" s="2617"/>
      <c r="AXC97" s="2617"/>
      <c r="AXD97" s="2617"/>
      <c r="AXE97" s="2617"/>
      <c r="AXF97" s="2617"/>
      <c r="AXG97" s="2617"/>
      <c r="AXH97" s="2617"/>
      <c r="AXI97" s="2617"/>
      <c r="AXJ97" s="2617"/>
      <c r="AXK97" s="2617"/>
      <c r="BFE97" s="3398"/>
    </row>
    <row r="98" spans="34:1021 1028:1521" x14ac:dyDescent="0.2">
      <c r="AU98" s="199" t="s">
        <v>1072</v>
      </c>
      <c r="AV98" s="199"/>
      <c r="AW98" s="199"/>
      <c r="AX98" s="199"/>
      <c r="AY98" s="185">
        <f>SUM(AY86:AY94)</f>
        <v>1000</v>
      </c>
      <c r="AZ98" s="185">
        <f t="shared" ref="AZ98:BG98" si="323">SUM(AZ86:AZ94)</f>
        <v>500</v>
      </c>
      <c r="BA98" s="185">
        <f t="shared" si="323"/>
        <v>0</v>
      </c>
      <c r="BB98" s="185">
        <f t="shared" si="323"/>
        <v>0</v>
      </c>
      <c r="BC98" s="185">
        <f t="shared" si="323"/>
        <v>0</v>
      </c>
      <c r="BD98" s="185">
        <f t="shared" si="323"/>
        <v>0</v>
      </c>
      <c r="BE98" s="185">
        <f t="shared" si="323"/>
        <v>0</v>
      </c>
      <c r="BF98" s="185">
        <f t="shared" si="323"/>
        <v>900</v>
      </c>
      <c r="BG98" s="185">
        <f t="shared" si="323"/>
        <v>0</v>
      </c>
      <c r="BH98" s="185">
        <f>SUM(BH86:BH94)</f>
        <v>2400</v>
      </c>
      <c r="BI98" s="185">
        <f>SUM(BI86:BI94)</f>
        <v>-2400</v>
      </c>
      <c r="CG98" s="181"/>
      <c r="CI98" s="181"/>
      <c r="CJ98" s="4262">
        <f>_Kapasitet!$U$61</f>
        <v>1</v>
      </c>
      <c r="CL98" s="4262">
        <f>_Kapasitet!$U$66</f>
        <v>1</v>
      </c>
      <c r="CM98" s="181"/>
      <c r="CN98" s="4261">
        <f>_Kapasitet!$U$69</f>
        <v>15</v>
      </c>
      <c r="CO98" s="181"/>
      <c r="CP98" s="4261">
        <f>_Kapasitet!$U$71</f>
        <v>7.5</v>
      </c>
      <c r="CQ98" s="181"/>
      <c r="CR98" s="4261">
        <f>_Kapasitet!$U$78</f>
        <v>8</v>
      </c>
      <c r="CS98" s="181"/>
      <c r="CT98" s="4261">
        <f>_Kapasitet!$U$88</f>
        <v>15</v>
      </c>
      <c r="CU98" s="181"/>
      <c r="CV98" s="4261">
        <f>_Kapasitet!$U$89</f>
        <v>7.5</v>
      </c>
      <c r="CW98" s="181"/>
      <c r="CX98" s="4261">
        <f>_Kapasitet!$U$92</f>
        <v>15</v>
      </c>
      <c r="CY98" s="181"/>
      <c r="CZ98" s="4261">
        <f>_Kapasitet!$U$93</f>
        <v>7.5</v>
      </c>
      <c r="DA98" s="181"/>
      <c r="DB98" s="4262">
        <f>_Kapasitet!$U$80</f>
        <v>4</v>
      </c>
      <c r="DC98" s="181"/>
      <c r="DD98" s="4262">
        <f>_Kapasitet!$U$98</f>
        <v>15</v>
      </c>
      <c r="DE98" s="181"/>
      <c r="DF98" s="4262">
        <f>_Kapasitet!$U$99</f>
        <v>7.5</v>
      </c>
      <c r="DG98" s="181"/>
      <c r="DH98" s="4262">
        <f>_Kapasitet!$U$102</f>
        <v>8</v>
      </c>
      <c r="DI98" s="181"/>
      <c r="DJ98" s="4262">
        <f>_Kapasitet!$U$105</f>
        <v>15</v>
      </c>
      <c r="DK98" s="181"/>
      <c r="DL98" s="4262">
        <f>_Kapasitet!$U$106</f>
        <v>7.5</v>
      </c>
      <c r="DM98" s="181"/>
      <c r="DN98" s="181"/>
      <c r="DO98" s="181"/>
      <c r="LR98" s="2617"/>
      <c r="LS98" s="2617"/>
      <c r="LT98" s="2617"/>
      <c r="LU98" s="2617"/>
      <c r="LV98" s="2617"/>
      <c r="LW98" s="2617"/>
      <c r="LX98" s="2617"/>
      <c r="LY98" s="2617"/>
      <c r="LZ98" s="2617"/>
      <c r="MA98" s="2617"/>
      <c r="MB98" s="2617"/>
      <c r="MC98" s="2617"/>
      <c r="MD98" s="2617"/>
      <c r="ME98" s="2617"/>
      <c r="MF98" s="2617"/>
      <c r="MG98" s="2617"/>
      <c r="MH98" s="2617"/>
      <c r="MI98" s="2617"/>
      <c r="MJ98" s="2617"/>
      <c r="MK98" s="2617"/>
      <c r="ML98" s="2617"/>
      <c r="MM98" s="2617"/>
      <c r="MN98" s="2617"/>
      <c r="MO98" s="2617"/>
      <c r="MP98" s="2617"/>
      <c r="MQ98" s="2617"/>
      <c r="MR98" s="2617"/>
      <c r="MS98" s="2617"/>
      <c r="MT98" s="2617"/>
      <c r="MU98" s="2617"/>
      <c r="MV98" s="2617"/>
      <c r="MW98" s="2617"/>
      <c r="MX98" s="2617"/>
      <c r="MY98" s="2617"/>
      <c r="MZ98" s="2617"/>
      <c r="NA98" s="2617"/>
      <c r="NB98" s="2617"/>
      <c r="NC98" s="2617"/>
      <c r="ND98" s="2617"/>
      <c r="NE98" s="2617"/>
      <c r="NF98" s="2617"/>
      <c r="NG98" s="2617"/>
      <c r="NH98" s="2617"/>
      <c r="NI98" s="2617"/>
      <c r="NJ98" s="2617"/>
      <c r="NK98" s="2617"/>
      <c r="NL98" s="2617"/>
      <c r="NM98" s="2617"/>
      <c r="NN98" s="2617"/>
      <c r="NO98" s="2617"/>
      <c r="NP98" s="2617"/>
      <c r="NQ98" s="2617"/>
      <c r="NR98" s="2617"/>
      <c r="NS98" s="2617"/>
      <c r="NT98" s="2617"/>
      <c r="NU98" s="2617"/>
      <c r="NV98" s="2617"/>
      <c r="NW98" s="2617"/>
      <c r="NX98" s="2617"/>
      <c r="NY98" s="2617"/>
      <c r="NZ98" s="2617"/>
      <c r="OA98" s="2617"/>
      <c r="OB98" s="2617"/>
      <c r="OC98" s="2617"/>
      <c r="OD98" s="2617"/>
      <c r="OE98" s="2617"/>
      <c r="OF98" s="2617"/>
      <c r="OG98" s="2617"/>
      <c r="OH98" s="2617"/>
      <c r="OI98" s="2617"/>
      <c r="OJ98" s="2617"/>
      <c r="AEY98" s="2622"/>
      <c r="AEZ98" s="2622"/>
      <c r="AFA98" s="2622"/>
      <c r="AFB98" s="2622"/>
      <c r="AFC98" s="2622"/>
      <c r="AFD98" s="2622"/>
      <c r="AFE98" s="2622"/>
      <c r="AFF98" s="2622"/>
      <c r="AFG98" s="2737"/>
      <c r="AFO98" s="2622"/>
      <c r="AFP98" s="2737"/>
      <c r="AFX98" s="2622"/>
      <c r="AFZ98" s="2737"/>
      <c r="AGH98" s="2622"/>
      <c r="AGI98" s="2737"/>
      <c r="AGQ98" s="2622"/>
      <c r="AGR98" s="2737"/>
      <c r="AHA98" s="2622"/>
      <c r="AHB98" s="2737"/>
      <c r="AHI98" s="2622"/>
      <c r="AHJ98" s="2737"/>
      <c r="AHT98" s="2622"/>
      <c r="AHV98" s="2737"/>
      <c r="AID98" s="2622"/>
      <c r="AJN98" s="2622"/>
      <c r="AJP98" s="2737"/>
      <c r="AJX98" s="2622"/>
      <c r="AKD98" s="2737"/>
      <c r="AKL98" s="2622"/>
      <c r="AKT98" s="2622"/>
      <c r="ALB98" s="2622"/>
      <c r="ALM98" s="2737"/>
      <c r="ALU98" s="2622"/>
      <c r="ALW98" s="2737"/>
      <c r="ALX98" s="2737"/>
      <c r="AME98" s="2622"/>
      <c r="AMG98" s="2737"/>
      <c r="AMN98" s="2622"/>
      <c r="AMO98" s="2622"/>
      <c r="AMV98" s="2622"/>
      <c r="AMW98" s="2622"/>
      <c r="AOI98" s="2737"/>
      <c r="AOQ98" s="2622"/>
      <c r="AOZ98" s="2737"/>
      <c r="APH98" s="2622"/>
      <c r="APT98" s="2737"/>
      <c r="ASB98" s="2622"/>
      <c r="ASJ98" s="2737"/>
      <c r="ASK98" s="2737"/>
      <c r="ASL98" s="2737"/>
      <c r="ASM98" s="2737"/>
      <c r="ASN98" s="2737"/>
      <c r="ASO98" s="2737"/>
      <c r="ASP98" s="2737"/>
      <c r="ASQ98" s="2737"/>
      <c r="ASR98" s="2737"/>
      <c r="ASS98" s="2737"/>
      <c r="ATA98" s="4124"/>
      <c r="ATS98" s="2737"/>
      <c r="AUA98" s="2622"/>
      <c r="AUS98" s="2737"/>
      <c r="AUU98" s="2617"/>
      <c r="AUV98" s="3556" t="s">
        <v>1359</v>
      </c>
      <c r="AUW98" s="3560" t="s">
        <v>1351</v>
      </c>
      <c r="AUX98" s="3567" t="s">
        <v>1352</v>
      </c>
      <c r="AUY98" s="3567" t="s">
        <v>1353</v>
      </c>
      <c r="AUZ98" s="3557" t="s">
        <v>1354</v>
      </c>
      <c r="AVA98" s="3557" t="s">
        <v>1355</v>
      </c>
      <c r="AVB98" s="3557" t="s">
        <v>1356</v>
      </c>
      <c r="AVC98" s="3557" t="s">
        <v>1357</v>
      </c>
      <c r="AVD98" s="3557" t="s">
        <v>1358</v>
      </c>
      <c r="AVE98" s="3557" t="s">
        <v>2228</v>
      </c>
      <c r="AVF98" s="3557" t="s">
        <v>2229</v>
      </c>
      <c r="AVG98" s="3557" t="s">
        <v>2230</v>
      </c>
      <c r="AVH98" s="3557" t="s">
        <v>2231</v>
      </c>
      <c r="AVI98" s="3557" t="s">
        <v>2232</v>
      </c>
      <c r="AVJ98" s="3557" t="s">
        <v>2233</v>
      </c>
      <c r="AVK98" s="3557" t="s">
        <v>2234</v>
      </c>
      <c r="AVL98" s="3557" t="s">
        <v>2235</v>
      </c>
      <c r="AVM98" s="3557" t="s">
        <v>1360</v>
      </c>
      <c r="AVN98" s="3557" t="s">
        <v>1361</v>
      </c>
      <c r="AVO98" s="3557" t="s">
        <v>1362</v>
      </c>
      <c r="AVP98" s="3557" t="s">
        <v>1363</v>
      </c>
      <c r="AVQ98" s="3557" t="s">
        <v>1364</v>
      </c>
      <c r="AVR98" s="3557" t="s">
        <v>1365</v>
      </c>
      <c r="AVS98" s="3557" t="s">
        <v>1366</v>
      </c>
      <c r="AVT98" s="3557" t="s">
        <v>1367</v>
      </c>
      <c r="AVU98" s="3557" t="s">
        <v>1368</v>
      </c>
      <c r="AVV98" s="3557" t="s">
        <v>1369</v>
      </c>
      <c r="AVW98" s="3557" t="s">
        <v>1370</v>
      </c>
      <c r="AVX98" s="3557" t="s">
        <v>1371</v>
      </c>
      <c r="AVY98" s="3557" t="s">
        <v>1372</v>
      </c>
      <c r="AVZ98" s="3557" t="s">
        <v>1373</v>
      </c>
      <c r="AWA98" s="3557" t="s">
        <v>1374</v>
      </c>
      <c r="AWB98" s="3557" t="s">
        <v>1375</v>
      </c>
      <c r="AWC98" s="3557" t="s">
        <v>1376</v>
      </c>
      <c r="AWD98" s="3557" t="s">
        <v>1377</v>
      </c>
      <c r="AWE98" s="3557" t="s">
        <v>1378</v>
      </c>
      <c r="AWF98" s="3557" t="s">
        <v>1379</v>
      </c>
      <c r="AWG98" s="3557" t="s">
        <v>1380</v>
      </c>
      <c r="AWH98" s="3557" t="s">
        <v>1381</v>
      </c>
      <c r="AWI98" s="3557" t="s">
        <v>1382</v>
      </c>
      <c r="AWJ98" s="3557" t="s">
        <v>1383</v>
      </c>
      <c r="AWK98" s="3557" t="s">
        <v>1384</v>
      </c>
      <c r="AWL98" s="3557" t="s">
        <v>1385</v>
      </c>
      <c r="AWM98" s="3557" t="s">
        <v>1386</v>
      </c>
      <c r="AWN98" s="3557" t="s">
        <v>1387</v>
      </c>
      <c r="AWO98" s="3557" t="s">
        <v>1388</v>
      </c>
      <c r="AWP98" s="3557" t="s">
        <v>1389</v>
      </c>
      <c r="AWQ98" s="3557" t="s">
        <v>1390</v>
      </c>
      <c r="AWR98" s="3557" t="s">
        <v>1391</v>
      </c>
      <c r="AWS98" s="3557" t="s">
        <v>1393</v>
      </c>
      <c r="AWT98" s="3557" t="s">
        <v>1394</v>
      </c>
      <c r="AWU98" s="3557" t="s">
        <v>1395</v>
      </c>
      <c r="AWV98" s="3557" t="s">
        <v>1396</v>
      </c>
      <c r="AWW98" s="3557" t="s">
        <v>1397</v>
      </c>
      <c r="AWX98" s="3557" t="s">
        <v>1398</v>
      </c>
      <c r="AWY98" s="3557" t="s">
        <v>1399</v>
      </c>
      <c r="AWZ98" s="3557" t="s">
        <v>1400</v>
      </c>
      <c r="AXA98" s="3557" t="s">
        <v>1401</v>
      </c>
      <c r="AXB98" s="3557" t="s">
        <v>1402</v>
      </c>
      <c r="AXC98" s="3557" t="s">
        <v>1403</v>
      </c>
      <c r="AXD98" s="3557" t="s">
        <v>1404</v>
      </c>
      <c r="AXE98" s="3557" t="s">
        <v>1405</v>
      </c>
      <c r="AXF98" s="3557" t="s">
        <v>1406</v>
      </c>
      <c r="AXG98" s="3557" t="s">
        <v>1407</v>
      </c>
      <c r="AXH98" s="3557" t="s">
        <v>1408</v>
      </c>
      <c r="AXI98" s="3557" t="s">
        <v>1409</v>
      </c>
      <c r="AXJ98" s="2637" t="s">
        <v>1410</v>
      </c>
      <c r="AXK98" s="2637" t="s">
        <v>1411</v>
      </c>
      <c r="AXL98" s="2637" t="s">
        <v>1412</v>
      </c>
      <c r="AXM98" s="2637" t="s">
        <v>1413</v>
      </c>
      <c r="AXN98" s="2637" t="s">
        <v>1414</v>
      </c>
      <c r="AXO98" s="2637" t="s">
        <v>1415</v>
      </c>
      <c r="AXP98" s="2638" t="s">
        <v>1416</v>
      </c>
      <c r="AXQ98" s="2637" t="s">
        <v>1562</v>
      </c>
      <c r="AXR98" s="2637" t="s">
        <v>1563</v>
      </c>
      <c r="AXS98" s="2637" t="s">
        <v>1564</v>
      </c>
      <c r="AXT98" s="2637" t="s">
        <v>1565</v>
      </c>
      <c r="AXU98" s="2637" t="s">
        <v>1566</v>
      </c>
      <c r="AXV98" s="2637" t="s">
        <v>1567</v>
      </c>
      <c r="AXW98" s="2637" t="s">
        <v>1568</v>
      </c>
      <c r="AXX98" s="2637" t="s">
        <v>1569</v>
      </c>
      <c r="AXY98" s="2637" t="s">
        <v>1571</v>
      </c>
      <c r="AXZ98" s="2637" t="s">
        <v>1572</v>
      </c>
      <c r="AYA98" s="2637" t="s">
        <v>1573</v>
      </c>
      <c r="AYB98" s="2637" t="s">
        <v>1574</v>
      </c>
      <c r="AYC98" s="3557" t="s">
        <v>1575</v>
      </c>
      <c r="AYD98" s="3557" t="s">
        <v>1576</v>
      </c>
      <c r="AYE98" s="3557" t="s">
        <v>1577</v>
      </c>
      <c r="AYF98" s="3557" t="s">
        <v>1578</v>
      </c>
      <c r="BCJ98" s="2617"/>
      <c r="BCK98" s="2617"/>
      <c r="BCL98" s="2617"/>
      <c r="BCM98" s="2617"/>
      <c r="BCN98" s="2617"/>
      <c r="BCO98" s="2617"/>
      <c r="BCP98" s="2617"/>
      <c r="BDJ98" s="2622"/>
      <c r="BDK98" s="2622"/>
      <c r="BDQ98" s="2617"/>
      <c r="BDR98" s="2617"/>
      <c r="BDX98" s="2622"/>
      <c r="BDY98" s="2622"/>
      <c r="BEE98" s="2617"/>
      <c r="BEG98" s="2622"/>
      <c r="BEI98" s="2622"/>
      <c r="BEJ98" s="2622"/>
      <c r="BEK98" s="2622"/>
      <c r="BEL98" s="2622"/>
      <c r="BEO98" s="2622"/>
      <c r="BFL98" s="3400"/>
    </row>
    <row r="99" spans="34:1021 1028:1521" ht="20.100000000000001" customHeight="1" x14ac:dyDescent="0.2">
      <c r="AV99" s="2622"/>
      <c r="AW99" s="2622"/>
      <c r="AX99" s="2622"/>
      <c r="CG99" s="4248" t="s">
        <v>865</v>
      </c>
      <c r="CH99" s="314" t="s">
        <v>2111</v>
      </c>
      <c r="CI99" s="314" t="s">
        <v>2110</v>
      </c>
      <c r="CJ99" s="314" t="s">
        <v>2103</v>
      </c>
      <c r="CK99" s="247" t="s">
        <v>2104</v>
      </c>
      <c r="CL99" s="314" t="s">
        <v>2105</v>
      </c>
      <c r="CM99" s="247" t="s">
        <v>2106</v>
      </c>
      <c r="CN99" s="314" t="s">
        <v>2107</v>
      </c>
      <c r="CO99" s="314" t="s">
        <v>2108</v>
      </c>
      <c r="CP99" s="314" t="s">
        <v>2109</v>
      </c>
      <c r="CQ99" s="1766" t="s">
        <v>2112</v>
      </c>
      <c r="CR99" s="314" t="s">
        <v>2113</v>
      </c>
      <c r="CS99" s="314" t="s">
        <v>2114</v>
      </c>
      <c r="CT99" s="314" t="s">
        <v>2117</v>
      </c>
      <c r="CU99" s="314" t="s">
        <v>2118</v>
      </c>
      <c r="CV99" s="314" t="s">
        <v>2119</v>
      </c>
      <c r="CW99" s="314" t="s">
        <v>2120</v>
      </c>
      <c r="CX99" s="314" t="s">
        <v>2121</v>
      </c>
      <c r="CY99" s="314" t="s">
        <v>2122</v>
      </c>
      <c r="CZ99" s="314" t="s">
        <v>2123</v>
      </c>
      <c r="DA99" s="314" t="s">
        <v>2124</v>
      </c>
      <c r="DB99" s="314" t="s">
        <v>2125</v>
      </c>
      <c r="DC99" s="314" t="s">
        <v>2126</v>
      </c>
      <c r="DD99" s="314" t="s">
        <v>2127</v>
      </c>
      <c r="DE99" s="314" t="s">
        <v>2128</v>
      </c>
      <c r="DF99" s="314" t="s">
        <v>2129</v>
      </c>
      <c r="DG99" s="314" t="s">
        <v>2130</v>
      </c>
      <c r="DH99" s="314" t="s">
        <v>2131</v>
      </c>
      <c r="DI99" s="314" t="s">
        <v>2132</v>
      </c>
      <c r="DJ99" s="314" t="s">
        <v>2133</v>
      </c>
      <c r="DK99" s="314" t="s">
        <v>2134</v>
      </c>
      <c r="DL99" s="314" t="s">
        <v>2135</v>
      </c>
      <c r="DM99" s="314" t="s">
        <v>2136</v>
      </c>
      <c r="DN99" s="314" t="s">
        <v>1814</v>
      </c>
      <c r="DO99" s="314" t="s">
        <v>187</v>
      </c>
      <c r="DP99" s="247" t="s">
        <v>618</v>
      </c>
      <c r="DQ99" s="247" t="s">
        <v>651</v>
      </c>
      <c r="DR99" s="247" t="s">
        <v>999</v>
      </c>
      <c r="DS99" s="247" t="s">
        <v>1000</v>
      </c>
      <c r="DT99" s="247" t="s">
        <v>1063</v>
      </c>
      <c r="DU99" s="247" t="s">
        <v>1064</v>
      </c>
      <c r="DV99" s="247" t="s">
        <v>1682</v>
      </c>
      <c r="DW99" s="247" t="s">
        <v>1591</v>
      </c>
      <c r="DX99" s="247" t="s">
        <v>1661</v>
      </c>
      <c r="DY99" s="247" t="s">
        <v>1662</v>
      </c>
      <c r="DZ99" s="247" t="s">
        <v>1240</v>
      </c>
      <c r="EA99" s="247" t="s">
        <v>1241</v>
      </c>
      <c r="EB99" s="247" t="s">
        <v>1242</v>
      </c>
      <c r="EC99" s="247" t="s">
        <v>1683</v>
      </c>
      <c r="ED99" s="247" t="s">
        <v>1684</v>
      </c>
      <c r="EE99" s="247" t="s">
        <v>1685</v>
      </c>
      <c r="EF99" s="247" t="s">
        <v>1686</v>
      </c>
      <c r="EG99" s="247" t="s">
        <v>1687</v>
      </c>
      <c r="EH99" s="247" t="s">
        <v>1688</v>
      </c>
      <c r="EI99" s="247" t="s">
        <v>1689</v>
      </c>
      <c r="EJ99" s="247" t="s">
        <v>1690</v>
      </c>
      <c r="EK99" s="247" t="s">
        <v>1691</v>
      </c>
      <c r="EL99" s="247" t="s">
        <v>1812</v>
      </c>
      <c r="EM99" s="247" t="s">
        <v>1813</v>
      </c>
      <c r="EN99" s="247" t="s">
        <v>2137</v>
      </c>
      <c r="LR99" s="2617"/>
      <c r="LS99" s="2617"/>
      <c r="LT99" s="2617"/>
      <c r="LU99" s="2617"/>
      <c r="LV99" s="2617"/>
      <c r="LW99" s="2617"/>
      <c r="LX99" s="2617"/>
      <c r="LY99" s="2617"/>
      <c r="LZ99" s="2617"/>
      <c r="MA99" s="2617"/>
      <c r="MB99" s="2617"/>
      <c r="MC99" s="2617"/>
      <c r="MD99" s="2617"/>
      <c r="ME99" s="2617"/>
      <c r="MF99" s="2617"/>
      <c r="MG99" s="2617"/>
      <c r="MH99" s="2617"/>
      <c r="MI99" s="2617"/>
      <c r="MJ99" s="2617"/>
      <c r="MK99" s="2617"/>
      <c r="ML99" s="2617"/>
      <c r="MM99" s="2617"/>
      <c r="MN99" s="2617"/>
      <c r="MO99" s="2617"/>
      <c r="MP99" s="2617"/>
      <c r="MQ99" s="2617"/>
      <c r="MR99" s="2617"/>
      <c r="MS99" s="2617"/>
      <c r="MT99" s="2617"/>
      <c r="MU99" s="2617"/>
      <c r="MV99" s="2617"/>
      <c r="MW99" s="2617"/>
      <c r="MX99" s="2617"/>
      <c r="MY99" s="2617"/>
      <c r="MZ99" s="2617"/>
      <c r="NA99" s="2617"/>
      <c r="NB99" s="2617"/>
      <c r="NC99" s="2617"/>
      <c r="ND99" s="2617"/>
      <c r="NE99" s="2617"/>
      <c r="NF99" s="2617"/>
      <c r="NG99" s="2617"/>
      <c r="NH99" s="2617"/>
      <c r="NI99" s="2617"/>
      <c r="NJ99" s="2617"/>
      <c r="NK99" s="2617"/>
      <c r="NL99" s="2617"/>
      <c r="NM99" s="2617"/>
      <c r="NN99" s="2617"/>
      <c r="NO99" s="2617"/>
      <c r="NP99" s="2617"/>
      <c r="NQ99" s="2617"/>
      <c r="NR99" s="2617"/>
      <c r="NS99" s="2617"/>
      <c r="NT99" s="2617"/>
      <c r="NU99" s="2617"/>
      <c r="NV99" s="2617"/>
      <c r="NW99" s="2617"/>
      <c r="NX99" s="2617"/>
      <c r="NY99" s="2617"/>
      <c r="NZ99" s="2617"/>
      <c r="OA99" s="2617"/>
      <c r="OB99" s="2617"/>
      <c r="OC99" s="2617"/>
      <c r="OD99" s="2617"/>
      <c r="OE99" s="2617"/>
      <c r="OF99" s="2617"/>
      <c r="OG99" s="2617"/>
      <c r="OH99" s="2617"/>
      <c r="OI99" s="2617"/>
      <c r="OJ99" s="2617"/>
      <c r="AEY99" s="2622"/>
      <c r="AEZ99" s="2622"/>
      <c r="AFA99" s="2622"/>
      <c r="AFB99" s="2622"/>
      <c r="AFC99" s="2622"/>
      <c r="AFD99" s="2622"/>
      <c r="AFE99" s="2622"/>
      <c r="AFF99" s="2622"/>
      <c r="AFG99" s="2737"/>
      <c r="AFO99" s="2622"/>
      <c r="AFP99" s="2737"/>
      <c r="AFX99" s="2622"/>
      <c r="AFZ99" s="2737"/>
      <c r="AGH99" s="2622"/>
      <c r="AGI99" s="2737"/>
      <c r="AGQ99" s="2622"/>
      <c r="AGR99" s="2737"/>
      <c r="AHA99" s="2622"/>
      <c r="AHB99" s="2737"/>
      <c r="AHI99" s="2622"/>
      <c r="AHJ99" s="2737"/>
      <c r="AHT99" s="2622"/>
      <c r="AHV99" s="2737"/>
      <c r="AID99" s="2622"/>
      <c r="AJN99" s="2622"/>
      <c r="AJP99" s="2737"/>
      <c r="AJX99" s="2622"/>
      <c r="AKD99" s="2737"/>
      <c r="AKL99" s="2622"/>
      <c r="AKT99" s="2622"/>
      <c r="ALB99" s="2622"/>
      <c r="ALM99" s="2737"/>
      <c r="ALU99" s="2622"/>
      <c r="ALW99" s="2737"/>
      <c r="ALX99" s="2737"/>
      <c r="AME99" s="2622"/>
      <c r="AMG99" s="2737"/>
      <c r="AMN99" s="2622"/>
      <c r="AMO99" s="2622"/>
      <c r="AMV99" s="2622"/>
      <c r="AMW99" s="2622"/>
      <c r="AOI99" s="2737"/>
      <c r="AOQ99" s="2622"/>
      <c r="AOZ99" s="2737"/>
      <c r="APH99" s="2622"/>
      <c r="APT99" s="2737"/>
      <c r="ASB99" s="2622"/>
      <c r="ASJ99" s="2737"/>
      <c r="ASK99" s="2737"/>
      <c r="ASL99" s="2737"/>
      <c r="ASM99" s="2737"/>
      <c r="ASN99" s="2737"/>
      <c r="ASO99" s="2737"/>
      <c r="ASP99" s="2737"/>
      <c r="ASQ99" s="2737"/>
      <c r="ASR99" s="2737"/>
      <c r="ASS99" s="2737"/>
      <c r="ATA99" s="4124"/>
      <c r="ATS99" s="2737"/>
      <c r="AUA99" s="2622"/>
      <c r="AUS99" s="2737"/>
      <c r="AUU99" s="2617"/>
      <c r="AUV99" s="2629" t="s">
        <v>1267</v>
      </c>
      <c r="AUW99" s="3561" t="s">
        <v>18</v>
      </c>
      <c r="AUX99" s="1767" t="s">
        <v>18</v>
      </c>
      <c r="AUY99" s="1767" t="s">
        <v>18</v>
      </c>
      <c r="AUZ99" s="1811" t="s">
        <v>18</v>
      </c>
      <c r="AVA99" s="1811" t="s">
        <v>18</v>
      </c>
      <c r="AVB99" s="1811" t="s">
        <v>1580</v>
      </c>
      <c r="AVC99" s="1811" t="s">
        <v>1581</v>
      </c>
      <c r="AVD99" s="1811" t="s">
        <v>1581</v>
      </c>
      <c r="AVE99" s="5169">
        <v>0</v>
      </c>
      <c r="AVF99" s="5169">
        <v>0</v>
      </c>
      <c r="AVG99" s="5169">
        <v>0</v>
      </c>
      <c r="AVH99" s="5169">
        <v>0</v>
      </c>
      <c r="AVI99" s="5169">
        <v>0</v>
      </c>
      <c r="AVJ99" s="5169">
        <v>1</v>
      </c>
      <c r="AVK99" s="5169">
        <v>1</v>
      </c>
      <c r="AVL99" s="5169">
        <v>1</v>
      </c>
      <c r="AVM99" s="3561" t="s">
        <v>18</v>
      </c>
      <c r="AVN99" s="1811" t="s">
        <v>18</v>
      </c>
      <c r="AVO99" s="1811" t="s">
        <v>18</v>
      </c>
      <c r="AVP99" s="1811" t="s">
        <v>18</v>
      </c>
      <c r="AVQ99" s="1811" t="s">
        <v>18</v>
      </c>
      <c r="AVR99" s="1811">
        <v>1.5</v>
      </c>
      <c r="AVS99" s="1811">
        <v>1</v>
      </c>
      <c r="AVT99" s="1811">
        <v>1</v>
      </c>
      <c r="AVU99" s="3561" t="s">
        <v>18</v>
      </c>
      <c r="AVV99" s="1811" t="s">
        <v>18</v>
      </c>
      <c r="AVW99" s="1811" t="s">
        <v>18</v>
      </c>
      <c r="AVX99" s="1811" t="s">
        <v>18</v>
      </c>
      <c r="AVY99" s="1811" t="s">
        <v>18</v>
      </c>
      <c r="AVZ99" s="2985">
        <v>1.5</v>
      </c>
      <c r="AWA99" s="2985">
        <v>1</v>
      </c>
      <c r="AWB99" s="2985">
        <v>0.75</v>
      </c>
      <c r="AWC99" s="3565" t="s">
        <v>18</v>
      </c>
      <c r="AWD99" s="2985" t="s">
        <v>18</v>
      </c>
      <c r="AWE99" s="2985" t="s">
        <v>18</v>
      </c>
      <c r="AWF99" s="2985" t="s">
        <v>18</v>
      </c>
      <c r="AWG99" s="2985" t="s">
        <v>18</v>
      </c>
      <c r="AWH99" s="2985">
        <v>1</v>
      </c>
      <c r="AWI99" s="2985">
        <v>1</v>
      </c>
      <c r="AWJ99" s="2985">
        <v>1</v>
      </c>
      <c r="AWK99" s="2985" t="s">
        <v>18</v>
      </c>
      <c r="AWL99" s="2985" t="s">
        <v>18</v>
      </c>
      <c r="AWM99" s="2985" t="s">
        <v>18</v>
      </c>
      <c r="AWN99" s="2985" t="s">
        <v>18</v>
      </c>
      <c r="AWO99" s="2985" t="s">
        <v>18</v>
      </c>
      <c r="AWP99" s="2985">
        <f>1-klasseqty_buer[[#This Row],[radiellebolter_lt4_e2]]</f>
        <v>0</v>
      </c>
      <c r="AWQ99" s="2985">
        <f>1-klasseqty_buer[[#This Row],[radiellebolter_lt4_f]]</f>
        <v>0</v>
      </c>
      <c r="AWR99" s="2985">
        <f>1-klasseqty_buer[[#This Row],[radiellebolter_lt4_g]]</f>
        <v>0</v>
      </c>
      <c r="AWS99" s="2985" t="s">
        <v>18</v>
      </c>
      <c r="AWT99" s="2985" t="s">
        <v>18</v>
      </c>
      <c r="AWU99" s="2985" t="s">
        <v>18</v>
      </c>
      <c r="AWV99" s="2985" t="s">
        <v>18</v>
      </c>
      <c r="AWW99" s="2985" t="s">
        <v>18</v>
      </c>
      <c r="AWX99" s="2985">
        <v>2</v>
      </c>
      <c r="AWY99" s="2985">
        <v>4</v>
      </c>
      <c r="AWZ99" s="2985">
        <v>4</v>
      </c>
      <c r="AXA99" s="2985" t="s">
        <v>18</v>
      </c>
      <c r="AXB99" s="2985" t="s">
        <v>18</v>
      </c>
      <c r="AXC99" s="2985" t="s">
        <v>18</v>
      </c>
      <c r="AXD99" s="2985" t="s">
        <v>18</v>
      </c>
      <c r="AXE99" s="2985" t="s">
        <v>18</v>
      </c>
      <c r="AXF99" s="2985">
        <v>0</v>
      </c>
      <c r="AXG99" s="2985">
        <v>0</v>
      </c>
      <c r="AXH99" s="2985">
        <v>0</v>
      </c>
      <c r="AXI99" s="2985" t="s">
        <v>18</v>
      </c>
      <c r="AXJ99" s="2985" t="s">
        <v>18</v>
      </c>
      <c r="AXK99" s="2985" t="s">
        <v>18</v>
      </c>
      <c r="AXL99" s="2985" t="s">
        <v>18</v>
      </c>
      <c r="AXM99" s="2985" t="s">
        <v>18</v>
      </c>
      <c r="AXN99" s="2985">
        <f t="shared" ref="AXN99:AXP102" si="324">1-AXF99</f>
        <v>1</v>
      </c>
      <c r="AXO99" s="2985">
        <f t="shared" si="324"/>
        <v>1</v>
      </c>
      <c r="AXP99" s="3563">
        <f t="shared" si="324"/>
        <v>1</v>
      </c>
      <c r="AXQ99" s="3566"/>
      <c r="AXR99" s="3566"/>
      <c r="AXS99" s="3566"/>
      <c r="AXT99" s="3566"/>
      <c r="AXU99" s="3566"/>
      <c r="AXV99" s="3749">
        <v>0.30420000000000003</v>
      </c>
      <c r="AXW99" s="3749">
        <v>0.47220000000000006</v>
      </c>
      <c r="AXX99" s="3749">
        <v>0.47220000000000006</v>
      </c>
      <c r="AXY99" s="3749"/>
      <c r="AXZ99" s="3749"/>
      <c r="AYA99" s="3749"/>
      <c r="AYB99" s="3749"/>
      <c r="AYC99" s="3749"/>
      <c r="AYD99" s="3802">
        <v>0.5</v>
      </c>
      <c r="AYE99" s="3802">
        <v>0.8</v>
      </c>
      <c r="AYF99" s="3802">
        <v>0.8</v>
      </c>
      <c r="BCJ99" s="2617"/>
      <c r="BCK99" s="2617"/>
      <c r="BCL99" s="2617"/>
      <c r="BCM99" s="2617"/>
      <c r="BCN99" s="2617"/>
      <c r="BCO99" s="2617"/>
      <c r="BCP99" s="2617"/>
      <c r="BDJ99" s="2622"/>
      <c r="BDK99" s="2622"/>
      <c r="BDQ99" s="2617"/>
      <c r="BDR99" s="2617"/>
      <c r="BDX99" s="2622"/>
      <c r="BDY99" s="2622"/>
      <c r="BEE99" s="2617"/>
      <c r="BEG99" s="2622"/>
      <c r="BEI99" s="2622"/>
      <c r="BEJ99" s="2622"/>
      <c r="BEK99" s="2622"/>
      <c r="BEL99" s="2622"/>
      <c r="BEO99" s="2622"/>
      <c r="BFL99" s="3398"/>
    </row>
    <row r="100" spans="34:1021 1028:1521" ht="20.100000000000001" customHeight="1" x14ac:dyDescent="0.2">
      <c r="AV100" s="2622"/>
      <c r="AW100" s="2622"/>
      <c r="AX100" s="2622"/>
      <c r="CG100" s="4196" t="s">
        <v>189</v>
      </c>
      <c r="CH100" s="316"/>
      <c r="CI100" s="1759" t="s">
        <v>893</v>
      </c>
      <c r="CJ100" s="4257" t="e">
        <f t="shared" ref="CJ100:CJ107" si="325">$ABR42/$ABH42/60</f>
        <v>#N/A</v>
      </c>
      <c r="CK100" s="4257" t="e">
        <f>klasse_kapasitet[[#This Row],[Manuell_rate]]/CJ$98/$AI$40</f>
        <v>#N/A</v>
      </c>
      <c r="CL100" s="4257" t="e">
        <f t="shared" ref="CL100:CL107" si="326">$ACB42/$ABH42/60</f>
        <v>#N/A</v>
      </c>
      <c r="CM100" s="4257" t="e">
        <f>klasse_kapasitet[[#This Row],[Kartlegging_rate]]/CL$98/$AI$40</f>
        <v>#N/A</v>
      </c>
      <c r="CN100" s="4257" t="e">
        <f t="shared" ref="CN100:CN107" si="327">($AI$46/($ACL42^2)*$ACU42)+(($AI$42*2)/($ADN42^2)*$ADX42)</f>
        <v>#N/A</v>
      </c>
      <c r="CO100" s="4257" t="e">
        <f>klasse_kapasitet[[#This Row],[Bolting_lt4_rate]]/CN$98/$AI$40</f>
        <v>#N/A</v>
      </c>
      <c r="CP100" s="4257" t="e">
        <f t="shared" ref="CP100:CP107" si="328">($AI$46/($ACL42^2)*$ADD42)+(($AI$42*2)/($ADN42^2)*$AEF42)</f>
        <v>#N/A</v>
      </c>
      <c r="CQ100" s="4258" t="e">
        <f>klasse_kapasitet[[#This Row],[Bolting_gt4_rate]]/CP$98/$AI$40</f>
        <v>#N/A</v>
      </c>
      <c r="CR100" s="4260" t="e">
        <f t="shared" ref="CR100:CR107" si="329">($AI$46*$AHW42*$AIQ42/1000)+(($AI$42*2)*$AIG42*$AIQ42/1000)</f>
        <v>#N/A</v>
      </c>
      <c r="CS100" s="4258" t="e">
        <f>klasse_kapasitet[[#This Row],[sprøytebetong_rate]]/CR$98/$AI$40</f>
        <v>#N/A</v>
      </c>
      <c r="CT100" s="4260" t="e">
        <f>IF($APM42=_List!$DQ$7,($AI$46*$AQC42*$AOV42)/($ABH42*$APU42),IF($APM42=_List!$DQ$8,($AI$40*$AQC42*$AOV42)/($ABH42*$APU42),0))</f>
        <v>#N/A</v>
      </c>
      <c r="CU100" s="4258" t="e">
        <f>klasse_kapasitet[[#This Row],[forbolting_lt4_rate]]/CT$98/$AI$40</f>
        <v>#N/A</v>
      </c>
      <c r="CV100" s="4260" t="e">
        <f>IF($APM42=_List!$DQ$7,($AI$46*$AQL42*$AOV42)/($ABH42*$APU42),IF($APM42=_List!$DQ$8,($AI$40*$AQL42*$AOV42)/($ABH42*$APU42),0))</f>
        <v>#N/A</v>
      </c>
      <c r="CW100" s="4258" t="e">
        <f>klasse_kapasitet[[#This Row],[forbolting_gt4_rate]]/CV$98/$AI$40</f>
        <v>#N/A</v>
      </c>
      <c r="CX100" s="4260" t="e">
        <f>IF($APM42=_List!$DQ$7,($AI$46*$ARC42*$AOV42)/($ABH42*$AQU42),IF($APM42=_List!$DQ$8,($AI$40*$ARC42*$AOV42)/($ABH42*$AQU42),0))</f>
        <v>#N/A</v>
      </c>
      <c r="CY100" s="4258" t="e">
        <f>klasse_kapasitet[[#This Row],[opphengbolter_lt4_rate]]/CX$98/$AI$40</f>
        <v>#N/A</v>
      </c>
      <c r="CZ100" s="4260" t="e">
        <f>IF($APM42=_List!$DQ$7,($AI$46*$ARL42*$AOV42)/($ABH42*$AQU42),IF($APM42=_List!$DQ$8,($AI$40*$ARL42*$AOV42)/($ABH42*$AQU42),0))</f>
        <v>#N/A</v>
      </c>
      <c r="DA100" s="4258" t="e">
        <f>klasse_kapasitet[[#This Row],[opphengbolter_gt4_rate]]/CZ$98/$AI$40</f>
        <v>#N/A</v>
      </c>
      <c r="DB100" s="4260">
        <f t="shared" ref="DB100:DB107" si="330">IFERROR($AI$40/$AJQ42,0)</f>
        <v>0</v>
      </c>
      <c r="DC100" s="4258" t="e">
        <f>klasse_kapasitet[[#This Row],[bue_rate]]/DB$98/$AI$40</f>
        <v>#N/A</v>
      </c>
      <c r="DD100" s="4260">
        <f t="shared" ref="DD100:DD107" si="331">IFERROR($AI$40*$AKS42/($AJQ42*$AKK42),0)</f>
        <v>0</v>
      </c>
      <c r="DE100" s="4260" t="e">
        <f>klasse_kapasitet[[#This Row],[radiellebolter_lt4_rate]]/DD$98/$AI$40</f>
        <v>#N/A</v>
      </c>
      <c r="DF100" s="4260">
        <f t="shared" ref="DF100:DF107" si="332">IFERROR($AI$40*$ALB42/($AJQ42*$AKK42),0)</f>
        <v>0</v>
      </c>
      <c r="DG100" s="4260" t="e">
        <f>klasse_kapasitet[[#This Row],[radiellebolter_gt4_rate]]/DF$98/$AI$40</f>
        <v>#N/A</v>
      </c>
      <c r="DH100" s="4260">
        <f t="shared" ref="DH100:DH107" si="333">IFERROR($AI$40*$ALK42/$AJQ42,0)</f>
        <v>0</v>
      </c>
      <c r="DI100" s="4260" t="e">
        <f>klasse_kapasitet[[#This Row],[bue_tilleggs_sprøyte_rate]]/DH$98/$AI$40</f>
        <v>#N/A</v>
      </c>
      <c r="DJ100" s="4260">
        <f t="shared" ref="DJ100:DJ107" si="334">IFERROR($ALU42*$AMD42/$AJQ42,0)</f>
        <v>0</v>
      </c>
      <c r="DK100" s="4260" t="e">
        <f>klasse_kapasitet[[#This Row],[forankring_lt4_rate]]/DJ$98/$AI$40</f>
        <v>#N/A</v>
      </c>
      <c r="DL100" s="4260">
        <f t="shared" ref="DL100:DL107" si="335">IFERROR($ALU42*$AMM42/$AJQ42,0)</f>
        <v>0</v>
      </c>
      <c r="DM100" s="4260" t="e">
        <f>klasse_kapasitet[[#This Row],[forankring_gt4_rate]]/DL$98/$AI$40</f>
        <v>#N/A</v>
      </c>
      <c r="DN100" s="4260"/>
      <c r="DO100" s="4260"/>
      <c r="DP100" s="4264"/>
      <c r="DQ100" s="4264"/>
      <c r="DR100" s="4264"/>
      <c r="DS100" s="4264"/>
      <c r="DT100" s="4264"/>
      <c r="DU100" s="4264"/>
      <c r="DV100" s="4264"/>
      <c r="DW100" s="4264"/>
      <c r="DX100" s="4264"/>
      <c r="DY100" s="4264"/>
      <c r="DZ100" s="4264"/>
      <c r="EA100" s="4264"/>
      <c r="EB100" s="4264"/>
      <c r="EC100" s="4264"/>
      <c r="ED100" s="4264"/>
      <c r="EE100" s="4264"/>
      <c r="EF100" s="4264"/>
      <c r="EG100" s="4264"/>
      <c r="EH100" s="4264"/>
      <c r="EI100" s="4264"/>
      <c r="EJ100" s="4264"/>
      <c r="EK100" s="4264"/>
      <c r="EL100" s="4264"/>
      <c r="EM100" s="4264"/>
      <c r="EN100"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0" s="4276"/>
      <c r="LR100" s="2617"/>
      <c r="LS100" s="2617"/>
      <c r="LT100" s="2617"/>
      <c r="LU100" s="2617"/>
      <c r="LV100" s="2617"/>
      <c r="LW100" s="2617"/>
      <c r="LX100" s="2617"/>
      <c r="LY100" s="2617"/>
      <c r="LZ100" s="2617"/>
      <c r="MA100" s="2617"/>
      <c r="MB100" s="2617"/>
      <c r="MC100" s="2617"/>
      <c r="MD100" s="2617"/>
      <c r="ME100" s="2617"/>
      <c r="MF100" s="2617"/>
      <c r="MG100" s="2617"/>
      <c r="MH100" s="2617"/>
      <c r="MI100" s="2617"/>
      <c r="MJ100" s="2617"/>
      <c r="MK100" s="2617"/>
      <c r="ML100" s="2617"/>
      <c r="MM100" s="2617"/>
      <c r="MN100" s="2617"/>
      <c r="MO100" s="2617"/>
      <c r="MP100" s="2617"/>
      <c r="MQ100" s="2617"/>
      <c r="MR100" s="2617"/>
      <c r="MS100" s="2617"/>
      <c r="MT100" s="2617"/>
      <c r="MU100" s="2617"/>
      <c r="MV100" s="2617"/>
      <c r="MW100" s="2617"/>
      <c r="MX100" s="2617"/>
      <c r="MY100" s="2617"/>
      <c r="MZ100" s="2617"/>
      <c r="NA100" s="2617"/>
      <c r="NB100" s="2617"/>
      <c r="NC100" s="2617"/>
      <c r="ND100" s="2617"/>
      <c r="NE100" s="2617"/>
      <c r="NF100" s="2617"/>
      <c r="NG100" s="2617"/>
      <c r="NH100" s="2617"/>
      <c r="NI100" s="2617"/>
      <c r="NJ100" s="2617"/>
      <c r="NK100" s="2617"/>
      <c r="NL100" s="2617"/>
      <c r="NM100" s="2617"/>
      <c r="NN100" s="2617"/>
      <c r="NO100" s="2617"/>
      <c r="NP100" s="2617"/>
      <c r="NQ100" s="2617"/>
      <c r="NR100" s="2617"/>
      <c r="NS100" s="2617"/>
      <c r="NT100" s="2617"/>
      <c r="NU100" s="2617"/>
      <c r="NV100" s="2617"/>
      <c r="NW100" s="2617"/>
      <c r="NX100" s="2617"/>
      <c r="NY100" s="2617"/>
      <c r="NZ100" s="2617"/>
      <c r="OA100" s="2617"/>
      <c r="OB100" s="2617"/>
      <c r="OC100" s="2617"/>
      <c r="OD100" s="2617"/>
      <c r="OE100" s="2617"/>
      <c r="OF100" s="2617"/>
      <c r="OG100" s="2617"/>
      <c r="OH100" s="2617"/>
      <c r="OI100" s="2617"/>
      <c r="OJ100" s="2617"/>
      <c r="AEY100" s="2622"/>
      <c r="AEZ100" s="2622"/>
      <c r="AFA100" s="2622"/>
      <c r="AFB100" s="2622"/>
      <c r="AFC100" s="2622"/>
      <c r="AFD100" s="2622"/>
      <c r="AFE100" s="2622"/>
      <c r="AFF100" s="2622"/>
      <c r="AFG100" s="2737"/>
      <c r="AFO100" s="2622"/>
      <c r="AFP100" s="2737"/>
      <c r="AFX100" s="2622"/>
      <c r="AFZ100" s="2737"/>
      <c r="AGH100" s="2622"/>
      <c r="AGI100" s="2737"/>
      <c r="AGQ100" s="2622"/>
      <c r="AGR100" s="2737"/>
      <c r="AHA100" s="2622"/>
      <c r="AHB100" s="2737"/>
      <c r="AHI100" s="2622"/>
      <c r="AHJ100" s="2737"/>
      <c r="AHT100" s="2622"/>
      <c r="AHV100" s="2737"/>
      <c r="AID100" s="2622"/>
      <c r="AJN100" s="2622"/>
      <c r="AJP100" s="2737"/>
      <c r="AJX100" s="2622"/>
      <c r="AKD100" s="2737"/>
      <c r="AKL100" s="2622"/>
      <c r="AKT100" s="2622"/>
      <c r="ALB100" s="2622"/>
      <c r="ALM100" s="2737"/>
      <c r="ALU100" s="2622"/>
      <c r="ALW100" s="2737"/>
      <c r="ALX100" s="2737"/>
      <c r="AME100" s="2622"/>
      <c r="AMG100" s="2737"/>
      <c r="AMN100" s="2622"/>
      <c r="AMO100" s="2622"/>
      <c r="AMV100" s="2622"/>
      <c r="AMW100" s="2622"/>
      <c r="AOI100" s="2737"/>
      <c r="AOQ100" s="2622"/>
      <c r="AOZ100" s="2737"/>
      <c r="APH100" s="2622"/>
      <c r="APT100" s="2737"/>
      <c r="ASB100" s="2622"/>
      <c r="ASJ100" s="2737"/>
      <c r="ASK100" s="2737"/>
      <c r="ASL100" s="2737"/>
      <c r="ASM100" s="2737"/>
      <c r="ASN100" s="2737"/>
      <c r="ASO100" s="2737"/>
      <c r="ASP100" s="2737"/>
      <c r="ASQ100" s="2737"/>
      <c r="ASR100" s="2737"/>
      <c r="ASS100" s="2737"/>
      <c r="ATA100" s="4124"/>
      <c r="ATS100" s="2737"/>
      <c r="AUA100" s="2622"/>
      <c r="AUS100" s="2737"/>
      <c r="AUU100" s="2617"/>
      <c r="AUV100" s="2629" t="s">
        <v>1268</v>
      </c>
      <c r="AUW100" s="1811" t="s">
        <v>18</v>
      </c>
      <c r="AUX100" s="1767" t="s">
        <v>18</v>
      </c>
      <c r="AUY100" s="1767" t="s">
        <v>18</v>
      </c>
      <c r="AUZ100" s="1811" t="s">
        <v>18</v>
      </c>
      <c r="AVA100" s="1811" t="s">
        <v>18</v>
      </c>
      <c r="AVB100" s="1811" t="s">
        <v>1580</v>
      </c>
      <c r="AVC100" s="1811" t="s">
        <v>1581</v>
      </c>
      <c r="AVD100" s="1811" t="s">
        <v>1581</v>
      </c>
      <c r="AVE100" s="5169">
        <v>0</v>
      </c>
      <c r="AVF100" s="5169">
        <v>0</v>
      </c>
      <c r="AVG100" s="5169">
        <v>0</v>
      </c>
      <c r="AVH100" s="5169">
        <v>0</v>
      </c>
      <c r="AVI100" s="5169">
        <v>0</v>
      </c>
      <c r="AVJ100" s="5169">
        <v>1</v>
      </c>
      <c r="AVK100" s="5169">
        <v>1</v>
      </c>
      <c r="AVL100" s="5169">
        <v>1</v>
      </c>
      <c r="AVM100" s="1811" t="s">
        <v>18</v>
      </c>
      <c r="AVN100" s="1811" t="s">
        <v>18</v>
      </c>
      <c r="AVO100" s="1811" t="s">
        <v>18</v>
      </c>
      <c r="AVP100" s="1811" t="s">
        <v>18</v>
      </c>
      <c r="AVQ100" s="1811" t="s">
        <v>18</v>
      </c>
      <c r="AVR100" s="1811">
        <v>1.5</v>
      </c>
      <c r="AVS100" s="1811">
        <v>1</v>
      </c>
      <c r="AVT100" s="1811">
        <v>1</v>
      </c>
      <c r="AVU100" s="1811" t="s">
        <v>18</v>
      </c>
      <c r="AVV100" s="1811" t="s">
        <v>18</v>
      </c>
      <c r="AVW100" s="1811" t="s">
        <v>18</v>
      </c>
      <c r="AVX100" s="1811" t="s">
        <v>18</v>
      </c>
      <c r="AVY100" s="1811" t="s">
        <v>18</v>
      </c>
      <c r="AVZ100" s="2985">
        <v>1.5</v>
      </c>
      <c r="AWA100" s="2985">
        <v>1</v>
      </c>
      <c r="AWB100" s="2985">
        <v>0.75</v>
      </c>
      <c r="AWC100" s="2985" t="s">
        <v>18</v>
      </c>
      <c r="AWD100" s="2985" t="s">
        <v>18</v>
      </c>
      <c r="AWE100" s="2985" t="s">
        <v>18</v>
      </c>
      <c r="AWF100" s="2985" t="s">
        <v>18</v>
      </c>
      <c r="AWG100" s="2985" t="s">
        <v>18</v>
      </c>
      <c r="AWH100" s="2985">
        <v>0.65</v>
      </c>
      <c r="AWI100" s="2985">
        <v>0.65</v>
      </c>
      <c r="AWJ100" s="2985">
        <v>0.65</v>
      </c>
      <c r="AWK100" s="2985" t="s">
        <v>18</v>
      </c>
      <c r="AWL100" s="2985" t="s">
        <v>18</v>
      </c>
      <c r="AWM100" s="2985" t="s">
        <v>18</v>
      </c>
      <c r="AWN100" s="2985" t="s">
        <v>18</v>
      </c>
      <c r="AWO100" s="2985" t="s">
        <v>18</v>
      </c>
      <c r="AWP100" s="2985">
        <f>1-klasseqty_buer[[#This Row],[radiellebolter_lt4_e2]]</f>
        <v>0.35</v>
      </c>
      <c r="AWQ100" s="2985">
        <f>1-klasseqty_buer[[#This Row],[radiellebolter_lt4_f]]</f>
        <v>0.35</v>
      </c>
      <c r="AWR100" s="2985">
        <f>1-klasseqty_buer[[#This Row],[radiellebolter_lt4_g]]</f>
        <v>0.35</v>
      </c>
      <c r="AWS100" s="2985" t="s">
        <v>18</v>
      </c>
      <c r="AWT100" s="2985" t="s">
        <v>18</v>
      </c>
      <c r="AWU100" s="2985" t="s">
        <v>18</v>
      </c>
      <c r="AWV100" s="2985" t="s">
        <v>18</v>
      </c>
      <c r="AWW100" s="2985" t="s">
        <v>18</v>
      </c>
      <c r="AWX100" s="2985">
        <v>2</v>
      </c>
      <c r="AWY100" s="2985">
        <v>4</v>
      </c>
      <c r="AWZ100" s="2985">
        <v>4</v>
      </c>
      <c r="AXA100" s="2985" t="s">
        <v>18</v>
      </c>
      <c r="AXB100" s="2985" t="s">
        <v>18</v>
      </c>
      <c r="AXC100" s="2985" t="s">
        <v>18</v>
      </c>
      <c r="AXD100" s="2985" t="s">
        <v>18</v>
      </c>
      <c r="AXE100" s="2985" t="s">
        <v>18</v>
      </c>
      <c r="AXF100" s="2985">
        <v>0</v>
      </c>
      <c r="AXG100" s="2985">
        <v>0</v>
      </c>
      <c r="AXH100" s="2985">
        <v>0</v>
      </c>
      <c r="AXI100" s="2985" t="s">
        <v>18</v>
      </c>
      <c r="AXJ100" s="2985" t="s">
        <v>18</v>
      </c>
      <c r="AXK100" s="2985" t="s">
        <v>18</v>
      </c>
      <c r="AXL100" s="2985" t="s">
        <v>18</v>
      </c>
      <c r="AXM100" s="2985" t="s">
        <v>18</v>
      </c>
      <c r="AXN100" s="2985">
        <f t="shared" si="324"/>
        <v>1</v>
      </c>
      <c r="AXO100" s="2985">
        <f t="shared" si="324"/>
        <v>1</v>
      </c>
      <c r="AXP100" s="3563">
        <f t="shared" si="324"/>
        <v>1</v>
      </c>
      <c r="AXQ100" s="2985"/>
      <c r="AXR100" s="2985"/>
      <c r="AXS100" s="2985"/>
      <c r="AXT100" s="2985"/>
      <c r="AXU100" s="2985"/>
      <c r="AXV100" s="3750">
        <v>0.30420000000000003</v>
      </c>
      <c r="AXW100" s="3750">
        <v>0.47220000000000006</v>
      </c>
      <c r="AXX100" s="3750">
        <v>0.47220000000000006</v>
      </c>
      <c r="AXY100" s="3750"/>
      <c r="AXZ100" s="3750"/>
      <c r="AYA100" s="3750"/>
      <c r="AYB100" s="3750"/>
      <c r="AYC100" s="3750"/>
      <c r="AYD100" s="3803">
        <v>0.5</v>
      </c>
      <c r="AYE100" s="3803">
        <v>0.8</v>
      </c>
      <c r="AYF100" s="3803">
        <v>0.8</v>
      </c>
      <c r="BCJ100" s="2617"/>
      <c r="BCK100" s="2617"/>
      <c r="BCL100" s="2617"/>
      <c r="BCM100" s="2617"/>
      <c r="BCN100" s="2617"/>
      <c r="BCO100" s="2617"/>
      <c r="BCP100" s="2617"/>
      <c r="BDJ100" s="2622"/>
      <c r="BDK100" s="2622"/>
      <c r="BDQ100" s="2617"/>
      <c r="BDR100" s="2617"/>
      <c r="BDX100" s="2622"/>
      <c r="BDY100" s="2622"/>
      <c r="BEE100" s="2617"/>
      <c r="BEG100" s="2622"/>
      <c r="BEI100" s="2622"/>
      <c r="BEJ100" s="2622"/>
      <c r="BEK100" s="2622"/>
      <c r="BEL100" s="2622"/>
      <c r="BEO100" s="2622"/>
      <c r="BFL100" s="3398"/>
    </row>
    <row r="101" spans="34:1021 1028:1521" ht="20.100000000000001" customHeight="1" x14ac:dyDescent="0.2">
      <c r="AV101" s="2622"/>
      <c r="AW101" s="2622"/>
      <c r="AX101" s="2622"/>
      <c r="BL101" s="2625"/>
      <c r="BM101" s="2625"/>
      <c r="BN101" s="2625"/>
      <c r="BO101" s="2625"/>
      <c r="CG101" s="4196" t="s">
        <v>190</v>
      </c>
      <c r="CH101" s="316"/>
      <c r="CI101" s="1759" t="s">
        <v>893</v>
      </c>
      <c r="CJ101" s="4257" t="e">
        <f t="shared" si="325"/>
        <v>#N/A</v>
      </c>
      <c r="CK101" s="4257" t="e">
        <f>klasse_kapasitet[[#This Row],[Manuell_rate]]/CJ$98/$AI$40</f>
        <v>#N/A</v>
      </c>
      <c r="CL101" s="4257" t="e">
        <f t="shared" si="326"/>
        <v>#N/A</v>
      </c>
      <c r="CM101" s="4257" t="e">
        <f>klasse_kapasitet[[#This Row],[Kartlegging_rate]]/CL$98/$AI$40</f>
        <v>#N/A</v>
      </c>
      <c r="CN101" s="4257" t="e">
        <f t="shared" si="327"/>
        <v>#N/A</v>
      </c>
      <c r="CO101" s="4257" t="e">
        <f>klasse_kapasitet[[#This Row],[Bolting_lt4_rate]]/CN$98/$AI$40</f>
        <v>#N/A</v>
      </c>
      <c r="CP101" s="4257" t="e">
        <f t="shared" si="328"/>
        <v>#N/A</v>
      </c>
      <c r="CQ101" s="4258" t="e">
        <f>klasse_kapasitet[[#This Row],[Bolting_gt4_rate]]/CP$98/$AI$40</f>
        <v>#N/A</v>
      </c>
      <c r="CR101" s="4260" t="e">
        <f t="shared" si="329"/>
        <v>#N/A</v>
      </c>
      <c r="CS101" s="4258" t="e">
        <f>klasse_kapasitet[[#This Row],[sprøytebetong_rate]]/CR$98/$AI$40</f>
        <v>#N/A</v>
      </c>
      <c r="CT101" s="4260">
        <f>IF($APM43=_List!$DQ$7,($AI$46*$AQC43*$AOV43)/($ABH43*$APU43),IF($APM43=_List!$DQ$8,($AI$40*$AQC43*$AOV43)/($ABH43*$APU43),0))</f>
        <v>0</v>
      </c>
      <c r="CU101" s="4258" t="e">
        <f>klasse_kapasitet[[#This Row],[forbolting_lt4_rate]]/CT$98/$AI$40</f>
        <v>#N/A</v>
      </c>
      <c r="CV101" s="4260">
        <f>IF($APM43=_List!$DQ$7,($AI$46*$AQL43*$AOV43)/($ABH43*$APU43),IF($APM43=_List!$DQ$8,($AI$40*$AQL43*$AOV43)/($ABH43*$APU43),0))</f>
        <v>0</v>
      </c>
      <c r="CW101" s="4258" t="e">
        <f>klasse_kapasitet[[#This Row],[forbolting_gt4_rate]]/CV$98/$AI$40</f>
        <v>#N/A</v>
      </c>
      <c r="CX101" s="4260">
        <f>IF($APM43=_List!$DQ$7,($AI$46*$ARC43*$AOV43)/($ABH43*$AQU43),IF($APM43=_List!$DQ$8,($AI$40*$ARC43*$AOV43)/($ABH43*$AQU43),0))</f>
        <v>0</v>
      </c>
      <c r="CY101" s="4258" t="e">
        <f>klasse_kapasitet[[#This Row],[opphengbolter_lt4_rate]]/CX$98/$AI$40</f>
        <v>#N/A</v>
      </c>
      <c r="CZ101" s="4260">
        <f>IF($APM43=_List!$DQ$7,($AI$46*$ARL43*$AOV43)/($ABH43*$AQU43),IF($APM43=_List!$DQ$8,($AI$40*$ARL43*$AOV43)/($ABH43*$AQU43),0))</f>
        <v>0</v>
      </c>
      <c r="DA101" s="4258" t="e">
        <f>klasse_kapasitet[[#This Row],[opphengbolter_gt4_rate]]/CZ$98/$AI$40</f>
        <v>#N/A</v>
      </c>
      <c r="DB101" s="4260">
        <f t="shared" si="330"/>
        <v>0</v>
      </c>
      <c r="DC101" s="4258" t="e">
        <f>klasse_kapasitet[[#This Row],[bue_rate]]/DB$98/$AI$40</f>
        <v>#N/A</v>
      </c>
      <c r="DD101" s="4260">
        <f t="shared" si="331"/>
        <v>0</v>
      </c>
      <c r="DE101" s="4260" t="e">
        <f>klasse_kapasitet[[#This Row],[radiellebolter_lt4_rate]]/DD$98/$AI$40</f>
        <v>#N/A</v>
      </c>
      <c r="DF101" s="4260">
        <f t="shared" si="332"/>
        <v>0</v>
      </c>
      <c r="DG101" s="4260" t="e">
        <f>klasse_kapasitet[[#This Row],[radiellebolter_gt4_rate]]/DF$98/$AI$40</f>
        <v>#N/A</v>
      </c>
      <c r="DH101" s="4260">
        <f t="shared" si="333"/>
        <v>0</v>
      </c>
      <c r="DI101" s="4260" t="e">
        <f>klasse_kapasitet[[#This Row],[bue_tilleggs_sprøyte_rate]]/DH$98/$AI$40</f>
        <v>#N/A</v>
      </c>
      <c r="DJ101" s="4260">
        <f t="shared" si="334"/>
        <v>0</v>
      </c>
      <c r="DK101" s="4260" t="e">
        <f>klasse_kapasitet[[#This Row],[forankring_lt4_rate]]/DJ$98/$AI$40</f>
        <v>#N/A</v>
      </c>
      <c r="DL101" s="4260">
        <f t="shared" si="335"/>
        <v>0</v>
      </c>
      <c r="DM101" s="4260" t="e">
        <f>klasse_kapasitet[[#This Row],[forankring_gt4_rate]]/DL$98/$AI$40</f>
        <v>#N/A</v>
      </c>
      <c r="DN101" s="4257"/>
      <c r="DO101" s="4257"/>
      <c r="DP101" s="4263"/>
      <c r="DQ101" s="4263"/>
      <c r="DR101" s="4263"/>
      <c r="DS101" s="4263"/>
      <c r="DT101" s="4263"/>
      <c r="DU101" s="4263"/>
      <c r="DV101" s="4263"/>
      <c r="DW101" s="4263"/>
      <c r="DX101" s="4263"/>
      <c r="DY101" s="4263"/>
      <c r="DZ101" s="4263"/>
      <c r="EA101" s="4263"/>
      <c r="EB101" s="4263"/>
      <c r="EC101" s="4263"/>
      <c r="ED101" s="4263"/>
      <c r="EE101" s="4263"/>
      <c r="EF101" s="4263"/>
      <c r="EG101" s="4263"/>
      <c r="EH101" s="4263"/>
      <c r="EI101" s="4263"/>
      <c r="EJ101" s="4263"/>
      <c r="EK101" s="4263"/>
      <c r="EL101" s="4263"/>
      <c r="EM101" s="4263"/>
      <c r="EN101"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1" s="4276"/>
      <c r="LR101" s="2617"/>
      <c r="LS101" s="2617"/>
      <c r="LT101" s="2617"/>
      <c r="LU101" s="2617"/>
      <c r="LV101" s="2617"/>
      <c r="LW101" s="2617"/>
      <c r="LX101" s="2617"/>
      <c r="LY101" s="2617"/>
      <c r="LZ101" s="2617"/>
      <c r="MA101" s="2617"/>
      <c r="MB101" s="2617"/>
      <c r="MC101" s="2617"/>
      <c r="MD101" s="2617"/>
      <c r="ME101" s="2617"/>
      <c r="MF101" s="2617"/>
      <c r="MG101" s="2617"/>
      <c r="MH101" s="2617"/>
      <c r="MI101" s="2617"/>
      <c r="MJ101" s="2617"/>
      <c r="MK101" s="2617"/>
      <c r="ML101" s="2617"/>
      <c r="MM101" s="2617"/>
      <c r="MN101" s="2617"/>
      <c r="MO101" s="2617"/>
      <c r="MP101" s="2617"/>
      <c r="MQ101" s="2617"/>
      <c r="MR101" s="2617"/>
      <c r="MS101" s="2617"/>
      <c r="MT101" s="2617"/>
      <c r="MU101" s="2617"/>
      <c r="MV101" s="2617"/>
      <c r="MW101" s="2617"/>
      <c r="MX101" s="2617"/>
      <c r="MY101" s="2617"/>
      <c r="MZ101" s="2617"/>
      <c r="NA101" s="2617"/>
      <c r="NB101" s="2617"/>
      <c r="NC101" s="2617"/>
      <c r="ND101" s="2617"/>
      <c r="NE101" s="2617"/>
      <c r="NF101" s="2617"/>
      <c r="NG101" s="2617"/>
      <c r="NH101" s="2617"/>
      <c r="NI101" s="2617"/>
      <c r="NJ101" s="2617"/>
      <c r="NK101" s="2617"/>
      <c r="NL101" s="2617"/>
      <c r="NM101" s="2617"/>
      <c r="NN101" s="2617"/>
      <c r="NO101" s="2617"/>
      <c r="NP101" s="2617"/>
      <c r="NQ101" s="2617"/>
      <c r="NR101" s="2617"/>
      <c r="NS101" s="2617"/>
      <c r="NT101" s="2617"/>
      <c r="NU101" s="2617"/>
      <c r="NV101" s="2617"/>
      <c r="NW101" s="2617"/>
      <c r="NX101" s="2617"/>
      <c r="NY101" s="2617"/>
      <c r="NZ101" s="2617"/>
      <c r="OA101" s="2617"/>
      <c r="OB101" s="2617"/>
      <c r="OC101" s="2617"/>
      <c r="OD101" s="2617"/>
      <c r="OE101" s="2617"/>
      <c r="OF101" s="2617"/>
      <c r="OG101" s="2617"/>
      <c r="OH101" s="2617"/>
      <c r="OI101" s="2617"/>
      <c r="OJ101" s="2617"/>
      <c r="AEY101" s="2622"/>
      <c r="AEZ101" s="2622"/>
      <c r="AFA101" s="2622"/>
      <c r="AFB101" s="2622"/>
      <c r="AFC101" s="2622"/>
      <c r="AFD101" s="2622"/>
      <c r="AFE101" s="2622"/>
      <c r="AFF101" s="2622"/>
      <c r="AFG101" s="2737"/>
      <c r="AFO101" s="2622"/>
      <c r="AFP101" s="2737"/>
      <c r="AFX101" s="2622"/>
      <c r="AFZ101" s="2737"/>
      <c r="AGH101" s="2622"/>
      <c r="AGI101" s="2737"/>
      <c r="AGQ101" s="2622"/>
      <c r="AGR101" s="2737"/>
      <c r="AHA101" s="2622"/>
      <c r="AHB101" s="2737"/>
      <c r="AHI101" s="2622"/>
      <c r="AHJ101" s="2737"/>
      <c r="AHT101" s="2622"/>
      <c r="AHV101" s="2737"/>
      <c r="AID101" s="2622"/>
      <c r="AJN101" s="2622"/>
      <c r="AJP101" s="2737"/>
      <c r="AJX101" s="2622"/>
      <c r="AKD101" s="2737"/>
      <c r="AKL101" s="2622"/>
      <c r="AKT101" s="2622"/>
      <c r="ALB101" s="2622"/>
      <c r="ALM101" s="2737"/>
      <c r="ALU101" s="2622"/>
      <c r="ALW101" s="2737"/>
      <c r="ALX101" s="2737"/>
      <c r="AME101" s="2622"/>
      <c r="AMG101" s="2737"/>
      <c r="AMN101" s="2622"/>
      <c r="AMO101" s="2622"/>
      <c r="AMV101" s="2622"/>
      <c r="AMW101" s="2622"/>
      <c r="AOI101" s="2737"/>
      <c r="AOQ101" s="2622"/>
      <c r="AOZ101" s="2737"/>
      <c r="APH101" s="2622"/>
      <c r="APT101" s="2737"/>
      <c r="ASB101" s="2622"/>
      <c r="ASJ101" s="2737"/>
      <c r="ASK101" s="2737"/>
      <c r="ASL101" s="2737"/>
      <c r="ASM101" s="2737"/>
      <c r="ASN101" s="2737"/>
      <c r="ASO101" s="2737"/>
      <c r="ASP101" s="2737"/>
      <c r="ASQ101" s="2737"/>
      <c r="ASR101" s="2737"/>
      <c r="ASS101" s="2737"/>
      <c r="ATA101" s="4124"/>
      <c r="ATS101" s="2737"/>
      <c r="AUA101" s="2622"/>
      <c r="AUS101" s="2737"/>
      <c r="AUU101" s="2617"/>
      <c r="AUV101" s="2629" t="s">
        <v>1270</v>
      </c>
      <c r="AUW101" s="1811" t="s">
        <v>18</v>
      </c>
      <c r="AUX101" s="1767" t="s">
        <v>18</v>
      </c>
      <c r="AUY101" s="1767" t="s">
        <v>18</v>
      </c>
      <c r="AUZ101" s="1811" t="s">
        <v>18</v>
      </c>
      <c r="AVA101" s="1811" t="s">
        <v>18</v>
      </c>
      <c r="AVB101" s="1811" t="s">
        <v>1580</v>
      </c>
      <c r="AVC101" s="1811" t="s">
        <v>1581</v>
      </c>
      <c r="AVD101" s="1811" t="s">
        <v>1581</v>
      </c>
      <c r="AVE101" s="5169">
        <v>0</v>
      </c>
      <c r="AVF101" s="5169">
        <v>0</v>
      </c>
      <c r="AVG101" s="5169">
        <v>0</v>
      </c>
      <c r="AVH101" s="5169">
        <v>0</v>
      </c>
      <c r="AVI101" s="5169">
        <v>0</v>
      </c>
      <c r="AVJ101" s="5169">
        <v>1</v>
      </c>
      <c r="AVK101" s="5169">
        <v>1</v>
      </c>
      <c r="AVL101" s="5169">
        <v>1</v>
      </c>
      <c r="AVM101" s="1811" t="s">
        <v>18</v>
      </c>
      <c r="AVN101" s="1811" t="s">
        <v>18</v>
      </c>
      <c r="AVO101" s="1811" t="s">
        <v>18</v>
      </c>
      <c r="AVP101" s="1811" t="s">
        <v>18</v>
      </c>
      <c r="AVQ101" s="1811" t="s">
        <v>18</v>
      </c>
      <c r="AVR101" s="1811">
        <v>1.5</v>
      </c>
      <c r="AVS101" s="1811">
        <v>1</v>
      </c>
      <c r="AVT101" s="1811">
        <v>1</v>
      </c>
      <c r="AVU101" s="1811" t="s">
        <v>18</v>
      </c>
      <c r="AVV101" s="1811" t="s">
        <v>18</v>
      </c>
      <c r="AVW101" s="1811" t="s">
        <v>18</v>
      </c>
      <c r="AVX101" s="1811" t="s">
        <v>18</v>
      </c>
      <c r="AVY101" s="1811" t="s">
        <v>18</v>
      </c>
      <c r="AVZ101" s="2985">
        <v>1.5</v>
      </c>
      <c r="AWA101" s="2985">
        <v>1</v>
      </c>
      <c r="AWB101" s="2985">
        <v>0.75</v>
      </c>
      <c r="AWC101" s="2985" t="s">
        <v>18</v>
      </c>
      <c r="AWD101" s="2985" t="s">
        <v>18</v>
      </c>
      <c r="AWE101" s="2985" t="s">
        <v>18</v>
      </c>
      <c r="AWF101" s="2985" t="s">
        <v>18</v>
      </c>
      <c r="AWG101" s="2985" t="s">
        <v>18</v>
      </c>
      <c r="AWH101" s="2985"/>
      <c r="AWI101" s="2985"/>
      <c r="AWJ101" s="2985"/>
      <c r="AWK101" s="2985" t="s">
        <v>18</v>
      </c>
      <c r="AWL101" s="2985" t="s">
        <v>18</v>
      </c>
      <c r="AWM101" s="2985" t="s">
        <v>18</v>
      </c>
      <c r="AWN101" s="2985" t="s">
        <v>18</v>
      </c>
      <c r="AWO101" s="2985" t="s">
        <v>18</v>
      </c>
      <c r="AWP101" s="2985"/>
      <c r="AWQ101" s="2985"/>
      <c r="AWR101" s="2985"/>
      <c r="AWS101" s="2985" t="s">
        <v>18</v>
      </c>
      <c r="AWT101" s="2985" t="s">
        <v>18</v>
      </c>
      <c r="AWU101" s="2985" t="s">
        <v>18</v>
      </c>
      <c r="AWV101" s="2985" t="s">
        <v>18</v>
      </c>
      <c r="AWW101" s="2985" t="s">
        <v>18</v>
      </c>
      <c r="AWX101" s="2985">
        <v>2</v>
      </c>
      <c r="AWY101" s="2985">
        <v>4</v>
      </c>
      <c r="AWZ101" s="2985">
        <v>4</v>
      </c>
      <c r="AXA101" s="2985" t="s">
        <v>18</v>
      </c>
      <c r="AXB101" s="2985" t="s">
        <v>18</v>
      </c>
      <c r="AXC101" s="2985" t="s">
        <v>18</v>
      </c>
      <c r="AXD101" s="2985" t="s">
        <v>18</v>
      </c>
      <c r="AXE101" s="2985" t="s">
        <v>18</v>
      </c>
      <c r="AXF101" s="2985">
        <v>0</v>
      </c>
      <c r="AXG101" s="2985">
        <v>0</v>
      </c>
      <c r="AXH101" s="2985">
        <v>0</v>
      </c>
      <c r="AXI101" s="2985" t="s">
        <v>18</v>
      </c>
      <c r="AXJ101" s="2985" t="s">
        <v>18</v>
      </c>
      <c r="AXK101" s="2985" t="s">
        <v>18</v>
      </c>
      <c r="AXL101" s="2985" t="s">
        <v>18</v>
      </c>
      <c r="AXM101" s="2985" t="s">
        <v>18</v>
      </c>
      <c r="AXN101" s="2985">
        <f t="shared" si="324"/>
        <v>1</v>
      </c>
      <c r="AXO101" s="2985">
        <f t="shared" si="324"/>
        <v>1</v>
      </c>
      <c r="AXP101" s="3563">
        <f t="shared" si="324"/>
        <v>1</v>
      </c>
      <c r="AXQ101" s="2985"/>
      <c r="AXR101" s="2985"/>
      <c r="AXS101" s="2985"/>
      <c r="AXT101" s="2985"/>
      <c r="AXU101" s="2985"/>
      <c r="AXV101" s="3750">
        <v>0.30420000000000003</v>
      </c>
      <c r="AXW101" s="3750">
        <v>0.47220000000000006</v>
      </c>
      <c r="AXX101" s="3750">
        <v>0.47220000000000006</v>
      </c>
      <c r="AXY101" s="3750"/>
      <c r="AXZ101" s="3750"/>
      <c r="AYA101" s="3750"/>
      <c r="AYB101" s="3750"/>
      <c r="AYC101" s="3750"/>
      <c r="AYD101" s="3803">
        <v>0.5</v>
      </c>
      <c r="AYE101" s="3803">
        <v>0.8</v>
      </c>
      <c r="AYF101" s="3803">
        <v>0.8</v>
      </c>
      <c r="BCJ101" s="2617"/>
      <c r="BCK101" s="2617"/>
      <c r="BCL101" s="2617"/>
      <c r="BCM101" s="2617"/>
      <c r="BCN101" s="2617"/>
      <c r="BCO101" s="2617"/>
      <c r="BCP101" s="2617"/>
      <c r="BDJ101" s="2622"/>
      <c r="BDK101" s="2622"/>
      <c r="BDQ101" s="2617"/>
      <c r="BDR101" s="2617"/>
      <c r="BDX101" s="2622"/>
      <c r="BDY101" s="2622"/>
      <c r="BEE101" s="2617"/>
      <c r="BEG101" s="2622"/>
      <c r="BEI101" s="2622"/>
      <c r="BEJ101" s="2622"/>
      <c r="BEK101" s="2622"/>
      <c r="BEL101" s="2622"/>
      <c r="BEO101" s="2622"/>
      <c r="BFL101" s="3398"/>
    </row>
    <row r="102" spans="34:1021 1028:1521" ht="20.100000000000001" customHeight="1" x14ac:dyDescent="0.2">
      <c r="AV102" s="2622"/>
      <c r="AW102" s="2622"/>
      <c r="AX102" s="2622"/>
      <c r="CG102" s="4196" t="s">
        <v>191</v>
      </c>
      <c r="CH102" s="316"/>
      <c r="CI102" s="1759" t="s">
        <v>891</v>
      </c>
      <c r="CJ102" s="4257" t="e">
        <f t="shared" si="325"/>
        <v>#N/A</v>
      </c>
      <c r="CK102" s="4257" t="e">
        <f>klasse_kapasitet[[#This Row],[Manuell_rate]]/CJ$98/$AI$40</f>
        <v>#N/A</v>
      </c>
      <c r="CL102" s="4257" t="e">
        <f t="shared" si="326"/>
        <v>#N/A</v>
      </c>
      <c r="CM102" s="4257" t="e">
        <f>klasse_kapasitet[[#This Row],[Kartlegging_rate]]/CL$98/$AI$40</f>
        <v>#N/A</v>
      </c>
      <c r="CN102" s="4257" t="e">
        <f t="shared" si="327"/>
        <v>#N/A</v>
      </c>
      <c r="CO102" s="4257" t="e">
        <f>klasse_kapasitet[[#This Row],[Bolting_lt4_rate]]/CN$98/$AI$40</f>
        <v>#N/A</v>
      </c>
      <c r="CP102" s="4257" t="e">
        <f t="shared" si="328"/>
        <v>#N/A</v>
      </c>
      <c r="CQ102" s="4258" t="e">
        <f>klasse_kapasitet[[#This Row],[Bolting_gt4_rate]]/CP$98/$AI$40</f>
        <v>#N/A</v>
      </c>
      <c r="CR102" s="4260" t="e">
        <f t="shared" si="329"/>
        <v>#N/A</v>
      </c>
      <c r="CS102" s="4258" t="e">
        <f>klasse_kapasitet[[#This Row],[sprøytebetong_rate]]/CR$98/$AI$40</f>
        <v>#N/A</v>
      </c>
      <c r="CT102" s="4260">
        <f>IF($APM44=_List!$DQ$7,($AI$46*$AQC44*$AOV44)/($ABH44*$APU44),IF($APM44=_List!$DQ$8,($AI$40*$AQC44*$AOV44)/($ABH44*$APU44),0))</f>
        <v>0</v>
      </c>
      <c r="CU102" s="4258" t="e">
        <f>klasse_kapasitet[[#This Row],[forbolting_lt4_rate]]/CT$98/$AI$40</f>
        <v>#N/A</v>
      </c>
      <c r="CV102" s="4260">
        <f>IF($APM44=_List!$DQ$7,($AI$46*$AQL44*$AOV44)/($ABH44*$APU44),IF($APM44=_List!$DQ$8,($AI$40*$AQL44*$AOV44)/($ABH44*$APU44),0))</f>
        <v>0</v>
      </c>
      <c r="CW102" s="4258" t="e">
        <f>klasse_kapasitet[[#This Row],[forbolting_gt4_rate]]/CV$98/$AI$40</f>
        <v>#N/A</v>
      </c>
      <c r="CX102" s="4260">
        <f>IF($APM44=_List!$DQ$7,($AI$46*$ARC44*$AOV44)/($ABH44*$AQU44),IF($APM44=_List!$DQ$8,($AI$40*$ARC44*$AOV44)/($ABH44*$AQU44),0))</f>
        <v>0</v>
      </c>
      <c r="CY102" s="4258" t="e">
        <f>klasse_kapasitet[[#This Row],[opphengbolter_lt4_rate]]/CX$98/$AI$40</f>
        <v>#N/A</v>
      </c>
      <c r="CZ102" s="4260">
        <f>IF($APM44=_List!$DQ$7,($AI$46*$ARL44*$AOV44)/($ABH44*$AQU44),IF($APM44=_List!$DQ$8,($AI$40*$ARL44*$AOV44)/($ABH44*$AQU44),0))</f>
        <v>0</v>
      </c>
      <c r="DA102" s="4258" t="e">
        <f>klasse_kapasitet[[#This Row],[opphengbolter_gt4_rate]]/CZ$98/$AI$40</f>
        <v>#N/A</v>
      </c>
      <c r="DB102" s="4260">
        <f t="shared" si="330"/>
        <v>0</v>
      </c>
      <c r="DC102" s="4258" t="e">
        <f>klasse_kapasitet[[#This Row],[bue_rate]]/DB$98/$AI$40</f>
        <v>#N/A</v>
      </c>
      <c r="DD102" s="4260">
        <f t="shared" si="331"/>
        <v>0</v>
      </c>
      <c r="DE102" s="4260" t="e">
        <f>klasse_kapasitet[[#This Row],[radiellebolter_lt4_rate]]/DD$98/$AI$40</f>
        <v>#N/A</v>
      </c>
      <c r="DF102" s="4260">
        <f t="shared" si="332"/>
        <v>0</v>
      </c>
      <c r="DG102" s="4260" t="e">
        <f>klasse_kapasitet[[#This Row],[radiellebolter_gt4_rate]]/DF$98/$AI$40</f>
        <v>#N/A</v>
      </c>
      <c r="DH102" s="4260">
        <f t="shared" si="333"/>
        <v>0</v>
      </c>
      <c r="DI102" s="4260" t="e">
        <f>klasse_kapasitet[[#This Row],[bue_tilleggs_sprøyte_rate]]/DH$98/$AI$40</f>
        <v>#N/A</v>
      </c>
      <c r="DJ102" s="4260">
        <f t="shared" si="334"/>
        <v>0</v>
      </c>
      <c r="DK102" s="4260" t="e">
        <f>klasse_kapasitet[[#This Row],[forankring_lt4_rate]]/DJ$98/$AI$40</f>
        <v>#N/A</v>
      </c>
      <c r="DL102" s="4260">
        <f t="shared" si="335"/>
        <v>0</v>
      </c>
      <c r="DM102" s="4260" t="e">
        <f>klasse_kapasitet[[#This Row],[forankring_gt4_rate]]/DL$98/$AI$40</f>
        <v>#N/A</v>
      </c>
      <c r="DN102" s="4257"/>
      <c r="DO102" s="4257"/>
      <c r="DP102" s="4263"/>
      <c r="DQ102" s="4263"/>
      <c r="DR102" s="4263"/>
      <c r="DS102" s="4263"/>
      <c r="DT102" s="4263"/>
      <c r="DU102" s="4263"/>
      <c r="DV102" s="4263"/>
      <c r="DW102" s="4263"/>
      <c r="DX102" s="4263"/>
      <c r="DY102" s="4263"/>
      <c r="DZ102" s="4263"/>
      <c r="EA102" s="4263"/>
      <c r="EB102" s="4263"/>
      <c r="EC102" s="4263"/>
      <c r="ED102" s="4263"/>
      <c r="EE102" s="4263"/>
      <c r="EF102" s="4263"/>
      <c r="EG102" s="4263"/>
      <c r="EH102" s="4263"/>
      <c r="EI102" s="4263"/>
      <c r="EJ102" s="4263"/>
      <c r="EK102" s="4263"/>
      <c r="EL102" s="4263"/>
      <c r="EM102" s="4263"/>
      <c r="EN102"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2" s="4276"/>
      <c r="LR102" s="2617"/>
      <c r="LS102" s="2617"/>
      <c r="LT102" s="2617"/>
      <c r="LU102" s="2617"/>
      <c r="LV102" s="2617"/>
      <c r="LW102" s="2617"/>
      <c r="LX102" s="2617"/>
      <c r="LY102" s="2617"/>
      <c r="LZ102" s="2617"/>
      <c r="MA102" s="2617"/>
      <c r="MB102" s="2617"/>
      <c r="MC102" s="2617"/>
      <c r="MD102" s="2617"/>
      <c r="ME102" s="2617"/>
      <c r="MF102" s="2617"/>
      <c r="MG102" s="2617"/>
      <c r="MH102" s="2617"/>
      <c r="MI102" s="2617"/>
      <c r="MJ102" s="2617"/>
      <c r="MK102" s="2617"/>
      <c r="ML102" s="2617"/>
      <c r="MM102" s="2617"/>
      <c r="MN102" s="2617"/>
      <c r="MO102" s="2617"/>
      <c r="MP102" s="2617"/>
      <c r="MQ102" s="2617"/>
      <c r="MR102" s="2617"/>
      <c r="MS102" s="2617"/>
      <c r="MT102" s="2617"/>
      <c r="MU102" s="2617"/>
      <c r="MV102" s="2617"/>
      <c r="MW102" s="2617"/>
      <c r="MX102" s="2617"/>
      <c r="MY102" s="2617"/>
      <c r="MZ102" s="2617"/>
      <c r="NA102" s="2617"/>
      <c r="NB102" s="2617"/>
      <c r="NC102" s="2617"/>
      <c r="ND102" s="2617"/>
      <c r="NE102" s="2617"/>
      <c r="NF102" s="2617"/>
      <c r="NG102" s="2617"/>
      <c r="NH102" s="2617"/>
      <c r="NI102" s="2617"/>
      <c r="NJ102" s="2617"/>
      <c r="NK102" s="2617"/>
      <c r="NL102" s="2617"/>
      <c r="NM102" s="2617"/>
      <c r="NN102" s="2617"/>
      <c r="NO102" s="2617"/>
      <c r="NP102" s="2617"/>
      <c r="NQ102" s="2617"/>
      <c r="NR102" s="2617"/>
      <c r="NS102" s="2617"/>
      <c r="NT102" s="2617"/>
      <c r="NU102" s="2617"/>
      <c r="NV102" s="2617"/>
      <c r="NW102" s="2617"/>
      <c r="NX102" s="2617"/>
      <c r="NY102" s="2617"/>
      <c r="NZ102" s="2617"/>
      <c r="OA102" s="2617"/>
      <c r="OB102" s="2617"/>
      <c r="OC102" s="2617"/>
      <c r="OD102" s="2617"/>
      <c r="OE102" s="2617"/>
      <c r="OF102" s="2617"/>
      <c r="OG102" s="2617"/>
      <c r="OH102" s="2617"/>
      <c r="OI102" s="2617"/>
      <c r="OJ102" s="2617"/>
      <c r="AEY102" s="2622"/>
      <c r="AEZ102" s="2622"/>
      <c r="AFA102" s="2622"/>
      <c r="AFB102" s="2622"/>
      <c r="AFC102" s="2622"/>
      <c r="AFD102" s="2622"/>
      <c r="AFE102" s="2622"/>
      <c r="AFF102" s="2622"/>
      <c r="AFG102" s="2737"/>
      <c r="AFO102" s="2622"/>
      <c r="AFP102" s="2737"/>
      <c r="AFX102" s="2622"/>
      <c r="AFZ102" s="2737"/>
      <c r="AGH102" s="2622"/>
      <c r="AGI102" s="2737"/>
      <c r="AGQ102" s="2622"/>
      <c r="AGR102" s="2737"/>
      <c r="AHA102" s="2622"/>
      <c r="AHB102" s="2737"/>
      <c r="AHI102" s="2622"/>
      <c r="AHJ102" s="2737"/>
      <c r="AHT102" s="2622"/>
      <c r="AHV102" s="2737"/>
      <c r="AID102" s="2622"/>
      <c r="AJN102" s="2622"/>
      <c r="AJP102" s="2737"/>
      <c r="AJX102" s="2622"/>
      <c r="AKD102" s="2737"/>
      <c r="AKL102" s="2622"/>
      <c r="AKT102" s="2622"/>
      <c r="ALB102" s="2622"/>
      <c r="ALM102" s="2737"/>
      <c r="ALU102" s="2622"/>
      <c r="ALW102" s="2737"/>
      <c r="ALX102" s="2737"/>
      <c r="AME102" s="2622"/>
      <c r="AMG102" s="2737"/>
      <c r="AMN102" s="2622"/>
      <c r="AMO102" s="2622"/>
      <c r="AMV102" s="2622"/>
      <c r="AMW102" s="2622"/>
      <c r="AOI102" s="2737"/>
      <c r="AOQ102" s="2622"/>
      <c r="AOZ102" s="2737"/>
      <c r="APH102" s="2622"/>
      <c r="APT102" s="2737"/>
      <c r="ASB102" s="2622"/>
      <c r="ASJ102" s="2737"/>
      <c r="ASK102" s="2737"/>
      <c r="ASL102" s="2737"/>
      <c r="ASM102" s="2737"/>
      <c r="ASN102" s="2737"/>
      <c r="ASO102" s="2737"/>
      <c r="ASP102" s="2737"/>
      <c r="ASQ102" s="2737"/>
      <c r="ASR102" s="2737"/>
      <c r="ASS102" s="2737"/>
      <c r="ATA102" s="4124"/>
      <c r="ATS102" s="2737"/>
      <c r="AUA102" s="2622"/>
      <c r="AUS102" s="2737"/>
      <c r="AUU102" s="2617"/>
      <c r="AUV102" s="3558" t="s">
        <v>1269</v>
      </c>
      <c r="AUW102" s="1814" t="s">
        <v>18</v>
      </c>
      <c r="AUX102" s="1768" t="s">
        <v>18</v>
      </c>
      <c r="AUY102" s="1768" t="s">
        <v>18</v>
      </c>
      <c r="AUZ102" s="1814" t="s">
        <v>18</v>
      </c>
      <c r="AVA102" s="1814" t="s">
        <v>18</v>
      </c>
      <c r="AVB102" s="1814" t="s">
        <v>1580</v>
      </c>
      <c r="AVC102" s="1814" t="s">
        <v>1581</v>
      </c>
      <c r="AVD102" s="1814" t="s">
        <v>1581</v>
      </c>
      <c r="AVE102" s="5170">
        <v>0</v>
      </c>
      <c r="AVF102" s="5170">
        <v>0</v>
      </c>
      <c r="AVG102" s="5170">
        <v>0</v>
      </c>
      <c r="AVH102" s="5170">
        <v>0</v>
      </c>
      <c r="AVI102" s="5170">
        <v>0</v>
      </c>
      <c r="AVJ102" s="5170">
        <v>1</v>
      </c>
      <c r="AVK102" s="5170">
        <v>1</v>
      </c>
      <c r="AVL102" s="5170">
        <v>1</v>
      </c>
      <c r="AVM102" s="1814" t="s">
        <v>18</v>
      </c>
      <c r="AVN102" s="1814" t="s">
        <v>18</v>
      </c>
      <c r="AVO102" s="1814" t="s">
        <v>18</v>
      </c>
      <c r="AVP102" s="1814" t="s">
        <v>18</v>
      </c>
      <c r="AVQ102" s="1814" t="s">
        <v>18</v>
      </c>
      <c r="AVR102" s="1814">
        <v>1.5</v>
      </c>
      <c r="AVS102" s="1814">
        <v>1</v>
      </c>
      <c r="AVT102" s="1814">
        <v>1</v>
      </c>
      <c r="AVU102" s="1814" t="s">
        <v>18</v>
      </c>
      <c r="AVV102" s="1814" t="s">
        <v>18</v>
      </c>
      <c r="AVW102" s="1814" t="s">
        <v>18</v>
      </c>
      <c r="AVX102" s="1814" t="s">
        <v>18</v>
      </c>
      <c r="AVY102" s="1814" t="s">
        <v>18</v>
      </c>
      <c r="AVZ102" s="3562">
        <v>1.5</v>
      </c>
      <c r="AWA102" s="3562">
        <v>1</v>
      </c>
      <c r="AWB102" s="3562">
        <v>0.75</v>
      </c>
      <c r="AWC102" s="3562" t="s">
        <v>18</v>
      </c>
      <c r="AWD102" s="3562" t="s">
        <v>18</v>
      </c>
      <c r="AWE102" s="3562" t="s">
        <v>18</v>
      </c>
      <c r="AWF102" s="3562" t="s">
        <v>18</v>
      </c>
      <c r="AWG102" s="3562" t="s">
        <v>18</v>
      </c>
      <c r="AWH102" s="3562">
        <v>0.5</v>
      </c>
      <c r="AWI102" s="3562">
        <v>0.5</v>
      </c>
      <c r="AWJ102" s="3562">
        <v>0.5</v>
      </c>
      <c r="AWK102" s="3562" t="s">
        <v>18</v>
      </c>
      <c r="AWL102" s="3562" t="s">
        <v>18</v>
      </c>
      <c r="AWM102" s="3562" t="s">
        <v>18</v>
      </c>
      <c r="AWN102" s="3562" t="s">
        <v>18</v>
      </c>
      <c r="AWO102" s="3562" t="s">
        <v>18</v>
      </c>
      <c r="AWP102" s="3562">
        <f>1-klasseqty_buer[[#This Row],[radiellebolter_lt4_e2]]</f>
        <v>0.5</v>
      </c>
      <c r="AWQ102" s="3562">
        <f>1-klasseqty_buer[[#This Row],[radiellebolter_lt4_f]]</f>
        <v>0.5</v>
      </c>
      <c r="AWR102" s="3562">
        <f>1-klasseqty_buer[[#This Row],[radiellebolter_lt4_g]]</f>
        <v>0.5</v>
      </c>
      <c r="AWS102" s="3562" t="s">
        <v>18</v>
      </c>
      <c r="AWT102" s="3562" t="s">
        <v>18</v>
      </c>
      <c r="AWU102" s="3562" t="s">
        <v>18</v>
      </c>
      <c r="AWV102" s="3562" t="s">
        <v>18</v>
      </c>
      <c r="AWW102" s="3562" t="s">
        <v>18</v>
      </c>
      <c r="AWX102" s="3562">
        <v>2</v>
      </c>
      <c r="AWY102" s="3562">
        <v>4</v>
      </c>
      <c r="AWZ102" s="3562">
        <v>4</v>
      </c>
      <c r="AXA102" s="3562" t="s">
        <v>18</v>
      </c>
      <c r="AXB102" s="3562" t="s">
        <v>18</v>
      </c>
      <c r="AXC102" s="3562" t="s">
        <v>18</v>
      </c>
      <c r="AXD102" s="3562" t="s">
        <v>18</v>
      </c>
      <c r="AXE102" s="3562" t="s">
        <v>18</v>
      </c>
      <c r="AXF102" s="3562">
        <v>0</v>
      </c>
      <c r="AXG102" s="3562">
        <v>0</v>
      </c>
      <c r="AXH102" s="3562">
        <v>0</v>
      </c>
      <c r="AXI102" s="3562" t="s">
        <v>18</v>
      </c>
      <c r="AXJ102" s="3562" t="s">
        <v>18</v>
      </c>
      <c r="AXK102" s="3562" t="s">
        <v>18</v>
      </c>
      <c r="AXL102" s="3562" t="s">
        <v>18</v>
      </c>
      <c r="AXM102" s="3562" t="s">
        <v>18</v>
      </c>
      <c r="AXN102" s="3562">
        <f t="shared" si="324"/>
        <v>1</v>
      </c>
      <c r="AXO102" s="3562">
        <f t="shared" si="324"/>
        <v>1</v>
      </c>
      <c r="AXP102" s="3564">
        <f t="shared" si="324"/>
        <v>1</v>
      </c>
      <c r="AXQ102" s="3562"/>
      <c r="AXR102" s="3562"/>
      <c r="AXS102" s="3562"/>
      <c r="AXT102" s="3562"/>
      <c r="AXU102" s="3562"/>
      <c r="AXV102" s="3751">
        <v>0.30420000000000003</v>
      </c>
      <c r="AXW102" s="3751">
        <v>0.47220000000000006</v>
      </c>
      <c r="AXX102" s="3751">
        <v>0.47220000000000006</v>
      </c>
      <c r="AXY102" s="3751"/>
      <c r="AXZ102" s="3751"/>
      <c r="AYA102" s="3751"/>
      <c r="AYB102" s="3751"/>
      <c r="AYC102" s="3751"/>
      <c r="AYD102" s="3804">
        <v>0.5</v>
      </c>
      <c r="AYE102" s="3804">
        <v>0.8</v>
      </c>
      <c r="AYF102" s="3804">
        <v>0.8</v>
      </c>
      <c r="BCJ102" s="2617"/>
      <c r="BCK102" s="2617"/>
      <c r="BCL102" s="2617"/>
      <c r="BCM102" s="2617"/>
      <c r="BCN102" s="2617"/>
      <c r="BCO102" s="2617"/>
      <c r="BCP102" s="2617"/>
      <c r="BDJ102" s="2622"/>
      <c r="BDK102" s="2622"/>
      <c r="BDQ102" s="2617"/>
      <c r="BDR102" s="2617"/>
      <c r="BDX102" s="2622"/>
      <c r="BDY102" s="2622"/>
      <c r="BEE102" s="2617"/>
      <c r="BEG102" s="2622"/>
      <c r="BEI102" s="2622"/>
      <c r="BEJ102" s="2622"/>
      <c r="BEK102" s="2622"/>
      <c r="BEL102" s="2622"/>
      <c r="BEO102" s="2622"/>
      <c r="BFL102" s="3398"/>
    </row>
    <row r="103" spans="34:1021 1028:1521" ht="20.100000000000001" customHeight="1" x14ac:dyDescent="0.2">
      <c r="AV103" s="2622"/>
      <c r="AW103" s="2622"/>
      <c r="AX103" s="2622"/>
      <c r="CG103" s="4196" t="s">
        <v>192</v>
      </c>
      <c r="CH103" s="316"/>
      <c r="CI103" s="1759" t="s">
        <v>892</v>
      </c>
      <c r="CJ103" s="4257" t="e">
        <f t="shared" si="325"/>
        <v>#N/A</v>
      </c>
      <c r="CK103" s="4257" t="e">
        <f>klasse_kapasitet[[#This Row],[Manuell_rate]]/CJ$98/$AI$40</f>
        <v>#N/A</v>
      </c>
      <c r="CL103" s="4257" t="e">
        <f t="shared" si="326"/>
        <v>#N/A</v>
      </c>
      <c r="CM103" s="4257" t="e">
        <f>klasse_kapasitet[[#This Row],[Kartlegging_rate]]/CL$98/$AI$40</f>
        <v>#N/A</v>
      </c>
      <c r="CN103" s="4257" t="e">
        <f t="shared" si="327"/>
        <v>#N/A</v>
      </c>
      <c r="CO103" s="4257" t="e">
        <f>klasse_kapasitet[[#This Row],[Bolting_lt4_rate]]/CN$98/$AI$40</f>
        <v>#N/A</v>
      </c>
      <c r="CP103" s="4257" t="e">
        <f t="shared" si="328"/>
        <v>#N/A</v>
      </c>
      <c r="CQ103" s="4258" t="e">
        <f>klasse_kapasitet[[#This Row],[Bolting_gt4_rate]]/CP$98/$AI$40</f>
        <v>#N/A</v>
      </c>
      <c r="CR103" s="4260" t="e">
        <f t="shared" si="329"/>
        <v>#N/A</v>
      </c>
      <c r="CS103" s="4258" t="e">
        <f>klasse_kapasitet[[#This Row],[sprøytebetong_rate]]/CR$98/$AI$40</f>
        <v>#N/A</v>
      </c>
      <c r="CT103" s="4260" t="e">
        <f>IF($APM45=_List!$DQ$7,($AI$46*$AQC45*$AOV45)/($ABH45*$APU45),IF($APM45=_List!$DQ$8,($AI$40*$AQC45*$AOV45)/($ABH45*$APU45),0))</f>
        <v>#N/A</v>
      </c>
      <c r="CU103" s="4258" t="e">
        <f>klasse_kapasitet[[#This Row],[forbolting_lt4_rate]]/CT$98/$AI$40</f>
        <v>#N/A</v>
      </c>
      <c r="CV103" s="4260" t="e">
        <f>IF($APM45=_List!$DQ$7,($AI$46*$AQL45*$AOV45)/($ABH45*$APU45),IF($APM45=_List!$DQ$8,($AI$40*$AQL45*$AOV45)/($ABH45*$APU45),0))</f>
        <v>#N/A</v>
      </c>
      <c r="CW103" s="4258" t="e">
        <f>klasse_kapasitet[[#This Row],[forbolting_gt4_rate]]/CV$98/$AI$40</f>
        <v>#N/A</v>
      </c>
      <c r="CX103" s="4260" t="e">
        <f>IF($APM45=_List!$DQ$7,($AI$46*$ARC45*$AOV45)/($ABH45*$AQU45),IF($APM45=_List!$DQ$8,($AI$40*$ARC45*$AOV45)/($ABH45*$AQU45),0))</f>
        <v>#N/A</v>
      </c>
      <c r="CY103" s="4258" t="e">
        <f>klasse_kapasitet[[#This Row],[opphengbolter_lt4_rate]]/CX$98/$AI$40</f>
        <v>#N/A</v>
      </c>
      <c r="CZ103" s="4260" t="e">
        <f>IF($APM45=_List!$DQ$7,($AI$46*$ARL45*$AOV45)/($ABH45*$AQU45),IF($APM45=_List!$DQ$8,($AI$40*$ARL45*$AOV45)/($ABH45*$AQU45),0))</f>
        <v>#N/A</v>
      </c>
      <c r="DA103" s="4258" t="e">
        <f>klasse_kapasitet[[#This Row],[opphengbolter_gt4_rate]]/CZ$98/$AI$40</f>
        <v>#N/A</v>
      </c>
      <c r="DB103" s="4260">
        <f t="shared" si="330"/>
        <v>0</v>
      </c>
      <c r="DC103" s="4258" t="e">
        <f>klasse_kapasitet[[#This Row],[bue_rate]]/DB$98/$AI$40</f>
        <v>#N/A</v>
      </c>
      <c r="DD103" s="4260">
        <f t="shared" si="331"/>
        <v>0</v>
      </c>
      <c r="DE103" s="4260" t="e">
        <f>klasse_kapasitet[[#This Row],[radiellebolter_lt4_rate]]/DD$98/$AI$40</f>
        <v>#N/A</v>
      </c>
      <c r="DF103" s="4260">
        <f t="shared" si="332"/>
        <v>0</v>
      </c>
      <c r="DG103" s="4260" t="e">
        <f>klasse_kapasitet[[#This Row],[radiellebolter_gt4_rate]]/DF$98/$AI$40</f>
        <v>#N/A</v>
      </c>
      <c r="DH103" s="4260">
        <f t="shared" si="333"/>
        <v>0</v>
      </c>
      <c r="DI103" s="4260" t="e">
        <f>klasse_kapasitet[[#This Row],[bue_tilleggs_sprøyte_rate]]/DH$98/$AI$40</f>
        <v>#N/A</v>
      </c>
      <c r="DJ103" s="4260">
        <f t="shared" si="334"/>
        <v>0</v>
      </c>
      <c r="DK103" s="4260" t="e">
        <f>klasse_kapasitet[[#This Row],[forankring_lt4_rate]]/DJ$98/$AI$40</f>
        <v>#N/A</v>
      </c>
      <c r="DL103" s="4260">
        <f t="shared" si="335"/>
        <v>0</v>
      </c>
      <c r="DM103" s="4260" t="e">
        <f>klasse_kapasitet[[#This Row],[forankring_gt4_rate]]/DL$98/$AI$40</f>
        <v>#N/A</v>
      </c>
      <c r="DN103" s="4257"/>
      <c r="DO103" s="4257"/>
      <c r="DP103" s="4263"/>
      <c r="DQ103" s="4263"/>
      <c r="DR103" s="4263"/>
      <c r="DS103" s="4263"/>
      <c r="DT103" s="4263"/>
      <c r="DU103" s="4263"/>
      <c r="DV103" s="4263"/>
      <c r="DW103" s="4263"/>
      <c r="DX103" s="4263"/>
      <c r="DY103" s="4263"/>
      <c r="DZ103" s="4263"/>
      <c r="EA103" s="4263"/>
      <c r="EB103" s="4263"/>
      <c r="EC103" s="4263"/>
      <c r="ED103" s="4263"/>
      <c r="EE103" s="4263"/>
      <c r="EF103" s="4263"/>
      <c r="EG103" s="4263"/>
      <c r="EH103" s="4263"/>
      <c r="EI103" s="4263"/>
      <c r="EJ103" s="4263"/>
      <c r="EK103" s="4263"/>
      <c r="EL103" s="4263"/>
      <c r="EM103" s="4263"/>
      <c r="EN103"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3" s="4276"/>
      <c r="LR103" s="2617"/>
      <c r="LS103" s="2617"/>
      <c r="LT103" s="2617"/>
      <c r="LU103" s="2617"/>
      <c r="LV103" s="2617"/>
      <c r="LW103" s="2617"/>
      <c r="LX103" s="2617"/>
      <c r="LY103" s="2617"/>
      <c r="LZ103" s="2617"/>
      <c r="MA103" s="2617"/>
      <c r="MB103" s="2617"/>
      <c r="MC103" s="2617"/>
      <c r="MD103" s="2617"/>
      <c r="ME103" s="2617"/>
      <c r="MF103" s="2617"/>
      <c r="MG103" s="2617"/>
      <c r="MH103" s="2617"/>
      <c r="MI103" s="2617"/>
      <c r="MJ103" s="2617"/>
      <c r="MK103" s="2617"/>
      <c r="ML103" s="2617"/>
      <c r="MM103" s="2617"/>
      <c r="MN103" s="2617"/>
      <c r="MO103" s="2617"/>
      <c r="MP103" s="2617"/>
      <c r="MQ103" s="2617"/>
      <c r="MR103" s="2617"/>
      <c r="MS103" s="2617"/>
      <c r="MT103" s="2617"/>
      <c r="MU103" s="2617"/>
      <c r="MV103" s="2617"/>
      <c r="MW103" s="2617"/>
      <c r="MX103" s="2617"/>
      <c r="MY103" s="2617"/>
      <c r="MZ103" s="2617"/>
      <c r="NA103" s="2617"/>
      <c r="NB103" s="2617"/>
      <c r="NC103" s="2617"/>
      <c r="ND103" s="2617"/>
      <c r="NE103" s="2617"/>
      <c r="NF103" s="2617"/>
      <c r="NG103" s="2617"/>
      <c r="NH103" s="2617"/>
      <c r="NI103" s="2617"/>
      <c r="NJ103" s="2617"/>
      <c r="NK103" s="2617"/>
      <c r="NL103" s="2617"/>
      <c r="NM103" s="2617"/>
      <c r="NN103" s="2617"/>
      <c r="NO103" s="2617"/>
      <c r="NP103" s="2617"/>
      <c r="NQ103" s="2617"/>
      <c r="NR103" s="2617"/>
      <c r="NS103" s="2617"/>
      <c r="NT103" s="2617"/>
      <c r="NU103" s="2617"/>
      <c r="NV103" s="2617"/>
      <c r="NW103" s="2617"/>
      <c r="NX103" s="2617"/>
      <c r="NY103" s="2617"/>
      <c r="NZ103" s="2617"/>
      <c r="OA103" s="2617"/>
      <c r="OB103" s="2617"/>
      <c r="OC103" s="2617"/>
      <c r="OD103" s="2617"/>
      <c r="OE103" s="2617"/>
      <c r="OF103" s="2617"/>
      <c r="OG103" s="2617"/>
      <c r="OH103" s="2617"/>
      <c r="OI103" s="2617"/>
      <c r="OJ103" s="2617"/>
      <c r="AEY103" s="2622"/>
      <c r="AEZ103" s="2622"/>
      <c r="AFA103" s="2622"/>
      <c r="AFB103" s="2622"/>
      <c r="AFC103" s="2622"/>
      <c r="AFD103" s="2622"/>
      <c r="AFE103" s="2622"/>
      <c r="AFF103" s="2622"/>
      <c r="AFG103" s="2737"/>
      <c r="AFO103" s="2622"/>
      <c r="AFP103" s="2737"/>
      <c r="AFX103" s="2622"/>
      <c r="AFZ103" s="2737"/>
      <c r="AGH103" s="2622"/>
      <c r="AGI103" s="2737"/>
      <c r="AGQ103" s="2622"/>
      <c r="AGR103" s="2737"/>
      <c r="AHA103" s="2622"/>
      <c r="AHB103" s="2737"/>
      <c r="AHI103" s="2622"/>
      <c r="AHJ103" s="2737"/>
      <c r="AHT103" s="2622"/>
      <c r="AHV103" s="2737"/>
      <c r="AID103" s="2622"/>
      <c r="AJN103" s="2622"/>
      <c r="AJP103" s="2737"/>
      <c r="AJX103" s="2622"/>
      <c r="AKD103" s="2737"/>
      <c r="AKL103" s="2622"/>
      <c r="AKT103" s="2622"/>
      <c r="ALB103" s="2622"/>
      <c r="ALM103" s="2737"/>
      <c r="ALU103" s="2622"/>
      <c r="ALW103" s="2737"/>
      <c r="ALX103" s="2737"/>
      <c r="AME103" s="2622"/>
      <c r="AMG103" s="2737"/>
      <c r="AMN103" s="2622"/>
      <c r="AMO103" s="2622"/>
      <c r="AMV103" s="2622"/>
      <c r="AMW103" s="2622"/>
      <c r="AOI103" s="2737"/>
      <c r="AOQ103" s="2622"/>
      <c r="AOZ103" s="2737"/>
      <c r="APH103" s="2622"/>
      <c r="APT103" s="2737"/>
      <c r="ASB103" s="2622"/>
      <c r="ASJ103" s="2737"/>
      <c r="ASK103" s="2737"/>
      <c r="ASL103" s="2737"/>
      <c r="ASM103" s="2737"/>
      <c r="ASN103" s="2737"/>
      <c r="ASO103" s="2737"/>
      <c r="ASP103" s="2737"/>
      <c r="ASQ103" s="2737"/>
      <c r="ASR103" s="2737"/>
      <c r="ASS103" s="2737"/>
      <c r="ATA103" s="4124"/>
      <c r="ATS103" s="2737"/>
      <c r="AUA103" s="2622"/>
      <c r="AUS103" s="2737"/>
      <c r="AUU103" s="2617"/>
      <c r="AUV103" s="2617"/>
      <c r="AUW103" s="2617"/>
      <c r="AUX103" s="2617"/>
      <c r="AUY103" s="2617"/>
      <c r="AUZ103" s="2617"/>
      <c r="AVA103" s="2617"/>
      <c r="AVB103" s="2617"/>
      <c r="AVC103" s="181"/>
      <c r="AVD103" s="181"/>
      <c r="AVE103" s="181"/>
      <c r="AVF103" s="181"/>
      <c r="AVG103" s="181"/>
      <c r="AVH103" s="2617"/>
      <c r="AVI103" s="2617"/>
      <c r="AVJ103" s="2617"/>
      <c r="AVK103" s="2617"/>
      <c r="AVL103" s="2617"/>
      <c r="AVM103" s="2617"/>
      <c r="AVN103" s="2617"/>
      <c r="AVO103" s="2617"/>
      <c r="AVP103" s="2617"/>
      <c r="AVQ103" s="2617"/>
      <c r="AVR103" s="2617"/>
      <c r="AVS103" s="2617"/>
      <c r="AVT103" s="2617"/>
      <c r="AVU103" s="2617"/>
      <c r="AVV103" s="2617"/>
      <c r="AVW103" s="2617"/>
      <c r="AVX103" s="2617"/>
      <c r="AVY103" s="2617"/>
      <c r="AVZ103" s="2617"/>
      <c r="AWA103" s="2617"/>
      <c r="AWB103" s="2617"/>
      <c r="AWC103" s="2617"/>
      <c r="AWD103" s="2617"/>
      <c r="AWE103" s="2617"/>
      <c r="AWF103" s="2617"/>
      <c r="AWG103" s="2617"/>
      <c r="AWH103" s="2617"/>
      <c r="AWI103" s="2617"/>
      <c r="AWJ103" s="2617"/>
      <c r="AWK103" s="2617"/>
      <c r="AWL103" s="2617"/>
      <c r="AWM103" s="2617"/>
      <c r="AWN103" s="2617"/>
      <c r="AWO103" s="2617"/>
      <c r="AWP103" s="2617"/>
      <c r="AWQ103" s="2617"/>
      <c r="AWR103" s="2617"/>
      <c r="AWS103" s="2617"/>
      <c r="AWT103" s="2617"/>
      <c r="AWU103" s="2617"/>
      <c r="AWV103" s="2617"/>
      <c r="AWW103" s="2617"/>
      <c r="AWX103" s="2617"/>
      <c r="AWY103" s="2617"/>
      <c r="AWZ103" s="2617"/>
      <c r="AXA103" s="2617"/>
      <c r="AXB103" s="2617"/>
      <c r="AXC103" s="2617"/>
      <c r="AXD103" s="2617"/>
      <c r="AXE103" s="2617"/>
      <c r="AXF103" s="2617"/>
      <c r="AXG103" s="2617"/>
      <c r="AXH103" s="2617"/>
      <c r="AXI103" s="2617"/>
      <c r="AXJ103" s="2617"/>
      <c r="AXK103" s="2617"/>
      <c r="BCJ103" s="2617"/>
      <c r="BCK103" s="2617"/>
      <c r="BCL103" s="2617"/>
      <c r="BCM103" s="2617"/>
      <c r="BCN103" s="2617"/>
      <c r="BCO103" s="2617"/>
      <c r="BCP103" s="2617"/>
      <c r="BCQ103" s="2617"/>
      <c r="BDJ103" s="2622"/>
      <c r="BDK103" s="2622"/>
      <c r="BDR103" s="2617"/>
      <c r="BDS103" s="2617"/>
      <c r="BDX103" s="2622"/>
      <c r="BDY103" s="2622"/>
      <c r="BEI103" s="2622"/>
      <c r="BEJ103" s="2622"/>
      <c r="BEK103" s="2622"/>
      <c r="BEL103" s="2622"/>
      <c r="BEM103" s="2622"/>
      <c r="BEP103" s="2622"/>
      <c r="BFM103" s="3398"/>
    </row>
    <row r="104" spans="34:1021 1028:1521" ht="20.100000000000001" customHeight="1" x14ac:dyDescent="0.2">
      <c r="AH104" s="2970" t="s">
        <v>2532</v>
      </c>
      <c r="AV104" s="2622"/>
      <c r="AW104" s="2622"/>
      <c r="AX104" s="2622"/>
      <c r="CG104" s="4196" t="s">
        <v>899</v>
      </c>
      <c r="CH104" s="316" t="s">
        <v>876</v>
      </c>
      <c r="CI104" s="1759" t="s">
        <v>890</v>
      </c>
      <c r="CJ104" s="4257" t="e">
        <f t="shared" si="325"/>
        <v>#N/A</v>
      </c>
      <c r="CK104" s="4257" t="e">
        <f>klasse_kapasitet[[#This Row],[Manuell_rate]]/CJ$98/$AI$40</f>
        <v>#N/A</v>
      </c>
      <c r="CL104" s="4257" t="e">
        <f t="shared" si="326"/>
        <v>#N/A</v>
      </c>
      <c r="CM104" s="4257" t="e">
        <f>klasse_kapasitet[[#This Row],[Kartlegging_rate]]/CL$98/$AI$40</f>
        <v>#N/A</v>
      </c>
      <c r="CN104" s="4257" t="e">
        <f t="shared" si="327"/>
        <v>#N/A</v>
      </c>
      <c r="CO104" s="4257" t="e">
        <f>klasse_kapasitet[[#This Row],[Bolting_lt4_rate]]/CN$98/$AI$40</f>
        <v>#N/A</v>
      </c>
      <c r="CP104" s="4257" t="e">
        <f t="shared" si="328"/>
        <v>#N/A</v>
      </c>
      <c r="CQ104" s="4258" t="e">
        <f>klasse_kapasitet[[#This Row],[Bolting_gt4_rate]]/CP$98/$AI$40</f>
        <v>#N/A</v>
      </c>
      <c r="CR104" s="4260" t="e">
        <f t="shared" si="329"/>
        <v>#N/A</v>
      </c>
      <c r="CS104" s="4258" t="e">
        <f>klasse_kapasitet[[#This Row],[sprøytebetong_rate]]/CR$98/$AI$40</f>
        <v>#N/A</v>
      </c>
      <c r="CT104" s="4260" t="e">
        <f>IF($APM46=_List!$DQ$7,($AI$46*$AQC46*$AOV46)/($ABH46*$APU46),IF($APM46=_List!$DQ$8,($AI$40*$AQC46*$AOV46)/($ABH46*$APU46),0))</f>
        <v>#N/A</v>
      </c>
      <c r="CU104" s="4258" t="e">
        <f>klasse_kapasitet[[#This Row],[forbolting_lt4_rate]]/CT$98/$AI$40</f>
        <v>#N/A</v>
      </c>
      <c r="CV104" s="4260" t="e">
        <f>IF($APM46=_List!$DQ$7,($AI$46*$AQL46*$AOV46)/($ABH46*$APU46),IF($APM46=_List!$DQ$8,($AI$40*$AQL46*$AOV46)/($ABH46*$APU46),0))</f>
        <v>#N/A</v>
      </c>
      <c r="CW104" s="4258" t="e">
        <f>klasse_kapasitet[[#This Row],[forbolting_gt4_rate]]/CV$98/$AI$40</f>
        <v>#N/A</v>
      </c>
      <c r="CX104" s="4260" t="e">
        <f>IF($APM46=_List!$DQ$7,($AI$46*$ARC46*$AOV46)/($ABH46*$AQU46),IF($APM46=_List!$DQ$8,($AI$40*$ARC46*$AOV46)/($ABH46*$AQU46),0))</f>
        <v>#N/A</v>
      </c>
      <c r="CY104" s="4258" t="e">
        <f>klasse_kapasitet[[#This Row],[opphengbolter_lt4_rate]]/CX$98/$AI$40</f>
        <v>#N/A</v>
      </c>
      <c r="CZ104" s="4260" t="e">
        <f>IF($APM46=_List!$DQ$7,($AI$46*$ARL46*$AOV46)/($ABH46*$AQU46),IF($APM46=_List!$DQ$8,($AI$40*$ARL46*$AOV46)/($ABH46*$AQU46),0))</f>
        <v>#N/A</v>
      </c>
      <c r="DA104" s="4258" t="e">
        <f>klasse_kapasitet[[#This Row],[opphengbolter_gt4_rate]]/CZ$98/$AI$40</f>
        <v>#N/A</v>
      </c>
      <c r="DB104" s="4260">
        <f t="shared" si="330"/>
        <v>0</v>
      </c>
      <c r="DC104" s="4258" t="e">
        <f>klasse_kapasitet[[#This Row],[bue_rate]]/DB$98/$AI$40</f>
        <v>#N/A</v>
      </c>
      <c r="DD104" s="4260">
        <f t="shared" si="331"/>
        <v>0</v>
      </c>
      <c r="DE104" s="4260" t="e">
        <f>klasse_kapasitet[[#This Row],[radiellebolter_lt4_rate]]/DD$98/$AI$40</f>
        <v>#N/A</v>
      </c>
      <c r="DF104" s="4260">
        <f t="shared" si="332"/>
        <v>0</v>
      </c>
      <c r="DG104" s="4260" t="e">
        <f>klasse_kapasitet[[#This Row],[radiellebolter_gt4_rate]]/DF$98/$AI$40</f>
        <v>#N/A</v>
      </c>
      <c r="DH104" s="4260">
        <f t="shared" si="333"/>
        <v>0</v>
      </c>
      <c r="DI104" s="4260" t="e">
        <f>klasse_kapasitet[[#This Row],[bue_tilleggs_sprøyte_rate]]/DH$98/$AI$40</f>
        <v>#N/A</v>
      </c>
      <c r="DJ104" s="4260">
        <f t="shared" si="334"/>
        <v>0</v>
      </c>
      <c r="DK104" s="4260" t="e">
        <f>klasse_kapasitet[[#This Row],[forankring_lt4_rate]]/DJ$98/$AI$40</f>
        <v>#N/A</v>
      </c>
      <c r="DL104" s="4260">
        <f t="shared" si="335"/>
        <v>0</v>
      </c>
      <c r="DM104" s="4260" t="e">
        <f>klasse_kapasitet[[#This Row],[forankring_gt4_rate]]/DL$98/$AI$40</f>
        <v>#N/A</v>
      </c>
      <c r="DN104" s="4257"/>
      <c r="DO104" s="4257"/>
      <c r="DP104" s="4263"/>
      <c r="DQ104" s="4263"/>
      <c r="DR104" s="4263"/>
      <c r="DS104" s="4263"/>
      <c r="DT104" s="4263"/>
      <c r="DU104" s="4263"/>
      <c r="DV104" s="4263"/>
      <c r="DW104" s="4263"/>
      <c r="DX104" s="4263"/>
      <c r="DY104" s="4263"/>
      <c r="DZ104" s="4263"/>
      <c r="EA104" s="4263"/>
      <c r="EB104" s="4263"/>
      <c r="EC104" s="4263"/>
      <c r="ED104" s="4263"/>
      <c r="EE104" s="4263"/>
      <c r="EF104" s="4263"/>
      <c r="EG104" s="4263"/>
      <c r="EH104" s="4263"/>
      <c r="EI104" s="4263"/>
      <c r="EJ104" s="4263"/>
      <c r="EK104" s="4263"/>
      <c r="EL104" s="4263"/>
      <c r="EM104" s="4263"/>
      <c r="EN104"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4" s="4276"/>
      <c r="LR104" s="2617"/>
      <c r="LS104" s="2617"/>
      <c r="LT104" s="2617"/>
      <c r="LU104" s="2617"/>
      <c r="LV104" s="2617"/>
      <c r="LW104" s="2617"/>
      <c r="LX104" s="2617"/>
      <c r="LY104" s="2617"/>
      <c r="LZ104" s="2617"/>
      <c r="MA104" s="2617"/>
      <c r="MB104" s="2617"/>
      <c r="MC104" s="2617"/>
      <c r="MD104" s="2617"/>
      <c r="ME104" s="2617"/>
      <c r="MF104" s="2617"/>
      <c r="MG104" s="2617"/>
      <c r="MH104" s="2617"/>
      <c r="MI104" s="2617"/>
      <c r="MJ104" s="2617"/>
      <c r="MK104" s="2617"/>
      <c r="ML104" s="2617"/>
      <c r="MM104" s="2617"/>
      <c r="MN104" s="2617"/>
      <c r="MO104" s="2617"/>
      <c r="MP104" s="2617"/>
      <c r="MQ104" s="2617"/>
      <c r="MR104" s="2617"/>
      <c r="MS104" s="2617"/>
      <c r="MT104" s="2617"/>
      <c r="MU104" s="2617"/>
      <c r="MV104" s="2617"/>
      <c r="MW104" s="2617"/>
      <c r="MX104" s="2617"/>
      <c r="MY104" s="2617"/>
      <c r="MZ104" s="2617"/>
      <c r="NA104" s="2617"/>
      <c r="NB104" s="2617"/>
      <c r="NC104" s="2617"/>
      <c r="ND104" s="2617"/>
      <c r="NE104" s="2617"/>
      <c r="NF104" s="2617"/>
      <c r="NG104" s="2617"/>
      <c r="NH104" s="2617"/>
      <c r="NI104" s="2617"/>
      <c r="NJ104" s="2617"/>
      <c r="NK104" s="2617"/>
      <c r="NL104" s="2617"/>
      <c r="NM104" s="2617"/>
      <c r="NN104" s="2617"/>
      <c r="NO104" s="2617"/>
      <c r="NP104" s="2617"/>
      <c r="NQ104" s="2617"/>
      <c r="NR104" s="2617"/>
      <c r="NS104" s="2617"/>
      <c r="NT104" s="2617"/>
      <c r="NU104" s="2617"/>
      <c r="NV104" s="2617"/>
      <c r="NW104" s="2617"/>
      <c r="NX104" s="2617"/>
      <c r="NY104" s="2617"/>
      <c r="NZ104" s="2617"/>
      <c r="OA104" s="2617"/>
      <c r="OB104" s="2617"/>
      <c r="OC104" s="2617"/>
      <c r="OD104" s="2617"/>
      <c r="OE104" s="2617"/>
      <c r="OF104" s="2617"/>
      <c r="OG104" s="2617"/>
      <c r="OH104" s="2617"/>
      <c r="OI104" s="2617"/>
      <c r="OJ104" s="2617"/>
      <c r="AEY104" s="2622"/>
      <c r="AEZ104" s="2622"/>
      <c r="AFA104" s="2622"/>
      <c r="AFB104" s="2622"/>
      <c r="AFC104" s="2622"/>
      <c r="AFD104" s="2622"/>
      <c r="AFE104" s="2622"/>
      <c r="AFF104" s="2622"/>
      <c r="AFG104" s="2737"/>
      <c r="AFO104" s="2622"/>
      <c r="AFP104" s="2737"/>
      <c r="AFX104" s="2622"/>
      <c r="AFZ104" s="2737"/>
      <c r="AGH104" s="2622"/>
      <c r="AGI104" s="2737"/>
      <c r="AGQ104" s="2622"/>
      <c r="AGR104" s="2737"/>
      <c r="AHA104" s="2622"/>
      <c r="AHB104" s="2737"/>
      <c r="AHI104" s="2622"/>
      <c r="AHJ104" s="2737"/>
      <c r="AHT104" s="2622"/>
      <c r="AHV104" s="2737"/>
      <c r="AID104" s="2622"/>
      <c r="AJN104" s="2622"/>
      <c r="AJP104" s="2737"/>
      <c r="AJX104" s="2622"/>
      <c r="AKD104" s="2737"/>
      <c r="AKL104" s="2622"/>
      <c r="AKT104" s="2622"/>
      <c r="ALB104" s="2622"/>
      <c r="ALM104" s="2737"/>
      <c r="ALU104" s="2622"/>
      <c r="ALW104" s="2737"/>
      <c r="ALX104" s="2737"/>
      <c r="AME104" s="2622"/>
      <c r="AMG104" s="2737"/>
      <c r="AMN104" s="2622"/>
      <c r="AMO104" s="2622"/>
      <c r="AMV104" s="2622"/>
      <c r="AMW104" s="2622"/>
      <c r="AOI104" s="2737"/>
      <c r="AOQ104" s="2622"/>
      <c r="AOZ104" s="2737"/>
      <c r="APH104" s="2622"/>
      <c r="APT104" s="2737"/>
      <c r="ASB104" s="2622"/>
      <c r="ASJ104" s="2737"/>
      <c r="ASK104" s="2737"/>
      <c r="ASL104" s="2737"/>
      <c r="ASM104" s="2737"/>
      <c r="ASN104" s="2737"/>
      <c r="ASO104" s="2737"/>
      <c r="ASP104" s="2737"/>
      <c r="ASQ104" s="2737"/>
      <c r="ASR104" s="2737"/>
      <c r="ASS104" s="2737"/>
      <c r="ATA104" s="4124"/>
      <c r="ATS104" s="2737"/>
      <c r="AUA104" s="2622"/>
      <c r="AUS104" s="2737"/>
      <c r="AUU104" s="2617"/>
      <c r="AUV104" s="2617"/>
      <c r="AUW104" s="2617"/>
      <c r="AUX104" s="2617"/>
      <c r="AUY104" s="2617"/>
      <c r="AUZ104" s="2617"/>
      <c r="AVA104" s="2617"/>
      <c r="AVB104" s="2617"/>
      <c r="AVC104" s="181"/>
      <c r="AVD104" s="181"/>
      <c r="AVE104" s="181"/>
      <c r="AVF104" s="181"/>
      <c r="AVG104" s="181"/>
      <c r="AVH104" s="2617"/>
      <c r="AVI104" s="2617"/>
      <c r="AVJ104" s="2617"/>
      <c r="AVK104" s="2617"/>
      <c r="AVL104" s="2617"/>
      <c r="AVM104" s="2617"/>
      <c r="AVN104" s="2617"/>
      <c r="AVO104" s="2617"/>
      <c r="AVP104" s="2617"/>
      <c r="AVQ104" s="2617"/>
      <c r="AVR104" s="2617"/>
      <c r="AVS104" s="2617"/>
      <c r="AVT104" s="2617"/>
      <c r="AVU104" s="2617"/>
      <c r="AVV104" s="2617"/>
      <c r="AVW104" s="2617"/>
      <c r="AVX104" s="2617"/>
      <c r="AVY104" s="2617"/>
      <c r="AVZ104" s="2617"/>
      <c r="AWA104" s="2617"/>
      <c r="AWB104" s="2617"/>
      <c r="AWC104" s="2617"/>
      <c r="AWD104" s="2617"/>
      <c r="AWE104" s="2617"/>
      <c r="AWF104" s="2617"/>
      <c r="AWG104" s="2617"/>
      <c r="AWH104" s="2617"/>
      <c r="AWI104" s="2617"/>
      <c r="AWJ104" s="2617"/>
      <c r="AWK104" s="2617"/>
      <c r="AWL104" s="2617"/>
      <c r="AWM104" s="2617"/>
      <c r="AWN104" s="2617"/>
      <c r="AWO104" s="2617"/>
      <c r="AWP104" s="2617"/>
      <c r="AWQ104" s="2617"/>
      <c r="AWR104" s="2617"/>
      <c r="AWS104" s="2617"/>
      <c r="AWT104" s="2617"/>
      <c r="AWU104" s="2617"/>
      <c r="AWV104" s="2617"/>
      <c r="AWW104" s="2617"/>
      <c r="AWX104" s="2617"/>
      <c r="AWY104" s="2617"/>
      <c r="AWZ104" s="2617"/>
      <c r="AXA104" s="2617"/>
      <c r="AXB104" s="2617"/>
      <c r="AXC104" s="2617"/>
      <c r="AXD104" s="2617"/>
      <c r="AXE104" s="2617"/>
      <c r="AXF104" s="2617"/>
      <c r="AXG104" s="2617"/>
      <c r="AXH104" s="2617"/>
      <c r="AXI104" s="2617"/>
      <c r="AXJ104" s="2617"/>
      <c r="AXK104" s="2617"/>
      <c r="BCJ104" s="2617"/>
      <c r="BCK104" s="2617"/>
      <c r="BCL104" s="2617"/>
      <c r="BCM104" s="2617"/>
      <c r="BCN104" s="2617"/>
      <c r="BCO104" s="2617"/>
      <c r="BCP104" s="2617"/>
      <c r="BCQ104" s="2617"/>
      <c r="BDJ104" s="2622"/>
      <c r="BDK104" s="2622"/>
      <c r="BDR104" s="2617"/>
      <c r="BDS104" s="2617"/>
      <c r="BDX104" s="2622"/>
      <c r="BDY104" s="2622"/>
      <c r="BEI104" s="2622"/>
      <c r="BEJ104" s="2622"/>
      <c r="BEK104" s="2622"/>
      <c r="BEL104" s="2622"/>
      <c r="BEM104" s="2622"/>
      <c r="BEP104" s="2622"/>
      <c r="BFM104" s="3398"/>
    </row>
    <row r="105" spans="34:1021 1028:1521" ht="20.100000000000001" customHeight="1" x14ac:dyDescent="0.2">
      <c r="AV105" s="2622"/>
      <c r="AW105" s="2622"/>
      <c r="AX105" s="2622"/>
      <c r="CG105" s="4196" t="s">
        <v>898</v>
      </c>
      <c r="CH105" s="316" t="s">
        <v>875</v>
      </c>
      <c r="CI105" s="1759" t="s">
        <v>890</v>
      </c>
      <c r="CJ105" s="4257" t="e">
        <f t="shared" si="325"/>
        <v>#N/A</v>
      </c>
      <c r="CK105" s="4257" t="e">
        <f>klasse_kapasitet[[#This Row],[Manuell_rate]]/CJ$98/$AI$40</f>
        <v>#N/A</v>
      </c>
      <c r="CL105" s="4257" t="e">
        <f t="shared" si="326"/>
        <v>#N/A</v>
      </c>
      <c r="CM105" s="4257" t="e">
        <f>klasse_kapasitet[[#This Row],[Kartlegging_rate]]/CL$98/$AI$40</f>
        <v>#N/A</v>
      </c>
      <c r="CN105" s="4257" t="e">
        <f t="shared" si="327"/>
        <v>#N/A</v>
      </c>
      <c r="CO105" s="4257" t="e">
        <f>klasse_kapasitet[[#This Row],[Bolting_lt4_rate]]/CN$98/$AI$40</f>
        <v>#N/A</v>
      </c>
      <c r="CP105" s="4257" t="e">
        <f t="shared" si="328"/>
        <v>#N/A</v>
      </c>
      <c r="CQ105" s="4258" t="e">
        <f>klasse_kapasitet[[#This Row],[Bolting_gt4_rate]]/CP$98/$AI$40</f>
        <v>#N/A</v>
      </c>
      <c r="CR105" s="4260" t="e">
        <f t="shared" si="329"/>
        <v>#N/A</v>
      </c>
      <c r="CS105" s="4258" t="e">
        <f>klasse_kapasitet[[#This Row],[sprøytebetong_rate]]/CR$98/$AI$40</f>
        <v>#N/A</v>
      </c>
      <c r="CT105" s="4260" t="e">
        <f>IF($APM47=_List!$DQ$7,($AI$46*$AQC47*$AOV47)/($ABH47*$APU47),IF($APM47=_List!$DQ$8,($AI$40*$AQC47*$AOV47)/($ABH47*$APU47),0))</f>
        <v>#N/A</v>
      </c>
      <c r="CU105" s="4258" t="e">
        <f>klasse_kapasitet[[#This Row],[forbolting_lt4_rate]]/CT$98/$AI$40</f>
        <v>#N/A</v>
      </c>
      <c r="CV105" s="4260" t="e">
        <f>IF($APM47=_List!$DQ$7,($AI$46*$AQL47*$AOV47)/($ABH47*$APU47),IF($APM47=_List!$DQ$8,($AI$40*$AQL47*$AOV47)/($ABH47*$APU47),0))</f>
        <v>#N/A</v>
      </c>
      <c r="CW105" s="4258" t="e">
        <f>klasse_kapasitet[[#This Row],[forbolting_gt4_rate]]/CV$98/$AI$40</f>
        <v>#N/A</v>
      </c>
      <c r="CX105" s="4260" t="e">
        <f>IF($APM47=_List!$DQ$7,($AI$46*$ARC47*$AOV47)/($ABH47*$AQU47),IF($APM47=_List!$DQ$8,($AI$40*$ARC47*$AOV47)/($ABH47*$AQU47),0))</f>
        <v>#N/A</v>
      </c>
      <c r="CY105" s="4258" t="e">
        <f>klasse_kapasitet[[#This Row],[opphengbolter_lt4_rate]]/CX$98/$AI$40</f>
        <v>#N/A</v>
      </c>
      <c r="CZ105" s="4260" t="e">
        <f>IF($APM47=_List!$DQ$7,($AI$46*$ARL47*$AOV47)/($ABH47*$AQU47),IF($APM47=_List!$DQ$8,($AI$40*$ARL47*$AOV47)/($ABH47*$AQU47),0))</f>
        <v>#N/A</v>
      </c>
      <c r="DA105" s="4258" t="e">
        <f>klasse_kapasitet[[#This Row],[opphengbolter_gt4_rate]]/CZ$98/$AI$40</f>
        <v>#N/A</v>
      </c>
      <c r="DB105" s="4260">
        <f t="shared" si="330"/>
        <v>0</v>
      </c>
      <c r="DC105" s="4258" t="e">
        <f>klasse_kapasitet[[#This Row],[bue_rate]]/DB$98/$AI$40</f>
        <v>#N/A</v>
      </c>
      <c r="DD105" s="4260">
        <f t="shared" si="331"/>
        <v>0</v>
      </c>
      <c r="DE105" s="4260" t="e">
        <f>klasse_kapasitet[[#This Row],[radiellebolter_lt4_rate]]/DD$98/$AI$40</f>
        <v>#N/A</v>
      </c>
      <c r="DF105" s="4260">
        <f t="shared" si="332"/>
        <v>0</v>
      </c>
      <c r="DG105" s="4260" t="e">
        <f>klasse_kapasitet[[#This Row],[radiellebolter_gt4_rate]]/DF$98/$AI$40</f>
        <v>#N/A</v>
      </c>
      <c r="DH105" s="4260">
        <f t="shared" si="333"/>
        <v>0</v>
      </c>
      <c r="DI105" s="4260" t="e">
        <f>klasse_kapasitet[[#This Row],[bue_tilleggs_sprøyte_rate]]/DH$98/$AI$40</f>
        <v>#N/A</v>
      </c>
      <c r="DJ105" s="4260">
        <f t="shared" si="334"/>
        <v>0</v>
      </c>
      <c r="DK105" s="4260" t="e">
        <f>klasse_kapasitet[[#This Row],[forankring_lt4_rate]]/DJ$98/$AI$40</f>
        <v>#N/A</v>
      </c>
      <c r="DL105" s="4260">
        <f t="shared" si="335"/>
        <v>0</v>
      </c>
      <c r="DM105" s="4260" t="e">
        <f>klasse_kapasitet[[#This Row],[forankring_gt4_rate]]/DL$98/$AI$40</f>
        <v>#N/A</v>
      </c>
      <c r="DN105" s="4257"/>
      <c r="DO105" s="4257"/>
      <c r="DP105" s="4263"/>
      <c r="DQ105" s="4263"/>
      <c r="DR105" s="4263"/>
      <c r="DS105" s="4263"/>
      <c r="DT105" s="4263"/>
      <c r="DU105" s="4263"/>
      <c r="DV105" s="4263"/>
      <c r="DW105" s="4263"/>
      <c r="DX105" s="4263"/>
      <c r="DY105" s="4263"/>
      <c r="DZ105" s="4263"/>
      <c r="EA105" s="4263"/>
      <c r="EB105" s="4263"/>
      <c r="EC105" s="4263"/>
      <c r="ED105" s="4263"/>
      <c r="EE105" s="4263"/>
      <c r="EF105" s="4263"/>
      <c r="EG105" s="4263"/>
      <c r="EH105" s="4263"/>
      <c r="EI105" s="4263"/>
      <c r="EJ105" s="4263"/>
      <c r="EK105" s="4263"/>
      <c r="EL105" s="4263"/>
      <c r="EM105" s="4263"/>
      <c r="EN105"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5" s="4276"/>
      <c r="LR105" s="2617"/>
      <c r="LS105" s="2617"/>
      <c r="LT105" s="2617"/>
      <c r="LU105" s="2617"/>
      <c r="LV105" s="2617"/>
      <c r="LW105" s="2617"/>
      <c r="LX105" s="2617"/>
      <c r="LY105" s="2617"/>
      <c r="LZ105" s="2617"/>
      <c r="MA105" s="2617"/>
      <c r="MB105" s="2617"/>
      <c r="MC105" s="2617"/>
      <c r="MD105" s="2617"/>
      <c r="ME105" s="2617"/>
      <c r="MF105" s="2617"/>
      <c r="MG105" s="2617"/>
      <c r="MH105" s="2617"/>
      <c r="MI105" s="2617"/>
      <c r="MJ105" s="2617"/>
      <c r="MK105" s="2617"/>
      <c r="ML105" s="2617"/>
      <c r="MM105" s="2617"/>
      <c r="MN105" s="2617"/>
      <c r="MO105" s="2617"/>
      <c r="MP105" s="2617"/>
      <c r="MQ105" s="2617"/>
      <c r="MR105" s="2617"/>
      <c r="MS105" s="2617"/>
      <c r="MT105" s="2617"/>
      <c r="MU105" s="2617"/>
      <c r="MV105" s="2617"/>
      <c r="MW105" s="2617"/>
      <c r="MX105" s="2617"/>
      <c r="MY105" s="2617"/>
      <c r="MZ105" s="2617"/>
      <c r="NA105" s="2617"/>
      <c r="NB105" s="2617"/>
      <c r="NC105" s="2617"/>
      <c r="ND105" s="2617"/>
      <c r="NE105" s="2617"/>
      <c r="NF105" s="2617"/>
      <c r="NG105" s="2617"/>
      <c r="NH105" s="2617"/>
      <c r="NI105" s="2617"/>
      <c r="NJ105" s="2617"/>
      <c r="NK105" s="2617"/>
      <c r="NL105" s="2617"/>
      <c r="NM105" s="2617"/>
      <c r="NN105" s="2617"/>
      <c r="NO105" s="2617"/>
      <c r="NP105" s="2617"/>
      <c r="NQ105" s="2617"/>
      <c r="NR105" s="2617"/>
      <c r="NS105" s="2617"/>
      <c r="NT105" s="2617"/>
      <c r="NU105" s="2617"/>
      <c r="NV105" s="2617"/>
      <c r="NW105" s="2617"/>
      <c r="NX105" s="2617"/>
      <c r="NY105" s="2617"/>
      <c r="NZ105" s="2617"/>
      <c r="OA105" s="2617"/>
      <c r="OB105" s="2617"/>
      <c r="OC105" s="2617"/>
      <c r="OD105" s="2617"/>
      <c r="OE105" s="2617"/>
      <c r="OF105" s="2617"/>
      <c r="OG105" s="2617"/>
      <c r="OH105" s="2617"/>
      <c r="OI105" s="2617"/>
      <c r="OJ105" s="2617"/>
      <c r="AEY105" s="2622"/>
      <c r="AEZ105" s="2622"/>
      <c r="AFA105" s="2622"/>
      <c r="AFB105" s="2622"/>
      <c r="AFC105" s="2622"/>
      <c r="AFD105" s="2622"/>
      <c r="AFE105" s="2622"/>
      <c r="AFF105" s="2622"/>
      <c r="AFG105" s="2737"/>
      <c r="AFO105" s="2622"/>
      <c r="AFP105" s="2737"/>
      <c r="AFX105" s="2622"/>
      <c r="AFZ105" s="2737"/>
      <c r="AGH105" s="2622"/>
      <c r="AGI105" s="2737"/>
      <c r="AGQ105" s="2622"/>
      <c r="AGR105" s="2737"/>
      <c r="AHA105" s="2622"/>
      <c r="AHB105" s="2737"/>
      <c r="AHI105" s="2622"/>
      <c r="AHJ105" s="2737"/>
      <c r="AHT105" s="2622"/>
      <c r="AHV105" s="2737"/>
      <c r="AID105" s="2622"/>
      <c r="AJN105" s="2622"/>
      <c r="AJP105" s="2737"/>
      <c r="AJX105" s="2622"/>
      <c r="AKD105" s="2737"/>
      <c r="AKL105" s="2622"/>
      <c r="AKT105" s="2622"/>
      <c r="ALB105" s="2622"/>
      <c r="ALM105" s="2737"/>
      <c r="ALU105" s="2622"/>
      <c r="ALW105" s="2737"/>
      <c r="ALX105" s="2737"/>
      <c r="AME105" s="2622"/>
      <c r="AMG105" s="2737"/>
      <c r="AMN105" s="2622"/>
      <c r="AMO105" s="2622"/>
      <c r="AMV105" s="2622"/>
      <c r="AMW105" s="2622"/>
      <c r="AOI105" s="2737"/>
      <c r="AOQ105" s="2622"/>
      <c r="AOZ105" s="2737"/>
      <c r="APH105" s="2622"/>
      <c r="APT105" s="2737"/>
      <c r="ASB105" s="2622"/>
      <c r="ASJ105" s="2737"/>
      <c r="ASK105" s="2737"/>
      <c r="ASL105" s="2737"/>
      <c r="ASM105" s="2737"/>
      <c r="ASN105" s="2737"/>
      <c r="ASO105" s="2737"/>
      <c r="ASP105" s="2737"/>
      <c r="ASQ105" s="2737"/>
      <c r="ASR105" s="2737"/>
      <c r="ASS105" s="2737"/>
      <c r="ATA105" s="4124"/>
      <c r="ATS105" s="2737"/>
      <c r="AUA105" s="2622"/>
      <c r="AUS105" s="2737"/>
      <c r="AUU105" s="2617"/>
      <c r="AUV105" s="2617"/>
      <c r="AUW105" s="2617"/>
      <c r="AUX105" s="2617"/>
      <c r="AUY105" s="2617"/>
      <c r="AUZ105" s="2617"/>
      <c r="AVA105" s="2617"/>
      <c r="AVB105" s="2617"/>
      <c r="AVC105" s="181"/>
      <c r="AVD105" s="181"/>
      <c r="AVE105" s="181"/>
      <c r="AVF105" s="181"/>
      <c r="AVG105" s="181"/>
      <c r="AVH105" s="2617"/>
      <c r="AVI105" s="2617"/>
      <c r="AVJ105" s="2617"/>
      <c r="AVK105" s="2617"/>
      <c r="AVL105" s="2617"/>
      <c r="AVM105" s="2617"/>
      <c r="AVN105" s="2617"/>
      <c r="AVO105" s="2617"/>
      <c r="AVP105" s="2617"/>
      <c r="AVQ105" s="2617"/>
      <c r="AVR105" s="2617"/>
      <c r="AVS105" s="2617"/>
      <c r="AVT105" s="2617"/>
      <c r="AVU105" s="2617"/>
      <c r="AVV105" s="2617"/>
      <c r="AVW105" s="2617"/>
      <c r="AVX105" s="2617"/>
      <c r="AVY105" s="2617"/>
      <c r="AVZ105" s="2617"/>
      <c r="AWA105" s="2617"/>
      <c r="AWB105" s="2617"/>
      <c r="AWC105" s="2617"/>
      <c r="AWD105" s="2617"/>
      <c r="AWE105" s="2617"/>
      <c r="AWF105" s="2617"/>
      <c r="AWG105" s="2617"/>
      <c r="AWH105" s="2617"/>
      <c r="AWI105" s="2617"/>
      <c r="AWJ105" s="2617"/>
      <c r="AWK105" s="2617"/>
      <c r="AWL105" s="2617"/>
      <c r="AWM105" s="2617"/>
      <c r="AWN105" s="2617"/>
      <c r="AWO105" s="2617"/>
      <c r="AWP105" s="2617"/>
      <c r="AWQ105" s="2617"/>
      <c r="AWR105" s="2617"/>
      <c r="AWS105" s="2617"/>
      <c r="AWT105" s="2617"/>
      <c r="AWU105" s="2617"/>
      <c r="AWV105" s="2617"/>
      <c r="AWW105" s="2617"/>
      <c r="AWX105" s="2617"/>
      <c r="AWY105" s="2617"/>
      <c r="AWZ105" s="2617"/>
      <c r="AXA105" s="2617"/>
      <c r="AXB105" s="2617"/>
      <c r="AXC105" s="2617"/>
      <c r="AXD105" s="2617"/>
      <c r="AXE105" s="2617"/>
      <c r="AXF105" s="2617"/>
      <c r="AXG105" s="2617"/>
      <c r="AXH105" s="2617"/>
      <c r="AXI105" s="2617"/>
      <c r="AXJ105" s="2617"/>
      <c r="AXK105" s="2617"/>
      <c r="BCJ105" s="2617"/>
      <c r="BCK105" s="2617"/>
      <c r="BCL105" s="2617"/>
      <c r="BCM105" s="2617"/>
      <c r="BCN105" s="2617"/>
      <c r="BCO105" s="2617"/>
      <c r="BCP105" s="2617"/>
      <c r="BCQ105" s="2617"/>
      <c r="BDJ105" s="2622"/>
      <c r="BDK105" s="2622"/>
      <c r="BDR105" s="2617"/>
      <c r="BDS105" s="2617"/>
      <c r="BDX105" s="2622"/>
      <c r="BDY105" s="2622"/>
      <c r="BEI105" s="2622"/>
      <c r="BEJ105" s="2622"/>
      <c r="BEK105" s="2622"/>
      <c r="BEL105" s="2622"/>
      <c r="BEM105" s="2622"/>
      <c r="BEP105" s="2622"/>
      <c r="BFM105" s="3398"/>
    </row>
    <row r="106" spans="34:1021 1028:1521" ht="20.100000000000001" customHeight="1" x14ac:dyDescent="0.2">
      <c r="AH106" s="181"/>
      <c r="AI106" s="181"/>
      <c r="AJ106" s="181"/>
      <c r="AK106" s="181"/>
      <c r="AL106" s="181"/>
      <c r="AM106" s="181"/>
      <c r="AN106" s="181"/>
      <c r="AO106" s="181"/>
      <c r="AU106" s="1762" t="s">
        <v>257</v>
      </c>
      <c r="AV106" s="2637" t="s">
        <v>283</v>
      </c>
      <c r="AW106" s="2637" t="s">
        <v>284</v>
      </c>
      <c r="AX106" s="2637" t="s">
        <v>285</v>
      </c>
      <c r="AY106" s="2637" t="s">
        <v>1001</v>
      </c>
      <c r="AZ106" s="2637" t="s">
        <v>1002</v>
      </c>
      <c r="BA106" s="2637" t="s">
        <v>1003</v>
      </c>
      <c r="BB106" s="2637" t="s">
        <v>1004</v>
      </c>
      <c r="BC106" s="2637" t="s">
        <v>1005</v>
      </c>
      <c r="BD106" s="2637" t="s">
        <v>1006</v>
      </c>
      <c r="BE106" s="2637" t="s">
        <v>1007</v>
      </c>
      <c r="BF106" s="2637" t="s">
        <v>1008</v>
      </c>
      <c r="BG106" s="2637" t="s">
        <v>1663</v>
      </c>
      <c r="BH106" s="2637" t="s">
        <v>1664</v>
      </c>
      <c r="BI106" s="2637" t="s">
        <v>1665</v>
      </c>
      <c r="BJ106" s="2637" t="s">
        <v>1666</v>
      </c>
      <c r="BK106" s="2637" t="s">
        <v>1667</v>
      </c>
      <c r="BL106" s="2637" t="s">
        <v>1668</v>
      </c>
      <c r="BM106" s="2637" t="s">
        <v>1669</v>
      </c>
      <c r="BN106" s="2637" t="s">
        <v>1670</v>
      </c>
      <c r="BO106" s="2637" t="s">
        <v>1661</v>
      </c>
      <c r="BP106" s="2637" t="s">
        <v>1662</v>
      </c>
      <c r="CG106" s="4196" t="s">
        <v>877</v>
      </c>
      <c r="CH106" s="316"/>
      <c r="CI106" s="1759" t="s">
        <v>889</v>
      </c>
      <c r="CJ106" s="4257" t="e">
        <f t="shared" si="325"/>
        <v>#N/A</v>
      </c>
      <c r="CK106" s="4257" t="e">
        <f>klasse_kapasitet[[#This Row],[Manuell_rate]]/CJ$98/$AI$40</f>
        <v>#N/A</v>
      </c>
      <c r="CL106" s="4257" t="e">
        <f t="shared" si="326"/>
        <v>#N/A</v>
      </c>
      <c r="CM106" s="4257" t="e">
        <f>klasse_kapasitet[[#This Row],[Kartlegging_rate]]/CL$98/$AI$40</f>
        <v>#N/A</v>
      </c>
      <c r="CN106" s="4257" t="e">
        <f t="shared" si="327"/>
        <v>#N/A</v>
      </c>
      <c r="CO106" s="4257" t="e">
        <f>klasse_kapasitet[[#This Row],[Bolting_lt4_rate]]/CN$98/$AI$40</f>
        <v>#N/A</v>
      </c>
      <c r="CP106" s="4257" t="e">
        <f t="shared" si="328"/>
        <v>#N/A</v>
      </c>
      <c r="CQ106" s="4258" t="e">
        <f>klasse_kapasitet[[#This Row],[Bolting_gt4_rate]]/CP$98/$AI$40</f>
        <v>#N/A</v>
      </c>
      <c r="CR106" s="4260" t="e">
        <f t="shared" si="329"/>
        <v>#N/A</v>
      </c>
      <c r="CS106" s="4258" t="e">
        <f>klasse_kapasitet[[#This Row],[sprøytebetong_rate]]/CR$98/$AI$40</f>
        <v>#N/A</v>
      </c>
      <c r="CT106" s="4260" t="e">
        <f>IF($APM48=_List!$DQ$7,($AI$46*$AQC48*$AOV48)/($ABH48*$APU48),IF($APM48=_List!$DQ$8,($AI$40*$AQC48*$AOV48)/($ABH48*$APU48),0))</f>
        <v>#N/A</v>
      </c>
      <c r="CU106" s="4258" t="e">
        <f>klasse_kapasitet[[#This Row],[forbolting_lt4_rate]]/CT$98/$AI$40</f>
        <v>#N/A</v>
      </c>
      <c r="CV106" s="4260" t="e">
        <f>IF($APM48=_List!$DQ$7,($AI$46*$AQL48*$AOV48)/($ABH48*$APU48),IF($APM48=_List!$DQ$8,($AI$40*$AQL48*$AOV48)/($ABH48*$APU48),0))</f>
        <v>#N/A</v>
      </c>
      <c r="CW106" s="4258" t="e">
        <f>klasse_kapasitet[[#This Row],[forbolting_gt4_rate]]/CV$98/$AI$40</f>
        <v>#N/A</v>
      </c>
      <c r="CX106" s="4260" t="e">
        <f>IF($APM48=_List!$DQ$7,($AI$46*$ARC48*$AOV48)/($ABH48*$AQU48),IF($APM48=_List!$DQ$8,($AI$40*$ARC48*$AOV48)/($ABH48*$AQU48),0))</f>
        <v>#N/A</v>
      </c>
      <c r="CY106" s="4258" t="e">
        <f>klasse_kapasitet[[#This Row],[opphengbolter_lt4_rate]]/CX$98/$AI$40</f>
        <v>#N/A</v>
      </c>
      <c r="CZ106" s="4260" t="e">
        <f>IF($APM48=_List!$DQ$7,($AI$46*$ARL48*$AOV48)/($ABH48*$AQU48),IF($APM48=_List!$DQ$8,($AI$40*$ARL48*$AOV48)/($ABH48*$AQU48),0))</f>
        <v>#N/A</v>
      </c>
      <c r="DA106" s="4258" t="e">
        <f>klasse_kapasitet[[#This Row],[opphengbolter_gt4_rate]]/CZ$98/$AI$40</f>
        <v>#N/A</v>
      </c>
      <c r="DB106" s="4260">
        <f t="shared" si="330"/>
        <v>0</v>
      </c>
      <c r="DC106" s="4258" t="e">
        <f>klasse_kapasitet[[#This Row],[bue_rate]]/DB$98/$AI$40</f>
        <v>#N/A</v>
      </c>
      <c r="DD106" s="4260">
        <f t="shared" si="331"/>
        <v>0</v>
      </c>
      <c r="DE106" s="4260" t="e">
        <f>klasse_kapasitet[[#This Row],[radiellebolter_lt4_rate]]/DD$98/$AI$40</f>
        <v>#N/A</v>
      </c>
      <c r="DF106" s="4260">
        <f t="shared" si="332"/>
        <v>0</v>
      </c>
      <c r="DG106" s="4260" t="e">
        <f>klasse_kapasitet[[#This Row],[radiellebolter_gt4_rate]]/DF$98/$AI$40</f>
        <v>#N/A</v>
      </c>
      <c r="DH106" s="4260">
        <f t="shared" si="333"/>
        <v>0</v>
      </c>
      <c r="DI106" s="4260" t="e">
        <f>klasse_kapasitet[[#This Row],[bue_tilleggs_sprøyte_rate]]/DH$98/$AI$40</f>
        <v>#N/A</v>
      </c>
      <c r="DJ106" s="4260">
        <f t="shared" si="334"/>
        <v>0</v>
      </c>
      <c r="DK106" s="4260" t="e">
        <f>klasse_kapasitet[[#This Row],[forankring_lt4_rate]]/DJ$98/$AI$40</f>
        <v>#N/A</v>
      </c>
      <c r="DL106" s="4260">
        <f t="shared" si="335"/>
        <v>0</v>
      </c>
      <c r="DM106" s="4260" t="e">
        <f>klasse_kapasitet[[#This Row],[forankring_gt4_rate]]/DL$98/$AI$40</f>
        <v>#N/A</v>
      </c>
      <c r="DN106" s="4257"/>
      <c r="DO106" s="4257"/>
      <c r="DP106" s="4263"/>
      <c r="DQ106" s="4263"/>
      <c r="DR106" s="4263"/>
      <c r="DS106" s="4263"/>
      <c r="DT106" s="4263"/>
      <c r="DU106" s="4263"/>
      <c r="DV106" s="4263"/>
      <c r="DW106" s="4263"/>
      <c r="DX106" s="4263"/>
      <c r="DY106" s="4263"/>
      <c r="DZ106" s="4263"/>
      <c r="EA106" s="4263"/>
      <c r="EB106" s="4263"/>
      <c r="EC106" s="4263"/>
      <c r="ED106" s="4263"/>
      <c r="EE106" s="4263"/>
      <c r="EF106" s="4263"/>
      <c r="EG106" s="4263"/>
      <c r="EH106" s="4263"/>
      <c r="EI106" s="4263"/>
      <c r="EJ106" s="4263"/>
      <c r="EK106" s="4263"/>
      <c r="EL106" s="4263"/>
      <c r="EM106" s="4263"/>
      <c r="EN106"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6" s="4276"/>
      <c r="LR106" s="2617"/>
      <c r="LS106" s="2617"/>
      <c r="LT106" s="2617"/>
      <c r="LU106" s="2617"/>
      <c r="LV106" s="2617"/>
      <c r="LW106" s="2617"/>
      <c r="LX106" s="2617"/>
      <c r="LY106" s="2617"/>
      <c r="LZ106" s="2617"/>
      <c r="MA106" s="2617"/>
      <c r="MB106" s="2617"/>
      <c r="MC106" s="2617"/>
      <c r="MD106" s="2617"/>
      <c r="ME106" s="2617"/>
      <c r="MF106" s="2617"/>
      <c r="MG106" s="2617"/>
      <c r="MH106" s="2617"/>
      <c r="MI106" s="2617"/>
      <c r="MJ106" s="2617"/>
      <c r="MK106" s="2617"/>
      <c r="ML106" s="2617"/>
      <c r="MM106" s="2617"/>
      <c r="MN106" s="2617"/>
      <c r="MO106" s="2617"/>
      <c r="MP106" s="2617"/>
      <c r="MQ106" s="2617"/>
      <c r="MR106" s="2617"/>
      <c r="MS106" s="2617"/>
      <c r="MT106" s="2617"/>
      <c r="MU106" s="2617"/>
      <c r="MV106" s="2617"/>
      <c r="MW106" s="2617"/>
      <c r="MX106" s="2617"/>
      <c r="MY106" s="2617"/>
      <c r="MZ106" s="2617"/>
      <c r="NA106" s="2617"/>
      <c r="NB106" s="2617"/>
      <c r="NC106" s="2617"/>
      <c r="ND106" s="2617"/>
      <c r="NE106" s="2617"/>
      <c r="NF106" s="2617"/>
      <c r="NG106" s="2617"/>
      <c r="NH106" s="2617"/>
      <c r="NI106" s="2617"/>
      <c r="NJ106" s="2617"/>
      <c r="NK106" s="2617"/>
      <c r="NL106" s="2617"/>
      <c r="NM106" s="2617"/>
      <c r="NN106" s="2617"/>
      <c r="NO106" s="2617"/>
      <c r="NP106" s="2617"/>
      <c r="NQ106" s="2617"/>
      <c r="NR106" s="2617"/>
      <c r="NS106" s="2617"/>
      <c r="NT106" s="2617"/>
      <c r="NU106" s="2617"/>
      <c r="NV106" s="2617"/>
      <c r="NW106" s="2617"/>
      <c r="NX106" s="2617"/>
      <c r="NY106" s="2617"/>
      <c r="NZ106" s="2617"/>
      <c r="OA106" s="2617"/>
      <c r="OB106" s="2617"/>
      <c r="OC106" s="2617"/>
      <c r="OD106" s="2617"/>
      <c r="OE106" s="2617"/>
      <c r="OF106" s="2617"/>
      <c r="OG106" s="2617"/>
      <c r="OH106" s="2617"/>
      <c r="OI106" s="2617"/>
      <c r="OJ106" s="2617"/>
      <c r="AEY106" s="2622"/>
      <c r="AEZ106" s="2622"/>
      <c r="AFA106" s="2622"/>
      <c r="AFB106" s="2622"/>
      <c r="AFC106" s="2622"/>
      <c r="AFD106" s="2622"/>
      <c r="AFE106" s="2622"/>
      <c r="AFF106" s="2622"/>
      <c r="AFG106" s="2737"/>
      <c r="AFO106" s="2622"/>
      <c r="AFP106" s="2737"/>
      <c r="AFX106" s="2622"/>
      <c r="AFZ106" s="2737"/>
      <c r="AGH106" s="2622"/>
      <c r="AGI106" s="2737"/>
      <c r="AGQ106" s="2622"/>
      <c r="AGR106" s="2737"/>
      <c r="AHA106" s="2622"/>
      <c r="AHB106" s="2737"/>
      <c r="AHI106" s="2622"/>
      <c r="AHJ106" s="2737"/>
      <c r="AHT106" s="2622"/>
      <c r="AHV106" s="2737"/>
      <c r="AID106" s="2622"/>
      <c r="AJN106" s="2622"/>
      <c r="AJP106" s="2737"/>
      <c r="AJX106" s="2622"/>
      <c r="AKD106" s="2737"/>
      <c r="AKL106" s="2622"/>
      <c r="AKT106" s="2622"/>
      <c r="ALB106" s="2622"/>
      <c r="ALM106" s="2737"/>
      <c r="ALU106" s="2622"/>
      <c r="ALW106" s="2737"/>
      <c r="ALX106" s="2737"/>
      <c r="AME106" s="2622"/>
      <c r="AMG106" s="2737"/>
      <c r="AMN106" s="2622"/>
      <c r="AMO106" s="2622"/>
      <c r="AMV106" s="2622"/>
      <c r="AMW106" s="2622"/>
      <c r="AOI106" s="2737"/>
      <c r="AOQ106" s="2622"/>
      <c r="AOZ106" s="2737"/>
      <c r="APH106" s="2622"/>
      <c r="APT106" s="2737"/>
      <c r="ASB106" s="2622"/>
      <c r="ASJ106" s="2737"/>
      <c r="ASK106" s="2737"/>
      <c r="ASL106" s="2737"/>
      <c r="ASM106" s="2737"/>
      <c r="ASN106" s="2737"/>
      <c r="ASO106" s="2737"/>
      <c r="ASP106" s="2737"/>
      <c r="ASQ106" s="2737"/>
      <c r="ASR106" s="2737"/>
      <c r="ASS106" s="2737"/>
      <c r="ATA106" s="4124"/>
      <c r="ATS106" s="2737"/>
      <c r="AUA106" s="2622"/>
      <c r="AUS106" s="2737"/>
      <c r="AUU106" s="2617"/>
      <c r="AUV106" s="2617"/>
      <c r="AUW106" s="2617"/>
      <c r="AUX106" s="2617"/>
      <c r="AUY106" s="2617"/>
      <c r="AUZ106" s="2617"/>
      <c r="AVA106" s="2617"/>
      <c r="AVB106" s="2617"/>
      <c r="AVC106" s="181"/>
      <c r="AVD106" s="181"/>
      <c r="AVE106" s="181"/>
      <c r="AVF106" s="181"/>
      <c r="AVG106" s="181"/>
      <c r="AVH106" s="2617"/>
      <c r="AVI106" s="2617"/>
      <c r="AVJ106" s="2617"/>
      <c r="AVK106" s="2617"/>
      <c r="AVL106" s="2617"/>
      <c r="AVM106" s="2617"/>
      <c r="AVN106" s="2617"/>
      <c r="AVO106" s="2617"/>
      <c r="AVP106" s="2617"/>
      <c r="AVQ106" s="2617"/>
      <c r="AVR106" s="2617"/>
      <c r="AVS106" s="2617"/>
      <c r="AVT106" s="2617"/>
      <c r="AVU106" s="2617"/>
      <c r="AVV106" s="2617"/>
      <c r="AVW106" s="2617"/>
      <c r="AVX106" s="2617"/>
      <c r="AVY106" s="2617"/>
      <c r="AVZ106" s="2617"/>
      <c r="AWA106" s="2617"/>
      <c r="AWB106" s="2617"/>
      <c r="AWC106" s="2617"/>
      <c r="AWD106" s="2617"/>
      <c r="AWE106" s="2617"/>
      <c r="AWF106" s="2617"/>
      <c r="AWG106" s="2617"/>
      <c r="AWH106" s="2617"/>
      <c r="AWI106" s="2617"/>
      <c r="AWJ106" s="2617"/>
      <c r="AWK106" s="2617"/>
      <c r="AWL106" s="2617"/>
      <c r="AWM106" s="2617"/>
      <c r="AWN106" s="2617"/>
      <c r="AWO106" s="2617"/>
      <c r="AWP106" s="2617"/>
      <c r="AWQ106" s="2617"/>
      <c r="AWR106" s="2617"/>
      <c r="AWS106" s="2617"/>
      <c r="AWT106" s="2617"/>
      <c r="AWU106" s="2617"/>
      <c r="AWV106" s="2617"/>
      <c r="AWW106" s="2617"/>
      <c r="AWX106" s="2617"/>
      <c r="AWY106" s="2617"/>
      <c r="AWZ106" s="2617"/>
      <c r="AXA106" s="2617"/>
      <c r="AXB106" s="2617"/>
      <c r="AXC106" s="2617"/>
      <c r="AXD106" s="2617"/>
      <c r="AXE106" s="2617"/>
      <c r="AXF106" s="2617"/>
      <c r="AXG106" s="2617"/>
      <c r="AXH106" s="2617"/>
      <c r="AXI106" s="2617"/>
      <c r="AXJ106" s="2617"/>
      <c r="AXK106" s="2617"/>
      <c r="BCJ106" s="2617"/>
      <c r="BCK106" s="2617"/>
      <c r="BCL106" s="2617"/>
      <c r="BCM106" s="2617"/>
      <c r="BCN106" s="2617"/>
      <c r="BCO106" s="2617"/>
      <c r="BCP106" s="2617"/>
      <c r="BCQ106" s="2617"/>
      <c r="BDJ106" s="2622"/>
      <c r="BDK106" s="2622"/>
      <c r="BDR106" s="2617"/>
      <c r="BDS106" s="2617"/>
      <c r="BDX106" s="2622"/>
      <c r="BDY106" s="2622"/>
      <c r="BEI106" s="2622"/>
      <c r="BEJ106" s="2622"/>
      <c r="BEK106" s="2622"/>
      <c r="BEL106" s="2622"/>
      <c r="BEM106" s="2622"/>
      <c r="BEP106" s="2622"/>
      <c r="BFM106" s="3398"/>
    </row>
    <row r="107" spans="34:1021 1028:1521" ht="20.100000000000001" customHeight="1" x14ac:dyDescent="0.2">
      <c r="AH107" s="181"/>
      <c r="AI107" s="181"/>
      <c r="AJ107" s="181"/>
      <c r="AK107" s="181"/>
      <c r="AL107" s="181"/>
      <c r="AM107" s="181"/>
      <c r="AN107" s="181"/>
      <c r="AO107" s="181"/>
      <c r="AU107" s="2629" t="str">
        <f>_Calcs!$BD$67</f>
        <v>Hele tunnelen</v>
      </c>
      <c r="AV107" s="2630"/>
      <c r="AW107" s="237" t="b">
        <f>IF(AI31=1,1)</f>
        <v>0</v>
      </c>
      <c r="AX107" s="238">
        <f>IF(AI31=1,klasse_dimensjons[[#This Row],[on/off]],0)</f>
        <v>0</v>
      </c>
      <c r="AY107" s="1811" t="e">
        <f t="shared" ref="AY107:BF107" si="336">AY84*$AI$40</f>
        <v>#VALUE!</v>
      </c>
      <c r="AZ107" s="1811" t="e">
        <f t="shared" si="336"/>
        <v>#VALUE!</v>
      </c>
      <c r="BA107" s="1811" t="e">
        <f t="shared" si="336"/>
        <v>#VALUE!</v>
      </c>
      <c r="BB107" s="1811" t="e">
        <f t="shared" si="336"/>
        <v>#VALUE!</v>
      </c>
      <c r="BC107" s="1811" t="e">
        <f t="shared" si="336"/>
        <v>#VALUE!</v>
      </c>
      <c r="BD107" s="1811" t="e">
        <f t="shared" si="336"/>
        <v>#VALUE!</v>
      </c>
      <c r="BE107" s="1811" t="e">
        <f t="shared" si="336"/>
        <v>#VALUE!</v>
      </c>
      <c r="BF107" s="1811" t="e">
        <f t="shared" si="336"/>
        <v>#VALUE!</v>
      </c>
      <c r="BG107" s="4143" t="e">
        <f>AY84/$ABH$42</f>
        <v>#VALUE!</v>
      </c>
      <c r="BH107" s="4143" t="e">
        <f>AZ84/$ABH$43</f>
        <v>#VALUE!</v>
      </c>
      <c r="BI107" s="4143" t="e">
        <f>BA84/$ABH$44</f>
        <v>#VALUE!</v>
      </c>
      <c r="BJ107" s="4143" t="e">
        <f>BB84/$ABH$45</f>
        <v>#VALUE!</v>
      </c>
      <c r="BK107" s="4143" t="e">
        <f>BC84/$ABH$46</f>
        <v>#VALUE!</v>
      </c>
      <c r="BL107" s="4143" t="e">
        <f>BD84/$ABH$47</f>
        <v>#VALUE!</v>
      </c>
      <c r="BM107" s="4143" t="e">
        <f>BE84/$ABH$48</f>
        <v>#VALUE!</v>
      </c>
      <c r="BN107" s="4143" t="e">
        <f>BF84/$ABH$49</f>
        <v>#VALUE!</v>
      </c>
      <c r="BO107" s="1813"/>
      <c r="BP107" s="1813"/>
      <c r="CG107" s="4249" t="s">
        <v>894</v>
      </c>
      <c r="CH107" s="4198"/>
      <c r="CI107" s="1764" t="s">
        <v>895</v>
      </c>
      <c r="CJ107" s="4257" t="e">
        <f t="shared" si="325"/>
        <v>#N/A</v>
      </c>
      <c r="CK107" s="4257" t="e">
        <f>klasse_kapasitet[[#This Row],[Manuell_rate]]/CJ$98/$AI$40</f>
        <v>#N/A</v>
      </c>
      <c r="CL107" s="4257" t="e">
        <f t="shared" si="326"/>
        <v>#N/A</v>
      </c>
      <c r="CM107" s="4257" t="e">
        <f>klasse_kapasitet[[#This Row],[Kartlegging_rate]]/CL$98/$AI$40</f>
        <v>#N/A</v>
      </c>
      <c r="CN107" s="4257" t="e">
        <f t="shared" si="327"/>
        <v>#N/A</v>
      </c>
      <c r="CO107" s="4257" t="e">
        <f>klasse_kapasitet[[#This Row],[Bolting_lt4_rate]]/CN$98/$AI$40</f>
        <v>#N/A</v>
      </c>
      <c r="CP107" s="4257" t="e">
        <f t="shared" si="328"/>
        <v>#N/A</v>
      </c>
      <c r="CQ107" s="4258" t="e">
        <f>klasse_kapasitet[[#This Row],[Bolting_gt4_rate]]/CP$98/$AI$40</f>
        <v>#N/A</v>
      </c>
      <c r="CR107" s="4260" t="e">
        <f t="shared" si="329"/>
        <v>#N/A</v>
      </c>
      <c r="CS107" s="4258" t="e">
        <f>klasse_kapasitet[[#This Row],[sprøytebetong_rate]]/CR$98/$AI$40</f>
        <v>#N/A</v>
      </c>
      <c r="CT107" s="4260" t="e">
        <f>IF($APM49=_List!$DQ$7,($AI$46*$AQC49*$AOV49)/($ABH49*$APU49),IF($APM49=_List!$DQ$8,($AI$40*$AQC49*$AOV49)/($ABH49*$APU49),0))</f>
        <v>#N/A</v>
      </c>
      <c r="CU107" s="4258" t="e">
        <f>klasse_kapasitet[[#This Row],[forbolting_lt4_rate]]/CT$98/$AI$40</f>
        <v>#N/A</v>
      </c>
      <c r="CV107" s="4260" t="e">
        <f>IF($APM49=_List!$DQ$7,($AI$46*$AQL49*$AOV49)/($ABH49*$APU49),IF($APM49=_List!$DQ$8,($AI$40*$AQL49*$AOV49)/($ABH49*$APU49),0))</f>
        <v>#N/A</v>
      </c>
      <c r="CW107" s="4258" t="e">
        <f>klasse_kapasitet[[#This Row],[forbolting_gt4_rate]]/CV$98/$AI$40</f>
        <v>#N/A</v>
      </c>
      <c r="CX107" s="4260" t="e">
        <f>IF($APM49=_List!$DQ$7,($AI$46*$ARC49*$AOV49)/($ABH49*$AQU49),IF($APM49=_List!$DQ$8,($AI$40*$ARC49*$AOV49)/($ABH49*$AQU49),0))</f>
        <v>#N/A</v>
      </c>
      <c r="CY107" s="4258" t="e">
        <f>klasse_kapasitet[[#This Row],[opphengbolter_lt4_rate]]/CX$98/$AI$40</f>
        <v>#N/A</v>
      </c>
      <c r="CZ107" s="4260" t="e">
        <f>IF($APM49=_List!$DQ$7,($AI$46*$ARL49*$AOV49)/($ABH49*$AQU49),IF($APM49=_List!$DQ$8,($AI$40*$ARL49*$AOV49)/($ABH49*$AQU49),0))</f>
        <v>#N/A</v>
      </c>
      <c r="DA107" s="4258" t="e">
        <f>klasse_kapasitet[[#This Row],[opphengbolter_gt4_rate]]/CZ$98/$AI$40</f>
        <v>#N/A</v>
      </c>
      <c r="DB107" s="4260">
        <f t="shared" si="330"/>
        <v>0</v>
      </c>
      <c r="DC107" s="4258" t="e">
        <f>klasse_kapasitet[[#This Row],[bue_rate]]/DB$98/$AI$40</f>
        <v>#N/A</v>
      </c>
      <c r="DD107" s="4260">
        <f t="shared" si="331"/>
        <v>0</v>
      </c>
      <c r="DE107" s="4260" t="e">
        <f>klasse_kapasitet[[#This Row],[radiellebolter_lt4_rate]]/DD$98/$AI$40</f>
        <v>#N/A</v>
      </c>
      <c r="DF107" s="4260">
        <f t="shared" si="332"/>
        <v>0</v>
      </c>
      <c r="DG107" s="4260" t="e">
        <f>klasse_kapasitet[[#This Row],[radiellebolter_gt4_rate]]/DF$98/$AI$40</f>
        <v>#N/A</v>
      </c>
      <c r="DH107" s="4260">
        <f t="shared" si="333"/>
        <v>0</v>
      </c>
      <c r="DI107" s="4260" t="e">
        <f>klasse_kapasitet[[#This Row],[bue_tilleggs_sprøyte_rate]]/DH$98/$AI$40</f>
        <v>#N/A</v>
      </c>
      <c r="DJ107" s="4260">
        <f t="shared" si="334"/>
        <v>0</v>
      </c>
      <c r="DK107" s="4260" t="e">
        <f>klasse_kapasitet[[#This Row],[forankring_lt4_rate]]/DJ$98/$AI$40</f>
        <v>#N/A</v>
      </c>
      <c r="DL107" s="4260">
        <f t="shared" si="335"/>
        <v>0</v>
      </c>
      <c r="DM107" s="4260" t="e">
        <f>klasse_kapasitet[[#This Row],[forankring_gt4_rate]]/DL$98/$AI$40</f>
        <v>#N/A</v>
      </c>
      <c r="DN107" s="4259"/>
      <c r="DO107" s="4259"/>
      <c r="DP107" s="4265"/>
      <c r="DQ107" s="4265"/>
      <c r="DR107" s="4265"/>
      <c r="DS107" s="4265"/>
      <c r="DT107" s="4265"/>
      <c r="DU107" s="4265"/>
      <c r="DV107" s="4265"/>
      <c r="DW107" s="4265"/>
      <c r="DX107" s="4265"/>
      <c r="DY107" s="4265"/>
      <c r="DZ107" s="4265"/>
      <c r="EA107" s="4265"/>
      <c r="EB107" s="4265"/>
      <c r="EC107" s="4265"/>
      <c r="ED107" s="4265"/>
      <c r="EE107" s="4265"/>
      <c r="EF107" s="4265"/>
      <c r="EG107" s="4265"/>
      <c r="EH107" s="4265"/>
      <c r="EI107" s="4265"/>
      <c r="EJ107" s="4265"/>
      <c r="EK107" s="4265"/>
      <c r="EL107" s="4265"/>
      <c r="EM107" s="4265"/>
      <c r="EN107" s="4264" t="e">
        <f>klasse_kapasitet[[#This Row],[Manuell_kap]]+klasse_kapasitet[[#This Row],[Karrlegging_kap]]+klasse_kapasitet[[#This Row],[Bolting_lt4_kap]]+klasse_kapasitet[[#This Row],[Bolting_gt4_kap]]+klasse_kapasitet[[#This Row],[sprøytebetong_kap]]+klasse_kapasitet[[#This Row],[forbolting_lt4_kap]]+klasse_kapasitet[[#This Row],[forbolting_gt4_kap]]+klasse_kapasitet[[#This Row],[opphengbolter_lt4_kap]]+klasse_kapasitet[[#This Row],[opphengbolter_gt4_kap]]+klasse_kapasitet[[#This Row],[bue_kap]]+klasse_kapasitet[[#This Row],[radiellebolter_lt4_kap]]+klasse_kapasitet[[#This Row],[radiellebolter_gt4_kap]]+klasse_kapasitet[[#This Row],[bue_tilleggs_sprøyte_kap]]+klasse_kapasitet[[#This Row],[forankring_lt4_kap]]+klasse_kapasitet[[#This Row],[forankring_gt4_kap]]</f>
        <v>#N/A</v>
      </c>
      <c r="EO107" s="4276"/>
      <c r="LR107" s="2617"/>
      <c r="LS107" s="2617"/>
      <c r="LT107" s="2617"/>
      <c r="LU107" s="2617"/>
      <c r="LV107" s="2617"/>
      <c r="LW107" s="2617"/>
      <c r="LX107" s="2617"/>
      <c r="LY107" s="2617"/>
      <c r="LZ107" s="2617"/>
      <c r="MA107" s="2617"/>
      <c r="MB107" s="2617"/>
      <c r="MC107" s="2617"/>
      <c r="MD107" s="2617"/>
      <c r="ME107" s="2617"/>
      <c r="MF107" s="2617"/>
      <c r="MG107" s="2617"/>
      <c r="MH107" s="2617"/>
      <c r="MI107" s="2617"/>
      <c r="MJ107" s="2617"/>
      <c r="MK107" s="2617"/>
      <c r="ML107" s="2617"/>
      <c r="MM107" s="2617"/>
      <c r="MN107" s="2617"/>
      <c r="MO107" s="2617"/>
      <c r="MP107" s="2617"/>
      <c r="MQ107" s="2617"/>
      <c r="MR107" s="2617"/>
      <c r="MS107" s="2617"/>
      <c r="MT107" s="2617"/>
      <c r="MU107" s="2617"/>
      <c r="MV107" s="2617"/>
      <c r="MW107" s="2617"/>
      <c r="MX107" s="2617"/>
      <c r="MY107" s="2617"/>
      <c r="MZ107" s="2617"/>
      <c r="NA107" s="2617"/>
      <c r="NB107" s="2617"/>
      <c r="NC107" s="2617"/>
      <c r="ND107" s="2617"/>
      <c r="NE107" s="2617"/>
      <c r="NF107" s="2617"/>
      <c r="NG107" s="2617"/>
      <c r="NH107" s="2617"/>
      <c r="NI107" s="2617"/>
      <c r="NJ107" s="2617"/>
      <c r="NK107" s="2617"/>
      <c r="NL107" s="2617"/>
      <c r="NM107" s="2617"/>
      <c r="NN107" s="2617"/>
      <c r="NO107" s="2617"/>
      <c r="NP107" s="2617"/>
      <c r="NQ107" s="2617"/>
      <c r="NR107" s="2617"/>
      <c r="NS107" s="2617"/>
      <c r="NT107" s="2617"/>
      <c r="NU107" s="2617"/>
      <c r="NV107" s="2617"/>
      <c r="NW107" s="2617"/>
      <c r="NX107" s="2617"/>
      <c r="NY107" s="2617"/>
      <c r="NZ107" s="2617"/>
      <c r="OA107" s="2617"/>
      <c r="OB107" s="2617"/>
      <c r="OC107" s="2617"/>
      <c r="OD107" s="2617"/>
      <c r="OE107" s="2617"/>
      <c r="OF107" s="2617"/>
      <c r="OG107" s="2617"/>
      <c r="OH107" s="2617"/>
      <c r="OI107" s="2617"/>
      <c r="OJ107" s="2617"/>
      <c r="AEY107" s="2622"/>
      <c r="AEZ107" s="2622"/>
      <c r="AFA107" s="2622"/>
      <c r="AFB107" s="2622"/>
      <c r="AFC107" s="2622"/>
      <c r="AFD107" s="2622"/>
      <c r="AFE107" s="2622"/>
      <c r="AFF107" s="2622"/>
      <c r="AFG107" s="2737"/>
      <c r="AFO107" s="2622"/>
      <c r="AFP107" s="2737"/>
      <c r="AFX107" s="2622"/>
      <c r="AFZ107" s="2737"/>
      <c r="AGH107" s="2622"/>
      <c r="AGI107" s="2737"/>
      <c r="AGQ107" s="2622"/>
      <c r="AGR107" s="2737"/>
      <c r="AHA107" s="2622"/>
      <c r="AHB107" s="2737"/>
      <c r="AHI107" s="2622"/>
      <c r="AHJ107" s="2737"/>
      <c r="AHT107" s="2622"/>
      <c r="AHV107" s="2737"/>
      <c r="AID107" s="2622"/>
      <c r="AJN107" s="2622"/>
      <c r="AJP107" s="2737"/>
      <c r="AJX107" s="2622"/>
      <c r="AKD107" s="2737"/>
      <c r="AKL107" s="2622"/>
      <c r="AKT107" s="2622"/>
      <c r="ALB107" s="2622"/>
      <c r="ALM107" s="2737"/>
      <c r="ALU107" s="2622"/>
      <c r="ALW107" s="2737"/>
      <c r="ALX107" s="2737"/>
      <c r="AME107" s="2622"/>
      <c r="AMG107" s="2737"/>
      <c r="AMN107" s="2622"/>
      <c r="AMO107" s="2622"/>
      <c r="AMV107" s="2622"/>
      <c r="AMW107" s="2622"/>
      <c r="AOI107" s="2737"/>
      <c r="AOQ107" s="2622"/>
      <c r="AOZ107" s="2737"/>
      <c r="APH107" s="2622"/>
      <c r="APT107" s="2737"/>
      <c r="ASB107" s="2622"/>
      <c r="ASJ107" s="2737"/>
      <c r="ASK107" s="2737"/>
      <c r="ASL107" s="2737"/>
      <c r="ASM107" s="2737"/>
      <c r="ASN107" s="2737"/>
      <c r="ASO107" s="2737"/>
      <c r="ASP107" s="2737"/>
      <c r="ASQ107" s="2737"/>
      <c r="ASR107" s="2737"/>
      <c r="ASS107" s="2737"/>
      <c r="ATA107" s="4124"/>
      <c r="ATS107" s="2737"/>
      <c r="AUA107" s="2622"/>
      <c r="AUS107" s="2737"/>
      <c r="AUU107" s="181"/>
      <c r="AUV107" s="181"/>
      <c r="AUW107" s="181"/>
      <c r="AUX107" s="181"/>
      <c r="AUY107" s="181"/>
      <c r="AUZ107" s="2617"/>
      <c r="AVA107" s="2617"/>
      <c r="AVB107" s="2617"/>
      <c r="AVC107" s="2617"/>
      <c r="AVD107" s="2617"/>
      <c r="AVE107" s="2617"/>
      <c r="AVF107" s="2617"/>
      <c r="AVG107" s="2617"/>
      <c r="AVH107" s="2617"/>
      <c r="AVI107" s="2617"/>
      <c r="AVJ107" s="2617"/>
      <c r="AVK107" s="2617"/>
      <c r="AVL107" s="2617"/>
      <c r="AVM107" s="2617"/>
      <c r="AVN107" s="2617"/>
      <c r="AVO107" s="2617"/>
      <c r="AVP107" s="2617"/>
      <c r="AVQ107" s="2617"/>
      <c r="AVR107" s="2617"/>
      <c r="AVS107" s="2617"/>
      <c r="AVT107" s="2617"/>
      <c r="AVU107" s="2617"/>
      <c r="AVV107" s="2617"/>
      <c r="AVW107" s="2617"/>
      <c r="AVX107" s="2617"/>
      <c r="AVY107" s="2617"/>
      <c r="AVZ107" s="2617"/>
      <c r="AWA107" s="2617"/>
      <c r="AWB107" s="2617"/>
      <c r="AWC107" s="2617"/>
      <c r="AWD107" s="2617"/>
      <c r="AWE107" s="2617"/>
      <c r="AWF107" s="2617"/>
      <c r="AWG107" s="2617"/>
      <c r="AWH107" s="2617"/>
      <c r="AWI107" s="2617"/>
      <c r="AWJ107" s="2617"/>
      <c r="AWK107" s="2617"/>
      <c r="AWL107" s="2617"/>
      <c r="AWM107" s="2617"/>
      <c r="AWN107" s="2617"/>
      <c r="AWO107" s="2617"/>
      <c r="AWP107" s="2617"/>
      <c r="AWQ107" s="2617"/>
      <c r="AWR107" s="2617"/>
      <c r="AWS107" s="2617"/>
      <c r="AWT107" s="2617"/>
      <c r="AWU107" s="2617"/>
      <c r="AWV107" s="2617"/>
      <c r="AWW107" s="2617"/>
      <c r="AWX107" s="2617"/>
      <c r="AWY107" s="2617"/>
      <c r="AWZ107" s="2617"/>
      <c r="AXA107" s="2617"/>
      <c r="AXB107" s="2617"/>
      <c r="AXC107" s="2617"/>
      <c r="AXD107" s="2617"/>
      <c r="AXE107" s="2617"/>
      <c r="AXF107" s="2617"/>
      <c r="AXG107" s="2617"/>
      <c r="AXH107" s="2617"/>
      <c r="AXI107" s="2617"/>
      <c r="AXJ107" s="2617"/>
      <c r="AXK107" s="2617"/>
      <c r="BCJ107" s="2617"/>
      <c r="BCK107" s="2617"/>
      <c r="BCL107" s="2617"/>
      <c r="BCM107" s="2617"/>
      <c r="BCN107" s="2617"/>
      <c r="BCO107" s="2617"/>
      <c r="BCP107" s="2617"/>
      <c r="BCQ107" s="2617"/>
      <c r="BDJ107" s="2622"/>
      <c r="BDK107" s="2622"/>
      <c r="BDR107" s="2617"/>
      <c r="BDS107" s="2617"/>
      <c r="BDX107" s="2622"/>
      <c r="BDY107" s="2622"/>
      <c r="BEI107" s="2622"/>
      <c r="BEJ107" s="2622"/>
      <c r="BEK107" s="2622"/>
      <c r="BEL107" s="2622"/>
      <c r="BEM107" s="2622"/>
      <c r="BEP107" s="2622"/>
      <c r="BFM107" s="3398"/>
    </row>
    <row r="108" spans="34:1021 1028:1521" ht="15" thickBot="1" x14ac:dyDescent="0.25">
      <c r="AH108" s="5607" t="s">
        <v>2562</v>
      </c>
      <c r="AI108" s="5608" t="s">
        <v>2091</v>
      </c>
      <c r="AJ108" s="5607" t="s">
        <v>2563</v>
      </c>
      <c r="AK108" s="5608" t="s">
        <v>475</v>
      </c>
      <c r="AL108" s="181"/>
      <c r="AM108" s="181"/>
      <c r="AN108" s="181"/>
      <c r="AO108" s="181"/>
      <c r="AU108" s="2629"/>
      <c r="AV108" s="2630"/>
      <c r="AW108" s="237"/>
      <c r="AX108" s="238"/>
      <c r="AY108" s="1811"/>
      <c r="AZ108" s="237"/>
      <c r="BA108" s="237"/>
      <c r="BB108" s="237"/>
      <c r="BC108" s="237"/>
      <c r="BD108" s="237"/>
      <c r="BE108" s="237"/>
      <c r="BF108" s="2631"/>
      <c r="BG108" s="4143"/>
      <c r="BH108" s="4143"/>
      <c r="BI108" s="4143"/>
      <c r="BJ108" s="4143"/>
      <c r="BK108" s="4143"/>
      <c r="BL108" s="4143"/>
      <c r="BM108" s="4143"/>
      <c r="BN108" s="4143"/>
      <c r="BO108" s="1811"/>
      <c r="BP108" s="181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LR108" s="2617"/>
      <c r="LS108" s="2617"/>
      <c r="LT108" s="2617"/>
      <c r="LU108" s="2617"/>
      <c r="LV108" s="2617"/>
      <c r="LW108" s="2617"/>
      <c r="LX108" s="2617"/>
      <c r="LY108" s="2617"/>
      <c r="LZ108" s="2617"/>
      <c r="MA108" s="2617"/>
      <c r="MB108" s="2617"/>
      <c r="MC108" s="2617"/>
      <c r="MD108" s="2617"/>
      <c r="ME108" s="2617"/>
      <c r="MF108" s="2617"/>
      <c r="MG108" s="2617"/>
      <c r="MH108" s="2617"/>
      <c r="MI108" s="2617"/>
      <c r="MJ108" s="2617"/>
      <c r="MK108" s="2617"/>
      <c r="ML108" s="2617"/>
      <c r="MM108" s="2617"/>
      <c r="MN108" s="2617"/>
      <c r="MO108" s="2617"/>
      <c r="MP108" s="2617"/>
      <c r="MQ108" s="2617"/>
      <c r="MR108" s="2617"/>
      <c r="MS108" s="2617"/>
      <c r="MT108" s="2617"/>
      <c r="MU108" s="2617"/>
      <c r="MV108" s="2617"/>
      <c r="MW108" s="2617"/>
      <c r="MX108" s="2617"/>
      <c r="MY108" s="2617"/>
      <c r="MZ108" s="2617"/>
      <c r="NA108" s="2617"/>
      <c r="NB108" s="2617"/>
      <c r="NC108" s="2617"/>
      <c r="ND108" s="2617"/>
      <c r="NE108" s="2617"/>
      <c r="NF108" s="2617"/>
      <c r="NG108" s="2617"/>
      <c r="NH108" s="2617"/>
      <c r="NI108" s="2617"/>
      <c r="NJ108" s="2617"/>
      <c r="NK108" s="2617"/>
      <c r="NL108" s="2617"/>
      <c r="NM108" s="2617"/>
      <c r="NN108" s="2617"/>
      <c r="NO108" s="2617"/>
      <c r="NP108" s="2617"/>
      <c r="NQ108" s="2617"/>
      <c r="NR108" s="2617"/>
      <c r="NS108" s="2617"/>
      <c r="NT108" s="2617"/>
      <c r="NU108" s="2617"/>
      <c r="NV108" s="2617"/>
      <c r="NW108" s="2617"/>
      <c r="NX108" s="2617"/>
      <c r="NY108" s="2617"/>
      <c r="NZ108" s="2617"/>
      <c r="OA108" s="2617"/>
      <c r="OB108" s="2617"/>
      <c r="OC108" s="2617"/>
      <c r="OD108" s="2617"/>
      <c r="OE108" s="2617"/>
      <c r="OF108" s="2617"/>
      <c r="OG108" s="2617"/>
      <c r="OH108" s="2617"/>
      <c r="OI108" s="2617"/>
      <c r="OJ108" s="2617"/>
      <c r="AEY108" s="2622"/>
      <c r="AEZ108" s="2622"/>
      <c r="AFA108" s="2622"/>
      <c r="AFB108" s="2622"/>
      <c r="AFC108" s="2622"/>
      <c r="AFD108" s="2622"/>
      <c r="AFE108" s="2622"/>
      <c r="AFF108" s="2622"/>
      <c r="AFG108" s="2737"/>
      <c r="AFO108" s="2622"/>
      <c r="AFP108" s="2737"/>
      <c r="AFX108" s="2622"/>
      <c r="AFZ108" s="2737"/>
      <c r="AGH108" s="2622"/>
      <c r="AGI108" s="2737"/>
      <c r="AGQ108" s="2622"/>
      <c r="AGR108" s="2737"/>
      <c r="AHA108" s="2622"/>
      <c r="AHB108" s="2737"/>
      <c r="AHI108" s="2622"/>
      <c r="AHJ108" s="2737"/>
      <c r="AHT108" s="2622"/>
      <c r="AHV108" s="2737"/>
      <c r="AID108" s="2622"/>
      <c r="AJN108" s="2622"/>
      <c r="AJP108" s="2737"/>
      <c r="AJX108" s="2622"/>
      <c r="AKD108" s="2737"/>
      <c r="AKL108" s="2622"/>
      <c r="AKT108" s="2622"/>
      <c r="ALB108" s="2622"/>
      <c r="ALM108" s="2737"/>
      <c r="ALU108" s="2622"/>
      <c r="ALW108" s="2737"/>
      <c r="ALX108" s="2737"/>
      <c r="AME108" s="2622"/>
      <c r="AMG108" s="2737"/>
      <c r="AMN108" s="2622"/>
      <c r="AMO108" s="2622"/>
      <c r="AMV108" s="2622"/>
      <c r="AMW108" s="2622"/>
      <c r="AOI108" s="2737"/>
      <c r="AOQ108" s="2622"/>
      <c r="AOZ108" s="2737"/>
      <c r="APH108" s="2622"/>
      <c r="APT108" s="2737"/>
      <c r="ASB108" s="2622"/>
      <c r="ASJ108" s="2737"/>
      <c r="ASK108" s="2737"/>
      <c r="ASL108" s="2737"/>
      <c r="ASM108" s="2737"/>
      <c r="ASN108" s="2737"/>
      <c r="ASO108" s="2737"/>
      <c r="ASP108" s="2737"/>
      <c r="ASQ108" s="2737"/>
      <c r="ASR108" s="2737"/>
      <c r="ASS108" s="2737"/>
      <c r="ATA108" s="4124"/>
      <c r="ATS108" s="2737"/>
      <c r="AUA108" s="2622"/>
      <c r="AUS108" s="2737"/>
      <c r="AUU108" s="181"/>
      <c r="AUV108" s="181"/>
      <c r="AUW108" s="181"/>
      <c r="AUX108" s="181"/>
      <c r="AUY108" s="181"/>
      <c r="AUZ108" s="2617"/>
      <c r="AVA108" s="2617"/>
      <c r="AVB108" s="2617"/>
      <c r="AVC108" s="2617"/>
      <c r="AVD108" s="2617"/>
      <c r="AVE108" s="2617"/>
      <c r="AVF108" s="2617"/>
      <c r="AVG108" s="2617"/>
      <c r="AVH108" s="181"/>
      <c r="AVI108" s="181"/>
      <c r="AVJ108" s="181"/>
      <c r="AVK108" s="181"/>
      <c r="AVL108" s="181"/>
      <c r="AVM108" s="181"/>
      <c r="AVN108" s="181"/>
      <c r="AVO108" s="181"/>
      <c r="AVP108" s="181"/>
      <c r="AVQ108" s="181"/>
      <c r="AVR108" s="181"/>
      <c r="AVS108" s="181"/>
      <c r="AVT108" s="181"/>
      <c r="AVU108" s="181"/>
      <c r="AVV108" s="181"/>
      <c r="AVW108" s="181"/>
      <c r="AVX108" s="181"/>
      <c r="AVY108" s="181"/>
      <c r="AVZ108" s="181"/>
      <c r="AWA108" s="181"/>
      <c r="AWB108" s="181"/>
      <c r="AWC108" s="181"/>
      <c r="AWD108" s="181"/>
      <c r="AWE108" s="181"/>
      <c r="AWF108" s="181"/>
      <c r="AWG108" s="181"/>
      <c r="AWH108" s="181"/>
      <c r="AWI108" s="181"/>
      <c r="AWJ108" s="181"/>
      <c r="AWK108" s="181"/>
      <c r="AWL108" s="181"/>
      <c r="AWM108" s="181"/>
      <c r="AWN108" s="181"/>
      <c r="AWO108" s="181"/>
      <c r="AWP108" s="181"/>
      <c r="AWQ108" s="181"/>
      <c r="AWR108" s="181"/>
      <c r="AWS108" s="181"/>
      <c r="AWT108" s="181"/>
      <c r="AWU108" s="181"/>
      <c r="AWV108" s="181"/>
      <c r="AWW108" s="181"/>
      <c r="AWX108" s="181"/>
      <c r="AWY108" s="181"/>
      <c r="AWZ108" s="181"/>
      <c r="AXA108" s="181"/>
      <c r="AXB108" s="181"/>
      <c r="AXC108" s="181"/>
      <c r="AXD108" s="181"/>
      <c r="AXE108" s="181"/>
      <c r="AXF108" s="181"/>
      <c r="AXG108" s="181"/>
      <c r="AXH108" s="181"/>
      <c r="AXI108" s="181"/>
      <c r="AXJ108" s="181"/>
      <c r="AXK108" s="181"/>
      <c r="AXL108" s="181"/>
      <c r="AXM108" s="181"/>
      <c r="AXN108" s="181"/>
      <c r="AXO108" s="181"/>
      <c r="AXP108" s="181"/>
      <c r="AXQ108" s="181"/>
      <c r="AXR108" s="181"/>
      <c r="AXS108" s="181"/>
      <c r="AXT108" s="181"/>
      <c r="AXU108" s="181"/>
      <c r="AXV108" s="181"/>
      <c r="AXW108" s="181"/>
      <c r="AXX108" s="181"/>
      <c r="AXY108" s="181"/>
      <c r="AXZ108" s="181"/>
      <c r="AYA108" s="181"/>
      <c r="AYB108" s="181"/>
      <c r="AYC108" s="181"/>
      <c r="AYD108" s="181"/>
      <c r="AYE108" s="181"/>
      <c r="AYF108" s="181"/>
      <c r="AYG108" s="181"/>
      <c r="BBV108" s="181"/>
      <c r="BBW108" s="181"/>
      <c r="BBX108" s="181"/>
      <c r="BBY108" s="181"/>
      <c r="BBZ108" s="181"/>
      <c r="BCA108" s="181"/>
      <c r="BCB108" s="181"/>
      <c r="BCJ108" s="2617"/>
      <c r="BCK108" s="2617"/>
      <c r="BCL108" s="2617"/>
      <c r="BCM108" s="2617"/>
      <c r="BCN108" s="2617"/>
      <c r="BCO108" s="2617"/>
      <c r="BCP108" s="2617"/>
      <c r="BCQ108" s="2617"/>
      <c r="BDJ108" s="2622"/>
      <c r="BDK108" s="2622"/>
      <c r="BDR108" s="2617"/>
      <c r="BDS108" s="2617"/>
      <c r="BDX108" s="2622"/>
      <c r="BDY108" s="2622"/>
      <c r="BEI108" s="2622"/>
      <c r="BEJ108" s="2622"/>
      <c r="BEK108" s="2622"/>
      <c r="BEL108" s="2622"/>
      <c r="BEM108" s="2622"/>
      <c r="BEP108" s="2622"/>
      <c r="BFM108" s="3398"/>
    </row>
    <row r="109" spans="34:1021 1028:1521" ht="30.75" x14ac:dyDescent="0.2">
      <c r="AH109" s="207"/>
      <c r="AI109" s="207"/>
      <c r="AJ109" s="207"/>
      <c r="AK109" s="181"/>
      <c r="AL109" s="181"/>
      <c r="AM109" s="181"/>
      <c r="AN109" s="181"/>
      <c r="AO109" s="181"/>
      <c r="AU109" s="2632" t="str">
        <f>_Calcs!$QO$135</f>
        <v>Stuff 1-1</v>
      </c>
      <c r="AV109" s="2630">
        <f>IF(_Calcs!$BC$38=1,0,IF(_Calcs!$BC$38=2,1,0))</f>
        <v>1</v>
      </c>
      <c r="AW109" s="237">
        <f>IF(_Calcs!$BC$34&gt;0,1,0)</f>
        <v>1</v>
      </c>
      <c r="AX109" s="238">
        <f>IF($AI$31=2,INDEX(outputs_position[11],MATCH(_Calcs!$BC$35,outputs_position[lopstuff],0)),0)</f>
        <v>1</v>
      </c>
      <c r="AY109" s="1811" t="e">
        <f t="shared" ref="AY109:BF116" si="337">AY86*$AI$40</f>
        <v>#N/A</v>
      </c>
      <c r="AZ109" s="1811" t="e">
        <f t="shared" si="337"/>
        <v>#N/A</v>
      </c>
      <c r="BA109" s="1811" t="e">
        <f t="shared" si="337"/>
        <v>#N/A</v>
      </c>
      <c r="BB109" s="1811" t="e">
        <f t="shared" si="337"/>
        <v>#N/A</v>
      </c>
      <c r="BC109" s="1811" t="e">
        <f t="shared" si="337"/>
        <v>#N/A</v>
      </c>
      <c r="BD109" s="1811" t="e">
        <f t="shared" si="337"/>
        <v>#N/A</v>
      </c>
      <c r="BE109" s="1811" t="e">
        <f t="shared" si="337"/>
        <v>#N/A</v>
      </c>
      <c r="BF109" s="1811" t="e">
        <f t="shared" si="337"/>
        <v>#N/A</v>
      </c>
      <c r="BG109" s="4143" t="e">
        <f t="shared" ref="BG109:BG116" si="338">AY86/$ABH$42</f>
        <v>#N/A</v>
      </c>
      <c r="BH109" s="4143" t="e">
        <f t="shared" ref="BH109:BH116" si="339">AZ86/$ABH$43</f>
        <v>#N/A</v>
      </c>
      <c r="BI109" s="4143" t="e">
        <f t="shared" ref="BI109:BI116" si="340">BA86/$ABH$44</f>
        <v>#N/A</v>
      </c>
      <c r="BJ109" s="4143" t="e">
        <f t="shared" ref="BJ109:BJ116" si="341">BB86/$ABH$45</f>
        <v>#N/A</v>
      </c>
      <c r="BK109" s="4143" t="e">
        <f t="shared" ref="BK109:BK116" si="342">BC86/$ABH$46</f>
        <v>#N/A</v>
      </c>
      <c r="BL109" s="4143" t="e">
        <f t="shared" ref="BL109:BL116" si="343">BD86/$ABH$47</f>
        <v>#N/A</v>
      </c>
      <c r="BM109" s="4143" t="e">
        <f t="shared" ref="BM109:BM116" si="344">BE86/$ABH$48</f>
        <v>#N/A</v>
      </c>
      <c r="BN109" s="4143" t="e">
        <f t="shared" ref="BN109:BN116" si="345">BF86/$ABH$49</f>
        <v>#N/A</v>
      </c>
      <c r="BO109" s="1811"/>
      <c r="BP109" s="181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LR109" s="2617"/>
      <c r="LS109" s="2617"/>
      <c r="LT109" s="2617"/>
      <c r="LU109" s="2617"/>
      <c r="LV109" s="2617"/>
      <c r="LW109" s="2617"/>
      <c r="LX109" s="2617"/>
      <c r="LY109" s="2617"/>
      <c r="LZ109" s="2617"/>
      <c r="MA109" s="2617"/>
      <c r="MB109" s="2617"/>
      <c r="MC109" s="2617"/>
      <c r="MD109" s="2617"/>
      <c r="ME109" s="2617"/>
      <c r="MF109" s="2617"/>
      <c r="MG109" s="2617"/>
      <c r="MH109" s="2617"/>
      <c r="MI109" s="2617"/>
      <c r="MJ109" s="2617"/>
      <c r="MK109" s="2617"/>
      <c r="ML109" s="2617"/>
      <c r="MM109" s="2617"/>
      <c r="MN109" s="2617"/>
      <c r="MO109" s="2617"/>
      <c r="MP109" s="2617"/>
      <c r="MQ109" s="2617"/>
      <c r="MR109" s="2617"/>
      <c r="MS109" s="2617"/>
      <c r="MT109" s="2617"/>
      <c r="MU109" s="2617"/>
      <c r="MV109" s="2617"/>
      <c r="MW109" s="2617"/>
      <c r="MX109" s="2617"/>
      <c r="MY109" s="2617"/>
      <c r="MZ109" s="2617"/>
      <c r="NA109" s="2617"/>
      <c r="NB109" s="2617"/>
      <c r="NC109" s="2617"/>
      <c r="ND109" s="2617"/>
      <c r="NE109" s="2617"/>
      <c r="NF109" s="2617"/>
      <c r="NG109" s="2617"/>
      <c r="NH109" s="2617"/>
      <c r="NI109" s="2617"/>
      <c r="NJ109" s="2617"/>
      <c r="NK109" s="2617"/>
      <c r="NL109" s="2617"/>
      <c r="NM109" s="2617"/>
      <c r="NN109" s="2617"/>
      <c r="NO109" s="2617"/>
      <c r="NP109" s="2617"/>
      <c r="NQ109" s="2617"/>
      <c r="NR109" s="2617"/>
      <c r="NS109" s="2617"/>
      <c r="NT109" s="2617"/>
      <c r="NU109" s="2617"/>
      <c r="NV109" s="2617"/>
      <c r="NW109" s="2617"/>
      <c r="NX109" s="2617"/>
      <c r="NY109" s="2617"/>
      <c r="NZ109" s="2617"/>
      <c r="OA109" s="2617"/>
      <c r="OB109" s="2617"/>
      <c r="OC109" s="2617"/>
      <c r="OD109" s="2617"/>
      <c r="OE109" s="2617"/>
      <c r="OF109" s="2617"/>
      <c r="OG109" s="2617"/>
      <c r="OH109" s="2617"/>
      <c r="OI109" s="2617"/>
      <c r="OJ109" s="2617"/>
      <c r="AEY109" s="2622"/>
      <c r="AEZ109" s="2622"/>
      <c r="AFA109" s="2622"/>
      <c r="AFB109" s="2622"/>
      <c r="AFC109" s="2622"/>
      <c r="AFD109" s="2622"/>
      <c r="AFE109" s="2622"/>
      <c r="AFF109" s="2622"/>
      <c r="AFG109" s="2737"/>
      <c r="AFO109" s="2622"/>
      <c r="AFP109" s="2737"/>
      <c r="AFX109" s="2622"/>
      <c r="AFZ109" s="2737"/>
      <c r="AGH109" s="2622"/>
      <c r="AGI109" s="2737"/>
      <c r="AGQ109" s="2622"/>
      <c r="AGR109" s="2737"/>
      <c r="AHA109" s="2622"/>
      <c r="AHB109" s="2737"/>
      <c r="AHI109" s="2622"/>
      <c r="AHJ109" s="2737"/>
      <c r="AHT109" s="2622"/>
      <c r="AHV109" s="2737"/>
      <c r="AID109" s="2622"/>
      <c r="AJN109" s="2622"/>
      <c r="AJP109" s="2737"/>
      <c r="AJX109" s="2622"/>
      <c r="AKD109" s="2737"/>
      <c r="AKL109" s="2622"/>
      <c r="AKT109" s="2622"/>
      <c r="ALB109" s="2622"/>
      <c r="ALM109" s="2737"/>
      <c r="ALU109" s="2622"/>
      <c r="ALW109" s="2737"/>
      <c r="ALX109" s="2737"/>
      <c r="AME109" s="2622"/>
      <c r="AMG109" s="2737"/>
      <c r="AMN109" s="2622"/>
      <c r="AMO109" s="2622"/>
      <c r="AMV109" s="2622"/>
      <c r="AMW109" s="2622"/>
      <c r="AOI109" s="2737"/>
      <c r="AOQ109" s="2622"/>
      <c r="AOZ109" s="2737"/>
      <c r="APH109" s="2622"/>
      <c r="APT109" s="2737"/>
      <c r="ASB109" s="2622"/>
      <c r="ASJ109" s="2737"/>
      <c r="ASK109" s="2737"/>
      <c r="ASL109" s="2737"/>
      <c r="ASM109" s="2737"/>
      <c r="ASN109" s="2737"/>
      <c r="ASO109" s="2737"/>
      <c r="ASP109" s="2737"/>
      <c r="ASQ109" s="2737"/>
      <c r="ASR109" s="2737"/>
      <c r="ASS109" s="2737"/>
      <c r="ATA109" s="4124"/>
      <c r="ATS109" s="2737"/>
      <c r="AUA109" s="2622"/>
      <c r="AUS109" s="2737"/>
      <c r="AUU109" s="181"/>
      <c r="AUV109" s="2627" t="s">
        <v>1417</v>
      </c>
      <c r="AUW109" s="2627"/>
      <c r="AUX109" s="2617"/>
      <c r="AUY109" s="2617"/>
      <c r="AUZ109" s="2617"/>
      <c r="AVA109" s="2617"/>
      <c r="AVB109" s="2617"/>
      <c r="AVC109" s="2617"/>
      <c r="AVD109" s="2617"/>
      <c r="AVE109" s="2617"/>
      <c r="AVF109" s="2617"/>
      <c r="AVG109" s="2617"/>
      <c r="AVH109" s="181"/>
      <c r="AVI109" s="181"/>
      <c r="AVJ109" s="181"/>
      <c r="AVK109" s="181"/>
      <c r="AVL109" s="181"/>
      <c r="AVM109" s="181"/>
      <c r="AVN109" s="181"/>
      <c r="AVO109" s="181"/>
      <c r="AVP109" s="181"/>
      <c r="AVQ109" s="181"/>
      <c r="AVR109" s="181"/>
      <c r="AVS109" s="181"/>
      <c r="AVT109" s="181"/>
      <c r="AVU109" s="181"/>
      <c r="AVV109" s="181"/>
      <c r="AVW109" s="181"/>
      <c r="AVX109" s="181"/>
      <c r="AVY109" s="181"/>
      <c r="AVZ109" s="181"/>
      <c r="AWA109" s="181"/>
      <c r="AWB109" s="181"/>
      <c r="AWC109" s="181"/>
      <c r="AWD109" s="181"/>
      <c r="AWE109" s="181"/>
      <c r="AWF109" s="181"/>
      <c r="AWG109" s="181"/>
      <c r="AWH109" s="181"/>
      <c r="AWI109" s="181"/>
      <c r="AWJ109" s="181"/>
      <c r="AWK109" s="181"/>
      <c r="AWL109" s="181"/>
      <c r="AWM109" s="181"/>
      <c r="AWN109" s="181"/>
      <c r="AWO109" s="181"/>
      <c r="AWP109" s="181"/>
      <c r="AWQ109" s="181"/>
      <c r="AWR109" s="181"/>
      <c r="AWS109" s="181"/>
      <c r="AWT109" s="181"/>
      <c r="AWU109" s="181"/>
      <c r="AWV109" s="181"/>
      <c r="AWW109" s="181"/>
      <c r="AWX109" s="181"/>
      <c r="AWY109" s="181"/>
      <c r="AWZ109" s="181"/>
      <c r="AXA109" s="181"/>
      <c r="AXB109" s="181"/>
      <c r="AXC109" s="181"/>
      <c r="AXD109" s="181"/>
      <c r="AXE109" s="181"/>
      <c r="AXF109" s="181"/>
      <c r="AXG109" s="181"/>
      <c r="AXH109" s="181"/>
      <c r="AXI109" s="181"/>
      <c r="AXJ109" s="181"/>
      <c r="AXK109" s="181"/>
      <c r="AXL109" s="181"/>
      <c r="AXM109" s="181"/>
      <c r="AXN109" s="181"/>
      <c r="AXO109" s="181"/>
      <c r="AXP109" s="181"/>
      <c r="AXQ109" s="181"/>
      <c r="AXR109" s="181"/>
      <c r="AXS109" s="181"/>
      <c r="AXT109" s="181"/>
      <c r="AXU109" s="181"/>
      <c r="AXV109" s="181"/>
      <c r="AXW109" s="181"/>
      <c r="AXX109" s="181"/>
      <c r="AXY109" s="181"/>
      <c r="AXZ109" s="181"/>
      <c r="AYA109" s="181"/>
      <c r="AYB109" s="181"/>
      <c r="AYC109" s="181"/>
      <c r="AYD109" s="181"/>
      <c r="AYE109" s="181"/>
      <c r="AYF109" s="181"/>
      <c r="AYG109" s="181"/>
      <c r="BBV109" s="181"/>
      <c r="BBW109" s="181"/>
      <c r="BBX109" s="181"/>
      <c r="BBY109" s="181"/>
      <c r="BBZ109" s="181"/>
      <c r="BCA109" s="181"/>
      <c r="BCB109" s="181"/>
      <c r="BCJ109" s="2617"/>
      <c r="BCK109" s="2617"/>
      <c r="BCL109" s="2617"/>
      <c r="BCM109" s="2617"/>
      <c r="BCN109" s="2617"/>
      <c r="BCO109" s="2617"/>
      <c r="BCP109" s="2617"/>
      <c r="BCQ109" s="2617"/>
      <c r="BDJ109" s="2622"/>
      <c r="BDK109" s="2622"/>
      <c r="BDR109" s="2617"/>
      <c r="BDS109" s="2617"/>
      <c r="BDX109" s="2622"/>
      <c r="BDY109" s="2622"/>
      <c r="BEI109" s="2622"/>
      <c r="BEJ109" s="2622"/>
      <c r="BEK109" s="2622"/>
      <c r="BEL109" s="2622"/>
      <c r="BEM109" s="2622"/>
      <c r="BEP109" s="2622"/>
      <c r="BFM109" s="3398"/>
    </row>
    <row r="110" spans="34:1021 1028:1521" x14ac:dyDescent="0.2">
      <c r="AH110" s="207"/>
      <c r="AI110" s="207"/>
      <c r="AJ110" s="207"/>
      <c r="AK110" s="181"/>
      <c r="AL110" s="181"/>
      <c r="AM110" s="181"/>
      <c r="AN110" s="181"/>
      <c r="AO110" s="181"/>
      <c r="AU110" s="2632" t="str">
        <f>_Calcs!$QP$135</f>
        <v>Stuff 1-2</v>
      </c>
      <c r="AV110" s="2630">
        <f>IF(_Calcs!$BC$38=1,0,IF(_Calcs!$BC$38=2,2,0))</f>
        <v>2</v>
      </c>
      <c r="AW110" s="237">
        <f>IF(_Calcs!$BC$34&gt;1,1,0)</f>
        <v>0</v>
      </c>
      <c r="AX110" s="238">
        <f>IF($AI$31=2,INDEX(outputs_position[12],MATCH(_Calcs!$BC$35,outputs_position[lopstuff],0)),0)</f>
        <v>0</v>
      </c>
      <c r="AY110" s="1811" t="e">
        <f t="shared" si="337"/>
        <v>#VALUE!</v>
      </c>
      <c r="AZ110" s="1811" t="e">
        <f t="shared" si="337"/>
        <v>#VALUE!</v>
      </c>
      <c r="BA110" s="1811" t="e">
        <f t="shared" si="337"/>
        <v>#VALUE!</v>
      </c>
      <c r="BB110" s="1811" t="e">
        <f t="shared" si="337"/>
        <v>#VALUE!</v>
      </c>
      <c r="BC110" s="1811" t="e">
        <f t="shared" si="337"/>
        <v>#VALUE!</v>
      </c>
      <c r="BD110" s="1811" t="e">
        <f t="shared" si="337"/>
        <v>#VALUE!</v>
      </c>
      <c r="BE110" s="1811" t="e">
        <f t="shared" si="337"/>
        <v>#VALUE!</v>
      </c>
      <c r="BF110" s="1811" t="e">
        <f t="shared" si="337"/>
        <v>#VALUE!</v>
      </c>
      <c r="BG110" s="4143" t="e">
        <f t="shared" si="338"/>
        <v>#VALUE!</v>
      </c>
      <c r="BH110" s="4143" t="e">
        <f t="shared" si="339"/>
        <v>#VALUE!</v>
      </c>
      <c r="BI110" s="4143" t="e">
        <f t="shared" si="340"/>
        <v>#VALUE!</v>
      </c>
      <c r="BJ110" s="4143" t="e">
        <f t="shared" si="341"/>
        <v>#VALUE!</v>
      </c>
      <c r="BK110" s="4143" t="e">
        <f t="shared" si="342"/>
        <v>#VALUE!</v>
      </c>
      <c r="BL110" s="4143" t="e">
        <f t="shared" si="343"/>
        <v>#VALUE!</v>
      </c>
      <c r="BM110" s="4143" t="e">
        <f t="shared" si="344"/>
        <v>#VALUE!</v>
      </c>
      <c r="BN110" s="4143" t="e">
        <f t="shared" si="345"/>
        <v>#VALUE!</v>
      </c>
      <c r="BO110" s="1811"/>
      <c r="BP110" s="1811"/>
      <c r="AUU110" s="2617"/>
      <c r="AUV110" s="2617"/>
      <c r="AUW110" s="2617"/>
      <c r="AUX110" s="181"/>
      <c r="AUY110" s="181"/>
      <c r="AUZ110" s="181"/>
      <c r="AVA110" s="181"/>
      <c r="AVB110" s="181"/>
      <c r="AVC110" s="181"/>
      <c r="AVD110" s="181"/>
      <c r="AVE110" s="181"/>
      <c r="AVF110" s="181"/>
      <c r="AVG110" s="181"/>
      <c r="AVH110" s="181"/>
      <c r="AVI110" s="181"/>
      <c r="AVJ110" s="181"/>
      <c r="AVK110" s="181"/>
      <c r="AVL110" s="181"/>
      <c r="AVM110" s="181"/>
      <c r="AVN110" s="181"/>
      <c r="AVO110" s="181"/>
      <c r="AVP110" s="181"/>
      <c r="AVQ110" s="181"/>
      <c r="AVR110" s="181"/>
      <c r="AVS110" s="181"/>
      <c r="AVT110" s="181"/>
      <c r="AVU110" s="181"/>
      <c r="AVV110" s="181"/>
      <c r="AVW110" s="181"/>
      <c r="AVX110" s="181"/>
      <c r="AVY110" s="181"/>
      <c r="AVZ110" s="181"/>
      <c r="AWA110" s="181"/>
      <c r="AWB110" s="181"/>
      <c r="AWC110" s="181"/>
      <c r="AWD110" s="181"/>
      <c r="AWE110" s="181"/>
      <c r="AWF110" s="181"/>
      <c r="AWG110" s="181"/>
      <c r="AWH110" s="181"/>
      <c r="AWI110" s="181"/>
      <c r="AWJ110" s="181"/>
      <c r="AWK110" s="181"/>
      <c r="AWL110" s="181"/>
      <c r="AWM110" s="181"/>
      <c r="AWN110" s="181"/>
      <c r="AWO110" s="181"/>
      <c r="AWP110" s="181"/>
      <c r="AWQ110" s="181"/>
      <c r="AWR110" s="181"/>
      <c r="AWS110" s="181"/>
      <c r="AWT110" s="181"/>
      <c r="AWU110" s="181"/>
      <c r="AWV110" s="181"/>
      <c r="AWW110" s="181"/>
      <c r="AWX110" s="181"/>
      <c r="AWY110" s="181"/>
      <c r="AWZ110" s="181"/>
      <c r="AXA110" s="181"/>
      <c r="AXB110" s="181"/>
      <c r="AXC110" s="181"/>
      <c r="AXD110" s="181"/>
      <c r="AXE110" s="181"/>
      <c r="AXF110" s="181"/>
      <c r="AXG110" s="181"/>
      <c r="AXH110" s="181"/>
      <c r="AXI110" s="181"/>
      <c r="AXJ110" s="181"/>
      <c r="AXK110" s="181"/>
      <c r="AXL110" s="181"/>
      <c r="AXM110" s="181"/>
      <c r="AXN110" s="181"/>
      <c r="AXO110" s="181"/>
      <c r="AXP110" s="181"/>
      <c r="AXQ110" s="181"/>
      <c r="AXR110" s="181"/>
      <c r="AXS110" s="181"/>
      <c r="AXT110" s="181"/>
      <c r="AXU110" s="181"/>
      <c r="AXV110" s="181"/>
      <c r="AXW110" s="181"/>
      <c r="AXX110" s="181"/>
      <c r="AXY110" s="181"/>
      <c r="AXZ110" s="181"/>
      <c r="AYA110" s="181"/>
      <c r="AYB110" s="181"/>
      <c r="AYC110" s="181"/>
      <c r="AYD110" s="181"/>
      <c r="AYE110" s="181"/>
      <c r="AYF110" s="181"/>
      <c r="BFE110" s="3398"/>
    </row>
    <row r="111" spans="34:1021 1028:1521" ht="28.5" x14ac:dyDescent="0.2">
      <c r="AH111" s="5600" t="s">
        <v>30</v>
      </c>
      <c r="AI111" s="5609" t="s">
        <v>2092</v>
      </c>
      <c r="AJ111" s="5600" t="s">
        <v>30</v>
      </c>
      <c r="AK111" s="2688" t="s">
        <v>2602</v>
      </c>
      <c r="AL111" s="181"/>
      <c r="AM111" s="181"/>
      <c r="AN111" s="181"/>
      <c r="AO111" s="181"/>
      <c r="AU111" s="2632" t="str">
        <f>_Calcs!$QQ$135</f>
        <v>Stuff 1-3</v>
      </c>
      <c r="AV111" s="2630">
        <f>IF(_Calcs!$BC$38=1,0,IF(_Calcs!$BC$38=2,3,0))</f>
        <v>3</v>
      </c>
      <c r="AW111" s="237">
        <f>IF(_Calcs!$BC$34&gt;2,1,0)</f>
        <v>0</v>
      </c>
      <c r="AX111" s="238">
        <f>IF($AI$31=2,INDEX(outputs_position[13],MATCH(_Calcs!$BC$35,outputs_position[lopstuff],0)),0)</f>
        <v>0</v>
      </c>
      <c r="AY111" s="1811" t="e">
        <f t="shared" si="337"/>
        <v>#VALUE!</v>
      </c>
      <c r="AZ111" s="1811" t="e">
        <f t="shared" si="337"/>
        <v>#VALUE!</v>
      </c>
      <c r="BA111" s="1811" t="e">
        <f t="shared" si="337"/>
        <v>#VALUE!</v>
      </c>
      <c r="BB111" s="1811" t="e">
        <f t="shared" si="337"/>
        <v>#VALUE!</v>
      </c>
      <c r="BC111" s="1811" t="e">
        <f t="shared" si="337"/>
        <v>#VALUE!</v>
      </c>
      <c r="BD111" s="1811" t="e">
        <f t="shared" si="337"/>
        <v>#VALUE!</v>
      </c>
      <c r="BE111" s="1811" t="e">
        <f t="shared" si="337"/>
        <v>#VALUE!</v>
      </c>
      <c r="BF111" s="1811" t="e">
        <f t="shared" si="337"/>
        <v>#VALUE!</v>
      </c>
      <c r="BG111" s="4143" t="e">
        <f t="shared" si="338"/>
        <v>#VALUE!</v>
      </c>
      <c r="BH111" s="4143" t="e">
        <f t="shared" si="339"/>
        <v>#VALUE!</v>
      </c>
      <c r="BI111" s="4143" t="e">
        <f t="shared" si="340"/>
        <v>#VALUE!</v>
      </c>
      <c r="BJ111" s="4143" t="e">
        <f t="shared" si="341"/>
        <v>#VALUE!</v>
      </c>
      <c r="BK111" s="4143" t="e">
        <f t="shared" si="342"/>
        <v>#VALUE!</v>
      </c>
      <c r="BL111" s="4143" t="e">
        <f t="shared" si="343"/>
        <v>#VALUE!</v>
      </c>
      <c r="BM111" s="4143" t="e">
        <f t="shared" si="344"/>
        <v>#VALUE!</v>
      </c>
      <c r="BN111" s="4143" t="e">
        <f t="shared" si="345"/>
        <v>#VALUE!</v>
      </c>
      <c r="BO111" s="1811"/>
      <c r="BP111" s="1811"/>
      <c r="AUU111" s="2617"/>
      <c r="AUV111" s="2617"/>
      <c r="AUW111" s="2617"/>
      <c r="AUX111" s="181"/>
      <c r="AUY111" s="181"/>
      <c r="AUZ111" s="181"/>
      <c r="AVA111" s="181"/>
      <c r="AVB111" s="181"/>
      <c r="AVC111" s="181"/>
      <c r="AVD111" s="181"/>
      <c r="AVE111" s="181"/>
      <c r="AVF111" s="181"/>
      <c r="AVG111" s="181"/>
      <c r="AVH111" s="181"/>
      <c r="AVI111" s="181"/>
      <c r="AVJ111" s="181"/>
      <c r="AVK111" s="181"/>
      <c r="AVL111" s="181"/>
      <c r="AVM111" s="181"/>
      <c r="AVN111" s="181"/>
      <c r="AVO111" s="181"/>
      <c r="AVP111" s="181"/>
      <c r="AVQ111" s="181"/>
      <c r="AVR111" s="181"/>
      <c r="AVS111" s="181"/>
      <c r="AVT111" s="181"/>
      <c r="AVU111" s="181"/>
      <c r="AVV111" s="181"/>
      <c r="AVW111" s="181"/>
      <c r="AVX111" s="181"/>
      <c r="AVY111" s="181"/>
      <c r="AVZ111" s="181"/>
      <c r="AWA111" s="181"/>
      <c r="AWB111" s="181"/>
      <c r="AWC111" s="181"/>
      <c r="AWD111" s="181"/>
      <c r="AWE111" s="181"/>
      <c r="AWF111" s="181"/>
      <c r="AWG111" s="181"/>
      <c r="AWH111" s="181"/>
      <c r="AWI111" s="181"/>
      <c r="AWJ111" s="181"/>
      <c r="AWK111" s="181"/>
      <c r="AWL111" s="181"/>
      <c r="AWM111" s="181"/>
      <c r="AWN111" s="181"/>
      <c r="AWO111" s="181"/>
      <c r="AWP111" s="181"/>
      <c r="AWQ111" s="181"/>
      <c r="AWR111" s="181"/>
      <c r="AWS111" s="181"/>
      <c r="AWT111" s="181"/>
      <c r="AWU111" s="181"/>
      <c r="AWV111" s="181"/>
      <c r="AWW111" s="181"/>
      <c r="AWX111" s="181"/>
      <c r="AWY111" s="181"/>
      <c r="AWZ111" s="181"/>
      <c r="AXA111" s="181"/>
      <c r="AXB111" s="181"/>
      <c r="AXC111" s="181"/>
      <c r="AXD111" s="181"/>
      <c r="AXE111" s="181"/>
      <c r="AXF111" s="181"/>
      <c r="AXG111" s="181"/>
      <c r="AXH111" s="181"/>
      <c r="AXI111" s="181"/>
      <c r="AXJ111" s="181"/>
      <c r="AXK111" s="181"/>
      <c r="AXL111" s="181"/>
      <c r="AXM111" s="181"/>
      <c r="AXN111" s="181"/>
      <c r="AXO111" s="181"/>
      <c r="AXP111" s="181"/>
      <c r="AXQ111" s="181"/>
      <c r="AXR111" s="181"/>
      <c r="AXS111" s="181"/>
      <c r="AXT111" s="181"/>
      <c r="AXU111" s="181"/>
      <c r="AXV111" s="181"/>
      <c r="AXW111" s="181"/>
      <c r="AXX111" s="181"/>
      <c r="AXY111" s="181"/>
      <c r="AXZ111" s="181"/>
      <c r="AYA111" s="181"/>
      <c r="AYB111" s="181"/>
      <c r="AYC111" s="181"/>
      <c r="AYD111" s="181"/>
      <c r="AYE111" s="181"/>
      <c r="AYF111" s="181"/>
      <c r="BFE111" s="3398"/>
    </row>
    <row r="112" spans="34:1021 1028:1521" ht="28.5" x14ac:dyDescent="0.2">
      <c r="AH112" s="5600" t="s">
        <v>1529</v>
      </c>
      <c r="AI112" s="5609" t="s">
        <v>2095</v>
      </c>
      <c r="AJ112" s="5600" t="s">
        <v>1529</v>
      </c>
      <c r="AK112" s="2688" t="s">
        <v>2602</v>
      </c>
      <c r="AL112" s="181"/>
      <c r="AM112" s="181"/>
      <c r="AN112" s="181"/>
      <c r="AO112" s="181"/>
      <c r="AU112" s="2632" t="str">
        <f>_Calcs!$QR$135</f>
        <v>Stuff 1-4</v>
      </c>
      <c r="AV112" s="2630">
        <f>IF(_Calcs!$BC$38=1,0,IF(_Calcs!$BC$38=2,4,0))</f>
        <v>4</v>
      </c>
      <c r="AW112" s="237">
        <f>IF(_Calcs!$BC$34&gt;3,1,0)</f>
        <v>0</v>
      </c>
      <c r="AX112" s="238">
        <f>IF($AI$31=2,INDEX(outputs_position[14],MATCH(_Calcs!$BC$35,outputs_position[lopstuff],0)),0)</f>
        <v>0</v>
      </c>
      <c r="AY112" s="1811" t="e">
        <f t="shared" si="337"/>
        <v>#VALUE!</v>
      </c>
      <c r="AZ112" s="1811" t="e">
        <f t="shared" si="337"/>
        <v>#VALUE!</v>
      </c>
      <c r="BA112" s="1811" t="e">
        <f t="shared" si="337"/>
        <v>#VALUE!</v>
      </c>
      <c r="BB112" s="1811" t="e">
        <f t="shared" si="337"/>
        <v>#VALUE!</v>
      </c>
      <c r="BC112" s="1811" t="e">
        <f t="shared" si="337"/>
        <v>#VALUE!</v>
      </c>
      <c r="BD112" s="1811" t="e">
        <f t="shared" si="337"/>
        <v>#VALUE!</v>
      </c>
      <c r="BE112" s="1811" t="e">
        <f t="shared" si="337"/>
        <v>#VALUE!</v>
      </c>
      <c r="BF112" s="1811" t="e">
        <f t="shared" si="337"/>
        <v>#VALUE!</v>
      </c>
      <c r="BG112" s="4143" t="e">
        <f t="shared" si="338"/>
        <v>#VALUE!</v>
      </c>
      <c r="BH112" s="4143" t="e">
        <f t="shared" si="339"/>
        <v>#VALUE!</v>
      </c>
      <c r="BI112" s="4143" t="e">
        <f t="shared" si="340"/>
        <v>#VALUE!</v>
      </c>
      <c r="BJ112" s="4143" t="e">
        <f t="shared" si="341"/>
        <v>#VALUE!</v>
      </c>
      <c r="BK112" s="4143" t="e">
        <f t="shared" si="342"/>
        <v>#VALUE!</v>
      </c>
      <c r="BL112" s="4143" t="e">
        <f t="shared" si="343"/>
        <v>#VALUE!</v>
      </c>
      <c r="BM112" s="4143" t="e">
        <f t="shared" si="344"/>
        <v>#VALUE!</v>
      </c>
      <c r="BN112" s="4143" t="e">
        <f t="shared" si="345"/>
        <v>#VALUE!</v>
      </c>
      <c r="BO112" s="1811"/>
      <c r="BP112" s="1811"/>
      <c r="AUU112" s="2617"/>
      <c r="AUV112" s="2617"/>
      <c r="AUW112" s="2617"/>
      <c r="AUX112" s="181"/>
      <c r="AUY112" s="181"/>
      <c r="AUZ112" s="181"/>
      <c r="AVA112" s="181"/>
      <c r="AVB112" s="181"/>
      <c r="AVC112" s="181"/>
      <c r="AVD112" s="181"/>
      <c r="AVE112" s="181"/>
      <c r="AVF112" s="181"/>
      <c r="AVG112" s="181"/>
      <c r="AVH112" s="181"/>
      <c r="AVI112" s="181"/>
      <c r="AVJ112" s="181"/>
      <c r="AVK112" s="181"/>
      <c r="AVL112" s="181"/>
      <c r="AVM112" s="181"/>
      <c r="AVN112" s="181"/>
      <c r="AVO112" s="181"/>
      <c r="AVP112" s="181"/>
      <c r="AVQ112" s="181"/>
      <c r="AVR112" s="181"/>
      <c r="AVS112" s="181"/>
      <c r="AVT112" s="181"/>
      <c r="AVU112" s="181"/>
      <c r="AVV112" s="181"/>
      <c r="AVW112" s="181"/>
      <c r="AVX112" s="181"/>
      <c r="AVY112" s="181"/>
      <c r="AVZ112" s="181"/>
      <c r="AWA112" s="181"/>
      <c r="AWB112" s="181"/>
      <c r="AWC112" s="181"/>
      <c r="AWD112" s="181"/>
      <c r="AWE112" s="181"/>
      <c r="AWF112" s="181"/>
      <c r="AWG112" s="181"/>
      <c r="AWH112" s="181"/>
      <c r="AWI112" s="181"/>
      <c r="AWJ112" s="181"/>
      <c r="AWK112" s="181"/>
      <c r="AWL112" s="181"/>
      <c r="AWM112" s="181"/>
      <c r="AWN112" s="181"/>
      <c r="AWO112" s="181"/>
      <c r="AWP112" s="181"/>
      <c r="AWQ112" s="181"/>
      <c r="AWR112" s="181"/>
      <c r="AWS112" s="181"/>
      <c r="AWT112" s="181"/>
      <c r="AWU112" s="181"/>
      <c r="AWV112" s="181"/>
      <c r="AWW112" s="181"/>
      <c r="AWX112" s="181"/>
      <c r="AWY112" s="181"/>
      <c r="AWZ112" s="181"/>
      <c r="AXA112" s="181"/>
      <c r="AXB112" s="181"/>
      <c r="AXC112" s="181"/>
      <c r="AXD112" s="181"/>
      <c r="AXE112" s="181"/>
      <c r="AXF112" s="181"/>
      <c r="AXG112" s="181"/>
      <c r="AXH112" s="181"/>
      <c r="AXI112" s="181"/>
      <c r="AXJ112" s="181"/>
      <c r="AXK112" s="181"/>
      <c r="AXL112" s="181"/>
      <c r="AXM112" s="181"/>
      <c r="AXN112" s="181"/>
      <c r="AXO112" s="181"/>
      <c r="AXP112" s="181"/>
      <c r="AXQ112" s="181"/>
      <c r="AXR112" s="181"/>
      <c r="AXS112" s="181"/>
      <c r="AXT112" s="181"/>
      <c r="AXU112" s="181"/>
      <c r="AXV112" s="181"/>
      <c r="AXW112" s="181"/>
      <c r="AXX112" s="181"/>
      <c r="AXY112" s="181"/>
      <c r="AXZ112" s="181"/>
      <c r="AYA112" s="181"/>
      <c r="AYB112" s="181"/>
      <c r="AYC112" s="181"/>
      <c r="AYD112" s="181"/>
      <c r="AYE112" s="181"/>
      <c r="AYF112" s="181"/>
      <c r="BFE112" s="3398"/>
    </row>
    <row r="113" spans="34:68 1243:1521" x14ac:dyDescent="0.2">
      <c r="AH113" s="2625"/>
      <c r="AI113" s="5610"/>
      <c r="AJ113" s="2625"/>
      <c r="AL113" s="181"/>
      <c r="AM113" s="181"/>
      <c r="AN113" s="181"/>
      <c r="AO113" s="181"/>
      <c r="AU113" s="2632" t="str">
        <f>_Calcs!$QS$135</f>
        <v>Stuff 2-1</v>
      </c>
      <c r="AV113" s="2630">
        <f>IF(_Calcs!$BC$38=1,0,IF(_Calcs!$BC$38=2,5,0))</f>
        <v>5</v>
      </c>
      <c r="AW113" s="237">
        <f>IF(_Calcs!$BC$34&gt;4,1,0)</f>
        <v>0</v>
      </c>
      <c r="AX113" s="238">
        <f>IF($AI$31=2,INDEX(outputs_position[21],MATCH(_Calcs!$BC$35,outputs_position[lopstuff],0)),0)</f>
        <v>0</v>
      </c>
      <c r="AY113" s="1811" t="e">
        <f t="shared" si="337"/>
        <v>#VALUE!</v>
      </c>
      <c r="AZ113" s="1811" t="e">
        <f t="shared" si="337"/>
        <v>#VALUE!</v>
      </c>
      <c r="BA113" s="1811" t="e">
        <f t="shared" si="337"/>
        <v>#VALUE!</v>
      </c>
      <c r="BB113" s="1811" t="e">
        <f t="shared" si="337"/>
        <v>#VALUE!</v>
      </c>
      <c r="BC113" s="1811" t="e">
        <f t="shared" si="337"/>
        <v>#VALUE!</v>
      </c>
      <c r="BD113" s="1811" t="e">
        <f t="shared" si="337"/>
        <v>#VALUE!</v>
      </c>
      <c r="BE113" s="1811" t="e">
        <f t="shared" si="337"/>
        <v>#VALUE!</v>
      </c>
      <c r="BF113" s="1811" t="e">
        <f t="shared" si="337"/>
        <v>#VALUE!</v>
      </c>
      <c r="BG113" s="4143" t="e">
        <f t="shared" si="338"/>
        <v>#VALUE!</v>
      </c>
      <c r="BH113" s="4143" t="e">
        <f t="shared" si="339"/>
        <v>#VALUE!</v>
      </c>
      <c r="BI113" s="4143" t="e">
        <f t="shared" si="340"/>
        <v>#VALUE!</v>
      </c>
      <c r="BJ113" s="4143" t="e">
        <f t="shared" si="341"/>
        <v>#VALUE!</v>
      </c>
      <c r="BK113" s="4143" t="e">
        <f t="shared" si="342"/>
        <v>#VALUE!</v>
      </c>
      <c r="BL113" s="4143" t="e">
        <f t="shared" si="343"/>
        <v>#VALUE!</v>
      </c>
      <c r="BM113" s="4143" t="e">
        <f t="shared" si="344"/>
        <v>#VALUE!</v>
      </c>
      <c r="BN113" s="4143" t="e">
        <f t="shared" si="345"/>
        <v>#VALUE!</v>
      </c>
      <c r="BO113" s="1811"/>
      <c r="BP113" s="1811"/>
      <c r="AUU113" s="2617"/>
      <c r="AUV113" s="2970" t="s">
        <v>1324</v>
      </c>
      <c r="AUW113" s="2617"/>
      <c r="AUX113" s="181"/>
      <c r="AUY113" s="181"/>
      <c r="AUZ113" s="181"/>
      <c r="AVA113" s="181"/>
      <c r="AVB113" s="181"/>
      <c r="AVC113" s="181"/>
      <c r="AVD113" s="181"/>
      <c r="AVE113" s="181"/>
      <c r="AVF113" s="181"/>
      <c r="AVG113" s="181"/>
      <c r="AVH113" s="181"/>
      <c r="AVI113" s="181"/>
      <c r="AVJ113" s="181"/>
      <c r="AVK113" s="181"/>
      <c r="AVL113" s="181"/>
      <c r="AVM113" s="181"/>
      <c r="AVN113" s="181"/>
      <c r="AVO113" s="181"/>
      <c r="AVP113" s="181"/>
      <c r="AVQ113" s="181"/>
      <c r="AVR113" s="181"/>
      <c r="AVS113" s="181"/>
      <c r="AVT113" s="181"/>
      <c r="AVU113" s="181"/>
      <c r="AVV113" s="181"/>
      <c r="AVW113" s="181"/>
      <c r="AVX113" s="181"/>
      <c r="AVY113" s="181"/>
      <c r="AVZ113" s="181"/>
      <c r="AWA113" s="181"/>
      <c r="AWB113" s="181"/>
      <c r="AWC113" s="181"/>
      <c r="AWD113" s="181"/>
      <c r="AWE113" s="181"/>
      <c r="AWF113" s="181"/>
      <c r="AWG113" s="181"/>
      <c r="AWH113" s="181"/>
      <c r="AWI113" s="181"/>
      <c r="AWJ113" s="181"/>
      <c r="AWK113" s="181"/>
      <c r="AWL113" s="181"/>
      <c r="AWM113" s="181"/>
      <c r="AWN113" s="181"/>
      <c r="AWO113" s="181"/>
      <c r="AWP113" s="181"/>
      <c r="AWQ113" s="181"/>
      <c r="AWR113" s="181"/>
      <c r="AWS113" s="181"/>
      <c r="AWT113" s="181"/>
      <c r="AWU113" s="181"/>
      <c r="AWV113" s="181"/>
      <c r="AWW113" s="181"/>
      <c r="AWX113" s="181"/>
      <c r="AWY113" s="181"/>
      <c r="AWZ113" s="181"/>
      <c r="AXA113" s="181"/>
      <c r="AXB113" s="181"/>
      <c r="AXC113" s="181"/>
      <c r="AXD113" s="181"/>
      <c r="AXE113" s="181"/>
      <c r="AXF113" s="181"/>
      <c r="AXG113" s="181"/>
      <c r="AXH113" s="181"/>
      <c r="AXI113" s="181"/>
      <c r="AXJ113" s="181"/>
      <c r="AXK113" s="181"/>
      <c r="AXL113" s="181"/>
      <c r="AXM113" s="181"/>
      <c r="AXN113" s="181"/>
      <c r="AXO113" s="181"/>
      <c r="AXP113" s="181"/>
      <c r="AXQ113" s="181"/>
      <c r="AXR113" s="181"/>
      <c r="AXS113" s="181"/>
      <c r="AXT113" s="181"/>
      <c r="AXU113" s="181"/>
      <c r="AXV113" s="181"/>
      <c r="AXW113" s="181"/>
      <c r="AXX113" s="181"/>
      <c r="AXY113" s="181"/>
      <c r="AXZ113" s="181"/>
      <c r="AYA113" s="181"/>
      <c r="AYB113" s="181"/>
      <c r="AYC113" s="181"/>
      <c r="AYD113" s="181"/>
      <c r="AYE113" s="181"/>
      <c r="AYF113" s="181"/>
      <c r="BFE113" s="3398"/>
    </row>
    <row r="114" spans="34:68 1243:1521" ht="28.5" x14ac:dyDescent="0.2">
      <c r="AH114" s="5600" t="s">
        <v>1264</v>
      </c>
      <c r="AI114" s="5609" t="s">
        <v>190</v>
      </c>
      <c r="AJ114" s="5606" t="s">
        <v>1264</v>
      </c>
      <c r="AK114" s="2688" t="s">
        <v>2602</v>
      </c>
      <c r="AL114" s="181"/>
      <c r="AM114" s="181"/>
      <c r="AN114" s="181"/>
      <c r="AO114" s="181"/>
      <c r="AU114" s="2632" t="str">
        <f>_Calcs!$QT$135</f>
        <v>Stuff 2-2</v>
      </c>
      <c r="AV114" s="2630">
        <f>IF(_Calcs!$BC$38=1,0,IF(_Calcs!$BC$38=2,6,0))</f>
        <v>6</v>
      </c>
      <c r="AW114" s="237">
        <f>IF(_Calcs!$BC$34&gt;5,1,0)</f>
        <v>0</v>
      </c>
      <c r="AX114" s="238">
        <f>IF($AI$31=2,INDEX(outputs_position[22],MATCH(_Calcs!$BC$35,outputs_position[lopstuff],0)),0)</f>
        <v>0</v>
      </c>
      <c r="AY114" s="1811" t="e">
        <f t="shared" si="337"/>
        <v>#VALUE!</v>
      </c>
      <c r="AZ114" s="1811" t="e">
        <f t="shared" si="337"/>
        <v>#VALUE!</v>
      </c>
      <c r="BA114" s="1811" t="e">
        <f t="shared" si="337"/>
        <v>#VALUE!</v>
      </c>
      <c r="BB114" s="1811" t="e">
        <f t="shared" si="337"/>
        <v>#VALUE!</v>
      </c>
      <c r="BC114" s="1811" t="e">
        <f t="shared" si="337"/>
        <v>#VALUE!</v>
      </c>
      <c r="BD114" s="1811" t="e">
        <f t="shared" si="337"/>
        <v>#VALUE!</v>
      </c>
      <c r="BE114" s="1811" t="e">
        <f t="shared" si="337"/>
        <v>#VALUE!</v>
      </c>
      <c r="BF114" s="1811" t="e">
        <f t="shared" si="337"/>
        <v>#VALUE!</v>
      </c>
      <c r="BG114" s="4143" t="e">
        <f t="shared" si="338"/>
        <v>#VALUE!</v>
      </c>
      <c r="BH114" s="4143" t="e">
        <f t="shared" si="339"/>
        <v>#VALUE!</v>
      </c>
      <c r="BI114" s="4143" t="e">
        <f t="shared" si="340"/>
        <v>#VALUE!</v>
      </c>
      <c r="BJ114" s="4143" t="e">
        <f t="shared" si="341"/>
        <v>#VALUE!</v>
      </c>
      <c r="BK114" s="4143" t="e">
        <f t="shared" si="342"/>
        <v>#VALUE!</v>
      </c>
      <c r="BL114" s="4143" t="e">
        <f t="shared" si="343"/>
        <v>#VALUE!</v>
      </c>
      <c r="BM114" s="4143" t="e">
        <f t="shared" si="344"/>
        <v>#VALUE!</v>
      </c>
      <c r="BN114" s="4143" t="e">
        <f t="shared" si="345"/>
        <v>#VALUE!</v>
      </c>
      <c r="BO114" s="1811"/>
      <c r="BP114" s="1811"/>
      <c r="AUU114" s="2617"/>
      <c r="AUV114" s="2617"/>
      <c r="AUW114" s="2617"/>
      <c r="AUX114" s="181"/>
      <c r="AUY114" s="181"/>
      <c r="AUZ114" s="181"/>
      <c r="AVA114" s="181"/>
      <c r="AVB114" s="181"/>
      <c r="AVC114" s="181"/>
      <c r="AVD114" s="181"/>
      <c r="AVE114" s="181"/>
      <c r="AVF114" s="181"/>
      <c r="AVG114" s="181"/>
      <c r="AVH114" s="181"/>
      <c r="AVI114" s="181"/>
      <c r="AVJ114" s="181"/>
      <c r="AVK114" s="181"/>
      <c r="AVL114" s="181"/>
      <c r="AVM114" s="181"/>
      <c r="AVN114" s="181"/>
      <c r="AVO114" s="181"/>
      <c r="AVP114" s="181"/>
      <c r="AVQ114" s="181"/>
      <c r="AVR114" s="181"/>
      <c r="AVS114" s="181"/>
      <c r="AVT114" s="181"/>
      <c r="AVU114" s="181"/>
      <c r="AVV114" s="181"/>
      <c r="AVW114" s="181"/>
      <c r="AVX114" s="181"/>
      <c r="AVY114" s="181"/>
      <c r="AVZ114" s="181"/>
      <c r="AWA114" s="181"/>
      <c r="AWB114" s="181"/>
      <c r="AWC114" s="181"/>
      <c r="AWD114" s="181"/>
      <c r="AWE114" s="181"/>
      <c r="AWF114" s="181"/>
      <c r="AWG114" s="181"/>
      <c r="AWH114" s="181"/>
      <c r="AWI114" s="181"/>
      <c r="AWJ114" s="181"/>
      <c r="AWK114" s="181"/>
      <c r="AWL114" s="181"/>
      <c r="AWM114" s="181"/>
      <c r="AWN114" s="181"/>
      <c r="AWO114" s="181"/>
      <c r="AWP114" s="181"/>
      <c r="AWQ114" s="181"/>
      <c r="AWR114" s="181"/>
      <c r="AWS114" s="181"/>
      <c r="AWT114" s="181"/>
      <c r="AWU114" s="181"/>
      <c r="AWV114" s="181"/>
      <c r="AWW114" s="181"/>
      <c r="AWX114" s="181"/>
      <c r="AWY114" s="181"/>
      <c r="AWZ114" s="181"/>
      <c r="AXA114" s="181"/>
      <c r="AXB114" s="181"/>
      <c r="AXC114" s="181"/>
      <c r="AXD114" s="181"/>
      <c r="AXE114" s="181"/>
      <c r="AXF114" s="181"/>
      <c r="AXG114" s="181"/>
      <c r="AXH114" s="181"/>
      <c r="AXI114" s="181"/>
      <c r="AXJ114" s="181"/>
      <c r="AXK114" s="181"/>
      <c r="AXL114" s="181"/>
      <c r="AXM114" s="181"/>
      <c r="AXN114" s="181"/>
      <c r="AXO114" s="181"/>
      <c r="AXP114" s="181"/>
      <c r="AXQ114" s="181"/>
      <c r="AXR114" s="181"/>
      <c r="AXS114" s="181"/>
      <c r="AXT114" s="181"/>
      <c r="AXU114" s="181"/>
      <c r="AXV114" s="181"/>
      <c r="AXW114" s="181"/>
      <c r="AXX114" s="181"/>
      <c r="AXY114" s="181"/>
      <c r="AXZ114" s="181"/>
      <c r="AYA114" s="181"/>
      <c r="AYB114" s="181"/>
      <c r="AYC114" s="181"/>
      <c r="AYD114" s="181"/>
      <c r="AYE114" s="181"/>
      <c r="AYF114" s="181"/>
      <c r="BFE114" s="3398"/>
    </row>
    <row r="115" spans="34:68 1243:1521" ht="28.5" x14ac:dyDescent="0.2">
      <c r="AH115" s="207" t="s">
        <v>1222</v>
      </c>
      <c r="AI115" s="5609"/>
      <c r="AJ115" s="5600" t="s">
        <v>1210</v>
      </c>
      <c r="AK115" s="2688" t="s">
        <v>2602</v>
      </c>
      <c r="AL115" s="181"/>
      <c r="AM115" s="181"/>
      <c r="AN115" s="181"/>
      <c r="AO115" s="181"/>
      <c r="AU115" s="2632" t="str">
        <f>_Calcs!$QU$135</f>
        <v>Stuff 2-3</v>
      </c>
      <c r="AV115" s="2630">
        <f>IF(_Calcs!$BC$38=1,0,IF(_Calcs!$BC$38=2,7,0))</f>
        <v>7</v>
      </c>
      <c r="AW115" s="237">
        <f>IF(_Calcs!$BC$34&gt;6,1,0)</f>
        <v>0</v>
      </c>
      <c r="AX115" s="238">
        <f>IF($AI$31=2,INDEX(outputs_position[23],MATCH(_Calcs!$BC$35,outputs_position[lopstuff],0)),0)</f>
        <v>0</v>
      </c>
      <c r="AY115" s="1811" t="e">
        <f t="shared" si="337"/>
        <v>#VALUE!</v>
      </c>
      <c r="AZ115" s="1811" t="e">
        <f t="shared" si="337"/>
        <v>#VALUE!</v>
      </c>
      <c r="BA115" s="1811" t="e">
        <f t="shared" si="337"/>
        <v>#VALUE!</v>
      </c>
      <c r="BB115" s="1811" t="e">
        <f t="shared" si="337"/>
        <v>#VALUE!</v>
      </c>
      <c r="BC115" s="1811" t="e">
        <f t="shared" si="337"/>
        <v>#VALUE!</v>
      </c>
      <c r="BD115" s="1811" t="e">
        <f t="shared" si="337"/>
        <v>#VALUE!</v>
      </c>
      <c r="BE115" s="1811" t="e">
        <f t="shared" si="337"/>
        <v>#VALUE!</v>
      </c>
      <c r="BF115" s="1811" t="e">
        <f t="shared" si="337"/>
        <v>#VALUE!</v>
      </c>
      <c r="BG115" s="4143" t="e">
        <f t="shared" si="338"/>
        <v>#VALUE!</v>
      </c>
      <c r="BH115" s="4143" t="e">
        <f t="shared" si="339"/>
        <v>#VALUE!</v>
      </c>
      <c r="BI115" s="4143" t="e">
        <f t="shared" si="340"/>
        <v>#VALUE!</v>
      </c>
      <c r="BJ115" s="4143" t="e">
        <f t="shared" si="341"/>
        <v>#VALUE!</v>
      </c>
      <c r="BK115" s="4143" t="e">
        <f t="shared" si="342"/>
        <v>#VALUE!</v>
      </c>
      <c r="BL115" s="4143" t="e">
        <f t="shared" si="343"/>
        <v>#VALUE!</v>
      </c>
      <c r="BM115" s="4143" t="e">
        <f t="shared" si="344"/>
        <v>#VALUE!</v>
      </c>
      <c r="BN115" s="4143" t="e">
        <f t="shared" si="345"/>
        <v>#VALUE!</v>
      </c>
      <c r="BO115" s="1811"/>
      <c r="BP115" s="1811"/>
      <c r="AUU115" s="2617"/>
      <c r="AUV115" s="2617"/>
      <c r="AUW115" s="2617"/>
      <c r="AUX115" s="181"/>
      <c r="AUY115" s="181"/>
      <c r="AUZ115" s="181"/>
      <c r="AVA115" s="181"/>
      <c r="AVB115" s="181"/>
      <c r="AVC115" s="181"/>
      <c r="AVD115" s="181"/>
      <c r="AVE115" s="181"/>
      <c r="AVF115" s="181"/>
      <c r="AVG115" s="181"/>
      <c r="AVH115" s="181"/>
      <c r="AVI115" s="181"/>
      <c r="AVJ115" s="181"/>
      <c r="AVK115" s="181"/>
      <c r="AVL115" s="181"/>
      <c r="AVM115" s="181"/>
      <c r="AVN115" s="181"/>
      <c r="AVO115" s="181"/>
      <c r="AVP115" s="181"/>
      <c r="AVQ115" s="181"/>
      <c r="AVR115" s="181"/>
      <c r="AVS115" s="181"/>
      <c r="AVT115" s="181"/>
      <c r="AVU115" s="181"/>
      <c r="AVV115" s="181"/>
      <c r="AVW115" s="181"/>
      <c r="AVX115" s="181"/>
      <c r="AVY115" s="181"/>
      <c r="AVZ115" s="181"/>
      <c r="AWA115" s="181"/>
      <c r="AWB115" s="181"/>
      <c r="AWC115" s="181"/>
      <c r="AWD115" s="181"/>
      <c r="AWE115" s="181"/>
      <c r="AWF115" s="181"/>
      <c r="AWG115" s="181"/>
      <c r="AWH115" s="181"/>
      <c r="AWI115" s="181"/>
      <c r="AWJ115" s="181"/>
      <c r="AWK115" s="181"/>
      <c r="AWL115" s="181"/>
      <c r="AWM115" s="181"/>
      <c r="AWN115" s="181"/>
      <c r="AWO115" s="181"/>
      <c r="AWP115" s="181"/>
      <c r="AWQ115" s="181"/>
      <c r="AWR115" s="181"/>
      <c r="AWS115" s="181"/>
      <c r="AWT115" s="181"/>
      <c r="AWU115" s="181"/>
      <c r="AWV115" s="181"/>
      <c r="AWW115" s="181"/>
      <c r="AWX115" s="181"/>
      <c r="AWY115" s="181"/>
      <c r="AWZ115" s="181"/>
      <c r="AXA115" s="181"/>
      <c r="AXB115" s="181"/>
      <c r="AXC115" s="181"/>
      <c r="AXD115" s="181"/>
      <c r="AXE115" s="181"/>
      <c r="AXF115" s="181"/>
      <c r="AXG115" s="181"/>
      <c r="AXH115" s="181"/>
      <c r="AXI115" s="181"/>
      <c r="AXJ115" s="181"/>
      <c r="AXK115" s="181"/>
      <c r="AXL115" s="181"/>
      <c r="AXM115" s="181"/>
      <c r="AXN115" s="181"/>
      <c r="AXO115" s="181"/>
      <c r="AXP115" s="181"/>
      <c r="AXQ115" s="181"/>
      <c r="AXR115" s="181"/>
      <c r="AXS115" s="181"/>
      <c r="AXT115" s="181"/>
      <c r="AXU115" s="181"/>
      <c r="AXV115" s="181"/>
      <c r="AXW115" s="181"/>
      <c r="AXX115" s="181"/>
      <c r="AXY115" s="181"/>
      <c r="AXZ115" s="181"/>
      <c r="AYA115" s="181"/>
      <c r="AYB115" s="181"/>
      <c r="AYC115" s="181"/>
      <c r="AYD115" s="181"/>
      <c r="AYE115" s="181"/>
      <c r="AYF115" s="181"/>
      <c r="BFE115" s="3398"/>
    </row>
    <row r="116" spans="34:68 1243:1521" ht="28.5" x14ac:dyDescent="0.2">
      <c r="AH116" s="2625"/>
      <c r="AI116" s="5610"/>
      <c r="AJ116" s="5600" t="s">
        <v>1211</v>
      </c>
      <c r="AK116" s="2688" t="s">
        <v>2602</v>
      </c>
      <c r="AL116" s="181"/>
      <c r="AM116" s="181"/>
      <c r="AN116" s="181"/>
      <c r="AO116" s="181"/>
      <c r="AU116" s="2632" t="str">
        <f>_Calcs!$QV$135</f>
        <v>Stuff 2-4</v>
      </c>
      <c r="AV116" s="2630">
        <f>IF(_Calcs!$BC$38=1,0,IF(_Calcs!$BC$38=2,8,0))</f>
        <v>8</v>
      </c>
      <c r="AW116" s="237">
        <f>IF(_Calcs!$BC$34&gt;7,1,0)</f>
        <v>0</v>
      </c>
      <c r="AX116" s="238">
        <f>IF($AI$31=2,INDEX(outputs_position[24],MATCH(_Calcs!$BC$35,outputs_position[lopstuff],0)),0)</f>
        <v>0</v>
      </c>
      <c r="AY116" s="1811" t="e">
        <f t="shared" si="337"/>
        <v>#VALUE!</v>
      </c>
      <c r="AZ116" s="1811" t="e">
        <f t="shared" si="337"/>
        <v>#VALUE!</v>
      </c>
      <c r="BA116" s="1811" t="e">
        <f t="shared" si="337"/>
        <v>#VALUE!</v>
      </c>
      <c r="BB116" s="1811" t="e">
        <f t="shared" si="337"/>
        <v>#VALUE!</v>
      </c>
      <c r="BC116" s="1811" t="e">
        <f t="shared" si="337"/>
        <v>#VALUE!</v>
      </c>
      <c r="BD116" s="1811" t="e">
        <f t="shared" si="337"/>
        <v>#VALUE!</v>
      </c>
      <c r="BE116" s="1811" t="e">
        <f t="shared" si="337"/>
        <v>#VALUE!</v>
      </c>
      <c r="BF116" s="1811" t="e">
        <f t="shared" si="337"/>
        <v>#VALUE!</v>
      </c>
      <c r="BG116" s="4143" t="e">
        <f t="shared" si="338"/>
        <v>#VALUE!</v>
      </c>
      <c r="BH116" s="4143" t="e">
        <f t="shared" si="339"/>
        <v>#VALUE!</v>
      </c>
      <c r="BI116" s="4143" t="e">
        <f t="shared" si="340"/>
        <v>#VALUE!</v>
      </c>
      <c r="BJ116" s="4143" t="e">
        <f t="shared" si="341"/>
        <v>#VALUE!</v>
      </c>
      <c r="BK116" s="4143" t="e">
        <f t="shared" si="342"/>
        <v>#VALUE!</v>
      </c>
      <c r="BL116" s="4143" t="e">
        <f t="shared" si="343"/>
        <v>#VALUE!</v>
      </c>
      <c r="BM116" s="4143" t="e">
        <f t="shared" si="344"/>
        <v>#VALUE!</v>
      </c>
      <c r="BN116" s="4143" t="e">
        <f t="shared" si="345"/>
        <v>#VALUE!</v>
      </c>
      <c r="BO116" s="1811"/>
      <c r="BP116" s="1811"/>
      <c r="AUU116" s="2617"/>
      <c r="AUV116" s="2617"/>
      <c r="AUW116" s="2617"/>
      <c r="AUX116" s="181"/>
      <c r="AUY116" s="181"/>
      <c r="AUZ116" s="181"/>
      <c r="AVA116" s="181"/>
      <c r="AVB116" s="181"/>
      <c r="AVC116" s="181"/>
      <c r="AVD116" s="181"/>
      <c r="AVE116" s="181"/>
      <c r="AVF116" s="181"/>
      <c r="AVG116" s="181"/>
      <c r="AVH116" s="181"/>
      <c r="AVI116" s="181"/>
      <c r="AVJ116" s="181"/>
      <c r="AVK116" s="181"/>
      <c r="AVL116" s="181"/>
      <c r="AVM116" s="181"/>
      <c r="AVN116" s="181"/>
      <c r="AVO116" s="181"/>
      <c r="AVP116" s="181"/>
      <c r="AVQ116" s="181"/>
      <c r="AVR116" s="181"/>
      <c r="AVS116" s="181"/>
      <c r="AVT116" s="181"/>
      <c r="AVU116" s="181"/>
      <c r="AVV116" s="181"/>
      <c r="AVW116" s="181"/>
      <c r="AVX116" s="181"/>
      <c r="AVY116" s="181"/>
      <c r="AVZ116" s="181"/>
      <c r="AWA116" s="181"/>
      <c r="AWB116" s="181"/>
      <c r="AWC116" s="181"/>
      <c r="AWD116" s="181"/>
      <c r="AWE116" s="181"/>
      <c r="AWF116" s="181"/>
      <c r="AWG116" s="181"/>
      <c r="AWH116" s="181"/>
      <c r="AWI116" s="181"/>
      <c r="AWJ116" s="181"/>
      <c r="AWK116" s="181"/>
      <c r="AWL116" s="181"/>
      <c r="AWM116" s="181"/>
      <c r="AWN116" s="181"/>
      <c r="AWO116" s="181"/>
      <c r="AWP116" s="181"/>
      <c r="AWQ116" s="181"/>
      <c r="AWR116" s="181"/>
      <c r="AWS116" s="181"/>
      <c r="AWT116" s="181"/>
      <c r="AWU116" s="181"/>
      <c r="AWV116" s="181"/>
      <c r="AWW116" s="181"/>
      <c r="AWX116" s="181"/>
      <c r="AWY116" s="181"/>
      <c r="AWZ116" s="181"/>
      <c r="AXA116" s="181"/>
      <c r="AXB116" s="181"/>
      <c r="AXC116" s="181"/>
      <c r="AXD116" s="181"/>
      <c r="AXE116" s="181"/>
      <c r="AXF116" s="181"/>
      <c r="AXG116" s="181"/>
      <c r="AXH116" s="181"/>
      <c r="AXI116" s="181"/>
      <c r="AXJ116" s="181"/>
      <c r="AXK116" s="181"/>
      <c r="AXL116" s="181"/>
      <c r="AXM116" s="181"/>
      <c r="AXN116" s="181"/>
      <c r="AXO116" s="181"/>
      <c r="AXP116" s="181"/>
      <c r="AXQ116" s="181"/>
      <c r="AXR116" s="181"/>
      <c r="AXS116" s="181"/>
      <c r="AXT116" s="181"/>
      <c r="AXU116" s="181"/>
      <c r="AXV116" s="181"/>
      <c r="AXW116" s="181"/>
      <c r="AXX116" s="181"/>
      <c r="AXY116" s="181"/>
      <c r="AXZ116" s="181"/>
      <c r="AYA116" s="181"/>
      <c r="AYB116" s="181"/>
      <c r="AYC116" s="181"/>
      <c r="AYD116" s="181"/>
      <c r="AYE116" s="181"/>
      <c r="AYF116" s="181"/>
      <c r="BFE116" s="3398"/>
    </row>
    <row r="117" spans="34:68 1243:1521" ht="30.75" x14ac:dyDescent="0.2">
      <c r="AL117" s="181"/>
      <c r="AM117" s="181"/>
      <c r="AN117" s="181"/>
      <c r="AO117" s="181"/>
      <c r="AU117" s="2634" t="str">
        <f>_Calcs!$QW$135</f>
        <v>Tverrslag</v>
      </c>
      <c r="AV117" s="2635"/>
      <c r="AW117" s="2635">
        <f>_Calcs!$BC$36</f>
        <v>0</v>
      </c>
      <c r="AX117" s="2636">
        <f>IF($AI$31=2,INDEX(outputs_position[Tverrslag],MATCH(_Calcs!$BC$35,outputs_position[lopstuff],0)),IF(_Calcs!$BC$36=1,$AX$107+1,0))</f>
        <v>0</v>
      </c>
      <c r="AY117" s="1811" t="e">
        <f t="shared" ref="AY117:BF117" si="346">AY94*$AI$64</f>
        <v>#VALUE!</v>
      </c>
      <c r="AZ117" s="1811" t="e">
        <f t="shared" si="346"/>
        <v>#VALUE!</v>
      </c>
      <c r="BA117" s="1811" t="e">
        <f t="shared" si="346"/>
        <v>#VALUE!</v>
      </c>
      <c r="BB117" s="1811" t="e">
        <f t="shared" si="346"/>
        <v>#VALUE!</v>
      </c>
      <c r="BC117" s="1811" t="e">
        <f t="shared" si="346"/>
        <v>#VALUE!</v>
      </c>
      <c r="BD117" s="1811" t="e">
        <f t="shared" si="346"/>
        <v>#VALUE!</v>
      </c>
      <c r="BE117" s="1811" t="e">
        <f t="shared" si="346"/>
        <v>#VALUE!</v>
      </c>
      <c r="BF117" s="1811" t="e">
        <f t="shared" si="346"/>
        <v>#VALUE!</v>
      </c>
      <c r="BG117" s="4143" t="e">
        <f>AY94/$ABH$70</f>
        <v>#VALUE!</v>
      </c>
      <c r="BH117" s="4143" t="e">
        <f>AZ94/$ABH$71</f>
        <v>#VALUE!</v>
      </c>
      <c r="BI117" s="4143" t="e">
        <f>BA94/$ABH$72</f>
        <v>#VALUE!</v>
      </c>
      <c r="BJ117" s="4143" t="e">
        <f>BB94/$ABH$73</f>
        <v>#VALUE!</v>
      </c>
      <c r="BK117" s="4143" t="e">
        <f>BC94/$ABH$74</f>
        <v>#VALUE!</v>
      </c>
      <c r="BL117" s="4143" t="e">
        <f>BD94/$ABH$75</f>
        <v>#VALUE!</v>
      </c>
      <c r="BM117" s="4143" t="e">
        <f>BE94/$ABH$76</f>
        <v>#VALUE!</v>
      </c>
      <c r="BN117" s="4143" t="e">
        <f>BF94/$ABH$77</f>
        <v>#VALUE!</v>
      </c>
      <c r="BO117" s="1814"/>
      <c r="BP117" s="1814"/>
      <c r="AUU117" s="2617"/>
      <c r="AUV117" s="2627" t="s">
        <v>1419</v>
      </c>
      <c r="AUW117" s="2627"/>
      <c r="AUX117" s="181"/>
      <c r="AUY117" s="181"/>
      <c r="AUZ117" s="181"/>
      <c r="AVA117" s="181"/>
      <c r="AVB117" s="181"/>
      <c r="AVC117" s="181"/>
      <c r="AVD117" s="181"/>
      <c r="AVE117" s="181"/>
      <c r="AVF117" s="181"/>
      <c r="AVG117" s="181"/>
      <c r="AVH117" s="181"/>
      <c r="AVI117" s="181"/>
      <c r="AVJ117" s="181"/>
      <c r="AVK117" s="181"/>
      <c r="AVL117" s="181"/>
      <c r="AVM117" s="181"/>
      <c r="AVN117" s="181"/>
      <c r="AVO117" s="181"/>
      <c r="AVP117" s="181"/>
      <c r="AVQ117" s="181"/>
      <c r="AVR117" s="181"/>
      <c r="AVS117" s="181"/>
      <c r="AVT117" s="181"/>
      <c r="AVU117" s="181"/>
      <c r="AVV117" s="181"/>
      <c r="AVW117" s="181"/>
      <c r="AVX117" s="181"/>
      <c r="AVY117" s="181"/>
      <c r="AVZ117" s="181"/>
      <c r="AWA117" s="181"/>
      <c r="AWB117" s="181"/>
      <c r="AWC117" s="181"/>
      <c r="AWD117" s="181"/>
      <c r="AWE117" s="181"/>
      <c r="AWF117" s="181"/>
      <c r="AWG117" s="181"/>
      <c r="AWH117" s="181"/>
      <c r="AWI117" s="181"/>
      <c r="AWJ117" s="181"/>
      <c r="AWK117" s="181"/>
      <c r="AWL117" s="181"/>
      <c r="AWM117" s="181"/>
      <c r="AWN117" s="181"/>
      <c r="AWO117" s="181"/>
      <c r="AWP117" s="181"/>
      <c r="AWQ117" s="181"/>
      <c r="AWR117" s="181"/>
      <c r="AWS117" s="181"/>
      <c r="AWT117" s="181"/>
      <c r="AWU117" s="181"/>
      <c r="AWV117" s="181"/>
      <c r="AWW117" s="181"/>
      <c r="AWX117" s="181"/>
      <c r="AWY117" s="181"/>
      <c r="AWZ117" s="181"/>
      <c r="AXA117" s="181"/>
      <c r="AXB117" s="181"/>
      <c r="AXC117" s="181"/>
      <c r="AXD117" s="181"/>
      <c r="AXE117" s="181"/>
      <c r="AXF117" s="181"/>
      <c r="AXG117" s="181"/>
      <c r="AXH117" s="181"/>
      <c r="AXI117" s="181"/>
      <c r="AXJ117" s="181"/>
      <c r="AXK117" s="181"/>
      <c r="AXL117" s="181"/>
      <c r="AXM117" s="181"/>
      <c r="AXN117" s="181"/>
      <c r="AXO117" s="181"/>
      <c r="AXP117" s="181"/>
      <c r="AXQ117" s="181"/>
      <c r="AXR117" s="181"/>
      <c r="AXS117" s="181"/>
      <c r="AXT117" s="181"/>
      <c r="AXU117" s="181"/>
      <c r="AXV117" s="181"/>
      <c r="AXW117" s="181"/>
      <c r="AXX117" s="181"/>
      <c r="AXY117" s="181"/>
      <c r="AXZ117" s="181"/>
      <c r="AYA117" s="181"/>
      <c r="AYB117" s="181"/>
      <c r="AYC117" s="181"/>
      <c r="AYD117" s="181"/>
      <c r="AYE117" s="181"/>
      <c r="AYF117" s="181"/>
      <c r="BFE117" s="3398"/>
    </row>
    <row r="118" spans="34:68 1243:1521" x14ac:dyDescent="0.2">
      <c r="AL118" s="181"/>
      <c r="AM118" s="181"/>
      <c r="AN118" s="181"/>
      <c r="AO118" s="181"/>
      <c r="AV118" s="2622"/>
      <c r="AW118" s="2622"/>
      <c r="AX118" s="2622"/>
      <c r="AUU118" s="2617"/>
      <c r="AUV118" s="2623"/>
      <c r="AUW118" s="2623"/>
      <c r="AUX118" s="181"/>
      <c r="AUY118" s="181"/>
      <c r="AUZ118" s="181"/>
      <c r="AVA118" s="181"/>
      <c r="AVB118" s="181"/>
      <c r="AVC118" s="181"/>
      <c r="AVD118" s="181"/>
      <c r="AVE118" s="181"/>
      <c r="AVF118" s="181"/>
      <c r="AVG118" s="181"/>
      <c r="AVH118" s="181"/>
      <c r="AVI118" s="181"/>
      <c r="AVJ118" s="181"/>
      <c r="AVK118" s="181"/>
      <c r="AVL118" s="181"/>
      <c r="AVM118" s="181"/>
      <c r="AVN118" s="181"/>
      <c r="AVO118" s="181"/>
      <c r="AVP118" s="181"/>
      <c r="AVQ118" s="181"/>
      <c r="AVR118" s="181"/>
      <c r="AVS118" s="181"/>
      <c r="AVT118" s="181"/>
      <c r="AVU118" s="181"/>
      <c r="AVV118" s="181"/>
      <c r="AVW118" s="181"/>
      <c r="AVX118" s="181"/>
      <c r="AVY118" s="181"/>
      <c r="AVZ118" s="181"/>
      <c r="AWA118" s="181"/>
      <c r="AWB118" s="181"/>
      <c r="AWC118" s="181"/>
      <c r="AWD118" s="181"/>
      <c r="AWE118" s="181"/>
      <c r="AWF118" s="181"/>
      <c r="AWG118" s="181"/>
      <c r="AWH118" s="181"/>
      <c r="AWI118" s="181"/>
      <c r="AWJ118" s="181"/>
      <c r="AWK118" s="181"/>
      <c r="AWL118" s="181"/>
      <c r="AWM118" s="181"/>
      <c r="AWN118" s="181"/>
      <c r="AWO118" s="181"/>
      <c r="AWP118" s="181"/>
      <c r="AWQ118" s="181"/>
      <c r="AWR118" s="181"/>
      <c r="AWS118" s="181"/>
      <c r="AWT118" s="181"/>
      <c r="AWU118" s="181"/>
      <c r="AWV118" s="181"/>
      <c r="AWW118" s="181"/>
      <c r="AWX118" s="181"/>
      <c r="AWY118" s="181"/>
      <c r="AWZ118" s="181"/>
      <c r="AXA118" s="181"/>
      <c r="AXB118" s="181"/>
      <c r="AXC118" s="181"/>
      <c r="AXD118" s="181"/>
      <c r="AXE118" s="181"/>
      <c r="AXF118" s="181"/>
      <c r="AXG118" s="181"/>
      <c r="AXH118" s="181"/>
      <c r="AXI118" s="181"/>
      <c r="AXJ118" s="181"/>
      <c r="AXK118" s="181"/>
      <c r="AXL118" s="181"/>
      <c r="AXM118" s="181"/>
      <c r="AXN118" s="181"/>
      <c r="AXO118" s="181"/>
      <c r="AXP118" s="181"/>
      <c r="AXQ118" s="181"/>
      <c r="AXR118" s="181"/>
      <c r="AXS118" s="181"/>
      <c r="AXT118" s="181"/>
      <c r="AXU118" s="181"/>
      <c r="AXV118" s="181"/>
      <c r="AXW118" s="181"/>
      <c r="AXX118" s="181"/>
      <c r="AXY118" s="181"/>
      <c r="AXZ118" s="181"/>
      <c r="AYA118" s="181"/>
      <c r="AYB118" s="181"/>
      <c r="AYC118" s="181"/>
      <c r="AYD118" s="181"/>
      <c r="AYE118" s="181"/>
      <c r="AYF118" s="181"/>
      <c r="BFE118" s="3398"/>
    </row>
    <row r="119" spans="34:68 1243:1521" x14ac:dyDescent="0.2">
      <c r="AH119" s="5600" t="s">
        <v>1554</v>
      </c>
      <c r="AI119" s="5609" t="s">
        <v>2098</v>
      </c>
      <c r="AJ119" s="5600" t="s">
        <v>1554</v>
      </c>
      <c r="AL119" s="181"/>
      <c r="AM119" s="181"/>
      <c r="AN119" s="181"/>
      <c r="AO119" s="181"/>
      <c r="AV119" s="2622"/>
      <c r="AW119" s="2622"/>
      <c r="AX119" s="2622"/>
      <c r="AUU119" s="2617"/>
      <c r="AUV119" s="3397"/>
      <c r="AUW119" s="3397"/>
      <c r="AUX119" s="181"/>
      <c r="AUY119" s="181"/>
      <c r="AUZ119" s="181"/>
      <c r="AVA119" s="181"/>
      <c r="AVB119" s="181"/>
      <c r="AVC119" s="181"/>
      <c r="AVD119" s="181"/>
      <c r="AVE119" s="181"/>
      <c r="AVF119" s="181"/>
      <c r="AVG119" s="181"/>
      <c r="AVH119" s="181"/>
      <c r="AVI119" s="181"/>
      <c r="AVJ119" s="181"/>
      <c r="AVK119" s="181"/>
      <c r="AVL119" s="181"/>
      <c r="AVM119" s="181"/>
      <c r="AVN119" s="181"/>
      <c r="AVO119" s="181"/>
      <c r="AVP119" s="181"/>
      <c r="AVQ119" s="181"/>
      <c r="AVR119" s="181"/>
      <c r="AVS119" s="181"/>
      <c r="AVT119" s="181"/>
      <c r="AVU119" s="181"/>
      <c r="AVV119" s="181"/>
      <c r="AVW119" s="181"/>
      <c r="AVX119" s="181"/>
      <c r="AVY119" s="181"/>
      <c r="AVZ119" s="181"/>
      <c r="AWA119" s="181"/>
      <c r="AWB119" s="181"/>
      <c r="AWC119" s="181"/>
      <c r="AWD119" s="181"/>
      <c r="AWE119" s="181"/>
      <c r="AWF119" s="181"/>
      <c r="AWG119" s="181"/>
      <c r="AWH119" s="181"/>
      <c r="AWI119" s="181"/>
      <c r="AWJ119" s="181"/>
      <c r="AWK119" s="181"/>
      <c r="AWL119" s="181"/>
      <c r="AWM119" s="181"/>
      <c r="AWN119" s="181"/>
      <c r="AWO119" s="181"/>
      <c r="AWP119" s="181"/>
      <c r="AWQ119" s="181"/>
      <c r="AWR119" s="181"/>
      <c r="AWS119" s="181"/>
      <c r="AWT119" s="181"/>
      <c r="AWU119" s="181"/>
      <c r="AWV119" s="181"/>
      <c r="AWW119" s="181"/>
      <c r="AWX119" s="181"/>
      <c r="AWY119" s="181"/>
      <c r="AWZ119" s="181"/>
      <c r="AXA119" s="181"/>
      <c r="AXB119" s="181"/>
      <c r="AXC119" s="181"/>
      <c r="AXD119" s="181"/>
      <c r="AXE119" s="181"/>
      <c r="AXF119" s="181"/>
      <c r="AXG119" s="181"/>
      <c r="AXH119" s="181"/>
      <c r="AXI119" s="181"/>
      <c r="AXJ119" s="181"/>
      <c r="AXK119" s="181"/>
      <c r="AXL119" s="181"/>
      <c r="AXM119" s="181"/>
      <c r="AXN119" s="181"/>
      <c r="AXO119" s="181"/>
      <c r="AXP119" s="181"/>
      <c r="AXQ119" s="181"/>
      <c r="AXR119" s="181"/>
      <c r="AXS119" s="181"/>
      <c r="AXT119" s="181"/>
      <c r="AXU119" s="181"/>
      <c r="AXV119" s="181"/>
      <c r="AXW119" s="181"/>
      <c r="AXX119" s="181"/>
      <c r="AXY119" s="181"/>
      <c r="AXZ119" s="181"/>
      <c r="AYA119" s="181"/>
      <c r="AYB119" s="181"/>
      <c r="AYC119" s="181"/>
      <c r="AYD119" s="181"/>
      <c r="AYE119" s="181"/>
      <c r="AYF119" s="181"/>
      <c r="BFE119" s="3398"/>
    </row>
    <row r="120" spans="34:68 1243:1521" x14ac:dyDescent="0.2">
      <c r="AH120" s="5606"/>
      <c r="AI120" s="5611"/>
      <c r="AJ120" s="5600" t="s">
        <v>2554</v>
      </c>
      <c r="AL120" s="181"/>
      <c r="AM120" s="181"/>
      <c r="AN120" s="181"/>
      <c r="AO120" s="181"/>
      <c r="AV120" s="2622"/>
      <c r="AW120" s="2622"/>
      <c r="AX120" s="2622"/>
      <c r="AUU120" s="2617"/>
      <c r="AUV120" s="2625"/>
      <c r="AUW120" s="2625"/>
      <c r="AUX120" s="181"/>
      <c r="AUY120" s="181"/>
      <c r="AUZ120" s="181"/>
      <c r="AVA120" s="181"/>
      <c r="AVB120" s="181"/>
      <c r="AVC120" s="181"/>
      <c r="AVD120" s="181"/>
      <c r="AVE120" s="181"/>
      <c r="AVF120" s="181"/>
      <c r="AVG120" s="181"/>
      <c r="AVH120" s="181"/>
      <c r="AVI120" s="181"/>
      <c r="AVJ120" s="181"/>
      <c r="AVK120" s="181"/>
      <c r="AVL120" s="181"/>
      <c r="AVM120" s="181"/>
      <c r="AVN120" s="181"/>
      <c r="AVO120" s="181"/>
      <c r="AVP120" s="181"/>
      <c r="AVQ120" s="181"/>
      <c r="AVR120" s="181"/>
      <c r="AVS120" s="181"/>
      <c r="AVT120" s="181"/>
      <c r="AVU120" s="181"/>
      <c r="AVV120" s="181"/>
      <c r="AVW120" s="181"/>
      <c r="AVX120" s="181"/>
      <c r="AVY120" s="181"/>
      <c r="AVZ120" s="181"/>
      <c r="AWA120" s="181"/>
      <c r="AWB120" s="181"/>
      <c r="AWC120" s="181"/>
      <c r="AWD120" s="181"/>
      <c r="AWE120" s="181"/>
      <c r="AWF120" s="181"/>
      <c r="AWG120" s="181"/>
      <c r="AWH120" s="181"/>
      <c r="AWI120" s="181"/>
      <c r="AWJ120" s="181"/>
      <c r="AWK120" s="181"/>
      <c r="AWL120" s="181"/>
      <c r="AWM120" s="181"/>
      <c r="AWN120" s="181"/>
      <c r="AWO120" s="181"/>
      <c r="AWP120" s="181"/>
      <c r="AWQ120" s="181"/>
      <c r="AWR120" s="181"/>
      <c r="AWS120" s="181"/>
      <c r="AWT120" s="181"/>
      <c r="AWU120" s="181"/>
      <c r="AWV120" s="181"/>
      <c r="AWW120" s="181"/>
      <c r="AWX120" s="181"/>
      <c r="AWY120" s="181"/>
      <c r="AWZ120" s="181"/>
      <c r="AXA120" s="181"/>
      <c r="AXB120" s="181"/>
      <c r="AXC120" s="181"/>
      <c r="AXD120" s="181"/>
      <c r="AXE120" s="181"/>
      <c r="AXF120" s="181"/>
      <c r="AXG120" s="181"/>
      <c r="AXH120" s="181"/>
      <c r="AXI120" s="181"/>
      <c r="AXJ120" s="181"/>
      <c r="AXK120" s="181"/>
      <c r="AXL120" s="181"/>
      <c r="AXM120" s="181"/>
      <c r="AXN120" s="181"/>
      <c r="AXO120" s="181"/>
      <c r="AXP120" s="181"/>
      <c r="AXQ120" s="181"/>
      <c r="AXR120" s="181"/>
      <c r="AXS120" s="181"/>
      <c r="AXT120" s="181"/>
      <c r="AXU120" s="181"/>
      <c r="AXV120" s="181"/>
      <c r="AXW120" s="181"/>
      <c r="AXX120" s="181"/>
      <c r="AXY120" s="181"/>
      <c r="AXZ120" s="181"/>
      <c r="AYA120" s="181"/>
      <c r="AYB120" s="181"/>
      <c r="AYC120" s="181"/>
      <c r="AYD120" s="181"/>
      <c r="AYE120" s="181"/>
      <c r="AYF120" s="181"/>
      <c r="BFE120" s="3398"/>
    </row>
    <row r="121" spans="34:68 1243:1521" x14ac:dyDescent="0.2">
      <c r="AH121" s="5606"/>
      <c r="AI121" s="5611"/>
      <c r="AJ121" s="5600" t="s">
        <v>2555</v>
      </c>
      <c r="AL121" s="181"/>
      <c r="AM121" s="181"/>
      <c r="AN121" s="181"/>
      <c r="AO121" s="181"/>
      <c r="AV121" s="2622"/>
      <c r="AW121" s="2622"/>
      <c r="AX121" s="2622"/>
      <c r="AUU121" s="2617"/>
      <c r="AUV121" s="3556" t="s">
        <v>1359</v>
      </c>
      <c r="AUW121" s="3556" t="s">
        <v>1650</v>
      </c>
      <c r="AUX121" s="3556" t="s">
        <v>1651</v>
      </c>
      <c r="AUY121" s="3556" t="s">
        <v>1652</v>
      </c>
      <c r="AUZ121" s="3556" t="s">
        <v>1653</v>
      </c>
      <c r="AVA121" s="3556" t="s">
        <v>1654</v>
      </c>
      <c r="AVB121" s="3556" t="s">
        <v>1657</v>
      </c>
      <c r="AVC121" s="3556" t="s">
        <v>1655</v>
      </c>
      <c r="AVD121" s="3556" t="s">
        <v>1656</v>
      </c>
      <c r="AVE121" s="3560" t="s">
        <v>1421</v>
      </c>
      <c r="AVF121" s="3567" t="s">
        <v>1422</v>
      </c>
      <c r="AVG121" s="3567" t="s">
        <v>1423</v>
      </c>
      <c r="AVH121" s="314" t="s">
        <v>1424</v>
      </c>
      <c r="AVI121" s="314" t="s">
        <v>1425</v>
      </c>
      <c r="AVJ121" s="314" t="s">
        <v>1426</v>
      </c>
      <c r="AVK121" s="314" t="s">
        <v>1427</v>
      </c>
      <c r="AVL121" s="1766" t="s">
        <v>1428</v>
      </c>
      <c r="AVM121" s="314" t="s">
        <v>1429</v>
      </c>
      <c r="AVN121" s="314" t="s">
        <v>1430</v>
      </c>
      <c r="AVO121" s="314" t="s">
        <v>1431</v>
      </c>
      <c r="AVP121" s="314" t="s">
        <v>1432</v>
      </c>
      <c r="AVQ121" s="314" t="s">
        <v>1433</v>
      </c>
      <c r="AVR121" s="314" t="s">
        <v>1434</v>
      </c>
      <c r="AVS121" s="314" t="s">
        <v>1435</v>
      </c>
      <c r="AVT121" s="314" t="s">
        <v>1436</v>
      </c>
      <c r="AVU121" s="247" t="s">
        <v>1444</v>
      </c>
      <c r="AVV121" s="314" t="s">
        <v>1437</v>
      </c>
      <c r="AVW121" s="314" t="s">
        <v>1438</v>
      </c>
      <c r="AVX121" s="314" t="s">
        <v>1439</v>
      </c>
      <c r="AVY121" s="314" t="s">
        <v>1440</v>
      </c>
      <c r="AVZ121" s="314" t="s">
        <v>1441</v>
      </c>
      <c r="AWA121" s="314" t="s">
        <v>1442</v>
      </c>
      <c r="AWB121" s="314" t="s">
        <v>1443</v>
      </c>
      <c r="AWC121" s="314" t="s">
        <v>1445</v>
      </c>
      <c r="AWD121" s="314" t="s">
        <v>1446</v>
      </c>
      <c r="AWE121" s="314" t="s">
        <v>1447</v>
      </c>
      <c r="AWF121" s="314" t="s">
        <v>1448</v>
      </c>
      <c r="AWG121" s="314" t="s">
        <v>1449</v>
      </c>
      <c r="AWH121" s="314" t="s">
        <v>1450</v>
      </c>
      <c r="AWI121" s="314" t="s">
        <v>1451</v>
      </c>
      <c r="AWJ121" s="314" t="s">
        <v>1452</v>
      </c>
      <c r="AWK121" s="314" t="s">
        <v>1453</v>
      </c>
      <c r="AWL121" s="314" t="s">
        <v>1454</v>
      </c>
      <c r="AWM121" s="314" t="s">
        <v>1455</v>
      </c>
      <c r="AWN121" s="314" t="s">
        <v>1456</v>
      </c>
      <c r="AWO121" s="314" t="s">
        <v>1457</v>
      </c>
      <c r="AWP121" s="314" t="s">
        <v>1458</v>
      </c>
      <c r="AWQ121" s="314" t="s">
        <v>1459</v>
      </c>
      <c r="AWR121" s="314" t="s">
        <v>1460</v>
      </c>
      <c r="AWS121" s="247" t="s">
        <v>1461</v>
      </c>
      <c r="AWT121" s="314" t="s">
        <v>1462</v>
      </c>
      <c r="AWU121" s="314" t="s">
        <v>1463</v>
      </c>
      <c r="AWV121" s="314" t="s">
        <v>1464</v>
      </c>
      <c r="AWW121" s="314" t="s">
        <v>1465</v>
      </c>
      <c r="AWX121" s="314" t="s">
        <v>1466</v>
      </c>
      <c r="AWY121" s="314" t="s">
        <v>1467</v>
      </c>
      <c r="AWZ121" s="314" t="s">
        <v>1468</v>
      </c>
      <c r="AXA121" s="314" t="s">
        <v>1469</v>
      </c>
      <c r="AXB121" s="314" t="s">
        <v>1470</v>
      </c>
      <c r="AXC121" s="314" t="s">
        <v>1471</v>
      </c>
      <c r="AXD121" s="314" t="s">
        <v>1472</v>
      </c>
      <c r="AXE121" s="314" t="s">
        <v>1473</v>
      </c>
      <c r="AXF121" s="314" t="s">
        <v>1474</v>
      </c>
      <c r="AXG121" s="314" t="s">
        <v>1475</v>
      </c>
      <c r="AXH121" s="314" t="s">
        <v>1476</v>
      </c>
      <c r="AXI121" s="181"/>
      <c r="AXJ121" s="181"/>
      <c r="AXK121" s="181"/>
      <c r="AXL121" s="181"/>
      <c r="AXM121" s="181"/>
      <c r="AXN121" s="181"/>
      <c r="AXO121" s="181"/>
      <c r="AXP121" s="181"/>
      <c r="AXQ121" s="181"/>
      <c r="AXR121" s="181"/>
      <c r="AXS121" s="181"/>
      <c r="AXT121" s="181"/>
      <c r="AXU121" s="181"/>
      <c r="AXV121" s="181"/>
      <c r="AXW121" s="181"/>
      <c r="AXX121" s="181"/>
      <c r="AXY121" s="181"/>
      <c r="AXZ121" s="181"/>
      <c r="AYA121" s="181"/>
      <c r="AYB121" s="181"/>
      <c r="AYC121" s="181"/>
      <c r="AYD121" s="181"/>
      <c r="AYE121" s="181"/>
      <c r="AYF121" s="181"/>
      <c r="AYG121" s="181"/>
      <c r="BBV121" s="181"/>
      <c r="BBW121" s="181"/>
      <c r="BBX121" s="181"/>
      <c r="BBY121" s="181"/>
      <c r="BBZ121" s="181"/>
      <c r="BCA121" s="181"/>
      <c r="BCB121" s="181"/>
      <c r="BCJ121" s="2617"/>
      <c r="BCK121" s="2617"/>
      <c r="BCL121" s="2617"/>
      <c r="BCM121" s="2617"/>
      <c r="BCN121" s="2617"/>
      <c r="BCO121" s="2617"/>
      <c r="BCP121" s="2617"/>
      <c r="BCQ121" s="2617"/>
      <c r="BDJ121" s="2622"/>
      <c r="BDK121" s="2622"/>
      <c r="BDR121" s="2617"/>
      <c r="BDS121" s="2617"/>
      <c r="BDX121" s="2622"/>
      <c r="BDY121" s="2622"/>
      <c r="BEI121" s="2622"/>
      <c r="BEJ121" s="2622"/>
      <c r="BEK121" s="2622"/>
      <c r="BEL121" s="2622"/>
      <c r="BEM121" s="2622"/>
      <c r="BEP121" s="2622"/>
      <c r="BFM121" s="3398"/>
    </row>
    <row r="122" spans="34:68 1243:1521" x14ac:dyDescent="0.2">
      <c r="AL122" s="181"/>
      <c r="AM122" s="181"/>
      <c r="AN122" s="181"/>
      <c r="AO122" s="181"/>
      <c r="AV122" s="2622"/>
      <c r="AW122" s="2622"/>
      <c r="AX122" s="2622"/>
      <c r="AUU122" s="2617"/>
      <c r="AUV122" s="2629" t="s">
        <v>1267</v>
      </c>
      <c r="AUW122" s="4138" t="s">
        <v>18</v>
      </c>
      <c r="AUX122" s="4138" t="s">
        <v>18</v>
      </c>
      <c r="AUY122" s="4138" t="s">
        <v>18</v>
      </c>
      <c r="AUZ122" s="4138" t="s">
        <v>18</v>
      </c>
      <c r="AVA122" s="4138" t="s">
        <v>18</v>
      </c>
      <c r="AVB122" s="4138">
        <v>1</v>
      </c>
      <c r="AVC122" s="4138">
        <v>1</v>
      </c>
      <c r="AVD122" s="4138">
        <v>1</v>
      </c>
      <c r="AVE122" s="3561" t="s">
        <v>18</v>
      </c>
      <c r="AVF122" s="1767" t="s">
        <v>18</v>
      </c>
      <c r="AVG122" s="1767" t="s">
        <v>18</v>
      </c>
      <c r="AVH122" s="1811" t="s">
        <v>18</v>
      </c>
      <c r="AVI122" s="1811" t="s">
        <v>18</v>
      </c>
      <c r="AVJ122" s="1759" t="s">
        <v>1191</v>
      </c>
      <c r="AVK122" s="1759" t="s">
        <v>1420</v>
      </c>
      <c r="AVL122" s="3568" t="s">
        <v>1420</v>
      </c>
      <c r="AVM122" s="3561" t="s">
        <v>18</v>
      </c>
      <c r="AVN122" s="1811" t="s">
        <v>18</v>
      </c>
      <c r="AVO122" s="1811" t="s">
        <v>18</v>
      </c>
      <c r="AVP122" s="1811" t="s">
        <v>18</v>
      </c>
      <c r="AVQ122" s="1811" t="s">
        <v>18</v>
      </c>
      <c r="AVR122" s="1759">
        <v>0.6</v>
      </c>
      <c r="AVS122" s="1759">
        <v>0.3</v>
      </c>
      <c r="AVT122" s="1759">
        <v>0.3</v>
      </c>
      <c r="AVU122" s="3570" t="s">
        <v>18</v>
      </c>
      <c r="AVV122" s="1813" t="s">
        <v>18</v>
      </c>
      <c r="AVW122" s="1813" t="s">
        <v>18</v>
      </c>
      <c r="AVX122" s="1813" t="s">
        <v>18</v>
      </c>
      <c r="AVY122" s="1813" t="s">
        <v>18</v>
      </c>
      <c r="AVZ122" s="3566">
        <v>0</v>
      </c>
      <c r="AWA122" s="3566">
        <v>0</v>
      </c>
      <c r="AWB122" s="3566">
        <v>0</v>
      </c>
      <c r="AWC122" s="3566" t="s">
        <v>18</v>
      </c>
      <c r="AWD122" s="3566" t="s">
        <v>18</v>
      </c>
      <c r="AWE122" s="3566" t="s">
        <v>18</v>
      </c>
      <c r="AWF122" s="3566" t="s">
        <v>18</v>
      </c>
      <c r="AWG122" s="3566" t="s">
        <v>18</v>
      </c>
      <c r="AWH122" s="3566">
        <f t="shared" ref="AWH122:AWJ125" si="347">1-AVZ122</f>
        <v>1</v>
      </c>
      <c r="AWI122" s="3566">
        <f t="shared" si="347"/>
        <v>1</v>
      </c>
      <c r="AWJ122" s="3566">
        <f t="shared" si="347"/>
        <v>1</v>
      </c>
      <c r="AWK122" s="3570" t="s">
        <v>18</v>
      </c>
      <c r="AWL122" s="1813" t="s">
        <v>18</v>
      </c>
      <c r="AWM122" s="1813" t="s">
        <v>18</v>
      </c>
      <c r="AWN122" s="1813" t="s">
        <v>18</v>
      </c>
      <c r="AWO122" s="1813" t="s">
        <v>18</v>
      </c>
      <c r="AWP122" s="405">
        <v>1.5</v>
      </c>
      <c r="AWQ122" s="405">
        <v>1</v>
      </c>
      <c r="AWR122" s="405">
        <v>1</v>
      </c>
      <c r="AWS122" s="3570" t="s">
        <v>18</v>
      </c>
      <c r="AWT122" s="1813" t="s">
        <v>18</v>
      </c>
      <c r="AWU122" s="1813" t="s">
        <v>18</v>
      </c>
      <c r="AWV122" s="1813" t="s">
        <v>18</v>
      </c>
      <c r="AWW122" s="1813" t="s">
        <v>18</v>
      </c>
      <c r="AWX122" s="3566">
        <v>1</v>
      </c>
      <c r="AWY122" s="3566">
        <v>1</v>
      </c>
      <c r="AWZ122" s="3566">
        <v>1</v>
      </c>
      <c r="AXA122" s="3566" t="s">
        <v>18</v>
      </c>
      <c r="AXB122" s="3566" t="s">
        <v>18</v>
      </c>
      <c r="AXC122" s="3566" t="s">
        <v>18</v>
      </c>
      <c r="AXD122" s="3566" t="s">
        <v>18</v>
      </c>
      <c r="AXE122" s="3566" t="s">
        <v>18</v>
      </c>
      <c r="AXF122" s="3566">
        <f t="shared" ref="AXF122:AXH125" si="348">1-AWX122</f>
        <v>0</v>
      </c>
      <c r="AXG122" s="3566">
        <f t="shared" si="348"/>
        <v>0</v>
      </c>
      <c r="AXH122" s="3566">
        <f t="shared" si="348"/>
        <v>0</v>
      </c>
      <c r="AXI122" s="181"/>
      <c r="AXJ122" s="181"/>
      <c r="AXK122" s="181"/>
      <c r="AXL122" s="181"/>
      <c r="AXM122" s="181"/>
      <c r="AXN122" s="181"/>
      <c r="AXO122" s="181"/>
      <c r="AXP122" s="181"/>
      <c r="AXQ122" s="181"/>
      <c r="AXR122" s="181"/>
      <c r="AXS122" s="181"/>
      <c r="AXT122" s="181"/>
      <c r="AXU122" s="181"/>
      <c r="AXV122" s="181"/>
      <c r="AXW122" s="181"/>
      <c r="AXX122" s="181"/>
      <c r="AXY122" s="181"/>
      <c r="AXZ122" s="181"/>
      <c r="AYA122" s="181"/>
      <c r="AYB122" s="181"/>
      <c r="AYC122" s="181"/>
      <c r="AYD122" s="181"/>
      <c r="AYE122" s="181"/>
      <c r="AYF122" s="181"/>
      <c r="AYG122" s="181"/>
      <c r="BBV122" s="181"/>
      <c r="BBW122" s="181"/>
      <c r="BBX122" s="181"/>
      <c r="BBY122" s="181"/>
      <c r="BBZ122" s="181"/>
      <c r="BCA122" s="181"/>
      <c r="BCB122" s="181"/>
      <c r="BCJ122" s="2617"/>
      <c r="BCK122" s="2617"/>
      <c r="BCL122" s="2617"/>
      <c r="BCM122" s="2617"/>
      <c r="BCN122" s="2617"/>
      <c r="BCO122" s="2617"/>
      <c r="BCP122" s="2617"/>
      <c r="BCQ122" s="2617"/>
      <c r="BDJ122" s="2622"/>
      <c r="BDK122" s="2622"/>
      <c r="BDR122" s="2617"/>
      <c r="BDS122" s="2617"/>
      <c r="BDX122" s="2622"/>
      <c r="BDY122" s="2622"/>
      <c r="BEI122" s="2622"/>
      <c r="BEJ122" s="2622"/>
      <c r="BEK122" s="2622"/>
      <c r="BEL122" s="2622"/>
      <c r="BEM122" s="2622"/>
      <c r="BEP122" s="2622"/>
      <c r="BFM122" s="3398"/>
    </row>
    <row r="123" spans="34:68 1243:1521" x14ac:dyDescent="0.2">
      <c r="AH123" s="5600" t="s">
        <v>1418</v>
      </c>
      <c r="AI123" s="5609" t="s">
        <v>2102</v>
      </c>
      <c r="AJ123" s="5600" t="s">
        <v>1418</v>
      </c>
      <c r="AL123" s="181"/>
      <c r="AM123" s="181"/>
      <c r="AN123" s="181"/>
      <c r="AO123" s="181"/>
      <c r="AV123" s="2622"/>
      <c r="AW123" s="2622"/>
      <c r="AX123" s="2622"/>
      <c r="AUU123" s="2617"/>
      <c r="AUV123" s="2629" t="s">
        <v>1268</v>
      </c>
      <c r="AUW123" s="4138" t="s">
        <v>18</v>
      </c>
      <c r="AUX123" s="4138" t="s">
        <v>18</v>
      </c>
      <c r="AUY123" s="4138" t="s">
        <v>18</v>
      </c>
      <c r="AUZ123" s="4138" t="s">
        <v>18</v>
      </c>
      <c r="AVA123" s="4138" t="s">
        <v>18</v>
      </c>
      <c r="AVB123" s="4138">
        <v>1</v>
      </c>
      <c r="AVC123" s="4138">
        <v>1</v>
      </c>
      <c r="AVD123" s="4138">
        <v>1</v>
      </c>
      <c r="AVE123" s="1811" t="s">
        <v>18</v>
      </c>
      <c r="AVF123" s="1767" t="s">
        <v>18</v>
      </c>
      <c r="AVG123" s="1767" t="s">
        <v>18</v>
      </c>
      <c r="AVH123" s="1811" t="s">
        <v>18</v>
      </c>
      <c r="AVI123" s="1811" t="s">
        <v>18</v>
      </c>
      <c r="AVJ123" s="1759" t="s">
        <v>1191</v>
      </c>
      <c r="AVK123" s="1759" t="s">
        <v>1420</v>
      </c>
      <c r="AVL123" s="3568" t="s">
        <v>1420</v>
      </c>
      <c r="AVM123" s="1811" t="s">
        <v>18</v>
      </c>
      <c r="AVN123" s="1811" t="s">
        <v>18</v>
      </c>
      <c r="AVO123" s="1811" t="s">
        <v>18</v>
      </c>
      <c r="AVP123" s="1811" t="s">
        <v>18</v>
      </c>
      <c r="AVQ123" s="1811" t="s">
        <v>18</v>
      </c>
      <c r="AVR123" s="1759">
        <v>0.6</v>
      </c>
      <c r="AVS123" s="1759">
        <v>0.3</v>
      </c>
      <c r="AVT123" s="1759">
        <v>0.3</v>
      </c>
      <c r="AVU123" s="1811" t="s">
        <v>18</v>
      </c>
      <c r="AVV123" s="1811" t="s">
        <v>18</v>
      </c>
      <c r="AVW123" s="1811" t="s">
        <v>18</v>
      </c>
      <c r="AVX123" s="1811" t="s">
        <v>18</v>
      </c>
      <c r="AVY123" s="1811" t="s">
        <v>18</v>
      </c>
      <c r="AVZ123" s="2985">
        <v>0</v>
      </c>
      <c r="AWA123" s="2985">
        <v>0</v>
      </c>
      <c r="AWB123" s="2985">
        <v>0</v>
      </c>
      <c r="AWC123" s="2985" t="s">
        <v>18</v>
      </c>
      <c r="AWD123" s="2985" t="s">
        <v>18</v>
      </c>
      <c r="AWE123" s="2985" t="s">
        <v>18</v>
      </c>
      <c r="AWF123" s="2985" t="s">
        <v>18</v>
      </c>
      <c r="AWG123" s="2985" t="s">
        <v>18</v>
      </c>
      <c r="AWH123" s="2985">
        <f t="shared" si="347"/>
        <v>1</v>
      </c>
      <c r="AWI123" s="2985">
        <f t="shared" si="347"/>
        <v>1</v>
      </c>
      <c r="AWJ123" s="2985">
        <f t="shared" si="347"/>
        <v>1</v>
      </c>
      <c r="AWK123" s="1811" t="s">
        <v>18</v>
      </c>
      <c r="AWL123" s="1811" t="s">
        <v>18</v>
      </c>
      <c r="AWM123" s="1811" t="s">
        <v>18</v>
      </c>
      <c r="AWN123" s="1811" t="s">
        <v>18</v>
      </c>
      <c r="AWO123" s="1811" t="s">
        <v>18</v>
      </c>
      <c r="AWP123" s="1759">
        <v>1.5</v>
      </c>
      <c r="AWQ123" s="1759">
        <v>1</v>
      </c>
      <c r="AWR123" s="1759">
        <v>1</v>
      </c>
      <c r="AWS123" s="1811" t="s">
        <v>18</v>
      </c>
      <c r="AWT123" s="1811" t="s">
        <v>18</v>
      </c>
      <c r="AWU123" s="1811" t="s">
        <v>18</v>
      </c>
      <c r="AWV123" s="1811" t="s">
        <v>18</v>
      </c>
      <c r="AWW123" s="1811" t="s">
        <v>18</v>
      </c>
      <c r="AWX123" s="2985">
        <v>1</v>
      </c>
      <c r="AWY123" s="2985">
        <v>1</v>
      </c>
      <c r="AWZ123" s="2985">
        <v>1</v>
      </c>
      <c r="AXA123" s="2985" t="s">
        <v>18</v>
      </c>
      <c r="AXB123" s="2985" t="s">
        <v>18</v>
      </c>
      <c r="AXC123" s="2985" t="s">
        <v>18</v>
      </c>
      <c r="AXD123" s="2985" t="s">
        <v>18</v>
      </c>
      <c r="AXE123" s="2985" t="s">
        <v>18</v>
      </c>
      <c r="AXF123" s="2985">
        <f t="shared" si="348"/>
        <v>0</v>
      </c>
      <c r="AXG123" s="2985">
        <f t="shared" si="348"/>
        <v>0</v>
      </c>
      <c r="AXH123" s="2985">
        <f t="shared" si="348"/>
        <v>0</v>
      </c>
      <c r="AXI123" s="181"/>
      <c r="AXJ123" s="181"/>
      <c r="AXK123" s="181"/>
      <c r="AXL123" s="181"/>
      <c r="AXM123" s="181"/>
      <c r="AXN123" s="181"/>
      <c r="AXO123" s="181"/>
      <c r="AXP123" s="181"/>
      <c r="AXQ123" s="181"/>
      <c r="AXR123" s="181"/>
      <c r="AXS123" s="181"/>
      <c r="AXT123" s="181"/>
      <c r="AXU123" s="181"/>
      <c r="AXV123" s="181"/>
      <c r="AXW123" s="181"/>
      <c r="AXX123" s="181"/>
      <c r="AXY123" s="181"/>
      <c r="AXZ123" s="181"/>
      <c r="AYA123" s="181"/>
      <c r="AYB123" s="181"/>
      <c r="AYC123" s="181"/>
      <c r="AYD123" s="181"/>
      <c r="AYE123" s="181"/>
      <c r="AYF123" s="181"/>
      <c r="AYG123" s="181"/>
      <c r="BBV123" s="181"/>
      <c r="BBW123" s="181"/>
      <c r="BBX123" s="181"/>
      <c r="BBY123" s="181"/>
      <c r="BBZ123" s="181"/>
      <c r="BCA123" s="181"/>
      <c r="BCB123" s="181"/>
      <c r="BCJ123" s="2617"/>
      <c r="BCK123" s="2617"/>
      <c r="BCL123" s="2617"/>
      <c r="BCM123" s="2617"/>
      <c r="BCN123" s="2617"/>
      <c r="BCO123" s="2617"/>
      <c r="BCP123" s="2617"/>
      <c r="BCQ123" s="2617"/>
      <c r="BDJ123" s="2622"/>
      <c r="BDK123" s="2622"/>
      <c r="BDR123" s="2617"/>
      <c r="BDS123" s="2617"/>
      <c r="BDX123" s="2622"/>
      <c r="BDY123" s="2622"/>
      <c r="BEI123" s="2622"/>
      <c r="BEJ123" s="2622"/>
      <c r="BEK123" s="2622"/>
      <c r="BEL123" s="2622"/>
      <c r="BEM123" s="2622"/>
      <c r="BEP123" s="2622"/>
      <c r="BFM123" s="3398"/>
    </row>
    <row r="124" spans="34:68 1243:1521" x14ac:dyDescent="0.2">
      <c r="AH124" s="5600"/>
      <c r="AI124" s="5609"/>
      <c r="AJ124" s="5600" t="s">
        <v>2554</v>
      </c>
      <c r="AL124" s="181"/>
      <c r="AM124" s="181"/>
      <c r="AN124" s="181"/>
      <c r="AO124" s="181"/>
      <c r="AV124" s="2622"/>
      <c r="AW124" s="2622"/>
      <c r="AX124" s="2622"/>
      <c r="AUU124" s="2617"/>
      <c r="AUV124" s="2629" t="s">
        <v>1270</v>
      </c>
      <c r="AUW124" s="4138" t="s">
        <v>18</v>
      </c>
      <c r="AUX124" s="4138" t="s">
        <v>18</v>
      </c>
      <c r="AUY124" s="4138" t="s">
        <v>18</v>
      </c>
      <c r="AUZ124" s="4138" t="s">
        <v>18</v>
      </c>
      <c r="AVA124" s="4138" t="s">
        <v>18</v>
      </c>
      <c r="AVB124" s="4138">
        <v>1</v>
      </c>
      <c r="AVC124" s="4138">
        <v>1</v>
      </c>
      <c r="AVD124" s="4138">
        <v>1</v>
      </c>
      <c r="AVE124" s="1811" t="s">
        <v>18</v>
      </c>
      <c r="AVF124" s="1767" t="s">
        <v>18</v>
      </c>
      <c r="AVG124" s="1767" t="s">
        <v>18</v>
      </c>
      <c r="AVH124" s="1811" t="s">
        <v>18</v>
      </c>
      <c r="AVI124" s="1811" t="s">
        <v>18</v>
      </c>
      <c r="AVJ124" s="1759" t="s">
        <v>1191</v>
      </c>
      <c r="AVK124" s="1759" t="s">
        <v>1420</v>
      </c>
      <c r="AVL124" s="3568" t="s">
        <v>1420</v>
      </c>
      <c r="AVM124" s="1811" t="s">
        <v>18</v>
      </c>
      <c r="AVN124" s="1811" t="s">
        <v>18</v>
      </c>
      <c r="AVO124" s="1811" t="s">
        <v>18</v>
      </c>
      <c r="AVP124" s="1811" t="s">
        <v>18</v>
      </c>
      <c r="AVQ124" s="1811" t="s">
        <v>18</v>
      </c>
      <c r="AVR124" s="1759">
        <v>0.6</v>
      </c>
      <c r="AVS124" s="1759">
        <v>0.3</v>
      </c>
      <c r="AVT124" s="1759">
        <v>0.3</v>
      </c>
      <c r="AVU124" s="1811" t="s">
        <v>18</v>
      </c>
      <c r="AVV124" s="1811" t="s">
        <v>18</v>
      </c>
      <c r="AVW124" s="1811" t="s">
        <v>18</v>
      </c>
      <c r="AVX124" s="1811" t="s">
        <v>18</v>
      </c>
      <c r="AVY124" s="1811" t="s">
        <v>18</v>
      </c>
      <c r="AVZ124" s="2985">
        <v>0</v>
      </c>
      <c r="AWA124" s="2985">
        <v>0</v>
      </c>
      <c r="AWB124" s="2985">
        <v>0</v>
      </c>
      <c r="AWC124" s="2985" t="s">
        <v>18</v>
      </c>
      <c r="AWD124" s="2985" t="s">
        <v>18</v>
      </c>
      <c r="AWE124" s="2985" t="s">
        <v>18</v>
      </c>
      <c r="AWF124" s="2985" t="s">
        <v>18</v>
      </c>
      <c r="AWG124" s="2985" t="s">
        <v>18</v>
      </c>
      <c r="AWH124" s="2985">
        <f t="shared" si="347"/>
        <v>1</v>
      </c>
      <c r="AWI124" s="2985">
        <f t="shared" si="347"/>
        <v>1</v>
      </c>
      <c r="AWJ124" s="2985">
        <f t="shared" si="347"/>
        <v>1</v>
      </c>
      <c r="AWK124" s="1811" t="s">
        <v>18</v>
      </c>
      <c r="AWL124" s="1811" t="s">
        <v>18</v>
      </c>
      <c r="AWM124" s="1811" t="s">
        <v>18</v>
      </c>
      <c r="AWN124" s="1811" t="s">
        <v>18</v>
      </c>
      <c r="AWO124" s="1811" t="s">
        <v>18</v>
      </c>
      <c r="AWP124" s="1759">
        <v>1.5</v>
      </c>
      <c r="AWQ124" s="1759">
        <v>1</v>
      </c>
      <c r="AWR124" s="1759">
        <v>1</v>
      </c>
      <c r="AWS124" s="1811" t="s">
        <v>18</v>
      </c>
      <c r="AWT124" s="1811" t="s">
        <v>18</v>
      </c>
      <c r="AWU124" s="1811" t="s">
        <v>18</v>
      </c>
      <c r="AWV124" s="1811" t="s">
        <v>18</v>
      </c>
      <c r="AWW124" s="1811" t="s">
        <v>18</v>
      </c>
      <c r="AWX124" s="2985">
        <v>1</v>
      </c>
      <c r="AWY124" s="2985">
        <v>1</v>
      </c>
      <c r="AWZ124" s="2985">
        <v>1</v>
      </c>
      <c r="AXA124" s="2985" t="s">
        <v>18</v>
      </c>
      <c r="AXB124" s="2985" t="s">
        <v>18</v>
      </c>
      <c r="AXC124" s="2985" t="s">
        <v>18</v>
      </c>
      <c r="AXD124" s="2985" t="s">
        <v>18</v>
      </c>
      <c r="AXE124" s="2985" t="s">
        <v>18</v>
      </c>
      <c r="AXF124" s="2985">
        <f t="shared" si="348"/>
        <v>0</v>
      </c>
      <c r="AXG124" s="2985">
        <f t="shared" si="348"/>
        <v>0</v>
      </c>
      <c r="AXH124" s="2985">
        <f t="shared" si="348"/>
        <v>0</v>
      </c>
      <c r="AXI124" s="181"/>
      <c r="AXJ124" s="181"/>
      <c r="AXK124" s="181"/>
      <c r="AXL124" s="181"/>
      <c r="AXM124" s="181"/>
      <c r="AXN124" s="181"/>
      <c r="AXO124" s="181"/>
      <c r="AXP124" s="181"/>
      <c r="AXQ124" s="181"/>
      <c r="AXR124" s="181"/>
      <c r="AXS124" s="181"/>
      <c r="AXT124" s="181"/>
      <c r="AXU124" s="181"/>
      <c r="AXV124" s="181"/>
      <c r="AXW124" s="181"/>
      <c r="AXX124" s="181"/>
      <c r="AXY124" s="181"/>
      <c r="AXZ124" s="181"/>
      <c r="AYA124" s="181"/>
      <c r="AYB124" s="181"/>
      <c r="AYC124" s="181"/>
      <c r="AYD124" s="181"/>
      <c r="AYE124" s="181"/>
      <c r="AYF124" s="181"/>
      <c r="AYG124" s="181"/>
      <c r="BBV124" s="181"/>
      <c r="BBW124" s="181"/>
      <c r="BBX124" s="181"/>
      <c r="BBY124" s="181"/>
      <c r="BBZ124" s="181"/>
      <c r="BCA124" s="181"/>
      <c r="BCB124" s="181"/>
      <c r="BCJ124" s="2617"/>
      <c r="BCK124" s="2617"/>
      <c r="BCL124" s="2617"/>
      <c r="BCM124" s="2617"/>
      <c r="BCN124" s="2617"/>
      <c r="BCO124" s="2617"/>
      <c r="BCP124" s="2617"/>
      <c r="BCQ124" s="2617"/>
      <c r="BDJ124" s="2622"/>
      <c r="BDK124" s="2622"/>
      <c r="BDR124" s="2617"/>
      <c r="BDS124" s="2617"/>
      <c r="BDX124" s="2622"/>
      <c r="BDY124" s="2622"/>
      <c r="BEI124" s="2622"/>
      <c r="BEJ124" s="2622"/>
      <c r="BEK124" s="2622"/>
      <c r="BEL124" s="2622"/>
      <c r="BEM124" s="2622"/>
      <c r="BEP124" s="2622"/>
      <c r="BFM124" s="3398"/>
    </row>
    <row r="125" spans="34:68 1243:1521" x14ac:dyDescent="0.2">
      <c r="AH125" s="5600" t="s">
        <v>1222</v>
      </c>
      <c r="AI125" s="5609"/>
      <c r="AJ125" s="5600" t="s">
        <v>2555</v>
      </c>
      <c r="AL125" s="181"/>
      <c r="AM125" s="181"/>
      <c r="AN125" s="181"/>
      <c r="AO125" s="181"/>
      <c r="AV125" s="2622"/>
      <c r="AW125" s="2622"/>
      <c r="AX125" s="2622"/>
      <c r="AUU125" s="2617"/>
      <c r="AUV125" s="3558" t="s">
        <v>1269</v>
      </c>
      <c r="AUW125" s="4139" t="s">
        <v>18</v>
      </c>
      <c r="AUX125" s="4139" t="s">
        <v>18</v>
      </c>
      <c r="AUY125" s="4139" t="s">
        <v>18</v>
      </c>
      <c r="AUZ125" s="4139" t="s">
        <v>18</v>
      </c>
      <c r="AVA125" s="4139" t="s">
        <v>18</v>
      </c>
      <c r="AVB125" s="4139">
        <v>1</v>
      </c>
      <c r="AVC125" s="4139">
        <v>1</v>
      </c>
      <c r="AVD125" s="4139">
        <v>1</v>
      </c>
      <c r="AVE125" s="1814" t="s">
        <v>18</v>
      </c>
      <c r="AVF125" s="1768" t="s">
        <v>18</v>
      </c>
      <c r="AVG125" s="1768" t="s">
        <v>18</v>
      </c>
      <c r="AVH125" s="1814" t="s">
        <v>18</v>
      </c>
      <c r="AVI125" s="1814" t="s">
        <v>18</v>
      </c>
      <c r="AVJ125" s="1764" t="s">
        <v>1191</v>
      </c>
      <c r="AVK125" s="1764" t="s">
        <v>1420</v>
      </c>
      <c r="AVL125" s="3569" t="s">
        <v>1420</v>
      </c>
      <c r="AVM125" s="1811" t="s">
        <v>18</v>
      </c>
      <c r="AVN125" s="1811" t="s">
        <v>18</v>
      </c>
      <c r="AVO125" s="1811" t="s">
        <v>18</v>
      </c>
      <c r="AVP125" s="1811" t="s">
        <v>18</v>
      </c>
      <c r="AVQ125" s="1811" t="s">
        <v>18</v>
      </c>
      <c r="AVR125" s="1759">
        <v>0.6</v>
      </c>
      <c r="AVS125" s="1759">
        <v>0.3</v>
      </c>
      <c r="AVT125" s="1759">
        <v>0.3</v>
      </c>
      <c r="AVU125" s="1814" t="s">
        <v>18</v>
      </c>
      <c r="AVV125" s="1814" t="s">
        <v>18</v>
      </c>
      <c r="AVW125" s="1814" t="s">
        <v>18</v>
      </c>
      <c r="AVX125" s="1814" t="s">
        <v>18</v>
      </c>
      <c r="AVY125" s="1814" t="s">
        <v>18</v>
      </c>
      <c r="AVZ125" s="3562">
        <v>0</v>
      </c>
      <c r="AWA125" s="3562">
        <v>0</v>
      </c>
      <c r="AWB125" s="3562">
        <v>0</v>
      </c>
      <c r="AWC125" s="3562" t="s">
        <v>18</v>
      </c>
      <c r="AWD125" s="3562" t="s">
        <v>18</v>
      </c>
      <c r="AWE125" s="3562" t="s">
        <v>18</v>
      </c>
      <c r="AWF125" s="3562" t="s">
        <v>18</v>
      </c>
      <c r="AWG125" s="3562" t="s">
        <v>18</v>
      </c>
      <c r="AWH125" s="3562">
        <f t="shared" si="347"/>
        <v>1</v>
      </c>
      <c r="AWI125" s="3562">
        <f t="shared" si="347"/>
        <v>1</v>
      </c>
      <c r="AWJ125" s="3562">
        <f t="shared" si="347"/>
        <v>1</v>
      </c>
      <c r="AWK125" s="1814" t="s">
        <v>18</v>
      </c>
      <c r="AWL125" s="1814" t="s">
        <v>18</v>
      </c>
      <c r="AWM125" s="1814" t="s">
        <v>18</v>
      </c>
      <c r="AWN125" s="1814" t="s">
        <v>18</v>
      </c>
      <c r="AWO125" s="1814" t="s">
        <v>18</v>
      </c>
      <c r="AWP125" s="1764">
        <v>1.5</v>
      </c>
      <c r="AWQ125" s="1764">
        <v>1</v>
      </c>
      <c r="AWR125" s="1764">
        <v>1</v>
      </c>
      <c r="AWS125" s="1814" t="s">
        <v>18</v>
      </c>
      <c r="AWT125" s="1814" t="s">
        <v>18</v>
      </c>
      <c r="AWU125" s="1814" t="s">
        <v>18</v>
      </c>
      <c r="AWV125" s="1814" t="s">
        <v>18</v>
      </c>
      <c r="AWW125" s="1814" t="s">
        <v>18</v>
      </c>
      <c r="AWX125" s="3562">
        <v>1</v>
      </c>
      <c r="AWY125" s="3562">
        <v>1</v>
      </c>
      <c r="AWZ125" s="3562">
        <v>1</v>
      </c>
      <c r="AXA125" s="3562" t="s">
        <v>18</v>
      </c>
      <c r="AXB125" s="3562" t="s">
        <v>18</v>
      </c>
      <c r="AXC125" s="3562" t="s">
        <v>18</v>
      </c>
      <c r="AXD125" s="3562" t="s">
        <v>18</v>
      </c>
      <c r="AXE125" s="3562" t="s">
        <v>18</v>
      </c>
      <c r="AXF125" s="3562">
        <f t="shared" si="348"/>
        <v>0</v>
      </c>
      <c r="AXG125" s="3562">
        <f t="shared" si="348"/>
        <v>0</v>
      </c>
      <c r="AXH125" s="3562">
        <f t="shared" si="348"/>
        <v>0</v>
      </c>
      <c r="AXI125" s="181"/>
      <c r="AXJ125" s="181"/>
      <c r="AXK125" s="181"/>
      <c r="AXL125" s="181"/>
      <c r="AXM125" s="181"/>
      <c r="AXN125" s="181"/>
      <c r="AXO125" s="181"/>
      <c r="AXP125" s="181"/>
      <c r="AXQ125" s="181"/>
      <c r="AXR125" s="181"/>
      <c r="AXS125" s="181"/>
      <c r="AXT125" s="181"/>
      <c r="AXU125" s="181"/>
      <c r="AXV125" s="181"/>
      <c r="AXW125" s="181"/>
      <c r="AXX125" s="181"/>
      <c r="AXY125" s="181"/>
      <c r="AXZ125" s="181"/>
      <c r="AYA125" s="181"/>
      <c r="AYB125" s="181"/>
      <c r="AYC125" s="181"/>
      <c r="AYD125" s="181"/>
      <c r="AYE125" s="181"/>
      <c r="AYF125" s="181"/>
      <c r="AYG125" s="181"/>
      <c r="BBV125" s="181"/>
      <c r="BBW125" s="181"/>
      <c r="BBX125" s="181"/>
      <c r="BBY125" s="181"/>
      <c r="BBZ125" s="181"/>
      <c r="BCA125" s="181"/>
      <c r="BCB125" s="181"/>
      <c r="BCC125" s="183"/>
      <c r="BCD125" s="183"/>
      <c r="BCE125" s="183"/>
      <c r="BCF125" s="183"/>
      <c r="BCG125" s="183"/>
      <c r="BCH125" s="183"/>
      <c r="BCI125" s="183"/>
      <c r="BCJ125" s="183"/>
      <c r="BCK125" s="183"/>
      <c r="BCL125" s="183"/>
      <c r="BCM125" s="2617"/>
      <c r="BCN125" s="2617"/>
      <c r="BCO125" s="2617"/>
      <c r="BCP125" s="2617"/>
      <c r="BCQ125" s="2617"/>
      <c r="BDJ125" s="2622"/>
      <c r="BDK125" s="2622"/>
      <c r="BDR125" s="2617"/>
      <c r="BDS125" s="2617"/>
      <c r="BDX125" s="2622"/>
      <c r="BDY125" s="2622"/>
      <c r="BEI125" s="2622"/>
      <c r="BEJ125" s="2622"/>
      <c r="BEK125" s="2622"/>
      <c r="BEL125" s="2622"/>
      <c r="BEM125" s="2622"/>
      <c r="BEP125" s="2622"/>
      <c r="BFM125" s="3398"/>
    </row>
    <row r="126" spans="34:68 1243:1521" x14ac:dyDescent="0.2">
      <c r="AH126" s="207" t="s">
        <v>1222</v>
      </c>
      <c r="AI126" s="5609"/>
      <c r="AJ126" s="2625"/>
      <c r="AL126" s="181"/>
      <c r="AM126" s="181"/>
      <c r="AN126" s="181"/>
      <c r="AO126" s="181"/>
      <c r="AU126" s="2626"/>
      <c r="AV126" s="2626"/>
      <c r="AW126" s="2626"/>
      <c r="AX126" s="2626"/>
      <c r="AY126" s="2625"/>
      <c r="AZ126" s="2625"/>
      <c r="BA126" s="2625"/>
      <c r="BB126" s="2625"/>
      <c r="AUU126" s="2617"/>
      <c r="AUV126" s="181"/>
      <c r="AUW126" s="181"/>
      <c r="AUX126" s="181"/>
      <c r="AUY126" s="181"/>
      <c r="AUZ126" s="181"/>
      <c r="AVA126" s="181"/>
      <c r="AVB126" s="181"/>
      <c r="AVC126" s="181"/>
      <c r="AVD126" s="181"/>
      <c r="AVE126" s="181"/>
      <c r="AVF126" s="181"/>
      <c r="AVG126" s="181"/>
      <c r="AVH126" s="181"/>
      <c r="AVI126" s="181"/>
      <c r="AVJ126" s="181"/>
      <c r="AVK126" s="181"/>
      <c r="AVL126" s="181"/>
      <c r="AVM126" s="181"/>
      <c r="AVN126" s="181"/>
      <c r="AVO126" s="181"/>
      <c r="AVP126" s="181"/>
      <c r="AVQ126" s="181"/>
      <c r="AVR126" s="181"/>
      <c r="AVS126" s="181"/>
      <c r="AVT126" s="181"/>
      <c r="AVU126" s="181"/>
      <c r="AVV126" s="181"/>
      <c r="AVW126" s="181"/>
      <c r="AVX126" s="181"/>
      <c r="AVY126" s="181"/>
      <c r="AVZ126" s="181"/>
      <c r="AWA126" s="181"/>
      <c r="AWB126" s="181"/>
      <c r="AWC126" s="181"/>
      <c r="AWD126" s="181"/>
      <c r="AWE126" s="181"/>
      <c r="AWF126" s="181"/>
      <c r="AWG126" s="181"/>
      <c r="AWH126" s="181"/>
      <c r="AWI126" s="181"/>
      <c r="AWJ126" s="181"/>
      <c r="AWK126" s="181"/>
      <c r="AWL126" s="181"/>
      <c r="AWM126" s="181"/>
      <c r="AWN126" s="181"/>
      <c r="AWO126" s="181"/>
      <c r="AWP126" s="181"/>
      <c r="AWQ126" s="181"/>
      <c r="AWR126" s="181"/>
      <c r="AWS126" s="181"/>
      <c r="AWT126" s="181"/>
      <c r="AWU126" s="181"/>
      <c r="AWV126" s="181"/>
      <c r="AWW126" s="181"/>
      <c r="AWX126" s="181"/>
      <c r="AWY126" s="181"/>
      <c r="AWZ126" s="181"/>
      <c r="AXA126" s="181"/>
      <c r="AXB126" s="181"/>
      <c r="AXC126" s="181"/>
      <c r="AXD126" s="181"/>
      <c r="AXE126" s="181"/>
      <c r="AXF126" s="181"/>
      <c r="AXG126" s="181"/>
      <c r="AXH126" s="181"/>
      <c r="AXI126" s="181"/>
      <c r="AXJ126" s="181"/>
      <c r="AXK126" s="181"/>
      <c r="AXL126" s="181"/>
      <c r="AXM126" s="181"/>
      <c r="AXN126" s="181"/>
      <c r="AXO126" s="181"/>
      <c r="AXP126" s="181"/>
      <c r="AXQ126" s="181"/>
      <c r="AXR126" s="181"/>
      <c r="AXS126" s="181"/>
      <c r="AXT126" s="181"/>
      <c r="AXU126" s="181"/>
      <c r="AXV126" s="181"/>
      <c r="AXW126" s="181"/>
      <c r="AXX126" s="181"/>
      <c r="AXY126" s="181"/>
      <c r="AXZ126" s="181"/>
      <c r="AYA126" s="181"/>
      <c r="AYB126" s="181"/>
      <c r="AYC126" s="181"/>
      <c r="AYD126" s="181"/>
      <c r="AYE126" s="181"/>
      <c r="AYF126" s="181"/>
      <c r="AYG126" s="265"/>
      <c r="BBV126" s="265"/>
      <c r="BBW126" s="265"/>
      <c r="BBX126" s="265"/>
      <c r="BBY126" s="265"/>
      <c r="BBZ126" s="265"/>
      <c r="BCA126" s="265"/>
      <c r="BCB126" s="265"/>
      <c r="BCC126" s="265"/>
      <c r="BCD126" s="265"/>
      <c r="BFE126" s="3398"/>
    </row>
    <row r="127" spans="34:68 1243:1521" ht="30.75" x14ac:dyDescent="0.2">
      <c r="AH127" s="5600" t="s">
        <v>36</v>
      </c>
      <c r="AI127" s="5609" t="s">
        <v>2096</v>
      </c>
      <c r="AJ127" s="5600" t="s">
        <v>2186</v>
      </c>
      <c r="AL127" s="181"/>
      <c r="AM127" s="181"/>
      <c r="AN127" s="181"/>
      <c r="AO127" s="181"/>
      <c r="AU127" s="400" t="s">
        <v>1150</v>
      </c>
      <c r="AV127" s="401"/>
      <c r="AW127" s="401"/>
      <c r="AX127" s="401"/>
      <c r="AY127" s="5147"/>
      <c r="AZ127" s="403" t="s">
        <v>362</v>
      </c>
      <c r="BA127" s="401"/>
      <c r="BB127" s="404" t="s">
        <v>412</v>
      </c>
      <c r="AUU127" s="2617"/>
      <c r="AUV127" s="181"/>
      <c r="AUW127" s="181"/>
      <c r="AUX127" s="181"/>
      <c r="AUY127" s="181"/>
      <c r="AUZ127" s="181"/>
      <c r="AVA127" s="181"/>
      <c r="AVB127" s="181"/>
      <c r="AVC127" s="181"/>
      <c r="AVD127" s="181"/>
      <c r="AVE127" s="181"/>
      <c r="AVF127" s="181"/>
      <c r="AVG127" s="181"/>
      <c r="AVH127" s="181"/>
      <c r="AVI127" s="181"/>
      <c r="AVJ127" s="181"/>
      <c r="AVK127" s="181"/>
      <c r="AVL127" s="181"/>
      <c r="AVM127" s="181"/>
      <c r="AVN127" s="181"/>
      <c r="AVO127" s="181"/>
      <c r="AVP127" s="181"/>
      <c r="AVQ127" s="181"/>
      <c r="AVR127" s="181"/>
      <c r="AVS127" s="181"/>
      <c r="AVT127" s="181"/>
      <c r="AVU127" s="181"/>
      <c r="AVV127" s="181"/>
      <c r="AVW127" s="181"/>
      <c r="AVX127" s="181"/>
      <c r="AVY127" s="181"/>
      <c r="AVZ127" s="181"/>
      <c r="AWA127" s="181"/>
      <c r="AWB127" s="181"/>
      <c r="AWC127" s="181"/>
      <c r="AWD127" s="181"/>
      <c r="AWE127" s="181"/>
      <c r="AWF127" s="181"/>
      <c r="AWG127" s="181"/>
      <c r="AWH127" s="181"/>
      <c r="AWI127" s="181"/>
      <c r="AWJ127" s="181"/>
      <c r="AWK127" s="181"/>
      <c r="AWL127" s="181"/>
      <c r="AWM127" s="181"/>
      <c r="AWN127" s="181"/>
      <c r="AWO127" s="181"/>
      <c r="AWP127" s="181"/>
      <c r="AWQ127" s="181"/>
      <c r="AWR127" s="181"/>
      <c r="AWS127" s="181"/>
      <c r="AWT127" s="181"/>
      <c r="AWU127" s="181"/>
      <c r="AWV127" s="181"/>
      <c r="AWW127" s="181"/>
      <c r="AWX127" s="181"/>
      <c r="AWY127" s="181"/>
      <c r="AWZ127" s="181"/>
      <c r="AXA127" s="181"/>
      <c r="AXB127" s="181"/>
      <c r="AXC127" s="181"/>
      <c r="AXD127" s="181"/>
      <c r="AXE127" s="181"/>
      <c r="AXF127" s="181"/>
      <c r="AXG127" s="181"/>
      <c r="AXH127" s="181"/>
      <c r="AXI127" s="181"/>
      <c r="AXJ127" s="181"/>
      <c r="AXK127" s="181"/>
      <c r="AXL127" s="181"/>
      <c r="AXM127" s="181"/>
      <c r="AXN127" s="181"/>
      <c r="AXO127" s="181"/>
      <c r="AXP127" s="181"/>
      <c r="AXQ127" s="181"/>
      <c r="AXR127" s="181"/>
      <c r="AXS127" s="181"/>
      <c r="AXT127" s="181"/>
      <c r="AXU127" s="181"/>
      <c r="AXV127" s="181"/>
      <c r="AXW127" s="181"/>
      <c r="AXX127" s="181"/>
      <c r="AXY127" s="181"/>
      <c r="AXZ127" s="181"/>
      <c r="AYA127" s="181"/>
      <c r="AYB127" s="181"/>
      <c r="AYC127" s="181"/>
      <c r="AYD127" s="181"/>
      <c r="AYE127" s="181"/>
      <c r="AYF127" s="181"/>
      <c r="AYG127" s="3406"/>
      <c r="BBV127" s="3406"/>
      <c r="BBW127" s="3406"/>
      <c r="BBX127" s="3406"/>
      <c r="BBY127" s="3406"/>
      <c r="BBZ127" s="3406"/>
      <c r="BCA127" s="3406"/>
      <c r="BCB127" s="3406"/>
      <c r="BCC127" s="3406"/>
      <c r="BCD127" s="3406"/>
      <c r="BFE127" s="3398"/>
    </row>
    <row r="128" spans="34:68 1243:1521" x14ac:dyDescent="0.2">
      <c r="AH128" s="2625"/>
      <c r="AI128" s="5611" t="s">
        <v>2556</v>
      </c>
      <c r="AJ128" s="5600" t="s">
        <v>2190</v>
      </c>
      <c r="AL128" s="181"/>
      <c r="AM128" s="181"/>
      <c r="AN128" s="181"/>
      <c r="AO128" s="181"/>
      <c r="AV128" s="2622"/>
      <c r="AW128" s="2622"/>
      <c r="AX128" s="2622"/>
      <c r="AUU128" s="2617"/>
      <c r="AUV128" s="181"/>
      <c r="AUW128" s="181"/>
      <c r="AUX128" s="181"/>
      <c r="AUY128" s="181"/>
      <c r="AUZ128" s="181"/>
      <c r="AVA128" s="181"/>
      <c r="AVB128" s="181"/>
      <c r="AVC128" s="181"/>
      <c r="AVD128" s="181"/>
      <c r="AVE128" s="181"/>
      <c r="AVF128" s="181"/>
      <c r="AVG128" s="181"/>
      <c r="AVH128" s="181"/>
      <c r="AVI128" s="181"/>
      <c r="AVJ128" s="181"/>
      <c r="AVK128" s="181"/>
      <c r="AVL128" s="181"/>
      <c r="AVM128" s="181"/>
      <c r="AVN128" s="181"/>
      <c r="AVO128" s="181"/>
      <c r="AVP128" s="181"/>
      <c r="AVQ128" s="181"/>
      <c r="AVR128" s="181"/>
      <c r="AVS128" s="181"/>
      <c r="AVT128" s="181"/>
      <c r="AVU128" s="181"/>
      <c r="AVV128" s="181"/>
      <c r="AVW128" s="181"/>
      <c r="AVX128" s="181"/>
      <c r="AVY128" s="181"/>
      <c r="AVZ128" s="181"/>
      <c r="AWA128" s="181"/>
      <c r="AWB128" s="181"/>
      <c r="AWC128" s="181"/>
      <c r="AWD128" s="181"/>
      <c r="AWE128" s="181"/>
      <c r="AWF128" s="181"/>
      <c r="AWG128" s="181"/>
      <c r="AWH128" s="181"/>
      <c r="AWI128" s="181"/>
      <c r="AWJ128" s="181"/>
      <c r="AWK128" s="181"/>
      <c r="AWL128" s="181"/>
      <c r="AWM128" s="181"/>
      <c r="AWN128" s="181"/>
      <c r="AWO128" s="181"/>
      <c r="AWP128" s="181"/>
      <c r="AWQ128" s="181"/>
      <c r="AWR128" s="181"/>
      <c r="AWS128" s="181"/>
      <c r="AWT128" s="181"/>
      <c r="AWU128" s="181"/>
      <c r="AWV128" s="181"/>
      <c r="AWW128" s="181"/>
      <c r="AWX128" s="181"/>
      <c r="AWY128" s="181"/>
      <c r="AWZ128" s="181"/>
      <c r="AXA128" s="181"/>
      <c r="AXB128" s="181"/>
      <c r="AXC128" s="181"/>
      <c r="AXD128" s="181"/>
      <c r="AXE128" s="181"/>
      <c r="AXF128" s="181"/>
      <c r="AXG128" s="181"/>
      <c r="AXH128" s="181"/>
      <c r="AXI128" s="181"/>
      <c r="AXJ128" s="181"/>
      <c r="AXK128" s="181"/>
      <c r="AXL128" s="181"/>
      <c r="AXM128" s="181"/>
      <c r="AXN128" s="181"/>
      <c r="AXO128" s="181"/>
      <c r="AXP128" s="181"/>
      <c r="AXQ128" s="181"/>
      <c r="AXR128" s="181"/>
      <c r="AXS128" s="181"/>
      <c r="AXT128" s="181"/>
      <c r="AXU128" s="181"/>
      <c r="AXV128" s="181"/>
      <c r="AXW128" s="181"/>
      <c r="AXX128" s="181"/>
      <c r="AXY128" s="181"/>
      <c r="AXZ128" s="181"/>
      <c r="AYA128" s="181"/>
      <c r="AYB128" s="181"/>
      <c r="AYC128" s="181"/>
      <c r="AYD128" s="181"/>
      <c r="AYE128" s="181"/>
      <c r="AYF128" s="181"/>
      <c r="AYG128" s="3406"/>
      <c r="BBV128" s="3406"/>
      <c r="BBW128" s="3406"/>
      <c r="BBX128" s="3406"/>
      <c r="BBY128" s="3406"/>
      <c r="BBZ128" s="3406"/>
      <c r="BCA128" s="3406"/>
      <c r="BCB128" s="3406"/>
      <c r="BCC128" s="3406"/>
      <c r="BCD128" s="3406"/>
      <c r="BFE128" s="3398"/>
    </row>
    <row r="129" spans="34:56 1243:1513" x14ac:dyDescent="0.2">
      <c r="AH129" s="2625"/>
      <c r="AI129" s="5611" t="s">
        <v>2557</v>
      </c>
      <c r="AJ129" s="5600" t="s">
        <v>2460</v>
      </c>
      <c r="AL129" s="207"/>
      <c r="AM129" s="207"/>
      <c r="AN129" s="183"/>
      <c r="AV129" s="2622"/>
      <c r="AW129" s="2622"/>
      <c r="AX129" s="2622"/>
      <c r="AUU129" s="2617"/>
      <c r="AUV129" s="181"/>
      <c r="AUW129" s="181"/>
      <c r="AUX129" s="181"/>
      <c r="AUY129" s="181"/>
      <c r="AUZ129" s="181"/>
      <c r="AVA129" s="181"/>
      <c r="AVB129" s="181"/>
      <c r="AVC129" s="181"/>
      <c r="AVD129" s="181"/>
      <c r="AVE129" s="181"/>
      <c r="AVF129" s="181"/>
      <c r="AVG129" s="181"/>
      <c r="AVH129" s="181"/>
      <c r="AVI129" s="181"/>
      <c r="AVJ129" s="181"/>
      <c r="AVK129" s="181"/>
      <c r="AVL129" s="181"/>
      <c r="AVM129" s="181"/>
      <c r="AVN129" s="181"/>
      <c r="AVO129" s="181"/>
      <c r="AVP129" s="181"/>
      <c r="AVQ129" s="181"/>
      <c r="AVR129" s="181"/>
      <c r="AVS129" s="181"/>
      <c r="AVT129" s="181"/>
      <c r="AVU129" s="181"/>
      <c r="AVV129" s="181"/>
      <c r="AVW129" s="181"/>
      <c r="AVX129" s="181"/>
      <c r="AVY129" s="181"/>
      <c r="AVZ129" s="181"/>
      <c r="AWA129" s="181"/>
      <c r="AWB129" s="181"/>
      <c r="AWC129" s="181"/>
      <c r="AWD129" s="181"/>
      <c r="AWE129" s="181"/>
      <c r="AWF129" s="181"/>
      <c r="AWG129" s="181"/>
      <c r="AWH129" s="181"/>
      <c r="AWI129" s="181"/>
      <c r="AWJ129" s="181"/>
      <c r="AWK129" s="181"/>
      <c r="AWL129" s="181"/>
      <c r="AWM129" s="181"/>
      <c r="AWN129" s="181"/>
      <c r="AWO129" s="181"/>
      <c r="AWP129" s="181"/>
      <c r="AWQ129" s="181"/>
      <c r="AWR129" s="181"/>
      <c r="AWS129" s="181"/>
      <c r="AWT129" s="181"/>
      <c r="AWU129" s="181"/>
      <c r="AWV129" s="181"/>
      <c r="AWW129" s="181"/>
      <c r="AWX129" s="181"/>
      <c r="AWY129" s="181"/>
      <c r="AWZ129" s="181"/>
      <c r="AXA129" s="181"/>
      <c r="AXB129" s="181"/>
      <c r="AXC129" s="181"/>
      <c r="AXD129" s="181"/>
      <c r="AXE129" s="181"/>
      <c r="AXF129" s="181"/>
      <c r="AXG129" s="181"/>
      <c r="AXH129" s="181"/>
      <c r="AXI129" s="181"/>
      <c r="AXJ129" s="181"/>
      <c r="AXK129" s="181"/>
      <c r="AXL129" s="181"/>
      <c r="AXM129" s="181"/>
      <c r="AXN129" s="181"/>
      <c r="AXO129" s="181"/>
      <c r="AXP129" s="181"/>
      <c r="AXQ129" s="181"/>
      <c r="AXR129" s="181"/>
      <c r="AXS129" s="181"/>
      <c r="AXT129" s="181"/>
      <c r="AXU129" s="181"/>
      <c r="AXV129" s="181"/>
      <c r="AXW129" s="181"/>
      <c r="AXX129" s="181"/>
      <c r="AXY129" s="181"/>
      <c r="AXZ129" s="181"/>
      <c r="AYA129" s="181"/>
      <c r="AYB129" s="181"/>
      <c r="AYC129" s="181"/>
      <c r="AYD129" s="181"/>
      <c r="AYE129" s="181"/>
      <c r="AYF129" s="181"/>
      <c r="AYG129" s="3406"/>
      <c r="BBV129" s="3406"/>
      <c r="BBW129" s="3406"/>
      <c r="BBX129" s="3406"/>
      <c r="BBY129" s="3406"/>
      <c r="BBZ129" s="3406"/>
      <c r="BCA129" s="3406"/>
      <c r="BCB129" s="3406"/>
      <c r="BCC129" s="3406"/>
      <c r="BCD129" s="3406"/>
      <c r="BFE129" s="3398"/>
    </row>
    <row r="130" spans="34:56 1243:1513" x14ac:dyDescent="0.2">
      <c r="AH130" s="2625"/>
      <c r="AI130" s="5611"/>
      <c r="AJ130" s="2625"/>
      <c r="AL130" s="207"/>
      <c r="AM130" s="207"/>
      <c r="AN130" s="5599"/>
      <c r="AV130" s="2622"/>
      <c r="AW130" s="2622"/>
      <c r="AX130" s="2622"/>
      <c r="AUU130" s="2617"/>
      <c r="AUV130" s="181"/>
      <c r="AUW130" s="181"/>
      <c r="AUX130" s="181"/>
      <c r="AUY130" s="181"/>
      <c r="AUZ130" s="181"/>
      <c r="AVA130" s="181"/>
      <c r="AVB130" s="181"/>
      <c r="AVC130" s="181"/>
      <c r="AVD130" s="181"/>
      <c r="AVE130" s="181"/>
      <c r="AVF130" s="181"/>
      <c r="AVG130" s="181"/>
      <c r="AVH130" s="181"/>
      <c r="AVI130" s="181"/>
      <c r="AVJ130" s="181"/>
      <c r="AVK130" s="181"/>
      <c r="AVL130" s="181"/>
      <c r="AVM130" s="181"/>
      <c r="AVN130" s="181"/>
      <c r="AVO130" s="181"/>
      <c r="AVP130" s="181"/>
      <c r="AVQ130" s="181"/>
      <c r="AVR130" s="181"/>
      <c r="AVS130" s="181"/>
      <c r="AVT130" s="181"/>
      <c r="AVU130" s="181"/>
      <c r="AVV130" s="181"/>
      <c r="AVW130" s="181"/>
      <c r="AVX130" s="181"/>
      <c r="AVY130" s="181"/>
      <c r="AVZ130" s="181"/>
      <c r="AWA130" s="181"/>
      <c r="AWB130" s="181"/>
      <c r="AWC130" s="181"/>
      <c r="AWD130" s="181"/>
      <c r="AWE130" s="181"/>
      <c r="AWF130" s="181"/>
      <c r="AWG130" s="181"/>
      <c r="AWH130" s="181"/>
      <c r="AWI130" s="181"/>
      <c r="AWJ130" s="181"/>
      <c r="AWK130" s="181"/>
      <c r="AWL130" s="181"/>
      <c r="AWM130" s="181"/>
      <c r="AWN130" s="181"/>
      <c r="AWO130" s="181"/>
      <c r="AWP130" s="181"/>
      <c r="AWQ130" s="181"/>
      <c r="AWR130" s="181"/>
      <c r="AWS130" s="181"/>
      <c r="AWT130" s="181"/>
      <c r="AWU130" s="181"/>
      <c r="AWV130" s="181"/>
      <c r="AWW130" s="181"/>
      <c r="AWX130" s="181"/>
      <c r="AWY130" s="181"/>
      <c r="AWZ130" s="181"/>
      <c r="AXA130" s="181"/>
      <c r="AXB130" s="181"/>
      <c r="AXC130" s="181"/>
      <c r="AXD130" s="181"/>
      <c r="AXE130" s="181"/>
      <c r="AXF130" s="181"/>
      <c r="AXG130" s="181"/>
      <c r="AXH130" s="181"/>
      <c r="AXI130" s="181"/>
      <c r="AXJ130" s="181"/>
      <c r="AXK130" s="181"/>
      <c r="AXL130" s="181"/>
      <c r="AXM130" s="181"/>
      <c r="AXN130" s="181"/>
      <c r="AXO130" s="181"/>
      <c r="AXP130" s="181"/>
      <c r="AXQ130" s="181"/>
      <c r="AXR130" s="181"/>
      <c r="AXS130" s="181"/>
      <c r="AXT130" s="181"/>
      <c r="AXU130" s="181"/>
      <c r="AXV130" s="181"/>
      <c r="AXW130" s="181"/>
      <c r="AXX130" s="181"/>
      <c r="AXY130" s="181"/>
      <c r="AXZ130" s="181"/>
      <c r="AYA130" s="181"/>
      <c r="AYB130" s="181"/>
      <c r="AYC130" s="181"/>
      <c r="AYD130" s="181"/>
      <c r="AYE130" s="181"/>
      <c r="AYF130" s="181"/>
      <c r="AYG130" s="3406"/>
      <c r="BBV130" s="3406"/>
      <c r="BBW130" s="3406"/>
      <c r="BBX130" s="3406"/>
      <c r="BBY130" s="3406"/>
      <c r="BBZ130" s="3406"/>
      <c r="BCA130" s="3406"/>
      <c r="BCB130" s="3406"/>
      <c r="BCC130" s="3406"/>
      <c r="BCD130" s="3406"/>
      <c r="BFE130" s="3398"/>
    </row>
    <row r="131" spans="34:56 1243:1513" x14ac:dyDescent="0.2">
      <c r="AH131" s="5600" t="s">
        <v>38</v>
      </c>
      <c r="AI131" s="5609" t="s">
        <v>2093</v>
      </c>
      <c r="AJ131" s="5600" t="s">
        <v>38</v>
      </c>
      <c r="AL131" s="207"/>
      <c r="AM131" s="207"/>
      <c r="AN131" s="5599"/>
      <c r="AU131" s="433" t="s">
        <v>1070</v>
      </c>
      <c r="AV131" s="2622"/>
      <c r="AW131" s="2622"/>
      <c r="AX131" s="2622"/>
      <c r="AUU131" s="2617"/>
      <c r="AUV131" s="181"/>
      <c r="AUW131" s="181"/>
      <c r="AUX131" s="181"/>
      <c r="AUY131" s="181"/>
      <c r="AUZ131" s="181"/>
      <c r="AVA131" s="181"/>
      <c r="AVB131" s="181"/>
      <c r="AVC131" s="181"/>
      <c r="AVD131" s="181"/>
      <c r="AVE131" s="181"/>
      <c r="AVF131" s="181"/>
      <c r="AVG131" s="181"/>
      <c r="AVH131" s="181"/>
      <c r="AVI131" s="181"/>
      <c r="AVJ131" s="181"/>
      <c r="AVK131" s="181"/>
      <c r="AVL131" s="181"/>
      <c r="AVM131" s="181"/>
      <c r="AVN131" s="181"/>
      <c r="AVO131" s="181"/>
      <c r="AVP131" s="181"/>
      <c r="AVQ131" s="181"/>
      <c r="AVR131" s="181"/>
      <c r="AVS131" s="181"/>
      <c r="AVT131" s="181"/>
      <c r="AVU131" s="181"/>
      <c r="AVV131" s="181"/>
      <c r="AVW131" s="181"/>
      <c r="AVX131" s="181"/>
      <c r="AVY131" s="181"/>
      <c r="AVZ131" s="181"/>
      <c r="AWA131" s="181"/>
      <c r="AWB131" s="181"/>
      <c r="AWC131" s="181"/>
      <c r="AWD131" s="181"/>
      <c r="AWE131" s="181"/>
      <c r="AWF131" s="181"/>
      <c r="AWG131" s="181"/>
      <c r="AWH131" s="181"/>
      <c r="AWI131" s="181"/>
      <c r="AWJ131" s="181"/>
      <c r="AWK131" s="181"/>
      <c r="AWL131" s="181"/>
      <c r="AWM131" s="181"/>
      <c r="AWN131" s="181"/>
      <c r="AWO131" s="181"/>
      <c r="AWP131" s="181"/>
      <c r="AWQ131" s="181"/>
      <c r="AWR131" s="181"/>
      <c r="AWS131" s="181"/>
      <c r="AWT131" s="181"/>
      <c r="AWU131" s="181"/>
      <c r="AWV131" s="181"/>
      <c r="AWW131" s="181"/>
      <c r="AWX131" s="181"/>
      <c r="AWY131" s="181"/>
      <c r="AWZ131" s="181"/>
      <c r="AXA131" s="181"/>
      <c r="AXB131" s="181"/>
      <c r="AXC131" s="181"/>
      <c r="AXD131" s="181"/>
      <c r="AXE131" s="181"/>
      <c r="AXF131" s="181"/>
      <c r="AXG131" s="181"/>
      <c r="AXH131" s="181"/>
      <c r="AXI131" s="181"/>
      <c r="AXJ131" s="181"/>
      <c r="AXK131" s="181"/>
      <c r="AXL131" s="181"/>
      <c r="AXM131" s="181"/>
      <c r="AXN131" s="181"/>
      <c r="AXO131" s="181"/>
      <c r="AXP131" s="181"/>
      <c r="AXQ131" s="181"/>
      <c r="AXR131" s="181"/>
      <c r="AXS131" s="181"/>
      <c r="AXT131" s="181"/>
      <c r="AXU131" s="181"/>
      <c r="AXV131" s="181"/>
      <c r="AXW131" s="181"/>
      <c r="AXX131" s="181"/>
      <c r="AXY131" s="181"/>
      <c r="AXZ131" s="181"/>
      <c r="AYA131" s="181"/>
      <c r="AYB131" s="181"/>
      <c r="AYC131" s="181"/>
      <c r="AYD131" s="181"/>
      <c r="AYE131" s="181"/>
      <c r="AYF131" s="181"/>
      <c r="AYG131" s="3406"/>
      <c r="BBV131" s="3406"/>
      <c r="BBW131" s="3406"/>
      <c r="BBX131" s="3406"/>
      <c r="BBY131" s="3406"/>
      <c r="BBZ131" s="3406"/>
      <c r="BCA131" s="3406"/>
      <c r="BCB131" s="3406"/>
      <c r="BCC131" s="3406"/>
      <c r="BCD131" s="3406"/>
      <c r="BFE131" s="3398"/>
    </row>
    <row r="132" spans="34:56 1243:1513" ht="30.75" x14ac:dyDescent="0.2">
      <c r="AH132" s="2625"/>
      <c r="AI132" s="5612" t="s">
        <v>2558</v>
      </c>
      <c r="AJ132" s="5606" t="s">
        <v>2496</v>
      </c>
      <c r="AL132" s="402"/>
      <c r="AM132" s="207"/>
      <c r="AN132" s="5599"/>
      <c r="AV132" s="2622"/>
      <c r="AW132" s="2622"/>
      <c r="AX132" s="2622"/>
      <c r="AUU132" s="2617"/>
      <c r="AUV132" s="2627" t="s">
        <v>1477</v>
      </c>
      <c r="AUW132" s="2627"/>
      <c r="AUX132" s="181"/>
      <c r="AUY132" s="181"/>
      <c r="AUZ132" s="181"/>
      <c r="AVA132" s="181"/>
      <c r="AVB132" s="181"/>
      <c r="AVC132" s="181"/>
      <c r="AVD132" s="181"/>
      <c r="AVE132" s="181"/>
      <c r="AVF132" s="181"/>
      <c r="AVG132" s="181"/>
      <c r="AVH132" s="181"/>
      <c r="AVI132" s="181"/>
      <c r="AVJ132" s="181"/>
      <c r="AVK132" s="181"/>
      <c r="AVL132" s="181"/>
      <c r="AVM132" s="181"/>
      <c r="AVN132" s="181"/>
      <c r="AVO132" s="181"/>
      <c r="AVP132" s="181"/>
      <c r="AVQ132" s="181"/>
      <c r="AVR132" s="181"/>
      <c r="AVS132" s="181"/>
      <c r="AVT132" s="181"/>
      <c r="AVU132" s="181"/>
      <c r="AVV132" s="181"/>
      <c r="AVW132" s="181"/>
      <c r="AVX132" s="181"/>
      <c r="AVY132" s="181"/>
      <c r="AVZ132" s="181"/>
      <c r="AWA132" s="181"/>
      <c r="AWB132" s="181"/>
      <c r="AWC132" s="181"/>
      <c r="AWD132" s="181"/>
      <c r="AWE132" s="181"/>
      <c r="AWF132" s="181"/>
      <c r="AWG132" s="181"/>
      <c r="AWH132" s="181"/>
      <c r="AWI132" s="181"/>
      <c r="AWJ132" s="181"/>
      <c r="AWK132" s="181"/>
      <c r="AWL132" s="181"/>
      <c r="AWM132" s="181"/>
      <c r="AWN132" s="181"/>
      <c r="AWO132" s="181"/>
      <c r="AWP132" s="181"/>
      <c r="AWQ132" s="181"/>
      <c r="AWR132" s="181"/>
      <c r="AWS132" s="181"/>
      <c r="AWT132" s="181"/>
      <c r="AWU132" s="181"/>
      <c r="AWV132" s="181"/>
      <c r="AWW132" s="181"/>
      <c r="AWX132" s="181"/>
      <c r="AWY132" s="181"/>
      <c r="AWZ132" s="181"/>
      <c r="AXA132" s="181"/>
      <c r="AXB132" s="181"/>
      <c r="AXC132" s="181"/>
      <c r="AXD132" s="181"/>
      <c r="AXE132" s="181"/>
      <c r="AXF132" s="181"/>
      <c r="AXG132" s="181"/>
      <c r="AXH132" s="181"/>
      <c r="AXI132" s="181"/>
      <c r="AXJ132" s="181"/>
      <c r="AXK132" s="181"/>
      <c r="AXL132" s="181"/>
      <c r="AXM132" s="181"/>
      <c r="AXN132" s="181"/>
      <c r="AXO132" s="181"/>
      <c r="AXP132" s="181"/>
      <c r="AXQ132" s="181"/>
      <c r="AXR132" s="181"/>
      <c r="AXS132" s="181"/>
      <c r="AXT132" s="181"/>
      <c r="AXU132" s="181"/>
      <c r="AXV132" s="181"/>
      <c r="AXW132" s="181"/>
      <c r="AXX132" s="181"/>
      <c r="AXY132" s="181"/>
      <c r="AXZ132" s="181"/>
      <c r="AYA132" s="181"/>
      <c r="AYB132" s="181"/>
      <c r="AYC132" s="181"/>
      <c r="AYD132" s="181"/>
      <c r="AYE132" s="181"/>
      <c r="AYF132" s="181"/>
      <c r="AYG132" s="3406"/>
      <c r="BBV132" s="3406"/>
      <c r="BBW132" s="3406"/>
      <c r="BBX132" s="3406"/>
      <c r="BBY132" s="3406"/>
      <c r="BBZ132" s="3406"/>
      <c r="BCA132" s="3406"/>
      <c r="BCB132" s="3406"/>
      <c r="BCC132" s="3406"/>
      <c r="BCD132" s="3406"/>
      <c r="BFE132" s="3398"/>
    </row>
    <row r="133" spans="34:56 1243:1513" x14ac:dyDescent="0.2">
      <c r="AH133" s="2625"/>
      <c r="AI133" s="5612" t="s">
        <v>2559</v>
      </c>
      <c r="AJ133" s="5600" t="s">
        <v>2497</v>
      </c>
      <c r="AL133" s="402"/>
      <c r="AM133" s="207"/>
      <c r="AN133" s="5599"/>
      <c r="AV133" s="2622"/>
      <c r="AW133" s="2622"/>
      <c r="AX133" s="2622"/>
      <c r="AUU133" s="2617"/>
      <c r="AUV133" s="2623"/>
      <c r="AUW133" s="2623"/>
      <c r="AUX133" s="181"/>
      <c r="AUY133" s="181"/>
      <c r="AUZ133" s="181"/>
      <c r="AVA133" s="181"/>
      <c r="AVB133" s="181"/>
      <c r="AVC133" s="181"/>
      <c r="AVD133" s="181"/>
      <c r="AVE133" s="181"/>
      <c r="AVF133" s="181"/>
      <c r="AVG133" s="181"/>
      <c r="AVH133" s="181"/>
      <c r="AVI133" s="181"/>
      <c r="AVJ133" s="181"/>
      <c r="AVK133" s="181"/>
      <c r="AVL133" s="181"/>
      <c r="AVM133" s="181"/>
      <c r="AVN133" s="181"/>
      <c r="AVO133" s="181"/>
      <c r="AVP133" s="181"/>
      <c r="AVQ133" s="181"/>
      <c r="AVR133" s="181"/>
      <c r="AVS133" s="181"/>
      <c r="AVT133" s="181"/>
      <c r="AVU133" s="181"/>
      <c r="AVV133" s="181"/>
      <c r="AVW133" s="181"/>
      <c r="AVX133" s="181"/>
      <c r="AVY133" s="181"/>
      <c r="AVZ133" s="181"/>
      <c r="AWA133" s="181"/>
      <c r="AWB133" s="181"/>
      <c r="AWC133" s="181"/>
      <c r="AWD133" s="181"/>
      <c r="AWE133" s="181"/>
      <c r="AWF133" s="181"/>
      <c r="AWG133" s="181"/>
      <c r="AWH133" s="181"/>
      <c r="AWI133" s="181"/>
      <c r="AWJ133" s="181"/>
      <c r="AWK133" s="181"/>
      <c r="AWL133" s="181"/>
      <c r="AWM133" s="181"/>
      <c r="AWN133" s="181"/>
      <c r="AWO133" s="181"/>
      <c r="AWP133" s="181"/>
      <c r="AWQ133" s="181"/>
      <c r="AWR133" s="181"/>
      <c r="AWS133" s="181"/>
      <c r="AWT133" s="181"/>
      <c r="AWU133" s="181"/>
      <c r="AWV133" s="181"/>
      <c r="AWW133" s="181"/>
      <c r="AWX133" s="181"/>
      <c r="AWY133" s="181"/>
      <c r="AWZ133" s="181"/>
      <c r="AXA133" s="181"/>
      <c r="AXB133" s="181"/>
      <c r="AXC133" s="181"/>
      <c r="AXD133" s="181"/>
      <c r="AXE133" s="181"/>
      <c r="AXF133" s="181"/>
      <c r="AXG133" s="181"/>
      <c r="AXH133" s="181"/>
      <c r="AXI133" s="181"/>
      <c r="AXJ133" s="181"/>
      <c r="AXK133" s="181"/>
      <c r="AXL133" s="181"/>
      <c r="AXM133" s="181"/>
      <c r="AXN133" s="181"/>
      <c r="AXO133" s="181"/>
      <c r="AXP133" s="181"/>
      <c r="AXQ133" s="181"/>
      <c r="AXR133" s="181"/>
      <c r="AXS133" s="181"/>
      <c r="AXT133" s="181"/>
      <c r="AXU133" s="181"/>
      <c r="AXV133" s="181"/>
      <c r="AXW133" s="181"/>
      <c r="AXX133" s="181"/>
      <c r="AXY133" s="181"/>
      <c r="AXZ133" s="181"/>
      <c r="AYA133" s="181"/>
      <c r="AYB133" s="181"/>
      <c r="AYC133" s="181"/>
      <c r="AYD133" s="181"/>
      <c r="AYE133" s="181"/>
      <c r="AYF133" s="181"/>
      <c r="AYG133" s="3406"/>
      <c r="BBV133" s="3406"/>
      <c r="BBW133" s="3406"/>
      <c r="BBX133" s="3406"/>
      <c r="BBY133" s="3406"/>
      <c r="BBZ133" s="3406"/>
      <c r="BCA133" s="3406"/>
      <c r="BCB133" s="3406"/>
      <c r="BCC133" s="3406"/>
      <c r="BCD133" s="3406"/>
      <c r="BFE133" s="3398"/>
    </row>
    <row r="134" spans="34:56 1243:1513" ht="18" x14ac:dyDescent="0.25">
      <c r="AH134" s="2625"/>
      <c r="AL134" s="402"/>
      <c r="AM134" s="207"/>
      <c r="AN134" s="5599"/>
      <c r="AU134" s="3300"/>
      <c r="AV134" s="3301"/>
      <c r="AW134" s="3301"/>
      <c r="AX134" s="3301"/>
      <c r="AY134" s="3301"/>
      <c r="AZ134" s="3301"/>
      <c r="BA134" s="3301"/>
      <c r="BB134" s="3301"/>
      <c r="BC134" s="3301"/>
      <c r="BD134" s="3301"/>
      <c r="AUU134" s="2617"/>
      <c r="AUV134" s="3397"/>
      <c r="AUW134" s="3397"/>
      <c r="AUX134" s="181"/>
      <c r="AUY134" s="181"/>
      <c r="AUZ134" s="181"/>
      <c r="AVA134" s="181"/>
      <c r="AVB134" s="181"/>
      <c r="AVC134" s="181"/>
      <c r="AVD134" s="181"/>
      <c r="AVE134" s="181"/>
      <c r="AVF134" s="181"/>
      <c r="AVG134" s="181"/>
      <c r="AVH134" s="181"/>
      <c r="AVI134" s="181"/>
      <c r="AVJ134" s="181"/>
      <c r="AVK134" s="181"/>
      <c r="AVL134" s="181"/>
      <c r="AVM134" s="181"/>
      <c r="AVN134" s="181"/>
      <c r="AVO134" s="181"/>
      <c r="AVP134" s="181"/>
      <c r="AVQ134" s="181"/>
      <c r="AVR134" s="181"/>
      <c r="AVS134" s="181"/>
      <c r="AVT134" s="181"/>
      <c r="AVU134" s="181"/>
      <c r="AVV134" s="181"/>
      <c r="AVW134" s="181"/>
      <c r="AVX134" s="181"/>
      <c r="AVY134" s="181"/>
      <c r="AVZ134" s="181"/>
      <c r="AWA134" s="181"/>
      <c r="AWB134" s="181"/>
      <c r="AWC134" s="181"/>
      <c r="AWD134" s="181"/>
      <c r="AWE134" s="181"/>
      <c r="AWF134" s="181"/>
      <c r="AWG134" s="181"/>
      <c r="AWH134" s="181"/>
      <c r="AWI134" s="181"/>
      <c r="AWJ134" s="181"/>
      <c r="AWK134" s="181"/>
      <c r="AWL134" s="181"/>
      <c r="AWM134" s="181"/>
      <c r="AWN134" s="181"/>
      <c r="AWO134" s="181"/>
      <c r="AWP134" s="181"/>
      <c r="AWQ134" s="181"/>
      <c r="AWR134" s="181"/>
      <c r="AWS134" s="181"/>
      <c r="AWT134" s="181"/>
      <c r="AWU134" s="181"/>
      <c r="AWV134" s="181"/>
      <c r="AWW134" s="181"/>
      <c r="AWX134" s="181"/>
      <c r="AWY134" s="181"/>
      <c r="AWZ134" s="181"/>
      <c r="AXA134" s="181"/>
      <c r="AXB134" s="181"/>
      <c r="AXC134" s="181"/>
      <c r="AXD134" s="181"/>
      <c r="AXE134" s="181"/>
      <c r="AXF134" s="181"/>
      <c r="AXG134" s="181"/>
      <c r="AXH134" s="181"/>
      <c r="AXI134" s="181"/>
      <c r="AXJ134" s="181"/>
      <c r="AXK134" s="181"/>
      <c r="AXL134" s="181"/>
      <c r="AXM134" s="181"/>
      <c r="AXN134" s="181"/>
      <c r="AXO134" s="181"/>
      <c r="AXP134" s="181"/>
      <c r="AXQ134" s="181"/>
      <c r="AXR134" s="181"/>
      <c r="AXS134" s="181"/>
      <c r="AXT134" s="181"/>
      <c r="AXU134" s="181"/>
      <c r="AXV134" s="181"/>
      <c r="AXW134" s="181"/>
      <c r="AXX134" s="181"/>
      <c r="AXY134" s="181"/>
      <c r="AXZ134" s="181"/>
      <c r="AYA134" s="181"/>
      <c r="AYB134" s="181"/>
      <c r="AYC134" s="181"/>
      <c r="AYD134" s="181"/>
      <c r="AYE134" s="181"/>
      <c r="AYF134" s="181"/>
      <c r="BFE134" s="3398"/>
    </row>
    <row r="135" spans="34:56 1243:1513" ht="20.25" x14ac:dyDescent="0.2">
      <c r="AH135" s="5600" t="s">
        <v>105</v>
      </c>
      <c r="AI135" s="5609" t="s">
        <v>2094</v>
      </c>
      <c r="AJ135" s="5600" t="s">
        <v>40</v>
      </c>
      <c r="AL135" s="402"/>
      <c r="AM135" s="207"/>
      <c r="AN135" s="5599"/>
      <c r="AU135" s="3302" t="s">
        <v>340</v>
      </c>
      <c r="AV135" s="3303">
        <v>1</v>
      </c>
      <c r="AW135" s="3303">
        <v>2</v>
      </c>
      <c r="AX135" s="3303">
        <v>3</v>
      </c>
      <c r="AY135" s="3303">
        <v>4</v>
      </c>
      <c r="AZ135" s="3303">
        <v>5</v>
      </c>
      <c r="BA135" s="3303">
        <v>6</v>
      </c>
      <c r="BB135" s="3303">
        <v>7</v>
      </c>
      <c r="BC135" s="3303">
        <v>8</v>
      </c>
      <c r="BD135" s="3303">
        <v>9</v>
      </c>
      <c r="AUU135" s="2617"/>
      <c r="AUV135" s="2625"/>
      <c r="AUW135" s="2625"/>
      <c r="AUX135" s="181"/>
      <c r="AUY135" s="181"/>
      <c r="AUZ135" s="181"/>
      <c r="AVA135" s="181"/>
      <c r="AVB135" s="181"/>
      <c r="AVC135" s="181"/>
      <c r="AVD135" s="181"/>
      <c r="AVE135" s="181"/>
      <c r="AVF135" s="181"/>
      <c r="AVG135" s="181"/>
      <c r="AVH135" s="181"/>
      <c r="AVI135" s="181"/>
      <c r="AVJ135" s="181"/>
      <c r="AVK135" s="181"/>
      <c r="AVL135" s="181"/>
      <c r="AVM135" s="181"/>
      <c r="AVN135" s="181"/>
      <c r="AVO135" s="181"/>
      <c r="AVP135" s="181"/>
      <c r="AVQ135" s="181"/>
      <c r="AVR135" s="181"/>
      <c r="AVS135" s="181"/>
      <c r="AVT135" s="181"/>
      <c r="AVU135" s="181"/>
      <c r="AVV135" s="181"/>
      <c r="AVW135" s="181"/>
      <c r="AVX135" s="181"/>
      <c r="AVY135" s="181"/>
      <c r="AVZ135" s="181"/>
      <c r="AWA135" s="181"/>
      <c r="AWB135" s="181"/>
      <c r="AWC135" s="181"/>
      <c r="AWD135" s="181"/>
      <c r="AWE135" s="181"/>
      <c r="AWF135" s="181"/>
      <c r="AWG135" s="181"/>
      <c r="AWH135" s="181"/>
      <c r="AWI135" s="181"/>
      <c r="AWJ135" s="181"/>
      <c r="AWK135" s="181"/>
      <c r="AWL135" s="181"/>
      <c r="AWM135" s="181"/>
      <c r="AWN135" s="181"/>
      <c r="AWO135" s="181"/>
      <c r="AWP135" s="181"/>
      <c r="AWQ135" s="181"/>
      <c r="AWR135" s="181"/>
      <c r="AWS135" s="181"/>
      <c r="AWT135" s="181"/>
      <c r="AWU135" s="181"/>
      <c r="AWV135" s="181"/>
      <c r="AWW135" s="181"/>
      <c r="AWX135" s="181"/>
      <c r="AWY135" s="181"/>
      <c r="AWZ135" s="181"/>
      <c r="AXA135" s="181"/>
      <c r="AXB135" s="181"/>
      <c r="AXC135" s="181"/>
      <c r="AXD135" s="181"/>
      <c r="AXE135" s="181"/>
      <c r="AXF135" s="181"/>
      <c r="AXG135" s="181"/>
      <c r="AXH135" s="181"/>
      <c r="AXI135" s="181"/>
      <c r="AXJ135" s="181"/>
      <c r="AXK135" s="181"/>
      <c r="AXL135" s="181"/>
      <c r="AXM135" s="181"/>
      <c r="AXN135" s="181"/>
      <c r="AXO135" s="181"/>
      <c r="AXP135" s="181"/>
      <c r="AXQ135" s="181"/>
      <c r="AXR135" s="181"/>
      <c r="AXS135" s="181"/>
      <c r="AXT135" s="181"/>
      <c r="AXU135" s="181"/>
      <c r="AXV135" s="181"/>
      <c r="AXW135" s="181"/>
      <c r="AXX135" s="181"/>
      <c r="AXY135" s="181"/>
      <c r="AXZ135" s="181"/>
      <c r="AYA135" s="181"/>
      <c r="AYB135" s="181"/>
      <c r="AYC135" s="181"/>
      <c r="AYD135" s="181"/>
      <c r="AYE135" s="181"/>
      <c r="AYF135" s="181"/>
      <c r="BFE135" s="3398"/>
    </row>
    <row r="136" spans="34:56 1243:1513" ht="18" x14ac:dyDescent="0.25">
      <c r="AH136" s="2625"/>
      <c r="AI136" s="5612"/>
      <c r="AJ136" s="5606" t="s">
        <v>1231</v>
      </c>
      <c r="AL136" s="402"/>
      <c r="AM136" s="207"/>
      <c r="AN136" s="5599"/>
      <c r="AU136" s="319" t="s">
        <v>1148</v>
      </c>
      <c r="AV136" s="313" t="str">
        <f>IFERROR((INDEX(position_klasse[Navn],MATCH(AV135,position_klasse[Position],0))),"")</f>
        <v>Stuff 1-1</v>
      </c>
      <c r="AW136" s="313" t="str">
        <f>IFERROR((INDEX(position_klasse[Navn],MATCH(AW135,position_klasse[Position],0))),"")</f>
        <v/>
      </c>
      <c r="AX136" s="313" t="str">
        <f>IFERROR((INDEX(position_klasse[Navn],MATCH(AX135,position_klasse[Position],0))),"")</f>
        <v/>
      </c>
      <c r="AY136" s="313" t="str">
        <f>IFERROR((INDEX(position_klasse[Navn],MATCH(AY135,position_klasse[Position],0))),"")</f>
        <v/>
      </c>
      <c r="AZ136" s="313" t="str">
        <f>IFERROR((INDEX(position_klasse[Navn],MATCH(AZ135,position_klasse[Position],0))),"")</f>
        <v/>
      </c>
      <c r="BA136" s="313" t="str">
        <f>IFERROR((INDEX(position_klasse[Navn],MATCH(BA135,position_klasse[Position],0))),"")</f>
        <v/>
      </c>
      <c r="BB136" s="313" t="str">
        <f>IFERROR((INDEX(position_klasse[Navn],MATCH(BB135,position_klasse[Position],0))),"")</f>
        <v/>
      </c>
      <c r="BC136" s="313" t="str">
        <f>IFERROR((INDEX(position_klasse[Navn],MATCH(BC135,position_klasse[Position],0))),"")</f>
        <v/>
      </c>
      <c r="BD136" s="313" t="str">
        <f>IFERROR((INDEX(position_klasse[Navn],MATCH(BD135,position_klasse[Position],0))),"")</f>
        <v/>
      </c>
      <c r="AUU136" s="2617"/>
      <c r="AUV136" s="3571" t="s">
        <v>1359</v>
      </c>
      <c r="AUW136" s="3572" t="s">
        <v>1478</v>
      </c>
      <c r="AUX136" s="3573" t="s">
        <v>1479</v>
      </c>
      <c r="AUY136" s="3573" t="s">
        <v>1480</v>
      </c>
      <c r="AUZ136" s="3573" t="s">
        <v>1481</v>
      </c>
      <c r="AVA136" s="3573" t="s">
        <v>1482</v>
      </c>
      <c r="AVB136" s="3573" t="s">
        <v>1483</v>
      </c>
      <c r="AVC136" s="3573" t="s">
        <v>1484</v>
      </c>
      <c r="AVD136" s="3574" t="s">
        <v>1485</v>
      </c>
      <c r="AVE136" s="3573" t="s">
        <v>2194</v>
      </c>
      <c r="AVF136" s="3573" t="s">
        <v>2195</v>
      </c>
      <c r="AVG136" s="3573" t="s">
        <v>2196</v>
      </c>
      <c r="AVH136" s="3573" t="s">
        <v>2197</v>
      </c>
      <c r="AVI136" s="3573" t="s">
        <v>2198</v>
      </c>
      <c r="AVJ136" s="3573" t="s">
        <v>2199</v>
      </c>
      <c r="AVK136" s="3573" t="s">
        <v>2200</v>
      </c>
      <c r="AVL136" s="3573" t="s">
        <v>2201</v>
      </c>
      <c r="AVM136" s="3573" t="s">
        <v>2218</v>
      </c>
      <c r="AVN136" s="3573" t="s">
        <v>2219</v>
      </c>
      <c r="AVO136" s="3573" t="s">
        <v>2220</v>
      </c>
      <c r="AVP136" s="3573" t="s">
        <v>2221</v>
      </c>
      <c r="AVQ136" s="3573" t="s">
        <v>2222</v>
      </c>
      <c r="AVR136" s="3573" t="s">
        <v>2223</v>
      </c>
      <c r="AVS136" s="3573" t="s">
        <v>2224</v>
      </c>
      <c r="AVT136" s="3573" t="s">
        <v>2225</v>
      </c>
      <c r="AVU136" s="3573" t="s">
        <v>2202</v>
      </c>
      <c r="AVV136" s="3573" t="s">
        <v>2203</v>
      </c>
      <c r="AVW136" s="3573" t="s">
        <v>2204</v>
      </c>
      <c r="AVX136" s="3573" t="s">
        <v>2205</v>
      </c>
      <c r="AVY136" s="3573" t="s">
        <v>2206</v>
      </c>
      <c r="AVZ136" s="3573" t="s">
        <v>2207</v>
      </c>
      <c r="AWA136" s="3573" t="s">
        <v>2208</v>
      </c>
      <c r="AWB136" s="3573" t="s">
        <v>2209</v>
      </c>
      <c r="AWC136" s="3573" t="s">
        <v>2210</v>
      </c>
      <c r="AWD136" s="3573" t="s">
        <v>2211</v>
      </c>
      <c r="AWE136" s="3573" t="s">
        <v>2212</v>
      </c>
      <c r="AWF136" s="3573" t="s">
        <v>2213</v>
      </c>
      <c r="AWG136" s="3573" t="s">
        <v>2214</v>
      </c>
      <c r="AWH136" s="3573" t="s">
        <v>2215</v>
      </c>
      <c r="AWI136" s="3573" t="s">
        <v>2216</v>
      </c>
      <c r="AWJ136" s="3573" t="s">
        <v>2217</v>
      </c>
      <c r="AWK136" s="181"/>
      <c r="AWL136" s="181"/>
      <c r="AWM136" s="181"/>
      <c r="AWN136" s="181"/>
      <c r="AWO136" s="181"/>
      <c r="AWP136" s="181"/>
      <c r="AWQ136" s="181"/>
      <c r="AWR136" s="181"/>
      <c r="AWS136" s="181"/>
      <c r="AWT136" s="181"/>
      <c r="AWU136" s="181"/>
      <c r="AWV136" s="181"/>
      <c r="AWW136" s="181"/>
      <c r="AWX136" s="181"/>
      <c r="AWY136" s="181"/>
      <c r="AWZ136" s="181"/>
      <c r="AXA136" s="181"/>
      <c r="AXB136" s="181"/>
      <c r="AXC136" s="181"/>
      <c r="AXD136" s="181"/>
      <c r="AXE136" s="181"/>
      <c r="AXF136" s="181"/>
      <c r="AXG136" s="181"/>
      <c r="AXH136" s="181"/>
      <c r="AXI136" s="181"/>
      <c r="AXJ136" s="181"/>
      <c r="AXK136" s="181"/>
      <c r="AXL136" s="181"/>
      <c r="AXM136" s="181"/>
      <c r="AXN136" s="181"/>
      <c r="AXO136" s="181"/>
      <c r="AXP136" s="181"/>
      <c r="AXQ136" s="181"/>
      <c r="AXR136" s="181"/>
      <c r="AXS136" s="181"/>
      <c r="AXT136" s="181"/>
      <c r="AXU136" s="181"/>
      <c r="AXV136" s="181"/>
      <c r="AXW136" s="181"/>
      <c r="AXX136" s="181"/>
      <c r="AXY136" s="181"/>
      <c r="AXZ136" s="181"/>
      <c r="AYA136" s="181"/>
      <c r="AYB136" s="181"/>
      <c r="AYC136" s="181"/>
      <c r="AYD136" s="181"/>
      <c r="AYE136" s="181"/>
      <c r="AYF136" s="181"/>
      <c r="AYG136" s="183"/>
      <c r="BBV136" s="183"/>
      <c r="BBW136" s="183"/>
      <c r="BBX136" s="183"/>
      <c r="BBY136" s="183"/>
      <c r="BBZ136" s="183"/>
      <c r="BCA136" s="183"/>
      <c r="BCB136" s="183"/>
      <c r="BCC136" s="183"/>
      <c r="BCD136" s="183"/>
      <c r="BFE136" s="3398"/>
    </row>
    <row r="137" spans="34:56 1243:1513" ht="18" x14ac:dyDescent="0.25">
      <c r="AH137" s="2625"/>
      <c r="AI137" s="5612"/>
      <c r="AJ137" s="5606" t="s">
        <v>2601</v>
      </c>
      <c r="AL137" s="402"/>
      <c r="AM137" s="207"/>
      <c r="AN137" s="5599"/>
      <c r="AU137" s="319" t="s">
        <v>1149</v>
      </c>
      <c r="AV137" s="313" t="str">
        <f>IFERROR((INDEX(oppsum_position[Name],MATCH(AV135,oppsum_position[Position],0))),"")</f>
        <v>Stuff 1-1</v>
      </c>
      <c r="AW137" s="313" t="str">
        <f>IFERROR((INDEX(oppsum_position[Name],MATCH(AW135,oppsum_position[Position],0))),"")</f>
        <v/>
      </c>
      <c r="AX137" s="313" t="str">
        <f>IFERROR((INDEX(oppsum_position[Name],MATCH(AX135,oppsum_position[Position],0))),"")</f>
        <v/>
      </c>
      <c r="AY137" s="313" t="str">
        <f>IFERROR((INDEX(oppsum_position[Name],MATCH(AY135,oppsum_position[Position],0))),"")</f>
        <v/>
      </c>
      <c r="AZ137" s="313" t="str">
        <f>IFERROR((INDEX(oppsum_position[Name],MATCH(AZ135,oppsum_position[Position],0))),"")</f>
        <v/>
      </c>
      <c r="BA137" s="313" t="str">
        <f>IFERROR((INDEX(oppsum_position[Name],MATCH(BA135,oppsum_position[Position],0))),"")</f>
        <v/>
      </c>
      <c r="BB137" s="313" t="str">
        <f>IFERROR((INDEX(oppsum_position[Name],MATCH(BB135,oppsum_position[Position],0))),"")</f>
        <v/>
      </c>
      <c r="BC137" s="313" t="str">
        <f>IFERROR((INDEX(oppsum_position[Name],MATCH(BC135,oppsum_position[Position],0))),"")</f>
        <v/>
      </c>
      <c r="BD137" s="313" t="str">
        <f>IFERROR((INDEX(oppsum_position[Name],MATCH(BD135,oppsum_position[Position],0))),"")</f>
        <v/>
      </c>
      <c r="AUU137" s="2617"/>
      <c r="AUV137" s="3575" t="s">
        <v>1267</v>
      </c>
      <c r="AUW137" s="3565" t="s">
        <v>18</v>
      </c>
      <c r="AUX137" s="5154" t="s">
        <v>18</v>
      </c>
      <c r="AUY137" s="5154" t="s">
        <v>18</v>
      </c>
      <c r="AUZ137" s="2985" t="s">
        <v>18</v>
      </c>
      <c r="AVA137" s="2985" t="s">
        <v>18</v>
      </c>
      <c r="AVB137" s="5154">
        <v>1.5</v>
      </c>
      <c r="AVC137" s="5154">
        <v>1.5</v>
      </c>
      <c r="AVD137" s="5155">
        <v>1.5</v>
      </c>
      <c r="AVE137" s="5154">
        <v>0</v>
      </c>
      <c r="AVF137" s="5154">
        <v>0</v>
      </c>
      <c r="AVG137" s="5154">
        <v>0</v>
      </c>
      <c r="AVH137" s="5154">
        <v>1</v>
      </c>
      <c r="AVI137" s="5154">
        <v>2</v>
      </c>
      <c r="AVJ137" s="5154">
        <v>3</v>
      </c>
      <c r="AVK137" s="5154">
        <v>4</v>
      </c>
      <c r="AVL137" s="5154">
        <v>5</v>
      </c>
      <c r="AVM137" s="5154">
        <v>0</v>
      </c>
      <c r="AVN137" s="5154">
        <v>0</v>
      </c>
      <c r="AVO137" s="5154">
        <v>0</v>
      </c>
      <c r="AVP137" s="5154">
        <v>1</v>
      </c>
      <c r="AVQ137" s="5154">
        <v>1</v>
      </c>
      <c r="AVR137" s="5154">
        <v>0.5</v>
      </c>
      <c r="AVS137" s="5154">
        <v>0.5</v>
      </c>
      <c r="AVT137" s="5154">
        <v>0.5</v>
      </c>
      <c r="AVU137" s="5158" t="s">
        <v>18</v>
      </c>
      <c r="AVV137" s="5158" t="s">
        <v>18</v>
      </c>
      <c r="AVW137" s="5158" t="s">
        <v>18</v>
      </c>
      <c r="AVX137" s="5158">
        <v>1</v>
      </c>
      <c r="AVY137" s="5158">
        <v>1</v>
      </c>
      <c r="AVZ137" s="5158">
        <v>1</v>
      </c>
      <c r="AWA137" s="5158">
        <v>1</v>
      </c>
      <c r="AWB137" s="5158">
        <v>1</v>
      </c>
      <c r="AWC137" s="5158" t="str">
        <f>IFERROR(1-klasseqty_bergbånd[[#This Row],[tilleggs_bergbånd_festebolter_lt4_a]],"-")</f>
        <v>-</v>
      </c>
      <c r="AWD137" s="5158" t="str">
        <f>IFERROR(1-klasseqty_bergbånd[[#This Row],[tilleggs_bergbånd_festebolter_lt4_b]],"-")</f>
        <v>-</v>
      </c>
      <c r="AWE137" s="5158" t="str">
        <f>IFERROR(1-klasseqty_bergbånd[[#This Row],[tilleggs_bergbånd_festebolter_lt4_c]],"-")</f>
        <v>-</v>
      </c>
      <c r="AWF137" s="5158">
        <f>IFERROR(1-klasseqty_bergbånd[[#This Row],[tilleggs_bergbånd_festebolter_lt4_d]],"-")</f>
        <v>0</v>
      </c>
      <c r="AWG137" s="5158">
        <f>IFERROR(1-klasseqty_bergbånd[[#This Row],[tilleggs_bergbånd_festebolter_lt4_e1]],"-")</f>
        <v>0</v>
      </c>
      <c r="AWH137" s="5158">
        <f>IFERROR(1-klasseqty_bergbånd[[#This Row],[tilleggs_bergbånd_festebolter_lt4_e2]],"-")</f>
        <v>0</v>
      </c>
      <c r="AWI137" s="5158">
        <f>IFERROR(1-klasseqty_bergbånd[[#This Row],[tilleggs_bergbånd_festebolter_lt4_f]],"-")</f>
        <v>0</v>
      </c>
      <c r="AWJ137" s="5158">
        <f>IFERROR(1-klasseqty_bergbånd[[#This Row],[tilleggs_bergbånd_festebolter_lt4_g]],"-")</f>
        <v>0</v>
      </c>
      <c r="AWK137" s="181"/>
      <c r="AWL137" s="181"/>
      <c r="AWM137" s="181"/>
      <c r="AWN137" s="181"/>
      <c r="AWO137" s="181"/>
      <c r="AWP137" s="181"/>
      <c r="AWQ137" s="181"/>
      <c r="AWR137" s="181"/>
      <c r="AWS137" s="181"/>
      <c r="AWT137" s="181"/>
      <c r="AWU137" s="181"/>
      <c r="AWV137" s="181"/>
      <c r="AWW137" s="181"/>
      <c r="AWX137" s="181"/>
      <c r="AWY137" s="181"/>
      <c r="AWZ137" s="181"/>
      <c r="AXA137" s="181"/>
      <c r="AXB137" s="181"/>
      <c r="AXC137" s="181"/>
      <c r="AXD137" s="181"/>
      <c r="AXE137" s="181"/>
      <c r="AXF137" s="181"/>
      <c r="AXG137" s="181"/>
      <c r="AXH137" s="181"/>
      <c r="AXI137" s="181"/>
      <c r="AXJ137" s="181"/>
      <c r="AXK137" s="181"/>
      <c r="AXL137" s="181"/>
      <c r="AXM137" s="181"/>
      <c r="AXN137" s="181"/>
      <c r="AXO137" s="181"/>
      <c r="AXP137" s="181"/>
      <c r="AXQ137" s="181"/>
      <c r="AXR137" s="181"/>
      <c r="AXS137" s="181"/>
      <c r="AXT137" s="181"/>
      <c r="AXU137" s="181"/>
      <c r="AXV137" s="181"/>
      <c r="AXW137" s="181"/>
      <c r="AXX137" s="181"/>
      <c r="AXY137" s="181"/>
      <c r="AXZ137" s="181"/>
      <c r="AYA137" s="181"/>
      <c r="AYB137" s="181"/>
      <c r="AYC137" s="181"/>
      <c r="AYD137" s="181"/>
      <c r="AYE137" s="181"/>
      <c r="AYF137" s="181"/>
      <c r="AYG137" s="265"/>
      <c r="BBV137" s="265"/>
      <c r="BBW137" s="265"/>
      <c r="BBX137" s="265"/>
      <c r="BBY137" s="265"/>
      <c r="BBZ137" s="265"/>
      <c r="BCA137" s="265"/>
      <c r="BCB137" s="265"/>
      <c r="BCC137" s="265"/>
      <c r="BCD137" s="265"/>
      <c r="BFE137" s="3398"/>
    </row>
    <row r="138" spans="34:56 1243:1513" ht="18" x14ac:dyDescent="0.25">
      <c r="AL138" s="402"/>
      <c r="AM138" s="207"/>
      <c r="AN138" s="5599"/>
      <c r="AU138" s="3337"/>
      <c r="AV138" s="3338"/>
      <c r="AW138" s="3338"/>
      <c r="AX138" s="3338"/>
      <c r="AY138" s="3339"/>
      <c r="AZ138" s="3339"/>
      <c r="BA138" s="3339"/>
      <c r="BB138" s="3339"/>
      <c r="BC138" s="3339"/>
      <c r="BD138" s="3339"/>
      <c r="AUU138" s="2617"/>
      <c r="AUV138" s="3575" t="s">
        <v>1268</v>
      </c>
      <c r="AUW138" s="2985" t="s">
        <v>18</v>
      </c>
      <c r="AUX138" s="5154" t="s">
        <v>18</v>
      </c>
      <c r="AUY138" s="5154" t="s">
        <v>18</v>
      </c>
      <c r="AUZ138" s="2985" t="s">
        <v>18</v>
      </c>
      <c r="AVA138" s="2985" t="s">
        <v>18</v>
      </c>
      <c r="AVB138" s="5154">
        <v>1.5</v>
      </c>
      <c r="AVC138" s="5154">
        <v>1.5</v>
      </c>
      <c r="AVD138" s="5155">
        <v>1.5</v>
      </c>
      <c r="AVE138" s="5154">
        <v>0</v>
      </c>
      <c r="AVF138" s="5154">
        <v>0</v>
      </c>
      <c r="AVG138" s="5154">
        <v>0</v>
      </c>
      <c r="AVH138" s="5154">
        <v>1</v>
      </c>
      <c r="AVI138" s="5154">
        <v>2</v>
      </c>
      <c r="AVJ138" s="5154">
        <v>3</v>
      </c>
      <c r="AVK138" s="5154">
        <v>4</v>
      </c>
      <c r="AVL138" s="5154">
        <v>5</v>
      </c>
      <c r="AVM138" s="5154">
        <v>0</v>
      </c>
      <c r="AVN138" s="5154">
        <v>0</v>
      </c>
      <c r="AVO138" s="5154">
        <v>0</v>
      </c>
      <c r="AVP138" s="5154">
        <v>1</v>
      </c>
      <c r="AVQ138" s="5154">
        <v>1</v>
      </c>
      <c r="AVR138" s="5154">
        <v>0.5</v>
      </c>
      <c r="AVS138" s="5154">
        <v>0.5</v>
      </c>
      <c r="AVT138" s="5154">
        <v>0.5</v>
      </c>
      <c r="AVU138" s="5158" t="s">
        <v>18</v>
      </c>
      <c r="AVV138" s="5158" t="s">
        <v>18</v>
      </c>
      <c r="AVW138" s="5158" t="s">
        <v>18</v>
      </c>
      <c r="AVX138" s="5158">
        <v>1</v>
      </c>
      <c r="AVY138" s="5158">
        <v>1</v>
      </c>
      <c r="AVZ138" s="5158">
        <v>1</v>
      </c>
      <c r="AWA138" s="5158">
        <v>1</v>
      </c>
      <c r="AWB138" s="5158">
        <v>1</v>
      </c>
      <c r="AWC138" s="5158" t="str">
        <f>IFERROR(1-klasseqty_bergbånd[[#This Row],[tilleggs_bergbånd_festebolter_lt4_a]],"-")</f>
        <v>-</v>
      </c>
      <c r="AWD138" s="5158" t="str">
        <f>IFERROR(1-klasseqty_bergbånd[[#This Row],[tilleggs_bergbånd_festebolter_lt4_b]],"-")</f>
        <v>-</v>
      </c>
      <c r="AWE138" s="5158" t="str">
        <f>IFERROR(1-klasseqty_bergbånd[[#This Row],[tilleggs_bergbånd_festebolter_lt4_c]],"-")</f>
        <v>-</v>
      </c>
      <c r="AWF138" s="5158">
        <f>IFERROR(1-klasseqty_bergbånd[[#This Row],[tilleggs_bergbånd_festebolter_lt4_d]],"-")</f>
        <v>0</v>
      </c>
      <c r="AWG138" s="5158">
        <f>IFERROR(1-klasseqty_bergbånd[[#This Row],[tilleggs_bergbånd_festebolter_lt4_e1]],"-")</f>
        <v>0</v>
      </c>
      <c r="AWH138" s="5158">
        <f>IFERROR(1-klasseqty_bergbånd[[#This Row],[tilleggs_bergbånd_festebolter_lt4_e2]],"-")</f>
        <v>0</v>
      </c>
      <c r="AWI138" s="5158">
        <f>IFERROR(1-klasseqty_bergbånd[[#This Row],[tilleggs_bergbånd_festebolter_lt4_f]],"-")</f>
        <v>0</v>
      </c>
      <c r="AWJ138" s="5158">
        <f>IFERROR(1-klasseqty_bergbånd[[#This Row],[tilleggs_bergbånd_festebolter_lt4_g]],"-")</f>
        <v>0</v>
      </c>
      <c r="AWK138" s="181"/>
      <c r="AWL138" s="181"/>
      <c r="AWM138" s="181"/>
      <c r="AWN138" s="181"/>
      <c r="AWO138" s="181"/>
      <c r="AWP138" s="181"/>
      <c r="AWQ138" s="181"/>
      <c r="AWR138" s="181"/>
      <c r="AWS138" s="181"/>
      <c r="AWT138" s="181"/>
      <c r="AWU138" s="181"/>
      <c r="AWV138" s="181"/>
      <c r="AWW138" s="181"/>
      <c r="AWX138" s="181"/>
      <c r="AWY138" s="181"/>
      <c r="AWZ138" s="181"/>
      <c r="AXA138" s="181"/>
      <c r="AXB138" s="181"/>
      <c r="AXC138" s="181"/>
      <c r="AXD138" s="181"/>
      <c r="AXE138" s="181"/>
      <c r="AXF138" s="181"/>
      <c r="AXG138" s="181"/>
      <c r="AXH138" s="181"/>
      <c r="AXI138" s="181"/>
      <c r="AXJ138" s="181"/>
      <c r="AXK138" s="181"/>
      <c r="AXL138" s="181"/>
      <c r="AXM138" s="181"/>
      <c r="AXN138" s="181"/>
      <c r="AXO138" s="181"/>
      <c r="AXP138" s="181"/>
      <c r="AXQ138" s="181"/>
      <c r="AXR138" s="181"/>
      <c r="AXS138" s="181"/>
      <c r="AXT138" s="181"/>
      <c r="AXU138" s="181"/>
      <c r="AXV138" s="181"/>
      <c r="AXW138" s="181"/>
      <c r="AXX138" s="181"/>
      <c r="AXY138" s="181"/>
      <c r="AXZ138" s="181"/>
      <c r="AYA138" s="181"/>
      <c r="AYB138" s="181"/>
      <c r="AYC138" s="181"/>
      <c r="AYD138" s="181"/>
      <c r="AYE138" s="181"/>
      <c r="AYF138" s="181"/>
      <c r="AYG138" s="183"/>
      <c r="BBV138" s="183"/>
      <c r="BBW138" s="183"/>
      <c r="BBX138" s="183"/>
      <c r="BBY138" s="183"/>
      <c r="BBZ138" s="183"/>
      <c r="BCA138" s="183"/>
      <c r="BCB138" s="183"/>
      <c r="BCC138" s="183"/>
      <c r="BCD138" s="183"/>
      <c r="BFE138" s="3398"/>
    </row>
    <row r="139" spans="34:56 1243:1513" ht="18" x14ac:dyDescent="0.25">
      <c r="AH139" s="207" t="s">
        <v>106</v>
      </c>
      <c r="AI139" s="5609" t="s">
        <v>2097</v>
      </c>
      <c r="AJ139" s="207" t="s">
        <v>1214</v>
      </c>
      <c r="AL139" s="5605"/>
      <c r="AV139" s="3338"/>
      <c r="AW139" s="3338"/>
      <c r="AX139" s="3338"/>
      <c r="AY139" s="3339"/>
      <c r="AZ139" s="3339"/>
      <c r="BA139" s="3339"/>
      <c r="BB139" s="3339"/>
      <c r="BC139" s="3339"/>
      <c r="BD139" s="3339"/>
      <c r="AUU139" s="2617"/>
      <c r="AUV139" s="3575" t="s">
        <v>1270</v>
      </c>
      <c r="AUW139" s="2985" t="s">
        <v>18</v>
      </c>
      <c r="AUX139" s="5154" t="s">
        <v>18</v>
      </c>
      <c r="AUY139" s="5154" t="s">
        <v>18</v>
      </c>
      <c r="AUZ139" s="2985" t="s">
        <v>18</v>
      </c>
      <c r="AVA139" s="2985" t="s">
        <v>18</v>
      </c>
      <c r="AVB139" s="5154">
        <v>1.5</v>
      </c>
      <c r="AVC139" s="5154">
        <v>1.5</v>
      </c>
      <c r="AVD139" s="5155">
        <v>1.5</v>
      </c>
      <c r="AVE139" s="5154">
        <v>0</v>
      </c>
      <c r="AVF139" s="5154">
        <v>0</v>
      </c>
      <c r="AVG139" s="5154">
        <v>0</v>
      </c>
      <c r="AVH139" s="5154">
        <v>1</v>
      </c>
      <c r="AVI139" s="5154">
        <v>2</v>
      </c>
      <c r="AVJ139" s="5154">
        <v>3</v>
      </c>
      <c r="AVK139" s="5154">
        <v>4</v>
      </c>
      <c r="AVL139" s="5154">
        <v>5</v>
      </c>
      <c r="AVM139" s="5154">
        <v>0</v>
      </c>
      <c r="AVN139" s="5154">
        <v>0</v>
      </c>
      <c r="AVO139" s="5154">
        <v>0</v>
      </c>
      <c r="AVP139" s="5154">
        <v>1</v>
      </c>
      <c r="AVQ139" s="5154">
        <v>1</v>
      </c>
      <c r="AVR139" s="5154">
        <v>0.5</v>
      </c>
      <c r="AVS139" s="5154">
        <v>0.5</v>
      </c>
      <c r="AVT139" s="5154">
        <v>0.5</v>
      </c>
      <c r="AVU139" s="5158" t="s">
        <v>18</v>
      </c>
      <c r="AVV139" s="5158" t="s">
        <v>18</v>
      </c>
      <c r="AVW139" s="5158" t="s">
        <v>18</v>
      </c>
      <c r="AVX139" s="5158">
        <v>1</v>
      </c>
      <c r="AVY139" s="5158">
        <v>1</v>
      </c>
      <c r="AVZ139" s="5158">
        <v>1</v>
      </c>
      <c r="AWA139" s="5158">
        <v>1</v>
      </c>
      <c r="AWB139" s="5158">
        <v>1</v>
      </c>
      <c r="AWC139" s="5158" t="str">
        <f>IFERROR(1-klasseqty_bergbånd[[#This Row],[tilleggs_bergbånd_festebolter_lt4_a]],"-")</f>
        <v>-</v>
      </c>
      <c r="AWD139" s="5158" t="str">
        <f>IFERROR(1-klasseqty_bergbånd[[#This Row],[tilleggs_bergbånd_festebolter_lt4_b]],"-")</f>
        <v>-</v>
      </c>
      <c r="AWE139" s="5158" t="str">
        <f>IFERROR(1-klasseqty_bergbånd[[#This Row],[tilleggs_bergbånd_festebolter_lt4_c]],"-")</f>
        <v>-</v>
      </c>
      <c r="AWF139" s="5158">
        <f>IFERROR(1-klasseqty_bergbånd[[#This Row],[tilleggs_bergbånd_festebolter_lt4_d]],"-")</f>
        <v>0</v>
      </c>
      <c r="AWG139" s="5158">
        <f>IFERROR(1-klasseqty_bergbånd[[#This Row],[tilleggs_bergbånd_festebolter_lt4_e1]],"-")</f>
        <v>0</v>
      </c>
      <c r="AWH139" s="5158">
        <f>IFERROR(1-klasseqty_bergbånd[[#This Row],[tilleggs_bergbånd_festebolter_lt4_e2]],"-")</f>
        <v>0</v>
      </c>
      <c r="AWI139" s="5158">
        <f>IFERROR(1-klasseqty_bergbånd[[#This Row],[tilleggs_bergbånd_festebolter_lt4_f]],"-")</f>
        <v>0</v>
      </c>
      <c r="AWJ139" s="5158">
        <f>IFERROR(1-klasseqty_bergbånd[[#This Row],[tilleggs_bergbånd_festebolter_lt4_g]],"-")</f>
        <v>0</v>
      </c>
      <c r="AWK139" s="181"/>
      <c r="AWL139" s="181"/>
      <c r="AWM139" s="181"/>
      <c r="AWN139" s="181"/>
      <c r="AWO139" s="181"/>
      <c r="AWP139" s="181"/>
      <c r="AWQ139" s="181"/>
      <c r="AWR139" s="181"/>
      <c r="AWS139" s="181"/>
      <c r="AWT139" s="181"/>
      <c r="AWU139" s="181"/>
      <c r="AWV139" s="181"/>
      <c r="AWW139" s="181"/>
      <c r="AWX139" s="181"/>
      <c r="AWY139" s="181"/>
      <c r="AWZ139" s="181"/>
      <c r="AXA139" s="181"/>
      <c r="AXB139" s="181"/>
      <c r="AXC139" s="181"/>
      <c r="AXD139" s="181"/>
      <c r="AXE139" s="181"/>
      <c r="AXF139" s="181"/>
      <c r="AXG139" s="181"/>
      <c r="AXH139" s="181"/>
      <c r="AXI139" s="181"/>
      <c r="AXJ139" s="181"/>
      <c r="AXK139" s="181"/>
      <c r="AXL139" s="181"/>
      <c r="AXM139" s="181"/>
      <c r="AXN139" s="181"/>
      <c r="AXO139" s="181"/>
      <c r="AXP139" s="181"/>
      <c r="AXQ139" s="181"/>
      <c r="AXR139" s="181"/>
      <c r="AXS139" s="181"/>
      <c r="AXT139" s="181"/>
      <c r="AXU139" s="181"/>
      <c r="AXV139" s="181"/>
      <c r="AXW139" s="181"/>
      <c r="AXX139" s="181"/>
      <c r="AXY139" s="181"/>
      <c r="AXZ139" s="181"/>
      <c r="AYA139" s="181"/>
      <c r="AYB139" s="181"/>
      <c r="AYC139" s="181"/>
      <c r="AYD139" s="181"/>
      <c r="AYE139" s="181"/>
      <c r="AYF139" s="181"/>
      <c r="AYG139" s="183"/>
      <c r="BBV139" s="183"/>
      <c r="BBW139" s="183"/>
      <c r="BBX139" s="183"/>
      <c r="BBY139" s="183"/>
      <c r="BBZ139" s="183"/>
      <c r="BCA139" s="183"/>
      <c r="BCB139" s="183"/>
      <c r="BCC139" s="183"/>
      <c r="BCD139" s="183"/>
      <c r="BFE139" s="3398"/>
    </row>
    <row r="140" spans="34:56 1243:1513" x14ac:dyDescent="0.2">
      <c r="AH140" s="2625"/>
      <c r="AI140" s="5612" t="s">
        <v>2560</v>
      </c>
      <c r="AJ140" s="2625" t="s">
        <v>2034</v>
      </c>
      <c r="AL140" s="5605"/>
      <c r="AV140" s="2622"/>
      <c r="AW140" s="2622"/>
      <c r="AX140" s="2622"/>
      <c r="AUU140" s="2617"/>
      <c r="AUV140" s="3576" t="s">
        <v>1269</v>
      </c>
      <c r="AUW140" s="3562" t="s">
        <v>18</v>
      </c>
      <c r="AUX140" s="5156" t="s">
        <v>18</v>
      </c>
      <c r="AUY140" s="5156" t="s">
        <v>18</v>
      </c>
      <c r="AUZ140" s="3562" t="s">
        <v>18</v>
      </c>
      <c r="AVA140" s="3562" t="s">
        <v>18</v>
      </c>
      <c r="AVB140" s="5156">
        <v>1.5</v>
      </c>
      <c r="AVC140" s="5156">
        <v>1.5</v>
      </c>
      <c r="AVD140" s="5157">
        <v>1.5</v>
      </c>
      <c r="AVE140" s="5156">
        <v>0</v>
      </c>
      <c r="AVF140" s="5156">
        <v>0</v>
      </c>
      <c r="AVG140" s="5156">
        <v>0</v>
      </c>
      <c r="AVH140" s="5156">
        <v>1</v>
      </c>
      <c r="AVI140" s="5156">
        <v>2</v>
      </c>
      <c r="AVJ140" s="5156">
        <v>3</v>
      </c>
      <c r="AVK140" s="5156">
        <v>4</v>
      </c>
      <c r="AVL140" s="5156">
        <v>5</v>
      </c>
      <c r="AVM140" s="5156">
        <v>0</v>
      </c>
      <c r="AVN140" s="5156">
        <v>0</v>
      </c>
      <c r="AVO140" s="5156">
        <v>0</v>
      </c>
      <c r="AVP140" s="5156">
        <v>1</v>
      </c>
      <c r="AVQ140" s="5156">
        <v>1</v>
      </c>
      <c r="AVR140" s="5156">
        <v>0.5</v>
      </c>
      <c r="AVS140" s="5156">
        <v>0.5</v>
      </c>
      <c r="AVT140" s="5156">
        <v>0.5</v>
      </c>
      <c r="AVU140" s="5159" t="s">
        <v>18</v>
      </c>
      <c r="AVV140" s="5159" t="s">
        <v>18</v>
      </c>
      <c r="AVW140" s="5159" t="s">
        <v>18</v>
      </c>
      <c r="AVX140" s="5159">
        <v>1</v>
      </c>
      <c r="AVY140" s="5159">
        <v>1</v>
      </c>
      <c r="AVZ140" s="5159">
        <v>1</v>
      </c>
      <c r="AWA140" s="5159">
        <v>1</v>
      </c>
      <c r="AWB140" s="5159">
        <v>1</v>
      </c>
      <c r="AWC140" s="5158" t="str">
        <f>IFERROR(1-klasseqty_bergbånd[[#This Row],[tilleggs_bergbånd_festebolter_lt4_a]],"-")</f>
        <v>-</v>
      </c>
      <c r="AWD140" s="5158" t="str">
        <f>IFERROR(1-klasseqty_bergbånd[[#This Row],[tilleggs_bergbånd_festebolter_lt4_b]],"-")</f>
        <v>-</v>
      </c>
      <c r="AWE140" s="5158" t="str">
        <f>IFERROR(1-klasseqty_bergbånd[[#This Row],[tilleggs_bergbånd_festebolter_lt4_c]],"-")</f>
        <v>-</v>
      </c>
      <c r="AWF140" s="5158">
        <f>IFERROR(1-klasseqty_bergbånd[[#This Row],[tilleggs_bergbånd_festebolter_lt4_d]],"-")</f>
        <v>0</v>
      </c>
      <c r="AWG140" s="5158">
        <f>IFERROR(1-klasseqty_bergbånd[[#This Row],[tilleggs_bergbånd_festebolter_lt4_e1]],"-")</f>
        <v>0</v>
      </c>
      <c r="AWH140" s="5158">
        <f>IFERROR(1-klasseqty_bergbånd[[#This Row],[tilleggs_bergbånd_festebolter_lt4_e2]],"-")</f>
        <v>0</v>
      </c>
      <c r="AWI140" s="5158">
        <f>IFERROR(1-klasseqty_bergbånd[[#This Row],[tilleggs_bergbånd_festebolter_lt4_f]],"-")</f>
        <v>0</v>
      </c>
      <c r="AWJ140" s="5158">
        <f>IFERROR(1-klasseqty_bergbånd[[#This Row],[tilleggs_bergbånd_festebolter_lt4_g]],"-")</f>
        <v>0</v>
      </c>
      <c r="AWK140" s="181"/>
      <c r="AWL140" s="181"/>
      <c r="AWM140" s="181"/>
      <c r="AWN140" s="181"/>
      <c r="AWO140" s="181"/>
      <c r="AWP140" s="181"/>
      <c r="AWQ140" s="181"/>
      <c r="AWR140" s="181"/>
      <c r="AWS140" s="181"/>
      <c r="AWT140" s="181"/>
      <c r="AWU140" s="181"/>
      <c r="AWV140" s="181"/>
      <c r="AWW140" s="181"/>
      <c r="AWX140" s="181"/>
      <c r="AWY140" s="181"/>
      <c r="AWZ140" s="181"/>
      <c r="AXA140" s="181"/>
      <c r="AXB140" s="181"/>
      <c r="AXC140" s="181"/>
      <c r="AXD140" s="181"/>
      <c r="AXE140" s="181"/>
      <c r="AXF140" s="181"/>
      <c r="AXG140" s="181"/>
      <c r="AXH140" s="181"/>
      <c r="AXI140" s="181"/>
      <c r="AXJ140" s="181"/>
      <c r="AXK140" s="181"/>
      <c r="AXL140" s="181"/>
      <c r="AXM140" s="181"/>
      <c r="AXN140" s="181"/>
      <c r="AXO140" s="181"/>
      <c r="AXP140" s="181"/>
      <c r="AXQ140" s="181"/>
      <c r="AXR140" s="181"/>
      <c r="AXS140" s="181"/>
      <c r="AXT140" s="181"/>
      <c r="AXU140" s="181"/>
      <c r="AXV140" s="181"/>
      <c r="AXW140" s="181"/>
      <c r="AXX140" s="181"/>
      <c r="AXY140" s="181"/>
      <c r="AXZ140" s="181"/>
      <c r="AYA140" s="181"/>
      <c r="AYB140" s="181"/>
      <c r="AYC140" s="181"/>
      <c r="AYD140" s="181"/>
      <c r="AYE140" s="181"/>
      <c r="AYF140" s="181"/>
      <c r="AYG140" s="183"/>
      <c r="BBV140" s="183"/>
      <c r="BBW140" s="183"/>
      <c r="BBX140" s="183"/>
      <c r="BBY140" s="183"/>
      <c r="BBZ140" s="183"/>
      <c r="BCA140" s="183"/>
      <c r="BCB140" s="183"/>
      <c r="BCC140" s="183"/>
      <c r="BCD140" s="183"/>
      <c r="BFE140" s="3398"/>
    </row>
    <row r="141" spans="34:56 1243:1513" x14ac:dyDescent="0.2">
      <c r="AH141" s="207"/>
      <c r="AI141" s="5612"/>
      <c r="AJ141" s="207" t="s">
        <v>2554</v>
      </c>
      <c r="AL141" s="5605"/>
      <c r="AS141" s="433" t="s">
        <v>1147</v>
      </c>
      <c r="AU141" s="185" t="s">
        <v>434</v>
      </c>
      <c r="AV141" s="199">
        <f>INDEX(oppsum_position[default position],MATCH(AV137,oppsum_position[Navn],0))</f>
        <v>1</v>
      </c>
      <c r="AW141" s="199" t="e">
        <f>INDEX(oppsum_position[default position],MATCH(AW137,oppsum_position[Navn],0))</f>
        <v>#N/A</v>
      </c>
      <c r="AX141" s="199" t="e">
        <f>INDEX(oppsum_position[default position],MATCH(AX137,oppsum_position[Navn],0))</f>
        <v>#N/A</v>
      </c>
      <c r="AY141" s="199" t="e">
        <f>INDEX(oppsum_position[default position],MATCH(AY137,oppsum_position[Navn],0))</f>
        <v>#N/A</v>
      </c>
      <c r="AZ141" s="199" t="e">
        <f>INDEX(oppsum_position[default position],MATCH(AZ137,oppsum_position[Navn],0))</f>
        <v>#N/A</v>
      </c>
      <c r="BA141" s="199" t="e">
        <f>INDEX(oppsum_position[default position],MATCH(BA137,oppsum_position[Navn],0))</f>
        <v>#N/A</v>
      </c>
      <c r="BB141" s="199" t="e">
        <f>INDEX(oppsum_position[default position],MATCH(BB137,oppsum_position[Navn],0))</f>
        <v>#N/A</v>
      </c>
      <c r="BC141" s="199" t="e">
        <f>INDEX(oppsum_position[default position],MATCH(BC137,oppsum_position[Navn],0))</f>
        <v>#N/A</v>
      </c>
      <c r="BD141" s="199" t="e">
        <f>INDEX(oppsum_position[default position],MATCH(BD137,oppsum_position[Navn],0))</f>
        <v>#N/A</v>
      </c>
      <c r="AUU141" s="2617"/>
      <c r="AUV141" s="181"/>
      <c r="AUW141" s="181"/>
      <c r="AUX141" s="181"/>
      <c r="AUY141" s="181"/>
      <c r="AUZ141" s="181"/>
      <c r="AVA141" s="181"/>
      <c r="AVB141" s="181"/>
      <c r="AVC141" s="181"/>
      <c r="AVD141" s="181"/>
      <c r="AVE141" s="181"/>
      <c r="AVF141" s="181"/>
      <c r="AVG141" s="181"/>
      <c r="AVH141" s="181"/>
      <c r="AVI141" s="181"/>
      <c r="AVJ141" s="181"/>
      <c r="AVK141" s="181"/>
      <c r="AVL141" s="181"/>
      <c r="AVM141" s="181"/>
      <c r="AVN141" s="181"/>
      <c r="AVO141" s="181"/>
      <c r="AVP141" s="181"/>
      <c r="AVQ141" s="181"/>
      <c r="AVR141" s="181"/>
      <c r="AVS141" s="181"/>
      <c r="AVT141" s="181"/>
      <c r="AVU141" s="181"/>
      <c r="AVV141" s="181"/>
      <c r="AVW141" s="181"/>
      <c r="AVX141" s="181"/>
      <c r="AVY141" s="181"/>
      <c r="AVZ141" s="181"/>
      <c r="AWA141" s="181"/>
      <c r="AWB141" s="181"/>
      <c r="AWC141" s="181"/>
      <c r="AWD141" s="181"/>
      <c r="AWE141" s="181"/>
      <c r="AWF141" s="181"/>
      <c r="AWG141" s="181"/>
      <c r="AWH141" s="181"/>
      <c r="AWI141" s="181"/>
      <c r="AWJ141" s="181"/>
      <c r="AWK141" s="181"/>
      <c r="AWL141" s="181"/>
      <c r="AWM141" s="181"/>
      <c r="AWN141" s="181"/>
      <c r="AWO141" s="181"/>
      <c r="AWP141" s="181"/>
      <c r="AWQ141" s="181"/>
      <c r="AWR141" s="181"/>
      <c r="AWS141" s="181"/>
      <c r="AWT141" s="181"/>
      <c r="AWU141" s="181"/>
      <c r="AWV141" s="181"/>
      <c r="AWW141" s="181"/>
      <c r="AWX141" s="181"/>
      <c r="AWY141" s="181"/>
      <c r="AWZ141" s="181"/>
      <c r="AXA141" s="181"/>
      <c r="AXB141" s="181"/>
      <c r="AXC141" s="181"/>
      <c r="AXD141" s="181"/>
      <c r="AXE141" s="181"/>
      <c r="AXF141" s="181"/>
      <c r="AXG141" s="181"/>
      <c r="AXH141" s="181"/>
      <c r="AXI141" s="181"/>
      <c r="AXJ141" s="181"/>
      <c r="AXK141" s="181"/>
      <c r="AXL141" s="181"/>
      <c r="AXM141" s="181"/>
      <c r="AXN141" s="181"/>
      <c r="AXO141" s="181"/>
      <c r="AXP141" s="181"/>
      <c r="AXQ141" s="181"/>
      <c r="AXR141" s="181"/>
      <c r="AXS141" s="181"/>
      <c r="AXT141" s="181"/>
      <c r="AXU141" s="181"/>
      <c r="AXV141" s="181"/>
      <c r="AXW141" s="181"/>
      <c r="AXX141" s="181"/>
      <c r="AXY141" s="181"/>
      <c r="AXZ141" s="181"/>
      <c r="AYA141" s="181"/>
      <c r="AYB141" s="181"/>
      <c r="AYC141" s="181"/>
      <c r="AYD141" s="181"/>
      <c r="AYE141" s="181"/>
      <c r="AYF141" s="181"/>
      <c r="AYG141" s="183"/>
      <c r="BBV141" s="183"/>
      <c r="BBW141" s="183"/>
      <c r="BBX141" s="183"/>
      <c r="BBY141" s="183"/>
      <c r="BBZ141" s="183"/>
      <c r="BCA141" s="183"/>
      <c r="BCB141" s="183"/>
      <c r="BCC141" s="183"/>
      <c r="BCD141" s="183"/>
      <c r="BFE141" s="3398"/>
    </row>
    <row r="142" spans="34:56 1243:1513" x14ac:dyDescent="0.2">
      <c r="AH142" s="207"/>
      <c r="AI142" s="5612"/>
      <c r="AJ142" s="207" t="s">
        <v>2555</v>
      </c>
      <c r="AL142" s="5605"/>
      <c r="AS142" s="433" t="s">
        <v>1146</v>
      </c>
      <c r="AU142" s="185" t="s">
        <v>435</v>
      </c>
      <c r="AV142" s="199">
        <f>$AI$31</f>
        <v>2</v>
      </c>
      <c r="AW142" s="199">
        <f t="shared" ref="AW142:BD142" si="349">$AI$31</f>
        <v>2</v>
      </c>
      <c r="AX142" s="199">
        <f t="shared" si="349"/>
        <v>2</v>
      </c>
      <c r="AY142" s="199">
        <f t="shared" si="349"/>
        <v>2</v>
      </c>
      <c r="AZ142" s="199">
        <f t="shared" si="349"/>
        <v>2</v>
      </c>
      <c r="BA142" s="199">
        <f t="shared" si="349"/>
        <v>2</v>
      </c>
      <c r="BB142" s="199">
        <f t="shared" si="349"/>
        <v>2</v>
      </c>
      <c r="BC142" s="199">
        <f t="shared" si="349"/>
        <v>2</v>
      </c>
      <c r="BD142" s="199">
        <f t="shared" si="349"/>
        <v>2</v>
      </c>
      <c r="AUU142" s="2617"/>
      <c r="AUV142" s="181"/>
      <c r="AUW142" s="181"/>
      <c r="AUX142" s="181"/>
      <c r="AUY142" s="181"/>
      <c r="AUZ142" s="181"/>
      <c r="AVA142" s="181"/>
      <c r="AVB142" s="181"/>
      <c r="AVC142" s="181"/>
      <c r="AVD142" s="181"/>
      <c r="AVE142" s="181"/>
      <c r="AVF142" s="181"/>
      <c r="AVG142" s="181"/>
      <c r="AVH142" s="181"/>
      <c r="AVI142" s="181"/>
      <c r="AVJ142" s="181"/>
      <c r="AVK142" s="181"/>
      <c r="AVL142" s="181"/>
      <c r="AVM142" s="181"/>
      <c r="AVN142" s="181"/>
      <c r="AVO142" s="181"/>
      <c r="AVP142" s="181"/>
      <c r="AVQ142" s="181"/>
      <c r="AVR142" s="181"/>
      <c r="AVS142" s="181"/>
      <c r="AVT142" s="181"/>
      <c r="AVU142" s="181"/>
      <c r="AVV142" s="181"/>
      <c r="AVW142" s="181"/>
      <c r="AVX142" s="181"/>
      <c r="AVY142" s="181"/>
      <c r="AVZ142" s="181"/>
      <c r="AWA142" s="181"/>
      <c r="AWB142" s="181"/>
      <c r="AWC142" s="181"/>
      <c r="AWD142" s="181"/>
      <c r="AWE142" s="181"/>
      <c r="AWF142" s="181"/>
      <c r="AWG142" s="181"/>
      <c r="AWH142" s="181"/>
      <c r="AWI142" s="181"/>
      <c r="AWJ142" s="181"/>
      <c r="AWK142" s="181"/>
      <c r="AWL142" s="181"/>
      <c r="AWM142" s="181"/>
      <c r="AWN142" s="181"/>
      <c r="AWO142" s="181"/>
      <c r="AWP142" s="181"/>
      <c r="AWQ142" s="181"/>
      <c r="AWR142" s="181"/>
      <c r="AWS142" s="181"/>
      <c r="AWT142" s="181"/>
      <c r="AWU142" s="181"/>
      <c r="AWV142" s="181"/>
      <c r="AWW142" s="181"/>
      <c r="AWX142" s="181"/>
      <c r="AWY142" s="181"/>
      <c r="AWZ142" s="181"/>
      <c r="AXA142" s="181"/>
      <c r="AXB142" s="181"/>
      <c r="AXC142" s="181"/>
      <c r="AXD142" s="181"/>
      <c r="AXE142" s="181"/>
      <c r="AXF142" s="181"/>
      <c r="AXG142" s="181"/>
      <c r="AXH142" s="181"/>
      <c r="AXI142" s="181"/>
      <c r="AXJ142" s="181"/>
      <c r="AXK142" s="181"/>
      <c r="AXL142" s="181"/>
      <c r="AXM142" s="181"/>
      <c r="AXN142" s="181"/>
      <c r="AXO142" s="181"/>
      <c r="AXP142" s="181"/>
      <c r="AXQ142" s="181"/>
      <c r="AXR142" s="181"/>
      <c r="AXS142" s="181"/>
      <c r="AXT142" s="181"/>
      <c r="AXU142" s="181"/>
      <c r="AXV142" s="181"/>
      <c r="AXW142" s="181"/>
      <c r="AXX142" s="181"/>
      <c r="AXY142" s="181"/>
      <c r="AXZ142" s="181"/>
      <c r="AYA142" s="181"/>
      <c r="AYB142" s="181"/>
      <c r="AYC142" s="181"/>
      <c r="AYD142" s="181"/>
      <c r="AYE142" s="181"/>
      <c r="AYF142" s="181"/>
      <c r="AYG142" s="183"/>
      <c r="BBV142" s="183"/>
      <c r="BBW142" s="183"/>
      <c r="BBX142" s="183"/>
      <c r="BBY142" s="183"/>
      <c r="BBZ142" s="183"/>
      <c r="BCA142" s="183"/>
      <c r="BCB142" s="183"/>
      <c r="BCC142" s="183"/>
      <c r="BCD142" s="183"/>
      <c r="BFE142" s="3398"/>
    </row>
    <row r="143" spans="34:56 1243:1513" x14ac:dyDescent="0.2">
      <c r="AH143" s="2625"/>
      <c r="AI143" s="5612" t="s">
        <v>2561</v>
      </c>
      <c r="AJ143" s="2625" t="s">
        <v>1649</v>
      </c>
      <c r="AL143" s="5605"/>
      <c r="AS143" s="2617"/>
      <c r="AV143" s="2622"/>
      <c r="AW143" s="2622"/>
      <c r="AX143" s="2622"/>
      <c r="AUU143" s="2617"/>
      <c r="AUV143" s="181"/>
      <c r="AUW143" s="181"/>
      <c r="AUX143" s="181"/>
      <c r="AUY143" s="181"/>
      <c r="AUZ143" s="181"/>
      <c r="AVA143" s="181"/>
      <c r="AVB143" s="181"/>
      <c r="AVC143" s="181"/>
      <c r="AVD143" s="181"/>
      <c r="AVE143" s="181"/>
      <c r="AVF143" s="181"/>
      <c r="AVG143" s="181"/>
      <c r="AVH143" s="181"/>
      <c r="AVI143" s="181"/>
      <c r="AVJ143" s="181"/>
      <c r="AVK143" s="181"/>
      <c r="AVL143" s="181"/>
      <c r="AVM143" s="181"/>
      <c r="AVN143" s="181"/>
      <c r="AVO143" s="181"/>
      <c r="AVP143" s="181"/>
      <c r="AVQ143" s="181"/>
      <c r="AVR143" s="181"/>
      <c r="AVS143" s="181"/>
      <c r="AVT143" s="181"/>
      <c r="AVU143" s="181"/>
      <c r="AVV143" s="181"/>
      <c r="AVW143" s="181"/>
      <c r="AVX143" s="181"/>
      <c r="AVY143" s="181"/>
      <c r="AVZ143" s="181"/>
      <c r="AWA143" s="181"/>
      <c r="AWB143" s="181"/>
      <c r="AWC143" s="181"/>
      <c r="AWD143" s="181"/>
      <c r="AWE143" s="181"/>
      <c r="AWF143" s="181"/>
      <c r="AWG143" s="181"/>
      <c r="AWH143" s="181"/>
      <c r="AWI143" s="181"/>
      <c r="AWJ143" s="181"/>
      <c r="AWK143"/>
      <c r="AWL143" s="181"/>
      <c r="AWM143" s="181"/>
      <c r="AWN143" s="181"/>
      <c r="AWO143" s="181"/>
      <c r="AWP143" s="181"/>
      <c r="AWQ143" s="181"/>
      <c r="AWR143" s="181"/>
      <c r="AWS143" s="181"/>
      <c r="AWT143" s="181"/>
      <c r="AWU143" s="181"/>
      <c r="AWV143" s="181"/>
      <c r="AWW143" s="181"/>
      <c r="AWX143" s="181"/>
      <c r="AWY143" s="181"/>
      <c r="AWZ143" s="181"/>
      <c r="AXA143" s="181"/>
      <c r="AXB143" s="181"/>
      <c r="AXC143" s="181"/>
      <c r="AXD143" s="181"/>
      <c r="AXE143" s="181"/>
      <c r="AXF143" s="181"/>
      <c r="AXG143" s="181"/>
      <c r="AXH143" s="181"/>
      <c r="AXI143" s="181"/>
      <c r="AXJ143" s="181"/>
      <c r="AXK143" s="181"/>
      <c r="AXL143" s="181"/>
      <c r="AXM143" s="181"/>
      <c r="AXN143" s="181"/>
      <c r="AXO143" s="181"/>
      <c r="AXP143" s="181"/>
      <c r="AXQ143" s="181"/>
      <c r="AXR143" s="181"/>
      <c r="AXS143" s="181"/>
      <c r="AXT143" s="181"/>
      <c r="AXU143" s="181"/>
      <c r="AXV143" s="181"/>
      <c r="AXW143" s="181"/>
      <c r="AXX143" s="181"/>
      <c r="AXY143" s="181"/>
      <c r="AXZ143" s="181"/>
      <c r="AYA143" s="181"/>
      <c r="AYB143" s="181"/>
      <c r="AYC143" s="181"/>
      <c r="AYD143" s="181"/>
      <c r="AYE143" s="181"/>
      <c r="AYF143" s="181"/>
      <c r="AYG143" s="183"/>
      <c r="BBV143" s="183"/>
      <c r="BBW143" s="183"/>
      <c r="BBX143" s="183"/>
      <c r="BBY143" s="183"/>
      <c r="BBZ143" s="183"/>
      <c r="BCA143" s="183"/>
      <c r="BCB143" s="183"/>
      <c r="BCC143" s="183"/>
      <c r="BCD143" s="183"/>
      <c r="BFE143" s="3398"/>
    </row>
    <row r="144" spans="34:56 1243:1513" x14ac:dyDescent="0.2">
      <c r="AH144" s="207"/>
      <c r="AI144" s="5612"/>
      <c r="AJ144" s="2625"/>
      <c r="AL144" s="5605"/>
      <c r="AV144" s="2622"/>
      <c r="AW144" s="2622"/>
      <c r="AX144" s="2622"/>
      <c r="AUU144" s="2617"/>
      <c r="AUV144" s="181"/>
      <c r="AUW144" s="181"/>
      <c r="AUX144" s="181"/>
      <c r="AUY144" s="181"/>
      <c r="AUZ144" s="181"/>
      <c r="AVA144" s="181"/>
      <c r="AVB144" s="181"/>
      <c r="AVC144" s="181"/>
      <c r="AVD144" s="181"/>
      <c r="AVE144" s="181"/>
      <c r="AVF144" s="181"/>
      <c r="AVG144" s="181"/>
      <c r="AVH144" s="181"/>
      <c r="AVI144" s="181"/>
      <c r="AVJ144" s="181"/>
      <c r="AVK144" s="181"/>
      <c r="AVL144" s="181"/>
      <c r="AVM144" s="181"/>
      <c r="AVN144" s="181"/>
      <c r="AVO144" s="181"/>
      <c r="AVP144" s="181"/>
      <c r="AVQ144" s="181"/>
      <c r="AVR144" s="181"/>
      <c r="AVS144" s="181"/>
      <c r="AVT144" s="181"/>
      <c r="AVU144" s="181"/>
      <c r="AVV144" s="181"/>
      <c r="AVW144" s="181"/>
      <c r="AVX144" s="181"/>
      <c r="AVY144" s="181"/>
      <c r="AVZ144" s="181"/>
      <c r="AWA144" s="181"/>
      <c r="AWB144" s="181"/>
      <c r="AWC144" s="181"/>
      <c r="AWD144" s="181"/>
      <c r="AWE144" s="181"/>
      <c r="AWF144" s="181"/>
      <c r="AWG144" s="181"/>
      <c r="AWH144" s="181"/>
      <c r="AWI144" s="181"/>
      <c r="AWJ144" s="181"/>
      <c r="AWK144" s="181"/>
      <c r="AWL144" s="181"/>
      <c r="AWM144" s="181"/>
      <c r="AWN144" s="181"/>
      <c r="AWO144" s="181"/>
      <c r="AWP144" s="181"/>
      <c r="AWQ144" s="181"/>
      <c r="AWR144" s="181"/>
      <c r="AWS144" s="181"/>
      <c r="AWT144" s="181"/>
      <c r="AWU144" s="181"/>
      <c r="AWV144" s="181"/>
      <c r="AWW144" s="181"/>
      <c r="AWX144" s="181"/>
      <c r="AWY144" s="181"/>
      <c r="AWZ144" s="181"/>
      <c r="AXA144" s="181"/>
      <c r="AXB144" s="181"/>
      <c r="AXC144" s="181"/>
      <c r="AXD144" s="181"/>
      <c r="AXE144" s="181"/>
      <c r="AXF144" s="181"/>
      <c r="AXG144" s="181"/>
      <c r="AXH144" s="181"/>
      <c r="AXI144" s="181"/>
      <c r="AXJ144" s="181"/>
      <c r="AXK144" s="181"/>
      <c r="AXL144" s="181"/>
      <c r="AXM144" s="181"/>
      <c r="AXN144" s="181"/>
      <c r="AXO144" s="181"/>
      <c r="AXP144" s="181"/>
      <c r="AXQ144" s="181"/>
      <c r="AXR144" s="181"/>
      <c r="AXS144" s="181"/>
      <c r="AXT144" s="181"/>
      <c r="AXU144" s="181"/>
      <c r="AXV144" s="181"/>
      <c r="AXW144" s="181"/>
      <c r="AXX144" s="181"/>
      <c r="AXY144" s="181"/>
      <c r="AXZ144" s="181"/>
      <c r="AYA144" s="181"/>
      <c r="AYB144" s="181"/>
      <c r="AYC144" s="181"/>
      <c r="AYD144" s="181"/>
      <c r="AYE144" s="181"/>
      <c r="AYF144" s="181"/>
      <c r="AYG144" s="183"/>
      <c r="BBV144" s="183"/>
      <c r="BBW144" s="183"/>
      <c r="BBX144" s="183"/>
      <c r="BBY144" s="183"/>
      <c r="BBZ144" s="183"/>
      <c r="BCA144" s="183"/>
      <c r="BCB144" s="183"/>
      <c r="BCC144" s="183"/>
      <c r="BCD144" s="183"/>
      <c r="BFE144" s="3398"/>
    </row>
    <row r="145" spans="33:56 1243:1513" x14ac:dyDescent="0.2">
      <c r="AH145" s="207" t="s">
        <v>1648</v>
      </c>
      <c r="AI145" s="5609" t="s">
        <v>2101</v>
      </c>
      <c r="AJ145" s="2625"/>
      <c r="AL145" s="5605"/>
      <c r="AV145" s="2622"/>
      <c r="AW145" s="2622"/>
      <c r="AX145" s="2622"/>
      <c r="AUU145" s="2617"/>
      <c r="AUV145" s="181"/>
      <c r="AUW145" s="181"/>
      <c r="AUX145" s="181"/>
      <c r="AUY145" s="181"/>
      <c r="AUZ145" s="181"/>
      <c r="AVA145" s="181"/>
      <c r="AVB145" s="181"/>
      <c r="AVC145" s="181"/>
      <c r="AVD145" s="181"/>
      <c r="AVE145" s="181"/>
      <c r="AVF145" s="181"/>
      <c r="AVG145" s="181"/>
      <c r="AVH145" s="181"/>
      <c r="AVI145" s="181"/>
      <c r="AVJ145" s="181"/>
      <c r="AVK145" s="181"/>
      <c r="AVL145" s="181"/>
      <c r="AVM145" s="181"/>
      <c r="AVN145" s="181"/>
      <c r="AVO145" s="181"/>
      <c r="AVP145" s="181"/>
      <c r="AVQ145" s="181"/>
      <c r="AVR145" s="181"/>
      <c r="AVS145" s="181"/>
      <c r="AVT145" s="181"/>
      <c r="AVU145" s="181"/>
      <c r="AVV145" s="181"/>
      <c r="AVW145" s="181"/>
      <c r="AVX145" s="181"/>
      <c r="AVY145" s="181"/>
      <c r="AVZ145" s="181"/>
      <c r="AWA145" s="181"/>
      <c r="AWB145" s="181"/>
      <c r="AWC145" s="181"/>
      <c r="AWD145" s="181"/>
      <c r="AWE145" s="181"/>
      <c r="AWF145" s="181"/>
      <c r="AWG145" s="181"/>
      <c r="AWH145" s="181"/>
      <c r="AWI145" s="181"/>
      <c r="AWJ145" s="181"/>
      <c r="AWK145" s="181"/>
      <c r="AWL145" s="181"/>
      <c r="AWM145" s="181"/>
      <c r="AWN145" s="181"/>
      <c r="AWO145" s="181"/>
      <c r="AWP145" s="181"/>
      <c r="AWQ145" s="181"/>
      <c r="AWR145" s="181"/>
      <c r="AWS145" s="181"/>
      <c r="AWT145" s="181"/>
      <c r="AWU145" s="181"/>
      <c r="AWV145" s="181"/>
      <c r="AWW145" s="181"/>
      <c r="AWX145" s="181"/>
      <c r="AWY145" s="181"/>
      <c r="AWZ145" s="181"/>
      <c r="AXA145" s="181"/>
      <c r="AXB145" s="181"/>
      <c r="AXC145" s="181"/>
      <c r="AXD145" s="181"/>
      <c r="AXE145" s="181"/>
      <c r="AXF145" s="181"/>
      <c r="AXG145" s="181"/>
      <c r="AXH145" s="181"/>
      <c r="AXI145" s="181"/>
      <c r="AXJ145" s="181"/>
      <c r="AXK145" s="181"/>
      <c r="AXL145" s="181"/>
      <c r="AXM145" s="181"/>
      <c r="AXN145" s="181"/>
      <c r="AXO145" s="181"/>
      <c r="AXP145" s="181"/>
      <c r="AXQ145" s="181"/>
      <c r="AXR145" s="181"/>
      <c r="AXS145" s="181"/>
      <c r="AXT145" s="181"/>
      <c r="AXU145" s="181"/>
      <c r="AXV145" s="181"/>
      <c r="AXW145" s="181"/>
      <c r="AXX145" s="181"/>
      <c r="AXY145" s="181"/>
      <c r="AXZ145" s="181"/>
      <c r="AYA145" s="181"/>
      <c r="AYB145" s="181"/>
      <c r="AYC145" s="181"/>
      <c r="AYD145" s="181"/>
      <c r="AYE145" s="181"/>
      <c r="AYF145" s="181"/>
      <c r="BFE145" s="3398"/>
    </row>
    <row r="146" spans="33:56 1243:1513" ht="23.25" customHeight="1" x14ac:dyDescent="0.2">
      <c r="AH146" s="207"/>
      <c r="AI146" s="5612"/>
      <c r="AJ146" s="207" t="s">
        <v>2554</v>
      </c>
      <c r="AL146" s="5605"/>
      <c r="AU146" s="199" t="s">
        <v>1145</v>
      </c>
      <c r="AV146" s="199">
        <f>VALUE(AV141&amp;AV142)</f>
        <v>12</v>
      </c>
      <c r="AW146" s="199" t="e">
        <f t="shared" ref="AW146:BD146" si="350">VALUE(AW141&amp;AW142)</f>
        <v>#N/A</v>
      </c>
      <c r="AX146" s="199" t="e">
        <f t="shared" si="350"/>
        <v>#N/A</v>
      </c>
      <c r="AY146" s="199" t="e">
        <f t="shared" si="350"/>
        <v>#N/A</v>
      </c>
      <c r="AZ146" s="199" t="e">
        <f t="shared" si="350"/>
        <v>#N/A</v>
      </c>
      <c r="BA146" s="199" t="e">
        <f t="shared" si="350"/>
        <v>#N/A</v>
      </c>
      <c r="BB146" s="199" t="e">
        <f t="shared" si="350"/>
        <v>#N/A</v>
      </c>
      <c r="BC146" s="199" t="e">
        <f t="shared" si="350"/>
        <v>#N/A</v>
      </c>
      <c r="BD146" s="199" t="e">
        <f t="shared" si="350"/>
        <v>#N/A</v>
      </c>
      <c r="AUU146" s="2617"/>
      <c r="AUV146" s="2627" t="s">
        <v>2062</v>
      </c>
      <c r="AUW146" s="2627"/>
      <c r="AUX146" s="181"/>
      <c r="AUY146" s="181"/>
      <c r="AUZ146" s="181"/>
      <c r="AVA146" s="181"/>
      <c r="AVB146" s="181"/>
      <c r="AVC146" s="181"/>
      <c r="AVD146" s="181"/>
      <c r="AVE146" s="181"/>
      <c r="AVF146" s="181"/>
      <c r="AVG146" s="181"/>
      <c r="AVH146" s="181"/>
      <c r="AVI146" s="181"/>
      <c r="AVJ146" s="181"/>
      <c r="AVK146" s="181"/>
      <c r="AVL146" s="181"/>
      <c r="AVM146" s="181"/>
      <c r="AVN146" s="181"/>
      <c r="AVO146" s="181"/>
      <c r="AVP146" s="181"/>
      <c r="AVQ146" s="181"/>
      <c r="AVR146" s="181"/>
      <c r="AVS146" s="181"/>
      <c r="AVT146" s="181"/>
      <c r="AVU146" s="181"/>
      <c r="AVV146" s="181"/>
      <c r="AVW146" s="181"/>
      <c r="AVX146" s="181"/>
      <c r="AVY146" s="181"/>
      <c r="AVZ146" s="181"/>
      <c r="AWA146" s="181"/>
      <c r="AWB146" s="181"/>
      <c r="AWC146" s="181"/>
      <c r="AWD146" s="181"/>
      <c r="AWE146" s="181"/>
      <c r="AWF146" s="181"/>
      <c r="AWG146" s="181"/>
      <c r="AWH146" s="181"/>
      <c r="AWI146" s="181"/>
      <c r="AWJ146" s="181"/>
      <c r="AWK146" s="181"/>
      <c r="AWL146" s="181"/>
      <c r="AWM146" s="181"/>
      <c r="AWN146" s="181"/>
      <c r="AWO146" s="181"/>
      <c r="AWP146" s="181"/>
      <c r="AWQ146" s="181"/>
      <c r="AWR146" s="181"/>
      <c r="AWS146" s="181"/>
      <c r="AWT146" s="181"/>
      <c r="AWU146" s="181"/>
      <c r="AWV146" s="181"/>
      <c r="AWW146" s="181"/>
      <c r="AWX146" s="181"/>
      <c r="AWY146" s="181"/>
      <c r="AWZ146" s="181"/>
      <c r="AXA146" s="181"/>
      <c r="AXB146" s="181"/>
      <c r="AXC146" s="181"/>
      <c r="AXD146" s="181"/>
      <c r="AXE146" s="181"/>
      <c r="AXF146" s="181"/>
      <c r="AXG146" s="181"/>
      <c r="AXH146" s="181"/>
      <c r="AXI146" s="181"/>
      <c r="AXJ146" s="181"/>
      <c r="AXK146" s="181"/>
      <c r="AXL146" s="181"/>
      <c r="AXM146" s="181"/>
      <c r="AXN146" s="181"/>
      <c r="AXO146" s="181"/>
      <c r="AXP146" s="181"/>
      <c r="AXQ146" s="181"/>
      <c r="AXR146" s="181"/>
      <c r="AXS146" s="181"/>
      <c r="AXT146" s="181"/>
      <c r="AXU146" s="181"/>
      <c r="AXV146" s="181"/>
      <c r="AXW146" s="181"/>
      <c r="AXX146" s="181"/>
      <c r="AXY146" s="181"/>
      <c r="AXZ146" s="181"/>
      <c r="AYA146" s="181"/>
      <c r="AYB146" s="181"/>
      <c r="AYC146" s="181"/>
      <c r="AYD146" s="181"/>
      <c r="AYE146" s="181"/>
      <c r="AYF146" s="181"/>
      <c r="BFE146" s="3398"/>
    </row>
    <row r="147" spans="33:56 1243:1513" x14ac:dyDescent="0.2">
      <c r="AH147" s="207"/>
      <c r="AI147" s="5612"/>
      <c r="AJ147" s="207" t="s">
        <v>2555</v>
      </c>
      <c r="AL147" s="5605"/>
      <c r="AU147" s="199" t="s">
        <v>1152</v>
      </c>
      <c r="AV147" s="199" t="str">
        <f>"klasse_"&amp;AV141</f>
        <v>klasse_1</v>
      </c>
      <c r="AW147" s="199" t="e">
        <f t="shared" ref="AW147:BD147" si="351">"klasse_"&amp;AW141</f>
        <v>#N/A</v>
      </c>
      <c r="AX147" s="199" t="e">
        <f t="shared" si="351"/>
        <v>#N/A</v>
      </c>
      <c r="AY147" s="199" t="e">
        <f t="shared" si="351"/>
        <v>#N/A</v>
      </c>
      <c r="AZ147" s="199" t="e">
        <f t="shared" si="351"/>
        <v>#N/A</v>
      </c>
      <c r="BA147" s="199" t="e">
        <f t="shared" si="351"/>
        <v>#N/A</v>
      </c>
      <c r="BB147" s="199" t="e">
        <f t="shared" si="351"/>
        <v>#N/A</v>
      </c>
      <c r="BC147" s="199" t="e">
        <f t="shared" si="351"/>
        <v>#N/A</v>
      </c>
      <c r="BD147" s="199" t="e">
        <f t="shared" si="351"/>
        <v>#N/A</v>
      </c>
      <c r="AUU147" s="2617"/>
      <c r="AUV147" s="181"/>
      <c r="AUW147" s="181"/>
      <c r="AUX147" s="181"/>
      <c r="AUY147" s="181"/>
      <c r="AUZ147" s="181"/>
      <c r="AVA147" s="181"/>
      <c r="AVB147" s="181"/>
      <c r="AVC147" s="181"/>
      <c r="AVD147" s="181"/>
      <c r="AVE147" s="181"/>
      <c r="AVF147" s="181"/>
      <c r="AVG147" s="181"/>
      <c r="AVH147" s="181"/>
      <c r="AVI147" s="181"/>
      <c r="AVJ147" s="181"/>
      <c r="AVK147" s="181"/>
      <c r="AVL147" s="181"/>
      <c r="AVM147" s="181"/>
      <c r="AVN147" s="181"/>
      <c r="AVO147" s="181"/>
      <c r="AVP147" s="181"/>
      <c r="AVQ147" s="181"/>
      <c r="AVR147" s="181"/>
      <c r="AVS147" s="181"/>
      <c r="AVT147" s="181"/>
      <c r="AVU147" s="181"/>
      <c r="AVV147" s="181"/>
      <c r="AVW147" s="181"/>
      <c r="AVX147" s="181"/>
      <c r="AVY147" s="181"/>
      <c r="AVZ147" s="181"/>
      <c r="AWA147" s="181"/>
      <c r="AWB147" s="181"/>
      <c r="AWC147" s="181"/>
      <c r="AWD147" s="181"/>
      <c r="AWE147" s="181"/>
      <c r="AWF147" s="181"/>
      <c r="AWG147" s="181"/>
      <c r="AWH147" s="181"/>
      <c r="AWI147" s="181"/>
      <c r="AWJ147" s="181"/>
      <c r="AWK147" s="181"/>
      <c r="AWL147" s="181"/>
      <c r="AWM147" s="181"/>
      <c r="AWN147" s="181"/>
      <c r="AWO147" s="181"/>
      <c r="AWP147" s="181"/>
      <c r="AWQ147" s="181"/>
      <c r="AWR147" s="181"/>
      <c r="AWS147" s="181"/>
      <c r="AWT147" s="181"/>
      <c r="AWU147" s="181"/>
      <c r="AWV147" s="181"/>
      <c r="AWW147" s="181"/>
      <c r="AWX147" s="181"/>
      <c r="AWY147" s="181"/>
      <c r="AWZ147" s="181"/>
      <c r="AXA147" s="181"/>
      <c r="AXB147" s="181"/>
      <c r="AXC147" s="181"/>
      <c r="AXD147" s="181"/>
      <c r="AXE147" s="181"/>
      <c r="AXF147" s="181"/>
      <c r="AXG147" s="181"/>
      <c r="AXH147" s="181"/>
      <c r="AXI147" s="181"/>
      <c r="AXJ147" s="181"/>
      <c r="AXK147" s="181"/>
      <c r="AXL147" s="181"/>
      <c r="AXM147" s="181"/>
      <c r="AXN147" s="181"/>
      <c r="AXO147" s="181"/>
      <c r="AXP147" s="181"/>
      <c r="AXQ147" s="181"/>
      <c r="AXR147" s="181"/>
      <c r="AXS147" s="181"/>
      <c r="AXT147" s="181"/>
      <c r="AXU147" s="181"/>
      <c r="AXV147" s="181"/>
      <c r="AXW147" s="181"/>
      <c r="AXX147" s="181"/>
      <c r="AXY147" s="181"/>
      <c r="AXZ147" s="181"/>
      <c r="AYA147" s="181"/>
      <c r="AYB147" s="181"/>
      <c r="AYC147" s="181"/>
      <c r="AYD147" s="181"/>
      <c r="AYE147" s="181"/>
      <c r="AYF147" s="181"/>
      <c r="AYG147" s="183"/>
      <c r="BBV147" s="183"/>
      <c r="BBW147" s="183"/>
      <c r="BBX147" s="183"/>
      <c r="BBY147" s="183"/>
      <c r="BBZ147" s="183"/>
      <c r="BCA147" s="183"/>
      <c r="BCB147" s="183"/>
      <c r="BCC147" s="183"/>
      <c r="BCD147" s="183"/>
      <c r="BFE147" s="3398"/>
    </row>
    <row r="148" spans="33:56 1243:1513" x14ac:dyDescent="0.2">
      <c r="AH148" s="207"/>
      <c r="AI148" s="5612"/>
      <c r="AJ148" s="2625"/>
      <c r="AL148" s="5605"/>
      <c r="AV148" s="2622"/>
      <c r="AW148" s="2622"/>
      <c r="AX148" s="2622"/>
      <c r="AUU148" s="2617"/>
      <c r="AUV148" s="181"/>
      <c r="AUW148" s="181"/>
      <c r="AUX148" s="181"/>
      <c r="AUY148" s="181"/>
      <c r="AUZ148" s="181"/>
      <c r="AVA148" s="181"/>
      <c r="AVB148" s="181"/>
      <c r="AVC148" s="181"/>
      <c r="AVD148" s="181"/>
      <c r="AVE148" s="181"/>
      <c r="AVF148" s="181"/>
      <c r="AVG148" s="181"/>
      <c r="AVH148" s="181"/>
      <c r="AVI148" s="181"/>
      <c r="AVJ148" s="181"/>
      <c r="AVK148" s="181"/>
      <c r="AVL148" s="181"/>
      <c r="AVM148" s="181"/>
      <c r="AVN148" s="181"/>
      <c r="AVO148" s="181"/>
      <c r="AVP148" s="181"/>
      <c r="AVQ148" s="181"/>
      <c r="AVR148" s="181"/>
      <c r="AVS148" s="181"/>
      <c r="AVT148" s="181"/>
      <c r="AVU148" s="181"/>
      <c r="AVV148" s="181"/>
      <c r="AVW148" s="181"/>
      <c r="AVX148" s="181"/>
      <c r="AVY148" s="181"/>
      <c r="AVZ148" s="181"/>
      <c r="AWA148" s="181"/>
      <c r="AWB148" s="181"/>
      <c r="AWC148" s="181"/>
      <c r="AWD148" s="181"/>
      <c r="AWE148" s="181"/>
      <c r="AWF148" s="181"/>
      <c r="AWG148" s="181"/>
      <c r="AWH148" s="181"/>
      <c r="AWI148" s="181"/>
      <c r="AWJ148" s="181"/>
      <c r="AWK148" s="181"/>
      <c r="AWL148" s="181"/>
      <c r="AWM148" s="181"/>
      <c r="AWN148" s="181"/>
      <c r="AWO148" s="181"/>
      <c r="AWP148" s="181"/>
      <c r="AWQ148" s="181"/>
      <c r="AWR148" s="181"/>
      <c r="AWS148" s="181"/>
      <c r="AWT148" s="181"/>
      <c r="AWU148" s="181"/>
      <c r="AWV148" s="181"/>
      <c r="AWW148" s="181"/>
      <c r="AWX148" s="181"/>
      <c r="AWY148" s="181"/>
      <c r="AWZ148" s="181"/>
      <c r="AXA148" s="181"/>
      <c r="AXB148" s="181"/>
      <c r="AXC148" s="181"/>
      <c r="AXD148" s="181"/>
      <c r="AXE148" s="181"/>
      <c r="AXF148" s="181"/>
      <c r="AXG148" s="181"/>
      <c r="AXH148" s="181"/>
      <c r="AXI148" s="181"/>
      <c r="AXJ148" s="181"/>
      <c r="AXK148" s="181"/>
      <c r="AXL148" s="181"/>
      <c r="AXM148" s="181"/>
      <c r="AXN148" s="181"/>
      <c r="AXO148" s="181"/>
      <c r="AXP148" s="181"/>
      <c r="AXQ148" s="181"/>
      <c r="AXR148" s="181"/>
      <c r="AXS148" s="181"/>
      <c r="AXT148" s="181"/>
      <c r="AXU148" s="181"/>
      <c r="AXV148" s="181"/>
      <c r="AXW148" s="181"/>
      <c r="AXX148" s="181"/>
      <c r="AXY148" s="181"/>
      <c r="AXZ148" s="181"/>
      <c r="AYA148" s="181"/>
      <c r="AYB148" s="181"/>
      <c r="AYC148" s="181"/>
      <c r="AYD148" s="181"/>
      <c r="AYE148" s="181"/>
      <c r="AYF148" s="181"/>
      <c r="AYG148" s="265"/>
      <c r="BBV148" s="265"/>
      <c r="BBW148" s="265"/>
      <c r="BBX148" s="265"/>
      <c r="BBY148" s="265"/>
      <c r="BBZ148" s="265"/>
      <c r="BCA148" s="265"/>
      <c r="BCB148" s="265"/>
      <c r="BCC148" s="265"/>
      <c r="BCD148" s="265"/>
      <c r="BFE148" s="3398"/>
    </row>
    <row r="149" spans="33:56 1243:1513" x14ac:dyDescent="0.2">
      <c r="AG149" s="2617"/>
      <c r="AH149" s="2625" t="s">
        <v>107</v>
      </c>
      <c r="AI149" s="5609" t="s">
        <v>2099</v>
      </c>
      <c r="AJ149" s="207" t="s">
        <v>108</v>
      </c>
      <c r="AV149" s="2622"/>
      <c r="AW149" s="2622"/>
      <c r="AX149" s="2622"/>
      <c r="AUU149" s="2617"/>
      <c r="AUV149" s="181"/>
      <c r="AUW149" s="181"/>
      <c r="AUX149" s="181"/>
      <c r="AUY149" s="181"/>
      <c r="AUZ149" s="181"/>
      <c r="AVA149" s="181"/>
      <c r="AVB149" s="181"/>
      <c r="AVC149" s="181"/>
      <c r="AVD149" s="181"/>
      <c r="AVE149" s="181"/>
      <c r="AVF149" s="181"/>
      <c r="AVG149" s="181"/>
      <c r="AVH149" s="181"/>
      <c r="AVI149" s="181"/>
      <c r="AVJ149" s="181"/>
      <c r="AVK149" s="181"/>
      <c r="AVL149" s="181"/>
      <c r="AVM149" s="181"/>
      <c r="AVN149" s="181"/>
      <c r="AVO149" s="181"/>
      <c r="AVP149" s="181"/>
      <c r="AVQ149" s="181"/>
      <c r="AVR149" s="181"/>
      <c r="AVS149" s="181"/>
      <c r="AVT149" s="181"/>
      <c r="AVU149" s="181"/>
      <c r="AVV149" s="181"/>
      <c r="AVW149" s="181"/>
      <c r="AVX149" s="181"/>
      <c r="AVY149" s="181"/>
      <c r="AVZ149" s="181"/>
      <c r="AWA149" s="181"/>
      <c r="AWB149" s="181"/>
      <c r="AWC149" s="181"/>
      <c r="AWD149" s="181"/>
      <c r="AWE149" s="181"/>
      <c r="AWF149" s="181"/>
      <c r="AWG149" s="181"/>
      <c r="AWH149" s="181"/>
      <c r="AWI149" s="181"/>
      <c r="AWJ149" s="181"/>
      <c r="AWK149" s="181"/>
      <c r="AWL149" s="181"/>
      <c r="AWM149" s="181"/>
      <c r="AWN149" s="181"/>
      <c r="AWO149" s="181"/>
      <c r="AWP149" s="181"/>
      <c r="AWQ149" s="181"/>
      <c r="AWR149" s="181"/>
      <c r="AWS149" s="181"/>
      <c r="AWT149" s="181"/>
      <c r="AWU149" s="181"/>
      <c r="AWV149" s="181"/>
      <c r="AWW149" s="181"/>
      <c r="AWX149" s="181"/>
      <c r="AWY149" s="181"/>
      <c r="AWZ149" s="181"/>
      <c r="AXA149" s="181"/>
      <c r="AXB149" s="181"/>
      <c r="AXC149" s="181"/>
      <c r="AXD149" s="181"/>
      <c r="AXE149" s="181"/>
      <c r="AXF149" s="181"/>
      <c r="AXG149" s="181"/>
      <c r="AXH149" s="181"/>
      <c r="AXI149" s="181"/>
      <c r="AXJ149" s="181"/>
      <c r="AXK149" s="181"/>
      <c r="AXL149" s="181"/>
      <c r="AXM149" s="181"/>
      <c r="AXN149" s="181"/>
      <c r="AXO149" s="181"/>
      <c r="AXP149" s="181"/>
      <c r="AXQ149" s="181"/>
      <c r="AXR149" s="181"/>
      <c r="AXS149" s="181"/>
      <c r="AXT149" s="181"/>
      <c r="AXU149" s="181"/>
      <c r="AXV149" s="181"/>
      <c r="AXW149" s="181"/>
      <c r="AXX149" s="181"/>
      <c r="AXY149" s="181"/>
      <c r="AXZ149" s="181"/>
      <c r="AYA149" s="181"/>
      <c r="AYB149" s="181"/>
      <c r="AYC149" s="181"/>
      <c r="AYD149" s="181"/>
      <c r="AYE149" s="181"/>
      <c r="AYF149" s="181"/>
      <c r="AYG149" s="183"/>
      <c r="BBV149" s="183"/>
      <c r="BBW149" s="183"/>
      <c r="BBX149" s="183"/>
      <c r="BBY149" s="183"/>
      <c r="BBZ149" s="183"/>
      <c r="BCA149" s="183"/>
      <c r="BCB149" s="183"/>
      <c r="BCC149" s="183"/>
      <c r="BCD149" s="183"/>
      <c r="BFE149" s="3398"/>
    </row>
    <row r="150" spans="33:56 1243:1513" x14ac:dyDescent="0.2">
      <c r="AG150" s="2617"/>
      <c r="AH150" s="2625"/>
      <c r="AI150" s="5609" t="s">
        <v>2100</v>
      </c>
      <c r="AJ150" s="207" t="s">
        <v>1601</v>
      </c>
      <c r="AV150" s="2622"/>
      <c r="AW150" s="2622"/>
      <c r="AX150" s="2622"/>
      <c r="AUU150" s="2617"/>
      <c r="AUV150" s="181"/>
      <c r="AUW150" s="181"/>
      <c r="AUX150" s="181"/>
      <c r="AUY150" s="181"/>
      <c r="AUZ150" s="181"/>
      <c r="AVA150" s="181"/>
      <c r="AVB150" s="181"/>
      <c r="AVC150" s="181"/>
      <c r="AVD150" s="181"/>
      <c r="AVE150" s="181"/>
      <c r="AVF150" s="181"/>
      <c r="AVG150" s="181"/>
      <c r="AVH150" s="181"/>
      <c r="AVI150" s="181"/>
      <c r="AVJ150" s="181"/>
      <c r="AVK150" s="181"/>
      <c r="AVL150" s="181"/>
      <c r="AVM150" s="181"/>
      <c r="AVN150" s="181"/>
      <c r="AVO150" s="181"/>
      <c r="AVP150" s="181"/>
      <c r="AVQ150" s="181"/>
      <c r="AVR150" s="181"/>
      <c r="AVS150" s="181"/>
      <c r="AVT150" s="181"/>
      <c r="AVU150" s="181"/>
      <c r="AVV150" s="181"/>
      <c r="AVW150" s="181"/>
      <c r="AVX150" s="181"/>
      <c r="AVY150" s="181"/>
      <c r="AVZ150" s="181"/>
      <c r="AWA150" s="181"/>
      <c r="AWB150" s="181"/>
      <c r="AWC150" s="181"/>
      <c r="AWD150" s="181"/>
      <c r="AWE150" s="181"/>
      <c r="AWF150" s="181"/>
      <c r="AWG150" s="181"/>
      <c r="AWH150" s="181"/>
      <c r="AWI150" s="181"/>
      <c r="AWJ150" s="181"/>
      <c r="AWK150" s="181"/>
      <c r="AWL150" s="181"/>
      <c r="AWM150" s="181"/>
      <c r="AWN150" s="181"/>
      <c r="AWO150" s="181"/>
      <c r="AWP150" s="181"/>
      <c r="AWQ150" s="181"/>
      <c r="AWR150" s="181"/>
      <c r="AWS150" s="181"/>
      <c r="AWT150" s="181"/>
      <c r="AWU150" s="181"/>
      <c r="AWV150" s="181"/>
      <c r="AWW150" s="181"/>
      <c r="AWX150" s="181"/>
      <c r="AWY150" s="181"/>
      <c r="AWZ150" s="181"/>
      <c r="AXA150" s="181"/>
      <c r="AXB150" s="181"/>
      <c r="AXC150" s="181"/>
      <c r="AXD150" s="181"/>
      <c r="AXE150" s="181"/>
      <c r="AXF150" s="181"/>
      <c r="AXG150" s="181"/>
      <c r="AXH150" s="181"/>
      <c r="AXI150" s="181"/>
      <c r="AXJ150" s="181"/>
      <c r="AXK150" s="181"/>
      <c r="AXL150" s="181"/>
      <c r="AXM150" s="181"/>
      <c r="AXN150" s="181"/>
      <c r="AXO150" s="181"/>
      <c r="AXP150" s="181"/>
      <c r="AXQ150" s="181"/>
      <c r="AXR150" s="181"/>
      <c r="AXS150" s="181"/>
      <c r="AXT150" s="181"/>
      <c r="AXU150" s="181"/>
      <c r="AXV150" s="181"/>
      <c r="AXW150" s="181"/>
      <c r="AXX150" s="181"/>
      <c r="AXY150" s="181"/>
      <c r="AXZ150" s="181"/>
      <c r="AYA150" s="181"/>
      <c r="AYB150" s="181"/>
      <c r="AYC150" s="181"/>
      <c r="AYD150" s="181"/>
      <c r="AYE150" s="181"/>
      <c r="AYF150" s="181"/>
      <c r="AYG150" s="183"/>
      <c r="BBV150" s="183"/>
      <c r="BBW150" s="183"/>
      <c r="BBX150" s="183"/>
      <c r="BBY150" s="183"/>
      <c r="BBZ150" s="183"/>
      <c r="BCA150" s="183"/>
      <c r="BCB150" s="183"/>
      <c r="BCC150" s="183"/>
      <c r="BCD150" s="183"/>
      <c r="BFE150" s="3398"/>
    </row>
    <row r="151" spans="33:56 1243:1513" x14ac:dyDescent="0.2">
      <c r="AG151" s="2617"/>
      <c r="AU151" s="199" t="s">
        <v>1165</v>
      </c>
      <c r="AV151" s="199"/>
      <c r="AW151" s="2622"/>
      <c r="AX151" s="2622"/>
      <c r="AUU151" s="2617"/>
      <c r="AUV151" s="181"/>
      <c r="AUW151" s="181"/>
      <c r="AUX151" s="181"/>
      <c r="AUY151" s="181"/>
      <c r="AUZ151" s="181"/>
      <c r="AVA151" s="181"/>
      <c r="AVB151" s="181"/>
      <c r="AVC151" s="181"/>
      <c r="AVD151" s="181"/>
      <c r="AVE151" s="181"/>
      <c r="AVF151" s="181"/>
      <c r="AVG151" s="181"/>
      <c r="AVH151" s="181"/>
      <c r="AVI151" s="181"/>
      <c r="AVJ151" s="181"/>
      <c r="AVK151" s="181"/>
      <c r="AVL151" s="181"/>
      <c r="AVM151" s="181"/>
      <c r="AVN151" s="181"/>
      <c r="AVO151" s="181"/>
      <c r="AVP151" s="181"/>
      <c r="AVQ151" s="181"/>
      <c r="AVR151" s="181"/>
      <c r="AVS151" s="181"/>
      <c r="AVT151" s="181"/>
      <c r="AVU151" s="181"/>
      <c r="AVV151" s="181"/>
      <c r="AVW151" s="181"/>
      <c r="AVX151" s="181"/>
      <c r="AVY151" s="181"/>
      <c r="AVZ151" s="181"/>
      <c r="AWA151" s="181"/>
      <c r="AWB151" s="181"/>
      <c r="AWC151" s="181"/>
      <c r="AWD151" s="181"/>
      <c r="AWE151" s="181"/>
      <c r="AWF151" s="181"/>
      <c r="AWG151" s="181"/>
      <c r="AWH151" s="181"/>
      <c r="AWI151" s="181"/>
      <c r="AWJ151" s="181"/>
      <c r="AWK151" s="181"/>
      <c r="AWL151" s="181"/>
      <c r="AWM151" s="181"/>
      <c r="AWN151" s="181"/>
      <c r="AWO151" s="181"/>
      <c r="AWP151" s="181"/>
      <c r="AWQ151" s="181"/>
      <c r="AWR151" s="181"/>
      <c r="AWS151" s="181"/>
      <c r="AWT151" s="181"/>
      <c r="AWU151" s="181"/>
      <c r="AWV151" s="181"/>
      <c r="AWW151" s="181"/>
      <c r="AWX151" s="181"/>
      <c r="AWY151" s="181"/>
      <c r="AWZ151" s="181"/>
      <c r="AXA151" s="181"/>
      <c r="AXB151" s="181"/>
      <c r="AXC151" s="181"/>
      <c r="AXD151" s="181"/>
      <c r="AXE151" s="181"/>
      <c r="AXF151" s="181"/>
      <c r="AXG151" s="181"/>
      <c r="AXH151" s="181"/>
      <c r="AXI151" s="181"/>
      <c r="AXJ151" s="181"/>
      <c r="AXK151" s="181"/>
      <c r="AXL151" s="181"/>
      <c r="AXM151" s="181"/>
      <c r="AXN151" s="181"/>
      <c r="AXO151" s="181"/>
      <c r="AXP151" s="181"/>
      <c r="AXQ151" s="181"/>
      <c r="AXR151" s="181"/>
      <c r="AXS151" s="181"/>
      <c r="AXT151" s="181"/>
      <c r="AXU151" s="181"/>
      <c r="AXV151" s="181"/>
      <c r="AXW151" s="181"/>
      <c r="AXX151" s="181"/>
      <c r="AXY151" s="181"/>
      <c r="AXZ151" s="181"/>
      <c r="AYA151" s="181"/>
      <c r="AYB151" s="181"/>
      <c r="AYC151" s="181"/>
      <c r="AYD151" s="181"/>
      <c r="AYE151" s="181"/>
      <c r="AYF151" s="181"/>
      <c r="AYG151" s="183"/>
      <c r="BBV151" s="183"/>
      <c r="BBW151" s="183"/>
      <c r="BBX151" s="183"/>
      <c r="BBY151" s="183"/>
      <c r="BBZ151" s="183"/>
      <c r="BCA151" s="183"/>
      <c r="BCB151" s="183"/>
      <c r="BCC151" s="183"/>
      <c r="BCD151" s="183"/>
      <c r="BFE151" s="3398"/>
    </row>
    <row r="152" spans="33:56 1243:1513" x14ac:dyDescent="0.2">
      <c r="AG152" s="2617"/>
      <c r="AU152" s="199" t="s">
        <v>1164</v>
      </c>
      <c r="AV152" s="199">
        <f>9-(COUNTIF(AV136:BD136,""))</f>
        <v>1</v>
      </c>
      <c r="AW152" s="2622"/>
      <c r="AX152" s="2622"/>
      <c r="AUU152" s="2617"/>
      <c r="AUV152" s="4248" t="s">
        <v>1359</v>
      </c>
      <c r="AUW152" s="314" t="s">
        <v>2065</v>
      </c>
      <c r="AUX152" s="314" t="s">
        <v>2066</v>
      </c>
      <c r="AUY152" s="314" t="s">
        <v>2067</v>
      </c>
      <c r="AUZ152" s="314" t="s">
        <v>2068</v>
      </c>
      <c r="AVA152" s="314" t="s">
        <v>2069</v>
      </c>
      <c r="AVB152" s="314" t="s">
        <v>2070</v>
      </c>
      <c r="AVC152" s="314" t="s">
        <v>2071</v>
      </c>
      <c r="AVD152" s="314" t="s">
        <v>2072</v>
      </c>
      <c r="AVE152" s="314" t="s">
        <v>2073</v>
      </c>
      <c r="AVF152" s="314" t="s">
        <v>2074</v>
      </c>
      <c r="AVG152" s="314" t="s">
        <v>2075</v>
      </c>
      <c r="AVH152" s="314" t="s">
        <v>2076</v>
      </c>
      <c r="AVI152" s="314" t="s">
        <v>2077</v>
      </c>
      <c r="AVJ152" s="314" t="s">
        <v>2078</v>
      </c>
      <c r="AVK152" s="314" t="s">
        <v>2079</v>
      </c>
      <c r="AVL152" s="314" t="s">
        <v>2080</v>
      </c>
      <c r="AVM152" s="314" t="s">
        <v>2081</v>
      </c>
      <c r="AVN152" s="314" t="s">
        <v>2082</v>
      </c>
      <c r="AVO152" s="314" t="s">
        <v>2083</v>
      </c>
      <c r="AVP152" s="314" t="s">
        <v>2084</v>
      </c>
      <c r="AVQ152" s="314" t="s">
        <v>2085</v>
      </c>
      <c r="AVR152" s="314" t="s">
        <v>2086</v>
      </c>
      <c r="AVS152" s="314" t="s">
        <v>2087</v>
      </c>
      <c r="AVT152" s="1766" t="s">
        <v>2088</v>
      </c>
      <c r="AVU152" s="181"/>
      <c r="AVV152" s="181"/>
      <c r="AVW152" s="181"/>
      <c r="AVX152" s="181"/>
      <c r="AVY152" s="181"/>
      <c r="AVZ152" s="181"/>
      <c r="AWA152" s="181"/>
      <c r="AWB152" s="181"/>
      <c r="AWC152" s="181"/>
      <c r="AWD152" s="181"/>
      <c r="AWE152" s="181"/>
      <c r="AWF152" s="181"/>
      <c r="AWG152" s="181"/>
      <c r="AWH152" s="181"/>
      <c r="AWI152" s="181"/>
      <c r="AWJ152" s="181"/>
      <c r="AWK152" s="181"/>
      <c r="AWL152" s="181"/>
      <c r="AWM152" s="181"/>
      <c r="AWN152" s="181"/>
      <c r="AWO152" s="181"/>
      <c r="AWP152" s="181"/>
      <c r="AWQ152" s="181"/>
      <c r="AWR152" s="181"/>
      <c r="AWS152" s="181"/>
      <c r="AWT152" s="181"/>
      <c r="AWU152" s="181"/>
      <c r="AWV152" s="181"/>
      <c r="AWW152" s="181"/>
      <c r="AWX152" s="181"/>
      <c r="AWY152" s="181"/>
      <c r="AWZ152" s="181"/>
      <c r="AXA152" s="181"/>
      <c r="AXB152" s="181"/>
      <c r="AXC152" s="181"/>
      <c r="AXD152" s="181"/>
      <c r="AXE152" s="181"/>
      <c r="AXF152" s="181"/>
      <c r="AXG152" s="181"/>
      <c r="AXH152" s="181"/>
      <c r="AXI152" s="181"/>
      <c r="AXJ152" s="181"/>
      <c r="AXK152" s="181"/>
      <c r="AXL152" s="181"/>
      <c r="AXM152" s="181"/>
      <c r="AXN152" s="181"/>
      <c r="AXO152" s="181"/>
      <c r="AXP152" s="181"/>
      <c r="AXQ152" s="181"/>
      <c r="AXR152" s="181"/>
      <c r="AXS152" s="181"/>
      <c r="AXT152" s="181"/>
      <c r="AXU152" s="181"/>
      <c r="AXV152" s="181"/>
      <c r="AXW152" s="181"/>
      <c r="AXX152" s="181"/>
      <c r="AXY152" s="181"/>
      <c r="AXZ152" s="181"/>
      <c r="AYA152" s="181"/>
      <c r="AYB152" s="181"/>
      <c r="AYC152" s="181"/>
      <c r="AYD152" s="181"/>
      <c r="AYE152" s="181"/>
      <c r="AYF152" s="181"/>
      <c r="AYG152" s="183"/>
      <c r="BBV152" s="183"/>
      <c r="BBW152" s="183"/>
      <c r="BBX152" s="183"/>
      <c r="BBY152" s="183"/>
      <c r="BBZ152" s="183"/>
      <c r="BCA152" s="183"/>
      <c r="BCB152" s="183"/>
      <c r="BCC152" s="183"/>
      <c r="BCD152" s="183"/>
      <c r="BFE152" s="3398"/>
    </row>
    <row r="153" spans="33:56 1243:1513" x14ac:dyDescent="0.2">
      <c r="AG153" s="207"/>
      <c r="AU153" s="199" t="s">
        <v>1166</v>
      </c>
      <c r="AV153" s="199"/>
      <c r="AW153" s="2622"/>
      <c r="AX153" s="2622"/>
      <c r="AUU153" s="2617"/>
      <c r="AUV153" s="4196" t="s">
        <v>1267</v>
      </c>
      <c r="AUW153" s="316" t="s">
        <v>18</v>
      </c>
      <c r="AUX153" s="316" t="s">
        <v>18</v>
      </c>
      <c r="AUY153" s="316" t="s">
        <v>18</v>
      </c>
      <c r="AUZ153" s="316" t="s">
        <v>18</v>
      </c>
      <c r="AVA153" s="316" t="s">
        <v>18</v>
      </c>
      <c r="AVB153" s="316" t="s">
        <v>18</v>
      </c>
      <c r="AVC153" s="316">
        <v>1</v>
      </c>
      <c r="AVD153" s="316">
        <v>2</v>
      </c>
      <c r="AVE153" s="4247" t="s">
        <v>18</v>
      </c>
      <c r="AVF153" s="4247" t="s">
        <v>18</v>
      </c>
      <c r="AVG153" s="4247" t="s">
        <v>18</v>
      </c>
      <c r="AVH153" s="4247" t="s">
        <v>18</v>
      </c>
      <c r="AVI153" s="4247" t="s">
        <v>18</v>
      </c>
      <c r="AVJ153" s="4247" t="s">
        <v>18</v>
      </c>
      <c r="AVK153" s="4247">
        <v>0.5</v>
      </c>
      <c r="AVL153" s="4247">
        <v>0.5</v>
      </c>
      <c r="AVM153" s="4247" t="str">
        <f>IFERROR(1-klasseqty_sik1234[[#This Row],[sikringsstøp_123_a]],"-")</f>
        <v>-</v>
      </c>
      <c r="AVN153" s="4247" t="str">
        <f>IFERROR(1-klasseqty_sik1234[[#This Row],[sikringsstøp_123_b]],"-")</f>
        <v>-</v>
      </c>
      <c r="AVO153" s="4247" t="str">
        <f>IFERROR(1-klasseqty_sik1234[[#This Row],[sikringsstøp_123_c]],"-")</f>
        <v>-</v>
      </c>
      <c r="AVP153" s="4247" t="str">
        <f>IFERROR(1-klasseqty_sik1234[[#This Row],[sikringsstøp_123_d]],"-")</f>
        <v>-</v>
      </c>
      <c r="AVQ153" s="4247" t="str">
        <f>IFERROR(1-klasseqty_sik1234[[#This Row],[sikringsstøp_123_e1]],"-")</f>
        <v>-</v>
      </c>
      <c r="AVR153" s="4247" t="str">
        <f>IFERROR(1-klasseqty_sik1234[[#This Row],[sikringsstøp_123_e2]],"-")</f>
        <v>-</v>
      </c>
      <c r="AVS153" s="4247">
        <f>IFERROR(1-klasseqty_sik1234[[#This Row],[sikringsstøp_123_f]],"-")</f>
        <v>0.5</v>
      </c>
      <c r="AVT153" s="4247">
        <f>IFERROR(1-klasseqty_sik1234[[#This Row],[sikringsstøp_123_g]],"-")</f>
        <v>0.5</v>
      </c>
      <c r="AVU153" s="181"/>
      <c r="AVV153" s="181"/>
      <c r="AVW153" s="181"/>
      <c r="AVX153" s="181"/>
      <c r="AVY153" s="181"/>
      <c r="AVZ153" s="181"/>
      <c r="AWA153" s="181"/>
      <c r="AWB153" s="181"/>
      <c r="AWC153" s="181"/>
      <c r="AWD153" s="181"/>
      <c r="AWE153" s="181"/>
      <c r="AWF153" s="181"/>
      <c r="AWG153" s="181"/>
      <c r="AWH153" s="181"/>
      <c r="AWI153" s="181"/>
      <c r="AWJ153" s="181"/>
      <c r="AWK153" s="181"/>
      <c r="AWL153" s="181"/>
      <c r="AWM153" s="181"/>
      <c r="AWN153" s="181"/>
      <c r="AWO153" s="181"/>
      <c r="AWP153" s="181"/>
      <c r="AWQ153" s="181"/>
      <c r="AWR153" s="181"/>
      <c r="AWS153" s="181"/>
      <c r="AWT153" s="181"/>
      <c r="AWU153" s="181"/>
      <c r="AWV153" s="181"/>
      <c r="AWW153" s="181"/>
      <c r="AWX153" s="181"/>
      <c r="AWY153" s="181"/>
      <c r="AWZ153" s="181"/>
      <c r="AXA153" s="181"/>
      <c r="AXB153" s="181"/>
      <c r="AXC153" s="181"/>
      <c r="AXD153" s="181"/>
      <c r="AXE153" s="181"/>
      <c r="AXF153" s="181"/>
      <c r="AXG153" s="181"/>
      <c r="AXH153" s="181"/>
      <c r="AXI153" s="181"/>
      <c r="AXJ153" s="181"/>
      <c r="AXK153" s="181"/>
      <c r="AXL153" s="181"/>
      <c r="AXM153" s="181"/>
      <c r="AXN153" s="181"/>
      <c r="AXO153" s="181"/>
      <c r="AXP153" s="181"/>
      <c r="AXQ153" s="181"/>
      <c r="AXR153" s="181"/>
      <c r="AXS153" s="181"/>
      <c r="AXT153" s="181"/>
      <c r="AXU153" s="181"/>
      <c r="AXV153" s="181"/>
      <c r="AXW153" s="181"/>
      <c r="AXX153" s="181"/>
      <c r="AXY153" s="181"/>
      <c r="AXZ153" s="181"/>
      <c r="AYA153" s="181"/>
      <c r="AYB153" s="181"/>
      <c r="AYC153" s="181"/>
      <c r="AYD153" s="181"/>
      <c r="AYE153" s="181"/>
      <c r="AYF153" s="181"/>
      <c r="AYG153" s="183"/>
      <c r="BBV153" s="183"/>
      <c r="BBW153" s="183"/>
      <c r="BBX153" s="183"/>
      <c r="BBY153" s="183"/>
      <c r="BBZ153" s="183"/>
      <c r="BCA153" s="183"/>
      <c r="BCB153" s="183"/>
      <c r="BCC153" s="183"/>
      <c r="BCD153" s="183"/>
      <c r="BFE153" s="3398"/>
    </row>
    <row r="154" spans="33:56 1243:1513" x14ac:dyDescent="0.2">
      <c r="AG154" s="207"/>
      <c r="AU154" s="199" t="s">
        <v>1164</v>
      </c>
      <c r="AV154" s="199">
        <f>9-(COUNTIF(AV137:BD137,""))</f>
        <v>1</v>
      </c>
      <c r="AW154" s="2622"/>
      <c r="AX154" s="2622"/>
      <c r="AUU154" s="2617"/>
      <c r="AUV154" s="4196" t="s">
        <v>1268</v>
      </c>
      <c r="AUW154" s="316" t="s">
        <v>18</v>
      </c>
      <c r="AUX154" s="316" t="s">
        <v>18</v>
      </c>
      <c r="AUY154" s="316" t="s">
        <v>18</v>
      </c>
      <c r="AUZ154" s="316" t="s">
        <v>18</v>
      </c>
      <c r="AVA154" s="316" t="s">
        <v>18</v>
      </c>
      <c r="AVB154" s="316" t="s">
        <v>18</v>
      </c>
      <c r="AVC154" s="316">
        <v>1</v>
      </c>
      <c r="AVD154" s="316">
        <v>2</v>
      </c>
      <c r="AVE154" s="4247" t="s">
        <v>18</v>
      </c>
      <c r="AVF154" s="4247" t="s">
        <v>18</v>
      </c>
      <c r="AVG154" s="4247" t="s">
        <v>18</v>
      </c>
      <c r="AVH154" s="4247" t="s">
        <v>18</v>
      </c>
      <c r="AVI154" s="4247" t="s">
        <v>18</v>
      </c>
      <c r="AVJ154" s="4247" t="s">
        <v>18</v>
      </c>
      <c r="AVK154" s="4247">
        <v>0.5</v>
      </c>
      <c r="AVL154" s="4247">
        <v>0.5</v>
      </c>
      <c r="AVM154" s="4247" t="str">
        <f>IFERROR(1-klasseqty_sik1234[[#This Row],[sikringsstøp_123_a]],"-")</f>
        <v>-</v>
      </c>
      <c r="AVN154" s="4247" t="str">
        <f>IFERROR(1-klasseqty_sik1234[[#This Row],[sikringsstøp_123_b]],"-")</f>
        <v>-</v>
      </c>
      <c r="AVO154" s="4247" t="str">
        <f>IFERROR(1-klasseqty_sik1234[[#This Row],[sikringsstøp_123_c]],"-")</f>
        <v>-</v>
      </c>
      <c r="AVP154" s="4247" t="str">
        <f>IFERROR(1-klasseqty_sik1234[[#This Row],[sikringsstøp_123_d]],"-")</f>
        <v>-</v>
      </c>
      <c r="AVQ154" s="4247" t="str">
        <f>IFERROR(1-klasseqty_sik1234[[#This Row],[sikringsstøp_123_e1]],"-")</f>
        <v>-</v>
      </c>
      <c r="AVR154" s="4247" t="str">
        <f>IFERROR(1-klasseqty_sik1234[[#This Row],[sikringsstøp_123_e2]],"-")</f>
        <v>-</v>
      </c>
      <c r="AVS154" s="4247">
        <f>IFERROR(1-klasseqty_sik1234[[#This Row],[sikringsstøp_123_f]],"-")</f>
        <v>0.5</v>
      </c>
      <c r="AVT154" s="4247">
        <f>IFERROR(1-klasseqty_sik1234[[#This Row],[sikringsstøp_123_g]],"-")</f>
        <v>0.5</v>
      </c>
      <c r="AVU154" s="181"/>
      <c r="AVV154" s="181"/>
      <c r="AVW154" s="181"/>
      <c r="AVX154" s="181"/>
      <c r="AVY154" s="181"/>
      <c r="AVZ154" s="181"/>
      <c r="AWA154" s="181"/>
      <c r="AWB154" s="181"/>
      <c r="AWC154" s="181"/>
      <c r="AWD154" s="181"/>
      <c r="AWE154" s="181"/>
      <c r="AWF154" s="181"/>
      <c r="AWG154" s="181"/>
      <c r="AWH154" s="181"/>
      <c r="AWI154" s="181"/>
      <c r="AWJ154" s="181"/>
      <c r="AWK154" s="181"/>
      <c r="AWL154" s="181"/>
      <c r="AWM154" s="181"/>
      <c r="AWN154" s="181"/>
      <c r="AWO154" s="181"/>
      <c r="AWP154" s="181"/>
      <c r="AWQ154" s="181"/>
      <c r="AWR154" s="181"/>
      <c r="AWS154" s="181"/>
      <c r="AWT154" s="181"/>
      <c r="AWU154" s="181"/>
      <c r="AWV154" s="181"/>
      <c r="AWW154" s="181"/>
      <c r="AWX154" s="181"/>
      <c r="AWY154" s="181"/>
      <c r="AWZ154" s="181"/>
      <c r="AXA154" s="181"/>
      <c r="AXB154" s="181"/>
      <c r="AXC154" s="181"/>
      <c r="AXD154" s="181"/>
      <c r="AXE154" s="181"/>
      <c r="AXF154" s="181"/>
      <c r="AXG154" s="181"/>
      <c r="AXH154" s="181"/>
      <c r="AXI154" s="181"/>
      <c r="AXJ154" s="181"/>
      <c r="AXK154" s="181"/>
      <c r="AXL154" s="181"/>
      <c r="AXM154" s="181"/>
      <c r="AXN154" s="181"/>
      <c r="AXO154" s="181"/>
      <c r="AXP154" s="181"/>
      <c r="AXQ154" s="181"/>
      <c r="AXR154" s="181"/>
      <c r="AXS154" s="181"/>
      <c r="AXT154" s="181"/>
      <c r="AXU154" s="181"/>
      <c r="AXV154" s="181"/>
      <c r="AXW154" s="181"/>
      <c r="AXX154" s="181"/>
      <c r="AXY154" s="181"/>
      <c r="AXZ154" s="181"/>
      <c r="AYA154" s="181"/>
      <c r="AYB154" s="181"/>
      <c r="AYC154" s="181"/>
      <c r="AYD154" s="181"/>
      <c r="AYE154" s="181"/>
      <c r="AYF154" s="181"/>
      <c r="AYG154" s="183"/>
      <c r="BBV154" s="183"/>
      <c r="BBW154" s="183"/>
      <c r="BBX154" s="183"/>
      <c r="BBY154" s="183"/>
      <c r="BBZ154" s="183"/>
      <c r="BCA154" s="183"/>
      <c r="BCB154" s="183"/>
      <c r="BCC154" s="183"/>
      <c r="BCD154" s="183"/>
      <c r="BFE154" s="3398"/>
    </row>
    <row r="155" spans="33:56 1243:1513" x14ac:dyDescent="0.2">
      <c r="AG155" s="207"/>
      <c r="AV155" s="2622"/>
      <c r="AW155" s="2622"/>
      <c r="AX155" s="2622"/>
      <c r="AUU155" s="2617"/>
      <c r="AUV155" s="4196" t="s">
        <v>1270</v>
      </c>
      <c r="AUW155" s="316" t="s">
        <v>18</v>
      </c>
      <c r="AUX155" s="316" t="s">
        <v>18</v>
      </c>
      <c r="AUY155" s="316" t="s">
        <v>18</v>
      </c>
      <c r="AUZ155" s="316" t="s">
        <v>18</v>
      </c>
      <c r="AVA155" s="316" t="s">
        <v>18</v>
      </c>
      <c r="AVB155" s="316" t="s">
        <v>18</v>
      </c>
      <c r="AVC155" s="316">
        <v>1</v>
      </c>
      <c r="AVD155" s="316">
        <v>2</v>
      </c>
      <c r="AVE155" s="4247" t="s">
        <v>18</v>
      </c>
      <c r="AVF155" s="4247" t="s">
        <v>18</v>
      </c>
      <c r="AVG155" s="4247" t="s">
        <v>18</v>
      </c>
      <c r="AVH155" s="4247" t="s">
        <v>18</v>
      </c>
      <c r="AVI155" s="4247" t="s">
        <v>18</v>
      </c>
      <c r="AVJ155" s="4247" t="s">
        <v>18</v>
      </c>
      <c r="AVK155" s="4247">
        <v>0.5</v>
      </c>
      <c r="AVL155" s="4247">
        <v>0.5</v>
      </c>
      <c r="AVM155" s="4247" t="str">
        <f>IFERROR(1-klasseqty_sik1234[[#This Row],[sikringsstøp_123_a]],"-")</f>
        <v>-</v>
      </c>
      <c r="AVN155" s="4247" t="str">
        <f>IFERROR(1-klasseqty_sik1234[[#This Row],[sikringsstøp_123_b]],"-")</f>
        <v>-</v>
      </c>
      <c r="AVO155" s="4247" t="str">
        <f>IFERROR(1-klasseqty_sik1234[[#This Row],[sikringsstøp_123_c]],"-")</f>
        <v>-</v>
      </c>
      <c r="AVP155" s="4247" t="str">
        <f>IFERROR(1-klasseqty_sik1234[[#This Row],[sikringsstøp_123_d]],"-")</f>
        <v>-</v>
      </c>
      <c r="AVQ155" s="4247" t="str">
        <f>IFERROR(1-klasseqty_sik1234[[#This Row],[sikringsstøp_123_e1]],"-")</f>
        <v>-</v>
      </c>
      <c r="AVR155" s="4247" t="str">
        <f>IFERROR(1-klasseqty_sik1234[[#This Row],[sikringsstøp_123_e2]],"-")</f>
        <v>-</v>
      </c>
      <c r="AVS155" s="4247">
        <f>IFERROR(1-klasseqty_sik1234[[#This Row],[sikringsstøp_123_f]],"-")</f>
        <v>0.5</v>
      </c>
      <c r="AVT155" s="4247">
        <f>IFERROR(1-klasseqty_sik1234[[#This Row],[sikringsstøp_123_g]],"-")</f>
        <v>0.5</v>
      </c>
      <c r="AVU155" s="181"/>
      <c r="AVV155" s="181"/>
      <c r="AVW155" s="181"/>
      <c r="AVX155" s="181"/>
      <c r="AVY155" s="181"/>
      <c r="AVZ155" s="181"/>
      <c r="AWA155" s="181"/>
      <c r="AWB155" s="181"/>
      <c r="AWC155" s="181"/>
      <c r="AWD155" s="181"/>
      <c r="AWE155" s="181"/>
      <c r="AWF155" s="181"/>
      <c r="AWG155" s="181"/>
      <c r="AWH155" s="181"/>
      <c r="AWI155" s="181"/>
      <c r="AWJ155" s="181"/>
      <c r="AWK155" s="181"/>
      <c r="AWL155" s="181"/>
      <c r="AWM155" s="181"/>
      <c r="AWN155" s="181"/>
      <c r="AWO155" s="181"/>
      <c r="AWP155" s="181"/>
      <c r="AWQ155" s="181"/>
      <c r="AWR155" s="181"/>
      <c r="AWS155" s="181"/>
      <c r="AWT155" s="181"/>
      <c r="AWU155" s="181"/>
      <c r="AWV155" s="181"/>
      <c r="AWW155" s="181"/>
      <c r="AWX155" s="181"/>
      <c r="AWY155" s="181"/>
      <c r="AWZ155" s="181"/>
      <c r="AXA155" s="181"/>
      <c r="AXB155" s="181"/>
      <c r="AXC155" s="181"/>
      <c r="AXD155" s="181"/>
      <c r="AXE155" s="181"/>
      <c r="AXF155" s="181"/>
      <c r="AXG155" s="181"/>
      <c r="AXH155" s="181"/>
      <c r="AXI155" s="181"/>
      <c r="AXJ155" s="181"/>
      <c r="AXK155" s="181"/>
      <c r="AXL155" s="181"/>
      <c r="AXM155" s="181"/>
      <c r="AXN155" s="181"/>
      <c r="AXO155" s="181"/>
      <c r="AXP155" s="181"/>
      <c r="AXQ155" s="181"/>
      <c r="AXR155" s="181"/>
      <c r="AXS155" s="181"/>
      <c r="AXT155" s="181"/>
      <c r="AXU155" s="181"/>
      <c r="AXV155" s="181"/>
      <c r="AXW155" s="181"/>
      <c r="AXX155" s="181"/>
      <c r="AXY155" s="181"/>
      <c r="AXZ155" s="181"/>
      <c r="AYA155" s="181"/>
      <c r="AYB155" s="181"/>
      <c r="AYC155" s="181"/>
      <c r="AYD155" s="181"/>
      <c r="AYE155" s="181"/>
      <c r="AYF155" s="181"/>
      <c r="AYG155" s="183"/>
      <c r="BBV155" s="183"/>
      <c r="BBW155" s="183"/>
      <c r="BBX155" s="183"/>
      <c r="BBY155" s="183"/>
      <c r="BBZ155" s="183"/>
      <c r="BCA155" s="183"/>
      <c r="BCB155" s="183"/>
      <c r="BCC155" s="183"/>
      <c r="BCD155" s="183"/>
      <c r="BFE155" s="3398"/>
    </row>
    <row r="156" spans="33:56 1243:1513" x14ac:dyDescent="0.2">
      <c r="AG156" s="207" t="s">
        <v>1222</v>
      </c>
      <c r="AK156" s="402" t="str">
        <f>IF(_Calcs!M76="","",_Calcs!M76)</f>
        <v/>
      </c>
      <c r="AM156" s="207" t="str">
        <f>IF(_Calcs!N76="","",_Calcs!N76)</f>
        <v/>
      </c>
      <c r="AN156" s="5599"/>
      <c r="AV156" s="2622"/>
      <c r="AW156" s="2622"/>
      <c r="AX156" s="2622"/>
      <c r="AUU156" s="2617"/>
      <c r="AUV156" s="4249" t="s">
        <v>1269</v>
      </c>
      <c r="AUW156" s="4198" t="s">
        <v>18</v>
      </c>
      <c r="AUX156" s="4198" t="s">
        <v>18</v>
      </c>
      <c r="AUY156" s="4198" t="s">
        <v>18</v>
      </c>
      <c r="AUZ156" s="4198" t="s">
        <v>18</v>
      </c>
      <c r="AVA156" s="4198" t="s">
        <v>18</v>
      </c>
      <c r="AVB156" s="4198" t="s">
        <v>18</v>
      </c>
      <c r="AVC156" s="4198">
        <v>1</v>
      </c>
      <c r="AVD156" s="4198">
        <v>2</v>
      </c>
      <c r="AVE156" s="4250" t="s">
        <v>18</v>
      </c>
      <c r="AVF156" s="4250" t="s">
        <v>18</v>
      </c>
      <c r="AVG156" s="4250" t="s">
        <v>18</v>
      </c>
      <c r="AVH156" s="4250" t="s">
        <v>18</v>
      </c>
      <c r="AVI156" s="4250" t="s">
        <v>18</v>
      </c>
      <c r="AVJ156" s="4250" t="s">
        <v>18</v>
      </c>
      <c r="AVK156" s="4247">
        <v>0.5</v>
      </c>
      <c r="AVL156" s="4247">
        <v>0.5</v>
      </c>
      <c r="AVM156" s="4247" t="str">
        <f>IFERROR(1-klasseqty_sik1234[[#This Row],[sikringsstøp_123_a]],"-")</f>
        <v>-</v>
      </c>
      <c r="AVN156" s="4247" t="str">
        <f>IFERROR(1-klasseqty_sik1234[[#This Row],[sikringsstøp_123_b]],"-")</f>
        <v>-</v>
      </c>
      <c r="AVO156" s="4247" t="str">
        <f>IFERROR(1-klasseqty_sik1234[[#This Row],[sikringsstøp_123_c]],"-")</f>
        <v>-</v>
      </c>
      <c r="AVP156" s="4247" t="str">
        <f>IFERROR(1-klasseqty_sik1234[[#This Row],[sikringsstøp_123_d]],"-")</f>
        <v>-</v>
      </c>
      <c r="AVQ156" s="4247" t="str">
        <f>IFERROR(1-klasseqty_sik1234[[#This Row],[sikringsstøp_123_e1]],"-")</f>
        <v>-</v>
      </c>
      <c r="AVR156" s="4247" t="str">
        <f>IFERROR(1-klasseqty_sik1234[[#This Row],[sikringsstøp_123_e2]],"-")</f>
        <v>-</v>
      </c>
      <c r="AVS156" s="4247">
        <f>IFERROR(1-klasseqty_sik1234[[#This Row],[sikringsstøp_123_f]],"-")</f>
        <v>0.5</v>
      </c>
      <c r="AVT156" s="4247">
        <f>IFERROR(1-klasseqty_sik1234[[#This Row],[sikringsstøp_123_g]],"-")</f>
        <v>0.5</v>
      </c>
      <c r="AVU156" s="181"/>
      <c r="AVV156" s="181"/>
      <c r="AVW156" s="181"/>
      <c r="AVX156" s="181"/>
      <c r="AVY156" s="181"/>
      <c r="AVZ156" s="181"/>
      <c r="AWA156" s="181"/>
      <c r="AWB156" s="181"/>
      <c r="AWC156" s="181"/>
      <c r="AWD156" s="181"/>
      <c r="AWE156" s="181"/>
      <c r="AWF156" s="181"/>
      <c r="AWG156" s="181"/>
      <c r="AWH156" s="181"/>
      <c r="AWI156" s="181"/>
      <c r="AWJ156" s="181"/>
      <c r="AWK156" s="181"/>
      <c r="AWL156" s="181"/>
      <c r="AWM156" s="181"/>
      <c r="AWN156" s="181"/>
      <c r="AWO156" s="181"/>
      <c r="AWP156" s="181"/>
      <c r="AWQ156" s="181"/>
      <c r="AWR156" s="181"/>
      <c r="AWS156" s="181"/>
      <c r="AWT156" s="181"/>
      <c r="AWU156" s="181"/>
      <c r="AWV156" s="181"/>
      <c r="AWW156" s="181"/>
      <c r="AWX156" s="181"/>
      <c r="AWY156" s="181"/>
      <c r="AWZ156" s="181"/>
      <c r="AXA156" s="181"/>
      <c r="AXB156" s="181"/>
      <c r="AXC156" s="181"/>
      <c r="AXD156" s="181"/>
      <c r="AXE156" s="181"/>
      <c r="AXF156" s="181"/>
      <c r="AXG156" s="181"/>
      <c r="AXH156" s="181"/>
      <c r="AXI156" s="181"/>
      <c r="AXJ156" s="181"/>
      <c r="AXK156" s="181"/>
      <c r="AXL156" s="181"/>
      <c r="AXM156" s="181"/>
      <c r="AXN156" s="181"/>
      <c r="AXO156" s="181"/>
      <c r="AXP156" s="181"/>
      <c r="AXQ156" s="181"/>
      <c r="AXR156" s="181"/>
      <c r="AXS156" s="181"/>
      <c r="AXT156" s="181"/>
      <c r="AXU156" s="181"/>
      <c r="AXV156" s="181"/>
      <c r="AXW156" s="181"/>
      <c r="AXX156" s="181"/>
      <c r="AXY156" s="181"/>
      <c r="AXZ156" s="181"/>
      <c r="AYA156" s="181"/>
      <c r="AYB156" s="181"/>
      <c r="AYC156" s="181"/>
      <c r="AYD156" s="181"/>
      <c r="AYE156" s="181"/>
      <c r="AYF156" s="181"/>
      <c r="BFE156" s="3398"/>
    </row>
    <row r="157" spans="33:56 1243:1513" x14ac:dyDescent="0.2">
      <c r="AG157" s="207"/>
      <c r="AK157" s="207" t="str">
        <f>IF(_Calcs!M77="","",_Calcs!M77)</f>
        <v>Krevende geologi / svakhetssoner</v>
      </c>
      <c r="AM157" s="207" t="str">
        <f>IF(_Calcs!N77="","",_Calcs!N77)</f>
        <v>Faktor</v>
      </c>
      <c r="AN157" s="5599"/>
      <c r="AV157" s="2622"/>
      <c r="AW157" s="2622"/>
      <c r="AX157" s="2622"/>
      <c r="AUU157" s="2617"/>
      <c r="AUV157" s="181"/>
      <c r="AUW157" s="181"/>
      <c r="AUX157" s="181"/>
      <c r="AUY157" s="181"/>
      <c r="AUZ157" s="181"/>
      <c r="AVA157" s="181"/>
      <c r="AVB157" s="181"/>
      <c r="AVC157" s="181"/>
      <c r="AVD157" s="181"/>
      <c r="AVE157" s="181"/>
      <c r="AVF157" s="181"/>
      <c r="AVG157" s="181"/>
      <c r="AVH157" s="181"/>
      <c r="AVI157" s="181"/>
      <c r="AVJ157" s="181"/>
      <c r="AVK157" s="181"/>
      <c r="AVL157" s="181"/>
      <c r="AVM157" s="181"/>
      <c r="AVN157" s="181"/>
      <c r="AVO157" s="181"/>
      <c r="AVP157" s="181"/>
      <c r="AVQ157" s="181"/>
      <c r="AVR157" s="181"/>
      <c r="AVS157" s="181"/>
      <c r="AVT157" s="181"/>
      <c r="AVU157" s="181"/>
      <c r="AVV157" s="181"/>
      <c r="AVW157" s="181"/>
      <c r="AVX157" s="181"/>
      <c r="AVY157" s="181"/>
      <c r="AVZ157" s="181"/>
      <c r="AWA157" s="181"/>
      <c r="AWB157" s="181"/>
      <c r="AWC157" s="181"/>
      <c r="AWD157" s="181"/>
      <c r="AWE157" s="181"/>
      <c r="AWF157" s="181"/>
      <c r="AWG157" s="181"/>
      <c r="AWH157" s="181"/>
      <c r="AWI157" s="181"/>
      <c r="AWJ157" s="181"/>
      <c r="AWK157" s="181"/>
      <c r="AWL157" s="181"/>
      <c r="AWM157" s="181"/>
      <c r="AWN157" s="181"/>
      <c r="AWO157" s="181"/>
      <c r="AWP157" s="181"/>
      <c r="AWQ157" s="181"/>
      <c r="AWR157" s="181"/>
      <c r="AWS157" s="181"/>
      <c r="AWT157" s="181"/>
      <c r="AWU157" s="181"/>
      <c r="AWV157" s="181"/>
      <c r="AWW157" s="181"/>
      <c r="AWX157" s="181"/>
      <c r="AWY157" s="181"/>
      <c r="AWZ157" s="181"/>
      <c r="AXA157" s="181"/>
      <c r="AXB157" s="181"/>
      <c r="AXC157" s="181"/>
      <c r="AXD157" s="181"/>
      <c r="AXE157" s="181"/>
      <c r="AXF157" s="181"/>
      <c r="AXG157" s="181"/>
      <c r="AXH157" s="181"/>
      <c r="AXI157" s="181"/>
      <c r="AXJ157" s="181"/>
      <c r="AXK157" s="181"/>
      <c r="AXL157" s="181"/>
      <c r="AXM157" s="181"/>
      <c r="AXN157" s="181"/>
      <c r="AXO157" s="181"/>
      <c r="AXP157" s="181"/>
      <c r="AXQ157" s="181"/>
      <c r="AXR157" s="181"/>
      <c r="AXS157" s="181"/>
      <c r="AXT157" s="181"/>
      <c r="AXU157" s="181"/>
      <c r="AXV157" s="181"/>
      <c r="AXW157" s="181"/>
      <c r="AXX157" s="181"/>
      <c r="AXY157" s="181"/>
      <c r="AXZ157" s="181"/>
      <c r="AYA157" s="181"/>
      <c r="AYB157" s="181"/>
      <c r="AYC157" s="181"/>
      <c r="AYD157" s="181"/>
      <c r="AYE157" s="181"/>
      <c r="AYF157" s="181"/>
      <c r="BFE157" s="3398"/>
    </row>
    <row r="158" spans="33:56 1243:1513" x14ac:dyDescent="0.2">
      <c r="AG158" s="207"/>
      <c r="AK158" s="207" t="e">
        <f>IF(_Calcs!#REF!="","",_Calcs!#REF!)</f>
        <v>#REF!</v>
      </c>
      <c r="AM158" s="207" t="e">
        <f>IF(_Calcs!#REF!="","",_Calcs!#REF!)</f>
        <v>#REF!</v>
      </c>
      <c r="AN158" s="5599"/>
      <c r="AV158" s="2622"/>
      <c r="AW158" s="2622"/>
      <c r="AX158" s="2622"/>
      <c r="AUU158" s="2617"/>
      <c r="AUV158" s="181"/>
      <c r="AUW158" s="181"/>
      <c r="AUX158" s="181"/>
      <c r="AUY158" s="181"/>
      <c r="AUZ158" s="181"/>
      <c r="AVA158" s="181"/>
      <c r="AVB158" s="181"/>
      <c r="AVC158" s="181"/>
      <c r="AVD158" s="181"/>
      <c r="AVE158" s="181"/>
      <c r="AVF158" s="181"/>
      <c r="AVG158" s="181"/>
      <c r="AVH158" s="181"/>
      <c r="AVI158" s="181"/>
      <c r="AVJ158" s="181"/>
      <c r="AVK158" s="181"/>
      <c r="AVL158" s="181"/>
      <c r="AVM158" s="181"/>
      <c r="AVN158" s="181"/>
      <c r="AVO158" s="181"/>
      <c r="AVP158" s="181"/>
      <c r="AVQ158" s="181"/>
      <c r="AVR158" s="181"/>
      <c r="AVS158" s="181"/>
      <c r="AVT158" s="181"/>
      <c r="AVU158" s="181"/>
      <c r="AVV158" s="181"/>
      <c r="AVW158" s="181"/>
      <c r="AVX158" s="181"/>
      <c r="AVY158" s="181"/>
      <c r="AVZ158" s="181"/>
      <c r="AWA158" s="181"/>
      <c r="AWB158" s="181"/>
      <c r="AWC158" s="181"/>
      <c r="AWD158" s="181"/>
      <c r="AWE158" s="181"/>
      <c r="AWF158" s="181"/>
      <c r="AWG158" s="181"/>
      <c r="AWH158" s="181"/>
      <c r="AWI158" s="181"/>
      <c r="AWJ158" s="181"/>
      <c r="AWK158" s="181"/>
      <c r="AWL158" s="181"/>
      <c r="AWM158" s="181"/>
      <c r="AWN158" s="181"/>
      <c r="AWO158" s="181"/>
      <c r="AWP158" s="181"/>
      <c r="AWQ158" s="181"/>
      <c r="AWR158" s="181"/>
      <c r="AWS158" s="181"/>
      <c r="AWT158" s="181"/>
      <c r="AWU158" s="181"/>
      <c r="AWV158" s="181"/>
      <c r="AWW158" s="181"/>
      <c r="AWX158" s="181"/>
      <c r="AWY158" s="181"/>
      <c r="AWZ158" s="181"/>
      <c r="AXA158" s="181"/>
      <c r="AXB158" s="181"/>
      <c r="AXC158" s="181"/>
      <c r="AXD158" s="181"/>
      <c r="AXE158" s="181"/>
      <c r="AXF158" s="181"/>
      <c r="AXG158" s="181"/>
      <c r="AXH158" s="181"/>
      <c r="AXI158" s="181"/>
      <c r="AXJ158" s="181"/>
      <c r="AXK158" s="181"/>
      <c r="AXL158" s="181"/>
      <c r="AXM158" s="181"/>
      <c r="AXN158" s="181"/>
      <c r="AXO158" s="181"/>
      <c r="AXP158" s="181"/>
      <c r="AXQ158" s="181"/>
      <c r="AXR158" s="181"/>
      <c r="AXS158" s="181"/>
      <c r="AXT158" s="181"/>
      <c r="AXU158" s="181"/>
      <c r="AXV158" s="181"/>
      <c r="AXW158" s="181"/>
      <c r="AXX158" s="181"/>
      <c r="AXY158" s="181"/>
      <c r="AXZ158" s="181"/>
      <c r="AYA158" s="181"/>
      <c r="AYB158" s="181"/>
      <c r="AYC158" s="181"/>
      <c r="AYD158" s="181"/>
      <c r="AYE158" s="181"/>
      <c r="AYF158" s="181"/>
      <c r="BFE158" s="3398"/>
    </row>
    <row r="159" spans="33:56 1243:1513" x14ac:dyDescent="0.2">
      <c r="AK159" s="207"/>
      <c r="AL159" s="207"/>
      <c r="AM159" s="207"/>
      <c r="AN159" s="5599"/>
      <c r="AV159" s="2622"/>
      <c r="AW159" s="2622"/>
      <c r="AX159" s="2622"/>
      <c r="AUU159" s="2617"/>
      <c r="AUV159" s="181"/>
      <c r="AUW159" s="181"/>
      <c r="AUX159" s="181"/>
      <c r="AUY159" s="181"/>
      <c r="AUZ159" s="181"/>
      <c r="AVA159" s="181"/>
      <c r="AVB159" s="181"/>
      <c r="AVC159" s="181"/>
      <c r="AVD159" s="181"/>
      <c r="AVE159" s="181"/>
      <c r="AVF159" s="181"/>
      <c r="AVG159" s="181"/>
      <c r="AVH159" s="181"/>
      <c r="AVI159" s="181"/>
      <c r="AVJ159" s="181"/>
      <c r="AVK159" s="181"/>
      <c r="AVL159" s="181"/>
      <c r="AVM159" s="181"/>
      <c r="AVN159" s="181"/>
      <c r="AVO159" s="181"/>
      <c r="AVP159" s="181"/>
      <c r="AVQ159" s="181"/>
      <c r="AVR159" s="181"/>
      <c r="AVS159" s="181"/>
      <c r="AVT159" s="181"/>
      <c r="AVU159" s="181"/>
      <c r="AVV159" s="181"/>
      <c r="AVW159" s="181"/>
      <c r="AVX159" s="181"/>
      <c r="AVY159" s="181"/>
      <c r="AVZ159" s="181"/>
      <c r="AWA159" s="181"/>
      <c r="AWB159" s="181"/>
      <c r="AWC159" s="181"/>
      <c r="AWD159" s="181"/>
      <c r="AWE159" s="181"/>
      <c r="AWF159" s="181"/>
      <c r="AWG159" s="181"/>
      <c r="AWH159" s="181"/>
      <c r="AWI159" s="181"/>
      <c r="AWJ159" s="181"/>
      <c r="AWK159" s="181"/>
      <c r="AWL159" s="181"/>
      <c r="AWM159" s="181"/>
      <c r="AWN159" s="181"/>
      <c r="AWO159" s="181"/>
      <c r="AWP159" s="181"/>
      <c r="AWQ159" s="181"/>
      <c r="AWR159" s="181"/>
      <c r="AWS159" s="181"/>
      <c r="AWT159" s="181"/>
      <c r="AWU159" s="181"/>
      <c r="AWV159" s="181"/>
      <c r="AWW159" s="181"/>
      <c r="AWX159" s="181"/>
      <c r="AWY159" s="181"/>
      <c r="AWZ159" s="181"/>
      <c r="AXA159" s="181"/>
      <c r="AXB159" s="181"/>
      <c r="AXC159" s="181"/>
      <c r="AXD159" s="181"/>
      <c r="AXE159" s="181"/>
      <c r="AXF159" s="181"/>
      <c r="AXG159" s="181"/>
      <c r="AXH159" s="181"/>
      <c r="AXI159" s="181"/>
      <c r="AXJ159" s="181"/>
      <c r="AXK159" s="181"/>
      <c r="AXL159" s="181"/>
      <c r="AXM159" s="181"/>
      <c r="AXN159" s="181"/>
      <c r="AXO159" s="181"/>
      <c r="AXP159" s="181"/>
      <c r="AXQ159" s="181"/>
      <c r="AXR159" s="181"/>
      <c r="AXS159" s="181"/>
      <c r="AXT159" s="181"/>
      <c r="AXU159" s="181"/>
      <c r="AXV159" s="181"/>
      <c r="AXW159" s="181"/>
      <c r="AXX159" s="181"/>
      <c r="AXY159" s="181"/>
      <c r="AXZ159" s="181"/>
      <c r="AYA159" s="181"/>
      <c r="AYB159" s="181"/>
      <c r="AYC159" s="181"/>
      <c r="AYD159" s="181"/>
      <c r="AYE159" s="181"/>
      <c r="AYF159" s="181"/>
      <c r="BFE159" s="3398"/>
    </row>
    <row r="160" spans="33:56 1243:1513" ht="30.75" x14ac:dyDescent="0.2">
      <c r="AK160" s="207"/>
      <c r="AL160" s="207"/>
      <c r="AM160" s="207"/>
      <c r="AN160" s="5599"/>
      <c r="AU160" s="1203" t="s">
        <v>1986</v>
      </c>
      <c r="AV160" s="1204"/>
      <c r="AW160" s="1204"/>
      <c r="AX160" s="1204"/>
      <c r="AY160" s="1204"/>
      <c r="AUU160" s="2617"/>
      <c r="AUV160" s="181"/>
      <c r="AUW160" s="181"/>
      <c r="AUX160" s="181"/>
      <c r="AUY160" s="181"/>
      <c r="AUZ160" s="181"/>
      <c r="AVA160" s="181"/>
      <c r="AVB160" s="181"/>
      <c r="AVC160" s="181"/>
      <c r="AVD160" s="181"/>
      <c r="AVE160" s="181"/>
      <c r="AVF160" s="181"/>
      <c r="AVG160" s="181"/>
      <c r="AVH160" s="181"/>
      <c r="AVI160" s="181"/>
      <c r="AVJ160" s="181"/>
      <c r="AVK160" s="181"/>
      <c r="AVL160" s="181"/>
      <c r="AVM160" s="181"/>
      <c r="AVN160" s="181"/>
      <c r="AVO160" s="181"/>
      <c r="AVP160" s="181"/>
      <c r="AVQ160" s="181"/>
      <c r="AVR160" s="181"/>
      <c r="AVS160" s="181"/>
      <c r="AVT160" s="181"/>
      <c r="AVU160" s="181"/>
      <c r="AVV160" s="181"/>
      <c r="AVW160" s="181"/>
      <c r="AVX160" s="181"/>
      <c r="AVY160" s="181"/>
      <c r="AVZ160" s="181"/>
      <c r="AWA160" s="181"/>
      <c r="AWB160" s="181"/>
      <c r="AWC160" s="181"/>
      <c r="AWD160" s="181"/>
      <c r="AWE160" s="181"/>
      <c r="AWF160" s="181"/>
      <c r="AWG160" s="181"/>
      <c r="AWH160" s="181"/>
      <c r="AWI160" s="181"/>
      <c r="AWJ160" s="181"/>
      <c r="AWK160" s="181"/>
      <c r="AWL160" s="181"/>
      <c r="AWM160" s="181"/>
      <c r="AWN160" s="181"/>
      <c r="AWO160" s="181"/>
      <c r="AWP160" s="181"/>
      <c r="AWQ160" s="181"/>
      <c r="AWR160" s="181"/>
      <c r="AWS160" s="181"/>
      <c r="AWT160" s="181"/>
      <c r="AWU160" s="181"/>
      <c r="AWV160" s="181"/>
      <c r="AWW160" s="181"/>
      <c r="AWX160" s="181"/>
      <c r="AWY160" s="181"/>
      <c r="AWZ160" s="181"/>
      <c r="AXA160" s="181"/>
      <c r="AXB160" s="181"/>
      <c r="AXC160" s="181"/>
      <c r="AXD160" s="181"/>
      <c r="AXE160" s="181"/>
      <c r="AXF160" s="181"/>
      <c r="AXG160" s="181"/>
      <c r="AXH160" s="181"/>
      <c r="AXI160" s="181"/>
      <c r="AXJ160" s="181"/>
      <c r="AXK160" s="181"/>
      <c r="AXL160" s="181"/>
      <c r="AXM160" s="181"/>
      <c r="AXN160" s="181"/>
      <c r="AXO160" s="181"/>
      <c r="AXP160" s="181"/>
      <c r="AXQ160" s="181"/>
      <c r="AXR160" s="181"/>
      <c r="AXS160" s="181"/>
      <c r="AXT160" s="181"/>
      <c r="AXU160" s="181"/>
      <c r="AXV160" s="181"/>
      <c r="AXW160" s="181"/>
      <c r="AXX160" s="181"/>
      <c r="AXY160" s="181"/>
      <c r="AXZ160" s="181"/>
      <c r="AYA160" s="181"/>
      <c r="AYB160" s="181"/>
      <c r="AYC160" s="181"/>
      <c r="AYD160" s="181"/>
      <c r="AYE160" s="181"/>
      <c r="AYF160" s="181"/>
      <c r="BFE160" s="3398"/>
    </row>
    <row r="161" spans="37:51 1243:1513" x14ac:dyDescent="0.2">
      <c r="AK161" s="207"/>
      <c r="AL161" s="207"/>
      <c r="AM161" s="207"/>
      <c r="AN161" s="5599"/>
      <c r="AU161" s="183"/>
      <c r="AV161" s="183"/>
      <c r="AW161" s="183"/>
      <c r="AX161" s="183"/>
      <c r="AY161" s="183"/>
      <c r="AUU161" s="2617"/>
      <c r="AUV161" s="181"/>
      <c r="AUW161" s="181"/>
      <c r="AUX161" s="181"/>
      <c r="AUY161" s="181"/>
      <c r="AUZ161" s="181"/>
      <c r="AVA161" s="181"/>
      <c r="AVB161" s="181"/>
      <c r="AVC161" s="181"/>
      <c r="AVD161" s="181"/>
      <c r="AVE161" s="181"/>
      <c r="AVF161" s="181"/>
      <c r="AVG161" s="181"/>
      <c r="AVH161" s="181"/>
      <c r="AVI161" s="181"/>
      <c r="AVJ161" s="181"/>
      <c r="AVK161" s="181"/>
      <c r="AVL161" s="181"/>
      <c r="AVM161" s="181"/>
      <c r="AVN161" s="181"/>
      <c r="AVO161" s="181"/>
      <c r="AVP161" s="181"/>
      <c r="AVQ161" s="181"/>
      <c r="AVR161" s="181"/>
      <c r="AVS161" s="181"/>
      <c r="AVT161" s="181"/>
      <c r="AVU161" s="181"/>
      <c r="AVV161" s="181"/>
      <c r="AVW161" s="181"/>
      <c r="AVX161" s="181"/>
      <c r="AVY161" s="181"/>
      <c r="AVZ161" s="181"/>
      <c r="AWA161" s="181"/>
      <c r="AWB161" s="181"/>
      <c r="AWC161" s="181"/>
      <c r="AWD161" s="181"/>
      <c r="AWE161" s="181"/>
      <c r="AWF161" s="181"/>
      <c r="AWG161" s="181"/>
      <c r="AWH161" s="181"/>
      <c r="AWI161" s="181"/>
      <c r="AWJ161" s="181"/>
      <c r="AWK161" s="181"/>
      <c r="AWL161" s="181"/>
      <c r="AWM161" s="181"/>
      <c r="AWN161" s="181"/>
      <c r="AWO161" s="181"/>
      <c r="AWP161" s="181"/>
      <c r="AWQ161" s="181"/>
      <c r="AWR161" s="181"/>
      <c r="AWS161" s="181"/>
      <c r="AWT161" s="181"/>
      <c r="AWU161" s="181"/>
      <c r="AWV161" s="181"/>
      <c r="AWW161" s="181"/>
      <c r="AWX161" s="181"/>
      <c r="AWY161" s="181"/>
      <c r="AWZ161" s="181"/>
      <c r="AXA161" s="181"/>
      <c r="AXB161" s="181"/>
      <c r="AXC161" s="181"/>
      <c r="AXD161" s="181"/>
      <c r="AXE161" s="181"/>
      <c r="AXF161" s="181"/>
      <c r="AXG161" s="181"/>
      <c r="AXH161" s="181"/>
      <c r="AXI161" s="181"/>
      <c r="AXJ161" s="181"/>
      <c r="AXK161" s="181"/>
      <c r="AXL161" s="181"/>
      <c r="AXM161" s="181"/>
      <c r="AXN161" s="181"/>
      <c r="AXO161" s="181"/>
      <c r="AXP161" s="181"/>
      <c r="AXQ161" s="181"/>
      <c r="AXR161" s="181"/>
      <c r="AXS161" s="181"/>
      <c r="AXT161" s="181"/>
      <c r="AXU161" s="181"/>
      <c r="AXV161" s="181"/>
      <c r="AXW161" s="181"/>
      <c r="AXX161" s="181"/>
      <c r="AXY161" s="181"/>
      <c r="AXZ161" s="181"/>
      <c r="AYA161" s="181"/>
      <c r="AYB161" s="181"/>
      <c r="AYC161" s="181"/>
      <c r="AYD161" s="181"/>
      <c r="AYE161" s="181"/>
      <c r="AYF161" s="181"/>
      <c r="BFE161" s="3398"/>
    </row>
    <row r="162" spans="37:51 1243:1513" ht="30.75" x14ac:dyDescent="0.2">
      <c r="AK162" s="207"/>
      <c r="AL162" s="207"/>
      <c r="AM162" s="207"/>
      <c r="AN162" s="5599"/>
      <c r="AU162" s="433" t="s">
        <v>1988</v>
      </c>
      <c r="AV162" s="183"/>
      <c r="AW162" s="183"/>
      <c r="AX162" s="183"/>
      <c r="AY162" s="183"/>
      <c r="AUU162" s="2617"/>
      <c r="AUV162" s="2627" t="s">
        <v>2418</v>
      </c>
      <c r="AUW162" s="2627"/>
      <c r="AUX162" s="181"/>
      <c r="AUY162" s="181"/>
      <c r="AUZ162" s="181"/>
      <c r="AVA162" s="181"/>
      <c r="AVB162" s="181"/>
      <c r="AVC162" s="181"/>
      <c r="AVD162" s="181"/>
      <c r="AVE162" s="181"/>
      <c r="AVF162" s="181"/>
      <c r="AVG162" s="181"/>
      <c r="AVH162" s="181"/>
      <c r="AVI162" s="181"/>
      <c r="AVJ162" s="181"/>
      <c r="AVK162" s="181"/>
      <c r="AVL162" s="181"/>
      <c r="AVM162" s="181"/>
      <c r="AVN162" s="181"/>
      <c r="AVO162" s="181"/>
      <c r="AVP162" s="181"/>
      <c r="AVQ162" s="181"/>
      <c r="AVR162" s="181"/>
      <c r="AVS162" s="181"/>
      <c r="AVT162" s="181"/>
      <c r="AVU162" s="181"/>
      <c r="AVV162" s="181"/>
      <c r="AVW162" s="181"/>
      <c r="AVX162" s="181"/>
      <c r="AVY162" s="181"/>
      <c r="AVZ162" s="181"/>
      <c r="AWA162" s="181"/>
      <c r="AWB162" s="181"/>
      <c r="AWC162" s="181"/>
      <c r="AWD162" s="181"/>
      <c r="AWE162" s="181"/>
      <c r="AWF162" s="181"/>
      <c r="AWG162" s="181"/>
      <c r="AWH162" s="181"/>
      <c r="AWI162" s="181"/>
      <c r="AWJ162" s="181"/>
      <c r="AWK162" s="181"/>
      <c r="AWL162" s="181"/>
      <c r="AWM162" s="181"/>
      <c r="AWN162" s="181"/>
      <c r="AWO162" s="181"/>
      <c r="AWP162" s="181"/>
      <c r="AWQ162" s="181"/>
      <c r="AWR162" s="181"/>
      <c r="AWS162" s="181"/>
      <c r="AWT162" s="181"/>
      <c r="AWU162" s="181"/>
      <c r="AWV162" s="181"/>
      <c r="AWW162" s="181"/>
      <c r="AWX162" s="181"/>
      <c r="AWY162" s="181"/>
      <c r="AWZ162" s="181"/>
      <c r="AXA162" s="181"/>
      <c r="AXB162" s="181"/>
      <c r="AXC162" s="181"/>
      <c r="AXD162" s="181"/>
      <c r="AXE162" s="181"/>
      <c r="AXF162" s="181"/>
      <c r="AXG162" s="181"/>
      <c r="AXH162" s="181"/>
      <c r="AXI162" s="181"/>
      <c r="AXJ162" s="181"/>
      <c r="AXK162" s="181"/>
      <c r="AXL162" s="181"/>
      <c r="AXM162" s="181"/>
      <c r="AXN162" s="181"/>
      <c r="AXO162" s="181"/>
      <c r="AXP162" s="181"/>
      <c r="AXQ162" s="181"/>
      <c r="AXR162" s="181"/>
      <c r="AXS162" s="181"/>
      <c r="AXT162" s="181"/>
      <c r="AXU162" s="181"/>
      <c r="AXV162" s="181"/>
      <c r="AXW162" s="181"/>
      <c r="AXX162" s="181"/>
      <c r="AXY162" s="181"/>
      <c r="AXZ162" s="181"/>
      <c r="AYA162" s="181"/>
      <c r="AYB162" s="181"/>
      <c r="AYC162" s="181"/>
      <c r="AYD162" s="181"/>
      <c r="AYE162" s="181"/>
      <c r="AYF162" s="181"/>
      <c r="BFE162" s="3398"/>
    </row>
    <row r="163" spans="37:51 1243:1513" x14ac:dyDescent="0.2">
      <c r="AK163" s="207"/>
      <c r="AL163" s="207"/>
      <c r="AM163" s="207"/>
      <c r="AN163" s="5599"/>
      <c r="AU163" s="183"/>
      <c r="AV163" s="183"/>
      <c r="AW163" s="183"/>
      <c r="AX163" s="183"/>
      <c r="AY163" s="183"/>
      <c r="AUU163" s="2617"/>
      <c r="AUV163" s="181"/>
      <c r="AUW163" s="181"/>
      <c r="AUX163" s="181"/>
      <c r="AUY163" s="181"/>
      <c r="AUZ163" s="181"/>
      <c r="AVA163" s="181"/>
      <c r="AVB163" s="181"/>
      <c r="AVC163" s="181"/>
      <c r="AVD163" s="181"/>
      <c r="AVE163" s="181"/>
      <c r="AVF163" s="181"/>
      <c r="AVG163" s="181"/>
      <c r="AVH163" s="181"/>
      <c r="AVI163" s="181"/>
      <c r="AVJ163" s="181"/>
      <c r="AVK163" s="181"/>
      <c r="AVL163" s="181"/>
      <c r="AVM163" s="181"/>
      <c r="AVN163" s="181"/>
      <c r="AVO163" s="181"/>
      <c r="AVP163" s="181"/>
      <c r="AVQ163" s="181"/>
      <c r="AVR163" s="181"/>
      <c r="AVS163" s="181"/>
      <c r="AVT163" s="181"/>
      <c r="AVU163" s="181"/>
      <c r="AVV163" s="181"/>
      <c r="AVW163" s="181"/>
      <c r="AVX163" s="181"/>
      <c r="AVY163" s="181"/>
      <c r="AVZ163" s="181"/>
      <c r="AWA163" s="181"/>
      <c r="AWB163" s="181"/>
      <c r="AWC163" s="181"/>
      <c r="AWD163" s="181"/>
      <c r="AWE163" s="181"/>
      <c r="AWF163" s="181"/>
      <c r="AWG163" s="181"/>
      <c r="AWH163" s="181"/>
      <c r="AWI163" s="181"/>
      <c r="AWJ163" s="181"/>
      <c r="AWK163" s="181"/>
      <c r="AWL163" s="181"/>
      <c r="AWM163" s="181"/>
      <c r="AWN163" s="181"/>
      <c r="AWO163" s="181"/>
      <c r="AWP163" s="181"/>
      <c r="AWQ163" s="181"/>
      <c r="AWR163" s="181"/>
      <c r="AWS163" s="181"/>
      <c r="AWT163" s="181"/>
      <c r="AWU163" s="181"/>
      <c r="AWV163" s="181"/>
      <c r="AWW163" s="181"/>
      <c r="AWX163" s="181"/>
      <c r="AWY163" s="181"/>
      <c r="AWZ163" s="181"/>
      <c r="AXA163" s="181"/>
      <c r="AXB163" s="181"/>
      <c r="AXC163" s="181"/>
      <c r="AXD163" s="181"/>
      <c r="AXE163" s="181"/>
      <c r="AXF163" s="181"/>
      <c r="AXG163" s="181"/>
      <c r="AXH163" s="181"/>
      <c r="AXI163" s="181"/>
      <c r="AXJ163" s="181"/>
      <c r="AXK163" s="181"/>
      <c r="AXL163" s="181"/>
      <c r="AXM163" s="181"/>
      <c r="AXN163" s="181"/>
      <c r="AXO163" s="181"/>
      <c r="AXP163" s="181"/>
      <c r="AXQ163" s="181"/>
      <c r="AXR163" s="181"/>
      <c r="AXS163" s="181"/>
      <c r="AXT163" s="181"/>
      <c r="AXU163" s="181"/>
      <c r="AXV163" s="181"/>
      <c r="AXW163" s="181"/>
      <c r="AXX163" s="181"/>
      <c r="AXY163" s="181"/>
      <c r="AXZ163" s="181"/>
      <c r="AYA163" s="181"/>
      <c r="AYB163" s="181"/>
      <c r="AYC163" s="181"/>
      <c r="AYD163" s="181"/>
      <c r="AYE163" s="181"/>
      <c r="AYF163" s="181"/>
      <c r="BFE163" s="3398"/>
    </row>
    <row r="164" spans="37:51 1243:1513" x14ac:dyDescent="0.2">
      <c r="AU164" s="233" t="s">
        <v>1987</v>
      </c>
      <c r="AV164" s="185"/>
      <c r="AW164" s="185" t="s">
        <v>425</v>
      </c>
      <c r="AX164" s="183"/>
      <c r="AY164" s="183"/>
      <c r="AUU164" s="2617"/>
      <c r="AUV164" s="181"/>
      <c r="AUW164" s="181"/>
      <c r="AUX164" s="181"/>
      <c r="AUY164" s="181"/>
      <c r="AUZ164" s="181"/>
      <c r="AVA164" s="181"/>
      <c r="AVB164" s="181"/>
      <c r="AVC164" s="181"/>
      <c r="AVD164" s="181"/>
      <c r="AVE164" s="181"/>
      <c r="AVF164" s="181"/>
      <c r="AVG164" s="181"/>
      <c r="AVH164" s="181"/>
      <c r="AVI164" s="181"/>
      <c r="AVJ164" s="181"/>
      <c r="AVK164" s="181"/>
      <c r="AVL164" s="181"/>
      <c r="AVM164" s="181"/>
      <c r="AVN164" s="181"/>
      <c r="AVO164" s="181"/>
      <c r="AVP164" s="181"/>
      <c r="AVQ164" s="181"/>
      <c r="AVR164" s="181"/>
      <c r="AVS164" s="181"/>
      <c r="AVT164" s="181"/>
      <c r="AVU164" s="181"/>
      <c r="AVV164" s="181"/>
      <c r="AVW164" s="181"/>
      <c r="AVX164" s="181"/>
      <c r="AVY164" s="181"/>
      <c r="AVZ164" s="181"/>
      <c r="AWA164" s="181"/>
      <c r="AWB164" s="181"/>
      <c r="AWC164" s="181"/>
      <c r="AWD164" s="181"/>
      <c r="AWE164" s="181"/>
      <c r="AWF164" s="181"/>
      <c r="AWG164" s="181"/>
      <c r="AWH164" s="181"/>
      <c r="AWI164" s="181"/>
      <c r="AWJ164" s="181"/>
      <c r="AWK164" s="181"/>
      <c r="AWL164" s="181"/>
      <c r="AWM164" s="181"/>
      <c r="AWN164" s="181"/>
      <c r="AWO164" s="181"/>
      <c r="AWP164" s="181"/>
      <c r="AWQ164" s="181"/>
      <c r="AWR164" s="181"/>
      <c r="AWS164" s="181"/>
      <c r="AWT164" s="181"/>
      <c r="AWU164" s="181"/>
      <c r="AWV164" s="181"/>
      <c r="AWW164" s="181"/>
      <c r="AWX164" s="181"/>
      <c r="AWY164" s="181"/>
      <c r="AWZ164" s="181"/>
      <c r="AXA164" s="181"/>
      <c r="AXB164" s="181"/>
      <c r="AXC164" s="181"/>
      <c r="AXD164" s="181"/>
      <c r="AXE164" s="181"/>
      <c r="AXF164" s="181"/>
      <c r="AXG164" s="181"/>
      <c r="AXH164" s="181"/>
      <c r="AXI164" s="181"/>
      <c r="AXJ164" s="181"/>
      <c r="AXK164" s="181"/>
      <c r="AXL164" s="181"/>
      <c r="AXM164" s="181"/>
      <c r="AXN164" s="181"/>
      <c r="AXO164" s="181"/>
      <c r="AXP164" s="181"/>
      <c r="AXQ164" s="181"/>
      <c r="AXR164" s="181"/>
      <c r="AXS164" s="181"/>
      <c r="AXT164" s="181"/>
      <c r="AXU164" s="181"/>
      <c r="AXV164" s="181"/>
      <c r="AXW164" s="181"/>
      <c r="AXX164" s="181"/>
      <c r="AXY164" s="181"/>
      <c r="AXZ164" s="181"/>
      <c r="AYA164" s="181"/>
      <c r="AYB164" s="181"/>
      <c r="AYC164" s="181"/>
      <c r="AYD164" s="181"/>
      <c r="AYE164" s="181"/>
      <c r="AYF164" s="181"/>
      <c r="BFE164" s="3398"/>
    </row>
    <row r="165" spans="37:51 1243:1513" x14ac:dyDescent="0.2">
      <c r="AU165" s="181"/>
      <c r="AV165" s="185" t="s">
        <v>89</v>
      </c>
      <c r="AW165" s="185">
        <f>IFERROR(IF($AI$31=1,$AY$97,IF($AI$31=2,$AY$98,"-")),"-")</f>
        <v>1000</v>
      </c>
      <c r="AX165" s="183"/>
      <c r="AY165" s="183"/>
      <c r="AUU165" s="2617"/>
      <c r="AUV165" s="181"/>
      <c r="AUW165" s="181"/>
      <c r="AUX165" s="181"/>
      <c r="AUY165" s="181"/>
      <c r="AUZ165" s="181"/>
      <c r="AVA165" s="181"/>
      <c r="AVB165" s="181"/>
      <c r="AVC165" s="181"/>
      <c r="AVD165" s="181"/>
      <c r="AVE165" s="181"/>
      <c r="AVF165" s="181"/>
      <c r="AVG165" s="181"/>
      <c r="AVH165" s="181"/>
      <c r="AVI165" s="181"/>
      <c r="AVJ165" s="181"/>
      <c r="AVK165" s="181"/>
      <c r="AVL165" s="181"/>
      <c r="AVM165" s="181"/>
      <c r="AVN165" s="181"/>
      <c r="AVO165" s="181"/>
      <c r="AVP165" s="181"/>
      <c r="AVQ165" s="181"/>
      <c r="AVR165" s="181"/>
      <c r="AVS165" s="181"/>
      <c r="AVT165" s="181"/>
      <c r="AVU165" s="181"/>
      <c r="AVV165" s="181"/>
      <c r="AVW165" s="181"/>
      <c r="AVX165" s="181"/>
      <c r="AVY165" s="181"/>
      <c r="AVZ165" s="181"/>
      <c r="AWA165" s="181"/>
      <c r="AWB165" s="181"/>
      <c r="AWC165" s="181"/>
      <c r="AWD165" s="181"/>
      <c r="AWE165" s="181"/>
      <c r="AWF165" s="181"/>
      <c r="AWG165" s="181"/>
      <c r="AWH165" s="181"/>
      <c r="AWI165" s="181"/>
      <c r="AWJ165" s="181"/>
      <c r="AWK165" s="181"/>
      <c r="AWL165" s="181"/>
      <c r="AWM165" s="181"/>
      <c r="AWN165" s="181"/>
      <c r="AWO165" s="181"/>
      <c r="AWP165" s="181"/>
      <c r="AWQ165" s="181"/>
      <c r="AWR165" s="181"/>
      <c r="AWS165" s="181"/>
      <c r="AWT165" s="181"/>
      <c r="AWU165" s="181"/>
      <c r="AWV165" s="181"/>
      <c r="AWW165" s="181"/>
      <c r="AWX165" s="181"/>
      <c r="AWY165" s="181"/>
      <c r="AWZ165" s="181"/>
      <c r="AXA165" s="181"/>
      <c r="AXB165" s="181"/>
      <c r="AXC165" s="181"/>
      <c r="AXD165" s="181"/>
      <c r="AXE165" s="181"/>
      <c r="AXF165" s="181"/>
      <c r="AXG165" s="181"/>
      <c r="AXH165" s="181"/>
      <c r="AXI165" s="181"/>
      <c r="AXJ165" s="181"/>
      <c r="AXK165" s="181"/>
      <c r="AXL165" s="181"/>
      <c r="AXM165" s="181"/>
      <c r="AXN165" s="181"/>
      <c r="AXO165" s="181"/>
      <c r="AXP165" s="181"/>
      <c r="AXQ165" s="181"/>
      <c r="AXR165" s="181"/>
      <c r="AXS165" s="181"/>
      <c r="AXT165" s="181"/>
      <c r="AXU165" s="181"/>
      <c r="AXV165" s="181"/>
      <c r="AXW165" s="181"/>
      <c r="AXX165" s="181"/>
      <c r="AXY165" s="181"/>
      <c r="AXZ165" s="181"/>
      <c r="AYA165" s="181"/>
      <c r="AYB165" s="181"/>
      <c r="AYC165" s="181"/>
      <c r="AYD165" s="181"/>
      <c r="AYE165" s="181"/>
      <c r="AYF165" s="181"/>
      <c r="BFE165" s="3398"/>
    </row>
    <row r="166" spans="37:51 1243:1513" x14ac:dyDescent="0.2">
      <c r="AU166" s="181"/>
      <c r="AV166" s="185" t="s">
        <v>90</v>
      </c>
      <c r="AW166" s="185">
        <f>IFERROR(IF($AI$31=1,$AZ$97,IF($AI$31=2,$AZ$98,"-")),"-")</f>
        <v>500</v>
      </c>
      <c r="AX166" s="183"/>
      <c r="AY166" s="183"/>
      <c r="AUU166" s="2617"/>
      <c r="AUV166" s="181"/>
      <c r="AUW166" s="181"/>
      <c r="AUX166" s="181"/>
      <c r="AUY166" s="181"/>
      <c r="AUZ166" s="181"/>
      <c r="AVA166" s="181"/>
      <c r="AVB166" s="181"/>
      <c r="AVC166" s="181"/>
      <c r="AVD166" s="181"/>
      <c r="AVE166" s="181"/>
      <c r="AVF166" s="181"/>
      <c r="AVG166" s="181"/>
      <c r="AVH166" s="181"/>
      <c r="AVI166" s="181"/>
      <c r="AVJ166" s="181"/>
      <c r="AVK166" s="181"/>
      <c r="AVL166" s="181"/>
      <c r="AVM166" s="181"/>
      <c r="AVN166" s="181"/>
      <c r="AVO166" s="181"/>
      <c r="AVP166" s="181"/>
      <c r="AVQ166" s="181"/>
      <c r="AVR166" s="181"/>
      <c r="AVS166" s="181"/>
      <c r="AVT166" s="181"/>
      <c r="AVU166" s="181"/>
      <c r="AVV166" s="181"/>
      <c r="AVW166" s="181"/>
      <c r="AVX166" s="181"/>
      <c r="AVY166" s="181"/>
      <c r="AVZ166" s="181"/>
      <c r="AWA166" s="181"/>
      <c r="AWB166" s="181"/>
      <c r="AWC166" s="181"/>
      <c r="AWD166" s="181"/>
      <c r="AWE166" s="181"/>
      <c r="AWF166" s="181"/>
      <c r="AWG166" s="181"/>
      <c r="AWH166" s="181"/>
      <c r="AWI166" s="181"/>
      <c r="AWJ166" s="181"/>
      <c r="AWK166" s="181"/>
      <c r="AWL166" s="181"/>
      <c r="AWM166" s="181"/>
      <c r="AWN166" s="181"/>
      <c r="AWO166" s="181"/>
      <c r="AWP166" s="181"/>
      <c r="AWQ166" s="181"/>
      <c r="AWR166" s="181"/>
      <c r="AWS166" s="181"/>
      <c r="AWT166" s="181"/>
      <c r="AWU166" s="181"/>
      <c r="AWV166" s="181"/>
      <c r="AWW166" s="181"/>
      <c r="AWX166" s="181"/>
      <c r="AWY166" s="181"/>
      <c r="AWZ166" s="181"/>
      <c r="AXA166" s="181"/>
      <c r="AXB166" s="181"/>
      <c r="AXC166" s="181"/>
      <c r="AXD166" s="181"/>
      <c r="AXE166" s="181"/>
      <c r="AXF166" s="181"/>
      <c r="AXG166" s="181"/>
      <c r="AXH166" s="181"/>
      <c r="AXI166" s="181"/>
      <c r="AXJ166" s="181"/>
      <c r="AXK166" s="181"/>
      <c r="AXL166" s="181"/>
      <c r="AXM166" s="181"/>
      <c r="AXN166" s="181"/>
      <c r="AXO166" s="181"/>
      <c r="AXP166" s="181"/>
      <c r="AXQ166" s="181"/>
      <c r="AXR166" s="181"/>
      <c r="AXS166" s="181"/>
      <c r="AXT166" s="181"/>
      <c r="AXU166" s="181"/>
      <c r="AXV166" s="181"/>
      <c r="AXW166" s="181"/>
      <c r="AXX166" s="181"/>
      <c r="AXY166" s="181"/>
      <c r="AXZ166" s="181"/>
      <c r="AYA166" s="181"/>
      <c r="AYB166" s="181"/>
      <c r="AYC166" s="181"/>
      <c r="AYD166" s="181"/>
      <c r="AYE166" s="181"/>
      <c r="AYF166" s="181"/>
      <c r="BFE166" s="3398"/>
    </row>
    <row r="167" spans="37:51 1243:1513" x14ac:dyDescent="0.2">
      <c r="AU167" s="181"/>
      <c r="AV167" s="185" t="s">
        <v>91</v>
      </c>
      <c r="AW167" s="185">
        <f>IFERROR(IF($AI$31=1,$BA$97,IF($AI$31=2,$BA$98,"-")),"-")</f>
        <v>0</v>
      </c>
      <c r="AX167" s="183"/>
      <c r="AY167" s="183"/>
      <c r="AUU167" s="2617"/>
      <c r="AUV167" s="181"/>
      <c r="AUW167" s="181"/>
      <c r="AUX167" s="181"/>
      <c r="AUY167" s="181"/>
      <c r="AUZ167" s="181"/>
      <c r="AVA167" s="181"/>
      <c r="AVB167" s="181"/>
      <c r="AVC167" s="181"/>
      <c r="AVD167" s="181"/>
      <c r="AVE167" s="181"/>
      <c r="AVF167" s="181"/>
      <c r="AVG167" s="181"/>
      <c r="AVH167" s="181"/>
      <c r="AVI167" s="181"/>
      <c r="AVJ167" s="181"/>
      <c r="AVK167" s="181"/>
      <c r="AVL167" s="181"/>
      <c r="AVM167" s="181"/>
      <c r="AVN167" s="181"/>
      <c r="AVO167" s="181"/>
      <c r="AVP167" s="181"/>
      <c r="AVQ167" s="181"/>
      <c r="AVR167" s="181"/>
      <c r="AVS167" s="181"/>
      <c r="AVT167" s="181"/>
      <c r="AVU167" s="181"/>
      <c r="AVV167" s="181"/>
      <c r="AVW167" s="181"/>
      <c r="AVX167" s="181"/>
      <c r="AVY167" s="181"/>
      <c r="AVZ167" s="181"/>
      <c r="AWA167" s="181"/>
      <c r="AWB167" s="181"/>
      <c r="AWC167" s="181"/>
      <c r="AWD167" s="181"/>
      <c r="AWE167" s="181"/>
      <c r="AWF167" s="181"/>
      <c r="AWG167" s="181"/>
      <c r="AWH167" s="181"/>
      <c r="AWI167" s="181"/>
      <c r="AWJ167" s="181"/>
      <c r="AWK167" s="181"/>
      <c r="AWL167" s="181"/>
      <c r="AWM167" s="181"/>
      <c r="AWN167" s="181"/>
      <c r="AWO167" s="181"/>
      <c r="AWP167" s="181"/>
      <c r="AWQ167" s="181"/>
      <c r="AWR167" s="181"/>
      <c r="AWS167" s="181"/>
      <c r="AWT167" s="181"/>
      <c r="AWU167" s="181"/>
      <c r="AWV167" s="181"/>
      <c r="AWW167" s="181"/>
      <c r="AWX167" s="181"/>
      <c r="AWY167" s="181"/>
      <c r="AWZ167" s="181"/>
      <c r="AXA167" s="181"/>
      <c r="AXB167" s="181"/>
      <c r="AXC167" s="181"/>
      <c r="AXD167" s="181"/>
      <c r="AXE167" s="181"/>
      <c r="AXF167" s="181"/>
      <c r="AXG167" s="181"/>
      <c r="AXH167" s="181"/>
      <c r="AXI167" s="181"/>
      <c r="AXJ167" s="181"/>
      <c r="AXK167" s="181"/>
      <c r="AXL167" s="181"/>
      <c r="AXM167" s="181"/>
      <c r="AXN167" s="181"/>
      <c r="AXO167" s="181"/>
      <c r="AXP167" s="181"/>
      <c r="AXQ167" s="181"/>
      <c r="AXR167" s="181"/>
      <c r="AXS167" s="181"/>
      <c r="AXT167" s="181"/>
      <c r="AXU167" s="181"/>
      <c r="AXV167" s="181"/>
      <c r="AXW167" s="181"/>
      <c r="AXX167" s="181"/>
      <c r="AXY167" s="181"/>
      <c r="AXZ167" s="181"/>
      <c r="AYA167" s="181"/>
      <c r="AYB167" s="181"/>
      <c r="AYC167" s="181"/>
      <c r="AYD167" s="181"/>
      <c r="AYE167" s="181"/>
      <c r="AYF167" s="181"/>
      <c r="BFE167" s="3398"/>
    </row>
    <row r="168" spans="37:51 1243:1513" x14ac:dyDescent="0.2">
      <c r="AU168" s="181"/>
      <c r="AV168" s="185" t="s">
        <v>92</v>
      </c>
      <c r="AW168" s="185">
        <f>IFERROR(IF($AI$31=1,$BB$97,IF($AI$31=2,$BB$98,"-")),"-")</f>
        <v>0</v>
      </c>
      <c r="AX168" s="183"/>
      <c r="AY168" s="183"/>
      <c r="AUU168" s="2617"/>
      <c r="AUV168" s="4248" t="s">
        <v>1359</v>
      </c>
      <c r="AUW168" s="314" t="s">
        <v>2419</v>
      </c>
      <c r="AUX168" s="314" t="s">
        <v>2420</v>
      </c>
      <c r="AUY168" s="314" t="s">
        <v>2421</v>
      </c>
      <c r="AUZ168" s="314" t="s">
        <v>2422</v>
      </c>
      <c r="AVA168" s="314" t="s">
        <v>2423</v>
      </c>
      <c r="AVB168" s="314" t="s">
        <v>2424</v>
      </c>
      <c r="AVC168" s="314" t="s">
        <v>2425</v>
      </c>
      <c r="AVD168" s="314" t="s">
        <v>2426</v>
      </c>
      <c r="AVE168" s="314" t="s">
        <v>2427</v>
      </c>
      <c r="AVF168" s="314" t="s">
        <v>2428</v>
      </c>
      <c r="AVG168" s="314" t="s">
        <v>2429</v>
      </c>
      <c r="AVH168" s="314" t="s">
        <v>2430</v>
      </c>
      <c r="AVI168" s="314" t="s">
        <v>2431</v>
      </c>
      <c r="AVJ168" s="314" t="s">
        <v>2432</v>
      </c>
      <c r="AVK168" s="314" t="s">
        <v>2433</v>
      </c>
      <c r="AVL168" s="314" t="s">
        <v>2434</v>
      </c>
      <c r="AVM168" s="314" t="s">
        <v>2435</v>
      </c>
      <c r="AVN168" s="314" t="s">
        <v>2436</v>
      </c>
      <c r="AVO168" s="314" t="s">
        <v>2437</v>
      </c>
      <c r="AVP168" s="314" t="s">
        <v>2438</v>
      </c>
      <c r="AVQ168" s="314" t="s">
        <v>2439</v>
      </c>
      <c r="AVR168" s="314" t="s">
        <v>2440</v>
      </c>
      <c r="AVS168" s="314" t="s">
        <v>2441</v>
      </c>
      <c r="AVT168" s="1766" t="s">
        <v>2442</v>
      </c>
      <c r="AVU168" s="181"/>
      <c r="AVV168" s="181"/>
      <c r="AVW168" s="181"/>
      <c r="AVX168" s="181"/>
      <c r="AVY168" s="181"/>
      <c r="AVZ168" s="181"/>
      <c r="AWA168" s="181"/>
      <c r="AWB168" s="181"/>
      <c r="AWC168" s="181"/>
      <c r="AWD168" s="181"/>
      <c r="AWE168" s="181"/>
      <c r="AWF168" s="181"/>
      <c r="AWG168" s="181"/>
      <c r="AWH168" s="181"/>
      <c r="AWI168" s="181"/>
      <c r="AWJ168" s="181"/>
      <c r="AWK168" s="181"/>
      <c r="AWL168" s="181"/>
      <c r="AWM168" s="181"/>
      <c r="AWN168" s="181"/>
      <c r="AWO168" s="181"/>
      <c r="AWP168" s="181"/>
      <c r="AWQ168" s="181"/>
      <c r="AWR168" s="181"/>
      <c r="AWS168" s="181"/>
      <c r="AWT168" s="181"/>
      <c r="AWU168" s="181"/>
      <c r="AWV168" s="181"/>
      <c r="AWW168" s="181"/>
      <c r="AWX168" s="181"/>
      <c r="AWY168" s="181"/>
      <c r="AWZ168" s="181"/>
      <c r="AXA168" s="181"/>
      <c r="AXB168" s="181"/>
      <c r="AXC168" s="181"/>
      <c r="AXD168" s="181"/>
      <c r="AXE168" s="181"/>
      <c r="AXF168" s="181"/>
      <c r="AXG168" s="181"/>
      <c r="AXH168" s="181"/>
      <c r="AXI168" s="181"/>
      <c r="AXJ168" s="181"/>
      <c r="AXK168" s="181"/>
      <c r="AXL168" s="181"/>
      <c r="AXM168" s="181"/>
      <c r="AXN168" s="181"/>
      <c r="AXO168" s="181"/>
      <c r="AXP168" s="181"/>
      <c r="AXQ168" s="181"/>
      <c r="AXR168" s="181"/>
      <c r="AXS168" s="181"/>
      <c r="AXT168" s="181"/>
      <c r="AXU168" s="181"/>
      <c r="AXV168" s="181"/>
      <c r="AXW168" s="181"/>
      <c r="AXX168" s="181"/>
      <c r="AXY168" s="181"/>
      <c r="AXZ168" s="181"/>
      <c r="AYA168" s="181"/>
      <c r="AYB168" s="181"/>
      <c r="AYC168" s="181"/>
      <c r="AYD168" s="181"/>
      <c r="AYE168" s="181"/>
      <c r="AYF168" s="181"/>
      <c r="BFE168" s="3398"/>
    </row>
    <row r="169" spans="37:51 1243:1513" x14ac:dyDescent="0.2">
      <c r="AU169" s="181"/>
      <c r="AV169" s="185" t="s">
        <v>93</v>
      </c>
      <c r="AW169" s="185">
        <f>IFERROR(IF($AI$31=1,$BC$97,IF($AI$31=2,$BC$98,"-")),"-")</f>
        <v>0</v>
      </c>
      <c r="AX169" s="183"/>
      <c r="AY169" s="183"/>
      <c r="AUU169" s="2617"/>
      <c r="AUV169" s="4196" t="s">
        <v>1267</v>
      </c>
      <c r="AUW169" s="316">
        <v>1</v>
      </c>
      <c r="AUX169" s="316">
        <v>2</v>
      </c>
      <c r="AUY169" s="316">
        <v>3</v>
      </c>
      <c r="AUZ169" s="316">
        <v>4</v>
      </c>
      <c r="AVA169" s="316">
        <v>5</v>
      </c>
      <c r="AVB169" s="316">
        <v>6</v>
      </c>
      <c r="AVC169" s="316">
        <v>7</v>
      </c>
      <c r="AVD169" s="316">
        <v>8</v>
      </c>
      <c r="AVE169" s="316">
        <v>80</v>
      </c>
      <c r="AVF169" s="316">
        <v>80</v>
      </c>
      <c r="AVG169" s="316">
        <v>80</v>
      </c>
      <c r="AVH169" s="316">
        <v>100</v>
      </c>
      <c r="AVI169" s="316">
        <v>100</v>
      </c>
      <c r="AVJ169" s="316">
        <v>120</v>
      </c>
      <c r="AVK169" s="316">
        <v>120</v>
      </c>
      <c r="AVL169" s="316">
        <v>120</v>
      </c>
      <c r="AVM169" s="316">
        <v>1.5</v>
      </c>
      <c r="AVN169" s="316">
        <v>1.5</v>
      </c>
      <c r="AVO169" s="316">
        <v>1.5</v>
      </c>
      <c r="AVP169" s="316">
        <v>1.5</v>
      </c>
      <c r="AVQ169" s="316">
        <v>1.5</v>
      </c>
      <c r="AVR169" s="316">
        <v>1</v>
      </c>
      <c r="AVS169" s="316">
        <v>1</v>
      </c>
      <c r="AVT169" s="5549">
        <v>1</v>
      </c>
      <c r="AVU169" s="181"/>
      <c r="AVV169" s="181"/>
      <c r="AVW169" s="181"/>
      <c r="AVX169" s="181"/>
      <c r="AVY169" s="181"/>
      <c r="AVZ169" s="181"/>
      <c r="AWA169" s="181"/>
      <c r="AWB169" s="181"/>
      <c r="AWC169" s="181"/>
      <c r="AWD169" s="181"/>
      <c r="AWE169" s="181"/>
      <c r="AWF169" s="181"/>
      <c r="AWG169" s="181"/>
      <c r="AWH169" s="181"/>
      <c r="AWI169" s="181"/>
      <c r="AWJ169" s="181"/>
      <c r="AWK169" s="181"/>
      <c r="AWL169" s="181"/>
      <c r="AWM169" s="181"/>
      <c r="AWN169" s="181"/>
      <c r="AWO169" s="181"/>
      <c r="AWP169" s="181"/>
      <c r="AWQ169" s="181"/>
      <c r="AWR169" s="181"/>
      <c r="AWS169" s="181"/>
      <c r="AWT169" s="181"/>
      <c r="AWU169" s="181"/>
      <c r="AWV169" s="181"/>
      <c r="AWW169" s="181"/>
      <c r="AWX169" s="181"/>
      <c r="AWY169" s="181"/>
      <c r="AWZ169" s="181"/>
      <c r="AXA169" s="181"/>
      <c r="AXB169" s="181"/>
      <c r="AXC169" s="181"/>
      <c r="AXD169" s="181"/>
      <c r="AXE169" s="181"/>
      <c r="AXF169" s="181"/>
      <c r="AXG169" s="181"/>
      <c r="AXH169" s="181"/>
      <c r="AXI169" s="181"/>
      <c r="AXJ169" s="181"/>
      <c r="AXK169" s="181"/>
      <c r="AXL169" s="181"/>
      <c r="AXM169" s="181"/>
      <c r="AXN169" s="181"/>
      <c r="AXO169" s="181"/>
      <c r="AXP169" s="181"/>
      <c r="AXQ169" s="181"/>
      <c r="AXR169" s="181"/>
      <c r="AXS169" s="181"/>
      <c r="AXT169" s="181"/>
      <c r="AXU169" s="181"/>
      <c r="AXV169" s="181"/>
      <c r="AXW169" s="181"/>
      <c r="AXX169" s="181"/>
      <c r="AXY169" s="181"/>
      <c r="AXZ169" s="181"/>
      <c r="AYA169" s="181"/>
      <c r="AYB169" s="181"/>
      <c r="AYC169" s="181"/>
      <c r="AYD169" s="181"/>
      <c r="AYE169" s="181"/>
      <c r="AYF169" s="181"/>
      <c r="BFE169" s="3398"/>
    </row>
    <row r="170" spans="37:51 1243:1513" x14ac:dyDescent="0.2">
      <c r="AU170" s="181"/>
      <c r="AV170" s="185" t="s">
        <v>94</v>
      </c>
      <c r="AW170" s="185">
        <f>IFERROR(IF($AI$31=1,$BD$97,IF($AI$31=2,$BD$98,"-")),"-")</f>
        <v>0</v>
      </c>
      <c r="AX170" s="183"/>
      <c r="AY170" s="183"/>
      <c r="AUU170" s="2617"/>
      <c r="AUV170" s="4196" t="s">
        <v>1268</v>
      </c>
      <c r="AUW170" s="316">
        <v>1</v>
      </c>
      <c r="AUX170" s="316">
        <v>2</v>
      </c>
      <c r="AUY170" s="316">
        <v>3</v>
      </c>
      <c r="AUZ170" s="316">
        <v>4</v>
      </c>
      <c r="AVA170" s="316">
        <v>5</v>
      </c>
      <c r="AVB170" s="316">
        <v>6</v>
      </c>
      <c r="AVC170" s="316">
        <v>7</v>
      </c>
      <c r="AVD170" s="316">
        <v>8</v>
      </c>
      <c r="AVE170" s="316">
        <v>80</v>
      </c>
      <c r="AVF170" s="316">
        <v>80</v>
      </c>
      <c r="AVG170" s="316">
        <v>80</v>
      </c>
      <c r="AVH170" s="316">
        <v>100</v>
      </c>
      <c r="AVI170" s="316">
        <v>100</v>
      </c>
      <c r="AVJ170" s="316">
        <v>120</v>
      </c>
      <c r="AVK170" s="316">
        <v>120</v>
      </c>
      <c r="AVL170" s="316">
        <v>120</v>
      </c>
      <c r="AVM170" s="316">
        <v>1.5</v>
      </c>
      <c r="AVN170" s="316">
        <v>1.5</v>
      </c>
      <c r="AVO170" s="316">
        <v>1.5</v>
      </c>
      <c r="AVP170" s="316">
        <v>1.5</v>
      </c>
      <c r="AVQ170" s="316">
        <v>1.5</v>
      </c>
      <c r="AVR170" s="316">
        <v>1</v>
      </c>
      <c r="AVS170" s="316">
        <v>1</v>
      </c>
      <c r="AVT170" s="5549">
        <v>1</v>
      </c>
      <c r="AVU170" s="181"/>
      <c r="AVV170" s="181"/>
      <c r="AVW170" s="181"/>
      <c r="AVX170" s="181"/>
      <c r="AVY170" s="181"/>
      <c r="AVZ170" s="181"/>
      <c r="AWA170" s="181"/>
      <c r="AWB170" s="181"/>
      <c r="AWC170" s="181"/>
      <c r="AWD170" s="181"/>
      <c r="AWE170" s="181"/>
      <c r="AWF170" s="181"/>
      <c r="AWG170" s="181"/>
      <c r="AWH170" s="181"/>
      <c r="AWI170" s="181"/>
      <c r="AWJ170" s="181"/>
      <c r="AWK170" s="181"/>
      <c r="AWL170" s="181"/>
      <c r="AWM170" s="181"/>
      <c r="AWN170" s="181"/>
      <c r="AWO170" s="181"/>
      <c r="AWP170" s="181"/>
      <c r="AWQ170" s="181"/>
      <c r="AWR170" s="181"/>
      <c r="AWS170" s="181"/>
      <c r="AWT170" s="181"/>
      <c r="AWU170" s="181"/>
      <c r="AWV170" s="181"/>
      <c r="AWW170" s="181"/>
      <c r="AWX170" s="181"/>
      <c r="AWY170" s="181"/>
      <c r="AWZ170" s="181"/>
      <c r="AXA170" s="181"/>
      <c r="AXB170" s="181"/>
      <c r="AXC170" s="181"/>
      <c r="AXD170" s="181"/>
      <c r="AXE170" s="181"/>
      <c r="AXF170" s="181"/>
      <c r="AXG170" s="181"/>
      <c r="AXH170" s="181"/>
      <c r="AXI170" s="181"/>
      <c r="AXJ170" s="181"/>
      <c r="AXK170" s="181"/>
      <c r="AXL170" s="181"/>
      <c r="AXM170" s="181"/>
      <c r="AXN170" s="181"/>
      <c r="AXO170" s="181"/>
      <c r="AXP170" s="181"/>
      <c r="AXQ170" s="181"/>
      <c r="AXR170" s="181"/>
      <c r="AXS170" s="181"/>
      <c r="AXT170" s="181"/>
      <c r="AXU170" s="181"/>
      <c r="AXV170" s="181"/>
      <c r="AXW170" s="181"/>
      <c r="AXX170" s="181"/>
      <c r="AXY170" s="181"/>
      <c r="AXZ170" s="181"/>
      <c r="AYA170" s="181"/>
      <c r="AYB170" s="181"/>
      <c r="AYC170" s="181"/>
      <c r="AYD170" s="181"/>
      <c r="AYE170" s="181"/>
      <c r="AYF170" s="181"/>
      <c r="BFE170" s="3398"/>
    </row>
    <row r="171" spans="37:51 1243:1513" x14ac:dyDescent="0.2">
      <c r="AU171" s="181"/>
      <c r="AV171" s="185" t="s">
        <v>95</v>
      </c>
      <c r="AW171" s="185">
        <f>IFERROR(IF($AI$31=1,$BE$97,IF($AI$31=2,$BE$98,"-")),"-")</f>
        <v>0</v>
      </c>
      <c r="AX171" s="183"/>
      <c r="AY171" s="183"/>
      <c r="AUU171" s="2617"/>
      <c r="AUV171" s="4196" t="s">
        <v>1270</v>
      </c>
      <c r="AUW171" s="316">
        <v>1</v>
      </c>
      <c r="AUX171" s="316">
        <v>2</v>
      </c>
      <c r="AUY171" s="316">
        <v>3</v>
      </c>
      <c r="AUZ171" s="316">
        <v>4</v>
      </c>
      <c r="AVA171" s="316">
        <v>5</v>
      </c>
      <c r="AVB171" s="316">
        <v>6</v>
      </c>
      <c r="AVC171" s="316">
        <v>7</v>
      </c>
      <c r="AVD171" s="316">
        <v>8</v>
      </c>
      <c r="AVE171" s="316">
        <v>60</v>
      </c>
      <c r="AVF171" s="316">
        <v>60</v>
      </c>
      <c r="AVG171" s="316">
        <v>60</v>
      </c>
      <c r="AVH171" s="316">
        <v>80</v>
      </c>
      <c r="AVI171" s="316">
        <v>80</v>
      </c>
      <c r="AVJ171" s="316">
        <v>100</v>
      </c>
      <c r="AVK171" s="316">
        <v>100</v>
      </c>
      <c r="AVL171" s="316">
        <v>100</v>
      </c>
      <c r="AVM171" s="316">
        <v>1.5</v>
      </c>
      <c r="AVN171" s="316">
        <v>1.5</v>
      </c>
      <c r="AVO171" s="316">
        <v>1.5</v>
      </c>
      <c r="AVP171" s="316">
        <v>1.5</v>
      </c>
      <c r="AVQ171" s="316">
        <v>1.5</v>
      </c>
      <c r="AVR171" s="316">
        <v>1</v>
      </c>
      <c r="AVS171" s="316">
        <v>1</v>
      </c>
      <c r="AVT171" s="5549">
        <v>1</v>
      </c>
      <c r="AVU171" s="181"/>
      <c r="AVV171" s="181"/>
      <c r="AVW171" s="181"/>
      <c r="AVX171" s="181"/>
      <c r="AVY171" s="181"/>
      <c r="AVZ171" s="181"/>
      <c r="AWA171" s="181"/>
      <c r="AWB171" s="181"/>
      <c r="AWC171" s="181"/>
      <c r="AWD171" s="181"/>
      <c r="AWE171" s="181"/>
      <c r="AWF171" s="181"/>
      <c r="AWG171" s="181"/>
      <c r="AWH171" s="181"/>
      <c r="AWI171" s="181"/>
      <c r="AWJ171" s="181"/>
      <c r="AWK171" s="181"/>
      <c r="AWL171" s="181"/>
      <c r="AWM171" s="181"/>
      <c r="AWN171" s="181"/>
      <c r="AWO171" s="181"/>
      <c r="AWP171" s="181"/>
      <c r="AWQ171" s="181"/>
      <c r="AWR171" s="181"/>
      <c r="AWS171" s="181"/>
      <c r="AWT171" s="181"/>
      <c r="AWU171" s="181"/>
      <c r="AWV171" s="181"/>
      <c r="AWW171" s="181"/>
      <c r="AWX171" s="181"/>
      <c r="AWY171" s="181"/>
      <c r="AWZ171" s="181"/>
      <c r="AXA171" s="181"/>
      <c r="AXB171" s="181"/>
      <c r="AXC171" s="181"/>
      <c r="AXD171" s="181"/>
      <c r="AXE171" s="181"/>
      <c r="AXF171" s="181"/>
      <c r="AXG171" s="181"/>
      <c r="AXH171" s="181"/>
      <c r="AXI171" s="181"/>
      <c r="AXJ171" s="181"/>
      <c r="AXK171" s="181"/>
      <c r="AXL171" s="181"/>
      <c r="AXM171" s="181"/>
      <c r="AXN171" s="181"/>
      <c r="AXO171" s="181"/>
      <c r="AXP171" s="181"/>
      <c r="AXQ171" s="181"/>
      <c r="AXR171" s="181"/>
      <c r="AXS171" s="181"/>
      <c r="AXT171" s="181"/>
      <c r="AXU171" s="181"/>
      <c r="AXV171" s="181"/>
      <c r="AXW171" s="181"/>
      <c r="AXX171" s="181"/>
      <c r="AXY171" s="181"/>
      <c r="AXZ171" s="181"/>
      <c r="AYA171" s="181"/>
      <c r="AYB171" s="181"/>
      <c r="AYC171" s="181"/>
      <c r="AYD171" s="181"/>
      <c r="AYE171" s="181"/>
      <c r="AYF171" s="181"/>
      <c r="BFE171" s="3398"/>
    </row>
    <row r="172" spans="37:51 1243:1513" x14ac:dyDescent="0.2">
      <c r="AU172" s="181"/>
      <c r="AV172" s="185" t="s">
        <v>96</v>
      </c>
      <c r="AW172" s="185">
        <f>IFERROR(IF($AI$31=1,$BF$97,IF($AI$31=2,$BF$98,"-")),"-")</f>
        <v>900</v>
      </c>
      <c r="AX172" s="183"/>
      <c r="AY172" s="183"/>
      <c r="AUU172" s="2617"/>
      <c r="AUV172" s="4249" t="s">
        <v>1269</v>
      </c>
      <c r="AUW172" s="4198">
        <v>1</v>
      </c>
      <c r="AUX172" s="4198">
        <v>2</v>
      </c>
      <c r="AUY172" s="4198">
        <v>3</v>
      </c>
      <c r="AUZ172" s="4198">
        <v>4</v>
      </c>
      <c r="AVA172" s="4198">
        <v>5</v>
      </c>
      <c r="AVB172" s="4198">
        <v>6</v>
      </c>
      <c r="AVC172" s="4198">
        <v>7</v>
      </c>
      <c r="AVD172" s="4198">
        <v>8</v>
      </c>
      <c r="AVE172" s="4198">
        <v>60</v>
      </c>
      <c r="AVF172" s="4198">
        <v>60</v>
      </c>
      <c r="AVG172" s="4198">
        <v>60</v>
      </c>
      <c r="AVH172" s="4198">
        <v>80</v>
      </c>
      <c r="AVI172" s="4198">
        <v>80</v>
      </c>
      <c r="AVJ172" s="4198">
        <v>100</v>
      </c>
      <c r="AVK172" s="4198">
        <v>100</v>
      </c>
      <c r="AVL172" s="4198">
        <v>100</v>
      </c>
      <c r="AVM172" s="4198">
        <v>1.5</v>
      </c>
      <c r="AVN172" s="4198">
        <v>1.5</v>
      </c>
      <c r="AVO172" s="4198">
        <v>1.5</v>
      </c>
      <c r="AVP172" s="4198">
        <v>1.5</v>
      </c>
      <c r="AVQ172" s="4198">
        <v>1.5</v>
      </c>
      <c r="AVR172" s="4198">
        <v>1</v>
      </c>
      <c r="AVS172" s="4198">
        <v>1</v>
      </c>
      <c r="AVT172" s="5550">
        <v>1</v>
      </c>
      <c r="AVU172" s="181"/>
      <c r="AVV172" s="181"/>
      <c r="AVW172" s="181"/>
      <c r="AVX172" s="181"/>
      <c r="AVY172" s="181"/>
      <c r="AVZ172" s="181"/>
      <c r="AWA172" s="181"/>
      <c r="AWB172" s="181"/>
      <c r="AWC172" s="181"/>
      <c r="AWD172" s="181"/>
      <c r="AWE172" s="181"/>
      <c r="AWF172" s="181"/>
      <c r="AWG172" s="181"/>
      <c r="AWH172" s="181"/>
      <c r="AWI172" s="181"/>
      <c r="AWJ172" s="181"/>
      <c r="AWK172" s="181"/>
      <c r="AWL172" s="181"/>
      <c r="AWM172" s="181"/>
      <c r="AWN172" s="181"/>
      <c r="AWO172" s="181"/>
      <c r="AWP172" s="181"/>
      <c r="AWQ172" s="181"/>
      <c r="AWR172" s="181"/>
      <c r="AWS172" s="181"/>
      <c r="AWT172" s="181"/>
      <c r="AWU172" s="181"/>
      <c r="AWV172" s="181"/>
      <c r="AWW172" s="181"/>
      <c r="AWX172" s="181"/>
      <c r="AWY172" s="181"/>
      <c r="AWZ172" s="181"/>
      <c r="AXA172" s="181"/>
      <c r="AXB172" s="181"/>
      <c r="AXC172" s="181"/>
      <c r="AXD172" s="181"/>
      <c r="AXE172" s="181"/>
      <c r="AXF172" s="181"/>
      <c r="AXG172" s="181"/>
      <c r="AXH172" s="181"/>
      <c r="AXI172" s="181"/>
      <c r="AXJ172" s="181"/>
      <c r="AXK172" s="181"/>
      <c r="AXL172" s="181"/>
      <c r="AXM172" s="181"/>
      <c r="AXN172" s="181"/>
      <c r="AXO172" s="181"/>
      <c r="AXP172" s="181"/>
      <c r="AXQ172" s="181"/>
      <c r="AXR172" s="181"/>
      <c r="AXS172" s="181"/>
      <c r="AXT172" s="181"/>
      <c r="AXU172" s="181"/>
      <c r="AXV172" s="181"/>
      <c r="AXW172" s="181"/>
      <c r="AXX172" s="181"/>
      <c r="AXY172" s="181"/>
      <c r="AXZ172" s="181"/>
      <c r="AYA172" s="181"/>
      <c r="AYB172" s="181"/>
      <c r="AYC172" s="181"/>
      <c r="AYD172" s="181"/>
      <c r="AYE172" s="181"/>
      <c r="AYF172" s="181"/>
      <c r="BFE172" s="3398"/>
    </row>
    <row r="173" spans="37:51 1243:1513" x14ac:dyDescent="0.2">
      <c r="AU173" s="183"/>
      <c r="AV173" s="2720"/>
      <c r="AW173" s="2720"/>
      <c r="AX173" s="183"/>
      <c r="AY173" s="183"/>
      <c r="AUU173" s="2617"/>
      <c r="AUV173" s="181"/>
      <c r="AUW173" s="181"/>
      <c r="AUX173" s="181"/>
      <c r="AUY173" s="181"/>
      <c r="AUZ173" s="181"/>
      <c r="AVA173" s="181"/>
      <c r="AVB173" s="181"/>
      <c r="AVC173" s="181"/>
      <c r="AVD173" s="181"/>
      <c r="AVE173" s="181"/>
      <c r="AVF173" s="181"/>
      <c r="AVG173" s="181"/>
      <c r="AVH173" s="181"/>
      <c r="AVI173" s="181"/>
      <c r="AVJ173" s="181"/>
      <c r="AVK173" s="181"/>
      <c r="AVL173" s="181"/>
      <c r="AVM173" s="181"/>
      <c r="AVN173" s="181"/>
      <c r="AVO173" s="181"/>
      <c r="AVP173" s="181"/>
      <c r="AVQ173" s="181"/>
      <c r="AVR173" s="181"/>
      <c r="AVS173" s="181"/>
      <c r="AVT173" s="181"/>
      <c r="AVU173" s="181"/>
      <c r="AVV173" s="181"/>
      <c r="AVW173" s="181"/>
      <c r="AVX173" s="181"/>
      <c r="AVY173" s="181"/>
      <c r="AVZ173" s="181"/>
      <c r="AWA173" s="181"/>
      <c r="AWB173" s="181"/>
      <c r="AWC173" s="181"/>
      <c r="AWD173" s="181"/>
      <c r="AWE173" s="181"/>
      <c r="AWF173" s="181"/>
      <c r="AWG173" s="181"/>
      <c r="AWH173" s="181"/>
      <c r="AWI173" s="181"/>
      <c r="AWJ173" s="181"/>
      <c r="AWK173" s="181"/>
      <c r="AWL173" s="181"/>
      <c r="AWM173" s="181"/>
      <c r="AWN173" s="181"/>
      <c r="AWO173" s="181"/>
      <c r="AWP173" s="181"/>
      <c r="AWQ173" s="181"/>
      <c r="AWR173" s="181"/>
      <c r="AWS173" s="181"/>
      <c r="AWT173" s="181"/>
      <c r="AWU173" s="181"/>
      <c r="AWV173" s="181"/>
      <c r="AWW173" s="181"/>
      <c r="AWX173" s="181"/>
      <c r="AWY173" s="181"/>
      <c r="AWZ173" s="181"/>
      <c r="AXA173" s="181"/>
      <c r="AXB173" s="181"/>
      <c r="AXC173" s="181"/>
      <c r="AXD173" s="181"/>
      <c r="AXE173" s="181"/>
      <c r="AXF173" s="181"/>
      <c r="AXG173" s="181"/>
      <c r="AXH173" s="181"/>
      <c r="AXI173" s="181"/>
      <c r="AXJ173" s="181"/>
      <c r="AXK173" s="181"/>
      <c r="AXL173" s="181"/>
      <c r="AXM173" s="181"/>
      <c r="AXN173" s="181"/>
      <c r="AXO173" s="181"/>
      <c r="AXP173" s="181"/>
      <c r="AXQ173" s="181"/>
      <c r="AXR173" s="181"/>
      <c r="AXS173" s="181"/>
      <c r="AXT173" s="181"/>
      <c r="AXU173" s="181"/>
      <c r="AXV173" s="181"/>
      <c r="AXW173" s="181"/>
      <c r="AXX173" s="181"/>
      <c r="AXY173" s="181"/>
      <c r="AXZ173" s="181"/>
      <c r="AYA173" s="181"/>
      <c r="AYB173" s="181"/>
      <c r="AYC173" s="181"/>
      <c r="AYD173" s="181"/>
      <c r="AYE173" s="181"/>
      <c r="AYF173" s="181"/>
      <c r="BFE173" s="3398"/>
    </row>
    <row r="174" spans="37:51 1243:1513" x14ac:dyDescent="0.2">
      <c r="AU174" s="183"/>
      <c r="AV174" s="2720"/>
      <c r="AW174" s="2720"/>
      <c r="AX174" s="183"/>
      <c r="AY174" s="183"/>
      <c r="AUU174" s="2617"/>
      <c r="AUV174" s="181"/>
      <c r="AUW174" s="181"/>
      <c r="AUX174" s="181"/>
      <c r="AUY174" s="181"/>
      <c r="AUZ174" s="181"/>
      <c r="AVA174" s="181"/>
      <c r="AVB174" s="181"/>
      <c r="AVC174" s="181"/>
      <c r="AVD174" s="181"/>
      <c r="AVE174" s="181"/>
      <c r="AVF174" s="181"/>
      <c r="AVG174" s="181"/>
      <c r="AVH174" s="181"/>
      <c r="AVI174" s="181"/>
      <c r="AVJ174" s="181"/>
      <c r="AVK174" s="181"/>
      <c r="AVL174" s="181"/>
      <c r="AVM174" s="181"/>
      <c r="AVN174" s="181"/>
      <c r="AVO174" s="181"/>
      <c r="AVP174" s="181"/>
      <c r="AVQ174" s="181"/>
      <c r="AVR174" s="181"/>
      <c r="AVS174" s="181"/>
      <c r="AVT174" s="181"/>
      <c r="AVU174" s="181"/>
      <c r="AVV174" s="181"/>
      <c r="AVW174" s="181"/>
      <c r="AVX174" s="181"/>
      <c r="AVY174" s="181"/>
      <c r="AVZ174" s="181"/>
      <c r="AWA174" s="181"/>
      <c r="AWB174" s="181"/>
      <c r="AWC174" s="181"/>
      <c r="AWD174" s="181"/>
      <c r="AWE174" s="181"/>
      <c r="AWF174" s="181"/>
      <c r="AWG174" s="181"/>
      <c r="AWH174" s="181"/>
      <c r="AWI174" s="181"/>
      <c r="AWJ174" s="181"/>
      <c r="AWK174" s="181"/>
      <c r="AWL174" s="181"/>
      <c r="AWM174" s="181"/>
      <c r="AWN174" s="181"/>
      <c r="AWO174" s="181"/>
      <c r="AWP174" s="181"/>
      <c r="AWQ174" s="181"/>
      <c r="AWR174" s="181"/>
      <c r="AWS174" s="181"/>
      <c r="AWT174" s="181"/>
      <c r="AWU174" s="181"/>
      <c r="AWV174" s="181"/>
      <c r="AWW174" s="181"/>
      <c r="AWX174" s="181"/>
      <c r="AWY174" s="181"/>
      <c r="AWZ174" s="181"/>
      <c r="AXA174" s="181"/>
      <c r="AXB174" s="181"/>
      <c r="AXC174" s="181"/>
      <c r="AXD174" s="181"/>
      <c r="AXE174" s="181"/>
      <c r="AXF174" s="181"/>
      <c r="AXG174" s="181"/>
      <c r="AXH174" s="181"/>
      <c r="AXI174" s="181"/>
      <c r="AXJ174" s="181"/>
      <c r="AXK174" s="181"/>
      <c r="AXL174" s="181"/>
      <c r="AXM174" s="181"/>
      <c r="AXN174" s="181"/>
      <c r="AXO174" s="181"/>
      <c r="AXP174" s="181"/>
      <c r="AXQ174" s="181"/>
      <c r="AXR174" s="181"/>
      <c r="AXS174" s="181"/>
      <c r="AXT174" s="181"/>
      <c r="AXU174" s="181"/>
      <c r="AXV174" s="181"/>
      <c r="AXW174" s="181"/>
      <c r="AXX174" s="181"/>
      <c r="AXY174" s="181"/>
      <c r="AXZ174" s="181"/>
      <c r="AYA174" s="181"/>
      <c r="AYB174" s="181"/>
      <c r="AYC174" s="181"/>
      <c r="AYD174" s="181"/>
      <c r="AYE174" s="181"/>
      <c r="AYF174" s="181"/>
      <c r="BFE174" s="3398"/>
    </row>
    <row r="175" spans="37:51 1243:1513" x14ac:dyDescent="0.2">
      <c r="AU175" s="183"/>
      <c r="AV175" s="2720"/>
      <c r="AW175" s="2720"/>
      <c r="AX175" s="183"/>
      <c r="AY175" s="183"/>
      <c r="AUU175" s="2617"/>
      <c r="AUV175" s="181"/>
      <c r="AUW175" s="181"/>
      <c r="AUX175" s="181"/>
      <c r="AUY175" s="181"/>
      <c r="AUZ175" s="181"/>
      <c r="AVA175" s="181"/>
      <c r="AVB175" s="181"/>
      <c r="AVC175" s="181"/>
      <c r="AVD175" s="181"/>
      <c r="AVE175" s="181"/>
      <c r="AVF175" s="181"/>
      <c r="AVG175" s="181"/>
      <c r="AVH175" s="181"/>
      <c r="AVI175" s="181"/>
      <c r="AVJ175" s="181"/>
      <c r="AVK175" s="181"/>
      <c r="AVL175" s="181"/>
      <c r="AVM175" s="181"/>
      <c r="AVN175" s="181"/>
      <c r="AVO175" s="181"/>
      <c r="AVP175" s="181"/>
      <c r="AVQ175" s="181"/>
      <c r="AVR175" s="181"/>
      <c r="AVS175" s="181"/>
      <c r="AVT175" s="181"/>
      <c r="AVU175" s="181"/>
      <c r="AVV175" s="181"/>
      <c r="AVW175" s="181"/>
      <c r="AVX175" s="181"/>
      <c r="AVY175" s="181"/>
      <c r="AVZ175" s="181"/>
      <c r="AWA175" s="181"/>
      <c r="AWB175" s="181"/>
      <c r="AWC175" s="181"/>
      <c r="AWD175" s="181"/>
      <c r="AWE175" s="181"/>
      <c r="AWF175" s="181"/>
      <c r="AWG175" s="181"/>
      <c r="AWH175" s="181"/>
      <c r="AWI175" s="181"/>
      <c r="AWJ175" s="181"/>
      <c r="AWK175" s="181"/>
      <c r="AWL175" s="181"/>
      <c r="AWM175" s="181"/>
      <c r="AWN175" s="181"/>
      <c r="AWO175" s="181"/>
      <c r="AWP175" s="181"/>
      <c r="AWQ175" s="181"/>
      <c r="AWR175" s="181"/>
      <c r="AWS175" s="181"/>
      <c r="AWT175" s="181"/>
      <c r="AWU175" s="181"/>
      <c r="AWV175" s="181"/>
      <c r="AWW175" s="181"/>
      <c r="AWX175" s="181"/>
      <c r="AWY175" s="181"/>
      <c r="AWZ175" s="181"/>
      <c r="AXA175" s="181"/>
      <c r="AXB175" s="181"/>
      <c r="AXC175" s="181"/>
      <c r="AXD175" s="181"/>
      <c r="AXE175" s="181"/>
      <c r="AXF175" s="181"/>
      <c r="AXG175" s="181"/>
      <c r="AXH175" s="181"/>
      <c r="AXI175" s="181"/>
      <c r="AXJ175" s="181"/>
      <c r="AXK175" s="181"/>
      <c r="AXL175" s="181"/>
      <c r="AXM175" s="181"/>
      <c r="AXN175" s="181"/>
      <c r="AXO175" s="181"/>
      <c r="AXP175" s="181"/>
      <c r="AXQ175" s="181"/>
      <c r="AXR175" s="181"/>
      <c r="AXS175" s="181"/>
      <c r="AXT175" s="181"/>
      <c r="AXU175" s="181"/>
      <c r="AXV175" s="181"/>
      <c r="AXW175" s="181"/>
      <c r="AXX175" s="181"/>
      <c r="AXY175" s="181"/>
      <c r="AXZ175" s="181"/>
      <c r="AYA175" s="181"/>
      <c r="AYB175" s="181"/>
      <c r="AYC175" s="181"/>
      <c r="AYD175" s="181"/>
      <c r="AYE175" s="181"/>
      <c r="AYF175" s="181"/>
      <c r="BFE175" s="3398"/>
    </row>
    <row r="176" spans="37:51 1243:1513" x14ac:dyDescent="0.2">
      <c r="AU176" s="183"/>
      <c r="AV176" s="2720"/>
      <c r="AW176" s="2720"/>
      <c r="AX176" s="183"/>
      <c r="AY176" s="183"/>
      <c r="AUU176" s="2617"/>
      <c r="AUV176" s="181"/>
      <c r="AUW176" s="181"/>
      <c r="AUX176" s="181"/>
      <c r="AUY176" s="181"/>
      <c r="AUZ176" s="181"/>
      <c r="AVA176" s="181"/>
      <c r="AVB176" s="181"/>
      <c r="AVC176" s="181"/>
      <c r="AVD176" s="181"/>
      <c r="AVE176" s="181"/>
      <c r="AVF176" s="181"/>
      <c r="AVG176" s="181"/>
      <c r="AVH176" s="181"/>
      <c r="AVI176" s="181"/>
      <c r="AVJ176" s="181"/>
      <c r="AVK176" s="181"/>
      <c r="AVL176" s="181"/>
      <c r="AVM176" s="181"/>
      <c r="AVN176" s="181"/>
      <c r="AVO176" s="181"/>
      <c r="AVP176" s="181"/>
      <c r="AVQ176" s="181"/>
      <c r="AVR176" s="181"/>
      <c r="AVS176" s="181"/>
      <c r="AVT176" s="181"/>
      <c r="AVU176" s="181"/>
      <c r="AVV176" s="181"/>
      <c r="AVW176" s="181"/>
      <c r="AVX176" s="181"/>
      <c r="AVY176" s="181"/>
      <c r="AVZ176" s="181"/>
      <c r="AWA176" s="181"/>
      <c r="AWB176" s="181"/>
      <c r="AWC176" s="181"/>
      <c r="AWD176" s="181"/>
      <c r="AWE176" s="181"/>
      <c r="AWF176" s="181"/>
      <c r="AWG176" s="181"/>
      <c r="AWH176" s="181"/>
      <c r="AWI176" s="181"/>
      <c r="AWJ176" s="181"/>
      <c r="AWK176" s="181"/>
      <c r="AWL176" s="181"/>
      <c r="AWM176" s="181"/>
      <c r="AWN176" s="181"/>
      <c r="AWO176" s="181"/>
      <c r="AWP176" s="181"/>
      <c r="AWQ176" s="181"/>
      <c r="AWR176" s="181"/>
      <c r="AWS176" s="181"/>
      <c r="AWT176" s="181"/>
      <c r="AWU176" s="181"/>
      <c r="AWV176" s="181"/>
      <c r="AWW176" s="181"/>
      <c r="AWX176" s="181"/>
      <c r="AWY176" s="181"/>
      <c r="AWZ176" s="181"/>
      <c r="AXA176" s="181"/>
      <c r="AXB176" s="181"/>
      <c r="AXC176" s="181"/>
      <c r="AXD176" s="181"/>
      <c r="AXE176" s="181"/>
      <c r="AXF176" s="181"/>
      <c r="AXG176" s="181"/>
      <c r="AXH176" s="181"/>
      <c r="AXI176" s="181"/>
      <c r="AXJ176" s="181"/>
      <c r="AXK176" s="181"/>
      <c r="AXL176" s="181"/>
      <c r="AXM176" s="181"/>
      <c r="AXN176" s="181"/>
      <c r="AXO176" s="181"/>
      <c r="AXP176" s="181"/>
      <c r="AXQ176" s="181"/>
      <c r="AXR176" s="181"/>
      <c r="AXS176" s="181"/>
      <c r="AXT176" s="181"/>
      <c r="AXU176" s="181"/>
      <c r="AXV176" s="181"/>
      <c r="AXW176" s="181"/>
      <c r="AXX176" s="181"/>
      <c r="AXY176" s="181"/>
      <c r="AXZ176" s="181"/>
      <c r="AYA176" s="181"/>
      <c r="AYB176" s="181"/>
      <c r="AYC176" s="181"/>
      <c r="AYD176" s="181"/>
      <c r="AYE176" s="181"/>
      <c r="AYF176" s="181"/>
      <c r="BFE176" s="3398"/>
    </row>
    <row r="177" spans="47:54 1243:1513" x14ac:dyDescent="0.2">
      <c r="AU177" s="183"/>
      <c r="AV177" s="2720"/>
      <c r="AW177" s="2720"/>
      <c r="AX177" s="183"/>
      <c r="AY177" s="183"/>
      <c r="AUU177" s="2617"/>
      <c r="AUV177" s="181"/>
      <c r="AUW177" s="181"/>
      <c r="AUX177" s="181"/>
      <c r="AUY177" s="181"/>
      <c r="AUZ177" s="181"/>
      <c r="AVA177" s="181"/>
      <c r="AVB177" s="181"/>
      <c r="AVC177" s="181"/>
      <c r="AVD177" s="181"/>
      <c r="AVE177" s="181"/>
      <c r="AVF177" s="181"/>
      <c r="AVG177" s="181"/>
      <c r="AVH177" s="181"/>
      <c r="AVI177" s="181"/>
      <c r="AVJ177" s="181"/>
      <c r="AVK177" s="181"/>
      <c r="AVL177" s="181"/>
      <c r="AVM177" s="181"/>
      <c r="AVN177" s="181"/>
      <c r="AVO177" s="181"/>
      <c r="AVP177" s="181"/>
      <c r="AVQ177" s="181"/>
      <c r="AVR177" s="181"/>
      <c r="AVS177" s="181"/>
      <c r="AVT177" s="181"/>
      <c r="AVU177" s="181"/>
      <c r="AVV177" s="181"/>
      <c r="AVW177" s="181"/>
      <c r="AVX177" s="181"/>
      <c r="AVY177" s="181"/>
      <c r="AVZ177" s="181"/>
      <c r="AWA177" s="181"/>
      <c r="AWB177" s="181"/>
      <c r="AWC177" s="181"/>
      <c r="AWD177" s="181"/>
      <c r="AWE177" s="181"/>
      <c r="AWF177" s="181"/>
      <c r="AWG177" s="181"/>
      <c r="AWH177" s="181"/>
      <c r="AWI177" s="181"/>
      <c r="AWJ177" s="181"/>
      <c r="AWK177" s="181"/>
      <c r="AWL177" s="181"/>
      <c r="AWM177" s="181"/>
      <c r="AWN177" s="181"/>
      <c r="AWO177" s="181"/>
      <c r="AWP177" s="181"/>
      <c r="AWQ177" s="181"/>
      <c r="AWR177" s="181"/>
      <c r="AWS177" s="181"/>
      <c r="AWT177" s="181"/>
      <c r="AWU177" s="181"/>
      <c r="AWV177" s="181"/>
      <c r="AWW177" s="181"/>
      <c r="AWX177" s="181"/>
      <c r="AWY177" s="181"/>
      <c r="AWZ177" s="181"/>
      <c r="AXA177" s="181"/>
      <c r="AXB177" s="181"/>
      <c r="AXC177" s="181"/>
      <c r="AXD177" s="181"/>
      <c r="AXE177" s="181"/>
      <c r="AXF177" s="181"/>
      <c r="AXG177" s="181"/>
      <c r="AXH177" s="181"/>
      <c r="AXI177" s="181"/>
      <c r="AXJ177" s="181"/>
      <c r="AXK177" s="181"/>
      <c r="AXL177" s="181"/>
      <c r="AXM177" s="181"/>
      <c r="AXN177" s="181"/>
      <c r="AXO177" s="181"/>
      <c r="AXP177" s="181"/>
      <c r="AXQ177" s="181"/>
      <c r="AXR177" s="181"/>
      <c r="AXS177" s="181"/>
      <c r="AXT177" s="181"/>
      <c r="AXU177" s="181"/>
      <c r="AXV177" s="181"/>
      <c r="AXW177" s="181"/>
      <c r="AXX177" s="181"/>
      <c r="AXY177" s="181"/>
      <c r="AXZ177" s="181"/>
      <c r="AYA177" s="181"/>
      <c r="AYB177" s="181"/>
      <c r="AYC177" s="181"/>
      <c r="AYD177" s="181"/>
      <c r="AYE177" s="181"/>
      <c r="AYF177" s="181"/>
      <c r="BFE177" s="3398"/>
    </row>
    <row r="178" spans="47:54 1243:1513" x14ac:dyDescent="0.2">
      <c r="AU178" s="183"/>
      <c r="AV178" s="2720"/>
      <c r="AW178" s="2720"/>
      <c r="AX178" s="183"/>
      <c r="AY178" s="183"/>
      <c r="AUU178" s="2617"/>
      <c r="AUV178" s="181"/>
      <c r="AUW178" s="181"/>
      <c r="AUX178" s="181"/>
      <c r="AUY178" s="181"/>
      <c r="AUZ178" s="181"/>
      <c r="AVA178" s="181"/>
      <c r="AVB178" s="181"/>
      <c r="AVC178" s="181"/>
      <c r="AVD178" s="181"/>
      <c r="AVE178" s="181"/>
      <c r="AVF178" s="181"/>
      <c r="AVG178" s="181"/>
      <c r="AVH178" s="181"/>
      <c r="AVI178" s="181"/>
      <c r="AVJ178" s="181"/>
      <c r="AVK178" s="181"/>
      <c r="AVL178" s="181"/>
      <c r="AVM178" s="181"/>
      <c r="AVN178" s="181"/>
      <c r="AVO178" s="181"/>
      <c r="AVP178" s="181"/>
      <c r="AVQ178" s="181"/>
      <c r="AVR178" s="181"/>
      <c r="AVS178" s="181"/>
      <c r="AVT178" s="181"/>
      <c r="AVU178" s="181"/>
      <c r="AVV178" s="181"/>
      <c r="AVW178" s="181"/>
      <c r="AVX178" s="181"/>
      <c r="AVY178" s="181"/>
      <c r="AVZ178" s="181"/>
      <c r="AWA178" s="181"/>
      <c r="AWB178" s="181"/>
      <c r="AWC178" s="181"/>
      <c r="AWD178" s="181"/>
      <c r="AWE178" s="181"/>
      <c r="AWF178" s="181"/>
      <c r="AWG178" s="181"/>
      <c r="AWH178" s="181"/>
      <c r="AWI178" s="181"/>
      <c r="AWJ178" s="181"/>
      <c r="AWK178" s="181"/>
      <c r="AWL178" s="181"/>
      <c r="AWM178" s="181"/>
      <c r="AWN178" s="181"/>
      <c r="AWO178" s="181"/>
      <c r="AWP178" s="181"/>
      <c r="AWQ178" s="181"/>
      <c r="AWR178" s="181"/>
      <c r="AWS178" s="181"/>
      <c r="AWT178" s="181"/>
      <c r="AWU178" s="181"/>
      <c r="AWV178" s="181"/>
      <c r="AWW178" s="181"/>
      <c r="AWX178" s="181"/>
      <c r="AWY178" s="181"/>
      <c r="AWZ178" s="181"/>
      <c r="AXA178" s="181"/>
      <c r="AXB178" s="181"/>
      <c r="AXC178" s="181"/>
      <c r="AXD178" s="181"/>
      <c r="AXE178" s="181"/>
      <c r="AXF178" s="181"/>
      <c r="AXG178" s="181"/>
      <c r="AXH178" s="181"/>
      <c r="AXI178" s="181"/>
      <c r="AXJ178" s="181"/>
      <c r="AXK178" s="181"/>
      <c r="AXL178" s="181"/>
      <c r="AXM178" s="181"/>
      <c r="AXN178" s="181"/>
      <c r="AXO178" s="181"/>
      <c r="AXP178" s="181"/>
      <c r="AXQ178" s="181"/>
      <c r="AXR178" s="181"/>
      <c r="AXS178" s="181"/>
      <c r="AXT178" s="181"/>
      <c r="AXU178" s="181"/>
      <c r="AXV178" s="181"/>
      <c r="AXW178" s="181"/>
      <c r="AXX178" s="181"/>
      <c r="AXY178" s="181"/>
      <c r="AXZ178" s="181"/>
      <c r="AYA178" s="181"/>
      <c r="AYB178" s="181"/>
      <c r="AYC178" s="181"/>
      <c r="AYD178" s="181"/>
      <c r="AYE178" s="181"/>
      <c r="AYF178" s="181"/>
      <c r="BFE178" s="3398"/>
    </row>
    <row r="179" spans="47:54 1243:1513" x14ac:dyDescent="0.2">
      <c r="AU179" s="183"/>
      <c r="AV179" s="2720"/>
      <c r="AW179" s="2720"/>
      <c r="AX179" s="183"/>
      <c r="AY179" s="183"/>
      <c r="AUU179" s="2617"/>
      <c r="AUV179" s="181"/>
      <c r="AUW179" s="181"/>
      <c r="AUX179" s="181"/>
      <c r="AUY179" s="181"/>
      <c r="AUZ179" s="181"/>
      <c r="AVA179" s="181"/>
      <c r="AVB179" s="181"/>
      <c r="AVC179" s="181"/>
      <c r="AVD179" s="181"/>
      <c r="AVE179" s="181"/>
      <c r="AVF179" s="181"/>
      <c r="AVG179" s="181"/>
      <c r="AVH179" s="181"/>
      <c r="AVI179" s="181"/>
      <c r="AVJ179" s="181"/>
      <c r="AVK179" s="181"/>
      <c r="AVL179" s="181"/>
      <c r="AVM179" s="181"/>
      <c r="AVN179" s="181"/>
      <c r="AVO179" s="181"/>
      <c r="AVP179" s="181"/>
      <c r="AVQ179" s="181"/>
      <c r="AVR179" s="181"/>
      <c r="AVS179" s="181"/>
      <c r="AVT179" s="181"/>
      <c r="AVU179" s="181"/>
      <c r="AVV179" s="181"/>
      <c r="AVW179" s="181"/>
      <c r="AVX179" s="181"/>
      <c r="AVY179" s="181"/>
      <c r="AVZ179" s="181"/>
      <c r="AWA179" s="181"/>
      <c r="AWB179" s="181"/>
      <c r="AWC179" s="181"/>
      <c r="AWD179" s="181"/>
      <c r="AWE179" s="181"/>
      <c r="AWF179" s="181"/>
      <c r="AWG179" s="181"/>
      <c r="AWH179" s="181"/>
      <c r="AWI179" s="181"/>
      <c r="AWJ179" s="181"/>
      <c r="AWK179" s="181"/>
      <c r="AWL179" s="181"/>
      <c r="AWM179" s="181"/>
      <c r="AWN179" s="181"/>
      <c r="AWO179" s="181"/>
      <c r="AWP179" s="181"/>
      <c r="AWQ179" s="181"/>
      <c r="AWR179" s="181"/>
      <c r="AWS179" s="181"/>
      <c r="AWT179" s="181"/>
      <c r="AWU179" s="181"/>
      <c r="AWV179" s="181"/>
      <c r="AWW179" s="181"/>
      <c r="AWX179" s="181"/>
      <c r="AWY179" s="181"/>
      <c r="AWZ179" s="181"/>
      <c r="AXA179" s="181"/>
      <c r="AXB179" s="181"/>
      <c r="AXC179" s="181"/>
      <c r="AXD179" s="181"/>
      <c r="AXE179" s="181"/>
      <c r="AXF179" s="181"/>
      <c r="AXG179" s="181"/>
      <c r="AXH179" s="181"/>
      <c r="AXI179" s="181"/>
      <c r="AXJ179" s="181"/>
      <c r="AXK179" s="181"/>
      <c r="AXL179" s="181"/>
      <c r="AXM179" s="181"/>
      <c r="AXN179" s="181"/>
      <c r="AXO179" s="181"/>
      <c r="AXP179" s="181"/>
      <c r="AXQ179" s="181"/>
      <c r="AXR179" s="181"/>
      <c r="AXS179" s="181"/>
      <c r="AXT179" s="181"/>
      <c r="AXU179" s="181"/>
      <c r="AXV179" s="181"/>
      <c r="AXW179" s="181"/>
      <c r="AXX179" s="181"/>
      <c r="AXY179" s="181"/>
      <c r="AXZ179" s="181"/>
      <c r="AYA179" s="181"/>
      <c r="AYB179" s="181"/>
      <c r="AYC179" s="181"/>
      <c r="AYD179" s="181"/>
      <c r="AYE179" s="181"/>
      <c r="AYF179" s="181"/>
      <c r="BFE179" s="3398"/>
    </row>
    <row r="180" spans="47:54 1243:1513" x14ac:dyDescent="0.2">
      <c r="AU180" s="183"/>
      <c r="AV180" s="2720"/>
      <c r="AW180" s="2720"/>
      <c r="AX180" s="183"/>
      <c r="AY180" s="183"/>
      <c r="AUU180" s="2617"/>
      <c r="AUV180" s="181"/>
      <c r="AUW180" s="181"/>
      <c r="AUX180" s="181"/>
      <c r="AUY180" s="181"/>
      <c r="AUZ180" s="181"/>
      <c r="AVA180" s="181"/>
      <c r="AVB180" s="181"/>
      <c r="AVC180" s="181"/>
      <c r="AVD180" s="181"/>
      <c r="AVE180" s="181"/>
      <c r="AVF180" s="181"/>
      <c r="AVG180" s="181"/>
      <c r="AVH180" s="181"/>
      <c r="AVI180" s="181"/>
      <c r="AVJ180" s="181"/>
      <c r="AVK180" s="181"/>
      <c r="AVL180" s="181"/>
      <c r="AVM180" s="181"/>
      <c r="AVN180" s="181"/>
      <c r="AVO180" s="181"/>
      <c r="AVP180" s="181"/>
      <c r="AVQ180" s="181"/>
      <c r="AVR180" s="181"/>
      <c r="AVS180" s="181"/>
      <c r="AVT180" s="181"/>
      <c r="AVU180" s="181"/>
      <c r="AVV180" s="181"/>
      <c r="AVW180" s="181"/>
      <c r="AVX180" s="181"/>
      <c r="AVY180" s="181"/>
      <c r="AVZ180" s="181"/>
      <c r="AWA180" s="181"/>
      <c r="AWB180" s="181"/>
      <c r="AWC180" s="181"/>
      <c r="AWD180" s="181"/>
      <c r="AWE180" s="181"/>
      <c r="AWF180" s="181"/>
      <c r="AWG180" s="181"/>
      <c r="AWH180" s="181"/>
      <c r="AWI180" s="181"/>
      <c r="AWJ180" s="181"/>
      <c r="AWK180" s="181"/>
      <c r="AWL180" s="181"/>
      <c r="AWM180" s="181"/>
      <c r="AWN180" s="181"/>
      <c r="AWO180" s="181"/>
      <c r="AWP180" s="181"/>
      <c r="AWQ180" s="181"/>
      <c r="AWR180" s="181"/>
      <c r="AWS180" s="181"/>
      <c r="AWT180" s="181"/>
      <c r="AWU180" s="181"/>
      <c r="AWV180" s="181"/>
      <c r="AWW180" s="181"/>
      <c r="AWX180" s="181"/>
      <c r="AWY180" s="181"/>
      <c r="AWZ180" s="181"/>
      <c r="AXA180" s="181"/>
      <c r="AXB180" s="181"/>
      <c r="AXC180" s="181"/>
      <c r="AXD180" s="181"/>
      <c r="AXE180" s="181"/>
      <c r="AXF180" s="181"/>
      <c r="AXG180" s="181"/>
      <c r="AXH180" s="181"/>
      <c r="AXI180" s="181"/>
      <c r="AXJ180" s="181"/>
      <c r="AXK180" s="181"/>
      <c r="AXL180" s="181"/>
      <c r="AXM180" s="181"/>
      <c r="AXN180" s="181"/>
      <c r="AXO180" s="181"/>
      <c r="AXP180" s="181"/>
      <c r="AXQ180" s="181"/>
      <c r="AXR180" s="181"/>
      <c r="AXS180" s="181"/>
      <c r="AXT180" s="181"/>
      <c r="AXU180" s="181"/>
      <c r="AXV180" s="181"/>
      <c r="AXW180" s="181"/>
      <c r="AXX180" s="181"/>
      <c r="AXY180" s="181"/>
      <c r="AXZ180" s="181"/>
      <c r="AYA180" s="181"/>
      <c r="AYB180" s="181"/>
      <c r="AYC180" s="181"/>
      <c r="AYD180" s="181"/>
      <c r="AYE180" s="181"/>
      <c r="AYF180" s="181"/>
      <c r="BFE180" s="3398"/>
    </row>
    <row r="181" spans="47:54 1243:1513" ht="30.75" x14ac:dyDescent="0.2">
      <c r="AU181" s="400" t="s">
        <v>2146</v>
      </c>
      <c r="AV181" s="401"/>
      <c r="AW181" s="401"/>
      <c r="AX181" s="401"/>
      <c r="AY181" s="5147"/>
      <c r="AZ181" s="403"/>
      <c r="BA181" s="401"/>
      <c r="BB181" s="404"/>
      <c r="AUU181" s="2617"/>
      <c r="AUV181" s="181"/>
      <c r="AUW181" s="181"/>
      <c r="AUX181" s="181"/>
      <c r="AUY181" s="181"/>
      <c r="AUZ181" s="181"/>
      <c r="AVA181" s="181"/>
      <c r="AVB181" s="181"/>
      <c r="AVC181" s="181"/>
      <c r="AVD181" s="181"/>
      <c r="AVE181" s="181"/>
      <c r="AVF181" s="181"/>
      <c r="AVG181" s="181"/>
      <c r="AVH181" s="181"/>
      <c r="AVI181" s="181"/>
      <c r="AVJ181" s="181"/>
      <c r="AVK181" s="181"/>
      <c r="AVL181" s="181"/>
      <c r="AVM181" s="181"/>
      <c r="AVN181" s="181"/>
      <c r="AVO181" s="181"/>
      <c r="AVP181" s="181"/>
      <c r="AVQ181" s="181"/>
      <c r="AVR181" s="181"/>
      <c r="AVS181" s="181"/>
      <c r="AVT181" s="181"/>
      <c r="AVU181" s="181"/>
      <c r="AVV181" s="181"/>
      <c r="AVW181" s="181"/>
      <c r="AVX181" s="181"/>
      <c r="AVY181" s="181"/>
      <c r="AVZ181" s="181"/>
      <c r="AWA181" s="181"/>
      <c r="AWB181" s="181"/>
      <c r="AWC181" s="181"/>
      <c r="AWD181" s="181"/>
      <c r="AWE181" s="181"/>
      <c r="AWF181" s="181"/>
      <c r="AWG181" s="181"/>
      <c r="AWH181" s="181"/>
      <c r="AWI181" s="181"/>
      <c r="AWJ181" s="181"/>
      <c r="AWK181" s="181"/>
      <c r="AWL181" s="181"/>
      <c r="AWM181" s="181"/>
      <c r="AWN181" s="181"/>
      <c r="AWO181" s="181"/>
      <c r="AWP181" s="181"/>
      <c r="AWQ181" s="181"/>
      <c r="AWR181" s="181"/>
      <c r="AWS181" s="181"/>
      <c r="AWT181" s="181"/>
      <c r="AWU181" s="181"/>
      <c r="AWV181" s="181"/>
      <c r="AWW181" s="181"/>
      <c r="AWX181" s="181"/>
      <c r="AWY181" s="181"/>
      <c r="AWZ181" s="181"/>
      <c r="AXA181" s="181"/>
      <c r="AXB181" s="181"/>
      <c r="AXC181" s="181"/>
      <c r="AXD181" s="181"/>
      <c r="AXE181" s="181"/>
      <c r="AXF181" s="181"/>
      <c r="AXG181" s="181"/>
      <c r="AXH181" s="181"/>
      <c r="AXI181" s="181"/>
      <c r="AXJ181" s="181"/>
      <c r="AXK181" s="181"/>
      <c r="AXL181" s="181"/>
      <c r="AXM181" s="181"/>
      <c r="AXN181" s="181"/>
      <c r="AXO181" s="181"/>
      <c r="AXP181" s="181"/>
      <c r="AXQ181" s="181"/>
      <c r="AXR181" s="181"/>
      <c r="AXS181" s="181"/>
      <c r="AXT181" s="181"/>
      <c r="AXU181" s="181"/>
      <c r="AXV181" s="181"/>
      <c r="AXW181" s="181"/>
      <c r="AXX181" s="181"/>
      <c r="AXY181" s="181"/>
      <c r="AXZ181" s="181"/>
      <c r="AYA181" s="181"/>
      <c r="AYB181" s="181"/>
      <c r="AYC181" s="181"/>
      <c r="AYD181" s="181"/>
      <c r="AYE181" s="181"/>
      <c r="AYF181" s="181"/>
      <c r="BFE181" s="3398"/>
    </row>
    <row r="182" spans="47:54 1243:1513" x14ac:dyDescent="0.2">
      <c r="AV182" s="2622"/>
      <c r="AW182" s="2622"/>
      <c r="AX182" s="2622"/>
      <c r="AUU182" s="2617"/>
      <c r="AUV182" s="181"/>
      <c r="AUW182" s="181"/>
      <c r="AUX182" s="181"/>
      <c r="AUY182" s="181"/>
      <c r="AUZ182" s="181"/>
      <c r="AVA182" s="181"/>
      <c r="AVB182" s="181"/>
      <c r="AVC182" s="181"/>
      <c r="AVD182" s="181"/>
      <c r="AVE182" s="181"/>
      <c r="AVF182" s="181"/>
      <c r="AVG182" s="181"/>
      <c r="AVH182" s="181"/>
      <c r="AVI182" s="181"/>
      <c r="AVJ182" s="181"/>
      <c r="AVK182" s="181"/>
      <c r="AVL182" s="181"/>
      <c r="AVM182" s="181"/>
      <c r="AVN182" s="181"/>
      <c r="AVO182" s="181"/>
      <c r="AVP182" s="181"/>
      <c r="AVQ182" s="181"/>
      <c r="AVR182" s="181"/>
      <c r="AVS182" s="181"/>
      <c r="AVT182" s="181"/>
      <c r="AVU182" s="181"/>
      <c r="AVV182" s="181"/>
      <c r="AVW182" s="181"/>
      <c r="AVX182" s="181"/>
      <c r="AVY182" s="181"/>
      <c r="AVZ182" s="181"/>
      <c r="AWA182" s="181"/>
      <c r="AWB182" s="181"/>
      <c r="AWC182" s="181"/>
      <c r="AWD182" s="181"/>
      <c r="AWE182" s="181"/>
      <c r="AWF182" s="181"/>
      <c r="AWG182" s="181"/>
      <c r="AWH182" s="181"/>
      <c r="AWI182" s="181"/>
      <c r="AWJ182" s="181"/>
      <c r="AWK182" s="181"/>
      <c r="AWL182" s="181"/>
      <c r="AWM182" s="181"/>
      <c r="AWN182" s="181"/>
      <c r="AWO182" s="181"/>
      <c r="AWP182" s="181"/>
      <c r="AWQ182" s="181"/>
      <c r="AWR182" s="181"/>
      <c r="AWS182" s="181"/>
      <c r="AWT182" s="181"/>
      <c r="AWU182" s="181"/>
      <c r="AWV182" s="181"/>
      <c r="AWW182" s="181"/>
      <c r="AWX182" s="181"/>
      <c r="AWY182" s="181"/>
      <c r="AWZ182" s="181"/>
      <c r="AXA182" s="181"/>
      <c r="AXB182" s="181"/>
      <c r="AXC182" s="181"/>
      <c r="AXD182" s="181"/>
      <c r="AXE182" s="181"/>
      <c r="AXF182" s="181"/>
      <c r="AXG182" s="181"/>
      <c r="AXH182" s="181"/>
      <c r="AXI182" s="181"/>
      <c r="AXJ182" s="181"/>
      <c r="AXK182" s="181"/>
      <c r="AXL182" s="181"/>
      <c r="AXM182" s="181"/>
      <c r="AXN182" s="181"/>
      <c r="AXO182" s="181"/>
      <c r="AXP182" s="181"/>
      <c r="AXQ182" s="181"/>
      <c r="AXR182" s="181"/>
      <c r="AXS182" s="181"/>
      <c r="AXT182" s="181"/>
      <c r="AXU182" s="181"/>
      <c r="AXV182" s="181"/>
      <c r="AXW182" s="181"/>
      <c r="AXX182" s="181"/>
      <c r="AXY182" s="181"/>
      <c r="AXZ182" s="181"/>
      <c r="AYA182" s="181"/>
      <c r="AYB182" s="181"/>
      <c r="AYC182" s="181"/>
      <c r="AYD182" s="181"/>
      <c r="AYE182" s="181"/>
      <c r="AYF182" s="181"/>
      <c r="BFE182" s="3398"/>
    </row>
    <row r="183" spans="47:54 1243:1513" x14ac:dyDescent="0.2">
      <c r="AV183" s="2622"/>
      <c r="AW183" s="2622"/>
      <c r="AX183" s="2622"/>
      <c r="AUU183" s="2617"/>
      <c r="AUV183" s="181"/>
      <c r="AUW183" s="181"/>
      <c r="AUX183" s="181"/>
      <c r="AUY183" s="181"/>
      <c r="AUZ183" s="181"/>
      <c r="AVA183" s="181"/>
      <c r="AVB183" s="181"/>
      <c r="AVC183" s="181"/>
      <c r="AVD183" s="181"/>
      <c r="AVE183" s="181"/>
      <c r="AVF183" s="181"/>
      <c r="AVG183" s="181"/>
      <c r="AVH183" s="181"/>
      <c r="AVI183" s="181"/>
      <c r="AVJ183" s="181"/>
      <c r="AVK183" s="181"/>
      <c r="AVL183" s="181"/>
      <c r="AVM183" s="181"/>
      <c r="AVN183" s="181"/>
      <c r="AVO183" s="181"/>
      <c r="AVP183" s="181"/>
      <c r="AVQ183" s="181"/>
      <c r="AVR183" s="181"/>
      <c r="AVS183" s="181"/>
      <c r="AVT183" s="181"/>
      <c r="AVU183" s="181"/>
      <c r="AVV183" s="181"/>
      <c r="AVW183" s="181"/>
      <c r="AVX183" s="181"/>
      <c r="AVY183" s="181"/>
      <c r="AVZ183" s="181"/>
      <c r="AWA183" s="181"/>
      <c r="AWB183" s="181"/>
      <c r="AWC183" s="181"/>
      <c r="AWD183" s="181"/>
      <c r="AWE183" s="181"/>
      <c r="AWF183" s="181"/>
      <c r="AWG183" s="181"/>
      <c r="AWH183" s="181"/>
      <c r="AWI183" s="181"/>
      <c r="AWJ183" s="181"/>
      <c r="AWK183" s="181"/>
      <c r="AWL183" s="181"/>
      <c r="AWM183" s="181"/>
      <c r="AWN183" s="181"/>
      <c r="AWO183" s="181"/>
      <c r="AWP183" s="181"/>
      <c r="AWQ183" s="181"/>
      <c r="AWR183" s="181"/>
      <c r="AWS183" s="181"/>
      <c r="AWT183" s="181"/>
      <c r="AWU183" s="181"/>
      <c r="AWV183" s="181"/>
      <c r="AWW183" s="181"/>
      <c r="AWX183" s="181"/>
      <c r="AWY183" s="181"/>
      <c r="AWZ183" s="181"/>
      <c r="AXA183" s="181"/>
      <c r="AXB183" s="181"/>
      <c r="AXC183" s="181"/>
      <c r="AXD183" s="181"/>
      <c r="AXE183" s="181"/>
      <c r="AXF183" s="181"/>
      <c r="AXG183" s="181"/>
      <c r="AXH183" s="181"/>
      <c r="AXI183" s="181"/>
      <c r="AXJ183" s="181"/>
      <c r="AXK183" s="181"/>
      <c r="AXL183" s="181"/>
      <c r="AXM183" s="181"/>
      <c r="AXN183" s="181"/>
      <c r="AXO183" s="181"/>
      <c r="AXP183" s="181"/>
      <c r="AXQ183" s="181"/>
      <c r="AXR183" s="181"/>
      <c r="AXS183" s="181"/>
      <c r="AXT183" s="181"/>
      <c r="AXU183" s="181"/>
      <c r="AXV183" s="181"/>
      <c r="AXW183" s="181"/>
      <c r="AXX183" s="181"/>
      <c r="AXY183" s="181"/>
      <c r="AXZ183" s="181"/>
      <c r="AYA183" s="181"/>
      <c r="AYB183" s="181"/>
      <c r="AYC183" s="181"/>
      <c r="AYD183" s="181"/>
      <c r="AYE183" s="181"/>
      <c r="AYF183" s="181"/>
      <c r="BFE183" s="3398"/>
    </row>
    <row r="184" spans="47:54 1243:1513" x14ac:dyDescent="0.2">
      <c r="AV184" s="2622"/>
      <c r="AW184" s="2622"/>
      <c r="AX184" s="2622"/>
      <c r="AYJ184" s="181"/>
      <c r="AYK184" s="181"/>
      <c r="AYL184" s="181"/>
      <c r="AYM184" s="181"/>
      <c r="AYN184" s="181"/>
      <c r="AYO184" s="181"/>
      <c r="AYP184" s="181"/>
      <c r="AYQ184" s="181"/>
      <c r="AYR184" s="181"/>
      <c r="AYS184" s="181"/>
      <c r="AYT184" s="181"/>
      <c r="AYU184" s="181"/>
      <c r="AYV184" s="181"/>
      <c r="AYW184" s="181"/>
      <c r="AYX184" s="181"/>
      <c r="AYY184" s="181"/>
      <c r="AYZ184" s="181"/>
      <c r="AZA184" s="181"/>
      <c r="AZB184" s="181"/>
      <c r="AZC184" s="181"/>
      <c r="AZD184" s="181"/>
      <c r="AZE184" s="181"/>
      <c r="AZF184" s="181"/>
      <c r="AZG184" s="181"/>
      <c r="AZH184" s="181"/>
      <c r="AZI184" s="181"/>
      <c r="AZJ184" s="181"/>
      <c r="AZK184" s="181"/>
      <c r="AZL184" s="181"/>
      <c r="AZM184" s="181"/>
      <c r="AZN184" s="181"/>
      <c r="AZO184" s="181"/>
      <c r="AZP184" s="181"/>
      <c r="AZQ184" s="181"/>
      <c r="AZR184" s="181"/>
      <c r="AZS184" s="181"/>
      <c r="AZT184" s="181"/>
      <c r="AZU184" s="181"/>
      <c r="AZV184" s="181"/>
      <c r="AZW184" s="181"/>
      <c r="AZX184" s="181"/>
      <c r="AZY184" s="181"/>
      <c r="AZZ184" s="181"/>
      <c r="BAA184" s="181"/>
      <c r="BAB184" s="181"/>
      <c r="BAC184" s="181"/>
      <c r="BAD184" s="181"/>
      <c r="BAE184" s="181"/>
      <c r="BAF184" s="181"/>
      <c r="BAG184" s="181"/>
      <c r="BAH184" s="181"/>
      <c r="BAI184" s="181"/>
      <c r="BAJ184" s="181"/>
      <c r="BAK184" s="181"/>
      <c r="BAL184" s="181"/>
      <c r="BAM184" s="181"/>
      <c r="BAN184" s="181"/>
      <c r="BAO184" s="181"/>
      <c r="BAP184" s="181"/>
      <c r="BAQ184" s="181"/>
      <c r="BAR184" s="181"/>
      <c r="BAS184" s="181"/>
      <c r="BAT184" s="181"/>
      <c r="BAU184" s="181"/>
      <c r="BAV184" s="181"/>
      <c r="BAW184" s="181"/>
      <c r="BAX184" s="181"/>
      <c r="BAY184" s="181"/>
      <c r="BAZ184" s="181"/>
      <c r="BBA184" s="181"/>
      <c r="BBB184" s="181"/>
      <c r="BBC184" s="181"/>
      <c r="BBD184" s="181"/>
      <c r="BBE184" s="181"/>
      <c r="BBF184" s="181"/>
      <c r="BBG184" s="181"/>
      <c r="BBH184" s="181"/>
      <c r="BBI184" s="181"/>
      <c r="BBJ184" s="181"/>
      <c r="BBK184" s="181"/>
      <c r="BBL184" s="181"/>
      <c r="BBM184" s="181"/>
      <c r="BBN184" s="181"/>
      <c r="BBO184" s="181"/>
      <c r="BBP184" s="181"/>
      <c r="BBQ184" s="181"/>
      <c r="BBR184" s="181"/>
      <c r="BBS184" s="181"/>
      <c r="BBT184" s="181"/>
      <c r="BFE184" s="3398"/>
    </row>
    <row r="185" spans="47:54 1243:1513" x14ac:dyDescent="0.2">
      <c r="AU185" s="433" t="s">
        <v>2147</v>
      </c>
      <c r="AV185" s="2622"/>
      <c r="AW185" s="2622"/>
      <c r="AX185" s="2622"/>
      <c r="AYJ185" s="181"/>
      <c r="AYK185" s="181"/>
      <c r="AYL185" s="181"/>
      <c r="AYM185" s="181"/>
      <c r="AYN185" s="181"/>
      <c r="AYO185" s="181"/>
      <c r="AYP185" s="181"/>
      <c r="AYQ185" s="181"/>
      <c r="AYR185" s="181"/>
      <c r="AYS185" s="181"/>
      <c r="AYT185" s="181"/>
      <c r="AYU185" s="181"/>
      <c r="AYV185" s="181"/>
      <c r="AYW185" s="181"/>
      <c r="AYX185" s="181"/>
      <c r="AYY185" s="181"/>
      <c r="AYZ185" s="181"/>
      <c r="AZA185" s="181"/>
      <c r="AZB185" s="181"/>
      <c r="AZC185" s="181"/>
      <c r="AZD185" s="181"/>
      <c r="AZE185" s="181"/>
      <c r="AZF185" s="181"/>
      <c r="AZG185" s="181"/>
      <c r="AZH185" s="181"/>
      <c r="AZI185" s="181"/>
      <c r="AZJ185" s="181"/>
      <c r="AZK185" s="181"/>
      <c r="AZL185" s="181"/>
      <c r="AZM185" s="181"/>
      <c r="AZN185" s="181"/>
      <c r="AZO185" s="181"/>
      <c r="AZP185" s="181"/>
      <c r="AZQ185" s="181"/>
      <c r="AZR185" s="181"/>
      <c r="AZS185" s="181"/>
      <c r="AZT185" s="181"/>
      <c r="AZU185" s="181"/>
      <c r="AZV185" s="181"/>
      <c r="AZW185" s="181"/>
      <c r="AZX185" s="181"/>
      <c r="AZY185" s="181"/>
      <c r="AZZ185" s="181"/>
      <c r="BAA185" s="181"/>
      <c r="BAB185" s="181"/>
      <c r="BAC185" s="181"/>
      <c r="BAD185" s="181"/>
      <c r="BAE185" s="181"/>
      <c r="BAF185" s="181"/>
      <c r="BAG185" s="181"/>
      <c r="BAH185" s="181"/>
      <c r="BAI185" s="181"/>
      <c r="BAJ185" s="181"/>
      <c r="BAK185" s="181"/>
      <c r="BAL185" s="181"/>
      <c r="BAM185" s="181"/>
      <c r="BAN185" s="181"/>
      <c r="BAO185" s="181"/>
      <c r="BAP185" s="181"/>
      <c r="BAQ185" s="181"/>
      <c r="BAR185" s="181"/>
      <c r="BAS185" s="181"/>
      <c r="BAT185" s="181"/>
      <c r="BAU185" s="181"/>
      <c r="BAV185" s="181"/>
      <c r="BAW185" s="181"/>
      <c r="BAX185" s="181"/>
      <c r="BAY185" s="181"/>
      <c r="BAZ185" s="181"/>
      <c r="BBA185" s="181"/>
      <c r="BBB185" s="181"/>
      <c r="BBC185" s="181"/>
      <c r="BBD185" s="181"/>
      <c r="BBE185" s="181"/>
      <c r="BBF185" s="181"/>
      <c r="BBG185" s="181"/>
      <c r="BBH185" s="181"/>
      <c r="BBI185" s="181"/>
      <c r="BBJ185" s="181"/>
      <c r="BBK185" s="181"/>
      <c r="BBL185" s="181"/>
      <c r="BBM185" s="181"/>
      <c r="BBN185" s="181"/>
      <c r="BBO185" s="181"/>
      <c r="BBP185" s="181"/>
      <c r="BBQ185" s="181"/>
      <c r="BBR185" s="181"/>
      <c r="BBS185" s="181"/>
      <c r="BBT185" s="181"/>
      <c r="BFE185" s="3398"/>
    </row>
    <row r="186" spans="47:54 1243:1513" x14ac:dyDescent="0.2">
      <c r="AV186" s="2622"/>
      <c r="AW186" s="2622"/>
      <c r="AX186" s="2622"/>
      <c r="AYJ186" s="181"/>
      <c r="AYK186" s="181"/>
      <c r="AYL186" s="181"/>
      <c r="AYM186" s="181"/>
      <c r="AYN186" s="181"/>
      <c r="AYO186" s="181"/>
      <c r="AYP186" s="181"/>
      <c r="AYQ186" s="181"/>
      <c r="AYR186" s="181"/>
      <c r="AYS186" s="181"/>
      <c r="AYT186" s="181"/>
      <c r="AYU186" s="181"/>
      <c r="AYV186" s="181"/>
      <c r="AYW186" s="181"/>
      <c r="AYX186" s="181"/>
      <c r="AYY186" s="181"/>
      <c r="AYZ186" s="181"/>
      <c r="AZA186" s="181"/>
      <c r="AZB186" s="181"/>
      <c r="AZC186" s="181"/>
      <c r="AZD186" s="181"/>
      <c r="AZE186" s="181"/>
      <c r="AZF186" s="181"/>
      <c r="AZG186" s="181"/>
      <c r="AZH186" s="181"/>
      <c r="AZI186" s="181"/>
      <c r="AZJ186" s="181"/>
      <c r="AZK186" s="181"/>
      <c r="AZL186" s="181"/>
      <c r="AZM186" s="181"/>
      <c r="AZN186" s="181"/>
      <c r="AZO186" s="181"/>
      <c r="AZP186" s="181"/>
      <c r="AZQ186" s="181"/>
      <c r="AZR186" s="181"/>
      <c r="AZS186" s="181"/>
      <c r="AZT186" s="181"/>
      <c r="AZU186" s="181"/>
      <c r="AZV186" s="181"/>
      <c r="AZW186" s="181"/>
      <c r="AZX186" s="181"/>
      <c r="AZY186" s="181"/>
      <c r="AZZ186" s="181"/>
      <c r="BAA186" s="181"/>
      <c r="BAB186" s="181"/>
      <c r="BAC186" s="181"/>
      <c r="BAD186" s="181"/>
      <c r="BAE186" s="181"/>
      <c r="BAF186" s="181"/>
      <c r="BAG186" s="181"/>
      <c r="BAH186" s="181"/>
      <c r="BAI186" s="181"/>
      <c r="BAJ186" s="181"/>
      <c r="BAK186" s="181"/>
      <c r="BAL186" s="181"/>
      <c r="BAM186" s="181"/>
      <c r="BAN186" s="181"/>
      <c r="BAO186" s="181"/>
      <c r="BAP186" s="181"/>
      <c r="BAQ186" s="181"/>
      <c r="BAR186" s="181"/>
      <c r="BAS186" s="181"/>
      <c r="BAT186" s="181"/>
      <c r="BAU186" s="181"/>
      <c r="BAV186" s="181"/>
      <c r="BAW186" s="181"/>
      <c r="BAX186" s="181"/>
      <c r="BAY186" s="181"/>
      <c r="BAZ186" s="181"/>
      <c r="BBA186" s="181"/>
      <c r="BBB186" s="181"/>
      <c r="BBC186" s="181"/>
      <c r="BBD186" s="181"/>
      <c r="BBE186" s="181"/>
      <c r="BBF186" s="181"/>
      <c r="BBG186" s="181"/>
      <c r="BBH186" s="181"/>
      <c r="BBI186" s="181"/>
      <c r="BBJ186" s="181"/>
      <c r="BBK186" s="181"/>
      <c r="BBL186" s="181"/>
      <c r="BBM186" s="181"/>
      <c r="BBN186" s="181"/>
      <c r="BBO186" s="181"/>
      <c r="BBP186" s="181"/>
      <c r="BBQ186" s="181"/>
      <c r="BBR186" s="181"/>
      <c r="BBS186" s="181"/>
      <c r="BBT186" s="181"/>
      <c r="BFE186" s="3398"/>
    </row>
    <row r="187" spans="47:54 1243:1513" x14ac:dyDescent="0.2">
      <c r="AV187" s="2622"/>
      <c r="AW187" s="2622"/>
      <c r="AX187" s="2622"/>
      <c r="AYJ187" s="181"/>
      <c r="AYK187" s="181"/>
      <c r="AYL187" s="181"/>
      <c r="AYM187" s="181"/>
      <c r="AYN187" s="181"/>
      <c r="AYO187" s="181"/>
      <c r="AYP187" s="181"/>
      <c r="AYQ187" s="181"/>
      <c r="AYR187" s="181"/>
      <c r="AYS187" s="181"/>
      <c r="AYT187" s="181"/>
      <c r="AYU187" s="181"/>
      <c r="AYV187" s="181"/>
      <c r="AYW187" s="181"/>
      <c r="AYX187" s="181"/>
      <c r="AYY187" s="181"/>
      <c r="AYZ187" s="181"/>
      <c r="AZA187" s="181"/>
      <c r="AZB187" s="181"/>
      <c r="AZC187" s="181"/>
      <c r="AZD187" s="181"/>
      <c r="AZE187" s="181"/>
      <c r="AZF187" s="181"/>
      <c r="AZG187" s="181"/>
      <c r="AZH187" s="181"/>
      <c r="AZI187" s="181"/>
      <c r="AZJ187" s="181"/>
      <c r="AZK187" s="181"/>
      <c r="AZL187" s="181"/>
      <c r="AZM187" s="181"/>
      <c r="AZN187" s="181"/>
      <c r="AZO187" s="181"/>
      <c r="AZP187" s="181"/>
      <c r="AZQ187" s="181"/>
      <c r="AZR187" s="181"/>
      <c r="AZS187" s="181"/>
      <c r="AZT187" s="181"/>
      <c r="AZU187" s="181"/>
      <c r="AZV187" s="181"/>
      <c r="AZW187" s="181"/>
      <c r="AZX187" s="181"/>
      <c r="AZY187" s="181"/>
      <c r="AZZ187" s="181"/>
      <c r="BAA187" s="181"/>
      <c r="BAB187" s="181"/>
      <c r="BAC187" s="181"/>
      <c r="BAD187" s="181"/>
      <c r="BAE187" s="181"/>
      <c r="BAF187" s="181"/>
      <c r="BAG187" s="181"/>
      <c r="BAH187" s="181"/>
      <c r="BAI187" s="181"/>
      <c r="BAJ187" s="181"/>
      <c r="BAK187" s="181"/>
      <c r="BAL187" s="181"/>
      <c r="BAM187" s="181"/>
      <c r="BAN187" s="181"/>
      <c r="BAO187" s="181"/>
      <c r="BAP187" s="181"/>
      <c r="BAQ187" s="181"/>
      <c r="BAR187" s="181"/>
      <c r="BAS187" s="181"/>
      <c r="BAT187" s="181"/>
      <c r="BAU187" s="181"/>
      <c r="BAV187" s="181"/>
      <c r="BAW187" s="181"/>
      <c r="BAX187" s="181"/>
      <c r="BAY187" s="181"/>
      <c r="BAZ187" s="181"/>
      <c r="BBA187" s="181"/>
      <c r="BBB187" s="181"/>
      <c r="BBC187" s="181"/>
      <c r="BBD187" s="181"/>
      <c r="BBE187" s="181"/>
      <c r="BBF187" s="181"/>
      <c r="BBG187" s="181"/>
      <c r="BBH187" s="181"/>
      <c r="BBI187" s="181"/>
      <c r="BBJ187" s="181"/>
      <c r="BBK187" s="181"/>
      <c r="BBL187" s="181"/>
      <c r="BBM187" s="181"/>
      <c r="BBN187" s="181"/>
      <c r="BBO187" s="181"/>
      <c r="BBP187" s="181"/>
      <c r="BBQ187" s="181"/>
      <c r="BBR187" s="181"/>
      <c r="BBS187" s="181"/>
      <c r="BBT187" s="181"/>
      <c r="BFE187" s="3398"/>
    </row>
    <row r="188" spans="47:54 1243:1513" x14ac:dyDescent="0.2">
      <c r="AU188" s="181"/>
      <c r="AV188" s="181"/>
      <c r="AW188" s="181"/>
      <c r="AX188" s="181"/>
      <c r="AY188" s="181"/>
      <c r="AYJ188" s="181"/>
      <c r="AYK188" s="181"/>
      <c r="AYL188" s="181"/>
      <c r="AYM188" s="181"/>
      <c r="AYN188" s="181"/>
      <c r="AYO188" s="181"/>
      <c r="AYP188" s="181"/>
      <c r="AYQ188" s="181"/>
      <c r="AYR188" s="181"/>
      <c r="AYS188" s="181"/>
      <c r="AYT188" s="181"/>
      <c r="AYU188" s="181"/>
      <c r="AYV188" s="181"/>
      <c r="AYW188" s="181"/>
      <c r="AYX188" s="181"/>
      <c r="AYY188" s="181"/>
      <c r="AYZ188" s="181"/>
      <c r="AZA188" s="181"/>
      <c r="AZB188" s="181"/>
      <c r="AZC188" s="181"/>
      <c r="AZD188" s="181"/>
      <c r="AZE188" s="181"/>
      <c r="AZF188" s="181"/>
      <c r="AZG188" s="181"/>
      <c r="AZH188" s="181"/>
      <c r="AZI188" s="181"/>
      <c r="AZJ188" s="181"/>
      <c r="AZK188" s="181"/>
      <c r="AZL188" s="181"/>
      <c r="AZM188" s="181"/>
      <c r="AZN188" s="181"/>
      <c r="AZO188" s="181"/>
      <c r="AZP188" s="181"/>
      <c r="AZQ188" s="181"/>
      <c r="AZR188" s="181"/>
      <c r="AZS188" s="181"/>
      <c r="AZT188" s="181"/>
      <c r="AZU188" s="181"/>
      <c r="AZV188" s="181"/>
      <c r="AZW188" s="181"/>
      <c r="AZX188" s="181"/>
      <c r="AZY188" s="181"/>
      <c r="AZZ188" s="181"/>
      <c r="BAA188" s="181"/>
      <c r="BAB188" s="181"/>
      <c r="BAC188" s="181"/>
      <c r="BAD188" s="181"/>
      <c r="BAE188" s="181"/>
      <c r="BAF188" s="181"/>
      <c r="BAG188" s="181"/>
      <c r="BAH188" s="181"/>
      <c r="BAI188" s="181"/>
      <c r="BAJ188" s="181"/>
      <c r="BAK188" s="181"/>
      <c r="BAL188" s="181"/>
      <c r="BAM188" s="181"/>
      <c r="BAN188" s="181"/>
      <c r="BAO188" s="181"/>
      <c r="BAP188" s="181"/>
      <c r="BAQ188" s="181"/>
      <c r="BAR188" s="181"/>
      <c r="BAS188" s="181"/>
      <c r="BAT188" s="181"/>
      <c r="BAU188" s="181"/>
      <c r="BAV188" s="181"/>
      <c r="BAW188" s="181"/>
      <c r="BAX188" s="181"/>
      <c r="BAY188" s="181"/>
      <c r="BAZ188" s="181"/>
      <c r="BBA188" s="181"/>
      <c r="BBB188" s="181"/>
      <c r="BBC188" s="181"/>
      <c r="BBD188" s="181"/>
      <c r="BBE188" s="181"/>
      <c r="BBF188" s="181"/>
      <c r="BBG188" s="181"/>
      <c r="BBH188" s="181"/>
      <c r="BBI188" s="181"/>
      <c r="BBJ188" s="181"/>
      <c r="BBK188" s="181"/>
      <c r="BBL188" s="181"/>
      <c r="BBM188" s="181"/>
      <c r="BBN188" s="181"/>
      <c r="BBO188" s="181"/>
      <c r="BBP188" s="181"/>
      <c r="BBQ188" s="181"/>
      <c r="BBR188" s="181"/>
      <c r="BBS188" s="181"/>
      <c r="BBT188" s="181"/>
      <c r="BFE188" s="3398"/>
    </row>
    <row r="189" spans="47:54 1243:1513" x14ac:dyDescent="0.2">
      <c r="AU189" s="181"/>
      <c r="AV189" s="181"/>
      <c r="AW189" s="181"/>
      <c r="AX189" s="181"/>
      <c r="AY189" s="181"/>
      <c r="AYJ189" s="181"/>
      <c r="AYK189" s="181"/>
      <c r="AYL189" s="181"/>
      <c r="AYM189" s="181"/>
      <c r="AYN189" s="181"/>
      <c r="AYO189" s="181"/>
      <c r="AYP189" s="181"/>
      <c r="AYQ189" s="181"/>
      <c r="AYR189" s="181"/>
      <c r="AYS189" s="181"/>
      <c r="AYT189" s="181"/>
      <c r="AYU189" s="181"/>
      <c r="AYV189" s="181"/>
      <c r="AYW189" s="181"/>
      <c r="AYX189" s="181"/>
      <c r="AYY189" s="181"/>
      <c r="AYZ189" s="181"/>
      <c r="AZA189" s="181"/>
      <c r="AZB189" s="181"/>
      <c r="AZC189" s="181"/>
      <c r="AZD189" s="181"/>
      <c r="AZE189" s="181"/>
      <c r="AZF189" s="181"/>
      <c r="AZG189" s="181"/>
      <c r="AZH189" s="181"/>
      <c r="AZI189" s="181"/>
      <c r="AZJ189" s="181"/>
      <c r="AZK189" s="181"/>
      <c r="AZL189" s="181"/>
      <c r="AZM189" s="181"/>
      <c r="AZN189" s="181"/>
      <c r="AZO189" s="181"/>
      <c r="AZP189" s="181"/>
      <c r="AZQ189" s="181"/>
      <c r="AZR189" s="181"/>
      <c r="AZS189" s="181"/>
      <c r="AZT189" s="181"/>
      <c r="AZU189" s="181"/>
      <c r="AZV189" s="181"/>
      <c r="AZW189" s="181"/>
      <c r="AZX189" s="181"/>
      <c r="AZY189" s="181"/>
      <c r="AZZ189" s="181"/>
      <c r="BAA189" s="181"/>
      <c r="BAB189" s="181"/>
      <c r="BAC189" s="181"/>
      <c r="BAD189" s="181"/>
      <c r="BAE189" s="181"/>
      <c r="BAF189" s="181"/>
      <c r="BAG189" s="181"/>
      <c r="BAH189" s="181"/>
      <c r="BAI189" s="181"/>
      <c r="BAJ189" s="181"/>
      <c r="BAK189" s="181"/>
      <c r="BAL189" s="181"/>
      <c r="BAM189" s="181"/>
      <c r="BAN189" s="181"/>
      <c r="BAO189" s="181"/>
      <c r="BAP189" s="181"/>
      <c r="BAQ189" s="181"/>
      <c r="BAR189" s="181"/>
      <c r="BAS189" s="181"/>
      <c r="BAT189" s="181"/>
      <c r="BAU189" s="181"/>
      <c r="BAV189" s="181"/>
      <c r="BAW189" s="181"/>
      <c r="BAX189" s="181"/>
      <c r="BAY189" s="181"/>
      <c r="BAZ189" s="181"/>
      <c r="BBA189" s="181"/>
      <c r="BBB189" s="181"/>
      <c r="BBC189" s="181"/>
      <c r="BBD189" s="181"/>
      <c r="BBE189" s="181"/>
      <c r="BBF189" s="181"/>
      <c r="BBG189" s="181"/>
      <c r="BBH189" s="181"/>
      <c r="BBI189" s="181"/>
      <c r="BBJ189" s="181"/>
      <c r="BBK189" s="181"/>
      <c r="BBL189" s="181"/>
      <c r="BBM189" s="181"/>
      <c r="BBN189" s="181"/>
      <c r="BBO189" s="181"/>
      <c r="BBP189" s="181"/>
      <c r="BBQ189" s="181"/>
      <c r="BBR189" s="181"/>
      <c r="BBS189" s="181"/>
      <c r="BBT189" s="181"/>
      <c r="BFE189" s="3398"/>
    </row>
    <row r="190" spans="47:54 1243:1513" x14ac:dyDescent="0.2">
      <c r="AU190" s="181"/>
      <c r="AV190" s="181"/>
      <c r="AW190" s="181"/>
      <c r="AX190" s="181"/>
      <c r="AY190" s="181"/>
      <c r="AZ190" s="181"/>
      <c r="AYJ190" s="181"/>
      <c r="AYK190" s="181"/>
      <c r="AYL190" s="181"/>
      <c r="AYM190" s="181"/>
      <c r="AYN190" s="181"/>
      <c r="AYO190" s="181"/>
      <c r="AYP190" s="181"/>
      <c r="AYQ190" s="181"/>
      <c r="AYR190" s="181"/>
      <c r="AYS190" s="181"/>
      <c r="AYT190" s="181"/>
      <c r="AYU190" s="181"/>
      <c r="AYV190" s="181"/>
      <c r="AYW190" s="181"/>
      <c r="AYX190" s="181"/>
      <c r="AYY190" s="181"/>
      <c r="AYZ190" s="181"/>
      <c r="AZA190" s="181"/>
      <c r="AZB190" s="181"/>
      <c r="AZC190" s="181"/>
      <c r="AZD190" s="181"/>
      <c r="AZE190" s="181"/>
      <c r="AZF190" s="181"/>
      <c r="AZG190" s="181"/>
      <c r="AZH190" s="181"/>
      <c r="AZI190" s="181"/>
      <c r="AZJ190" s="181"/>
      <c r="AZK190" s="181"/>
      <c r="AZL190" s="181"/>
      <c r="AZM190" s="181"/>
      <c r="AZN190" s="181"/>
      <c r="AZO190" s="181"/>
      <c r="AZP190" s="181"/>
      <c r="AZQ190" s="181"/>
      <c r="AZR190" s="181"/>
      <c r="AZS190" s="181"/>
      <c r="AZT190" s="181"/>
      <c r="AZU190" s="181"/>
      <c r="AZV190" s="181"/>
      <c r="AZW190" s="181"/>
      <c r="AZX190" s="181"/>
      <c r="AZY190" s="181"/>
      <c r="AZZ190" s="181"/>
      <c r="BAA190" s="181"/>
      <c r="BAB190" s="181"/>
      <c r="BAC190" s="181"/>
      <c r="BAD190" s="181"/>
      <c r="BAE190" s="181"/>
      <c r="BAF190" s="181"/>
      <c r="BAG190" s="181"/>
      <c r="BAH190" s="181"/>
      <c r="BAI190" s="181"/>
      <c r="BAJ190" s="181"/>
      <c r="BAK190" s="181"/>
      <c r="BAL190" s="181"/>
      <c r="BAM190" s="181"/>
      <c r="BAN190" s="181"/>
      <c r="BAO190" s="181"/>
      <c r="BAP190" s="181"/>
      <c r="BAQ190" s="181"/>
      <c r="BAR190" s="181"/>
      <c r="BAS190" s="181"/>
      <c r="BAT190" s="181"/>
      <c r="BAU190" s="181"/>
      <c r="BAV190" s="181"/>
      <c r="BAW190" s="181"/>
      <c r="BAX190" s="181"/>
      <c r="BAY190" s="181"/>
      <c r="BAZ190" s="181"/>
      <c r="BBA190" s="181"/>
      <c r="BBB190" s="181"/>
      <c r="BBC190" s="181"/>
      <c r="BBD190" s="181"/>
      <c r="BBE190" s="181"/>
      <c r="BBF190" s="181"/>
      <c r="BBG190" s="181"/>
      <c r="BBH190" s="181"/>
      <c r="BBI190" s="181"/>
      <c r="BBJ190" s="181"/>
      <c r="BBK190" s="181"/>
      <c r="BBL190" s="181"/>
      <c r="BBM190" s="181"/>
      <c r="BBN190" s="181"/>
      <c r="BBO190" s="181"/>
      <c r="BBP190" s="181"/>
      <c r="BBQ190" s="181"/>
      <c r="BBR190" s="181"/>
      <c r="BBS190" s="181"/>
      <c r="BBT190" s="181"/>
      <c r="BFE190" s="3398"/>
    </row>
    <row r="191" spans="47:54 1243:1513" x14ac:dyDescent="0.2">
      <c r="AU191" s="316"/>
      <c r="AV191" s="316" t="s">
        <v>2148</v>
      </c>
      <c r="AW191" s="181"/>
      <c r="AX191" s="181"/>
      <c r="AY191" s="181"/>
      <c r="AYJ191" s="181"/>
      <c r="AYK191" s="181"/>
      <c r="AYL191" s="181"/>
      <c r="AYM191" s="181"/>
      <c r="AYN191" s="181"/>
      <c r="AYO191" s="181"/>
      <c r="AYP191" s="181"/>
      <c r="AYQ191" s="181"/>
      <c r="AYR191" s="181"/>
      <c r="AYS191" s="181"/>
      <c r="AYT191" s="181"/>
      <c r="AYU191" s="181"/>
      <c r="AYV191" s="181"/>
      <c r="AYW191" s="181"/>
      <c r="AYX191" s="181"/>
      <c r="AYY191" s="181"/>
      <c r="AYZ191" s="181"/>
      <c r="AZA191" s="181"/>
      <c r="AZB191" s="181"/>
      <c r="AZC191" s="181"/>
      <c r="AZD191" s="181"/>
      <c r="AZE191" s="181"/>
      <c r="AZF191" s="181"/>
      <c r="AZG191" s="181"/>
      <c r="AZH191" s="181"/>
      <c r="AZI191" s="181"/>
      <c r="AZJ191" s="181"/>
      <c r="AZK191" s="181"/>
      <c r="AZL191" s="181"/>
      <c r="AZM191" s="181"/>
      <c r="AZN191" s="181"/>
      <c r="AZO191" s="181"/>
      <c r="AZP191" s="181"/>
      <c r="AZQ191" s="181"/>
      <c r="AZR191" s="181"/>
      <c r="AZS191" s="181"/>
      <c r="AZT191" s="181"/>
      <c r="AZU191" s="181"/>
      <c r="AZV191" s="181"/>
      <c r="AZW191" s="181"/>
      <c r="AZX191" s="181"/>
      <c r="AZY191" s="181"/>
      <c r="AZZ191" s="181"/>
      <c r="BAA191" s="181"/>
      <c r="BAB191" s="181"/>
      <c r="BAC191" s="181"/>
      <c r="BAD191" s="181"/>
      <c r="BAE191" s="181"/>
      <c r="BAF191" s="181"/>
      <c r="BAG191" s="181"/>
      <c r="BAH191" s="181"/>
      <c r="BAI191" s="181"/>
      <c r="BAJ191" s="181"/>
      <c r="BAK191" s="181"/>
      <c r="BAL191" s="181"/>
      <c r="BAM191" s="181"/>
      <c r="BAN191" s="181"/>
      <c r="BAO191" s="181"/>
      <c r="BAP191" s="181"/>
      <c r="BAQ191" s="181"/>
      <c r="BAR191" s="181"/>
      <c r="BAS191" s="181"/>
      <c r="BAT191" s="181"/>
      <c r="BAU191" s="181"/>
      <c r="BAV191" s="181"/>
      <c r="BAW191" s="181"/>
      <c r="BAX191" s="181"/>
      <c r="BAY191" s="181"/>
      <c r="BAZ191" s="181"/>
      <c r="BBA191" s="181"/>
      <c r="BBB191" s="181"/>
      <c r="BBC191" s="181"/>
      <c r="BBD191" s="181"/>
      <c r="BBE191" s="181"/>
      <c r="BBF191" s="181"/>
      <c r="BBG191" s="181"/>
      <c r="BBH191" s="181"/>
      <c r="BBI191" s="181"/>
      <c r="BBJ191" s="181"/>
      <c r="BBK191" s="181"/>
      <c r="BBL191" s="181"/>
      <c r="BBM191" s="181"/>
      <c r="BBN191" s="181"/>
      <c r="BBO191" s="181"/>
      <c r="BBP191" s="181"/>
      <c r="BBQ191" s="181"/>
      <c r="BBR191" s="181"/>
      <c r="BBS191" s="181"/>
      <c r="BBT191" s="181"/>
      <c r="BFE191" s="3398"/>
    </row>
    <row r="192" spans="47:54 1243:1513" x14ac:dyDescent="0.2">
      <c r="AU192" s="316" t="s">
        <v>89</v>
      </c>
      <c r="AV192" s="316"/>
      <c r="AW192" s="181"/>
      <c r="AX192" s="181"/>
      <c r="AY192" s="181"/>
      <c r="AYJ192" s="181"/>
      <c r="AYK192" s="181"/>
      <c r="AYL192" s="181"/>
      <c r="AYM192" s="181"/>
      <c r="AYN192" s="181"/>
      <c r="AYO192" s="181"/>
      <c r="AYP192" s="181"/>
      <c r="AYQ192" s="181"/>
      <c r="AYR192" s="181"/>
      <c r="AYS192" s="181"/>
      <c r="AYT192" s="181"/>
      <c r="AYU192" s="181"/>
      <c r="AYV192" s="181"/>
      <c r="AYW192" s="181"/>
      <c r="AYX192" s="181"/>
      <c r="AYY192" s="181"/>
      <c r="AYZ192" s="181"/>
      <c r="AZA192" s="181"/>
      <c r="AZB192" s="181"/>
      <c r="AZC192" s="181"/>
      <c r="AZD192" s="181"/>
      <c r="AZE192" s="181"/>
      <c r="AZF192" s="181"/>
      <c r="AZG192" s="181"/>
      <c r="AZH192" s="181"/>
      <c r="AZI192" s="181"/>
      <c r="AZJ192" s="181"/>
      <c r="AZK192" s="181"/>
      <c r="AZL192" s="181"/>
      <c r="AZM192" s="181"/>
      <c r="AZN192" s="181"/>
      <c r="AZO192" s="181"/>
      <c r="AZP192" s="181"/>
      <c r="AZQ192" s="181"/>
      <c r="AZR192" s="181"/>
      <c r="AZS192" s="181"/>
      <c r="AZT192" s="181"/>
      <c r="AZU192" s="181"/>
      <c r="AZV192" s="181"/>
      <c r="AZW192" s="181"/>
      <c r="AZX192" s="181"/>
      <c r="AZY192" s="181"/>
      <c r="AZZ192" s="181"/>
      <c r="BAA192" s="181"/>
      <c r="BAB192" s="181"/>
      <c r="BAC192" s="181"/>
      <c r="BAD192" s="181"/>
      <c r="BAE192" s="181"/>
      <c r="BAF192" s="181"/>
      <c r="BAG192" s="181"/>
      <c r="BAH192" s="181"/>
      <c r="BAI192" s="181"/>
      <c r="BAJ192" s="181"/>
      <c r="BAK192" s="181"/>
      <c r="BAL192" s="181"/>
      <c r="BAM192" s="181"/>
      <c r="BAN192" s="181"/>
      <c r="BAO192" s="181"/>
      <c r="BAP192" s="181"/>
      <c r="BAQ192" s="181"/>
      <c r="BAR192" s="181"/>
      <c r="BAS192" s="181"/>
      <c r="BAT192" s="181"/>
      <c r="BAU192" s="181"/>
      <c r="BAV192" s="181"/>
      <c r="BAW192" s="181"/>
      <c r="BAX192" s="181"/>
      <c r="BAY192" s="181"/>
      <c r="BAZ192" s="181"/>
      <c r="BBA192" s="181"/>
      <c r="BBB192" s="181"/>
      <c r="BBC192" s="181"/>
      <c r="BBD192" s="181"/>
      <c r="BBE192" s="181"/>
      <c r="BBF192" s="181"/>
      <c r="BBG192" s="181"/>
      <c r="BBH192" s="181"/>
      <c r="BBI192" s="181"/>
      <c r="BBJ192" s="181"/>
      <c r="BBK192" s="181"/>
      <c r="BBL192" s="181"/>
      <c r="BBM192" s="181"/>
      <c r="BBN192" s="181"/>
      <c r="BBO192" s="181"/>
      <c r="BBP192" s="181"/>
      <c r="BBQ192" s="181"/>
      <c r="BBR192" s="181"/>
      <c r="BBS192" s="181"/>
      <c r="BBT192" s="181"/>
      <c r="BFE192" s="3398"/>
    </row>
    <row r="193" spans="34:51 1336:1513" x14ac:dyDescent="0.2">
      <c r="AU193" s="316" t="s">
        <v>90</v>
      </c>
      <c r="AV193" s="316"/>
      <c r="AW193" s="181"/>
      <c r="AX193" s="181"/>
      <c r="AY193" s="181"/>
      <c r="AYJ193" s="181"/>
      <c r="AYK193" s="181"/>
      <c r="AYL193" s="181"/>
      <c r="AYM193" s="181"/>
      <c r="AYN193" s="181"/>
      <c r="AYO193" s="181"/>
      <c r="AYP193" s="181"/>
      <c r="AYQ193" s="181"/>
      <c r="AYR193" s="181"/>
      <c r="AYS193" s="181"/>
      <c r="AYT193" s="181"/>
      <c r="AYU193" s="181"/>
      <c r="AYV193" s="181"/>
      <c r="AYW193" s="181"/>
      <c r="AYX193" s="181"/>
      <c r="AYY193" s="181"/>
      <c r="AYZ193" s="181"/>
      <c r="AZA193" s="181"/>
      <c r="AZB193" s="181"/>
      <c r="AZC193" s="181"/>
      <c r="AZD193" s="181"/>
      <c r="AZE193" s="181"/>
      <c r="AZF193" s="181"/>
      <c r="AZG193" s="181"/>
      <c r="AZH193" s="181"/>
      <c r="AZI193" s="181"/>
      <c r="AZJ193" s="181"/>
      <c r="AZK193" s="181"/>
      <c r="AZL193" s="181"/>
      <c r="AZM193" s="181"/>
      <c r="AZN193" s="181"/>
      <c r="AZO193" s="181"/>
      <c r="AZP193" s="181"/>
      <c r="AZQ193" s="181"/>
      <c r="AZR193" s="181"/>
      <c r="AZS193" s="181"/>
      <c r="AZT193" s="181"/>
      <c r="AZU193" s="181"/>
      <c r="AZV193" s="181"/>
      <c r="AZW193" s="181"/>
      <c r="AZX193" s="181"/>
      <c r="AZY193" s="181"/>
      <c r="AZZ193" s="181"/>
      <c r="BAA193" s="181"/>
      <c r="BAB193" s="181"/>
      <c r="BAC193" s="181"/>
      <c r="BAD193" s="181"/>
      <c r="BAE193" s="181"/>
      <c r="BAF193" s="181"/>
      <c r="BAG193" s="181"/>
      <c r="BAH193" s="181"/>
      <c r="BAI193" s="181"/>
      <c r="BAJ193" s="181"/>
      <c r="BAK193" s="181"/>
      <c r="BAL193" s="181"/>
      <c r="BAM193" s="181"/>
      <c r="BAN193" s="181"/>
      <c r="BAO193" s="181"/>
      <c r="BAP193" s="181"/>
      <c r="BAQ193" s="181"/>
      <c r="BAR193" s="181"/>
      <c r="BAS193" s="181"/>
      <c r="BAT193" s="181"/>
      <c r="BAU193" s="181"/>
      <c r="BAV193" s="181"/>
      <c r="BAW193" s="181"/>
      <c r="BAX193" s="181"/>
      <c r="BAY193" s="181"/>
      <c r="BAZ193" s="181"/>
      <c r="BBA193" s="181"/>
      <c r="BBB193" s="181"/>
      <c r="BBC193" s="181"/>
      <c r="BBD193" s="181"/>
      <c r="BBE193" s="181"/>
      <c r="BBF193" s="181"/>
      <c r="BBG193" s="181"/>
      <c r="BBH193" s="181"/>
      <c r="BBI193" s="181"/>
      <c r="BBJ193" s="181"/>
      <c r="BBK193" s="181"/>
      <c r="BBL193" s="181"/>
      <c r="BBM193" s="181"/>
      <c r="BBN193" s="181"/>
      <c r="BBO193" s="181"/>
      <c r="BBP193" s="181"/>
      <c r="BBQ193" s="181"/>
      <c r="BBR193" s="181"/>
      <c r="BBS193" s="181"/>
      <c r="BBT193" s="181"/>
      <c r="BFE193" s="3398"/>
    </row>
    <row r="194" spans="34:51 1336:1513" x14ac:dyDescent="0.2">
      <c r="AU194" s="316" t="s">
        <v>91</v>
      </c>
      <c r="AV194" s="316"/>
      <c r="AW194" s="181"/>
      <c r="AX194" s="181"/>
      <c r="AY194" s="181"/>
      <c r="AYJ194" s="181"/>
      <c r="AYK194" s="181"/>
      <c r="AYL194" s="181"/>
      <c r="AYM194" s="181"/>
      <c r="AYN194" s="181"/>
      <c r="AYO194" s="181"/>
      <c r="AYP194" s="181"/>
      <c r="AYQ194" s="181"/>
      <c r="AYR194" s="181"/>
      <c r="AYS194" s="181"/>
      <c r="AYT194" s="181"/>
      <c r="AYU194" s="181"/>
      <c r="AYV194" s="181"/>
      <c r="AYW194" s="181"/>
      <c r="AYX194" s="181"/>
      <c r="AYY194" s="181"/>
      <c r="AYZ194" s="181"/>
      <c r="AZA194" s="181"/>
      <c r="AZB194" s="181"/>
      <c r="AZC194" s="181"/>
      <c r="AZD194" s="181"/>
      <c r="AZE194" s="181"/>
      <c r="AZF194" s="181"/>
      <c r="AZG194" s="181"/>
      <c r="AZH194" s="181"/>
      <c r="AZI194" s="181"/>
      <c r="AZJ194" s="181"/>
      <c r="AZK194" s="181"/>
      <c r="AZL194" s="181"/>
      <c r="AZM194" s="181"/>
      <c r="AZN194" s="181"/>
      <c r="AZO194" s="181"/>
      <c r="AZP194" s="181"/>
      <c r="AZQ194" s="181"/>
      <c r="AZR194" s="181"/>
      <c r="AZS194" s="181"/>
      <c r="AZT194" s="181"/>
      <c r="AZU194" s="181"/>
      <c r="AZV194" s="181"/>
      <c r="AZW194" s="181"/>
      <c r="AZX194" s="181"/>
      <c r="AZY194" s="181"/>
      <c r="AZZ194" s="181"/>
      <c r="BAA194" s="181"/>
      <c r="BAB194" s="181"/>
      <c r="BAC194" s="181"/>
      <c r="BAD194" s="181"/>
      <c r="BAE194" s="181"/>
      <c r="BAF194" s="181"/>
      <c r="BAG194" s="181"/>
      <c r="BAH194" s="181"/>
      <c r="BAI194" s="181"/>
      <c r="BAJ194" s="181"/>
      <c r="BAK194" s="181"/>
      <c r="BAL194" s="181"/>
      <c r="BAM194" s="181"/>
      <c r="BAN194" s="181"/>
      <c r="BAO194" s="181"/>
      <c r="BAP194" s="181"/>
      <c r="BAQ194" s="181"/>
      <c r="BAR194" s="181"/>
      <c r="BAS194" s="181"/>
      <c r="BAT194" s="181"/>
      <c r="BAU194" s="181"/>
      <c r="BAV194" s="181"/>
      <c r="BAW194" s="181"/>
      <c r="BAX194" s="181"/>
      <c r="BAY194" s="181"/>
      <c r="BAZ194" s="181"/>
      <c r="BBA194" s="181"/>
      <c r="BBB194" s="181"/>
      <c r="BBC194" s="181"/>
      <c r="BBD194" s="181"/>
      <c r="BBE194" s="181"/>
      <c r="BBF194" s="181"/>
      <c r="BBG194" s="181"/>
      <c r="BBH194" s="181"/>
      <c r="BBI194" s="181"/>
      <c r="BBJ194" s="181"/>
      <c r="BBK194" s="181"/>
      <c r="BBL194" s="181"/>
      <c r="BBM194" s="181"/>
      <c r="BBN194" s="181"/>
      <c r="BBO194" s="181"/>
      <c r="BBP194" s="181"/>
      <c r="BBQ194" s="181"/>
      <c r="BBR194" s="181"/>
      <c r="BBS194" s="181"/>
      <c r="BBT194" s="181"/>
      <c r="BFE194" s="3398"/>
    </row>
    <row r="195" spans="34:51 1336:1513" x14ac:dyDescent="0.2">
      <c r="AU195" s="316" t="s">
        <v>92</v>
      </c>
      <c r="AV195" s="316"/>
      <c r="AW195" s="181"/>
      <c r="AX195" s="181"/>
      <c r="AY195" s="181"/>
      <c r="AYJ195" s="181"/>
      <c r="AYK195" s="181"/>
      <c r="AYL195" s="181"/>
      <c r="AYM195" s="181"/>
      <c r="AYN195" s="181"/>
      <c r="AYO195" s="181"/>
      <c r="AYP195" s="181"/>
      <c r="AYQ195" s="181"/>
      <c r="AYR195" s="181"/>
      <c r="AYS195" s="181"/>
      <c r="AYT195" s="181"/>
      <c r="AYU195" s="181"/>
      <c r="AYV195" s="181"/>
      <c r="AYW195" s="181"/>
      <c r="AYX195" s="181"/>
      <c r="AYY195" s="181"/>
      <c r="AYZ195" s="181"/>
      <c r="AZA195" s="181"/>
      <c r="AZB195" s="181"/>
      <c r="AZC195" s="181"/>
      <c r="AZD195" s="181"/>
      <c r="AZE195" s="181"/>
      <c r="AZF195" s="181"/>
      <c r="AZG195" s="181"/>
      <c r="AZH195" s="181"/>
      <c r="AZI195" s="181"/>
      <c r="AZJ195" s="181"/>
      <c r="AZK195" s="181"/>
      <c r="AZL195" s="181"/>
      <c r="AZM195" s="181"/>
      <c r="AZN195" s="181"/>
      <c r="AZO195" s="181"/>
      <c r="AZP195" s="181"/>
      <c r="AZQ195" s="181"/>
      <c r="AZR195" s="181"/>
      <c r="AZS195" s="181"/>
      <c r="AZT195" s="181"/>
      <c r="AZU195" s="181"/>
      <c r="AZV195" s="181"/>
      <c r="AZW195" s="181"/>
      <c r="AZX195" s="181"/>
      <c r="AZY195" s="181"/>
      <c r="AZZ195" s="181"/>
      <c r="BAA195" s="181"/>
      <c r="BAB195" s="181"/>
      <c r="BAC195" s="181"/>
      <c r="BAD195" s="181"/>
      <c r="BAE195" s="181"/>
      <c r="BAF195" s="181"/>
      <c r="BAG195" s="181"/>
      <c r="BAH195" s="181"/>
      <c r="BAI195" s="181"/>
      <c r="BAJ195" s="181"/>
      <c r="BAK195" s="181"/>
      <c r="BAL195" s="181"/>
      <c r="BAM195" s="181"/>
      <c r="BAN195" s="181"/>
      <c r="BAO195" s="181"/>
      <c r="BAP195" s="181"/>
      <c r="BAQ195" s="181"/>
      <c r="BAR195" s="181"/>
      <c r="BAS195" s="181"/>
      <c r="BAT195" s="181"/>
      <c r="BAU195" s="181"/>
      <c r="BAV195" s="181"/>
      <c r="BAW195" s="181"/>
      <c r="BAX195" s="181"/>
      <c r="BAY195" s="181"/>
      <c r="BAZ195" s="181"/>
      <c r="BBA195" s="181"/>
      <c r="BBB195" s="181"/>
      <c r="BBC195" s="181"/>
      <c r="BBD195" s="181"/>
      <c r="BBE195" s="181"/>
      <c r="BBF195" s="181"/>
      <c r="BBG195" s="181"/>
      <c r="BBH195" s="181"/>
      <c r="BBI195" s="181"/>
      <c r="BBJ195" s="181"/>
      <c r="BBK195" s="181"/>
      <c r="BBL195" s="181"/>
      <c r="BBM195" s="181"/>
      <c r="BBN195" s="181"/>
      <c r="BBO195" s="181"/>
      <c r="BBP195" s="181"/>
      <c r="BBQ195" s="181"/>
      <c r="BBR195" s="181"/>
      <c r="BBS195" s="181"/>
      <c r="BBT195" s="181"/>
      <c r="BFE195" s="3398"/>
    </row>
    <row r="196" spans="34:51 1336:1513" x14ac:dyDescent="0.2">
      <c r="AU196" s="316" t="s">
        <v>93</v>
      </c>
      <c r="AV196" s="316"/>
      <c r="AW196" s="181"/>
      <c r="AX196" s="181"/>
      <c r="AY196" s="181"/>
      <c r="AYJ196" s="181"/>
      <c r="AYK196" s="181"/>
      <c r="AYL196" s="181"/>
      <c r="AYM196" s="181"/>
      <c r="AYN196" s="181"/>
      <c r="AYO196" s="181"/>
      <c r="AYP196" s="181"/>
      <c r="AYQ196" s="181"/>
      <c r="AYR196" s="181"/>
      <c r="AYS196" s="181"/>
      <c r="AYT196" s="181"/>
      <c r="AYU196" s="181"/>
      <c r="AYV196" s="181"/>
      <c r="AYW196" s="181"/>
      <c r="AYX196" s="181"/>
      <c r="AYY196" s="181"/>
      <c r="AYZ196" s="181"/>
      <c r="AZA196" s="181"/>
      <c r="AZB196" s="181"/>
      <c r="AZC196" s="181"/>
      <c r="AZD196" s="181"/>
      <c r="AZE196" s="181"/>
      <c r="AZF196" s="181"/>
      <c r="AZG196" s="181"/>
      <c r="AZH196" s="181"/>
      <c r="AZI196" s="181"/>
      <c r="AZJ196" s="181"/>
      <c r="AZK196" s="181"/>
      <c r="AZL196" s="181"/>
      <c r="AZM196" s="181"/>
      <c r="AZN196" s="181"/>
      <c r="AZO196" s="181"/>
      <c r="AZP196" s="181"/>
      <c r="AZQ196" s="181"/>
      <c r="AZR196" s="181"/>
      <c r="AZS196" s="181"/>
      <c r="AZT196" s="181"/>
      <c r="AZU196" s="181"/>
      <c r="AZV196" s="181"/>
      <c r="AZW196" s="181"/>
      <c r="AZX196" s="181"/>
      <c r="AZY196" s="181"/>
      <c r="AZZ196" s="181"/>
      <c r="BAA196" s="181"/>
      <c r="BAB196" s="181"/>
      <c r="BAC196" s="181"/>
      <c r="BAD196" s="181"/>
      <c r="BAE196" s="181"/>
      <c r="BAF196" s="181"/>
      <c r="BAG196" s="181"/>
      <c r="BAH196" s="181"/>
      <c r="BAI196" s="181"/>
      <c r="BAJ196" s="181"/>
      <c r="BAK196" s="181"/>
      <c r="BAL196" s="181"/>
      <c r="BAM196" s="181"/>
      <c r="BAN196" s="181"/>
      <c r="BAO196" s="181"/>
      <c r="BAP196" s="181"/>
      <c r="BAQ196" s="181"/>
      <c r="BAR196" s="181"/>
      <c r="BAS196" s="181"/>
      <c r="BAT196" s="181"/>
      <c r="BAU196" s="181"/>
      <c r="BAV196" s="181"/>
      <c r="BAW196" s="181"/>
      <c r="BAX196" s="181"/>
      <c r="BAY196" s="181"/>
      <c r="BAZ196" s="181"/>
      <c r="BBA196" s="181"/>
      <c r="BBB196" s="181"/>
      <c r="BBC196" s="181"/>
      <c r="BBD196" s="181"/>
      <c r="BBE196" s="181"/>
      <c r="BBF196" s="181"/>
      <c r="BBG196" s="181"/>
      <c r="BBH196" s="181"/>
      <c r="BBI196" s="181"/>
      <c r="BBJ196" s="181"/>
      <c r="BBK196" s="181"/>
      <c r="BBL196" s="181"/>
      <c r="BBM196" s="181"/>
      <c r="BBN196" s="181"/>
      <c r="BBO196" s="181"/>
      <c r="BBP196" s="181"/>
      <c r="BBQ196" s="181"/>
      <c r="BBR196" s="181"/>
      <c r="BBS196" s="181"/>
      <c r="BBT196" s="181"/>
      <c r="BFE196" s="3398"/>
    </row>
    <row r="197" spans="34:51 1336:1513" x14ac:dyDescent="0.2">
      <c r="AU197" s="185" t="s">
        <v>94</v>
      </c>
      <c r="AV197" s="316"/>
      <c r="AW197" s="181"/>
      <c r="AX197" s="181"/>
      <c r="AY197" s="181"/>
      <c r="AYJ197" s="181"/>
      <c r="AYK197" s="181"/>
      <c r="AYL197" s="181"/>
      <c r="AYM197" s="181"/>
      <c r="AYN197" s="181"/>
      <c r="AYO197" s="181"/>
      <c r="AYP197" s="181"/>
      <c r="AYQ197" s="181"/>
      <c r="AYR197" s="181"/>
      <c r="AYS197" s="181"/>
      <c r="AYT197" s="181"/>
      <c r="AYU197" s="181"/>
      <c r="AYV197" s="181"/>
      <c r="AYW197" s="181"/>
      <c r="AYX197" s="181"/>
      <c r="AYY197" s="181"/>
      <c r="AYZ197" s="181"/>
      <c r="AZA197" s="181"/>
      <c r="AZB197" s="181"/>
      <c r="AZC197" s="181"/>
      <c r="AZD197" s="181"/>
      <c r="AZE197" s="181"/>
      <c r="AZF197" s="181"/>
      <c r="AZG197" s="181"/>
      <c r="AZH197" s="181"/>
      <c r="AZI197" s="181"/>
      <c r="AZJ197" s="181"/>
      <c r="AZK197" s="181"/>
      <c r="AZL197" s="181"/>
      <c r="AZM197" s="181"/>
      <c r="AZN197" s="181"/>
      <c r="AZO197" s="181"/>
      <c r="AZP197" s="181"/>
      <c r="AZQ197" s="181"/>
      <c r="AZR197" s="181"/>
      <c r="AZS197" s="181"/>
      <c r="AZT197" s="181"/>
      <c r="AZU197" s="181"/>
      <c r="AZV197" s="181"/>
      <c r="AZW197" s="181"/>
      <c r="AZX197" s="181"/>
      <c r="AZY197" s="181"/>
      <c r="AZZ197" s="181"/>
      <c r="BAA197" s="181"/>
      <c r="BAB197" s="181"/>
      <c r="BAC197" s="181"/>
      <c r="BAD197" s="181"/>
      <c r="BAE197" s="181"/>
      <c r="BAF197" s="181"/>
      <c r="BAG197" s="181"/>
      <c r="BAH197" s="181"/>
      <c r="BAI197" s="181"/>
      <c r="BAJ197" s="181"/>
      <c r="BAK197" s="181"/>
      <c r="BAL197" s="181"/>
      <c r="BAM197" s="181"/>
      <c r="BAN197" s="181"/>
      <c r="BAO197" s="181"/>
      <c r="BAP197" s="181"/>
      <c r="BAQ197" s="181"/>
      <c r="BAR197" s="181"/>
      <c r="BAS197" s="181"/>
      <c r="BAT197" s="181"/>
      <c r="BAU197" s="181"/>
      <c r="BAV197" s="181"/>
      <c r="BAW197" s="181"/>
      <c r="BAX197" s="181"/>
      <c r="BAY197" s="181"/>
      <c r="BAZ197" s="181"/>
      <c r="BBA197" s="181"/>
      <c r="BBB197" s="181"/>
      <c r="BBC197" s="181"/>
      <c r="BBD197" s="181"/>
      <c r="BBE197" s="181"/>
      <c r="BBF197" s="181"/>
      <c r="BBG197" s="181"/>
      <c r="BBH197" s="181"/>
      <c r="BBI197" s="181"/>
      <c r="BBJ197" s="181"/>
      <c r="BBK197" s="181"/>
      <c r="BBL197" s="181"/>
      <c r="BBM197" s="181"/>
      <c r="BBN197" s="181"/>
      <c r="BBO197" s="181"/>
      <c r="BBP197" s="181"/>
      <c r="BBQ197" s="181"/>
      <c r="BBR197" s="181"/>
      <c r="BBS197" s="181"/>
      <c r="BBT197" s="181"/>
      <c r="BFE197" s="3398"/>
    </row>
    <row r="198" spans="34:51 1336:1513" x14ac:dyDescent="0.2">
      <c r="AU198" s="185" t="s">
        <v>95</v>
      </c>
      <c r="AV198" s="316"/>
      <c r="AW198" s="181"/>
      <c r="AX198" s="181"/>
      <c r="AY198" s="181"/>
      <c r="AYJ198" s="181"/>
      <c r="AYK198" s="181"/>
      <c r="AYL198" s="181"/>
      <c r="AYM198" s="181"/>
      <c r="AYN198" s="181"/>
      <c r="AYO198" s="181"/>
      <c r="AYP198" s="181"/>
      <c r="AYQ198" s="181"/>
      <c r="AYR198" s="181"/>
      <c r="AYS198" s="181"/>
      <c r="AYT198" s="181"/>
      <c r="AYU198" s="181"/>
      <c r="AYV198" s="181"/>
      <c r="AYW198" s="181"/>
      <c r="AYX198" s="181"/>
      <c r="AYY198" s="181"/>
      <c r="AYZ198" s="181"/>
      <c r="AZA198" s="181"/>
      <c r="AZB198" s="181"/>
      <c r="AZC198" s="181"/>
      <c r="AZD198" s="181"/>
      <c r="AZE198" s="181"/>
      <c r="AZF198" s="181"/>
      <c r="AZG198" s="181"/>
      <c r="AZH198" s="181"/>
      <c r="AZI198" s="181"/>
      <c r="AZJ198" s="181"/>
      <c r="AZK198" s="181"/>
      <c r="AZL198" s="181"/>
      <c r="AZM198" s="181"/>
      <c r="AZN198" s="181"/>
      <c r="AZO198" s="181"/>
      <c r="AZP198" s="181"/>
      <c r="AZQ198" s="181"/>
      <c r="AZR198" s="181"/>
      <c r="AZS198" s="181"/>
      <c r="AZT198" s="181"/>
      <c r="AZU198" s="181"/>
      <c r="AZV198" s="181"/>
      <c r="AZW198" s="181"/>
      <c r="AZX198" s="181"/>
      <c r="AZY198" s="181"/>
      <c r="AZZ198" s="181"/>
      <c r="BAA198" s="181"/>
      <c r="BAB198" s="181"/>
      <c r="BAC198" s="181"/>
      <c r="BAD198" s="181"/>
      <c r="BAE198" s="181"/>
      <c r="BAF198" s="181"/>
      <c r="BAG198" s="181"/>
      <c r="BAH198" s="181"/>
      <c r="BAI198" s="181"/>
      <c r="BAJ198" s="181"/>
      <c r="BAK198" s="181"/>
      <c r="BAL198" s="181"/>
      <c r="BAM198" s="181"/>
      <c r="BAN198" s="181"/>
      <c r="BAO198" s="181"/>
      <c r="BAP198" s="181"/>
      <c r="BAQ198" s="181"/>
      <c r="BAR198" s="181"/>
      <c r="BAS198" s="181"/>
      <c r="BAT198" s="181"/>
      <c r="BAU198" s="181"/>
      <c r="BAV198" s="181"/>
      <c r="BAW198" s="181"/>
      <c r="BAX198" s="181"/>
      <c r="BAY198" s="181"/>
      <c r="BAZ198" s="181"/>
      <c r="BBA198" s="181"/>
      <c r="BBB198" s="181"/>
      <c r="BBC198" s="181"/>
      <c r="BBD198" s="181"/>
      <c r="BBE198" s="181"/>
      <c r="BBF198" s="181"/>
      <c r="BBG198" s="181"/>
      <c r="BBH198" s="181"/>
      <c r="BBI198" s="181"/>
      <c r="BBJ198" s="181"/>
      <c r="BBK198" s="181"/>
      <c r="BBL198" s="181"/>
      <c r="BBM198" s="181"/>
      <c r="BBN198" s="181"/>
      <c r="BBO198" s="181"/>
      <c r="BBP198" s="181"/>
      <c r="BBQ198" s="181"/>
      <c r="BBR198" s="181"/>
      <c r="BBS198" s="181"/>
      <c r="BBT198" s="181"/>
      <c r="BFE198" s="3398"/>
    </row>
    <row r="199" spans="34:51 1336:1513" x14ac:dyDescent="0.2">
      <c r="AU199" s="185" t="s">
        <v>96</v>
      </c>
      <c r="AV199" s="316"/>
      <c r="AW199" s="181"/>
      <c r="AX199" s="181"/>
      <c r="AY199" s="181"/>
      <c r="AYJ199" s="181"/>
      <c r="AYK199" s="181"/>
      <c r="AYL199" s="181"/>
      <c r="AYM199" s="181"/>
      <c r="AYN199" s="181"/>
      <c r="AYO199" s="181"/>
      <c r="AYP199" s="181"/>
      <c r="AYQ199" s="181"/>
      <c r="AYR199" s="181"/>
      <c r="AYS199" s="181"/>
      <c r="AYT199" s="181"/>
      <c r="AYU199" s="181"/>
      <c r="AYV199" s="181"/>
      <c r="AYW199" s="181"/>
      <c r="AYX199" s="181"/>
      <c r="AYY199" s="181"/>
      <c r="AYZ199" s="181"/>
      <c r="AZA199" s="181"/>
      <c r="AZB199" s="181"/>
      <c r="AZC199" s="181"/>
      <c r="AZD199" s="181"/>
      <c r="AZE199" s="181"/>
      <c r="AZF199" s="181"/>
      <c r="AZG199" s="181"/>
      <c r="AZH199" s="181"/>
      <c r="AZI199" s="181"/>
      <c r="AZJ199" s="181"/>
      <c r="AZK199" s="181"/>
      <c r="AZL199" s="181"/>
      <c r="AZM199" s="181"/>
      <c r="AZN199" s="181"/>
      <c r="AZO199" s="181"/>
      <c r="AZP199" s="181"/>
      <c r="AZQ199" s="181"/>
      <c r="AZR199" s="181"/>
      <c r="AZS199" s="181"/>
      <c r="AZT199" s="181"/>
      <c r="AZU199" s="181"/>
      <c r="AZV199" s="181"/>
      <c r="AZW199" s="181"/>
      <c r="AZX199" s="181"/>
      <c r="AZY199" s="181"/>
      <c r="AZZ199" s="181"/>
      <c r="BAA199" s="181"/>
      <c r="BAB199" s="181"/>
      <c r="BAC199" s="181"/>
      <c r="BAD199" s="181"/>
      <c r="BAE199" s="181"/>
      <c r="BAF199" s="181"/>
      <c r="BAG199" s="181"/>
      <c r="BAH199" s="181"/>
      <c r="BAI199" s="181"/>
      <c r="BAJ199" s="181"/>
      <c r="BAK199" s="181"/>
      <c r="BAL199" s="181"/>
      <c r="BAM199" s="181"/>
      <c r="BAN199" s="181"/>
      <c r="BAO199" s="181"/>
      <c r="BAP199" s="181"/>
      <c r="BAQ199" s="181"/>
      <c r="BAR199" s="181"/>
      <c r="BAS199" s="181"/>
      <c r="BAT199" s="181"/>
      <c r="BAU199" s="181"/>
      <c r="BAV199" s="181"/>
      <c r="BAW199" s="181"/>
      <c r="BAX199" s="181"/>
      <c r="BAY199" s="181"/>
      <c r="BAZ199" s="181"/>
      <c r="BBA199" s="181"/>
      <c r="BBB199" s="181"/>
      <c r="BBC199" s="181"/>
      <c r="BBD199" s="181"/>
      <c r="BBE199" s="181"/>
      <c r="BBF199" s="181"/>
      <c r="BBG199" s="181"/>
      <c r="BBH199" s="181"/>
      <c r="BBI199" s="181"/>
      <c r="BBJ199" s="181"/>
      <c r="BBK199" s="181"/>
      <c r="BBL199" s="181"/>
      <c r="BBM199" s="181"/>
      <c r="BBN199" s="181"/>
      <c r="BBO199" s="181"/>
      <c r="BBP199" s="181"/>
      <c r="BBQ199" s="181"/>
      <c r="BBR199" s="181"/>
      <c r="BBS199" s="181"/>
      <c r="BBT199" s="181"/>
      <c r="BFE199" s="3398"/>
    </row>
    <row r="200" spans="34:51 1336:1513" x14ac:dyDescent="0.2">
      <c r="AV200" s="2622"/>
      <c r="AW200" s="2622"/>
      <c r="AX200" s="2622"/>
      <c r="BFE200" s="3398"/>
    </row>
    <row r="201" spans="34:51 1336:1513" x14ac:dyDescent="0.2">
      <c r="AV201" s="2622"/>
      <c r="AW201" s="2622"/>
      <c r="AX201" s="2622"/>
      <c r="BFE201" s="3398"/>
    </row>
    <row r="202" spans="34:51 1336:1513" x14ac:dyDescent="0.2">
      <c r="AV202" s="2622"/>
      <c r="AW202" s="2622"/>
      <c r="AX202" s="2622"/>
      <c r="BFE202" s="3398"/>
    </row>
    <row r="203" spans="34:51 1336:1513" x14ac:dyDescent="0.2">
      <c r="AV203" s="2622"/>
      <c r="AW203" s="2622"/>
      <c r="AX203" s="2622"/>
      <c r="BFE203" s="3398"/>
    </row>
    <row r="204" spans="34:51 1336:1513" x14ac:dyDescent="0.2">
      <c r="BFE204" s="3398"/>
    </row>
    <row r="205" spans="34:51 1336:1513" x14ac:dyDescent="0.2">
      <c r="BFE205" s="3398"/>
    </row>
    <row r="206" spans="34:51 1336:1513" ht="30.75" x14ac:dyDescent="0.2">
      <c r="AH206" s="5580" t="s">
        <v>2534</v>
      </c>
      <c r="AI206" s="3401"/>
      <c r="AJ206" s="3401"/>
      <c r="AK206" s="2617"/>
      <c r="BFE206" s="3398"/>
    </row>
    <row r="207" spans="34:51 1336:1513" x14ac:dyDescent="0.2">
      <c r="AH207" s="2622"/>
      <c r="AK207" s="2617"/>
      <c r="BFE207" s="3398"/>
    </row>
    <row r="208" spans="34:51 1336:1513" x14ac:dyDescent="0.2">
      <c r="AH208" s="2622"/>
      <c r="AK208" s="2617"/>
      <c r="BFE208" s="3398"/>
    </row>
    <row r="209" spans="34:38 1513:1513" ht="57" x14ac:dyDescent="0.2">
      <c r="AH209" s="3866" t="s">
        <v>2533</v>
      </c>
      <c r="AK209" s="2617"/>
      <c r="BFE209" s="3398"/>
    </row>
    <row r="210" spans="34:38 1513:1513" x14ac:dyDescent="0.2">
      <c r="AH210" s="2622"/>
      <c r="AK210" s="2617"/>
      <c r="BFE210" s="3398"/>
    </row>
    <row r="211" spans="34:38 1513:1513" x14ac:dyDescent="0.2">
      <c r="AH211" s="2622"/>
      <c r="AK211" s="2617"/>
      <c r="BFE211" s="3398"/>
    </row>
    <row r="212" spans="34:38 1513:1513" x14ac:dyDescent="0.2">
      <c r="AH212" s="185" t="s">
        <v>48</v>
      </c>
      <c r="AI212" s="3320" t="s">
        <v>957</v>
      </c>
      <c r="AJ212" s="2796" t="s">
        <v>838</v>
      </c>
      <c r="AK212" s="2969" t="s">
        <v>406</v>
      </c>
      <c r="AL212" s="185"/>
      <c r="BFE212" s="3398"/>
    </row>
    <row r="213" spans="34:38 1513:1513" x14ac:dyDescent="0.2">
      <c r="AH213" s="185" t="s">
        <v>1187</v>
      </c>
      <c r="AI213" s="206" t="s">
        <v>968</v>
      </c>
      <c r="AJ213" s="185"/>
      <c r="AK213" s="185" t="str">
        <f>$ABK$36</f>
        <v>Minutter per salve</v>
      </c>
      <c r="AL213" s="185"/>
      <c r="BFE213" s="3398"/>
    </row>
    <row r="214" spans="34:38 1513:1513" ht="28.5" x14ac:dyDescent="0.2">
      <c r="AH214" s="185" t="s">
        <v>1264</v>
      </c>
      <c r="AI214" s="185" t="s">
        <v>1659</v>
      </c>
      <c r="AJ214" s="185"/>
      <c r="AK214" s="2692" t="str">
        <f>$ABU$36</f>
        <v>Minutter per salve</v>
      </c>
      <c r="AL214" s="242"/>
      <c r="BFE214" s="3398"/>
    </row>
    <row r="215" spans="34:38 1513:1513" x14ac:dyDescent="0.2">
      <c r="AH215" s="185" t="s">
        <v>105</v>
      </c>
      <c r="AI215" s="206" t="s">
        <v>967</v>
      </c>
      <c r="AJ215" s="185"/>
      <c r="AK215" s="185" t="str">
        <f>$ACE$36</f>
        <v>Bolting senteravstand</v>
      </c>
      <c r="AL215" s="185"/>
      <c r="BFE215" s="3398"/>
    </row>
    <row r="216" spans="34:38 1513:1513" x14ac:dyDescent="0.2">
      <c r="AH216" s="185"/>
      <c r="AI216" s="206" t="s">
        <v>966</v>
      </c>
      <c r="AJ216" s="185"/>
      <c r="AK216" s="185"/>
      <c r="AL216" s="185"/>
      <c r="BFE216" s="3398"/>
    </row>
    <row r="217" spans="34:38 1513:1513" x14ac:dyDescent="0.2">
      <c r="AH217" s="185"/>
      <c r="AI217" s="206" t="s">
        <v>969</v>
      </c>
      <c r="AJ217" s="185"/>
      <c r="AK217" s="185" t="str">
        <f>AES36</f>
        <v>Bergbånd overlappingsfaktor</v>
      </c>
      <c r="AL217" s="185"/>
      <c r="BFE217" s="3398"/>
    </row>
    <row r="218" spans="34:38 1513:1513" x14ac:dyDescent="0.2">
      <c r="AH218" s="185"/>
      <c r="AI218" s="206" t="s">
        <v>970</v>
      </c>
      <c r="AJ218" s="185"/>
      <c r="AK218" s="185" t="str">
        <f>$AGO$36</f>
        <v>Nett (kvadratmeter) per meter av tunnel</v>
      </c>
      <c r="AL218" s="185"/>
      <c r="BFE218" s="3398"/>
    </row>
    <row r="219" spans="34:38 1513:1513" x14ac:dyDescent="0.2">
      <c r="AH219" s="185" t="s">
        <v>1392</v>
      </c>
      <c r="AI219" s="206" t="s">
        <v>971</v>
      </c>
      <c r="AJ219" s="185"/>
      <c r="AK219" s="185" t="str">
        <f>$AHP$36</f>
        <v>Tykkelse lag</v>
      </c>
      <c r="AL219" s="185"/>
      <c r="BFE219" s="3398"/>
    </row>
    <row r="220" spans="34:38 1513:1513" x14ac:dyDescent="0.2">
      <c r="AH220" s="185" t="s">
        <v>1417</v>
      </c>
      <c r="AI220" s="206" t="s">
        <v>1073</v>
      </c>
      <c r="AJ220" s="185"/>
      <c r="AK220" s="206" t="str">
        <f>$AIK$36</f>
        <v>Sprøytebetong ruhetsfaktor</v>
      </c>
      <c r="AL220" s="185"/>
      <c r="BFE220" s="3398"/>
    </row>
    <row r="221" spans="34:38 1513:1513" x14ac:dyDescent="0.2">
      <c r="AH221" s="185" t="s">
        <v>1418</v>
      </c>
      <c r="AI221" s="206" t="s">
        <v>972</v>
      </c>
      <c r="AJ221" s="185"/>
      <c r="AK221" s="185" t="str">
        <f>$AIU$36</f>
        <v>Buedimensjon</v>
      </c>
      <c r="AL221" s="185"/>
      <c r="BFE221" s="3398"/>
    </row>
    <row r="222" spans="34:38 1513:1513" x14ac:dyDescent="0.2">
      <c r="AH222" s="185" t="s">
        <v>36</v>
      </c>
      <c r="AI222" s="206" t="s">
        <v>1142</v>
      </c>
      <c r="AJ222" s="185"/>
      <c r="AK222" s="185">
        <v>1</v>
      </c>
      <c r="AL222" s="2692"/>
      <c r="BFE222" s="3398"/>
    </row>
    <row r="223" spans="34:38 1513:1513" x14ac:dyDescent="0.2">
      <c r="AH223" s="185"/>
      <c r="AI223" s="206" t="s">
        <v>973</v>
      </c>
      <c r="AJ223" s="185"/>
      <c r="AK223" s="185">
        <v>1</v>
      </c>
      <c r="AL223" s="185"/>
      <c r="BFE223" s="3398"/>
    </row>
    <row r="224" spans="34:38 1513:1513" x14ac:dyDescent="0.2">
      <c r="AH224" s="185"/>
      <c r="AI224" s="206" t="s">
        <v>974</v>
      </c>
      <c r="AJ224" s="185"/>
      <c r="AK224" s="185">
        <v>1</v>
      </c>
      <c r="AL224" s="185"/>
      <c r="BFE224" s="3398"/>
    </row>
    <row r="225" spans="1513:1513" x14ac:dyDescent="0.2">
      <c r="BFE225" s="3398"/>
    </row>
    <row r="226" spans="1513:1513" x14ac:dyDescent="0.2">
      <c r="BFE226" s="3398"/>
    </row>
    <row r="227" spans="1513:1513" x14ac:dyDescent="0.2">
      <c r="BFE227" s="3398"/>
    </row>
    <row r="228" spans="1513:1513" x14ac:dyDescent="0.2">
      <c r="BFE228" s="3398"/>
    </row>
    <row r="229" spans="1513:1513" x14ac:dyDescent="0.2">
      <c r="BFE229" s="3398"/>
    </row>
    <row r="230" spans="1513:1513" x14ac:dyDescent="0.2">
      <c r="BFE230" s="3398"/>
    </row>
    <row r="231" spans="1513:1513" x14ac:dyDescent="0.2">
      <c r="BFE231" s="3398"/>
    </row>
    <row r="232" spans="1513:1513" x14ac:dyDescent="0.2">
      <c r="BFE232" s="3398"/>
    </row>
    <row r="233" spans="1513:1513" x14ac:dyDescent="0.2">
      <c r="BFE233" s="3398"/>
    </row>
    <row r="234" spans="1513:1513" x14ac:dyDescent="0.2">
      <c r="BFE234" s="3398"/>
    </row>
    <row r="235" spans="1513:1513" x14ac:dyDescent="0.2">
      <c r="BFE235" s="3398"/>
    </row>
    <row r="236" spans="1513:1513" x14ac:dyDescent="0.2">
      <c r="BFE236" s="3398"/>
    </row>
    <row r="237" spans="1513:1513" x14ac:dyDescent="0.2">
      <c r="BFE237" s="3398"/>
    </row>
    <row r="238" spans="1513:1513" x14ac:dyDescent="0.2">
      <c r="BFE238" s="3398"/>
    </row>
    <row r="239" spans="1513:1513" x14ac:dyDescent="0.2">
      <c r="BFE239" s="3398"/>
    </row>
    <row r="240" spans="1513:1513" x14ac:dyDescent="0.2">
      <c r="BFE240" s="3398"/>
    </row>
    <row r="241" spans="1513:1513" x14ac:dyDescent="0.2">
      <c r="BFE241" s="3398"/>
    </row>
    <row r="242" spans="1513:1513" x14ac:dyDescent="0.2">
      <c r="BFE242" s="3398"/>
    </row>
    <row r="243" spans="1513:1513" x14ac:dyDescent="0.2">
      <c r="BFE243" s="3398"/>
    </row>
    <row r="244" spans="1513:1513" x14ac:dyDescent="0.2">
      <c r="BFE244" s="3398"/>
    </row>
    <row r="245" spans="1513:1513" x14ac:dyDescent="0.2">
      <c r="BFE245" s="3398"/>
    </row>
    <row r="246" spans="1513:1513" x14ac:dyDescent="0.2">
      <c r="BFE246" s="3398"/>
    </row>
    <row r="247" spans="1513:1513" x14ac:dyDescent="0.2">
      <c r="BFE247" s="3398"/>
    </row>
    <row r="248" spans="1513:1513" x14ac:dyDescent="0.2">
      <c r="BFE248" s="3398"/>
    </row>
    <row r="249" spans="1513:1513" x14ac:dyDescent="0.2">
      <c r="BFE249" s="3398"/>
    </row>
    <row r="250" spans="1513:1513" x14ac:dyDescent="0.2">
      <c r="BFE250" s="3398"/>
    </row>
    <row r="251" spans="1513:1513" x14ac:dyDescent="0.2">
      <c r="BFE251" s="3398"/>
    </row>
    <row r="252" spans="1513:1513" x14ac:dyDescent="0.2">
      <c r="BFE252" s="3398"/>
    </row>
    <row r="253" spans="1513:1513" x14ac:dyDescent="0.2">
      <c r="BFE253" s="3398"/>
    </row>
    <row r="254" spans="1513:1513" x14ac:dyDescent="0.2">
      <c r="BFE254" s="3398"/>
    </row>
    <row r="255" spans="1513:1513" x14ac:dyDescent="0.2">
      <c r="BFE255" s="3398"/>
    </row>
    <row r="256" spans="1513:1513" x14ac:dyDescent="0.2">
      <c r="BFE256" s="3398"/>
    </row>
    <row r="257" spans="1513:1513" x14ac:dyDescent="0.2">
      <c r="BFE257" s="3398"/>
    </row>
    <row r="258" spans="1513:1513" x14ac:dyDescent="0.2">
      <c r="BFE258" s="3398"/>
    </row>
    <row r="259" spans="1513:1513" x14ac:dyDescent="0.2">
      <c r="BFE259" s="3398"/>
    </row>
    <row r="260" spans="1513:1513" x14ac:dyDescent="0.2">
      <c r="BFE260" s="3398"/>
    </row>
    <row r="261" spans="1513:1513" x14ac:dyDescent="0.2">
      <c r="BFE261" s="3398"/>
    </row>
    <row r="262" spans="1513:1513" x14ac:dyDescent="0.2">
      <c r="BFE262" s="3398"/>
    </row>
    <row r="263" spans="1513:1513" x14ac:dyDescent="0.2">
      <c r="BFE263" s="3398"/>
    </row>
    <row r="264" spans="1513:1513" x14ac:dyDescent="0.2">
      <c r="BFE264" s="3398"/>
    </row>
    <row r="265" spans="1513:1513" x14ac:dyDescent="0.2">
      <c r="BFE265" s="3398"/>
    </row>
    <row r="266" spans="1513:1513" x14ac:dyDescent="0.2">
      <c r="BFE266" s="3398"/>
    </row>
    <row r="267" spans="1513:1513" x14ac:dyDescent="0.2">
      <c r="BFE267" s="3398"/>
    </row>
    <row r="268" spans="1513:1513" x14ac:dyDescent="0.2">
      <c r="BFE268" s="3398"/>
    </row>
    <row r="269" spans="1513:1513" x14ac:dyDescent="0.2">
      <c r="BFE269" s="3398"/>
    </row>
    <row r="270" spans="1513:1513" x14ac:dyDescent="0.2">
      <c r="BFE270" s="3398"/>
    </row>
    <row r="271" spans="1513:1513" x14ac:dyDescent="0.2">
      <c r="BFE271" s="3398"/>
    </row>
    <row r="272" spans="1513:1513" x14ac:dyDescent="0.2">
      <c r="BFE272" s="3398"/>
    </row>
    <row r="273" spans="1513:1513" x14ac:dyDescent="0.2">
      <c r="BFE273" s="3398"/>
    </row>
    <row r="274" spans="1513:1513" x14ac:dyDescent="0.2">
      <c r="BFE274" s="3398"/>
    </row>
    <row r="275" spans="1513:1513" x14ac:dyDescent="0.2">
      <c r="BFE275" s="3398"/>
    </row>
    <row r="276" spans="1513:1513" x14ac:dyDescent="0.2">
      <c r="BFE276" s="3398"/>
    </row>
    <row r="277" spans="1513:1513" x14ac:dyDescent="0.2">
      <c r="BFE277" s="3398"/>
    </row>
    <row r="278" spans="1513:1513" x14ac:dyDescent="0.2">
      <c r="BFE278" s="3398"/>
    </row>
    <row r="279" spans="1513:1513" x14ac:dyDescent="0.2">
      <c r="BFE279" s="3398"/>
    </row>
    <row r="280" spans="1513:1513" x14ac:dyDescent="0.2">
      <c r="BFE280" s="3398"/>
    </row>
    <row r="281" spans="1513:1513" x14ac:dyDescent="0.2">
      <c r="BFE281" s="3398"/>
    </row>
    <row r="282" spans="1513:1513" x14ac:dyDescent="0.2">
      <c r="BFE282" s="3398"/>
    </row>
    <row r="283" spans="1513:1513" x14ac:dyDescent="0.2">
      <c r="BFE283" s="3398"/>
    </row>
    <row r="284" spans="1513:1513" x14ac:dyDescent="0.2">
      <c r="BFE284" s="3398"/>
    </row>
    <row r="285" spans="1513:1513" x14ac:dyDescent="0.2">
      <c r="BFE285" s="3398"/>
    </row>
    <row r="286" spans="1513:1513" x14ac:dyDescent="0.2">
      <c r="BFE286" s="3398"/>
    </row>
    <row r="287" spans="1513:1513" x14ac:dyDescent="0.2">
      <c r="BFE287" s="3398"/>
    </row>
    <row r="288" spans="1513:1513" x14ac:dyDescent="0.2">
      <c r="BFE288" s="3398"/>
    </row>
    <row r="289" spans="1513:1513" x14ac:dyDescent="0.2">
      <c r="BFE289" s="3398"/>
    </row>
    <row r="290" spans="1513:1513" x14ac:dyDescent="0.2">
      <c r="BFE290" s="3398"/>
    </row>
    <row r="291" spans="1513:1513" x14ac:dyDescent="0.2">
      <c r="BFE291" s="3398"/>
    </row>
    <row r="292" spans="1513:1513" x14ac:dyDescent="0.2">
      <c r="BFE292" s="3398"/>
    </row>
    <row r="293" spans="1513:1513" x14ac:dyDescent="0.2">
      <c r="BFE293" s="3398"/>
    </row>
    <row r="294" spans="1513:1513" x14ac:dyDescent="0.2">
      <c r="BFE294" s="3398"/>
    </row>
    <row r="295" spans="1513:1513" x14ac:dyDescent="0.2">
      <c r="BFE295" s="3398"/>
    </row>
    <row r="296" spans="1513:1513" x14ac:dyDescent="0.2">
      <c r="BFE296" s="3398"/>
    </row>
    <row r="297" spans="1513:1513" x14ac:dyDescent="0.2">
      <c r="BFE297" s="3398"/>
    </row>
    <row r="298" spans="1513:1513" x14ac:dyDescent="0.2">
      <c r="BFE298" s="3398"/>
    </row>
    <row r="299" spans="1513:1513" x14ac:dyDescent="0.2">
      <c r="BFE299" s="3398"/>
    </row>
    <row r="300" spans="1513:1513" x14ac:dyDescent="0.2">
      <c r="BFE300" s="3398"/>
    </row>
    <row r="301" spans="1513:1513" x14ac:dyDescent="0.2">
      <c r="BFE301" s="3398"/>
    </row>
    <row r="302" spans="1513:1513" x14ac:dyDescent="0.2">
      <c r="BFE302" s="3398"/>
    </row>
    <row r="303" spans="1513:1513" x14ac:dyDescent="0.2">
      <c r="BFE303" s="3398"/>
    </row>
    <row r="304" spans="1513:1513" x14ac:dyDescent="0.2">
      <c r="BFE304" s="3398"/>
    </row>
    <row r="305" spans="1513:1513" x14ac:dyDescent="0.2">
      <c r="BFE305" s="3398"/>
    </row>
    <row r="306" spans="1513:1513" x14ac:dyDescent="0.2">
      <c r="BFE306" s="3398"/>
    </row>
    <row r="307" spans="1513:1513" x14ac:dyDescent="0.2">
      <c r="BFE307" s="3398"/>
    </row>
    <row r="308" spans="1513:1513" x14ac:dyDescent="0.2">
      <c r="BFE308" s="3398"/>
    </row>
    <row r="309" spans="1513:1513" x14ac:dyDescent="0.2">
      <c r="BFE309" s="3398"/>
    </row>
    <row r="310" spans="1513:1513" x14ac:dyDescent="0.2">
      <c r="BFE310" s="3398"/>
    </row>
    <row r="311" spans="1513:1513" x14ac:dyDescent="0.2">
      <c r="BFE311" s="3398"/>
    </row>
    <row r="312" spans="1513:1513" x14ac:dyDescent="0.2">
      <c r="BFE312" s="3398"/>
    </row>
    <row r="313" spans="1513:1513" x14ac:dyDescent="0.2">
      <c r="BFE313" s="3398"/>
    </row>
    <row r="314" spans="1513:1513" x14ac:dyDescent="0.2">
      <c r="BFE314" s="3398"/>
    </row>
    <row r="315" spans="1513:1513" x14ac:dyDescent="0.2">
      <c r="BFE315" s="3398"/>
    </row>
    <row r="316" spans="1513:1513" x14ac:dyDescent="0.2">
      <c r="BFE316" s="3398"/>
    </row>
    <row r="317" spans="1513:1513" x14ac:dyDescent="0.2">
      <c r="BFE317" s="3398"/>
    </row>
    <row r="318" spans="1513:1513" x14ac:dyDescent="0.2">
      <c r="BFE318" s="3398"/>
    </row>
    <row r="319" spans="1513:1513" x14ac:dyDescent="0.2">
      <c r="BFE319" s="3398"/>
    </row>
    <row r="320" spans="1513:1513" x14ac:dyDescent="0.2">
      <c r="BFE320" s="3398"/>
    </row>
    <row r="321" spans="1513:1513" x14ac:dyDescent="0.2">
      <c r="BFE321" s="3398"/>
    </row>
    <row r="322" spans="1513:1513" x14ac:dyDescent="0.2">
      <c r="BFE322" s="3398"/>
    </row>
    <row r="323" spans="1513:1513" x14ac:dyDescent="0.2">
      <c r="BFE323" s="3398"/>
    </row>
    <row r="324" spans="1513:1513" x14ac:dyDescent="0.2">
      <c r="BFE324" s="3398"/>
    </row>
    <row r="325" spans="1513:1513" x14ac:dyDescent="0.2">
      <c r="BFE325" s="3398"/>
    </row>
    <row r="326" spans="1513:1513" x14ac:dyDescent="0.2">
      <c r="BFE326" s="3398"/>
    </row>
    <row r="327" spans="1513:1513" x14ac:dyDescent="0.2">
      <c r="BFE327" s="3398"/>
    </row>
    <row r="328" spans="1513:1513" x14ac:dyDescent="0.2">
      <c r="BFE328" s="3398"/>
    </row>
    <row r="329" spans="1513:1513" x14ac:dyDescent="0.2">
      <c r="BFE329" s="3398"/>
    </row>
    <row r="330" spans="1513:1513" x14ac:dyDescent="0.2">
      <c r="BFE330" s="3398"/>
    </row>
    <row r="331" spans="1513:1513" x14ac:dyDescent="0.2">
      <c r="BFE331" s="3398"/>
    </row>
    <row r="332" spans="1513:1513" x14ac:dyDescent="0.2">
      <c r="BFE332" s="3398"/>
    </row>
    <row r="333" spans="1513:1513" x14ac:dyDescent="0.2">
      <c r="BFE333" s="3398"/>
    </row>
    <row r="334" spans="1513:1513" x14ac:dyDescent="0.2">
      <c r="BFE334" s="3398"/>
    </row>
    <row r="335" spans="1513:1513" x14ac:dyDescent="0.2">
      <c r="BFE335" s="3398"/>
    </row>
    <row r="336" spans="1513:1513" x14ac:dyDescent="0.2">
      <c r="BFE336" s="3398"/>
    </row>
    <row r="337" spans="1513:1513" x14ac:dyDescent="0.2">
      <c r="BFE337" s="3398"/>
    </row>
    <row r="338" spans="1513:1513" x14ac:dyDescent="0.2">
      <c r="BFE338" s="3398"/>
    </row>
    <row r="339" spans="1513:1513" x14ac:dyDescent="0.2">
      <c r="BFE339" s="3398"/>
    </row>
    <row r="340" spans="1513:1513" x14ac:dyDescent="0.2">
      <c r="BFE340" s="3398"/>
    </row>
    <row r="341" spans="1513:1513" x14ac:dyDescent="0.2">
      <c r="BFE341" s="3398"/>
    </row>
    <row r="342" spans="1513:1513" x14ac:dyDescent="0.2">
      <c r="BFE342" s="3398"/>
    </row>
    <row r="343" spans="1513:1513" x14ac:dyDescent="0.2">
      <c r="BFE343" s="3398"/>
    </row>
  </sheetData>
  <mergeCells count="64">
    <mergeCell ref="ASK67:ASQ67"/>
    <mergeCell ref="AH60:AI60"/>
    <mergeCell ref="AQF67:AQL67"/>
    <mergeCell ref="AQW67:ARC67"/>
    <mergeCell ref="ARF67:ARL67"/>
    <mergeCell ref="ART67:ARZ67"/>
    <mergeCell ref="ASB67:ASH67"/>
    <mergeCell ref="AIT63:AJQ63"/>
    <mergeCell ref="ART63:ASQ63"/>
    <mergeCell ref="AGO63:AGU63"/>
    <mergeCell ref="AGW63:AHC63"/>
    <mergeCell ref="AHF63:AHL63"/>
    <mergeCell ref="AST63:ASZ63"/>
    <mergeCell ref="ACF67:ACL67"/>
    <mergeCell ref="ACO67:ACU67"/>
    <mergeCell ref="ACX67:ADD67"/>
    <mergeCell ref="ADH67:ADN67"/>
    <mergeCell ref="ADR67:ADX67"/>
    <mergeCell ref="ADZ67:AEF67"/>
    <mergeCell ref="AFR67:AFX67"/>
    <mergeCell ref="AGB67:AGH67"/>
    <mergeCell ref="AKM67:AKS67"/>
    <mergeCell ref="AKV67:ALB67"/>
    <mergeCell ref="ALX67:AMD67"/>
    <mergeCell ref="AMG67:AMM67"/>
    <mergeCell ref="APW67:AQC67"/>
    <mergeCell ref="AFB63:AFH63"/>
    <mergeCell ref="AFJ63:AFP63"/>
    <mergeCell ref="ADH39:ADN39"/>
    <mergeCell ref="ADR39:ADX39"/>
    <mergeCell ref="ADZ39:AEF39"/>
    <mergeCell ref="AIT35:AJQ35"/>
    <mergeCell ref="APW39:AQC39"/>
    <mergeCell ref="AFJ35:AFP35"/>
    <mergeCell ref="AFR39:AFX39"/>
    <mergeCell ref="AGB39:AGH39"/>
    <mergeCell ref="AQF39:AQL39"/>
    <mergeCell ref="AQW39:ARC39"/>
    <mergeCell ref="ARF39:ARL39"/>
    <mergeCell ref="ALX39:AMD39"/>
    <mergeCell ref="AMG39:AMM39"/>
    <mergeCell ref="AYW38:AZC38"/>
    <mergeCell ref="ACF39:ACL39"/>
    <mergeCell ref="AST35:ASZ35"/>
    <mergeCell ref="AGO35:AGU35"/>
    <mergeCell ref="ART39:ARZ39"/>
    <mergeCell ref="ASB39:ASH39"/>
    <mergeCell ref="ASK39:ASQ39"/>
    <mergeCell ref="ART35:ASQ35"/>
    <mergeCell ref="AKM39:AKS39"/>
    <mergeCell ref="AYV39:AYX39"/>
    <mergeCell ref="AKV39:ALB39"/>
    <mergeCell ref="ACO39:ACU39"/>
    <mergeCell ref="ACX39:ADD39"/>
    <mergeCell ref="AHF35:AHL35"/>
    <mergeCell ref="AGW35:AHC35"/>
    <mergeCell ref="AFB35:AFH35"/>
    <mergeCell ref="AH37:AI37"/>
    <mergeCell ref="B6:H6"/>
    <mergeCell ref="B16:F16"/>
    <mergeCell ref="P18:R18"/>
    <mergeCell ref="U16:Z17"/>
    <mergeCell ref="P11:R11"/>
    <mergeCell ref="P13:R13"/>
  </mergeCells>
  <phoneticPr fontId="56" type="noConversion"/>
  <hyperlinks>
    <hyperlink ref="C21" location="_Calcs_Klasse!S29" display="_Calcs_Klasse!S29" xr:uid="{BEF50DE8-A92C-4041-AA4A-D2D5582DBF0F}"/>
    <hyperlink ref="C25" location="_Calcs_Klasse!JV31" display="_Calcs_Klasse!JV31" xr:uid="{4819E7EF-9438-4EA9-A9AF-50DE5F47F156}"/>
    <hyperlink ref="C27" location="_Calcs_Klasse!YF95" display="_Calcs_Klasse!YF95" xr:uid="{B04D08F6-2BA8-42EB-AA99-103A781C3071}"/>
    <hyperlink ref="C30" location="_Calcs_Klasse!AU94" display="_Calcs_Klasse!AU94" xr:uid="{EFA595F6-229A-47CC-8A19-0AA8291B5B0E}"/>
    <hyperlink ref="C23" location="_Calcs_Klasse!BE94" display="_Calcs_Klasse!BE94" xr:uid="{57F82C5D-3417-480B-A3A0-4EBC0838D492}"/>
  </hyperlinks>
  <pageMargins left="0.7" right="0.7" top="0.75" bottom="0.75" header="0.3" footer="0.3"/>
  <pageSetup scale="10" orientation="landscape"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85722-D732-49E1-8580-CE43804FD827}">
  <sheetPr codeName="Sheet7">
    <pageSetUpPr fitToPage="1"/>
  </sheetPr>
  <dimension ref="B1:AH119"/>
  <sheetViews>
    <sheetView workbookViewId="0">
      <selection activeCell="S32" sqref="S32"/>
    </sheetView>
  </sheetViews>
  <sheetFormatPr defaultColWidth="8.875" defaultRowHeight="14.25" x14ac:dyDescent="0.2"/>
  <cols>
    <col min="1" max="1" width="8.875" style="2337"/>
    <col min="2" max="2" width="11.25" style="2337" bestFit="1" customWidth="1"/>
    <col min="3" max="3" width="9" style="2337"/>
    <col min="4" max="4" width="8.875" style="2337"/>
    <col min="5" max="5" width="2.625" style="181" customWidth="1"/>
    <col min="6" max="6" width="32.5" style="2347" bestFit="1" customWidth="1"/>
    <col min="7" max="7" width="2.625" style="2337" customWidth="1"/>
    <col min="8" max="8" width="58.125" style="2338" customWidth="1"/>
    <col min="9" max="9" width="2.625" style="2338" customWidth="1"/>
    <col min="10" max="10" width="8.875" style="2337"/>
    <col min="11" max="14" width="2.625" style="2337" customWidth="1"/>
    <col min="15" max="15" width="14.125" style="2349" bestFit="1" customWidth="1"/>
    <col min="16" max="16" width="2.625" style="2337" customWidth="1"/>
    <col min="17" max="17" width="15.625" style="2337" customWidth="1"/>
    <col min="18" max="18" width="2.625" style="2337" customWidth="1"/>
    <col min="19" max="19" width="15.625" style="2343" customWidth="1"/>
    <col min="20" max="20" width="2.625" style="2337" customWidth="1"/>
    <col min="21" max="21" width="15.625" style="2337" customWidth="1"/>
    <col min="22" max="22" width="8.875" style="2337"/>
    <col min="23" max="23" width="8.875" style="2511"/>
    <col min="24" max="31" width="8.875" style="2337"/>
    <col min="32" max="32" width="10.125" style="2343" bestFit="1" customWidth="1"/>
    <col min="33" max="33" width="3" style="2337" customWidth="1"/>
    <col min="34" max="34" width="9" style="2337"/>
    <col min="35" max="35" width="5.75" style="2337" customWidth="1"/>
    <col min="36" max="39" width="8.875" style="2337"/>
    <col min="40" max="40" width="31.625" style="2337" customWidth="1"/>
    <col min="41" max="16384" width="8.875" style="2337"/>
  </cols>
  <sheetData>
    <row r="1" spans="2:34" x14ac:dyDescent="0.2">
      <c r="AF1" s="2337"/>
    </row>
    <row r="3" spans="2:34" x14ac:dyDescent="0.2">
      <c r="D3" s="5786" t="str">
        <f>Prosjektinfo!F39</f>
        <v>Beregnet av</v>
      </c>
      <c r="E3" s="2345"/>
      <c r="F3" s="3847" t="s">
        <v>1639</v>
      </c>
    </row>
    <row r="4" spans="2:34" ht="15" thickBot="1" x14ac:dyDescent="0.25">
      <c r="D4" s="5785"/>
      <c r="E4" s="5785"/>
      <c r="F4" s="5785"/>
    </row>
    <row r="5" spans="2:34" ht="15" thickBot="1" x14ac:dyDescent="0.25">
      <c r="D5" s="2343" t="s">
        <v>2639</v>
      </c>
      <c r="F5" s="5787" t="s">
        <v>151</v>
      </c>
    </row>
    <row r="7" spans="2:34" ht="30.75" x14ac:dyDescent="0.2">
      <c r="D7" s="4147" t="s">
        <v>1674</v>
      </c>
    </row>
    <row r="10" spans="2:34" ht="50.1" customHeight="1" x14ac:dyDescent="0.2">
      <c r="D10" s="7255" t="s">
        <v>1676</v>
      </c>
      <c r="E10" s="7255"/>
      <c r="F10" s="7255"/>
      <c r="G10" s="7255"/>
      <c r="H10" s="7255"/>
    </row>
    <row r="12" spans="2:34" s="2367" customFormat="1" ht="36" customHeight="1" thickBot="1" x14ac:dyDescent="0.3">
      <c r="D12" s="4148" t="s">
        <v>475</v>
      </c>
      <c r="E12" s="4148"/>
      <c r="F12" s="4149" t="s">
        <v>835</v>
      </c>
      <c r="G12" s="4148"/>
      <c r="H12" s="4150" t="s">
        <v>836</v>
      </c>
      <c r="I12" s="4150"/>
      <c r="J12" s="4148" t="s">
        <v>837</v>
      </c>
      <c r="K12" s="4148"/>
      <c r="L12" s="4148"/>
      <c r="M12" s="4148"/>
      <c r="N12" s="4148"/>
      <c r="O12" s="4151" t="s">
        <v>834</v>
      </c>
      <c r="P12" s="4148"/>
      <c r="Q12" s="4152" t="s">
        <v>838</v>
      </c>
      <c r="R12" s="4148"/>
      <c r="S12" s="4153" t="s">
        <v>840</v>
      </c>
      <c r="T12" s="4154"/>
      <c r="U12" s="4156" t="s">
        <v>839</v>
      </c>
      <c r="V12" s="4148"/>
      <c r="W12" s="4155" t="s">
        <v>850</v>
      </c>
      <c r="X12" s="4148"/>
      <c r="Y12" s="4148"/>
      <c r="Z12" s="4148"/>
      <c r="AA12" s="4148"/>
      <c r="AB12" s="4148"/>
      <c r="AC12" s="4148"/>
      <c r="AD12" s="4148"/>
      <c r="AE12" s="4148"/>
      <c r="AF12" s="4156" t="s">
        <v>22</v>
      </c>
      <c r="AG12" s="4148"/>
      <c r="AH12" s="4148"/>
    </row>
    <row r="13" spans="2:34" s="2367" customFormat="1" ht="36" customHeight="1" x14ac:dyDescent="0.25">
      <c r="F13" s="2368"/>
      <c r="H13" s="2369"/>
      <c r="I13" s="2369"/>
      <c r="O13" s="1605"/>
      <c r="Q13" s="2370"/>
      <c r="S13" s="2374"/>
      <c r="T13" s="2371"/>
      <c r="U13" s="2341"/>
      <c r="W13" s="2511"/>
      <c r="AF13" s="2372"/>
    </row>
    <row r="14" spans="2:34" ht="15" x14ac:dyDescent="0.2">
      <c r="J14" s="2341"/>
      <c r="S14" s="2342"/>
      <c r="T14" s="2341"/>
      <c r="U14" s="2341"/>
      <c r="V14" s="2341"/>
      <c r="W14" s="2512"/>
      <c r="X14" s="2341"/>
      <c r="Y14" s="2341"/>
      <c r="Z14" s="2341"/>
      <c r="AA14" s="2341"/>
      <c r="AB14" s="2341"/>
      <c r="AC14" s="2341"/>
      <c r="AD14" s="2341"/>
      <c r="AE14" s="2341"/>
      <c r="AF14" s="2342" t="s">
        <v>8</v>
      </c>
      <c r="AG14" s="2341"/>
      <c r="AH14" s="2341" t="s">
        <v>88</v>
      </c>
    </row>
    <row r="15" spans="2:34" ht="15" x14ac:dyDescent="0.2">
      <c r="B15" s="2352" t="s">
        <v>299</v>
      </c>
      <c r="D15" s="2348" t="s">
        <v>251</v>
      </c>
      <c r="F15" s="2347" t="str">
        <f>'!Egen_Kap'!$F$110</f>
        <v>Sondérboring</v>
      </c>
      <c r="H15" s="2338" t="s">
        <v>9</v>
      </c>
      <c r="J15" s="2337" t="s">
        <v>10</v>
      </c>
      <c r="O15" s="2353" t="b">
        <f>ISBLANK('!Egen_Kap'!$P$110)</f>
        <v>1</v>
      </c>
      <c r="P15" s="2338"/>
      <c r="Q15" s="2376">
        <f>'!Egen_Kap'!$P$110</f>
        <v>0</v>
      </c>
      <c r="R15" s="2338"/>
      <c r="S15" s="2375">
        <v>60</v>
      </c>
      <c r="U15" s="2379">
        <f>IF(O15=TRUE,S15,Q15)</f>
        <v>60</v>
      </c>
      <c r="W15" s="2513" t="str">
        <f>IF(O15=TRUE,$F$5,$F$3)</f>
        <v>Standard</v>
      </c>
      <c r="AF15" s="2343">
        <v>60</v>
      </c>
      <c r="AH15" s="2337">
        <f>1/U15</f>
        <v>1.6666666666666666E-2</v>
      </c>
    </row>
    <row r="16" spans="2:34" x14ac:dyDescent="0.2">
      <c r="D16" s="2348" t="s">
        <v>251</v>
      </c>
      <c r="F16" s="2347" t="str">
        <f>'!Egen_Kap'!$F$112</f>
        <v>Kjerneboring</v>
      </c>
      <c r="H16" s="2338" t="s">
        <v>11</v>
      </c>
      <c r="J16" s="2337" t="s">
        <v>10</v>
      </c>
      <c r="O16" s="2353" t="b">
        <f>ISBLANK('!Egen_Kap'!$P$112)</f>
        <v>1</v>
      </c>
      <c r="P16" s="2338"/>
      <c r="Q16" s="2376">
        <f>'!Egen_Kap'!$P$112</f>
        <v>0</v>
      </c>
      <c r="R16" s="2338"/>
      <c r="S16" s="2375">
        <v>1</v>
      </c>
      <c r="U16" s="2379">
        <f>IF(O16=TRUE,S16,Q16)</f>
        <v>1</v>
      </c>
      <c r="W16" s="2513" t="str">
        <f>IF(O16=TRUE,$F$5,$F$3)</f>
        <v>Standard</v>
      </c>
    </row>
    <row r="17" spans="2:34" x14ac:dyDescent="0.2">
      <c r="D17" s="2348" t="s">
        <v>251</v>
      </c>
      <c r="F17" s="2347" t="str">
        <f>'!Egen_Kap'!$F$116</f>
        <v>Seismikk</v>
      </c>
      <c r="H17" s="2338" t="s">
        <v>12</v>
      </c>
      <c r="O17" s="2353" t="b">
        <f>ISBLANK('!Egen_Kap'!$P$116)</f>
        <v>1</v>
      </c>
      <c r="P17" s="2338"/>
      <c r="Q17" s="2376">
        <f>'!Egen_Kap'!$P$116</f>
        <v>0</v>
      </c>
      <c r="R17" s="2338"/>
      <c r="S17" s="2375">
        <v>1</v>
      </c>
      <c r="U17" s="2379">
        <f>IF(O17=TRUE,S17,Q17)</f>
        <v>1</v>
      </c>
      <c r="W17" s="2513" t="str">
        <f>IF(O17=TRUE,$F$5,$F$3)</f>
        <v>Standard</v>
      </c>
    </row>
    <row r="18" spans="2:34" ht="15" x14ac:dyDescent="0.2">
      <c r="H18" s="2344" t="s">
        <v>3</v>
      </c>
      <c r="I18" s="2344"/>
      <c r="O18" s="2353"/>
      <c r="P18" s="2344"/>
      <c r="Q18" s="2376"/>
      <c r="R18" s="2344"/>
      <c r="S18" s="2375"/>
      <c r="U18" s="2380"/>
      <c r="W18" s="2513"/>
    </row>
    <row r="19" spans="2:34" x14ac:dyDescent="0.2">
      <c r="D19" s="2348" t="s">
        <v>251</v>
      </c>
      <c r="F19" s="2347" t="str">
        <f>'!Egen_Kap'!$F$126</f>
        <v>Rigg</v>
      </c>
      <c r="H19" s="2339" t="s">
        <v>13</v>
      </c>
      <c r="I19" s="2339"/>
      <c r="J19" s="2337" t="s">
        <v>14</v>
      </c>
      <c r="O19" s="2353" t="b">
        <f>ISBLANK('!Egen_Kap'!$P$126)</f>
        <v>1</v>
      </c>
      <c r="P19" s="2339"/>
      <c r="Q19" s="2376">
        <f>'!Egen_Kap'!$P$126</f>
        <v>0</v>
      </c>
      <c r="R19" s="2339"/>
      <c r="S19" s="2375">
        <v>1</v>
      </c>
      <c r="U19" s="2379">
        <f>IF(O19=TRUE,S19,Q19)</f>
        <v>1</v>
      </c>
      <c r="W19" s="2513" t="str">
        <f>IF(O19=TRUE,$F$5,$F$3)</f>
        <v>Standard</v>
      </c>
      <c r="AF19" s="2343">
        <v>1</v>
      </c>
      <c r="AH19" s="2337">
        <f>1/U19</f>
        <v>1</v>
      </c>
    </row>
    <row r="20" spans="2:34" x14ac:dyDescent="0.2">
      <c r="D20" s="2348" t="s">
        <v>251</v>
      </c>
      <c r="F20" s="2347" t="str">
        <f>'!Egen_Kap'!$F$128</f>
        <v>Boring</v>
      </c>
      <c r="H20" s="2339" t="s">
        <v>15</v>
      </c>
      <c r="I20" s="2339"/>
      <c r="J20" s="2337" t="s">
        <v>10</v>
      </c>
      <c r="O20" s="2353" t="b">
        <f>ISBLANK('!Egen_Kap'!$P$128)</f>
        <v>1</v>
      </c>
      <c r="P20" s="2339"/>
      <c r="Q20" s="2376">
        <f>'!Egen_Kap'!$P$128</f>
        <v>0</v>
      </c>
      <c r="R20" s="2339"/>
      <c r="S20" s="2375">
        <v>60</v>
      </c>
      <c r="U20" s="2379">
        <f>IF(O20=TRUE,S20,Q20)</f>
        <v>60</v>
      </c>
      <c r="W20" s="2513" t="str">
        <f>IF(O20=TRUE,$F$5,$F$3)</f>
        <v>Standard</v>
      </c>
      <c r="AF20" s="2343">
        <v>60</v>
      </c>
      <c r="AH20" s="2337">
        <f>1/U20</f>
        <v>1.6666666666666666E-2</v>
      </c>
    </row>
    <row r="21" spans="2:34" x14ac:dyDescent="0.2">
      <c r="D21" s="2348" t="s">
        <v>251</v>
      </c>
      <c r="F21" s="2347" t="str">
        <f>'!Egen_Kap'!$F$130</f>
        <v>Injeksjon</v>
      </c>
      <c r="H21" s="2339" t="s">
        <v>16</v>
      </c>
      <c r="I21" s="2339"/>
      <c r="J21" s="2337" t="s">
        <v>1209</v>
      </c>
      <c r="O21" s="2353" t="b">
        <f>ISBLANK('!Egen_Kap'!$P$130)</f>
        <v>1</v>
      </c>
      <c r="P21" s="2339"/>
      <c r="Q21" s="2376">
        <f>'!Egen_Kap'!$P$130</f>
        <v>0</v>
      </c>
      <c r="R21" s="2339"/>
      <c r="S21" s="2375">
        <v>1500</v>
      </c>
      <c r="U21" s="2379">
        <f>IF(O21=TRUE,S21,Q21)</f>
        <v>1500</v>
      </c>
      <c r="W21" s="2513" t="str">
        <f>IF(O21=TRUE,$F$5,$F$3)</f>
        <v>Standard</v>
      </c>
      <c r="AF21" s="2343" t="s">
        <v>18</v>
      </c>
      <c r="AH21" s="2337">
        <v>1</v>
      </c>
    </row>
    <row r="22" spans="2:34" x14ac:dyDescent="0.2">
      <c r="D22" s="2348" t="s">
        <v>251</v>
      </c>
      <c r="F22" s="2347" t="str">
        <f>'!Egen_Kap'!$F$132</f>
        <v>Kontrollhull</v>
      </c>
      <c r="H22" s="2339" t="s">
        <v>19</v>
      </c>
      <c r="I22" s="2339"/>
      <c r="J22" s="2337" t="s">
        <v>10</v>
      </c>
      <c r="O22" s="2353" t="b">
        <f>ISBLANK('!Egen_Kap'!$P$132)</f>
        <v>1</v>
      </c>
      <c r="P22" s="2339"/>
      <c r="Q22" s="2376">
        <f>'!Egen_Kap'!$P$132</f>
        <v>0</v>
      </c>
      <c r="R22" s="2339"/>
      <c r="S22" s="2375">
        <v>60</v>
      </c>
      <c r="U22" s="2379">
        <f>IF(O22=TRUE,S22,Q22)</f>
        <v>60</v>
      </c>
      <c r="W22" s="2513" t="str">
        <f>IF(O22=TRUE,$F$5,$F$3)</f>
        <v>Standard</v>
      </c>
      <c r="AF22" s="2343">
        <v>60</v>
      </c>
      <c r="AH22" s="2337">
        <f>1/U22</f>
        <v>1.6666666666666666E-2</v>
      </c>
    </row>
    <row r="23" spans="2:34" ht="15" x14ac:dyDescent="0.2">
      <c r="H23" s="2344" t="s">
        <v>7</v>
      </c>
      <c r="I23" s="2344"/>
      <c r="O23" s="2353"/>
      <c r="P23" s="2344"/>
      <c r="Q23" s="2376"/>
      <c r="R23" s="2344"/>
      <c r="S23" s="2375"/>
      <c r="U23" s="2380"/>
      <c r="W23" s="2513"/>
    </row>
    <row r="24" spans="2:34" x14ac:dyDescent="0.2">
      <c r="D24" s="2348" t="s">
        <v>251</v>
      </c>
      <c r="F24" s="2347" t="str">
        <f>'!Egen_Kap'!$F$139</f>
        <v>Rigg</v>
      </c>
      <c r="H24" s="2339" t="s">
        <v>20</v>
      </c>
      <c r="I24" s="2339"/>
      <c r="J24" s="2337" t="s">
        <v>14</v>
      </c>
      <c r="O24" s="2353" t="b">
        <f>ISBLANK('!Egen_Kap'!$P$139)</f>
        <v>1</v>
      </c>
      <c r="P24" s="2339"/>
      <c r="Q24" s="2376">
        <f>'!Egen_Kap'!$P$139</f>
        <v>0</v>
      </c>
      <c r="R24" s="2339"/>
      <c r="S24" s="2375">
        <v>1</v>
      </c>
      <c r="U24" s="2379">
        <f>IF(O24=TRUE,S24,Q24)</f>
        <v>1</v>
      </c>
      <c r="W24" s="2513" t="str">
        <f>IF(O24=TRUE,$F$5,$F$3)</f>
        <v>Standard</v>
      </c>
      <c r="AF24" s="2343">
        <v>1</v>
      </c>
      <c r="AH24" s="2337">
        <f>1/U24</f>
        <v>1</v>
      </c>
    </row>
    <row r="25" spans="2:34" x14ac:dyDescent="0.2">
      <c r="D25" s="2348" t="s">
        <v>251</v>
      </c>
      <c r="F25" s="2347" t="str">
        <f>'!Egen_Kap'!$F$141</f>
        <v>Boring</v>
      </c>
      <c r="H25" s="2339" t="s">
        <v>15</v>
      </c>
      <c r="I25" s="2339"/>
      <c r="J25" s="2337" t="s">
        <v>10</v>
      </c>
      <c r="O25" s="2353" t="b">
        <f>ISBLANK('!Egen_Kap'!$P$141)</f>
        <v>1</v>
      </c>
      <c r="P25" s="2339"/>
      <c r="Q25" s="2376">
        <f>'!Egen_Kap'!$P$141</f>
        <v>0</v>
      </c>
      <c r="R25" s="2339"/>
      <c r="S25" s="2375">
        <v>90</v>
      </c>
      <c r="U25" s="2379">
        <f>IF(O25=TRUE,S25,Q25)</f>
        <v>90</v>
      </c>
      <c r="W25" s="2513" t="str">
        <f>IF(O25=TRUE,$F$5,$F$3)</f>
        <v>Standard</v>
      </c>
      <c r="AF25" s="2340">
        <v>60</v>
      </c>
      <c r="AH25" s="2337">
        <f>1/U25</f>
        <v>1.1111111111111112E-2</v>
      </c>
    </row>
    <row r="26" spans="2:34" x14ac:dyDescent="0.2">
      <c r="D26" s="2348" t="s">
        <v>251</v>
      </c>
      <c r="F26" s="2347" t="str">
        <f>'!Egen_Kap'!$F$143</f>
        <v>Injeksjon</v>
      </c>
      <c r="H26" s="2339" t="s">
        <v>16</v>
      </c>
      <c r="I26" s="2339"/>
      <c r="J26" s="2337" t="s">
        <v>1209</v>
      </c>
      <c r="O26" s="2353" t="b">
        <f>ISBLANK('!Egen_Kap'!$P$143)</f>
        <v>1</v>
      </c>
      <c r="P26" s="2339"/>
      <c r="Q26" s="2376">
        <f>'!Egen_Kap'!$P$143</f>
        <v>0</v>
      </c>
      <c r="R26" s="2339"/>
      <c r="S26" s="2375">
        <v>1500</v>
      </c>
      <c r="U26" s="2379">
        <f>IF(O26=TRUE,S26,Q26)</f>
        <v>1500</v>
      </c>
      <c r="W26" s="2513" t="str">
        <f>IF(O26=TRUE,$F$5,$F$3)</f>
        <v>Standard</v>
      </c>
      <c r="AF26" s="2343" t="s">
        <v>18</v>
      </c>
      <c r="AH26" s="2337">
        <v>1</v>
      </c>
    </row>
    <row r="27" spans="2:34" x14ac:dyDescent="0.2">
      <c r="D27" s="2348" t="s">
        <v>251</v>
      </c>
      <c r="F27" s="2347" t="str">
        <f>'!Egen_Kap'!$F$145</f>
        <v>Kontrollhull</v>
      </c>
      <c r="H27" s="2339" t="s">
        <v>19</v>
      </c>
      <c r="I27" s="2339"/>
      <c r="J27" s="2337" t="s">
        <v>10</v>
      </c>
      <c r="O27" s="2353" t="b">
        <f>ISBLANK('!Egen_Kap'!$P$145)</f>
        <v>1</v>
      </c>
      <c r="P27" s="2339"/>
      <c r="Q27" s="2376">
        <f>'!Egen_Kap'!$P$145</f>
        <v>0</v>
      </c>
      <c r="R27" s="2339"/>
      <c r="S27" s="2375">
        <v>60</v>
      </c>
      <c r="U27" s="2379">
        <f>IF(O27=TRUE,S27,Q27)</f>
        <v>60</v>
      </c>
      <c r="W27" s="2513" t="str">
        <f>IF(O27=TRUE,$F$5,$F$3)</f>
        <v>Standard</v>
      </c>
      <c r="AF27" s="2343">
        <v>60</v>
      </c>
      <c r="AH27" s="2337">
        <f>1/U27</f>
        <v>1.6666666666666666E-2</v>
      </c>
    </row>
    <row r="28" spans="2:34" x14ac:dyDescent="0.2">
      <c r="O28" s="2353"/>
      <c r="Q28" s="2376"/>
      <c r="S28" s="2375"/>
      <c r="U28" s="2380"/>
      <c r="W28" s="2513"/>
    </row>
    <row r="29" spans="2:34" x14ac:dyDescent="0.2">
      <c r="O29" s="2353"/>
      <c r="Q29" s="2376"/>
      <c r="S29" s="2375"/>
      <c r="U29" s="2380"/>
      <c r="W29" s="2513"/>
    </row>
    <row r="30" spans="2:34" ht="15" x14ac:dyDescent="0.25">
      <c r="B30" s="2351" t="s">
        <v>81</v>
      </c>
      <c r="D30" s="5763" t="s">
        <v>1009</v>
      </c>
      <c r="E30" s="5764"/>
      <c r="F30" s="5765"/>
      <c r="G30" s="5763"/>
      <c r="H30" s="5766"/>
      <c r="I30" s="5766"/>
      <c r="J30" s="5763"/>
      <c r="K30" s="5763"/>
      <c r="L30" s="5763"/>
      <c r="M30" s="5763"/>
      <c r="N30" s="5763"/>
      <c r="O30" s="5767"/>
      <c r="Q30" s="2376"/>
      <c r="S30" s="2375"/>
      <c r="U30" s="2380"/>
      <c r="W30" s="2513"/>
    </row>
    <row r="31" spans="2:34" x14ac:dyDescent="0.2">
      <c r="O31" s="2353"/>
      <c r="Q31" s="2376"/>
      <c r="S31" s="2375"/>
      <c r="U31" s="2380"/>
      <c r="W31" s="2513"/>
    </row>
    <row r="32" spans="2:34" ht="28.5" x14ac:dyDescent="0.2">
      <c r="D32" s="2348" t="s">
        <v>251</v>
      </c>
      <c r="F32" s="2345" t="str">
        <f>'!Egen_Kap'!$F$51</f>
        <v>Normalsalve</v>
      </c>
      <c r="G32" s="2345"/>
      <c r="H32" s="2346" t="s">
        <v>23</v>
      </c>
      <c r="I32" s="2346"/>
      <c r="J32" s="2345" t="s">
        <v>24</v>
      </c>
      <c r="K32" s="2345"/>
      <c r="L32" s="2345"/>
      <c r="M32" s="2345"/>
      <c r="N32" s="2345"/>
      <c r="O32" s="2510" t="b">
        <f>ISBLANK('!Egen_Kap'!$P$51)</f>
        <v>1</v>
      </c>
      <c r="P32" s="2346"/>
      <c r="Q32" s="2377">
        <f>'!Egen_Kap'!$P$51</f>
        <v>0</v>
      </c>
      <c r="R32" s="2346"/>
      <c r="S32" s="5383" t="str">
        <f>_Calcs!$CP$29</f>
        <v>!</v>
      </c>
      <c r="T32" s="5384"/>
      <c r="U32" s="5385" t="str">
        <f>IF(O32=TRUE,S32,Q32)</f>
        <v>!</v>
      </c>
      <c r="W32" s="2513" t="str">
        <f>IF(O32=TRUE,$F$5,$F$3)</f>
        <v>Standard</v>
      </c>
      <c r="AF32" s="2343" t="s">
        <v>18</v>
      </c>
      <c r="AH32" s="2337">
        <v>50</v>
      </c>
    </row>
    <row r="33" spans="2:34" x14ac:dyDescent="0.2">
      <c r="F33" s="2345"/>
      <c r="G33" s="2345"/>
      <c r="H33" s="2346" t="s">
        <v>25</v>
      </c>
      <c r="I33" s="2346"/>
      <c r="J33" s="2345"/>
      <c r="K33" s="2345"/>
      <c r="L33" s="2345"/>
      <c r="M33" s="2345"/>
      <c r="N33" s="2345"/>
      <c r="O33" s="2354"/>
      <c r="P33" s="2346"/>
      <c r="Q33" s="2377"/>
      <c r="R33" s="2346"/>
      <c r="S33" s="5383"/>
      <c r="T33" s="5384"/>
      <c r="U33" s="5385"/>
      <c r="W33" s="2513"/>
    </row>
    <row r="34" spans="2:34" x14ac:dyDescent="0.2">
      <c r="F34" s="2345"/>
      <c r="G34" s="2345"/>
      <c r="H34" s="2346" t="s">
        <v>26</v>
      </c>
      <c r="I34" s="2346"/>
      <c r="J34" s="2345"/>
      <c r="K34" s="2345"/>
      <c r="L34" s="2345"/>
      <c r="M34" s="2345"/>
      <c r="N34" s="2345"/>
      <c r="O34" s="2354"/>
      <c r="P34" s="2346"/>
      <c r="Q34" s="2377"/>
      <c r="R34" s="2346"/>
      <c r="S34" s="5383"/>
      <c r="T34" s="5384"/>
      <c r="U34" s="5385"/>
      <c r="W34" s="2513"/>
    </row>
    <row r="35" spans="2:34" x14ac:dyDescent="0.2">
      <c r="F35" s="2345"/>
      <c r="G35" s="2345"/>
      <c r="H35" s="2346"/>
      <c r="I35" s="2346"/>
      <c r="J35" s="2345"/>
      <c r="K35" s="2345"/>
      <c r="L35" s="2345"/>
      <c r="M35" s="2345"/>
      <c r="N35" s="2345"/>
      <c r="O35" s="2354"/>
      <c r="P35" s="2346"/>
      <c r="Q35" s="2377"/>
      <c r="R35" s="2346"/>
      <c r="S35" s="5383"/>
      <c r="T35" s="5384"/>
      <c r="U35" s="5385"/>
      <c r="W35" s="2513"/>
    </row>
    <row r="36" spans="2:34" x14ac:dyDescent="0.2">
      <c r="D36" s="2348" t="s">
        <v>251</v>
      </c>
      <c r="F36" s="2345" t="str">
        <f>'!Egen_Kap'!$F$69</f>
        <v>Grøfter, nisjer og andre bergrom</v>
      </c>
      <c r="G36" s="2345"/>
      <c r="H36" s="2346" t="s">
        <v>27</v>
      </c>
      <c r="I36" s="2346"/>
      <c r="J36" s="2345" t="s">
        <v>24</v>
      </c>
      <c r="K36" s="2345"/>
      <c r="L36" s="2345"/>
      <c r="M36" s="2345"/>
      <c r="N36" s="2345"/>
      <c r="O36" s="2354" t="b">
        <f>ISBLANK('!Egen_Kap'!$P$69)</f>
        <v>1</v>
      </c>
      <c r="P36" s="2346"/>
      <c r="Q36" s="2377">
        <f>'!Egen_Kap'!$P$69</f>
        <v>0</v>
      </c>
      <c r="R36" s="2346"/>
      <c r="S36" s="5383" t="str">
        <f>_Calcs!$CQ$29</f>
        <v>!</v>
      </c>
      <c r="T36" s="5384"/>
      <c r="U36" s="5385" t="str">
        <f>IF(O36=TRUE,S36,Q36)</f>
        <v>!</v>
      </c>
      <c r="W36" s="2513" t="str">
        <f>IF(O36=TRUE,$F$5,$F$3)</f>
        <v>Standard</v>
      </c>
      <c r="AF36" s="2343" t="s">
        <v>18</v>
      </c>
      <c r="AH36" s="2337">
        <v>50</v>
      </c>
    </row>
    <row r="37" spans="2:34" x14ac:dyDescent="0.2">
      <c r="H37" s="2339"/>
      <c r="I37" s="2339"/>
      <c r="O37" s="2353"/>
      <c r="P37" s="2339"/>
      <c r="Q37" s="2376"/>
      <c r="R37" s="2339"/>
      <c r="S37" s="5386"/>
      <c r="T37" s="5387"/>
      <c r="U37" s="5388"/>
      <c r="W37" s="2513"/>
    </row>
    <row r="38" spans="2:34" x14ac:dyDescent="0.2">
      <c r="D38" s="2348" t="s">
        <v>251</v>
      </c>
      <c r="F38" s="2347" t="str">
        <f>'!Egen_Kap'!$F$53</f>
        <v>Fullt tverrsnitt –
redusert salvelengde</v>
      </c>
      <c r="H38" s="2339" t="s">
        <v>28</v>
      </c>
      <c r="I38" s="2339"/>
      <c r="J38" s="2337" t="s">
        <v>24</v>
      </c>
      <c r="O38" s="2353" t="b">
        <f>ISBLANK('!Egen_Kap'!$P$53)</f>
        <v>1</v>
      </c>
      <c r="P38" s="2339"/>
      <c r="Q38" s="2376">
        <f>'!Egen_Kap'!$P$53</f>
        <v>0</v>
      </c>
      <c r="R38" s="2339"/>
      <c r="S38" s="5386" t="str">
        <f>_Calcs!$CR$29</f>
        <v>!</v>
      </c>
      <c r="T38" s="5387"/>
      <c r="U38" s="5385" t="str">
        <f>IF(O38=TRUE,S38,Q38)</f>
        <v>!</v>
      </c>
      <c r="W38" s="2513" t="str">
        <f>IF(O38=TRUE,$F$5,$F$3)</f>
        <v>Standard</v>
      </c>
      <c r="AF38" s="2340">
        <v>35</v>
      </c>
      <c r="AH38" s="2337">
        <v>25</v>
      </c>
    </row>
    <row r="39" spans="2:34" x14ac:dyDescent="0.2">
      <c r="H39" s="2339"/>
      <c r="I39" s="2339"/>
      <c r="O39" s="2353"/>
      <c r="P39" s="2339"/>
      <c r="Q39" s="2376"/>
      <c r="R39" s="2339"/>
      <c r="S39" s="5386"/>
      <c r="T39" s="5387"/>
      <c r="U39" s="5388"/>
      <c r="W39" s="2513"/>
      <c r="AF39" s="2340"/>
    </row>
    <row r="40" spans="2:34" x14ac:dyDescent="0.2">
      <c r="D40" s="2348" t="s">
        <v>251</v>
      </c>
      <c r="F40" s="2347" t="str">
        <f>'!Egen_Kap'!$F$56</f>
        <v>Todelt tverrsnitt –
normal salvelengde</v>
      </c>
      <c r="H40" s="2339" t="s">
        <v>28</v>
      </c>
      <c r="I40" s="2339"/>
      <c r="J40" s="2337" t="s">
        <v>24</v>
      </c>
      <c r="O40" s="2353" t="b">
        <f>ISBLANK('!Egen_Kap'!$P$56)</f>
        <v>1</v>
      </c>
      <c r="P40" s="2339"/>
      <c r="Q40" s="2376">
        <f>'!Egen_Kap'!$P$56</f>
        <v>0</v>
      </c>
      <c r="R40" s="2339"/>
      <c r="S40" s="5386" t="str">
        <f>_Calcs!$CS$29</f>
        <v>!</v>
      </c>
      <c r="T40" s="5387"/>
      <c r="U40" s="5385" t="str">
        <f>IF(O40=TRUE,S40,Q40)</f>
        <v>!</v>
      </c>
      <c r="W40" s="2513" t="str">
        <f>IF(O40=TRUE,$F$5,$F$3)</f>
        <v>Standard</v>
      </c>
      <c r="AF40" s="2340">
        <v>35</v>
      </c>
      <c r="AH40" s="2337">
        <v>25</v>
      </c>
    </row>
    <row r="41" spans="2:34" x14ac:dyDescent="0.2">
      <c r="H41" s="2339"/>
      <c r="I41" s="2339"/>
      <c r="O41" s="2353"/>
      <c r="P41" s="2339"/>
      <c r="Q41" s="2376"/>
      <c r="R41" s="2339"/>
      <c r="S41" s="5386"/>
      <c r="T41" s="5387"/>
      <c r="U41" s="5388"/>
      <c r="W41" s="2513"/>
      <c r="AF41" s="2340"/>
    </row>
    <row r="42" spans="2:34" ht="28.5" x14ac:dyDescent="0.2">
      <c r="D42" s="2348" t="s">
        <v>251</v>
      </c>
      <c r="F42" s="2339" t="str">
        <f>'!Egen_Kap'!$F$59</f>
        <v>Todelt tverrsnitt –
redusert salvelengde</v>
      </c>
      <c r="H42" s="2339" t="s">
        <v>29</v>
      </c>
      <c r="I42" s="2339"/>
      <c r="J42" s="2337" t="s">
        <v>24</v>
      </c>
      <c r="O42" s="2355" t="b">
        <f>ISBLANK('!Egen_Kap'!$P$59)</f>
        <v>1</v>
      </c>
      <c r="P42" s="2339"/>
      <c r="Q42" s="2378">
        <f>'!Egen_Kap'!$P$59</f>
        <v>0</v>
      </c>
      <c r="R42" s="2339"/>
      <c r="S42" s="5386" t="str">
        <f>_Calcs!$CT$29</f>
        <v>!</v>
      </c>
      <c r="T42" s="5387"/>
      <c r="U42" s="5385" t="str">
        <f>IF(O42=TRUE,S42,Q42)</f>
        <v>!</v>
      </c>
      <c r="W42" s="2513" t="str">
        <f>IF(O42=TRUE,$F$5,$F$3)</f>
        <v>Standard</v>
      </c>
      <c r="AF42" s="2340">
        <v>25</v>
      </c>
      <c r="AH42" s="2337">
        <v>15</v>
      </c>
    </row>
    <row r="43" spans="2:34" x14ac:dyDescent="0.2">
      <c r="H43" s="2339"/>
      <c r="I43" s="2339"/>
      <c r="O43" s="2353"/>
      <c r="P43" s="2339"/>
      <c r="Q43" s="2376"/>
      <c r="R43" s="2339"/>
      <c r="S43" s="2375"/>
      <c r="U43" s="2380"/>
      <c r="W43" s="2513"/>
    </row>
    <row r="44" spans="2:34" x14ac:dyDescent="0.2">
      <c r="H44" s="2339"/>
      <c r="I44" s="2339"/>
      <c r="O44" s="2353"/>
      <c r="P44" s="2339"/>
      <c r="Q44" s="2376"/>
      <c r="R44" s="2339"/>
      <c r="S44" s="2375"/>
      <c r="U44" s="2380"/>
      <c r="W44" s="2513"/>
    </row>
    <row r="45" spans="2:34" ht="15" x14ac:dyDescent="0.25">
      <c r="B45" s="2351" t="s">
        <v>81</v>
      </c>
      <c r="D45" s="5763" t="s">
        <v>258</v>
      </c>
      <c r="E45" s="5764"/>
      <c r="F45" s="5765"/>
      <c r="G45" s="5763"/>
      <c r="H45" s="5766"/>
      <c r="I45" s="5766"/>
      <c r="J45" s="5763"/>
      <c r="K45" s="5763"/>
      <c r="L45" s="5763"/>
      <c r="M45" s="5763"/>
      <c r="N45" s="5763"/>
      <c r="O45" s="5767"/>
      <c r="P45" s="2339"/>
      <c r="Q45" s="2376"/>
      <c r="R45" s="2339"/>
      <c r="S45" s="2375"/>
      <c r="U45" s="2380"/>
      <c r="W45" s="2513"/>
    </row>
    <row r="46" spans="2:34" x14ac:dyDescent="0.2">
      <c r="O46" s="2353"/>
      <c r="Q46" s="2376"/>
      <c r="S46" s="2375"/>
      <c r="U46" s="2380"/>
      <c r="W46" s="2513"/>
    </row>
    <row r="47" spans="2:34" ht="28.5" x14ac:dyDescent="0.2">
      <c r="D47" s="2348" t="s">
        <v>251</v>
      </c>
      <c r="F47" s="2345" t="str">
        <f>'!Egen_Kap'!$F$51</f>
        <v>Normalsalve</v>
      </c>
      <c r="G47" s="2345"/>
      <c r="H47" s="2346" t="s">
        <v>23</v>
      </c>
      <c r="I47" s="2346"/>
      <c r="J47" s="2345" t="s">
        <v>24</v>
      </c>
      <c r="K47" s="2345"/>
      <c r="L47" s="2345"/>
      <c r="M47" s="2345"/>
      <c r="N47" s="2345"/>
      <c r="O47" s="2510" t="b">
        <f>ISBLANK('!Egen_Kap'!$P$81)</f>
        <v>1</v>
      </c>
      <c r="P47" s="2346"/>
      <c r="Q47" s="2377">
        <f>'!Egen_Kap'!$P$81</f>
        <v>0</v>
      </c>
      <c r="R47" s="2346"/>
      <c r="S47" s="5383" t="str">
        <f>_Calcs!$CP$30</f>
        <v>!</v>
      </c>
      <c r="T47" s="5384"/>
      <c r="U47" s="5385" t="str">
        <f>IF(O47=TRUE,S47,Q47)</f>
        <v>!</v>
      </c>
      <c r="W47" s="2513" t="str">
        <f>IF(O47=TRUE,$F$5,$F$3)</f>
        <v>Standard</v>
      </c>
      <c r="AF47" s="2343" t="s">
        <v>18</v>
      </c>
      <c r="AH47" s="2337">
        <v>50</v>
      </c>
    </row>
    <row r="48" spans="2:34" x14ac:dyDescent="0.2">
      <c r="F48" s="2345"/>
      <c r="G48" s="2345"/>
      <c r="H48" s="2346" t="s">
        <v>25</v>
      </c>
      <c r="I48" s="2346"/>
      <c r="J48" s="2345"/>
      <c r="K48" s="2345"/>
      <c r="L48" s="2345"/>
      <c r="M48" s="2345"/>
      <c r="N48" s="2345"/>
      <c r="O48" s="2354"/>
      <c r="P48" s="2346"/>
      <c r="Q48" s="2377"/>
      <c r="R48" s="2346"/>
      <c r="S48" s="5383"/>
      <c r="T48" s="5384"/>
      <c r="U48" s="5385"/>
      <c r="W48" s="2513"/>
    </row>
    <row r="49" spans="2:34" x14ac:dyDescent="0.2">
      <c r="F49" s="2345"/>
      <c r="G49" s="2345"/>
      <c r="H49" s="2346" t="s">
        <v>26</v>
      </c>
      <c r="I49" s="2346"/>
      <c r="J49" s="2345"/>
      <c r="K49" s="2345"/>
      <c r="L49" s="2345"/>
      <c r="M49" s="2345"/>
      <c r="N49" s="2345"/>
      <c r="O49" s="2354"/>
      <c r="P49" s="2346"/>
      <c r="Q49" s="2377"/>
      <c r="R49" s="2346"/>
      <c r="S49" s="5383"/>
      <c r="T49" s="5384"/>
      <c r="U49" s="5385"/>
      <c r="W49" s="2513"/>
    </row>
    <row r="50" spans="2:34" x14ac:dyDescent="0.2">
      <c r="F50" s="2345"/>
      <c r="G50" s="2345"/>
      <c r="H50" s="2346"/>
      <c r="I50" s="2346"/>
      <c r="J50" s="2345"/>
      <c r="K50" s="2345"/>
      <c r="L50" s="2345"/>
      <c r="M50" s="2345"/>
      <c r="N50" s="2345"/>
      <c r="O50" s="2354"/>
      <c r="P50" s="2346"/>
      <c r="Q50" s="2377"/>
      <c r="R50" s="2346"/>
      <c r="S50" s="5383"/>
      <c r="T50" s="5384"/>
      <c r="U50" s="5385"/>
      <c r="W50" s="2513"/>
    </row>
    <row r="51" spans="2:34" x14ac:dyDescent="0.2">
      <c r="D51" s="2348" t="s">
        <v>251</v>
      </c>
      <c r="F51" s="2345" t="str">
        <f>'!Egen_Kap'!$F$69</f>
        <v>Grøfter, nisjer og andre bergrom</v>
      </c>
      <c r="G51" s="2345"/>
      <c r="H51" s="2346" t="s">
        <v>27</v>
      </c>
      <c r="I51" s="2346"/>
      <c r="J51" s="2345" t="s">
        <v>24</v>
      </c>
      <c r="K51" s="2345"/>
      <c r="L51" s="2345"/>
      <c r="M51" s="2345"/>
      <c r="N51" s="2345"/>
      <c r="O51" s="2354" t="b">
        <f>ISBLANK('!Egen_Kap'!$P$99)</f>
        <v>1</v>
      </c>
      <c r="P51" s="2346"/>
      <c r="Q51" s="2377">
        <f>'!Egen_Kap'!$P$99</f>
        <v>0</v>
      </c>
      <c r="R51" s="2346"/>
      <c r="S51" s="5383" t="str">
        <f>_Calcs!$CQ$30</f>
        <v>!</v>
      </c>
      <c r="T51" s="5384"/>
      <c r="U51" s="5385" t="str">
        <f>IF(O51=TRUE,S51,Q51)</f>
        <v>!</v>
      </c>
      <c r="W51" s="2513" t="str">
        <f>IF(O51=TRUE,$F$5,$F$3)</f>
        <v>Standard</v>
      </c>
      <c r="AF51" s="2343" t="s">
        <v>18</v>
      </c>
      <c r="AH51" s="2337">
        <v>50</v>
      </c>
    </row>
    <row r="52" spans="2:34" x14ac:dyDescent="0.2">
      <c r="H52" s="2339"/>
      <c r="I52" s="2339"/>
      <c r="O52" s="2353"/>
      <c r="P52" s="2339"/>
      <c r="Q52" s="2376"/>
      <c r="R52" s="2339"/>
      <c r="S52" s="5386"/>
      <c r="T52" s="5387"/>
      <c r="U52" s="5388"/>
      <c r="W52" s="2513"/>
    </row>
    <row r="53" spans="2:34" x14ac:dyDescent="0.2">
      <c r="D53" s="2348" t="s">
        <v>251</v>
      </c>
      <c r="F53" s="2347" t="str">
        <f>'!Egen_Kap'!$F$53</f>
        <v>Fullt tverrsnitt –
redusert salvelengde</v>
      </c>
      <c r="H53" s="2339" t="s">
        <v>28</v>
      </c>
      <c r="I53" s="2339"/>
      <c r="J53" s="2337" t="s">
        <v>24</v>
      </c>
      <c r="O53" s="2353" t="b">
        <f>ISBLANK('!Egen_Kap'!$P$83)</f>
        <v>1</v>
      </c>
      <c r="P53" s="2339"/>
      <c r="Q53" s="2376">
        <f>'!Egen_Kap'!$P$83</f>
        <v>0</v>
      </c>
      <c r="R53" s="2339"/>
      <c r="S53" s="5386" t="str">
        <f>_Calcs!$CR$30</f>
        <v>!</v>
      </c>
      <c r="T53" s="5387"/>
      <c r="U53" s="5385" t="str">
        <f>IF(O53=TRUE,S53,Q53)</f>
        <v>!</v>
      </c>
      <c r="W53" s="2513" t="str">
        <f>IF(O53=TRUE,$F$5,$F$3)</f>
        <v>Standard</v>
      </c>
      <c r="AF53" s="2340">
        <v>35</v>
      </c>
      <c r="AH53" s="2337">
        <v>25</v>
      </c>
    </row>
    <row r="54" spans="2:34" x14ac:dyDescent="0.2">
      <c r="H54" s="2339"/>
      <c r="I54" s="2339"/>
      <c r="O54" s="2353"/>
      <c r="P54" s="2339"/>
      <c r="Q54" s="2376"/>
      <c r="R54" s="2339"/>
      <c r="S54" s="5386"/>
      <c r="T54" s="5387"/>
      <c r="U54" s="5388"/>
      <c r="W54" s="2513"/>
      <c r="AF54" s="2340"/>
    </row>
    <row r="55" spans="2:34" x14ac:dyDescent="0.2">
      <c r="D55" s="2348" t="s">
        <v>251</v>
      </c>
      <c r="F55" s="2347" t="str">
        <f>'!Egen_Kap'!$F$56</f>
        <v>Todelt tverrsnitt –
normal salvelengde</v>
      </c>
      <c r="H55" s="2339" t="s">
        <v>28</v>
      </c>
      <c r="I55" s="2339"/>
      <c r="J55" s="2337" t="s">
        <v>24</v>
      </c>
      <c r="O55" s="2353" t="b">
        <f>ISBLANK('!Egen_Kap'!$P$86)</f>
        <v>1</v>
      </c>
      <c r="P55" s="2339"/>
      <c r="Q55" s="2376">
        <f>'!Egen_Kap'!$P$86</f>
        <v>0</v>
      </c>
      <c r="R55" s="2339"/>
      <c r="S55" s="5386" t="str">
        <f>_Calcs!$CS$30</f>
        <v>!</v>
      </c>
      <c r="T55" s="5387"/>
      <c r="U55" s="5385" t="str">
        <f>IF(O55=TRUE,S55,Q55)</f>
        <v>!</v>
      </c>
      <c r="W55" s="2513" t="str">
        <f>IF(O55=TRUE,$F$5,$F$3)</f>
        <v>Standard</v>
      </c>
      <c r="AF55" s="2340">
        <v>35</v>
      </c>
      <c r="AH55" s="2337">
        <v>25</v>
      </c>
    </row>
    <row r="56" spans="2:34" x14ac:dyDescent="0.2">
      <c r="H56" s="2339"/>
      <c r="I56" s="2339"/>
      <c r="O56" s="2353"/>
      <c r="P56" s="2339"/>
      <c r="Q56" s="2376"/>
      <c r="R56" s="2339"/>
      <c r="S56" s="5386"/>
      <c r="T56" s="5387"/>
      <c r="U56" s="5388"/>
      <c r="W56" s="2513"/>
      <c r="AF56" s="2340"/>
    </row>
    <row r="57" spans="2:34" ht="28.5" x14ac:dyDescent="0.2">
      <c r="D57" s="2348" t="s">
        <v>251</v>
      </c>
      <c r="F57" s="2339" t="str">
        <f>'!Egen_Kap'!$F$59</f>
        <v>Todelt tverrsnitt –
redusert salvelengde</v>
      </c>
      <c r="H57" s="2339" t="s">
        <v>29</v>
      </c>
      <c r="I57" s="2339"/>
      <c r="J57" s="2337" t="s">
        <v>24</v>
      </c>
      <c r="O57" s="2355" t="b">
        <f>ISBLANK('!Egen_Kap'!$P$89)</f>
        <v>1</v>
      </c>
      <c r="P57" s="2339"/>
      <c r="Q57" s="2378">
        <f>'!Egen_Kap'!$P$89</f>
        <v>0</v>
      </c>
      <c r="R57" s="2339"/>
      <c r="S57" s="5386" t="str">
        <f>_Calcs!$CT$30</f>
        <v>!</v>
      </c>
      <c r="T57" s="5387"/>
      <c r="U57" s="5385" t="str">
        <f>IF(O57=TRUE,S57,Q57)</f>
        <v>!</v>
      </c>
      <c r="W57" s="2513" t="str">
        <f>IF(O57=TRUE,$F$5,$F$3)</f>
        <v>Standard</v>
      </c>
      <c r="AF57" s="2340">
        <v>25</v>
      </c>
      <c r="AH57" s="2337">
        <v>15</v>
      </c>
    </row>
    <row r="58" spans="2:34" x14ac:dyDescent="0.2">
      <c r="H58" s="2339"/>
      <c r="I58" s="2339"/>
      <c r="O58" s="2353"/>
      <c r="P58" s="2339"/>
      <c r="Q58" s="2376"/>
      <c r="R58" s="2339"/>
      <c r="S58" s="2375"/>
      <c r="U58" s="2380"/>
      <c r="W58" s="2513"/>
    </row>
    <row r="59" spans="2:34" x14ac:dyDescent="0.2">
      <c r="H59" s="2339"/>
      <c r="I59" s="2339"/>
      <c r="O59" s="2353"/>
      <c r="P59" s="2339"/>
      <c r="Q59" s="2376"/>
      <c r="R59" s="2339"/>
      <c r="S59" s="2375"/>
      <c r="U59" s="2380"/>
      <c r="W59" s="2513"/>
    </row>
    <row r="60" spans="2:34" x14ac:dyDescent="0.2">
      <c r="H60" s="2339"/>
      <c r="I60" s="2339"/>
      <c r="O60" s="2353"/>
      <c r="P60" s="2339"/>
      <c r="Q60" s="2376"/>
      <c r="R60" s="2339"/>
      <c r="S60" s="2375"/>
      <c r="U60" s="2380"/>
      <c r="W60" s="2513"/>
    </row>
    <row r="61" spans="2:34" ht="15" x14ac:dyDescent="0.2">
      <c r="B61" s="2350" t="s">
        <v>322</v>
      </c>
      <c r="D61" s="2348" t="s">
        <v>251</v>
      </c>
      <c r="F61" s="2347" t="str">
        <f>'!Egen_Kap'!$F$156</f>
        <v>Manuell driftsrensk</v>
      </c>
      <c r="H61" s="2339" t="s">
        <v>30</v>
      </c>
      <c r="I61" s="2339"/>
      <c r="J61" s="2337" t="s">
        <v>31</v>
      </c>
      <c r="O61" s="2353" t="b">
        <f>ISBLANK('!Egen_Kap'!$P$156)</f>
        <v>1</v>
      </c>
      <c r="P61" s="2339"/>
      <c r="Q61" s="2376">
        <f>'!Egen_Kap'!$P$156</f>
        <v>0</v>
      </c>
      <c r="R61" s="2339"/>
      <c r="S61" s="2375">
        <v>1</v>
      </c>
      <c r="U61" s="2379">
        <f>IF(O61=TRUE,S61,Q61)</f>
        <v>1</v>
      </c>
      <c r="W61" s="2513" t="str">
        <f>IF(O61=TRUE,$F$5,$F$3)</f>
        <v>Standard</v>
      </c>
      <c r="AF61" s="2343">
        <v>1</v>
      </c>
    </row>
    <row r="62" spans="2:34" x14ac:dyDescent="0.2">
      <c r="H62" s="2339"/>
      <c r="I62" s="2339"/>
      <c r="O62" s="2353"/>
      <c r="P62" s="2339"/>
      <c r="Q62" s="2376"/>
      <c r="R62" s="2339"/>
      <c r="S62" s="2375"/>
      <c r="U62" s="2380"/>
      <c r="W62" s="2513"/>
    </row>
    <row r="63" spans="2:34" ht="42.75" x14ac:dyDescent="0.2">
      <c r="H63" s="2339" t="s">
        <v>32</v>
      </c>
      <c r="I63" s="2339"/>
      <c r="O63" s="2353"/>
      <c r="P63" s="2339"/>
      <c r="Q63" s="2376"/>
      <c r="R63" s="2339"/>
      <c r="S63" s="2375"/>
      <c r="U63" s="2380"/>
      <c r="W63" s="2513"/>
    </row>
    <row r="64" spans="2:34" x14ac:dyDescent="0.2">
      <c r="H64" s="2339" t="s">
        <v>33</v>
      </c>
      <c r="I64" s="2339"/>
      <c r="O64" s="2353"/>
      <c r="P64" s="2339"/>
      <c r="Q64" s="2376"/>
      <c r="R64" s="2339"/>
      <c r="S64" s="2375"/>
      <c r="U64" s="2380"/>
      <c r="W64" s="2513"/>
    </row>
    <row r="65" spans="4:34" x14ac:dyDescent="0.2">
      <c r="H65" s="2339"/>
      <c r="I65" s="2339"/>
      <c r="O65" s="2353"/>
      <c r="P65" s="2339"/>
      <c r="Q65" s="2376"/>
      <c r="R65" s="2339"/>
      <c r="S65" s="2375"/>
      <c r="U65" s="2380"/>
      <c r="W65" s="2513"/>
    </row>
    <row r="66" spans="4:34" x14ac:dyDescent="0.2">
      <c r="D66" s="2348" t="s">
        <v>251</v>
      </c>
      <c r="F66" s="2347" t="s">
        <v>1529</v>
      </c>
      <c r="H66" s="2339"/>
      <c r="I66" s="2339"/>
      <c r="J66" s="2337" t="s">
        <v>31</v>
      </c>
      <c r="O66" s="2353" t="b">
        <f>ISBLANK('!Egen_Kap'!$P$158)</f>
        <v>1</v>
      </c>
      <c r="P66" s="2339"/>
      <c r="Q66" s="2376">
        <f>'!Egen_Kap'!$P$158</f>
        <v>0</v>
      </c>
      <c r="R66" s="2339"/>
      <c r="S66" s="2375">
        <v>1</v>
      </c>
      <c r="U66" s="2379">
        <f>IF(O66=TRUE,S66,Q66)</f>
        <v>1</v>
      </c>
      <c r="W66" s="2513" t="str">
        <f>IF(O66=TRUE,$F$5,$F$3)</f>
        <v>Standard</v>
      </c>
    </row>
    <row r="67" spans="4:34" x14ac:dyDescent="0.2">
      <c r="H67" s="2339"/>
      <c r="I67" s="2339"/>
      <c r="O67" s="2353"/>
      <c r="P67" s="2339"/>
      <c r="Q67" s="2376"/>
      <c r="R67" s="2339"/>
      <c r="S67" s="2375"/>
      <c r="U67" s="2380"/>
      <c r="W67" s="2513"/>
    </row>
    <row r="68" spans="4:34" x14ac:dyDescent="0.2">
      <c r="H68" s="2339"/>
      <c r="I68" s="2339"/>
      <c r="O68" s="2353"/>
      <c r="P68" s="2339"/>
      <c r="Q68" s="2376"/>
      <c r="R68" s="2339"/>
      <c r="S68" s="2375"/>
      <c r="U68" s="2380"/>
      <c r="W68" s="2513"/>
    </row>
    <row r="69" spans="4:34" x14ac:dyDescent="0.2">
      <c r="D69" s="2348" t="s">
        <v>251</v>
      </c>
      <c r="F69" s="2347" t="str">
        <f>'!Egen_Kap'!$F$165</f>
        <v>Alle typer ≤ 4 meter</v>
      </c>
      <c r="H69" s="2339" t="s">
        <v>34</v>
      </c>
      <c r="I69" s="2339"/>
      <c r="J69" s="2337" t="s">
        <v>14</v>
      </c>
      <c r="O69" s="2353" t="b">
        <f>ISBLANK('!Egen_Kap'!$P$165)</f>
        <v>1</v>
      </c>
      <c r="P69" s="2339"/>
      <c r="Q69" s="2376">
        <f>'!Egen_Kap'!$P$165</f>
        <v>0</v>
      </c>
      <c r="R69" s="2339"/>
      <c r="S69" s="2375">
        <v>15</v>
      </c>
      <c r="U69" s="2379">
        <f>IF(O69=TRUE,S69,Q69)</f>
        <v>15</v>
      </c>
      <c r="W69" s="2513" t="str">
        <f>IF(O69=TRUE,$F$5,$F$3)</f>
        <v>Standard</v>
      </c>
      <c r="AF69" s="2340">
        <v>12</v>
      </c>
    </row>
    <row r="70" spans="4:34" x14ac:dyDescent="0.2">
      <c r="H70" s="2339"/>
      <c r="I70" s="2339"/>
      <c r="O70" s="2353"/>
      <c r="P70" s="2339"/>
      <c r="Q70" s="2376"/>
      <c r="R70" s="2339"/>
      <c r="S70" s="2375"/>
      <c r="U70" s="2380"/>
      <c r="W70" s="2513"/>
      <c r="AF70" s="2340"/>
    </row>
    <row r="71" spans="4:34" x14ac:dyDescent="0.2">
      <c r="D71" s="2348" t="s">
        <v>251</v>
      </c>
      <c r="F71" s="2347" t="str">
        <f>'!Egen_Kap'!$F$167</f>
        <v>Alle typer &gt; 4 meter</v>
      </c>
      <c r="H71" s="2339" t="s">
        <v>35</v>
      </c>
      <c r="I71" s="2339"/>
      <c r="J71" s="2337" t="s">
        <v>14</v>
      </c>
      <c r="O71" s="2353" t="b">
        <f>ISBLANK('!Egen_Kap'!$P$167)</f>
        <v>1</v>
      </c>
      <c r="P71" s="2339"/>
      <c r="Q71" s="2376">
        <f>'!Egen_Kap'!$P$167</f>
        <v>0</v>
      </c>
      <c r="R71" s="2339"/>
      <c r="S71" s="2375">
        <v>7.5</v>
      </c>
      <c r="U71" s="2379">
        <f>IF(O71=TRUE,S71,Q71)</f>
        <v>7.5</v>
      </c>
      <c r="W71" s="2513" t="str">
        <f>IF(O71=TRUE,$F$5,$F$3)</f>
        <v>Standard</v>
      </c>
      <c r="AF71" s="2340">
        <v>6</v>
      </c>
    </row>
    <row r="72" spans="4:34" x14ac:dyDescent="0.2">
      <c r="D72" s="2349"/>
      <c r="H72" s="2339"/>
      <c r="I72" s="2339"/>
      <c r="O72" s="2353"/>
      <c r="P72" s="2339"/>
      <c r="Q72" s="2376"/>
      <c r="R72" s="2339"/>
      <c r="S72" s="2375"/>
      <c r="U72" s="2380"/>
      <c r="W72" s="2513"/>
      <c r="AF72" s="2340"/>
    </row>
    <row r="73" spans="4:34" x14ac:dyDescent="0.2">
      <c r="D73" s="2349"/>
      <c r="H73" s="2339"/>
      <c r="I73" s="2339"/>
      <c r="O73" s="2353"/>
      <c r="P73" s="2339"/>
      <c r="Q73" s="2376"/>
      <c r="R73" s="2339"/>
      <c r="S73" s="2375"/>
      <c r="U73" s="2380"/>
      <c r="W73" s="2513"/>
      <c r="AF73" s="2340"/>
    </row>
    <row r="74" spans="4:34" x14ac:dyDescent="0.2">
      <c r="D74" s="2348" t="s">
        <v>251</v>
      </c>
      <c r="F74" s="2347" t="str">
        <f>'!Egen_Kap'!$F$174</f>
        <v>Bergbånd</v>
      </c>
      <c r="H74" s="2339" t="s">
        <v>36</v>
      </c>
      <c r="I74" s="2339"/>
      <c r="J74" s="2337" t="s">
        <v>37</v>
      </c>
      <c r="O74" s="2353" t="b">
        <f>ISBLANK('!Egen_Kap'!$P$174)</f>
        <v>1</v>
      </c>
      <c r="P74" s="2339"/>
      <c r="Q74" s="2376">
        <f>'!Egen_Kap'!$P$174</f>
        <v>0</v>
      </c>
      <c r="R74" s="2339"/>
      <c r="S74" s="2375">
        <v>25</v>
      </c>
      <c r="U74" s="2379">
        <f>IF(O74=TRUE,S74,Q74)</f>
        <v>25</v>
      </c>
      <c r="W74" s="2513" t="str">
        <f>IF(O74=TRUE,$F$5,$F$3)</f>
        <v>Standard</v>
      </c>
      <c r="AF74" s="2343">
        <v>25</v>
      </c>
    </row>
    <row r="75" spans="4:34" x14ac:dyDescent="0.2">
      <c r="D75" s="2348" t="s">
        <v>251</v>
      </c>
      <c r="F75" s="2347" t="str">
        <f>'!Egen_Kap'!$F$176</f>
        <v>Nett</v>
      </c>
      <c r="H75" s="2339" t="s">
        <v>38</v>
      </c>
      <c r="I75" s="2339"/>
      <c r="J75" s="2337" t="s">
        <v>39</v>
      </c>
      <c r="O75" s="2353" t="b">
        <f>ISBLANK('!Egen_Kap'!$P$176)</f>
        <v>1</v>
      </c>
      <c r="P75" s="2339"/>
      <c r="Q75" s="2376">
        <f>'!Egen_Kap'!$P$176</f>
        <v>0</v>
      </c>
      <c r="R75" s="2339"/>
      <c r="S75" s="2375">
        <v>10</v>
      </c>
      <c r="U75" s="2379">
        <f>IF(O75=TRUE,S75,Q75)</f>
        <v>10</v>
      </c>
      <c r="W75" s="2513" t="str">
        <f>IF(O75=TRUE,$F$5,$F$3)</f>
        <v>Standard</v>
      </c>
      <c r="AF75" s="2343">
        <v>10</v>
      </c>
    </row>
    <row r="76" spans="4:34" x14ac:dyDescent="0.2">
      <c r="D76" s="2348" t="s">
        <v>251</v>
      </c>
      <c r="F76" s="2347" t="s">
        <v>1582</v>
      </c>
      <c r="H76" s="2339" t="s">
        <v>1582</v>
      </c>
      <c r="I76" s="2339"/>
      <c r="J76" s="2337" t="s">
        <v>14</v>
      </c>
      <c r="O76" s="2353" t="b">
        <f>ISBLANK('!Egen_Kap'!$P$178)</f>
        <v>1</v>
      </c>
      <c r="P76" s="2339"/>
      <c r="Q76" s="2376">
        <f>'!Egen_Kap'!$P$178</f>
        <v>0</v>
      </c>
      <c r="R76" s="2339"/>
      <c r="S76" s="2375">
        <f>S69</f>
        <v>15</v>
      </c>
      <c r="U76" s="2379">
        <f>IF(O76=TRUE,S76,Q76)</f>
        <v>15</v>
      </c>
      <c r="W76" s="2513" t="str">
        <f>IF(O76=TRUE,$F$5,$F$3)</f>
        <v>Standard</v>
      </c>
    </row>
    <row r="77" spans="4:34" x14ac:dyDescent="0.2">
      <c r="H77" s="2339"/>
      <c r="I77" s="2339"/>
      <c r="O77" s="2353"/>
      <c r="P77" s="2339"/>
      <c r="Q77" s="2376"/>
      <c r="R77" s="2339"/>
      <c r="S77" s="2375"/>
      <c r="U77" s="2380"/>
      <c r="W77" s="2513"/>
    </row>
    <row r="78" spans="4:34" x14ac:dyDescent="0.2">
      <c r="D78" s="2348" t="s">
        <v>251</v>
      </c>
      <c r="F78" s="2347" t="str">
        <f>'!Egen_Kap'!$F$187</f>
        <v>Sprøytebetong, all bruk</v>
      </c>
      <c r="H78" s="2339" t="s">
        <v>40</v>
      </c>
      <c r="I78" s="2339"/>
      <c r="J78" s="2337" t="s">
        <v>24</v>
      </c>
      <c r="O78" s="2353" t="b">
        <f>ISBLANK('!Egen_Kap'!$P$187)</f>
        <v>1</v>
      </c>
      <c r="P78" s="2339"/>
      <c r="Q78" s="2376">
        <f>'!Egen_Kap'!$P$187</f>
        <v>0</v>
      </c>
      <c r="R78" s="2339"/>
      <c r="S78" s="2375">
        <v>8</v>
      </c>
      <c r="U78" s="2379">
        <f>IF(O78=TRUE,S78,Q78)</f>
        <v>8</v>
      </c>
      <c r="W78" s="2513" t="str">
        <f>IF(O78=TRUE,$F$5,$F$3)</f>
        <v>Standard</v>
      </c>
      <c r="AF78" s="2340">
        <v>6</v>
      </c>
      <c r="AH78" s="2337">
        <v>0.125</v>
      </c>
    </row>
    <row r="79" spans="4:34" x14ac:dyDescent="0.2">
      <c r="O79" s="2353"/>
      <c r="P79" s="2338"/>
      <c r="Q79" s="2376"/>
      <c r="R79" s="2338"/>
      <c r="S79" s="2375"/>
      <c r="U79" s="2380"/>
      <c r="W79" s="2513"/>
    </row>
    <row r="80" spans="4:34" x14ac:dyDescent="0.2">
      <c r="D80" s="2348" t="s">
        <v>251</v>
      </c>
      <c r="F80" s="2347" t="str">
        <f>'!Egen_Kap'!$F$194</f>
        <v>Armeringer med mer</v>
      </c>
      <c r="H80" s="2339" t="s">
        <v>41</v>
      </c>
      <c r="I80" s="2339"/>
      <c r="J80" s="2337" t="s">
        <v>42</v>
      </c>
      <c r="O80" s="2353" t="b">
        <f>ISBLANK('!Egen_Kap'!$P$194)</f>
        <v>1</v>
      </c>
      <c r="P80" s="2339"/>
      <c r="Q80" s="2376">
        <f>'!Egen_Kap'!$P$194</f>
        <v>0</v>
      </c>
      <c r="R80" s="2339"/>
      <c r="S80" s="2375">
        <v>4</v>
      </c>
      <c r="U80" s="2379">
        <f>IF(O80=TRUE,S80,Q80)</f>
        <v>4</v>
      </c>
      <c r="W80" s="2513" t="str">
        <f>IF(O80=TRUE,$F$5,$F$3)</f>
        <v>Standard</v>
      </c>
      <c r="AF80" s="2343">
        <v>4</v>
      </c>
    </row>
    <row r="81" spans="4:32" x14ac:dyDescent="0.2">
      <c r="H81" s="2339"/>
      <c r="I81" s="2339"/>
      <c r="O81" s="2353"/>
      <c r="P81" s="2339"/>
      <c r="Q81" s="2376"/>
      <c r="R81" s="2339"/>
      <c r="S81" s="2375"/>
      <c r="U81" s="2380"/>
      <c r="W81" s="2513"/>
    </row>
    <row r="82" spans="4:32" x14ac:dyDescent="0.2">
      <c r="D82" s="2348" t="s">
        <v>251</v>
      </c>
      <c r="F82" s="2347" t="str">
        <f>'!Egen_Kap'!$F$201</f>
        <v>For 1., 2. og 3. støp</v>
      </c>
      <c r="H82" s="2339" t="s">
        <v>43</v>
      </c>
      <c r="I82" s="2339"/>
      <c r="J82" s="2337" t="s">
        <v>37</v>
      </c>
      <c r="O82" s="2353" t="b">
        <f>ISBLANK('!Egen_Kap'!$P$201)</f>
        <v>1</v>
      </c>
      <c r="P82" s="2339"/>
      <c r="Q82" s="2376">
        <f>'!Egen_Kap'!$P$201</f>
        <v>0</v>
      </c>
      <c r="R82" s="2339"/>
      <c r="S82" s="2375">
        <v>0.03</v>
      </c>
      <c r="U82" s="2379">
        <f>IF(O82=TRUE,S82,Q82)</f>
        <v>0.03</v>
      </c>
      <c r="W82" s="2513" t="str">
        <f>IF(O82=TRUE,$F$5,$F$3)</f>
        <v>Standard</v>
      </c>
      <c r="AF82" s="2340">
        <v>0.1</v>
      </c>
    </row>
    <row r="83" spans="4:32" x14ac:dyDescent="0.2">
      <c r="D83" s="2348" t="s">
        <v>251</v>
      </c>
      <c r="F83" s="2347" t="str">
        <f>'!Egen_Kap'!$F$203</f>
        <v>For 4. og
etterfølgende støper</v>
      </c>
      <c r="H83" s="2339" t="s">
        <v>44</v>
      </c>
      <c r="I83" s="2339"/>
      <c r="J83" s="2337" t="s">
        <v>37</v>
      </c>
      <c r="O83" s="2353" t="b">
        <f>ISBLANK('!Egen_Kap'!$P$203)</f>
        <v>1</v>
      </c>
      <c r="P83" s="2339"/>
      <c r="Q83" s="2376">
        <f>'!Egen_Kap'!$P$203</f>
        <v>0</v>
      </c>
      <c r="R83" s="2339"/>
      <c r="S83" s="2375">
        <v>0.1</v>
      </c>
      <c r="U83" s="2379">
        <f>IF(O83=TRUE,S83,Q83)</f>
        <v>0.1</v>
      </c>
      <c r="W83" s="2513" t="str">
        <f>IF(O83=TRUE,$F$5,$F$3)</f>
        <v>Standard</v>
      </c>
      <c r="AF83" s="2343">
        <v>0.1</v>
      </c>
    </row>
    <row r="84" spans="4:32" x14ac:dyDescent="0.2">
      <c r="H84" s="2339"/>
      <c r="I84" s="2339"/>
      <c r="O84" s="2353"/>
      <c r="P84" s="2339"/>
      <c r="Q84" s="2376"/>
      <c r="R84" s="2339"/>
      <c r="S84" s="2375"/>
      <c r="U84" s="2380"/>
      <c r="W84" s="2513"/>
    </row>
    <row r="85" spans="4:32" ht="15" thickBot="1" x14ac:dyDescent="0.25">
      <c r="D85" s="4235"/>
      <c r="E85" s="4236"/>
      <c r="F85" s="4237"/>
      <c r="G85" s="4235"/>
      <c r="H85" s="4238"/>
      <c r="I85" s="4238"/>
      <c r="J85" s="4235"/>
      <c r="K85" s="4235"/>
      <c r="L85" s="4235"/>
      <c r="M85" s="4235"/>
      <c r="N85" s="4235"/>
      <c r="O85" s="4239"/>
      <c r="P85" s="4238"/>
      <c r="Q85" s="4240"/>
      <c r="R85" s="4238"/>
      <c r="S85" s="4241"/>
      <c r="T85" s="4235"/>
      <c r="U85" s="4242"/>
      <c r="V85" s="4235"/>
      <c r="W85" s="4243"/>
    </row>
    <row r="86" spans="4:32" ht="15" thickTop="1" x14ac:dyDescent="0.2">
      <c r="H86" s="2339"/>
      <c r="I86" s="2339"/>
      <c r="O86" s="2353"/>
      <c r="P86" s="2339"/>
      <c r="Q86" s="2376"/>
      <c r="R86" s="2339"/>
      <c r="S86" s="2375"/>
      <c r="U86" s="2380"/>
      <c r="W86" s="2513"/>
    </row>
    <row r="87" spans="4:32" x14ac:dyDescent="0.2">
      <c r="F87" s="4234" t="s">
        <v>1417</v>
      </c>
      <c r="H87" s="2339"/>
      <c r="I87" s="2339"/>
      <c r="O87" s="2353"/>
      <c r="P87" s="2339"/>
      <c r="Q87" s="2376"/>
      <c r="R87" s="2339"/>
      <c r="S87" s="2375"/>
      <c r="U87" s="2380"/>
      <c r="W87" s="2513"/>
    </row>
    <row r="88" spans="4:32" x14ac:dyDescent="0.2">
      <c r="D88" s="2348" t="s">
        <v>251</v>
      </c>
      <c r="F88" s="2347" t="str">
        <f>'!Egen_Kap'!$F$165</f>
        <v>Alle typer ≤ 4 meter</v>
      </c>
      <c r="H88" s="2339" t="s">
        <v>34</v>
      </c>
      <c r="I88" s="2339"/>
      <c r="J88" s="2337" t="s">
        <v>14</v>
      </c>
      <c r="M88" s="433" t="s">
        <v>2032</v>
      </c>
      <c r="O88" s="4244" t="b">
        <v>1</v>
      </c>
      <c r="P88" s="2339"/>
      <c r="Q88" s="2376"/>
      <c r="R88" s="2339"/>
      <c r="S88" s="2375">
        <f>$S$69</f>
        <v>15</v>
      </c>
      <c r="U88" s="2379">
        <f>IF(O88=TRUE,S88,Q88)</f>
        <v>15</v>
      </c>
      <c r="W88" s="2513" t="str">
        <f>IF(O88=TRUE,$F$5,$F$3)</f>
        <v>Standard</v>
      </c>
    </row>
    <row r="89" spans="4:32" x14ac:dyDescent="0.2">
      <c r="D89" s="2348" t="s">
        <v>251</v>
      </c>
      <c r="F89" s="2347" t="str">
        <f>'!Egen_Kap'!$F$167</f>
        <v>Alle typer &gt; 4 meter</v>
      </c>
      <c r="H89" s="2339" t="s">
        <v>35</v>
      </c>
      <c r="I89" s="2339"/>
      <c r="J89" s="2337" t="s">
        <v>14</v>
      </c>
      <c r="M89" s="433" t="s">
        <v>2032</v>
      </c>
      <c r="O89" s="4244" t="b">
        <v>1</v>
      </c>
      <c r="P89" s="2339"/>
      <c r="Q89" s="2376"/>
      <c r="R89" s="2339"/>
      <c r="S89" s="2375">
        <f>$S$71</f>
        <v>7.5</v>
      </c>
      <c r="U89" s="2379">
        <f>IF(O89=TRUE,S89,Q89)</f>
        <v>7.5</v>
      </c>
      <c r="W89" s="2513" t="str">
        <f>IF(O89=TRUE,$F$5,$F$3)</f>
        <v>Standard</v>
      </c>
    </row>
    <row r="90" spans="4:32" x14ac:dyDescent="0.2">
      <c r="Q90" s="2376"/>
      <c r="R90" s="2339"/>
      <c r="S90" s="2375"/>
      <c r="U90" s="2380"/>
      <c r="W90" s="2513"/>
    </row>
    <row r="91" spans="4:32" x14ac:dyDescent="0.2">
      <c r="F91" s="4234" t="s">
        <v>2033</v>
      </c>
      <c r="H91" s="2339"/>
      <c r="I91" s="2339"/>
      <c r="O91" s="2353"/>
      <c r="P91" s="2339"/>
      <c r="Q91" s="2376"/>
      <c r="R91" s="2339"/>
      <c r="S91" s="2375"/>
      <c r="U91" s="2380"/>
      <c r="W91" s="2513"/>
    </row>
    <row r="92" spans="4:32" x14ac:dyDescent="0.2">
      <c r="D92" s="2348" t="s">
        <v>251</v>
      </c>
      <c r="F92" s="2347" t="str">
        <f>'!Egen_Kap'!$F$165</f>
        <v>Alle typer ≤ 4 meter</v>
      </c>
      <c r="H92" s="2339" t="s">
        <v>34</v>
      </c>
      <c r="I92" s="2339"/>
      <c r="J92" s="2337" t="s">
        <v>14</v>
      </c>
      <c r="M92" s="433" t="s">
        <v>2032</v>
      </c>
      <c r="O92" s="4244" t="b">
        <v>1</v>
      </c>
      <c r="P92" s="2339"/>
      <c r="Q92" s="2376"/>
      <c r="R92" s="2339"/>
      <c r="S92" s="2375">
        <f>$S$69</f>
        <v>15</v>
      </c>
      <c r="U92" s="2379">
        <f>IF(O92=TRUE,S92,Q92)</f>
        <v>15</v>
      </c>
      <c r="W92" s="2513" t="str">
        <f>IF(O92=TRUE,$F$5,$F$3)</f>
        <v>Standard</v>
      </c>
    </row>
    <row r="93" spans="4:32" x14ac:dyDescent="0.2">
      <c r="D93" s="2348" t="s">
        <v>251</v>
      </c>
      <c r="F93" s="2347" t="str">
        <f>'!Egen_Kap'!$F$167</f>
        <v>Alle typer &gt; 4 meter</v>
      </c>
      <c r="H93" s="2339" t="s">
        <v>35</v>
      </c>
      <c r="I93" s="2339"/>
      <c r="J93" s="2337" t="s">
        <v>14</v>
      </c>
      <c r="M93" s="433" t="s">
        <v>2032</v>
      </c>
      <c r="O93" s="4244" t="b">
        <v>1</v>
      </c>
      <c r="P93" s="2339"/>
      <c r="Q93" s="2376"/>
      <c r="R93" s="2339"/>
      <c r="S93" s="2375">
        <f>$S$71</f>
        <v>7.5</v>
      </c>
      <c r="U93" s="2379">
        <f>IF(O93=TRUE,S93,Q93)</f>
        <v>7.5</v>
      </c>
      <c r="W93" s="2513" t="str">
        <f>IF(O93=TRUE,$F$5,$F$3)</f>
        <v>Standard</v>
      </c>
    </row>
    <row r="94" spans="4:32" x14ac:dyDescent="0.2">
      <c r="Q94" s="2376"/>
      <c r="R94" s="2339"/>
      <c r="S94" s="2375"/>
      <c r="U94" s="2380"/>
      <c r="W94" s="2513"/>
    </row>
    <row r="95" spans="4:32" ht="15" x14ac:dyDescent="0.2">
      <c r="F95" s="4245" t="s">
        <v>106</v>
      </c>
      <c r="Q95" s="2376"/>
      <c r="R95" s="2339"/>
      <c r="S95" s="2375"/>
      <c r="U95" s="2380"/>
      <c r="W95" s="2513"/>
    </row>
    <row r="96" spans="4:32" x14ac:dyDescent="0.2">
      <c r="Q96" s="2376"/>
      <c r="R96" s="2339"/>
      <c r="S96" s="2375"/>
      <c r="U96" s="2380"/>
      <c r="W96" s="2513"/>
    </row>
    <row r="97" spans="4:34" x14ac:dyDescent="0.2">
      <c r="F97" s="4234" t="s">
        <v>2034</v>
      </c>
      <c r="H97" s="2339"/>
      <c r="I97" s="2339"/>
      <c r="O97" s="2353"/>
      <c r="P97" s="2339"/>
      <c r="Q97" s="2376"/>
      <c r="R97" s="2339"/>
      <c r="S97" s="2375"/>
      <c r="U97" s="2380"/>
      <c r="W97" s="2513"/>
    </row>
    <row r="98" spans="4:34" x14ac:dyDescent="0.2">
      <c r="D98" s="2348" t="s">
        <v>251</v>
      </c>
      <c r="F98" s="2347" t="str">
        <f>'!Egen_Kap'!$F$165</f>
        <v>Alle typer ≤ 4 meter</v>
      </c>
      <c r="H98" s="2339" t="s">
        <v>34</v>
      </c>
      <c r="I98" s="2339"/>
      <c r="J98" s="2337" t="s">
        <v>14</v>
      </c>
      <c r="M98" s="433" t="s">
        <v>2032</v>
      </c>
      <c r="O98" s="4244" t="b">
        <v>1</v>
      </c>
      <c r="P98" s="2339"/>
      <c r="Q98" s="2376"/>
      <c r="R98" s="2339"/>
      <c r="S98" s="2375">
        <f>$S$69</f>
        <v>15</v>
      </c>
      <c r="U98" s="2379">
        <f>IF(O98=TRUE,S98,Q98)</f>
        <v>15</v>
      </c>
      <c r="W98" s="2513" t="str">
        <f>IF(O98=TRUE,$F$5,$F$3)</f>
        <v>Standard</v>
      </c>
    </row>
    <row r="99" spans="4:34" x14ac:dyDescent="0.2">
      <c r="D99" s="2348" t="s">
        <v>251</v>
      </c>
      <c r="F99" s="2347" t="str">
        <f>'!Egen_Kap'!$F$167</f>
        <v>Alle typer &gt; 4 meter</v>
      </c>
      <c r="H99" s="2339" t="s">
        <v>35</v>
      </c>
      <c r="I99" s="2339"/>
      <c r="J99" s="2337" t="s">
        <v>14</v>
      </c>
      <c r="M99" s="433" t="s">
        <v>2032</v>
      </c>
      <c r="O99" s="4244" t="b">
        <v>1</v>
      </c>
      <c r="P99" s="2339"/>
      <c r="Q99" s="2376"/>
      <c r="R99" s="2339"/>
      <c r="S99" s="2375">
        <f>$S$71</f>
        <v>7.5</v>
      </c>
      <c r="U99" s="2379">
        <f>IF(O99=TRUE,S99,Q99)</f>
        <v>7.5</v>
      </c>
      <c r="W99" s="2513" t="str">
        <f>IF(O99=TRUE,$F$5,$F$3)</f>
        <v>Standard</v>
      </c>
    </row>
    <row r="100" spans="4:34" x14ac:dyDescent="0.2">
      <c r="Q100" s="2376"/>
      <c r="R100" s="2339"/>
      <c r="S100" s="2375"/>
      <c r="U100" s="2380"/>
      <c r="W100" s="2513"/>
    </row>
    <row r="101" spans="4:34" x14ac:dyDescent="0.2">
      <c r="F101" s="4234" t="s">
        <v>2035</v>
      </c>
      <c r="Q101" s="2376"/>
      <c r="R101" s="2339"/>
      <c r="S101" s="2375"/>
      <c r="U101" s="2380"/>
      <c r="W101" s="2513"/>
    </row>
    <row r="102" spans="4:34" x14ac:dyDescent="0.2">
      <c r="D102" s="2348" t="s">
        <v>251</v>
      </c>
      <c r="F102" s="2347" t="str">
        <f>'!Egen_Kap'!$F$167</f>
        <v>Alle typer &gt; 4 meter</v>
      </c>
      <c r="H102" s="2339" t="s">
        <v>35</v>
      </c>
      <c r="I102" s="2339"/>
      <c r="J102" s="2337" t="s">
        <v>14</v>
      </c>
      <c r="M102" s="433" t="s">
        <v>2032</v>
      </c>
      <c r="O102" s="4244" t="b">
        <v>1</v>
      </c>
      <c r="P102" s="2339"/>
      <c r="Q102" s="2376"/>
      <c r="R102" s="2339"/>
      <c r="S102" s="2375">
        <f>$S$78</f>
        <v>8</v>
      </c>
      <c r="U102" s="2379">
        <f>IF(O102=TRUE,S102,Q102)</f>
        <v>8</v>
      </c>
      <c r="W102" s="2513" t="str">
        <f>IF(O102=TRUE,$F$5,$F$3)</f>
        <v>Standard</v>
      </c>
    </row>
    <row r="103" spans="4:34" x14ac:dyDescent="0.2">
      <c r="Q103" s="2376"/>
      <c r="R103" s="2339"/>
      <c r="S103" s="2375"/>
      <c r="U103" s="2380"/>
      <c r="W103" s="2513"/>
    </row>
    <row r="104" spans="4:34" x14ac:dyDescent="0.2">
      <c r="F104" s="4234" t="s">
        <v>2036</v>
      </c>
      <c r="H104" s="2339"/>
      <c r="I104" s="2339"/>
      <c r="O104" s="2353"/>
      <c r="P104" s="2339"/>
      <c r="Q104" s="2376"/>
      <c r="R104" s="2339"/>
      <c r="S104" s="2375"/>
      <c r="U104" s="2380"/>
      <c r="W104" s="2513"/>
    </row>
    <row r="105" spans="4:34" x14ac:dyDescent="0.2">
      <c r="D105" s="2348" t="s">
        <v>251</v>
      </c>
      <c r="F105" s="2347" t="str">
        <f>'!Egen_Kap'!$F$165</f>
        <v>Alle typer ≤ 4 meter</v>
      </c>
      <c r="H105" s="2339" t="s">
        <v>34</v>
      </c>
      <c r="I105" s="2339"/>
      <c r="J105" s="2337" t="s">
        <v>14</v>
      </c>
      <c r="M105" s="433" t="s">
        <v>2032</v>
      </c>
      <c r="O105" s="4244" t="b">
        <v>1</v>
      </c>
      <c r="P105" s="2339"/>
      <c r="Q105" s="2376"/>
      <c r="R105" s="2339"/>
      <c r="S105" s="2375">
        <f>$S$69</f>
        <v>15</v>
      </c>
      <c r="U105" s="2379">
        <f>IF(O105=TRUE,S105,Q105)</f>
        <v>15</v>
      </c>
      <c r="W105" s="2513" t="str">
        <f>IF(O105=TRUE,$F$5,$F$3)</f>
        <v>Standard</v>
      </c>
    </row>
    <row r="106" spans="4:34" x14ac:dyDescent="0.2">
      <c r="D106" s="2348" t="s">
        <v>251</v>
      </c>
      <c r="F106" s="2347" t="str">
        <f>'!Egen_Kap'!$F$167</f>
        <v>Alle typer &gt; 4 meter</v>
      </c>
      <c r="H106" s="2339" t="s">
        <v>35</v>
      </c>
      <c r="I106" s="2339"/>
      <c r="J106" s="2337" t="s">
        <v>14</v>
      </c>
      <c r="M106" s="433" t="s">
        <v>2032</v>
      </c>
      <c r="O106" s="4244" t="b">
        <v>1</v>
      </c>
      <c r="P106" s="2339"/>
      <c r="Q106" s="2376"/>
      <c r="R106" s="2339"/>
      <c r="S106" s="2375">
        <f>$S$71</f>
        <v>7.5</v>
      </c>
      <c r="U106" s="2379">
        <f>IF(O106=TRUE,S106,Q106)</f>
        <v>7.5</v>
      </c>
      <c r="W106" s="2513" t="str">
        <f>IF(O106=TRUE,$F$5,$F$3)</f>
        <v>Standard</v>
      </c>
    </row>
    <row r="110" spans="4:34" ht="15" x14ac:dyDescent="0.2">
      <c r="S110" s="2342" t="s">
        <v>21</v>
      </c>
      <c r="T110" s="2341"/>
      <c r="AF110" s="2342" t="s">
        <v>22</v>
      </c>
    </row>
    <row r="111" spans="4:34" ht="15" x14ac:dyDescent="0.2">
      <c r="J111" s="2341"/>
      <c r="S111" s="2342" t="s">
        <v>8</v>
      </c>
      <c r="T111" s="2341"/>
      <c r="U111" s="2341"/>
      <c r="V111" s="2341"/>
      <c r="W111" s="2512"/>
      <c r="X111" s="2341"/>
      <c r="Y111" s="2341"/>
      <c r="Z111" s="2341"/>
      <c r="AA111" s="2341"/>
      <c r="AB111" s="2341"/>
      <c r="AC111" s="2341"/>
      <c r="AD111" s="2341"/>
      <c r="AE111" s="2341"/>
      <c r="AF111" s="2342" t="s">
        <v>8</v>
      </c>
      <c r="AG111" s="2341"/>
      <c r="AH111" s="2341" t="s">
        <v>88</v>
      </c>
    </row>
    <row r="112" spans="4:34" x14ac:dyDescent="0.2">
      <c r="H112" s="2339" t="s">
        <v>89</v>
      </c>
      <c r="I112" s="2339"/>
      <c r="J112" s="2337" t="s">
        <v>39</v>
      </c>
      <c r="O112" s="2356"/>
      <c r="P112" s="2339"/>
      <c r="Q112" s="2339"/>
      <c r="R112" s="2339"/>
      <c r="AF112" s="2343">
        <v>0.02</v>
      </c>
    </row>
    <row r="113" spans="8:32" x14ac:dyDescent="0.2">
      <c r="H113" s="2339" t="s">
        <v>90</v>
      </c>
      <c r="I113" s="2339"/>
      <c r="J113" s="2337" t="s">
        <v>39</v>
      </c>
      <c r="O113" s="2356"/>
      <c r="P113" s="2339"/>
      <c r="Q113" s="2339"/>
      <c r="R113" s="2339"/>
      <c r="AF113" s="2343">
        <v>0.02</v>
      </c>
    </row>
    <row r="114" spans="8:32" x14ac:dyDescent="0.2">
      <c r="H114" s="2339" t="s">
        <v>91</v>
      </c>
      <c r="I114" s="2339"/>
      <c r="J114" s="2337" t="s">
        <v>39</v>
      </c>
      <c r="O114" s="2356"/>
      <c r="P114" s="2339"/>
      <c r="Q114" s="2339"/>
      <c r="R114" s="2339"/>
      <c r="AF114" s="2343">
        <v>0.03</v>
      </c>
    </row>
    <row r="115" spans="8:32" x14ac:dyDescent="0.2">
      <c r="H115" s="2339" t="s">
        <v>92</v>
      </c>
      <c r="I115" s="2339"/>
      <c r="J115" s="2337" t="s">
        <v>39</v>
      </c>
      <c r="O115" s="2356"/>
      <c r="P115" s="2339"/>
      <c r="Q115" s="2339"/>
      <c r="R115" s="2339"/>
      <c r="AF115" s="2343">
        <v>0.05</v>
      </c>
    </row>
    <row r="116" spans="8:32" x14ac:dyDescent="0.2">
      <c r="H116" s="2339" t="s">
        <v>93</v>
      </c>
      <c r="I116" s="2339"/>
      <c r="J116" s="2337" t="s">
        <v>39</v>
      </c>
      <c r="O116" s="2356"/>
      <c r="P116" s="2339"/>
      <c r="Q116" s="2339"/>
      <c r="R116" s="2339"/>
      <c r="AF116" s="2343">
        <v>0.2</v>
      </c>
    </row>
    <row r="117" spans="8:32" x14ac:dyDescent="0.2">
      <c r="H117" s="2339" t="s">
        <v>94</v>
      </c>
      <c r="I117" s="2339"/>
      <c r="J117" s="2337" t="s">
        <v>39</v>
      </c>
      <c r="O117" s="2356"/>
      <c r="P117" s="2339"/>
      <c r="Q117" s="2339"/>
      <c r="R117" s="2339"/>
      <c r="AF117" s="2343">
        <v>0.2</v>
      </c>
    </row>
    <row r="118" spans="8:32" x14ac:dyDescent="0.2">
      <c r="H118" s="2339" t="s">
        <v>95</v>
      </c>
      <c r="I118" s="2339"/>
      <c r="J118" s="2337" t="s">
        <v>39</v>
      </c>
      <c r="O118" s="2356"/>
      <c r="P118" s="2339"/>
      <c r="Q118" s="2339"/>
      <c r="R118" s="2339"/>
      <c r="AF118" s="2343">
        <v>0.3</v>
      </c>
    </row>
    <row r="119" spans="8:32" x14ac:dyDescent="0.2">
      <c r="H119" s="2339" t="s">
        <v>96</v>
      </c>
      <c r="I119" s="2339"/>
      <c r="J119" s="2337" t="s">
        <v>39</v>
      </c>
      <c r="O119" s="2356"/>
      <c r="P119" s="2339"/>
      <c r="Q119" s="2339"/>
      <c r="R119" s="2339"/>
      <c r="AF119" s="2343">
        <v>0.4</v>
      </c>
    </row>
  </sheetData>
  <mergeCells count="1">
    <mergeCell ref="D10:H10"/>
  </mergeCells>
  <conditionalFormatting sqref="O15:O44 O88:O89 O59:O83">
    <cfRule type="containsText" dxfId="173" priority="12" operator="containsText" text="FALSE">
      <formula>NOT(ISERROR(SEARCH("FALSE",O15)))</formula>
    </cfRule>
  </conditionalFormatting>
  <conditionalFormatting sqref="O84:O87">
    <cfRule type="containsText" dxfId="172" priority="10" operator="containsText" text="FALSE">
      <formula>NOT(ISERROR(SEARCH("FALSE",O84)))</formula>
    </cfRule>
  </conditionalFormatting>
  <conditionalFormatting sqref="O92:O93">
    <cfRule type="containsText" dxfId="171" priority="9" operator="containsText" text="FALSE">
      <formula>NOT(ISERROR(SEARCH("FALSE",O92)))</formula>
    </cfRule>
  </conditionalFormatting>
  <conditionalFormatting sqref="O91">
    <cfRule type="containsText" dxfId="170" priority="8" operator="containsText" text="FALSE">
      <formula>NOT(ISERROR(SEARCH("FALSE",O91)))</formula>
    </cfRule>
  </conditionalFormatting>
  <conditionalFormatting sqref="O98:O99">
    <cfRule type="containsText" dxfId="169" priority="7" operator="containsText" text="FALSE">
      <formula>NOT(ISERROR(SEARCH("FALSE",O98)))</formula>
    </cfRule>
  </conditionalFormatting>
  <conditionalFormatting sqref="O97">
    <cfRule type="containsText" dxfId="168" priority="6" operator="containsText" text="FALSE">
      <formula>NOT(ISERROR(SEARCH("FALSE",O97)))</formula>
    </cfRule>
  </conditionalFormatting>
  <conditionalFormatting sqref="O102">
    <cfRule type="containsText" dxfId="167" priority="5" operator="containsText" text="FALSE">
      <formula>NOT(ISERROR(SEARCH("FALSE",O102)))</formula>
    </cfRule>
  </conditionalFormatting>
  <conditionalFormatting sqref="O105:O106">
    <cfRule type="containsText" dxfId="166" priority="4" operator="containsText" text="FALSE">
      <formula>NOT(ISERROR(SEARCH("FALSE",O105)))</formula>
    </cfRule>
  </conditionalFormatting>
  <conditionalFormatting sqref="O104">
    <cfRule type="containsText" dxfId="165" priority="3" operator="containsText" text="FALSE">
      <formula>NOT(ISERROR(SEARCH("FALSE",O104)))</formula>
    </cfRule>
  </conditionalFormatting>
  <conditionalFormatting sqref="O46:O58">
    <cfRule type="containsText" dxfId="164" priority="2" operator="containsText" text="FALSE">
      <formula>NOT(ISERROR(SEARCH("FALSE",O46)))</formula>
    </cfRule>
  </conditionalFormatting>
  <conditionalFormatting sqref="O45">
    <cfRule type="containsText" dxfId="163" priority="1" operator="containsText" text="FALSE">
      <formula>NOT(ISERROR(SEARCH("FALSE",O45)))</formula>
    </cfRule>
  </conditionalFormatting>
  <pageMargins left="0.7" right="0.7" top="0.75" bottom="0.75" header="0.3" footer="0.3"/>
  <pageSetup scale="2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E858A-4EF7-45F1-944A-5884CDB61142}">
  <sheetPr>
    <pageSetUpPr fitToPage="1"/>
  </sheetPr>
  <dimension ref="A3:AE99"/>
  <sheetViews>
    <sheetView workbookViewId="0"/>
  </sheetViews>
  <sheetFormatPr defaultColWidth="8.875" defaultRowHeight="14.25" x14ac:dyDescent="0.2"/>
  <cols>
    <col min="1" max="1" width="8.875" style="2337"/>
    <col min="2" max="2" width="11.25" style="2337" bestFit="1" customWidth="1"/>
    <col min="3" max="4" width="8.875" style="2337"/>
    <col min="5" max="5" width="2.625" style="181" customWidth="1"/>
    <col min="6" max="6" width="20.5" style="2347" customWidth="1"/>
    <col min="7" max="7" width="2.625" style="2337" customWidth="1"/>
    <col min="8" max="8" width="58.125" style="2338" customWidth="1"/>
    <col min="9" max="9" width="2.625" style="2338" customWidth="1"/>
    <col min="10" max="10" width="8.875" style="2337"/>
    <col min="11" max="14" width="2.625" style="2337" customWidth="1"/>
    <col min="15" max="15" width="14.125" style="2349" bestFit="1" customWidth="1"/>
    <col min="16" max="16" width="2.625" style="2337" customWidth="1"/>
    <col min="17" max="17" width="15.625" style="2337" customWidth="1"/>
    <col min="18" max="18" width="2.625" style="2337" customWidth="1"/>
    <col min="19" max="19" width="15.625" style="2343" customWidth="1"/>
    <col min="20" max="20" width="2.625" style="2337" customWidth="1"/>
    <col min="21" max="21" width="15.625" style="2337" customWidth="1"/>
    <col min="22" max="22" width="8.875" style="2337"/>
    <col min="23" max="23" width="8.875" style="2511"/>
    <col min="24" max="34" width="8.875" style="2337"/>
    <col min="35" max="35" width="31.625" style="2337" customWidth="1"/>
    <col min="36" max="16384" width="8.875" style="2337"/>
  </cols>
  <sheetData>
    <row r="3" spans="1:31" x14ac:dyDescent="0.2">
      <c r="B3" s="3846" t="str">
        <f>Prosjektinfo!F39</f>
        <v>Beregnet av</v>
      </c>
      <c r="C3" s="3847" t="s">
        <v>1639</v>
      </c>
    </row>
    <row r="6" spans="1:31" ht="44.25" x14ac:dyDescent="0.2">
      <c r="D6" s="4147" t="s">
        <v>1677</v>
      </c>
      <c r="J6" s="4180"/>
      <c r="K6" s="4181" t="s">
        <v>862</v>
      </c>
      <c r="L6" s="4182"/>
      <c r="M6" s="4180"/>
      <c r="N6" s="4180"/>
      <c r="O6" s="4183"/>
      <c r="P6" s="4180"/>
      <c r="Q6" s="4180"/>
      <c r="R6" s="4180"/>
      <c r="S6" s="4184"/>
      <c r="T6" s="4180"/>
      <c r="U6" s="4180"/>
      <c r="V6" s="4180"/>
      <c r="W6" s="4185"/>
      <c r="X6" s="4180"/>
    </row>
    <row r="9" spans="1:31" ht="50.1" customHeight="1" x14ac:dyDescent="0.2">
      <c r="D9" s="7255" t="s">
        <v>1675</v>
      </c>
      <c r="E9" s="7255"/>
      <c r="F9" s="7255"/>
      <c r="G9" s="7255"/>
      <c r="H9" s="7255"/>
    </row>
    <row r="11" spans="1:31" s="2367" customFormat="1" ht="62.25" customHeight="1" thickBot="1" x14ac:dyDescent="0.3">
      <c r="D11" s="4148" t="s">
        <v>475</v>
      </c>
      <c r="E11" s="4148"/>
      <c r="F11" s="4149" t="s">
        <v>835</v>
      </c>
      <c r="G11" s="4148"/>
      <c r="H11" s="4150" t="s">
        <v>1680</v>
      </c>
      <c r="I11" s="4150"/>
      <c r="J11" s="4148" t="s">
        <v>837</v>
      </c>
      <c r="K11" s="4148"/>
      <c r="L11" s="4148"/>
      <c r="M11" s="4148"/>
      <c r="N11" s="4148"/>
      <c r="O11" s="4151" t="s">
        <v>834</v>
      </c>
      <c r="P11" s="4148"/>
      <c r="Q11" s="4152" t="s">
        <v>838</v>
      </c>
      <c r="R11" s="4148"/>
      <c r="S11" s="4153" t="s">
        <v>1678</v>
      </c>
      <c r="T11" s="4154"/>
      <c r="U11" s="4154" t="s">
        <v>839</v>
      </c>
      <c r="V11" s="4148"/>
      <c r="W11" s="4155" t="s">
        <v>850</v>
      </c>
      <c r="X11" s="4148"/>
      <c r="Y11" s="4148"/>
      <c r="Z11" s="4148"/>
      <c r="AA11" s="4148"/>
      <c r="AB11" s="4148"/>
      <c r="AC11" s="4148"/>
      <c r="AD11" s="4148"/>
      <c r="AE11" s="4148"/>
    </row>
    <row r="12" spans="1:31" s="2367" customFormat="1" ht="36" customHeight="1" x14ac:dyDescent="0.25">
      <c r="F12" s="2368"/>
      <c r="H12" s="2369"/>
      <c r="I12" s="2369"/>
      <c r="O12" s="1605"/>
      <c r="Q12" s="2370"/>
      <c r="S12" s="2374"/>
      <c r="T12" s="2371"/>
      <c r="U12" s="2341"/>
      <c r="W12" s="2511"/>
    </row>
    <row r="13" spans="1:31" ht="15" x14ac:dyDescent="0.2">
      <c r="J13" s="2341"/>
      <c r="S13" s="2342"/>
      <c r="T13" s="2341"/>
      <c r="U13" s="2341"/>
      <c r="V13" s="2341"/>
      <c r="W13" s="2512"/>
      <c r="X13" s="2341"/>
      <c r="Y13" s="2341"/>
      <c r="Z13" s="2341"/>
      <c r="AA13" s="2341"/>
      <c r="AB13" s="2341"/>
      <c r="AC13" s="2341"/>
      <c r="AD13" s="2341"/>
      <c r="AE13" s="2341"/>
    </row>
    <row r="14" spans="1:31" ht="15" hidden="1" x14ac:dyDescent="0.2">
      <c r="A14" s="7256" t="s">
        <v>1679</v>
      </c>
      <c r="B14" s="4157" t="s">
        <v>299</v>
      </c>
      <c r="C14" s="4158"/>
      <c r="D14" s="4159" t="s">
        <v>251</v>
      </c>
      <c r="E14" s="4160"/>
      <c r="F14" s="4161" t="str">
        <f>'!Egen_Kap'!$F$110</f>
        <v>Sondérboring</v>
      </c>
      <c r="G14" s="4158"/>
      <c r="H14" s="4162" t="s">
        <v>9</v>
      </c>
      <c r="I14" s="4162"/>
      <c r="J14" s="4158" t="s">
        <v>10</v>
      </c>
      <c r="K14" s="4158"/>
      <c r="L14" s="4158"/>
      <c r="M14" s="4158"/>
      <c r="N14" s="4158"/>
      <c r="O14" s="4163" t="b">
        <f>ISBLANK('!Egen_Kap'!$P$110)</f>
        <v>1</v>
      </c>
      <c r="P14" s="4162"/>
      <c r="Q14" s="4164">
        <f>'!Egen_Kap'!$P$110</f>
        <v>0</v>
      </c>
      <c r="R14" s="4162"/>
      <c r="S14" s="4165">
        <v>60</v>
      </c>
      <c r="T14" s="4158"/>
      <c r="U14" s="4166">
        <f>IF(O14=TRUE,S14,Q14)</f>
        <v>60</v>
      </c>
      <c r="V14" s="4158"/>
      <c r="W14" s="4167" t="str">
        <f>IF(O14=TRUE,"",$C$3)</f>
        <v/>
      </c>
      <c r="X14" s="4158"/>
      <c r="Y14" s="4158"/>
      <c r="Z14" s="4158"/>
      <c r="AA14" s="4158"/>
      <c r="AB14" s="4158"/>
      <c r="AC14" s="4158"/>
      <c r="AD14" s="4158"/>
      <c r="AE14" s="4158"/>
    </row>
    <row r="15" spans="1:31" hidden="1" x14ac:dyDescent="0.2">
      <c r="A15" s="7256"/>
      <c r="B15" s="4158"/>
      <c r="C15" s="4158"/>
      <c r="D15" s="4159" t="s">
        <v>251</v>
      </c>
      <c r="E15" s="4160"/>
      <c r="F15" s="4161" t="str">
        <f>'!Egen_Kap'!$F$112</f>
        <v>Kjerneboring</v>
      </c>
      <c r="G15" s="4158"/>
      <c r="H15" s="4162" t="s">
        <v>11</v>
      </c>
      <c r="I15" s="4162"/>
      <c r="J15" s="4158" t="s">
        <v>10</v>
      </c>
      <c r="K15" s="4158"/>
      <c r="L15" s="4158"/>
      <c r="M15" s="4158"/>
      <c r="N15" s="4158"/>
      <c r="O15" s="4163" t="b">
        <f>ISBLANK('!Egen_Kap'!$P$112)</f>
        <v>1</v>
      </c>
      <c r="P15" s="4162"/>
      <c r="Q15" s="4164">
        <f>'!Egen_Kap'!$P$112</f>
        <v>0</v>
      </c>
      <c r="R15" s="4162"/>
      <c r="S15" s="4165">
        <v>60</v>
      </c>
      <c r="T15" s="4158"/>
      <c r="U15" s="4166">
        <f>IF(O15=TRUE,S15,Q15)</f>
        <v>60</v>
      </c>
      <c r="V15" s="4158"/>
      <c r="W15" s="4167" t="str">
        <f>IF(O15=TRUE,"",$C$3)</f>
        <v/>
      </c>
      <c r="X15" s="4158"/>
      <c r="Y15" s="4158"/>
      <c r="Z15" s="4158"/>
      <c r="AA15" s="4158"/>
      <c r="AB15" s="4158"/>
      <c r="AC15" s="4158"/>
      <c r="AD15" s="4158"/>
      <c r="AE15" s="4158"/>
    </row>
    <row r="16" spans="1:31" hidden="1" x14ac:dyDescent="0.2">
      <c r="A16" s="7256"/>
      <c r="B16" s="4158"/>
      <c r="C16" s="4158"/>
      <c r="D16" s="4159" t="s">
        <v>251</v>
      </c>
      <c r="E16" s="4160"/>
      <c r="F16" s="4161" t="str">
        <f>'!Egen_Kap'!$F$116</f>
        <v>Seismikk</v>
      </c>
      <c r="G16" s="4158"/>
      <c r="H16" s="4162" t="s">
        <v>12</v>
      </c>
      <c r="I16" s="4162"/>
      <c r="J16" s="4158"/>
      <c r="K16" s="4158"/>
      <c r="L16" s="4158"/>
      <c r="M16" s="4158"/>
      <c r="N16" s="4158"/>
      <c r="O16" s="4163" t="b">
        <f>ISBLANK('!Egen_Kap'!$P$116)</f>
        <v>1</v>
      </c>
      <c r="P16" s="4162"/>
      <c r="Q16" s="4164">
        <f>'!Egen_Kap'!$P$116</f>
        <v>0</v>
      </c>
      <c r="R16" s="4162"/>
      <c r="S16" s="4165">
        <v>1</v>
      </c>
      <c r="T16" s="4158"/>
      <c r="U16" s="4166">
        <f>IF(O16=TRUE,S16,Q16)</f>
        <v>1</v>
      </c>
      <c r="V16" s="4158"/>
      <c r="W16" s="4167" t="str">
        <f>IF(O16=TRUE,"",$C$3)</f>
        <v/>
      </c>
      <c r="X16" s="4158"/>
      <c r="Y16" s="4158"/>
      <c r="Z16" s="4158"/>
      <c r="AA16" s="4158"/>
      <c r="AB16" s="4158"/>
      <c r="AC16" s="4158"/>
      <c r="AD16" s="4158"/>
      <c r="AE16" s="4158"/>
    </row>
    <row r="17" spans="1:31" ht="15" hidden="1" x14ac:dyDescent="0.2">
      <c r="A17" s="7256"/>
      <c r="B17" s="4158"/>
      <c r="C17" s="4158"/>
      <c r="D17" s="4158"/>
      <c r="E17" s="4160"/>
      <c r="F17" s="4161"/>
      <c r="G17" s="4158"/>
      <c r="H17" s="4168" t="s">
        <v>3</v>
      </c>
      <c r="I17" s="4168"/>
      <c r="J17" s="4158"/>
      <c r="K17" s="4158"/>
      <c r="L17" s="4158"/>
      <c r="M17" s="4158"/>
      <c r="N17" s="4158"/>
      <c r="O17" s="4163"/>
      <c r="P17" s="4168"/>
      <c r="Q17" s="4164"/>
      <c r="R17" s="4168"/>
      <c r="S17" s="4165"/>
      <c r="T17" s="4158"/>
      <c r="U17" s="4169"/>
      <c r="V17" s="4158"/>
      <c r="W17" s="4167"/>
      <c r="X17" s="4158"/>
      <c r="Y17" s="4158"/>
      <c r="Z17" s="4158"/>
      <c r="AA17" s="4158"/>
      <c r="AB17" s="4158"/>
      <c r="AC17" s="4158"/>
      <c r="AD17" s="4158"/>
      <c r="AE17" s="4158"/>
    </row>
    <row r="18" spans="1:31" hidden="1" x14ac:dyDescent="0.2">
      <c r="A18" s="7256"/>
      <c r="B18" s="4158"/>
      <c r="C18" s="4158"/>
      <c r="D18" s="4159" t="s">
        <v>251</v>
      </c>
      <c r="E18" s="4160"/>
      <c r="F18" s="4161" t="str">
        <f>'!Egen_Kap'!$F$126</f>
        <v>Rigg</v>
      </c>
      <c r="G18" s="4158"/>
      <c r="H18" s="4170" t="s">
        <v>13</v>
      </c>
      <c r="I18" s="4170"/>
      <c r="J18" s="4158" t="s">
        <v>14</v>
      </c>
      <c r="K18" s="4158"/>
      <c r="L18" s="4158"/>
      <c r="M18" s="4158"/>
      <c r="N18" s="4158"/>
      <c r="O18" s="4163" t="b">
        <f>ISBLANK('!Egen_Kap'!$P$126)</f>
        <v>1</v>
      </c>
      <c r="P18" s="4170"/>
      <c r="Q18" s="4164">
        <f>'!Egen_Kap'!$P$126</f>
        <v>0</v>
      </c>
      <c r="R18" s="4170"/>
      <c r="S18" s="4165">
        <v>1</v>
      </c>
      <c r="T18" s="4158"/>
      <c r="U18" s="4166">
        <f>IF(O18=TRUE,S18,Q18)</f>
        <v>1</v>
      </c>
      <c r="V18" s="4158"/>
      <c r="W18" s="4167" t="str">
        <f t="shared" ref="W18:W25" si="0">IF(O18=TRUE,"",$C$3)</f>
        <v/>
      </c>
      <c r="X18" s="4158"/>
      <c r="Y18" s="4158"/>
      <c r="Z18" s="4158"/>
      <c r="AA18" s="4158"/>
      <c r="AB18" s="4158"/>
      <c r="AC18" s="4158"/>
      <c r="AD18" s="4158"/>
      <c r="AE18" s="4158"/>
    </row>
    <row r="19" spans="1:31" hidden="1" x14ac:dyDescent="0.2">
      <c r="A19" s="7256"/>
      <c r="B19" s="4158"/>
      <c r="C19" s="4158"/>
      <c r="D19" s="4159" t="s">
        <v>251</v>
      </c>
      <c r="E19" s="4160"/>
      <c r="F19" s="4161" t="str">
        <f>'!Egen_Kap'!$F$128</f>
        <v>Boring</v>
      </c>
      <c r="G19" s="4158"/>
      <c r="H19" s="4170" t="s">
        <v>15</v>
      </c>
      <c r="I19" s="4170"/>
      <c r="J19" s="4158" t="s">
        <v>10</v>
      </c>
      <c r="K19" s="4158"/>
      <c r="L19" s="4158"/>
      <c r="M19" s="4158"/>
      <c r="N19" s="4158"/>
      <c r="O19" s="4163" t="b">
        <f>ISBLANK('!Egen_Kap'!$P$128)</f>
        <v>1</v>
      </c>
      <c r="P19" s="4170"/>
      <c r="Q19" s="4164">
        <f>'!Egen_Kap'!$P$128</f>
        <v>0</v>
      </c>
      <c r="R19" s="4170"/>
      <c r="S19" s="4165">
        <v>60</v>
      </c>
      <c r="T19" s="4158"/>
      <c r="U19" s="4166">
        <f>IF(O19=TRUE,S19,Q19)</f>
        <v>60</v>
      </c>
      <c r="V19" s="4158"/>
      <c r="W19" s="4167" t="str">
        <f t="shared" si="0"/>
        <v/>
      </c>
      <c r="X19" s="4158"/>
      <c r="Y19" s="4158"/>
      <c r="Z19" s="4158"/>
      <c r="AA19" s="4158"/>
      <c r="AB19" s="4158"/>
      <c r="AC19" s="4158"/>
      <c r="AD19" s="4158"/>
      <c r="AE19" s="4158"/>
    </row>
    <row r="20" spans="1:31" hidden="1" x14ac:dyDescent="0.2">
      <c r="A20" s="7256"/>
      <c r="B20" s="4158"/>
      <c r="C20" s="4158"/>
      <c r="D20" s="4159" t="s">
        <v>251</v>
      </c>
      <c r="E20" s="4160"/>
      <c r="F20" s="4161" t="str">
        <f>'!Egen_Kap'!$F$130</f>
        <v>Injeksjon</v>
      </c>
      <c r="G20" s="4158"/>
      <c r="H20" s="4170" t="s">
        <v>16</v>
      </c>
      <c r="I20" s="4170"/>
      <c r="J20" s="4158" t="s">
        <v>1209</v>
      </c>
      <c r="K20" s="4158"/>
      <c r="L20" s="4158"/>
      <c r="M20" s="4158"/>
      <c r="N20" s="4158"/>
      <c r="O20" s="4163" t="b">
        <f>ISBLANK('!Egen_Kap'!$P$130)</f>
        <v>1</v>
      </c>
      <c r="P20" s="4170"/>
      <c r="Q20" s="4164">
        <f>'!Egen_Kap'!$P$130</f>
        <v>0</v>
      </c>
      <c r="R20" s="4170"/>
      <c r="S20" s="4165">
        <v>1500</v>
      </c>
      <c r="T20" s="4158"/>
      <c r="U20" s="4166">
        <f>IF(O20=TRUE,S20,Q20)</f>
        <v>1500</v>
      </c>
      <c r="V20" s="4158"/>
      <c r="W20" s="4167" t="str">
        <f t="shared" si="0"/>
        <v/>
      </c>
      <c r="X20" s="4158"/>
      <c r="Y20" s="4158"/>
      <c r="Z20" s="4158"/>
      <c r="AA20" s="4158"/>
      <c r="AB20" s="4158"/>
      <c r="AC20" s="4158"/>
      <c r="AD20" s="4158"/>
      <c r="AE20" s="4158"/>
    </row>
    <row r="21" spans="1:31" hidden="1" x14ac:dyDescent="0.2">
      <c r="A21" s="7256"/>
      <c r="B21" s="4158"/>
      <c r="C21" s="4158"/>
      <c r="D21" s="4159" t="s">
        <v>251</v>
      </c>
      <c r="E21" s="4160"/>
      <c r="F21" s="4161" t="str">
        <f>'!Egen_Kap'!$F$132</f>
        <v>Kontrollhull</v>
      </c>
      <c r="G21" s="4158"/>
      <c r="H21" s="4170" t="s">
        <v>19</v>
      </c>
      <c r="I21" s="4170"/>
      <c r="J21" s="4158" t="s">
        <v>10</v>
      </c>
      <c r="K21" s="4158"/>
      <c r="L21" s="4158"/>
      <c r="M21" s="4158"/>
      <c r="N21" s="4158"/>
      <c r="O21" s="4163" t="b">
        <f>ISBLANK('!Egen_Kap'!$P$132)</f>
        <v>1</v>
      </c>
      <c r="P21" s="4170"/>
      <c r="Q21" s="4164">
        <f>'!Egen_Kap'!$P$132</f>
        <v>0</v>
      </c>
      <c r="R21" s="4170"/>
      <c r="S21" s="4165">
        <v>60</v>
      </c>
      <c r="T21" s="4158"/>
      <c r="U21" s="4166">
        <f>IF(O21=TRUE,S21,Q21)</f>
        <v>60</v>
      </c>
      <c r="V21" s="4158"/>
      <c r="W21" s="4167" t="str">
        <f t="shared" si="0"/>
        <v/>
      </c>
      <c r="X21" s="4158"/>
      <c r="Y21" s="4158"/>
      <c r="Z21" s="4158"/>
      <c r="AA21" s="4158"/>
      <c r="AB21" s="4158"/>
      <c r="AC21" s="4158"/>
      <c r="AD21" s="4158"/>
      <c r="AE21" s="4158"/>
    </row>
    <row r="22" spans="1:31" ht="15" hidden="1" x14ac:dyDescent="0.2">
      <c r="A22" s="7256"/>
      <c r="B22" s="4158"/>
      <c r="C22" s="4158"/>
      <c r="D22" s="4158"/>
      <c r="E22" s="4160"/>
      <c r="F22" s="4161"/>
      <c r="G22" s="4158"/>
      <c r="H22" s="4168" t="s">
        <v>7</v>
      </c>
      <c r="I22" s="4168"/>
      <c r="J22" s="4158"/>
      <c r="K22" s="4158"/>
      <c r="L22" s="4158"/>
      <c r="M22" s="4158"/>
      <c r="N22" s="4158"/>
      <c r="O22" s="4163"/>
      <c r="P22" s="4168"/>
      <c r="Q22" s="4164"/>
      <c r="R22" s="4168"/>
      <c r="S22" s="4165"/>
      <c r="T22" s="4158"/>
      <c r="U22" s="4169"/>
      <c r="V22" s="4158"/>
      <c r="W22" s="4167"/>
      <c r="X22" s="4158"/>
      <c r="Y22" s="4158"/>
      <c r="Z22" s="4158"/>
      <c r="AA22" s="4158"/>
      <c r="AB22" s="4158"/>
      <c r="AC22" s="4158"/>
      <c r="AD22" s="4158"/>
      <c r="AE22" s="4158"/>
    </row>
    <row r="23" spans="1:31" hidden="1" x14ac:dyDescent="0.2">
      <c r="A23" s="7256"/>
      <c r="B23" s="4158"/>
      <c r="C23" s="4158"/>
      <c r="D23" s="4159" t="s">
        <v>251</v>
      </c>
      <c r="E23" s="4160"/>
      <c r="F23" s="4161" t="str">
        <f>'!Egen_Kap'!$F$139</f>
        <v>Rigg</v>
      </c>
      <c r="G23" s="4158"/>
      <c r="H23" s="4170" t="s">
        <v>20</v>
      </c>
      <c r="I23" s="4170"/>
      <c r="J23" s="4158" t="s">
        <v>14</v>
      </c>
      <c r="K23" s="4158"/>
      <c r="L23" s="4158"/>
      <c r="M23" s="4158"/>
      <c r="N23" s="4158"/>
      <c r="O23" s="4163" t="b">
        <f>ISBLANK('!Egen_Kap'!$P$139)</f>
        <v>1</v>
      </c>
      <c r="P23" s="4170"/>
      <c r="Q23" s="4164">
        <f>'!Egen_Kap'!$P$139</f>
        <v>0</v>
      </c>
      <c r="R23" s="4170"/>
      <c r="S23" s="4165">
        <v>1</v>
      </c>
      <c r="T23" s="4158"/>
      <c r="U23" s="4166">
        <f>IF(O23=TRUE,S23,Q23)</f>
        <v>1</v>
      </c>
      <c r="V23" s="4158"/>
      <c r="W23" s="4167" t="str">
        <f t="shared" si="0"/>
        <v/>
      </c>
      <c r="X23" s="4158"/>
      <c r="Y23" s="4158"/>
      <c r="Z23" s="4158"/>
      <c r="AA23" s="4158"/>
      <c r="AB23" s="4158"/>
      <c r="AC23" s="4158"/>
      <c r="AD23" s="4158"/>
      <c r="AE23" s="4158"/>
    </row>
    <row r="24" spans="1:31" hidden="1" x14ac:dyDescent="0.2">
      <c r="A24" s="7256"/>
      <c r="B24" s="4158"/>
      <c r="C24" s="4158"/>
      <c r="D24" s="4159" t="s">
        <v>251</v>
      </c>
      <c r="E24" s="4160"/>
      <c r="F24" s="4161" t="str">
        <f>'!Egen_Kap'!$F$141</f>
        <v>Boring</v>
      </c>
      <c r="G24" s="4158"/>
      <c r="H24" s="4170" t="s">
        <v>15</v>
      </c>
      <c r="I24" s="4170"/>
      <c r="J24" s="4158" t="s">
        <v>10</v>
      </c>
      <c r="K24" s="4158"/>
      <c r="L24" s="4158"/>
      <c r="M24" s="4158"/>
      <c r="N24" s="4158"/>
      <c r="O24" s="4163" t="b">
        <f>ISBLANK('!Egen_Kap'!$P$141)</f>
        <v>1</v>
      </c>
      <c r="P24" s="4170"/>
      <c r="Q24" s="4164">
        <f>'!Egen_Kap'!$P$141</f>
        <v>0</v>
      </c>
      <c r="R24" s="4170"/>
      <c r="S24" s="4165">
        <v>90</v>
      </c>
      <c r="T24" s="4158"/>
      <c r="U24" s="4166">
        <f>IF(O24=TRUE,S24,Q24)</f>
        <v>90</v>
      </c>
      <c r="V24" s="4158"/>
      <c r="W24" s="4167" t="str">
        <f t="shared" si="0"/>
        <v/>
      </c>
      <c r="X24" s="4158"/>
      <c r="Y24" s="4158"/>
      <c r="Z24" s="4158"/>
      <c r="AA24" s="4158"/>
      <c r="AB24" s="4158"/>
      <c r="AC24" s="4158"/>
      <c r="AD24" s="4158"/>
      <c r="AE24" s="4158"/>
    </row>
    <row r="25" spans="1:31" hidden="1" x14ac:dyDescent="0.2">
      <c r="A25" s="7256"/>
      <c r="B25" s="4158"/>
      <c r="C25" s="4158"/>
      <c r="D25" s="4159" t="s">
        <v>251</v>
      </c>
      <c r="E25" s="4160"/>
      <c r="F25" s="4161" t="str">
        <f>'!Egen_Kap'!$F$143</f>
        <v>Injeksjon</v>
      </c>
      <c r="G25" s="4158"/>
      <c r="H25" s="4170" t="s">
        <v>16</v>
      </c>
      <c r="I25" s="4170"/>
      <c r="J25" s="4158" t="s">
        <v>17</v>
      </c>
      <c r="K25" s="4158"/>
      <c r="L25" s="4158"/>
      <c r="M25" s="4158"/>
      <c r="N25" s="4158"/>
      <c r="O25" s="4163" t="b">
        <f>ISBLANK('!Egen_Kap'!$P$143)</f>
        <v>1</v>
      </c>
      <c r="P25" s="4170"/>
      <c r="Q25" s="4164">
        <f>'!Egen_Kap'!$P$143</f>
        <v>0</v>
      </c>
      <c r="R25" s="4170"/>
      <c r="S25" s="4165">
        <v>1500</v>
      </c>
      <c r="T25" s="4158"/>
      <c r="U25" s="4166">
        <f>IF(O25=TRUE,S25,Q25)</f>
        <v>1500</v>
      </c>
      <c r="V25" s="4158"/>
      <c r="W25" s="4167" t="str">
        <f t="shared" si="0"/>
        <v/>
      </c>
      <c r="X25" s="4158"/>
      <c r="Y25" s="4158"/>
      <c r="Z25" s="4158"/>
      <c r="AA25" s="4158"/>
      <c r="AB25" s="4158"/>
      <c r="AC25" s="4158"/>
      <c r="AD25" s="4158"/>
      <c r="AE25" s="4158"/>
    </row>
    <row r="26" spans="1:31" hidden="1" x14ac:dyDescent="0.2">
      <c r="A26" s="7256"/>
      <c r="B26" s="4158"/>
      <c r="C26" s="4158"/>
      <c r="D26" s="4159" t="s">
        <v>251</v>
      </c>
      <c r="E26" s="4160"/>
      <c r="F26" s="4161" t="str">
        <f>'!Egen_Kap'!$F$145</f>
        <v>Kontrollhull</v>
      </c>
      <c r="G26" s="4158"/>
      <c r="H26" s="4170" t="s">
        <v>19</v>
      </c>
      <c r="I26" s="4170"/>
      <c r="J26" s="4158" t="s">
        <v>10</v>
      </c>
      <c r="K26" s="4158"/>
      <c r="L26" s="4158"/>
      <c r="M26" s="4158"/>
      <c r="N26" s="4158"/>
      <c r="O26" s="4163" t="b">
        <f>ISBLANK('!Egen_Kap'!$P$145)</f>
        <v>1</v>
      </c>
      <c r="P26" s="4170"/>
      <c r="Q26" s="4164">
        <f>'!Egen_Kap'!$P$145</f>
        <v>0</v>
      </c>
      <c r="R26" s="4170"/>
      <c r="S26" s="4165">
        <v>60</v>
      </c>
      <c r="T26" s="4158"/>
      <c r="U26" s="4166">
        <f>IF(O26=TRUE,S26,Q26)</f>
        <v>60</v>
      </c>
      <c r="V26" s="4158"/>
      <c r="W26" s="4167" t="str">
        <f>IF(O26=TRUE,"",$C$3)</f>
        <v/>
      </c>
      <c r="X26" s="4158"/>
      <c r="Y26" s="4158"/>
      <c r="Z26" s="4158"/>
      <c r="AA26" s="4158"/>
      <c r="AB26" s="4158"/>
      <c r="AC26" s="4158"/>
      <c r="AD26" s="4158"/>
      <c r="AE26" s="4158"/>
    </row>
    <row r="27" spans="1:31" hidden="1" x14ac:dyDescent="0.2">
      <c r="A27" s="7256"/>
      <c r="B27" s="4158"/>
      <c r="C27" s="4158"/>
      <c r="D27" s="4158"/>
      <c r="E27" s="4160"/>
      <c r="F27" s="4161"/>
      <c r="G27" s="4158"/>
      <c r="H27" s="4162"/>
      <c r="I27" s="4162"/>
      <c r="J27" s="4158"/>
      <c r="K27" s="4158"/>
      <c r="L27" s="4158"/>
      <c r="M27" s="4158"/>
      <c r="N27" s="4158"/>
      <c r="O27" s="4163"/>
      <c r="P27" s="4158"/>
      <c r="Q27" s="4164"/>
      <c r="R27" s="4158"/>
      <c r="S27" s="4165"/>
      <c r="T27" s="4158"/>
      <c r="U27" s="4169"/>
      <c r="V27" s="4158"/>
      <c r="W27" s="4167"/>
      <c r="X27" s="4158"/>
      <c r="Y27" s="4158"/>
      <c r="Z27" s="4158"/>
      <c r="AA27" s="4158"/>
      <c r="AB27" s="4158"/>
      <c r="AC27" s="4158"/>
      <c r="AD27" s="4158"/>
      <c r="AE27" s="4158"/>
    </row>
    <row r="28" spans="1:31" hidden="1" x14ac:dyDescent="0.2">
      <c r="A28" s="7256"/>
      <c r="B28" s="4158"/>
      <c r="C28" s="4158"/>
      <c r="D28" s="4158"/>
      <c r="E28" s="4160"/>
      <c r="F28" s="4161"/>
      <c r="G28" s="4158"/>
      <c r="H28" s="4162"/>
      <c r="I28" s="4162"/>
      <c r="J28" s="4158"/>
      <c r="K28" s="4158"/>
      <c r="L28" s="4158"/>
      <c r="M28" s="4158"/>
      <c r="N28" s="4158"/>
      <c r="O28" s="4163"/>
      <c r="P28" s="4158"/>
      <c r="Q28" s="4164"/>
      <c r="R28" s="4158"/>
      <c r="S28" s="4165"/>
      <c r="T28" s="4158"/>
      <c r="U28" s="4169"/>
      <c r="V28" s="4158"/>
      <c r="W28" s="4167"/>
      <c r="X28" s="4158"/>
      <c r="Y28" s="4158"/>
      <c r="Z28" s="4158"/>
      <c r="AA28" s="4158"/>
      <c r="AB28" s="4158"/>
      <c r="AC28" s="4158"/>
      <c r="AD28" s="4158"/>
      <c r="AE28" s="4158"/>
    </row>
    <row r="29" spans="1:31" hidden="1" x14ac:dyDescent="0.2">
      <c r="A29" s="7256"/>
      <c r="B29" s="4158"/>
      <c r="C29" s="4158"/>
      <c r="D29" s="4158"/>
      <c r="E29" s="4160"/>
      <c r="F29" s="4161"/>
      <c r="G29" s="4158"/>
      <c r="H29" s="4162"/>
      <c r="I29" s="4162"/>
      <c r="J29" s="4158"/>
      <c r="K29" s="4158"/>
      <c r="L29" s="4158"/>
      <c r="M29" s="4158"/>
      <c r="N29" s="4158"/>
      <c r="O29" s="4163"/>
      <c r="P29" s="4158"/>
      <c r="Q29" s="4164"/>
      <c r="R29" s="4158"/>
      <c r="S29" s="4165"/>
      <c r="T29" s="4158"/>
      <c r="U29" s="4169"/>
      <c r="V29" s="4158"/>
      <c r="W29" s="4167"/>
      <c r="X29" s="4158"/>
      <c r="Y29" s="4158"/>
      <c r="Z29" s="4158"/>
      <c r="AA29" s="4158"/>
      <c r="AB29" s="4158"/>
      <c r="AC29" s="4158"/>
      <c r="AD29" s="4158"/>
      <c r="AE29" s="4158"/>
    </row>
    <row r="30" spans="1:31" ht="28.5" hidden="1" x14ac:dyDescent="0.2">
      <c r="A30" s="7256"/>
      <c r="B30" s="4171" t="s">
        <v>81</v>
      </c>
      <c r="C30" s="4158"/>
      <c r="D30" s="4159" t="s">
        <v>251</v>
      </c>
      <c r="E30" s="4160"/>
      <c r="F30" s="4172" t="str">
        <f>'!Egen_Kap'!$F$51</f>
        <v>Normalsalve</v>
      </c>
      <c r="G30" s="4172"/>
      <c r="H30" s="4173" t="s">
        <v>23</v>
      </c>
      <c r="I30" s="4173"/>
      <c r="J30" s="4172" t="s">
        <v>24</v>
      </c>
      <c r="K30" s="4172"/>
      <c r="L30" s="4172"/>
      <c r="M30" s="4172"/>
      <c r="N30" s="4172"/>
      <c r="O30" s="4174" t="b">
        <f>ISBLANK('!Egen_Kap'!$P$51)</f>
        <v>1</v>
      </c>
      <c r="P30" s="4173"/>
      <c r="Q30" s="4175">
        <f>'!Egen_Kap'!$P$51</f>
        <v>0</v>
      </c>
      <c r="R30" s="4173"/>
      <c r="S30" s="4176">
        <v>50</v>
      </c>
      <c r="T30" s="4172"/>
      <c r="U30" s="4166">
        <f>IF(O30=TRUE,S30,Q30)</f>
        <v>50</v>
      </c>
      <c r="V30" s="4158"/>
      <c r="W30" s="4167" t="str">
        <f>IF(O30=TRUE,"",$C$3)</f>
        <v/>
      </c>
      <c r="X30" s="4158"/>
      <c r="Y30" s="4158"/>
      <c r="Z30" s="4158"/>
      <c r="AA30" s="4158"/>
      <c r="AB30" s="4158"/>
      <c r="AC30" s="4158"/>
      <c r="AD30" s="4158"/>
      <c r="AE30" s="4158"/>
    </row>
    <row r="31" spans="1:31" hidden="1" x14ac:dyDescent="0.2">
      <c r="A31" s="7256"/>
      <c r="B31" s="4158"/>
      <c r="C31" s="4158"/>
      <c r="D31" s="4158"/>
      <c r="E31" s="4160"/>
      <c r="F31" s="4172"/>
      <c r="G31" s="4172"/>
      <c r="H31" s="4173" t="s">
        <v>25</v>
      </c>
      <c r="I31" s="4173"/>
      <c r="J31" s="4172"/>
      <c r="K31" s="4172"/>
      <c r="L31" s="4172"/>
      <c r="M31" s="4172"/>
      <c r="N31" s="4172"/>
      <c r="O31" s="4177"/>
      <c r="P31" s="4173"/>
      <c r="Q31" s="4175"/>
      <c r="R31" s="4173"/>
      <c r="S31" s="4176"/>
      <c r="T31" s="4172"/>
      <c r="U31" s="4166"/>
      <c r="V31" s="4158"/>
      <c r="W31" s="4167"/>
      <c r="X31" s="4158"/>
      <c r="Y31" s="4158"/>
      <c r="Z31" s="4158"/>
      <c r="AA31" s="4158"/>
      <c r="AB31" s="4158"/>
      <c r="AC31" s="4158"/>
      <c r="AD31" s="4158"/>
      <c r="AE31" s="4158"/>
    </row>
    <row r="32" spans="1:31" hidden="1" x14ac:dyDescent="0.2">
      <c r="A32" s="7256"/>
      <c r="B32" s="4158"/>
      <c r="C32" s="4158"/>
      <c r="D32" s="4158"/>
      <c r="E32" s="4160"/>
      <c r="F32" s="4172"/>
      <c r="G32" s="4172"/>
      <c r="H32" s="4173" t="s">
        <v>26</v>
      </c>
      <c r="I32" s="4173"/>
      <c r="J32" s="4172"/>
      <c r="K32" s="4172"/>
      <c r="L32" s="4172"/>
      <c r="M32" s="4172"/>
      <c r="N32" s="4172"/>
      <c r="O32" s="4177"/>
      <c r="P32" s="4173"/>
      <c r="Q32" s="4175"/>
      <c r="R32" s="4173"/>
      <c r="S32" s="4176"/>
      <c r="T32" s="4172"/>
      <c r="U32" s="4166"/>
      <c r="V32" s="4158"/>
      <c r="W32" s="4167"/>
      <c r="X32" s="4158"/>
      <c r="Y32" s="4158"/>
      <c r="Z32" s="4158"/>
      <c r="AA32" s="4158"/>
      <c r="AB32" s="4158"/>
      <c r="AC32" s="4158"/>
      <c r="AD32" s="4158"/>
      <c r="AE32" s="4158"/>
    </row>
    <row r="33" spans="1:31" hidden="1" x14ac:dyDescent="0.2">
      <c r="A33" s="7256"/>
      <c r="B33" s="4158"/>
      <c r="C33" s="4158"/>
      <c r="D33" s="4158"/>
      <c r="E33" s="4160"/>
      <c r="F33" s="4172"/>
      <c r="G33" s="4172"/>
      <c r="H33" s="4173"/>
      <c r="I33" s="4173"/>
      <c r="J33" s="4172"/>
      <c r="K33" s="4172"/>
      <c r="L33" s="4172"/>
      <c r="M33" s="4172"/>
      <c r="N33" s="4172"/>
      <c r="O33" s="4177"/>
      <c r="P33" s="4173"/>
      <c r="Q33" s="4175"/>
      <c r="R33" s="4173"/>
      <c r="S33" s="4176"/>
      <c r="T33" s="4172"/>
      <c r="U33" s="4166"/>
      <c r="V33" s="4158"/>
      <c r="W33" s="4167"/>
      <c r="X33" s="4158"/>
      <c r="Y33" s="4158"/>
      <c r="Z33" s="4158"/>
      <c r="AA33" s="4158"/>
      <c r="AB33" s="4158"/>
      <c r="AC33" s="4158"/>
      <c r="AD33" s="4158"/>
      <c r="AE33" s="4158"/>
    </row>
    <row r="34" spans="1:31" hidden="1" x14ac:dyDescent="0.2">
      <c r="A34" s="7256"/>
      <c r="B34" s="4158"/>
      <c r="C34" s="4158"/>
      <c r="D34" s="4159" t="s">
        <v>251</v>
      </c>
      <c r="E34" s="4160"/>
      <c r="F34" s="4172" t="str">
        <f>'!Egen_Kap'!F69</f>
        <v>Grøfter, nisjer og andre bergrom</v>
      </c>
      <c r="G34" s="4172"/>
      <c r="H34" s="4173" t="s">
        <v>27</v>
      </c>
      <c r="I34" s="4173"/>
      <c r="J34" s="4172" t="s">
        <v>24</v>
      </c>
      <c r="K34" s="4172"/>
      <c r="L34" s="4172"/>
      <c r="M34" s="4172"/>
      <c r="N34" s="4172"/>
      <c r="O34" s="4177" t="b">
        <f>ISBLANK('!Egen_Kap'!$P$69)</f>
        <v>1</v>
      </c>
      <c r="P34" s="4173"/>
      <c r="Q34" s="4175">
        <f>'!Egen_Kap'!P69</f>
        <v>0</v>
      </c>
      <c r="R34" s="4173"/>
      <c r="S34" s="4176">
        <v>50</v>
      </c>
      <c r="T34" s="4172"/>
      <c r="U34" s="4166">
        <f>IF(O34=TRUE,S34,Q34)</f>
        <v>50</v>
      </c>
      <c r="V34" s="4158"/>
      <c r="W34" s="4167" t="str">
        <f>IF(O34=TRUE,"",$C$3)</f>
        <v/>
      </c>
      <c r="X34" s="4158"/>
      <c r="Y34" s="4158"/>
      <c r="Z34" s="4158"/>
      <c r="AA34" s="4158"/>
      <c r="AB34" s="4158"/>
      <c r="AC34" s="4158"/>
      <c r="AD34" s="4158"/>
      <c r="AE34" s="4158"/>
    </row>
    <row r="35" spans="1:31" hidden="1" x14ac:dyDescent="0.2">
      <c r="A35" s="7256"/>
      <c r="B35" s="4158"/>
      <c r="C35" s="4158"/>
      <c r="D35" s="4158"/>
      <c r="E35" s="4160"/>
      <c r="F35" s="4161"/>
      <c r="G35" s="4158"/>
      <c r="H35" s="4170"/>
      <c r="I35" s="4170"/>
      <c r="J35" s="4158"/>
      <c r="K35" s="4158"/>
      <c r="L35" s="4158"/>
      <c r="M35" s="4158"/>
      <c r="N35" s="4158"/>
      <c r="O35" s="4163"/>
      <c r="P35" s="4170"/>
      <c r="Q35" s="4164"/>
      <c r="R35" s="4170"/>
      <c r="S35" s="4165"/>
      <c r="T35" s="4158"/>
      <c r="U35" s="4169"/>
      <c r="V35" s="4158"/>
      <c r="W35" s="4167"/>
      <c r="X35" s="4158"/>
      <c r="Y35" s="4158"/>
      <c r="Z35" s="4158"/>
      <c r="AA35" s="4158"/>
      <c r="AB35" s="4158"/>
      <c r="AC35" s="4158"/>
      <c r="AD35" s="4158"/>
      <c r="AE35" s="4158"/>
    </row>
    <row r="36" spans="1:31" hidden="1" x14ac:dyDescent="0.2">
      <c r="A36" s="7256"/>
      <c r="B36" s="4158"/>
      <c r="C36" s="4158"/>
      <c r="D36" s="4159" t="s">
        <v>251</v>
      </c>
      <c r="E36" s="4160"/>
      <c r="F36" s="4161" t="str">
        <f>'!Egen_Kap'!$F$53</f>
        <v>Fullt tverrsnitt –
redusert salvelengde</v>
      </c>
      <c r="G36" s="4158"/>
      <c r="H36" s="4170" t="s">
        <v>28</v>
      </c>
      <c r="I36" s="4170"/>
      <c r="J36" s="4158" t="s">
        <v>24</v>
      </c>
      <c r="K36" s="4158"/>
      <c r="L36" s="4158"/>
      <c r="M36" s="4158"/>
      <c r="N36" s="4158"/>
      <c r="O36" s="4163" t="b">
        <f>ISBLANK('!Egen_Kap'!$P$53)</f>
        <v>1</v>
      </c>
      <c r="P36" s="4170"/>
      <c r="Q36" s="4164">
        <f>'!Egen_Kap'!$P$53</f>
        <v>0</v>
      </c>
      <c r="R36" s="4170"/>
      <c r="S36" s="4165">
        <v>25</v>
      </c>
      <c r="T36" s="4158"/>
      <c r="U36" s="4166">
        <f>IF(O36=TRUE,S36,Q36)</f>
        <v>25</v>
      </c>
      <c r="V36" s="4158"/>
      <c r="W36" s="4167" t="str">
        <f>IF(O36=TRUE,"",$C$3)</f>
        <v/>
      </c>
      <c r="X36" s="4158"/>
      <c r="Y36" s="4158"/>
      <c r="Z36" s="4158"/>
      <c r="AA36" s="4158"/>
      <c r="AB36" s="4158"/>
      <c r="AC36" s="4158"/>
      <c r="AD36" s="4158"/>
      <c r="AE36" s="4158"/>
    </row>
    <row r="37" spans="1:31" hidden="1" x14ac:dyDescent="0.2">
      <c r="A37" s="7256"/>
      <c r="B37" s="4158"/>
      <c r="C37" s="4158"/>
      <c r="D37" s="4158"/>
      <c r="E37" s="4160"/>
      <c r="F37" s="4161"/>
      <c r="G37" s="4158"/>
      <c r="H37" s="4170"/>
      <c r="I37" s="4170"/>
      <c r="J37" s="4158"/>
      <c r="K37" s="4158"/>
      <c r="L37" s="4158"/>
      <c r="M37" s="4158"/>
      <c r="N37" s="4158"/>
      <c r="O37" s="4163"/>
      <c r="P37" s="4170"/>
      <c r="Q37" s="4164"/>
      <c r="R37" s="4170"/>
      <c r="S37" s="4165"/>
      <c r="T37" s="4158"/>
      <c r="U37" s="4169"/>
      <c r="V37" s="4158"/>
      <c r="W37" s="4167"/>
      <c r="X37" s="4158"/>
      <c r="Y37" s="4158"/>
      <c r="Z37" s="4158"/>
      <c r="AA37" s="4158"/>
      <c r="AB37" s="4158"/>
      <c r="AC37" s="4158"/>
      <c r="AD37" s="4158"/>
      <c r="AE37" s="4158"/>
    </row>
    <row r="38" spans="1:31" hidden="1" x14ac:dyDescent="0.2">
      <c r="A38" s="7256"/>
      <c r="B38" s="4158"/>
      <c r="C38" s="4158"/>
      <c r="D38" s="4159" t="s">
        <v>251</v>
      </c>
      <c r="E38" s="4160"/>
      <c r="F38" s="4161" t="str">
        <f>'!Egen_Kap'!$F$56</f>
        <v>Todelt tverrsnitt –
normal salvelengde</v>
      </c>
      <c r="G38" s="4158"/>
      <c r="H38" s="4170" t="s">
        <v>28</v>
      </c>
      <c r="I38" s="4170"/>
      <c r="J38" s="4158" t="s">
        <v>24</v>
      </c>
      <c r="K38" s="4158"/>
      <c r="L38" s="4158"/>
      <c r="M38" s="4158"/>
      <c r="N38" s="4158"/>
      <c r="O38" s="4163" t="b">
        <f>ISBLANK('!Egen_Kap'!$P$56)</f>
        <v>1</v>
      </c>
      <c r="P38" s="4170"/>
      <c r="Q38" s="4164">
        <f>'!Egen_Kap'!$P$56</f>
        <v>0</v>
      </c>
      <c r="R38" s="4170"/>
      <c r="S38" s="4165">
        <v>25</v>
      </c>
      <c r="T38" s="4158"/>
      <c r="U38" s="4166">
        <f>IF(O38=TRUE,S38,Q38)</f>
        <v>25</v>
      </c>
      <c r="V38" s="4158"/>
      <c r="W38" s="4167" t="str">
        <f>IF(O38=TRUE,"",$C$3)</f>
        <v/>
      </c>
      <c r="X38" s="4158"/>
      <c r="Y38" s="4158"/>
      <c r="Z38" s="4158"/>
      <c r="AA38" s="4158"/>
      <c r="AB38" s="4158"/>
      <c r="AC38" s="4158"/>
      <c r="AD38" s="4158"/>
      <c r="AE38" s="4158"/>
    </row>
    <row r="39" spans="1:31" hidden="1" x14ac:dyDescent="0.2">
      <c r="A39" s="7256"/>
      <c r="B39" s="4158"/>
      <c r="C39" s="4158"/>
      <c r="D39" s="4158"/>
      <c r="E39" s="4160"/>
      <c r="F39" s="4161"/>
      <c r="G39" s="4158"/>
      <c r="H39" s="4170"/>
      <c r="I39" s="4170"/>
      <c r="J39" s="4158"/>
      <c r="K39" s="4158"/>
      <c r="L39" s="4158"/>
      <c r="M39" s="4158"/>
      <c r="N39" s="4158"/>
      <c r="O39" s="4163"/>
      <c r="P39" s="4170"/>
      <c r="Q39" s="4164"/>
      <c r="R39" s="4170"/>
      <c r="S39" s="4165"/>
      <c r="T39" s="4158"/>
      <c r="U39" s="4169"/>
      <c r="V39" s="4158"/>
      <c r="W39" s="4167"/>
      <c r="X39" s="4158"/>
      <c r="Y39" s="4158"/>
      <c r="Z39" s="4158"/>
      <c r="AA39" s="4158"/>
      <c r="AB39" s="4158"/>
      <c r="AC39" s="4158"/>
      <c r="AD39" s="4158"/>
      <c r="AE39" s="4158"/>
    </row>
    <row r="40" spans="1:31" ht="28.5" hidden="1" x14ac:dyDescent="0.2">
      <c r="A40" s="7256"/>
      <c r="B40" s="4158"/>
      <c r="C40" s="4158"/>
      <c r="D40" s="4159" t="s">
        <v>251</v>
      </c>
      <c r="E40" s="4160"/>
      <c r="F40" s="4170" t="str">
        <f>'!Egen_Kap'!$F$59</f>
        <v>Todelt tverrsnitt –
redusert salvelengde</v>
      </c>
      <c r="G40" s="4158"/>
      <c r="H40" s="4170" t="s">
        <v>29</v>
      </c>
      <c r="I40" s="4170"/>
      <c r="J40" s="4158" t="s">
        <v>24</v>
      </c>
      <c r="K40" s="4158"/>
      <c r="L40" s="4158"/>
      <c r="M40" s="4158"/>
      <c r="N40" s="4158"/>
      <c r="O40" s="4178" t="b">
        <f>ISBLANK('!Egen_Kap'!$P$59)</f>
        <v>1</v>
      </c>
      <c r="P40" s="4170"/>
      <c r="Q40" s="4179">
        <f>'!Egen_Kap'!$P$59</f>
        <v>0</v>
      </c>
      <c r="R40" s="4170"/>
      <c r="S40" s="4165">
        <v>15</v>
      </c>
      <c r="T40" s="4158"/>
      <c r="U40" s="4166">
        <f>IF(O40=TRUE,S40,Q40)</f>
        <v>15</v>
      </c>
      <c r="V40" s="4158"/>
      <c r="W40" s="4167" t="str">
        <f>IF(O40=TRUE,"",$C$3)</f>
        <v/>
      </c>
      <c r="X40" s="4158"/>
      <c r="Y40" s="4158"/>
      <c r="Z40" s="4158"/>
      <c r="AA40" s="4158"/>
      <c r="AB40" s="4158"/>
      <c r="AC40" s="4158"/>
      <c r="AD40" s="4158"/>
      <c r="AE40" s="4158"/>
    </row>
    <row r="41" spans="1:31" x14ac:dyDescent="0.2">
      <c r="H41" s="2339"/>
      <c r="I41" s="2339"/>
      <c r="O41" s="2353"/>
      <c r="P41" s="2339"/>
      <c r="Q41" s="2376"/>
      <c r="R41" s="2339"/>
      <c r="S41" s="2375"/>
      <c r="U41" s="2380"/>
      <c r="W41" s="2513"/>
    </row>
    <row r="42" spans="1:31" x14ac:dyDescent="0.2">
      <c r="H42" s="2339"/>
      <c r="I42" s="2339"/>
      <c r="O42" s="2353"/>
      <c r="P42" s="2339"/>
      <c r="Q42" s="2376"/>
      <c r="R42" s="2339"/>
      <c r="S42" s="2375"/>
      <c r="U42" s="2380"/>
      <c r="W42" s="2513"/>
    </row>
    <row r="43" spans="1:31" x14ac:dyDescent="0.2">
      <c r="H43" s="2339"/>
      <c r="I43" s="2339"/>
      <c r="O43" s="2353"/>
      <c r="P43" s="2339"/>
      <c r="Q43" s="2376"/>
      <c r="R43" s="2339"/>
      <c r="S43" s="2375"/>
      <c r="U43" s="2380"/>
      <c r="W43" s="2513"/>
    </row>
    <row r="44" spans="1:31" ht="15" x14ac:dyDescent="0.2">
      <c r="B44" s="2350" t="s">
        <v>322</v>
      </c>
      <c r="D44" s="2348" t="s">
        <v>251</v>
      </c>
      <c r="F44" s="2347" t="str">
        <f>'!Egen_Kap'!$F$156</f>
        <v>Manuell driftsrensk</v>
      </c>
      <c r="H44" s="2339" t="s">
        <v>30</v>
      </c>
      <c r="I44" s="2339"/>
      <c r="J44" s="2337" t="s">
        <v>31</v>
      </c>
      <c r="O44" s="2353" t="b">
        <f>ISBLANK('!Egen_Kap'!$P$156)</f>
        <v>1</v>
      </c>
      <c r="P44" s="2339"/>
      <c r="Q44" s="2376">
        <f>'!Egen_Kap'!$P$156</f>
        <v>0</v>
      </c>
      <c r="R44" s="2339"/>
      <c r="S44" s="2375">
        <v>1</v>
      </c>
      <c r="U44" s="2379">
        <f>IF(O44=TRUE,S44,Q44)</f>
        <v>1</v>
      </c>
      <c r="W44" s="2513" t="str">
        <f>IF(O44=TRUE,"",$C$3)</f>
        <v/>
      </c>
    </row>
    <row r="45" spans="1:31" x14ac:dyDescent="0.2">
      <c r="H45" s="2339"/>
      <c r="I45" s="2339"/>
      <c r="O45" s="2353"/>
      <c r="P45" s="2339"/>
      <c r="Q45" s="2376"/>
      <c r="R45" s="2339"/>
      <c r="S45" s="2375"/>
      <c r="U45" s="2380"/>
      <c r="W45" s="2513"/>
    </row>
    <row r="46" spans="1:31" ht="42.75" x14ac:dyDescent="0.2">
      <c r="H46" s="2339" t="s">
        <v>32</v>
      </c>
      <c r="I46" s="2339"/>
      <c r="O46" s="2353"/>
      <c r="P46" s="2339"/>
      <c r="Q46" s="2376"/>
      <c r="R46" s="2339"/>
      <c r="S46" s="2375"/>
      <c r="U46" s="2380"/>
      <c r="W46" s="2513"/>
    </row>
    <row r="47" spans="1:31" x14ac:dyDescent="0.2">
      <c r="H47" s="2339" t="s">
        <v>33</v>
      </c>
      <c r="I47" s="2339"/>
      <c r="O47" s="2353"/>
      <c r="P47" s="2339"/>
      <c r="Q47" s="2376"/>
      <c r="R47" s="2339"/>
      <c r="S47" s="2375"/>
      <c r="U47" s="2380"/>
      <c r="W47" s="2513"/>
    </row>
    <row r="48" spans="1:31" x14ac:dyDescent="0.2">
      <c r="H48" s="2339"/>
      <c r="I48" s="2339"/>
      <c r="O48" s="2353"/>
      <c r="P48" s="2339"/>
      <c r="Q48" s="2376"/>
      <c r="R48" s="2339"/>
      <c r="S48" s="2375"/>
      <c r="U48" s="2380"/>
      <c r="W48" s="2513"/>
    </row>
    <row r="49" spans="4:23" x14ac:dyDescent="0.2">
      <c r="D49" s="2348" t="s">
        <v>251</v>
      </c>
      <c r="F49" s="2347" t="s">
        <v>1529</v>
      </c>
      <c r="H49" s="2339"/>
      <c r="I49" s="2339"/>
      <c r="J49" s="2337" t="s">
        <v>31</v>
      </c>
      <c r="O49" s="2353" t="b">
        <f>ISBLANK('!Egen_Kap'!$P$158)</f>
        <v>1</v>
      </c>
      <c r="P49" s="2339"/>
      <c r="Q49" s="2376">
        <f>'!Egen_Kap'!$P$158</f>
        <v>0</v>
      </c>
      <c r="R49" s="2339"/>
      <c r="S49" s="2375">
        <v>1</v>
      </c>
      <c r="U49" s="2379">
        <f>IF(O49=TRUE,S49,Q49)</f>
        <v>1</v>
      </c>
      <c r="W49" s="2513" t="str">
        <f>IF(O49=TRUE,"",$C$3)</f>
        <v/>
      </c>
    </row>
    <row r="50" spans="4:23" x14ac:dyDescent="0.2">
      <c r="H50" s="2339"/>
      <c r="I50" s="2339"/>
      <c r="O50" s="2353"/>
      <c r="P50" s="2339"/>
      <c r="Q50" s="2376"/>
      <c r="R50" s="2339"/>
      <c r="S50" s="2375"/>
      <c r="U50" s="2380"/>
      <c r="W50" s="2513"/>
    </row>
    <row r="51" spans="4:23" x14ac:dyDescent="0.2">
      <c r="H51" s="2339"/>
      <c r="I51" s="2339"/>
      <c r="O51" s="2353"/>
      <c r="P51" s="2339"/>
      <c r="Q51" s="2376"/>
      <c r="R51" s="2339"/>
      <c r="S51" s="2375"/>
      <c r="U51" s="2380"/>
      <c r="W51" s="2513"/>
    </row>
    <row r="52" spans="4:23" x14ac:dyDescent="0.2">
      <c r="D52" s="2348" t="s">
        <v>251</v>
      </c>
      <c r="F52" s="2347" t="str">
        <f>'!Egen_Kap'!$F$165</f>
        <v>Alle typer ≤ 4 meter</v>
      </c>
      <c r="H52" s="2339" t="s">
        <v>34</v>
      </c>
      <c r="I52" s="2339"/>
      <c r="J52" s="2337" t="s">
        <v>14</v>
      </c>
      <c r="O52" s="2353" t="b">
        <f>ISBLANK('!Egen_Kap'!$P$165)</f>
        <v>1</v>
      </c>
      <c r="P52" s="2339"/>
      <c r="Q52" s="2376">
        <f>'!Egen_Kap'!$P$165</f>
        <v>0</v>
      </c>
      <c r="R52" s="2339"/>
      <c r="S52" s="2375">
        <v>15</v>
      </c>
      <c r="U52" s="2379">
        <f>IF(O52=TRUE,S52,Q52)</f>
        <v>15</v>
      </c>
      <c r="W52" s="2513" t="str">
        <f>IF(O52=TRUE,"",$C$3)</f>
        <v/>
      </c>
    </row>
    <row r="53" spans="4:23" x14ac:dyDescent="0.2">
      <c r="H53" s="2339"/>
      <c r="I53" s="2339"/>
      <c r="O53" s="2353"/>
      <c r="P53" s="2339"/>
      <c r="Q53" s="2376"/>
      <c r="R53" s="2339"/>
      <c r="S53" s="2375"/>
      <c r="U53" s="2380"/>
      <c r="W53" s="2513"/>
    </row>
    <row r="54" spans="4:23" x14ac:dyDescent="0.2">
      <c r="D54" s="2348" t="s">
        <v>251</v>
      </c>
      <c r="F54" s="2347" t="str">
        <f>'!Egen_Kap'!$F$167</f>
        <v>Alle typer &gt; 4 meter</v>
      </c>
      <c r="H54" s="2339" t="s">
        <v>35</v>
      </c>
      <c r="I54" s="2339"/>
      <c r="J54" s="2337" t="s">
        <v>14</v>
      </c>
      <c r="O54" s="2353" t="b">
        <f>ISBLANK('!Egen_Kap'!$P$167)</f>
        <v>1</v>
      </c>
      <c r="P54" s="2339"/>
      <c r="Q54" s="2376">
        <f>'!Egen_Kap'!$P$167</f>
        <v>0</v>
      </c>
      <c r="R54" s="2339"/>
      <c r="S54" s="2375">
        <v>7.5</v>
      </c>
      <c r="U54" s="2379">
        <f>IF(O54=TRUE,S54,Q54)</f>
        <v>7.5</v>
      </c>
      <c r="W54" s="2513" t="str">
        <f>IF(O54=TRUE,"",$C$3)</f>
        <v/>
      </c>
    </row>
    <row r="55" spans="4:23" x14ac:dyDescent="0.2">
      <c r="D55" s="2349"/>
      <c r="H55" s="2339"/>
      <c r="I55" s="2339"/>
      <c r="O55" s="2353"/>
      <c r="P55" s="2339"/>
      <c r="Q55" s="2376"/>
      <c r="R55" s="2339"/>
      <c r="S55" s="2375"/>
      <c r="U55" s="2380"/>
      <c r="W55" s="2513"/>
    </row>
    <row r="56" spans="4:23" x14ac:dyDescent="0.2">
      <c r="D56" s="2349"/>
      <c r="H56" s="2339"/>
      <c r="I56" s="2339"/>
      <c r="O56" s="2353"/>
      <c r="P56" s="2339"/>
      <c r="Q56" s="2376"/>
      <c r="R56" s="2339"/>
      <c r="S56" s="2375"/>
      <c r="U56" s="2380"/>
      <c r="W56" s="2513"/>
    </row>
    <row r="57" spans="4:23" x14ac:dyDescent="0.2">
      <c r="D57" s="2348" t="s">
        <v>251</v>
      </c>
      <c r="F57" s="2347" t="str">
        <f>'!Egen_Kap'!$F$174</f>
        <v>Bergbånd</v>
      </c>
      <c r="H57" s="2339" t="s">
        <v>36</v>
      </c>
      <c r="I57" s="2339"/>
      <c r="J57" s="2337" t="s">
        <v>37</v>
      </c>
      <c r="O57" s="2353" t="b">
        <f>ISBLANK('!Egen_Kap'!$P$174)</f>
        <v>1</v>
      </c>
      <c r="P57" s="2339"/>
      <c r="Q57" s="2376">
        <f>'!Egen_Kap'!$P$174</f>
        <v>0</v>
      </c>
      <c r="R57" s="2339"/>
      <c r="S57" s="2375">
        <v>25</v>
      </c>
      <c r="U57" s="2379">
        <f>IF(O57=TRUE,S57,Q57)</f>
        <v>25</v>
      </c>
      <c r="W57" s="2513" t="str">
        <f>IF(O57=TRUE,"",$C$3)</f>
        <v/>
      </c>
    </row>
    <row r="58" spans="4:23" x14ac:dyDescent="0.2">
      <c r="D58" s="2348" t="s">
        <v>251</v>
      </c>
      <c r="F58" s="2347" t="str">
        <f>'!Egen_Kap'!$F$176</f>
        <v>Nett</v>
      </c>
      <c r="H58" s="2339" t="s">
        <v>38</v>
      </c>
      <c r="I58" s="2339"/>
      <c r="J58" s="2337" t="s">
        <v>39</v>
      </c>
      <c r="O58" s="2353" t="b">
        <f>ISBLANK('!Egen_Kap'!$P$176)</f>
        <v>1</v>
      </c>
      <c r="P58" s="2339"/>
      <c r="Q58" s="2376">
        <f>'!Egen_Kap'!$P$176</f>
        <v>0</v>
      </c>
      <c r="R58" s="2339"/>
      <c r="S58" s="2375">
        <v>10</v>
      </c>
      <c r="U58" s="2379">
        <f>IF(O58=TRUE,S58,Q58)</f>
        <v>10</v>
      </c>
      <c r="W58" s="2513" t="str">
        <f>IF(O58=TRUE,"",$C$3)</f>
        <v/>
      </c>
    </row>
    <row r="59" spans="4:23" x14ac:dyDescent="0.2">
      <c r="D59" s="2348" t="s">
        <v>251</v>
      </c>
      <c r="F59" s="2347" t="s">
        <v>1582</v>
      </c>
      <c r="H59" s="2339" t="s">
        <v>1582</v>
      </c>
      <c r="I59" s="2339"/>
      <c r="J59" s="2337" t="s">
        <v>14</v>
      </c>
      <c r="O59" s="2353" t="b">
        <f>ISBLANK('!Egen_Kap'!$P$178)</f>
        <v>1</v>
      </c>
      <c r="P59" s="2339"/>
      <c r="Q59" s="2376">
        <f>'!Egen_Kap'!$P$178</f>
        <v>0</v>
      </c>
      <c r="R59" s="2339"/>
      <c r="S59" s="2375">
        <v>15</v>
      </c>
      <c r="U59" s="2379">
        <f>IF(O59=TRUE,S59,Q59)</f>
        <v>15</v>
      </c>
      <c r="W59" s="2513" t="str">
        <f>IF(O59=TRUE,"",$C$3)</f>
        <v/>
      </c>
    </row>
    <row r="60" spans="4:23" x14ac:dyDescent="0.2">
      <c r="H60" s="2339"/>
      <c r="I60" s="2339"/>
      <c r="O60" s="2353"/>
      <c r="P60" s="2339"/>
      <c r="Q60" s="2376"/>
      <c r="R60" s="2339"/>
      <c r="S60" s="2375"/>
      <c r="U60" s="2380"/>
      <c r="W60" s="2513"/>
    </row>
    <row r="61" spans="4:23" x14ac:dyDescent="0.2">
      <c r="D61" s="2348" t="s">
        <v>251</v>
      </c>
      <c r="F61" s="2347" t="str">
        <f>'!Egen_Kap'!$F$187</f>
        <v>Sprøytebetong, all bruk</v>
      </c>
      <c r="H61" s="2339" t="s">
        <v>40</v>
      </c>
      <c r="I61" s="2339"/>
      <c r="J61" s="2337" t="s">
        <v>24</v>
      </c>
      <c r="O61" s="2353" t="b">
        <f>ISBLANK('!Egen_Kap'!$P$187)</f>
        <v>1</v>
      </c>
      <c r="P61" s="2339"/>
      <c r="Q61" s="2376">
        <f>'!Egen_Kap'!$P$187</f>
        <v>0</v>
      </c>
      <c r="R61" s="2339"/>
      <c r="S61" s="2375">
        <v>8</v>
      </c>
      <c r="U61" s="2379">
        <f>IF(O61=TRUE,S61,Q61)</f>
        <v>8</v>
      </c>
      <c r="W61" s="2513" t="str">
        <f>IF(O61=TRUE,"",$C$3)</f>
        <v/>
      </c>
    </row>
    <row r="62" spans="4:23" x14ac:dyDescent="0.2">
      <c r="O62" s="2353"/>
      <c r="P62" s="2338"/>
      <c r="Q62" s="2376"/>
      <c r="R62" s="2338"/>
      <c r="S62" s="2375"/>
      <c r="U62" s="2380"/>
      <c r="W62" s="2513"/>
    </row>
    <row r="63" spans="4:23" x14ac:dyDescent="0.2">
      <c r="D63" s="2348" t="s">
        <v>251</v>
      </c>
      <c r="F63" s="2347" t="str">
        <f>'!Egen_Kap'!$F$194</f>
        <v>Armeringer med mer</v>
      </c>
      <c r="H63" s="2339" t="s">
        <v>41</v>
      </c>
      <c r="I63" s="2339"/>
      <c r="J63" s="2337" t="s">
        <v>42</v>
      </c>
      <c r="O63" s="2353" t="b">
        <f>ISBLANK('!Egen_Kap'!$P$194)</f>
        <v>1</v>
      </c>
      <c r="P63" s="2339"/>
      <c r="Q63" s="2376">
        <f>'!Egen_Kap'!$P$194</f>
        <v>0</v>
      </c>
      <c r="R63" s="2339"/>
      <c r="S63" s="2375">
        <v>4</v>
      </c>
      <c r="U63" s="2379">
        <f>IF(O63=TRUE,S63,Q63)</f>
        <v>4</v>
      </c>
      <c r="W63" s="2513" t="str">
        <f>IF(O63=TRUE,"",$C$3)</f>
        <v/>
      </c>
    </row>
    <row r="64" spans="4:23" x14ac:dyDescent="0.2">
      <c r="H64" s="2339"/>
      <c r="I64" s="2339"/>
      <c r="O64" s="2353"/>
      <c r="P64" s="2339"/>
      <c r="Q64" s="2376"/>
      <c r="R64" s="2339"/>
      <c r="S64" s="2375"/>
      <c r="U64" s="2380"/>
      <c r="W64" s="2513"/>
    </row>
    <row r="65" spans="4:23" x14ac:dyDescent="0.2">
      <c r="D65" s="2348" t="s">
        <v>251</v>
      </c>
      <c r="F65" s="2347" t="str">
        <f>'!Egen_Kap'!$F$201</f>
        <v>For 1., 2. og 3. støp</v>
      </c>
      <c r="H65" s="2339" t="s">
        <v>43</v>
      </c>
      <c r="I65" s="2339"/>
      <c r="J65" s="2337" t="s">
        <v>37</v>
      </c>
      <c r="O65" s="2353" t="b">
        <f>ISBLANK('!Egen_Kap'!$P$201)</f>
        <v>1</v>
      </c>
      <c r="P65" s="2339"/>
      <c r="Q65" s="2376">
        <f>'!Egen_Kap'!$P$201</f>
        <v>0</v>
      </c>
      <c r="R65" s="2339"/>
      <c r="S65" s="2375">
        <v>0.03</v>
      </c>
      <c r="U65" s="2379">
        <f>IF(O65=TRUE,S65,Q65)</f>
        <v>0.03</v>
      </c>
      <c r="W65" s="2513" t="str">
        <f>IF(O65=TRUE,"",$C$3)</f>
        <v/>
      </c>
    </row>
    <row r="66" spans="4:23" x14ac:dyDescent="0.2">
      <c r="D66" s="2348" t="s">
        <v>251</v>
      </c>
      <c r="F66" s="2347" t="str">
        <f>'!Egen_Kap'!$F$203</f>
        <v>For 4. og
etterfølgende støper</v>
      </c>
      <c r="H66" s="2339" t="s">
        <v>44</v>
      </c>
      <c r="I66" s="2339"/>
      <c r="J66" s="2337" t="s">
        <v>37</v>
      </c>
      <c r="O66" s="2353" t="b">
        <f>ISBLANK('!Egen_Kap'!$P$203)</f>
        <v>1</v>
      </c>
      <c r="P66" s="2339"/>
      <c r="Q66" s="2376">
        <f>'!Egen_Kap'!$P$203</f>
        <v>0</v>
      </c>
      <c r="R66" s="2339"/>
      <c r="S66" s="2375">
        <v>0.1</v>
      </c>
      <c r="U66" s="2379">
        <f>IF(O66=TRUE,S66,Q66)</f>
        <v>0.1</v>
      </c>
      <c r="W66" s="2513" t="str">
        <f>IF(O66=TRUE,"",$C$3)</f>
        <v/>
      </c>
    </row>
    <row r="87" spans="3:31" x14ac:dyDescent="0.2">
      <c r="C87" s="2338"/>
      <c r="E87" s="2337"/>
      <c r="F87" s="2337"/>
      <c r="H87" s="2337"/>
      <c r="I87" s="2349"/>
      <c r="M87" s="2343"/>
    </row>
    <row r="88" spans="3:31" x14ac:dyDescent="0.2">
      <c r="C88" s="2338"/>
      <c r="E88" s="2337"/>
      <c r="F88" s="2337"/>
      <c r="H88" s="2343"/>
      <c r="I88" s="2337"/>
      <c r="L88" s="2511"/>
    </row>
    <row r="89" spans="3:31" ht="15" x14ac:dyDescent="0.2">
      <c r="C89" s="2338"/>
      <c r="E89" s="2337"/>
      <c r="F89" s="2337"/>
      <c r="H89" s="2342" t="s">
        <v>21</v>
      </c>
      <c r="I89" s="2341"/>
      <c r="J89" s="2342" t="s">
        <v>22</v>
      </c>
    </row>
    <row r="90" spans="3:31" ht="15" x14ac:dyDescent="0.2">
      <c r="C90" s="2338"/>
      <c r="D90" s="2341"/>
      <c r="E90" s="2337"/>
      <c r="F90" s="2337"/>
      <c r="H90" s="2342" t="s">
        <v>8</v>
      </c>
      <c r="I90" s="2341"/>
      <c r="J90" s="2342" t="s">
        <v>8</v>
      </c>
      <c r="K90" s="2341"/>
      <c r="L90" s="2341" t="s">
        <v>88</v>
      </c>
      <c r="N90" s="2341"/>
      <c r="Z90" s="2341"/>
      <c r="AA90" s="2341"/>
      <c r="AB90" s="2341"/>
      <c r="AC90" s="2341"/>
      <c r="AD90" s="2341"/>
      <c r="AE90" s="2341"/>
    </row>
    <row r="91" spans="3:31" x14ac:dyDescent="0.2">
      <c r="C91" s="2339" t="s">
        <v>89</v>
      </c>
      <c r="D91" s="2337" t="s">
        <v>39</v>
      </c>
      <c r="E91" s="2337"/>
      <c r="F91" s="2337"/>
      <c r="H91" s="2343"/>
      <c r="I91" s="2337"/>
      <c r="J91" s="2343">
        <v>0.02</v>
      </c>
    </row>
    <row r="92" spans="3:31" x14ac:dyDescent="0.2">
      <c r="C92" s="2339" t="s">
        <v>90</v>
      </c>
      <c r="D92" s="2337" t="s">
        <v>39</v>
      </c>
      <c r="E92" s="2337"/>
      <c r="F92" s="2337"/>
      <c r="H92" s="2343"/>
      <c r="I92" s="2337"/>
      <c r="J92" s="2343">
        <v>0.02</v>
      </c>
    </row>
    <row r="93" spans="3:31" x14ac:dyDescent="0.2">
      <c r="C93" s="2339" t="s">
        <v>91</v>
      </c>
      <c r="D93" s="2337" t="s">
        <v>39</v>
      </c>
      <c r="E93" s="2337"/>
      <c r="F93" s="2337"/>
      <c r="H93" s="2343"/>
      <c r="I93" s="2337"/>
      <c r="J93" s="2343">
        <v>0.03</v>
      </c>
    </row>
    <row r="94" spans="3:31" x14ac:dyDescent="0.2">
      <c r="C94" s="2339" t="s">
        <v>92</v>
      </c>
      <c r="D94" s="2337" t="s">
        <v>39</v>
      </c>
      <c r="E94" s="2337"/>
      <c r="F94" s="2337"/>
      <c r="H94" s="2343"/>
      <c r="I94" s="2337"/>
      <c r="J94" s="2343">
        <v>0.05</v>
      </c>
    </row>
    <row r="95" spans="3:31" ht="28.5" x14ac:dyDescent="0.2">
      <c r="C95" s="2339" t="s">
        <v>93</v>
      </c>
      <c r="D95" s="2337" t="s">
        <v>39</v>
      </c>
      <c r="E95" s="2337"/>
      <c r="F95" s="2337"/>
      <c r="H95" s="2343"/>
      <c r="I95" s="2337"/>
      <c r="J95" s="2343">
        <v>0.2</v>
      </c>
    </row>
    <row r="96" spans="3:31" ht="28.5" x14ac:dyDescent="0.2">
      <c r="C96" s="2339" t="s">
        <v>94</v>
      </c>
      <c r="D96" s="2337" t="s">
        <v>39</v>
      </c>
      <c r="E96" s="2337"/>
      <c r="F96" s="2337"/>
      <c r="H96" s="2343"/>
      <c r="I96" s="2337"/>
      <c r="J96" s="2343">
        <v>0.2</v>
      </c>
    </row>
    <row r="97" spans="3:23" x14ac:dyDescent="0.2">
      <c r="C97" s="2339" t="s">
        <v>95</v>
      </c>
      <c r="D97" s="2337" t="s">
        <v>39</v>
      </c>
      <c r="E97" s="2337"/>
      <c r="F97" s="2337"/>
      <c r="H97" s="2343"/>
      <c r="I97" s="2337"/>
      <c r="J97" s="2343">
        <v>0.3</v>
      </c>
    </row>
    <row r="98" spans="3:23" x14ac:dyDescent="0.2">
      <c r="C98" s="2339" t="s">
        <v>96</v>
      </c>
      <c r="D98" s="2337" t="s">
        <v>39</v>
      </c>
      <c r="E98" s="2337"/>
      <c r="F98" s="2337"/>
      <c r="H98" s="2343"/>
      <c r="I98" s="2337"/>
      <c r="J98" s="2343">
        <v>0.4</v>
      </c>
    </row>
    <row r="99" spans="3:23" x14ac:dyDescent="0.2">
      <c r="U99" s="2343"/>
      <c r="W99" s="2337"/>
    </row>
  </sheetData>
  <mergeCells count="2">
    <mergeCell ref="D9:H9"/>
    <mergeCell ref="A14:A40"/>
  </mergeCells>
  <conditionalFormatting sqref="O14:O66">
    <cfRule type="containsText" dxfId="162" priority="1" operator="containsText" text="FALSE">
      <formula>NOT(ISERROR(SEARCH("FALSE",O14)))</formula>
    </cfRule>
  </conditionalFormatting>
  <pageMargins left="0.7" right="0.7" top="0.75" bottom="0.75" header="0.3" footer="0.3"/>
  <pageSetup scale="2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76A5-0784-4745-A396-60045E2CB0C4}">
  <sheetPr codeName="Sheet3"/>
  <dimension ref="A1:FY42"/>
  <sheetViews>
    <sheetView workbookViewId="0">
      <selection activeCell="M24" sqref="M24"/>
    </sheetView>
  </sheetViews>
  <sheetFormatPr defaultColWidth="8.625" defaultRowHeight="14.25" x14ac:dyDescent="0.2"/>
  <cols>
    <col min="1" max="3" width="8.625" style="1"/>
    <col min="4" max="4" width="2.75" style="1" customWidth="1"/>
    <col min="5" max="8" width="8.625" style="1"/>
    <col min="9" max="11" width="8.75" style="1" customWidth="1"/>
    <col min="12" max="13" width="8.625" style="1"/>
    <col min="14" max="14" width="9.625" style="1" customWidth="1"/>
    <col min="15" max="15" width="8.625" style="1"/>
    <col min="16" max="16" width="9.625" style="1" customWidth="1"/>
    <col min="17" max="48" width="8.625" style="1"/>
    <col min="49" max="49" width="10.625" style="1" bestFit="1" customWidth="1"/>
    <col min="50" max="50" width="10.625" style="1" customWidth="1"/>
    <col min="51" max="67" width="8.625" style="1"/>
    <col min="68" max="68" width="8.75" style="1" customWidth="1"/>
    <col min="69" max="69" width="8.875" style="1" customWidth="1"/>
    <col min="70" max="70" width="12.5" style="1" customWidth="1"/>
    <col min="71" max="71" width="9.125" style="1" customWidth="1"/>
    <col min="72" max="72" width="15.75" style="1" customWidth="1"/>
    <col min="73" max="88" width="8.625" style="1"/>
    <col min="89" max="89" width="16" style="1" bestFit="1" customWidth="1"/>
    <col min="90" max="91" width="16" style="1" customWidth="1"/>
    <col min="92" max="92" width="21.25" style="1" bestFit="1" customWidth="1"/>
    <col min="93" max="94" width="8.625" style="1"/>
    <col min="95" max="95" width="18" style="1" bestFit="1" customWidth="1"/>
    <col min="96" max="98" width="8.625" style="1"/>
    <col min="99" max="99" width="18.625" style="1" bestFit="1" customWidth="1"/>
    <col min="100" max="100" width="16.75" style="1" bestFit="1" customWidth="1"/>
    <col min="101" max="101" width="8.625" style="1"/>
    <col min="102" max="102" width="9.5" style="1" customWidth="1"/>
    <col min="103" max="103" width="10.25" style="1" customWidth="1"/>
    <col min="104" max="104" width="8.625" style="1"/>
    <col min="105" max="105" width="9.5" style="1" customWidth="1"/>
    <col min="106" max="107" width="10.25" style="1" customWidth="1"/>
    <col min="108" max="108" width="8.625" style="1"/>
    <col min="109" max="109" width="9.5" style="1" customWidth="1"/>
    <col min="110" max="110" width="8.625" style="1"/>
    <col min="111" max="111" width="9.5" style="1" customWidth="1"/>
    <col min="112" max="112" width="8.625" style="1"/>
    <col min="113" max="114" width="9.5" style="1" customWidth="1"/>
    <col min="115" max="115" width="19.5" style="1" customWidth="1"/>
    <col min="116" max="116" width="8.625" style="1"/>
    <col min="117" max="118" width="9.5" style="1" customWidth="1"/>
    <col min="119" max="119" width="17.875" style="1" customWidth="1"/>
    <col min="120" max="120" width="5.875" style="1" customWidth="1"/>
    <col min="121" max="121" width="17.875" style="1" customWidth="1"/>
    <col min="122" max="122" width="8.625" style="1"/>
    <col min="123" max="123" width="17.5" style="1" customWidth="1"/>
    <col min="124" max="124" width="4" style="1" customWidth="1"/>
    <col min="125" max="127" width="17.5" style="1" customWidth="1"/>
    <col min="128" max="128" width="8.625" style="1"/>
    <col min="129" max="129" width="9.5" style="1" customWidth="1"/>
    <col min="130" max="130" width="8.625" style="1"/>
    <col min="131" max="131" width="10.25" style="1" customWidth="1"/>
    <col min="132" max="133" width="8.625" style="1"/>
    <col min="134" max="134" width="13.5" style="1" customWidth="1"/>
    <col min="135" max="135" width="9.5" style="2" customWidth="1"/>
    <col min="136" max="136" width="8.625" style="2"/>
    <col min="137" max="138" width="8.625" style="1"/>
    <col min="139" max="139" width="14.875" style="1" customWidth="1"/>
    <col min="140" max="141" width="8.625" style="1"/>
    <col min="142" max="142" width="15.5" style="1" customWidth="1"/>
    <col min="143" max="143" width="9.5" style="1" customWidth="1"/>
    <col min="144" max="145" width="8.625" style="1"/>
    <col min="146" max="146" width="8.625" style="3"/>
    <col min="147" max="147" width="9.5" style="1" customWidth="1"/>
    <col min="148" max="148" width="8.625" style="2"/>
    <col min="149" max="149" width="8.625" style="1"/>
    <col min="150" max="150" width="13.875" style="1" bestFit="1" customWidth="1"/>
    <col min="151" max="151" width="9.5" style="2" customWidth="1"/>
    <col min="152" max="152" width="8.625" style="2"/>
    <col min="153" max="153" width="8.625" style="1"/>
    <col min="154" max="154" width="8.875" style="1" customWidth="1"/>
    <col min="155" max="155" width="9.5" style="2" customWidth="1"/>
    <col min="156" max="156" width="8.625" style="2"/>
    <col min="157" max="157" width="8.625" style="1"/>
    <col min="158" max="158" width="11.5" style="1" customWidth="1"/>
    <col min="159" max="159" width="11.125" style="1" customWidth="1"/>
    <col min="160" max="165" width="8.625" style="1"/>
    <col min="166" max="166" width="10.375" style="1" customWidth="1"/>
    <col min="167" max="167" width="9.5" style="2" customWidth="1"/>
    <col min="168" max="168" width="8.625" style="2"/>
    <col min="169" max="170" width="8.625" style="1"/>
    <col min="171" max="171" width="9.5" style="2" customWidth="1"/>
    <col min="172" max="172" width="8.625" style="2"/>
    <col min="173" max="173" width="8.625" style="1"/>
    <col min="174" max="174" width="9.5" style="1" customWidth="1"/>
    <col min="175" max="176" width="8.625" style="1"/>
    <col min="177" max="177" width="27.625" style="1" bestFit="1" customWidth="1"/>
    <col min="178" max="178" width="126.625" style="1" bestFit="1" customWidth="1"/>
    <col min="179" max="179" width="8.125" style="1" bestFit="1" customWidth="1"/>
    <col min="180" max="180" width="7.625" style="1" bestFit="1" customWidth="1"/>
    <col min="181" max="181" width="11.5" style="1" bestFit="1" customWidth="1"/>
    <col min="182" max="16384" width="8.625" style="1"/>
  </cols>
  <sheetData>
    <row r="1" spans="1:181" x14ac:dyDescent="0.2">
      <c r="A1" s="436" t="str">
        <f>Tunneldrift!AD137</f>
        <v>Stuff 1-1</v>
      </c>
      <c r="B1" s="1" t="str">
        <f>IF(COUNTIF(Tunneldrift!F$100:F$119,A1)&gt;=1,"",ROW())</f>
        <v/>
      </c>
      <c r="C1" s="1" t="str" cm="1">
        <f t="array" ref="C1">IF(ROW(A1)-ROW(A$1)+1&gt;COUNT(B$1:B$8),"",
INDEX(A:A,SMALL(B$1:B$8,1+ROW(A1)-ROW(A$1))))</f>
        <v/>
      </c>
      <c r="D1" s="454"/>
      <c r="AG1" s="182"/>
      <c r="AH1" s="182"/>
      <c r="AI1" s="182"/>
      <c r="AJ1" s="182"/>
      <c r="AK1" s="182"/>
      <c r="AL1" s="182"/>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row>
    <row r="2" spans="1:181" x14ac:dyDescent="0.2">
      <c r="A2" s="437" t="str">
        <f>Tunneldrift!AO137</f>
        <v>Stuff 1-2</v>
      </c>
      <c r="B2" s="1" t="str">
        <f>IF(COUNTIF(Tunneldrift!F$100:F$119,A2)&gt;=1,"",ROW())</f>
        <v/>
      </c>
      <c r="C2" s="1" t="str" cm="1">
        <f t="array" ref="C2">IF(ROW(A2)-ROW(A$1)+1&gt;COUNT(B$1:B$8),"",
INDEX(A:A,SMALL(B$1:B$8,1+ROW(A2)-ROW(A$1))))</f>
        <v/>
      </c>
      <c r="D2" s="454"/>
      <c r="F2" s="433" t="s">
        <v>543</v>
      </c>
      <c r="G2" s="433"/>
      <c r="AG2" s="182"/>
      <c r="AH2" s="182"/>
      <c r="AI2" s="182"/>
      <c r="AJ2" s="182"/>
      <c r="AK2" s="182"/>
      <c r="AL2" s="18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row>
    <row r="3" spans="1:181" x14ac:dyDescent="0.2">
      <c r="A3" s="1" t="str">
        <f>Tunneldrift!AZ137</f>
        <v>Stuff 1-3</v>
      </c>
      <c r="B3" s="1" t="str">
        <f>IF(COUNTIF(Tunneldrift!F$100:F$119,A3)&gt;=1,"",ROW())</f>
        <v/>
      </c>
      <c r="C3" s="1" t="str" cm="1">
        <f t="array" ref="C3">IF(ROW(A3)-ROW(A$1)+1&gt;COUNT(B$1:B$8),"",
INDEX(A:A,SMALL(B$1:B$8,1+ROW(A3)-ROW(A$1))))</f>
        <v/>
      </c>
      <c r="D3" s="454"/>
      <c r="F3" s="433" t="s">
        <v>544</v>
      </c>
      <c r="G3" s="433"/>
      <c r="AG3" s="213" t="s">
        <v>251</v>
      </c>
      <c r="AH3" s="213" t="s">
        <v>251</v>
      </c>
      <c r="AI3" s="213" t="s">
        <v>251</v>
      </c>
      <c r="AJ3" s="182"/>
      <c r="AK3" s="182"/>
      <c r="AL3" s="213" t="s">
        <v>251</v>
      </c>
      <c r="AM3" s="213" t="s">
        <v>251</v>
      </c>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row>
    <row r="4" spans="1:181" x14ac:dyDescent="0.2">
      <c r="A4" s="1" t="str">
        <f>Tunneldrift!BO137</f>
        <v>Stuff 1-4</v>
      </c>
      <c r="B4" s="1" t="str">
        <f>IF(COUNTIF(Tunneldrift!F$100:F$119,A4)&gt;=1,"",ROW())</f>
        <v/>
      </c>
      <c r="C4" s="1" t="str" cm="1">
        <f t="array" ref="C4">IF(ROW(A4)-ROW(A$1)+1&gt;COUNT(B$1:B$8),"",
INDEX(A:A,SMALL(B$1:B$8,1+ROW(A4)-ROW(A$1))))</f>
        <v/>
      </c>
      <c r="D4" s="454"/>
      <c r="F4" s="455" t="s">
        <v>534</v>
      </c>
      <c r="G4" s="455" t="s">
        <v>1622</v>
      </c>
      <c r="H4" s="455"/>
      <c r="I4" s="455" t="s">
        <v>459</v>
      </c>
      <c r="J4" s="455" t="s">
        <v>460</v>
      </c>
      <c r="K4" s="455"/>
      <c r="L4" s="455" t="s">
        <v>461</v>
      </c>
      <c r="M4" s="455"/>
      <c r="N4" s="455" t="s">
        <v>202</v>
      </c>
      <c r="O4" s="455"/>
      <c r="P4" s="455" t="s">
        <v>197</v>
      </c>
      <c r="Q4" s="455"/>
      <c r="R4" s="455" t="s">
        <v>193</v>
      </c>
      <c r="S4" s="455" t="s">
        <v>193</v>
      </c>
      <c r="T4" s="455"/>
      <c r="U4" s="455" t="s">
        <v>507</v>
      </c>
      <c r="V4" s="455" t="s">
        <v>506</v>
      </c>
      <c r="W4" s="455" t="s">
        <v>508</v>
      </c>
      <c r="X4" s="455" t="s">
        <v>509</v>
      </c>
      <c r="Y4" s="455" t="s">
        <v>510</v>
      </c>
      <c r="Z4" s="455" t="s">
        <v>511</v>
      </c>
      <c r="AA4" s="455" t="s">
        <v>512</v>
      </c>
      <c r="AB4" s="455" t="s">
        <v>513</v>
      </c>
      <c r="AC4" s="455" t="s">
        <v>514</v>
      </c>
      <c r="AD4" s="455" t="s">
        <v>515</v>
      </c>
      <c r="AE4" s="455"/>
      <c r="AF4" s="455"/>
      <c r="AG4" s="456" t="s">
        <v>535</v>
      </c>
      <c r="AH4" s="456" t="s">
        <v>536</v>
      </c>
      <c r="AI4" s="456" t="s">
        <v>537</v>
      </c>
      <c r="AJ4" s="456" t="s">
        <v>538</v>
      </c>
      <c r="AK4" s="456" t="s">
        <v>540</v>
      </c>
      <c r="AL4" s="456" t="s">
        <v>541</v>
      </c>
      <c r="AM4" s="455" t="s">
        <v>542</v>
      </c>
      <c r="AN4" s="455" t="s">
        <v>539</v>
      </c>
      <c r="AO4" s="455"/>
      <c r="AP4" s="455" t="s">
        <v>462</v>
      </c>
      <c r="AQ4" s="455"/>
      <c r="AR4" s="455" t="s">
        <v>141</v>
      </c>
      <c r="AS4" s="455"/>
      <c r="AT4" s="455"/>
      <c r="AU4" s="457" t="s">
        <v>480</v>
      </c>
      <c r="AV4" s="457" t="s">
        <v>411</v>
      </c>
      <c r="AW4" s="457" t="s">
        <v>410</v>
      </c>
      <c r="AX4" s="457"/>
      <c r="AY4" s="458" t="s">
        <v>491</v>
      </c>
      <c r="AZ4" s="458"/>
      <c r="BA4" s="458"/>
      <c r="BB4" s="458" t="s">
        <v>1224</v>
      </c>
      <c r="BC4" s="458"/>
      <c r="BD4" s="458"/>
      <c r="BE4" s="458"/>
      <c r="BF4" s="458"/>
      <c r="BG4" s="458"/>
      <c r="BH4" s="458"/>
      <c r="BI4" s="458" t="s">
        <v>1492</v>
      </c>
      <c r="BJ4" s="458"/>
      <c r="BK4" s="458"/>
      <c r="BL4" s="458"/>
      <c r="BM4" s="458"/>
      <c r="BN4" s="458"/>
      <c r="BO4" s="458" t="s">
        <v>1225</v>
      </c>
      <c r="BP4" s="458"/>
      <c r="BQ4" s="458"/>
      <c r="BR4" s="458"/>
      <c r="BS4" s="458"/>
      <c r="BT4" s="458"/>
      <c r="BU4" s="458"/>
      <c r="BV4" s="458" t="s">
        <v>457</v>
      </c>
      <c r="BW4" s="458" t="s">
        <v>458</v>
      </c>
      <c r="BX4" s="458"/>
      <c r="BY4" s="458" t="s">
        <v>175</v>
      </c>
      <c r="BZ4" s="458" t="s">
        <v>176</v>
      </c>
      <c r="CA4" s="458" t="s">
        <v>177</v>
      </c>
      <c r="CB4" s="458" t="s">
        <v>178</v>
      </c>
      <c r="CC4" s="458" t="s">
        <v>179</v>
      </c>
      <c r="CD4" s="458"/>
      <c r="CE4" s="458" t="s">
        <v>180</v>
      </c>
      <c r="CF4" s="458"/>
      <c r="CG4" s="458" t="s">
        <v>181</v>
      </c>
      <c r="CH4" s="458"/>
      <c r="CI4" s="458" t="s">
        <v>182</v>
      </c>
      <c r="CJ4" s="458"/>
      <c r="CK4" s="458" t="s">
        <v>1625</v>
      </c>
      <c r="CL4" s="458" t="s">
        <v>1626</v>
      </c>
      <c r="CM4" s="458" t="s">
        <v>2736</v>
      </c>
      <c r="CN4" s="458"/>
      <c r="CO4" s="458"/>
      <c r="CP4" s="458"/>
      <c r="CQ4" s="458"/>
      <c r="CR4" s="458" t="s">
        <v>174</v>
      </c>
      <c r="CS4" s="458"/>
      <c r="CT4" s="458"/>
      <c r="CU4" s="458" t="s">
        <v>1633</v>
      </c>
      <c r="CV4" s="458" t="s">
        <v>1632</v>
      </c>
      <c r="CW4" s="458"/>
      <c r="CX4" s="2992" t="s">
        <v>948</v>
      </c>
      <c r="CY4" s="2992"/>
      <c r="CZ4" s="458"/>
      <c r="DA4" s="458" t="s">
        <v>976</v>
      </c>
      <c r="DB4" s="458"/>
      <c r="DC4" s="458" t="s">
        <v>975</v>
      </c>
      <c r="DD4" s="458"/>
      <c r="DE4" s="458" t="s">
        <v>955</v>
      </c>
      <c r="DF4" s="458"/>
      <c r="DG4" s="458" t="s">
        <v>956</v>
      </c>
      <c r="DH4" s="458"/>
      <c r="DI4" s="458" t="s">
        <v>958</v>
      </c>
      <c r="DJ4" s="458"/>
      <c r="DK4" s="458" t="s">
        <v>1074</v>
      </c>
      <c r="DL4" s="458"/>
      <c r="DM4" s="458" t="s">
        <v>959</v>
      </c>
      <c r="DN4" s="458"/>
      <c r="DO4" s="2991" t="s">
        <v>1078</v>
      </c>
      <c r="DP4" s="2991"/>
      <c r="DQ4" s="2991" t="s">
        <v>1557</v>
      </c>
      <c r="DR4" s="458"/>
      <c r="DS4" s="458" t="s">
        <v>1076</v>
      </c>
      <c r="DT4" s="458"/>
      <c r="DU4" s="458" t="s">
        <v>1082</v>
      </c>
      <c r="DV4" s="458" t="s">
        <v>1083</v>
      </c>
      <c r="DW4" s="458"/>
      <c r="DX4" s="458"/>
      <c r="DY4" s="458" t="s">
        <v>978</v>
      </c>
      <c r="DZ4" s="458"/>
      <c r="EA4" s="458" t="s">
        <v>977</v>
      </c>
      <c r="EB4" s="458"/>
      <c r="EC4" s="458"/>
      <c r="ED4" s="458" t="s">
        <v>1215</v>
      </c>
      <c r="EE4" s="458"/>
      <c r="EF4" s="458"/>
      <c r="EG4" s="458" t="s">
        <v>1584</v>
      </c>
      <c r="EH4" s="458"/>
      <c r="EI4" s="458"/>
      <c r="EJ4" s="458"/>
      <c r="EK4" s="458"/>
      <c r="EL4" s="458"/>
      <c r="EM4" s="458"/>
      <c r="EN4" s="458"/>
      <c r="EO4"/>
      <c r="EP4"/>
      <c r="EQ4"/>
      <c r="ER4"/>
      <c r="ES4"/>
      <c r="ET4"/>
      <c r="EU4"/>
      <c r="EV4"/>
      <c r="EW4"/>
      <c r="EX4"/>
      <c r="EY4"/>
      <c r="EZ4"/>
      <c r="FA4"/>
      <c r="FB4"/>
      <c r="FC4"/>
      <c r="FD4"/>
      <c r="FE4"/>
      <c r="FF4"/>
      <c r="FG4"/>
      <c r="FH4"/>
      <c r="FI4"/>
      <c r="FJ4"/>
      <c r="FK4"/>
      <c r="FL4"/>
      <c r="FM4"/>
      <c r="FN4"/>
      <c r="FO4"/>
      <c r="FP4"/>
      <c r="FQ4"/>
      <c r="FR4"/>
      <c r="FS4"/>
      <c r="FT4"/>
      <c r="FU4"/>
      <c r="FV4"/>
      <c r="FW4"/>
      <c r="FX4"/>
      <c r="FY4"/>
    </row>
    <row r="5" spans="1:181" x14ac:dyDescent="0.2">
      <c r="A5" s="1" t="str">
        <f>Tunneldrift!AD169</f>
        <v>Stuff 2-1</v>
      </c>
      <c r="B5" s="1" t="str">
        <f>IF(COUNTIF(Tunneldrift!F$100:F$119,A5)&gt;=1,"",ROW())</f>
        <v/>
      </c>
      <c r="C5" s="1" t="str" cm="1">
        <f t="array" ref="C5">IF(ROW(A5)-ROW(A$1)+1&gt;COUNT(B$1:B$8),"",
INDEX(A:A,SMALL(B$1:B$8,1+ROW(A5)-ROW(A$1))))</f>
        <v/>
      </c>
      <c r="D5" s="454"/>
      <c r="G5" s="1" t="s">
        <v>1621</v>
      </c>
      <c r="I5" s="440" t="s">
        <v>209</v>
      </c>
      <c r="J5" s="440" t="s">
        <v>209</v>
      </c>
      <c r="K5"/>
      <c r="L5" s="440" t="s">
        <v>276</v>
      </c>
      <c r="M5"/>
      <c r="N5" s="440" t="s">
        <v>187</v>
      </c>
      <c r="O5"/>
      <c r="P5" s="440" t="s">
        <v>187</v>
      </c>
      <c r="Q5"/>
      <c r="R5" s="440" t="s">
        <v>187</v>
      </c>
      <c r="S5" s="440" t="s">
        <v>187</v>
      </c>
      <c r="T5"/>
      <c r="U5" s="449" t="s">
        <v>203</v>
      </c>
      <c r="V5" s="449" t="s">
        <v>203</v>
      </c>
      <c r="W5" s="449" t="s">
        <v>203</v>
      </c>
      <c r="X5" s="449" t="s">
        <v>203</v>
      </c>
      <c r="Y5" s="449" t="s">
        <v>203</v>
      </c>
      <c r="Z5" s="449" t="s">
        <v>203</v>
      </c>
      <c r="AA5" s="449" t="s">
        <v>203</v>
      </c>
      <c r="AB5" s="449" t="s">
        <v>203</v>
      </c>
      <c r="AC5" s="449" t="s">
        <v>203</v>
      </c>
      <c r="AD5" s="449" t="s">
        <v>203</v>
      </c>
      <c r="AE5"/>
      <c r="AF5"/>
      <c r="AG5" t="s">
        <v>188</v>
      </c>
      <c r="AH5" t="s">
        <v>188</v>
      </c>
      <c r="AI5" t="s">
        <v>188</v>
      </c>
      <c r="AJ5" t="s">
        <v>188</v>
      </c>
      <c r="AK5" t="s">
        <v>188</v>
      </c>
      <c r="AL5" t="s">
        <v>188</v>
      </c>
      <c r="AM5" t="s">
        <v>188</v>
      </c>
      <c r="AN5" t="s">
        <v>188</v>
      </c>
      <c r="AO5"/>
      <c r="AP5" t="s">
        <v>169</v>
      </c>
      <c r="AR5" s="1" t="s">
        <v>47</v>
      </c>
      <c r="AS5" s="1" t="s">
        <v>50</v>
      </c>
      <c r="AU5" t="s">
        <v>47</v>
      </c>
      <c r="AV5" t="s">
        <v>47</v>
      </c>
      <c r="AW5" t="s">
        <v>243</v>
      </c>
      <c r="AX5" s="4"/>
      <c r="AY5" s="1" t="s">
        <v>47</v>
      </c>
      <c r="AZ5" s="1" t="s">
        <v>50</v>
      </c>
      <c r="BB5" s="1" t="s">
        <v>48</v>
      </c>
      <c r="BC5" s="1" t="s">
        <v>166</v>
      </c>
      <c r="BD5" s="1" t="s">
        <v>165</v>
      </c>
      <c r="BE5" s="1" t="s">
        <v>919</v>
      </c>
      <c r="BF5" s="1" t="s">
        <v>934</v>
      </c>
      <c r="BI5" s="1" t="s">
        <v>48</v>
      </c>
      <c r="BJ5" s="1" t="s">
        <v>166</v>
      </c>
      <c r="BK5" s="1" t="s">
        <v>165</v>
      </c>
      <c r="BL5" s="1" t="s">
        <v>919</v>
      </c>
      <c r="BM5" s="1" t="s">
        <v>934</v>
      </c>
      <c r="BO5" s="1" t="s">
        <v>48</v>
      </c>
      <c r="BP5" s="1" t="s">
        <v>166</v>
      </c>
      <c r="BQ5" s="1" t="s">
        <v>165</v>
      </c>
      <c r="BR5" s="1" t="s">
        <v>919</v>
      </c>
      <c r="BS5" s="1" t="s">
        <v>934</v>
      </c>
      <c r="BT5" s="1" t="s">
        <v>1226</v>
      </c>
      <c r="BV5" s="1" t="s">
        <v>169</v>
      </c>
      <c r="BW5" s="1" t="s">
        <v>169</v>
      </c>
      <c r="BY5" s="1" t="s">
        <v>169</v>
      </c>
      <c r="BZ5" s="1" t="s">
        <v>169</v>
      </c>
      <c r="CA5" s="1" t="s">
        <v>169</v>
      </c>
      <c r="CB5" s="1" t="s">
        <v>169</v>
      </c>
      <c r="CC5" s="1" t="s">
        <v>169</v>
      </c>
      <c r="CD5" s="1" t="s">
        <v>187</v>
      </c>
      <c r="CE5" s="1" t="s">
        <v>169</v>
      </c>
      <c r="CG5" s="1" t="s">
        <v>169</v>
      </c>
      <c r="CI5" s="1" t="s">
        <v>169</v>
      </c>
      <c r="CK5" s="1" t="s">
        <v>47</v>
      </c>
      <c r="CL5" s="1" t="s">
        <v>47</v>
      </c>
      <c r="CM5" s="1" t="s">
        <v>47</v>
      </c>
      <c r="CN5" s="1" t="s">
        <v>1220</v>
      </c>
      <c r="CO5" s="1" t="s">
        <v>1223</v>
      </c>
      <c r="CQ5" s="1" t="s">
        <v>273</v>
      </c>
      <c r="CR5" s="1" t="s">
        <v>168</v>
      </c>
      <c r="CS5" s="1" t="s">
        <v>169</v>
      </c>
      <c r="CU5" s="1" t="s">
        <v>1597</v>
      </c>
      <c r="CV5" s="1" t="s">
        <v>187</v>
      </c>
      <c r="CX5" t="s">
        <v>947</v>
      </c>
      <c r="CY5" t="s">
        <v>946</v>
      </c>
      <c r="DA5" s="1" t="s">
        <v>947</v>
      </c>
      <c r="DC5" s="1" t="s">
        <v>946</v>
      </c>
      <c r="DE5" s="1" t="s">
        <v>947</v>
      </c>
      <c r="DG5" s="1" t="s">
        <v>947</v>
      </c>
      <c r="DI5" s="1" t="s">
        <v>947</v>
      </c>
      <c r="DK5" s="1" t="s">
        <v>1075</v>
      </c>
      <c r="DM5" s="1" t="s">
        <v>947</v>
      </c>
      <c r="DO5" s="2621" t="s">
        <v>1079</v>
      </c>
      <c r="DP5" s="2621"/>
      <c r="DQ5" s="2621" t="s">
        <v>1556</v>
      </c>
      <c r="DS5" s="1" t="s">
        <v>946</v>
      </c>
      <c r="DU5" s="1" t="s">
        <v>1084</v>
      </c>
      <c r="DY5" s="1" t="s">
        <v>947</v>
      </c>
      <c r="EA5" s="1" t="s">
        <v>946</v>
      </c>
      <c r="ED5" s="4" t="s">
        <v>865</v>
      </c>
      <c r="EE5"/>
      <c r="EF5"/>
      <c r="EG5" t="s">
        <v>693</v>
      </c>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row>
    <row r="6" spans="1:181" x14ac:dyDescent="0.2">
      <c r="A6" s="1" t="str">
        <f>Tunneldrift!AO169</f>
        <v>Stuff 2-2</v>
      </c>
      <c r="B6" s="1" t="str">
        <f>IF(COUNTIF(Tunneldrift!F$100:F$119,A6)&gt;=1,"",ROW())</f>
        <v/>
      </c>
      <c r="C6" s="1" t="str" cm="1">
        <f t="array" ref="C6">IF(ROW(A6)-ROW(A$1)+1&gt;COUNT(B$1:B$8),"",
INDEX(A:A,SMALL(B$1:B$8,1+ROW(A6)-ROW(A$1))))</f>
        <v/>
      </c>
      <c r="D6" s="454"/>
      <c r="I6" s="459"/>
      <c r="J6" s="459"/>
      <c r="K6"/>
      <c r="L6" s="459"/>
      <c r="M6"/>
      <c r="N6" s="459">
        <v>0</v>
      </c>
      <c r="O6"/>
      <c r="P6" s="459" t="s">
        <v>196</v>
      </c>
      <c r="Q6"/>
      <c r="R6" s="459"/>
      <c r="S6" s="459"/>
      <c r="T6"/>
      <c r="U6" s="449"/>
      <c r="V6" s="449"/>
      <c r="W6" s="449"/>
      <c r="X6" s="449"/>
      <c r="Y6" s="449"/>
      <c r="Z6" s="449"/>
      <c r="AA6" s="449"/>
      <c r="AB6" s="449"/>
      <c r="AC6" s="449"/>
      <c r="AD6" s="449"/>
      <c r="AE6"/>
      <c r="AF6"/>
      <c r="AG6"/>
      <c r="AH6" t="s">
        <v>189</v>
      </c>
      <c r="AI6"/>
      <c r="AJ6"/>
      <c r="AK6"/>
      <c r="AL6"/>
      <c r="AM6" t="s">
        <v>189</v>
      </c>
      <c r="AN6"/>
      <c r="AO6"/>
      <c r="AP6"/>
      <c r="AR6" s="6"/>
      <c r="AU6"/>
      <c r="AV6"/>
      <c r="AW6"/>
      <c r="AX6" s="4"/>
      <c r="AY6" s="6"/>
      <c r="BB6" s="6"/>
      <c r="BC6" s="6"/>
      <c r="BD6" s="6"/>
      <c r="BE6" s="6"/>
      <c r="BF6" s="6"/>
      <c r="BG6" s="6"/>
      <c r="BI6" s="6"/>
      <c r="BJ6" s="6"/>
      <c r="BK6" s="6"/>
      <c r="BL6" s="6"/>
      <c r="BM6" s="6"/>
      <c r="BN6" s="6"/>
      <c r="BO6" s="6"/>
      <c r="BP6" s="6"/>
      <c r="BQ6" s="6"/>
      <c r="BR6" s="6"/>
      <c r="BS6" s="6"/>
      <c r="BT6" s="6"/>
      <c r="BU6" s="6"/>
      <c r="BV6" s="6"/>
      <c r="BW6" s="6"/>
      <c r="BX6" s="6"/>
      <c r="BY6" s="6"/>
      <c r="BZ6" s="6"/>
      <c r="CA6" s="6"/>
      <c r="CB6" s="6"/>
      <c r="CC6" s="6"/>
      <c r="CD6" s="6">
        <f>IF(COUNTIF($CC$6:$CC$8,CC6)&gt;=1,"",ROW())</f>
        <v>6</v>
      </c>
      <c r="CE6" s="6"/>
      <c r="CF6" s="6"/>
      <c r="CG6" s="6"/>
      <c r="CH6" s="6"/>
      <c r="CI6" s="6"/>
      <c r="CJ6" s="6"/>
      <c r="CK6" s="6"/>
      <c r="CL6" s="6"/>
      <c r="CM6" s="6"/>
      <c r="CN6" s="6"/>
      <c r="CO6" s="6"/>
      <c r="CP6" s="6"/>
      <c r="CR6" s="6"/>
      <c r="CX6" t="str">
        <f>_Calcs_Klasse!ABK36</f>
        <v>Minutter per salve</v>
      </c>
      <c r="CY6"/>
      <c r="DA6" s="1" t="str">
        <f>_Calcs_Klasse!ACE36</f>
        <v>Bolting senteravstand</v>
      </c>
      <c r="DC6" s="1" t="s">
        <v>964</v>
      </c>
      <c r="DE6" s="1" t="str">
        <f>_Calcs_Klasse!AES36</f>
        <v>Bergbånd overlappingsfaktor</v>
      </c>
      <c r="DG6" s="1" t="str">
        <f>_Calcs_Klasse!AGO36</f>
        <v>Nett (kvadratmeter) per meter av tunnel</v>
      </c>
      <c r="DI6" s="1" t="str">
        <f>_Calcs_Klasse!AHP36</f>
        <v>Tykkelse lag</v>
      </c>
      <c r="DK6" s="1" t="s">
        <v>821</v>
      </c>
      <c r="DM6" s="1" t="str">
        <f>_Calcs_Klasse!$AIU$36</f>
        <v>Buedimensjon</v>
      </c>
      <c r="DO6" s="1" t="s">
        <v>1080</v>
      </c>
      <c r="DQ6" s="1" t="s">
        <v>1080</v>
      </c>
      <c r="DS6" s="1" t="s">
        <v>964</v>
      </c>
      <c r="DU6" s="1" t="s">
        <v>1075</v>
      </c>
      <c r="DY6" s="1" t="str">
        <f>_Calcs_Klasse!ART36</f>
        <v>Sikringsstøp per tunnellengde</v>
      </c>
      <c r="EA6" s="1" t="s">
        <v>964</v>
      </c>
      <c r="ED6" t="s">
        <v>189</v>
      </c>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row>
    <row r="7" spans="1:181" x14ac:dyDescent="0.2">
      <c r="A7" s="1" t="str">
        <f>Tunneldrift!AZ169</f>
        <v>Stuff 2-3</v>
      </c>
      <c r="B7" s="1" t="str">
        <f>IF(COUNTIF(Tunneldrift!F$100:F$119,A7)&gt;=1,"",ROW())</f>
        <v/>
      </c>
      <c r="C7" s="1" t="str" cm="1">
        <f t="array" ref="C7">IF(ROW(A7)-ROW(A$1)+1&gt;COUNT(B$1:B$8),"",
INDEX(A:A,SMALL(B$1:B$8,1+ROW(A7)-ROW(A$1))))</f>
        <v/>
      </c>
      <c r="D7" s="454"/>
      <c r="G7" s="6108" t="s">
        <v>2733</v>
      </c>
      <c r="I7" s="459" t="s">
        <v>208</v>
      </c>
      <c r="J7" s="441" t="s">
        <v>208</v>
      </c>
      <c r="K7"/>
      <c r="L7" s="459">
        <v>1</v>
      </c>
      <c r="M7"/>
      <c r="N7" s="459">
        <v>5</v>
      </c>
      <c r="O7"/>
      <c r="P7" s="441" t="s">
        <v>146</v>
      </c>
      <c r="Q7"/>
      <c r="R7" s="441" t="s">
        <v>195</v>
      </c>
      <c r="S7" s="459" t="s">
        <v>194</v>
      </c>
      <c r="T7"/>
      <c r="U7" s="449" t="str">
        <f>Tunneldrift!AO137</f>
        <v>Stuff 1-2</v>
      </c>
      <c r="V7" s="449" t="str">
        <f>Tunneldrift!$AD$137</f>
        <v>Stuff 1-1</v>
      </c>
      <c r="W7" s="449" t="str">
        <f>Tunneldrift!AO137</f>
        <v>Stuff 1-2</v>
      </c>
      <c r="X7" s="449" t="str">
        <f>Tunneldrift!AO137</f>
        <v>Stuff 1-2</v>
      </c>
      <c r="Y7" s="449" t="str">
        <f>Tunneldrift!$AO$137</f>
        <v>Stuff 1-2</v>
      </c>
      <c r="Z7" s="449" t="str">
        <f>Tunneldrift!AO137</f>
        <v>Stuff 1-2</v>
      </c>
      <c r="AA7" s="449" t="str">
        <f>Tunneldrift!AD137</f>
        <v>Stuff 1-1</v>
      </c>
      <c r="AB7" s="449" t="str">
        <f>Tunneldrift!AO137</f>
        <v>Stuff 1-2</v>
      </c>
      <c r="AC7" s="449" t="str">
        <f>Tunneldrift!AO137</f>
        <v>Stuff 1-2</v>
      </c>
      <c r="AD7" s="449" t="str">
        <f>Tunneldrift!AO137</f>
        <v>Stuff 1-2</v>
      </c>
      <c r="AE7"/>
      <c r="AF7"/>
      <c r="AG7" t="s">
        <v>189</v>
      </c>
      <c r="AH7" t="s">
        <v>190</v>
      </c>
      <c r="AI7" t="s">
        <v>189</v>
      </c>
      <c r="AJ7" t="s">
        <v>189</v>
      </c>
      <c r="AK7" t="s">
        <v>189</v>
      </c>
      <c r="AL7" t="s">
        <v>189</v>
      </c>
      <c r="AM7" t="s">
        <v>190</v>
      </c>
      <c r="AN7" t="s">
        <v>189</v>
      </c>
      <c r="AO7"/>
      <c r="AP7">
        <v>1</v>
      </c>
      <c r="AR7" s="6108" t="s">
        <v>2734</v>
      </c>
      <c r="AS7" s="1">
        <v>1</v>
      </c>
      <c r="AU7" t="s">
        <v>150</v>
      </c>
      <c r="AV7" t="s">
        <v>2734</v>
      </c>
      <c r="AW7" t="s">
        <v>2734</v>
      </c>
      <c r="AX7" s="4"/>
      <c r="AY7" s="1" t="s">
        <v>2734</v>
      </c>
      <c r="AZ7" s="1">
        <v>1</v>
      </c>
      <c r="BB7" s="1" t="s">
        <v>156</v>
      </c>
      <c r="BC7" s="1">
        <v>20.32</v>
      </c>
      <c r="BD7" s="1">
        <v>13.57</v>
      </c>
      <c r="BE7" s="1">
        <v>12.31</v>
      </c>
      <c r="BF7" s="1">
        <v>4</v>
      </c>
      <c r="BI7" s="1" t="s">
        <v>1491</v>
      </c>
      <c r="BJ7" s="3592" t="e">
        <f>#REF!</f>
        <v>#REF!</v>
      </c>
      <c r="BL7" s="3593">
        <v>23.75</v>
      </c>
      <c r="BO7" s="1">
        <v>20</v>
      </c>
      <c r="BP7" s="1">
        <v>20</v>
      </c>
      <c r="BT7" s="1">
        <v>1.2</v>
      </c>
      <c r="BV7" s="1">
        <v>1</v>
      </c>
      <c r="BW7" s="1">
        <v>2</v>
      </c>
      <c r="BY7" s="1" t="s">
        <v>170</v>
      </c>
      <c r="BZ7" s="1" t="s">
        <v>170</v>
      </c>
      <c r="CA7" s="1" t="s">
        <v>170</v>
      </c>
      <c r="CB7" s="1" t="s">
        <v>170</v>
      </c>
      <c r="CC7" s="1" t="s">
        <v>170</v>
      </c>
      <c r="CD7" s="6" t="str">
        <f>IF(COUNTIF($CC$6:$CC$8,CC7)&gt;=1,"",ROW())</f>
        <v/>
      </c>
      <c r="CE7" s="1" t="s">
        <v>170</v>
      </c>
      <c r="CG7" s="1" t="s">
        <v>170</v>
      </c>
      <c r="CI7" s="1" t="s">
        <v>170</v>
      </c>
      <c r="CK7" s="1" t="s">
        <v>571</v>
      </c>
      <c r="CL7" s="1" t="s">
        <v>571</v>
      </c>
      <c r="CM7" s="1" t="s">
        <v>571</v>
      </c>
      <c r="CN7" s="3474" t="s">
        <v>167</v>
      </c>
      <c r="CO7" s="1" t="s">
        <v>1227</v>
      </c>
      <c r="CQ7" s="1" t="s">
        <v>921</v>
      </c>
      <c r="CR7" s="1" t="s">
        <v>170</v>
      </c>
      <c r="CU7" s="6108" t="s">
        <v>2733</v>
      </c>
      <c r="CV7" s="6110" t="s">
        <v>2733</v>
      </c>
      <c r="CX7" t="e">
        <f>_Calcs_Klasse!#REF!</f>
        <v>#REF!</v>
      </c>
      <c r="CY7"/>
      <c r="DA7" s="1" t="e">
        <f>_Calcs_Klasse!#REF!</f>
        <v>#REF!</v>
      </c>
      <c r="DI7" s="1" t="e">
        <f>_Calcs_Klasse!#REF!</f>
        <v>#REF!</v>
      </c>
      <c r="DO7" s="1" t="s">
        <v>1580</v>
      </c>
      <c r="DQ7" s="1" t="s">
        <v>1191</v>
      </c>
      <c r="DU7" s="1" t="s">
        <v>821</v>
      </c>
      <c r="ED7" t="s">
        <v>190</v>
      </c>
      <c r="EE7"/>
      <c r="EF7"/>
      <c r="EG7" t="s">
        <v>1080</v>
      </c>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row>
    <row r="8" spans="1:181" x14ac:dyDescent="0.2">
      <c r="A8" s="1" t="str">
        <f>Tunneldrift!BO169</f>
        <v>Stuff 2-4</v>
      </c>
      <c r="B8" s="1" t="str">
        <f>IF(COUNTIF(Tunneldrift!F$100:F$119,A8)&gt;=1,"",ROW())</f>
        <v/>
      </c>
      <c r="C8" s="1" t="str" cm="1">
        <f t="array" ref="C8">IF(ROW(A8)-ROW(A$1)+1&gt;COUNT(B$1:B$8),"",
INDEX(A:A,SMALL(B$1:B$8,1+ROW(A8)-ROW(A$1))))</f>
        <v/>
      </c>
      <c r="D8" s="454"/>
      <c r="G8" s="1" t="s">
        <v>922</v>
      </c>
      <c r="I8" s="459" t="s">
        <v>210</v>
      </c>
      <c r="J8"/>
      <c r="K8"/>
      <c r="L8" s="441">
        <v>2</v>
      </c>
      <c r="M8"/>
      <c r="N8" s="459">
        <v>10</v>
      </c>
      <c r="O8"/>
      <c r="P8"/>
      <c r="Q8"/>
      <c r="R8"/>
      <c r="S8" s="441" t="s">
        <v>195</v>
      </c>
      <c r="T8"/>
      <c r="U8"/>
      <c r="V8"/>
      <c r="W8"/>
      <c r="X8"/>
      <c r="Y8" s="449" t="str">
        <f>Tunneldrift!$AZ$137</f>
        <v>Stuff 1-3</v>
      </c>
      <c r="Z8" s="449" t="str">
        <f>Tunneldrift!AO169</f>
        <v>Stuff 2-2</v>
      </c>
      <c r="AA8" s="449" t="str">
        <f>Tunneldrift!AD169</f>
        <v>Stuff 2-1</v>
      </c>
      <c r="AB8" s="449" t="str">
        <f>Tunneldrift!AO169</f>
        <v>Stuff 2-2</v>
      </c>
      <c r="AC8" s="449" t="str">
        <f>Tunneldrift!AO169</f>
        <v>Stuff 2-2</v>
      </c>
      <c r="AD8" s="449" t="str">
        <f>Tunneldrift!AZ137</f>
        <v>Stuff 1-3</v>
      </c>
      <c r="AE8"/>
      <c r="AF8"/>
      <c r="AG8"/>
      <c r="AH8" t="s">
        <v>191</v>
      </c>
      <c r="AI8"/>
      <c r="AJ8" t="s">
        <v>190</v>
      </c>
      <c r="AK8"/>
      <c r="AL8" t="s">
        <v>190</v>
      </c>
      <c r="AM8"/>
      <c r="AN8" t="s">
        <v>190</v>
      </c>
      <c r="AO8"/>
      <c r="AP8">
        <v>2</v>
      </c>
      <c r="AV8"/>
      <c r="AW8" t="s">
        <v>150</v>
      </c>
      <c r="AX8" s="4"/>
      <c r="AY8" s="1" t="s">
        <v>150</v>
      </c>
      <c r="AZ8" s="1">
        <v>1.6</v>
      </c>
      <c r="BB8" s="1" t="s">
        <v>157</v>
      </c>
      <c r="BC8" s="1">
        <v>39.1</v>
      </c>
      <c r="BD8" s="1">
        <v>29.72</v>
      </c>
      <c r="BE8" s="1">
        <v>17.12</v>
      </c>
      <c r="BF8" s="1">
        <v>5.5</v>
      </c>
      <c r="BI8" s="1" t="s">
        <v>1263</v>
      </c>
      <c r="BJ8" s="3592" t="e">
        <f>#REF!</f>
        <v>#REF!</v>
      </c>
      <c r="BL8" s="3593" t="e">
        <f>#REF!</f>
        <v>#REF!</v>
      </c>
      <c r="BO8" s="1">
        <v>60</v>
      </c>
      <c r="BP8" s="1">
        <v>60</v>
      </c>
      <c r="BT8" s="1">
        <v>1.1000000000000001</v>
      </c>
      <c r="BV8" s="1">
        <v>2</v>
      </c>
      <c r="BW8" s="1">
        <v>4</v>
      </c>
      <c r="BZ8" s="1" t="s">
        <v>171</v>
      </c>
      <c r="CA8" s="1" t="s">
        <v>171</v>
      </c>
      <c r="CB8" s="1" t="s">
        <v>171</v>
      </c>
      <c r="CC8" s="1" t="s">
        <v>171</v>
      </c>
      <c r="CD8" s="6" t="str">
        <f>IF(COUNTIF($CC$6:$CC$8,CC8)&gt;=1,"",ROW())</f>
        <v/>
      </c>
      <c r="CE8" s="1" t="s">
        <v>171</v>
      </c>
      <c r="CG8" s="1" t="s">
        <v>171</v>
      </c>
      <c r="CI8" s="1" t="s">
        <v>171</v>
      </c>
      <c r="CK8" s="1" t="s">
        <v>244</v>
      </c>
      <c r="CL8" s="1" t="s">
        <v>244</v>
      </c>
      <c r="CN8" s="3474" t="s">
        <v>167</v>
      </c>
      <c r="CO8" s="1" t="s">
        <v>1493</v>
      </c>
      <c r="CQ8" s="6108" t="s">
        <v>2732</v>
      </c>
      <c r="CR8" s="1" t="s">
        <v>171</v>
      </c>
      <c r="CU8" s="1" t="s">
        <v>922</v>
      </c>
      <c r="DO8" s="1" t="s">
        <v>1581</v>
      </c>
      <c r="DQ8" s="1" t="s">
        <v>1420</v>
      </c>
      <c r="ED8" t="s">
        <v>191</v>
      </c>
      <c r="EE8"/>
      <c r="EF8"/>
      <c r="EG8" t="str">
        <f>_Calcs!$K$76</f>
        <v>Samlet justering</v>
      </c>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row>
    <row r="9" spans="1:181" x14ac:dyDescent="0.2">
      <c r="B9" s="1">
        <f>IF(COUNTIF(Tunneldrift!F$100:F$119,A9)&gt;=1,"",ROW())</f>
        <v>9</v>
      </c>
      <c r="C9" s="1" t="str" cm="1">
        <f t="array" ref="C9">IF(ROW(A9)-ROW(A$1)+1&gt;COUNT(B$1:B$8),"",
INDEX(A:A,SMALL(B$1:B$8,1+ROW(A9)-ROW(A$1))))</f>
        <v/>
      </c>
      <c r="D9" s="454"/>
      <c r="G9" s="6110" t="s">
        <v>2735</v>
      </c>
      <c r="I9" s="441" t="s">
        <v>212</v>
      </c>
      <c r="J9"/>
      <c r="K9"/>
      <c r="L9"/>
      <c r="M9"/>
      <c r="N9" s="459">
        <v>15</v>
      </c>
      <c r="O9"/>
      <c r="P9"/>
      <c r="Q9"/>
      <c r="R9"/>
      <c r="S9"/>
      <c r="T9"/>
      <c r="U9"/>
      <c r="V9"/>
      <c r="W9"/>
      <c r="X9"/>
      <c r="Y9"/>
      <c r="Z9"/>
      <c r="AA9"/>
      <c r="AB9"/>
      <c r="AC9"/>
      <c r="AD9" s="449" t="str">
        <f>Tunneldrift!AO169</f>
        <v>Stuff 2-2</v>
      </c>
      <c r="AE9"/>
      <c r="AF9"/>
      <c r="AG9"/>
      <c r="AH9"/>
      <c r="AI9"/>
      <c r="AJ9" t="s">
        <v>191</v>
      </c>
      <c r="AK9"/>
      <c r="AL9"/>
      <c r="AM9"/>
      <c r="AN9" t="s">
        <v>191</v>
      </c>
      <c r="AO9"/>
      <c r="AP9"/>
      <c r="AY9" s="1" t="s">
        <v>505</v>
      </c>
      <c r="BB9" s="1" t="s">
        <v>159</v>
      </c>
      <c r="BC9" s="1">
        <v>51.56</v>
      </c>
      <c r="BD9" s="1">
        <v>40.46</v>
      </c>
      <c r="BE9" s="1">
        <v>18.88</v>
      </c>
      <c r="BF9" s="1">
        <v>7.5</v>
      </c>
      <c r="BO9" s="1">
        <v>80</v>
      </c>
      <c r="BP9" s="1">
        <v>80</v>
      </c>
      <c r="BT9" s="1">
        <v>0.9</v>
      </c>
      <c r="BV9" s="1">
        <v>3</v>
      </c>
      <c r="BW9" s="1">
        <v>6</v>
      </c>
      <c r="CA9" s="1" t="s">
        <v>172</v>
      </c>
      <c r="CB9" s="1" t="s">
        <v>172</v>
      </c>
      <c r="CE9" s="1" t="s">
        <v>172</v>
      </c>
      <c r="CG9" s="1" t="s">
        <v>172</v>
      </c>
      <c r="CI9" s="1" t="s">
        <v>172</v>
      </c>
      <c r="CK9" s="1" t="s">
        <v>1217</v>
      </c>
      <c r="CN9" s="1" t="s">
        <v>1229</v>
      </c>
      <c r="CO9" s="1" t="s">
        <v>1228</v>
      </c>
      <c r="CR9" s="1" t="s">
        <v>172</v>
      </c>
      <c r="ED9" t="s">
        <v>192</v>
      </c>
      <c r="EE9"/>
      <c r="EF9"/>
      <c r="EG9" t="str">
        <f>_Calcs!$K$77</f>
        <v>Individuelle justeringer</v>
      </c>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row>
    <row r="10" spans="1:181" x14ac:dyDescent="0.2">
      <c r="B10" s="1">
        <f>IF(COUNTIF(Tunneldrift!F$100:F$119,A10)&gt;=1,"",ROW())</f>
        <v>10</v>
      </c>
      <c r="D10" s="454"/>
      <c r="I10"/>
      <c r="J10"/>
      <c r="K10"/>
      <c r="L10"/>
      <c r="M10"/>
      <c r="N10" s="459">
        <v>20</v>
      </c>
      <c r="O10"/>
      <c r="P10"/>
      <c r="Q10"/>
      <c r="R10"/>
      <c r="S10"/>
      <c r="T10"/>
      <c r="U10"/>
      <c r="V10"/>
      <c r="W10"/>
      <c r="X10"/>
      <c r="Y10"/>
      <c r="Z10"/>
      <c r="AA10"/>
      <c r="AB10"/>
      <c r="AC10"/>
      <c r="AD10" s="449" t="str">
        <f>Tunneldrift!AZ169</f>
        <v>Stuff 2-3</v>
      </c>
      <c r="AE10"/>
      <c r="AF10"/>
      <c r="AG10"/>
      <c r="AH10"/>
      <c r="AI10"/>
      <c r="AJ10" t="s">
        <v>192</v>
      </c>
      <c r="AK10"/>
      <c r="AL10"/>
      <c r="AM10"/>
      <c r="AN10" t="s">
        <v>192</v>
      </c>
      <c r="AO10"/>
      <c r="AP10"/>
      <c r="BB10" s="1" t="s">
        <v>142</v>
      </c>
      <c r="BC10" s="1">
        <v>61.92</v>
      </c>
      <c r="BD10" s="1">
        <v>49.66</v>
      </c>
      <c r="BE10" s="1">
        <v>20.56</v>
      </c>
      <c r="BF10" s="1">
        <v>8.5</v>
      </c>
      <c r="BI10" s="1" t="s">
        <v>156</v>
      </c>
      <c r="BJ10" s="1">
        <v>20.32</v>
      </c>
      <c r="BK10" s="1">
        <v>13.57</v>
      </c>
      <c r="BL10" s="1">
        <v>12.31</v>
      </c>
      <c r="BM10" s="1">
        <v>4</v>
      </c>
      <c r="BV10" s="1">
        <v>4</v>
      </c>
      <c r="BW10" s="1">
        <v>8</v>
      </c>
      <c r="CB10" s="1" t="s">
        <v>173</v>
      </c>
      <c r="CE10" s="1" t="s">
        <v>173</v>
      </c>
      <c r="CG10" s="1" t="s">
        <v>173</v>
      </c>
      <c r="CI10" s="1" t="s">
        <v>173</v>
      </c>
      <c r="CK10" s="1" t="s">
        <v>145</v>
      </c>
      <c r="CR10" s="1" t="s">
        <v>173</v>
      </c>
      <c r="ED10" t="s">
        <v>1216</v>
      </c>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row>
    <row r="11" spans="1:181" x14ac:dyDescent="0.2">
      <c r="D11" s="454"/>
      <c r="I11"/>
      <c r="J11"/>
      <c r="K11"/>
      <c r="L11"/>
      <c r="M11"/>
      <c r="N11" s="459">
        <v>25</v>
      </c>
      <c r="O11"/>
      <c r="P11"/>
      <c r="Q11"/>
      <c r="R11"/>
      <c r="S11"/>
      <c r="T11"/>
      <c r="U11"/>
      <c r="V11"/>
      <c r="W11"/>
      <c r="X11"/>
      <c r="Y11"/>
      <c r="Z11"/>
      <c r="AA11"/>
      <c r="AB11"/>
      <c r="AC11"/>
      <c r="AD11"/>
      <c r="AE11"/>
      <c r="AF11"/>
      <c r="AG11"/>
      <c r="AH11"/>
      <c r="AI11"/>
      <c r="AJ11"/>
      <c r="AK11"/>
      <c r="AL11"/>
      <c r="AM11"/>
      <c r="AN11"/>
      <c r="AO11"/>
      <c r="AP11"/>
      <c r="BB11" s="1" t="s">
        <v>140</v>
      </c>
      <c r="BC11" s="1">
        <v>66.62</v>
      </c>
      <c r="BD11" s="1">
        <v>53.61</v>
      </c>
      <c r="BE11" s="1">
        <v>21.04</v>
      </c>
      <c r="BF11" s="1">
        <v>9.5</v>
      </c>
      <c r="BI11" s="1" t="s">
        <v>157</v>
      </c>
      <c r="BJ11" s="1">
        <v>39.1</v>
      </c>
      <c r="BK11" s="1">
        <v>29.72</v>
      </c>
      <c r="BL11" s="1">
        <v>17.12</v>
      </c>
      <c r="BM11" s="1">
        <v>5.5</v>
      </c>
      <c r="CG11" s="1" t="s">
        <v>183</v>
      </c>
      <c r="CI11" s="1" t="s">
        <v>183</v>
      </c>
      <c r="ED11" t="s">
        <v>877</v>
      </c>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row>
    <row r="12" spans="1:181" x14ac:dyDescent="0.2">
      <c r="D12" s="454"/>
      <c r="I12"/>
      <c r="J12"/>
      <c r="K12"/>
      <c r="L12"/>
      <c r="M12"/>
      <c r="N12" s="459">
        <v>30</v>
      </c>
      <c r="O12"/>
      <c r="P12"/>
      <c r="Q12"/>
      <c r="R12"/>
      <c r="S12"/>
      <c r="T12"/>
      <c r="U12"/>
      <c r="V12"/>
      <c r="W12"/>
      <c r="X12"/>
      <c r="Y12"/>
      <c r="Z12"/>
      <c r="AA12"/>
      <c r="AB12"/>
      <c r="AC12"/>
      <c r="AD12"/>
      <c r="AE12"/>
      <c r="AF12"/>
      <c r="AG12"/>
      <c r="AH12"/>
      <c r="AI12"/>
      <c r="AJ12"/>
      <c r="AK12"/>
      <c r="AL12"/>
      <c r="AM12"/>
      <c r="AN12"/>
      <c r="AO12"/>
      <c r="AP12"/>
      <c r="BB12" s="1" t="s">
        <v>160</v>
      </c>
      <c r="BC12" s="1">
        <v>74.59</v>
      </c>
      <c r="BD12" s="1">
        <v>60.64</v>
      </c>
      <c r="BE12" s="1">
        <v>22.13</v>
      </c>
      <c r="BF12" s="1">
        <v>10.5</v>
      </c>
      <c r="BI12" s="1" t="s">
        <v>159</v>
      </c>
      <c r="BJ12" s="1">
        <v>51.56</v>
      </c>
      <c r="BK12" s="1">
        <v>40.46</v>
      </c>
      <c r="BL12" s="1">
        <v>18.88</v>
      </c>
      <c r="BM12" s="1">
        <v>7.5</v>
      </c>
      <c r="CG12" s="1" t="s">
        <v>184</v>
      </c>
      <c r="CI12" s="1" t="s">
        <v>184</v>
      </c>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row>
    <row r="13" spans="1:181" x14ac:dyDescent="0.2">
      <c r="D13" s="454"/>
      <c r="I13"/>
      <c r="J13"/>
      <c r="K13"/>
      <c r="L13"/>
      <c r="M13"/>
      <c r="N13" s="459">
        <v>35</v>
      </c>
      <c r="O13"/>
      <c r="P13"/>
      <c r="Q13"/>
      <c r="R13"/>
      <c r="S13"/>
      <c r="T13"/>
      <c r="U13"/>
      <c r="V13"/>
      <c r="W13"/>
      <c r="X13"/>
      <c r="Y13"/>
      <c r="Z13"/>
      <c r="AA13"/>
      <c r="AB13"/>
      <c r="AC13"/>
      <c r="AD13"/>
      <c r="AE13"/>
      <c r="AF13"/>
      <c r="AG13"/>
      <c r="AH13"/>
      <c r="AI13"/>
      <c r="AJ13"/>
      <c r="AK13"/>
      <c r="AL13"/>
      <c r="AM13"/>
      <c r="AN13"/>
      <c r="AO13"/>
      <c r="AP13"/>
      <c r="BB13" s="1" t="s">
        <v>158</v>
      </c>
      <c r="BC13" s="1">
        <v>85.92</v>
      </c>
      <c r="BD13" s="1">
        <v>70.89</v>
      </c>
      <c r="BE13" s="1">
        <v>23.75</v>
      </c>
      <c r="BF13" s="1">
        <v>11.5</v>
      </c>
      <c r="BI13" s="1" t="s">
        <v>142</v>
      </c>
      <c r="BJ13" s="1">
        <v>61.92</v>
      </c>
      <c r="BK13" s="1">
        <v>49.66</v>
      </c>
      <c r="BL13" s="1">
        <v>20.56</v>
      </c>
      <c r="BM13" s="1">
        <v>8.5</v>
      </c>
      <c r="CI13" s="1" t="s">
        <v>185</v>
      </c>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row>
    <row r="14" spans="1:181" x14ac:dyDescent="0.2">
      <c r="A14" s="454" t="s">
        <v>532</v>
      </c>
      <c r="B14" s="454"/>
      <c r="C14" s="454"/>
      <c r="D14" s="454"/>
      <c r="I14"/>
      <c r="J14"/>
      <c r="K14"/>
      <c r="L14"/>
      <c r="M14"/>
      <c r="N14" s="459">
        <v>40</v>
      </c>
      <c r="O14"/>
      <c r="P14"/>
      <c r="Q14"/>
      <c r="R14"/>
      <c r="S14"/>
      <c r="T14"/>
      <c r="U14"/>
      <c r="V14"/>
      <c r="W14"/>
      <c r="X14"/>
      <c r="Y14"/>
      <c r="Z14"/>
      <c r="AA14"/>
      <c r="AB14"/>
      <c r="AC14"/>
      <c r="AD14"/>
      <c r="AE14"/>
      <c r="AF14"/>
      <c r="AG14"/>
      <c r="AH14"/>
      <c r="AI14"/>
      <c r="AJ14"/>
      <c r="AK14"/>
      <c r="AL14"/>
      <c r="AM14"/>
      <c r="AN14"/>
      <c r="AO14"/>
      <c r="AP14"/>
      <c r="BB14" s="1" t="s">
        <v>161</v>
      </c>
      <c r="BC14" s="1">
        <v>91.32</v>
      </c>
      <c r="BD14" s="1">
        <v>75.489999999999995</v>
      </c>
      <c r="BE14" s="1">
        <v>24.32</v>
      </c>
      <c r="BF14" s="1">
        <v>12.5</v>
      </c>
      <c r="BI14" s="1" t="s">
        <v>140</v>
      </c>
      <c r="BJ14" s="1">
        <v>66.62</v>
      </c>
      <c r="BK14" s="1">
        <v>53.61</v>
      </c>
      <c r="BL14" s="1">
        <v>21.04</v>
      </c>
      <c r="BM14" s="1">
        <v>9.5</v>
      </c>
      <c r="CI14" s="1" t="s">
        <v>186</v>
      </c>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row>
    <row r="15" spans="1:181" x14ac:dyDescent="0.2">
      <c r="I15"/>
      <c r="J15"/>
      <c r="K15"/>
      <c r="L15"/>
      <c r="M15"/>
      <c r="N15" s="459">
        <v>45</v>
      </c>
      <c r="O15"/>
      <c r="P15"/>
      <c r="Q15"/>
      <c r="R15"/>
      <c r="S15"/>
      <c r="T15"/>
      <c r="U15"/>
      <c r="V15"/>
      <c r="W15"/>
      <c r="X15"/>
      <c r="Y15"/>
      <c r="Z15"/>
      <c r="AA15"/>
      <c r="AB15"/>
      <c r="AC15"/>
      <c r="AD15"/>
      <c r="AE15"/>
      <c r="AF15"/>
      <c r="AG15"/>
      <c r="AH15"/>
      <c r="AI15"/>
      <c r="AJ15"/>
      <c r="AK15"/>
      <c r="AL15"/>
      <c r="AM15"/>
      <c r="AN15"/>
      <c r="AO15"/>
      <c r="AP15"/>
      <c r="BB15" s="1" t="s">
        <v>162</v>
      </c>
      <c r="BC15" s="1">
        <v>95.69</v>
      </c>
      <c r="BD15" s="1">
        <v>79.39</v>
      </c>
      <c r="BE15" s="1">
        <v>24.86</v>
      </c>
      <c r="BF15" s="1">
        <v>13</v>
      </c>
      <c r="BI15" s="1" t="s">
        <v>160</v>
      </c>
      <c r="BJ15" s="1">
        <v>74.59</v>
      </c>
      <c r="BK15" s="1">
        <v>60.64</v>
      </c>
      <c r="BL15" s="1">
        <v>22.13</v>
      </c>
      <c r="BM15" s="1">
        <v>10.5</v>
      </c>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row>
    <row r="16" spans="1:181" x14ac:dyDescent="0.2">
      <c r="A16" s="433" t="s">
        <v>533</v>
      </c>
      <c r="I16"/>
      <c r="J16"/>
      <c r="K16"/>
      <c r="L16"/>
      <c r="M16"/>
      <c r="N16" s="459">
        <v>50</v>
      </c>
      <c r="O16"/>
      <c r="P16"/>
      <c r="Q16"/>
      <c r="R16"/>
      <c r="S16"/>
      <c r="T16"/>
      <c r="U16"/>
      <c r="V16"/>
      <c r="W16"/>
      <c r="X16"/>
      <c r="Y16"/>
      <c r="Z16"/>
      <c r="AA16"/>
      <c r="AB16"/>
      <c r="AC16"/>
      <c r="AD16"/>
      <c r="AE16"/>
      <c r="AF16"/>
      <c r="AG16"/>
      <c r="AH16"/>
      <c r="AI16"/>
      <c r="AJ16"/>
      <c r="AK16"/>
      <c r="AL16"/>
      <c r="AM16"/>
      <c r="AN16"/>
      <c r="AO16"/>
      <c r="AP16"/>
      <c r="BB16" s="1" t="s">
        <v>163</v>
      </c>
      <c r="BC16" s="1">
        <v>100.52</v>
      </c>
      <c r="BD16" s="1">
        <v>83.73</v>
      </c>
      <c r="BE16" s="1">
        <v>25.46</v>
      </c>
      <c r="BF16" s="1">
        <v>13.5</v>
      </c>
      <c r="BI16" s="1" t="s">
        <v>158</v>
      </c>
      <c r="BJ16" s="1">
        <v>85.92</v>
      </c>
      <c r="BK16" s="1">
        <v>70.89</v>
      </c>
      <c r="BL16" s="1">
        <v>23.75</v>
      </c>
      <c r="BM16" s="1">
        <v>11.5</v>
      </c>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row>
    <row r="17" spans="9:181" x14ac:dyDescent="0.2">
      <c r="I17"/>
      <c r="J17"/>
      <c r="K17"/>
      <c r="L17"/>
      <c r="M17"/>
      <c r="N17" s="459">
        <v>55</v>
      </c>
      <c r="O17"/>
      <c r="P17"/>
      <c r="Q17"/>
      <c r="R17"/>
      <c r="S17"/>
      <c r="T17"/>
      <c r="U17"/>
      <c r="V17"/>
      <c r="W17"/>
      <c r="X17"/>
      <c r="Y17"/>
      <c r="Z17"/>
      <c r="AA17"/>
      <c r="AB17"/>
      <c r="AC17"/>
      <c r="AD17"/>
      <c r="AE17"/>
      <c r="AF17"/>
      <c r="AG17"/>
      <c r="AH17"/>
      <c r="AI17"/>
      <c r="AJ17"/>
      <c r="AK17"/>
      <c r="AL17"/>
      <c r="AM17"/>
      <c r="AN17"/>
      <c r="AO17"/>
      <c r="AP17"/>
      <c r="BB17" s="1" t="s">
        <v>164</v>
      </c>
      <c r="BC17" s="1">
        <v>104.58</v>
      </c>
      <c r="BD17" s="1">
        <v>87.35</v>
      </c>
      <c r="BE17" s="1">
        <v>25.96</v>
      </c>
      <c r="BF17" s="1">
        <v>14</v>
      </c>
      <c r="BI17" s="1" t="s">
        <v>161</v>
      </c>
      <c r="BJ17" s="1">
        <v>91.32</v>
      </c>
      <c r="BK17" s="1">
        <v>75.489999999999995</v>
      </c>
      <c r="BL17" s="1">
        <v>24.32</v>
      </c>
      <c r="BM17" s="1">
        <v>12.5</v>
      </c>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row>
    <row r="18" spans="9:181" x14ac:dyDescent="0.2">
      <c r="I18"/>
      <c r="J18"/>
      <c r="K18"/>
      <c r="L18"/>
      <c r="M18"/>
      <c r="N18" s="459">
        <v>60</v>
      </c>
      <c r="O18"/>
      <c r="P18"/>
      <c r="Q18"/>
      <c r="R18"/>
      <c r="S18"/>
      <c r="T18"/>
      <c r="U18"/>
      <c r="V18"/>
      <c r="W18"/>
      <c r="X18"/>
      <c r="Y18"/>
      <c r="Z18"/>
      <c r="AA18"/>
      <c r="AB18"/>
      <c r="AC18"/>
      <c r="AD18"/>
      <c r="AE18"/>
      <c r="AF18"/>
      <c r="AG18"/>
      <c r="AH18"/>
      <c r="AI18"/>
      <c r="AJ18"/>
      <c r="AK18"/>
      <c r="AL18"/>
      <c r="AM18"/>
      <c r="AN18"/>
      <c r="AO18"/>
      <c r="AP18"/>
      <c r="BI18" s="1" t="s">
        <v>162</v>
      </c>
      <c r="BJ18" s="1">
        <v>95.69</v>
      </c>
      <c r="BK18" s="1">
        <v>79.39</v>
      </c>
      <c r="BL18" s="1">
        <v>24.86</v>
      </c>
      <c r="BM18" s="1">
        <v>13</v>
      </c>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row>
    <row r="19" spans="9:181" x14ac:dyDescent="0.2">
      <c r="I19"/>
      <c r="J19"/>
      <c r="K19"/>
      <c r="L19"/>
      <c r="M19"/>
      <c r="N19" s="459">
        <v>65</v>
      </c>
      <c r="O19"/>
      <c r="P19"/>
      <c r="Q19"/>
      <c r="R19"/>
      <c r="S19"/>
      <c r="T19"/>
      <c r="U19"/>
      <c r="V19"/>
      <c r="W19"/>
      <c r="X19"/>
      <c r="Y19"/>
      <c r="Z19"/>
      <c r="AA19"/>
      <c r="AB19"/>
      <c r="AC19"/>
      <c r="AD19"/>
      <c r="AE19"/>
      <c r="AF19"/>
      <c r="AG19"/>
      <c r="AH19"/>
      <c r="AI19"/>
      <c r="AJ19"/>
      <c r="AK19"/>
      <c r="AL19"/>
      <c r="AM19"/>
      <c r="AN19"/>
      <c r="AO19"/>
      <c r="AP19"/>
      <c r="BI19" s="1" t="s">
        <v>163</v>
      </c>
      <c r="BJ19" s="1">
        <v>100.52</v>
      </c>
      <c r="BK19" s="1">
        <v>83.73</v>
      </c>
      <c r="BL19" s="1">
        <v>25.46</v>
      </c>
      <c r="BM19" s="1">
        <v>13.5</v>
      </c>
      <c r="CK19" s="5"/>
      <c r="CL19" s="5"/>
      <c r="CM19" s="5"/>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row>
    <row r="20" spans="9:181" x14ac:dyDescent="0.2">
      <c r="I20"/>
      <c r="J20"/>
      <c r="K20"/>
      <c r="L20"/>
      <c r="M20"/>
      <c r="N20" s="459">
        <v>70</v>
      </c>
      <c r="O20"/>
      <c r="P20"/>
      <c r="Q20"/>
      <c r="R20"/>
      <c r="S20"/>
      <c r="T20"/>
      <c r="U20"/>
      <c r="V20"/>
      <c r="W20"/>
      <c r="X20"/>
      <c r="Y20"/>
      <c r="Z20"/>
      <c r="AA20"/>
      <c r="AB20"/>
      <c r="AC20"/>
      <c r="AD20"/>
      <c r="AE20"/>
      <c r="AF20"/>
      <c r="AG20"/>
      <c r="AH20"/>
      <c r="AI20"/>
      <c r="AJ20"/>
      <c r="AK20"/>
      <c r="AL20"/>
      <c r="AM20"/>
      <c r="AN20"/>
      <c r="AO20"/>
      <c r="AP20"/>
      <c r="BI20" s="1" t="s">
        <v>164</v>
      </c>
      <c r="BJ20" s="1">
        <v>104.58</v>
      </c>
      <c r="BK20" s="1">
        <v>87.35</v>
      </c>
      <c r="BL20" s="1">
        <v>25.96</v>
      </c>
      <c r="BM20" s="1">
        <v>14</v>
      </c>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row>
    <row r="21" spans="9:181" x14ac:dyDescent="0.2">
      <c r="I21"/>
      <c r="J21"/>
      <c r="K21"/>
      <c r="L21"/>
      <c r="M21"/>
      <c r="N21" s="459">
        <v>75</v>
      </c>
      <c r="O21"/>
      <c r="P21"/>
      <c r="Q21"/>
      <c r="R21"/>
      <c r="S21"/>
      <c r="T21"/>
      <c r="U21"/>
      <c r="V21"/>
      <c r="W21"/>
      <c r="X21"/>
      <c r="Y21"/>
      <c r="Z21"/>
      <c r="AA21"/>
      <c r="AB21"/>
      <c r="AC21"/>
      <c r="AD21"/>
      <c r="AE21"/>
      <c r="AF21"/>
      <c r="AG21"/>
      <c r="AH21"/>
      <c r="AI21"/>
      <c r="AJ21"/>
      <c r="AK21"/>
      <c r="AL21"/>
      <c r="AM21"/>
      <c r="AN21"/>
      <c r="AO21"/>
      <c r="AP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row>
    <row r="22" spans="9:181" x14ac:dyDescent="0.2">
      <c r="I22"/>
      <c r="J22"/>
      <c r="K22"/>
      <c r="L22"/>
      <c r="M22"/>
      <c r="N22" s="459">
        <v>80</v>
      </c>
      <c r="O22"/>
      <c r="P22"/>
      <c r="Q22"/>
      <c r="R22"/>
      <c r="S22"/>
      <c r="T22"/>
      <c r="U22"/>
      <c r="V22"/>
      <c r="W22"/>
      <c r="X22"/>
      <c r="Y22"/>
      <c r="Z22"/>
      <c r="AA22"/>
      <c r="AB22"/>
      <c r="AC22"/>
      <c r="AD22"/>
      <c r="AE22"/>
      <c r="AF22"/>
      <c r="AG22"/>
      <c r="AH22"/>
      <c r="AI22"/>
      <c r="AJ22"/>
      <c r="AK22"/>
      <c r="AL22"/>
      <c r="AM22"/>
      <c r="AN22"/>
      <c r="AO22"/>
      <c r="AP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row>
    <row r="23" spans="9:181" x14ac:dyDescent="0.2">
      <c r="I23"/>
      <c r="J23"/>
      <c r="K23"/>
      <c r="L23"/>
      <c r="M23"/>
      <c r="N23" s="459">
        <v>85</v>
      </c>
      <c r="O23"/>
      <c r="P23"/>
      <c r="Q23"/>
      <c r="R23"/>
      <c r="S23"/>
      <c r="T23"/>
      <c r="U23"/>
      <c r="V23"/>
      <c r="W23"/>
      <c r="X23"/>
      <c r="Y23"/>
      <c r="Z23"/>
      <c r="AA23"/>
      <c r="AB23"/>
      <c r="AC23"/>
      <c r="AD23"/>
      <c r="AE23"/>
      <c r="AF23"/>
      <c r="AG23"/>
      <c r="AH23"/>
      <c r="AI23"/>
      <c r="AJ23"/>
      <c r="AK23"/>
      <c r="AL23"/>
      <c r="AM23"/>
      <c r="AN23"/>
      <c r="AO23"/>
      <c r="AP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row>
    <row r="24" spans="9:181" x14ac:dyDescent="0.2">
      <c r="I24"/>
      <c r="J24"/>
      <c r="K24"/>
      <c r="L24"/>
      <c r="M24"/>
      <c r="N24" s="459">
        <v>90</v>
      </c>
      <c r="O24"/>
      <c r="P24"/>
      <c r="Q24"/>
      <c r="R24"/>
      <c r="S24"/>
      <c r="T24"/>
      <c r="U24"/>
      <c r="V24"/>
      <c r="W24"/>
      <c r="X24"/>
      <c r="Y24"/>
      <c r="Z24"/>
      <c r="AA24"/>
      <c r="AB24"/>
      <c r="AC24"/>
      <c r="AD24"/>
      <c r="AE24"/>
      <c r="AF24"/>
      <c r="AG24"/>
      <c r="AH24"/>
      <c r="AI24"/>
      <c r="AJ24"/>
      <c r="AK24"/>
      <c r="AL24"/>
      <c r="AM24"/>
      <c r="AN24"/>
      <c r="AO24"/>
      <c r="AP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row>
    <row r="25" spans="9:181" x14ac:dyDescent="0.2">
      <c r="I25"/>
      <c r="J25"/>
      <c r="K25"/>
      <c r="L25"/>
      <c r="M25"/>
      <c r="N25" s="459">
        <v>95</v>
      </c>
      <c r="O25"/>
      <c r="P25"/>
      <c r="Q25"/>
      <c r="R25"/>
      <c r="S25"/>
      <c r="T25"/>
      <c r="U25"/>
      <c r="V25"/>
      <c r="W25"/>
      <c r="X25"/>
      <c r="Y25"/>
      <c r="Z25"/>
      <c r="AA25"/>
      <c r="AB25"/>
      <c r="AC25"/>
      <c r="AD25"/>
      <c r="AE25"/>
      <c r="AF25"/>
      <c r="AG25"/>
      <c r="AH25"/>
      <c r="AI25"/>
      <c r="AJ25"/>
      <c r="AK25"/>
      <c r="AL25"/>
      <c r="AM25"/>
      <c r="AN25"/>
      <c r="AO25"/>
      <c r="AP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row>
    <row r="26" spans="9:181" x14ac:dyDescent="0.2">
      <c r="I26"/>
      <c r="J26"/>
      <c r="K26"/>
      <c r="L26"/>
      <c r="M26"/>
      <c r="N26" s="441">
        <v>100</v>
      </c>
      <c r="O26"/>
      <c r="P26"/>
      <c r="Q26"/>
      <c r="R26"/>
      <c r="S26"/>
      <c r="T26"/>
      <c r="U26"/>
      <c r="V26"/>
      <c r="W26"/>
      <c r="X26"/>
      <c r="Y26"/>
      <c r="Z26"/>
      <c r="AA26"/>
      <c r="AB26"/>
      <c r="AC26"/>
      <c r="AD26"/>
      <c r="AE26"/>
      <c r="AF26"/>
      <c r="AG26"/>
      <c r="AH26"/>
      <c r="AI26"/>
      <c r="AJ26"/>
      <c r="AK26"/>
      <c r="AL26"/>
      <c r="AM26"/>
      <c r="AN26"/>
      <c r="AO26"/>
      <c r="AP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row>
    <row r="27" spans="9:181" x14ac:dyDescent="0.2">
      <c r="I27"/>
      <c r="J27"/>
      <c r="K27"/>
      <c r="L27"/>
      <c r="M27"/>
      <c r="O27"/>
      <c r="P27"/>
      <c r="Q27"/>
      <c r="R27"/>
      <c r="S27"/>
      <c r="T27"/>
      <c r="U27"/>
      <c r="V27"/>
      <c r="W27"/>
      <c r="X27"/>
      <c r="Y27"/>
      <c r="Z27"/>
      <c r="AA27"/>
      <c r="AB27"/>
      <c r="AC27"/>
      <c r="AD27"/>
      <c r="AE27"/>
      <c r="AF27"/>
      <c r="AG27"/>
      <c r="AH27"/>
      <c r="AI27"/>
      <c r="AJ27"/>
      <c r="AK27"/>
      <c r="AL27"/>
      <c r="AM27"/>
      <c r="AN27"/>
      <c r="AO27"/>
      <c r="AP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row>
    <row r="28" spans="9:181" x14ac:dyDescent="0.2">
      <c r="I28"/>
      <c r="J28"/>
      <c r="K28"/>
      <c r="L28"/>
      <c r="M28"/>
      <c r="N28"/>
      <c r="O28"/>
      <c r="P28"/>
      <c r="Q28"/>
      <c r="R28"/>
      <c r="S28"/>
      <c r="T28"/>
      <c r="U28"/>
      <c r="V28"/>
      <c r="W28"/>
      <c r="X28"/>
      <c r="Y28"/>
      <c r="Z28"/>
      <c r="AA28"/>
      <c r="AB28"/>
      <c r="AC28"/>
      <c r="AD28"/>
      <c r="AE28"/>
      <c r="AF28"/>
      <c r="AG28"/>
      <c r="AH28"/>
      <c r="AI28"/>
      <c r="AJ28"/>
      <c r="AK28"/>
      <c r="AL28"/>
      <c r="AM28"/>
      <c r="AN28"/>
      <c r="AO28"/>
      <c r="AP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row>
    <row r="29" spans="9:181" x14ac:dyDescent="0.2">
      <c r="I29"/>
      <c r="J29"/>
      <c r="K29"/>
      <c r="L29"/>
      <c r="M29"/>
      <c r="N29"/>
      <c r="O29"/>
      <c r="P29"/>
      <c r="Q29"/>
      <c r="R29"/>
      <c r="S29"/>
      <c r="T29"/>
      <c r="U29"/>
      <c r="V29"/>
      <c r="W29"/>
      <c r="X29"/>
      <c r="Y29"/>
      <c r="Z29"/>
      <c r="AA29"/>
      <c r="AB29"/>
      <c r="AC29"/>
      <c r="AD29"/>
      <c r="AE29"/>
      <c r="AF29"/>
      <c r="AG29"/>
      <c r="AH29"/>
      <c r="AI29"/>
      <c r="AJ29"/>
      <c r="AK29"/>
      <c r="AL29"/>
      <c r="AM29"/>
      <c r="AN29"/>
      <c r="AO29"/>
      <c r="AP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row>
    <row r="30" spans="9:181" x14ac:dyDescent="0.2">
      <c r="I30"/>
      <c r="J30"/>
      <c r="K30"/>
      <c r="L30"/>
      <c r="M30"/>
      <c r="N30"/>
      <c r="O30"/>
      <c r="P30"/>
      <c r="Q30"/>
      <c r="R30"/>
      <c r="S30"/>
      <c r="T30"/>
      <c r="U30"/>
      <c r="V30"/>
      <c r="W30"/>
      <c r="X30"/>
      <c r="Y30"/>
      <c r="Z30"/>
      <c r="AA30"/>
      <c r="AB30"/>
      <c r="AC30"/>
      <c r="AD30"/>
      <c r="AE30"/>
      <c r="AF30"/>
      <c r="AG30"/>
      <c r="AH30"/>
      <c r="AI30"/>
      <c r="AJ30"/>
      <c r="AK30"/>
      <c r="AL30"/>
      <c r="AM30"/>
      <c r="AN30"/>
      <c r="AO30"/>
      <c r="AP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row>
    <row r="31" spans="9:181" x14ac:dyDescent="0.2">
      <c r="I31"/>
      <c r="J31"/>
      <c r="K31"/>
      <c r="L31"/>
      <c r="M31"/>
      <c r="N31"/>
      <c r="O31"/>
      <c r="P31"/>
      <c r="Q31"/>
      <c r="R31"/>
      <c r="S31"/>
      <c r="T31"/>
      <c r="U31"/>
      <c r="V31"/>
      <c r="W31"/>
      <c r="X31"/>
      <c r="Y31"/>
      <c r="Z31"/>
      <c r="AA31"/>
      <c r="AB31"/>
      <c r="AC31"/>
      <c r="AD31"/>
      <c r="AE31"/>
      <c r="AF31"/>
      <c r="AG31"/>
      <c r="AH31"/>
      <c r="AI31"/>
      <c r="AJ31"/>
      <c r="AK31"/>
      <c r="AL31"/>
      <c r="AM31"/>
      <c r="AN31"/>
      <c r="AO31"/>
      <c r="AP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row>
    <row r="32" spans="9:181" x14ac:dyDescent="0.2">
      <c r="I32"/>
      <c r="J32"/>
      <c r="K32"/>
      <c r="L32"/>
      <c r="M32"/>
      <c r="N32"/>
      <c r="O32"/>
      <c r="P32"/>
      <c r="Q32"/>
      <c r="R32"/>
      <c r="S32"/>
      <c r="T32"/>
      <c r="U32"/>
      <c r="V32"/>
      <c r="W32"/>
      <c r="X32"/>
      <c r="Y32"/>
      <c r="Z32"/>
      <c r="AA32"/>
      <c r="AB32"/>
      <c r="AC32"/>
      <c r="AD32"/>
      <c r="AE32"/>
      <c r="AF32"/>
      <c r="AG32"/>
      <c r="AH32"/>
      <c r="AI32"/>
      <c r="AJ32"/>
      <c r="AK32"/>
      <c r="AL32"/>
      <c r="AM32"/>
      <c r="AN32"/>
      <c r="AO32"/>
      <c r="AP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row>
    <row r="33" spans="9:181" x14ac:dyDescent="0.2">
      <c r="I33"/>
      <c r="J33"/>
      <c r="K33"/>
      <c r="L33"/>
      <c r="M33"/>
      <c r="N33"/>
      <c r="O33"/>
      <c r="P33"/>
      <c r="Q33"/>
      <c r="R33"/>
      <c r="S33"/>
      <c r="T33"/>
      <c r="U33"/>
      <c r="V33"/>
      <c r="W33"/>
      <c r="X33"/>
      <c r="Y33"/>
      <c r="Z33"/>
      <c r="AA33"/>
      <c r="AB33"/>
      <c r="AC33"/>
      <c r="AD33"/>
      <c r="AE33"/>
      <c r="AF33"/>
      <c r="AG33"/>
      <c r="AH33"/>
      <c r="AI33"/>
      <c r="AJ33"/>
      <c r="AK33"/>
      <c r="AL33"/>
      <c r="AM33"/>
      <c r="AN33"/>
      <c r="AO33"/>
      <c r="AP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row>
    <row r="34" spans="9:181" x14ac:dyDescent="0.2">
      <c r="I34"/>
      <c r="J34"/>
      <c r="K34"/>
      <c r="L34"/>
      <c r="M34"/>
      <c r="N34"/>
      <c r="O34"/>
      <c r="P34"/>
      <c r="Q34"/>
      <c r="R34"/>
      <c r="S34"/>
      <c r="T34"/>
      <c r="U34"/>
      <c r="V34"/>
      <c r="W34"/>
      <c r="X34"/>
      <c r="Y34"/>
      <c r="Z34"/>
      <c r="AA34"/>
      <c r="AB34"/>
      <c r="AC34"/>
      <c r="AD34"/>
      <c r="AE34"/>
      <c r="AF34"/>
      <c r="AG34"/>
      <c r="AH34"/>
      <c r="AI34"/>
      <c r="AJ34"/>
      <c r="AK34"/>
      <c r="AL34"/>
      <c r="AM34"/>
      <c r="AN34"/>
      <c r="AO34"/>
      <c r="AP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row>
    <row r="35" spans="9:181" x14ac:dyDescent="0.2">
      <c r="I35"/>
      <c r="J35"/>
      <c r="K35"/>
      <c r="L35"/>
      <c r="M35"/>
      <c r="N35"/>
      <c r="O35"/>
      <c r="P35"/>
      <c r="Q35"/>
      <c r="R35"/>
      <c r="S35"/>
      <c r="T35"/>
      <c r="U35"/>
      <c r="V35"/>
      <c r="W35"/>
      <c r="X35"/>
      <c r="Y35"/>
      <c r="Z35"/>
      <c r="AA35"/>
      <c r="AB35"/>
      <c r="AC35"/>
      <c r="AD35"/>
      <c r="AE35"/>
      <c r="AF35"/>
      <c r="AG35"/>
      <c r="AH35"/>
      <c r="AI35"/>
      <c r="AJ35"/>
      <c r="AK35"/>
      <c r="AL35"/>
      <c r="AM35"/>
      <c r="AN35"/>
      <c r="AO35"/>
      <c r="AP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row>
    <row r="36" spans="9:181" x14ac:dyDescent="0.2">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row>
    <row r="37" spans="9:181" x14ac:dyDescent="0.2">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row>
    <row r="38" spans="9:181" x14ac:dyDescent="0.2">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row>
    <row r="39" spans="9:181" x14ac:dyDescent="0.2">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row>
    <row r="40" spans="9:181" x14ac:dyDescent="0.2">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row>
    <row r="42" spans="9:181" x14ac:dyDescent="0.2">
      <c r="CN42" s="3898"/>
    </row>
  </sheetData>
  <phoneticPr fontId="56" type="noConversion"/>
  <pageMargins left="0.7" right="0.7" top="0.75" bottom="0.75" header="0.3" footer="0.3"/>
  <pageSetup orientation="portrait" r:id="rId1"/>
  <tableParts count="6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extLst>
    <ext xmlns:x14="http://schemas.microsoft.com/office/spreadsheetml/2009/9/main" uri="{78C0D931-6437-407d-A8EE-F0AAD7539E65}">
      <x14:conditionalFormattings>
        <x14:conditionalFormatting xmlns:xm="http://schemas.microsoft.com/office/excel/2006/main">
          <x14:cfRule type="expression" priority="1" id="{CB86D21D-0DAD-434E-A4D5-1F655C7EEF18}">
            <xm:f>'Inn justeringer'!XEO148=CS$7</xm:f>
            <x14:dxf/>
          </x14:cfRule>
          <xm:sqref>AX127:AX128 BF127:BF128 BN127:BN128 BV127:BV128 CD127:CD128</xm:sqref>
        </x14:conditionalFormatting>
        <x14:conditionalFormatting xmlns:xm="http://schemas.microsoft.com/office/excel/2006/main">
          <x14:cfRule type="expression" priority="7606" id="{CB86D21D-0DAD-434E-A4D5-1F655C7EEF18}">
            <xm:f>'Inn justeringer'!XDQ148=BS$7</xm:f>
            <x14:dxf/>
          </x14:cfRule>
          <xm:sqref>Z127:Z128 AH127:AH128 AP127:AP128</xm:sqref>
        </x14:conditionalFormatting>
        <x14:conditionalFormatting xmlns:xm="http://schemas.microsoft.com/office/excel/2006/main">
          <x14:cfRule type="expression" priority="7613" id="{CB86D21D-0DAD-434E-A4D5-1F655C7EEF18}">
            <xm:f>'Inn justeringer'!Y148=EG$7</xm:f>
            <x14:dxf/>
          </x14:cfRule>
          <xm:sqref>CN127:CN128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4D4EA-0D72-438B-A040-A431FCEC137B}">
  <sheetPr codeName="Sheet5">
    <tabColor rgb="FFE3EAE2"/>
    <pageSetUpPr fitToPage="1"/>
  </sheetPr>
  <dimension ref="A1:EX365"/>
  <sheetViews>
    <sheetView showGridLines="0" showRowColHeaders="0" topLeftCell="H1" zoomScale="70" zoomScaleNormal="70" workbookViewId="0">
      <selection activeCell="H1" sqref="H1"/>
    </sheetView>
  </sheetViews>
  <sheetFormatPr defaultColWidth="0" defaultRowHeight="14.25" zeroHeight="1" x14ac:dyDescent="0.2"/>
  <cols>
    <col min="1" max="4" width="9" style="70" hidden="1" customWidth="1"/>
    <col min="5" max="5" width="22.375" style="115" hidden="1" customWidth="1"/>
    <col min="6" max="6" width="15.875" style="2012" hidden="1" customWidth="1"/>
    <col min="7" max="7" width="10.625" style="70" hidden="1" customWidth="1"/>
    <col min="8" max="9" width="3.625" style="70" customWidth="1"/>
    <col min="10" max="10" width="30.125" style="70" customWidth="1"/>
    <col min="11" max="12" width="3.625" style="70" customWidth="1"/>
    <col min="13" max="13" width="5.625" style="70" customWidth="1"/>
    <col min="14" max="14" width="14.125" style="70" customWidth="1"/>
    <col min="15" max="15" width="11.625" style="70" customWidth="1"/>
    <col min="16" max="19" width="0.625" style="70" customWidth="1"/>
    <col min="20" max="20" width="3.625" style="2000" customWidth="1"/>
    <col min="21" max="21" width="1.625" style="70" customWidth="1"/>
    <col min="22" max="22" width="2.875" style="70" hidden="1" customWidth="1"/>
    <col min="23" max="23" width="0.875" style="70" hidden="1" customWidth="1"/>
    <col min="24" max="24" width="3.625" style="15" customWidth="1"/>
    <col min="25" max="25" width="2.625" style="15" customWidth="1"/>
    <col min="26" max="26" width="2.625" style="70" customWidth="1"/>
    <col min="27" max="27" width="3.625" style="70" customWidth="1"/>
    <col min="28" max="29" width="1.625" style="70" customWidth="1"/>
    <col min="30" max="31" width="6.625" style="70" customWidth="1"/>
    <col min="32" max="32" width="3.625" style="70" customWidth="1"/>
    <col min="33" max="34" width="6.625" style="70" customWidth="1"/>
    <col min="35" max="35" width="2.125" style="70" customWidth="1"/>
    <col min="36" max="36" width="2.625" style="13" customWidth="1"/>
    <col min="37" max="38" width="2.625" style="70" customWidth="1"/>
    <col min="39" max="40" width="1.625" style="70" customWidth="1"/>
    <col min="41" max="41" width="4.625" style="70" customWidth="1"/>
    <col min="42" max="42" width="3.625" style="70" customWidth="1"/>
    <col min="43" max="43" width="5.125" style="70" customWidth="1"/>
    <col min="44" max="44" width="3.625" style="70" customWidth="1"/>
    <col min="45" max="45" width="13.125" style="70" customWidth="1"/>
    <col min="46" max="46" width="2.125" style="70" customWidth="1"/>
    <col min="47" max="49" width="2.625" style="70" customWidth="1"/>
    <col min="50" max="52" width="1.625" style="70" customWidth="1"/>
    <col min="53" max="53" width="4.125" style="70" customWidth="1"/>
    <col min="54" max="54" width="3.625" style="70" customWidth="1"/>
    <col min="55" max="55" width="0.875" style="70" customWidth="1"/>
    <col min="56" max="56" width="1.625" style="70" customWidth="1"/>
    <col min="57" max="57" width="0.875" style="70" customWidth="1"/>
    <col min="58" max="58" width="0.5" style="70" customWidth="1"/>
    <col min="59" max="59" width="3.625" style="70" customWidth="1"/>
    <col min="60" max="60" width="11.625" style="70" customWidth="1"/>
    <col min="61" max="61" width="2.125" style="70" customWidth="1"/>
    <col min="62" max="64" width="2.625" style="70" customWidth="1"/>
    <col min="65" max="66" width="1.625" style="70" customWidth="1"/>
    <col min="67" max="67" width="5.625" style="70" customWidth="1"/>
    <col min="68" max="68" width="3.375" style="70" customWidth="1"/>
    <col min="69" max="73" width="0.875" style="70" customWidth="1"/>
    <col min="74" max="75" width="0.5" style="70" customWidth="1"/>
    <col min="76" max="76" width="2.625" style="13" customWidth="1"/>
    <col min="77" max="77" width="3.125" style="13" customWidth="1"/>
    <col min="78" max="78" width="2.625" style="70" customWidth="1"/>
    <col min="79" max="79" width="5.375" style="70" customWidth="1"/>
    <col min="80" max="80" width="2.125" style="70" customWidth="1"/>
    <col min="81" max="83" width="2.625" style="70" customWidth="1"/>
    <col min="84" max="84" width="1.625" style="70" customWidth="1"/>
    <col min="85" max="85" width="2.75" style="70" customWidth="1"/>
    <col min="86" max="86" width="4.125" style="70" customWidth="1"/>
    <col min="87" max="87" width="2.625" style="70" customWidth="1"/>
    <col min="88" max="88" width="1.25" style="70" customWidth="1"/>
    <col min="89" max="89" width="0.625" style="70" customWidth="1"/>
    <col min="90" max="90" width="1.625" style="70" customWidth="1"/>
    <col min="91" max="91" width="0.625" style="70" customWidth="1"/>
    <col min="92" max="92" width="0.75" style="70" customWidth="1"/>
    <col min="93" max="93" width="0.5" style="70" customWidth="1"/>
    <col min="94" max="94" width="0.75" style="70" customWidth="1"/>
    <col min="95" max="95" width="0.625" style="70" customWidth="1"/>
    <col min="96" max="96" width="1.625" style="70" customWidth="1"/>
    <col min="97" max="97" width="0.625" style="70" customWidth="1"/>
    <col min="98" max="98" width="1.25" style="70" customWidth="1"/>
    <col min="99" max="99" width="4.125" style="70" customWidth="1"/>
    <col min="100" max="100" width="18.625" style="70" customWidth="1"/>
    <col min="101" max="101" width="3.625" style="70" customWidth="1"/>
    <col min="102" max="103" width="0.875" style="70" customWidth="1"/>
    <col min="104" max="104" width="6.75" style="13" customWidth="1"/>
    <col min="105" max="105" width="0.875" style="70" customWidth="1"/>
    <col min="106" max="106" width="0.5" style="70" customWidth="1"/>
    <col min="107" max="107" width="0.875" style="70" customWidth="1"/>
    <col min="108" max="108" width="2.125" style="70" customWidth="1"/>
    <col min="109" max="109" width="1" style="70" customWidth="1"/>
    <col min="110" max="110" width="2.625" style="70" customWidth="1"/>
    <col min="111" max="111" width="5.625" style="2012" customWidth="1"/>
    <col min="112" max="112" width="1.375" style="70" customWidth="1"/>
    <col min="113" max="113" width="7.875" style="70" customWidth="1"/>
    <col min="114" max="114" width="0.875" style="70" customWidth="1"/>
    <col min="115" max="115" width="14.625" style="70" customWidth="1"/>
    <col min="116" max="116" width="3.625" style="70" customWidth="1"/>
    <col min="117" max="117" width="0.5" style="70" customWidth="1"/>
    <col min="118" max="118" width="1.625" style="70" customWidth="1"/>
    <col min="119" max="120" width="0.875" style="70" customWidth="1"/>
    <col min="121" max="121" width="4.625" style="70" customWidth="1"/>
    <col min="122" max="122" width="5.125" style="70" customWidth="1"/>
    <col min="123" max="124" width="18.625" style="70" customWidth="1"/>
    <col min="125" max="126" width="3.625" style="70" customWidth="1"/>
    <col min="127" max="127" width="18.125" style="70" hidden="1" customWidth="1"/>
    <col min="128" max="129" width="3.625" style="70" hidden="1" customWidth="1"/>
    <col min="130" max="135" width="0.875" style="70" hidden="1" customWidth="1"/>
    <col min="136" max="136" width="9.5" style="70" hidden="1" customWidth="1"/>
    <col min="137" max="137" width="9.875" style="70" hidden="1" customWidth="1"/>
    <col min="138" max="138" width="16" style="70" hidden="1" customWidth="1"/>
    <col min="139" max="139" width="14.25" style="70" hidden="1" customWidth="1"/>
    <col min="140" max="140" width="12.125" style="70" hidden="1" customWidth="1"/>
    <col min="141" max="141" width="14.375" style="70" hidden="1" customWidth="1"/>
    <col min="142" max="142" width="10.375" style="70" hidden="1" customWidth="1"/>
    <col min="143" max="143" width="16.25" style="70" hidden="1" customWidth="1"/>
    <col min="144" max="144" width="9.75" style="70" hidden="1" customWidth="1"/>
    <col min="145" max="145" width="6.375" style="70" hidden="1" customWidth="1"/>
    <col min="146" max="146" width="1.875" style="70" hidden="1" customWidth="1"/>
    <col min="147" max="148" width="20.5" style="70" hidden="1" customWidth="1"/>
    <col min="149" max="149" width="5.875" style="70" hidden="1" customWidth="1"/>
    <col min="150" max="150" width="26.5" style="70" hidden="1" customWidth="1"/>
    <col min="151" max="151" width="31.75" style="70" hidden="1" customWidth="1"/>
    <col min="152" max="152" width="14.75" style="70" hidden="1" customWidth="1"/>
    <col min="153" max="154" width="6.125" style="70" hidden="1" customWidth="1"/>
    <col min="155" max="16384" width="9" style="70" hidden="1"/>
  </cols>
  <sheetData>
    <row r="1" spans="1:147" ht="49.5" customHeight="1" thickBot="1" x14ac:dyDescent="0.25">
      <c r="E1" s="2077" t="s">
        <v>527</v>
      </c>
      <c r="F1" s="2078" t="s">
        <v>528</v>
      </c>
      <c r="DU1" s="2617"/>
      <c r="DV1" s="6268"/>
    </row>
    <row r="2" spans="1:147" ht="12" customHeight="1" thickTop="1" x14ac:dyDescent="0.2">
      <c r="E2" s="115" t="str">
        <f>"face"&amp;$AD$25&amp;$AD$31</f>
        <v>face1</v>
      </c>
      <c r="F2" s="2079" t="str">
        <f>IF($AD$25=1,"tube1",IF($AD$25=2,"tube2",0))</f>
        <v>tube1</v>
      </c>
      <c r="I2" s="78"/>
      <c r="J2" s="920"/>
      <c r="K2" s="78"/>
      <c r="L2" s="1872"/>
      <c r="M2" s="1873"/>
      <c r="N2" s="1873"/>
      <c r="O2" s="920"/>
      <c r="P2" s="920"/>
      <c r="Q2" s="1874"/>
      <c r="R2" s="1875"/>
      <c r="S2" s="1875"/>
      <c r="T2" s="1875"/>
      <c r="U2" s="1875"/>
      <c r="V2" s="1875"/>
      <c r="W2" s="1875"/>
      <c r="X2" s="1874"/>
      <c r="Y2" s="1874"/>
      <c r="Z2" s="1875"/>
      <c r="AA2" s="1876"/>
      <c r="AB2" s="1876"/>
      <c r="AC2" s="1876"/>
      <c r="AD2" s="1875"/>
      <c r="AE2" s="1875"/>
      <c r="AF2" s="1875"/>
      <c r="AG2" s="1875"/>
      <c r="AH2" s="1877"/>
      <c r="AI2" s="1877"/>
      <c r="AJ2" s="1959"/>
      <c r="AK2" s="1877"/>
      <c r="AL2" s="78"/>
      <c r="AM2" s="920"/>
      <c r="AN2" s="78"/>
      <c r="AO2" s="78"/>
      <c r="AP2" s="2080"/>
      <c r="AQ2" s="2080"/>
      <c r="AR2" s="2080"/>
      <c r="AS2" s="2080"/>
      <c r="AT2" s="2080"/>
      <c r="AU2" s="2080"/>
      <c r="AV2" s="2080"/>
      <c r="AW2" s="2080"/>
      <c r="AX2" s="2080"/>
      <c r="AY2" s="2080"/>
      <c r="AZ2" s="2080"/>
      <c r="BA2" s="2080"/>
      <c r="BB2" s="2080"/>
      <c r="BC2" s="2080"/>
      <c r="BD2" s="2080"/>
      <c r="BE2" s="2080"/>
      <c r="BF2" s="2080"/>
      <c r="BG2" s="2080"/>
      <c r="BH2" s="2080"/>
      <c r="BI2" s="2080"/>
      <c r="BJ2" s="2080"/>
      <c r="BK2" s="2080"/>
      <c r="BL2" s="2080"/>
      <c r="BM2" s="2080"/>
      <c r="BN2" s="2080"/>
      <c r="BO2" s="2080"/>
      <c r="BP2" s="2080"/>
      <c r="BQ2" s="2080"/>
      <c r="BR2" s="2080"/>
      <c r="BS2" s="2080"/>
      <c r="BT2" s="2080"/>
      <c r="BU2" s="2080"/>
      <c r="BV2" s="2080"/>
      <c r="BW2" s="2080"/>
      <c r="BX2" s="834"/>
      <c r="BY2" s="834"/>
      <c r="BZ2" s="2080"/>
      <c r="CA2" s="2080"/>
      <c r="CB2" s="2080"/>
      <c r="CC2" s="2080"/>
      <c r="CD2" s="2080"/>
      <c r="CE2" s="2080"/>
      <c r="CF2" s="2080"/>
      <c r="CG2" s="2080"/>
      <c r="CH2" s="2080"/>
      <c r="CI2" s="2080"/>
      <c r="CJ2" s="2080"/>
      <c r="CK2" s="2080"/>
      <c r="CL2" s="2080"/>
      <c r="CM2" s="2080"/>
      <c r="CN2" s="2080"/>
      <c r="CO2" s="2080"/>
      <c r="CP2" s="2080"/>
      <c r="CQ2" s="2080"/>
      <c r="CR2" s="2080"/>
      <c r="CS2" s="2080"/>
      <c r="CT2" s="2080"/>
      <c r="CU2" s="2080"/>
      <c r="CV2" s="2080"/>
      <c r="CW2" s="2080"/>
      <c r="CX2" s="2080"/>
      <c r="CY2" s="2080"/>
      <c r="CZ2" s="834"/>
      <c r="DA2" s="2080"/>
      <c r="DB2" s="2080"/>
      <c r="DC2" s="2080"/>
      <c r="DD2" s="2080"/>
      <c r="DE2" s="2080"/>
      <c r="DF2" s="2080"/>
      <c r="DG2" s="2081"/>
      <c r="DH2" s="2080"/>
      <c r="DI2" s="2080"/>
      <c r="DJ2" s="2080"/>
      <c r="DK2" s="2080"/>
      <c r="DL2" s="2080"/>
      <c r="DM2" s="2080"/>
      <c r="DN2" s="2080"/>
      <c r="DO2" s="2080"/>
      <c r="DP2" s="2080"/>
      <c r="DQ2" s="2080"/>
      <c r="DR2" s="2080"/>
      <c r="DS2" s="2080"/>
      <c r="DT2" s="2080"/>
      <c r="DU2" s="2617"/>
      <c r="DV2" s="2617"/>
      <c r="DW2" s="78"/>
      <c r="EF2" s="6440" t="s">
        <v>818</v>
      </c>
      <c r="EG2" s="6440"/>
      <c r="EH2" s="6440"/>
      <c r="EI2" s="6440"/>
      <c r="EJ2" s="6440"/>
      <c r="EK2" s="6440"/>
      <c r="EL2" s="6440"/>
      <c r="EM2" s="6440"/>
      <c r="EN2" s="6440"/>
      <c r="EO2" s="6440"/>
      <c r="EP2" s="6440"/>
      <c r="EQ2" s="6440"/>
    </row>
    <row r="3" spans="1:147" ht="5.0999999999999996" customHeight="1" x14ac:dyDescent="0.2">
      <c r="I3" s="78"/>
      <c r="J3" s="16"/>
      <c r="K3" s="78"/>
      <c r="L3" s="20"/>
      <c r="M3" s="136"/>
      <c r="N3" s="136"/>
      <c r="O3" s="16"/>
      <c r="P3" s="16"/>
      <c r="Q3" s="572"/>
      <c r="R3" s="36"/>
      <c r="S3" s="36"/>
      <c r="T3" s="36"/>
      <c r="U3" s="36"/>
      <c r="V3" s="36"/>
      <c r="W3" s="36"/>
      <c r="X3" s="572"/>
      <c r="Y3" s="572"/>
      <c r="Z3" s="36"/>
      <c r="AA3" s="573"/>
      <c r="AB3" s="573"/>
      <c r="AC3" s="573"/>
      <c r="AD3" s="36"/>
      <c r="AE3" s="36"/>
      <c r="AF3" s="36"/>
      <c r="AG3" s="36"/>
      <c r="AH3" s="137"/>
      <c r="AI3" s="137"/>
      <c r="AJ3" s="1960"/>
      <c r="AK3" s="137"/>
      <c r="AL3" s="78"/>
      <c r="AM3" s="16"/>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16"/>
      <c r="BY3" s="16"/>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16"/>
      <c r="DA3" s="78"/>
      <c r="DB3" s="78"/>
      <c r="DC3" s="78"/>
      <c r="DD3" s="78"/>
      <c r="DE3" s="78"/>
      <c r="DF3" s="78"/>
      <c r="DG3" s="2082"/>
      <c r="DH3" s="78"/>
      <c r="DI3" s="78"/>
      <c r="DJ3" s="78"/>
      <c r="DK3" s="78"/>
      <c r="DL3" s="78"/>
      <c r="DM3" s="78"/>
      <c r="DN3" s="78"/>
      <c r="DO3" s="78"/>
      <c r="DP3" s="78"/>
      <c r="DQ3" s="78"/>
      <c r="DR3" s="78"/>
      <c r="DS3" s="78"/>
      <c r="DT3" s="78"/>
      <c r="DU3" s="2617"/>
      <c r="DV3" s="2617"/>
      <c r="DW3" s="78"/>
      <c r="EF3" s="6440"/>
      <c r="EG3" s="6440"/>
      <c r="EH3" s="6440"/>
      <c r="EI3" s="6440"/>
      <c r="EJ3" s="6440"/>
      <c r="EK3" s="6440"/>
      <c r="EL3" s="6440"/>
      <c r="EM3" s="6440"/>
      <c r="EN3" s="6440"/>
      <c r="EO3" s="6440"/>
      <c r="EP3" s="6440"/>
      <c r="EQ3" s="6440"/>
    </row>
    <row r="4" spans="1:147" ht="5.0999999999999996" customHeight="1" x14ac:dyDescent="0.2">
      <c r="F4" s="2079"/>
      <c r="I4" s="78"/>
      <c r="J4" s="920"/>
      <c r="K4" s="78"/>
      <c r="L4" s="1872"/>
      <c r="M4" s="1873"/>
      <c r="N4" s="1873"/>
      <c r="O4" s="920"/>
      <c r="P4" s="920"/>
      <c r="Q4" s="1874"/>
      <c r="R4" s="1875"/>
      <c r="S4" s="1875"/>
      <c r="T4" s="1875"/>
      <c r="U4" s="1875"/>
      <c r="V4" s="1875"/>
      <c r="W4" s="1875"/>
      <c r="X4" s="1874"/>
      <c r="Y4" s="1874"/>
      <c r="Z4" s="1875"/>
      <c r="AA4" s="1876"/>
      <c r="AB4" s="1876"/>
      <c r="AC4" s="1876"/>
      <c r="AD4" s="1875"/>
      <c r="AE4" s="1875"/>
      <c r="AF4" s="1875"/>
      <c r="AG4" s="1875"/>
      <c r="AH4" s="1877"/>
      <c r="AI4" s="1877"/>
      <c r="AJ4" s="1959"/>
      <c r="AK4" s="1877"/>
      <c r="AL4" s="78"/>
      <c r="AM4" s="920"/>
      <c r="AN4" s="78"/>
      <c r="AO4" s="78"/>
      <c r="AP4" s="2080"/>
      <c r="AQ4" s="2080"/>
      <c r="AR4" s="2080"/>
      <c r="AS4" s="2080"/>
      <c r="AT4" s="2080"/>
      <c r="AU4" s="2080"/>
      <c r="AV4" s="2080"/>
      <c r="AW4" s="2080"/>
      <c r="AX4" s="2080"/>
      <c r="AY4" s="2080"/>
      <c r="AZ4" s="2080"/>
      <c r="BA4" s="2080"/>
      <c r="BB4" s="2080"/>
      <c r="BC4" s="2080"/>
      <c r="BD4" s="2080"/>
      <c r="BE4" s="2080"/>
      <c r="BF4" s="2080"/>
      <c r="BG4" s="2080"/>
      <c r="BH4" s="2080"/>
      <c r="BI4" s="2080"/>
      <c r="BJ4" s="2080"/>
      <c r="BK4" s="2080"/>
      <c r="BL4" s="2080"/>
      <c r="BM4" s="2080"/>
      <c r="BN4" s="2080"/>
      <c r="BO4" s="2080"/>
      <c r="BP4" s="2080"/>
      <c r="BQ4" s="2080"/>
      <c r="BR4" s="2080"/>
      <c r="BS4" s="2080"/>
      <c r="BT4" s="2080"/>
      <c r="BU4" s="2080"/>
      <c r="BV4" s="2080"/>
      <c r="BW4" s="2080"/>
      <c r="BX4" s="834"/>
      <c r="BY4" s="834"/>
      <c r="BZ4" s="2080"/>
      <c r="CA4" s="2080"/>
      <c r="CB4" s="2080"/>
      <c r="CC4" s="2080"/>
      <c r="CD4" s="2080"/>
      <c r="CE4" s="2080"/>
      <c r="CF4" s="2080"/>
      <c r="CG4" s="2080"/>
      <c r="CH4" s="2080"/>
      <c r="CI4" s="2080"/>
      <c r="CJ4" s="2080"/>
      <c r="CK4" s="2080"/>
      <c r="CL4" s="2080"/>
      <c r="CM4" s="2080"/>
      <c r="CN4" s="2080"/>
      <c r="CO4" s="2080"/>
      <c r="CP4" s="2080"/>
      <c r="CQ4" s="2080"/>
      <c r="CR4" s="2080"/>
      <c r="CS4" s="2080"/>
      <c r="CT4" s="2080"/>
      <c r="CU4" s="2080"/>
      <c r="CV4" s="2080"/>
      <c r="CW4" s="2080"/>
      <c r="CX4" s="2080"/>
      <c r="CY4" s="2080"/>
      <c r="CZ4" s="834"/>
      <c r="DA4" s="2080"/>
      <c r="DB4" s="2080"/>
      <c r="DC4" s="2080"/>
      <c r="DD4" s="2080"/>
      <c r="DE4" s="2080"/>
      <c r="DF4" s="2080"/>
      <c r="DG4" s="2081"/>
      <c r="DH4" s="2080"/>
      <c r="DI4" s="2080"/>
      <c r="DJ4" s="2080"/>
      <c r="DK4" s="2080"/>
      <c r="DL4" s="2080"/>
      <c r="DM4" s="2080"/>
      <c r="DN4" s="2080"/>
      <c r="DO4" s="2080"/>
      <c r="DP4" s="2080"/>
      <c r="DQ4" s="2080"/>
      <c r="DR4" s="2080"/>
      <c r="DS4" s="2080"/>
      <c r="DT4" s="2080"/>
      <c r="DU4" s="2617"/>
      <c r="DV4" s="2617"/>
      <c r="DW4" s="78"/>
      <c r="EF4" s="6440"/>
      <c r="EG4" s="6440"/>
      <c r="EH4" s="6440"/>
      <c r="EI4" s="6440"/>
      <c r="EJ4" s="6440"/>
      <c r="EK4" s="6440"/>
      <c r="EL4" s="6440"/>
      <c r="EM4" s="6440"/>
      <c r="EN4" s="6440"/>
      <c r="EO4" s="6440"/>
      <c r="EP4" s="6440"/>
      <c r="EQ4" s="6440"/>
    </row>
    <row r="5" spans="1:147" ht="30" customHeight="1" thickBot="1" x14ac:dyDescent="0.25">
      <c r="E5" s="115" t="s">
        <v>250</v>
      </c>
      <c r="F5" s="2079" t="str">
        <f>IF($F$9=4,"config28",IF($F$9=3,"configabc","config11"))</f>
        <v>config11</v>
      </c>
      <c r="I5" s="78"/>
      <c r="J5" s="16"/>
      <c r="K5" s="78"/>
      <c r="L5" s="20"/>
      <c r="M5" s="136"/>
      <c r="N5" s="136"/>
      <c r="O5" s="16"/>
      <c r="P5" s="16"/>
      <c r="Q5" s="572"/>
      <c r="R5" s="36"/>
      <c r="S5" s="36"/>
      <c r="T5" s="36"/>
      <c r="U5" s="36"/>
      <c r="V5" s="36"/>
      <c r="W5" s="36"/>
      <c r="X5" s="572"/>
      <c r="Y5" s="572"/>
      <c r="Z5" s="36"/>
      <c r="AA5" s="573"/>
      <c r="AB5" s="573"/>
      <c r="AC5" s="573"/>
      <c r="AD5" s="36"/>
      <c r="AE5" s="36"/>
      <c r="AF5" s="36"/>
      <c r="AG5" s="36"/>
      <c r="AH5" s="137"/>
      <c r="AI5" s="137"/>
      <c r="AJ5" s="1960"/>
      <c r="AK5" s="137"/>
      <c r="AL5" s="78"/>
      <c r="AM5" s="16"/>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16"/>
      <c r="BY5" s="16"/>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16"/>
      <c r="DA5" s="78"/>
      <c r="DB5" s="78"/>
      <c r="DC5" s="78"/>
      <c r="DD5" s="78"/>
      <c r="DE5" s="78"/>
      <c r="DF5" s="78"/>
      <c r="DG5" s="2082"/>
      <c r="DH5" s="78"/>
      <c r="DI5" s="78"/>
      <c r="DJ5" s="78"/>
      <c r="DK5" s="78"/>
      <c r="DL5" s="78"/>
      <c r="DM5" s="78"/>
      <c r="DN5" s="78"/>
      <c r="DO5" s="78"/>
      <c r="DP5" s="78"/>
      <c r="DQ5" s="78"/>
      <c r="DR5" s="78"/>
      <c r="DS5" s="78"/>
      <c r="DT5" s="78"/>
      <c r="DU5" s="2617"/>
      <c r="DV5" s="2617"/>
      <c r="DW5" s="78"/>
      <c r="EF5" s="6440"/>
      <c r="EG5" s="6440"/>
      <c r="EH5" s="6440"/>
      <c r="EI5" s="6440"/>
      <c r="EJ5" s="6440"/>
      <c r="EK5" s="6440"/>
      <c r="EL5" s="6440"/>
      <c r="EM5" s="6440"/>
      <c r="EN5" s="6440"/>
      <c r="EO5" s="6440"/>
      <c r="EP5" s="6440"/>
      <c r="EQ5" s="6440"/>
    </row>
    <row r="6" spans="1:147" ht="15" customHeight="1" thickBot="1" x14ac:dyDescent="0.25">
      <c r="E6" s="115" t="s">
        <v>270</v>
      </c>
      <c r="F6" s="2079" t="str">
        <f>IF(OR($F$38&gt;$F$9,$F$38=0),"A",UPPER($AD$37))</f>
        <v>A</v>
      </c>
      <c r="I6" s="78"/>
      <c r="J6" s="1107"/>
      <c r="K6" s="78"/>
      <c r="L6" s="681"/>
      <c r="M6" s="626"/>
      <c r="N6" s="626"/>
      <c r="O6" s="626"/>
      <c r="P6" s="626"/>
      <c r="Q6" s="626"/>
      <c r="R6" s="626"/>
      <c r="S6" s="626"/>
      <c r="T6" s="3921"/>
      <c r="U6" s="626"/>
      <c r="V6" s="626"/>
      <c r="W6" s="626"/>
      <c r="X6" s="1988"/>
      <c r="Y6" s="1988"/>
      <c r="Z6" s="626"/>
      <c r="AA6" s="626"/>
      <c r="AB6" s="626"/>
      <c r="AC6" s="626"/>
      <c r="AD6" s="626"/>
      <c r="AE6" s="626"/>
      <c r="AF6" s="626"/>
      <c r="AG6" s="626"/>
      <c r="AH6" s="626"/>
      <c r="AI6" s="626"/>
      <c r="AJ6" s="3921"/>
      <c r="AK6" s="682"/>
      <c r="AL6" s="78"/>
      <c r="AM6" s="1462"/>
      <c r="AN6" s="78"/>
      <c r="AO6" s="78"/>
      <c r="AP6" s="2083"/>
      <c r="AQ6" s="2084"/>
      <c r="AR6" s="2084"/>
      <c r="AS6" s="2084"/>
      <c r="AT6" s="2084"/>
      <c r="AU6" s="2084"/>
      <c r="AV6" s="2084"/>
      <c r="AW6" s="2084"/>
      <c r="AX6" s="2084"/>
      <c r="AY6" s="2084"/>
      <c r="AZ6" s="2084"/>
      <c r="BA6" s="2084"/>
      <c r="BB6" s="2084"/>
      <c r="BC6" s="2084"/>
      <c r="BD6" s="2084"/>
      <c r="BE6" s="2084"/>
      <c r="BF6" s="2084"/>
      <c r="BG6" s="2084"/>
      <c r="BH6" s="2084"/>
      <c r="BI6" s="2084"/>
      <c r="BJ6" s="2084"/>
      <c r="BK6" s="2084"/>
      <c r="BL6" s="2084"/>
      <c r="BM6" s="2084"/>
      <c r="BN6" s="2084"/>
      <c r="BO6" s="2084"/>
      <c r="BP6" s="2084"/>
      <c r="BQ6" s="2084"/>
      <c r="BR6" s="2084"/>
      <c r="BS6" s="2084"/>
      <c r="BT6" s="2084"/>
      <c r="BU6" s="2084"/>
      <c r="BV6" s="2084"/>
      <c r="BW6" s="2084"/>
      <c r="BX6" s="2085"/>
      <c r="BY6" s="2085"/>
      <c r="BZ6" s="2084"/>
      <c r="CA6" s="2084"/>
      <c r="CB6" s="2084"/>
      <c r="CC6" s="2084"/>
      <c r="CD6" s="2084"/>
      <c r="CE6" s="2084"/>
      <c r="CF6" s="2084"/>
      <c r="CG6" s="2084"/>
      <c r="CH6" s="2084"/>
      <c r="CI6" s="2084"/>
      <c r="CJ6" s="2084"/>
      <c r="CK6" s="2084"/>
      <c r="CL6" s="2084"/>
      <c r="CM6" s="2084"/>
      <c r="CN6" s="2084"/>
      <c r="CO6" s="2084"/>
      <c r="CP6" s="2084"/>
      <c r="CQ6" s="2084"/>
      <c r="CR6" s="2084"/>
      <c r="CS6" s="2084"/>
      <c r="CT6" s="2084"/>
      <c r="CU6" s="2084"/>
      <c r="CV6" s="2084"/>
      <c r="CW6" s="2084"/>
      <c r="CX6" s="2084"/>
      <c r="CY6" s="2084"/>
      <c r="CZ6" s="2085"/>
      <c r="DA6" s="2084"/>
      <c r="DB6" s="2084"/>
      <c r="DC6" s="2084"/>
      <c r="DD6" s="2084"/>
      <c r="DE6" s="2084"/>
      <c r="DF6" s="2084"/>
      <c r="DG6" s="2086"/>
      <c r="DH6" s="2084"/>
      <c r="DI6" s="2084"/>
      <c r="DJ6" s="2084"/>
      <c r="DK6" s="2084"/>
      <c r="DL6" s="2084"/>
      <c r="DM6" s="2084"/>
      <c r="DN6" s="2084"/>
      <c r="DO6" s="2084"/>
      <c r="DP6" s="2084"/>
      <c r="DQ6" s="2084"/>
      <c r="DR6" s="2084"/>
      <c r="DS6" s="2084"/>
      <c r="DT6" s="2087"/>
      <c r="DU6" s="2617"/>
      <c r="DV6" s="2617"/>
      <c r="DW6" s="78"/>
      <c r="EF6" s="6440"/>
      <c r="EG6" s="6440"/>
      <c r="EH6" s="6440"/>
      <c r="EI6" s="6440"/>
      <c r="EJ6" s="6440"/>
      <c r="EK6" s="6440"/>
      <c r="EL6" s="6440"/>
      <c r="EM6" s="6440"/>
      <c r="EN6" s="6440"/>
      <c r="EO6" s="6440"/>
      <c r="EP6" s="6440"/>
      <c r="EQ6" s="6440"/>
    </row>
    <row r="7" spans="1:147" ht="8.1" customHeight="1" thickBot="1" x14ac:dyDescent="0.25">
      <c r="I7" s="78"/>
      <c r="J7" s="16"/>
      <c r="K7" s="78"/>
      <c r="L7" s="20"/>
      <c r="M7" s="136"/>
      <c r="N7" s="136"/>
      <c r="O7" s="16"/>
      <c r="P7" s="16"/>
      <c r="Q7" s="572"/>
      <c r="R7" s="36"/>
      <c r="S7" s="36"/>
      <c r="T7" s="36"/>
      <c r="U7" s="36"/>
      <c r="V7" s="36"/>
      <c r="W7" s="36"/>
      <c r="X7" s="572"/>
      <c r="Y7" s="572"/>
      <c r="Z7" s="36"/>
      <c r="AA7" s="573"/>
      <c r="AB7" s="573"/>
      <c r="AC7" s="573"/>
      <c r="AD7" s="36"/>
      <c r="AE7" s="36"/>
      <c r="AF7" s="36"/>
      <c r="AG7" s="36"/>
      <c r="AH7" s="137"/>
      <c r="AI7" s="137"/>
      <c r="AJ7" s="1960"/>
      <c r="AK7" s="137"/>
      <c r="AL7" s="78"/>
      <c r="AM7" s="16"/>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16"/>
      <c r="BY7" s="16"/>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16"/>
      <c r="DA7" s="78"/>
      <c r="DB7" s="78"/>
      <c r="DC7" s="78"/>
      <c r="DD7" s="78"/>
      <c r="DE7" s="78"/>
      <c r="DF7" s="78"/>
      <c r="DG7" s="2082"/>
      <c r="DH7" s="78"/>
      <c r="DI7" s="78"/>
      <c r="DJ7" s="78"/>
      <c r="DK7" s="78"/>
      <c r="DL7" s="78"/>
      <c r="DM7" s="78"/>
      <c r="DN7" s="78"/>
      <c r="DO7" s="78"/>
      <c r="DP7" s="78"/>
      <c r="DQ7" s="78"/>
      <c r="DR7" s="78"/>
      <c r="DS7" s="78"/>
      <c r="DT7" s="78"/>
      <c r="DU7" s="2617"/>
      <c r="DV7" s="2617"/>
      <c r="DW7" s="78"/>
    </row>
    <row r="8" spans="1:147" ht="9.9499999999999993" customHeight="1" x14ac:dyDescent="0.2">
      <c r="E8" s="115" t="s">
        <v>237</v>
      </c>
      <c r="F8" s="2079">
        <v>0</v>
      </c>
      <c r="I8" s="78"/>
      <c r="J8" s="3909"/>
      <c r="K8" s="78"/>
      <c r="L8" s="553"/>
      <c r="M8" s="554"/>
      <c r="N8" s="554"/>
      <c r="O8" s="555"/>
      <c r="P8" s="555"/>
      <c r="Q8" s="556"/>
      <c r="R8" s="557"/>
      <c r="S8" s="557"/>
      <c r="T8" s="557"/>
      <c r="U8" s="557"/>
      <c r="V8" s="557"/>
      <c r="W8" s="557"/>
      <c r="X8" s="556"/>
      <c r="Y8" s="556"/>
      <c r="Z8" s="557"/>
      <c r="AA8" s="558"/>
      <c r="AB8" s="558"/>
      <c r="AC8" s="558"/>
      <c r="AD8" s="557"/>
      <c r="AE8" s="557"/>
      <c r="AF8" s="557"/>
      <c r="AG8" s="557"/>
      <c r="AH8" s="559"/>
      <c r="AI8" s="559"/>
      <c r="AJ8" s="1961"/>
      <c r="AK8" s="560"/>
      <c r="AL8" s="78"/>
      <c r="AM8" s="107"/>
      <c r="AN8" s="78"/>
      <c r="AO8" s="78"/>
      <c r="AP8" s="5462"/>
      <c r="AQ8" s="5462"/>
      <c r="AR8" s="5462"/>
      <c r="AS8" s="5462"/>
      <c r="AT8" s="5462"/>
      <c r="AU8" s="5462"/>
      <c r="AV8" s="5462"/>
      <c r="AW8" s="5462"/>
      <c r="AX8" s="5462"/>
      <c r="AY8" s="5462"/>
      <c r="AZ8" s="5462"/>
      <c r="BA8" s="5462"/>
      <c r="BB8" s="5462"/>
      <c r="BC8" s="5462"/>
      <c r="BD8" s="5462"/>
      <c r="BE8" s="5462"/>
      <c r="BF8" s="5462"/>
      <c r="BG8" s="5462"/>
      <c r="BH8" s="5462"/>
      <c r="BI8" s="5462"/>
      <c r="BJ8" s="5462"/>
      <c r="BK8" s="5462"/>
      <c r="BL8" s="5462"/>
      <c r="BM8" s="5462"/>
      <c r="BN8" s="5462"/>
      <c r="BO8" s="5462"/>
      <c r="BP8" s="5462"/>
      <c r="BQ8" s="5462"/>
      <c r="BR8" s="5462"/>
      <c r="BS8" s="5462"/>
      <c r="BT8" s="5462"/>
      <c r="BU8" s="5462"/>
      <c r="BV8" s="5462"/>
      <c r="BW8" s="5462"/>
      <c r="BX8" s="2582"/>
      <c r="BY8" s="2582"/>
      <c r="BZ8" s="5462"/>
      <c r="CA8" s="5462"/>
      <c r="CB8" s="5462"/>
      <c r="CC8" s="5462"/>
      <c r="CD8" s="5462"/>
      <c r="CE8" s="5462"/>
      <c r="CF8" s="5462"/>
      <c r="CG8" s="5462"/>
      <c r="CH8" s="5462"/>
      <c r="CI8" s="5462"/>
      <c r="CJ8" s="5462"/>
      <c r="CK8" s="5462"/>
      <c r="CL8" s="5462"/>
      <c r="CM8" s="5462"/>
      <c r="CN8" s="5462"/>
      <c r="CO8" s="5462"/>
      <c r="CP8" s="5462"/>
      <c r="CQ8" s="5462"/>
      <c r="CR8" s="5462"/>
      <c r="CS8" s="5462"/>
      <c r="CT8" s="5462"/>
      <c r="CU8" s="5462"/>
      <c r="CV8" s="5462"/>
      <c r="CW8" s="5462"/>
      <c r="CX8" s="5462"/>
      <c r="CY8" s="5462"/>
      <c r="CZ8" s="2582"/>
      <c r="DA8" s="5462"/>
      <c r="DB8" s="5462"/>
      <c r="DC8" s="5462"/>
      <c r="DD8" s="5462"/>
      <c r="DE8" s="5462"/>
      <c r="DF8" s="5462"/>
      <c r="DG8" s="5463"/>
      <c r="DH8" s="5462"/>
      <c r="DI8" s="5462"/>
      <c r="DJ8" s="5462"/>
      <c r="DK8" s="5462"/>
      <c r="DL8" s="5462"/>
      <c r="DM8" s="5462"/>
      <c r="DN8" s="5462"/>
      <c r="DO8" s="5462"/>
      <c r="DP8" s="5462"/>
      <c r="DQ8" s="5462"/>
      <c r="DR8" s="5462"/>
      <c r="DS8" s="5462"/>
      <c r="DT8" s="5462"/>
      <c r="DU8" s="2617"/>
      <c r="DV8" s="2617"/>
      <c r="DW8" s="78"/>
    </row>
    <row r="9" spans="1:147" s="21" customFormat="1" ht="39.950000000000003" customHeight="1" x14ac:dyDescent="0.2">
      <c r="E9" s="15" t="s">
        <v>578</v>
      </c>
      <c r="F9" s="2089">
        <f>IF(OR($EH$86="11",$EH$86="14",$EH$86="22",$EH$86="28"),1,IF(OR($EH$86="12",$EH$86="24"),3,IF(OR($EH$86="13",$EH$86="26"),4,"")))</f>
        <v>1</v>
      </c>
      <c r="I9" s="136"/>
      <c r="J9" s="3910"/>
      <c r="K9" s="136"/>
      <c r="L9" s="561"/>
      <c r="M9" s="6342" t="s">
        <v>213</v>
      </c>
      <c r="N9" s="6342"/>
      <c r="O9" s="6342"/>
      <c r="P9" s="6342"/>
      <c r="Q9" s="6342"/>
      <c r="R9" s="6342"/>
      <c r="S9" s="6342"/>
      <c r="T9" s="6342"/>
      <c r="U9" s="6342"/>
      <c r="V9" s="6342"/>
      <c r="W9" s="6342"/>
      <c r="X9" s="6342"/>
      <c r="Y9" s="6342"/>
      <c r="Z9" s="6342"/>
      <c r="AA9" s="6342"/>
      <c r="AB9" s="6342"/>
      <c r="AC9" s="6342"/>
      <c r="AD9" s="6342"/>
      <c r="AE9" s="6342"/>
      <c r="AF9" s="6342"/>
      <c r="AG9" s="6342"/>
      <c r="AH9" s="6342"/>
      <c r="AI9" s="6342"/>
      <c r="AJ9" s="6342"/>
      <c r="AK9" s="562"/>
      <c r="AL9" s="136"/>
      <c r="AM9" s="107"/>
      <c r="AN9" s="136"/>
      <c r="AO9" s="136"/>
      <c r="AP9" s="2584"/>
      <c r="AQ9" s="2584"/>
      <c r="AR9" s="2584"/>
      <c r="AS9" s="2584"/>
      <c r="AT9" s="2584"/>
      <c r="AU9" s="2584"/>
      <c r="AV9" s="5464"/>
      <c r="AW9" s="5464"/>
      <c r="AX9" s="5464"/>
      <c r="AY9" s="5464"/>
      <c r="AZ9" s="5464"/>
      <c r="BA9" s="5464"/>
      <c r="BB9" s="5464"/>
      <c r="BC9" s="5464"/>
      <c r="BD9" s="5464"/>
      <c r="BE9" s="5464"/>
      <c r="BF9" s="5464"/>
      <c r="BG9" s="5464"/>
      <c r="BH9" s="5464"/>
      <c r="BI9" s="5464"/>
      <c r="BJ9" s="5464"/>
      <c r="BK9" s="5464"/>
      <c r="BL9" s="5464"/>
      <c r="BM9" s="5464"/>
      <c r="BN9" s="5464"/>
      <c r="BO9" s="5464"/>
      <c r="BP9" s="5464"/>
      <c r="BQ9" s="5464"/>
      <c r="BR9" s="5464"/>
      <c r="BS9" s="5464"/>
      <c r="BT9" s="5464"/>
      <c r="BU9" s="5464"/>
      <c r="BV9" s="5464"/>
      <c r="BW9" s="5464"/>
      <c r="BX9" s="5464"/>
      <c r="BY9" s="5464"/>
      <c r="BZ9" s="5464"/>
      <c r="CA9" s="5464"/>
      <c r="CB9" s="6459" t="s">
        <v>573</v>
      </c>
      <c r="CC9" s="6459"/>
      <c r="CD9" s="6459"/>
      <c r="CE9" s="6459"/>
      <c r="CF9" s="6459"/>
      <c r="CG9" s="6459"/>
      <c r="CH9" s="6459"/>
      <c r="CI9" s="6459"/>
      <c r="CJ9" s="6459"/>
      <c r="CK9" s="6459"/>
      <c r="CL9" s="6459"/>
      <c r="CM9" s="6459"/>
      <c r="CN9" s="6459"/>
      <c r="CO9" s="6459"/>
      <c r="CP9" s="6459"/>
      <c r="CQ9" s="6459"/>
      <c r="CR9" s="6459"/>
      <c r="CS9" s="6459"/>
      <c r="CT9" s="6459"/>
      <c r="CU9" s="6459"/>
      <c r="CV9" s="6459"/>
      <c r="CW9" s="5464"/>
      <c r="CX9" s="5464"/>
      <c r="CY9" s="5464"/>
      <c r="CZ9" s="5464"/>
      <c r="DA9" s="5464"/>
      <c r="DB9" s="5464"/>
      <c r="DC9" s="5464"/>
      <c r="DD9" s="5464"/>
      <c r="DE9" s="5464"/>
      <c r="DF9" s="5464"/>
      <c r="DG9" s="5464"/>
      <c r="DH9" s="5464"/>
      <c r="DI9" s="5464"/>
      <c r="DJ9" s="5464"/>
      <c r="DK9" s="5464"/>
      <c r="DL9" s="5464"/>
      <c r="DM9" s="5464"/>
      <c r="DN9" s="5464"/>
      <c r="DO9" s="5464"/>
      <c r="DP9" s="5464"/>
      <c r="DQ9" s="5464"/>
      <c r="DR9" s="5464"/>
      <c r="DS9" s="2584"/>
      <c r="DT9" s="2584"/>
      <c r="DU9" s="2617"/>
      <c r="DV9" s="2617"/>
      <c r="DW9" s="136"/>
    </row>
    <row r="10" spans="1:147" ht="15" customHeight="1" thickBot="1" x14ac:dyDescent="0.25">
      <c r="E10" s="115" t="s">
        <v>206</v>
      </c>
      <c r="F10" s="2079">
        <f>IF(Prosjektinfo!$Q$77="",1,Prosjektinfo!$Q$77)</f>
        <v>1</v>
      </c>
      <c r="I10" s="78"/>
      <c r="J10" s="3910"/>
      <c r="K10" s="78"/>
      <c r="L10" s="563"/>
      <c r="M10" s="564"/>
      <c r="N10" s="564"/>
      <c r="O10" s="565"/>
      <c r="P10" s="565"/>
      <c r="Q10" s="566"/>
      <c r="R10" s="567"/>
      <c r="S10" s="567"/>
      <c r="T10" s="567"/>
      <c r="U10" s="567"/>
      <c r="V10" s="567"/>
      <c r="W10" s="567"/>
      <c r="X10" s="566"/>
      <c r="Y10" s="566"/>
      <c r="Z10" s="567"/>
      <c r="AA10" s="568"/>
      <c r="AB10" s="568"/>
      <c r="AC10" s="568"/>
      <c r="AD10" s="567"/>
      <c r="AE10" s="567"/>
      <c r="AF10" s="567"/>
      <c r="AG10" s="567"/>
      <c r="AH10" s="569"/>
      <c r="AI10" s="569"/>
      <c r="AJ10" s="1962"/>
      <c r="AK10" s="570"/>
      <c r="AL10" s="78"/>
      <c r="AM10" s="107"/>
      <c r="AN10" s="78"/>
      <c r="AO10" s="78"/>
      <c r="AP10" s="5462"/>
      <c r="AQ10" s="5462"/>
      <c r="AR10" s="5462"/>
      <c r="AS10" s="5462"/>
      <c r="AT10" s="5462"/>
      <c r="AU10" s="5462"/>
      <c r="AV10" s="5462"/>
      <c r="AW10" s="5462"/>
      <c r="AX10" s="5462"/>
      <c r="AY10" s="5462"/>
      <c r="AZ10" s="5462"/>
      <c r="BA10" s="5462"/>
      <c r="BB10" s="5462"/>
      <c r="BC10" s="5462"/>
      <c r="BD10" s="5462"/>
      <c r="BE10" s="5462"/>
      <c r="BF10" s="5462"/>
      <c r="BG10" s="5462"/>
      <c r="BH10" s="5462"/>
      <c r="BI10" s="5462"/>
      <c r="BJ10" s="5462"/>
      <c r="BK10" s="5462"/>
      <c r="BL10" s="5465"/>
      <c r="BM10" s="5462"/>
      <c r="BN10" s="5462"/>
      <c r="BO10" s="5462"/>
      <c r="BP10" s="5462"/>
      <c r="BQ10" s="5462"/>
      <c r="BR10" s="5462"/>
      <c r="BS10" s="5462"/>
      <c r="BT10" s="5462"/>
      <c r="BU10" s="5462"/>
      <c r="BV10" s="5462"/>
      <c r="BW10" s="5462"/>
      <c r="BX10" s="2582"/>
      <c r="BY10" s="2582"/>
      <c r="BZ10" s="5462"/>
      <c r="CA10" s="5462"/>
      <c r="CB10" s="6459"/>
      <c r="CC10" s="6459"/>
      <c r="CD10" s="6459"/>
      <c r="CE10" s="6459"/>
      <c r="CF10" s="6459"/>
      <c r="CG10" s="6459"/>
      <c r="CH10" s="6459"/>
      <c r="CI10" s="6459"/>
      <c r="CJ10" s="6459"/>
      <c r="CK10" s="6459"/>
      <c r="CL10" s="6459"/>
      <c r="CM10" s="6459"/>
      <c r="CN10" s="6459"/>
      <c r="CO10" s="6459"/>
      <c r="CP10" s="6459"/>
      <c r="CQ10" s="6459"/>
      <c r="CR10" s="6459"/>
      <c r="CS10" s="6459"/>
      <c r="CT10" s="6459"/>
      <c r="CU10" s="6459"/>
      <c r="CV10" s="6459"/>
      <c r="CW10" s="5462"/>
      <c r="CX10" s="5462"/>
      <c r="CY10" s="5462"/>
      <c r="CZ10" s="2582"/>
      <c r="DA10" s="5462"/>
      <c r="DB10" s="5462"/>
      <c r="DC10" s="5462"/>
      <c r="DD10" s="5462"/>
      <c r="DE10" s="5462"/>
      <c r="DF10" s="5462"/>
      <c r="DG10" s="5463"/>
      <c r="DH10" s="5462"/>
      <c r="DI10" s="5462"/>
      <c r="DJ10" s="5462"/>
      <c r="DK10" s="5462"/>
      <c r="DL10" s="5462"/>
      <c r="DM10" s="5462"/>
      <c r="DN10" s="5462"/>
      <c r="DO10" s="5462"/>
      <c r="DP10" s="5462"/>
      <c r="DQ10" s="5462"/>
      <c r="DR10" s="5462"/>
      <c r="DS10" s="5462"/>
      <c r="DT10" s="5462"/>
      <c r="DU10" s="2617"/>
      <c r="DV10" s="2617"/>
      <c r="DW10" s="78"/>
    </row>
    <row r="11" spans="1:147" s="21" customFormat="1" ht="15" customHeight="1" thickBot="1" x14ac:dyDescent="0.25">
      <c r="A11" s="20"/>
      <c r="B11" s="20"/>
      <c r="C11" s="20"/>
      <c r="E11" s="13"/>
      <c r="F11" s="20"/>
      <c r="G11" s="136"/>
      <c r="H11" s="136"/>
      <c r="I11" s="136"/>
      <c r="J11" s="1357"/>
      <c r="K11" s="16"/>
      <c r="L11" s="16"/>
      <c r="M11" s="16"/>
      <c r="N11" s="137"/>
      <c r="O11" s="215"/>
      <c r="P11" s="16"/>
      <c r="Q11" s="16"/>
      <c r="R11" s="16"/>
      <c r="S11" s="16"/>
      <c r="T11" s="16"/>
      <c r="V11" s="16"/>
      <c r="W11" s="16"/>
      <c r="X11" s="18"/>
      <c r="Y11" s="18"/>
      <c r="Z11" s="16"/>
      <c r="AA11" s="19"/>
      <c r="AB11" s="19"/>
      <c r="AC11" s="50"/>
      <c r="AE11" s="16"/>
      <c r="AF11" s="16"/>
      <c r="AG11" s="22"/>
      <c r="AH11" s="16"/>
      <c r="AI11" s="19"/>
      <c r="AJ11" s="19"/>
      <c r="AK11" s="50"/>
      <c r="AM11" s="16"/>
      <c r="AN11" s="16"/>
      <c r="AO11" s="22"/>
      <c r="AP11" s="17"/>
      <c r="AQ11" s="17"/>
      <c r="AR11" s="17"/>
      <c r="AS11" s="17"/>
      <c r="AT11" s="136"/>
      <c r="AU11" s="136"/>
      <c r="AV11" s="136"/>
      <c r="AW11" s="136"/>
      <c r="AX11" s="136"/>
      <c r="AY11" s="136"/>
      <c r="AZ11" s="136"/>
      <c r="BA11" s="136"/>
      <c r="BB11" s="136"/>
      <c r="BC11" s="136"/>
      <c r="BD11" s="136"/>
      <c r="BE11" s="136"/>
      <c r="BF11" s="136"/>
      <c r="BG11" s="136"/>
      <c r="BH11" s="136"/>
      <c r="BI11" s="1892"/>
      <c r="BJ11" s="1892"/>
      <c r="BK11" s="78"/>
      <c r="BL11" s="2090"/>
      <c r="BM11" s="4052"/>
      <c r="BN11" s="78"/>
      <c r="BO11" s="78"/>
      <c r="BP11" s="78"/>
      <c r="BQ11" s="16"/>
      <c r="BR11" s="138"/>
      <c r="BS11" s="138"/>
      <c r="BT11" s="137"/>
      <c r="BU11" s="136"/>
      <c r="BV11" s="16"/>
      <c r="BW11" s="16"/>
      <c r="BX11" s="36"/>
      <c r="BY11" s="36"/>
      <c r="BZ11" s="16"/>
      <c r="CA11" s="138"/>
      <c r="CB11" s="138"/>
      <c r="CC11" s="137"/>
      <c r="CD11" s="136"/>
      <c r="CE11" s="16"/>
      <c r="CF11" s="16"/>
      <c r="CG11" s="36"/>
      <c r="CH11" s="16"/>
      <c r="CI11" s="138"/>
      <c r="CJ11" s="138"/>
      <c r="CK11" s="137"/>
      <c r="CL11" s="136"/>
      <c r="CM11" s="16"/>
      <c r="CN11" s="16"/>
      <c r="CO11" s="36"/>
      <c r="CP11" s="16"/>
      <c r="CQ11" s="138"/>
      <c r="CR11" s="138"/>
      <c r="CS11" s="137"/>
      <c r="CT11" s="136"/>
      <c r="CU11" s="138"/>
      <c r="CV11" s="136"/>
      <c r="CW11" s="136"/>
      <c r="CX11" s="136"/>
      <c r="CY11" s="136"/>
      <c r="CZ11" s="20"/>
      <c r="DA11" s="136"/>
      <c r="DB11" s="136"/>
      <c r="DC11" s="136"/>
      <c r="DD11" s="136"/>
      <c r="DE11" s="136"/>
      <c r="DF11" s="136"/>
      <c r="DG11" s="136"/>
      <c r="DH11" s="136"/>
      <c r="DI11" s="136"/>
      <c r="DJ11" s="136"/>
      <c r="DK11" s="136"/>
      <c r="DL11" s="136"/>
      <c r="DM11" s="136"/>
      <c r="DN11" s="136"/>
      <c r="DO11" s="136"/>
      <c r="DP11" s="136"/>
      <c r="DQ11" s="136"/>
      <c r="DR11" s="136"/>
      <c r="DS11" s="136"/>
      <c r="DT11" s="136"/>
      <c r="DU11" s="2617"/>
      <c r="DV11" s="2617"/>
      <c r="DW11" s="136"/>
      <c r="EH11" s="70"/>
      <c r="EI11" s="70"/>
      <c r="EJ11" s="70"/>
      <c r="EK11" s="70"/>
      <c r="EL11" s="70"/>
      <c r="EM11" s="70"/>
      <c r="EN11" s="70"/>
      <c r="EO11" s="70"/>
      <c r="EP11" s="70"/>
      <c r="EQ11" s="70"/>
    </row>
    <row r="12" spans="1:147" s="21" customFormat="1" ht="4.5" customHeight="1" x14ac:dyDescent="0.2">
      <c r="A12" s="20"/>
      <c r="B12" s="20"/>
      <c r="C12" s="20"/>
      <c r="E12" s="13"/>
      <c r="J12" s="1357"/>
      <c r="L12" s="751"/>
      <c r="M12" s="113"/>
      <c r="N12" s="113"/>
      <c r="O12" s="113"/>
      <c r="P12" s="113"/>
      <c r="Q12" s="834"/>
      <c r="R12" s="834"/>
      <c r="S12" s="834"/>
      <c r="T12" s="6316"/>
      <c r="U12" s="113"/>
      <c r="V12" s="834"/>
      <c r="W12" s="834"/>
      <c r="X12" s="2013"/>
      <c r="Y12" s="2013"/>
      <c r="Z12" s="834"/>
      <c r="AA12" s="1535"/>
      <c r="AB12" s="1535"/>
      <c r="AC12" s="1536"/>
      <c r="AD12" s="113"/>
      <c r="AE12" s="834"/>
      <c r="AF12" s="834"/>
      <c r="AG12" s="32"/>
      <c r="AH12" s="834"/>
      <c r="AI12" s="1535"/>
      <c r="AJ12" s="1535"/>
      <c r="AK12" s="1536"/>
      <c r="AM12" s="1535"/>
      <c r="AN12" s="16"/>
      <c r="AO12" s="22"/>
      <c r="AP12" s="17"/>
      <c r="AQ12" s="17"/>
      <c r="AR12" s="17"/>
      <c r="AS12" s="17"/>
      <c r="AT12" s="136"/>
      <c r="BI12" s="1892"/>
      <c r="BJ12" s="1892"/>
      <c r="BK12" s="138"/>
      <c r="BL12" s="2090"/>
      <c r="BM12" s="136"/>
      <c r="BN12" s="16"/>
      <c r="BO12" s="16"/>
      <c r="BP12" s="36"/>
      <c r="BQ12" s="16"/>
      <c r="BR12" s="138"/>
      <c r="BS12" s="138"/>
      <c r="BT12" s="137"/>
      <c r="BU12" s="136"/>
      <c r="BV12" s="16"/>
      <c r="BW12" s="16"/>
      <c r="BX12" s="36"/>
      <c r="BY12" s="36"/>
      <c r="BZ12" s="16"/>
      <c r="CA12" s="138"/>
      <c r="CB12" s="3824"/>
      <c r="CC12" s="3825"/>
      <c r="CD12" s="4053"/>
      <c r="CE12" s="3826"/>
      <c r="CF12" s="3826"/>
      <c r="CG12" s="3827"/>
      <c r="CH12" s="3826"/>
      <c r="CI12" s="3828"/>
      <c r="CJ12" s="3828"/>
      <c r="CK12" s="3825"/>
      <c r="CL12" s="4053"/>
      <c r="CM12" s="3826"/>
      <c r="CN12" s="3826"/>
      <c r="CO12" s="3827"/>
      <c r="CP12" s="3826"/>
      <c r="CQ12" s="3828"/>
      <c r="CR12" s="3828"/>
      <c r="CS12" s="3825"/>
      <c r="CT12" s="4053"/>
      <c r="CU12" s="3828"/>
      <c r="CV12" s="4054"/>
      <c r="CW12" s="136"/>
      <c r="CX12" s="136"/>
      <c r="CY12" s="136"/>
      <c r="CZ12" s="20"/>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EH12" s="70"/>
      <c r="EI12" s="70"/>
      <c r="EJ12" s="70"/>
      <c r="EK12" s="70"/>
      <c r="EL12" s="70"/>
      <c r="EM12" s="70"/>
      <c r="EN12" s="70"/>
      <c r="EO12" s="70"/>
      <c r="EP12" s="70"/>
      <c r="EQ12" s="70"/>
    </row>
    <row r="13" spans="1:147" s="21" customFormat="1" ht="20.100000000000001" customHeight="1" x14ac:dyDescent="0.2">
      <c r="A13" s="20"/>
      <c r="B13" s="20"/>
      <c r="C13" s="20"/>
      <c r="E13" s="115" t="s">
        <v>220</v>
      </c>
      <c r="F13" s="2079">
        <f>IF($AD$25=1,1,IF($AD$39=_List!$AY$7,1,IF($AD$39=_List!$AY$8,2,IF(AND(F22=3,AD39=_List!AY9),3,1))))</f>
        <v>1</v>
      </c>
      <c r="J13" s="1357"/>
      <c r="L13" s="751"/>
      <c r="M13" s="1532"/>
      <c r="N13" s="1532"/>
      <c r="O13" s="1532"/>
      <c r="P13" s="1532"/>
      <c r="Q13" s="1532"/>
      <c r="R13" s="1532"/>
      <c r="S13" s="1532"/>
      <c r="T13" s="1980"/>
      <c r="U13" s="113"/>
      <c r="V13" s="834"/>
      <c r="W13" s="834"/>
      <c r="X13" s="2013"/>
      <c r="Y13" s="2013"/>
      <c r="Z13" s="834"/>
      <c r="AA13" s="1535"/>
      <c r="AB13" s="1535"/>
      <c r="AC13" s="1536"/>
      <c r="AD13" s="113"/>
      <c r="AE13" s="834"/>
      <c r="AF13" s="834"/>
      <c r="AG13" s="32"/>
      <c r="AH13" s="834"/>
      <c r="AI13" s="1535"/>
      <c r="AJ13" s="1535"/>
      <c r="AK13" s="1536"/>
      <c r="AM13" s="1535"/>
      <c r="AN13" s="16"/>
      <c r="AO13" s="22"/>
      <c r="BI13" s="16"/>
      <c r="BJ13" s="138"/>
      <c r="BK13" s="138"/>
      <c r="BL13" s="137"/>
      <c r="BM13" s="136"/>
      <c r="BN13" s="16"/>
      <c r="BO13" s="16"/>
      <c r="BP13" s="36"/>
      <c r="BQ13" s="16"/>
      <c r="BR13" s="138"/>
      <c r="BS13" s="138"/>
      <c r="BT13" s="137"/>
      <c r="BU13" s="136"/>
      <c r="BV13" s="16"/>
      <c r="BW13" s="16"/>
      <c r="BX13" s="2617"/>
      <c r="BY13" s="2617"/>
      <c r="BZ13" s="16"/>
      <c r="CB13" s="6461" t="str">
        <f>Prosjektinfo!$F$27&amp;":"</f>
        <v>Prosjektnavn:</v>
      </c>
      <c r="CC13" s="6462"/>
      <c r="CD13" s="6462"/>
      <c r="CE13" s="6462"/>
      <c r="CF13" s="6462"/>
      <c r="CG13" s="6462"/>
      <c r="CH13" s="6462"/>
      <c r="CI13" s="6462"/>
      <c r="CJ13" s="6462"/>
      <c r="CK13" s="6462"/>
      <c r="CL13" s="6462"/>
      <c r="CM13" s="6462"/>
      <c r="CN13" s="6462"/>
      <c r="CO13" s="6462"/>
      <c r="CP13" s="6462"/>
      <c r="CQ13" s="6462"/>
      <c r="CR13" s="6462"/>
      <c r="CS13" s="6462"/>
      <c r="CT13" s="6462"/>
      <c r="CU13" s="6462"/>
      <c r="CV13" s="6463"/>
      <c r="CW13" s="136"/>
      <c r="CX13" s="136"/>
      <c r="CY13" s="136"/>
      <c r="CZ13" s="20"/>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EH13" s="70"/>
      <c r="EI13" s="70"/>
      <c r="EJ13" s="70"/>
      <c r="EK13" s="70"/>
      <c r="EL13" s="70"/>
      <c r="EM13" s="70"/>
      <c r="EN13" s="70"/>
      <c r="EO13" s="70"/>
      <c r="EP13" s="70"/>
      <c r="EQ13" s="70"/>
    </row>
    <row r="14" spans="1:147" s="21" customFormat="1" ht="4.5" customHeight="1" thickBot="1" x14ac:dyDescent="0.25">
      <c r="A14" s="20"/>
      <c r="B14" s="20"/>
      <c r="C14" s="20"/>
      <c r="E14" s="13"/>
      <c r="J14" s="1358"/>
      <c r="L14" s="113"/>
      <c r="M14" s="113"/>
      <c r="N14" s="113"/>
      <c r="O14" s="113"/>
      <c r="P14" s="113"/>
      <c r="Q14" s="113"/>
      <c r="R14" s="113"/>
      <c r="S14" s="834"/>
      <c r="T14" s="6316"/>
      <c r="U14" s="113"/>
      <c r="V14" s="834"/>
      <c r="W14" s="834"/>
      <c r="X14" s="2013"/>
      <c r="Y14" s="2013"/>
      <c r="Z14" s="834"/>
      <c r="AA14" s="1535"/>
      <c r="AB14" s="1535"/>
      <c r="AC14" s="1536"/>
      <c r="AD14" s="113"/>
      <c r="AE14" s="834"/>
      <c r="AF14" s="834"/>
      <c r="AG14" s="32"/>
      <c r="AH14" s="834"/>
      <c r="AI14" s="1535"/>
      <c r="AJ14" s="1535"/>
      <c r="AK14" s="1536"/>
      <c r="AM14" s="1535"/>
      <c r="AN14" s="16"/>
      <c r="AO14" s="22"/>
      <c r="AS14" s="1893"/>
      <c r="AT14" s="136"/>
      <c r="BI14" s="16"/>
      <c r="BJ14" s="138"/>
      <c r="BK14" s="138"/>
      <c r="BL14" s="137"/>
      <c r="BM14" s="136"/>
      <c r="BN14" s="16"/>
      <c r="BO14" s="16"/>
      <c r="BP14" s="36"/>
      <c r="BQ14" s="16"/>
      <c r="BR14" s="138"/>
      <c r="BS14" s="138"/>
      <c r="BT14" s="137"/>
      <c r="BU14" s="136"/>
      <c r="BV14" s="16"/>
      <c r="BW14" s="16"/>
      <c r="BX14" s="2617"/>
      <c r="BY14" s="2617"/>
      <c r="BZ14" s="16"/>
      <c r="CA14" s="3491"/>
      <c r="CB14" s="6464" t="str">
        <f>IF(Prosjektinfo!$Q$27="","",Prosjektinfo!$Q$27)</f>
        <v/>
      </c>
      <c r="CC14" s="6465"/>
      <c r="CD14" s="6465"/>
      <c r="CE14" s="6465"/>
      <c r="CF14" s="6465"/>
      <c r="CG14" s="6465"/>
      <c r="CH14" s="6465"/>
      <c r="CI14" s="6465"/>
      <c r="CJ14" s="6465"/>
      <c r="CK14" s="6465"/>
      <c r="CL14" s="6465"/>
      <c r="CM14" s="6465"/>
      <c r="CN14" s="6465"/>
      <c r="CO14" s="6465"/>
      <c r="CP14" s="6465"/>
      <c r="CQ14" s="6465"/>
      <c r="CR14" s="6465"/>
      <c r="CS14" s="6465"/>
      <c r="CT14" s="6465"/>
      <c r="CU14" s="6465"/>
      <c r="CV14" s="6466"/>
      <c r="CW14" s="136"/>
      <c r="CX14" s="136"/>
      <c r="CY14" s="136"/>
      <c r="CZ14" s="20"/>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EH14" s="70"/>
      <c r="EI14" s="70"/>
      <c r="EJ14" s="70"/>
      <c r="EK14" s="70"/>
      <c r="EL14" s="70"/>
      <c r="EM14" s="70"/>
      <c r="EN14" s="70"/>
      <c r="EO14" s="70"/>
      <c r="EP14" s="70"/>
      <c r="EQ14" s="70"/>
    </row>
    <row r="15" spans="1:147" s="21" customFormat="1" ht="14.1" customHeight="1" x14ac:dyDescent="0.2">
      <c r="A15" s="20"/>
      <c r="B15" s="20"/>
      <c r="C15" s="20"/>
      <c r="E15" s="13"/>
      <c r="J15" s="136"/>
      <c r="L15" s="136"/>
      <c r="M15" s="136"/>
      <c r="N15" s="136"/>
      <c r="O15" s="136"/>
      <c r="P15" s="136"/>
      <c r="Q15" s="136"/>
      <c r="R15" s="136"/>
      <c r="S15" s="16"/>
      <c r="T15" s="1960"/>
      <c r="U15" s="136"/>
      <c r="V15" s="16"/>
      <c r="W15" s="16"/>
      <c r="X15" s="572"/>
      <c r="Y15" s="572"/>
      <c r="Z15" s="16"/>
      <c r="AA15" s="138"/>
      <c r="AB15" s="138"/>
      <c r="AC15" s="137"/>
      <c r="AD15" s="136"/>
      <c r="AE15" s="16"/>
      <c r="AF15" s="16"/>
      <c r="AG15" s="36"/>
      <c r="AH15" s="16"/>
      <c r="AI15" s="138"/>
      <c r="AJ15" s="138"/>
      <c r="AK15" s="137"/>
      <c r="AM15" s="138"/>
      <c r="AN15" s="16"/>
      <c r="AO15" s="22"/>
      <c r="AP15" s="1893"/>
      <c r="AQ15" s="1893"/>
      <c r="AR15" s="1893"/>
      <c r="AS15" s="1893"/>
      <c r="AT15" s="136"/>
      <c r="BI15" s="16"/>
      <c r="BJ15" s="138"/>
      <c r="BK15" s="138"/>
      <c r="BL15" s="137"/>
      <c r="BM15" s="136"/>
      <c r="BN15" s="16"/>
      <c r="BO15" s="16"/>
      <c r="BP15" s="36"/>
      <c r="BQ15" s="16"/>
      <c r="BR15" s="138"/>
      <c r="BS15" s="138"/>
      <c r="BT15" s="137"/>
      <c r="BU15" s="136"/>
      <c r="BV15" s="16"/>
      <c r="BW15" s="16"/>
      <c r="BX15" s="2617"/>
      <c r="BY15" s="2617"/>
      <c r="BZ15" s="16"/>
      <c r="CA15" s="3491"/>
      <c r="CB15" s="6464"/>
      <c r="CC15" s="6465"/>
      <c r="CD15" s="6465"/>
      <c r="CE15" s="6465"/>
      <c r="CF15" s="6465"/>
      <c r="CG15" s="6465"/>
      <c r="CH15" s="6465"/>
      <c r="CI15" s="6465"/>
      <c r="CJ15" s="6465"/>
      <c r="CK15" s="6465"/>
      <c r="CL15" s="6465"/>
      <c r="CM15" s="6465"/>
      <c r="CN15" s="6465"/>
      <c r="CO15" s="6465"/>
      <c r="CP15" s="6465"/>
      <c r="CQ15" s="6465"/>
      <c r="CR15" s="6465"/>
      <c r="CS15" s="6465"/>
      <c r="CT15" s="6465"/>
      <c r="CU15" s="6465"/>
      <c r="CV15" s="6466"/>
      <c r="CW15" s="136"/>
      <c r="CX15" s="136"/>
      <c r="CY15" s="136"/>
      <c r="CZ15" s="20"/>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EH15" s="70"/>
      <c r="EI15" s="70"/>
      <c r="EJ15" s="70"/>
      <c r="EK15" s="70"/>
      <c r="EL15" s="70"/>
      <c r="EM15" s="70"/>
      <c r="EN15" s="70"/>
      <c r="EO15" s="70"/>
      <c r="EP15" s="70"/>
      <c r="EQ15" s="70"/>
    </row>
    <row r="16" spans="1:147" ht="5.0999999999999996" customHeight="1" thickBot="1" x14ac:dyDescent="0.25">
      <c r="J16" s="13"/>
      <c r="L16" s="14"/>
      <c r="M16" s="21"/>
      <c r="N16" s="21"/>
      <c r="O16" s="16"/>
      <c r="P16" s="16"/>
      <c r="Q16" s="18"/>
      <c r="R16" s="22"/>
      <c r="S16" s="22"/>
      <c r="T16" s="22"/>
      <c r="U16" s="22"/>
      <c r="V16" s="22"/>
      <c r="W16" s="22"/>
      <c r="X16" s="18"/>
      <c r="Y16" s="18"/>
      <c r="Z16" s="22"/>
      <c r="AA16" s="191"/>
      <c r="AB16" s="191"/>
      <c r="AC16" s="191"/>
      <c r="AD16" s="22"/>
      <c r="AE16" s="22"/>
      <c r="AF16" s="22"/>
      <c r="AG16" s="22"/>
      <c r="AH16" s="50"/>
      <c r="AI16" s="50"/>
      <c r="AJ16" s="1963"/>
      <c r="AK16" s="50"/>
      <c r="AM16" s="16"/>
      <c r="BI16" s="78"/>
      <c r="BJ16" s="78"/>
      <c r="BK16" s="78"/>
      <c r="BL16" s="78"/>
      <c r="BM16" s="78"/>
      <c r="BN16" s="78"/>
      <c r="BO16" s="78"/>
      <c r="BP16" s="78"/>
      <c r="BQ16" s="78"/>
      <c r="BR16" s="78"/>
      <c r="BS16" s="78"/>
      <c r="BT16" s="78"/>
      <c r="BU16" s="78"/>
      <c r="BV16" s="78"/>
      <c r="BW16" s="78"/>
      <c r="BX16" s="2617"/>
      <c r="BY16" s="2617"/>
      <c r="BZ16" s="78"/>
      <c r="CB16" s="3830"/>
      <c r="CC16" s="3818"/>
      <c r="CD16" s="3818"/>
      <c r="CE16" s="3818"/>
      <c r="CF16" s="3818"/>
      <c r="CG16" s="3818"/>
      <c r="CH16" s="3818"/>
      <c r="CI16" s="3818"/>
      <c r="CJ16" s="3818"/>
      <c r="CK16" s="3818"/>
      <c r="CL16" s="3818"/>
      <c r="CM16" s="3818"/>
      <c r="CN16" s="3818"/>
      <c r="CO16" s="3818"/>
      <c r="CP16" s="3818"/>
      <c r="CQ16" s="3818"/>
      <c r="CR16" s="3818"/>
      <c r="CS16" s="3818"/>
      <c r="CT16" s="3818"/>
      <c r="CU16" s="3818"/>
      <c r="CV16" s="3831"/>
      <c r="CW16" s="78"/>
      <c r="CX16" s="78"/>
      <c r="CY16" s="78"/>
      <c r="CZ16" s="16"/>
      <c r="DA16" s="78"/>
      <c r="DB16" s="78"/>
      <c r="DC16" s="78"/>
      <c r="DD16" s="78"/>
      <c r="DE16" s="78"/>
      <c r="DF16" s="78"/>
      <c r="DG16" s="2082"/>
      <c r="DH16" s="78"/>
      <c r="DI16" s="78"/>
      <c r="DJ16" s="78"/>
      <c r="DK16" s="78"/>
      <c r="DL16" s="78"/>
      <c r="DM16" s="78"/>
      <c r="DN16" s="78"/>
      <c r="DO16" s="78"/>
      <c r="DP16" s="78"/>
      <c r="DQ16" s="78"/>
      <c r="DR16" s="78"/>
      <c r="DS16" s="78"/>
      <c r="DT16" s="78"/>
      <c r="DU16" s="78"/>
      <c r="DV16" s="78"/>
      <c r="DW16" s="78"/>
    </row>
    <row r="17" spans="1:127" ht="9" customHeight="1" thickBot="1" x14ac:dyDescent="0.25">
      <c r="F17" s="2079"/>
      <c r="J17" s="13"/>
      <c r="L17" s="14"/>
      <c r="M17" s="21"/>
      <c r="N17" s="21"/>
      <c r="O17" s="16"/>
      <c r="P17" s="16"/>
      <c r="Q17" s="18"/>
      <c r="R17" s="22"/>
      <c r="S17" s="22"/>
      <c r="T17" s="22"/>
      <c r="U17" s="22"/>
      <c r="V17" s="22"/>
      <c r="W17" s="22"/>
      <c r="X17" s="18"/>
      <c r="Y17" s="18"/>
      <c r="Z17" s="22"/>
      <c r="AA17" s="191"/>
      <c r="AB17" s="191"/>
      <c r="AC17" s="191"/>
      <c r="AD17" s="22"/>
      <c r="AE17" s="22"/>
      <c r="AF17" s="22"/>
      <c r="AG17" s="22"/>
      <c r="AH17" s="50"/>
      <c r="AI17" s="50"/>
      <c r="AJ17" s="1963"/>
      <c r="AK17" s="50"/>
      <c r="AM17" s="16"/>
      <c r="BI17" s="78"/>
      <c r="BJ17" s="78"/>
      <c r="BK17" s="78"/>
      <c r="BL17" s="78"/>
      <c r="BM17" s="78"/>
      <c r="BN17" s="78"/>
      <c r="BO17" s="78"/>
      <c r="BP17" s="78"/>
      <c r="BQ17" s="78"/>
      <c r="BR17" s="78"/>
      <c r="BS17" s="78"/>
      <c r="BT17" s="78"/>
      <c r="BU17" s="78"/>
      <c r="BV17" s="78"/>
      <c r="BW17" s="78"/>
      <c r="BX17" s="2617"/>
      <c r="BY17" s="2617"/>
      <c r="BZ17" s="78"/>
      <c r="CB17" s="78"/>
      <c r="CC17" s="3829"/>
      <c r="CD17" s="3829"/>
      <c r="CE17" s="3829"/>
      <c r="CF17" s="3829"/>
      <c r="CG17" s="3829"/>
      <c r="CH17" s="3829"/>
      <c r="CI17" s="3829"/>
      <c r="CJ17" s="3829"/>
      <c r="CK17" s="3829"/>
      <c r="CL17" s="3829"/>
      <c r="CM17" s="3829"/>
      <c r="CN17" s="3829"/>
      <c r="CO17" s="3829"/>
      <c r="CP17" s="3829"/>
      <c r="CQ17" s="3829"/>
      <c r="CR17" s="3829"/>
      <c r="CS17" s="3829"/>
      <c r="CT17" s="3829"/>
      <c r="CU17" s="3829"/>
      <c r="CV17" s="3829"/>
      <c r="CW17" s="78"/>
      <c r="CX17" s="78"/>
      <c r="CY17" s="78"/>
      <c r="CZ17" s="16"/>
      <c r="DA17" s="78"/>
      <c r="DB17" s="78"/>
      <c r="DC17" s="78"/>
      <c r="DD17" s="78"/>
      <c r="DE17" s="78"/>
      <c r="DF17" s="78"/>
      <c r="DG17" s="2082"/>
      <c r="DH17" s="78"/>
      <c r="DI17" s="78"/>
      <c r="DJ17" s="78"/>
      <c r="DK17" s="78"/>
      <c r="DL17" s="78"/>
      <c r="DM17" s="78"/>
      <c r="DN17" s="78"/>
      <c r="DO17" s="78"/>
      <c r="DP17" s="78"/>
      <c r="DQ17" s="78"/>
      <c r="DR17" s="78"/>
      <c r="DS17" s="78"/>
      <c r="DT17" s="78"/>
      <c r="DU17" s="78"/>
      <c r="DV17" s="78"/>
      <c r="DW17" s="78"/>
    </row>
    <row r="18" spans="1:127" ht="9.9499999999999993" customHeight="1" x14ac:dyDescent="0.2">
      <c r="A18" s="78"/>
      <c r="B18" s="78"/>
      <c r="C18" s="78"/>
      <c r="D18" s="78"/>
      <c r="E18" s="215" t="s">
        <v>215</v>
      </c>
      <c r="F18" s="2091">
        <f>IF(OR(AND($AD$25=2,$AD$31=""),AND($AD$25=2,ISODD($AD$31))),2,IF(OR(AND($AD$25=1,$AD$31&gt;4),AND(AND($AD$25=1,$AD$31=""))),1,$AD$31))</f>
        <v>1</v>
      </c>
      <c r="G18" s="78"/>
      <c r="H18" s="78"/>
      <c r="I18" s="78"/>
      <c r="J18" s="6493"/>
      <c r="K18" s="78"/>
      <c r="L18" s="1678"/>
      <c r="M18" s="6495"/>
      <c r="N18" s="3916"/>
      <c r="O18" s="3916"/>
      <c r="P18" s="3916"/>
      <c r="Q18" s="3821"/>
      <c r="R18" s="3821"/>
      <c r="S18" s="3821"/>
      <c r="T18" s="6495" t="s">
        <v>131</v>
      </c>
      <c r="U18" s="3916"/>
      <c r="V18" s="6495" t="s">
        <v>154</v>
      </c>
      <c r="W18" s="6495"/>
      <c r="X18" s="6527" t="s">
        <v>100</v>
      </c>
      <c r="Y18" s="6527"/>
      <c r="Z18" s="1648"/>
      <c r="AA18" s="78"/>
      <c r="AB18" s="3819"/>
      <c r="AC18" s="630"/>
      <c r="AD18" s="6495" t="s">
        <v>660</v>
      </c>
      <c r="AE18" s="6495"/>
      <c r="AF18" s="6495"/>
      <c r="AG18" s="6495"/>
      <c r="AH18" s="6495"/>
      <c r="AI18" s="630"/>
      <c r="AJ18" s="3820"/>
      <c r="AK18" s="1648"/>
      <c r="AL18" s="78"/>
      <c r="AM18" s="834"/>
      <c r="AN18" s="78"/>
      <c r="AO18" s="78"/>
      <c r="BI18" s="78"/>
      <c r="BJ18" s="78"/>
      <c r="BK18" s="78"/>
      <c r="BL18" s="78"/>
      <c r="BM18" s="78"/>
      <c r="BN18" s="78"/>
      <c r="BO18" s="78"/>
      <c r="BP18" s="78"/>
      <c r="BQ18" s="78"/>
      <c r="BR18" s="78"/>
      <c r="BS18" s="78"/>
      <c r="BT18" s="78"/>
      <c r="BU18" s="78"/>
      <c r="BV18" s="78"/>
      <c r="BW18" s="78"/>
      <c r="BX18" s="2617"/>
      <c r="BY18" s="2617"/>
      <c r="BZ18" s="78"/>
      <c r="CA18" s="3492"/>
      <c r="CB18" s="6449" t="str">
        <f>Prosjektinfo!$F$29&amp;":"</f>
        <v>Tunnelnavn:</v>
      </c>
      <c r="CC18" s="6450"/>
      <c r="CD18" s="6450"/>
      <c r="CE18" s="6450"/>
      <c r="CF18" s="6450"/>
      <c r="CG18" s="6450"/>
      <c r="CH18" s="6450"/>
      <c r="CI18" s="6450"/>
      <c r="CJ18" s="6450"/>
      <c r="CK18" s="6450"/>
      <c r="CL18" s="6450"/>
      <c r="CM18" s="6450"/>
      <c r="CN18" s="6450"/>
      <c r="CO18" s="6450"/>
      <c r="CP18" s="6450"/>
      <c r="CQ18" s="6450"/>
      <c r="CR18" s="6450"/>
      <c r="CS18" s="6450"/>
      <c r="CT18" s="6450"/>
      <c r="CU18" s="6450"/>
      <c r="CV18" s="6451"/>
      <c r="CW18" s="78"/>
      <c r="CX18" s="78"/>
      <c r="CY18" s="78"/>
      <c r="CZ18" s="16"/>
      <c r="DA18" s="78"/>
      <c r="DB18" s="78"/>
      <c r="DC18" s="78"/>
      <c r="DD18" s="78"/>
      <c r="DE18" s="78"/>
      <c r="DF18" s="78"/>
      <c r="DG18" s="2082"/>
      <c r="DH18" s="78"/>
      <c r="DI18" s="78"/>
      <c r="DJ18" s="78"/>
      <c r="DK18" s="78"/>
      <c r="DL18" s="78"/>
      <c r="DM18" s="78"/>
      <c r="DN18" s="78"/>
      <c r="DO18" s="78"/>
      <c r="DP18" s="78"/>
      <c r="DQ18" s="78"/>
      <c r="DR18" s="78"/>
      <c r="DS18" s="78"/>
      <c r="DT18" s="78"/>
      <c r="DU18" s="78"/>
      <c r="DV18" s="78"/>
      <c r="DW18" s="78"/>
    </row>
    <row r="19" spans="1:127" ht="9.9499999999999993" customHeight="1" thickBot="1" x14ac:dyDescent="0.25">
      <c r="F19" s="2079"/>
      <c r="J19" s="6494"/>
      <c r="L19" s="634"/>
      <c r="M19" s="6496"/>
      <c r="N19" s="1557"/>
      <c r="O19" s="3917"/>
      <c r="P19" s="3917"/>
      <c r="Q19" s="2014"/>
      <c r="R19" s="1537"/>
      <c r="S19" s="1537"/>
      <c r="T19" s="6496"/>
      <c r="U19" s="1537"/>
      <c r="V19" s="6496"/>
      <c r="W19" s="6496"/>
      <c r="X19" s="6528"/>
      <c r="Y19" s="6528"/>
      <c r="Z19" s="1651"/>
      <c r="AA19" s="191"/>
      <c r="AB19" s="3822"/>
      <c r="AC19" s="3823"/>
      <c r="AD19" s="6496"/>
      <c r="AE19" s="6496"/>
      <c r="AF19" s="6496"/>
      <c r="AG19" s="6496"/>
      <c r="AH19" s="6496"/>
      <c r="AI19" s="1166"/>
      <c r="AJ19" s="1981"/>
      <c r="AK19" s="1539"/>
      <c r="AM19" s="834"/>
      <c r="BI19" s="78"/>
      <c r="BJ19" s="78"/>
      <c r="BK19" s="78"/>
      <c r="BL19" s="78"/>
      <c r="BM19" s="78"/>
      <c r="BN19" s="78"/>
      <c r="BO19" s="78"/>
      <c r="BP19" s="78"/>
      <c r="BQ19" s="78"/>
      <c r="BR19" s="78"/>
      <c r="BS19" s="78"/>
      <c r="BT19" s="78"/>
      <c r="BU19" s="78"/>
      <c r="BV19" s="78"/>
      <c r="BW19" s="78"/>
      <c r="BX19" s="2617"/>
      <c r="BY19" s="2617"/>
      <c r="BZ19" s="78"/>
      <c r="CB19" s="6452"/>
      <c r="CC19" s="6453"/>
      <c r="CD19" s="6453"/>
      <c r="CE19" s="6453"/>
      <c r="CF19" s="6453"/>
      <c r="CG19" s="6453"/>
      <c r="CH19" s="6453"/>
      <c r="CI19" s="6453"/>
      <c r="CJ19" s="6453"/>
      <c r="CK19" s="6453"/>
      <c r="CL19" s="6453"/>
      <c r="CM19" s="6453"/>
      <c r="CN19" s="6453"/>
      <c r="CO19" s="6453"/>
      <c r="CP19" s="6453"/>
      <c r="CQ19" s="6453"/>
      <c r="CR19" s="6453"/>
      <c r="CS19" s="6453"/>
      <c r="CT19" s="6453"/>
      <c r="CU19" s="6453"/>
      <c r="CV19" s="6454"/>
      <c r="CW19" s="78"/>
      <c r="CX19" s="78"/>
      <c r="CY19" s="78"/>
      <c r="CZ19" s="16"/>
      <c r="DA19" s="78"/>
      <c r="DB19" s="78"/>
      <c r="DC19" s="78"/>
      <c r="DD19" s="78"/>
      <c r="DE19" s="78"/>
      <c r="DF19" s="78"/>
      <c r="DG19" s="2082"/>
      <c r="DH19" s="78"/>
      <c r="DI19" s="78"/>
      <c r="DJ19" s="78"/>
      <c r="DK19" s="78"/>
      <c r="DL19" s="78"/>
      <c r="DM19" s="78"/>
      <c r="DN19" s="78"/>
      <c r="DO19" s="78"/>
      <c r="DP19" s="78"/>
      <c r="DQ19" s="78"/>
      <c r="DR19" s="78"/>
      <c r="DS19" s="78"/>
      <c r="DT19" s="78"/>
      <c r="DU19" s="78"/>
      <c r="DV19" s="78"/>
      <c r="DW19" s="78"/>
    </row>
    <row r="20" spans="1:127" ht="15" customHeight="1" x14ac:dyDescent="0.2">
      <c r="A20" s="78"/>
      <c r="B20" s="78"/>
      <c r="C20" s="78"/>
      <c r="D20" s="78"/>
      <c r="E20" s="215"/>
      <c r="F20" s="2091"/>
      <c r="G20" s="78"/>
      <c r="H20" s="78"/>
      <c r="I20" s="78"/>
      <c r="J20" s="16"/>
      <c r="K20" s="78"/>
      <c r="L20" s="16"/>
      <c r="M20" s="16"/>
      <c r="N20" s="16"/>
      <c r="O20" s="16"/>
      <c r="P20" s="16"/>
      <c r="Q20" s="78"/>
      <c r="R20" s="78"/>
      <c r="S20" s="78"/>
      <c r="T20" s="16"/>
      <c r="U20" s="16"/>
      <c r="V20" s="16"/>
      <c r="W20" s="16"/>
      <c r="X20" s="17"/>
      <c r="Y20" s="17"/>
      <c r="Z20" s="16"/>
      <c r="AA20" s="78"/>
      <c r="AB20" s="136"/>
      <c r="AC20" s="136"/>
      <c r="AD20" s="16"/>
      <c r="AE20" s="16"/>
      <c r="AF20" s="16"/>
      <c r="AG20" s="16"/>
      <c r="AH20" s="16"/>
      <c r="AI20" s="136"/>
      <c r="AJ20" s="1965"/>
      <c r="AK20" s="136"/>
      <c r="AL20" s="78"/>
      <c r="AM20" s="16"/>
      <c r="AN20" s="78"/>
      <c r="AO20" s="78"/>
      <c r="AP20" s="6483" t="str">
        <f>Prosjektinfo!$F$33&amp;":"</f>
        <v>Startsted:</v>
      </c>
      <c r="AQ20" s="6484"/>
      <c r="AR20" s="6484"/>
      <c r="AS20" s="6484"/>
      <c r="AT20" s="6484"/>
      <c r="AU20" s="6484"/>
      <c r="AV20" s="6484"/>
      <c r="AW20" s="6484"/>
      <c r="AX20" s="6484"/>
      <c r="AY20" s="6485"/>
      <c r="BH20" s="1896"/>
      <c r="BI20" s="78"/>
      <c r="BJ20" s="78"/>
      <c r="BK20" s="78"/>
      <c r="BL20" s="78"/>
      <c r="BM20" s="78"/>
      <c r="BN20" s="78"/>
      <c r="BO20" s="78"/>
      <c r="BP20" s="78"/>
      <c r="BQ20" s="78"/>
      <c r="BR20" s="78"/>
      <c r="BS20" s="78"/>
      <c r="BT20" s="78"/>
      <c r="BU20" s="78"/>
      <c r="BV20" s="78"/>
      <c r="BW20" s="78"/>
      <c r="BX20" s="2617"/>
      <c r="BY20" s="2617"/>
      <c r="BZ20" s="78"/>
      <c r="CA20" s="3492"/>
      <c r="CB20" s="6433" t="str">
        <f>IF(Prosjektinfo!$Q$29="","",Prosjektinfo!$Q$29)</f>
        <v/>
      </c>
      <c r="CC20" s="6434"/>
      <c r="CD20" s="6434"/>
      <c r="CE20" s="6434"/>
      <c r="CF20" s="6434"/>
      <c r="CG20" s="6434"/>
      <c r="CH20" s="6434"/>
      <c r="CI20" s="6434"/>
      <c r="CJ20" s="6434"/>
      <c r="CK20" s="6434"/>
      <c r="CL20" s="6434"/>
      <c r="CM20" s="6434"/>
      <c r="CN20" s="6434"/>
      <c r="CO20" s="6434"/>
      <c r="CP20" s="6434"/>
      <c r="CQ20" s="6434"/>
      <c r="CR20" s="6434"/>
      <c r="CS20" s="6434"/>
      <c r="CT20" s="6434"/>
      <c r="CU20" s="6434"/>
      <c r="CV20" s="6435"/>
      <c r="CW20" s="78"/>
      <c r="CX20" s="78"/>
      <c r="CY20" s="78"/>
      <c r="CZ20" s="16"/>
      <c r="DA20" s="78"/>
      <c r="DB20" s="78"/>
      <c r="DC20" s="78"/>
      <c r="DD20" s="78"/>
      <c r="DE20" s="78"/>
      <c r="DF20" s="78"/>
      <c r="DG20" s="2082"/>
      <c r="DH20" s="78"/>
      <c r="DI20" s="78"/>
      <c r="DJ20" s="78"/>
      <c r="DK20" s="78"/>
      <c r="DL20" s="78"/>
      <c r="DM20" s="78"/>
      <c r="DN20" s="78"/>
      <c r="DO20" s="78"/>
      <c r="DP20" s="78"/>
      <c r="DQ20" s="78"/>
      <c r="DR20" s="78"/>
      <c r="DS20" s="6483" t="str">
        <f>Prosjektinfo!$F$35&amp;":"</f>
        <v>Sluttsted:</v>
      </c>
      <c r="DT20" s="6485"/>
      <c r="DU20" s="78"/>
      <c r="DV20" s="78"/>
      <c r="DW20" s="78"/>
    </row>
    <row r="21" spans="1:127" ht="9.9499999999999993" customHeight="1" thickBot="1" x14ac:dyDescent="0.25">
      <c r="E21" s="115" t="s">
        <v>266</v>
      </c>
      <c r="F21" s="2079" t="str">
        <f>IF(EH86="22","beggedrift",IF(F10=1,"endrift",IF(AND(F10=2,F18&gt;3),"metod_3[type]","endrift")))</f>
        <v>endrift</v>
      </c>
      <c r="AO21" s="78"/>
      <c r="AP21" s="6486"/>
      <c r="AQ21" s="6487"/>
      <c r="AR21" s="6487"/>
      <c r="AS21" s="6487"/>
      <c r="AT21" s="6487"/>
      <c r="AU21" s="6487"/>
      <c r="AV21" s="6487"/>
      <c r="AW21" s="6487"/>
      <c r="AX21" s="6487"/>
      <c r="AY21" s="6488"/>
      <c r="BI21" s="78"/>
      <c r="BJ21" s="78"/>
      <c r="BK21" s="78"/>
      <c r="BL21" s="78"/>
      <c r="BM21" s="78"/>
      <c r="BN21" s="78"/>
      <c r="BO21" s="78"/>
      <c r="BP21" s="78"/>
      <c r="BQ21" s="78"/>
      <c r="BR21" s="78"/>
      <c r="BS21" s="78"/>
      <c r="BT21" s="78"/>
      <c r="BU21" s="78"/>
      <c r="BV21" s="78"/>
      <c r="BW21" s="78"/>
      <c r="BX21" s="16"/>
      <c r="BY21" s="16"/>
      <c r="BZ21" s="78"/>
      <c r="CA21" s="78"/>
      <c r="CB21" s="6436"/>
      <c r="CC21" s="6437"/>
      <c r="CD21" s="6437"/>
      <c r="CE21" s="6437"/>
      <c r="CF21" s="6437"/>
      <c r="CG21" s="6437"/>
      <c r="CH21" s="6437"/>
      <c r="CI21" s="6437"/>
      <c r="CJ21" s="6437"/>
      <c r="CK21" s="6437"/>
      <c r="CL21" s="6437"/>
      <c r="CM21" s="6437"/>
      <c r="CN21" s="6437"/>
      <c r="CO21" s="6437"/>
      <c r="CP21" s="6437"/>
      <c r="CQ21" s="6437"/>
      <c r="CR21" s="6437"/>
      <c r="CS21" s="6437"/>
      <c r="CT21" s="6437"/>
      <c r="CU21" s="6437"/>
      <c r="CV21" s="6438"/>
      <c r="CW21" s="78"/>
      <c r="CX21" s="78"/>
      <c r="CY21" s="78"/>
      <c r="CZ21" s="16"/>
      <c r="DA21" s="78"/>
      <c r="DB21" s="78"/>
      <c r="DC21" s="78"/>
      <c r="DD21" s="78"/>
      <c r="DE21" s="78"/>
      <c r="DF21" s="78"/>
      <c r="DG21" s="2082"/>
      <c r="DH21" s="78"/>
      <c r="DI21" s="78"/>
      <c r="DJ21" s="78"/>
      <c r="DK21" s="78"/>
      <c r="DL21" s="78"/>
      <c r="DM21" s="78"/>
      <c r="DN21" s="78"/>
      <c r="DO21" s="78"/>
      <c r="DP21" s="78"/>
      <c r="DQ21" s="78"/>
      <c r="DR21" s="78"/>
      <c r="DS21" s="6486"/>
      <c r="DT21" s="6488"/>
      <c r="DU21" s="78"/>
      <c r="DV21" s="78"/>
      <c r="DW21" s="78"/>
    </row>
    <row r="22" spans="1:127" ht="15" customHeight="1" thickBot="1" x14ac:dyDescent="0.25">
      <c r="E22" s="115" t="s">
        <v>495</v>
      </c>
      <c r="F22" s="2079">
        <f>IF(EH86="22",2,IF(F10=1,1,IF(AND(F10=2,F18&gt;3),3,1)))</f>
        <v>1</v>
      </c>
      <c r="J22" s="549"/>
      <c r="L22" s="550"/>
      <c r="M22" s="551"/>
      <c r="N22" s="551"/>
      <c r="O22" s="551"/>
      <c r="P22" s="551"/>
      <c r="Q22" s="551"/>
      <c r="R22" s="551"/>
      <c r="S22" s="551"/>
      <c r="T22" s="551"/>
      <c r="U22" s="551"/>
      <c r="V22" s="551"/>
      <c r="W22" s="551"/>
      <c r="X22" s="604"/>
      <c r="Y22" s="604"/>
      <c r="Z22" s="552"/>
      <c r="AB22" s="550"/>
      <c r="AC22" s="551"/>
      <c r="AD22" s="551"/>
      <c r="AE22" s="551"/>
      <c r="AF22" s="551"/>
      <c r="AG22" s="551"/>
      <c r="AH22" s="551"/>
      <c r="AI22" s="551"/>
      <c r="AJ22" s="551"/>
      <c r="AK22" s="552"/>
      <c r="AM22" s="41"/>
      <c r="AO22" s="78"/>
      <c r="AP22" s="6476" t="str">
        <f>IF(Prosjektinfo!$Q$33="","",Prosjektinfo!$Q$33)</f>
        <v/>
      </c>
      <c r="AQ22" s="6481"/>
      <c r="AR22" s="6481"/>
      <c r="AS22" s="6481"/>
      <c r="AT22" s="6481"/>
      <c r="AU22" s="6481"/>
      <c r="AV22" s="6481"/>
      <c r="AW22" s="6481"/>
      <c r="AX22" s="6481"/>
      <c r="AY22" s="6477"/>
      <c r="BI22" s="78"/>
      <c r="BJ22" s="78"/>
      <c r="BK22" s="78"/>
      <c r="BL22" s="78"/>
      <c r="BM22" s="78"/>
      <c r="BN22" s="78"/>
      <c r="BO22" s="78"/>
      <c r="BP22" s="78"/>
      <c r="BQ22" s="78"/>
      <c r="BR22" s="78"/>
      <c r="BS22" s="78"/>
      <c r="BT22" s="78"/>
      <c r="BU22" s="78"/>
      <c r="BV22" s="78"/>
      <c r="BW22" s="78"/>
      <c r="BX22" s="16"/>
      <c r="BY22" s="16"/>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16"/>
      <c r="DA22" s="78"/>
      <c r="DB22" s="78"/>
      <c r="DC22" s="78"/>
      <c r="DD22" s="78"/>
      <c r="DE22" s="78"/>
      <c r="DF22" s="78"/>
      <c r="DG22" s="2082"/>
      <c r="DH22" s="78"/>
      <c r="DI22" s="78"/>
      <c r="DJ22" s="78"/>
      <c r="DK22" s="78"/>
      <c r="DL22" s="78"/>
      <c r="DM22" s="78"/>
      <c r="DN22" s="78"/>
      <c r="DO22" s="78"/>
      <c r="DP22" s="78"/>
      <c r="DQ22" s="78"/>
      <c r="DR22" s="78"/>
      <c r="DS22" s="6476" t="str">
        <f>IF(Prosjektinfo!$Q$35="","",Prosjektinfo!$Q$35)</f>
        <v/>
      </c>
      <c r="DT22" s="6477"/>
      <c r="DU22" s="78"/>
      <c r="DV22" s="78"/>
      <c r="DW22" s="78"/>
    </row>
    <row r="23" spans="1:127" ht="8.1" customHeight="1" thickBot="1" x14ac:dyDescent="0.25">
      <c r="F23" s="2079"/>
      <c r="J23" s="16"/>
      <c r="K23" s="78"/>
      <c r="L23" s="16"/>
      <c r="M23" s="16"/>
      <c r="N23" s="16"/>
      <c r="O23" s="16"/>
      <c r="P23" s="16"/>
      <c r="Q23" s="16"/>
      <c r="R23" s="16"/>
      <c r="S23" s="16"/>
      <c r="T23" s="16"/>
      <c r="U23" s="16"/>
      <c r="V23" s="16"/>
      <c r="W23" s="16"/>
      <c r="X23" s="17"/>
      <c r="Y23" s="17"/>
      <c r="Z23" s="16"/>
      <c r="AA23" s="78"/>
      <c r="AB23" s="16"/>
      <c r="AC23" s="16"/>
      <c r="AD23" s="16"/>
      <c r="AE23" s="16"/>
      <c r="AF23" s="16"/>
      <c r="AG23" s="16"/>
      <c r="AH23" s="16"/>
      <c r="AI23" s="16"/>
      <c r="AJ23" s="16"/>
      <c r="AK23" s="16"/>
      <c r="AL23" s="78"/>
      <c r="AM23" s="16"/>
      <c r="AO23" s="78"/>
      <c r="AP23" s="6476"/>
      <c r="AQ23" s="6481"/>
      <c r="AR23" s="6481"/>
      <c r="AS23" s="6481"/>
      <c r="AT23" s="6481"/>
      <c r="AU23" s="6481"/>
      <c r="AV23" s="6481"/>
      <c r="AW23" s="6481"/>
      <c r="AX23" s="6481"/>
      <c r="AY23" s="6477"/>
      <c r="BH23" s="1895"/>
      <c r="BI23" s="78"/>
      <c r="BJ23" s="78"/>
      <c r="BK23" s="78"/>
      <c r="BL23" s="78"/>
      <c r="BM23" s="78"/>
      <c r="BN23" s="78"/>
      <c r="BO23" s="78"/>
      <c r="BP23" s="78"/>
      <c r="BQ23" s="78"/>
      <c r="BR23" s="78"/>
      <c r="BS23" s="78"/>
      <c r="BT23" s="78"/>
      <c r="BU23" s="78"/>
      <c r="BV23" s="78"/>
      <c r="BW23" s="78"/>
      <c r="BX23" s="16"/>
      <c r="BY23" s="16"/>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16"/>
      <c r="DA23" s="78"/>
      <c r="DB23" s="78"/>
      <c r="DC23" s="78"/>
      <c r="DD23" s="78"/>
      <c r="DE23" s="78"/>
      <c r="DF23" s="78"/>
      <c r="DG23" s="2082"/>
      <c r="DH23" s="78"/>
      <c r="DI23" s="78"/>
      <c r="DJ23" s="78"/>
      <c r="DK23" s="78"/>
      <c r="DL23" s="78"/>
      <c r="DM23" s="78"/>
      <c r="DN23" s="78"/>
      <c r="DO23" s="78"/>
      <c r="DP23" s="78"/>
      <c r="DQ23" s="78"/>
      <c r="DR23" s="78"/>
      <c r="DS23" s="6476"/>
      <c r="DT23" s="6477"/>
      <c r="DU23" s="78"/>
      <c r="DV23" s="78"/>
      <c r="DW23" s="78"/>
    </row>
    <row r="24" spans="1:127" ht="15" customHeight="1" thickBot="1" x14ac:dyDescent="0.25">
      <c r="E24" s="115" t="s">
        <v>783</v>
      </c>
      <c r="F24" s="2079" t="str">
        <f>IF($F$13=1,_List!$AV$7,IF($F$13=2,_List!$AW$8,IF($F$13=3,_List!$AY$9)))</f>
        <v>Enstuffs drift</v>
      </c>
      <c r="G24" s="25"/>
      <c r="H24" s="25"/>
      <c r="I24" s="25"/>
      <c r="J24" s="2093"/>
      <c r="L24" s="1051"/>
      <c r="M24" s="1052"/>
      <c r="N24" s="1052"/>
      <c r="O24" s="1052"/>
      <c r="P24" s="1052"/>
      <c r="Q24" s="1052"/>
      <c r="R24" s="1052"/>
      <c r="S24" s="1052"/>
      <c r="T24" s="1958"/>
      <c r="U24" s="1052"/>
      <c r="V24" s="1052"/>
      <c r="W24" s="1052"/>
      <c r="X24" s="612"/>
      <c r="Y24" s="612"/>
      <c r="Z24" s="1053"/>
      <c r="AB24" s="1051"/>
      <c r="AC24" s="1052"/>
      <c r="AD24" s="1052"/>
      <c r="AE24" s="1052"/>
      <c r="AF24" s="1052"/>
      <c r="AG24" s="1052"/>
      <c r="AH24" s="1052"/>
      <c r="AI24" s="1052"/>
      <c r="AJ24" s="546"/>
      <c r="AK24" s="547"/>
      <c r="AM24" s="44"/>
      <c r="AO24" s="78"/>
      <c r="AP24" s="6478"/>
      <c r="AQ24" s="6482"/>
      <c r="AR24" s="6482"/>
      <c r="AS24" s="6482"/>
      <c r="AT24" s="6482"/>
      <c r="AU24" s="6482"/>
      <c r="AV24" s="6482"/>
      <c r="AW24" s="6482"/>
      <c r="AX24" s="6482"/>
      <c r="AY24" s="6479"/>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6183"/>
      <c r="CI24" s="6184"/>
      <c r="CJ24" s="6184"/>
      <c r="CK24" s="6184"/>
      <c r="CL24" s="6184"/>
      <c r="CM24" s="6184"/>
      <c r="CN24" s="6184"/>
      <c r="CO24" s="2095" t="str">
        <f>IF($F$65=1,(IF($F$87=0,"? ",$F$87))&amp;" m","")</f>
        <v/>
      </c>
      <c r="CP24" s="6184"/>
      <c r="CQ24" s="6184"/>
      <c r="CR24" s="6184"/>
      <c r="CS24" s="6184"/>
      <c r="CT24" s="6184"/>
      <c r="CU24" s="6184"/>
      <c r="CV24" s="6183"/>
      <c r="CW24" s="78"/>
      <c r="CX24" s="78"/>
      <c r="CY24" s="78"/>
      <c r="CZ24" s="78"/>
      <c r="DA24" s="78"/>
      <c r="DB24" s="78"/>
      <c r="DC24" s="78"/>
      <c r="DD24" s="78"/>
      <c r="DE24" s="78"/>
      <c r="DF24" s="78"/>
      <c r="DG24" s="2082"/>
      <c r="DH24" s="78"/>
      <c r="DI24" s="78"/>
      <c r="DJ24" s="78"/>
      <c r="DK24" s="78"/>
      <c r="DL24" s="78"/>
      <c r="DM24" s="78"/>
      <c r="DN24" s="78"/>
      <c r="DO24" s="78"/>
      <c r="DP24" s="78"/>
      <c r="DQ24" s="78"/>
      <c r="DR24" s="78"/>
      <c r="DS24" s="6478"/>
      <c r="DT24" s="6479"/>
      <c r="DU24" s="78"/>
      <c r="DV24" s="78"/>
      <c r="DW24" s="78"/>
    </row>
    <row r="25" spans="1:127" ht="20.100000000000001" customHeight="1" thickBot="1" x14ac:dyDescent="0.25">
      <c r="E25" s="115" t="s">
        <v>784</v>
      </c>
      <c r="F25" s="2079">
        <f>F18</f>
        <v>1</v>
      </c>
      <c r="G25" s="25"/>
      <c r="H25" s="25"/>
      <c r="I25" s="25"/>
      <c r="J25" s="6405" t="s">
        <v>2683</v>
      </c>
      <c r="L25" s="1054"/>
      <c r="M25" s="542" t="s">
        <v>67</v>
      </c>
      <c r="N25" s="542"/>
      <c r="O25" s="542"/>
      <c r="P25" s="542"/>
      <c r="Q25" s="542"/>
      <c r="R25" s="542"/>
      <c r="S25" s="542"/>
      <c r="T25" s="2096" t="s">
        <v>149</v>
      </c>
      <c r="U25" s="2097"/>
      <c r="V25" s="542"/>
      <c r="W25" s="542"/>
      <c r="X25" s="2098"/>
      <c r="Y25" s="2098"/>
      <c r="Z25" s="1055"/>
      <c r="AB25" s="1054"/>
      <c r="AC25" s="1050"/>
      <c r="AD25" s="6427">
        <f>$F$10</f>
        <v>1</v>
      </c>
      <c r="AE25" s="6428"/>
      <c r="AF25" s="6428"/>
      <c r="AG25" s="6428"/>
      <c r="AH25" s="6429"/>
      <c r="AI25" s="44"/>
      <c r="AJ25" s="30" t="str">
        <f>IF(Prosjektinfo!$Q$77="","!","✓")</f>
        <v>!</v>
      </c>
      <c r="AK25" s="548"/>
      <c r="AM25" s="44"/>
      <c r="AO25" s="78"/>
      <c r="BI25" s="2099"/>
      <c r="BJ25" s="2099"/>
      <c r="BK25" s="2100"/>
      <c r="BL25" s="2100"/>
      <c r="BM25" s="2100"/>
      <c r="BN25" s="2100"/>
      <c r="BO25" s="2100"/>
      <c r="BP25" s="2100"/>
      <c r="BQ25" s="2100"/>
      <c r="BR25" s="2101"/>
      <c r="BS25" s="2101"/>
      <c r="BT25" s="2101"/>
      <c r="BU25" s="2101"/>
      <c r="BV25" s="78"/>
      <c r="BW25" s="78"/>
      <c r="BX25" s="78"/>
      <c r="BY25" s="78"/>
      <c r="BZ25" s="78"/>
      <c r="CA25" s="78"/>
      <c r="CB25" s="78"/>
      <c r="CC25" s="78"/>
      <c r="CD25" s="78"/>
      <c r="CE25" s="78"/>
      <c r="CF25" s="78"/>
      <c r="CG25" s="78"/>
      <c r="CH25" s="78"/>
      <c r="CI25" s="78"/>
      <c r="CJ25" s="78"/>
      <c r="CK25" s="78"/>
      <c r="CL25" s="78"/>
      <c r="CM25" s="78"/>
      <c r="CN25" s="78"/>
      <c r="CO25" s="2102" t="str">
        <f>_Calcs!QW135</f>
        <v>Tverrslag</v>
      </c>
      <c r="CP25" s="78"/>
      <c r="CQ25" s="78"/>
      <c r="CR25" s="78"/>
      <c r="CS25" s="78"/>
      <c r="CT25" s="2103"/>
      <c r="CU25" s="78"/>
      <c r="CV25" s="78"/>
      <c r="CW25" s="78"/>
      <c r="CX25" s="78"/>
      <c r="CY25" s="78"/>
      <c r="CZ25" s="78"/>
      <c r="DA25" s="78"/>
      <c r="DB25" s="78"/>
      <c r="DC25" s="78"/>
      <c r="DD25" s="78"/>
      <c r="DE25" s="78"/>
      <c r="DF25" s="78"/>
      <c r="DG25" s="2082"/>
      <c r="DH25" s="78"/>
      <c r="DI25" s="78"/>
      <c r="DJ25" s="78"/>
      <c r="DK25" s="78"/>
      <c r="DL25" s="78"/>
      <c r="DM25" s="78"/>
      <c r="DN25" s="78"/>
      <c r="DO25" s="78"/>
      <c r="DP25" s="78"/>
      <c r="DQ25" s="78"/>
      <c r="DR25" s="78"/>
      <c r="DS25" s="78"/>
      <c r="DT25" s="78"/>
      <c r="DU25" s="78"/>
      <c r="DV25" s="78"/>
      <c r="DW25" s="78"/>
    </row>
    <row r="26" spans="1:127" ht="3" customHeight="1" x14ac:dyDescent="0.2">
      <c r="F26" s="2079"/>
      <c r="G26" s="25"/>
      <c r="H26" s="25"/>
      <c r="I26" s="25"/>
      <c r="J26" s="6405"/>
      <c r="K26" s="78"/>
      <c r="L26" s="1054"/>
      <c r="M26" s="542"/>
      <c r="N26" s="542"/>
      <c r="O26" s="542"/>
      <c r="P26" s="542"/>
      <c r="Q26" s="542"/>
      <c r="R26" s="542"/>
      <c r="S26" s="542"/>
      <c r="T26" s="44"/>
      <c r="U26" s="542"/>
      <c r="V26" s="542"/>
      <c r="W26" s="542"/>
      <c r="X26" s="49"/>
      <c r="Y26" s="49"/>
      <c r="Z26" s="1055"/>
      <c r="AB26" s="1054"/>
      <c r="AC26" s="1050"/>
      <c r="AD26" s="1050"/>
      <c r="AE26" s="1050"/>
      <c r="AF26" s="1050"/>
      <c r="AG26" s="1050"/>
      <c r="AH26" s="1050"/>
      <c r="AI26" s="44"/>
      <c r="AJ26" s="44"/>
      <c r="AK26" s="548"/>
      <c r="AM26" s="44"/>
      <c r="AO26" s="78"/>
      <c r="BI26" s="2099"/>
      <c r="BJ26" s="2099"/>
      <c r="BK26" s="2100"/>
      <c r="BL26" s="2100"/>
      <c r="BM26" s="2100"/>
      <c r="BN26" s="2100"/>
      <c r="BO26" s="2100"/>
      <c r="BP26" s="2100"/>
      <c r="BQ26" s="2100"/>
      <c r="BR26" s="2101"/>
      <c r="BS26" s="2101"/>
      <c r="BT26" s="2101"/>
      <c r="BU26" s="2101"/>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2103"/>
      <c r="CT26" s="2103"/>
      <c r="CU26" s="2103"/>
      <c r="CV26" s="979"/>
      <c r="CW26" s="78"/>
      <c r="CX26" s="78"/>
      <c r="CY26" s="78"/>
      <c r="CZ26" s="78"/>
      <c r="DA26" s="78"/>
      <c r="DB26" s="78"/>
      <c r="DC26" s="78"/>
      <c r="DD26" s="78"/>
      <c r="DE26" s="78"/>
      <c r="DF26" s="78"/>
      <c r="DG26" s="2082"/>
      <c r="DH26" s="78"/>
      <c r="DI26" s="78"/>
      <c r="DJ26" s="78"/>
      <c r="DK26" s="78"/>
      <c r="DL26" s="78"/>
      <c r="DM26" s="78"/>
      <c r="DN26" s="78"/>
      <c r="DO26" s="78"/>
      <c r="DP26" s="78"/>
      <c r="DQ26" s="78"/>
      <c r="DR26" s="78"/>
      <c r="DS26" s="78"/>
      <c r="DT26" s="78"/>
      <c r="DU26" s="78"/>
      <c r="DV26" s="78"/>
      <c r="DW26" s="78"/>
    </row>
    <row r="27" spans="1:127" ht="3" customHeight="1" x14ac:dyDescent="0.2">
      <c r="F27" s="2079"/>
      <c r="G27" s="25"/>
      <c r="H27" s="25"/>
      <c r="I27" s="25"/>
      <c r="J27" s="6405"/>
      <c r="K27" s="78"/>
      <c r="L27" s="1054"/>
      <c r="M27" s="542"/>
      <c r="N27" s="542"/>
      <c r="O27" s="542"/>
      <c r="P27" s="542"/>
      <c r="Q27" s="542"/>
      <c r="R27" s="542"/>
      <c r="S27" s="542"/>
      <c r="T27" s="44"/>
      <c r="U27" s="542"/>
      <c r="V27" s="542"/>
      <c r="W27" s="542"/>
      <c r="X27" s="49"/>
      <c r="Y27" s="49"/>
      <c r="Z27" s="1055"/>
      <c r="AB27" s="1054"/>
      <c r="AC27" s="1050"/>
      <c r="AD27" s="1050"/>
      <c r="AE27" s="1050"/>
      <c r="AF27" s="1050"/>
      <c r="AG27" s="1050"/>
      <c r="AH27" s="1050"/>
      <c r="AI27" s="44"/>
      <c r="AJ27" s="44"/>
      <c r="AK27" s="548"/>
      <c r="AM27" s="44"/>
      <c r="AO27" s="78"/>
      <c r="BI27" s="2099"/>
      <c r="BJ27" s="2099"/>
      <c r="BK27" s="2100"/>
      <c r="BL27" s="2100"/>
      <c r="BM27" s="2100"/>
      <c r="BN27" s="2100"/>
      <c r="BO27" s="2100"/>
      <c r="BP27" s="2100"/>
      <c r="BQ27" s="2100"/>
      <c r="BR27" s="2101"/>
      <c r="BS27" s="2101"/>
      <c r="BT27" s="2101"/>
      <c r="BU27" s="2101"/>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2103"/>
      <c r="CT27" s="2103"/>
      <c r="CU27" s="2103"/>
      <c r="CV27" s="979"/>
      <c r="CW27" s="78"/>
      <c r="CX27" s="78"/>
      <c r="CY27" s="78"/>
      <c r="CZ27" s="78"/>
      <c r="DA27" s="78"/>
      <c r="DB27" s="78"/>
      <c r="DC27" s="78"/>
      <c r="DD27" s="78"/>
      <c r="DE27" s="78"/>
      <c r="DF27" s="78"/>
      <c r="DG27" s="2082"/>
      <c r="DH27" s="78"/>
      <c r="DI27" s="78"/>
      <c r="DJ27" s="78"/>
      <c r="DK27" s="78"/>
      <c r="DL27" s="78"/>
      <c r="DM27" s="78"/>
      <c r="DN27" s="78"/>
      <c r="DO27" s="78"/>
      <c r="DP27" s="78"/>
      <c r="DQ27" s="78"/>
      <c r="DR27" s="78"/>
      <c r="DS27" s="78"/>
      <c r="DT27" s="78"/>
      <c r="DU27" s="78"/>
      <c r="DV27" s="78"/>
      <c r="DW27" s="78"/>
    </row>
    <row r="28" spans="1:127" ht="3" customHeight="1" x14ac:dyDescent="0.2">
      <c r="F28" s="2079"/>
      <c r="G28" s="25"/>
      <c r="H28" s="25"/>
      <c r="I28" s="25"/>
      <c r="J28" s="6405"/>
      <c r="K28" s="78"/>
      <c r="L28" s="1054"/>
      <c r="M28" s="542"/>
      <c r="N28" s="542"/>
      <c r="O28" s="542"/>
      <c r="P28" s="542"/>
      <c r="Q28" s="542"/>
      <c r="R28" s="542"/>
      <c r="S28" s="542"/>
      <c r="T28" s="44"/>
      <c r="U28" s="542"/>
      <c r="V28" s="542"/>
      <c r="W28" s="542"/>
      <c r="X28" s="49"/>
      <c r="Y28" s="49"/>
      <c r="Z28" s="1055"/>
      <c r="AB28" s="1054"/>
      <c r="AC28" s="1050"/>
      <c r="AD28" s="1050"/>
      <c r="AE28" s="1050"/>
      <c r="AF28" s="1050"/>
      <c r="AG28" s="1050"/>
      <c r="AH28" s="1050"/>
      <c r="AI28" s="44"/>
      <c r="AJ28" s="44"/>
      <c r="AK28" s="548"/>
      <c r="AM28" s="44"/>
      <c r="AO28" s="78"/>
      <c r="BI28" s="2099"/>
      <c r="BJ28" s="2099"/>
      <c r="BK28" s="2100"/>
      <c r="BL28" s="2100"/>
      <c r="BM28" s="2100"/>
      <c r="BN28" s="2100"/>
      <c r="BO28" s="2100"/>
      <c r="BP28" s="2100"/>
      <c r="BQ28" s="2100"/>
      <c r="BR28" s="2101"/>
      <c r="BS28" s="2101"/>
      <c r="BT28" s="2101"/>
      <c r="BU28" s="2101"/>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2103"/>
      <c r="CT28" s="2103"/>
      <c r="CU28" s="2103"/>
      <c r="CV28" s="979"/>
      <c r="CW28" s="78"/>
      <c r="CX28" s="78"/>
      <c r="CY28" s="78"/>
      <c r="CZ28" s="78"/>
      <c r="DA28" s="78"/>
      <c r="DB28" s="78"/>
      <c r="DC28" s="78"/>
      <c r="DD28" s="78"/>
      <c r="DE28" s="78"/>
      <c r="DF28" s="78"/>
      <c r="DG28" s="2082"/>
      <c r="DH28" s="78"/>
      <c r="DI28" s="78"/>
      <c r="DJ28" s="78"/>
      <c r="DK28" s="78"/>
      <c r="DL28" s="78"/>
      <c r="DM28" s="78"/>
      <c r="DN28" s="78"/>
      <c r="DO28" s="78"/>
      <c r="DP28" s="78"/>
      <c r="DQ28" s="78"/>
      <c r="DR28" s="78"/>
      <c r="DS28" s="78"/>
      <c r="DT28" s="78"/>
      <c r="DU28" s="78"/>
      <c r="DV28" s="78"/>
      <c r="DW28" s="78"/>
    </row>
    <row r="29" spans="1:127" ht="3" customHeight="1" x14ac:dyDescent="0.2">
      <c r="F29" s="2079"/>
      <c r="G29" s="25"/>
      <c r="H29" s="25"/>
      <c r="I29" s="25"/>
      <c r="J29" s="6405"/>
      <c r="K29" s="78"/>
      <c r="L29" s="1054"/>
      <c r="M29" s="542"/>
      <c r="N29" s="542"/>
      <c r="O29" s="542"/>
      <c r="P29" s="542"/>
      <c r="Q29" s="542"/>
      <c r="R29" s="542"/>
      <c r="S29" s="542"/>
      <c r="T29" s="44"/>
      <c r="U29" s="542"/>
      <c r="V29" s="542"/>
      <c r="W29" s="542"/>
      <c r="X29" s="49"/>
      <c r="Y29" s="49"/>
      <c r="Z29" s="1055"/>
      <c r="AB29" s="1054"/>
      <c r="AC29" s="1050"/>
      <c r="AD29" s="1050"/>
      <c r="AE29" s="1050"/>
      <c r="AF29" s="1050"/>
      <c r="AG29" s="1050"/>
      <c r="AH29" s="1050"/>
      <c r="AI29" s="44"/>
      <c r="AJ29" s="44"/>
      <c r="AK29" s="548"/>
      <c r="AM29" s="44"/>
      <c r="AO29" s="78"/>
      <c r="BI29" s="2099"/>
      <c r="BJ29" s="2099"/>
      <c r="BK29" s="2100"/>
      <c r="BL29" s="2100"/>
      <c r="BM29" s="2100"/>
      <c r="BN29" s="2100"/>
      <c r="BO29" s="2100"/>
      <c r="BP29" s="2100"/>
      <c r="BQ29" s="2100"/>
      <c r="BR29" s="2101"/>
      <c r="BS29" s="2101"/>
      <c r="BT29" s="2101"/>
      <c r="BU29" s="2101"/>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2103"/>
      <c r="CT29" s="2103"/>
      <c r="CU29" s="2103"/>
      <c r="CV29" s="979"/>
      <c r="CW29" s="78"/>
      <c r="CX29" s="78"/>
      <c r="CY29" s="78"/>
      <c r="CZ29" s="78"/>
      <c r="DA29" s="78"/>
      <c r="DB29" s="78"/>
      <c r="DC29" s="78"/>
      <c r="DD29" s="78"/>
      <c r="DE29" s="78"/>
      <c r="DF29" s="78"/>
      <c r="DG29" s="2082"/>
      <c r="DH29" s="78"/>
      <c r="DI29" s="78"/>
      <c r="DJ29" s="78"/>
      <c r="DK29" s="78"/>
      <c r="DL29" s="78"/>
      <c r="DM29" s="78"/>
      <c r="DN29" s="78"/>
      <c r="DO29" s="78"/>
      <c r="DP29" s="78"/>
      <c r="DQ29" s="78"/>
      <c r="DR29" s="78"/>
      <c r="DS29" s="78"/>
      <c r="DT29" s="78"/>
      <c r="DU29" s="78"/>
      <c r="DV29" s="78"/>
      <c r="DW29" s="78"/>
    </row>
    <row r="30" spans="1:127" ht="3" customHeight="1" thickBot="1" x14ac:dyDescent="0.25">
      <c r="F30" s="2079"/>
      <c r="G30" s="25"/>
      <c r="H30" s="25"/>
      <c r="I30" s="25"/>
      <c r="J30" s="6405"/>
      <c r="L30" s="1054"/>
      <c r="M30" s="542"/>
      <c r="N30" s="542"/>
      <c r="O30" s="542"/>
      <c r="P30" s="542"/>
      <c r="Q30" s="542"/>
      <c r="R30" s="542"/>
      <c r="S30" s="542"/>
      <c r="T30" s="44"/>
      <c r="U30" s="542"/>
      <c r="V30" s="542"/>
      <c r="W30" s="542"/>
      <c r="X30" s="49"/>
      <c r="Y30" s="49"/>
      <c r="Z30" s="1055"/>
      <c r="AB30" s="1054"/>
      <c r="AC30" s="1050"/>
      <c r="AD30" s="1050"/>
      <c r="AE30" s="1050"/>
      <c r="AF30" s="1050"/>
      <c r="AG30" s="1050"/>
      <c r="AH30" s="1050"/>
      <c r="AI30" s="44"/>
      <c r="AJ30" s="44"/>
      <c r="AK30" s="548"/>
      <c r="AM30" s="44"/>
      <c r="AO30" s="78"/>
      <c r="BI30" s="2099"/>
      <c r="BJ30" s="2099"/>
      <c r="BK30" s="2100"/>
      <c r="BL30" s="2100"/>
      <c r="BM30" s="2100"/>
      <c r="BN30" s="2100"/>
      <c r="BO30" s="2100"/>
      <c r="BP30" s="2100"/>
      <c r="BQ30" s="2100"/>
      <c r="BR30" s="2101"/>
      <c r="BS30" s="2101"/>
      <c r="BT30" s="2101"/>
      <c r="BU30" s="2101"/>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2103"/>
      <c r="CT30" s="2103"/>
      <c r="CU30" s="2103"/>
      <c r="CV30" s="979"/>
      <c r="CW30" s="78"/>
      <c r="CX30" s="78"/>
      <c r="CY30" s="78"/>
      <c r="CZ30" s="78"/>
      <c r="DA30" s="78"/>
      <c r="DB30" s="78"/>
      <c r="DC30" s="78"/>
      <c r="DD30" s="78"/>
      <c r="DE30" s="78"/>
      <c r="DF30" s="78"/>
      <c r="DG30" s="2082"/>
      <c r="DH30" s="78"/>
      <c r="DI30" s="78"/>
      <c r="DJ30" s="78"/>
      <c r="DK30" s="78"/>
      <c r="DL30" s="78"/>
      <c r="DM30" s="78"/>
      <c r="DN30" s="78"/>
      <c r="DO30" s="78"/>
      <c r="DP30" s="78"/>
      <c r="DQ30" s="78"/>
      <c r="DR30" s="78"/>
      <c r="DS30" s="78"/>
      <c r="DT30" s="78"/>
      <c r="DU30" s="78"/>
      <c r="DV30" s="78"/>
      <c r="DW30" s="78"/>
    </row>
    <row r="31" spans="1:127" ht="20.100000000000001" customHeight="1" thickBot="1" x14ac:dyDescent="0.25">
      <c r="E31" s="115" t="s">
        <v>785</v>
      </c>
      <c r="F31" s="2079" t="str">
        <f>F6</f>
        <v>A</v>
      </c>
      <c r="G31" s="25"/>
      <c r="H31" s="25"/>
      <c r="I31" s="25"/>
      <c r="J31" s="6405"/>
      <c r="L31" s="1054"/>
      <c r="M31" s="542" t="s">
        <v>264</v>
      </c>
      <c r="N31" s="542"/>
      <c r="O31" s="542"/>
      <c r="P31" s="542"/>
      <c r="Q31" s="542"/>
      <c r="R31" s="542"/>
      <c r="S31" s="542"/>
      <c r="T31" s="2096" t="s">
        <v>149</v>
      </c>
      <c r="U31" s="2097"/>
      <c r="V31" s="542"/>
      <c r="W31" s="542"/>
      <c r="X31" s="2098"/>
      <c r="Y31" s="2098"/>
      <c r="Z31" s="1055"/>
      <c r="AB31" s="1054"/>
      <c r="AC31" s="1050"/>
      <c r="AD31" s="6430"/>
      <c r="AE31" s="6431"/>
      <c r="AF31" s="6431"/>
      <c r="AG31" s="6431"/>
      <c r="AH31" s="6432"/>
      <c r="AI31" s="44"/>
      <c r="AJ31" s="30" t="str">
        <f>IF(AD31="","!",IF(AD31=F25,"✓","!"))</f>
        <v>!</v>
      </c>
      <c r="AK31" s="548"/>
      <c r="AM31" s="44"/>
      <c r="AO31" s="78"/>
      <c r="BI31" s="2099"/>
      <c r="BJ31" s="2099"/>
      <c r="BK31" s="2100"/>
      <c r="BL31" s="2100"/>
      <c r="BM31" s="2100"/>
      <c r="BN31" s="2100"/>
      <c r="BO31" s="2100"/>
      <c r="BP31" s="2100"/>
      <c r="BQ31" s="2100"/>
      <c r="BR31" s="2101"/>
      <c r="BS31" s="2101"/>
      <c r="BT31" s="2101"/>
      <c r="BU31" s="2101"/>
      <c r="BV31" s="2101"/>
      <c r="BW31" s="78"/>
      <c r="BX31" s="16"/>
      <c r="BY31" s="16"/>
      <c r="BZ31" s="2106"/>
      <c r="CA31" s="2106"/>
      <c r="CB31" s="2106"/>
      <c r="CC31" s="2106"/>
      <c r="CD31" s="2106"/>
      <c r="CE31" s="2106"/>
      <c r="CF31" s="2106"/>
      <c r="CG31" s="2106"/>
      <c r="CH31" s="2106"/>
      <c r="CI31" s="78"/>
      <c r="CJ31" s="78"/>
      <c r="CK31" s="78"/>
      <c r="CL31" s="78"/>
      <c r="CM31" s="78"/>
      <c r="CN31" s="78"/>
      <c r="CO31" s="78"/>
      <c r="CP31" s="78"/>
      <c r="CQ31" s="78"/>
      <c r="CR31" s="78"/>
      <c r="CS31" s="2103"/>
      <c r="CT31" s="2103"/>
      <c r="CU31" s="2103"/>
      <c r="CV31" s="979"/>
      <c r="CW31" s="78"/>
      <c r="CX31" s="78"/>
      <c r="CY31" s="78"/>
      <c r="CZ31" s="78"/>
      <c r="DA31" s="78"/>
      <c r="DB31" s="78"/>
      <c r="DC31" s="78"/>
      <c r="DD31" s="78"/>
      <c r="DE31" s="78"/>
      <c r="DF31" s="78"/>
      <c r="DG31" s="2082"/>
      <c r="DH31" s="78"/>
      <c r="DI31" s="78"/>
      <c r="DJ31" s="78"/>
      <c r="DK31" s="78"/>
      <c r="DL31" s="78"/>
      <c r="DM31" s="78"/>
      <c r="DN31" s="78"/>
      <c r="DO31" s="78"/>
      <c r="DP31" s="78"/>
      <c r="DQ31" s="78"/>
      <c r="DR31" s="78"/>
      <c r="DS31" s="78"/>
      <c r="DT31" s="78"/>
      <c r="DU31" s="78"/>
      <c r="DV31" s="78"/>
      <c r="DW31" s="78"/>
    </row>
    <row r="32" spans="1:127" ht="3" customHeight="1" x14ac:dyDescent="0.25">
      <c r="F32" s="2079"/>
      <c r="G32" s="25"/>
      <c r="H32" s="25"/>
      <c r="I32" s="25"/>
      <c r="J32" s="539"/>
      <c r="L32" s="1054"/>
      <c r="M32" s="542"/>
      <c r="N32" s="542"/>
      <c r="O32" s="542"/>
      <c r="P32" s="542"/>
      <c r="Q32" s="542"/>
      <c r="R32" s="542"/>
      <c r="S32" s="542"/>
      <c r="T32" s="44"/>
      <c r="U32" s="542"/>
      <c r="V32" s="542"/>
      <c r="W32" s="542"/>
      <c r="X32" s="49"/>
      <c r="Y32" s="49"/>
      <c r="Z32" s="1055"/>
      <c r="AB32" s="1054"/>
      <c r="AC32" s="1050"/>
      <c r="AD32" s="1050"/>
      <c r="AE32" s="1050"/>
      <c r="AF32" s="1050"/>
      <c r="AG32" s="1050"/>
      <c r="AH32" s="1050"/>
      <c r="AI32" s="44"/>
      <c r="AJ32" s="44"/>
      <c r="AK32" s="548"/>
      <c r="AM32" s="44"/>
      <c r="AO32" s="78"/>
      <c r="BI32" s="2107"/>
      <c r="BJ32" s="2107"/>
      <c r="BK32" s="2107"/>
      <c r="BL32" s="2107"/>
      <c r="BM32" s="2107"/>
      <c r="BN32" s="2107"/>
      <c r="BO32" s="2107"/>
      <c r="BP32" s="2107"/>
      <c r="BQ32" s="2108"/>
      <c r="BR32" s="2107"/>
      <c r="BS32" s="2107"/>
      <c r="BT32" s="2107"/>
      <c r="BU32" s="2107"/>
      <c r="BV32" s="2107"/>
      <c r="BW32" s="2109"/>
      <c r="BX32" s="2109"/>
      <c r="BY32" s="2109"/>
      <c r="BZ32" s="2109"/>
      <c r="CA32" s="2109"/>
      <c r="CB32" s="2109"/>
      <c r="CC32" s="2109"/>
      <c r="CD32" s="2109"/>
      <c r="CE32" s="2109"/>
      <c r="CF32" s="2109"/>
      <c r="CG32" s="2109"/>
      <c r="CH32" s="2109"/>
      <c r="CI32" s="2109"/>
      <c r="CJ32" s="2109"/>
      <c r="CK32" s="2109"/>
      <c r="CL32" s="2109"/>
      <c r="CM32" s="78"/>
      <c r="CN32" s="78"/>
      <c r="CO32" s="78"/>
      <c r="CP32" s="78"/>
      <c r="CQ32" s="78"/>
      <c r="CR32" s="2109"/>
      <c r="CS32" s="2109"/>
      <c r="CT32" s="2109"/>
      <c r="CU32" s="2109"/>
      <c r="CV32" s="2109"/>
      <c r="CW32" s="2109"/>
      <c r="CX32" s="2110"/>
      <c r="CY32" s="2110"/>
      <c r="CZ32" s="2110"/>
      <c r="DA32" s="2110"/>
      <c r="DB32" s="2110"/>
      <c r="DC32" s="2110"/>
      <c r="DD32" s="2110"/>
      <c r="DE32" s="2110"/>
      <c r="DF32" s="2110"/>
      <c r="DG32" s="2111"/>
      <c r="DH32" s="2109"/>
      <c r="DI32" s="2109"/>
      <c r="DJ32" s="2109"/>
      <c r="DK32" s="2109"/>
      <c r="DL32" s="2110"/>
      <c r="DM32" s="2110"/>
      <c r="DN32" s="2110"/>
      <c r="DO32" s="2110"/>
      <c r="DP32" s="2110"/>
      <c r="DQ32" s="2110"/>
      <c r="DR32" s="2110"/>
      <c r="DS32" s="2110"/>
      <c r="DT32" s="2110"/>
      <c r="DU32" s="2110"/>
      <c r="DV32" s="2110"/>
      <c r="DW32" s="2110"/>
    </row>
    <row r="33" spans="5:132" ht="3" customHeight="1" x14ac:dyDescent="0.25">
      <c r="F33" s="2079"/>
      <c r="G33" s="25"/>
      <c r="H33" s="25"/>
      <c r="I33" s="25"/>
      <c r="J33" s="539"/>
      <c r="K33" s="25"/>
      <c r="L33" s="543"/>
      <c r="M33" s="542"/>
      <c r="N33" s="542"/>
      <c r="O33" s="542"/>
      <c r="P33" s="542"/>
      <c r="Q33" s="542"/>
      <c r="R33" s="542"/>
      <c r="S33" s="542"/>
      <c r="T33" s="44"/>
      <c r="U33" s="542"/>
      <c r="V33" s="542"/>
      <c r="W33" s="542"/>
      <c r="X33" s="49"/>
      <c r="Y33" s="49"/>
      <c r="Z33" s="1055"/>
      <c r="AB33" s="1054"/>
      <c r="AC33" s="1050"/>
      <c r="AD33" s="1050"/>
      <c r="AE33" s="1050"/>
      <c r="AF33" s="1050"/>
      <c r="AG33" s="1050"/>
      <c r="AH33" s="1050"/>
      <c r="AI33" s="44"/>
      <c r="AJ33" s="44"/>
      <c r="AK33" s="548"/>
      <c r="AM33" s="44"/>
      <c r="AO33" s="78"/>
      <c r="AP33" s="78"/>
      <c r="AQ33" s="78"/>
      <c r="AR33" s="78"/>
      <c r="AS33" s="78"/>
      <c r="BI33" s="78"/>
      <c r="BJ33" s="78"/>
      <c r="BK33" s="78"/>
      <c r="BL33" s="78"/>
      <c r="BM33" s="78"/>
      <c r="BN33" s="78"/>
      <c r="BO33" s="78"/>
      <c r="BP33" s="78"/>
      <c r="BQ33" s="78"/>
      <c r="BR33" s="78"/>
      <c r="BS33" s="78"/>
      <c r="BT33" s="2107"/>
      <c r="BU33" s="2107"/>
      <c r="BV33" s="2107"/>
      <c r="BW33" s="2109"/>
      <c r="BX33" s="2109"/>
      <c r="BY33" s="2109"/>
      <c r="BZ33" s="2109"/>
      <c r="CA33" s="2109"/>
      <c r="CB33" s="78"/>
      <c r="CC33" s="78"/>
      <c r="CD33" s="78"/>
      <c r="CE33" s="78"/>
      <c r="CF33" s="78"/>
      <c r="CG33" s="78"/>
      <c r="CH33" s="78"/>
      <c r="CI33" s="78"/>
      <c r="CJ33" s="78"/>
      <c r="CK33" s="2109"/>
      <c r="CL33" s="2109"/>
      <c r="CM33" s="78"/>
      <c r="CN33" s="78"/>
      <c r="CO33" s="78"/>
      <c r="CP33" s="78"/>
      <c r="CQ33" s="78"/>
      <c r="CR33" s="2109"/>
      <c r="CS33" s="2109"/>
      <c r="CT33" s="2109"/>
      <c r="CU33" s="78"/>
      <c r="CV33" s="2109"/>
      <c r="CW33" s="2109"/>
      <c r="CX33" s="2110"/>
      <c r="CY33" s="2110"/>
      <c r="CZ33" s="2112"/>
      <c r="DA33" s="2110"/>
      <c r="DB33" s="2110"/>
      <c r="DC33" s="2110"/>
      <c r="DD33" s="2110"/>
      <c r="DE33" s="2110"/>
      <c r="DF33" s="2110"/>
      <c r="DG33" s="2082"/>
      <c r="DH33" s="78"/>
      <c r="DI33" s="78"/>
      <c r="DJ33" s="78"/>
      <c r="DK33" s="78"/>
      <c r="DL33" s="2110"/>
      <c r="DM33" s="2110"/>
      <c r="DN33" s="2110"/>
      <c r="DO33" s="2110"/>
      <c r="DP33" s="2110"/>
      <c r="DQ33" s="2110"/>
      <c r="DR33" s="2110"/>
      <c r="DS33" s="2110"/>
      <c r="DT33" s="2110"/>
      <c r="DU33" s="2110"/>
      <c r="DV33" s="2110"/>
      <c r="DW33" s="2110"/>
    </row>
    <row r="34" spans="5:132" ht="3" customHeight="1" x14ac:dyDescent="0.25">
      <c r="F34" s="2079"/>
      <c r="G34" s="25"/>
      <c r="H34" s="25"/>
      <c r="I34" s="25"/>
      <c r="J34" s="539"/>
      <c r="K34" s="25"/>
      <c r="L34" s="543"/>
      <c r="M34" s="542"/>
      <c r="N34" s="542"/>
      <c r="O34" s="542"/>
      <c r="P34" s="542"/>
      <c r="Q34" s="542"/>
      <c r="R34" s="542"/>
      <c r="S34" s="542"/>
      <c r="T34" s="44"/>
      <c r="U34" s="542"/>
      <c r="V34" s="542"/>
      <c r="W34" s="542"/>
      <c r="X34" s="49"/>
      <c r="Y34" s="49"/>
      <c r="Z34" s="1055"/>
      <c r="AB34" s="1054"/>
      <c r="AC34" s="1050"/>
      <c r="AD34" s="1050"/>
      <c r="AE34" s="1050"/>
      <c r="AF34" s="1050"/>
      <c r="AG34" s="1050"/>
      <c r="AH34" s="1050"/>
      <c r="AI34" s="44"/>
      <c r="AJ34" s="44"/>
      <c r="AK34" s="548"/>
      <c r="AM34" s="44"/>
      <c r="AO34" s="78"/>
      <c r="AP34" s="78"/>
      <c r="AQ34" s="78"/>
      <c r="AR34" s="78"/>
      <c r="AS34" s="78"/>
      <c r="BI34" s="78"/>
      <c r="BJ34" s="78"/>
      <c r="BK34" s="78"/>
      <c r="BL34" s="78"/>
      <c r="BM34" s="78"/>
      <c r="BN34" s="78"/>
      <c r="BO34" s="78"/>
      <c r="BP34" s="78"/>
      <c r="BQ34" s="78"/>
      <c r="BR34" s="78"/>
      <c r="BS34" s="78"/>
      <c r="BT34" s="2107"/>
      <c r="BU34" s="2107"/>
      <c r="BV34" s="2107"/>
      <c r="BW34" s="2109"/>
      <c r="BX34" s="2109"/>
      <c r="BY34" s="2109"/>
      <c r="BZ34" s="2109"/>
      <c r="CA34" s="2109"/>
      <c r="CB34" s="78"/>
      <c r="CC34" s="78"/>
      <c r="CD34" s="78"/>
      <c r="CE34" s="78"/>
      <c r="CF34" s="78"/>
      <c r="CG34" s="78"/>
      <c r="CH34" s="78"/>
      <c r="CI34" s="78"/>
      <c r="CJ34" s="78"/>
      <c r="CK34" s="2109"/>
      <c r="CL34" s="2109"/>
      <c r="CM34" s="78"/>
      <c r="CN34" s="78"/>
      <c r="CO34" s="78"/>
      <c r="CP34" s="78"/>
      <c r="CQ34" s="78"/>
      <c r="CR34" s="2109"/>
      <c r="CS34" s="2109"/>
      <c r="CT34" s="2109"/>
      <c r="CU34" s="78"/>
      <c r="CV34" s="2109"/>
      <c r="CW34" s="2109"/>
      <c r="CX34" s="2110"/>
      <c r="CY34" s="2110"/>
      <c r="CZ34" s="2112"/>
      <c r="DA34" s="2110"/>
      <c r="DB34" s="2110"/>
      <c r="DC34" s="2110"/>
      <c r="DD34" s="2110"/>
      <c r="DE34" s="2110"/>
      <c r="DF34" s="2110"/>
      <c r="DG34" s="2082"/>
      <c r="DH34" s="78"/>
      <c r="DI34" s="78"/>
      <c r="DJ34" s="78"/>
      <c r="DK34" s="78"/>
      <c r="DL34" s="2110"/>
      <c r="DM34" s="2110"/>
      <c r="DN34" s="2110"/>
      <c r="DO34" s="2110"/>
      <c r="DP34" s="2110"/>
      <c r="DQ34" s="2110"/>
      <c r="DR34" s="2110"/>
      <c r="DS34" s="2110"/>
      <c r="DT34" s="2110"/>
      <c r="DU34" s="2110"/>
      <c r="DV34" s="2110"/>
      <c r="DW34" s="2110"/>
    </row>
    <row r="35" spans="5:132" ht="3" customHeight="1" x14ac:dyDescent="0.25">
      <c r="F35" s="2079"/>
      <c r="G35" s="25"/>
      <c r="H35" s="25"/>
      <c r="I35" s="25"/>
      <c r="J35" s="539"/>
      <c r="K35" s="25"/>
      <c r="L35" s="543"/>
      <c r="M35" s="542"/>
      <c r="N35" s="542"/>
      <c r="O35" s="542"/>
      <c r="P35" s="542"/>
      <c r="Q35" s="542"/>
      <c r="R35" s="542"/>
      <c r="S35" s="542"/>
      <c r="T35" s="44"/>
      <c r="U35" s="542"/>
      <c r="V35" s="542"/>
      <c r="W35" s="542"/>
      <c r="X35" s="49"/>
      <c r="Y35" s="49"/>
      <c r="Z35" s="1055"/>
      <c r="AB35" s="1054"/>
      <c r="AC35" s="1050"/>
      <c r="AD35" s="1050"/>
      <c r="AE35" s="1050"/>
      <c r="AF35" s="1050"/>
      <c r="AG35" s="1050"/>
      <c r="AH35" s="1050"/>
      <c r="AI35" s="44"/>
      <c r="AJ35" s="44"/>
      <c r="AK35" s="548"/>
      <c r="AM35" s="44"/>
      <c r="AO35" s="78"/>
      <c r="AP35" s="78"/>
      <c r="AQ35" s="78"/>
      <c r="AR35" s="78"/>
      <c r="AS35" s="78"/>
      <c r="BI35" s="78"/>
      <c r="BJ35" s="78"/>
      <c r="BK35" s="78"/>
      <c r="BL35" s="78"/>
      <c r="BM35" s="78"/>
      <c r="BN35" s="78"/>
      <c r="BO35" s="78"/>
      <c r="BP35" s="78"/>
      <c r="BQ35" s="78"/>
      <c r="BR35" s="78"/>
      <c r="BS35" s="78"/>
      <c r="BT35" s="2107"/>
      <c r="BU35" s="2107"/>
      <c r="BV35" s="2107"/>
      <c r="BW35" s="2109"/>
      <c r="BX35" s="2109"/>
      <c r="BY35" s="2109"/>
      <c r="BZ35" s="2109"/>
      <c r="CA35" s="2109"/>
      <c r="CB35" s="78"/>
      <c r="CC35" s="78"/>
      <c r="CD35" s="78"/>
      <c r="CE35" s="78"/>
      <c r="CF35" s="78"/>
      <c r="CG35" s="78"/>
      <c r="CH35" s="78"/>
      <c r="CI35" s="78"/>
      <c r="CJ35" s="78"/>
      <c r="CK35" s="2109"/>
      <c r="CL35" s="2109"/>
      <c r="CM35" s="78"/>
      <c r="CN35" s="78"/>
      <c r="CO35" s="78"/>
      <c r="CP35" s="78"/>
      <c r="CQ35" s="78"/>
      <c r="CR35" s="2109"/>
      <c r="CS35" s="2109"/>
      <c r="CT35" s="2109"/>
      <c r="CU35" s="78"/>
      <c r="CV35" s="2109"/>
      <c r="CW35" s="2109"/>
      <c r="CX35" s="2110"/>
      <c r="CY35" s="2110"/>
      <c r="CZ35" s="2112"/>
      <c r="DA35" s="2110"/>
      <c r="DB35" s="2110"/>
      <c r="DC35" s="2110"/>
      <c r="DD35" s="2110"/>
      <c r="DE35" s="2110"/>
      <c r="DF35" s="2110"/>
      <c r="DG35" s="2082"/>
      <c r="DH35" s="78"/>
      <c r="DI35" s="78"/>
      <c r="DJ35" s="78"/>
      <c r="DK35" s="78"/>
      <c r="DL35" s="2110"/>
      <c r="DM35" s="2110"/>
      <c r="DN35" s="2110"/>
      <c r="DO35" s="2110"/>
      <c r="DP35" s="2110"/>
      <c r="DQ35" s="2110"/>
      <c r="DR35" s="2110"/>
      <c r="DS35" s="2110"/>
      <c r="DT35" s="2110"/>
      <c r="DU35" s="2110"/>
      <c r="DV35" s="2110"/>
      <c r="DW35" s="2110"/>
    </row>
    <row r="36" spans="5:132" ht="3" customHeight="1" thickBot="1" x14ac:dyDescent="0.3">
      <c r="F36" s="2079"/>
      <c r="G36" s="25"/>
      <c r="H36" s="25"/>
      <c r="I36" s="25"/>
      <c r="J36" s="539"/>
      <c r="K36" s="25"/>
      <c r="L36" s="543"/>
      <c r="M36" s="542"/>
      <c r="N36" s="542"/>
      <c r="O36" s="542"/>
      <c r="P36" s="542"/>
      <c r="Q36" s="542"/>
      <c r="R36" s="542"/>
      <c r="S36" s="542"/>
      <c r="T36" s="44"/>
      <c r="U36" s="542"/>
      <c r="V36" s="542"/>
      <c r="W36" s="542"/>
      <c r="X36" s="49"/>
      <c r="Y36" s="49"/>
      <c r="Z36" s="1055"/>
      <c r="AB36" s="1054"/>
      <c r="AC36" s="1050"/>
      <c r="AD36" s="1050"/>
      <c r="AE36" s="1050"/>
      <c r="AF36" s="1050"/>
      <c r="AG36" s="1050"/>
      <c r="AH36" s="1050"/>
      <c r="AI36" s="44"/>
      <c r="AJ36" s="44"/>
      <c r="AK36" s="548"/>
      <c r="AM36" s="44"/>
      <c r="AO36" s="78"/>
      <c r="AP36" s="78"/>
      <c r="AQ36" s="78"/>
      <c r="AR36" s="78"/>
      <c r="AS36" s="78"/>
      <c r="BI36" s="78"/>
      <c r="BJ36" s="78"/>
      <c r="BK36" s="78"/>
      <c r="BL36" s="78"/>
      <c r="BM36" s="78"/>
      <c r="BN36" s="78"/>
      <c r="BO36" s="78"/>
      <c r="BP36" s="78"/>
      <c r="BQ36" s="78"/>
      <c r="BR36" s="78"/>
      <c r="BS36" s="78"/>
      <c r="BT36" s="2107"/>
      <c r="BU36" s="2107"/>
      <c r="BV36" s="2107"/>
      <c r="BW36" s="2109"/>
      <c r="BX36" s="2109"/>
      <c r="BY36" s="2109"/>
      <c r="BZ36" s="2109"/>
      <c r="CA36" s="2109"/>
      <c r="CB36" s="78"/>
      <c r="CC36" s="78"/>
      <c r="CD36" s="78"/>
      <c r="CE36" s="78"/>
      <c r="CF36" s="78"/>
      <c r="CG36" s="78"/>
      <c r="CH36" s="78"/>
      <c r="CI36" s="78"/>
      <c r="CJ36" s="78"/>
      <c r="CK36" s="2109"/>
      <c r="CL36" s="2109"/>
      <c r="CM36" s="78"/>
      <c r="CN36" s="78"/>
      <c r="CO36" s="78"/>
      <c r="CP36" s="78"/>
      <c r="CQ36" s="78"/>
      <c r="CR36" s="2109"/>
      <c r="CS36" s="2109"/>
      <c r="CT36" s="2109"/>
      <c r="CU36" s="78"/>
      <c r="CV36" s="2109"/>
      <c r="CW36" s="2109"/>
      <c r="CX36" s="2110"/>
      <c r="CY36" s="2110"/>
      <c r="CZ36" s="2112"/>
      <c r="DA36" s="2110"/>
      <c r="DB36" s="2110"/>
      <c r="DC36" s="2110"/>
      <c r="DD36" s="2110"/>
      <c r="DE36" s="2110"/>
      <c r="DF36" s="2110"/>
      <c r="DG36" s="2082"/>
      <c r="DH36" s="78"/>
      <c r="DI36" s="78"/>
      <c r="DJ36" s="78"/>
      <c r="DK36" s="78"/>
      <c r="DL36" s="2110"/>
      <c r="DM36" s="2110"/>
      <c r="DN36" s="2110"/>
      <c r="DO36" s="2110"/>
      <c r="DP36" s="2110"/>
      <c r="DQ36" s="2110"/>
      <c r="DR36" s="2110"/>
      <c r="DS36" s="2110"/>
      <c r="DT36" s="2110"/>
      <c r="DU36" s="2110"/>
      <c r="DV36" s="2110"/>
      <c r="DW36" s="2110"/>
    </row>
    <row r="37" spans="5:132" ht="20.100000000000001" customHeight="1" thickBot="1" x14ac:dyDescent="0.3">
      <c r="E37" s="115" t="s">
        <v>216</v>
      </c>
      <c r="F37" s="2079">
        <f>IF(OR(AND($F$10=1,$F$18&gt;2),(AND($F$10=2,$F$18&gt;4)),$EI$86="12B",$EI$86="12C",$EI$86="24B",$EI$86="24C"),1,0)</f>
        <v>0</v>
      </c>
      <c r="G37" s="25"/>
      <c r="H37" s="25"/>
      <c r="I37" s="25"/>
      <c r="J37" s="540"/>
      <c r="K37" s="25"/>
      <c r="L37" s="543"/>
      <c r="M37" s="542" t="s">
        <v>573</v>
      </c>
      <c r="N37" s="542"/>
      <c r="O37" s="542"/>
      <c r="P37" s="542"/>
      <c r="Q37" s="542"/>
      <c r="R37" s="542"/>
      <c r="S37" s="542"/>
      <c r="T37" s="2096" t="s">
        <v>149</v>
      </c>
      <c r="U37" s="542"/>
      <c r="V37" s="542"/>
      <c r="W37" s="542"/>
      <c r="X37" s="2098"/>
      <c r="Y37" s="2098"/>
      <c r="Z37" s="1055"/>
      <c r="AB37" s="1054"/>
      <c r="AC37" s="1050"/>
      <c r="AD37" s="6393"/>
      <c r="AE37" s="6394"/>
      <c r="AF37" s="6394"/>
      <c r="AG37" s="6394"/>
      <c r="AH37" s="6395"/>
      <c r="AI37" s="44"/>
      <c r="AJ37" s="30" t="str">
        <f>IF(AD37="","!",IF(AD37=F31,"✓","!"))</f>
        <v>!</v>
      </c>
      <c r="AK37" s="548"/>
      <c r="AM37" s="44"/>
      <c r="AO37" s="78"/>
      <c r="AS37" s="78"/>
      <c r="BI37" s="78"/>
      <c r="BJ37" s="78"/>
      <c r="BK37" s="78"/>
      <c r="BL37" s="78"/>
      <c r="BM37" s="78"/>
      <c r="BN37" s="78"/>
      <c r="BO37" s="78"/>
      <c r="BP37" s="78"/>
      <c r="BQ37" s="78"/>
      <c r="BR37" s="78"/>
      <c r="BS37" s="78"/>
      <c r="BT37" s="2107"/>
      <c r="BU37" s="2107"/>
      <c r="BV37" s="2107"/>
      <c r="BW37" s="2109"/>
      <c r="BX37" s="2109"/>
      <c r="BY37" s="2109"/>
      <c r="BZ37" s="2109"/>
      <c r="CA37" s="2109"/>
      <c r="CB37" s="78"/>
      <c r="CC37" s="78"/>
      <c r="CD37" s="78"/>
      <c r="CE37" s="78"/>
      <c r="CF37" s="78"/>
      <c r="CG37" s="78"/>
      <c r="CH37" s="78"/>
      <c r="CI37" s="78"/>
      <c r="CJ37" s="6480" t="str">
        <f>IF(OR($EI$94="1211c",$EI$94="1311b",$EI$94="1411A",$EK$86="24c1",$EK$86="26b1",$EL$86="281",$EK$86="26c1",$EK$86="26d1",$EK$86="13c1",$EK$86="13d1"),"↓","")</f>
        <v/>
      </c>
      <c r="CK37" s="6480"/>
      <c r="CL37" s="6480"/>
      <c r="CM37" s="78"/>
      <c r="CN37" s="78"/>
      <c r="CO37" s="78"/>
      <c r="CP37" s="78"/>
      <c r="CQ37" s="78"/>
      <c r="CR37" s="6480" t="str">
        <f>IF(OR(AND($F$65=1,$F$6="a"),AND($F$65=1,$F$18=8),$EI$94="1211b",$EK$86="24b1",$EK$86="26c1",$EK$86="26d1",$EK$86="13c1",$EK$86="13d1"),"↓","")</f>
        <v/>
      </c>
      <c r="CS37" s="6480"/>
      <c r="CT37" s="6480"/>
      <c r="CU37" s="78"/>
      <c r="CV37" s="2109"/>
      <c r="CW37" s="2109"/>
      <c r="CX37" s="2110"/>
      <c r="CY37" s="2110"/>
      <c r="CZ37" s="2112"/>
      <c r="DA37" s="2110"/>
      <c r="DB37" s="2110"/>
      <c r="DC37" s="2110"/>
      <c r="DD37" s="2110"/>
      <c r="DE37" s="2110"/>
      <c r="DF37" s="2110"/>
      <c r="DG37" s="2082"/>
      <c r="DH37" s="78"/>
      <c r="DI37" s="78"/>
      <c r="DJ37" s="78"/>
      <c r="DK37" s="78"/>
      <c r="DL37" s="2110"/>
      <c r="DM37" s="2110"/>
      <c r="DN37" s="2110"/>
      <c r="DO37" s="2110"/>
      <c r="DP37" s="2110"/>
      <c r="DQ37" s="2110"/>
      <c r="DR37" s="2110"/>
      <c r="DS37" s="2110"/>
      <c r="DT37" s="2110"/>
      <c r="DU37" s="2110"/>
      <c r="DV37" s="2110"/>
      <c r="DW37" s="2110"/>
    </row>
    <row r="38" spans="5:132" ht="15" customHeight="1" thickBot="1" x14ac:dyDescent="0.3">
      <c r="E38" s="115" t="s">
        <v>577</v>
      </c>
      <c r="F38" s="2079">
        <f>IF($AD$37="A",1,IF($AD$37="B",2,IF($AD$37="C",3,IF($AD$37="D",4,0))))</f>
        <v>0</v>
      </c>
      <c r="G38" s="25"/>
      <c r="H38" s="25"/>
      <c r="I38" s="25"/>
      <c r="J38" s="540"/>
      <c r="K38" s="25"/>
      <c r="L38" s="543"/>
      <c r="M38" s="542"/>
      <c r="N38" s="542"/>
      <c r="O38" s="542"/>
      <c r="P38" s="542"/>
      <c r="Q38" s="542"/>
      <c r="R38" s="542"/>
      <c r="S38" s="542"/>
      <c r="T38" s="44"/>
      <c r="U38" s="542"/>
      <c r="V38" s="542"/>
      <c r="W38" s="542"/>
      <c r="X38" s="49"/>
      <c r="Y38" s="49"/>
      <c r="Z38" s="1055"/>
      <c r="AB38" s="1054"/>
      <c r="AC38" s="1050"/>
      <c r="AD38" s="1050"/>
      <c r="AE38" s="1050"/>
      <c r="AF38" s="1050"/>
      <c r="AG38" s="1050"/>
      <c r="AH38" s="1050"/>
      <c r="AI38" s="44"/>
      <c r="AJ38" s="44"/>
      <c r="AK38" s="1055"/>
      <c r="AM38" s="2113"/>
      <c r="AO38" s="78"/>
      <c r="AP38" s="78"/>
      <c r="AQ38" s="78"/>
      <c r="AR38" s="78"/>
      <c r="AS38" s="78"/>
      <c r="AT38" s="78"/>
      <c r="AU38" s="78"/>
      <c r="AV38" s="78"/>
      <c r="AW38" s="78"/>
      <c r="AX38" s="78"/>
      <c r="AY38" s="78"/>
      <c r="AZ38" s="78"/>
      <c r="BA38" s="78"/>
      <c r="BB38" s="2114"/>
      <c r="BC38" s="2114"/>
      <c r="BD38" s="2104"/>
      <c r="BE38" s="2104"/>
      <c r="BF38" s="2104"/>
      <c r="BG38" s="2105"/>
      <c r="BH38" s="78"/>
      <c r="BI38" s="78"/>
      <c r="BJ38" s="78"/>
      <c r="BK38" s="78"/>
      <c r="BL38" s="78"/>
      <c r="BM38" s="78"/>
      <c r="BN38" s="78"/>
      <c r="BO38" s="78"/>
      <c r="BP38" s="78"/>
      <c r="BQ38" s="78"/>
      <c r="BR38" s="78"/>
      <c r="BS38" s="78"/>
      <c r="BT38" s="2107"/>
      <c r="BU38" s="2107"/>
      <c r="BV38" s="2107"/>
      <c r="BW38" s="2109"/>
      <c r="BX38" s="2109"/>
      <c r="BY38" s="2109"/>
      <c r="BZ38" s="2109"/>
      <c r="CA38" s="2109"/>
      <c r="CB38" s="78"/>
      <c r="CC38" s="78"/>
      <c r="CD38" s="78"/>
      <c r="CE38" s="78"/>
      <c r="CF38" s="78"/>
      <c r="CG38" s="78"/>
      <c r="CH38" s="78"/>
      <c r="CI38" s="78"/>
      <c r="CJ38" s="6480"/>
      <c r="CK38" s="6480"/>
      <c r="CL38" s="6480"/>
      <c r="CM38" s="78"/>
      <c r="CN38" s="78"/>
      <c r="CO38" s="78"/>
      <c r="CP38" s="4109"/>
      <c r="CQ38" s="78"/>
      <c r="CR38" s="6480"/>
      <c r="CS38" s="6480"/>
      <c r="CT38" s="6480"/>
      <c r="CU38" s="78"/>
      <c r="CV38" s="2109"/>
      <c r="CW38" s="2109"/>
      <c r="CX38" s="2110"/>
      <c r="CY38" s="2110"/>
      <c r="CZ38" s="2112"/>
      <c r="DA38" s="2110"/>
      <c r="DB38" s="2110"/>
      <c r="DC38" s="2110"/>
      <c r="DD38" s="2110"/>
      <c r="DE38" s="2110"/>
      <c r="DF38" s="2110"/>
      <c r="DG38" s="2082"/>
      <c r="DH38" s="78"/>
      <c r="DI38" s="78"/>
      <c r="DJ38" s="78"/>
      <c r="DK38" s="78"/>
      <c r="DL38" s="2110"/>
      <c r="DM38" s="2110"/>
      <c r="DN38" s="2110"/>
      <c r="DO38" s="2110"/>
      <c r="DP38" s="2110"/>
      <c r="DQ38" s="2110"/>
      <c r="DR38" s="2110"/>
      <c r="DS38" s="2110"/>
      <c r="DT38" s="2110"/>
      <c r="DU38" s="2110"/>
      <c r="DV38" s="2110"/>
      <c r="DW38" s="2617"/>
      <c r="DX38" s="2617"/>
      <c r="DY38" s="2617"/>
      <c r="DZ38" s="2617"/>
      <c r="EA38" s="2617"/>
    </row>
    <row r="39" spans="5:132" ht="20.100000000000001" customHeight="1" thickBot="1" x14ac:dyDescent="0.3">
      <c r="G39" s="25"/>
      <c r="H39" s="25"/>
      <c r="I39" s="25"/>
      <c r="J39" s="540"/>
      <c r="K39" s="25"/>
      <c r="L39" s="543"/>
      <c r="M39" s="542" t="s">
        <v>2655</v>
      </c>
      <c r="N39" s="542"/>
      <c r="O39" s="542"/>
      <c r="P39" s="542"/>
      <c r="Q39" s="542"/>
      <c r="R39" s="542"/>
      <c r="S39" s="542"/>
      <c r="T39" s="2096" t="s">
        <v>149</v>
      </c>
      <c r="U39" s="2097"/>
      <c r="V39" s="542"/>
      <c r="W39" s="542"/>
      <c r="X39" s="2098"/>
      <c r="Y39" s="2098"/>
      <c r="Z39" s="1055"/>
      <c r="AB39" s="1054"/>
      <c r="AC39" s="1050"/>
      <c r="AD39" s="6393"/>
      <c r="AE39" s="6394"/>
      <c r="AF39" s="6394"/>
      <c r="AG39" s="6394"/>
      <c r="AH39" s="6395"/>
      <c r="AI39" s="1050"/>
      <c r="AJ39" s="30" t="str">
        <f>IF(AD39="","!",IF(AD39=F24,"✓","!"))</f>
        <v>!</v>
      </c>
      <c r="AK39" s="1055"/>
      <c r="AM39" s="2113"/>
      <c r="AO39" s="78"/>
      <c r="AP39" s="78"/>
      <c r="AQ39" s="78"/>
      <c r="AR39" s="78"/>
      <c r="AS39" s="78"/>
      <c r="AT39" s="78"/>
      <c r="AU39" s="78"/>
      <c r="AV39" s="78"/>
      <c r="AW39" s="78"/>
      <c r="AX39" s="78"/>
      <c r="AY39" s="78"/>
      <c r="AZ39" s="2617"/>
      <c r="BA39" s="2617"/>
      <c r="BB39" s="2114"/>
      <c r="BC39" s="2114"/>
      <c r="BD39" s="2104"/>
      <c r="BE39" s="2104"/>
      <c r="BF39" s="2104"/>
      <c r="BG39" s="2105"/>
      <c r="BH39" s="78"/>
      <c r="BI39" s="78"/>
      <c r="BJ39" s="78"/>
      <c r="BK39" s="78"/>
      <c r="BL39" s="78"/>
      <c r="BM39" s="78"/>
      <c r="BN39" s="78"/>
      <c r="BO39" s="78"/>
      <c r="BP39" s="78"/>
      <c r="BQ39" s="78"/>
      <c r="BR39" s="78"/>
      <c r="BS39" s="78"/>
      <c r="BT39" s="2107"/>
      <c r="BU39" s="2107"/>
      <c r="BV39" s="2107"/>
      <c r="BW39" s="2109"/>
      <c r="BX39" s="2109"/>
      <c r="BY39" s="2109"/>
      <c r="BZ39" s="2109"/>
      <c r="CA39" s="2109"/>
      <c r="CB39" s="78"/>
      <c r="CC39" s="78"/>
      <c r="CD39" s="78"/>
      <c r="CE39" s="78"/>
      <c r="CF39" s="78"/>
      <c r="CG39" s="78"/>
      <c r="CH39" s="78"/>
      <c r="CI39" s="78"/>
      <c r="CJ39" s="6480"/>
      <c r="CK39" s="6480"/>
      <c r="CL39" s="6480"/>
      <c r="CM39" s="78"/>
      <c r="CN39" s="78"/>
      <c r="CO39" s="78"/>
      <c r="CP39" s="78"/>
      <c r="CQ39" s="78"/>
      <c r="CR39" s="6480"/>
      <c r="CS39" s="6480"/>
      <c r="CT39" s="6480"/>
      <c r="CU39" s="78"/>
      <c r="CV39" s="2109"/>
      <c r="CW39" s="2109"/>
      <c r="CX39" s="2110"/>
      <c r="CY39" s="2110"/>
      <c r="CZ39" s="2112"/>
      <c r="DA39" s="2110"/>
      <c r="DB39" s="2110"/>
      <c r="DC39" s="2110"/>
      <c r="DD39" s="2110"/>
      <c r="DE39" s="2110"/>
      <c r="DF39" s="2110"/>
      <c r="DG39" s="2082"/>
      <c r="DH39" s="78"/>
      <c r="DI39" s="78"/>
      <c r="DJ39" s="78"/>
      <c r="DK39" s="78"/>
      <c r="DL39" s="2110"/>
      <c r="DM39" s="2110"/>
      <c r="DN39" s="2110"/>
      <c r="DO39" s="2110"/>
      <c r="DP39" s="2110"/>
      <c r="DQ39" s="2110"/>
      <c r="DR39" s="2110"/>
      <c r="DS39" s="2110"/>
      <c r="DT39" s="2110"/>
      <c r="DU39" s="2110"/>
      <c r="DV39" s="2110"/>
      <c r="DW39" s="2617"/>
      <c r="DX39" s="2617"/>
      <c r="DY39" s="2617"/>
      <c r="DZ39" s="2617"/>
      <c r="EA39" s="2617"/>
    </row>
    <row r="40" spans="5:132" ht="15" customHeight="1" thickBot="1" x14ac:dyDescent="0.4">
      <c r="E40" s="115" t="s">
        <v>1494</v>
      </c>
      <c r="F40" s="2079" t="s">
        <v>1227</v>
      </c>
      <c r="G40" s="25"/>
      <c r="H40" s="25"/>
      <c r="I40" s="25"/>
      <c r="J40" s="541"/>
      <c r="K40" s="25"/>
      <c r="L40" s="545"/>
      <c r="M40" s="602"/>
      <c r="N40" s="602"/>
      <c r="O40" s="602"/>
      <c r="P40" s="602"/>
      <c r="Q40" s="602"/>
      <c r="R40" s="602"/>
      <c r="S40" s="602"/>
      <c r="T40" s="615"/>
      <c r="U40" s="602"/>
      <c r="V40" s="602"/>
      <c r="W40" s="602"/>
      <c r="X40" s="616"/>
      <c r="Y40" s="616"/>
      <c r="Z40" s="2149"/>
      <c r="AB40" s="2150"/>
      <c r="AC40" s="2147"/>
      <c r="AD40" s="2147"/>
      <c r="AE40" s="2147"/>
      <c r="AF40" s="2147"/>
      <c r="AG40" s="2147"/>
      <c r="AH40" s="2147"/>
      <c r="AI40" s="2147"/>
      <c r="AJ40" s="615"/>
      <c r="AK40" s="623"/>
      <c r="AM40" s="44"/>
      <c r="AO40" s="78"/>
      <c r="AP40" s="78"/>
      <c r="AQ40" s="78"/>
      <c r="AR40" s="78"/>
      <c r="AS40" s="78"/>
      <c r="AT40" s="2115"/>
      <c r="AU40" s="2115"/>
      <c r="AV40" s="2115"/>
      <c r="AW40" s="2115"/>
      <c r="AX40" s="2115"/>
      <c r="AY40" s="2115"/>
      <c r="AZ40" s="183"/>
      <c r="BA40" s="183"/>
      <c r="BB40" s="2114"/>
      <c r="BC40" s="2114"/>
      <c r="BD40" s="2104"/>
      <c r="BE40" s="2104"/>
      <c r="BF40" s="2104"/>
      <c r="BG40" s="2105"/>
      <c r="BH40" s="2116" t="str">
        <f>IF($EH$133&lt;&gt;"",$EH$133&amp;" m","")</f>
        <v>?  m</v>
      </c>
      <c r="BI40" s="78"/>
      <c r="BJ40" s="78"/>
      <c r="BK40" s="78"/>
      <c r="BL40" s="78"/>
      <c r="BM40" s="78"/>
      <c r="BN40" s="78"/>
      <c r="BO40" s="78"/>
      <c r="BP40" s="78"/>
      <c r="BQ40" s="78"/>
      <c r="BR40" s="78"/>
      <c r="BS40" s="78"/>
      <c r="BT40" s="2107"/>
      <c r="BU40" s="2107"/>
      <c r="BV40" s="2107"/>
      <c r="BW40" s="2109"/>
      <c r="BX40" s="2109"/>
      <c r="BY40" s="2109"/>
      <c r="BZ40" s="2109"/>
      <c r="CA40" s="2109"/>
      <c r="CB40" s="78"/>
      <c r="CC40" s="2117"/>
      <c r="CD40" s="2117"/>
      <c r="CE40" s="2117"/>
      <c r="CF40" s="2118"/>
      <c r="CG40" s="2118"/>
      <c r="CH40" s="2118"/>
      <c r="CI40" s="2119" t="str">
        <f>IF($EI$133&lt;&gt;"",$EI$133&amp;" m","")</f>
        <v/>
      </c>
      <c r="CJ40" s="3914"/>
      <c r="CK40" s="3914"/>
      <c r="CL40" s="78"/>
      <c r="CM40" s="78"/>
      <c r="CN40" s="78"/>
      <c r="CO40" s="78"/>
      <c r="CP40" s="78"/>
      <c r="CQ40" s="78"/>
      <c r="CR40" s="78"/>
      <c r="CS40" s="78"/>
      <c r="CT40" s="78"/>
      <c r="CU40" s="2120" t="str">
        <f>IF($EJ$133&lt;&gt;"",$EJ$133&amp;" m","")</f>
        <v/>
      </c>
      <c r="CV40" s="2118"/>
      <c r="CW40" s="78"/>
      <c r="CX40" s="2110"/>
      <c r="CY40" s="2110"/>
      <c r="CZ40" s="2112"/>
      <c r="DA40" s="2110"/>
      <c r="DB40" s="2110"/>
      <c r="DC40" s="2110"/>
      <c r="DD40" s="2110"/>
      <c r="DE40" s="2110"/>
      <c r="DF40" s="2110"/>
      <c r="DG40" s="2111"/>
      <c r="DH40" s="2109"/>
      <c r="DI40" s="2109"/>
      <c r="DJ40" s="2109"/>
      <c r="DK40" s="2119" t="str">
        <f>IF(EK133&lt;&gt;"",EK133&amp;" m","")</f>
        <v/>
      </c>
      <c r="DL40" s="2110"/>
      <c r="DM40" s="2110"/>
      <c r="DN40" s="2110"/>
      <c r="DO40" s="2110"/>
      <c r="DP40" s="2110"/>
      <c r="DQ40" s="2110"/>
      <c r="DR40" s="2110"/>
      <c r="DS40" s="2110"/>
      <c r="DT40" s="2110"/>
      <c r="DU40" s="2110"/>
      <c r="DV40" s="2110"/>
      <c r="DW40" s="2617"/>
      <c r="DX40" s="2617"/>
      <c r="DY40" s="2617"/>
      <c r="DZ40" s="2617"/>
      <c r="EA40" s="2617"/>
    </row>
    <row r="41" spans="5:132" ht="15" customHeight="1" x14ac:dyDescent="0.2">
      <c r="E41" s="115" t="s">
        <v>245</v>
      </c>
      <c r="F41" s="2079" t="str">
        <f>IF($F$65&gt;0,1,"")</f>
        <v/>
      </c>
      <c r="J41" s="540"/>
      <c r="K41" s="25"/>
      <c r="L41" s="543"/>
      <c r="M41" s="2121"/>
      <c r="N41" s="2122"/>
      <c r="O41" s="2122"/>
      <c r="P41" s="2122"/>
      <c r="Q41" s="2122"/>
      <c r="R41" s="2122"/>
      <c r="S41" s="542"/>
      <c r="T41" s="2096"/>
      <c r="U41" s="2123"/>
      <c r="V41" s="542"/>
      <c r="W41" s="542"/>
      <c r="X41" s="2098"/>
      <c r="Y41" s="2098"/>
      <c r="Z41" s="1055"/>
      <c r="AB41" s="1054"/>
      <c r="AC41" s="1050"/>
      <c r="AD41" s="6447" t="str">
        <f>IF(F13=3,"Velg driftsform for hver stuff","")</f>
        <v/>
      </c>
      <c r="AE41" s="6447"/>
      <c r="AF41" s="6447"/>
      <c r="AG41" s="6447"/>
      <c r="AH41" s="6447"/>
      <c r="AI41" s="44"/>
      <c r="AJ41" s="5335"/>
      <c r="AK41" s="2124"/>
      <c r="AM41" s="44"/>
      <c r="AO41" s="78"/>
      <c r="AP41" s="6401" t="str">
        <f>IF($F$10=1,"",IF($F$10=2,"Løp 1:"))</f>
        <v/>
      </c>
      <c r="AQ41" s="6441"/>
      <c r="AR41" s="6441"/>
      <c r="AS41" s="6441"/>
      <c r="AT41" s="6441"/>
      <c r="AU41" s="6441"/>
      <c r="AV41" s="6441"/>
      <c r="AW41" s="6441"/>
      <c r="AX41" s="6441"/>
      <c r="AY41" s="6402"/>
      <c r="AZ41" s="183"/>
      <c r="BA41" s="183"/>
      <c r="BB41" s="2101"/>
      <c r="BC41" s="2101"/>
      <c r="BD41" s="2101"/>
      <c r="BE41" s="2101"/>
      <c r="BF41" s="2101"/>
      <c r="BG41" s="2125"/>
      <c r="BH41" s="6457" t="str">
        <f>$EH$132</f>
        <v>Stuff 1-1</v>
      </c>
      <c r="BI41" s="6457"/>
      <c r="BJ41" s="6457"/>
      <c r="BK41" s="6457"/>
      <c r="BL41" s="3913"/>
      <c r="BM41" s="2125"/>
      <c r="BN41" s="2125"/>
      <c r="BO41" s="6439" t="str">
        <f>IF(EH132&lt;&gt;"","à","")</f>
        <v>à</v>
      </c>
      <c r="BP41" s="2126"/>
      <c r="BQ41" s="2126"/>
      <c r="BR41" s="2126"/>
      <c r="BS41" s="2126"/>
      <c r="BT41" s="2126"/>
      <c r="BU41" s="2126"/>
      <c r="BV41" s="2126"/>
      <c r="BW41" s="2127"/>
      <c r="BX41" s="2128"/>
      <c r="BY41" s="2128"/>
      <c r="BZ41" s="6439" t="str">
        <f>IF(EI132&lt;&gt;"","ß","")</f>
        <v/>
      </c>
      <c r="CA41" s="6439"/>
      <c r="CB41" s="78"/>
      <c r="CC41" s="78"/>
      <c r="CD41" s="6397" t="str">
        <f>$EI$132</f>
        <v/>
      </c>
      <c r="CE41" s="6397"/>
      <c r="CF41" s="6397"/>
      <c r="CG41" s="6397"/>
      <c r="CH41" s="6397"/>
      <c r="CI41" s="6397"/>
      <c r="CJ41" s="2129"/>
      <c r="CK41" s="2129"/>
      <c r="CL41" s="2129"/>
      <c r="CM41" s="136"/>
      <c r="CN41" s="136"/>
      <c r="CO41" s="136"/>
      <c r="CP41" s="136"/>
      <c r="CQ41" s="136"/>
      <c r="CR41" s="136"/>
      <c r="CS41" s="136"/>
      <c r="CT41" s="136"/>
      <c r="CU41" s="6457" t="str">
        <f>$EJ$132</f>
        <v/>
      </c>
      <c r="CV41" s="6457"/>
      <c r="CW41" s="6455" t="str">
        <f>IF(EJ132&lt;&gt;"","à","")</f>
        <v/>
      </c>
      <c r="CX41" s="6455"/>
      <c r="CY41" s="6455"/>
      <c r="CZ41" s="6455"/>
      <c r="DA41" s="1898"/>
      <c r="DB41" s="1898"/>
      <c r="DC41" s="1898"/>
      <c r="DD41" s="1898"/>
      <c r="DE41" s="1898"/>
      <c r="DF41" s="6456" t="str">
        <f>IF(EK132&lt;&gt;"","ß","")</f>
        <v/>
      </c>
      <c r="DG41" s="6456"/>
      <c r="DH41" s="136"/>
      <c r="DI41" s="6397" t="str">
        <f>$EK$132</f>
        <v/>
      </c>
      <c r="DJ41" s="6397"/>
      <c r="DK41" s="6397"/>
      <c r="DL41" s="2130"/>
      <c r="DM41" s="2130"/>
      <c r="DN41" s="2130"/>
      <c r="DO41" s="2130"/>
      <c r="DP41" s="2130"/>
      <c r="DQ41" s="2130"/>
      <c r="DR41" s="2617"/>
      <c r="DS41" s="6401" t="str">
        <f>IF($F$10=1,"",IF($F$10=2,"Løp 1:"))</f>
        <v/>
      </c>
      <c r="DT41" s="6402"/>
      <c r="DU41" s="2617"/>
      <c r="DV41" s="2617"/>
      <c r="DW41" s="2617"/>
      <c r="DX41" s="2617"/>
      <c r="DY41" s="2617"/>
      <c r="DZ41" s="2617"/>
      <c r="EA41" s="2617"/>
      <c r="EB41" s="2617"/>
    </row>
    <row r="42" spans="5:132" ht="5.0999999999999996" customHeight="1" thickBot="1" x14ac:dyDescent="0.25">
      <c r="F42" s="2079"/>
      <c r="J42" s="540"/>
      <c r="K42" s="25"/>
      <c r="L42" s="543"/>
      <c r="M42" s="2121"/>
      <c r="N42" s="2122"/>
      <c r="O42" s="2122"/>
      <c r="P42" s="2122"/>
      <c r="Q42" s="2122"/>
      <c r="R42" s="2122"/>
      <c r="S42" s="542"/>
      <c r="T42" s="2096"/>
      <c r="U42" s="2123"/>
      <c r="V42" s="542"/>
      <c r="W42" s="542"/>
      <c r="X42" s="2098"/>
      <c r="Y42" s="2098"/>
      <c r="Z42" s="1055"/>
      <c r="AB42" s="1054"/>
      <c r="AC42" s="1050"/>
      <c r="AD42" s="6446" t="str">
        <f>IF(F13=3,"nedenfor.","")</f>
        <v/>
      </c>
      <c r="AE42" s="6446"/>
      <c r="AF42" s="6446"/>
      <c r="AG42" s="6446"/>
      <c r="AH42" s="6446"/>
      <c r="AI42" s="44"/>
      <c r="AJ42" s="5335"/>
      <c r="AK42" s="2124"/>
      <c r="AM42" s="44"/>
      <c r="AO42" s="78"/>
      <c r="AP42" s="6403"/>
      <c r="AQ42" s="6442"/>
      <c r="AR42" s="6442"/>
      <c r="AS42" s="6442"/>
      <c r="AT42" s="6442"/>
      <c r="AU42" s="6442"/>
      <c r="AV42" s="6442"/>
      <c r="AW42" s="6442"/>
      <c r="AX42" s="6442"/>
      <c r="AY42" s="6404"/>
      <c r="AZ42" s="183"/>
      <c r="BA42" s="183"/>
      <c r="BB42" s="2101"/>
      <c r="BC42" s="2101"/>
      <c r="BD42" s="2101"/>
      <c r="BE42" s="2101"/>
      <c r="BF42" s="2101"/>
      <c r="BG42" s="2125"/>
      <c r="BH42" s="6457"/>
      <c r="BI42" s="6457"/>
      <c r="BJ42" s="6457"/>
      <c r="BK42" s="6457"/>
      <c r="BL42" s="5336"/>
      <c r="BM42" s="2125"/>
      <c r="BN42" s="2125"/>
      <c r="BO42" s="6439"/>
      <c r="BP42" s="2126"/>
      <c r="BQ42" s="2126"/>
      <c r="BR42" s="2126"/>
      <c r="BS42" s="2126"/>
      <c r="BT42" s="2126"/>
      <c r="BU42" s="2126"/>
      <c r="BV42" s="2126"/>
      <c r="BW42" s="2127"/>
      <c r="BX42" s="2128"/>
      <c r="BY42" s="2128"/>
      <c r="BZ42" s="6439"/>
      <c r="CA42" s="6439"/>
      <c r="CB42" s="78"/>
      <c r="CC42" s="78"/>
      <c r="CD42" s="6397"/>
      <c r="CE42" s="6397"/>
      <c r="CF42" s="6397"/>
      <c r="CG42" s="6397"/>
      <c r="CH42" s="6397"/>
      <c r="CI42" s="6397"/>
      <c r="CJ42" s="2129"/>
      <c r="CK42" s="2129"/>
      <c r="CL42" s="2129"/>
      <c r="CM42" s="136"/>
      <c r="CN42" s="136"/>
      <c r="CO42" s="136"/>
      <c r="CP42" s="136"/>
      <c r="CQ42" s="136"/>
      <c r="CR42" s="136"/>
      <c r="CS42" s="136"/>
      <c r="CT42" s="136"/>
      <c r="CU42" s="6457"/>
      <c r="CV42" s="6457"/>
      <c r="CW42" s="6455"/>
      <c r="CX42" s="6455"/>
      <c r="CY42" s="6455"/>
      <c r="CZ42" s="6455"/>
      <c r="DA42" s="1898"/>
      <c r="DB42" s="1898"/>
      <c r="DC42" s="1898"/>
      <c r="DD42" s="1898"/>
      <c r="DE42" s="1898"/>
      <c r="DF42" s="6456"/>
      <c r="DG42" s="6456"/>
      <c r="DH42" s="136"/>
      <c r="DI42" s="6397"/>
      <c r="DJ42" s="6397"/>
      <c r="DK42" s="6397"/>
      <c r="DL42" s="2130"/>
      <c r="DM42" s="2130"/>
      <c r="DN42" s="2130"/>
      <c r="DO42" s="2130"/>
      <c r="DP42" s="2130"/>
      <c r="DQ42" s="2130"/>
      <c r="DR42" s="2617"/>
      <c r="DS42" s="6403"/>
      <c r="DT42" s="6404"/>
      <c r="DU42" s="2617"/>
      <c r="DV42" s="2617"/>
      <c r="DW42" s="2617"/>
      <c r="DX42" s="2617"/>
      <c r="DY42" s="2617"/>
      <c r="DZ42" s="2617"/>
      <c r="EA42" s="2617"/>
      <c r="EB42" s="2617"/>
    </row>
    <row r="43" spans="5:132" ht="3" customHeight="1" x14ac:dyDescent="0.2">
      <c r="F43" s="2079"/>
      <c r="J43" s="540"/>
      <c r="K43" s="25"/>
      <c r="L43" s="543"/>
      <c r="M43" s="6422" t="str">
        <f>IF(F13=2,"",IF(F13=300,"Nedenfor, oppgi konstruksjonsmetoden til hver stuff",""))</f>
        <v/>
      </c>
      <c r="N43" s="6422"/>
      <c r="O43" s="6422"/>
      <c r="P43" s="6422"/>
      <c r="Q43" s="6422"/>
      <c r="R43" s="6422"/>
      <c r="S43" s="6422"/>
      <c r="T43" s="6422"/>
      <c r="U43" s="6422"/>
      <c r="V43" s="6422"/>
      <c r="W43" s="6422"/>
      <c r="X43" s="6422"/>
      <c r="Y43" s="6263"/>
      <c r="Z43" s="1055"/>
      <c r="AB43" s="1054"/>
      <c r="AC43" s="1050"/>
      <c r="AD43" s="6446"/>
      <c r="AE43" s="6446"/>
      <c r="AF43" s="6446"/>
      <c r="AG43" s="6446"/>
      <c r="AH43" s="6446"/>
      <c r="AI43" s="338"/>
      <c r="AJ43" s="2131"/>
      <c r="AK43" s="2124"/>
      <c r="AM43" s="338"/>
      <c r="AO43" s="78"/>
      <c r="AP43" s="6409" t="str">
        <f>IF($F$10=1,"Løp 1",IF($F$10=2,Prosjektinfo!$AC$81))</f>
        <v>Løp 1</v>
      </c>
      <c r="AQ43" s="6410"/>
      <c r="AR43" s="6410"/>
      <c r="AS43" s="6410"/>
      <c r="AT43" s="6410"/>
      <c r="AU43" s="6410"/>
      <c r="AV43" s="6410"/>
      <c r="AW43" s="6410"/>
      <c r="AX43" s="6410"/>
      <c r="AY43" s="6411"/>
      <c r="AZ43" s="183"/>
      <c r="BA43" s="183"/>
      <c r="BB43" s="2101"/>
      <c r="BC43" s="2101"/>
      <c r="BD43" s="2101"/>
      <c r="BE43" s="2101"/>
      <c r="BF43" s="2101"/>
      <c r="BG43" s="2125"/>
      <c r="BH43" s="6457"/>
      <c r="BI43" s="6457"/>
      <c r="BJ43" s="6457"/>
      <c r="BK43" s="6457"/>
      <c r="BL43" s="3913"/>
      <c r="BM43" s="2125"/>
      <c r="BN43" s="2125"/>
      <c r="BO43" s="6439"/>
      <c r="BP43" s="2125"/>
      <c r="BQ43" s="2125"/>
      <c r="BR43" s="2125"/>
      <c r="BS43" s="2125"/>
      <c r="BT43" s="2125"/>
      <c r="BU43" s="2125"/>
      <c r="BV43" s="2125"/>
      <c r="BW43" s="1898"/>
      <c r="BX43" s="2128"/>
      <c r="BY43" s="2128"/>
      <c r="BZ43" s="6439"/>
      <c r="CA43" s="6439"/>
      <c r="CB43" s="2144"/>
      <c r="CC43" s="2132"/>
      <c r="CD43" s="6397"/>
      <c r="CE43" s="6397"/>
      <c r="CF43" s="6397"/>
      <c r="CG43" s="6397"/>
      <c r="CH43" s="6397"/>
      <c r="CI43" s="6397"/>
      <c r="CJ43" s="1898"/>
      <c r="CK43" s="1898"/>
      <c r="CL43" s="1898"/>
      <c r="CM43" s="136"/>
      <c r="CN43" s="136"/>
      <c r="CO43" s="136"/>
      <c r="CP43" s="136"/>
      <c r="CQ43" s="136"/>
      <c r="CR43" s="1898"/>
      <c r="CS43" s="1898"/>
      <c r="CT43" s="1898"/>
      <c r="CU43" s="6457"/>
      <c r="CV43" s="6457"/>
      <c r="CW43" s="6455"/>
      <c r="CX43" s="6455"/>
      <c r="CY43" s="6455"/>
      <c r="CZ43" s="6455"/>
      <c r="DA43" s="1898"/>
      <c r="DB43" s="1898"/>
      <c r="DC43" s="1898"/>
      <c r="DD43" s="1898"/>
      <c r="DE43" s="1898"/>
      <c r="DF43" s="6456"/>
      <c r="DG43" s="6456"/>
      <c r="DH43" s="1898"/>
      <c r="DI43" s="6397"/>
      <c r="DJ43" s="6397"/>
      <c r="DK43" s="6397"/>
      <c r="DL43" s="2130"/>
      <c r="DM43" s="2130"/>
      <c r="DN43" s="2130"/>
      <c r="DO43" s="2130"/>
      <c r="DP43" s="2130"/>
      <c r="DQ43" s="2130"/>
      <c r="DR43" s="2617"/>
      <c r="DS43" s="6409" t="str">
        <f>IF($F$10=1,"Løp 1",IF($F$10=2,Prosjektinfo!$AC$81))</f>
        <v>Løp 1</v>
      </c>
      <c r="DT43" s="6411"/>
      <c r="DU43" s="2617"/>
      <c r="DV43" s="2617"/>
      <c r="DW43" s="2617"/>
      <c r="DX43" s="2617"/>
      <c r="DY43" s="2617"/>
      <c r="DZ43" s="2617"/>
      <c r="EA43" s="2617"/>
      <c r="EB43" s="2617"/>
    </row>
    <row r="44" spans="5:132" ht="3" customHeight="1" x14ac:dyDescent="0.2">
      <c r="F44" s="2079"/>
      <c r="J44" s="2133"/>
      <c r="L44" s="543"/>
      <c r="M44" s="6422"/>
      <c r="N44" s="6422"/>
      <c r="O44" s="6422"/>
      <c r="P44" s="6422"/>
      <c r="Q44" s="6422"/>
      <c r="R44" s="6422"/>
      <c r="S44" s="6422"/>
      <c r="T44" s="6422"/>
      <c r="U44" s="6422"/>
      <c r="V44" s="6422"/>
      <c r="W44" s="6422"/>
      <c r="X44" s="6422"/>
      <c r="Y44" s="6263"/>
      <c r="Z44" s="1055"/>
      <c r="AB44" s="1054"/>
      <c r="AC44" s="1050"/>
      <c r="AD44" s="6446"/>
      <c r="AE44" s="6446"/>
      <c r="AF44" s="6446"/>
      <c r="AG44" s="6446"/>
      <c r="AH44" s="6446"/>
      <c r="AI44" s="338"/>
      <c r="AJ44" s="2131"/>
      <c r="AK44" s="2124"/>
      <c r="AM44" s="338"/>
      <c r="AO44" s="78"/>
      <c r="AP44" s="6412"/>
      <c r="AQ44" s="6413"/>
      <c r="AR44" s="6413"/>
      <c r="AS44" s="6413"/>
      <c r="AT44" s="6413"/>
      <c r="AU44" s="6413"/>
      <c r="AV44" s="6413"/>
      <c r="AW44" s="6413"/>
      <c r="AX44" s="6413"/>
      <c r="AY44" s="6414"/>
      <c r="AZ44" s="183"/>
      <c r="BA44" s="183"/>
      <c r="BB44" s="78"/>
      <c r="BC44" s="2134"/>
      <c r="BD44" s="2134"/>
      <c r="BE44" s="2134"/>
      <c r="BF44" s="2134"/>
      <c r="BG44" s="78"/>
      <c r="BH44" s="6457"/>
      <c r="BI44" s="6457"/>
      <c r="BJ44" s="6457"/>
      <c r="BK44" s="6457"/>
      <c r="BL44" s="3913"/>
      <c r="BM44" s="2135"/>
      <c r="BN44" s="2135"/>
      <c r="BO44" s="6439"/>
      <c r="BP44" s="2135"/>
      <c r="BQ44" s="2135"/>
      <c r="BR44" s="2135"/>
      <c r="BS44" s="2135"/>
      <c r="BT44" s="136"/>
      <c r="BU44" s="136"/>
      <c r="BV44" s="136"/>
      <c r="BW44" s="2136"/>
      <c r="BX44" s="136"/>
      <c r="BY44" s="136"/>
      <c r="BZ44" s="6439"/>
      <c r="CA44" s="6439"/>
      <c r="CB44" s="2144"/>
      <c r="CC44" s="2132"/>
      <c r="CD44" s="6397"/>
      <c r="CE44" s="6397"/>
      <c r="CF44" s="6397"/>
      <c r="CG44" s="6397"/>
      <c r="CH44" s="6397"/>
      <c r="CI44" s="6397"/>
      <c r="CJ44" s="2137"/>
      <c r="CK44" s="2137"/>
      <c r="CL44" s="136"/>
      <c r="CM44" s="2135"/>
      <c r="CN44" s="2135"/>
      <c r="CO44" s="2136"/>
      <c r="CP44" s="2135"/>
      <c r="CQ44" s="2135"/>
      <c r="CR44" s="136"/>
      <c r="CS44" s="2137"/>
      <c r="CT44" s="2137"/>
      <c r="CU44" s="6457"/>
      <c r="CV44" s="6457"/>
      <c r="CW44" s="6455"/>
      <c r="CX44" s="6455"/>
      <c r="CY44" s="6455"/>
      <c r="CZ44" s="6455"/>
      <c r="DA44" s="136"/>
      <c r="DB44" s="2136"/>
      <c r="DC44" s="136"/>
      <c r="DD44" s="136"/>
      <c r="DE44" s="136"/>
      <c r="DF44" s="6456"/>
      <c r="DG44" s="6456"/>
      <c r="DH44" s="2137"/>
      <c r="DI44" s="6397"/>
      <c r="DJ44" s="6397"/>
      <c r="DK44" s="6397"/>
      <c r="DL44" s="78"/>
      <c r="DM44" s="2134"/>
      <c r="DN44" s="2134"/>
      <c r="DO44" s="2134"/>
      <c r="DP44" s="2134"/>
      <c r="DQ44" s="78"/>
      <c r="DR44" s="2617"/>
      <c r="DS44" s="6412"/>
      <c r="DT44" s="6414"/>
      <c r="DU44" s="2617"/>
      <c r="DV44" s="2617"/>
      <c r="DW44" s="2617"/>
      <c r="DX44" s="2617"/>
      <c r="DY44" s="2617"/>
      <c r="DZ44" s="2617"/>
      <c r="EA44" s="2617"/>
      <c r="EB44" s="2617"/>
    </row>
    <row r="45" spans="5:132" ht="3" customHeight="1" x14ac:dyDescent="0.2">
      <c r="F45" s="2079"/>
      <c r="J45" s="2133"/>
      <c r="L45" s="543"/>
      <c r="M45" s="6422"/>
      <c r="N45" s="6422"/>
      <c r="O45" s="6422"/>
      <c r="P45" s="6422"/>
      <c r="Q45" s="6422"/>
      <c r="R45" s="6422"/>
      <c r="S45" s="6422"/>
      <c r="T45" s="6422"/>
      <c r="U45" s="6422"/>
      <c r="V45" s="6422"/>
      <c r="W45" s="6422"/>
      <c r="X45" s="6422"/>
      <c r="Y45" s="6263"/>
      <c r="Z45" s="1055"/>
      <c r="AB45" s="1054"/>
      <c r="AC45" s="1050"/>
      <c r="AD45" s="6446"/>
      <c r="AE45" s="6446"/>
      <c r="AF45" s="6446"/>
      <c r="AG45" s="6446"/>
      <c r="AH45" s="6446"/>
      <c r="AI45" s="338"/>
      <c r="AJ45" s="2131"/>
      <c r="AK45" s="2124"/>
      <c r="AM45" s="338"/>
      <c r="AO45" s="78"/>
      <c r="AP45" s="6412"/>
      <c r="AQ45" s="6413"/>
      <c r="AR45" s="6413"/>
      <c r="AS45" s="6413"/>
      <c r="AT45" s="6413"/>
      <c r="AU45" s="6413"/>
      <c r="AV45" s="6413"/>
      <c r="AW45" s="6413"/>
      <c r="AX45" s="6413"/>
      <c r="AY45" s="6414"/>
      <c r="AZ45" s="183"/>
      <c r="BA45" s="183"/>
      <c r="BB45" s="78"/>
      <c r="BC45" s="78"/>
      <c r="BD45" s="78"/>
      <c r="BE45" s="78"/>
      <c r="BF45" s="2134"/>
      <c r="BG45" s="78"/>
      <c r="BH45" s="6457"/>
      <c r="BI45" s="6457"/>
      <c r="BJ45" s="6457"/>
      <c r="BK45" s="6457"/>
      <c r="BL45" s="3913"/>
      <c r="BM45" s="2135"/>
      <c r="BN45" s="2135"/>
      <c r="BO45" s="6439"/>
      <c r="BP45" s="2135"/>
      <c r="BQ45" s="2135"/>
      <c r="BR45" s="2135"/>
      <c r="BS45" s="2135"/>
      <c r="BT45" s="136"/>
      <c r="BU45" s="136"/>
      <c r="BV45" s="136"/>
      <c r="BW45" s="136"/>
      <c r="BX45" s="16"/>
      <c r="BY45" s="16"/>
      <c r="BZ45" s="6439"/>
      <c r="CA45" s="6439"/>
      <c r="CB45" s="2144"/>
      <c r="CC45" s="2132"/>
      <c r="CD45" s="6397"/>
      <c r="CE45" s="6397"/>
      <c r="CF45" s="6397"/>
      <c r="CG45" s="6397"/>
      <c r="CH45" s="6397"/>
      <c r="CI45" s="6397"/>
      <c r="CJ45" s="2137"/>
      <c r="CK45" s="2137"/>
      <c r="CL45" s="136"/>
      <c r="CM45" s="2135"/>
      <c r="CN45" s="2135"/>
      <c r="CO45" s="136"/>
      <c r="CP45" s="2135"/>
      <c r="CQ45" s="2135"/>
      <c r="CR45" s="136"/>
      <c r="CS45" s="2137"/>
      <c r="CT45" s="2137"/>
      <c r="CU45" s="6457"/>
      <c r="CV45" s="6457"/>
      <c r="CW45" s="6455"/>
      <c r="CX45" s="6455"/>
      <c r="CY45" s="6455"/>
      <c r="CZ45" s="6455"/>
      <c r="DA45" s="136"/>
      <c r="DB45" s="136"/>
      <c r="DC45" s="136"/>
      <c r="DD45" s="136"/>
      <c r="DE45" s="136"/>
      <c r="DF45" s="6456"/>
      <c r="DG45" s="6456"/>
      <c r="DH45" s="2137"/>
      <c r="DI45" s="6397"/>
      <c r="DJ45" s="6397"/>
      <c r="DK45" s="6397"/>
      <c r="DL45" s="78"/>
      <c r="DM45" s="2134"/>
      <c r="DN45" s="78"/>
      <c r="DO45" s="78"/>
      <c r="DP45" s="78"/>
      <c r="DQ45" s="78"/>
      <c r="DR45" s="2617"/>
      <c r="DS45" s="6412"/>
      <c r="DT45" s="6414"/>
      <c r="DU45" s="2617"/>
      <c r="DV45" s="2617"/>
      <c r="DW45" s="2617"/>
      <c r="DX45" s="2617"/>
      <c r="DY45" s="2617"/>
      <c r="DZ45" s="2617"/>
      <c r="EA45" s="2617"/>
      <c r="EB45" s="2617"/>
    </row>
    <row r="46" spans="5:132" ht="3" customHeight="1" x14ac:dyDescent="0.55000000000000004">
      <c r="F46" s="2079"/>
      <c r="J46" s="2133"/>
      <c r="K46" s="25"/>
      <c r="L46" s="543"/>
      <c r="M46" s="6422"/>
      <c r="N46" s="6422"/>
      <c r="O46" s="6422"/>
      <c r="P46" s="6422"/>
      <c r="Q46" s="6422"/>
      <c r="R46" s="6422"/>
      <c r="S46" s="6422"/>
      <c r="T46" s="6422"/>
      <c r="U46" s="6422"/>
      <c r="V46" s="6422"/>
      <c r="W46" s="6422"/>
      <c r="X46" s="6422"/>
      <c r="Y46" s="6263"/>
      <c r="Z46" s="1055"/>
      <c r="AB46" s="1054"/>
      <c r="AC46" s="1050"/>
      <c r="AD46" s="6446"/>
      <c r="AE46" s="6446"/>
      <c r="AF46" s="6446"/>
      <c r="AG46" s="6446"/>
      <c r="AH46" s="6446"/>
      <c r="AI46" s="338"/>
      <c r="AJ46" s="2131"/>
      <c r="AK46" s="2124"/>
      <c r="AM46" s="338"/>
      <c r="AP46" s="6412"/>
      <c r="AQ46" s="6413"/>
      <c r="AR46" s="6413"/>
      <c r="AS46" s="6413"/>
      <c r="AT46" s="6413"/>
      <c r="AU46" s="6413"/>
      <c r="AV46" s="6413"/>
      <c r="AW46" s="6413"/>
      <c r="AX46" s="6413"/>
      <c r="AY46" s="6414"/>
      <c r="AZ46" s="183"/>
      <c r="BA46" s="183"/>
      <c r="BB46" s="2138"/>
      <c r="BC46" s="78"/>
      <c r="BD46" s="78"/>
      <c r="BE46" s="78"/>
      <c r="BF46" s="2134"/>
      <c r="BG46" s="78"/>
      <c r="BH46" s="2139"/>
      <c r="BI46" s="2139"/>
      <c r="BJ46" s="2139"/>
      <c r="BK46" s="2139"/>
      <c r="BL46" s="2139"/>
      <c r="BM46" s="2139"/>
      <c r="BN46" s="2139"/>
      <c r="BO46" s="2139"/>
      <c r="BP46" s="2139"/>
      <c r="BQ46" s="2139"/>
      <c r="BR46" s="2139"/>
      <c r="BS46" s="2139"/>
      <c r="BT46" s="78"/>
      <c r="BU46" s="78"/>
      <c r="BV46" s="78"/>
      <c r="BW46" s="2134"/>
      <c r="BX46" s="78"/>
      <c r="BY46" s="78"/>
      <c r="BZ46" s="2103"/>
      <c r="CA46" s="78"/>
      <c r="CB46" s="4055"/>
      <c r="CC46" s="2140"/>
      <c r="CD46" s="2140"/>
      <c r="CE46" s="2140"/>
      <c r="CF46" s="2140"/>
      <c r="CG46" s="2140"/>
      <c r="CH46" s="2140"/>
      <c r="CI46" s="2140"/>
      <c r="CJ46" s="2140"/>
      <c r="CK46" s="2140"/>
      <c r="CL46" s="78"/>
      <c r="CM46" s="2109"/>
      <c r="CN46" s="2109"/>
      <c r="CO46" s="2134"/>
      <c r="CP46" s="2109"/>
      <c r="CQ46" s="2109"/>
      <c r="CR46" s="78"/>
      <c r="CS46" s="2140"/>
      <c r="CT46" s="2140"/>
      <c r="CU46" s="2140"/>
      <c r="CV46" s="2140"/>
      <c r="CW46" s="2140"/>
      <c r="CX46" s="78"/>
      <c r="CY46" s="78"/>
      <c r="CZ46" s="16"/>
      <c r="DA46" s="78"/>
      <c r="DB46" s="2134"/>
      <c r="DC46" s="78"/>
      <c r="DD46" s="78"/>
      <c r="DE46" s="78"/>
      <c r="DF46" s="78"/>
      <c r="DG46" s="2141"/>
      <c r="DH46" s="2140"/>
      <c r="DI46" s="2140"/>
      <c r="DJ46" s="2140"/>
      <c r="DK46" s="2140"/>
      <c r="DL46" s="78"/>
      <c r="DM46" s="2134"/>
      <c r="DN46" s="78"/>
      <c r="DO46" s="78"/>
      <c r="DP46" s="78"/>
      <c r="DQ46" s="78"/>
      <c r="DR46" s="2617"/>
      <c r="DS46" s="6412"/>
      <c r="DT46" s="6414"/>
      <c r="DU46" s="2617"/>
      <c r="DV46" s="2617"/>
      <c r="DW46" s="2617"/>
      <c r="DX46" s="2617"/>
      <c r="DY46" s="2617"/>
      <c r="DZ46" s="2617"/>
      <c r="EA46" s="2617"/>
      <c r="EB46" s="2617"/>
    </row>
    <row r="47" spans="5:132" ht="3" customHeight="1" x14ac:dyDescent="0.55000000000000004">
      <c r="F47" s="2079"/>
      <c r="J47" s="2133"/>
      <c r="K47" s="25"/>
      <c r="L47" s="543"/>
      <c r="M47" s="6422"/>
      <c r="N47" s="6422"/>
      <c r="O47" s="6422"/>
      <c r="P47" s="6422"/>
      <c r="Q47" s="6422"/>
      <c r="R47" s="6422"/>
      <c r="S47" s="6422"/>
      <c r="T47" s="6422"/>
      <c r="U47" s="6422"/>
      <c r="V47" s="6422"/>
      <c r="W47" s="6422"/>
      <c r="X47" s="6422"/>
      <c r="Y47" s="6263"/>
      <c r="Z47" s="544"/>
      <c r="AB47" s="543"/>
      <c r="AC47" s="338"/>
      <c r="AD47" s="6446"/>
      <c r="AE47" s="6446"/>
      <c r="AF47" s="6446"/>
      <c r="AG47" s="6446"/>
      <c r="AH47" s="6446"/>
      <c r="AI47" s="338"/>
      <c r="AJ47" s="2131"/>
      <c r="AK47" s="2124"/>
      <c r="AM47" s="338"/>
      <c r="AO47" s="2142"/>
      <c r="AP47" s="6412"/>
      <c r="AQ47" s="6413"/>
      <c r="AR47" s="6413"/>
      <c r="AS47" s="6413"/>
      <c r="AT47" s="6413"/>
      <c r="AU47" s="6413"/>
      <c r="AV47" s="6413"/>
      <c r="AW47" s="6413"/>
      <c r="AX47" s="6413"/>
      <c r="AY47" s="6414"/>
      <c r="AZ47" s="183"/>
      <c r="BA47" s="183"/>
      <c r="BB47" s="2138"/>
      <c r="BC47" s="78"/>
      <c r="BD47" s="78"/>
      <c r="BE47" s="78"/>
      <c r="BF47" s="2134"/>
      <c r="BG47" s="78"/>
      <c r="BH47" s="2139"/>
      <c r="BI47" s="2139"/>
      <c r="BJ47" s="2139"/>
      <c r="BK47" s="2139"/>
      <c r="BL47" s="2139"/>
      <c r="BM47" s="2139"/>
      <c r="BN47" s="2139"/>
      <c r="BO47" s="2139"/>
      <c r="BP47" s="2139"/>
      <c r="BQ47" s="2139"/>
      <c r="BR47" s="2139"/>
      <c r="BS47" s="2139"/>
      <c r="BT47" s="2103"/>
      <c r="BU47" s="2103"/>
      <c r="BV47" s="78"/>
      <c r="BW47" s="78"/>
      <c r="BX47" s="78"/>
      <c r="BY47" s="78"/>
      <c r="BZ47" s="78"/>
      <c r="CA47" s="78"/>
      <c r="CB47" s="2141"/>
      <c r="CC47" s="2140"/>
      <c r="CD47" s="2140"/>
      <c r="CE47" s="2140"/>
      <c r="CF47" s="2140"/>
      <c r="CG47" s="2140"/>
      <c r="CH47" s="2140"/>
      <c r="CI47" s="2140"/>
      <c r="CJ47" s="2140"/>
      <c r="CK47" s="2140"/>
      <c r="CL47" s="78"/>
      <c r="CM47" s="2109"/>
      <c r="CN47" s="2109"/>
      <c r="CO47" s="78"/>
      <c r="CP47" s="2109"/>
      <c r="CQ47" s="2109"/>
      <c r="CR47" s="78"/>
      <c r="CS47" s="2140"/>
      <c r="CT47" s="2140"/>
      <c r="CU47" s="2140"/>
      <c r="CV47" s="2140"/>
      <c r="CW47" s="2140"/>
      <c r="CX47" s="78"/>
      <c r="CY47" s="78"/>
      <c r="CZ47" s="16"/>
      <c r="DA47" s="78"/>
      <c r="DB47" s="78"/>
      <c r="DC47" s="78"/>
      <c r="DD47" s="78"/>
      <c r="DE47" s="78"/>
      <c r="DF47" s="78"/>
      <c r="DG47" s="2141"/>
      <c r="DH47" s="2140"/>
      <c r="DI47" s="2140"/>
      <c r="DJ47" s="2140"/>
      <c r="DK47" s="2140"/>
      <c r="DL47" s="78"/>
      <c r="DM47" s="2134"/>
      <c r="DN47" s="78"/>
      <c r="DO47" s="78"/>
      <c r="DP47" s="78"/>
      <c r="DQ47" s="78"/>
      <c r="DR47" s="2617"/>
      <c r="DS47" s="6412"/>
      <c r="DT47" s="6414"/>
      <c r="DU47" s="2617"/>
      <c r="DV47" s="2617"/>
      <c r="DW47" s="2617"/>
      <c r="DX47" s="2617"/>
      <c r="DY47" s="2617"/>
      <c r="DZ47" s="2617"/>
      <c r="EA47" s="2617"/>
      <c r="EB47" s="2617"/>
    </row>
    <row r="48" spans="5:132" ht="3.95" customHeight="1" x14ac:dyDescent="0.2">
      <c r="F48" s="2079"/>
      <c r="J48" s="540"/>
      <c r="L48" s="543"/>
      <c r="M48" s="6422"/>
      <c r="N48" s="6422"/>
      <c r="O48" s="6422"/>
      <c r="P48" s="6422"/>
      <c r="Q48" s="6422"/>
      <c r="R48" s="6422"/>
      <c r="S48" s="6422"/>
      <c r="T48" s="6422"/>
      <c r="U48" s="6422"/>
      <c r="V48" s="6422"/>
      <c r="W48" s="6422"/>
      <c r="X48" s="6422"/>
      <c r="Y48" s="6263"/>
      <c r="Z48" s="1055"/>
      <c r="AB48" s="1054"/>
      <c r="AC48" s="1050"/>
      <c r="AD48" s="5337"/>
      <c r="AE48" s="5337"/>
      <c r="AF48" s="5337"/>
      <c r="AG48" s="5337"/>
      <c r="AH48" s="5337"/>
      <c r="AI48" s="1050"/>
      <c r="AJ48" s="2131"/>
      <c r="AK48" s="2124"/>
      <c r="AM48" s="2113"/>
      <c r="AO48" s="2142"/>
      <c r="AP48" s="6412"/>
      <c r="AQ48" s="6413"/>
      <c r="AR48" s="6413"/>
      <c r="AS48" s="6413"/>
      <c r="AT48" s="6413"/>
      <c r="AU48" s="6413"/>
      <c r="AV48" s="6413"/>
      <c r="AW48" s="6413"/>
      <c r="AX48" s="6413"/>
      <c r="AY48" s="6414"/>
      <c r="AZ48" s="2617"/>
      <c r="BA48" s="2617"/>
      <c r="BB48" s="2138"/>
      <c r="BC48" s="78"/>
      <c r="BD48" s="78"/>
      <c r="BE48" s="78"/>
      <c r="BF48" s="2134"/>
      <c r="BG48" s="78"/>
      <c r="BH48" s="2143"/>
      <c r="BI48" s="78"/>
      <c r="BJ48" s="78"/>
      <c r="BK48" s="78"/>
      <c r="BL48" s="78"/>
      <c r="BM48" s="78"/>
      <c r="BN48" s="78"/>
      <c r="BO48" s="78"/>
      <c r="BP48" s="78"/>
      <c r="BQ48" s="78"/>
      <c r="BR48" s="78"/>
      <c r="BS48" s="78"/>
      <c r="BT48" s="78"/>
      <c r="BU48" s="78"/>
      <c r="BV48" s="78"/>
      <c r="BW48" s="2134"/>
      <c r="BX48" s="16"/>
      <c r="BY48" s="16"/>
      <c r="BZ48" s="78"/>
      <c r="CA48" s="78"/>
      <c r="CB48" s="2082"/>
      <c r="CC48" s="78"/>
      <c r="CD48" s="78"/>
      <c r="CE48" s="78"/>
      <c r="CF48" s="78"/>
      <c r="CG48" s="78"/>
      <c r="CH48" s="78"/>
      <c r="CI48" s="78"/>
      <c r="CJ48" s="78"/>
      <c r="CK48" s="78"/>
      <c r="CL48" s="78"/>
      <c r="CM48" s="78"/>
      <c r="CN48" s="78"/>
      <c r="CO48" s="2134"/>
      <c r="CP48" s="78"/>
      <c r="CQ48" s="78"/>
      <c r="CR48" s="78"/>
      <c r="CS48" s="78"/>
      <c r="CT48" s="78"/>
      <c r="CU48" s="78"/>
      <c r="CV48" s="78"/>
      <c r="CW48" s="78"/>
      <c r="CX48" s="78"/>
      <c r="CY48" s="78"/>
      <c r="CZ48" s="16"/>
      <c r="DA48" s="78"/>
      <c r="DB48" s="2134"/>
      <c r="DC48" s="78"/>
      <c r="DD48" s="78"/>
      <c r="DE48" s="78"/>
      <c r="DF48" s="78"/>
      <c r="DG48" s="2082"/>
      <c r="DH48" s="78"/>
      <c r="DI48" s="78"/>
      <c r="DJ48" s="78"/>
      <c r="DK48" s="78"/>
      <c r="DL48" s="78"/>
      <c r="DM48" s="2134"/>
      <c r="DN48" s="78"/>
      <c r="DO48" s="78"/>
      <c r="DP48" s="78"/>
      <c r="DQ48" s="78"/>
      <c r="DR48" s="2617"/>
      <c r="DS48" s="6412"/>
      <c r="DT48" s="6414"/>
      <c r="DU48" s="2617"/>
      <c r="DV48" s="2617"/>
      <c r="DW48" s="2617"/>
      <c r="DX48" s="2617"/>
      <c r="DY48" s="2617"/>
      <c r="DZ48" s="2617"/>
      <c r="EA48" s="2617"/>
      <c r="EB48" s="2617"/>
    </row>
    <row r="49" spans="5:150" ht="5.0999999999999996" customHeight="1" x14ac:dyDescent="0.2">
      <c r="F49" s="2079"/>
      <c r="J49" s="540"/>
      <c r="L49" s="543"/>
      <c r="M49" s="6422"/>
      <c r="N49" s="6422"/>
      <c r="O49" s="6422"/>
      <c r="P49" s="6422"/>
      <c r="Q49" s="6422"/>
      <c r="R49" s="6422"/>
      <c r="S49" s="6422"/>
      <c r="T49" s="6422"/>
      <c r="U49" s="6422"/>
      <c r="V49" s="6422"/>
      <c r="W49" s="6422"/>
      <c r="X49" s="6422"/>
      <c r="Y49" s="6263"/>
      <c r="Z49" s="1055"/>
      <c r="AB49" s="1054"/>
      <c r="AC49" s="1050"/>
      <c r="AD49" s="1050"/>
      <c r="AE49" s="1050"/>
      <c r="AF49" s="1050"/>
      <c r="AG49" s="1050"/>
      <c r="AH49" s="1050"/>
      <c r="AI49" s="1050"/>
      <c r="AJ49" s="2131"/>
      <c r="AK49" s="2124"/>
      <c r="AM49" s="2113"/>
      <c r="AO49" s="2142"/>
      <c r="AP49" s="6412"/>
      <c r="AQ49" s="6413"/>
      <c r="AR49" s="6413"/>
      <c r="AS49" s="6413"/>
      <c r="AT49" s="6413"/>
      <c r="AU49" s="6413"/>
      <c r="AV49" s="6413"/>
      <c r="AW49" s="6413"/>
      <c r="AX49" s="6413"/>
      <c r="AY49" s="6414"/>
      <c r="AZ49" s="2617"/>
      <c r="BA49" s="2617"/>
      <c r="BB49" s="2138"/>
      <c r="BC49" s="78"/>
      <c r="BD49" s="78"/>
      <c r="BE49" s="78"/>
      <c r="BF49" s="2134"/>
      <c r="BG49" s="78"/>
      <c r="BH49" s="78"/>
      <c r="BI49" s="2144"/>
      <c r="BJ49" s="78"/>
      <c r="BK49" s="2145"/>
      <c r="BL49" s="2145"/>
      <c r="BM49" s="2145"/>
      <c r="BN49" s="2145"/>
      <c r="BO49" s="2145"/>
      <c r="BP49" s="78"/>
      <c r="BQ49" s="78"/>
      <c r="BR49" s="78"/>
      <c r="BS49" s="78"/>
      <c r="BT49" s="78"/>
      <c r="BU49" s="78"/>
      <c r="BV49" s="78"/>
      <c r="BW49" s="78"/>
      <c r="BX49" s="78"/>
      <c r="BY49" s="78"/>
      <c r="BZ49" s="78"/>
      <c r="CA49" s="78"/>
      <c r="CB49" s="2082"/>
      <c r="CC49" s="78"/>
      <c r="CD49" s="78"/>
      <c r="CE49" s="78"/>
      <c r="CF49" s="78"/>
      <c r="CG49" s="78"/>
      <c r="CH49" s="2103"/>
      <c r="CI49" s="2103"/>
      <c r="CJ49" s="2103"/>
      <c r="CK49" s="2103"/>
      <c r="CL49" s="78"/>
      <c r="CM49" s="78"/>
      <c r="CN49" s="78"/>
      <c r="CO49" s="78"/>
      <c r="CP49" s="78"/>
      <c r="CQ49" s="78"/>
      <c r="CR49" s="78"/>
      <c r="CS49" s="78"/>
      <c r="CT49" s="78"/>
      <c r="CU49" s="78"/>
      <c r="CV49" s="78"/>
      <c r="CW49" s="2135"/>
      <c r="CX49" s="78"/>
      <c r="CY49" s="78"/>
      <c r="CZ49" s="78"/>
      <c r="DA49" s="78"/>
      <c r="DB49" s="78"/>
      <c r="DC49" s="78"/>
      <c r="DD49" s="78"/>
      <c r="DE49" s="78"/>
      <c r="DF49" s="78"/>
      <c r="DG49" s="2082"/>
      <c r="DH49" s="78"/>
      <c r="DI49" s="78"/>
      <c r="DJ49" s="78"/>
      <c r="DK49" s="78"/>
      <c r="DL49" s="78"/>
      <c r="DM49" s="2134"/>
      <c r="DN49" s="78"/>
      <c r="DO49" s="78"/>
      <c r="DP49" s="78"/>
      <c r="DQ49" s="78"/>
      <c r="DR49" s="2617"/>
      <c r="DS49" s="6412"/>
      <c r="DT49" s="6414"/>
      <c r="DU49" s="2617"/>
      <c r="DV49" s="2617"/>
      <c r="DW49" s="2617"/>
      <c r="DX49" s="2617"/>
      <c r="DY49" s="2617"/>
      <c r="DZ49" s="2617"/>
      <c r="EA49" s="2617"/>
      <c r="EB49" s="2617"/>
    </row>
    <row r="50" spans="5:150" ht="3.95" customHeight="1" thickBot="1" x14ac:dyDescent="0.25">
      <c r="F50" s="2079"/>
      <c r="J50" s="540"/>
      <c r="L50" s="543"/>
      <c r="M50" s="6422"/>
      <c r="N50" s="6422"/>
      <c r="O50" s="6422"/>
      <c r="P50" s="6422"/>
      <c r="Q50" s="6422"/>
      <c r="R50" s="6422"/>
      <c r="S50" s="6422"/>
      <c r="T50" s="6422"/>
      <c r="U50" s="6422"/>
      <c r="V50" s="6422"/>
      <c r="W50" s="6422"/>
      <c r="X50" s="6422"/>
      <c r="Y50" s="6263"/>
      <c r="Z50" s="1055"/>
      <c r="AB50" s="1054"/>
      <c r="AC50" s="1050"/>
      <c r="AD50" s="1050"/>
      <c r="AE50" s="1050"/>
      <c r="AF50" s="1050"/>
      <c r="AG50" s="1050"/>
      <c r="AH50" s="1050"/>
      <c r="AI50" s="1050"/>
      <c r="AJ50" s="2131"/>
      <c r="AK50" s="2124"/>
      <c r="AM50" s="2113"/>
      <c r="AO50" s="2142"/>
      <c r="AP50" s="6415"/>
      <c r="AQ50" s="6416"/>
      <c r="AR50" s="6416"/>
      <c r="AS50" s="6416"/>
      <c r="AT50" s="6416"/>
      <c r="AU50" s="6416"/>
      <c r="AV50" s="6416"/>
      <c r="AW50" s="6416"/>
      <c r="AX50" s="6416"/>
      <c r="AY50" s="6417"/>
      <c r="AZ50" s="2617"/>
      <c r="BA50" s="2617"/>
      <c r="BB50" s="2138"/>
      <c r="BC50" s="78"/>
      <c r="BD50" s="78"/>
      <c r="BE50" s="78"/>
      <c r="BF50" s="2134"/>
      <c r="BG50" s="78"/>
      <c r="BH50" s="2144"/>
      <c r="BI50" s="2144"/>
      <c r="BJ50" s="2145"/>
      <c r="BK50" s="2145"/>
      <c r="BL50" s="2145"/>
      <c r="BM50" s="2145"/>
      <c r="BN50" s="2145"/>
      <c r="BO50" s="2145"/>
      <c r="BP50" s="78"/>
      <c r="BQ50" s="78"/>
      <c r="BR50" s="78"/>
      <c r="BS50" s="78"/>
      <c r="BT50" s="78"/>
      <c r="BU50" s="78"/>
      <c r="BV50" s="78"/>
      <c r="BW50" s="2134"/>
      <c r="BX50" s="78"/>
      <c r="BY50" s="78"/>
      <c r="BZ50" s="78"/>
      <c r="CA50" s="78"/>
      <c r="CB50" s="2082"/>
      <c r="CC50" s="979"/>
      <c r="CD50" s="2103"/>
      <c r="CE50" s="2103"/>
      <c r="CF50" s="2103"/>
      <c r="CG50" s="2103"/>
      <c r="CH50" s="2103"/>
      <c r="CI50" s="2103"/>
      <c r="CJ50" s="2103"/>
      <c r="CK50" s="2103"/>
      <c r="CL50" s="78"/>
      <c r="CM50" s="78"/>
      <c r="CN50" s="78"/>
      <c r="CO50" s="2134"/>
      <c r="CP50" s="78"/>
      <c r="CQ50" s="78"/>
      <c r="CR50" s="78"/>
      <c r="CS50" s="78"/>
      <c r="CT50" s="78"/>
      <c r="CU50" s="78"/>
      <c r="CV50" s="78"/>
      <c r="CW50" s="2135"/>
      <c r="CX50" s="78"/>
      <c r="CY50" s="78"/>
      <c r="CZ50" s="78"/>
      <c r="DA50" s="78"/>
      <c r="DB50" s="2134"/>
      <c r="DC50" s="78"/>
      <c r="DD50" s="78"/>
      <c r="DE50" s="78"/>
      <c r="DF50" s="78"/>
      <c r="DG50" s="2082"/>
      <c r="DH50" s="78"/>
      <c r="DI50" s="78"/>
      <c r="DJ50" s="78"/>
      <c r="DK50" s="78"/>
      <c r="DL50" s="78"/>
      <c r="DM50" s="2134"/>
      <c r="DN50" s="78"/>
      <c r="DO50" s="78"/>
      <c r="DP50" s="78"/>
      <c r="DQ50" s="78"/>
      <c r="DR50" s="2617"/>
      <c r="DS50" s="6415"/>
      <c r="DT50" s="6417"/>
      <c r="DU50" s="2617"/>
      <c r="DV50" s="2617"/>
      <c r="DW50" s="2617"/>
      <c r="DX50" s="2617"/>
      <c r="DY50" s="2617"/>
      <c r="DZ50" s="2617"/>
      <c r="EA50" s="2617"/>
      <c r="EB50" s="2617"/>
    </row>
    <row r="51" spans="5:150" ht="3" customHeight="1" x14ac:dyDescent="0.25">
      <c r="F51" s="2079"/>
      <c r="J51" s="540"/>
      <c r="L51" s="543"/>
      <c r="M51" s="6422"/>
      <c r="N51" s="6422"/>
      <c r="O51" s="6422"/>
      <c r="P51" s="6422"/>
      <c r="Q51" s="6422"/>
      <c r="R51" s="6422"/>
      <c r="S51" s="6422"/>
      <c r="T51" s="6422"/>
      <c r="U51" s="6422"/>
      <c r="V51" s="6422"/>
      <c r="W51" s="6422"/>
      <c r="X51" s="6422"/>
      <c r="Y51" s="6263"/>
      <c r="Z51" s="1055"/>
      <c r="AB51" s="1054"/>
      <c r="AC51" s="1050"/>
      <c r="AD51" s="1050"/>
      <c r="AE51" s="1050"/>
      <c r="AF51" s="1050"/>
      <c r="AG51" s="1050"/>
      <c r="AH51" s="1050"/>
      <c r="AI51" s="1050"/>
      <c r="AJ51" s="2131"/>
      <c r="AK51" s="2124"/>
      <c r="AM51" s="2113"/>
      <c r="AO51" s="2142"/>
      <c r="AP51" s="3488"/>
      <c r="AQ51" s="3488"/>
      <c r="AR51" s="3488"/>
      <c r="AS51" s="3488"/>
      <c r="AT51" s="3488"/>
      <c r="AU51" s="3488"/>
      <c r="AV51" s="3488"/>
      <c r="AW51" s="3488"/>
      <c r="AX51" s="3488"/>
      <c r="AY51" s="3488"/>
      <c r="AZ51" s="2617"/>
      <c r="BA51" s="2617"/>
      <c r="BB51" s="2138"/>
      <c r="BC51" s="78"/>
      <c r="BD51" s="78"/>
      <c r="BE51" s="78"/>
      <c r="BF51" s="2134"/>
      <c r="BG51" s="78"/>
      <c r="BH51" s="78"/>
      <c r="BI51" s="78"/>
      <c r="BJ51" s="78"/>
      <c r="BK51" s="78"/>
      <c r="BL51" s="78"/>
      <c r="BM51" s="78"/>
      <c r="BN51" s="78"/>
      <c r="BO51" s="78"/>
      <c r="BP51" s="78"/>
      <c r="BQ51" s="78"/>
      <c r="BR51" s="78"/>
      <c r="BS51" s="78"/>
      <c r="BT51" s="78"/>
      <c r="BU51" s="78"/>
      <c r="BV51" s="78"/>
      <c r="BW51" s="78"/>
      <c r="BX51" s="78"/>
      <c r="BY51" s="78"/>
      <c r="BZ51" s="78"/>
      <c r="CA51" s="78"/>
      <c r="CB51" s="2082"/>
      <c r="CC51" s="78"/>
      <c r="CD51" s="78"/>
      <c r="CE51" s="78"/>
      <c r="CF51" s="78"/>
      <c r="CG51" s="78"/>
      <c r="CH51" s="78"/>
      <c r="CI51" s="78"/>
      <c r="CJ51" s="78"/>
      <c r="CK51" s="78"/>
      <c r="CL51" s="78"/>
      <c r="CM51" s="78"/>
      <c r="CN51" s="2109"/>
      <c r="CO51" s="78"/>
      <c r="CP51" s="2109"/>
      <c r="CQ51" s="78"/>
      <c r="CR51" s="78"/>
      <c r="CS51" s="78"/>
      <c r="CT51" s="78"/>
      <c r="CU51" s="78"/>
      <c r="CV51" s="78"/>
      <c r="CW51" s="78"/>
      <c r="CX51" s="78"/>
      <c r="CY51" s="78"/>
      <c r="CZ51" s="16"/>
      <c r="DA51" s="78"/>
      <c r="DB51" s="78"/>
      <c r="DC51" s="78"/>
      <c r="DD51" s="78"/>
      <c r="DE51" s="78"/>
      <c r="DF51" s="78"/>
      <c r="DG51" s="2082"/>
      <c r="DH51" s="78"/>
      <c r="DI51" s="78"/>
      <c r="DJ51" s="78"/>
      <c r="DK51" s="78"/>
      <c r="DL51" s="78"/>
      <c r="DM51" s="2134"/>
      <c r="DN51" s="78"/>
      <c r="DO51" s="78"/>
      <c r="DP51" s="78"/>
      <c r="DQ51" s="78"/>
      <c r="DR51" s="2617"/>
      <c r="DS51" s="3488"/>
      <c r="DT51" s="3488"/>
      <c r="DU51" s="2617"/>
      <c r="DV51" s="2617"/>
      <c r="DW51" s="2617"/>
      <c r="DX51" s="2617"/>
      <c r="DY51" s="2617"/>
      <c r="DZ51" s="2617"/>
      <c r="EA51" s="2617"/>
      <c r="EB51" s="2617"/>
    </row>
    <row r="52" spans="5:150" ht="3" customHeight="1" thickBot="1" x14ac:dyDescent="0.25">
      <c r="F52" s="2079"/>
      <c r="J52" s="541"/>
      <c r="L52" s="545"/>
      <c r="M52" s="2146"/>
      <c r="N52" s="2146"/>
      <c r="O52" s="2146"/>
      <c r="P52" s="2146"/>
      <c r="Q52" s="2146"/>
      <c r="R52" s="2146"/>
      <c r="S52" s="2147"/>
      <c r="T52" s="2148"/>
      <c r="U52" s="2147"/>
      <c r="V52" s="2147"/>
      <c r="W52" s="2147"/>
      <c r="X52" s="616"/>
      <c r="Y52" s="616"/>
      <c r="Z52" s="2149"/>
      <c r="AB52" s="2150"/>
      <c r="AC52" s="2147"/>
      <c r="AD52" s="2147"/>
      <c r="AE52" s="2147"/>
      <c r="AF52" s="2147"/>
      <c r="AG52" s="2147"/>
      <c r="AH52" s="2147"/>
      <c r="AI52" s="2147"/>
      <c r="AJ52" s="2151"/>
      <c r="AK52" s="2152"/>
      <c r="AM52" s="2113"/>
      <c r="AO52" s="2142"/>
      <c r="AP52" s="3489"/>
      <c r="AQ52" s="3489"/>
      <c r="AR52" s="3489"/>
      <c r="AS52" s="3489"/>
      <c r="AT52" s="3489"/>
      <c r="AU52" s="3489"/>
      <c r="AV52" s="3489"/>
      <c r="AW52" s="3489"/>
      <c r="AX52" s="3489"/>
      <c r="AY52" s="3489"/>
      <c r="AZ52" s="2617"/>
      <c r="BA52" s="2617"/>
      <c r="BB52" s="2138"/>
      <c r="BC52" s="78"/>
      <c r="BD52" s="78"/>
      <c r="BE52" s="78"/>
      <c r="BF52" s="2134"/>
      <c r="BG52" s="2134"/>
      <c r="BH52" s="2153"/>
      <c r="BI52" s="2153"/>
      <c r="BJ52" s="2154"/>
      <c r="BK52" s="2154"/>
      <c r="BL52" s="2154"/>
      <c r="BM52" s="2154"/>
      <c r="BN52" s="2154"/>
      <c r="BO52" s="2154"/>
      <c r="BP52" s="2134"/>
      <c r="BQ52" s="2134"/>
      <c r="BR52" s="2134"/>
      <c r="BS52" s="2134"/>
      <c r="BT52" s="2134"/>
      <c r="BU52" s="2134"/>
      <c r="BV52" s="2134"/>
      <c r="BW52" s="2134"/>
      <c r="BX52" s="2134"/>
      <c r="BY52" s="2134"/>
      <c r="BZ52" s="2134"/>
      <c r="CA52" s="2134"/>
      <c r="CB52" s="2155"/>
      <c r="CC52" s="2156"/>
      <c r="CD52" s="2157"/>
      <c r="CE52" s="2157"/>
      <c r="CF52" s="2157"/>
      <c r="CG52" s="2157"/>
      <c r="CH52" s="2157"/>
      <c r="CI52" s="2157"/>
      <c r="CJ52" s="2157"/>
      <c r="CK52" s="2157"/>
      <c r="CL52" s="2134"/>
      <c r="CM52" s="2134"/>
      <c r="CN52" s="2134"/>
      <c r="CO52" s="2134"/>
      <c r="CP52" s="2134"/>
      <c r="CQ52" s="2134"/>
      <c r="CR52" s="2134"/>
      <c r="CS52" s="2134"/>
      <c r="CT52" s="2134"/>
      <c r="CU52" s="2134"/>
      <c r="CV52" s="2134"/>
      <c r="CW52" s="2158"/>
      <c r="CX52" s="2134"/>
      <c r="CY52" s="2134"/>
      <c r="CZ52" s="2134"/>
      <c r="DA52" s="2134"/>
      <c r="DB52" s="2134"/>
      <c r="DC52" s="2134"/>
      <c r="DD52" s="2134"/>
      <c r="DE52" s="2134"/>
      <c r="DF52" s="2134"/>
      <c r="DG52" s="2155"/>
      <c r="DH52" s="2134"/>
      <c r="DI52" s="2134"/>
      <c r="DJ52" s="2134"/>
      <c r="DK52" s="2134"/>
      <c r="DL52" s="2134"/>
      <c r="DM52" s="2134"/>
      <c r="DN52" s="78"/>
      <c r="DO52" s="78"/>
      <c r="DP52" s="78"/>
      <c r="DQ52" s="78"/>
      <c r="DR52" s="2617"/>
      <c r="DS52" s="3489"/>
      <c r="DT52" s="3489"/>
      <c r="DU52" s="2617"/>
      <c r="DV52" s="2617"/>
      <c r="DW52" s="2617"/>
      <c r="DX52" s="2617"/>
      <c r="DY52" s="2617"/>
      <c r="DZ52" s="2617"/>
      <c r="EA52" s="2617"/>
      <c r="EB52" s="2617"/>
    </row>
    <row r="53" spans="5:150" ht="3" customHeight="1" thickBot="1" x14ac:dyDescent="0.25">
      <c r="F53" s="2079"/>
      <c r="AO53" s="2142"/>
      <c r="AP53" s="3490"/>
      <c r="AQ53" s="3490"/>
      <c r="AR53" s="3490"/>
      <c r="AS53" s="3490"/>
      <c r="AT53" s="3490"/>
      <c r="AU53" s="3490"/>
      <c r="AV53" s="3490"/>
      <c r="AW53" s="3490"/>
      <c r="AX53" s="3490"/>
      <c r="AY53" s="3490"/>
      <c r="AZ53" s="2617"/>
      <c r="BA53" s="2617"/>
      <c r="BB53" s="2138"/>
      <c r="BC53" s="78"/>
      <c r="BD53" s="78"/>
      <c r="BE53" s="78"/>
      <c r="BF53" s="2134"/>
      <c r="BG53" s="78"/>
      <c r="BH53" s="78"/>
      <c r="BI53" s="78"/>
      <c r="BJ53" s="78"/>
      <c r="BK53" s="78"/>
      <c r="BL53" s="78"/>
      <c r="BM53" s="78"/>
      <c r="BN53" s="78"/>
      <c r="BO53" s="78"/>
      <c r="BP53" s="78"/>
      <c r="BQ53" s="78"/>
      <c r="BR53" s="78"/>
      <c r="BS53" s="78"/>
      <c r="BT53" s="78"/>
      <c r="BU53" s="78"/>
      <c r="BV53" s="78"/>
      <c r="BW53" s="78"/>
      <c r="BX53" s="78"/>
      <c r="BY53" s="78"/>
      <c r="BZ53" s="78"/>
      <c r="CA53" s="78"/>
      <c r="CB53" s="2082"/>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2082"/>
      <c r="DH53" s="136"/>
      <c r="DI53" s="78"/>
      <c r="DJ53" s="78"/>
      <c r="DK53" s="78"/>
      <c r="DL53" s="78"/>
      <c r="DM53" s="2134"/>
      <c r="DN53" s="78"/>
      <c r="DO53" s="78"/>
      <c r="DP53" s="78"/>
      <c r="DQ53" s="78"/>
      <c r="DR53" s="2617"/>
      <c r="DS53" s="3490"/>
      <c r="DT53" s="3490"/>
      <c r="DU53" s="2617"/>
      <c r="DV53" s="2617"/>
      <c r="DW53" s="2617"/>
      <c r="DX53" s="2617"/>
      <c r="DY53" s="2617"/>
      <c r="DZ53" s="2617"/>
      <c r="EA53" s="2617"/>
      <c r="EB53" s="2617"/>
    </row>
    <row r="54" spans="5:150" ht="3.95" customHeight="1" x14ac:dyDescent="0.2">
      <c r="F54" s="2079"/>
      <c r="AO54" s="2142"/>
      <c r="AP54" s="6467" t="str">
        <f>IF($F$10=1,Prosjektinfo!$AC$81,IF($F$10=2,"Løp 2:"))</f>
        <v/>
      </c>
      <c r="AQ54" s="6468"/>
      <c r="AR54" s="6468"/>
      <c r="AS54" s="6468"/>
      <c r="AT54" s="6468"/>
      <c r="AU54" s="6468"/>
      <c r="AV54" s="6468"/>
      <c r="AW54" s="6468"/>
      <c r="AX54" s="6468"/>
      <c r="AY54" s="6469"/>
      <c r="AZ54" s="2617"/>
      <c r="BA54" s="2617"/>
      <c r="BB54" s="2138"/>
      <c r="BC54" s="78"/>
      <c r="BD54" s="78"/>
      <c r="BE54" s="78"/>
      <c r="BF54" s="2134"/>
      <c r="BG54" s="78"/>
      <c r="BH54" s="2144"/>
      <c r="BI54" s="2144"/>
      <c r="BJ54" s="2145"/>
      <c r="BK54" s="2145"/>
      <c r="BL54" s="2145"/>
      <c r="BM54" s="2145"/>
      <c r="BN54" s="2145"/>
      <c r="BO54" s="2145"/>
      <c r="BP54" s="78"/>
      <c r="BQ54" s="78"/>
      <c r="BR54" s="78"/>
      <c r="BS54" s="78"/>
      <c r="BT54" s="78"/>
      <c r="BU54" s="78"/>
      <c r="BV54" s="78"/>
      <c r="BW54" s="2134"/>
      <c r="BX54" s="78"/>
      <c r="BY54" s="78"/>
      <c r="BZ54" s="78"/>
      <c r="CA54" s="78"/>
      <c r="CB54" s="2082"/>
      <c r="CC54" s="979"/>
      <c r="CD54" s="2103"/>
      <c r="CE54" s="2103"/>
      <c r="CF54" s="2103"/>
      <c r="CG54" s="2103"/>
      <c r="CH54" s="2103"/>
      <c r="CI54" s="2103"/>
      <c r="CJ54" s="2103"/>
      <c r="CK54" s="2103"/>
      <c r="CL54" s="78"/>
      <c r="CM54" s="78"/>
      <c r="CN54" s="78"/>
      <c r="CO54" s="2134"/>
      <c r="CP54" s="78"/>
      <c r="CQ54" s="78"/>
      <c r="CR54" s="78"/>
      <c r="CS54" s="78"/>
      <c r="CT54" s="78"/>
      <c r="CU54" s="78"/>
      <c r="CV54" s="78"/>
      <c r="CW54" s="2135"/>
      <c r="CX54" s="78"/>
      <c r="CY54" s="78"/>
      <c r="CZ54" s="78"/>
      <c r="DA54" s="78"/>
      <c r="DB54" s="2134"/>
      <c r="DC54" s="78"/>
      <c r="DD54" s="78"/>
      <c r="DE54" s="78"/>
      <c r="DF54" s="78"/>
      <c r="DG54" s="2082"/>
      <c r="DH54" s="78"/>
      <c r="DI54" s="78"/>
      <c r="DJ54" s="78"/>
      <c r="DK54" s="78"/>
      <c r="DL54" s="78"/>
      <c r="DM54" s="2134"/>
      <c r="DN54" s="78"/>
      <c r="DO54" s="78"/>
      <c r="DP54" s="78"/>
      <c r="DQ54" s="78"/>
      <c r="DR54" s="2617"/>
      <c r="DS54" s="6467" t="str">
        <f>IF($F$10=1,Prosjektinfo!$AC$81,IF($F$10=2,"Løp 2:"))</f>
        <v/>
      </c>
      <c r="DT54" s="6469"/>
      <c r="DU54" s="2617"/>
      <c r="DV54" s="2617"/>
      <c r="DW54" s="2617"/>
      <c r="DX54" s="2617"/>
      <c r="DY54" s="2617"/>
      <c r="DZ54" s="2617"/>
      <c r="EA54" s="2617"/>
      <c r="EB54" s="2617"/>
    </row>
    <row r="55" spans="5:150" ht="5.0999999999999996" customHeight="1" x14ac:dyDescent="0.4">
      <c r="F55" s="2079"/>
      <c r="AO55" s="2142"/>
      <c r="AP55" s="6470"/>
      <c r="AQ55" s="6471"/>
      <c r="AR55" s="6471"/>
      <c r="AS55" s="6471"/>
      <c r="AT55" s="6471"/>
      <c r="AU55" s="6471"/>
      <c r="AV55" s="6471"/>
      <c r="AW55" s="6471"/>
      <c r="AX55" s="6471"/>
      <c r="AY55" s="6472"/>
      <c r="AZ55" s="2617"/>
      <c r="BA55" s="2617"/>
      <c r="BB55" s="2138"/>
      <c r="BC55" s="78"/>
      <c r="BD55" s="78"/>
      <c r="BE55" s="78"/>
      <c r="BF55" s="2134"/>
      <c r="BG55" s="78"/>
      <c r="BH55" s="2159"/>
      <c r="BI55" s="2159"/>
      <c r="BJ55" s="2145"/>
      <c r="BK55" s="2145"/>
      <c r="BL55" s="2145"/>
      <c r="BM55" s="2145"/>
      <c r="BN55" s="2145"/>
      <c r="BO55" s="2145"/>
      <c r="BP55" s="78"/>
      <c r="BQ55" s="78"/>
      <c r="BR55" s="78"/>
      <c r="BS55" s="78"/>
      <c r="BT55" s="78"/>
      <c r="BU55" s="78"/>
      <c r="BV55" s="78"/>
      <c r="BW55" s="78"/>
      <c r="BX55" s="78"/>
      <c r="BY55" s="78"/>
      <c r="BZ55" s="78"/>
      <c r="CA55" s="78"/>
      <c r="CB55" s="2082"/>
      <c r="CC55" s="979"/>
      <c r="CD55" s="78"/>
      <c r="CE55" s="78"/>
      <c r="CF55" s="78"/>
      <c r="CG55" s="78"/>
      <c r="CH55" s="78"/>
      <c r="CI55" s="78"/>
      <c r="CJ55" s="78"/>
      <c r="CK55" s="78"/>
      <c r="CL55" s="78"/>
      <c r="CM55" s="78"/>
      <c r="CN55" s="78"/>
      <c r="CO55" s="78"/>
      <c r="CP55" s="78"/>
      <c r="CQ55" s="78"/>
      <c r="CR55" s="78"/>
      <c r="CS55" s="78"/>
      <c r="CT55" s="78"/>
      <c r="CU55" s="78"/>
      <c r="CV55" s="78"/>
      <c r="CW55" s="2135"/>
      <c r="CX55" s="78"/>
      <c r="CY55" s="78"/>
      <c r="CZ55" s="78"/>
      <c r="DA55" s="78"/>
      <c r="DB55" s="78"/>
      <c r="DC55" s="78"/>
      <c r="DD55" s="78"/>
      <c r="DE55" s="78"/>
      <c r="DF55" s="78"/>
      <c r="DG55" s="2082"/>
      <c r="DH55" s="78"/>
      <c r="DI55" s="78"/>
      <c r="DJ55" s="6460"/>
      <c r="DK55" s="6460"/>
      <c r="DL55" s="78"/>
      <c r="DM55" s="2134"/>
      <c r="DN55" s="78"/>
      <c r="DO55" s="78"/>
      <c r="DP55" s="78"/>
      <c r="DQ55" s="78"/>
      <c r="DR55" s="2617"/>
      <c r="DS55" s="6470"/>
      <c r="DT55" s="6472"/>
      <c r="DU55" s="2617"/>
      <c r="DV55" s="2617"/>
      <c r="DW55" s="2617"/>
      <c r="DX55" s="2617"/>
      <c r="DY55" s="2617"/>
      <c r="DZ55" s="2617"/>
      <c r="EA55" s="2617"/>
      <c r="EB55" s="2617"/>
    </row>
    <row r="56" spans="5:150" ht="3.95" customHeight="1" x14ac:dyDescent="0.2">
      <c r="F56" s="2079"/>
      <c r="AO56" s="2142"/>
      <c r="AP56" s="6470"/>
      <c r="AQ56" s="6471"/>
      <c r="AR56" s="6471"/>
      <c r="AS56" s="6471"/>
      <c r="AT56" s="6471"/>
      <c r="AU56" s="6471"/>
      <c r="AV56" s="6471"/>
      <c r="AW56" s="6471"/>
      <c r="AX56" s="6471"/>
      <c r="AY56" s="6472"/>
      <c r="AZ56" s="2617"/>
      <c r="BA56" s="2617"/>
      <c r="BB56" s="2138"/>
      <c r="BC56" s="78"/>
      <c r="BD56" s="78"/>
      <c r="BE56" s="78"/>
      <c r="BF56" s="2134"/>
      <c r="BG56" s="78"/>
      <c r="BH56" s="78"/>
      <c r="BI56" s="78"/>
      <c r="BJ56" s="78"/>
      <c r="BK56" s="78"/>
      <c r="BL56" s="78"/>
      <c r="BM56" s="78"/>
      <c r="BN56" s="78"/>
      <c r="BO56" s="78"/>
      <c r="BP56" s="78"/>
      <c r="BQ56" s="78"/>
      <c r="BR56" s="78"/>
      <c r="BS56" s="78"/>
      <c r="BT56" s="78"/>
      <c r="BU56" s="78"/>
      <c r="BV56" s="78"/>
      <c r="BW56" s="2134"/>
      <c r="BX56" s="16"/>
      <c r="BY56" s="16"/>
      <c r="BZ56" s="78"/>
      <c r="CA56" s="78"/>
      <c r="CB56" s="2082"/>
      <c r="CC56" s="78"/>
      <c r="CD56" s="78"/>
      <c r="CE56" s="78"/>
      <c r="CF56" s="78"/>
      <c r="CG56" s="78"/>
      <c r="CH56" s="78"/>
      <c r="CI56" s="78"/>
      <c r="CJ56" s="78"/>
      <c r="CK56" s="78"/>
      <c r="CL56" s="78"/>
      <c r="CM56" s="78"/>
      <c r="CN56" s="78"/>
      <c r="CO56" s="2134"/>
      <c r="CP56" s="78"/>
      <c r="CQ56" s="78"/>
      <c r="CR56" s="78"/>
      <c r="CS56" s="78"/>
      <c r="CT56" s="78"/>
      <c r="CU56" s="78"/>
      <c r="CV56" s="78"/>
      <c r="CW56" s="78"/>
      <c r="CX56" s="78"/>
      <c r="CY56" s="78"/>
      <c r="CZ56" s="16"/>
      <c r="DA56" s="78"/>
      <c r="DB56" s="2134"/>
      <c r="DC56" s="78"/>
      <c r="DD56" s="78"/>
      <c r="DE56" s="78"/>
      <c r="DF56" s="78"/>
      <c r="DG56" s="2082"/>
      <c r="DH56" s="78"/>
      <c r="DI56" s="78"/>
      <c r="DJ56" s="78"/>
      <c r="DK56" s="78"/>
      <c r="DL56" s="78"/>
      <c r="DM56" s="2134"/>
      <c r="DN56" s="78"/>
      <c r="DO56" s="78"/>
      <c r="DP56" s="78"/>
      <c r="DQ56" s="78"/>
      <c r="DR56" s="2617"/>
      <c r="DS56" s="6470"/>
      <c r="DT56" s="6472"/>
      <c r="DU56" s="2617"/>
      <c r="DV56" s="2617"/>
      <c r="DW56" s="2617"/>
      <c r="DX56" s="2617"/>
      <c r="DY56" s="2617"/>
      <c r="DZ56" s="2617"/>
      <c r="EA56" s="2617"/>
      <c r="EB56" s="2617"/>
    </row>
    <row r="57" spans="5:150" ht="3" customHeight="1" x14ac:dyDescent="0.2">
      <c r="F57" s="2079"/>
      <c r="J57" s="834"/>
      <c r="L57" s="834"/>
      <c r="M57" s="834"/>
      <c r="N57" s="834"/>
      <c r="O57" s="834"/>
      <c r="P57" s="834"/>
      <c r="Q57" s="834"/>
      <c r="R57" s="834"/>
      <c r="S57" s="834"/>
      <c r="T57" s="834"/>
      <c r="U57" s="834"/>
      <c r="V57" s="834"/>
      <c r="W57" s="834"/>
      <c r="X57" s="33"/>
      <c r="Y57" s="33"/>
      <c r="Z57" s="834"/>
      <c r="AB57" s="834"/>
      <c r="AC57" s="834"/>
      <c r="AD57" s="834"/>
      <c r="AE57" s="834"/>
      <c r="AF57" s="834"/>
      <c r="AG57" s="834"/>
      <c r="AH57" s="834"/>
      <c r="AI57" s="834"/>
      <c r="AJ57" s="834"/>
      <c r="AK57" s="834"/>
      <c r="AM57" s="834"/>
      <c r="AO57" s="2142"/>
      <c r="AP57" s="6470"/>
      <c r="AQ57" s="6471"/>
      <c r="AR57" s="6471"/>
      <c r="AS57" s="6471"/>
      <c r="AT57" s="6471"/>
      <c r="AU57" s="6471"/>
      <c r="AV57" s="6471"/>
      <c r="AW57" s="6471"/>
      <c r="AX57" s="6471"/>
      <c r="AY57" s="6472"/>
      <c r="AZ57" s="2617"/>
      <c r="BA57" s="2617"/>
      <c r="BB57" s="2138"/>
      <c r="BC57" s="78"/>
      <c r="BD57" s="78"/>
      <c r="BE57" s="78"/>
      <c r="BF57" s="2134"/>
      <c r="BG57" s="78"/>
      <c r="BH57" s="78"/>
      <c r="BI57" s="78"/>
      <c r="BJ57" s="78"/>
      <c r="BK57" s="78"/>
      <c r="BL57" s="78"/>
      <c r="BM57" s="78"/>
      <c r="BN57" s="78"/>
      <c r="BO57" s="78"/>
      <c r="BP57" s="78"/>
      <c r="BQ57" s="78"/>
      <c r="BR57" s="78"/>
      <c r="BS57" s="78"/>
      <c r="BT57" s="78"/>
      <c r="BU57" s="78"/>
      <c r="BV57" s="78"/>
      <c r="BW57" s="78"/>
      <c r="BX57" s="16"/>
      <c r="BY57" s="16"/>
      <c r="BZ57" s="78"/>
      <c r="CA57" s="218"/>
      <c r="CB57" s="2082"/>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16"/>
      <c r="DA57" s="78"/>
      <c r="DB57" s="78"/>
      <c r="DC57" s="78"/>
      <c r="DD57" s="78"/>
      <c r="DE57" s="78"/>
      <c r="DF57" s="78"/>
      <c r="DG57" s="2082"/>
      <c r="DH57" s="78"/>
      <c r="DI57" s="78"/>
      <c r="DJ57" s="78"/>
      <c r="DK57" s="78"/>
      <c r="DL57" s="78"/>
      <c r="DM57" s="2134"/>
      <c r="DN57" s="78"/>
      <c r="DO57" s="78"/>
      <c r="DP57" s="78"/>
      <c r="DQ57" s="78"/>
      <c r="DR57" s="2617"/>
      <c r="DS57" s="6470"/>
      <c r="DT57" s="6472"/>
      <c r="DU57" s="2617"/>
      <c r="DV57" s="2617"/>
      <c r="DW57" s="2617"/>
      <c r="DX57" s="2617"/>
      <c r="DY57" s="2617"/>
      <c r="DZ57" s="2617"/>
      <c r="EA57" s="2617"/>
      <c r="EB57" s="2617"/>
    </row>
    <row r="58" spans="5:150" ht="3" customHeight="1" x14ac:dyDescent="0.2">
      <c r="F58" s="2079"/>
      <c r="J58" s="834"/>
      <c r="L58" s="834"/>
      <c r="M58" s="834"/>
      <c r="N58" s="834"/>
      <c r="O58" s="834"/>
      <c r="P58" s="834"/>
      <c r="Q58" s="834"/>
      <c r="R58" s="834"/>
      <c r="S58" s="834"/>
      <c r="T58" s="834"/>
      <c r="U58" s="834"/>
      <c r="V58" s="834"/>
      <c r="W58" s="834"/>
      <c r="X58" s="33"/>
      <c r="Y58" s="33"/>
      <c r="Z58" s="834"/>
      <c r="AB58" s="834"/>
      <c r="AC58" s="834"/>
      <c r="AD58" s="834"/>
      <c r="AE58" s="834"/>
      <c r="AF58" s="834"/>
      <c r="AG58" s="834"/>
      <c r="AH58" s="834"/>
      <c r="AI58" s="834"/>
      <c r="AJ58" s="834"/>
      <c r="AK58" s="834"/>
      <c r="AM58" s="834"/>
      <c r="AO58" s="2142"/>
      <c r="AP58" s="6470"/>
      <c r="AQ58" s="6471"/>
      <c r="AR58" s="6471"/>
      <c r="AS58" s="6471"/>
      <c r="AT58" s="6471"/>
      <c r="AU58" s="6471"/>
      <c r="AV58" s="6471"/>
      <c r="AW58" s="6471"/>
      <c r="AX58" s="6471"/>
      <c r="AY58" s="6472"/>
      <c r="AZ58" s="2617"/>
      <c r="BA58" s="2617"/>
      <c r="BB58" s="2138"/>
      <c r="BC58" s="78"/>
      <c r="BD58" s="78"/>
      <c r="BE58" s="78"/>
      <c r="BF58" s="2134"/>
      <c r="BG58" s="78"/>
      <c r="BH58" s="78"/>
      <c r="BI58" s="78"/>
      <c r="BJ58" s="78"/>
      <c r="BK58" s="78"/>
      <c r="BL58" s="78"/>
      <c r="BM58" s="78"/>
      <c r="BN58" s="78"/>
      <c r="BO58" s="78"/>
      <c r="BP58" s="78"/>
      <c r="BQ58" s="78"/>
      <c r="BR58" s="78"/>
      <c r="BS58" s="78"/>
      <c r="BT58" s="78"/>
      <c r="BU58" s="78"/>
      <c r="BV58" s="78"/>
      <c r="BW58" s="2134"/>
      <c r="BX58" s="16"/>
      <c r="BY58" s="16"/>
      <c r="BZ58" s="78"/>
      <c r="CA58" s="78"/>
      <c r="CB58" s="2082"/>
      <c r="CC58" s="78"/>
      <c r="CD58" s="78"/>
      <c r="CE58" s="78"/>
      <c r="CF58" s="78"/>
      <c r="CG58" s="78"/>
      <c r="CH58" s="78"/>
      <c r="CI58" s="78"/>
      <c r="CJ58" s="78"/>
      <c r="CK58" s="78"/>
      <c r="CL58" s="78"/>
      <c r="CM58" s="78"/>
      <c r="CN58" s="78"/>
      <c r="CO58" s="2134"/>
      <c r="CP58" s="78"/>
      <c r="CQ58" s="78"/>
      <c r="CR58" s="78"/>
      <c r="CS58" s="78"/>
      <c r="CT58" s="78"/>
      <c r="CU58" s="78"/>
      <c r="CV58" s="78"/>
      <c r="CW58" s="78"/>
      <c r="CX58" s="78"/>
      <c r="CY58" s="78"/>
      <c r="CZ58" s="16"/>
      <c r="DA58" s="78"/>
      <c r="DB58" s="2134"/>
      <c r="DC58" s="78"/>
      <c r="DD58" s="78"/>
      <c r="DE58" s="78"/>
      <c r="DF58" s="78"/>
      <c r="DG58" s="2082"/>
      <c r="DH58" s="78"/>
      <c r="DI58" s="78"/>
      <c r="DJ58" s="78"/>
      <c r="DK58" s="78"/>
      <c r="DL58" s="78"/>
      <c r="DM58" s="2134"/>
      <c r="DN58" s="78"/>
      <c r="DO58" s="78"/>
      <c r="DP58" s="78"/>
      <c r="DQ58" s="78"/>
      <c r="DR58" s="2617"/>
      <c r="DS58" s="6470"/>
      <c r="DT58" s="6472"/>
      <c r="DU58" s="2617"/>
      <c r="DV58" s="2617"/>
      <c r="DW58" s="2617"/>
      <c r="DX58" s="2617"/>
      <c r="DY58" s="2617"/>
      <c r="DZ58" s="2617"/>
      <c r="EA58" s="2617"/>
      <c r="EB58" s="2617"/>
    </row>
    <row r="59" spans="5:150" ht="3" customHeight="1" x14ac:dyDescent="0.2">
      <c r="F59" s="2079"/>
      <c r="J59" s="834"/>
      <c r="L59" s="834"/>
      <c r="M59" s="834"/>
      <c r="N59" s="834"/>
      <c r="O59" s="834"/>
      <c r="P59" s="834"/>
      <c r="Q59" s="834"/>
      <c r="R59" s="834"/>
      <c r="S59" s="834"/>
      <c r="T59" s="834"/>
      <c r="U59" s="834"/>
      <c r="V59" s="834"/>
      <c r="W59" s="834"/>
      <c r="X59" s="33"/>
      <c r="Y59" s="33"/>
      <c r="Z59" s="834"/>
      <c r="AB59" s="834"/>
      <c r="AC59" s="834"/>
      <c r="AD59" s="834"/>
      <c r="AE59" s="834"/>
      <c r="AF59" s="834"/>
      <c r="AG59" s="834"/>
      <c r="AH59" s="834"/>
      <c r="AI59" s="834"/>
      <c r="AJ59" s="834"/>
      <c r="AK59" s="834"/>
      <c r="AM59" s="834"/>
      <c r="AO59" s="78"/>
      <c r="AP59" s="6470"/>
      <c r="AQ59" s="6471"/>
      <c r="AR59" s="6471"/>
      <c r="AS59" s="6471"/>
      <c r="AT59" s="6471"/>
      <c r="AU59" s="6471"/>
      <c r="AV59" s="6471"/>
      <c r="AW59" s="6471"/>
      <c r="AX59" s="6471"/>
      <c r="AY59" s="6472"/>
      <c r="AZ59" s="2617"/>
      <c r="BA59" s="2617"/>
      <c r="BB59" s="78"/>
      <c r="BC59" s="78"/>
      <c r="BD59" s="78"/>
      <c r="BE59" s="78"/>
      <c r="BF59" s="2134"/>
      <c r="BG59" s="78"/>
      <c r="BH59" s="6457" t="str">
        <f>EH137</f>
        <v>Stuff 2-1</v>
      </c>
      <c r="BI59" s="6457"/>
      <c r="BJ59" s="6457"/>
      <c r="BK59" s="2103"/>
      <c r="BL59" s="2103"/>
      <c r="BM59" s="2103"/>
      <c r="BN59" s="2103"/>
      <c r="BO59" s="6439" t="str">
        <f>IF(EH137&lt;&gt;"","à","")</f>
        <v>à</v>
      </c>
      <c r="BP59" s="2103"/>
      <c r="BQ59" s="2103"/>
      <c r="BR59" s="136"/>
      <c r="BS59" s="136"/>
      <c r="BT59" s="136"/>
      <c r="BU59" s="136"/>
      <c r="BV59" s="136"/>
      <c r="BW59" s="136"/>
      <c r="BX59" s="16"/>
      <c r="BY59" s="16"/>
      <c r="BZ59" s="6439" t="str">
        <f>IF(EI137&lt;&gt;"","ß","")</f>
        <v/>
      </c>
      <c r="CA59" s="6439"/>
      <c r="CB59" s="2144"/>
      <c r="CC59" s="136"/>
      <c r="CD59" s="6397" t="str">
        <f>EI137</f>
        <v/>
      </c>
      <c r="CE59" s="6397"/>
      <c r="CF59" s="6397"/>
      <c r="CG59" s="6397"/>
      <c r="CH59" s="6397"/>
      <c r="CI59" s="6397"/>
      <c r="CJ59" s="136"/>
      <c r="CK59" s="136"/>
      <c r="CL59" s="136"/>
      <c r="CM59" s="136"/>
      <c r="CN59" s="136"/>
      <c r="CO59" s="136"/>
      <c r="CP59" s="136"/>
      <c r="CQ59" s="136"/>
      <c r="CR59" s="136"/>
      <c r="CS59" s="136"/>
      <c r="CT59" s="136"/>
      <c r="CU59" s="6457" t="str">
        <f>EJ137</f>
        <v/>
      </c>
      <c r="CV59" s="6457"/>
      <c r="CW59" s="6455" t="str">
        <f>IF($EJ$137&lt;&gt;"","à","")</f>
        <v/>
      </c>
      <c r="CX59" s="6455"/>
      <c r="CY59" s="6455"/>
      <c r="CZ59" s="6455"/>
      <c r="DA59" s="136"/>
      <c r="DB59" s="136"/>
      <c r="DC59" s="136"/>
      <c r="DD59" s="136"/>
      <c r="DE59" s="136"/>
      <c r="DF59" s="6456" t="str">
        <f>IF(EK137&lt;&gt;"","ß","")</f>
        <v/>
      </c>
      <c r="DG59" s="6456"/>
      <c r="DH59" s="136"/>
      <c r="DI59" s="6397" t="str">
        <f>EK137</f>
        <v/>
      </c>
      <c r="DJ59" s="6397"/>
      <c r="DK59" s="6397"/>
      <c r="DL59" s="78"/>
      <c r="DM59" s="2134"/>
      <c r="DN59" s="78"/>
      <c r="DO59" s="78"/>
      <c r="DP59" s="78"/>
      <c r="DQ59" s="78"/>
      <c r="DR59" s="2617"/>
      <c r="DS59" s="6470"/>
      <c r="DT59" s="6472"/>
      <c r="DU59" s="2617"/>
      <c r="DV59" s="2617"/>
      <c r="DW59" s="2617"/>
      <c r="DX59" s="2617"/>
      <c r="DY59" s="2617"/>
      <c r="DZ59" s="2617"/>
      <c r="EA59" s="2617"/>
      <c r="EB59" s="2617"/>
    </row>
    <row r="60" spans="5:150" ht="3" customHeight="1" thickBot="1" x14ac:dyDescent="0.25">
      <c r="F60" s="2079"/>
      <c r="J60" s="89"/>
      <c r="L60" s="89"/>
      <c r="M60" s="89"/>
      <c r="N60" s="89"/>
      <c r="O60" s="89"/>
      <c r="P60" s="89"/>
      <c r="Q60" s="89"/>
      <c r="R60" s="89"/>
      <c r="S60" s="89"/>
      <c r="T60" s="2160"/>
      <c r="U60" s="89"/>
      <c r="V60" s="89"/>
      <c r="W60" s="89"/>
      <c r="X60" s="29"/>
      <c r="Y60" s="29"/>
      <c r="Z60" s="89"/>
      <c r="AB60" s="89"/>
      <c r="AC60" s="89"/>
      <c r="AD60" s="89"/>
      <c r="AE60" s="89"/>
      <c r="AF60" s="89"/>
      <c r="AG60" s="89"/>
      <c r="AH60" s="89"/>
      <c r="AI60" s="89"/>
      <c r="AJ60" s="28"/>
      <c r="AK60" s="89"/>
      <c r="AM60" s="89"/>
      <c r="AO60" s="78"/>
      <c r="AP60" s="6473"/>
      <c r="AQ60" s="6474"/>
      <c r="AR60" s="6474"/>
      <c r="AS60" s="6474"/>
      <c r="AT60" s="6474"/>
      <c r="AU60" s="6474"/>
      <c r="AV60" s="6474"/>
      <c r="AW60" s="6474"/>
      <c r="AX60" s="6474"/>
      <c r="AY60" s="6475"/>
      <c r="AZ60" s="2617"/>
      <c r="BA60" s="2617"/>
      <c r="BB60" s="78"/>
      <c r="BC60" s="2134"/>
      <c r="BD60" s="2134"/>
      <c r="BE60" s="2134"/>
      <c r="BF60" s="2134"/>
      <c r="BG60" s="78"/>
      <c r="BH60" s="6457"/>
      <c r="BI60" s="6457"/>
      <c r="BJ60" s="6457"/>
      <c r="BK60" s="2103"/>
      <c r="BL60" s="2103"/>
      <c r="BM60" s="2103"/>
      <c r="BN60" s="2103"/>
      <c r="BO60" s="6439"/>
      <c r="BP60" s="2103"/>
      <c r="BQ60" s="2103"/>
      <c r="BR60" s="136"/>
      <c r="BS60" s="136"/>
      <c r="BT60" s="136"/>
      <c r="BU60" s="136"/>
      <c r="BV60" s="136"/>
      <c r="BW60" s="2136"/>
      <c r="BX60" s="136"/>
      <c r="BY60" s="136"/>
      <c r="BZ60" s="6439"/>
      <c r="CA60" s="6439"/>
      <c r="CB60" s="2144"/>
      <c r="CC60" s="2137"/>
      <c r="CD60" s="6397"/>
      <c r="CE60" s="6397"/>
      <c r="CF60" s="6397"/>
      <c r="CG60" s="6397"/>
      <c r="CH60" s="6397"/>
      <c r="CI60" s="6397"/>
      <c r="CJ60" s="2137"/>
      <c r="CK60" s="2137"/>
      <c r="CL60" s="136"/>
      <c r="CM60" s="2135"/>
      <c r="CN60" s="2135"/>
      <c r="CO60" s="2136"/>
      <c r="CP60" s="2135"/>
      <c r="CQ60" s="2135"/>
      <c r="CR60" s="136"/>
      <c r="CS60" s="2137"/>
      <c r="CT60" s="2137"/>
      <c r="CU60" s="6457"/>
      <c r="CV60" s="6457"/>
      <c r="CW60" s="6455"/>
      <c r="CX60" s="6455"/>
      <c r="CY60" s="6455"/>
      <c r="CZ60" s="6455"/>
      <c r="DA60" s="136"/>
      <c r="DB60" s="2136"/>
      <c r="DC60" s="136"/>
      <c r="DD60" s="136"/>
      <c r="DE60" s="136"/>
      <c r="DF60" s="6456"/>
      <c r="DG60" s="6456"/>
      <c r="DH60" s="136"/>
      <c r="DI60" s="6397"/>
      <c r="DJ60" s="6397"/>
      <c r="DK60" s="6397"/>
      <c r="DL60" s="78"/>
      <c r="DM60" s="2134"/>
      <c r="DN60" s="2134"/>
      <c r="DO60" s="2134"/>
      <c r="DP60" s="2134"/>
      <c r="DQ60" s="78"/>
      <c r="DR60" s="2617"/>
      <c r="DS60" s="6473"/>
      <c r="DT60" s="6475"/>
      <c r="DU60" s="2617"/>
      <c r="DV60" s="2617"/>
      <c r="DW60" s="2617"/>
      <c r="DX60" s="2617"/>
      <c r="DY60" s="2617"/>
      <c r="DZ60" s="2617"/>
      <c r="EA60" s="2617"/>
      <c r="EB60" s="2617"/>
    </row>
    <row r="61" spans="5:150" ht="3" customHeight="1" x14ac:dyDescent="0.2">
      <c r="F61" s="2079"/>
      <c r="J61" s="89"/>
      <c r="L61" s="89"/>
      <c r="M61" s="89"/>
      <c r="N61" s="89"/>
      <c r="O61" s="89"/>
      <c r="P61" s="89"/>
      <c r="Q61" s="89"/>
      <c r="R61" s="89"/>
      <c r="S61" s="89"/>
      <c r="T61" s="2160"/>
      <c r="U61" s="89"/>
      <c r="V61" s="89"/>
      <c r="W61" s="89"/>
      <c r="X61" s="29"/>
      <c r="Y61" s="29"/>
      <c r="Z61" s="89"/>
      <c r="AB61" s="89"/>
      <c r="AC61" s="89"/>
      <c r="AD61" s="89"/>
      <c r="AE61" s="89"/>
      <c r="AF61" s="89"/>
      <c r="AG61" s="89"/>
      <c r="AH61" s="89"/>
      <c r="AI61" s="89"/>
      <c r="AJ61" s="28"/>
      <c r="AK61" s="89"/>
      <c r="AM61" s="89"/>
      <c r="AO61" s="78"/>
      <c r="AP61" s="6489" t="str">
        <f>IF($F$10=1,"",IF($F$10=2,Prosjektinfo!$AC$88))</f>
        <v/>
      </c>
      <c r="AQ61" s="6505"/>
      <c r="AR61" s="6505"/>
      <c r="AS61" s="6505"/>
      <c r="AT61" s="6505"/>
      <c r="AU61" s="6505"/>
      <c r="AV61" s="6505"/>
      <c r="AW61" s="6505"/>
      <c r="AX61" s="6505"/>
      <c r="AY61" s="6490"/>
      <c r="AZ61" s="2617"/>
      <c r="BA61" s="2617"/>
      <c r="BB61" s="78"/>
      <c r="BC61" s="78"/>
      <c r="BD61" s="78"/>
      <c r="BE61" s="78"/>
      <c r="BF61" s="78"/>
      <c r="BG61" s="78"/>
      <c r="BH61" s="6457"/>
      <c r="BI61" s="6457"/>
      <c r="BJ61" s="6457"/>
      <c r="BK61" s="2103"/>
      <c r="BL61" s="2103"/>
      <c r="BM61" s="2103"/>
      <c r="BN61" s="2103"/>
      <c r="BO61" s="6439"/>
      <c r="BP61" s="2103"/>
      <c r="BQ61" s="2103"/>
      <c r="BR61" s="136"/>
      <c r="BS61" s="136"/>
      <c r="BT61" s="136"/>
      <c r="BU61" s="136"/>
      <c r="BV61" s="136"/>
      <c r="BW61" s="136"/>
      <c r="BX61" s="136"/>
      <c r="BY61" s="136"/>
      <c r="BZ61" s="6439"/>
      <c r="CA61" s="6439"/>
      <c r="CB61" s="2144"/>
      <c r="CC61" s="2137"/>
      <c r="CD61" s="6397"/>
      <c r="CE61" s="6397"/>
      <c r="CF61" s="6397"/>
      <c r="CG61" s="6397"/>
      <c r="CH61" s="6397"/>
      <c r="CI61" s="6397"/>
      <c r="CJ61" s="2137"/>
      <c r="CK61" s="2137"/>
      <c r="CL61" s="136"/>
      <c r="CM61" s="2135"/>
      <c r="CN61" s="2135"/>
      <c r="CO61" s="136"/>
      <c r="CP61" s="2135"/>
      <c r="CQ61" s="2135"/>
      <c r="CR61" s="136"/>
      <c r="CS61" s="2137"/>
      <c r="CT61" s="2137"/>
      <c r="CU61" s="6457"/>
      <c r="CV61" s="6457"/>
      <c r="CW61" s="6455"/>
      <c r="CX61" s="6455"/>
      <c r="CY61" s="6455"/>
      <c r="CZ61" s="6455"/>
      <c r="DA61" s="136"/>
      <c r="DB61" s="136"/>
      <c r="DC61" s="136"/>
      <c r="DD61" s="136"/>
      <c r="DE61" s="136"/>
      <c r="DF61" s="6456"/>
      <c r="DG61" s="6456"/>
      <c r="DH61" s="136"/>
      <c r="DI61" s="6397"/>
      <c r="DJ61" s="6397"/>
      <c r="DK61" s="6397"/>
      <c r="DL61" s="78"/>
      <c r="DM61" s="78"/>
      <c r="DN61" s="78"/>
      <c r="DO61" s="78"/>
      <c r="DP61" s="78"/>
      <c r="DQ61" s="78"/>
      <c r="DR61" s="2617"/>
      <c r="DS61" s="6489" t="str">
        <f>IF($F$10=1,"",IF($F$10=2,Prosjektinfo!$AC$88))</f>
        <v/>
      </c>
      <c r="DT61" s="6490"/>
      <c r="DU61" s="2617"/>
      <c r="DV61" s="2617"/>
      <c r="DW61" s="2617"/>
      <c r="DX61" s="2617"/>
      <c r="DY61" s="2617"/>
      <c r="DZ61" s="2617"/>
      <c r="EA61" s="2617"/>
      <c r="EB61" s="2617"/>
    </row>
    <row r="62" spans="5:150" ht="20.100000000000001" customHeight="1" thickBot="1" x14ac:dyDescent="0.25">
      <c r="E62" s="115" t="s">
        <v>267</v>
      </c>
      <c r="F62" s="2079" t="str">
        <f>IF(AND(F37=1,AD78=""),"A",IF(AND(F37=1,AD78&lt;&gt;""),AD78,""))</f>
        <v/>
      </c>
      <c r="J62" s="16"/>
      <c r="L62" s="17"/>
      <c r="M62" s="129"/>
      <c r="N62" s="129"/>
      <c r="O62" s="129"/>
      <c r="P62" s="15"/>
      <c r="Q62" s="15"/>
      <c r="R62" s="15"/>
      <c r="S62" s="15"/>
      <c r="T62" s="13"/>
      <c r="U62" s="15"/>
      <c r="V62" s="15"/>
      <c r="W62" s="15"/>
      <c r="Z62" s="15"/>
      <c r="AB62" s="21"/>
      <c r="AC62" s="21"/>
      <c r="AD62" s="21"/>
      <c r="AE62" s="21"/>
      <c r="AF62" s="21"/>
      <c r="AG62" s="21"/>
      <c r="AH62" s="15"/>
      <c r="AI62" s="15"/>
      <c r="AK62" s="15"/>
      <c r="AM62" s="16"/>
      <c r="AP62" s="6491"/>
      <c r="AQ62" s="6506"/>
      <c r="AR62" s="6506"/>
      <c r="AS62" s="6506"/>
      <c r="AT62" s="6506"/>
      <c r="AU62" s="6506"/>
      <c r="AV62" s="6506"/>
      <c r="AW62" s="6506"/>
      <c r="AX62" s="6506"/>
      <c r="AY62" s="6492"/>
      <c r="AZ62" s="2617"/>
      <c r="BA62" s="2617"/>
      <c r="BB62" s="78"/>
      <c r="BC62" s="78"/>
      <c r="BD62" s="78"/>
      <c r="BE62" s="78"/>
      <c r="BF62" s="78"/>
      <c r="BG62" s="78"/>
      <c r="BH62" s="6457"/>
      <c r="BI62" s="6457"/>
      <c r="BJ62" s="6457"/>
      <c r="BK62" s="2161"/>
      <c r="BL62" s="2161"/>
      <c r="BM62" s="2161"/>
      <c r="BN62" s="2161"/>
      <c r="BO62" s="6439"/>
      <c r="BP62" s="2129"/>
      <c r="BQ62" s="2129"/>
      <c r="BR62" s="2129"/>
      <c r="BS62" s="20"/>
      <c r="BT62" s="20"/>
      <c r="BU62" s="20"/>
      <c r="BV62" s="20"/>
      <c r="BW62" s="20"/>
      <c r="BX62" s="20"/>
      <c r="BY62" s="20"/>
      <c r="BZ62" s="6439"/>
      <c r="CA62" s="6439"/>
      <c r="CB62" s="2144"/>
      <c r="CC62" s="136"/>
      <c r="CD62" s="6397"/>
      <c r="CE62" s="6397"/>
      <c r="CF62" s="6397"/>
      <c r="CG62" s="6397"/>
      <c r="CH62" s="6397"/>
      <c r="CI62" s="6397"/>
      <c r="CJ62" s="136"/>
      <c r="CK62" s="2137"/>
      <c r="CL62" s="136"/>
      <c r="CM62" s="136"/>
      <c r="CN62" s="136"/>
      <c r="CO62" s="136"/>
      <c r="CP62" s="136"/>
      <c r="CQ62" s="136"/>
      <c r="CR62" s="136"/>
      <c r="CS62" s="136"/>
      <c r="CT62" s="2135"/>
      <c r="CU62" s="6457"/>
      <c r="CV62" s="6457"/>
      <c r="CW62" s="6455"/>
      <c r="CX62" s="6455"/>
      <c r="CY62" s="6455"/>
      <c r="CZ62" s="6455"/>
      <c r="DA62" s="136"/>
      <c r="DB62" s="136"/>
      <c r="DC62" s="136"/>
      <c r="DD62" s="136"/>
      <c r="DE62" s="136"/>
      <c r="DF62" s="6456"/>
      <c r="DG62" s="6456"/>
      <c r="DH62" s="136"/>
      <c r="DI62" s="6397"/>
      <c r="DJ62" s="6397"/>
      <c r="DK62" s="6397"/>
      <c r="DL62" s="78"/>
      <c r="DM62" s="78"/>
      <c r="DN62" s="78"/>
      <c r="DO62" s="78"/>
      <c r="DP62" s="78"/>
      <c r="DQ62" s="78"/>
      <c r="DR62" s="2617"/>
      <c r="DS62" s="6491"/>
      <c r="DT62" s="6492"/>
      <c r="DU62" s="2617"/>
      <c r="DV62" s="2617"/>
      <c r="DW62" s="2617"/>
      <c r="DX62" s="2617"/>
      <c r="DY62" s="2617"/>
      <c r="DZ62" s="2617"/>
      <c r="EA62" s="2617"/>
      <c r="EB62" s="2617"/>
      <c r="EO62" s="2162"/>
      <c r="EP62" s="2162"/>
      <c r="EQ62" s="2162"/>
      <c r="ER62" s="2162"/>
      <c r="ES62" s="2162"/>
      <c r="ET62" s="2162"/>
    </row>
    <row r="63" spans="5:150" ht="15" customHeight="1" thickBot="1" x14ac:dyDescent="0.45">
      <c r="F63" s="2079"/>
      <c r="J63" s="2163"/>
      <c r="L63" s="809"/>
      <c r="M63" s="810"/>
      <c r="N63" s="810"/>
      <c r="O63" s="810"/>
      <c r="P63" s="806"/>
      <c r="Q63" s="806"/>
      <c r="R63" s="806"/>
      <c r="S63" s="806"/>
      <c r="T63" s="1966"/>
      <c r="U63" s="806"/>
      <c r="V63" s="806"/>
      <c r="W63" s="806"/>
      <c r="X63" s="806"/>
      <c r="Y63" s="806"/>
      <c r="Z63" s="807"/>
      <c r="AB63" s="804"/>
      <c r="AC63" s="805"/>
      <c r="AD63" s="805"/>
      <c r="AE63" s="805"/>
      <c r="AF63" s="805"/>
      <c r="AG63" s="805"/>
      <c r="AH63" s="806"/>
      <c r="AI63" s="806"/>
      <c r="AJ63" s="1966"/>
      <c r="AK63" s="807"/>
      <c r="AM63" s="808"/>
      <c r="AO63" s="78"/>
      <c r="AP63" s="78"/>
      <c r="AQ63" s="78"/>
      <c r="AR63" s="78"/>
      <c r="AS63" s="78"/>
      <c r="AT63" s="78"/>
      <c r="AU63" s="78"/>
      <c r="AV63" s="78"/>
      <c r="AW63" s="78"/>
      <c r="AX63" s="78"/>
      <c r="AY63" s="78"/>
      <c r="AZ63" s="2617"/>
      <c r="BA63" s="2617"/>
      <c r="BB63" s="78"/>
      <c r="BC63" s="78"/>
      <c r="BD63" s="78"/>
      <c r="BE63" s="78"/>
      <c r="BF63" s="78"/>
      <c r="BG63" s="78"/>
      <c r="BH63" s="2120" t="str">
        <f>IF($EH$138&lt;&gt;"",$EH$138&amp;" m","")</f>
        <v>?  m</v>
      </c>
      <c r="BI63" s="2164"/>
      <c r="BJ63" s="78"/>
      <c r="BK63" s="2159"/>
      <c r="BL63" s="2159"/>
      <c r="BM63" s="2159"/>
      <c r="BN63" s="2159"/>
      <c r="BO63" s="78"/>
      <c r="BP63" s="78"/>
      <c r="BQ63" s="78"/>
      <c r="BR63" s="78"/>
      <c r="BS63" s="78"/>
      <c r="BT63" s="78"/>
      <c r="BU63" s="78"/>
      <c r="BV63" s="78"/>
      <c r="BW63" s="78"/>
      <c r="BX63" s="16"/>
      <c r="BY63" s="16"/>
      <c r="BZ63" s="78"/>
      <c r="CA63" s="78"/>
      <c r="CB63" s="78"/>
      <c r="CC63" s="78"/>
      <c r="CD63" s="2129"/>
      <c r="CE63" s="2129"/>
      <c r="CF63" s="2129"/>
      <c r="CG63" s="2165"/>
      <c r="CH63" s="2118"/>
      <c r="CI63" s="2119" t="str">
        <f>IF($EI$138&lt;&gt;"",$EI$138&amp;" m","")</f>
        <v/>
      </c>
      <c r="CJ63" s="136"/>
      <c r="CK63" s="2137"/>
      <c r="CL63" s="136"/>
      <c r="CM63" s="136"/>
      <c r="CN63" s="136"/>
      <c r="CO63" s="136"/>
      <c r="CP63" s="136"/>
      <c r="CQ63" s="136"/>
      <c r="CR63" s="136"/>
      <c r="CS63" s="136"/>
      <c r="CT63" s="2135"/>
      <c r="CU63" s="2166" t="str">
        <f>IF($EJ$138&lt;&gt;"",$EJ$138&amp;" m","")</f>
        <v/>
      </c>
      <c r="CV63" s="2118"/>
      <c r="CW63" s="78"/>
      <c r="CX63" s="78"/>
      <c r="CY63" s="78"/>
      <c r="CZ63" s="16"/>
      <c r="DA63" s="78"/>
      <c r="DB63" s="78"/>
      <c r="DC63" s="78"/>
      <c r="DD63" s="78"/>
      <c r="DE63" s="78"/>
      <c r="DF63" s="78"/>
      <c r="DG63" s="2082"/>
      <c r="DH63" s="78"/>
      <c r="DI63" s="2117"/>
      <c r="DJ63" s="2117"/>
      <c r="DK63" s="2119" t="str">
        <f>IF(EK138&lt;&gt;"",$EK$138&amp;" m","")</f>
        <v/>
      </c>
      <c r="DL63" s="2164"/>
      <c r="DM63" s="78"/>
      <c r="DN63" s="78"/>
      <c r="DO63" s="78"/>
      <c r="DP63" s="78"/>
      <c r="DQ63" s="78"/>
      <c r="DR63" s="78"/>
      <c r="DS63" s="78"/>
      <c r="DT63" s="78"/>
      <c r="DU63" s="78"/>
      <c r="DV63" s="78"/>
      <c r="DW63" s="2617"/>
      <c r="DX63" s="2617"/>
      <c r="DY63" s="2617"/>
      <c r="DZ63" s="2617"/>
      <c r="EA63" s="2617"/>
      <c r="EP63" s="2162"/>
      <c r="EQ63" s="2162"/>
      <c r="ER63" s="2162"/>
      <c r="ES63" s="2162"/>
      <c r="ET63" s="2162"/>
    </row>
    <row r="64" spans="5:150" ht="8.1" customHeight="1" thickBot="1" x14ac:dyDescent="0.25">
      <c r="F64" s="2079"/>
      <c r="J64" s="16"/>
      <c r="L64" s="17"/>
      <c r="M64" s="129"/>
      <c r="N64" s="129"/>
      <c r="O64" s="129"/>
      <c r="P64" s="15"/>
      <c r="Q64" s="15"/>
      <c r="R64" s="15"/>
      <c r="S64" s="15"/>
      <c r="T64" s="13"/>
      <c r="U64" s="15"/>
      <c r="V64" s="15"/>
      <c r="W64" s="15"/>
      <c r="Z64" s="15"/>
      <c r="AB64" s="21"/>
      <c r="AC64" s="21"/>
      <c r="AD64" s="21"/>
      <c r="AE64" s="21"/>
      <c r="AF64" s="21"/>
      <c r="AG64" s="21"/>
      <c r="AH64" s="15"/>
      <c r="AI64" s="15"/>
      <c r="AK64" s="15"/>
      <c r="AM64" s="16"/>
      <c r="AO64" s="78"/>
      <c r="AP64" s="78"/>
      <c r="AQ64" s="78"/>
      <c r="AR64" s="78"/>
      <c r="AS64" s="78"/>
      <c r="AT64" s="78"/>
      <c r="AU64" s="78"/>
      <c r="AV64" s="78"/>
      <c r="AW64" s="78"/>
      <c r="AX64" s="78"/>
      <c r="AY64" s="78"/>
      <c r="AZ64" s="2617"/>
      <c r="BA64" s="2617"/>
      <c r="BB64" s="78"/>
      <c r="BC64" s="78"/>
      <c r="BD64" s="78"/>
      <c r="BE64" s="78"/>
      <c r="BF64" s="78"/>
      <c r="BG64" s="78"/>
      <c r="BH64" s="3913"/>
      <c r="BI64" s="3913"/>
      <c r="BJ64" s="3913"/>
      <c r="BK64" s="2161"/>
      <c r="BL64" s="2161"/>
      <c r="BM64" s="2161"/>
      <c r="BN64" s="2161"/>
      <c r="BO64" s="4056"/>
      <c r="BP64" s="2129"/>
      <c r="BQ64" s="2129"/>
      <c r="BR64" s="2129"/>
      <c r="BS64" s="20"/>
      <c r="BT64" s="20"/>
      <c r="BU64" s="20"/>
      <c r="BV64" s="20"/>
      <c r="BW64" s="20"/>
      <c r="BX64" s="20"/>
      <c r="BY64" s="20"/>
      <c r="BZ64" s="4056"/>
      <c r="CA64" s="4056"/>
      <c r="CB64" s="2144"/>
      <c r="CC64" s="136"/>
      <c r="CD64" s="3914"/>
      <c r="CE64" s="3914"/>
      <c r="CF64" s="3914"/>
      <c r="CG64" s="3914"/>
      <c r="CH64" s="3914"/>
      <c r="CI64" s="3914"/>
      <c r="CJ64" s="136"/>
      <c r="CK64" s="2137"/>
      <c r="CL64" s="136"/>
      <c r="CM64" s="136"/>
      <c r="CN64" s="136"/>
      <c r="CO64" s="136"/>
      <c r="CP64" s="136"/>
      <c r="CQ64" s="136"/>
      <c r="CR64" s="136"/>
      <c r="CS64" s="136"/>
      <c r="CT64" s="2135"/>
      <c r="CU64" s="3913"/>
      <c r="CV64" s="3913"/>
      <c r="CW64" s="4057"/>
      <c r="CX64" s="4057"/>
      <c r="CY64" s="4057"/>
      <c r="CZ64" s="4057"/>
      <c r="DA64" s="136"/>
      <c r="DB64" s="136"/>
      <c r="DC64" s="136"/>
      <c r="DD64" s="136"/>
      <c r="DE64" s="136"/>
      <c r="DF64" s="4057"/>
      <c r="DG64" s="4057"/>
      <c r="DH64" s="136"/>
      <c r="DI64" s="3914"/>
      <c r="DJ64" s="3914"/>
      <c r="DK64" s="3914"/>
      <c r="DL64" s="78"/>
      <c r="DM64" s="78"/>
      <c r="DN64" s="78"/>
      <c r="DO64" s="78"/>
      <c r="DP64" s="78"/>
      <c r="DQ64" s="78"/>
      <c r="DR64" s="78"/>
      <c r="DS64" s="78"/>
      <c r="DT64" s="78"/>
      <c r="DU64" s="78"/>
      <c r="DV64" s="78"/>
      <c r="DW64" s="78"/>
      <c r="EP64" s="2162"/>
      <c r="EQ64" s="2162"/>
      <c r="ER64" s="2162"/>
      <c r="ES64" s="2162"/>
      <c r="ET64" s="2162"/>
    </row>
    <row r="65" spans="1:150" ht="15" customHeight="1" thickBot="1" x14ac:dyDescent="0.25">
      <c r="E65" s="115" t="s">
        <v>211</v>
      </c>
      <c r="F65" s="2079">
        <f>IF(F62="b",2,IF(F62="a",1,0))</f>
        <v>0</v>
      </c>
      <c r="J65" s="763"/>
      <c r="L65" s="764"/>
      <c r="M65" s="765"/>
      <c r="N65" s="765"/>
      <c r="O65" s="765"/>
      <c r="P65" s="765"/>
      <c r="Q65" s="766"/>
      <c r="R65" s="765"/>
      <c r="S65" s="765"/>
      <c r="T65" s="1967"/>
      <c r="U65" s="765"/>
      <c r="V65" s="765"/>
      <c r="W65" s="765"/>
      <c r="X65" s="766"/>
      <c r="Y65" s="766"/>
      <c r="Z65" s="767"/>
      <c r="AA65" s="78"/>
      <c r="AB65" s="782"/>
      <c r="AC65" s="765"/>
      <c r="AD65" s="765"/>
      <c r="AE65" s="765"/>
      <c r="AF65" s="765"/>
      <c r="AG65" s="765"/>
      <c r="AH65" s="765"/>
      <c r="AI65" s="765"/>
      <c r="AJ65" s="1967"/>
      <c r="AK65" s="767"/>
      <c r="AM65" s="586"/>
      <c r="AO65" s="78"/>
      <c r="AP65" s="78"/>
      <c r="AQ65" s="78"/>
      <c r="AR65" s="78"/>
      <c r="AS65" s="78"/>
      <c r="AT65" s="78"/>
      <c r="AU65" s="78"/>
      <c r="AV65" s="78"/>
      <c r="AW65" s="78"/>
      <c r="AX65" s="78"/>
      <c r="AY65" s="78"/>
      <c r="AZ65" s="2617"/>
      <c r="BA65" s="2617"/>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6448" t="str">
        <f>IF(OR(AND($F$65=2,$F$6="C"),AND($F$65=2,$F$18=8),$EK$86="26b2",$EK$86="14A2",$EK$86="13B2",$EK$86="26D2",$EK$86="13d2"),"↑","")</f>
        <v/>
      </c>
      <c r="CK65" s="6448"/>
      <c r="CL65" s="6448"/>
      <c r="CM65" s="78"/>
      <c r="CN65" s="78"/>
      <c r="CO65" s="78"/>
      <c r="CP65" s="78"/>
      <c r="CQ65" s="78"/>
      <c r="CR65" s="6448" t="str">
        <f>IF(OR($EK$86="24B2",,$EI$94="1421A",$EK$86="26a2",$EK$86="12b2",$EK$86="13A2",$EL$86="282",$EK$86="26c2",$EK$86="26d2",$EK$86="13c2",$EK$86="13d2"),"↑","")</f>
        <v/>
      </c>
      <c r="CS65" s="6448"/>
      <c r="CT65" s="644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EP65" s="2162"/>
      <c r="EQ65" s="2162"/>
      <c r="ER65" s="2162"/>
      <c r="ES65" s="2162"/>
      <c r="ET65" s="2162"/>
    </row>
    <row r="66" spans="1:150" ht="20.100000000000001" customHeight="1" thickBot="1" x14ac:dyDescent="0.3">
      <c r="E66" s="115" t="s">
        <v>259</v>
      </c>
      <c r="F66" s="2079" t="str">
        <f>IF(AND($AD$82&lt;&gt;"",$AD$89=""),$AG$89,IF(AND($AD$82&lt;&gt;"",$AD$89&lt;&gt;""),$AD$89,""))</f>
        <v/>
      </c>
      <c r="J66" s="6406" t="s">
        <v>2684</v>
      </c>
      <c r="L66" s="2167"/>
      <c r="M66" s="586" t="s">
        <v>492</v>
      </c>
      <c r="N66" s="586"/>
      <c r="O66" s="586"/>
      <c r="P66" s="2168"/>
      <c r="Q66" s="2168"/>
      <c r="R66" s="768"/>
      <c r="S66" s="768"/>
      <c r="T66" s="1982" t="s">
        <v>149</v>
      </c>
      <c r="U66" s="769"/>
      <c r="V66" s="769"/>
      <c r="W66" s="769"/>
      <c r="X66" s="770"/>
      <c r="Y66" s="770"/>
      <c r="Z66" s="771"/>
      <c r="AA66" s="78"/>
      <c r="AB66" s="783"/>
      <c r="AC66" s="768"/>
      <c r="AD66" s="6424" t="str">
        <f>IF(F37=0,"Nei",IF(F37=1,"Ja"))</f>
        <v>Nei</v>
      </c>
      <c r="AE66" s="6425"/>
      <c r="AF66" s="6425"/>
      <c r="AG66" s="6425"/>
      <c r="AH66" s="6426"/>
      <c r="AI66" s="586"/>
      <c r="AJ66" s="30" t="str">
        <f>IF(AD66="","!","✓")</f>
        <v>✓</v>
      </c>
      <c r="AK66" s="777"/>
      <c r="AM66" s="586"/>
      <c r="AO66" s="78"/>
      <c r="AS66" s="3487"/>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16"/>
      <c r="BY66" s="16"/>
      <c r="BZ66" s="78"/>
      <c r="CA66" s="78"/>
      <c r="CB66" s="78"/>
      <c r="CC66" s="78"/>
      <c r="CD66" s="78"/>
      <c r="CE66" s="78"/>
      <c r="CF66" s="78"/>
      <c r="CG66" s="78"/>
      <c r="CH66" s="78"/>
      <c r="CI66" s="78"/>
      <c r="CJ66" s="6448"/>
      <c r="CK66" s="6448"/>
      <c r="CL66" s="6448"/>
      <c r="CM66" s="78"/>
      <c r="CN66" s="78"/>
      <c r="CO66" s="78"/>
      <c r="CP66" s="78"/>
      <c r="CQ66" s="78"/>
      <c r="CR66" s="6448"/>
      <c r="CS66" s="6448"/>
      <c r="CT66" s="6448"/>
      <c r="CU66" s="78"/>
      <c r="CV66" s="78"/>
      <c r="CW66" s="78"/>
      <c r="CX66" s="78"/>
      <c r="CY66" s="78"/>
      <c r="CZ66" s="16"/>
      <c r="DA66" s="78"/>
      <c r="DB66" s="78"/>
      <c r="DC66" s="78"/>
      <c r="DD66" s="78"/>
      <c r="DE66" s="78"/>
      <c r="DF66" s="78"/>
      <c r="DG66" s="2082"/>
      <c r="DH66" s="78"/>
      <c r="DI66" s="78"/>
      <c r="DJ66" s="78"/>
      <c r="DK66" s="78"/>
      <c r="DL66" s="78"/>
      <c r="DM66" s="78"/>
      <c r="DN66" s="78"/>
      <c r="DO66" s="78"/>
      <c r="DP66" s="78"/>
      <c r="DQ66" s="78"/>
      <c r="DR66" s="78"/>
      <c r="DS66" s="78"/>
      <c r="DT66" s="78"/>
      <c r="DU66" s="78"/>
      <c r="DV66" s="78"/>
      <c r="DW66" s="78"/>
      <c r="EP66" s="2162"/>
      <c r="EQ66" s="2162"/>
      <c r="ER66" s="2162"/>
      <c r="ES66" s="2162"/>
      <c r="ET66" s="2162"/>
    </row>
    <row r="67" spans="1:150" ht="3" customHeight="1" x14ac:dyDescent="0.2">
      <c r="F67" s="2079"/>
      <c r="J67" s="6406"/>
      <c r="L67" s="2167"/>
      <c r="M67" s="586"/>
      <c r="N67" s="586"/>
      <c r="O67" s="586"/>
      <c r="P67" s="2168"/>
      <c r="Q67" s="2168"/>
      <c r="R67" s="768"/>
      <c r="S67" s="768"/>
      <c r="T67" s="1982"/>
      <c r="U67" s="769"/>
      <c r="V67" s="769"/>
      <c r="W67" s="769"/>
      <c r="X67" s="769"/>
      <c r="Y67" s="769"/>
      <c r="Z67" s="771"/>
      <c r="AA67" s="78"/>
      <c r="AB67" s="783"/>
      <c r="AC67" s="768"/>
      <c r="AD67" s="768"/>
      <c r="AE67" s="768"/>
      <c r="AF67" s="768"/>
      <c r="AG67" s="768"/>
      <c r="AH67" s="586"/>
      <c r="AI67" s="586"/>
      <c r="AJ67" s="1968"/>
      <c r="AK67" s="777"/>
      <c r="AM67" s="586"/>
      <c r="AO67" s="78"/>
      <c r="AP67" s="78"/>
      <c r="AQ67" s="78"/>
      <c r="AR67" s="78"/>
      <c r="AS67" s="78"/>
      <c r="AT67" s="78"/>
      <c r="AU67" s="4058"/>
      <c r="AV67" s="4058"/>
      <c r="AW67" s="4058"/>
      <c r="AX67" s="4058"/>
      <c r="AY67" s="4058"/>
      <c r="AZ67" s="4058"/>
      <c r="BA67" s="4058"/>
      <c r="BB67" s="4058"/>
      <c r="BC67" s="1892"/>
      <c r="BD67" s="1892"/>
      <c r="BE67" s="1892"/>
      <c r="BF67" s="1892"/>
      <c r="BG67" s="1894"/>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2082"/>
      <c r="DH67" s="78"/>
      <c r="DI67" s="78"/>
      <c r="DJ67" s="78"/>
      <c r="DK67" s="78"/>
      <c r="DL67" s="78"/>
      <c r="DM67" s="78"/>
      <c r="DN67" s="78"/>
      <c r="DO67" s="78"/>
      <c r="DP67" s="78"/>
      <c r="DQ67" s="78"/>
      <c r="DR67" s="78"/>
      <c r="DS67" s="78"/>
      <c r="DT67" s="78"/>
      <c r="DU67" s="2617"/>
      <c r="DV67" s="2617"/>
      <c r="DW67" s="2617"/>
      <c r="DX67" s="2617"/>
      <c r="DY67" s="2617"/>
      <c r="DZ67" s="2617"/>
      <c r="EA67" s="2617"/>
    </row>
    <row r="68" spans="1:150" ht="3" customHeight="1" x14ac:dyDescent="0.2">
      <c r="F68" s="2079"/>
      <c r="J68" s="6406"/>
      <c r="L68" s="2167"/>
      <c r="M68" s="586"/>
      <c r="N68" s="586"/>
      <c r="O68" s="586"/>
      <c r="P68" s="2168"/>
      <c r="Q68" s="2168"/>
      <c r="R68" s="768"/>
      <c r="S68" s="768"/>
      <c r="T68" s="1982"/>
      <c r="U68" s="769"/>
      <c r="V68" s="769"/>
      <c r="W68" s="769"/>
      <c r="X68" s="769"/>
      <c r="Y68" s="769"/>
      <c r="Z68" s="771"/>
      <c r="AA68" s="78"/>
      <c r="AB68" s="783"/>
      <c r="AC68" s="768"/>
      <c r="AD68" s="768"/>
      <c r="AE68" s="768"/>
      <c r="AF68" s="768"/>
      <c r="AG68" s="768"/>
      <c r="AH68" s="768"/>
      <c r="AI68" s="768"/>
      <c r="AJ68" s="1969"/>
      <c r="AK68" s="773"/>
      <c r="AM68" s="586"/>
      <c r="AO68" s="78"/>
      <c r="AP68" s="78"/>
      <c r="AQ68" s="78"/>
      <c r="AR68" s="78"/>
      <c r="AS68" s="78"/>
      <c r="AT68" s="78"/>
      <c r="AU68" s="4058"/>
      <c r="AV68" s="4058"/>
      <c r="AW68" s="4058"/>
      <c r="AX68" s="4058"/>
      <c r="AY68" s="4058"/>
      <c r="AZ68" s="4058"/>
      <c r="BA68" s="4058"/>
      <c r="BB68" s="4058"/>
      <c r="BC68" s="1897"/>
      <c r="BD68" s="137"/>
      <c r="BE68" s="136"/>
      <c r="BF68" s="136"/>
      <c r="BG68" s="1894"/>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2082"/>
      <c r="DH68" s="78"/>
      <c r="DI68" s="78"/>
      <c r="DJ68" s="78"/>
      <c r="DK68" s="78"/>
      <c r="DL68" s="78"/>
      <c r="DM68" s="78"/>
      <c r="DN68" s="78"/>
      <c r="DO68" s="78"/>
      <c r="DP68" s="78"/>
      <c r="DQ68" s="78"/>
      <c r="DR68" s="78"/>
      <c r="DS68" s="78"/>
      <c r="DT68" s="78"/>
      <c r="DU68" s="2617"/>
      <c r="DV68" s="2617"/>
      <c r="DW68" s="2617"/>
      <c r="DX68" s="2617"/>
      <c r="DY68" s="2617"/>
      <c r="DZ68" s="2617"/>
      <c r="EA68" s="2617"/>
    </row>
    <row r="69" spans="1:150" ht="3" customHeight="1" x14ac:dyDescent="0.2">
      <c r="F69" s="2079"/>
      <c r="J69" s="6406"/>
      <c r="L69" s="2167"/>
      <c r="M69" s="586"/>
      <c r="N69" s="586"/>
      <c r="O69" s="586"/>
      <c r="P69" s="2168"/>
      <c r="Q69" s="2168"/>
      <c r="R69" s="768"/>
      <c r="S69" s="768"/>
      <c r="T69" s="1982"/>
      <c r="U69" s="769"/>
      <c r="V69" s="769"/>
      <c r="W69" s="769"/>
      <c r="X69" s="769"/>
      <c r="Y69" s="769"/>
      <c r="Z69" s="771"/>
      <c r="AA69" s="78"/>
      <c r="AB69" s="783"/>
      <c r="AC69" s="768"/>
      <c r="AD69" s="768"/>
      <c r="AE69" s="768"/>
      <c r="AF69" s="768"/>
      <c r="AG69" s="768"/>
      <c r="AH69" s="768"/>
      <c r="AI69" s="768"/>
      <c r="AJ69" s="1969"/>
      <c r="AK69" s="773"/>
      <c r="AM69" s="586"/>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2082"/>
      <c r="DH69" s="78"/>
      <c r="DI69" s="78"/>
      <c r="DJ69" s="78"/>
      <c r="DK69" s="78"/>
      <c r="DL69" s="78"/>
      <c r="DM69" s="78"/>
      <c r="DN69" s="78"/>
      <c r="DO69" s="78"/>
      <c r="DP69" s="78"/>
      <c r="DQ69" s="78"/>
      <c r="DR69" s="78"/>
      <c r="DS69" s="78"/>
      <c r="DT69" s="78"/>
      <c r="DU69" s="2617"/>
      <c r="DV69" s="2617"/>
      <c r="DW69" s="2617"/>
      <c r="DX69" s="2617"/>
      <c r="DY69" s="2617"/>
      <c r="DZ69" s="2617"/>
      <c r="EA69" s="2617"/>
    </row>
    <row r="70" spans="1:150" ht="5.25" customHeight="1" thickBot="1" x14ac:dyDescent="0.25">
      <c r="F70" s="2079"/>
      <c r="J70" s="6406"/>
      <c r="L70" s="2167"/>
      <c r="M70" s="586"/>
      <c r="N70" s="586"/>
      <c r="O70" s="586"/>
      <c r="P70" s="2168"/>
      <c r="Q70" s="2168"/>
      <c r="R70" s="768"/>
      <c r="S70" s="768"/>
      <c r="T70" s="1982"/>
      <c r="U70" s="769"/>
      <c r="V70" s="769"/>
      <c r="W70" s="769"/>
      <c r="X70" s="769"/>
      <c r="Y70" s="769"/>
      <c r="Z70" s="771"/>
      <c r="AA70" s="78"/>
      <c r="AB70" s="1883"/>
      <c r="AC70" s="1884"/>
      <c r="AD70" s="1884"/>
      <c r="AE70" s="1884"/>
      <c r="AF70" s="1884"/>
      <c r="AG70" s="1884"/>
      <c r="AH70" s="1884"/>
      <c r="AI70" s="1884"/>
      <c r="AJ70" s="1970"/>
      <c r="AK70" s="1885"/>
      <c r="AM70" s="586"/>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2082"/>
      <c r="DH70" s="78"/>
      <c r="DI70" s="78"/>
      <c r="DJ70" s="78"/>
      <c r="DK70" s="78"/>
      <c r="DL70" s="78"/>
      <c r="DM70" s="78"/>
      <c r="DN70" s="78"/>
      <c r="DO70" s="78"/>
      <c r="DP70" s="78"/>
      <c r="DQ70" s="78"/>
      <c r="DR70" s="78"/>
      <c r="DS70" s="2617"/>
      <c r="DT70" s="2617"/>
      <c r="DU70" s="2617"/>
      <c r="DV70" s="2617"/>
      <c r="DW70" s="2617"/>
      <c r="DX70" s="2617"/>
      <c r="DY70" s="2617"/>
      <c r="DZ70" s="2617"/>
      <c r="EA70" s="2617"/>
    </row>
    <row r="71" spans="1:150" ht="8.25" customHeight="1" x14ac:dyDescent="0.2">
      <c r="F71" s="2079"/>
      <c r="J71" s="6406"/>
      <c r="L71" s="2167"/>
      <c r="M71" s="586"/>
      <c r="N71" s="586"/>
      <c r="O71" s="586"/>
      <c r="P71" s="2168"/>
      <c r="Q71" s="2168"/>
      <c r="R71" s="768"/>
      <c r="S71" s="768"/>
      <c r="T71" s="1982"/>
      <c r="U71" s="769"/>
      <c r="V71" s="769"/>
      <c r="W71" s="769"/>
      <c r="X71" s="769"/>
      <c r="Y71" s="769"/>
      <c r="Z71" s="771"/>
      <c r="AA71" s="78"/>
      <c r="AB71" s="1886"/>
      <c r="AC71" s="1887"/>
      <c r="AD71" s="1887"/>
      <c r="AE71" s="1887"/>
      <c r="AF71" s="1887"/>
      <c r="AG71" s="1887"/>
      <c r="AH71" s="1887"/>
      <c r="AI71" s="1887"/>
      <c r="AJ71" s="1971"/>
      <c r="AK71" s="1888"/>
      <c r="AM71" s="586"/>
      <c r="AO71" s="78"/>
      <c r="AP71" s="2617"/>
      <c r="AQ71" s="2617"/>
      <c r="AR71" s="2617"/>
      <c r="AS71" s="2617"/>
      <c r="AT71" s="2617"/>
      <c r="AU71" s="2617"/>
      <c r="AV71" s="2617"/>
      <c r="AW71" s="2617"/>
      <c r="AX71" s="2617"/>
      <c r="AY71" s="2617"/>
      <c r="AZ71" s="2617"/>
      <c r="BA71" s="2617"/>
      <c r="BB71" s="2617"/>
      <c r="BC71" s="2617"/>
      <c r="BD71" s="2617"/>
      <c r="BE71" s="2617"/>
      <c r="BF71" s="2617"/>
      <c r="BG71" s="2617"/>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2082"/>
      <c r="DH71" s="78"/>
      <c r="DI71" s="78"/>
      <c r="DJ71" s="78"/>
      <c r="DK71" s="78"/>
      <c r="DL71" s="78"/>
      <c r="DM71" s="78"/>
      <c r="DN71" s="78"/>
      <c r="DO71" s="78"/>
      <c r="DP71" s="78"/>
      <c r="DQ71" s="78"/>
      <c r="DS71" s="2617"/>
      <c r="DT71" s="2617"/>
      <c r="DU71" s="2617"/>
      <c r="DV71" s="2617"/>
      <c r="DW71" s="2617"/>
      <c r="DX71" s="2617"/>
      <c r="DY71" s="2617"/>
      <c r="DZ71" s="2617"/>
      <c r="EA71" s="2617"/>
    </row>
    <row r="72" spans="1:150" ht="3" customHeight="1" x14ac:dyDescent="0.2">
      <c r="F72" s="2079"/>
      <c r="J72" s="6406"/>
      <c r="L72" s="2167"/>
      <c r="M72" s="586"/>
      <c r="N72" s="586"/>
      <c r="O72" s="586"/>
      <c r="P72" s="2168"/>
      <c r="Q72" s="2168"/>
      <c r="R72" s="768"/>
      <c r="S72" s="768"/>
      <c r="T72" s="1982"/>
      <c r="U72" s="769"/>
      <c r="V72" s="769"/>
      <c r="W72" s="769"/>
      <c r="X72" s="769"/>
      <c r="Y72" s="769"/>
      <c r="Z72" s="771"/>
      <c r="AA72" s="78"/>
      <c r="AB72" s="783"/>
      <c r="AC72" s="768"/>
      <c r="AD72" s="768"/>
      <c r="AE72" s="768"/>
      <c r="AF72" s="768"/>
      <c r="AG72" s="768"/>
      <c r="AH72" s="768"/>
      <c r="AI72" s="768"/>
      <c r="AJ72" s="1969"/>
      <c r="AK72" s="773"/>
      <c r="AM72" s="586"/>
      <c r="AO72" s="78"/>
      <c r="AP72" s="2617"/>
      <c r="AQ72" s="2617"/>
      <c r="AR72" s="2617"/>
      <c r="AS72" s="2617"/>
      <c r="AT72" s="2617"/>
      <c r="AU72" s="2617"/>
      <c r="AV72" s="2617"/>
      <c r="AW72" s="2617"/>
      <c r="AX72" s="2617"/>
      <c r="AY72" s="2617"/>
      <c r="AZ72" s="2617"/>
      <c r="BA72" s="2617"/>
      <c r="BB72" s="2617"/>
      <c r="BC72" s="2617"/>
      <c r="BD72" s="2617"/>
      <c r="BE72" s="2617"/>
      <c r="BF72" s="2617"/>
      <c r="BG72" s="2617"/>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2082"/>
      <c r="DH72" s="78"/>
      <c r="DI72" s="78"/>
      <c r="DJ72" s="78"/>
      <c r="DK72" s="78"/>
      <c r="DL72" s="78"/>
      <c r="DM72" s="78"/>
      <c r="DN72" s="78"/>
      <c r="DO72" s="78"/>
      <c r="DP72" s="78"/>
      <c r="DQ72" s="78"/>
      <c r="DR72" s="2142"/>
      <c r="DS72" s="2617"/>
      <c r="DT72" s="2617"/>
      <c r="DU72" s="2617"/>
      <c r="DV72" s="2617"/>
      <c r="DW72" s="2617"/>
      <c r="DX72" s="2617"/>
      <c r="DY72" s="2617"/>
      <c r="DZ72" s="2617"/>
      <c r="EA72" s="2617"/>
    </row>
    <row r="73" spans="1:150" ht="3" customHeight="1" thickBot="1" x14ac:dyDescent="0.25">
      <c r="F73" s="2079"/>
      <c r="J73" s="6406"/>
      <c r="L73" s="2167"/>
      <c r="M73" s="586"/>
      <c r="N73" s="586"/>
      <c r="O73" s="586"/>
      <c r="P73" s="2168"/>
      <c r="Q73" s="2168"/>
      <c r="R73" s="768"/>
      <c r="S73" s="768"/>
      <c r="T73" s="1982"/>
      <c r="U73" s="769"/>
      <c r="V73" s="769"/>
      <c r="W73" s="769"/>
      <c r="X73" s="769"/>
      <c r="Y73" s="769"/>
      <c r="Z73" s="771"/>
      <c r="AA73" s="78"/>
      <c r="AB73" s="783"/>
      <c r="AC73" s="768"/>
      <c r="AD73" s="768"/>
      <c r="AE73" s="768"/>
      <c r="AF73" s="768"/>
      <c r="AG73" s="768"/>
      <c r="AH73" s="768"/>
      <c r="AI73" s="586"/>
      <c r="AJ73" s="1968"/>
      <c r="AK73" s="777"/>
      <c r="AM73" s="586"/>
      <c r="AO73" s="2617"/>
      <c r="AP73" s="2617"/>
      <c r="AQ73" s="2617"/>
      <c r="AR73" s="2617"/>
      <c r="AS73" s="2617"/>
      <c r="AT73" s="2617"/>
      <c r="AU73" s="2617"/>
      <c r="AV73" s="2617"/>
      <c r="AW73" s="2617"/>
      <c r="AX73" s="2617"/>
      <c r="AY73" s="2617"/>
      <c r="AZ73" s="2617"/>
      <c r="BA73" s="2617"/>
      <c r="BB73" s="2617"/>
      <c r="BC73" s="2617"/>
      <c r="BD73" s="2617"/>
      <c r="BE73" s="2617"/>
      <c r="BF73" s="2617"/>
      <c r="BG73" s="2617"/>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2134"/>
      <c r="CL73" s="2134"/>
      <c r="CM73" s="2134"/>
      <c r="CN73" s="2134"/>
      <c r="CO73" s="2134"/>
      <c r="CP73" s="2134"/>
      <c r="CQ73" s="2134"/>
      <c r="CR73" s="2134"/>
      <c r="CS73" s="2134"/>
      <c r="CT73" s="78"/>
      <c r="CU73" s="78"/>
      <c r="CV73" s="78"/>
      <c r="CW73" s="78"/>
      <c r="CX73" s="78"/>
      <c r="CY73" s="78"/>
      <c r="CZ73" s="78"/>
      <c r="DA73" s="78"/>
      <c r="DB73" s="78"/>
      <c r="DC73" s="78"/>
      <c r="DD73" s="78"/>
      <c r="DE73" s="78"/>
      <c r="DF73" s="78"/>
      <c r="DG73" s="2082"/>
      <c r="DH73" s="78"/>
      <c r="DI73" s="78"/>
      <c r="DJ73" s="78"/>
      <c r="DK73" s="78"/>
      <c r="DL73" s="78"/>
      <c r="DM73" s="78"/>
      <c r="DN73" s="78"/>
      <c r="DO73" s="78"/>
      <c r="DP73" s="78"/>
      <c r="DQ73" s="78"/>
      <c r="DR73" s="2142"/>
      <c r="DS73" s="2617"/>
      <c r="DT73" s="2617"/>
      <c r="DU73" s="2617"/>
      <c r="DV73" s="2617"/>
      <c r="DW73" s="2617"/>
      <c r="DX73" s="2617"/>
      <c r="DY73" s="2617"/>
      <c r="DZ73" s="2617"/>
      <c r="EA73" s="2617"/>
    </row>
    <row r="74" spans="1:150" ht="20.100000000000001" customHeight="1" thickBot="1" x14ac:dyDescent="0.25">
      <c r="E74" s="115" t="s">
        <v>476</v>
      </c>
      <c r="F74" s="2079">
        <f>IF(F37=1,AD112,0)</f>
        <v>0</v>
      </c>
      <c r="J74" s="6406"/>
      <c r="L74" s="772"/>
      <c r="M74" s="586" t="s">
        <v>257</v>
      </c>
      <c r="N74" s="586"/>
      <c r="O74" s="586"/>
      <c r="P74" s="2168"/>
      <c r="Q74" s="2168"/>
      <c r="R74" s="768"/>
      <c r="S74" s="768"/>
      <c r="T74" s="1982"/>
      <c r="U74" s="769"/>
      <c r="V74" s="769"/>
      <c r="W74" s="769"/>
      <c r="X74" s="770"/>
      <c r="Y74" s="770"/>
      <c r="Z74" s="771"/>
      <c r="AA74" s="78"/>
      <c r="AB74" s="783"/>
      <c r="AC74" s="768"/>
      <c r="AD74" s="6393" t="s">
        <v>258</v>
      </c>
      <c r="AE74" s="6394"/>
      <c r="AF74" s="6394"/>
      <c r="AG74" s="6394"/>
      <c r="AH74" s="6395"/>
      <c r="AI74" s="586"/>
      <c r="AJ74" s="30" t="str">
        <f>IF(OR(AD74="",_Calcs!QW132&gt;1),"!","✓")</f>
        <v>!</v>
      </c>
      <c r="AK74" s="777"/>
      <c r="AM74" s="586"/>
      <c r="AO74" s="2617"/>
      <c r="AP74" s="2617"/>
      <c r="AQ74" s="2617"/>
      <c r="AR74" s="2617"/>
      <c r="AS74" s="2617"/>
      <c r="AT74" s="2617"/>
      <c r="AU74" s="2617"/>
      <c r="AV74" s="2617"/>
      <c r="AW74" s="2617"/>
      <c r="AX74" s="2617"/>
      <c r="AY74" s="2617"/>
      <c r="AZ74" s="2617"/>
      <c r="BA74" s="2617"/>
      <c r="BB74" s="2617"/>
      <c r="BC74" s="2617"/>
      <c r="BD74" s="2617"/>
      <c r="BE74" s="2617"/>
      <c r="BF74" s="3494"/>
      <c r="BG74" s="2617"/>
      <c r="BH74" s="78"/>
      <c r="BI74" s="78"/>
      <c r="BJ74" s="78"/>
      <c r="BK74" s="78"/>
      <c r="BL74" s="78"/>
      <c r="BM74" s="78"/>
      <c r="BN74" s="78"/>
      <c r="BO74" s="78"/>
      <c r="BP74" s="78"/>
      <c r="BQ74" s="78"/>
      <c r="BR74" s="78"/>
      <c r="BS74" s="78"/>
      <c r="BT74" s="78"/>
      <c r="BU74" s="78"/>
      <c r="BV74" s="78"/>
      <c r="BW74" s="78"/>
      <c r="BX74" s="78"/>
      <c r="BY74" s="78"/>
      <c r="BZ74" s="78"/>
      <c r="CA74" s="78"/>
      <c r="CB74" s="78"/>
      <c r="CC74" s="78"/>
      <c r="CD74" s="78"/>
      <c r="CE74" s="78"/>
      <c r="CF74" s="78"/>
      <c r="CG74" s="78"/>
      <c r="CH74" s="78"/>
      <c r="CI74" s="78"/>
      <c r="CJ74" s="78"/>
      <c r="CK74" s="2134"/>
      <c r="CL74" s="78"/>
      <c r="CM74" s="78"/>
      <c r="CN74" s="78"/>
      <c r="CO74" s="78"/>
      <c r="CP74" s="78"/>
      <c r="CQ74" s="78"/>
      <c r="CR74" s="78"/>
      <c r="CS74" s="2134"/>
      <c r="CT74" s="78"/>
      <c r="CU74" s="78"/>
      <c r="CV74" s="78"/>
      <c r="CW74" s="78"/>
      <c r="CX74" s="78"/>
      <c r="CY74" s="78"/>
      <c r="CZ74" s="78"/>
      <c r="DA74" s="78"/>
      <c r="DB74" s="78"/>
      <c r="DC74" s="78"/>
      <c r="DD74" s="78"/>
      <c r="DE74" s="78"/>
      <c r="DF74" s="78"/>
      <c r="DG74" s="2082"/>
      <c r="DH74" s="78"/>
      <c r="DI74" s="78"/>
      <c r="DJ74" s="78"/>
      <c r="DK74" s="78"/>
      <c r="DL74" s="78"/>
      <c r="DM74" s="78"/>
      <c r="DN74" s="78"/>
      <c r="DO74" s="78"/>
      <c r="DP74" s="78"/>
      <c r="DQ74" s="78"/>
      <c r="DR74" s="2142"/>
      <c r="DS74" s="2617"/>
      <c r="DT74" s="2617"/>
      <c r="DU74" s="2617"/>
      <c r="DV74" s="2617"/>
      <c r="DW74" s="2617"/>
      <c r="DX74" s="2617"/>
      <c r="DY74" s="2617"/>
      <c r="DZ74" s="2617"/>
      <c r="EA74" s="2617"/>
    </row>
    <row r="75" spans="1:150" ht="3" customHeight="1" x14ac:dyDescent="0.2">
      <c r="F75" s="2079"/>
      <c r="J75" s="6406"/>
      <c r="L75" s="2167"/>
      <c r="M75" s="586"/>
      <c r="N75" s="586"/>
      <c r="O75" s="586"/>
      <c r="P75" s="2168"/>
      <c r="Q75" s="2168"/>
      <c r="R75" s="2168"/>
      <c r="S75" s="2168"/>
      <c r="T75" s="1968"/>
      <c r="U75" s="2168"/>
      <c r="V75" s="2168"/>
      <c r="W75" s="2168"/>
      <c r="X75" s="774"/>
      <c r="Y75" s="774"/>
      <c r="Z75" s="2169"/>
      <c r="AA75" s="78"/>
      <c r="AB75" s="2167"/>
      <c r="AC75" s="2168"/>
      <c r="AD75" s="2168"/>
      <c r="AE75" s="2168"/>
      <c r="AF75" s="2168"/>
      <c r="AG75" s="2168"/>
      <c r="AH75" s="586"/>
      <c r="AI75" s="586"/>
      <c r="AJ75" s="1968"/>
      <c r="AK75" s="777"/>
      <c r="AM75" s="586"/>
      <c r="AO75" s="2617"/>
      <c r="AP75" s="2617"/>
      <c r="AQ75" s="2617"/>
      <c r="AR75" s="2617"/>
      <c r="AS75" s="2617"/>
      <c r="AT75" s="2617"/>
      <c r="AU75" s="2617"/>
      <c r="AV75" s="2617"/>
      <c r="AW75" s="2617"/>
      <c r="AX75" s="2617"/>
      <c r="AY75" s="2617"/>
      <c r="AZ75" s="2617"/>
      <c r="BA75" s="2617"/>
      <c r="BB75" s="2617"/>
      <c r="BC75" s="2617"/>
      <c r="BD75" s="2617"/>
      <c r="BE75" s="2617"/>
      <c r="BF75" s="3494"/>
      <c r="BG75" s="2617"/>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78"/>
      <c r="CT75" s="78"/>
      <c r="CU75" s="78"/>
      <c r="CV75" s="78"/>
      <c r="CW75" s="78"/>
      <c r="CX75" s="78"/>
      <c r="CY75" s="78"/>
      <c r="CZ75" s="78"/>
      <c r="DA75" s="78"/>
      <c r="DB75" s="78"/>
      <c r="DC75" s="78"/>
      <c r="DD75" s="78"/>
      <c r="DE75" s="78"/>
      <c r="DF75" s="78"/>
      <c r="DG75" s="2082"/>
      <c r="DH75" s="78"/>
      <c r="DI75" s="78"/>
      <c r="DJ75" s="78"/>
      <c r="DK75" s="78"/>
      <c r="DL75" s="78"/>
      <c r="DM75" s="78"/>
      <c r="DN75" s="78"/>
      <c r="DO75" s="78"/>
      <c r="DP75" s="78"/>
      <c r="DQ75" s="78"/>
      <c r="DR75" s="2142"/>
      <c r="DS75" s="2617"/>
      <c r="DT75" s="2617"/>
      <c r="DU75" s="2142"/>
      <c r="DV75" s="2142"/>
      <c r="DW75" s="2142"/>
    </row>
    <row r="76" spans="1:150" ht="3" customHeight="1" x14ac:dyDescent="0.2">
      <c r="F76" s="2079"/>
      <c r="J76" s="6406"/>
      <c r="L76" s="2167"/>
      <c r="M76" s="768"/>
      <c r="N76" s="768"/>
      <c r="O76" s="768"/>
      <c r="P76" s="768"/>
      <c r="Q76" s="768"/>
      <c r="R76" s="768"/>
      <c r="S76" s="768"/>
      <c r="T76" s="1969"/>
      <c r="U76" s="768"/>
      <c r="V76" s="768"/>
      <c r="W76" s="768"/>
      <c r="X76" s="768"/>
      <c r="Y76" s="768"/>
      <c r="Z76" s="773"/>
      <c r="AA76" s="78"/>
      <c r="AB76" s="783"/>
      <c r="AC76" s="768"/>
      <c r="AD76" s="768"/>
      <c r="AE76" s="768"/>
      <c r="AF76" s="768"/>
      <c r="AG76" s="768"/>
      <c r="AH76" s="586"/>
      <c r="AI76" s="586"/>
      <c r="AJ76" s="1968"/>
      <c r="AK76" s="777"/>
      <c r="AM76" s="586"/>
      <c r="AO76" s="2617"/>
      <c r="AP76" s="2617"/>
      <c r="AQ76" s="2617"/>
      <c r="AR76" s="2617"/>
      <c r="AS76" s="2617"/>
      <c r="AT76" s="2617"/>
      <c r="AU76" s="2617"/>
      <c r="AV76" s="2617"/>
      <c r="AW76" s="2617"/>
      <c r="AX76" s="2617"/>
      <c r="AY76" s="2617"/>
      <c r="AZ76" s="2617"/>
      <c r="BA76" s="2617"/>
      <c r="BB76" s="2617"/>
      <c r="BC76" s="2617"/>
      <c r="BD76" s="2617"/>
      <c r="BE76" s="2617"/>
      <c r="BF76" s="3494"/>
      <c r="BG76" s="2617"/>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2082"/>
      <c r="DH76" s="78"/>
      <c r="DI76" s="78"/>
      <c r="DJ76" s="78"/>
      <c r="DK76" s="78"/>
      <c r="DL76" s="78"/>
      <c r="DM76" s="78"/>
      <c r="DN76" s="78"/>
      <c r="DO76" s="78"/>
      <c r="DP76" s="78"/>
      <c r="DQ76" s="78"/>
      <c r="DR76" s="2142"/>
      <c r="DS76" s="2617"/>
      <c r="DT76" s="2617"/>
      <c r="DU76" s="2142"/>
      <c r="DV76" s="2142"/>
      <c r="DW76" s="2142"/>
    </row>
    <row r="77" spans="1:150" s="21" customFormat="1" ht="20.100000000000001" customHeight="1" thickBot="1" x14ac:dyDescent="0.25">
      <c r="E77" s="15" t="s">
        <v>516</v>
      </c>
      <c r="F77" s="2089" t="str">
        <f>"tverr_conn_"&amp;EI86</f>
        <v>tverr_conn_11A</v>
      </c>
      <c r="J77" s="6406"/>
      <c r="L77" s="585"/>
      <c r="M77" s="586"/>
      <c r="N77" s="586"/>
      <c r="O77" s="586"/>
      <c r="P77" s="2168"/>
      <c r="Q77" s="2168"/>
      <c r="R77" s="2168"/>
      <c r="S77" s="2168"/>
      <c r="T77" s="1968"/>
      <c r="U77" s="2168"/>
      <c r="V77" s="2168"/>
      <c r="W77" s="2168"/>
      <c r="X77" s="774"/>
      <c r="Y77" s="774"/>
      <c r="Z77" s="2169"/>
      <c r="AA77" s="78"/>
      <c r="AB77" s="2167"/>
      <c r="AC77" s="2168"/>
      <c r="AD77" s="2168"/>
      <c r="AE77" s="2168"/>
      <c r="AF77" s="2168"/>
      <c r="AG77" s="2168"/>
      <c r="AH77" s="586"/>
      <c r="AI77" s="586"/>
      <c r="AJ77" s="1968"/>
      <c r="AK77" s="777"/>
      <c r="AL77" s="70"/>
      <c r="AM77" s="586"/>
      <c r="AN77" s="70"/>
      <c r="AO77" s="2617"/>
      <c r="AP77" s="2617"/>
      <c r="AQ77" s="2617"/>
      <c r="AR77" s="2617"/>
      <c r="AS77" s="2617"/>
      <c r="AT77" s="2617"/>
      <c r="AU77" s="2617"/>
      <c r="AV77" s="2617"/>
      <c r="AW77" s="2617"/>
      <c r="AX77" s="2617"/>
      <c r="AY77" s="2617"/>
      <c r="AZ77" s="2617"/>
      <c r="BA77" s="2617"/>
      <c r="BB77" s="2617"/>
      <c r="BC77" s="2617"/>
      <c r="BD77" s="2617"/>
      <c r="BE77" s="2617"/>
      <c r="BF77" s="2617"/>
      <c r="BG77" s="2617"/>
      <c r="BH77" s="2617"/>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2112"/>
      <c r="CE77" s="2112"/>
      <c r="CF77" s="2112"/>
      <c r="CG77" s="2112"/>
      <c r="CH77" s="2170"/>
      <c r="CI77" s="2170"/>
      <c r="CJ77" s="2170"/>
      <c r="CK77" s="1898"/>
      <c r="CL77" s="2170"/>
      <c r="CM77" s="2170"/>
      <c r="CN77" s="2170"/>
      <c r="CO77" s="2102" t="str">
        <f>_Calcs!$QW$135</f>
        <v>Tverrslag</v>
      </c>
      <c r="CP77" s="2170"/>
      <c r="CQ77" s="2170"/>
      <c r="CR77" s="2170"/>
      <c r="CS77" s="2170"/>
      <c r="CT77" s="2170"/>
      <c r="CU77" s="2170"/>
      <c r="CV77" s="2132"/>
      <c r="CW77" s="136"/>
      <c r="CX77" s="136"/>
      <c r="CY77" s="136"/>
      <c r="CZ77" s="136"/>
      <c r="DA77" s="136"/>
      <c r="DB77" s="136"/>
      <c r="DC77" s="136"/>
      <c r="DD77" s="136"/>
      <c r="DE77" s="136"/>
      <c r="DF77" s="136"/>
      <c r="DG77" s="2161"/>
      <c r="DH77" s="136"/>
      <c r="DI77" s="136"/>
      <c r="DJ77" s="136"/>
      <c r="DK77" s="136"/>
      <c r="DL77" s="136"/>
      <c r="DM77" s="136"/>
      <c r="DN77" s="136"/>
      <c r="DO77" s="136"/>
      <c r="DP77" s="136"/>
      <c r="DQ77" s="136"/>
      <c r="DR77" s="2142"/>
      <c r="DS77" s="2617"/>
      <c r="DT77" s="2617"/>
      <c r="DU77" s="2142"/>
      <c r="DV77" s="2142"/>
      <c r="DW77" s="2142"/>
    </row>
    <row r="78" spans="1:150" ht="20.100000000000001" customHeight="1" thickBot="1" x14ac:dyDescent="0.35">
      <c r="A78" s="2171" t="s">
        <v>529</v>
      </c>
      <c r="E78" s="115" t="s">
        <v>205</v>
      </c>
      <c r="F78" s="2079"/>
      <c r="J78" s="2172"/>
      <c r="L78" s="2167"/>
      <c r="M78" s="586" t="s">
        <v>2687</v>
      </c>
      <c r="N78" s="586"/>
      <c r="O78" s="586"/>
      <c r="P78" s="2168"/>
      <c r="Q78" s="2168"/>
      <c r="R78" s="768"/>
      <c r="S78" s="768"/>
      <c r="T78" s="1982" t="s">
        <v>149</v>
      </c>
      <c r="U78" s="769"/>
      <c r="V78" s="769"/>
      <c r="W78" s="769"/>
      <c r="X78" s="770"/>
      <c r="Y78" s="770"/>
      <c r="Z78" s="771"/>
      <c r="AA78" s="78"/>
      <c r="AB78" s="783"/>
      <c r="AC78" s="768"/>
      <c r="AD78" s="6393" t="s">
        <v>189</v>
      </c>
      <c r="AE78" s="6394"/>
      <c r="AF78" s="6394"/>
      <c r="AG78" s="6394"/>
      <c r="AH78" s="6395"/>
      <c r="AI78" s="586"/>
      <c r="AJ78" s="30" t="str">
        <f>IF(OR(AND($F$98&gt;0,$AD$78="")),"!","✓")</f>
        <v>✓</v>
      </c>
      <c r="AK78" s="777"/>
      <c r="AM78" s="586"/>
      <c r="AO78" s="2617"/>
      <c r="AP78" s="4051"/>
      <c r="AQ78" s="6511" t="s">
        <v>2389</v>
      </c>
      <c r="AR78" s="6511"/>
      <c r="AS78" s="6511"/>
      <c r="AT78" s="6512"/>
      <c r="AU78" s="5391"/>
      <c r="AV78" s="6515">
        <f>F10</f>
        <v>1</v>
      </c>
      <c r="AW78" s="6516"/>
      <c r="AX78" s="6516"/>
      <c r="AY78" s="6517"/>
      <c r="AZ78" s="2617"/>
      <c r="BA78" s="2617"/>
      <c r="BB78" s="2617"/>
      <c r="BC78" s="2617"/>
      <c r="BD78" s="2617"/>
      <c r="BE78" s="2617"/>
      <c r="BF78" s="3493"/>
      <c r="BI78" s="78"/>
      <c r="BJ78" s="78"/>
      <c r="BK78" s="78"/>
      <c r="BL78" s="78"/>
      <c r="BM78" s="78"/>
      <c r="BN78" s="78"/>
      <c r="BO78" s="78"/>
      <c r="BP78" s="78"/>
      <c r="BQ78" s="78"/>
      <c r="BR78" s="78"/>
      <c r="BS78" s="78"/>
      <c r="BT78" s="78"/>
      <c r="BU78" s="78"/>
      <c r="BV78" s="78"/>
      <c r="BW78" s="78"/>
      <c r="BX78" s="78"/>
      <c r="BY78" s="78"/>
      <c r="BZ78" s="78"/>
      <c r="CA78" s="78"/>
      <c r="CB78" s="78"/>
      <c r="CC78" s="78"/>
      <c r="CD78" s="2110"/>
      <c r="CE78" s="2110"/>
      <c r="CF78" s="2110"/>
      <c r="CG78" s="2110"/>
      <c r="CH78" s="2173"/>
      <c r="CI78" s="2173"/>
      <c r="CJ78" s="2173"/>
      <c r="CK78" s="2094"/>
      <c r="CL78" s="2094"/>
      <c r="CM78" s="2094"/>
      <c r="CN78" s="2094"/>
      <c r="CO78" s="2095" t="str">
        <f>IF(F65=2,(IF(F87=0,"? ",F87))&amp;" m","")</f>
        <v/>
      </c>
      <c r="CP78" s="2094"/>
      <c r="CQ78" s="2094"/>
      <c r="CR78" s="2094"/>
      <c r="CS78" s="2173"/>
      <c r="CT78" s="2173"/>
      <c r="CU78" s="2173"/>
      <c r="CV78" s="2173"/>
      <c r="CW78" s="78"/>
      <c r="CX78" s="78"/>
      <c r="CY78" s="78"/>
      <c r="CZ78" s="78"/>
      <c r="DA78" s="78"/>
      <c r="DB78" s="78"/>
      <c r="DC78" s="78"/>
      <c r="DD78" s="78"/>
      <c r="DE78" s="78"/>
      <c r="DF78" s="78"/>
      <c r="DG78" s="2082"/>
      <c r="DH78" s="78"/>
      <c r="DI78" s="78"/>
      <c r="DJ78" s="78"/>
      <c r="DK78" s="78"/>
      <c r="DL78" s="78"/>
      <c r="DM78" s="78"/>
      <c r="DN78" s="78"/>
      <c r="DO78" s="78"/>
      <c r="DP78" s="78"/>
      <c r="DQ78" s="78"/>
      <c r="DR78" s="2142"/>
      <c r="DS78" s="2617"/>
      <c r="DT78" s="2617"/>
      <c r="DU78" s="2142"/>
      <c r="DV78" s="2142"/>
      <c r="DW78" s="2142"/>
      <c r="EH78" s="2174" t="s">
        <v>268</v>
      </c>
      <c r="EI78" s="2174" t="s">
        <v>199</v>
      </c>
      <c r="EJ78" s="2174" t="s">
        <v>269</v>
      </c>
      <c r="EK78" s="2174" t="s">
        <v>391</v>
      </c>
      <c r="EL78" s="2174" t="s">
        <v>219</v>
      </c>
      <c r="EM78" s="2174" t="s">
        <v>218</v>
      </c>
      <c r="EN78" s="2175" t="s">
        <v>252</v>
      </c>
    </row>
    <row r="79" spans="1:150" ht="15" customHeight="1" thickBot="1" x14ac:dyDescent="0.35">
      <c r="A79" s="2171"/>
      <c r="F79" s="2079"/>
      <c r="J79" s="2172"/>
      <c r="L79" s="2192"/>
      <c r="M79" s="778"/>
      <c r="N79" s="778"/>
      <c r="O79" s="778"/>
      <c r="P79" s="2193"/>
      <c r="Q79" s="2193"/>
      <c r="R79" s="1884"/>
      <c r="S79" s="1884"/>
      <c r="T79" s="5406"/>
      <c r="U79" s="5407"/>
      <c r="V79" s="5407"/>
      <c r="W79" s="5407"/>
      <c r="X79" s="5408"/>
      <c r="Y79" s="5408"/>
      <c r="Z79" s="5409"/>
      <c r="AA79" s="78"/>
      <c r="AB79" s="1883"/>
      <c r="AC79" s="1884"/>
      <c r="AD79" s="5458"/>
      <c r="AE79" s="5458"/>
      <c r="AF79" s="5458"/>
      <c r="AG79" s="5458"/>
      <c r="AH79" s="5458"/>
      <c r="AI79" s="778"/>
      <c r="AJ79" s="5405"/>
      <c r="AK79" s="779"/>
      <c r="AM79" s="586"/>
      <c r="AO79" s="2617"/>
      <c r="AP79" s="4050"/>
      <c r="AQ79" s="6513"/>
      <c r="AR79" s="6513"/>
      <c r="AS79" s="6513"/>
      <c r="AT79" s="6514"/>
      <c r="AU79" s="5391"/>
      <c r="AV79" s="6518"/>
      <c r="AW79" s="6519"/>
      <c r="AX79" s="6519"/>
      <c r="AY79" s="6520"/>
      <c r="AZ79" s="2617"/>
      <c r="BA79" s="2617"/>
      <c r="BB79" s="2617"/>
      <c r="BC79" s="2617"/>
      <c r="BD79" s="2617"/>
      <c r="BE79" s="2617"/>
      <c r="BF79" s="3493"/>
      <c r="BI79" s="78"/>
      <c r="BJ79" s="78"/>
      <c r="BK79" s="78"/>
      <c r="BL79" s="78"/>
      <c r="BM79" s="78"/>
      <c r="BN79" s="78"/>
      <c r="BO79" s="78"/>
      <c r="BP79" s="78"/>
      <c r="BQ79" s="78"/>
      <c r="BR79" s="78"/>
      <c r="BS79" s="78"/>
      <c r="BT79" s="78"/>
      <c r="BU79" s="78"/>
      <c r="BV79" s="78"/>
      <c r="BW79" s="78"/>
      <c r="BX79" s="78"/>
      <c r="BY79" s="78"/>
      <c r="BZ79" s="78"/>
      <c r="CA79" s="78"/>
      <c r="CB79" s="78"/>
      <c r="CC79" s="78"/>
      <c r="CD79" s="2110"/>
      <c r="CE79" s="2110"/>
      <c r="CF79" s="2110"/>
      <c r="CG79" s="2110"/>
      <c r="CH79" s="2173"/>
      <c r="CI79" s="2173"/>
      <c r="CJ79" s="2173"/>
      <c r="CK79" s="2094"/>
      <c r="CL79" s="2094"/>
      <c r="CM79" s="2094"/>
      <c r="CN79" s="2094"/>
      <c r="CO79" s="2095"/>
      <c r="CP79" s="2094"/>
      <c r="CQ79" s="2094"/>
      <c r="CR79" s="2094"/>
      <c r="CS79" s="2173"/>
      <c r="CT79" s="2173"/>
      <c r="CU79" s="2173"/>
      <c r="CV79" s="2173"/>
      <c r="CW79" s="78"/>
      <c r="CX79" s="78"/>
      <c r="CY79" s="78"/>
      <c r="CZ79" s="78"/>
      <c r="DA79" s="78"/>
      <c r="DB79" s="78"/>
      <c r="DC79" s="78"/>
      <c r="DD79" s="78"/>
      <c r="DE79" s="78"/>
      <c r="DF79" s="78"/>
      <c r="DG79" s="2082"/>
      <c r="DH79" s="78"/>
      <c r="DI79" s="78"/>
      <c r="DJ79" s="78"/>
      <c r="DK79" s="78"/>
      <c r="DL79" s="78"/>
      <c r="DM79" s="78"/>
      <c r="DN79" s="78"/>
      <c r="DO79" s="78"/>
      <c r="DP79" s="78"/>
      <c r="DQ79" s="78"/>
      <c r="DR79" s="2142"/>
      <c r="DS79" s="2617"/>
      <c r="DT79" s="2617"/>
      <c r="DU79" s="2142"/>
      <c r="DV79" s="2142"/>
      <c r="DW79" s="2142"/>
      <c r="EH79" s="2174"/>
      <c r="EI79" s="2174"/>
      <c r="EJ79" s="2174"/>
      <c r="EK79" s="2174"/>
      <c r="EL79" s="2174"/>
      <c r="EM79" s="2174"/>
      <c r="EN79" s="2175"/>
    </row>
    <row r="80" spans="1:150" ht="8.1" customHeight="1" thickBot="1" x14ac:dyDescent="0.35">
      <c r="A80" s="2171"/>
      <c r="F80" s="2079"/>
      <c r="J80" s="2172"/>
      <c r="L80" s="78"/>
      <c r="M80" s="136"/>
      <c r="N80" s="136"/>
      <c r="O80" s="136"/>
      <c r="P80" s="78"/>
      <c r="Q80" s="78"/>
      <c r="R80" s="25"/>
      <c r="S80" s="25"/>
      <c r="T80" s="5410"/>
      <c r="U80" s="5411"/>
      <c r="V80" s="5411"/>
      <c r="W80" s="5411"/>
      <c r="X80" s="5412"/>
      <c r="Y80" s="5412"/>
      <c r="Z80" s="5411"/>
      <c r="AA80" s="78"/>
      <c r="AB80" s="25"/>
      <c r="AC80" s="25"/>
      <c r="AD80" s="5459"/>
      <c r="AE80" s="5459"/>
      <c r="AF80" s="5459"/>
      <c r="AG80" s="5459"/>
      <c r="AH80" s="5459"/>
      <c r="AI80" s="136"/>
      <c r="AJ80" s="954"/>
      <c r="AK80" s="136"/>
      <c r="AL80" s="78"/>
      <c r="AM80" s="136"/>
      <c r="AO80" s="2617"/>
      <c r="AP80" s="183"/>
      <c r="AQ80" s="5426"/>
      <c r="AR80" s="5426"/>
      <c r="AS80" s="5426"/>
      <c r="AT80" s="5426"/>
      <c r="AU80" s="5391"/>
      <c r="AV80" s="3494"/>
      <c r="AW80" s="3494"/>
      <c r="AX80" s="3494"/>
      <c r="AY80" s="3494"/>
      <c r="AZ80" s="2617"/>
      <c r="BA80" s="2617"/>
      <c r="BB80" s="2617"/>
      <c r="BC80" s="2617"/>
      <c r="BD80" s="2617"/>
      <c r="BE80" s="2617"/>
      <c r="BF80" s="3493"/>
      <c r="BI80" s="78"/>
      <c r="BJ80" s="78"/>
      <c r="BK80" s="78"/>
      <c r="BL80" s="78"/>
      <c r="BM80" s="78"/>
      <c r="BN80" s="78"/>
      <c r="BO80" s="78"/>
      <c r="BP80" s="78"/>
      <c r="BQ80" s="78"/>
      <c r="BR80" s="78"/>
      <c r="BS80" s="78"/>
      <c r="BT80" s="78"/>
      <c r="BU80" s="78"/>
      <c r="BV80" s="78"/>
      <c r="BW80" s="78"/>
      <c r="BX80" s="78"/>
      <c r="BY80" s="78"/>
      <c r="BZ80" s="78"/>
      <c r="CA80" s="78"/>
      <c r="CB80" s="78"/>
      <c r="CC80" s="78"/>
      <c r="CD80" s="2110"/>
      <c r="CE80" s="2110"/>
      <c r="CF80" s="2110"/>
      <c r="CG80" s="2110"/>
      <c r="CH80" s="2173"/>
      <c r="CI80" s="2173"/>
      <c r="CJ80" s="2173"/>
      <c r="CK80" s="2094"/>
      <c r="CL80" s="2094"/>
      <c r="CM80" s="2094"/>
      <c r="CN80" s="2094"/>
      <c r="CO80" s="2095"/>
      <c r="CP80" s="2094"/>
      <c r="CQ80" s="2094"/>
      <c r="CR80" s="2094"/>
      <c r="CS80" s="2173"/>
      <c r="CT80" s="2173"/>
      <c r="CU80" s="2173"/>
      <c r="CV80" s="2173"/>
      <c r="CW80" s="78"/>
      <c r="CX80" s="78"/>
      <c r="CY80" s="78"/>
      <c r="CZ80" s="78"/>
      <c r="DA80" s="78"/>
      <c r="DB80" s="78"/>
      <c r="DC80" s="78"/>
      <c r="DD80" s="78"/>
      <c r="DE80" s="78"/>
      <c r="DF80" s="78"/>
      <c r="DG80" s="2082"/>
      <c r="DH80" s="78"/>
      <c r="DI80" s="78"/>
      <c r="DJ80" s="78"/>
      <c r="DK80" s="78"/>
      <c r="DL80" s="78"/>
      <c r="DM80" s="78"/>
      <c r="DN80" s="78"/>
      <c r="DO80" s="78"/>
      <c r="DP80" s="78"/>
      <c r="DQ80" s="78"/>
      <c r="DR80" s="2142"/>
      <c r="DS80" s="2617"/>
      <c r="DT80" s="2617"/>
      <c r="DU80" s="2142"/>
      <c r="DV80" s="2142"/>
      <c r="DW80" s="2142"/>
      <c r="EH80" s="2174"/>
      <c r="EI80" s="2174"/>
      <c r="EJ80" s="2174"/>
      <c r="EK80" s="2174"/>
      <c r="EL80" s="2174"/>
      <c r="EM80" s="2174"/>
      <c r="EN80" s="2175"/>
    </row>
    <row r="81" spans="1:144" ht="15" customHeight="1" thickBot="1" x14ac:dyDescent="0.35">
      <c r="A81" s="2171"/>
      <c r="E81" s="115" t="s">
        <v>853</v>
      </c>
      <c r="F81" s="2079" t="str">
        <f>AD74</f>
        <v>Tverrslag</v>
      </c>
      <c r="J81" s="2172"/>
      <c r="L81" s="2199"/>
      <c r="M81" s="765"/>
      <c r="N81" s="765"/>
      <c r="O81" s="765"/>
      <c r="P81" s="765"/>
      <c r="Q81" s="766"/>
      <c r="R81" s="765"/>
      <c r="S81" s="765"/>
      <c r="T81" s="5420"/>
      <c r="U81" s="5421"/>
      <c r="V81" s="5421"/>
      <c r="W81" s="5421"/>
      <c r="X81" s="5422"/>
      <c r="Y81" s="5422"/>
      <c r="Z81" s="5423"/>
      <c r="AA81" s="78"/>
      <c r="AB81" s="782"/>
      <c r="AC81" s="765"/>
      <c r="AD81" s="2200"/>
      <c r="AE81" s="2200"/>
      <c r="AF81" s="2200"/>
      <c r="AG81" s="2200"/>
      <c r="AH81" s="2200"/>
      <c r="AI81" s="765"/>
      <c r="AJ81" s="5424"/>
      <c r="AK81" s="767"/>
      <c r="AM81" s="586"/>
      <c r="AO81" s="2617"/>
      <c r="AP81" s="4051"/>
      <c r="AQ81" s="6511" t="s">
        <v>2390</v>
      </c>
      <c r="AR81" s="6511"/>
      <c r="AS81" s="6511"/>
      <c r="AT81" s="6512"/>
      <c r="AU81" s="5391"/>
      <c r="AV81" s="6521">
        <f>F18</f>
        <v>1</v>
      </c>
      <c r="AW81" s="6522"/>
      <c r="AX81" s="6522"/>
      <c r="AY81" s="6523"/>
      <c r="AZ81" s="2617"/>
      <c r="BA81" s="2617"/>
      <c r="BB81" s="2617"/>
      <c r="BC81" s="2617"/>
      <c r="BD81" s="2617"/>
      <c r="BE81" s="2617"/>
      <c r="BF81" s="2617"/>
      <c r="BG81" s="2617"/>
      <c r="BI81" s="78"/>
      <c r="BJ81" s="78"/>
      <c r="BK81" s="78"/>
      <c r="BL81" s="78"/>
      <c r="BM81" s="78"/>
      <c r="BN81" s="78"/>
      <c r="BO81" s="78"/>
      <c r="BP81" s="78"/>
      <c r="BQ81" s="78"/>
      <c r="BR81" s="78"/>
      <c r="BS81" s="78"/>
      <c r="BT81" s="78"/>
      <c r="BU81" s="78"/>
      <c r="BV81" s="78"/>
      <c r="BW81" s="78"/>
      <c r="BX81" s="78"/>
      <c r="BY81" s="78"/>
      <c r="BZ81" s="78"/>
      <c r="CA81" s="78"/>
      <c r="CB81" s="78"/>
      <c r="CC81" s="78"/>
      <c r="CD81" s="2110"/>
      <c r="CE81" s="2110"/>
      <c r="CF81" s="2110"/>
      <c r="CG81" s="2110"/>
      <c r="CH81" s="2173"/>
      <c r="CI81" s="2173"/>
      <c r="CJ81" s="2173"/>
      <c r="CK81" s="2094"/>
      <c r="CL81" s="2094"/>
      <c r="CM81" s="2094"/>
      <c r="CN81" s="2094"/>
      <c r="CO81" s="2095"/>
      <c r="CP81" s="2094"/>
      <c r="CQ81" s="2094"/>
      <c r="CR81" s="2094"/>
      <c r="CS81" s="2173"/>
      <c r="CT81" s="2173"/>
      <c r="CU81" s="2173"/>
      <c r="CV81" s="2173"/>
      <c r="CW81" s="78"/>
      <c r="CX81" s="78"/>
      <c r="CY81" s="78"/>
      <c r="CZ81" s="78"/>
      <c r="DA81" s="78"/>
      <c r="DB81" s="78"/>
      <c r="DC81" s="78"/>
      <c r="DD81" s="78"/>
      <c r="DE81" s="78"/>
      <c r="DF81" s="78"/>
      <c r="DG81" s="2082"/>
      <c r="DH81" s="78"/>
      <c r="DI81" s="78"/>
      <c r="DJ81" s="78"/>
      <c r="DK81" s="78"/>
      <c r="DL81" s="78"/>
      <c r="DM81" s="78"/>
      <c r="DN81" s="78"/>
      <c r="DO81" s="78"/>
      <c r="DP81" s="78"/>
      <c r="DQ81" s="78"/>
      <c r="DR81" s="2142"/>
      <c r="DS81" s="2142"/>
      <c r="DT81" s="2142"/>
      <c r="DU81" s="2142"/>
      <c r="DV81" s="2142"/>
      <c r="DW81" s="2142"/>
      <c r="EH81" s="2174"/>
      <c r="EI81" s="2174"/>
      <c r="EJ81" s="2174"/>
      <c r="EK81" s="2174"/>
      <c r="EL81" s="2174"/>
      <c r="EM81" s="2174"/>
      <c r="EN81" s="2175"/>
    </row>
    <row r="82" spans="1:144" ht="20.100000000000001" customHeight="1" thickBot="1" x14ac:dyDescent="0.25">
      <c r="A82" s="2171"/>
      <c r="E82" s="115" t="s">
        <v>851</v>
      </c>
      <c r="F82" s="2079" t="b">
        <f>ISBLANK(AD74)</f>
        <v>0</v>
      </c>
      <c r="J82" s="2172"/>
      <c r="L82" s="2167"/>
      <c r="M82" s="586" t="s">
        <v>62</v>
      </c>
      <c r="N82" s="586"/>
      <c r="O82" s="586"/>
      <c r="P82" s="586"/>
      <c r="Q82" s="774"/>
      <c r="R82" s="586"/>
      <c r="S82" s="586"/>
      <c r="T82" s="1982" t="s">
        <v>149</v>
      </c>
      <c r="U82" s="769"/>
      <c r="V82" s="769"/>
      <c r="W82" s="769"/>
      <c r="X82" s="770"/>
      <c r="Y82" s="770"/>
      <c r="Z82" s="771"/>
      <c r="AA82" s="78"/>
      <c r="AB82" s="585"/>
      <c r="AC82" s="586"/>
      <c r="AD82" s="6393"/>
      <c r="AE82" s="6394"/>
      <c r="AF82" s="6394"/>
      <c r="AG82" s="6394"/>
      <c r="AH82" s="6395"/>
      <c r="AI82" s="586"/>
      <c r="AJ82" s="30" t="str">
        <f>IF(OR(AND($F$98&gt;0,$AD$82="")),"!","✓")</f>
        <v>✓</v>
      </c>
      <c r="AK82" s="777"/>
      <c r="AM82" s="586"/>
      <c r="AO82" s="2617"/>
      <c r="AP82" s="4050"/>
      <c r="AQ82" s="6513"/>
      <c r="AR82" s="6513"/>
      <c r="AS82" s="6513"/>
      <c r="AT82" s="6514"/>
      <c r="AU82" s="5391"/>
      <c r="AV82" s="6524"/>
      <c r="AW82" s="6525"/>
      <c r="AX82" s="6525"/>
      <c r="AY82" s="6526"/>
      <c r="AZ82" s="2617"/>
      <c r="BA82" s="2617"/>
      <c r="BB82" s="2617"/>
      <c r="BC82" s="2617"/>
      <c r="BD82" s="2617"/>
      <c r="BE82" s="2617"/>
      <c r="BF82" s="2617"/>
      <c r="BG82" s="2617"/>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5461"/>
      <c r="CI82" s="5461"/>
      <c r="CJ82" s="5461"/>
      <c r="CK82" s="5461"/>
      <c r="CL82" s="5461"/>
      <c r="CM82" s="5461"/>
      <c r="CN82" s="5461"/>
      <c r="CO82" s="2304"/>
      <c r="CP82" s="5461"/>
      <c r="CQ82" s="5461"/>
      <c r="CR82" s="5461"/>
      <c r="CS82" s="5461"/>
      <c r="CT82" s="5461"/>
      <c r="CU82" s="5461"/>
      <c r="CV82" s="5461"/>
      <c r="CW82" s="78"/>
      <c r="CX82" s="78"/>
      <c r="CY82" s="78"/>
      <c r="CZ82" s="78"/>
      <c r="DA82" s="78"/>
      <c r="DB82" s="78"/>
      <c r="DC82" s="78"/>
      <c r="DD82" s="78"/>
      <c r="DE82" s="78"/>
      <c r="DF82" s="78"/>
      <c r="DG82" s="2082"/>
      <c r="DH82" s="78"/>
      <c r="DI82" s="78"/>
      <c r="DJ82" s="78"/>
      <c r="DK82" s="78"/>
      <c r="DL82" s="78"/>
      <c r="DM82" s="78"/>
      <c r="DN82" s="78"/>
      <c r="DO82" s="78"/>
      <c r="DP82" s="78"/>
      <c r="DQ82" s="78"/>
      <c r="DS82" s="2142"/>
      <c r="DT82" s="2142"/>
      <c r="DU82" s="2142"/>
      <c r="DV82" s="2142"/>
      <c r="DW82" s="2142"/>
      <c r="EH82" s="2174"/>
      <c r="EI82" s="2174"/>
      <c r="EJ82" s="2174"/>
      <c r="EK82" s="2174"/>
      <c r="EL82" s="2174"/>
      <c r="EM82" s="2174"/>
      <c r="EN82" s="2175"/>
    </row>
    <row r="83" spans="1:144" ht="15" customHeight="1" thickBot="1" x14ac:dyDescent="0.25">
      <c r="A83" s="2171"/>
      <c r="E83" s="115" t="s">
        <v>852</v>
      </c>
      <c r="F83" s="2079" t="str">
        <f>IF($F$37=1,IF($F$82=TRUE,"Tverrslag",$F$81),"")</f>
        <v/>
      </c>
      <c r="J83" s="2172"/>
      <c r="L83" s="2167"/>
      <c r="M83" s="586"/>
      <c r="N83" s="586"/>
      <c r="O83" s="586"/>
      <c r="P83" s="586"/>
      <c r="Q83" s="774"/>
      <c r="R83" s="586"/>
      <c r="S83" s="586"/>
      <c r="T83" s="1982"/>
      <c r="U83" s="769"/>
      <c r="V83" s="769"/>
      <c r="W83" s="769"/>
      <c r="X83" s="770"/>
      <c r="Y83" s="770"/>
      <c r="Z83" s="771"/>
      <c r="AA83" s="78"/>
      <c r="AB83" s="786"/>
      <c r="AC83" s="778"/>
      <c r="AD83" s="2193"/>
      <c r="AE83" s="2193"/>
      <c r="AF83" s="2193"/>
      <c r="AG83" s="2193"/>
      <c r="AH83" s="2193"/>
      <c r="AI83" s="778"/>
      <c r="AJ83" s="5405"/>
      <c r="AK83" s="779"/>
      <c r="AM83" s="586"/>
      <c r="AO83" s="78"/>
      <c r="AQ83" s="1862"/>
      <c r="AR83" s="1862"/>
      <c r="AS83" s="1862"/>
      <c r="AT83" s="1862"/>
      <c r="AZ83" s="2617"/>
      <c r="BA83" s="2617"/>
      <c r="BB83" s="2617"/>
      <c r="BC83" s="2617"/>
      <c r="BD83" s="2617"/>
      <c r="BE83" s="2617"/>
      <c r="BF83" s="2617"/>
      <c r="BG83" s="2617"/>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5461"/>
      <c r="CI83" s="5461"/>
      <c r="CJ83" s="5461"/>
      <c r="CK83" s="5461"/>
      <c r="CL83" s="5461"/>
      <c r="CM83" s="5461"/>
      <c r="CN83" s="5461"/>
      <c r="CO83" s="2304"/>
      <c r="CP83" s="5461"/>
      <c r="CQ83" s="5461"/>
      <c r="CR83" s="5461"/>
      <c r="CS83" s="5461"/>
      <c r="CT83" s="5461"/>
      <c r="CU83" s="5461"/>
      <c r="CV83" s="5461"/>
      <c r="CW83" s="78"/>
      <c r="CX83" s="78"/>
      <c r="CY83" s="78"/>
      <c r="CZ83" s="78"/>
      <c r="DA83" s="78"/>
      <c r="DB83" s="78"/>
      <c r="DC83" s="78"/>
      <c r="DD83" s="78"/>
      <c r="DE83" s="78"/>
      <c r="DF83" s="78"/>
      <c r="DG83" s="2082"/>
      <c r="DH83" s="78"/>
      <c r="DI83" s="78"/>
      <c r="DJ83" s="78"/>
      <c r="DK83" s="78"/>
      <c r="DL83" s="78"/>
      <c r="DM83" s="78"/>
      <c r="DN83" s="78"/>
      <c r="DO83" s="78"/>
      <c r="DP83" s="78"/>
      <c r="DQ83" s="78"/>
      <c r="DR83" s="2142"/>
      <c r="DS83" s="2142"/>
      <c r="DT83" s="2142"/>
      <c r="DU83" s="2142"/>
      <c r="DV83" s="2142"/>
      <c r="DW83" s="2142"/>
      <c r="EH83" s="2174"/>
      <c r="EI83" s="2174"/>
      <c r="EJ83" s="2174"/>
      <c r="EK83" s="2174"/>
      <c r="EL83" s="2174"/>
      <c r="EM83" s="2174"/>
      <c r="EN83" s="2175"/>
    </row>
    <row r="84" spans="1:144" ht="8.1" customHeight="1" thickBot="1" x14ac:dyDescent="0.25">
      <c r="A84" s="2171"/>
      <c r="F84" s="2079"/>
      <c r="J84" s="2172"/>
      <c r="L84" s="2167"/>
      <c r="M84" s="586"/>
      <c r="N84" s="586"/>
      <c r="O84" s="586"/>
      <c r="P84" s="586"/>
      <c r="Q84" s="774"/>
      <c r="R84" s="586"/>
      <c r="S84" s="586"/>
      <c r="T84" s="1982"/>
      <c r="U84" s="769"/>
      <c r="V84" s="769"/>
      <c r="W84" s="769"/>
      <c r="X84" s="770"/>
      <c r="Y84" s="770"/>
      <c r="Z84" s="771"/>
      <c r="AA84" s="78"/>
      <c r="AB84" s="585"/>
      <c r="AC84" s="586"/>
      <c r="AD84" s="2168"/>
      <c r="AE84" s="2168"/>
      <c r="AF84" s="2168"/>
      <c r="AG84" s="2168"/>
      <c r="AH84" s="2168"/>
      <c r="AI84" s="586"/>
      <c r="AJ84" s="1776"/>
      <c r="AK84" s="777"/>
      <c r="AM84" s="586"/>
      <c r="AO84" s="78"/>
      <c r="AQ84" s="1862"/>
      <c r="AR84" s="1862"/>
      <c r="AS84" s="1862"/>
      <c r="AT84" s="1862"/>
      <c r="AZ84" s="2617"/>
      <c r="BA84" s="2617"/>
      <c r="BB84" s="2617"/>
      <c r="BC84" s="2617"/>
      <c r="BD84" s="2617"/>
      <c r="BE84" s="2617"/>
      <c r="BF84" s="2617"/>
      <c r="BG84" s="2617"/>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5461"/>
      <c r="CI84" s="5461"/>
      <c r="CJ84" s="5461"/>
      <c r="CK84" s="5461"/>
      <c r="CL84" s="5461"/>
      <c r="CM84" s="5461"/>
      <c r="CN84" s="5461"/>
      <c r="CO84" s="2304"/>
      <c r="CP84" s="5461"/>
      <c r="CQ84" s="5461"/>
      <c r="CR84" s="5461"/>
      <c r="CS84" s="5461"/>
      <c r="CT84" s="5461"/>
      <c r="CU84" s="5461"/>
      <c r="CV84" s="5461"/>
      <c r="CW84" s="78"/>
      <c r="CX84" s="78"/>
      <c r="CY84" s="78"/>
      <c r="CZ84" s="78"/>
      <c r="DA84" s="78"/>
      <c r="DB84" s="78"/>
      <c r="DC84" s="78"/>
      <c r="DD84" s="78"/>
      <c r="DE84" s="78"/>
      <c r="DF84" s="78"/>
      <c r="DG84" s="2082"/>
      <c r="DH84" s="78"/>
      <c r="DI84" s="78"/>
      <c r="DJ84" s="78"/>
      <c r="DK84" s="78"/>
      <c r="DL84" s="78"/>
      <c r="DM84" s="78"/>
      <c r="DN84" s="78"/>
      <c r="DO84" s="78"/>
      <c r="DP84" s="78"/>
      <c r="DQ84" s="78"/>
      <c r="DR84" s="2142"/>
      <c r="DS84" s="2142"/>
      <c r="DT84" s="2142"/>
      <c r="DU84" s="2142"/>
      <c r="DV84" s="2142"/>
      <c r="DW84" s="2142"/>
      <c r="EH84" s="5198"/>
      <c r="EI84" s="5198"/>
      <c r="EJ84" s="5198"/>
      <c r="EK84" s="5198"/>
      <c r="EL84" s="5198"/>
      <c r="EM84" s="5198"/>
      <c r="EN84" s="5199"/>
    </row>
    <row r="85" spans="1:144" ht="20.100000000000001" customHeight="1" thickBot="1" x14ac:dyDescent="0.25">
      <c r="A85" s="2171"/>
      <c r="F85" s="2079"/>
      <c r="J85" s="2172"/>
      <c r="L85" s="2167"/>
      <c r="M85" s="6510" t="str">
        <f>_Calcs!$K$25</f>
        <v>Standard teoretisk
sprengningsprofil (eks. grøfter)</v>
      </c>
      <c r="N85" s="6510"/>
      <c r="O85" s="6510"/>
      <c r="P85" s="586"/>
      <c r="Q85" s="774"/>
      <c r="R85" s="586"/>
      <c r="S85" s="586"/>
      <c r="T85" s="1982" t="s">
        <v>149</v>
      </c>
      <c r="U85" s="769"/>
      <c r="V85" s="769"/>
      <c r="W85" s="769"/>
      <c r="X85" s="5390" t="s">
        <v>2388</v>
      </c>
      <c r="Y85" s="5390"/>
      <c r="Z85" s="771"/>
      <c r="AA85" s="78"/>
      <c r="AB85" s="585"/>
      <c r="AC85" s="586"/>
      <c r="AD85" s="6443" t="str">
        <f>AG89</f>
        <v/>
      </c>
      <c r="AE85" s="6444"/>
      <c r="AF85" s="6444"/>
      <c r="AG85" s="6444"/>
      <c r="AH85" s="6445"/>
      <c r="AI85" s="586"/>
      <c r="AJ85" s="1776"/>
      <c r="AK85" s="777"/>
      <c r="AM85" s="586"/>
      <c r="AO85" s="78"/>
      <c r="AP85" s="5425"/>
      <c r="AQ85" s="6535" t="s">
        <v>573</v>
      </c>
      <c r="AR85" s="6535"/>
      <c r="AS85" s="6535"/>
      <c r="AT85" s="6536"/>
      <c r="AU85" s="5393"/>
      <c r="AV85" s="6529" t="str">
        <f>$F$6</f>
        <v>A</v>
      </c>
      <c r="AW85" s="6530"/>
      <c r="AX85" s="6530"/>
      <c r="AY85" s="6531"/>
      <c r="AZ85" s="2617"/>
      <c r="BA85" s="2617"/>
      <c r="BB85" s="2617"/>
      <c r="BC85" s="2617"/>
      <c r="BD85" s="2617"/>
      <c r="BE85" s="2617"/>
      <c r="BF85" s="2617"/>
      <c r="BG85" s="2617"/>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5461"/>
      <c r="CI85" s="5461"/>
      <c r="CJ85" s="5461"/>
      <c r="CK85" s="5461"/>
      <c r="CL85" s="5461"/>
      <c r="CM85" s="5461"/>
      <c r="CN85" s="5461"/>
      <c r="CO85" s="2304"/>
      <c r="CP85" s="5461"/>
      <c r="CQ85" s="5461"/>
      <c r="CR85" s="5461"/>
      <c r="CS85" s="5461"/>
      <c r="CT85" s="5461"/>
      <c r="CU85" s="5461"/>
      <c r="CV85" s="5461"/>
      <c r="CW85" s="78"/>
      <c r="CX85" s="78"/>
      <c r="CY85" s="78"/>
      <c r="CZ85" s="78"/>
      <c r="DA85" s="78"/>
      <c r="DB85" s="78"/>
      <c r="DC85" s="78"/>
      <c r="DD85" s="78"/>
      <c r="DE85" s="78"/>
      <c r="DF85" s="78"/>
      <c r="DG85" s="2082"/>
      <c r="DH85" s="78"/>
      <c r="DI85" s="78"/>
      <c r="DJ85" s="78"/>
      <c r="DK85" s="78"/>
      <c r="DL85" s="78"/>
      <c r="DM85" s="78"/>
      <c r="DN85" s="78"/>
      <c r="DO85" s="78"/>
      <c r="DP85" s="78"/>
      <c r="DQ85" s="78"/>
      <c r="DR85" s="2142"/>
      <c r="DS85" s="6458"/>
      <c r="DT85" s="6458"/>
      <c r="DU85" s="2142"/>
      <c r="DV85" s="2142"/>
      <c r="DW85" s="2142"/>
      <c r="EH85" s="5198"/>
      <c r="EI85" s="5198"/>
      <c r="EJ85" s="5198"/>
      <c r="EK85" s="5198"/>
      <c r="EL85" s="5198"/>
      <c r="EM85" s="5198"/>
      <c r="EN85" s="5199"/>
    </row>
    <row r="86" spans="1:144" ht="15" customHeight="1" thickBot="1" x14ac:dyDescent="0.25">
      <c r="A86" s="2171" t="s">
        <v>530</v>
      </c>
      <c r="J86" s="2172"/>
      <c r="L86" s="2167"/>
      <c r="M86" s="6510"/>
      <c r="N86" s="6510"/>
      <c r="O86" s="6510"/>
      <c r="P86" s="2168"/>
      <c r="Q86" s="2168"/>
      <c r="R86" s="2168"/>
      <c r="S86" s="2168"/>
      <c r="T86" s="1968"/>
      <c r="U86" s="2168"/>
      <c r="V86" s="2168"/>
      <c r="W86" s="2168"/>
      <c r="X86" s="774"/>
      <c r="Y86" s="774"/>
      <c r="Z86" s="2169"/>
      <c r="AA86" s="78"/>
      <c r="AB86" s="2167"/>
      <c r="AC86" s="2168"/>
      <c r="AD86" s="2168"/>
      <c r="AE86" s="2168"/>
      <c r="AF86" s="2168"/>
      <c r="AG86" s="2168"/>
      <c r="AH86" s="586"/>
      <c r="AI86" s="586"/>
      <c r="AJ86" s="1968"/>
      <c r="AK86" s="777"/>
      <c r="AM86" s="586"/>
      <c r="AO86" s="78"/>
      <c r="AP86" s="5428"/>
      <c r="AQ86" s="6537"/>
      <c r="AR86" s="6537"/>
      <c r="AS86" s="6537"/>
      <c r="AT86" s="6538"/>
      <c r="AU86" s="5393"/>
      <c r="AV86" s="6532"/>
      <c r="AW86" s="6533"/>
      <c r="AX86" s="6533"/>
      <c r="AY86" s="6534"/>
      <c r="AZ86" s="2617"/>
      <c r="BA86" s="2617"/>
      <c r="BF86" s="2617"/>
      <c r="BG86" s="2617"/>
      <c r="BM86" s="78"/>
      <c r="BN86" s="78"/>
      <c r="BO86" s="78"/>
      <c r="BP86" s="78"/>
      <c r="BQ86" s="78"/>
      <c r="BR86" s="78"/>
      <c r="BS86" s="78"/>
      <c r="BT86" s="78"/>
      <c r="BU86" s="78"/>
      <c r="BV86" s="78"/>
      <c r="BW86" s="78"/>
      <c r="BX86" s="78"/>
      <c r="BY86" s="78"/>
      <c r="BZ86" s="78"/>
      <c r="CA86" s="78"/>
      <c r="CB86" s="78"/>
      <c r="CC86" s="78"/>
      <c r="CD86" s="78"/>
      <c r="CE86" s="2499"/>
      <c r="CF86" s="2499"/>
      <c r="CG86" s="2499"/>
      <c r="CH86" s="2499"/>
      <c r="CI86" s="2499"/>
      <c r="CJ86" s="2499"/>
      <c r="CK86" s="2499"/>
      <c r="CL86" s="2499"/>
      <c r="CM86" s="2499"/>
      <c r="CN86" s="2499"/>
      <c r="CO86" s="2499"/>
      <c r="CP86" s="2499"/>
      <c r="CQ86" s="2499"/>
      <c r="CR86" s="2499"/>
      <c r="CS86" s="2499"/>
      <c r="CT86" s="2499"/>
      <c r="CU86" s="2499"/>
      <c r="CV86" s="2499"/>
      <c r="CW86" s="78"/>
      <c r="CX86" s="78"/>
      <c r="CY86" s="78"/>
      <c r="CZ86" s="78"/>
      <c r="DA86" s="78"/>
      <c r="DB86" s="78"/>
      <c r="DC86" s="78"/>
      <c r="DD86" s="78"/>
      <c r="DE86" s="78"/>
      <c r="DF86" s="78"/>
      <c r="DG86" s="2082"/>
      <c r="DH86" s="78"/>
      <c r="DI86" s="78"/>
      <c r="DJ86" s="78"/>
      <c r="DK86" s="78"/>
      <c r="DL86" s="78"/>
      <c r="DM86" s="78"/>
      <c r="DN86" s="78"/>
      <c r="DO86" s="78"/>
      <c r="DP86" s="78"/>
      <c r="DQ86" s="78"/>
      <c r="DR86" s="2142"/>
      <c r="DS86" s="6458"/>
      <c r="DT86" s="6458"/>
      <c r="DU86" s="2142"/>
      <c r="DV86" s="2142"/>
      <c r="DW86" s="2142"/>
      <c r="EH86" s="2176" t="str">
        <f>$F$10&amp;$F$18</f>
        <v>11</v>
      </c>
      <c r="EI86" s="2176" t="str">
        <f>$EH$86&amp;$F$6</f>
        <v>11A</v>
      </c>
      <c r="EJ86" s="2176" t="str">
        <f>$F$10&amp;$F$18&amp;$F$13</f>
        <v>111</v>
      </c>
      <c r="EK86" s="2177" t="str">
        <f>$EH$86&amp;$F$6&amp;$F$65</f>
        <v>11A0</v>
      </c>
      <c r="EL86" s="2176" t="str">
        <f>$EH$86&amp;$F$65</f>
        <v>110</v>
      </c>
      <c r="EM86" s="2176" t="str">
        <f>$F$10&amp;$F$18&amp;$F$13&amp;$F$6</f>
        <v>111A</v>
      </c>
      <c r="EN86" s="2178" t="str">
        <f>$EH$86&amp;$F$65&amp;$F$13</f>
        <v>1101</v>
      </c>
    </row>
    <row r="87" spans="1:144" s="2179" customFormat="1" ht="9.9499999999999993" customHeight="1" x14ac:dyDescent="0.3">
      <c r="A87" s="2171"/>
      <c r="B87" s="70"/>
      <c r="C87" s="70"/>
      <c r="D87" s="70"/>
      <c r="E87" s="115" t="s">
        <v>715</v>
      </c>
      <c r="F87" s="2079">
        <f>IF($F$37=1,$AD$95,0)</f>
        <v>0</v>
      </c>
      <c r="J87" s="2180"/>
      <c r="L87" s="2181"/>
      <c r="M87" s="775"/>
      <c r="N87" s="775"/>
      <c r="O87" s="775"/>
      <c r="P87" s="775"/>
      <c r="Q87" s="776"/>
      <c r="R87" s="775"/>
      <c r="S87" s="775"/>
      <c r="T87" s="1983"/>
      <c r="U87" s="775"/>
      <c r="V87" s="775"/>
      <c r="W87" s="775"/>
      <c r="X87" s="776"/>
      <c r="Y87" s="776"/>
      <c r="Z87" s="2182"/>
      <c r="AA87" s="2055"/>
      <c r="AB87" s="784"/>
      <c r="AC87" s="775"/>
      <c r="AD87" s="6418" t="str">
        <f>_Calcs!$M$19</f>
        <v>Brukerdefinert</v>
      </c>
      <c r="AE87" s="6418"/>
      <c r="AF87" s="5211"/>
      <c r="AG87" s="6419" t="str">
        <f>_Calcs!$M$18</f>
        <v>Standard</v>
      </c>
      <c r="AH87" s="6419"/>
      <c r="AI87" s="781"/>
      <c r="AJ87" s="1983"/>
      <c r="AK87" s="2183"/>
      <c r="AM87" s="586"/>
      <c r="AN87" s="70"/>
      <c r="AO87" s="2092"/>
      <c r="AP87" s="183"/>
      <c r="AQ87" s="3489"/>
      <c r="AR87" s="3489"/>
      <c r="AS87" s="3489"/>
      <c r="AT87" s="3489"/>
      <c r="AU87" s="5392"/>
      <c r="AV87" s="5427"/>
      <c r="AW87" s="5427"/>
      <c r="AX87" s="5427"/>
      <c r="AY87" s="5427"/>
      <c r="AZ87" s="2617"/>
      <c r="BA87" s="2617"/>
      <c r="BF87" s="2617"/>
      <c r="BG87" s="2617"/>
      <c r="BH87" s="70"/>
      <c r="BI87" s="70"/>
      <c r="BJ87" s="70"/>
      <c r="BK87" s="70"/>
      <c r="BL87" s="70"/>
      <c r="BM87" s="2092"/>
      <c r="BN87" s="2092"/>
      <c r="BO87" s="2092"/>
      <c r="BP87" s="2092"/>
      <c r="BQ87" s="2092"/>
      <c r="BR87" s="2092"/>
      <c r="BS87" s="2092"/>
      <c r="BT87" s="2092"/>
      <c r="BU87" s="2092"/>
      <c r="BV87" s="2092"/>
      <c r="BW87" s="2092"/>
      <c r="BX87" s="2092"/>
      <c r="BY87" s="2092"/>
      <c r="BZ87" s="2092"/>
      <c r="CA87" s="78"/>
      <c r="CB87" s="78"/>
      <c r="CC87" s="78"/>
      <c r="CD87" s="78"/>
      <c r="CE87" s="2499"/>
      <c r="CF87" s="2499"/>
      <c r="CG87" s="2499"/>
      <c r="CH87" s="2499"/>
      <c r="CI87" s="2499"/>
      <c r="CJ87" s="2499"/>
      <c r="CK87" s="2499"/>
      <c r="CL87" s="2499"/>
      <c r="CM87" s="2499"/>
      <c r="CN87" s="2499"/>
      <c r="CO87" s="2499"/>
      <c r="CP87" s="2499"/>
      <c r="CQ87" s="2499"/>
      <c r="CR87" s="2499"/>
      <c r="CS87" s="2499"/>
      <c r="CT87" s="2499"/>
      <c r="CU87" s="2499"/>
      <c r="CV87" s="2499"/>
      <c r="CW87" s="2092"/>
      <c r="CX87" s="2092"/>
      <c r="CY87" s="2092"/>
      <c r="CZ87" s="2092"/>
      <c r="DA87" s="2092"/>
      <c r="DB87" s="2092"/>
      <c r="DC87" s="2092"/>
      <c r="DD87" s="2092"/>
      <c r="DE87" s="2092"/>
      <c r="DF87" s="2092"/>
      <c r="DG87" s="2184"/>
      <c r="DH87" s="2092"/>
      <c r="DI87" s="2092"/>
      <c r="DJ87" s="2092"/>
      <c r="DK87" s="2092"/>
      <c r="DL87" s="2092"/>
      <c r="DM87" s="2092"/>
      <c r="DN87" s="2092"/>
      <c r="DO87" s="2092"/>
      <c r="DP87" s="2092"/>
      <c r="DQ87" s="2092"/>
      <c r="DR87" s="2142"/>
      <c r="DS87" s="2142"/>
      <c r="DT87" s="2142"/>
      <c r="DU87" s="2142"/>
      <c r="DV87" s="2142"/>
      <c r="DW87" s="2142"/>
      <c r="EH87" s="2176" t="str">
        <f>$F$6</f>
        <v>A</v>
      </c>
    </row>
    <row r="88" spans="1:144" ht="5.0999999999999996" customHeight="1" thickBot="1" x14ac:dyDescent="0.35">
      <c r="A88" s="2171"/>
      <c r="F88" s="2079"/>
      <c r="J88" s="2172"/>
      <c r="L88" s="2167"/>
      <c r="M88" s="586"/>
      <c r="N88" s="586"/>
      <c r="O88" s="586"/>
      <c r="P88" s="586"/>
      <c r="Q88" s="774"/>
      <c r="R88" s="586"/>
      <c r="S88" s="586"/>
      <c r="T88" s="1968"/>
      <c r="U88" s="586"/>
      <c r="V88" s="586"/>
      <c r="W88" s="586"/>
      <c r="X88" s="774"/>
      <c r="Y88" s="774"/>
      <c r="Z88" s="777"/>
      <c r="AA88" s="136"/>
      <c r="AB88" s="585"/>
      <c r="AC88" s="586"/>
      <c r="AD88" s="586"/>
      <c r="AE88" s="2168"/>
      <c r="AF88" s="2168"/>
      <c r="AG88" s="2168"/>
      <c r="AH88" s="586"/>
      <c r="AI88" s="586"/>
      <c r="AJ88" s="1968"/>
      <c r="AK88" s="2169"/>
      <c r="AM88" s="586"/>
      <c r="AP88" s="183"/>
      <c r="AQ88" s="3489"/>
      <c r="AR88" s="3489"/>
      <c r="AS88" s="3489"/>
      <c r="AT88" s="3489"/>
      <c r="AU88" s="5392"/>
      <c r="AV88" s="5427"/>
      <c r="AW88" s="5427"/>
      <c r="AX88" s="5427"/>
      <c r="AY88" s="5427"/>
      <c r="AZ88" s="2617"/>
      <c r="BA88" s="2617"/>
      <c r="BF88" s="2617"/>
      <c r="BG88" s="2617"/>
      <c r="BM88" s="78"/>
      <c r="BN88" s="78"/>
      <c r="BO88" s="78"/>
      <c r="BP88" s="78"/>
      <c r="BQ88" s="78"/>
      <c r="BR88" s="78"/>
      <c r="BS88" s="78"/>
      <c r="BT88" s="78"/>
      <c r="BU88" s="78"/>
      <c r="BV88" s="78"/>
      <c r="BW88" s="78"/>
      <c r="BX88" s="16"/>
      <c r="BY88" s="16"/>
      <c r="BZ88" s="78"/>
      <c r="CA88" s="78"/>
      <c r="CB88" s="78"/>
      <c r="CC88" s="78"/>
      <c r="CD88" s="78"/>
      <c r="CE88" s="2499"/>
      <c r="CF88" s="2499"/>
      <c r="CG88" s="2499"/>
      <c r="CH88" s="2499"/>
      <c r="CI88" s="2499"/>
      <c r="CJ88" s="2499"/>
      <c r="CK88" s="2499"/>
      <c r="CL88" s="2499"/>
      <c r="CM88" s="2499"/>
      <c r="CN88" s="2499"/>
      <c r="CO88" s="5468"/>
      <c r="CP88" s="2499"/>
      <c r="CQ88" s="2499"/>
      <c r="CR88" s="2499"/>
      <c r="CS88" s="2499"/>
      <c r="CT88" s="2499"/>
      <c r="CU88" s="2499"/>
      <c r="CV88" s="2499"/>
      <c r="CW88" s="78"/>
      <c r="CX88" s="78"/>
      <c r="CY88" s="78"/>
      <c r="CZ88" s="16"/>
      <c r="DA88" s="78"/>
      <c r="DB88" s="78"/>
      <c r="DC88" s="78"/>
      <c r="DD88" s="78"/>
      <c r="DE88" s="78"/>
      <c r="DF88" s="78"/>
      <c r="DG88" s="2082"/>
      <c r="DH88" s="78"/>
      <c r="DI88" s="78"/>
      <c r="DJ88" s="78"/>
      <c r="DK88" s="78"/>
      <c r="DL88" s="78"/>
      <c r="DM88" s="78"/>
      <c r="DN88" s="78"/>
      <c r="DO88" s="78"/>
      <c r="DP88" s="78"/>
      <c r="DQ88" s="78"/>
      <c r="DR88" s="2142"/>
      <c r="DS88" s="2142"/>
      <c r="DT88" s="2142"/>
      <c r="DU88" s="2142"/>
      <c r="DV88" s="2142"/>
      <c r="DW88" s="2142"/>
    </row>
    <row r="89" spans="1:144" ht="20.100000000000001" customHeight="1" thickBot="1" x14ac:dyDescent="0.25">
      <c r="A89" s="2171" t="s">
        <v>531</v>
      </c>
      <c r="E89" s="115" t="s">
        <v>599</v>
      </c>
      <c r="F89" s="2079">
        <f>IF(F37=1,AD112,0)</f>
        <v>0</v>
      </c>
      <c r="J89" s="2172"/>
      <c r="L89" s="2167"/>
      <c r="M89" s="6539" t="str">
        <f>_Calcs!$K$26</f>
        <v>Gjennomgående teoretisk
sprengningsprofil (eks. grøfter)</v>
      </c>
      <c r="N89" s="6539"/>
      <c r="O89" s="6539"/>
      <c r="P89" s="768"/>
      <c r="Q89" s="768"/>
      <c r="R89" s="768"/>
      <c r="S89" s="768"/>
      <c r="T89" s="1982" t="s">
        <v>149</v>
      </c>
      <c r="U89" s="769"/>
      <c r="V89" s="769"/>
      <c r="W89" s="769"/>
      <c r="X89" s="774" t="s">
        <v>103</v>
      </c>
      <c r="Y89" s="774"/>
      <c r="Z89" s="771"/>
      <c r="AA89" s="78"/>
      <c r="AB89" s="785"/>
      <c r="AC89" s="780"/>
      <c r="AD89" s="6500"/>
      <c r="AE89" s="6501"/>
      <c r="AF89" s="780"/>
      <c r="AG89" s="6420" t="str">
        <f>IFERROR(INDEX(vegprofil[Area_s],MATCH(AD82,vegprofil[Name],0)),"")</f>
        <v/>
      </c>
      <c r="AH89" s="6421"/>
      <c r="AI89" s="781"/>
      <c r="AJ89" s="1983"/>
      <c r="AK89" s="2169"/>
      <c r="AM89" s="586"/>
      <c r="AP89" s="78"/>
      <c r="AQ89" s="78"/>
      <c r="AR89" s="78"/>
      <c r="AS89" s="78"/>
      <c r="AT89" s="78"/>
      <c r="AU89" s="78"/>
      <c r="AV89" s="78"/>
      <c r="AW89" s="78"/>
      <c r="AX89" s="78"/>
      <c r="AY89" s="78"/>
      <c r="AZ89" s="2617"/>
      <c r="BA89" s="2617"/>
      <c r="BF89" s="2617"/>
      <c r="BG89" s="2617"/>
      <c r="BM89" s="78"/>
      <c r="BN89" s="78"/>
      <c r="BO89" s="78"/>
      <c r="BP89" s="78"/>
      <c r="BQ89" s="78"/>
      <c r="BR89" s="78"/>
      <c r="BS89" s="78"/>
      <c r="BT89" s="78"/>
      <c r="BU89" s="78"/>
      <c r="BV89" s="78"/>
      <c r="BW89" s="78"/>
      <c r="BX89" s="16"/>
      <c r="BY89" s="16"/>
      <c r="BZ89" s="78"/>
      <c r="CA89" s="78"/>
      <c r="CB89" s="78"/>
      <c r="CC89" s="78"/>
      <c r="CD89" s="78"/>
      <c r="CE89" s="2499"/>
      <c r="CF89" s="2499"/>
      <c r="CG89" s="5467"/>
      <c r="CH89" s="5467"/>
      <c r="CI89" s="5467"/>
      <c r="CJ89" s="5467"/>
      <c r="CK89" s="5467"/>
      <c r="CL89" s="5467"/>
      <c r="CM89" s="5467"/>
      <c r="CN89" s="5467"/>
      <c r="CO89" s="5469" t="s">
        <v>2396</v>
      </c>
      <c r="CP89" s="5467"/>
      <c r="CQ89" s="5467"/>
      <c r="CR89" s="5467"/>
      <c r="CS89" s="5467"/>
      <c r="CT89" s="5467"/>
      <c r="CU89" s="5467"/>
      <c r="CV89" s="5467"/>
      <c r="CW89" s="78"/>
      <c r="CX89" s="78"/>
      <c r="CY89" s="78"/>
      <c r="CZ89" s="16"/>
      <c r="DA89" s="78"/>
      <c r="DB89" s="78"/>
      <c r="DC89" s="78"/>
      <c r="DD89" s="78"/>
      <c r="DE89" s="78"/>
      <c r="DF89" s="78"/>
      <c r="DG89" s="2082"/>
      <c r="DH89" s="78"/>
      <c r="DI89" s="78"/>
      <c r="DJ89" s="78"/>
      <c r="DK89" s="78"/>
      <c r="DL89" s="78"/>
      <c r="DM89" s="78"/>
      <c r="DN89" s="78"/>
      <c r="DO89" s="78"/>
      <c r="DP89" s="78"/>
      <c r="DQ89" s="78"/>
      <c r="DR89" s="78"/>
      <c r="DS89" s="78"/>
      <c r="DT89" s="6272"/>
      <c r="DU89" s="78"/>
      <c r="DV89" s="78"/>
      <c r="DW89" s="78"/>
      <c r="EH89" s="2174" t="s">
        <v>217</v>
      </c>
      <c r="EI89" s="2174" t="s">
        <v>236</v>
      </c>
      <c r="EJ89" s="2174"/>
      <c r="EK89" s="2174"/>
      <c r="EL89" s="2174"/>
      <c r="EM89" s="2174" t="s">
        <v>239</v>
      </c>
      <c r="EN89" s="2174" t="s">
        <v>238</v>
      </c>
    </row>
    <row r="90" spans="1:144" ht="8.1" customHeight="1" x14ac:dyDescent="0.2">
      <c r="A90" s="2171"/>
      <c r="F90" s="2079"/>
      <c r="J90" s="2172"/>
      <c r="L90" s="2167"/>
      <c r="M90" s="6539"/>
      <c r="N90" s="6539"/>
      <c r="O90" s="6539"/>
      <c r="P90" s="768"/>
      <c r="Q90" s="768"/>
      <c r="R90" s="768"/>
      <c r="S90" s="768"/>
      <c r="T90" s="1969"/>
      <c r="U90" s="768"/>
      <c r="V90" s="768"/>
      <c r="W90" s="768"/>
      <c r="X90" s="768"/>
      <c r="Y90" s="768"/>
      <c r="Z90" s="773"/>
      <c r="AA90" s="78"/>
      <c r="AB90" s="785"/>
      <c r="AC90" s="780"/>
      <c r="AD90" s="780"/>
      <c r="AE90" s="780"/>
      <c r="AF90" s="780"/>
      <c r="AG90" s="780"/>
      <c r="AH90" s="586"/>
      <c r="AI90" s="586"/>
      <c r="AJ90" s="1968"/>
      <c r="AK90" s="777"/>
      <c r="AM90" s="586"/>
      <c r="AP90" s="78"/>
      <c r="AQ90" s="78"/>
      <c r="AR90" s="78"/>
      <c r="AS90" s="78"/>
      <c r="AT90" s="78"/>
      <c r="AU90" s="78"/>
      <c r="AV90" s="78"/>
      <c r="AW90" s="78"/>
      <c r="AX90" s="78"/>
      <c r="AY90" s="78"/>
      <c r="AZ90" s="2617"/>
      <c r="BA90" s="2617"/>
      <c r="BF90" s="2617"/>
      <c r="BG90" s="2617"/>
      <c r="BM90" s="78"/>
      <c r="BN90" s="78"/>
      <c r="BO90" s="78"/>
      <c r="BP90" s="78"/>
      <c r="BQ90" s="78"/>
      <c r="BR90" s="78"/>
      <c r="BS90" s="78"/>
      <c r="BT90" s="78"/>
      <c r="BU90" s="78"/>
      <c r="BV90" s="78"/>
      <c r="BW90" s="78"/>
      <c r="BX90" s="16"/>
      <c r="BY90" s="16"/>
      <c r="BZ90" s="78"/>
      <c r="CA90" s="78"/>
      <c r="CB90" s="78"/>
      <c r="CC90" s="78"/>
      <c r="CD90" s="78"/>
      <c r="CE90" s="2499"/>
      <c r="CF90" s="2499"/>
      <c r="CG90" s="2499"/>
      <c r="CH90" s="2499"/>
      <c r="CI90" s="2499"/>
      <c r="CJ90" s="2499"/>
      <c r="CK90" s="2499"/>
      <c r="CL90" s="2499"/>
      <c r="CM90" s="2499"/>
      <c r="CN90" s="2499"/>
      <c r="CO90" s="2499"/>
      <c r="CP90" s="2499"/>
      <c r="CQ90" s="2499"/>
      <c r="CR90" s="2499"/>
      <c r="CS90" s="2499"/>
      <c r="CT90" s="2499"/>
      <c r="CU90" s="2499"/>
      <c r="CV90" s="2499"/>
      <c r="CW90" s="78"/>
      <c r="CX90" s="78"/>
      <c r="CY90" s="78"/>
      <c r="CZ90" s="16"/>
      <c r="DA90" s="78"/>
      <c r="DB90" s="78"/>
      <c r="DC90" s="78"/>
      <c r="DD90" s="78"/>
      <c r="DE90" s="78"/>
      <c r="DF90" s="78"/>
      <c r="DG90" s="2082"/>
      <c r="DH90" s="78"/>
      <c r="DI90" s="78"/>
      <c r="DJ90" s="78"/>
      <c r="DK90" s="78"/>
      <c r="DL90" s="78"/>
      <c r="DM90" s="78"/>
      <c r="DN90" s="78"/>
      <c r="DO90" s="78"/>
      <c r="DP90" s="78"/>
      <c r="DQ90" s="78"/>
      <c r="DR90" s="78"/>
      <c r="DS90" s="78"/>
      <c r="DT90" s="78"/>
      <c r="DU90" s="78"/>
      <c r="DV90" s="78"/>
      <c r="DW90" s="78"/>
    </row>
    <row r="91" spans="1:144" ht="5.0999999999999996" customHeight="1" x14ac:dyDescent="0.2">
      <c r="A91" s="2171"/>
      <c r="F91" s="2079"/>
      <c r="J91" s="2172"/>
      <c r="L91" s="2167"/>
      <c r="M91" s="6539"/>
      <c r="N91" s="6539"/>
      <c r="O91" s="6539"/>
      <c r="P91" s="768"/>
      <c r="Q91" s="768"/>
      <c r="R91" s="768"/>
      <c r="S91" s="768"/>
      <c r="T91" s="1969"/>
      <c r="U91" s="768"/>
      <c r="V91" s="768"/>
      <c r="W91" s="768"/>
      <c r="X91" s="768"/>
      <c r="Y91" s="768"/>
      <c r="Z91" s="773"/>
      <c r="AA91" s="78"/>
      <c r="AB91" s="785"/>
      <c r="AC91" s="780"/>
      <c r="AD91" s="780"/>
      <c r="AE91" s="780"/>
      <c r="AF91" s="780"/>
      <c r="AG91" s="780"/>
      <c r="AH91" s="586"/>
      <c r="AI91" s="586"/>
      <c r="AJ91" s="1968"/>
      <c r="AK91" s="777"/>
      <c r="AM91" s="586"/>
      <c r="AP91" s="78"/>
      <c r="AQ91" s="78"/>
      <c r="AR91" s="78"/>
      <c r="AS91" s="78"/>
      <c r="AT91" s="78"/>
      <c r="AU91" s="78"/>
      <c r="AV91" s="78"/>
      <c r="AW91" s="78"/>
      <c r="AX91" s="78"/>
      <c r="AY91" s="78"/>
      <c r="AZ91" s="2617"/>
      <c r="BA91" s="2617"/>
      <c r="BF91" s="2617"/>
      <c r="BG91" s="2617"/>
      <c r="BM91" s="78"/>
      <c r="BN91" s="78"/>
      <c r="BO91" s="78"/>
      <c r="BP91" s="78"/>
      <c r="BQ91" s="78"/>
      <c r="BR91" s="78"/>
      <c r="BS91" s="78"/>
      <c r="BT91" s="78"/>
      <c r="BU91" s="78"/>
      <c r="BV91" s="78"/>
      <c r="BW91" s="78"/>
      <c r="BX91" s="16"/>
      <c r="BY91" s="16"/>
      <c r="BZ91" s="78"/>
      <c r="CA91" s="78"/>
      <c r="CB91" s="78"/>
      <c r="CC91" s="78"/>
      <c r="CD91" s="78"/>
      <c r="CE91" s="2499"/>
      <c r="CF91" s="2499"/>
      <c r="CG91" s="2499"/>
      <c r="CH91" s="2499"/>
      <c r="CI91" s="2499"/>
      <c r="CJ91" s="2499"/>
      <c r="CK91" s="2499"/>
      <c r="CL91" s="2499"/>
      <c r="CM91" s="2499"/>
      <c r="CN91" s="2499"/>
      <c r="CO91" s="2499"/>
      <c r="CP91" s="2499"/>
      <c r="CQ91" s="2499"/>
      <c r="CR91" s="2499"/>
      <c r="CS91" s="2499"/>
      <c r="CT91" s="2499"/>
      <c r="CU91" s="2499"/>
      <c r="CV91" s="2499"/>
      <c r="CW91" s="78"/>
      <c r="CX91" s="78"/>
      <c r="CY91" s="78"/>
      <c r="CZ91" s="16"/>
      <c r="DA91" s="78"/>
      <c r="DB91" s="78"/>
      <c r="DC91" s="78"/>
      <c r="DD91" s="78"/>
      <c r="DE91" s="78"/>
      <c r="DF91" s="78"/>
      <c r="DG91" s="2082"/>
      <c r="DH91" s="78"/>
      <c r="DI91" s="78"/>
      <c r="DJ91" s="78"/>
      <c r="DK91" s="78"/>
      <c r="DL91" s="78"/>
      <c r="DM91" s="78"/>
      <c r="DN91" s="78"/>
      <c r="DO91" s="78"/>
      <c r="DP91" s="78"/>
      <c r="DQ91" s="78"/>
      <c r="DR91" s="78"/>
      <c r="DS91" s="78"/>
      <c r="DT91" s="78"/>
      <c r="DU91" s="78"/>
      <c r="DV91" s="78"/>
      <c r="DW91" s="78"/>
      <c r="EH91" s="78"/>
      <c r="EI91" s="2185"/>
      <c r="EJ91" s="2176"/>
      <c r="EK91" s="2176"/>
      <c r="EL91" s="78"/>
      <c r="EM91" s="2186"/>
      <c r="EN91" s="2187"/>
    </row>
    <row r="92" spans="1:144" ht="15" customHeight="1" thickBot="1" x14ac:dyDescent="0.25">
      <c r="A92" s="2171"/>
      <c r="F92" s="2079"/>
      <c r="J92" s="2172"/>
      <c r="L92" s="2167"/>
      <c r="M92" s="5361"/>
      <c r="N92" s="5361"/>
      <c r="O92" s="5361"/>
      <c r="P92" s="768"/>
      <c r="Q92" s="768"/>
      <c r="R92" s="768"/>
      <c r="S92" s="768"/>
      <c r="T92" s="1969"/>
      <c r="U92" s="768"/>
      <c r="V92" s="768"/>
      <c r="W92" s="768"/>
      <c r="X92" s="768"/>
      <c r="Y92" s="768"/>
      <c r="Z92" s="773"/>
      <c r="AA92" s="78"/>
      <c r="AB92" s="785"/>
      <c r="AC92" s="780"/>
      <c r="AD92" s="780"/>
      <c r="AE92" s="780"/>
      <c r="AF92" s="780"/>
      <c r="AG92" s="780"/>
      <c r="AH92" s="586"/>
      <c r="AI92" s="586"/>
      <c r="AJ92" s="1968"/>
      <c r="AK92" s="777"/>
      <c r="AM92" s="586"/>
      <c r="DU92" s="78"/>
      <c r="DV92" s="78"/>
      <c r="DW92" s="78"/>
      <c r="EH92" s="78"/>
      <c r="EI92" s="2185"/>
      <c r="EJ92" s="2176"/>
      <c r="EK92" s="2176"/>
      <c r="EL92" s="78"/>
      <c r="EM92" s="2186"/>
      <c r="EN92" s="2187"/>
    </row>
    <row r="93" spans="1:144" ht="8.1" customHeight="1" thickBot="1" x14ac:dyDescent="0.25">
      <c r="A93" s="2171"/>
      <c r="F93" s="2079"/>
      <c r="J93" s="2172"/>
      <c r="L93" s="5413"/>
      <c r="M93" s="5414"/>
      <c r="N93" s="5414"/>
      <c r="O93" s="5414"/>
      <c r="P93" s="5415"/>
      <c r="Q93" s="5415"/>
      <c r="R93" s="5415"/>
      <c r="S93" s="5415"/>
      <c r="T93" s="5416"/>
      <c r="U93" s="5415"/>
      <c r="V93" s="5415"/>
      <c r="W93" s="5415"/>
      <c r="X93" s="5415"/>
      <c r="Y93" s="5415"/>
      <c r="Z93" s="5415"/>
      <c r="AA93" s="78"/>
      <c r="AB93" s="5417"/>
      <c r="AC93" s="5417"/>
      <c r="AD93" s="5417"/>
      <c r="AE93" s="5417"/>
      <c r="AF93" s="5417"/>
      <c r="AG93" s="5417"/>
      <c r="AH93" s="5418"/>
      <c r="AI93" s="5418"/>
      <c r="AJ93" s="5419"/>
      <c r="AK93" s="5418"/>
      <c r="AL93" s="78"/>
      <c r="AM93" s="136"/>
      <c r="AP93" s="6274"/>
      <c r="AQ93" s="5429"/>
      <c r="AR93" s="5429"/>
      <c r="AS93" s="5429"/>
      <c r="AT93" s="5429"/>
      <c r="AU93" s="5429"/>
      <c r="AV93" s="5429"/>
      <c r="AW93" s="5429"/>
      <c r="AX93" s="5429"/>
      <c r="AY93" s="5429"/>
      <c r="AZ93" s="5429"/>
      <c r="BA93" s="5429"/>
      <c r="BB93" s="5429"/>
      <c r="BC93" s="5429"/>
      <c r="BD93" s="5429"/>
      <c r="BE93" s="5429"/>
      <c r="BF93" s="5429"/>
      <c r="BG93" s="5429"/>
      <c r="BH93" s="5429"/>
      <c r="BI93" s="5429"/>
      <c r="BJ93" s="5429"/>
      <c r="BK93" s="5429"/>
      <c r="BL93" s="5429"/>
      <c r="BM93" s="5429"/>
      <c r="BN93" s="5429"/>
      <c r="BO93" s="5429"/>
      <c r="BP93" s="5429"/>
      <c r="BQ93" s="5429"/>
      <c r="BR93" s="5429"/>
      <c r="BS93" s="5429"/>
      <c r="BT93" s="5429"/>
      <c r="BU93" s="5429"/>
      <c r="BV93" s="5429"/>
      <c r="BW93" s="5429"/>
      <c r="BX93" s="5429"/>
      <c r="BY93" s="5429"/>
      <c r="BZ93" s="5429"/>
      <c r="CA93" s="5429"/>
      <c r="CB93" s="5429"/>
      <c r="CC93" s="5429"/>
      <c r="CD93" s="5429"/>
      <c r="CE93" s="5429"/>
      <c r="CF93" s="5429"/>
      <c r="CG93" s="5429"/>
      <c r="CH93" s="5429"/>
      <c r="CI93" s="5429"/>
      <c r="CJ93" s="5429"/>
      <c r="CK93" s="5429"/>
      <c r="CL93" s="5429"/>
      <c r="CM93" s="5429"/>
      <c r="CN93" s="5429"/>
      <c r="CO93" s="5429"/>
      <c r="CP93" s="5429"/>
      <c r="CQ93" s="5429"/>
      <c r="CR93" s="5429"/>
      <c r="CS93" s="5429"/>
      <c r="CT93" s="5429"/>
      <c r="CU93" s="5429"/>
      <c r="CV93" s="5429"/>
      <c r="CW93" s="5429"/>
      <c r="CX93" s="5429"/>
      <c r="CY93" s="5429"/>
      <c r="CZ93" s="5429"/>
      <c r="DA93" s="5429"/>
      <c r="DB93" s="5429"/>
      <c r="DC93" s="5429"/>
      <c r="DD93" s="5429"/>
      <c r="DE93" s="5429"/>
      <c r="DF93" s="5429"/>
      <c r="DG93" s="5429"/>
      <c r="DH93" s="5429"/>
      <c r="DI93" s="5429"/>
      <c r="DJ93" s="5429"/>
      <c r="DK93" s="5429"/>
      <c r="DL93" s="5429"/>
      <c r="DM93" s="5429"/>
      <c r="DN93" s="5429"/>
      <c r="DO93" s="5429"/>
      <c r="DP93" s="5429"/>
      <c r="DQ93" s="5429"/>
      <c r="DR93" s="5429"/>
      <c r="DS93" s="5429"/>
      <c r="DT93" s="6273"/>
      <c r="DU93" s="78"/>
      <c r="DV93" s="78"/>
      <c r="DW93" s="78"/>
      <c r="EH93" s="78"/>
      <c r="EI93" s="2185"/>
      <c r="EJ93" s="2176"/>
      <c r="EK93" s="2176"/>
      <c r="EL93" s="78"/>
      <c r="EM93" s="2186"/>
      <c r="EN93" s="2187"/>
    </row>
    <row r="94" spans="1:144" ht="15" customHeight="1" thickBot="1" x14ac:dyDescent="0.25">
      <c r="A94" s="2171"/>
      <c r="E94" s="2188" t="s">
        <v>598</v>
      </c>
      <c r="F94" s="2189">
        <f>IF(F37=1,AD110,0)</f>
        <v>0</v>
      </c>
      <c r="J94" s="2172"/>
      <c r="L94" s="2167"/>
      <c r="M94" s="768"/>
      <c r="N94" s="768"/>
      <c r="O94" s="768"/>
      <c r="P94" s="768"/>
      <c r="Q94" s="768"/>
      <c r="R94" s="768"/>
      <c r="S94" s="768"/>
      <c r="T94" s="1969"/>
      <c r="U94" s="768"/>
      <c r="V94" s="768"/>
      <c r="W94" s="768"/>
      <c r="X94" s="768"/>
      <c r="Y94" s="768"/>
      <c r="Z94" s="773"/>
      <c r="AA94" s="78"/>
      <c r="AB94" s="785"/>
      <c r="AC94" s="780"/>
      <c r="AD94" s="780"/>
      <c r="AE94" s="780"/>
      <c r="AF94" s="780"/>
      <c r="AG94" s="780"/>
      <c r="AH94" s="586"/>
      <c r="AI94" s="586"/>
      <c r="AJ94" s="1968"/>
      <c r="AK94" s="777"/>
      <c r="AM94" s="586"/>
      <c r="AP94" s="5430"/>
      <c r="AQ94" s="5431"/>
      <c r="AR94" s="5431"/>
      <c r="AS94" s="5431"/>
      <c r="AT94" s="5431"/>
      <c r="AU94" s="5431"/>
      <c r="AV94" s="5431"/>
      <c r="AW94" s="5431"/>
      <c r="AX94" s="5431"/>
      <c r="AY94" s="5431"/>
      <c r="AZ94" s="5431"/>
      <c r="BA94" s="5431"/>
      <c r="BB94" s="5431"/>
      <c r="BC94" s="5431"/>
      <c r="BD94" s="5431"/>
      <c r="BE94" s="5431"/>
      <c r="BF94" s="5431"/>
      <c r="BG94" s="5431"/>
      <c r="BH94" s="5431"/>
      <c r="BI94" s="5431"/>
      <c r="BJ94" s="5431"/>
      <c r="BK94" s="5431"/>
      <c r="BL94" s="5431"/>
      <c r="BM94" s="5431"/>
      <c r="BN94" s="5431"/>
      <c r="BO94" s="5431"/>
      <c r="BP94" s="5431"/>
      <c r="BQ94" s="5431"/>
      <c r="BR94" s="5431"/>
      <c r="BS94" s="5431"/>
      <c r="BT94" s="5431"/>
      <c r="BU94" s="5431"/>
      <c r="BV94" s="5431"/>
      <c r="BW94" s="5431"/>
      <c r="BX94" s="5431"/>
      <c r="BY94" s="5431"/>
      <c r="BZ94" s="5431"/>
      <c r="CA94" s="5431"/>
      <c r="CB94" s="5431"/>
      <c r="CC94" s="5431"/>
      <c r="CD94" s="5431"/>
      <c r="CE94" s="5431"/>
      <c r="CF94" s="5431"/>
      <c r="CG94" s="5431"/>
      <c r="CH94" s="5431"/>
      <c r="CI94" s="5431"/>
      <c r="CJ94" s="5431"/>
      <c r="CK94" s="5431"/>
      <c r="CL94" s="5431"/>
      <c r="CM94" s="5431"/>
      <c r="CN94" s="5431"/>
      <c r="CO94" s="5431"/>
      <c r="CP94" s="5431"/>
      <c r="CQ94" s="5431"/>
      <c r="CR94" s="5431"/>
      <c r="CS94" s="5431"/>
      <c r="CT94" s="5431"/>
      <c r="CU94" s="5431"/>
      <c r="CV94" s="5431"/>
      <c r="CW94" s="5431"/>
      <c r="CX94" s="5431"/>
      <c r="CY94" s="5431"/>
      <c r="CZ94" s="5431"/>
      <c r="DA94" s="5431"/>
      <c r="DB94" s="5431"/>
      <c r="DC94" s="5431"/>
      <c r="DD94" s="5431"/>
      <c r="DE94" s="5431"/>
      <c r="DF94" s="5431"/>
      <c r="DG94" s="5431"/>
      <c r="DH94" s="5431"/>
      <c r="DI94" s="5431"/>
      <c r="DJ94" s="5431"/>
      <c r="DK94" s="5431"/>
      <c r="DL94" s="5431"/>
      <c r="DM94" s="5431"/>
      <c r="DN94" s="5431"/>
      <c r="DO94" s="5431"/>
      <c r="DP94" s="5431"/>
      <c r="DQ94" s="5431"/>
      <c r="DR94" s="5431"/>
      <c r="DS94" s="5431"/>
      <c r="DT94" s="5432"/>
      <c r="DU94" s="78"/>
      <c r="DV94" s="78"/>
      <c r="DW94" s="78"/>
      <c r="EH94" s="2176" t="str">
        <f>$F$10&amp;$F$18&amp;$F$65&amp;$F$13</f>
        <v>1101</v>
      </c>
      <c r="EI94" s="2185" t="str">
        <f>$F$10&amp;$F$18&amp;$F$65&amp;$F$13&amp;$F$6</f>
        <v>1101A</v>
      </c>
      <c r="EJ94" s="2176" t="str">
        <f>$EI$94&amp;$F$41</f>
        <v>1101A</v>
      </c>
      <c r="EK94" s="2176" t="str">
        <f>$EH$94&amp;$F$41</f>
        <v>1101</v>
      </c>
      <c r="EL94" s="2176"/>
      <c r="EM94" s="2190" t="str">
        <f>$EM$86&amp;$F$8</f>
        <v>111A0</v>
      </c>
      <c r="EN94" s="2191" t="str">
        <f>$EI$94&amp;$F$8</f>
        <v>1101A0</v>
      </c>
    </row>
    <row r="95" spans="1:144" ht="20.100000000000001" customHeight="1" thickBot="1" x14ac:dyDescent="0.25">
      <c r="E95" s="115" t="s">
        <v>518</v>
      </c>
      <c r="F95" s="2079">
        <f>IF(OR($EI$86="14a",$EI$86="24b",$EI$86="24c",$EI$86="26a",$EI$86="26b",$EI$86="28a"),2,1)</f>
        <v>1</v>
      </c>
      <c r="J95" s="2172"/>
      <c r="L95" s="2167"/>
      <c r="M95" s="768" t="s">
        <v>2737</v>
      </c>
      <c r="N95" s="768"/>
      <c r="O95" s="768"/>
      <c r="P95" s="768"/>
      <c r="Q95" s="768"/>
      <c r="R95" s="768"/>
      <c r="S95" s="768"/>
      <c r="T95" s="1982"/>
      <c r="U95" s="769"/>
      <c r="V95" s="769"/>
      <c r="W95" s="769"/>
      <c r="X95" s="774" t="s">
        <v>78</v>
      </c>
      <c r="Y95" s="774"/>
      <c r="Z95" s="771"/>
      <c r="AA95" s="78"/>
      <c r="AB95" s="783"/>
      <c r="AC95" s="768"/>
      <c r="AD95" s="6544"/>
      <c r="AE95" s="6545"/>
      <c r="AF95" s="6545"/>
      <c r="AG95" s="6545"/>
      <c r="AH95" s="6546"/>
      <c r="AI95" s="586"/>
      <c r="AJ95" s="30" t="str">
        <f>IF(OR(AND($F$98&gt;0,$AD$95="")),"!","✓")</f>
        <v>✓</v>
      </c>
      <c r="AK95" s="777"/>
      <c r="AM95" s="586"/>
      <c r="DW95" s="78"/>
      <c r="EI95" s="2176"/>
      <c r="EJ95" s="2176"/>
      <c r="EK95" s="2176"/>
    </row>
    <row r="96" spans="1:144" ht="5.0999999999999996" customHeight="1" x14ac:dyDescent="0.2">
      <c r="A96" s="2171"/>
      <c r="F96" s="2079"/>
      <c r="J96" s="2172"/>
      <c r="L96" s="2167"/>
      <c r="M96" s="586"/>
      <c r="N96" s="586"/>
      <c r="O96" s="586"/>
      <c r="P96" s="586"/>
      <c r="Q96" s="774"/>
      <c r="R96" s="586"/>
      <c r="S96" s="586"/>
      <c r="T96" s="1968"/>
      <c r="U96" s="586"/>
      <c r="V96" s="586"/>
      <c r="W96" s="586"/>
      <c r="X96" s="774"/>
      <c r="Y96" s="774"/>
      <c r="Z96" s="777"/>
      <c r="AA96" s="136"/>
      <c r="AB96" s="585"/>
      <c r="AC96" s="586"/>
      <c r="AD96" s="586"/>
      <c r="AE96" s="2168"/>
      <c r="AF96" s="2168"/>
      <c r="AG96" s="2168"/>
      <c r="AH96" s="586"/>
      <c r="AI96" s="586"/>
      <c r="AJ96" s="1968"/>
      <c r="AK96" s="2169"/>
      <c r="AM96" s="586"/>
      <c r="AO96" s="78"/>
      <c r="AZ96" s="2617"/>
      <c r="BA96" s="2617"/>
      <c r="BF96" s="2617"/>
      <c r="BG96" s="2617"/>
      <c r="BM96" s="78"/>
      <c r="BN96" s="78"/>
      <c r="BO96" s="78"/>
      <c r="BP96" s="78"/>
      <c r="BQ96" s="78"/>
      <c r="BR96" s="78"/>
      <c r="BS96" s="78"/>
      <c r="BT96" s="78"/>
      <c r="BU96" s="78"/>
      <c r="BV96" s="78"/>
      <c r="BW96" s="78"/>
      <c r="BX96" s="16"/>
      <c r="BY96" s="16"/>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16"/>
      <c r="DA96" s="78"/>
      <c r="DB96" s="78"/>
      <c r="DC96" s="78"/>
      <c r="DD96" s="78"/>
      <c r="DE96" s="78"/>
      <c r="DF96" s="78"/>
      <c r="DG96" s="2082"/>
      <c r="DH96" s="78"/>
      <c r="DI96" s="78"/>
      <c r="DJ96" s="78"/>
      <c r="DK96" s="78"/>
      <c r="DL96" s="78"/>
      <c r="DM96" s="78"/>
      <c r="DN96" s="78"/>
      <c r="DO96" s="78"/>
      <c r="DP96" s="78"/>
      <c r="DQ96" s="78"/>
      <c r="DR96" s="2142"/>
      <c r="DS96" s="2142"/>
      <c r="DT96" s="2142"/>
      <c r="DU96" s="2142"/>
      <c r="DV96" s="2142"/>
      <c r="DW96" s="2142"/>
    </row>
    <row r="97" spans="1:147" ht="9.9499999999999993" customHeight="1" thickBot="1" x14ac:dyDescent="0.25">
      <c r="E97" s="115" t="s">
        <v>517</v>
      </c>
      <c r="F97" s="2079"/>
      <c r="J97" s="2172"/>
      <c r="L97" s="2192"/>
      <c r="M97" s="778"/>
      <c r="N97" s="778"/>
      <c r="O97" s="778"/>
      <c r="P97" s="2193"/>
      <c r="Q97" s="2193"/>
      <c r="R97" s="2193"/>
      <c r="S97" s="2193"/>
      <c r="T97" s="1972"/>
      <c r="U97" s="2193"/>
      <c r="V97" s="2193"/>
      <c r="W97" s="2193"/>
      <c r="X97" s="2195"/>
      <c r="Y97" s="2195"/>
      <c r="Z97" s="2196"/>
      <c r="AA97" s="78"/>
      <c r="AB97" s="786"/>
      <c r="AC97" s="778"/>
      <c r="AD97" s="778"/>
      <c r="AE97" s="778"/>
      <c r="AF97" s="778"/>
      <c r="AG97" s="778"/>
      <c r="AH97" s="778"/>
      <c r="AI97" s="778"/>
      <c r="AJ97" s="1972"/>
      <c r="AK97" s="779"/>
      <c r="AM97" s="586"/>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16"/>
      <c r="BY97" s="16"/>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16"/>
      <c r="DA97" s="78"/>
      <c r="DB97" s="78"/>
      <c r="DC97" s="78"/>
      <c r="DD97" s="78"/>
      <c r="DE97" s="78"/>
      <c r="DF97" s="78"/>
      <c r="DG97" s="2082"/>
      <c r="DH97" s="78"/>
      <c r="DI97" s="78"/>
      <c r="DJ97" s="78"/>
      <c r="DK97" s="78"/>
      <c r="DL97" s="78"/>
      <c r="DM97" s="78"/>
      <c r="DN97" s="78"/>
      <c r="DO97" s="78"/>
      <c r="DP97" s="78"/>
      <c r="DQ97" s="78"/>
      <c r="DR97" s="78"/>
      <c r="DS97" s="78"/>
      <c r="DT97" s="78"/>
      <c r="DU97" s="78"/>
      <c r="DV97" s="78"/>
      <c r="DW97" s="78"/>
    </row>
    <row r="98" spans="1:147" ht="8.1" customHeight="1" thickBot="1" x14ac:dyDescent="0.25">
      <c r="E98" s="115" t="s">
        <v>675</v>
      </c>
      <c r="F98" s="2079">
        <f>_Calcs!$HI$21</f>
        <v>0</v>
      </c>
      <c r="J98" s="2172"/>
      <c r="L98" s="78"/>
      <c r="M98" s="136"/>
      <c r="N98" s="136"/>
      <c r="O98" s="136"/>
      <c r="P98" s="2130"/>
      <c r="Q98" s="2130"/>
      <c r="R98" s="2130"/>
      <c r="S98" s="2130"/>
      <c r="T98" s="1965"/>
      <c r="U98" s="78"/>
      <c r="V98" s="78"/>
      <c r="W98" s="78"/>
      <c r="X98" s="17"/>
      <c r="Y98" s="17"/>
      <c r="Z98" s="78"/>
      <c r="AA98" s="78"/>
      <c r="AB98" s="136"/>
      <c r="AC98" s="136"/>
      <c r="AD98" s="136"/>
      <c r="AE98" s="136"/>
      <c r="AF98" s="136"/>
      <c r="AG98" s="136"/>
      <c r="AH98" s="136"/>
      <c r="AI98" s="136"/>
      <c r="AJ98" s="16"/>
      <c r="AK98" s="136"/>
      <c r="AL98" s="78"/>
      <c r="AM98" s="136"/>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16"/>
      <c r="BY98" s="16"/>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16"/>
      <c r="DA98" s="78"/>
      <c r="DB98" s="78"/>
      <c r="DC98" s="78"/>
      <c r="DD98" s="78"/>
      <c r="DE98" s="78"/>
      <c r="DF98" s="78"/>
      <c r="DG98" s="2082"/>
      <c r="DH98" s="78"/>
      <c r="DI98" s="78"/>
      <c r="DJ98" s="78"/>
      <c r="DK98" s="78"/>
      <c r="DL98" s="78"/>
      <c r="DM98" s="78"/>
      <c r="DN98" s="78"/>
      <c r="DO98" s="78"/>
      <c r="DP98" s="78"/>
      <c r="DQ98" s="78"/>
      <c r="DR98" s="78"/>
      <c r="DS98" s="78"/>
      <c r="DT98" s="78"/>
      <c r="DU98" s="78"/>
      <c r="DV98" s="78"/>
      <c r="DW98" s="78"/>
    </row>
    <row r="99" spans="1:147" ht="15" customHeight="1" thickBot="1" x14ac:dyDescent="0.25">
      <c r="B99" s="70" t="s">
        <v>677</v>
      </c>
      <c r="C99" s="70" t="s">
        <v>676</v>
      </c>
      <c r="D99" s="2176" t="s">
        <v>597</v>
      </c>
      <c r="E99" s="2197" t="s">
        <v>595</v>
      </c>
      <c r="F99" s="2198" t="s">
        <v>596</v>
      </c>
      <c r="J99" s="2172"/>
      <c r="L99" s="2199"/>
      <c r="M99" s="765"/>
      <c r="N99" s="765"/>
      <c r="O99" s="765"/>
      <c r="P99" s="2200"/>
      <c r="Q99" s="2200"/>
      <c r="R99" s="2200"/>
      <c r="S99" s="2200"/>
      <c r="T99" s="1967"/>
      <c r="U99" s="2200"/>
      <c r="V99" s="2200"/>
      <c r="W99" s="2200"/>
      <c r="X99" s="766"/>
      <c r="Y99" s="766"/>
      <c r="Z99" s="2201"/>
      <c r="AB99" s="782"/>
      <c r="AC99" s="765"/>
      <c r="AD99" s="765"/>
      <c r="AE99" s="765"/>
      <c r="AF99" s="765"/>
      <c r="AG99" s="765"/>
      <c r="AH99" s="765"/>
      <c r="AI99" s="765"/>
      <c r="AJ99" s="1967"/>
      <c r="AK99" s="767"/>
      <c r="AM99" s="586"/>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16"/>
      <c r="BY99" s="16"/>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16"/>
      <c r="DA99" s="78"/>
      <c r="DB99" s="78"/>
      <c r="DC99" s="78"/>
      <c r="DD99" s="78"/>
      <c r="DE99" s="78"/>
      <c r="DF99" s="78"/>
      <c r="DG99" s="2082"/>
      <c r="DH99" s="78"/>
      <c r="DI99" s="78"/>
      <c r="DJ99" s="78"/>
      <c r="DK99" s="78"/>
      <c r="DL99" s="78"/>
      <c r="DM99" s="78"/>
      <c r="DN99" s="78"/>
      <c r="DO99" s="78"/>
      <c r="DP99" s="78"/>
      <c r="DQ99" s="78"/>
      <c r="DR99" s="78"/>
      <c r="DS99" s="78"/>
      <c r="DT99" s="78"/>
      <c r="DU99" s="78"/>
      <c r="DV99" s="78"/>
      <c r="DW99" s="78"/>
    </row>
    <row r="100" spans="1:147" ht="20.100000000000001" customHeight="1" thickBot="1" x14ac:dyDescent="0.25">
      <c r="A100" s="2171"/>
      <c r="B100" s="70">
        <f>COUNTIF(C100:D100,0)</f>
        <v>2</v>
      </c>
      <c r="C100" s="70">
        <f>IF(OR(AND($F$98&lt;1,AD102&lt;&gt;""),AND($F$98&gt;0,F100="")),1,0)</f>
        <v>0</v>
      </c>
      <c r="D100" s="2176">
        <f>IFERROR(MATCH(AD102,$F$104:$F$119,0),0)</f>
        <v>0</v>
      </c>
      <c r="E100" s="2202" t="s">
        <v>204</v>
      </c>
      <c r="F100" s="2203" t="str">
        <f>IF(OR($D100&gt;1,$AD$102=""),"",$AD$102)</f>
        <v/>
      </c>
      <c r="J100" s="2172"/>
      <c r="L100" s="2167"/>
      <c r="M100" s="586" t="s">
        <v>2698</v>
      </c>
      <c r="N100" s="2619"/>
      <c r="O100" s="2619"/>
      <c r="P100" s="2168"/>
      <c r="Q100" s="2168"/>
      <c r="R100" s="2168"/>
      <c r="S100" s="2168"/>
      <c r="T100" s="5886" t="s">
        <v>149</v>
      </c>
      <c r="U100" s="2168"/>
      <c r="V100" s="2168"/>
      <c r="W100" s="2168"/>
      <c r="X100" s="774" t="s">
        <v>146</v>
      </c>
      <c r="Y100" s="774"/>
      <c r="Z100" s="2169"/>
      <c r="AB100" s="585"/>
      <c r="AC100" s="586"/>
      <c r="AD100" s="6380"/>
      <c r="AE100" s="6381"/>
      <c r="AF100" s="6381"/>
      <c r="AG100" s="6381"/>
      <c r="AH100" s="6382"/>
      <c r="AI100" s="586"/>
      <c r="AJ100" s="30" t="str">
        <f>IF(OR(AND($F$98&gt;0,$AD$100="")),"!","✓")</f>
        <v>✓</v>
      </c>
      <c r="AK100" s="777"/>
      <c r="AM100" s="586"/>
      <c r="DU100" s="78"/>
      <c r="DV100" s="78"/>
      <c r="DW100" s="78"/>
    </row>
    <row r="101" spans="1:147" ht="15" hidden="1" customHeight="1" x14ac:dyDescent="0.2">
      <c r="A101" s="2171"/>
      <c r="B101" s="70">
        <f>COUNTIF(C101:D101,0)</f>
        <v>2</v>
      </c>
      <c r="C101" s="70">
        <f>IF(OR(AND($F$98&lt;2,$AD$104&lt;&gt;""),AND($F$98&gt;1,F101="")),1,0)</f>
        <v>0</v>
      </c>
      <c r="D101" s="2176">
        <f>IFERROR(MATCH(AD104,$F$104:$F$119,0),0)</f>
        <v>0</v>
      </c>
      <c r="E101" s="2202" t="s">
        <v>205</v>
      </c>
      <c r="F101" s="2203" t="str">
        <f>IF(OR($D101&gt;1,$AD$104=""),"",$AD$104)</f>
        <v/>
      </c>
      <c r="J101" s="2205"/>
      <c r="L101" s="2167"/>
      <c r="M101" s="2619"/>
      <c r="N101" s="2619"/>
      <c r="O101" s="2619"/>
      <c r="P101" s="2168"/>
      <c r="Q101" s="2168"/>
      <c r="R101" s="2168"/>
      <c r="S101" s="2168"/>
      <c r="T101" s="1968"/>
      <c r="U101" s="2168"/>
      <c r="V101" s="2168"/>
      <c r="W101" s="2168"/>
      <c r="X101" s="774"/>
      <c r="Y101" s="774"/>
      <c r="Z101" s="2169"/>
      <c r="AB101" s="2167"/>
      <c r="AC101" s="2168"/>
      <c r="AD101" s="2168"/>
      <c r="AE101" s="2168"/>
      <c r="AF101" s="2168"/>
      <c r="AG101" s="2168"/>
      <c r="AH101" s="2168"/>
      <c r="AI101" s="586"/>
      <c r="AJ101" s="1968"/>
      <c r="AK101" s="777"/>
      <c r="AM101" s="586"/>
      <c r="EM101" s="2206" t="s">
        <v>498</v>
      </c>
      <c r="EN101" s="2206">
        <v>1</v>
      </c>
      <c r="EO101" s="2206">
        <v>2</v>
      </c>
      <c r="EP101" s="2206">
        <v>3</v>
      </c>
      <c r="EQ101" s="2206">
        <v>4</v>
      </c>
    </row>
    <row r="102" spans="1:147" ht="19.5" hidden="1" customHeight="1" thickBot="1" x14ac:dyDescent="0.25">
      <c r="C102" s="70">
        <f>IF(OR(AND($F$98&lt;3,$AD$106&lt;&gt;""),AND($F$98&gt;2,F102="")),1,0)</f>
        <v>0</v>
      </c>
      <c r="D102" s="2176">
        <f>IFERROR(MATCH(AD106,$F$104:$F$119,0),0)</f>
        <v>0</v>
      </c>
      <c r="E102" s="2202" t="s">
        <v>579</v>
      </c>
      <c r="F102" s="2203" t="str">
        <f>IF(OR($D102&gt;1,$AD$106=""),"",$AD$106)</f>
        <v/>
      </c>
      <c r="J102" s="2172"/>
      <c r="L102" s="2167"/>
      <c r="M102" s="586" t="s">
        <v>591</v>
      </c>
      <c r="N102" s="586"/>
      <c r="O102" s="586"/>
      <c r="P102" s="2168"/>
      <c r="Q102" s="2168"/>
      <c r="R102" s="2168"/>
      <c r="S102" s="2168"/>
      <c r="T102" s="1968"/>
      <c r="U102" s="2168"/>
      <c r="V102" s="2168"/>
      <c r="W102" s="2168"/>
      <c r="X102" s="2207" t="s">
        <v>18</v>
      </c>
      <c r="Y102" s="2207"/>
      <c r="Z102" s="2169"/>
      <c r="AB102" s="2167"/>
      <c r="AC102" s="2168"/>
      <c r="AD102" s="6423"/>
      <c r="AE102" s="6423"/>
      <c r="AF102" s="6423"/>
      <c r="AG102" s="6423"/>
      <c r="AH102" s="6423"/>
      <c r="AI102" s="2168"/>
      <c r="AJ102" s="377" t="str">
        <f>IF(B100&lt;&gt;2,"!","✓")</f>
        <v>✓</v>
      </c>
      <c r="AK102" s="2169"/>
      <c r="AM102" s="586"/>
      <c r="EM102" s="2176"/>
      <c r="EN102" s="2176">
        <f>IF(EH135=1,2,IF(EH135=2,1))</f>
        <v>2</v>
      </c>
      <c r="EO102" s="2176">
        <f>IF(EI135=1,2,IF(EI135=2,1))</f>
        <v>2</v>
      </c>
      <c r="EP102" s="2176">
        <f>IF(EJ135=1,2,IF(EJ135=2,1))</f>
        <v>2</v>
      </c>
      <c r="EQ102" s="2176">
        <f>IF(EK135=1,2,IF(EK135=2,1))</f>
        <v>2</v>
      </c>
    </row>
    <row r="103" spans="1:147" ht="15" hidden="1" customHeight="1" thickBot="1" x14ac:dyDescent="0.25">
      <c r="C103" s="70">
        <f>IF(OR(AND($F$98&lt;4,$AD$108&lt;&gt;""),AND($F$98&gt;3,F103="")),1,0)</f>
        <v>0</v>
      </c>
      <c r="D103" s="2176">
        <f>IFERROR(MATCH(AD108,$F$104:$F$119,0),0)</f>
        <v>0</v>
      </c>
      <c r="E103" s="4038" t="s">
        <v>589</v>
      </c>
      <c r="F103" s="2208" t="str">
        <f>IF(OR($D103&gt;1,$AD$108=""),"",$AD$108)</f>
        <v/>
      </c>
      <c r="J103" s="2172"/>
      <c r="L103" s="2167"/>
      <c r="M103" s="586"/>
      <c r="N103" s="586"/>
      <c r="O103" s="586"/>
      <c r="P103" s="2168"/>
      <c r="Q103" s="2168"/>
      <c r="R103" s="2168"/>
      <c r="S103" s="2168"/>
      <c r="T103" s="1968"/>
      <c r="U103" s="2168"/>
      <c r="V103" s="2168"/>
      <c r="W103" s="2168"/>
      <c r="X103" s="774"/>
      <c r="Y103" s="774"/>
      <c r="Z103" s="2169"/>
      <c r="AB103" s="2167"/>
      <c r="AC103" s="2168"/>
      <c r="AD103" s="2168"/>
      <c r="AE103" s="2168"/>
      <c r="AF103" s="2168"/>
      <c r="AG103" s="2168"/>
      <c r="AH103" s="2168"/>
      <c r="AI103" s="2168"/>
      <c r="AJ103" s="1968"/>
      <c r="AK103" s="2169"/>
      <c r="AM103" s="586"/>
      <c r="EM103" s="2176"/>
      <c r="EN103" s="2176"/>
      <c r="EO103" s="2176"/>
      <c r="EP103" s="2176"/>
      <c r="EQ103" s="2176"/>
    </row>
    <row r="104" spans="1:147" ht="20.100000000000001" hidden="1" customHeight="1" thickBot="1" x14ac:dyDescent="0.25">
      <c r="E104" s="115" t="s">
        <v>580</v>
      </c>
      <c r="F104" s="2079" t="str">
        <f>IF(OR($EI$86="12c",$EI$86="24c",$EI$86="26d",$EI$86="13d"),"",$AD$137)</f>
        <v>Stuff 1-1</v>
      </c>
      <c r="J104" s="2172"/>
      <c r="L104" s="2167"/>
      <c r="M104" s="586" t="s">
        <v>592</v>
      </c>
      <c r="N104" s="586"/>
      <c r="O104" s="586"/>
      <c r="P104" s="2168"/>
      <c r="Q104" s="2168"/>
      <c r="R104" s="2168"/>
      <c r="S104" s="2168"/>
      <c r="T104" s="1968"/>
      <c r="U104" s="2168"/>
      <c r="V104" s="2168"/>
      <c r="W104" s="2168"/>
      <c r="X104" s="2207" t="s">
        <v>18</v>
      </c>
      <c r="Y104" s="2207"/>
      <c r="Z104" s="2169"/>
      <c r="AB104" s="2167"/>
      <c r="AC104" s="2168"/>
      <c r="AD104" s="6423"/>
      <c r="AE104" s="6423"/>
      <c r="AF104" s="6423"/>
      <c r="AG104" s="6423"/>
      <c r="AH104" s="6423"/>
      <c r="AI104" s="2168"/>
      <c r="AJ104" s="377" t="str">
        <f>IF(B101&lt;&gt;2,"!","✓")</f>
        <v>✓</v>
      </c>
      <c r="AK104" s="2169"/>
      <c r="AM104" s="586"/>
      <c r="EM104" s="2209" t="s">
        <v>327</v>
      </c>
      <c r="EN104" s="2176"/>
      <c r="EO104" s="2176"/>
      <c r="EP104" s="2176"/>
      <c r="EQ104" s="2176"/>
    </row>
    <row r="105" spans="1:147" ht="15" hidden="1" customHeight="1" thickBot="1" x14ac:dyDescent="0.25">
      <c r="A105" s="2171"/>
      <c r="F105" s="2079"/>
      <c r="J105" s="2172"/>
      <c r="L105" s="2167"/>
      <c r="M105" s="586"/>
      <c r="N105" s="586"/>
      <c r="O105" s="586"/>
      <c r="P105" s="2168"/>
      <c r="Q105" s="2168"/>
      <c r="R105" s="2168"/>
      <c r="S105" s="2168"/>
      <c r="T105" s="1968"/>
      <c r="U105" s="2168"/>
      <c r="V105" s="2168"/>
      <c r="W105" s="2168"/>
      <c r="X105" s="774"/>
      <c r="Y105" s="774"/>
      <c r="Z105" s="2169"/>
      <c r="AB105" s="2167"/>
      <c r="AC105" s="2168"/>
      <c r="AD105" s="2168"/>
      <c r="AE105" s="2168"/>
      <c r="AF105" s="2168"/>
      <c r="AG105" s="2168"/>
      <c r="AH105" s="2168"/>
      <c r="AI105" s="2168"/>
      <c r="AJ105" s="1968"/>
      <c r="AK105" s="2169"/>
      <c r="AM105" s="586"/>
      <c r="EM105" s="2209"/>
      <c r="EN105" s="2176"/>
      <c r="EO105" s="2176"/>
      <c r="EP105" s="2176"/>
      <c r="EQ105" s="2176"/>
    </row>
    <row r="106" spans="1:147" ht="20.100000000000001" hidden="1" customHeight="1" thickBot="1" x14ac:dyDescent="0.25">
      <c r="A106" s="2171"/>
      <c r="E106" s="115" t="s">
        <v>581</v>
      </c>
      <c r="F106" s="2079" t="str">
        <f>IF(OR($EI$86="12b",$EI$86="13a",$EI$86="13b",$EI$86="14a",$EI$86="24b",$EI$86="26a",$EI$86="26b",$EI$86="28a",$EI$86="26c",$EI$86="26d",$EI$86="13c",$EI$86="13d"),"",$AO$137)</f>
        <v>Stuff 1-2</v>
      </c>
      <c r="J106" s="2172"/>
      <c r="L106" s="2167"/>
      <c r="M106" s="586" t="s">
        <v>593</v>
      </c>
      <c r="N106" s="586"/>
      <c r="O106" s="586"/>
      <c r="P106" s="2168"/>
      <c r="Q106" s="2168"/>
      <c r="R106" s="2168"/>
      <c r="S106" s="2168"/>
      <c r="T106" s="1968"/>
      <c r="U106" s="2168"/>
      <c r="V106" s="2168"/>
      <c r="W106" s="2168"/>
      <c r="X106" s="2207" t="s">
        <v>18</v>
      </c>
      <c r="Y106" s="2207"/>
      <c r="Z106" s="2169"/>
      <c r="AB106" s="2167"/>
      <c r="AC106" s="2168"/>
      <c r="AD106" s="6423"/>
      <c r="AE106" s="6423"/>
      <c r="AF106" s="6423"/>
      <c r="AG106" s="6423"/>
      <c r="AH106" s="6423"/>
      <c r="AI106" s="2168"/>
      <c r="AJ106" s="377" t="str">
        <f>IF(B115&lt;&gt;2,"!","✓")</f>
        <v>✓</v>
      </c>
      <c r="AK106" s="2169"/>
      <c r="AM106" s="586"/>
      <c r="EM106" s="2176" t="s">
        <v>496</v>
      </c>
      <c r="EN106" s="2209">
        <f>EN101</f>
        <v>1</v>
      </c>
      <c r="EO106" s="2209">
        <f>EN116+1</f>
        <v>3</v>
      </c>
      <c r="EP106" s="2209">
        <f>EO116+1</f>
        <v>5</v>
      </c>
      <c r="EQ106" s="2209">
        <f>EP116+1</f>
        <v>7</v>
      </c>
    </row>
    <row r="107" spans="1:147" ht="15" hidden="1" customHeight="1" thickBot="1" x14ac:dyDescent="0.25">
      <c r="A107" s="2171"/>
      <c r="E107" s="115" t="s">
        <v>582</v>
      </c>
      <c r="F107" s="2079" t="str">
        <f>IF(OR($EI$86="14a",$EI$86="28a",$EI$86="26c",$EI$86="13c"),"",$AZ$137)</f>
        <v>Stuff 1-3</v>
      </c>
      <c r="J107" s="2172"/>
      <c r="L107" s="2167"/>
      <c r="M107" s="586"/>
      <c r="N107" s="586"/>
      <c r="O107" s="586"/>
      <c r="P107" s="2168"/>
      <c r="Q107" s="2168"/>
      <c r="R107" s="2168"/>
      <c r="S107" s="2168"/>
      <c r="T107" s="1968"/>
      <c r="U107" s="2168"/>
      <c r="V107" s="2168"/>
      <c r="W107" s="2168"/>
      <c r="X107" s="774"/>
      <c r="Y107" s="774"/>
      <c r="Z107" s="2169"/>
      <c r="AB107" s="2167"/>
      <c r="AC107" s="2168"/>
      <c r="AD107" s="2168"/>
      <c r="AE107" s="2168"/>
      <c r="AF107" s="2168"/>
      <c r="AG107" s="2168"/>
      <c r="AH107" s="2168"/>
      <c r="AI107" s="2168"/>
      <c r="AJ107" s="1968"/>
      <c r="AK107" s="2169"/>
      <c r="AM107" s="586"/>
      <c r="EM107" s="2176"/>
      <c r="EN107" s="2176"/>
      <c r="EO107" s="2176"/>
      <c r="EP107" s="2176"/>
      <c r="EQ107" s="2176"/>
    </row>
    <row r="108" spans="1:147" ht="20.100000000000001" hidden="1" customHeight="1" thickBot="1" x14ac:dyDescent="0.25">
      <c r="A108" s="2171"/>
      <c r="F108" s="2079"/>
      <c r="J108" s="2172"/>
      <c r="L108" s="2167"/>
      <c r="M108" s="586" t="s">
        <v>594</v>
      </c>
      <c r="N108" s="586"/>
      <c r="O108" s="586"/>
      <c r="P108" s="2168"/>
      <c r="Q108" s="2168"/>
      <c r="R108" s="2168"/>
      <c r="S108" s="2168"/>
      <c r="T108" s="1968"/>
      <c r="U108" s="2168"/>
      <c r="V108" s="2168"/>
      <c r="W108" s="2168"/>
      <c r="X108" s="2207" t="s">
        <v>18</v>
      </c>
      <c r="Y108" s="2207"/>
      <c r="Z108" s="2169"/>
      <c r="AB108" s="2167"/>
      <c r="AC108" s="2168"/>
      <c r="AD108" s="6423"/>
      <c r="AE108" s="6423"/>
      <c r="AF108" s="6423"/>
      <c r="AG108" s="6423"/>
      <c r="AH108" s="6423"/>
      <c r="AI108" s="2168"/>
      <c r="AJ108" s="377" t="str">
        <f>IF(B116&lt;&gt;2,"!","✓")</f>
        <v>✓</v>
      </c>
      <c r="AK108" s="2169"/>
      <c r="AM108" s="586"/>
      <c r="EM108" s="2176"/>
      <c r="EN108" s="2176"/>
      <c r="EO108" s="2176"/>
      <c r="EP108" s="2176"/>
      <c r="EQ108" s="2176"/>
    </row>
    <row r="109" spans="1:147" ht="15" hidden="1" customHeight="1" thickBot="1" x14ac:dyDescent="0.25">
      <c r="A109" s="2171"/>
      <c r="F109" s="2079"/>
      <c r="J109" s="2172"/>
      <c r="L109" s="2167"/>
      <c r="M109" s="586"/>
      <c r="N109" s="586"/>
      <c r="O109" s="586"/>
      <c r="P109" s="2168"/>
      <c r="Q109" s="2168"/>
      <c r="R109" s="2168"/>
      <c r="S109" s="2168"/>
      <c r="T109" s="1968"/>
      <c r="U109" s="2168"/>
      <c r="V109" s="2168"/>
      <c r="W109" s="2168"/>
      <c r="X109" s="774"/>
      <c r="Y109" s="774"/>
      <c r="Z109" s="2169"/>
      <c r="AB109" s="2167"/>
      <c r="AC109" s="2168"/>
      <c r="AD109" s="2168"/>
      <c r="AE109" s="2168"/>
      <c r="AF109" s="2168"/>
      <c r="AG109" s="2168"/>
      <c r="AH109" s="2168"/>
      <c r="AI109" s="2168"/>
      <c r="AJ109" s="1968"/>
      <c r="AK109" s="2169"/>
      <c r="AM109" s="586"/>
      <c r="EM109" s="2176"/>
      <c r="EN109" s="2176"/>
      <c r="EO109" s="2176"/>
      <c r="EP109" s="2176"/>
      <c r="EQ109" s="2176"/>
    </row>
    <row r="110" spans="1:147" ht="20.100000000000001" hidden="1" customHeight="1" thickBot="1" x14ac:dyDescent="0.25">
      <c r="A110" s="2171"/>
      <c r="F110" s="2079"/>
      <c r="J110" s="2172"/>
      <c r="L110" s="2167"/>
      <c r="M110" s="586" t="s">
        <v>590</v>
      </c>
      <c r="N110" s="586"/>
      <c r="O110" s="586"/>
      <c r="P110" s="2168"/>
      <c r="Q110" s="2168"/>
      <c r="R110" s="2168"/>
      <c r="S110" s="2168"/>
      <c r="T110" s="1968"/>
      <c r="U110" s="2168"/>
      <c r="V110" s="2168"/>
      <c r="W110" s="2168"/>
      <c r="X110" s="774" t="s">
        <v>146</v>
      </c>
      <c r="Y110" s="774"/>
      <c r="Z110" s="2169"/>
      <c r="AB110" s="585"/>
      <c r="AC110" s="586"/>
      <c r="AD110" s="6423"/>
      <c r="AE110" s="6423"/>
      <c r="AF110" s="6423"/>
      <c r="AG110" s="6423"/>
      <c r="AH110" s="6423"/>
      <c r="AI110" s="2168"/>
      <c r="AJ110" s="377" t="str">
        <f>IF(OR(AND($F$98=0,$AD$110&lt;&gt;""),AND($F$98&gt;0,$AD$110="")),"!","✓")</f>
        <v>✓</v>
      </c>
      <c r="AK110" s="2169"/>
      <c r="AM110" s="586"/>
      <c r="EM110" s="2176"/>
      <c r="EN110" s="2176"/>
      <c r="EO110" s="2176"/>
      <c r="EP110" s="2176"/>
      <c r="EQ110" s="2176"/>
    </row>
    <row r="111" spans="1:147" ht="15" customHeight="1" thickBot="1" x14ac:dyDescent="0.25">
      <c r="A111" s="2171"/>
      <c r="F111" s="2079"/>
      <c r="J111" s="2172"/>
      <c r="L111" s="2167"/>
      <c r="M111" s="586"/>
      <c r="N111" s="586"/>
      <c r="O111" s="586"/>
      <c r="P111" s="2168"/>
      <c r="Q111" s="2168"/>
      <c r="R111" s="2168"/>
      <c r="S111" s="2168"/>
      <c r="T111" s="1968"/>
      <c r="U111" s="2168"/>
      <c r="V111" s="2168"/>
      <c r="W111" s="2168"/>
      <c r="X111" s="774"/>
      <c r="Y111" s="774"/>
      <c r="Z111" s="2169"/>
      <c r="AB111" s="585"/>
      <c r="AC111" s="586"/>
      <c r="AD111" s="4039"/>
      <c r="AE111" s="4039"/>
      <c r="AF111" s="4039"/>
      <c r="AG111" s="4039"/>
      <c r="AH111" s="4039"/>
      <c r="AI111" s="2168"/>
      <c r="AJ111" s="1776"/>
      <c r="AK111" s="2169"/>
      <c r="AM111" s="586"/>
      <c r="EM111" s="2176"/>
      <c r="EN111" s="2176"/>
      <c r="EO111" s="2176"/>
      <c r="EP111" s="2176"/>
      <c r="EQ111" s="2176"/>
    </row>
    <row r="112" spans="1:147" ht="20.100000000000001" customHeight="1" thickBot="1" x14ac:dyDescent="0.25">
      <c r="A112" s="2171"/>
      <c r="F112" s="2079"/>
      <c r="J112" s="2172"/>
      <c r="L112" s="2167"/>
      <c r="M112" s="6510" t="s">
        <v>2697</v>
      </c>
      <c r="N112" s="6510"/>
      <c r="O112" s="6510"/>
      <c r="P112" s="2168"/>
      <c r="Q112" s="2168"/>
      <c r="R112" s="2168"/>
      <c r="S112" s="2168"/>
      <c r="T112" s="5886" t="s">
        <v>149</v>
      </c>
      <c r="U112" s="2168"/>
      <c r="V112" s="2168"/>
      <c r="W112" s="2168"/>
      <c r="X112" s="774" t="s">
        <v>146</v>
      </c>
      <c r="Y112" s="774"/>
      <c r="Z112" s="2169"/>
      <c r="AB112" s="585"/>
      <c r="AC112" s="586"/>
      <c r="AD112" s="6380"/>
      <c r="AE112" s="6381"/>
      <c r="AF112" s="6381"/>
      <c r="AG112" s="6381"/>
      <c r="AH112" s="6382"/>
      <c r="AI112" s="2168"/>
      <c r="AJ112" s="30" t="str">
        <f>IF(OR(AND($F$98&gt;0,$AD$112="")),"!","✓")</f>
        <v>✓</v>
      </c>
      <c r="AK112" s="2169"/>
      <c r="AM112" s="586"/>
      <c r="EM112" s="2176"/>
      <c r="EN112" s="2176"/>
      <c r="EO112" s="2176"/>
      <c r="EP112" s="2176"/>
      <c r="EQ112" s="2176"/>
    </row>
    <row r="113" spans="1:147" ht="14.1" hidden="1" customHeight="1" x14ac:dyDescent="0.2">
      <c r="A113" s="2171"/>
      <c r="F113" s="2079"/>
      <c r="J113" s="2172"/>
      <c r="L113" s="2167"/>
      <c r="M113" s="5992"/>
      <c r="N113" s="5992"/>
      <c r="O113" s="5992"/>
      <c r="P113" s="2168"/>
      <c r="Q113" s="2168"/>
      <c r="R113" s="2168"/>
      <c r="S113" s="2168"/>
      <c r="T113" s="2204"/>
      <c r="U113" s="2168"/>
      <c r="V113" s="2168"/>
      <c r="W113" s="2168"/>
      <c r="X113" s="774"/>
      <c r="Y113" s="774"/>
      <c r="Z113" s="2169"/>
      <c r="AB113" s="585"/>
      <c r="AC113" s="586"/>
      <c r="AD113" s="4040"/>
      <c r="AE113" s="4040"/>
      <c r="AF113" s="4040"/>
      <c r="AG113" s="4040"/>
      <c r="AH113" s="4040"/>
      <c r="AI113" s="2168"/>
      <c r="AJ113" s="1776"/>
      <c r="AK113" s="2169"/>
      <c r="AM113" s="586"/>
      <c r="EM113" s="2176"/>
      <c r="EN113" s="2176"/>
      <c r="EO113" s="2176"/>
      <c r="EP113" s="2176"/>
      <c r="EQ113" s="2176"/>
    </row>
    <row r="114" spans="1:147" ht="15" customHeight="1" thickBot="1" x14ac:dyDescent="0.25">
      <c r="A114" s="2171"/>
      <c r="E114" s="115" t="s">
        <v>583</v>
      </c>
      <c r="F114" s="2079" t="str">
        <f>BO137</f>
        <v>Stuff 1-4</v>
      </c>
      <c r="J114" s="2210"/>
      <c r="L114" s="2192"/>
      <c r="M114" s="778"/>
      <c r="N114" s="778"/>
      <c r="O114" s="778"/>
      <c r="P114" s="2193"/>
      <c r="Q114" s="2193"/>
      <c r="R114" s="2193"/>
      <c r="S114" s="2193"/>
      <c r="T114" s="2194"/>
      <c r="U114" s="2193"/>
      <c r="V114" s="2193"/>
      <c r="W114" s="2193"/>
      <c r="X114" s="2195"/>
      <c r="Y114" s="2195"/>
      <c r="Z114" s="2196"/>
      <c r="AB114" s="786"/>
      <c r="AC114" s="778"/>
      <c r="AD114" s="778"/>
      <c r="AE114" s="778"/>
      <c r="AF114" s="778"/>
      <c r="AG114" s="778"/>
      <c r="AH114" s="778"/>
      <c r="AI114" s="778"/>
      <c r="AJ114" s="1972"/>
      <c r="AK114" s="779"/>
      <c r="AM114" s="586"/>
      <c r="EM114" s="2176"/>
      <c r="EN114" s="2176"/>
      <c r="EO114" s="2176"/>
      <c r="EP114" s="2176"/>
      <c r="EQ114" s="2176"/>
    </row>
    <row r="115" spans="1:147" ht="24.95" customHeight="1" thickBot="1" x14ac:dyDescent="0.25">
      <c r="A115" s="2171"/>
      <c r="B115" s="70">
        <f>COUNTIF(C102:D102,0)</f>
        <v>2</v>
      </c>
      <c r="E115" s="115" t="s">
        <v>584</v>
      </c>
      <c r="F115" s="2079" t="str">
        <f>IF(OR($EI$86="24c",$EI$86="26d"),"",$AD$169)</f>
        <v>Stuff 2-1</v>
      </c>
      <c r="M115" s="21"/>
      <c r="N115" s="21"/>
      <c r="O115" s="21"/>
      <c r="AM115" s="78"/>
      <c r="EM115" s="2211" t="s">
        <v>497</v>
      </c>
      <c r="EN115" s="2176">
        <f>EN102-1</f>
        <v>1</v>
      </c>
      <c r="EO115" s="2176">
        <f>EO102-1</f>
        <v>1</v>
      </c>
      <c r="EP115" s="2176">
        <f>EP102-1</f>
        <v>1</v>
      </c>
      <c r="EQ115" s="2176">
        <f>EQ102-1</f>
        <v>1</v>
      </c>
    </row>
    <row r="116" spans="1:147" ht="15" customHeight="1" thickBot="1" x14ac:dyDescent="0.25">
      <c r="A116" s="2171"/>
      <c r="B116" s="70">
        <f>COUNTIF(C103:D103,0)</f>
        <v>2</v>
      </c>
      <c r="E116" s="115" t="s">
        <v>585</v>
      </c>
      <c r="F116" s="2079" t="str">
        <f>IF(OR($EI$86="24b",$EI$86="26a",$EI$86="26b",$EI$86="28a",$EI$86="26c",$EI$86="26d"),"",$AO$169)</f>
        <v>Stuff 2-2</v>
      </c>
      <c r="J116" s="580"/>
      <c r="L116" s="492"/>
      <c r="M116" s="581"/>
      <c r="N116" s="581"/>
      <c r="O116" s="581"/>
      <c r="P116" s="582"/>
      <c r="Q116" s="582"/>
      <c r="R116" s="582"/>
      <c r="S116" s="582"/>
      <c r="T116" s="688"/>
      <c r="U116" s="582"/>
      <c r="V116" s="582"/>
      <c r="W116" s="582"/>
      <c r="X116" s="582"/>
      <c r="Y116" s="582"/>
      <c r="Z116" s="493"/>
      <c r="AB116" s="583"/>
      <c r="AC116" s="584"/>
      <c r="AD116" s="584"/>
      <c r="AE116" s="584"/>
      <c r="AF116" s="584"/>
      <c r="AG116" s="584"/>
      <c r="AH116" s="582"/>
      <c r="AI116" s="582"/>
      <c r="AJ116" s="688"/>
      <c r="AK116" s="493"/>
      <c r="AM116" s="52"/>
      <c r="EG116" s="2176" t="s">
        <v>48</v>
      </c>
      <c r="EL116" s="78"/>
      <c r="EM116" s="2176" t="s">
        <v>496</v>
      </c>
      <c r="EN116" s="2211">
        <f>EN106+EN115</f>
        <v>2</v>
      </c>
      <c r="EO116" s="2211">
        <f>EO106+EO115</f>
        <v>4</v>
      </c>
      <c r="EP116" s="2211">
        <f>EP106+EP115</f>
        <v>6</v>
      </c>
      <c r="EQ116" s="2211">
        <f>EQ106+EQ115</f>
        <v>8</v>
      </c>
    </row>
    <row r="117" spans="1:147" ht="8.1" customHeight="1" thickBot="1" x14ac:dyDescent="0.25">
      <c r="F117" s="2079"/>
      <c r="M117" s="21"/>
      <c r="N117" s="21"/>
      <c r="O117" s="21"/>
      <c r="AM117" s="78"/>
      <c r="EG117" s="2176" t="s">
        <v>493</v>
      </c>
      <c r="EL117" s="78"/>
      <c r="EM117" s="78"/>
      <c r="EN117" s="78"/>
      <c r="EO117" s="78"/>
      <c r="EP117" s="78"/>
      <c r="EQ117" s="78"/>
    </row>
    <row r="118" spans="1:147" ht="15" customHeight="1" thickBot="1" x14ac:dyDescent="0.25">
      <c r="A118" s="2212" t="s">
        <v>711</v>
      </c>
      <c r="B118" s="2213">
        <f>COUNTIF(B100:B116,2)</f>
        <v>4</v>
      </c>
      <c r="E118" s="115" t="s">
        <v>586</v>
      </c>
      <c r="F118" s="2079" t="str">
        <f>IF(OR($EI$86="28a",$EI$86="26c"),"",$AZ$169)</f>
        <v>Stuff 2-3</v>
      </c>
      <c r="J118" s="3380"/>
      <c r="L118" s="2214"/>
      <c r="M118" s="575"/>
      <c r="N118" s="575"/>
      <c r="O118" s="575"/>
      <c r="P118" s="2215"/>
      <c r="Q118" s="2215"/>
      <c r="R118" s="2215"/>
      <c r="S118" s="2215"/>
      <c r="T118" s="2216"/>
      <c r="U118" s="2215"/>
      <c r="V118" s="2215"/>
      <c r="W118" s="2215"/>
      <c r="X118" s="576"/>
      <c r="Y118" s="576"/>
      <c r="Z118" s="2217"/>
      <c r="AB118" s="2214"/>
      <c r="AC118" s="2215"/>
      <c r="AD118" s="2215"/>
      <c r="AE118" s="2215"/>
      <c r="AF118" s="2215"/>
      <c r="AG118" s="2215"/>
      <c r="AH118" s="2215"/>
      <c r="AI118" s="2215"/>
      <c r="AJ118" s="728"/>
      <c r="AK118" s="2217"/>
      <c r="AM118" s="2218"/>
      <c r="CG118" s="4041"/>
      <c r="EG118" s="2176"/>
      <c r="EL118" s="78"/>
    </row>
    <row r="119" spans="1:147" ht="20.100000000000001" hidden="1" customHeight="1" thickBot="1" x14ac:dyDescent="0.25">
      <c r="E119" s="115" t="s">
        <v>587</v>
      </c>
      <c r="F119" s="2079" t="str">
        <f>BO169</f>
        <v>Stuff 2-4</v>
      </c>
      <c r="J119" s="1198"/>
      <c r="L119" s="2219"/>
      <c r="M119" s="160" t="s">
        <v>144</v>
      </c>
      <c r="N119" s="163"/>
      <c r="O119" s="160"/>
      <c r="P119" s="2220"/>
      <c r="Q119" s="160"/>
      <c r="R119" s="160"/>
      <c r="S119" s="2220"/>
      <c r="T119" s="156" t="s">
        <v>149</v>
      </c>
      <c r="U119" s="2221"/>
      <c r="V119" s="2221"/>
      <c r="W119" s="2221"/>
      <c r="X119" s="59" t="s">
        <v>46</v>
      </c>
      <c r="Y119" s="59"/>
      <c r="Z119" s="2222"/>
      <c r="AB119" s="578"/>
      <c r="AC119" s="160"/>
      <c r="AI119" s="2220"/>
      <c r="AJ119" s="30" t="str">
        <f>IF(Prosjektinfo!Q100="","!","✓")</f>
        <v>✓</v>
      </c>
      <c r="AK119" s="2223"/>
      <c r="AM119" s="2218"/>
      <c r="EG119" s="2176" t="s">
        <v>494</v>
      </c>
      <c r="EL119" s="78"/>
      <c r="EM119" s="4042" t="s">
        <v>499</v>
      </c>
    </row>
    <row r="120" spans="1:147" ht="15" hidden="1" customHeight="1" thickBot="1" x14ac:dyDescent="0.25">
      <c r="F120" s="2079"/>
      <c r="J120" s="1198"/>
      <c r="L120" s="2219"/>
      <c r="M120" s="160"/>
      <c r="N120" s="160"/>
      <c r="O120" s="160"/>
      <c r="P120" s="2220"/>
      <c r="Q120" s="2220"/>
      <c r="R120" s="2220"/>
      <c r="S120" s="2220"/>
      <c r="T120" s="2224"/>
      <c r="U120" s="2220"/>
      <c r="V120" s="2220"/>
      <c r="W120" s="2220"/>
      <c r="X120" s="59"/>
      <c r="Y120" s="59"/>
      <c r="Z120" s="2223"/>
      <c r="AB120" s="2219"/>
      <c r="AC120" s="2220"/>
      <c r="AD120" s="2220"/>
      <c r="AE120" s="2220"/>
      <c r="AF120" s="2220"/>
      <c r="AG120" s="2220"/>
      <c r="AH120" s="2220"/>
      <c r="AI120" s="2220"/>
      <c r="AJ120" s="56"/>
      <c r="AK120" s="2223"/>
      <c r="AM120" s="2218"/>
      <c r="DI120" s="2012"/>
      <c r="DJ120" s="2012"/>
      <c r="DK120" s="2012"/>
      <c r="EG120" s="2176"/>
      <c r="EL120" s="78"/>
      <c r="EM120" s="78"/>
    </row>
    <row r="121" spans="1:147" ht="24.95" customHeight="1" thickBot="1" x14ac:dyDescent="0.25">
      <c r="F121" s="2079"/>
      <c r="J121" s="6408" t="s">
        <v>2407</v>
      </c>
      <c r="L121" s="2219"/>
      <c r="M121" s="160" t="str">
        <f>_Calcs!$M$22</f>
        <v>Beregning av tid for sikring</v>
      </c>
      <c r="N121" s="160"/>
      <c r="O121" s="160"/>
      <c r="P121" s="2220"/>
      <c r="Q121" s="2220"/>
      <c r="R121" s="2220"/>
      <c r="S121" s="2220"/>
      <c r="T121" s="156" t="s">
        <v>149</v>
      </c>
      <c r="U121" s="2220"/>
      <c r="V121" s="2220"/>
      <c r="W121" s="2220"/>
      <c r="X121" s="59"/>
      <c r="Y121" s="59"/>
      <c r="Z121" s="2223"/>
      <c r="AB121" s="2219"/>
      <c r="AC121" s="2220"/>
      <c r="AD121" s="6502" t="s">
        <v>2733</v>
      </c>
      <c r="AE121" s="6503"/>
      <c r="AF121" s="6503"/>
      <c r="AG121" s="6503"/>
      <c r="AH121" s="6504"/>
      <c r="AI121" s="2220"/>
      <c r="AJ121" s="30" t="str">
        <f>IF($AD$121="","!","✓")</f>
        <v>✓</v>
      </c>
      <c r="AK121" s="2223"/>
      <c r="AM121" s="2218"/>
      <c r="DI121" s="2012"/>
      <c r="DJ121" s="2012"/>
      <c r="DK121" s="2012"/>
      <c r="EG121" s="2176"/>
      <c r="EL121" s="78"/>
      <c r="EM121" s="78"/>
    </row>
    <row r="122" spans="1:147" ht="15" hidden="1" customHeight="1" x14ac:dyDescent="0.2">
      <c r="F122" s="2079"/>
      <c r="J122" s="6408"/>
      <c r="L122" s="2219"/>
      <c r="M122" s="160"/>
      <c r="N122" s="160"/>
      <c r="O122" s="160"/>
      <c r="P122" s="2220"/>
      <c r="Q122" s="2220"/>
      <c r="R122" s="2220"/>
      <c r="S122" s="2220"/>
      <c r="T122" s="56"/>
      <c r="U122" s="2220"/>
      <c r="V122" s="2220"/>
      <c r="W122" s="2220"/>
      <c r="X122" s="59"/>
      <c r="Y122" s="59"/>
      <c r="Z122" s="2223"/>
      <c r="AB122" s="2219"/>
      <c r="AC122" s="2220"/>
      <c r="AD122" s="3381"/>
      <c r="AE122" s="3381"/>
      <c r="AF122" s="3381"/>
      <c r="AG122" s="3381"/>
      <c r="AH122" s="3381"/>
      <c r="AI122" s="2220"/>
      <c r="AJ122" s="1208"/>
      <c r="AK122" s="2223"/>
      <c r="AM122" s="2218"/>
      <c r="DI122" s="2012"/>
      <c r="DJ122" s="2012"/>
      <c r="DK122" s="2012"/>
      <c r="EG122" s="2176"/>
      <c r="EL122" s="78"/>
      <c r="EM122" s="78"/>
    </row>
    <row r="123" spans="1:147" ht="15" hidden="1" customHeight="1" x14ac:dyDescent="0.2">
      <c r="F123" s="2079"/>
      <c r="J123" s="6408"/>
      <c r="L123" s="2219"/>
      <c r="M123" s="160"/>
      <c r="N123" s="160"/>
      <c r="O123" s="160"/>
      <c r="P123" s="2220"/>
      <c r="Q123" s="2220"/>
      <c r="R123" s="2220"/>
      <c r="S123" s="2220"/>
      <c r="T123" s="56"/>
      <c r="U123" s="2220"/>
      <c r="V123" s="2220"/>
      <c r="W123" s="2220"/>
      <c r="X123" s="59"/>
      <c r="Y123" s="59"/>
      <c r="Z123" s="2223"/>
      <c r="AB123" s="2219"/>
      <c r="AC123" s="2220"/>
      <c r="AD123" s="3381"/>
      <c r="AE123" s="3381"/>
      <c r="AF123" s="3381"/>
      <c r="AG123" s="3381"/>
      <c r="AH123" s="3381"/>
      <c r="AI123" s="2220"/>
      <c r="AJ123" s="1208"/>
      <c r="AK123" s="2223"/>
      <c r="AM123" s="2218"/>
      <c r="DI123" s="2012"/>
      <c r="DJ123" s="2012"/>
      <c r="DK123" s="2012"/>
      <c r="EG123" s="2176"/>
      <c r="EL123" s="78"/>
      <c r="EM123" s="78"/>
    </row>
    <row r="124" spans="1:147" ht="15" customHeight="1" thickBot="1" x14ac:dyDescent="0.25">
      <c r="E124" s="115" t="s">
        <v>1631</v>
      </c>
      <c r="F124" s="2079" t="str">
        <f>IF(_Calcs!$D$9=1,"Input_metod_MB",IF(_Calcs!$D$9=2,"Input_metod_SB","Input_metod_MB"))</f>
        <v>Input_metod_MB</v>
      </c>
      <c r="J124" s="6408"/>
      <c r="L124" s="2219"/>
      <c r="M124" s="160"/>
      <c r="N124" s="160"/>
      <c r="O124" s="160"/>
      <c r="P124" s="2220"/>
      <c r="Q124" s="2220"/>
      <c r="R124" s="2220"/>
      <c r="S124" s="2220"/>
      <c r="T124" s="56"/>
      <c r="U124" s="2220"/>
      <c r="V124" s="2220"/>
      <c r="W124" s="2220"/>
      <c r="X124" s="59"/>
      <c r="Y124" s="59"/>
      <c r="Z124" s="2223"/>
      <c r="AB124" s="2219"/>
      <c r="AC124" s="2220"/>
      <c r="AD124" s="2220"/>
      <c r="AE124" s="2220"/>
      <c r="AF124" s="2220"/>
      <c r="AG124" s="2220"/>
      <c r="AH124" s="2220"/>
      <c r="AI124" s="2220"/>
      <c r="AJ124" s="56"/>
      <c r="AK124" s="2223"/>
      <c r="AM124" s="2218"/>
      <c r="DI124" s="2012"/>
      <c r="DJ124" s="2012"/>
      <c r="DK124" s="2012"/>
      <c r="EG124" s="2176"/>
      <c r="EL124" s="78"/>
      <c r="EM124" s="78"/>
    </row>
    <row r="125" spans="1:147" ht="24.95" customHeight="1" thickBot="1" x14ac:dyDescent="0.25">
      <c r="E125" s="115" t="s">
        <v>274</v>
      </c>
      <c r="F125" s="2079" t="str">
        <f>IF($AD$125="",_List!$CQ$7,Tunneldrift!$AD$125)</f>
        <v>Brukerdefinert</v>
      </c>
      <c r="J125" s="6408"/>
      <c r="L125" s="2219"/>
      <c r="M125" s="160" t="s">
        <v>572</v>
      </c>
      <c r="N125" s="160"/>
      <c r="O125" s="160"/>
      <c r="P125" s="2220"/>
      <c r="Q125" s="2220"/>
      <c r="R125" s="2220"/>
      <c r="S125" s="2220"/>
      <c r="T125" s="156" t="s">
        <v>149</v>
      </c>
      <c r="U125" s="2221"/>
      <c r="V125" s="2221"/>
      <c r="W125" s="2221"/>
      <c r="X125" s="2225"/>
      <c r="Y125" s="2225"/>
      <c r="Z125" s="2222"/>
      <c r="AB125" s="2219"/>
      <c r="AC125" s="2220"/>
      <c r="AD125" s="6407" t="s">
        <v>2732</v>
      </c>
      <c r="AE125" s="6407"/>
      <c r="AF125" s="6407"/>
      <c r="AG125" s="6407"/>
      <c r="AH125" s="6407"/>
      <c r="AI125" s="2220"/>
      <c r="AJ125" s="30" t="str">
        <f>IF(AD125="","!","✓")</f>
        <v>✓</v>
      </c>
      <c r="AK125" s="2223"/>
      <c r="AM125" s="2218"/>
      <c r="DI125" s="2012"/>
      <c r="DJ125" s="2012"/>
      <c r="DK125" s="2012"/>
      <c r="EG125" s="2176" t="s">
        <v>48</v>
      </c>
    </row>
    <row r="126" spans="1:147" ht="15" customHeight="1" thickBot="1" x14ac:dyDescent="0.25">
      <c r="F126" s="2079"/>
      <c r="J126" s="2620"/>
      <c r="L126" s="2226"/>
      <c r="M126" s="579"/>
      <c r="N126" s="579"/>
      <c r="O126" s="579"/>
      <c r="P126" s="2227"/>
      <c r="Q126" s="2227"/>
      <c r="R126" s="2227"/>
      <c r="S126" s="2227"/>
      <c r="T126" s="2228"/>
      <c r="U126" s="2227"/>
      <c r="V126" s="2227"/>
      <c r="W126" s="2227"/>
      <c r="X126" s="745"/>
      <c r="Y126" s="745"/>
      <c r="Z126" s="2229"/>
      <c r="AB126" s="2226"/>
      <c r="AC126" s="2227"/>
      <c r="AD126" s="2227"/>
      <c r="AE126" s="2227"/>
      <c r="AF126" s="2227"/>
      <c r="AG126" s="2227"/>
      <c r="AH126" s="2227"/>
      <c r="AI126" s="2227"/>
      <c r="AJ126" s="743"/>
      <c r="AK126" s="2229"/>
      <c r="AM126" s="2218"/>
      <c r="DI126" s="2012"/>
      <c r="DJ126" s="2012"/>
      <c r="DK126" s="2012"/>
      <c r="DW126" s="1862"/>
      <c r="DX126" s="1862"/>
      <c r="DY126" s="1862"/>
      <c r="DZ126" s="1862"/>
      <c r="EA126" s="1862"/>
      <c r="EB126" s="1862"/>
      <c r="EC126" s="1862"/>
      <c r="ED126" s="1862"/>
      <c r="EE126" s="1862"/>
      <c r="EF126" s="1862"/>
      <c r="EG126" s="2176" t="s">
        <v>493</v>
      </c>
    </row>
    <row r="127" spans="1:147" ht="20.100000000000001" customHeight="1" x14ac:dyDescent="0.2">
      <c r="E127" s="21" t="str">
        <f>IF(Tunneldrift!AD121="",_List!$CU$7,Tunneldrift!AD121)</f>
        <v>Mengdebasert</v>
      </c>
      <c r="F127" s="2079"/>
      <c r="DI127" s="2012"/>
      <c r="DJ127" s="2012"/>
      <c r="DK127" s="2012"/>
      <c r="EG127" s="2176"/>
    </row>
    <row r="128" spans="1:147" ht="14.1" customHeight="1" x14ac:dyDescent="0.2">
      <c r="E128" s="21"/>
      <c r="F128" s="2079"/>
      <c r="J128" s="834"/>
      <c r="L128" s="834"/>
      <c r="M128" s="834"/>
      <c r="N128" s="834"/>
      <c r="O128" s="834"/>
      <c r="P128" s="834"/>
      <c r="Q128" s="834"/>
      <c r="R128" s="834"/>
      <c r="S128" s="834"/>
      <c r="T128" s="834"/>
      <c r="U128" s="834"/>
      <c r="V128" s="834"/>
      <c r="W128" s="834"/>
      <c r="X128" s="33"/>
      <c r="Y128" s="33"/>
      <c r="Z128" s="834"/>
      <c r="AB128" s="834"/>
      <c r="AC128" s="834"/>
      <c r="AD128" s="834"/>
      <c r="AE128" s="834"/>
      <c r="AF128" s="834"/>
      <c r="AG128" s="834"/>
      <c r="AH128" s="834"/>
      <c r="AI128" s="834"/>
      <c r="AJ128" s="834"/>
      <c r="AK128" s="834"/>
      <c r="AM128" s="834"/>
      <c r="AN128" s="834"/>
      <c r="AO128" s="834"/>
      <c r="AP128" s="834"/>
      <c r="AQ128" s="834"/>
      <c r="AR128" s="834"/>
      <c r="AS128" s="834"/>
      <c r="AT128" s="834"/>
      <c r="AU128" s="834"/>
      <c r="AV128" s="834"/>
      <c r="AW128" s="16"/>
      <c r="AX128" s="834"/>
      <c r="AY128" s="834"/>
      <c r="AZ128" s="834"/>
      <c r="BA128" s="834"/>
      <c r="BB128" s="834"/>
      <c r="BC128" s="834"/>
      <c r="BD128" s="834"/>
      <c r="BE128" s="834"/>
      <c r="BF128" s="834"/>
      <c r="BG128" s="834"/>
      <c r="BH128" s="834"/>
      <c r="BI128" s="834"/>
      <c r="BJ128" s="834"/>
      <c r="BK128" s="834"/>
      <c r="BL128" s="16"/>
      <c r="BM128" s="834"/>
      <c r="BN128" s="834"/>
      <c r="BO128" s="834"/>
      <c r="BP128" s="834"/>
      <c r="BQ128" s="834"/>
      <c r="BR128" s="834"/>
      <c r="BS128" s="834"/>
      <c r="BT128" s="834"/>
      <c r="BU128" s="89"/>
      <c r="BV128" s="89"/>
      <c r="BW128" s="89"/>
      <c r="BX128" s="28"/>
      <c r="BY128" s="28"/>
      <c r="BZ128" s="89"/>
      <c r="CA128" s="89"/>
      <c r="CB128" s="89"/>
      <c r="CC128" s="89"/>
      <c r="CD128" s="89"/>
      <c r="CF128" s="89"/>
      <c r="DI128" s="2012"/>
      <c r="DJ128" s="2012"/>
      <c r="DK128" s="2012"/>
      <c r="EG128" s="2176"/>
    </row>
    <row r="129" spans="1:141" ht="20.100000000000001" customHeight="1" thickBot="1" x14ac:dyDescent="0.25">
      <c r="E129" s="21"/>
      <c r="F129" s="2079"/>
      <c r="DI129" s="2012"/>
      <c r="DJ129" s="2012"/>
      <c r="DK129" s="2012"/>
      <c r="EG129" s="2176"/>
    </row>
    <row r="130" spans="1:141" ht="15" customHeight="1" thickBot="1" x14ac:dyDescent="0.25">
      <c r="E130" s="21" t="str">
        <f>IF('!INN_SK'!M31="",_List!$CU$10,'!INN_SK'!M31)</f>
        <v>Brukerdefinert</v>
      </c>
      <c r="F130" s="2079"/>
      <c r="J130" s="1686"/>
      <c r="L130" s="587"/>
      <c r="M130" s="588"/>
      <c r="N130" s="588"/>
      <c r="O130" s="588"/>
      <c r="P130" s="588"/>
      <c r="Q130" s="588"/>
      <c r="R130" s="588"/>
      <c r="S130" s="588"/>
      <c r="T130" s="1973"/>
      <c r="U130" s="588"/>
      <c r="V130" s="588"/>
      <c r="W130" s="588"/>
      <c r="X130" s="590"/>
      <c r="Y130" s="590"/>
      <c r="Z130" s="589"/>
      <c r="AB130" s="587"/>
      <c r="AC130" s="588"/>
      <c r="AD130" s="588"/>
      <c r="AE130" s="588"/>
      <c r="AF130" s="588"/>
      <c r="AG130" s="588"/>
      <c r="AH130" s="588"/>
      <c r="AI130" s="588"/>
      <c r="AJ130" s="1973"/>
      <c r="AK130" s="591"/>
      <c r="AM130" s="592"/>
      <c r="AN130" s="590"/>
      <c r="AO130" s="590"/>
      <c r="AP130" s="590"/>
      <c r="AQ130" s="590"/>
      <c r="AR130" s="590"/>
      <c r="AS130" s="590"/>
      <c r="AT130" s="590"/>
      <c r="AU130" s="590"/>
      <c r="AV130" s="591"/>
      <c r="AX130" s="592"/>
      <c r="AY130" s="590"/>
      <c r="AZ130" s="590"/>
      <c r="BA130" s="590"/>
      <c r="BB130" s="590"/>
      <c r="BC130" s="590"/>
      <c r="BD130" s="590"/>
      <c r="BE130" s="590"/>
      <c r="BF130" s="590"/>
      <c r="BG130" s="590"/>
      <c r="BH130" s="590"/>
      <c r="BI130" s="590"/>
      <c r="BJ130" s="590"/>
      <c r="BK130" s="591"/>
      <c r="BM130" s="592"/>
      <c r="BN130" s="590"/>
      <c r="BO130" s="590"/>
      <c r="BP130" s="590"/>
      <c r="BQ130" s="590"/>
      <c r="BR130" s="590"/>
      <c r="BS130" s="590"/>
      <c r="BT130" s="590"/>
      <c r="BU130" s="590"/>
      <c r="BV130" s="590"/>
      <c r="BW130" s="590"/>
      <c r="BX130" s="590"/>
      <c r="BY130" s="590"/>
      <c r="BZ130" s="590"/>
      <c r="CA130" s="590"/>
      <c r="CB130" s="590"/>
      <c r="CC130" s="590"/>
      <c r="CD130" s="591"/>
      <c r="CF130" s="379"/>
      <c r="DI130" s="2012"/>
      <c r="DJ130" s="2012"/>
      <c r="DK130" s="2012"/>
      <c r="EG130" s="2176"/>
    </row>
    <row r="131" spans="1:141" ht="8.1" customHeight="1" thickBot="1" x14ac:dyDescent="0.25">
      <c r="J131" s="39"/>
      <c r="L131" s="14"/>
      <c r="M131" s="14"/>
      <c r="N131" s="14"/>
      <c r="O131" s="14"/>
      <c r="P131" s="14"/>
      <c r="Q131" s="14"/>
      <c r="R131" s="14"/>
      <c r="S131" s="14"/>
      <c r="T131" s="13"/>
      <c r="U131" s="14"/>
      <c r="V131" s="14"/>
      <c r="W131" s="14"/>
      <c r="Z131" s="14"/>
      <c r="AB131" s="14"/>
      <c r="AC131" s="14"/>
      <c r="AD131" s="14"/>
      <c r="AE131" s="14"/>
      <c r="AF131" s="14"/>
      <c r="AG131" s="14"/>
      <c r="AH131" s="14"/>
      <c r="AI131" s="14"/>
      <c r="AK131" s="15"/>
      <c r="AM131" s="15"/>
      <c r="AN131" s="15"/>
      <c r="AO131" s="15"/>
      <c r="AP131" s="15"/>
      <c r="AQ131" s="15"/>
      <c r="AR131" s="15"/>
      <c r="AS131" s="15"/>
      <c r="AT131" s="15"/>
      <c r="AU131" s="15"/>
      <c r="AV131" s="15"/>
      <c r="AX131" s="15"/>
      <c r="AY131" s="15"/>
      <c r="AZ131" s="15"/>
      <c r="BA131" s="15"/>
      <c r="BB131" s="15"/>
      <c r="BC131" s="15"/>
      <c r="BD131" s="15"/>
      <c r="BE131" s="15"/>
      <c r="BF131" s="15"/>
      <c r="BG131" s="15"/>
      <c r="BH131" s="15"/>
      <c r="BI131" s="15"/>
      <c r="BJ131" s="15"/>
      <c r="BK131" s="15"/>
      <c r="BM131" s="15"/>
      <c r="BN131" s="15"/>
      <c r="BO131" s="15"/>
      <c r="BP131" s="15"/>
      <c r="BQ131" s="15"/>
      <c r="BR131" s="15"/>
      <c r="BS131" s="15"/>
      <c r="BT131" s="15"/>
      <c r="BU131" s="15"/>
      <c r="BV131" s="15"/>
      <c r="BW131" s="15"/>
      <c r="BX131" s="15"/>
      <c r="BY131" s="15"/>
      <c r="BZ131" s="15"/>
      <c r="CA131" s="15"/>
      <c r="CB131" s="15"/>
      <c r="CC131" s="15"/>
      <c r="CD131" s="15"/>
      <c r="CF131" s="15"/>
      <c r="DI131" s="2012"/>
      <c r="DJ131" s="2012"/>
      <c r="DK131" s="2012"/>
      <c r="EG131" s="2176"/>
      <c r="EH131" s="2230">
        <v>1</v>
      </c>
      <c r="EI131" s="2230">
        <v>2</v>
      </c>
      <c r="EJ131" s="2230">
        <v>3</v>
      </c>
      <c r="EK131" s="2230">
        <v>4</v>
      </c>
    </row>
    <row r="132" spans="1:141" ht="9.9499999999999993" customHeight="1" thickBot="1" x14ac:dyDescent="0.25">
      <c r="F132" s="2079"/>
      <c r="J132" s="527"/>
      <c r="L132" s="494"/>
      <c r="M132" s="495"/>
      <c r="N132" s="495"/>
      <c r="O132" s="495"/>
      <c r="P132" s="495"/>
      <c r="Q132" s="495"/>
      <c r="R132" s="495"/>
      <c r="S132" s="495"/>
      <c r="T132" s="1984"/>
      <c r="U132" s="495"/>
      <c r="V132" s="495"/>
      <c r="W132" s="495"/>
      <c r="X132" s="2015"/>
      <c r="Y132" s="2015"/>
      <c r="Z132" s="496"/>
      <c r="AB132" s="501"/>
      <c r="AC132" s="502"/>
      <c r="AD132" s="502"/>
      <c r="AE132" s="502"/>
      <c r="AF132" s="502"/>
      <c r="AG132" s="502"/>
      <c r="AH132" s="502"/>
      <c r="AI132" s="502"/>
      <c r="AJ132" s="1974"/>
      <c r="AK132" s="503"/>
      <c r="AM132" s="501"/>
      <c r="AN132" s="502"/>
      <c r="AO132" s="502"/>
      <c r="AP132" s="502"/>
      <c r="AQ132" s="502"/>
      <c r="AR132" s="502"/>
      <c r="AS132" s="502"/>
      <c r="AT132" s="502"/>
      <c r="AU132" s="502"/>
      <c r="AV132" s="503"/>
      <c r="AX132" s="501"/>
      <c r="AY132" s="502"/>
      <c r="AZ132" s="502"/>
      <c r="BA132" s="502"/>
      <c r="BB132" s="502"/>
      <c r="BC132" s="502"/>
      <c r="BD132" s="502"/>
      <c r="BE132" s="502"/>
      <c r="BF132" s="502"/>
      <c r="BG132" s="502"/>
      <c r="BH132" s="502"/>
      <c r="BI132" s="502"/>
      <c r="BJ132" s="502"/>
      <c r="BK132" s="503"/>
      <c r="BM132" s="501"/>
      <c r="BN132" s="502"/>
      <c r="BO132" s="502"/>
      <c r="BP132" s="502"/>
      <c r="BQ132" s="502"/>
      <c r="BR132" s="502"/>
      <c r="BS132" s="502"/>
      <c r="BT132" s="502"/>
      <c r="BU132" s="502"/>
      <c r="BV132" s="502"/>
      <c r="BW132" s="502"/>
      <c r="BX132" s="502"/>
      <c r="BY132" s="502"/>
      <c r="BZ132" s="502"/>
      <c r="CA132" s="502"/>
      <c r="CB132" s="502"/>
      <c r="CC132" s="502"/>
      <c r="CD132" s="503"/>
      <c r="CF132" s="378"/>
      <c r="DI132" s="2012"/>
      <c r="DJ132" s="2012"/>
      <c r="DK132" s="2012"/>
      <c r="EG132" s="2176" t="s">
        <v>494</v>
      </c>
      <c r="EH132" s="2231" t="str">
        <f>IF(OR($EM$86="121C",$EI$86="24c",$EI$86="26D",$EI$86="13d"),"",$AD$137)</f>
        <v>Stuff 1-1</v>
      </c>
      <c r="EI132" s="2231" t="str">
        <f>IF(OR($EM$86="121C",$EI$86="24c",$EI$86="26D",$EI$86="13d"),$AD$137,IF(OR($EI$86="13b",$EI$94="2601b",$EH$94="1411",$EH$94="1401",$EH$86="28",$EI$86="26b",$EI$94="1421A",$EI$86="26c",$EI$86="13c"),$AO$137,""))</f>
        <v/>
      </c>
      <c r="EJ132" s="2231" t="str">
        <f>IF(OR($EI$86="13a",$EI$86="12b",$EI$86="26a",$EI$86="24b",$EI$86="26d",$EI$86="13d"),$AO$137,IF(OR($EH$94="1411",$EH$94="1401",$EH$86="28",$EI$94="1421A",$EI$86="26c",$EI$86="13c"),$AZ$137,""))</f>
        <v/>
      </c>
      <c r="EK132" s="2231" t="str">
        <f>IF(OR($EH$94="1201",$EI$86="24a",$EM$86="121A",$EM$86="121C",$EI$86="24c"),$AO$137,IF(OR($EI$86="13a",$EI$86="13b",$EH$94="2601",$EI$86="26a",$EI$86="26b",$EI$86="26D",$EI$86="13d"),$AZ$137,IF(OR($EH$94="1411",$EH$94="1401",$EH$86="28",$EI$94="1421A"),$BO$137,"")))</f>
        <v/>
      </c>
    </row>
    <row r="133" spans="1:141" ht="30" customHeight="1" thickBot="1" x14ac:dyDescent="0.4">
      <c r="F133" s="2079"/>
      <c r="J133" s="6507" t="s">
        <v>214</v>
      </c>
      <c r="L133" s="6508" t="s">
        <v>208</v>
      </c>
      <c r="M133" s="6509"/>
      <c r="N133" s="6509"/>
      <c r="O133" s="6540" t="str">
        <f>IF(Prosjektinfo!$Q$83&lt;=0,"lengde mangler",Prosjektinfo!$Q$83&amp;" ")</f>
        <v>lengde mangler</v>
      </c>
      <c r="P133" s="6540"/>
      <c r="Q133" s="6540"/>
      <c r="R133" s="6540"/>
      <c r="S133" s="6540"/>
      <c r="T133" s="6540"/>
      <c r="U133" s="6540"/>
      <c r="V133" s="6540"/>
      <c r="W133" s="5978"/>
      <c r="X133" s="6266" t="str">
        <f>IF(Prosjektinfo!$Q$83&lt;=0,"","m")</f>
        <v/>
      </c>
      <c r="Y133" s="6264" t="str">
        <f>IF(Prosjektinfo!$Q$83&lt;=0,"!","")</f>
        <v>!</v>
      </c>
      <c r="Z133" s="497"/>
      <c r="AB133" s="504"/>
      <c r="AC133" s="378"/>
      <c r="AD133" s="6383" t="str">
        <f>_Calcs!QO135</f>
        <v>Stuff 1-1</v>
      </c>
      <c r="AE133" s="6383"/>
      <c r="AF133" s="6383"/>
      <c r="AG133" s="6383"/>
      <c r="AH133" s="6383"/>
      <c r="AI133" s="6383"/>
      <c r="AJ133" s="6383"/>
      <c r="AK133" s="505"/>
      <c r="AM133" s="504"/>
      <c r="AN133" s="378"/>
      <c r="AO133" s="6383" t="str">
        <f>_Calcs!QP135</f>
        <v>Stuff 1-2</v>
      </c>
      <c r="AP133" s="6383"/>
      <c r="AQ133" s="6383"/>
      <c r="AR133" s="6383"/>
      <c r="AS133" s="6383"/>
      <c r="AT133" s="6383"/>
      <c r="AU133" s="6383"/>
      <c r="AV133" s="505"/>
      <c r="AX133" s="504"/>
      <c r="AY133" s="378"/>
      <c r="AZ133" s="6383" t="str">
        <f>_Calcs!QQ135</f>
        <v>Stuff 1-3</v>
      </c>
      <c r="BA133" s="6383"/>
      <c r="BB133" s="6383"/>
      <c r="BC133" s="6383"/>
      <c r="BD133" s="6383"/>
      <c r="BE133" s="6383"/>
      <c r="BF133" s="6383"/>
      <c r="BG133" s="6383"/>
      <c r="BH133" s="6383"/>
      <c r="BI133" s="6383"/>
      <c r="BJ133" s="6383"/>
      <c r="BK133" s="505"/>
      <c r="BM133" s="504"/>
      <c r="BN133" s="378"/>
      <c r="BO133" s="6383" t="str">
        <f>_Calcs!QR135</f>
        <v>Stuff 1-4</v>
      </c>
      <c r="BP133" s="6383"/>
      <c r="BQ133" s="6383"/>
      <c r="BR133" s="6383"/>
      <c r="BS133" s="6383"/>
      <c r="BT133" s="6383"/>
      <c r="BU133" s="6383"/>
      <c r="BV133" s="6383"/>
      <c r="BW133" s="6383"/>
      <c r="BX133" s="6383"/>
      <c r="BY133" s="6383"/>
      <c r="BZ133" s="6383"/>
      <c r="CA133" s="6383"/>
      <c r="CB133" s="6383"/>
      <c r="CC133" s="6383"/>
      <c r="CD133" s="505"/>
      <c r="CF133" s="378"/>
      <c r="DI133" s="2012"/>
      <c r="DJ133" s="2012"/>
      <c r="DK133" s="2012"/>
      <c r="EH133" s="2176" t="str">
        <f>IFERROR(IF(OR($EM$86="121C",$EI$86="24c",$EI$86="26D",$EI$86="13d"),"",$B$151),"")</f>
        <v xml:space="preserve">? </v>
      </c>
      <c r="EI133" s="2176" t="str">
        <f>IFERROR(IF(OR($EM$86="121C",$EI$86="24c",$EI$86="26D",$EI$86="13d"),$B$151,IF(OR($EI$86="13b",$EI$94="2601b",$EH$94="1411",$EH$94="1401",$EH$86="28",$EI$86="26b",$EI$94="1421A",$EI$86="26c",$EI$86="13c"),$D$151,"")),"")</f>
        <v/>
      </c>
      <c r="EJ133" s="2176" t="str">
        <f>IFERROR(IF(OR($EI$86="13a",$EI$86="12b",$EI$86="26a",$EI$86="24b",$EI$86="26d",$EI$86="13d"),$D$151,IF(OR($EH$94="1411",$EH$94="1401",$EH$86="28",$EI$94="1421A",$EI$86="26C",$EI$86="13c"),$E$151,"")),"")</f>
        <v/>
      </c>
      <c r="EK133" s="2176" t="str">
        <f>IFERROR(IF(OR($EH$94="1201",$EI$86="24a",$EM$86="121A",$EM$86="121C",$EI$86="24c"),$D$151,IF(OR($EI$86="13a",$EI$86="13b",$EH$94="2601",$EI$86="26a",$EI$86="26b",$EI$86="26D",$EI$86="13d"),$E$151,IF(OR($EH$94="1411",$EH$94="1401",$EH$86="28",$EI$94="1421A"),$F$151,""))),"")</f>
        <v/>
      </c>
    </row>
    <row r="134" spans="1:141" ht="9.9499999999999993" customHeight="1" thickBot="1" x14ac:dyDescent="0.25">
      <c r="E134" s="6182" t="s">
        <v>256</v>
      </c>
      <c r="F134" s="2079"/>
      <c r="J134" s="6507"/>
      <c r="L134" s="498"/>
      <c r="M134" s="499"/>
      <c r="N134" s="499"/>
      <c r="O134" s="499"/>
      <c r="P134" s="499"/>
      <c r="Q134" s="499"/>
      <c r="R134" s="499"/>
      <c r="S134" s="499"/>
      <c r="T134" s="1985"/>
      <c r="U134" s="499"/>
      <c r="V134" s="499"/>
      <c r="W134" s="499"/>
      <c r="X134" s="2016"/>
      <c r="Y134" s="2016"/>
      <c r="Z134" s="500"/>
      <c r="AB134" s="506"/>
      <c r="AC134" s="507"/>
      <c r="AD134" s="507"/>
      <c r="AE134" s="507"/>
      <c r="AF134" s="507"/>
      <c r="AG134" s="507"/>
      <c r="AH134" s="507"/>
      <c r="AI134" s="507"/>
      <c r="AJ134" s="1975"/>
      <c r="AK134" s="508"/>
      <c r="AM134" s="506"/>
      <c r="AN134" s="507"/>
      <c r="AO134" s="507"/>
      <c r="AP134" s="507"/>
      <c r="AQ134" s="507"/>
      <c r="AR134" s="507"/>
      <c r="AS134" s="507"/>
      <c r="AT134" s="507"/>
      <c r="AU134" s="507"/>
      <c r="AV134" s="508"/>
      <c r="AX134" s="506"/>
      <c r="AY134" s="507"/>
      <c r="AZ134" s="507"/>
      <c r="BA134" s="507"/>
      <c r="BB134" s="507"/>
      <c r="BC134" s="507"/>
      <c r="BD134" s="507"/>
      <c r="BE134" s="507"/>
      <c r="BF134" s="507"/>
      <c r="BG134" s="507"/>
      <c r="BH134" s="507"/>
      <c r="BI134" s="507"/>
      <c r="BJ134" s="507"/>
      <c r="BK134" s="508"/>
      <c r="BM134" s="506"/>
      <c r="BN134" s="507"/>
      <c r="BO134" s="507"/>
      <c r="BP134" s="507"/>
      <c r="BQ134" s="507"/>
      <c r="BR134" s="507"/>
      <c r="BS134" s="507"/>
      <c r="BT134" s="507"/>
      <c r="BU134" s="507"/>
      <c r="BV134" s="507"/>
      <c r="BW134" s="507"/>
      <c r="BX134" s="507"/>
      <c r="BY134" s="507"/>
      <c r="BZ134" s="507"/>
      <c r="CA134" s="507"/>
      <c r="CB134" s="507"/>
      <c r="CC134" s="507"/>
      <c r="CD134" s="508"/>
      <c r="CF134" s="378"/>
      <c r="DI134" s="2012"/>
      <c r="DJ134" s="2012"/>
      <c r="DK134" s="2012"/>
      <c r="EH134" s="2176"/>
      <c r="EI134" s="2176"/>
      <c r="EJ134" s="2176"/>
      <c r="EK134" s="2176"/>
    </row>
    <row r="135" spans="1:141" ht="12.95" customHeight="1" thickBot="1" x14ac:dyDescent="0.25">
      <c r="F135" s="2079"/>
      <c r="J135" s="6507"/>
      <c r="DI135" s="2012"/>
      <c r="DJ135" s="2012"/>
      <c r="DK135" s="2012"/>
      <c r="EH135" s="2177">
        <f>B140</f>
        <v>1</v>
      </c>
      <c r="EI135" s="2177">
        <f>D140</f>
        <v>1</v>
      </c>
      <c r="EJ135" s="2177">
        <f>E140</f>
        <v>1</v>
      </c>
      <c r="EK135" s="2177">
        <f>F140</f>
        <v>1</v>
      </c>
    </row>
    <row r="136" spans="1:141" ht="15" customHeight="1" thickBot="1" x14ac:dyDescent="0.25">
      <c r="A136" s="70" t="s">
        <v>428</v>
      </c>
      <c r="F136" s="2079"/>
      <c r="J136" s="6507"/>
      <c r="L136" s="2232"/>
      <c r="M136" s="2233"/>
      <c r="N136" s="2233"/>
      <c r="O136" s="2233"/>
      <c r="P136" s="2233"/>
      <c r="Q136" s="2233"/>
      <c r="R136" s="2233"/>
      <c r="S136" s="2234"/>
      <c r="T136" s="2235"/>
      <c r="U136" s="2234"/>
      <c r="V136" s="2234"/>
      <c r="W136" s="2234"/>
      <c r="X136" s="2236"/>
      <c r="Y136" s="2236"/>
      <c r="Z136" s="2237"/>
      <c r="AB136" s="4043"/>
      <c r="AC136" s="2238"/>
      <c r="AD136" s="2238"/>
      <c r="AE136" s="2238"/>
      <c r="AF136" s="2238"/>
      <c r="AG136" s="2238"/>
      <c r="AH136" s="2238"/>
      <c r="AI136" s="2238"/>
      <c r="AJ136" s="4044"/>
      <c r="AK136" s="4045"/>
      <c r="AM136" s="4043"/>
      <c r="AN136" s="2238"/>
      <c r="AO136" s="2238"/>
      <c r="AP136" s="2238"/>
      <c r="AQ136" s="2238"/>
      <c r="AR136" s="2238"/>
      <c r="AS136" s="2238"/>
      <c r="AT136" s="2238"/>
      <c r="AU136" s="2238"/>
      <c r="AV136" s="4045"/>
      <c r="AX136" s="4043"/>
      <c r="AY136" s="2238"/>
      <c r="AZ136" s="2238"/>
      <c r="BA136" s="2238"/>
      <c r="BB136" s="2238"/>
      <c r="BC136" s="2238"/>
      <c r="BD136" s="2238"/>
      <c r="BE136" s="2238"/>
      <c r="BF136" s="2238"/>
      <c r="BG136" s="2238"/>
      <c r="BH136" s="2238"/>
      <c r="BI136" s="2238"/>
      <c r="BJ136" s="2238"/>
      <c r="BK136" s="4045"/>
      <c r="BM136" s="4043"/>
      <c r="BN136" s="2238"/>
      <c r="BO136" s="2238"/>
      <c r="BP136" s="2238"/>
      <c r="BQ136" s="2238"/>
      <c r="BR136" s="2238"/>
      <c r="BS136" s="2238"/>
      <c r="BT136" s="2238"/>
      <c r="BU136" s="2238"/>
      <c r="BV136" s="2238"/>
      <c r="BW136" s="2238"/>
      <c r="BX136" s="2238"/>
      <c r="BY136" s="2238"/>
      <c r="BZ136" s="2238"/>
      <c r="CA136" s="2238"/>
      <c r="CB136" s="2238"/>
      <c r="CC136" s="2238"/>
      <c r="CD136" s="4045"/>
      <c r="CF136" s="4046"/>
      <c r="DI136" s="2012"/>
      <c r="DJ136" s="2012"/>
      <c r="DK136" s="2012"/>
      <c r="EH136" s="2177"/>
      <c r="EI136" s="2177"/>
      <c r="EJ136" s="2177"/>
      <c r="EK136" s="2177"/>
    </row>
    <row r="137" spans="1:141" s="21" customFormat="1" ht="20.100000000000001" customHeight="1" thickBot="1" x14ac:dyDescent="0.25">
      <c r="A137" s="21" t="s">
        <v>408</v>
      </c>
      <c r="B137" s="2239">
        <v>1</v>
      </c>
      <c r="C137" s="2239"/>
      <c r="D137" s="2239">
        <v>2</v>
      </c>
      <c r="E137" s="2239">
        <v>3</v>
      </c>
      <c r="F137" s="2089">
        <v>4</v>
      </c>
      <c r="J137" s="528"/>
      <c r="L137" s="2240"/>
      <c r="M137" s="524" t="s">
        <v>2738</v>
      </c>
      <c r="N137" s="524"/>
      <c r="O137" s="524"/>
      <c r="P137" s="524"/>
      <c r="Q137" s="524"/>
      <c r="R137" s="524"/>
      <c r="S137" s="524"/>
      <c r="T137" s="2070" t="s">
        <v>149</v>
      </c>
      <c r="U137" s="120"/>
      <c r="V137" s="524"/>
      <c r="W137" s="524"/>
      <c r="X137" s="2241"/>
      <c r="Y137" s="2241"/>
      <c r="Z137" s="2242"/>
      <c r="AB137" s="2243"/>
      <c r="AC137" s="2244"/>
      <c r="AD137" s="6497" t="s">
        <v>483</v>
      </c>
      <c r="AE137" s="6498"/>
      <c r="AF137" s="6498"/>
      <c r="AG137" s="6498"/>
      <c r="AH137" s="6499"/>
      <c r="AI137" s="2244"/>
      <c r="AJ137" s="30" t="str">
        <f>IF(OR($AD$137="",_Calcs!$QO$132&gt;1),"!","✓")</f>
        <v>✓</v>
      </c>
      <c r="AK137" s="2248"/>
      <c r="AM137" s="2243"/>
      <c r="AN137" s="2244"/>
      <c r="AO137" s="6393" t="s">
        <v>485</v>
      </c>
      <c r="AP137" s="6394"/>
      <c r="AQ137" s="6394"/>
      <c r="AR137" s="6394"/>
      <c r="AS137" s="6395"/>
      <c r="AT137" s="2244"/>
      <c r="AU137" s="30" t="str">
        <f>IF(OR($AO$137="",_Calcs!$QP$132&gt;1),"!","✓")</f>
        <v>!</v>
      </c>
      <c r="AV137" s="2248"/>
      <c r="AX137" s="2243"/>
      <c r="AY137" s="2244"/>
      <c r="AZ137" s="6497" t="s">
        <v>486</v>
      </c>
      <c r="BA137" s="6498"/>
      <c r="BB137" s="6498"/>
      <c r="BC137" s="6498"/>
      <c r="BD137" s="6498"/>
      <c r="BE137" s="6498"/>
      <c r="BF137" s="6498"/>
      <c r="BG137" s="6498"/>
      <c r="BH137" s="6499"/>
      <c r="BI137" s="2244"/>
      <c r="BJ137" s="30" t="str">
        <f>IF(OR($AZ$137="",_Calcs!$QQ$132&gt;1),"!","✓")</f>
        <v>!</v>
      </c>
      <c r="BK137" s="2248"/>
      <c r="BM137" s="2243"/>
      <c r="BN137" s="2244"/>
      <c r="BO137" s="6379" t="s">
        <v>487</v>
      </c>
      <c r="BP137" s="6379"/>
      <c r="BQ137" s="6379"/>
      <c r="BR137" s="6379"/>
      <c r="BS137" s="6379"/>
      <c r="BT137" s="6379"/>
      <c r="BU137" s="6379"/>
      <c r="BV137" s="6379"/>
      <c r="BW137" s="6379"/>
      <c r="BX137" s="6379"/>
      <c r="BY137" s="6379"/>
      <c r="BZ137" s="6379"/>
      <c r="CA137" s="6379"/>
      <c r="CB137" s="2244"/>
      <c r="CC137" s="30" t="str">
        <f>IF(OR($BO$137="",_Calcs!$QR$132&gt;1),"!","✓")</f>
        <v>!</v>
      </c>
      <c r="CD137" s="533"/>
      <c r="CF137" s="339"/>
      <c r="CZ137" s="13"/>
      <c r="DG137" s="14"/>
      <c r="DI137" s="14"/>
      <c r="DJ137" s="14"/>
      <c r="DK137" s="14"/>
      <c r="EH137" s="4047" t="str">
        <f>IF(OR($EI$86="24c",$EI$86="26D"),"",$AD$169)</f>
        <v>Stuff 2-1</v>
      </c>
      <c r="EI137" s="4047" t="str">
        <f>IF(OR($EI$86="24c",$EI$86="26d"),$AD$169,IF(OR($EI$86="26b",$EH$86="28",$EM$86="262B",EI86="26c"),$AO$169,""))</f>
        <v/>
      </c>
      <c r="EJ137" s="4047" t="str">
        <f>IF(OR($EI$94="2601A",$EI$86="26a",$EI$86="24b",$EI$86="26D"),$AO$169,IF(OR($EH$86="28",$EI$86="26c"),$AZ$169,""))</f>
        <v/>
      </c>
      <c r="EK137" s="4047" t="str">
        <f>IF(OR($EI$86="24a",$EI$86="24c"),$AO$169,IF(OR($EI$86="26A",$EI$86="26B",$EI$86="26d"),$AZ$169,IF($EH$86="28",$BO$169,"")))</f>
        <v/>
      </c>
    </row>
    <row r="138" spans="1:141" s="21" customFormat="1" ht="15" customHeight="1" thickBot="1" x14ac:dyDescent="0.25">
      <c r="A138" s="21" t="s">
        <v>409</v>
      </c>
      <c r="B138" s="14" t="str">
        <f>$EM$94&amp;B137</f>
        <v>111A01</v>
      </c>
      <c r="C138" s="14"/>
      <c r="D138" s="14" t="str">
        <f>$EM$94&amp;D137</f>
        <v>111A02</v>
      </c>
      <c r="E138" s="14" t="str">
        <f>$EM$94&amp;E137</f>
        <v>111A03</v>
      </c>
      <c r="F138" s="2089" t="str">
        <f>$EM$94&amp;F137</f>
        <v>111A04</v>
      </c>
      <c r="J138" s="528"/>
      <c r="L138" s="2240"/>
      <c r="M138" s="525"/>
      <c r="N138" s="524"/>
      <c r="O138" s="524"/>
      <c r="P138" s="524"/>
      <c r="Q138" s="524"/>
      <c r="R138" s="524"/>
      <c r="S138" s="524"/>
      <c r="T138" s="834"/>
      <c r="U138" s="113"/>
      <c r="V138" s="524"/>
      <c r="W138" s="524"/>
      <c r="X138" s="2245"/>
      <c r="Y138" s="2245"/>
      <c r="Z138" s="2242"/>
      <c r="AB138" s="2243"/>
      <c r="AC138" s="2244"/>
      <c r="AD138" s="530"/>
      <c r="AE138" s="530"/>
      <c r="AF138" s="530"/>
      <c r="AG138" s="530"/>
      <c r="AH138" s="2244"/>
      <c r="AI138" s="2244"/>
      <c r="AJ138" s="534"/>
      <c r="AK138" s="2248"/>
      <c r="AM138" s="2243"/>
      <c r="AN138" s="2244"/>
      <c r="AO138" s="530"/>
      <c r="AP138" s="2244"/>
      <c r="AQ138" s="2244"/>
      <c r="AR138" s="2244"/>
      <c r="AS138" s="2244"/>
      <c r="AT138" s="2244"/>
      <c r="AU138" s="2244"/>
      <c r="AV138" s="2248"/>
      <c r="AX138" s="2243"/>
      <c r="AY138" s="2244"/>
      <c r="AZ138" s="534"/>
      <c r="BA138" s="2244"/>
      <c r="BB138" s="2244"/>
      <c r="BC138" s="2244"/>
      <c r="BD138" s="2244"/>
      <c r="BE138" s="2244"/>
      <c r="BF138" s="2244"/>
      <c r="BG138" s="2244"/>
      <c r="BH138" s="2244"/>
      <c r="BI138" s="2244"/>
      <c r="BJ138" s="2244"/>
      <c r="BK138" s="2248"/>
      <c r="BM138" s="2243"/>
      <c r="BN138" s="2244"/>
      <c r="BO138" s="534"/>
      <c r="BP138" s="2244"/>
      <c r="BQ138" s="2244"/>
      <c r="BR138" s="2244"/>
      <c r="BS138" s="2244"/>
      <c r="BT138" s="2244"/>
      <c r="BU138" s="2244"/>
      <c r="BV138" s="2244"/>
      <c r="BW138" s="2244"/>
      <c r="BX138" s="2244"/>
      <c r="BY138" s="2244"/>
      <c r="BZ138" s="2244"/>
      <c r="CA138" s="2244"/>
      <c r="CB138" s="2244"/>
      <c r="CC138" s="2244"/>
      <c r="CD138" s="2248"/>
      <c r="CF138" s="2249"/>
      <c r="CZ138" s="13"/>
      <c r="DG138" s="14"/>
      <c r="DI138" s="14"/>
      <c r="DJ138" s="14"/>
      <c r="DK138" s="14"/>
      <c r="EH138" s="223" t="str">
        <f>IFERROR(IF(OR($EI$86="24c",$EI$86="26D"),"",$B$177),"")</f>
        <v xml:space="preserve">? </v>
      </c>
      <c r="EI138" s="223" t="str">
        <f>IFERROR(IF(OR($EI$86="24c",$EI$86="26d"),$B$177,IF(OR($EI$86="26b",$EH$86="28",$EM$86="262B",$EI$86="26c"),$D$177,"")),"")</f>
        <v/>
      </c>
      <c r="EJ138" s="223" t="str">
        <f>IFERROR(IF(OR($EI$94="2601A",$EI$86="26a",$EI$86="24b",$EI$86="26d"),$D$177,IF(OR($EH$86="28",$EI$86="26c"),$E$177,"")),"")</f>
        <v/>
      </c>
      <c r="EK138" s="223" t="str">
        <f>IFERROR(IF(OR($EI$86="24a",$EI$86="24c"),$D$177,IF(OR($EI$86="26A",$EI$86="26B",$EI$86="26d"),$E$177,IF($EH$86="28",$F$177,""))),"")</f>
        <v/>
      </c>
    </row>
    <row r="139" spans="1:141" s="21" customFormat="1" ht="20.100000000000001" customHeight="1" thickBot="1" x14ac:dyDescent="0.25">
      <c r="A139" s="14" t="s">
        <v>266</v>
      </c>
      <c r="B139" s="14" t="str">
        <f>IF($F$13=3,"beggedrift","")</f>
        <v/>
      </c>
      <c r="C139" s="14"/>
      <c r="D139" s="14" t="str">
        <f>IF($F$13=3,"beggedrift","")</f>
        <v/>
      </c>
      <c r="E139" s="14" t="str">
        <f>IF($F$13=3,"beggedrift","")</f>
        <v/>
      </c>
      <c r="F139" s="2089" t="str">
        <f>IF($F$13=3,"beggedrift","")</f>
        <v/>
      </c>
      <c r="J139" s="528"/>
      <c r="L139" s="2240"/>
      <c r="M139" s="524" t="s">
        <v>2739</v>
      </c>
      <c r="N139" s="524"/>
      <c r="O139" s="524"/>
      <c r="P139" s="524"/>
      <c r="Q139" s="524"/>
      <c r="R139" s="524"/>
      <c r="S139" s="524"/>
      <c r="T139" s="2070" t="s">
        <v>149</v>
      </c>
      <c r="U139" s="120"/>
      <c r="V139" s="524"/>
      <c r="W139" s="524"/>
      <c r="X139" s="2245" t="s">
        <v>78</v>
      </c>
      <c r="Y139" s="2245"/>
      <c r="Z139" s="2242"/>
      <c r="AB139" s="2243"/>
      <c r="AC139" s="2244"/>
      <c r="AD139" s="6376">
        <f>IF(B150&lt;=0,0,B150)</f>
        <v>0</v>
      </c>
      <c r="AE139" s="6377"/>
      <c r="AF139" s="6377"/>
      <c r="AG139" s="6377"/>
      <c r="AH139" s="6378"/>
      <c r="AI139" s="2244"/>
      <c r="AJ139" s="30" t="str">
        <f>IF(AND(B150&gt;0),"✓","!")</f>
        <v>!</v>
      </c>
      <c r="AK139" s="2248"/>
      <c r="AM139" s="2243"/>
      <c r="AN139" s="2244"/>
      <c r="AO139" s="6380"/>
      <c r="AP139" s="6381"/>
      <c r="AQ139" s="6381"/>
      <c r="AR139" s="6381"/>
      <c r="AS139" s="6382"/>
      <c r="AT139" s="2244"/>
      <c r="AU139" s="30" t="str">
        <f>IF(AND(D150&gt;0,D150&lt;_Calcs!$BH$32),"✓","!")</f>
        <v>!</v>
      </c>
      <c r="AV139" s="2248"/>
      <c r="AX139" s="2243"/>
      <c r="AY139" s="2244"/>
      <c r="AZ139" s="6380"/>
      <c r="BA139" s="6381"/>
      <c r="BB139" s="6381"/>
      <c r="BC139" s="6381"/>
      <c r="BD139" s="6381"/>
      <c r="BE139" s="6381"/>
      <c r="BF139" s="6381"/>
      <c r="BG139" s="6381"/>
      <c r="BH139" s="6382"/>
      <c r="BI139" s="2244"/>
      <c r="BJ139" s="30" t="str">
        <f>IF(AND(E150&gt;0,E150&lt;_Calcs!$BH$32),"✓","!")</f>
        <v>!</v>
      </c>
      <c r="BK139" s="2248"/>
      <c r="BM139" s="2243"/>
      <c r="BN139" s="2244"/>
      <c r="BO139" s="6389"/>
      <c r="BP139" s="6389"/>
      <c r="BQ139" s="6389"/>
      <c r="BR139" s="6389"/>
      <c r="BS139" s="6389"/>
      <c r="BT139" s="6389"/>
      <c r="BU139" s="6389"/>
      <c r="BV139" s="6389"/>
      <c r="BW139" s="6389"/>
      <c r="BX139" s="6389"/>
      <c r="BY139" s="6389"/>
      <c r="BZ139" s="6389"/>
      <c r="CA139" s="6389"/>
      <c r="CB139" s="2244"/>
      <c r="CC139" s="30" t="str">
        <f>IF(AND(F150&gt;0,F150&lt;_Calcs!$BH$32),"✓","!")</f>
        <v>!</v>
      </c>
      <c r="CD139" s="2248"/>
      <c r="CF139" s="2249"/>
      <c r="CZ139" s="13"/>
      <c r="DG139" s="14"/>
      <c r="DI139" s="14"/>
      <c r="DJ139" s="14"/>
      <c r="DK139" s="14"/>
      <c r="EH139" s="223"/>
      <c r="EI139" s="223"/>
      <c r="EJ139" s="223"/>
      <c r="EK139" s="223"/>
    </row>
    <row r="140" spans="1:141" s="21" customFormat="1" ht="15" customHeight="1" thickBot="1" x14ac:dyDescent="0.25">
      <c r="A140" s="14" t="s">
        <v>265</v>
      </c>
      <c r="B140" s="21">
        <f>IF($F$13=1,1,IF(AND($F$13=3,AD150=_List!$AW$8),2,IF(AND($F$13=3,AD150=_List!$AW$7),1,IF($F$13=2,2,1))))</f>
        <v>1</v>
      </c>
      <c r="D140" s="21">
        <f>IF($F$13=1,1,IF(AND($F$13=3,AO150=_List!$AW$8),2,IF(AND($F$13=3,AO150=_List!$AW$7),1,IF($F$13=2,2,1))))</f>
        <v>1</v>
      </c>
      <c r="E140" s="14">
        <f>IF($F$13=1,1,IF(AND($F$13=3,AZ150=_List!$AW$8),2,IF(AND($F$13=3,AZ150=_List!$AW$7),1,IF($F$13=2,2,1))))</f>
        <v>1</v>
      </c>
      <c r="F140" s="2089">
        <f>IF($F$13=1,1,IF(AND($F$13=3,BO150=_List!$AW$8),2,IF(AND($F$13=3,BO150=_List!$AW$7),1,IF($F$13=2,2,1))))</f>
        <v>1</v>
      </c>
      <c r="J140" s="528"/>
      <c r="L140" s="2240"/>
      <c r="M140" s="524"/>
      <c r="N140" s="524"/>
      <c r="O140" s="524"/>
      <c r="P140" s="524"/>
      <c r="Q140" s="524"/>
      <c r="R140" s="524"/>
      <c r="S140" s="524"/>
      <c r="T140" s="834"/>
      <c r="U140" s="113"/>
      <c r="V140" s="524"/>
      <c r="W140" s="524"/>
      <c r="X140" s="2245"/>
      <c r="Y140" s="2245"/>
      <c r="Z140" s="2242"/>
      <c r="AB140" s="2243"/>
      <c r="AC140" s="2244"/>
      <c r="AD140" s="530"/>
      <c r="AE140" s="530"/>
      <c r="AF140" s="530"/>
      <c r="AG140" s="530"/>
      <c r="AH140" s="2244"/>
      <c r="AI140" s="2244"/>
      <c r="AJ140" s="534"/>
      <c r="AK140" s="2248"/>
      <c r="AM140" s="2243"/>
      <c r="AN140" s="2244"/>
      <c r="AO140" s="530"/>
      <c r="AP140" s="2244"/>
      <c r="AQ140" s="2244"/>
      <c r="AR140" s="2244"/>
      <c r="AS140" s="2244"/>
      <c r="AT140" s="2244"/>
      <c r="AU140" s="2244"/>
      <c r="AV140" s="2248"/>
      <c r="AX140" s="2243"/>
      <c r="AY140" s="2244"/>
      <c r="AZ140" s="534"/>
      <c r="BA140" s="2244"/>
      <c r="BB140" s="2244"/>
      <c r="BC140" s="2244"/>
      <c r="BD140" s="2244"/>
      <c r="BE140" s="2244"/>
      <c r="BF140" s="2244"/>
      <c r="BG140" s="2244"/>
      <c r="BH140" s="2244"/>
      <c r="BI140" s="2244"/>
      <c r="BJ140" s="2244"/>
      <c r="BK140" s="2248"/>
      <c r="BM140" s="2243"/>
      <c r="BN140" s="2244"/>
      <c r="BO140" s="534"/>
      <c r="BP140" s="2244"/>
      <c r="BQ140" s="2244"/>
      <c r="BR140" s="2244"/>
      <c r="BS140" s="2244"/>
      <c r="BT140" s="2244"/>
      <c r="BU140" s="2244"/>
      <c r="BV140" s="2244"/>
      <c r="BW140" s="2244"/>
      <c r="BX140" s="2244"/>
      <c r="BY140" s="2244"/>
      <c r="BZ140" s="2244"/>
      <c r="CA140" s="2244"/>
      <c r="CB140" s="2244"/>
      <c r="CC140" s="2244"/>
      <c r="CD140" s="2248"/>
      <c r="CF140" s="2249"/>
      <c r="CZ140" s="13"/>
      <c r="DG140" s="14"/>
      <c r="DI140" s="14"/>
      <c r="DJ140" s="14"/>
      <c r="DK140" s="14"/>
      <c r="EH140" s="223"/>
      <c r="EI140" s="223"/>
      <c r="EJ140" s="223"/>
      <c r="EK140" s="223"/>
    </row>
    <row r="141" spans="1:141" s="21" customFormat="1" ht="20.100000000000001" customHeight="1" thickBot="1" x14ac:dyDescent="0.25">
      <c r="A141" s="21" t="s">
        <v>479</v>
      </c>
      <c r="B141" s="21">
        <f>IF(B$140=1,1,IF(B$140=2,$AD$41,""))</f>
        <v>1</v>
      </c>
      <c r="D141" s="21">
        <f>IF(D$140=1,1,IF(D$140=2,$AD$41,""))</f>
        <v>1</v>
      </c>
      <c r="E141" s="14">
        <f>IF(E$140=1,1,IF(E$140=2,$AD$41,""))</f>
        <v>1</v>
      </c>
      <c r="F141" s="2089">
        <f>IF(F$140=1,1,IF(F$140=2,$AD$41,""))</f>
        <v>1</v>
      </c>
      <c r="J141" s="528"/>
      <c r="L141" s="2240"/>
      <c r="M141" s="524" t="str">
        <f>M100</f>
        <v>Forskjøvet oppstart</v>
      </c>
      <c r="N141" s="524"/>
      <c r="O141" s="524"/>
      <c r="P141" s="524"/>
      <c r="Q141" s="524"/>
      <c r="R141" s="524"/>
      <c r="S141" s="524"/>
      <c r="T141" s="2070" t="s">
        <v>149</v>
      </c>
      <c r="U141" s="120"/>
      <c r="V141" s="524"/>
      <c r="W141" s="524"/>
      <c r="X141" s="2245" t="s">
        <v>146</v>
      </c>
      <c r="Y141" s="2245"/>
      <c r="Z141" s="2242"/>
      <c r="AB141" s="2243"/>
      <c r="AC141" s="2244"/>
      <c r="AD141" s="6384"/>
      <c r="AE141" s="6385"/>
      <c r="AF141" s="6385"/>
      <c r="AG141" s="6385"/>
      <c r="AH141" s="6386"/>
      <c r="AI141" s="2244"/>
      <c r="AJ141" s="30" t="str">
        <f>IF(AD141="","!","✓")</f>
        <v>!</v>
      </c>
      <c r="AK141" s="2248"/>
      <c r="AM141" s="2243"/>
      <c r="AN141" s="2244"/>
      <c r="AO141" s="6384"/>
      <c r="AP141" s="6385"/>
      <c r="AQ141" s="6385"/>
      <c r="AR141" s="6385"/>
      <c r="AS141" s="6386"/>
      <c r="AT141" s="2244"/>
      <c r="AU141" s="30" t="str">
        <f>IF(AO141="","!","✓")</f>
        <v>!</v>
      </c>
      <c r="AV141" s="2248"/>
      <c r="AX141" s="2243"/>
      <c r="AY141" s="2244"/>
      <c r="AZ141" s="6384"/>
      <c r="BA141" s="6385"/>
      <c r="BB141" s="6385"/>
      <c r="BC141" s="6385"/>
      <c r="BD141" s="6385"/>
      <c r="BE141" s="6385"/>
      <c r="BF141" s="6385"/>
      <c r="BG141" s="6385"/>
      <c r="BH141" s="6386"/>
      <c r="BI141" s="2244"/>
      <c r="BJ141" s="30" t="str">
        <f>IF(AZ141="","!","✓")</f>
        <v>!</v>
      </c>
      <c r="BK141" s="2248"/>
      <c r="BM141" s="2243"/>
      <c r="BN141" s="2244"/>
      <c r="BO141" s="6375"/>
      <c r="BP141" s="6375"/>
      <c r="BQ141" s="6375"/>
      <c r="BR141" s="6375"/>
      <c r="BS141" s="6375"/>
      <c r="BT141" s="6375"/>
      <c r="BU141" s="6375"/>
      <c r="BV141" s="6375"/>
      <c r="BW141" s="6375"/>
      <c r="BX141" s="6375"/>
      <c r="BY141" s="6375"/>
      <c r="BZ141" s="6375"/>
      <c r="CA141" s="6375"/>
      <c r="CB141" s="2244"/>
      <c r="CC141" s="30" t="str">
        <f>IF(BO141="","!","✓")</f>
        <v>!</v>
      </c>
      <c r="CD141" s="2248"/>
      <c r="CF141" s="2249"/>
      <c r="CZ141" s="13"/>
      <c r="DG141" s="14"/>
      <c r="DI141" s="14"/>
      <c r="DJ141" s="14"/>
      <c r="DK141" s="14"/>
      <c r="EH141" s="223"/>
      <c r="EI141" s="223"/>
      <c r="EJ141" s="223"/>
      <c r="EK141" s="223"/>
    </row>
    <row r="142" spans="1:141" s="21" customFormat="1" ht="15" customHeight="1" thickBot="1" x14ac:dyDescent="0.25">
      <c r="A142" s="21" t="s">
        <v>481</v>
      </c>
      <c r="B142" s="21">
        <f>IF(AD150="",1,0)</f>
        <v>1</v>
      </c>
      <c r="D142" s="21">
        <f>IF(AO150="",1,0)</f>
        <v>1</v>
      </c>
      <c r="E142" s="14">
        <f>IF(AZ150="",1,0)</f>
        <v>1</v>
      </c>
      <c r="F142" s="21">
        <f>IF(BO150="",1,0)</f>
        <v>1</v>
      </c>
      <c r="J142" s="528"/>
      <c r="L142" s="2252"/>
      <c r="M142" s="526"/>
      <c r="N142" s="526"/>
      <c r="O142" s="526"/>
      <c r="P142" s="526"/>
      <c r="Q142" s="526"/>
      <c r="R142" s="526"/>
      <c r="S142" s="526"/>
      <c r="T142" s="2253"/>
      <c r="U142" s="526"/>
      <c r="V142" s="526"/>
      <c r="W142" s="526"/>
      <c r="X142" s="2254"/>
      <c r="Y142" s="2254"/>
      <c r="Z142" s="2255"/>
      <c r="AB142" s="2256"/>
      <c r="AC142" s="2257"/>
      <c r="AD142" s="5203"/>
      <c r="AE142" s="5203"/>
      <c r="AF142" s="5203"/>
      <c r="AG142" s="5203"/>
      <c r="AH142" s="2257"/>
      <c r="AI142" s="2257"/>
      <c r="AJ142" s="4048"/>
      <c r="AK142" s="4049"/>
      <c r="AM142" s="2256"/>
      <c r="AN142" s="2257"/>
      <c r="AO142" s="5203"/>
      <c r="AP142" s="2257"/>
      <c r="AQ142" s="2257"/>
      <c r="AR142" s="2257"/>
      <c r="AS142" s="2257"/>
      <c r="AT142" s="2257"/>
      <c r="AU142" s="2257"/>
      <c r="AV142" s="4049"/>
      <c r="AX142" s="2256"/>
      <c r="AY142" s="2257"/>
      <c r="AZ142" s="2257"/>
      <c r="BA142" s="2257"/>
      <c r="BB142" s="2257"/>
      <c r="BC142" s="2257"/>
      <c r="BD142" s="2257"/>
      <c r="BE142" s="2257"/>
      <c r="BF142" s="2257"/>
      <c r="BG142" s="2257"/>
      <c r="BH142" s="2257"/>
      <c r="BI142" s="2257"/>
      <c r="BJ142" s="2257"/>
      <c r="BK142" s="4049"/>
      <c r="BM142" s="2256"/>
      <c r="BN142" s="2257"/>
      <c r="BO142" s="2257"/>
      <c r="BP142" s="2257"/>
      <c r="BQ142" s="2257"/>
      <c r="BR142" s="2257"/>
      <c r="BS142" s="2257"/>
      <c r="BT142" s="2257"/>
      <c r="BU142" s="2257"/>
      <c r="BV142" s="2257"/>
      <c r="BW142" s="2257"/>
      <c r="BX142" s="2257"/>
      <c r="BY142" s="2257"/>
      <c r="BZ142" s="2257"/>
      <c r="CA142" s="2257"/>
      <c r="CB142" s="2257"/>
      <c r="CC142" s="2257"/>
      <c r="CD142" s="4049"/>
      <c r="CF142" s="2249"/>
      <c r="CZ142" s="13"/>
      <c r="DG142" s="14"/>
      <c r="DI142" s="14"/>
      <c r="DJ142" s="14"/>
      <c r="DK142" s="14"/>
      <c r="EH142" s="223"/>
      <c r="EI142" s="223"/>
      <c r="EJ142" s="223"/>
      <c r="EK142" s="223"/>
    </row>
    <row r="143" spans="1:141" s="21" customFormat="1" ht="9.9499999999999993" customHeight="1" thickBot="1" x14ac:dyDescent="0.25">
      <c r="E143" s="14"/>
      <c r="J143" s="528"/>
      <c r="L143" s="136"/>
      <c r="M143" s="136"/>
      <c r="N143" s="136"/>
      <c r="O143" s="136"/>
      <c r="P143" s="136"/>
      <c r="Q143" s="136"/>
      <c r="R143" s="136"/>
      <c r="S143" s="136"/>
      <c r="T143" s="16"/>
      <c r="U143" s="136"/>
      <c r="V143" s="136"/>
      <c r="W143" s="136"/>
      <c r="X143" s="17"/>
      <c r="Y143" s="17"/>
      <c r="Z143" s="17"/>
      <c r="AA143" s="136"/>
      <c r="AB143" s="136"/>
      <c r="AC143" s="136"/>
      <c r="AD143" s="20"/>
      <c r="AE143" s="20"/>
      <c r="AF143" s="20"/>
      <c r="AG143" s="20"/>
      <c r="AH143" s="136"/>
      <c r="AI143" s="136"/>
      <c r="AJ143" s="16"/>
      <c r="AK143" s="136"/>
      <c r="AL143" s="136"/>
      <c r="AM143" s="136"/>
      <c r="AN143" s="136"/>
      <c r="AO143" s="20"/>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Z143" s="13"/>
      <c r="DG143" s="14"/>
      <c r="DI143" s="14"/>
      <c r="DJ143" s="14"/>
      <c r="DK143" s="14"/>
      <c r="EH143" s="223"/>
      <c r="EI143" s="223"/>
      <c r="EJ143" s="223"/>
      <c r="EK143" s="223"/>
    </row>
    <row r="144" spans="1:141" s="21" customFormat="1" ht="15" customHeight="1" thickBot="1" x14ac:dyDescent="0.25">
      <c r="E144" s="14"/>
      <c r="J144" s="528"/>
      <c r="L144" s="2258"/>
      <c r="M144" s="2259"/>
      <c r="N144" s="2259"/>
      <c r="O144" s="2259"/>
      <c r="P144" s="2259"/>
      <c r="Q144" s="2259"/>
      <c r="R144" s="2259"/>
      <c r="S144" s="2259"/>
      <c r="T144" s="2260"/>
      <c r="U144" s="2259"/>
      <c r="V144" s="2259"/>
      <c r="W144" s="2259"/>
      <c r="X144" s="2236"/>
      <c r="Y144" s="2236"/>
      <c r="Z144" s="2261"/>
      <c r="AB144" s="5171"/>
      <c r="AC144" s="5172"/>
      <c r="AD144" s="5174"/>
      <c r="AE144" s="5174"/>
      <c r="AF144" s="5174"/>
      <c r="AG144" s="5174"/>
      <c r="AH144" s="5172"/>
      <c r="AI144" s="5172"/>
      <c r="AJ144" s="4044"/>
      <c r="AK144" s="5173"/>
      <c r="AL144" s="136"/>
      <c r="AM144" s="5171"/>
      <c r="AN144" s="5172"/>
      <c r="AO144" s="5174"/>
      <c r="AP144" s="5172"/>
      <c r="AQ144" s="5172"/>
      <c r="AR144" s="5172"/>
      <c r="AS144" s="5172"/>
      <c r="AT144" s="5172"/>
      <c r="AU144" s="5172"/>
      <c r="AV144" s="5173"/>
      <c r="AW144" s="136"/>
      <c r="AX144" s="5171"/>
      <c r="AY144" s="5172"/>
      <c r="AZ144" s="5172"/>
      <c r="BA144" s="5172"/>
      <c r="BB144" s="5172"/>
      <c r="BC144" s="5172"/>
      <c r="BD144" s="5172"/>
      <c r="BE144" s="5172"/>
      <c r="BF144" s="5172"/>
      <c r="BG144" s="5172"/>
      <c r="BH144" s="5172"/>
      <c r="BI144" s="5172"/>
      <c r="BJ144" s="5172"/>
      <c r="BK144" s="5173"/>
      <c r="BL144" s="136"/>
      <c r="BM144" s="5171"/>
      <c r="BN144" s="5172"/>
      <c r="BO144" s="5172"/>
      <c r="BP144" s="5172"/>
      <c r="BQ144" s="5172"/>
      <c r="BR144" s="5172"/>
      <c r="BS144" s="5172"/>
      <c r="BT144" s="5172"/>
      <c r="BU144" s="5172"/>
      <c r="BV144" s="5172"/>
      <c r="BW144" s="5172"/>
      <c r="BX144" s="5172"/>
      <c r="BY144" s="5172"/>
      <c r="BZ144" s="5172"/>
      <c r="CA144" s="5172"/>
      <c r="CB144" s="5172"/>
      <c r="CC144" s="5172"/>
      <c r="CD144" s="5173"/>
      <c r="CF144" s="2249"/>
      <c r="CZ144" s="13"/>
      <c r="DG144" s="14"/>
      <c r="DI144" s="14"/>
      <c r="DJ144" s="14"/>
      <c r="DK144" s="14"/>
      <c r="EH144" s="223"/>
      <c r="EI144" s="223"/>
      <c r="EJ144" s="223"/>
      <c r="EK144" s="223"/>
    </row>
    <row r="145" spans="1:141" s="21" customFormat="1" ht="19.5" customHeight="1" thickBot="1" x14ac:dyDescent="0.25">
      <c r="E145" s="14"/>
      <c r="F145" s="2089"/>
      <c r="J145" s="528"/>
      <c r="L145" s="2240"/>
      <c r="M145" s="524" t="str">
        <f>$M$39</f>
        <v>Driftsform</v>
      </c>
      <c r="N145" s="524"/>
      <c r="O145" s="524"/>
      <c r="P145" s="524"/>
      <c r="Q145" s="524"/>
      <c r="R145" s="524"/>
      <c r="S145" s="524"/>
      <c r="T145" s="2247"/>
      <c r="U145" s="524"/>
      <c r="V145" s="524"/>
      <c r="W145" s="524"/>
      <c r="X145" s="2241"/>
      <c r="Y145" s="2241"/>
      <c r="Z145" s="2242"/>
      <c r="AB145" s="2243"/>
      <c r="AC145" s="2244"/>
      <c r="AD145" s="6387" t="str">
        <f>IF($F$13=2,_List!$AW$8,IF($F$13=1,_List!$AW$7))</f>
        <v>Enstuffs drift</v>
      </c>
      <c r="AE145" s="6387"/>
      <c r="AF145" s="6387"/>
      <c r="AG145" s="6387"/>
      <c r="AH145" s="6387"/>
      <c r="AI145" s="2244"/>
      <c r="AJ145" s="30" t="str">
        <f>IF(AD145="","!","✓")</f>
        <v>✓</v>
      </c>
      <c r="AK145" s="2248"/>
      <c r="AM145" s="2243"/>
      <c r="AN145" s="2244"/>
      <c r="AO145" s="6390" t="str">
        <f>IF($F$13=2,_List!$AW$8,IF($F$13=1,_List!$AW$7))</f>
        <v>Enstuffs drift</v>
      </c>
      <c r="AP145" s="6391"/>
      <c r="AQ145" s="6391"/>
      <c r="AR145" s="6391"/>
      <c r="AS145" s="6392"/>
      <c r="AT145" s="2244"/>
      <c r="AU145" s="30" t="str">
        <f>IF(AO145="","!","✓")</f>
        <v>✓</v>
      </c>
      <c r="AV145" s="2248"/>
      <c r="AX145" s="2243"/>
      <c r="AY145" s="2244"/>
      <c r="AZ145" s="6387" t="str">
        <f>IF($F$13=2,_List!$AW$8,IF($F$13=1,_List!$AW$7))</f>
        <v>Enstuffs drift</v>
      </c>
      <c r="BA145" s="6387"/>
      <c r="BB145" s="6387"/>
      <c r="BC145" s="6387"/>
      <c r="BD145" s="6387"/>
      <c r="BE145" s="6387"/>
      <c r="BF145" s="6387"/>
      <c r="BG145" s="6387"/>
      <c r="BH145" s="6387"/>
      <c r="BI145" s="2244"/>
      <c r="BJ145" s="30" t="str">
        <f>IF(AZ145="","!","✓")</f>
        <v>✓</v>
      </c>
      <c r="BK145" s="2248"/>
      <c r="BM145" s="2243"/>
      <c r="BN145" s="2244"/>
      <c r="BO145" s="6387" t="str">
        <f>IF($F$13=2,_List!$AW$8,IF($F$13=1,_List!$AW$7))</f>
        <v>Enstuffs drift</v>
      </c>
      <c r="BP145" s="6387"/>
      <c r="BQ145" s="6387"/>
      <c r="BR145" s="6387"/>
      <c r="BS145" s="6387"/>
      <c r="BT145" s="6387"/>
      <c r="BU145" s="6387"/>
      <c r="BV145" s="6387"/>
      <c r="BW145" s="6387"/>
      <c r="BX145" s="6387"/>
      <c r="BY145" s="6387"/>
      <c r="BZ145" s="6387"/>
      <c r="CA145" s="6387"/>
      <c r="CB145" s="2244"/>
      <c r="CC145" s="30" t="str">
        <f>IF(BO145="","!","✓")</f>
        <v>✓</v>
      </c>
      <c r="CD145" s="2248"/>
      <c r="CF145" s="2249"/>
      <c r="CZ145" s="13"/>
      <c r="DG145" s="14"/>
      <c r="DI145" s="14"/>
      <c r="DJ145" s="14"/>
      <c r="DK145" s="14"/>
      <c r="EH145" s="223"/>
      <c r="EI145" s="223"/>
      <c r="EJ145" s="223"/>
      <c r="EK145" s="223"/>
    </row>
    <row r="146" spans="1:141" s="136" customFormat="1" ht="5.0999999999999996" customHeight="1" x14ac:dyDescent="0.2">
      <c r="E146" s="20"/>
      <c r="F146" s="5214"/>
      <c r="J146" s="528"/>
      <c r="L146" s="2240"/>
      <c r="M146" s="524"/>
      <c r="N146" s="524"/>
      <c r="O146" s="524"/>
      <c r="P146" s="524"/>
      <c r="Q146" s="524"/>
      <c r="R146" s="524"/>
      <c r="S146" s="524"/>
      <c r="T146" s="2246"/>
      <c r="U146" s="524"/>
      <c r="V146" s="524"/>
      <c r="W146" s="524"/>
      <c r="X146" s="2245"/>
      <c r="Y146" s="2245"/>
      <c r="Z146" s="2242"/>
      <c r="AB146" s="2243"/>
      <c r="AC146" s="2244"/>
      <c r="AD146" s="2244"/>
      <c r="AE146" s="2244"/>
      <c r="AF146" s="2244"/>
      <c r="AG146" s="2244"/>
      <c r="AH146" s="2244"/>
      <c r="AI146" s="2244"/>
      <c r="AJ146" s="534"/>
      <c r="AK146" s="2248"/>
      <c r="AM146" s="2243"/>
      <c r="AN146" s="2244"/>
      <c r="AO146" s="2244"/>
      <c r="AP146" s="2244"/>
      <c r="AQ146" s="2244"/>
      <c r="AR146" s="2244"/>
      <c r="AS146" s="2244"/>
      <c r="AT146" s="2244"/>
      <c r="AU146" s="2244"/>
      <c r="AV146" s="2248"/>
      <c r="AX146" s="2243"/>
      <c r="AY146" s="2244"/>
      <c r="AZ146" s="2244"/>
      <c r="BA146" s="2244"/>
      <c r="BB146" s="2244"/>
      <c r="BC146" s="2244"/>
      <c r="BD146" s="2244"/>
      <c r="BE146" s="2244"/>
      <c r="BF146" s="2244"/>
      <c r="BG146" s="2244"/>
      <c r="BH146" s="2244"/>
      <c r="BI146" s="2244"/>
      <c r="BJ146" s="2244"/>
      <c r="BK146" s="2248"/>
      <c r="BM146" s="2243"/>
      <c r="BN146" s="2244"/>
      <c r="BO146" s="2244"/>
      <c r="BP146" s="2244"/>
      <c r="BQ146" s="2244"/>
      <c r="BR146" s="2244"/>
      <c r="BS146" s="2244"/>
      <c r="BT146" s="2244"/>
      <c r="BU146" s="2244"/>
      <c r="BV146" s="2244"/>
      <c r="BW146" s="2244"/>
      <c r="BX146" s="2244"/>
      <c r="BY146" s="2244"/>
      <c r="BZ146" s="2244"/>
      <c r="CA146" s="2244"/>
      <c r="CB146" s="2244"/>
      <c r="CC146" s="2244"/>
      <c r="CD146" s="2248"/>
      <c r="CF146" s="2244"/>
      <c r="CZ146" s="16"/>
      <c r="DG146" s="20"/>
      <c r="DI146" s="20"/>
      <c r="DJ146" s="20"/>
      <c r="DK146" s="20"/>
      <c r="EH146" s="5215" t="str">
        <f>B169</f>
        <v>111A05</v>
      </c>
      <c r="EI146" s="5215" t="str">
        <f>D169</f>
        <v>111A06</v>
      </c>
      <c r="EJ146" s="5215" t="str">
        <f>E169</f>
        <v>111A07</v>
      </c>
      <c r="EK146" s="5215" t="str">
        <f>F169</f>
        <v>111A08</v>
      </c>
    </row>
    <row r="147" spans="1:141" s="21" customFormat="1" ht="9.9499999999999993" customHeight="1" thickBot="1" x14ac:dyDescent="0.25">
      <c r="E147" s="14"/>
      <c r="F147" s="2089"/>
      <c r="J147" s="528"/>
      <c r="L147" s="2240"/>
      <c r="M147" s="524"/>
      <c r="N147" s="524"/>
      <c r="O147" s="524"/>
      <c r="P147" s="524"/>
      <c r="Q147" s="524"/>
      <c r="R147" s="524"/>
      <c r="S147" s="524"/>
      <c r="T147" s="2246"/>
      <c r="U147" s="524"/>
      <c r="V147" s="524"/>
      <c r="W147" s="524"/>
      <c r="X147" s="2245"/>
      <c r="Y147" s="2245"/>
      <c r="Z147" s="2242"/>
      <c r="AB147" s="2243"/>
      <c r="AC147" s="2244"/>
      <c r="AD147" s="2244"/>
      <c r="AE147" s="2244"/>
      <c r="AF147" s="2244"/>
      <c r="AG147" s="2244"/>
      <c r="AH147" s="2244"/>
      <c r="AI147" s="2244"/>
      <c r="AJ147" s="534"/>
      <c r="AK147" s="2248"/>
      <c r="AM147" s="2243"/>
      <c r="AN147" s="2244"/>
      <c r="AO147" s="2244"/>
      <c r="AP147" s="2244"/>
      <c r="AQ147" s="2244"/>
      <c r="AR147" s="2244"/>
      <c r="AS147" s="2244"/>
      <c r="AT147" s="2244"/>
      <c r="AU147" s="2244"/>
      <c r="AV147" s="2248"/>
      <c r="AX147" s="2243"/>
      <c r="AY147" s="2244"/>
      <c r="AZ147" s="2244"/>
      <c r="BA147" s="2244"/>
      <c r="BB147" s="2244"/>
      <c r="BC147" s="2244"/>
      <c r="BD147" s="2244"/>
      <c r="BE147" s="2244"/>
      <c r="BF147" s="2244"/>
      <c r="BG147" s="2244"/>
      <c r="BH147" s="2244"/>
      <c r="BI147" s="2244"/>
      <c r="BJ147" s="2244"/>
      <c r="BK147" s="2248"/>
      <c r="BM147" s="2243"/>
      <c r="BN147" s="2244"/>
      <c r="BO147" s="2244"/>
      <c r="BP147" s="2244"/>
      <c r="BQ147" s="2244"/>
      <c r="BR147" s="2244"/>
      <c r="BS147" s="2244"/>
      <c r="BT147" s="2244"/>
      <c r="BU147" s="2244"/>
      <c r="BV147" s="2244"/>
      <c r="BW147" s="2244"/>
      <c r="BX147" s="2244"/>
      <c r="BY147" s="2244"/>
      <c r="BZ147" s="2244"/>
      <c r="CA147" s="2244"/>
      <c r="CB147" s="2244"/>
      <c r="CC147" s="2244"/>
      <c r="CD147" s="2248"/>
      <c r="CF147" s="2249"/>
      <c r="CZ147" s="13"/>
      <c r="DG147" s="14"/>
      <c r="DI147" s="14"/>
      <c r="DJ147" s="14"/>
      <c r="DK147" s="14"/>
      <c r="EH147" s="5213"/>
      <c r="EI147" s="5213"/>
      <c r="EJ147" s="5213"/>
      <c r="EK147" s="5213"/>
    </row>
    <row r="148" spans="1:141" s="21" customFormat="1" ht="9.9499999999999993" customHeight="1" x14ac:dyDescent="0.2">
      <c r="E148" s="14"/>
      <c r="F148" s="2089"/>
      <c r="J148" s="528"/>
      <c r="L148" s="2258"/>
      <c r="M148" s="2259"/>
      <c r="N148" s="2259"/>
      <c r="O148" s="2259"/>
      <c r="P148" s="2259"/>
      <c r="Q148" s="2259"/>
      <c r="R148" s="2259"/>
      <c r="S148" s="2259"/>
      <c r="T148" s="2260"/>
      <c r="U148" s="2259"/>
      <c r="V148" s="2259"/>
      <c r="W148" s="2259"/>
      <c r="X148" s="2236"/>
      <c r="Y148" s="2236"/>
      <c r="Z148" s="2261"/>
      <c r="AB148" s="5171"/>
      <c r="AC148" s="5172"/>
      <c r="AD148" s="5172"/>
      <c r="AE148" s="5172"/>
      <c r="AF148" s="5172"/>
      <c r="AG148" s="5172"/>
      <c r="AH148" s="5172"/>
      <c r="AI148" s="5172"/>
      <c r="AJ148" s="4044"/>
      <c r="AK148" s="5173"/>
      <c r="AM148" s="5171"/>
      <c r="AN148" s="5172"/>
      <c r="AO148" s="5172"/>
      <c r="AP148" s="5172"/>
      <c r="AQ148" s="5172"/>
      <c r="AR148" s="5172"/>
      <c r="AS148" s="5172"/>
      <c r="AT148" s="5172"/>
      <c r="AU148" s="5172"/>
      <c r="AV148" s="5173"/>
      <c r="AX148" s="5171"/>
      <c r="AY148" s="5172"/>
      <c r="AZ148" s="5172"/>
      <c r="BA148" s="5172"/>
      <c r="BB148" s="5172"/>
      <c r="BC148" s="5172"/>
      <c r="BD148" s="5172"/>
      <c r="BE148" s="5172"/>
      <c r="BF148" s="5172"/>
      <c r="BG148" s="5172"/>
      <c r="BH148" s="5172"/>
      <c r="BI148" s="5172"/>
      <c r="BJ148" s="5172"/>
      <c r="BK148" s="5173"/>
      <c r="BM148" s="5171"/>
      <c r="BN148" s="5172"/>
      <c r="BO148" s="5172"/>
      <c r="BP148" s="5172"/>
      <c r="BQ148" s="5172"/>
      <c r="BR148" s="5172"/>
      <c r="BS148" s="5172"/>
      <c r="BT148" s="5172"/>
      <c r="BU148" s="5172"/>
      <c r="BV148" s="5172"/>
      <c r="BW148" s="5172"/>
      <c r="BX148" s="5172"/>
      <c r="BY148" s="5172"/>
      <c r="BZ148" s="5172"/>
      <c r="CA148" s="5172"/>
      <c r="CB148" s="5172"/>
      <c r="CC148" s="5172"/>
      <c r="CD148" s="5173"/>
      <c r="CF148" s="2249"/>
      <c r="CZ148" s="13"/>
      <c r="DG148" s="14"/>
      <c r="DI148" s="14"/>
      <c r="DJ148" s="14"/>
      <c r="DK148" s="14"/>
      <c r="EH148" s="223"/>
      <c r="EI148" s="223"/>
      <c r="EJ148" s="223"/>
      <c r="EK148" s="223"/>
    </row>
    <row r="149" spans="1:141" s="21" customFormat="1" ht="5.0999999999999996" customHeight="1" thickBot="1" x14ac:dyDescent="0.25">
      <c r="E149" s="14"/>
      <c r="F149" s="2089"/>
      <c r="J149" s="528"/>
      <c r="L149" s="2240"/>
      <c r="M149" s="524"/>
      <c r="N149" s="524"/>
      <c r="O149" s="524"/>
      <c r="P149" s="524"/>
      <c r="Q149" s="524"/>
      <c r="R149" s="524"/>
      <c r="S149" s="524"/>
      <c r="T149" s="2246"/>
      <c r="U149" s="524"/>
      <c r="V149" s="524"/>
      <c r="W149" s="524"/>
      <c r="X149" s="2245"/>
      <c r="Y149" s="2245"/>
      <c r="Z149" s="2242"/>
      <c r="AB149" s="2243"/>
      <c r="AC149" s="2244"/>
      <c r="AD149" s="2244"/>
      <c r="AE149" s="2244"/>
      <c r="AF149" s="2244"/>
      <c r="AG149" s="2244"/>
      <c r="AH149" s="2244"/>
      <c r="AI149" s="2244"/>
      <c r="AJ149" s="534"/>
      <c r="AK149" s="2248"/>
      <c r="AM149" s="2243"/>
      <c r="AN149" s="2244"/>
      <c r="AO149" s="2244"/>
      <c r="AP149" s="2244"/>
      <c r="AQ149" s="2244"/>
      <c r="AR149" s="2244"/>
      <c r="AS149" s="2244"/>
      <c r="AT149" s="2244"/>
      <c r="AU149" s="2244"/>
      <c r="AV149" s="2248"/>
      <c r="AX149" s="2243"/>
      <c r="AY149" s="2244"/>
      <c r="AZ149" s="2244"/>
      <c r="BA149" s="2244"/>
      <c r="BB149" s="2244"/>
      <c r="BC149" s="2244"/>
      <c r="BD149" s="2244"/>
      <c r="BE149" s="2244"/>
      <c r="BF149" s="2244"/>
      <c r="BG149" s="2244"/>
      <c r="BH149" s="2244"/>
      <c r="BI149" s="2244"/>
      <c r="BJ149" s="2244"/>
      <c r="BK149" s="2248"/>
      <c r="BM149" s="2243"/>
      <c r="BN149" s="2244"/>
      <c r="BO149" s="2244"/>
      <c r="BP149" s="2244"/>
      <c r="BQ149" s="2244"/>
      <c r="BR149" s="2244"/>
      <c r="BS149" s="2244"/>
      <c r="BT149" s="2244"/>
      <c r="BU149" s="2244"/>
      <c r="BV149" s="2244"/>
      <c r="BW149" s="2244"/>
      <c r="BX149" s="2244"/>
      <c r="BY149" s="2244"/>
      <c r="BZ149" s="2244"/>
      <c r="CA149" s="2244"/>
      <c r="CB149" s="2244"/>
      <c r="CC149" s="2244"/>
      <c r="CD149" s="2248"/>
      <c r="CF149" s="2249"/>
      <c r="CZ149" s="13"/>
      <c r="DG149" s="14"/>
      <c r="DI149" s="14"/>
      <c r="DJ149" s="14"/>
      <c r="DK149" s="14"/>
      <c r="EH149" s="223">
        <f>B171</f>
        <v>1</v>
      </c>
      <c r="EI149" s="223">
        <f>D171</f>
        <v>1</v>
      </c>
      <c r="EJ149" s="223">
        <f>E171</f>
        <v>1</v>
      </c>
      <c r="EK149" s="223">
        <f>F171</f>
        <v>1</v>
      </c>
    </row>
    <row r="150" spans="1:141" s="21" customFormat="1" ht="20.100000000000001" customHeight="1" thickBot="1" x14ac:dyDescent="0.25">
      <c r="A150" s="2250" t="s">
        <v>247</v>
      </c>
      <c r="B150" s="2251">
        <f>IF(OR($EH$86="11",$EH$86="22"),Prosjektinfo!$Q$83,IF(OR($EH$86="12",$EH$86="24"),(Prosjektinfo!$Q$83-($D$150)),IF(OR($EH$86="13",$EH$86="26"),(Prosjektinfo!$Q$83-($D$150+$E$150)),IF(OR(Tunneldrift!$EH$86="14",Tunneldrift!$EH$86="28"),Prosjektinfo!$Q$83-($D$150+$E$150+$F$150),0))))</f>
        <v>0</v>
      </c>
      <c r="D150" s="21">
        <f>AO139</f>
        <v>0</v>
      </c>
      <c r="E150" s="14">
        <f>AZ139</f>
        <v>0</v>
      </c>
      <c r="F150" s="2089">
        <f>BO139</f>
        <v>0</v>
      </c>
      <c r="J150" s="528"/>
      <c r="L150" s="2240"/>
      <c r="M150" s="524" t="str">
        <f>$M$39</f>
        <v>Driftsform</v>
      </c>
      <c r="N150" s="524"/>
      <c r="O150" s="524"/>
      <c r="P150" s="524"/>
      <c r="Q150" s="524"/>
      <c r="R150" s="524"/>
      <c r="S150" s="524"/>
      <c r="T150" s="2247" t="s">
        <v>149</v>
      </c>
      <c r="U150" s="524"/>
      <c r="V150" s="524"/>
      <c r="W150" s="524"/>
      <c r="X150" s="2241"/>
      <c r="Y150" s="2241"/>
      <c r="Z150" s="2242"/>
      <c r="AB150" s="2243"/>
      <c r="AC150" s="2244"/>
      <c r="AD150" s="6393"/>
      <c r="AE150" s="6394"/>
      <c r="AF150" s="6394"/>
      <c r="AG150" s="6394"/>
      <c r="AH150" s="6395"/>
      <c r="AI150" s="2244"/>
      <c r="AJ150" s="30" t="str">
        <f>IF(AD150="","!","✓")</f>
        <v>!</v>
      </c>
      <c r="AK150" s="2248"/>
      <c r="AM150" s="2243"/>
      <c r="AN150" s="2244"/>
      <c r="AO150" s="6393"/>
      <c r="AP150" s="6394"/>
      <c r="AQ150" s="6394"/>
      <c r="AR150" s="6394"/>
      <c r="AS150" s="6395"/>
      <c r="AT150" s="2244"/>
      <c r="AU150" s="30" t="str">
        <f>IF(AO150="","!","✓")</f>
        <v>!</v>
      </c>
      <c r="AV150" s="2248"/>
      <c r="AX150" s="2243"/>
      <c r="AY150" s="2244"/>
      <c r="AZ150" s="6388"/>
      <c r="BA150" s="6388"/>
      <c r="BB150" s="6388"/>
      <c r="BC150" s="6388"/>
      <c r="BD150" s="6388"/>
      <c r="BE150" s="6388"/>
      <c r="BF150" s="6388"/>
      <c r="BG150" s="6388"/>
      <c r="BH150" s="6388"/>
      <c r="BI150" s="2244"/>
      <c r="BJ150" s="30" t="str">
        <f>IF(AZ150="","!","✓")</f>
        <v>!</v>
      </c>
      <c r="BK150" s="2248"/>
      <c r="BM150" s="2243"/>
      <c r="BN150" s="2244"/>
      <c r="BO150" s="6388"/>
      <c r="BP150" s="6388"/>
      <c r="BQ150" s="6388"/>
      <c r="BR150" s="6388"/>
      <c r="BS150" s="6388"/>
      <c r="BT150" s="6388"/>
      <c r="BU150" s="6388"/>
      <c r="BV150" s="6388"/>
      <c r="BW150" s="6388"/>
      <c r="BX150" s="6388"/>
      <c r="BY150" s="6388"/>
      <c r="BZ150" s="6388"/>
      <c r="CA150" s="6388"/>
      <c r="CB150" s="2244"/>
      <c r="CC150" s="30" t="str">
        <f>IF(BO150="","!","✓")</f>
        <v>!</v>
      </c>
      <c r="CD150" s="2248"/>
      <c r="CF150" s="2249"/>
      <c r="CZ150" s="13"/>
      <c r="DG150" s="14"/>
      <c r="DI150" s="14"/>
      <c r="DJ150" s="14"/>
      <c r="DK150" s="14"/>
      <c r="EH150" s="223">
        <f>B173</f>
        <v>0</v>
      </c>
      <c r="EI150" s="223">
        <f t="shared" ref="EI150:EK151" si="0">D173</f>
        <v>0</v>
      </c>
      <c r="EJ150" s="223">
        <f t="shared" si="0"/>
        <v>0</v>
      </c>
      <c r="EK150" s="223">
        <f t="shared" si="0"/>
        <v>0</v>
      </c>
    </row>
    <row r="151" spans="1:141" s="21" customFormat="1" ht="15" customHeight="1" thickBot="1" x14ac:dyDescent="0.25">
      <c r="A151" s="21" t="s">
        <v>2752</v>
      </c>
      <c r="B151" s="21" t="str">
        <f>IF($B$150&lt;=0,"? ",$B$150)</f>
        <v xml:space="preserve">? </v>
      </c>
      <c r="D151" s="21" t="str">
        <f>IF($D$150=0,"? ",$D$150)</f>
        <v xml:space="preserve">? </v>
      </c>
      <c r="E151" s="14" t="str">
        <f>IF($E$150=0,"? ",$E$150)</f>
        <v xml:space="preserve">? </v>
      </c>
      <c r="F151" s="2089" t="str">
        <f>IF($F$150=0,"? ",$F$150)</f>
        <v xml:space="preserve">? </v>
      </c>
      <c r="J151" s="528"/>
      <c r="L151" s="2240"/>
      <c r="M151" s="524"/>
      <c r="N151" s="524"/>
      <c r="O151" s="524"/>
      <c r="P151" s="524"/>
      <c r="Q151" s="524"/>
      <c r="R151" s="524"/>
      <c r="S151" s="524"/>
      <c r="T151" s="2246"/>
      <c r="U151" s="524"/>
      <c r="V151" s="524"/>
      <c r="W151" s="524"/>
      <c r="X151" s="2245"/>
      <c r="Y151" s="2245"/>
      <c r="Z151" s="2242"/>
      <c r="AB151" s="2243"/>
      <c r="AC151" s="2244"/>
      <c r="AD151" s="2244"/>
      <c r="AE151" s="2244"/>
      <c r="AF151" s="2244"/>
      <c r="AG151" s="2244"/>
      <c r="AH151" s="2244"/>
      <c r="AI151" s="2244"/>
      <c r="AJ151" s="534"/>
      <c r="AK151" s="2248"/>
      <c r="AM151" s="2243"/>
      <c r="AN151" s="2244"/>
      <c r="AO151" s="2244"/>
      <c r="AP151" s="2244"/>
      <c r="AQ151" s="2244"/>
      <c r="AR151" s="2244"/>
      <c r="AS151" s="2244"/>
      <c r="AT151" s="2244"/>
      <c r="AU151" s="2244"/>
      <c r="AV151" s="2248"/>
      <c r="AX151" s="2243"/>
      <c r="AY151" s="2244"/>
      <c r="AZ151" s="2244"/>
      <c r="BA151" s="2244"/>
      <c r="BB151" s="2244"/>
      <c r="BC151" s="2244"/>
      <c r="BD151" s="2244"/>
      <c r="BE151" s="2244"/>
      <c r="BF151" s="2244"/>
      <c r="BG151" s="2244"/>
      <c r="BH151" s="2244"/>
      <c r="BI151" s="2244"/>
      <c r="BJ151" s="339"/>
      <c r="BK151" s="2248"/>
      <c r="BM151" s="2243"/>
      <c r="BN151" s="2244"/>
      <c r="BO151" s="2244"/>
      <c r="BP151" s="2244"/>
      <c r="BQ151" s="2244"/>
      <c r="BR151" s="2244"/>
      <c r="BS151" s="2244"/>
      <c r="BT151" s="2244"/>
      <c r="BU151" s="2244"/>
      <c r="BV151" s="2244"/>
      <c r="BW151" s="2244"/>
      <c r="BX151" s="2244"/>
      <c r="BY151" s="2244"/>
      <c r="BZ151" s="2244"/>
      <c r="CA151" s="2244"/>
      <c r="CB151" s="2244"/>
      <c r="CC151" s="2244"/>
      <c r="CD151" s="2248"/>
      <c r="CF151" s="2249"/>
      <c r="CZ151" s="13"/>
      <c r="DG151" s="14"/>
      <c r="DI151" s="14"/>
      <c r="DJ151" s="14"/>
      <c r="DK151" s="14"/>
      <c r="EH151" s="223">
        <f>B174</f>
        <v>0</v>
      </c>
      <c r="EI151" s="223">
        <f t="shared" si="0"/>
        <v>0</v>
      </c>
      <c r="EJ151" s="223">
        <f t="shared" si="0"/>
        <v>0</v>
      </c>
      <c r="EK151" s="223">
        <f t="shared" si="0"/>
        <v>0</v>
      </c>
    </row>
    <row r="152" spans="1:141" s="21" customFormat="1" ht="9.9499999999999993" customHeight="1" thickBot="1" x14ac:dyDescent="0.25">
      <c r="E152" s="14"/>
      <c r="F152" s="2089"/>
      <c r="J152" s="528"/>
      <c r="L152" s="2258"/>
      <c r="M152" s="2259"/>
      <c r="N152" s="2259"/>
      <c r="O152" s="2259"/>
      <c r="P152" s="2259"/>
      <c r="Q152" s="2259"/>
      <c r="R152" s="2259"/>
      <c r="S152" s="2259"/>
      <c r="T152" s="2260"/>
      <c r="U152" s="2259"/>
      <c r="V152" s="2259"/>
      <c r="W152" s="2259"/>
      <c r="X152" s="2236"/>
      <c r="Y152" s="2236"/>
      <c r="Z152" s="2261"/>
      <c r="AA152" s="136"/>
      <c r="AB152" s="5171"/>
      <c r="AC152" s="5172"/>
      <c r="AD152" s="5172"/>
      <c r="AE152" s="5172"/>
      <c r="AF152" s="5172"/>
      <c r="AG152" s="5172"/>
      <c r="AH152" s="5172"/>
      <c r="AI152" s="5172"/>
      <c r="AJ152" s="4044"/>
      <c r="AK152" s="5173"/>
      <c r="AL152" s="5204"/>
      <c r="AM152" s="5171"/>
      <c r="AN152" s="5172"/>
      <c r="AO152" s="5172"/>
      <c r="AP152" s="5172"/>
      <c r="AQ152" s="5172"/>
      <c r="AR152" s="5172"/>
      <c r="AS152" s="5172"/>
      <c r="AT152" s="5172"/>
      <c r="AU152" s="5172"/>
      <c r="AV152" s="5173"/>
      <c r="AW152" s="5204"/>
      <c r="AX152" s="5171"/>
      <c r="AY152" s="5172"/>
      <c r="AZ152" s="5172"/>
      <c r="BA152" s="5172"/>
      <c r="BB152" s="5172"/>
      <c r="BC152" s="5172"/>
      <c r="BD152" s="5172"/>
      <c r="BE152" s="5172"/>
      <c r="BF152" s="5172"/>
      <c r="BG152" s="5172"/>
      <c r="BH152" s="5172"/>
      <c r="BI152" s="5172"/>
      <c r="BJ152" s="5172"/>
      <c r="BK152" s="5173"/>
      <c r="BL152" s="5204"/>
      <c r="BM152" s="5171"/>
      <c r="BN152" s="5172"/>
      <c r="BO152" s="5172"/>
      <c r="BP152" s="5172"/>
      <c r="BQ152" s="5172"/>
      <c r="BR152" s="5172"/>
      <c r="BS152" s="5172"/>
      <c r="BT152" s="5172"/>
      <c r="BU152" s="5172"/>
      <c r="BV152" s="5172"/>
      <c r="BW152" s="5172"/>
      <c r="BX152" s="5172"/>
      <c r="BY152" s="5172"/>
      <c r="BZ152" s="5172"/>
      <c r="CA152" s="5172"/>
      <c r="CB152" s="5172"/>
      <c r="CC152" s="5172"/>
      <c r="CD152" s="5173"/>
      <c r="CF152" s="2249"/>
      <c r="CZ152" s="13"/>
      <c r="DG152" s="14"/>
      <c r="DI152" s="14"/>
      <c r="DJ152" s="14"/>
      <c r="DK152" s="14"/>
    </row>
    <row r="153" spans="1:141" s="5176" customFormat="1" ht="12" customHeight="1" x14ac:dyDescent="0.2">
      <c r="A153" s="4075"/>
      <c r="B153" s="4075"/>
      <c r="C153" s="4075"/>
      <c r="D153" s="4075"/>
      <c r="E153" s="4075"/>
      <c r="F153" s="4075"/>
      <c r="J153" s="5178"/>
      <c r="L153" s="5186"/>
      <c r="M153" s="5187"/>
      <c r="N153" s="5187"/>
      <c r="O153" s="5187"/>
      <c r="P153" s="5187"/>
      <c r="Q153" s="5187"/>
      <c r="R153" s="5187"/>
      <c r="S153" s="5187"/>
      <c r="T153" s="5188"/>
      <c r="U153" s="5187"/>
      <c r="V153" s="5187"/>
      <c r="W153" s="5187"/>
      <c r="X153" s="5189"/>
      <c r="Y153" s="5189"/>
      <c r="Z153" s="5190"/>
      <c r="AB153" s="5179"/>
      <c r="AC153" s="5180"/>
      <c r="AD153" s="6362" t="s">
        <v>2734</v>
      </c>
      <c r="AE153" s="6362"/>
      <c r="AF153" s="5206"/>
      <c r="AG153" s="6362" t="s">
        <v>150</v>
      </c>
      <c r="AH153" s="6362"/>
      <c r="AI153" s="5206"/>
      <c r="AJ153" s="5207"/>
      <c r="AK153" s="5208"/>
      <c r="AL153" s="5209"/>
      <c r="AM153" s="5210"/>
      <c r="AN153" s="5206"/>
      <c r="AO153" s="6362" t="str">
        <f>$AD$153</f>
        <v>Enstuffs drift</v>
      </c>
      <c r="AP153" s="6362"/>
      <c r="AQ153" s="6362"/>
      <c r="AR153" s="5206"/>
      <c r="AS153" s="5207" t="str">
        <f>AG153</f>
        <v>Vekseldrift</v>
      </c>
      <c r="AT153" s="5206"/>
      <c r="AU153" s="5206"/>
      <c r="AV153" s="5208"/>
      <c r="AW153" s="5209"/>
      <c r="AX153" s="5210"/>
      <c r="AY153" s="5206"/>
      <c r="AZ153" s="6362" t="str">
        <f>AD153</f>
        <v>Enstuffs drift</v>
      </c>
      <c r="BA153" s="6362"/>
      <c r="BB153" s="6362"/>
      <c r="BC153" s="6362"/>
      <c r="BD153" s="6362"/>
      <c r="BE153" s="6362"/>
      <c r="BF153" s="5206"/>
      <c r="BG153" s="5206"/>
      <c r="BH153" s="5207" t="str">
        <f>AG153</f>
        <v>Vekseldrift</v>
      </c>
      <c r="BI153" s="5206"/>
      <c r="BJ153" s="5206"/>
      <c r="BK153" s="5208"/>
      <c r="BL153" s="5209"/>
      <c r="BM153" s="5210"/>
      <c r="BN153" s="5206"/>
      <c r="BO153" s="6362" t="str">
        <f>$AD$153</f>
        <v>Enstuffs drift</v>
      </c>
      <c r="BP153" s="6362"/>
      <c r="BQ153" s="6362"/>
      <c r="BR153" s="6362"/>
      <c r="BS153" s="6362"/>
      <c r="BT153" s="6362"/>
      <c r="BU153" s="6362"/>
      <c r="BV153" s="5206"/>
      <c r="BW153" s="5206"/>
      <c r="BX153" s="5206"/>
      <c r="BY153" s="6362" t="str">
        <f>AG153</f>
        <v>Vekseldrift</v>
      </c>
      <c r="BZ153" s="6362"/>
      <c r="CA153" s="6362"/>
      <c r="CB153" s="5206"/>
      <c r="CC153" s="5180"/>
      <c r="CD153" s="5181"/>
      <c r="CF153" s="5182"/>
      <c r="CZ153" s="5183"/>
      <c r="DG153" s="5177"/>
      <c r="DI153" s="5177"/>
      <c r="DJ153" s="5177"/>
      <c r="DK153" s="5177"/>
      <c r="EH153" s="5184"/>
      <c r="EI153" s="5184"/>
      <c r="EJ153" s="5184"/>
      <c r="EK153" s="5184"/>
    </row>
    <row r="154" spans="1:141" s="21" customFormat="1" ht="5.0999999999999996" customHeight="1" thickBot="1" x14ac:dyDescent="0.25">
      <c r="E154" s="14"/>
      <c r="F154" s="2089"/>
      <c r="J154" s="528"/>
      <c r="L154" s="2240"/>
      <c r="M154" s="524"/>
      <c r="N154" s="524"/>
      <c r="O154" s="524"/>
      <c r="P154" s="524"/>
      <c r="Q154" s="524"/>
      <c r="R154" s="524"/>
      <c r="S154" s="524"/>
      <c r="T154" s="2246"/>
      <c r="U154" s="524"/>
      <c r="V154" s="524"/>
      <c r="W154" s="524"/>
      <c r="X154" s="2245"/>
      <c r="Y154" s="2245"/>
      <c r="Z154" s="2242"/>
      <c r="AB154" s="2243"/>
      <c r="AC154" s="2244"/>
      <c r="AD154" s="2244"/>
      <c r="AE154" s="2244"/>
      <c r="AF154" s="2244"/>
      <c r="AG154" s="2244"/>
      <c r="AH154" s="2244"/>
      <c r="AI154" s="2244"/>
      <c r="AJ154" s="534"/>
      <c r="AK154" s="2248"/>
      <c r="AM154" s="2243"/>
      <c r="AN154" s="2244"/>
      <c r="AO154" s="2244"/>
      <c r="AP154" s="2244"/>
      <c r="AQ154" s="2244"/>
      <c r="AR154" s="2244"/>
      <c r="AS154" s="2244"/>
      <c r="AT154" s="2244"/>
      <c r="AU154" s="2244"/>
      <c r="AV154" s="2248"/>
      <c r="AX154" s="2243"/>
      <c r="AY154" s="2244"/>
      <c r="AZ154" s="2244"/>
      <c r="BA154" s="2244"/>
      <c r="BB154" s="2244"/>
      <c r="BC154" s="2244"/>
      <c r="BD154" s="2244"/>
      <c r="BE154" s="2244"/>
      <c r="BF154" s="2244"/>
      <c r="BG154" s="2244"/>
      <c r="BH154" s="2244"/>
      <c r="BI154" s="2244"/>
      <c r="BJ154" s="2244"/>
      <c r="BK154" s="2248"/>
      <c r="BM154" s="2243"/>
      <c r="BN154" s="2244"/>
      <c r="BO154" s="2244"/>
      <c r="BP154" s="2244"/>
      <c r="BQ154" s="2244"/>
      <c r="BR154" s="2244"/>
      <c r="BS154" s="2244"/>
      <c r="BT154" s="2244"/>
      <c r="BU154" s="2244"/>
      <c r="BV154" s="2244"/>
      <c r="BW154" s="2244"/>
      <c r="BX154" s="2244"/>
      <c r="BY154" s="2244"/>
      <c r="BZ154" s="2244"/>
      <c r="CA154" s="2244"/>
      <c r="CB154" s="2244"/>
      <c r="CC154" s="2244"/>
      <c r="CD154" s="2248"/>
      <c r="CF154" s="2249"/>
      <c r="CZ154" s="13"/>
      <c r="DG154" s="14"/>
      <c r="DI154" s="14"/>
      <c r="DJ154" s="14"/>
      <c r="DK154" s="14"/>
      <c r="EH154" s="136"/>
      <c r="EI154" s="136"/>
      <c r="EJ154" s="136"/>
      <c r="EK154" s="136"/>
    </row>
    <row r="155" spans="1:141" s="21" customFormat="1" ht="20.100000000000001" customHeight="1" thickBot="1" x14ac:dyDescent="0.25">
      <c r="E155" s="14"/>
      <c r="F155" s="2089"/>
      <c r="I155" s="5221"/>
      <c r="J155" s="528"/>
      <c r="L155" s="2240"/>
      <c r="M155" s="524" t="s">
        <v>2740</v>
      </c>
      <c r="N155" s="524"/>
      <c r="O155" s="524"/>
      <c r="P155" s="524"/>
      <c r="Q155" s="524"/>
      <c r="R155" s="524"/>
      <c r="S155" s="524"/>
      <c r="T155" s="2247" t="s">
        <v>149</v>
      </c>
      <c r="U155" s="524"/>
      <c r="V155" s="524"/>
      <c r="W155" s="524"/>
      <c r="X155" s="2245" t="s">
        <v>78</v>
      </c>
      <c r="Y155" s="2245"/>
      <c r="Z155" s="2242"/>
      <c r="AB155" s="2243"/>
      <c r="AC155" s="2244"/>
      <c r="AD155" s="6329"/>
      <c r="AE155" s="6331"/>
      <c r="AF155" s="2244"/>
      <c r="AG155" s="6363" t="str">
        <f>INDEX(tunneldrift_vekseldrift[vekseldrift_lengde],MATCH(_Calcs!$BB$49,tunneldrift_vekseldrift[Stuff_navn],0))</f>
        <v>!</v>
      </c>
      <c r="AH155" s="6364"/>
      <c r="AI155" s="2244"/>
      <c r="AJ155" s="30" t="str">
        <f>IF(_Calcs!$LB$58=0,"!","✓")</f>
        <v>!</v>
      </c>
      <c r="AK155" s="2248"/>
      <c r="AM155" s="2243"/>
      <c r="AN155" s="2244"/>
      <c r="AO155" s="6396"/>
      <c r="AP155" s="6396"/>
      <c r="AQ155" s="6396"/>
      <c r="AR155" s="5175"/>
      <c r="AS155" s="5248" t="str">
        <f>INDEX(tunneldrift_vekseldrift[vekseldrift_lengde],MATCH(_Calcs!$BB$50,tunneldrift_vekseldrift[Stuff_navn],0))</f>
        <v>!</v>
      </c>
      <c r="AT155" s="2244"/>
      <c r="AU155" s="30" t="str">
        <f>IF(_Calcs!$LB$59=0,"!","✓")</f>
        <v>!</v>
      </c>
      <c r="AV155" s="2248"/>
      <c r="AX155" s="2243"/>
      <c r="AY155" s="2244"/>
      <c r="AZ155" s="6398"/>
      <c r="BA155" s="6399"/>
      <c r="BB155" s="6399"/>
      <c r="BC155" s="6399"/>
      <c r="BD155" s="6399"/>
      <c r="BE155" s="6400"/>
      <c r="BF155" s="2244"/>
      <c r="BG155" s="2244"/>
      <c r="BH155" s="5248" t="str">
        <f>INDEX(tunneldrift_vekseldrift[vekseldrift_lengde],MATCH(_Calcs!$BB$51,tunneldrift_vekseldrift[Stuff_navn],0))</f>
        <v>!</v>
      </c>
      <c r="BI155" s="2244"/>
      <c r="BJ155" s="30" t="str">
        <f>IF(_Calcs!$LB$60=0,"!","✓")</f>
        <v>!</v>
      </c>
      <c r="BK155" s="2248"/>
      <c r="BM155" s="2243"/>
      <c r="BN155" s="2244"/>
      <c r="BO155" s="6396"/>
      <c r="BP155" s="6396"/>
      <c r="BQ155" s="6396"/>
      <c r="BR155" s="6396"/>
      <c r="BS155" s="6396"/>
      <c r="BT155" s="6396"/>
      <c r="BU155" s="6396"/>
      <c r="BV155" s="2244"/>
      <c r="BW155" s="2244"/>
      <c r="BX155" s="2244"/>
      <c r="BY155" s="6374" t="str">
        <f>INDEX(tunneldrift_vekseldrift[vekseldrift_lengde],MATCH(_Calcs!$BB$52,tunneldrift_vekseldrift[Stuff_navn],0))</f>
        <v>!</v>
      </c>
      <c r="BZ155" s="6374"/>
      <c r="CA155" s="6374"/>
      <c r="CB155" s="2244"/>
      <c r="CC155" s="30" t="str">
        <f>IF(_Calcs!$LB$61=0,"!","✓")</f>
        <v>!</v>
      </c>
      <c r="CD155" s="2248"/>
      <c r="CF155" s="2249"/>
      <c r="CZ155" s="13"/>
      <c r="DG155" s="14"/>
      <c r="DI155" s="14"/>
      <c r="DJ155" s="14"/>
      <c r="DK155" s="14"/>
      <c r="EH155" s="136"/>
      <c r="EI155" s="136"/>
      <c r="EJ155" s="136"/>
      <c r="EK155" s="136"/>
    </row>
    <row r="156" spans="1:141" s="21" customFormat="1" ht="15" customHeight="1" thickBot="1" x14ac:dyDescent="0.25">
      <c r="E156" s="14"/>
      <c r="F156" s="2089"/>
      <c r="J156" s="529"/>
      <c r="L156" s="2252"/>
      <c r="M156" s="526"/>
      <c r="N156" s="526"/>
      <c r="O156" s="526"/>
      <c r="P156" s="526"/>
      <c r="Q156" s="526"/>
      <c r="R156" s="526"/>
      <c r="S156" s="526"/>
      <c r="T156" s="2253"/>
      <c r="U156" s="526"/>
      <c r="V156" s="526"/>
      <c r="W156" s="526"/>
      <c r="X156" s="2254"/>
      <c r="Y156" s="2254"/>
      <c r="Z156" s="2255"/>
      <c r="AB156" s="2256"/>
      <c r="AC156" s="2257"/>
      <c r="AD156" s="2257"/>
      <c r="AE156" s="2257"/>
      <c r="AF156" s="2257"/>
      <c r="AG156" s="2257"/>
      <c r="AH156" s="2257"/>
      <c r="AI156" s="2257"/>
      <c r="AJ156" s="4048"/>
      <c r="AK156" s="4049"/>
      <c r="AM156" s="2256"/>
      <c r="AN156" s="2257"/>
      <c r="AO156" s="2257"/>
      <c r="AP156" s="2257"/>
      <c r="AQ156" s="2257"/>
      <c r="AR156" s="2257"/>
      <c r="AS156" s="2257"/>
      <c r="AT156" s="2257"/>
      <c r="AU156" s="2257"/>
      <c r="AV156" s="4049"/>
      <c r="AX156" s="2256"/>
      <c r="AY156" s="2257"/>
      <c r="AZ156" s="2257"/>
      <c r="BA156" s="2257"/>
      <c r="BB156" s="2257"/>
      <c r="BC156" s="2257"/>
      <c r="BD156" s="2257"/>
      <c r="BE156" s="2257"/>
      <c r="BF156" s="2257"/>
      <c r="BG156" s="2257"/>
      <c r="BH156" s="2257"/>
      <c r="BI156" s="2257"/>
      <c r="BJ156" s="2257"/>
      <c r="BK156" s="4049"/>
      <c r="BM156" s="2256"/>
      <c r="BN156" s="2257"/>
      <c r="BO156" s="2257"/>
      <c r="BP156" s="2257"/>
      <c r="BQ156" s="2257"/>
      <c r="BR156" s="2257"/>
      <c r="BS156" s="2257"/>
      <c r="BT156" s="2257"/>
      <c r="BU156" s="2257"/>
      <c r="BV156" s="2257"/>
      <c r="BW156" s="2257"/>
      <c r="BX156" s="2257"/>
      <c r="BY156" s="2257"/>
      <c r="BZ156" s="2257"/>
      <c r="CA156" s="2257"/>
      <c r="CB156" s="2257"/>
      <c r="CC156" s="2257"/>
      <c r="CD156" s="4049"/>
      <c r="CF156" s="2249"/>
      <c r="CZ156" s="13"/>
      <c r="DG156" s="14"/>
      <c r="DI156" s="14"/>
      <c r="DJ156" s="14"/>
      <c r="DK156" s="14"/>
      <c r="EH156" s="136"/>
      <c r="EI156" s="136"/>
      <c r="EJ156" s="136"/>
      <c r="EK156" s="136"/>
    </row>
    <row r="157" spans="1:141" s="21" customFormat="1" ht="20.100000000000001" customHeight="1" x14ac:dyDescent="0.2">
      <c r="A157" s="21" t="s">
        <v>680</v>
      </c>
      <c r="B157" s="21">
        <f>IF(OR($EH$86="11",$EH$86="22"),B142,IF(OR($EH$86="12",$EH$86="24"),B142+D142,IF(OR($EH$86="13",$EH$86="26"),B142+D142+E142,IF(OR($EH$86="14",$EH$86="28"),B142+D142+E142+F142,0))))</f>
        <v>1</v>
      </c>
      <c r="E157" s="14"/>
      <c r="F157" s="2089"/>
      <c r="J157" s="528"/>
      <c r="T157" s="13"/>
      <c r="X157" s="15"/>
      <c r="Y157" s="15"/>
      <c r="AJ157" s="13"/>
      <c r="BX157" s="13"/>
      <c r="BY157" s="13"/>
      <c r="CZ157" s="13"/>
      <c r="DG157" s="14"/>
      <c r="DI157" s="14"/>
      <c r="DJ157" s="14"/>
      <c r="DK157" s="14"/>
    </row>
    <row r="158" spans="1:141" s="21" customFormat="1" ht="14.1" customHeight="1" x14ac:dyDescent="0.2">
      <c r="E158" s="14"/>
      <c r="F158" s="2089"/>
      <c r="J158" s="528"/>
      <c r="T158" s="13"/>
      <c r="X158" s="15"/>
      <c r="Y158" s="15"/>
      <c r="AJ158" s="13"/>
      <c r="BX158" s="13"/>
      <c r="BY158" s="13"/>
      <c r="CZ158" s="13"/>
      <c r="DG158" s="14"/>
      <c r="DI158" s="14"/>
      <c r="DJ158" s="14"/>
      <c r="DK158" s="14"/>
    </row>
    <row r="159" spans="1:141" s="21" customFormat="1" ht="5.0999999999999996" customHeight="1" x14ac:dyDescent="0.2">
      <c r="E159" s="14"/>
      <c r="F159" s="2089"/>
      <c r="J159" s="1889"/>
      <c r="L159" s="1878"/>
      <c r="M159" s="1878"/>
      <c r="N159" s="1878"/>
      <c r="O159" s="1878"/>
      <c r="P159" s="1878"/>
      <c r="Q159" s="1878"/>
      <c r="R159" s="1878"/>
      <c r="S159" s="1878"/>
      <c r="T159" s="1170"/>
      <c r="U159" s="1878"/>
      <c r="V159" s="1878"/>
      <c r="W159" s="1878"/>
      <c r="X159" s="919"/>
      <c r="Y159" s="919"/>
      <c r="Z159" s="1878"/>
      <c r="AB159" s="1878"/>
      <c r="AC159" s="1878"/>
      <c r="AD159" s="1878"/>
      <c r="AE159" s="1878"/>
      <c r="AF159" s="1878"/>
      <c r="AG159" s="1878"/>
      <c r="AH159" s="1878"/>
      <c r="AI159" s="1878"/>
      <c r="AJ159" s="1170"/>
      <c r="AK159" s="1878"/>
      <c r="AM159" s="1878"/>
      <c r="AN159" s="1878"/>
      <c r="AO159" s="1878"/>
      <c r="AP159" s="1878"/>
      <c r="AQ159" s="1878"/>
      <c r="AR159" s="1878"/>
      <c r="AS159" s="1878"/>
      <c r="AT159" s="1878"/>
      <c r="AU159" s="1878"/>
      <c r="AV159" s="1878"/>
      <c r="AX159" s="1878"/>
      <c r="AY159" s="1878"/>
      <c r="AZ159" s="1878"/>
      <c r="BA159" s="1878"/>
      <c r="BB159" s="1878"/>
      <c r="BC159" s="1878"/>
      <c r="BD159" s="1878"/>
      <c r="BE159" s="1878"/>
      <c r="BF159" s="1878"/>
      <c r="BG159" s="1878"/>
      <c r="BH159" s="1878"/>
      <c r="BI159" s="1878"/>
      <c r="BJ159" s="1878"/>
      <c r="BK159" s="1878"/>
      <c r="BM159" s="1878"/>
      <c r="BN159" s="1878"/>
      <c r="BO159" s="1878"/>
      <c r="BP159" s="1878"/>
      <c r="BQ159" s="1878"/>
      <c r="BR159" s="1878"/>
      <c r="BS159" s="1878"/>
      <c r="BT159" s="1878"/>
      <c r="BU159" s="1878"/>
      <c r="BV159" s="1878"/>
      <c r="BW159" s="1878"/>
      <c r="BX159" s="1170"/>
      <c r="BY159" s="1170"/>
      <c r="BZ159" s="1878"/>
      <c r="CA159" s="1878"/>
      <c r="CB159" s="1878"/>
      <c r="CC159" s="1878"/>
      <c r="CD159" s="1878"/>
      <c r="CF159" s="1878"/>
      <c r="CZ159" s="13"/>
      <c r="DG159" s="14"/>
      <c r="DI159" s="14"/>
      <c r="DJ159" s="14"/>
      <c r="DK159" s="14"/>
    </row>
    <row r="160" spans="1:141" s="21" customFormat="1" ht="3.75" customHeight="1" x14ac:dyDescent="0.2">
      <c r="E160" s="14"/>
      <c r="F160" s="2089"/>
      <c r="J160" s="1890"/>
      <c r="T160" s="13"/>
      <c r="X160" s="15"/>
      <c r="Y160" s="15"/>
      <c r="AJ160" s="13"/>
      <c r="BX160" s="13"/>
      <c r="BY160" s="13"/>
      <c r="CZ160" s="13"/>
      <c r="DG160" s="14"/>
      <c r="DI160" s="14"/>
      <c r="DJ160" s="14"/>
      <c r="DK160" s="14"/>
    </row>
    <row r="161" spans="1:143" s="21" customFormat="1" ht="12" customHeight="1" thickBot="1" x14ac:dyDescent="0.25">
      <c r="J161" s="1889"/>
      <c r="L161" s="1891"/>
      <c r="M161" s="1891"/>
      <c r="N161" s="1891"/>
      <c r="O161" s="1891"/>
      <c r="P161" s="1891"/>
      <c r="Q161" s="1891"/>
      <c r="R161" s="1891"/>
      <c r="S161" s="1891"/>
      <c r="T161" s="1976"/>
      <c r="U161" s="1891"/>
      <c r="V161" s="1891"/>
      <c r="W161" s="1891"/>
      <c r="X161" s="2017"/>
      <c r="Y161" s="2017"/>
      <c r="Z161" s="1891"/>
      <c r="AB161" s="1891"/>
      <c r="AC161" s="1891"/>
      <c r="AD161" s="1891"/>
      <c r="AE161" s="1891"/>
      <c r="AF161" s="1891"/>
      <c r="AG161" s="1891"/>
      <c r="AH161" s="1891"/>
      <c r="AI161" s="1891"/>
      <c r="AJ161" s="1976"/>
      <c r="AK161" s="1891"/>
      <c r="AM161" s="1891"/>
      <c r="AN161" s="1891"/>
      <c r="AO161" s="1891"/>
      <c r="AP161" s="1891"/>
      <c r="AQ161" s="1891"/>
      <c r="AR161" s="1891"/>
      <c r="AS161" s="1891"/>
      <c r="AT161" s="1891"/>
      <c r="AU161" s="1891"/>
      <c r="AV161" s="1891"/>
      <c r="AX161" s="1891"/>
      <c r="AY161" s="1891"/>
      <c r="AZ161" s="1891"/>
      <c r="BA161" s="1891"/>
      <c r="BB161" s="1891"/>
      <c r="BC161" s="1891"/>
      <c r="BD161" s="1891"/>
      <c r="BE161" s="1891"/>
      <c r="BF161" s="1891"/>
      <c r="BG161" s="1891"/>
      <c r="BH161" s="1891"/>
      <c r="BI161" s="1891"/>
      <c r="BJ161" s="1891"/>
      <c r="BK161" s="1891"/>
      <c r="BM161" s="1891"/>
      <c r="BN161" s="1891"/>
      <c r="BO161" s="1891"/>
      <c r="BP161" s="1891"/>
      <c r="BQ161" s="1891"/>
      <c r="BR161" s="1891"/>
      <c r="BS161" s="1891"/>
      <c r="BT161" s="1891"/>
      <c r="BU161" s="1891"/>
      <c r="BV161" s="1891"/>
      <c r="BW161" s="1891"/>
      <c r="BX161" s="1891"/>
      <c r="BY161" s="1891"/>
      <c r="BZ161" s="1891"/>
      <c r="CA161" s="1891"/>
      <c r="CB161" s="1891"/>
      <c r="CC161" s="1891"/>
      <c r="CD161" s="1891"/>
      <c r="CF161" s="1891"/>
      <c r="CZ161" s="13"/>
      <c r="DG161" s="14"/>
      <c r="DI161" s="14"/>
      <c r="DJ161" s="14"/>
      <c r="DK161" s="14"/>
    </row>
    <row r="162" spans="1:143" s="21" customFormat="1" ht="15" customHeight="1" thickBot="1" x14ac:dyDescent="0.25">
      <c r="E162" s="14"/>
      <c r="F162" s="2089"/>
      <c r="J162" s="528"/>
      <c r="L162" s="593"/>
      <c r="M162" s="594"/>
      <c r="N162" s="594"/>
      <c r="O162" s="594"/>
      <c r="P162" s="594"/>
      <c r="Q162" s="594"/>
      <c r="R162" s="594"/>
      <c r="S162" s="594"/>
      <c r="T162" s="1977"/>
      <c r="U162" s="594"/>
      <c r="V162" s="594"/>
      <c r="W162" s="594"/>
      <c r="X162" s="596"/>
      <c r="Y162" s="596"/>
      <c r="Z162" s="595"/>
      <c r="AB162" s="593"/>
      <c r="AC162" s="594"/>
      <c r="AD162" s="594"/>
      <c r="AE162" s="594"/>
      <c r="AF162" s="594"/>
      <c r="AG162" s="594"/>
      <c r="AH162" s="594"/>
      <c r="AI162" s="594"/>
      <c r="AJ162" s="1977"/>
      <c r="AK162" s="597"/>
      <c r="AM162" s="593"/>
      <c r="AN162" s="594"/>
      <c r="AO162" s="594"/>
      <c r="AP162" s="594"/>
      <c r="AQ162" s="594"/>
      <c r="AR162" s="594"/>
      <c r="AS162" s="594"/>
      <c r="AT162" s="596"/>
      <c r="AU162" s="596"/>
      <c r="AV162" s="597"/>
      <c r="AX162" s="593"/>
      <c r="AY162" s="594"/>
      <c r="AZ162" s="594"/>
      <c r="BA162" s="594"/>
      <c r="BB162" s="594"/>
      <c r="BC162" s="594"/>
      <c r="BD162" s="596"/>
      <c r="BE162" s="596"/>
      <c r="BF162" s="596"/>
      <c r="BG162" s="596"/>
      <c r="BH162" s="596"/>
      <c r="BI162" s="596"/>
      <c r="BJ162" s="596"/>
      <c r="BK162" s="597"/>
      <c r="BM162" s="593"/>
      <c r="BN162" s="594"/>
      <c r="BO162" s="594"/>
      <c r="BP162" s="594"/>
      <c r="BQ162" s="594"/>
      <c r="BR162" s="594"/>
      <c r="BS162" s="596"/>
      <c r="BT162" s="596"/>
      <c r="BU162" s="596"/>
      <c r="BV162" s="596"/>
      <c r="BW162" s="596"/>
      <c r="BX162" s="596"/>
      <c r="BY162" s="596"/>
      <c r="BZ162" s="596"/>
      <c r="CA162" s="596"/>
      <c r="CB162" s="596"/>
      <c r="CC162" s="596"/>
      <c r="CD162" s="597"/>
      <c r="CF162" s="380"/>
      <c r="CZ162" s="13"/>
      <c r="DG162" s="14"/>
      <c r="DI162" s="14"/>
      <c r="DJ162" s="14"/>
      <c r="DK162" s="14"/>
      <c r="EL162" s="136"/>
      <c r="EM162" s="136"/>
    </row>
    <row r="163" spans="1:143" s="21" customFormat="1" ht="8.1" customHeight="1" thickBot="1" x14ac:dyDescent="0.25">
      <c r="E163" s="14"/>
      <c r="F163" s="14"/>
      <c r="J163" s="528"/>
      <c r="L163" s="14"/>
      <c r="M163" s="14"/>
      <c r="N163" s="14"/>
      <c r="O163" s="14"/>
      <c r="P163" s="14"/>
      <c r="Q163" s="14"/>
      <c r="R163" s="14"/>
      <c r="S163" s="14"/>
      <c r="T163" s="13"/>
      <c r="U163" s="14"/>
      <c r="V163" s="14"/>
      <c r="W163" s="14"/>
      <c r="X163" s="15"/>
      <c r="Y163" s="15"/>
      <c r="Z163" s="14"/>
      <c r="AB163" s="14"/>
      <c r="AC163" s="14"/>
      <c r="AD163" s="14"/>
      <c r="AE163" s="14"/>
      <c r="AF163" s="14"/>
      <c r="AG163" s="14"/>
      <c r="AH163" s="14"/>
      <c r="AI163" s="14"/>
      <c r="AJ163" s="13"/>
      <c r="AK163" s="15"/>
      <c r="AM163" s="14"/>
      <c r="AN163" s="14"/>
      <c r="AO163" s="14"/>
      <c r="AP163" s="14"/>
      <c r="AQ163" s="14"/>
      <c r="AR163" s="14"/>
      <c r="AS163" s="14"/>
      <c r="AT163" s="15"/>
      <c r="AU163" s="15"/>
      <c r="AV163" s="15"/>
      <c r="AX163" s="14"/>
      <c r="AY163" s="14"/>
      <c r="AZ163" s="14"/>
      <c r="BA163" s="14"/>
      <c r="BB163" s="14"/>
      <c r="BC163" s="14"/>
      <c r="BD163" s="15"/>
      <c r="BE163" s="15"/>
      <c r="BF163" s="15"/>
      <c r="BG163" s="15"/>
      <c r="BH163" s="15"/>
      <c r="BI163" s="15"/>
      <c r="BJ163" s="15"/>
      <c r="BK163" s="15"/>
      <c r="BM163" s="14"/>
      <c r="BN163" s="14"/>
      <c r="BO163" s="14"/>
      <c r="BP163" s="14"/>
      <c r="BQ163" s="14"/>
      <c r="BR163" s="14"/>
      <c r="BS163" s="15"/>
      <c r="BT163" s="15"/>
      <c r="BU163" s="15"/>
      <c r="BV163" s="15"/>
      <c r="BW163" s="15"/>
      <c r="BX163" s="15"/>
      <c r="BY163" s="15"/>
      <c r="BZ163" s="15"/>
      <c r="CA163" s="15"/>
      <c r="CB163" s="15"/>
      <c r="CC163" s="15"/>
      <c r="CD163" s="15"/>
      <c r="CF163" s="15"/>
      <c r="CZ163" s="13"/>
      <c r="DG163" s="14"/>
      <c r="DI163" s="14"/>
      <c r="DJ163" s="14"/>
      <c r="DK163" s="14"/>
      <c r="EL163" s="136"/>
      <c r="EM163" s="136"/>
    </row>
    <row r="164" spans="1:143" s="21" customFormat="1" ht="9.9499999999999993" customHeight="1" thickBot="1" x14ac:dyDescent="0.25">
      <c r="E164" s="14"/>
      <c r="F164" s="2089"/>
      <c r="J164" s="528"/>
      <c r="L164" s="509"/>
      <c r="M164" s="510"/>
      <c r="N164" s="510"/>
      <c r="O164" s="510"/>
      <c r="P164" s="510"/>
      <c r="Q164" s="510"/>
      <c r="R164" s="510"/>
      <c r="S164" s="510"/>
      <c r="T164" s="1986"/>
      <c r="U164" s="510"/>
      <c r="V164" s="510"/>
      <c r="W164" s="510"/>
      <c r="X164" s="2018"/>
      <c r="Y164" s="2018"/>
      <c r="Z164" s="511"/>
      <c r="AB164" s="516"/>
      <c r="AC164" s="517"/>
      <c r="AD164" s="517"/>
      <c r="AE164" s="517"/>
      <c r="AF164" s="517"/>
      <c r="AG164" s="517"/>
      <c r="AH164" s="517"/>
      <c r="AI164" s="517"/>
      <c r="AJ164" s="1978"/>
      <c r="AK164" s="518"/>
      <c r="AM164" s="516"/>
      <c r="AN164" s="517"/>
      <c r="AO164" s="517"/>
      <c r="AP164" s="517"/>
      <c r="AQ164" s="517"/>
      <c r="AR164" s="517"/>
      <c r="AS164" s="517"/>
      <c r="AT164" s="517"/>
      <c r="AU164" s="517"/>
      <c r="AV164" s="518"/>
      <c r="AX164" s="516"/>
      <c r="AY164" s="517"/>
      <c r="AZ164" s="517"/>
      <c r="BA164" s="517"/>
      <c r="BB164" s="517"/>
      <c r="BC164" s="517"/>
      <c r="BD164" s="517"/>
      <c r="BE164" s="517"/>
      <c r="BF164" s="517"/>
      <c r="BG164" s="517"/>
      <c r="BH164" s="517"/>
      <c r="BI164" s="517"/>
      <c r="BJ164" s="517"/>
      <c r="BK164" s="518"/>
      <c r="BM164" s="516"/>
      <c r="BN164" s="517"/>
      <c r="BO164" s="517"/>
      <c r="BP164" s="517"/>
      <c r="BQ164" s="517"/>
      <c r="BR164" s="517"/>
      <c r="BS164" s="517"/>
      <c r="BT164" s="517"/>
      <c r="BU164" s="517"/>
      <c r="BV164" s="517"/>
      <c r="BW164" s="517"/>
      <c r="BX164" s="517"/>
      <c r="BY164" s="517"/>
      <c r="BZ164" s="517"/>
      <c r="CA164" s="517"/>
      <c r="CB164" s="517"/>
      <c r="CC164" s="517"/>
      <c r="CD164" s="518"/>
      <c r="CF164" s="381"/>
      <c r="CZ164" s="13"/>
      <c r="DG164" s="14"/>
      <c r="DI164" s="14"/>
      <c r="DJ164" s="14"/>
      <c r="DK164" s="14"/>
    </row>
    <row r="165" spans="1:143" s="21" customFormat="1" ht="30" customHeight="1" thickBot="1" x14ac:dyDescent="0.4">
      <c r="E165" s="14"/>
      <c r="F165" s="2089"/>
      <c r="J165" s="528"/>
      <c r="L165" s="6541" t="s">
        <v>210</v>
      </c>
      <c r="M165" s="6542"/>
      <c r="N165" s="6542"/>
      <c r="O165" s="6543" t="str">
        <f>IF(Prosjektinfo!$AC$90&lt;=0,"lengde mangler",Prosjektinfo!$AC$90&amp;" ")</f>
        <v xml:space="preserve"> </v>
      </c>
      <c r="P165" s="6543"/>
      <c r="Q165" s="6543"/>
      <c r="R165" s="6543"/>
      <c r="S165" s="6543"/>
      <c r="T165" s="6543"/>
      <c r="U165" s="6543"/>
      <c r="V165" s="6543"/>
      <c r="W165" s="5979"/>
      <c r="X165" s="6267" t="str">
        <f>IF(Prosjektinfo!$AC$90&lt;=0,"","m")</f>
        <v>m</v>
      </c>
      <c r="Y165" s="6265" t="str">
        <f>IF(Prosjektinfo!$AC$90&lt;=0,"!","")</f>
        <v/>
      </c>
      <c r="Z165" s="512"/>
      <c r="AB165" s="519"/>
      <c r="AC165" s="381"/>
      <c r="AD165" s="6367" t="str">
        <f>_Calcs!QS135</f>
        <v>Stuff 2-1</v>
      </c>
      <c r="AE165" s="6367"/>
      <c r="AF165" s="6367"/>
      <c r="AG165" s="6367"/>
      <c r="AH165" s="6367"/>
      <c r="AI165" s="6367"/>
      <c r="AJ165" s="6367"/>
      <c r="AK165" s="520"/>
      <c r="AM165" s="519"/>
      <c r="AN165" s="381"/>
      <c r="AO165" s="6367" t="str">
        <f>_Calcs!QT135</f>
        <v>Stuff 2-2</v>
      </c>
      <c r="AP165" s="6367"/>
      <c r="AQ165" s="6367"/>
      <c r="AR165" s="6367"/>
      <c r="AS165" s="6367"/>
      <c r="AT165" s="6367"/>
      <c r="AU165" s="6367"/>
      <c r="AV165" s="520"/>
      <c r="AX165" s="519"/>
      <c r="AY165" s="381"/>
      <c r="AZ165" s="6367" t="str">
        <f>_Calcs!QU135</f>
        <v>Stuff 2-3</v>
      </c>
      <c r="BA165" s="6367"/>
      <c r="BB165" s="6367"/>
      <c r="BC165" s="6367"/>
      <c r="BD165" s="6367"/>
      <c r="BE165" s="6367"/>
      <c r="BF165" s="6367"/>
      <c r="BG165" s="6367"/>
      <c r="BH165" s="6367"/>
      <c r="BI165" s="6367"/>
      <c r="BJ165" s="6367"/>
      <c r="BK165" s="520"/>
      <c r="BM165" s="519"/>
      <c r="BN165" s="381"/>
      <c r="BO165" s="6367" t="str">
        <f>_Calcs!QV135</f>
        <v>Stuff 2-4</v>
      </c>
      <c r="BP165" s="6367"/>
      <c r="BQ165" s="6367"/>
      <c r="BR165" s="6367"/>
      <c r="BS165" s="6367"/>
      <c r="BT165" s="6367"/>
      <c r="BU165" s="6367"/>
      <c r="BV165" s="6367"/>
      <c r="BW165" s="6367"/>
      <c r="BX165" s="6367"/>
      <c r="BY165" s="6367"/>
      <c r="BZ165" s="6367"/>
      <c r="CA165" s="6367"/>
      <c r="CB165" s="6367"/>
      <c r="CC165" s="6367"/>
      <c r="CD165" s="520"/>
      <c r="CF165" s="381"/>
      <c r="CZ165" s="13"/>
      <c r="DG165" s="14"/>
      <c r="DI165" s="14"/>
      <c r="DJ165" s="14"/>
      <c r="DK165" s="14"/>
    </row>
    <row r="166" spans="1:143" s="21" customFormat="1" ht="9.9499999999999993" customHeight="1" thickBot="1" x14ac:dyDescent="0.25">
      <c r="E166" s="14"/>
      <c r="F166" s="2089"/>
      <c r="J166" s="528"/>
      <c r="L166" s="513"/>
      <c r="M166" s="514"/>
      <c r="N166" s="514"/>
      <c r="O166" s="514"/>
      <c r="P166" s="514"/>
      <c r="Q166" s="514"/>
      <c r="R166" s="514"/>
      <c r="S166" s="514"/>
      <c r="T166" s="1987"/>
      <c r="U166" s="514"/>
      <c r="V166" s="514"/>
      <c r="W166" s="514"/>
      <c r="X166" s="2019"/>
      <c r="Y166" s="2019"/>
      <c r="Z166" s="515"/>
      <c r="AB166" s="521"/>
      <c r="AC166" s="522"/>
      <c r="AD166" s="522"/>
      <c r="AE166" s="522"/>
      <c r="AF166" s="522"/>
      <c r="AG166" s="522"/>
      <c r="AH166" s="522"/>
      <c r="AI166" s="522"/>
      <c r="AJ166" s="1979"/>
      <c r="AK166" s="523"/>
      <c r="AM166" s="521"/>
      <c r="AN166" s="522"/>
      <c r="AO166" s="522"/>
      <c r="AP166" s="522"/>
      <c r="AQ166" s="522"/>
      <c r="AR166" s="522"/>
      <c r="AS166" s="522"/>
      <c r="AT166" s="522"/>
      <c r="AU166" s="522"/>
      <c r="AV166" s="523"/>
      <c r="AX166" s="521"/>
      <c r="AY166" s="522"/>
      <c r="AZ166" s="522"/>
      <c r="BA166" s="522"/>
      <c r="BB166" s="522"/>
      <c r="BC166" s="522"/>
      <c r="BD166" s="522"/>
      <c r="BE166" s="522"/>
      <c r="BF166" s="522"/>
      <c r="BG166" s="522"/>
      <c r="BH166" s="522"/>
      <c r="BI166" s="522"/>
      <c r="BJ166" s="522"/>
      <c r="BK166" s="523"/>
      <c r="BM166" s="521"/>
      <c r="BN166" s="522"/>
      <c r="BO166" s="522"/>
      <c r="BP166" s="522"/>
      <c r="BQ166" s="522"/>
      <c r="BR166" s="522"/>
      <c r="BS166" s="522"/>
      <c r="BT166" s="522"/>
      <c r="BU166" s="522"/>
      <c r="BV166" s="522"/>
      <c r="BW166" s="522"/>
      <c r="BX166" s="522"/>
      <c r="BY166" s="522"/>
      <c r="BZ166" s="522"/>
      <c r="CA166" s="522"/>
      <c r="CB166" s="522"/>
      <c r="CC166" s="522"/>
      <c r="CD166" s="523"/>
      <c r="CF166" s="381"/>
      <c r="CZ166" s="13"/>
      <c r="DG166" s="14"/>
      <c r="DI166" s="14"/>
      <c r="DJ166" s="14"/>
      <c r="DK166" s="14"/>
    </row>
    <row r="167" spans="1:143" s="21" customFormat="1" ht="12.95" customHeight="1" thickBot="1" x14ac:dyDescent="0.25">
      <c r="E167" s="14"/>
      <c r="F167" s="2089"/>
      <c r="J167" s="528"/>
      <c r="T167" s="13"/>
      <c r="X167" s="15"/>
      <c r="Y167" s="15"/>
      <c r="AJ167" s="13"/>
      <c r="BX167" s="13"/>
      <c r="BY167" s="13"/>
      <c r="CZ167" s="13"/>
      <c r="DG167" s="14"/>
      <c r="DI167" s="14"/>
      <c r="DJ167" s="14"/>
      <c r="DK167" s="14"/>
    </row>
    <row r="168" spans="1:143" s="21" customFormat="1" ht="15" customHeight="1" thickBot="1" x14ac:dyDescent="0.25">
      <c r="A168" s="21" t="s">
        <v>408</v>
      </c>
      <c r="B168" s="2239">
        <v>5</v>
      </c>
      <c r="C168" s="2239"/>
      <c r="D168" s="2239">
        <v>6</v>
      </c>
      <c r="E168" s="2239">
        <v>7</v>
      </c>
      <c r="F168" s="2089">
        <v>8</v>
      </c>
      <c r="J168" s="528"/>
      <c r="L168" s="2258"/>
      <c r="M168" s="2259"/>
      <c r="N168" s="2259"/>
      <c r="O168" s="2259"/>
      <c r="P168" s="2259"/>
      <c r="Q168" s="2259"/>
      <c r="R168" s="2259"/>
      <c r="S168" s="2259"/>
      <c r="T168" s="2260"/>
      <c r="U168" s="2259"/>
      <c r="V168" s="2259"/>
      <c r="W168" s="2259"/>
      <c r="X168" s="2236"/>
      <c r="Y168" s="2236"/>
      <c r="Z168" s="2261"/>
      <c r="AB168" s="2262"/>
      <c r="AC168" s="2263"/>
      <c r="AD168" s="2263"/>
      <c r="AE168" s="2263"/>
      <c r="AF168" s="2263"/>
      <c r="AG168" s="2263"/>
      <c r="AH168" s="2263"/>
      <c r="AI168" s="2263"/>
      <c r="AJ168" s="2264"/>
      <c r="AK168" s="2265"/>
      <c r="AM168" s="2262"/>
      <c r="AN168" s="2263"/>
      <c r="AO168" s="2263"/>
      <c r="AP168" s="2263"/>
      <c r="AQ168" s="2263"/>
      <c r="AR168" s="2263"/>
      <c r="AS168" s="2263"/>
      <c r="AT168" s="2263"/>
      <c r="AU168" s="2263"/>
      <c r="AV168" s="2265"/>
      <c r="AX168" s="2262"/>
      <c r="AY168" s="2263"/>
      <c r="AZ168" s="2263"/>
      <c r="BA168" s="2263"/>
      <c r="BB168" s="2263"/>
      <c r="BC168" s="2263"/>
      <c r="BD168" s="2263"/>
      <c r="BE168" s="2263"/>
      <c r="BF168" s="2263"/>
      <c r="BG168" s="2263"/>
      <c r="BH168" s="2263"/>
      <c r="BI168" s="2263"/>
      <c r="BJ168" s="2263"/>
      <c r="BK168" s="2265"/>
      <c r="BM168" s="2262"/>
      <c r="BN168" s="2263"/>
      <c r="BO168" s="2263"/>
      <c r="BP168" s="2263"/>
      <c r="BQ168" s="2263"/>
      <c r="BR168" s="2263"/>
      <c r="BS168" s="2263"/>
      <c r="BT168" s="2263"/>
      <c r="BU168" s="2263"/>
      <c r="BV168" s="2263"/>
      <c r="BW168" s="2263"/>
      <c r="BX168" s="2264"/>
      <c r="BY168" s="2264"/>
      <c r="BZ168" s="2263"/>
      <c r="CA168" s="2263"/>
      <c r="CB168" s="2263"/>
      <c r="CC168" s="2263"/>
      <c r="CD168" s="2265"/>
      <c r="CF168" s="2266"/>
      <c r="CZ168" s="13"/>
      <c r="DG168" s="14"/>
      <c r="DI168" s="14"/>
      <c r="DJ168" s="14"/>
      <c r="DK168" s="14"/>
    </row>
    <row r="169" spans="1:143" s="21" customFormat="1" ht="20.100000000000001" customHeight="1" thickBot="1" x14ac:dyDescent="0.25">
      <c r="A169" s="21" t="s">
        <v>409</v>
      </c>
      <c r="B169" s="14" t="str">
        <f>$EM$94&amp;B168</f>
        <v>111A05</v>
      </c>
      <c r="C169" s="14"/>
      <c r="D169" s="14" t="str">
        <f>$EM$94&amp;D168</f>
        <v>111A06</v>
      </c>
      <c r="E169" s="14" t="str">
        <f>$EM$94&amp;E168</f>
        <v>111A07</v>
      </c>
      <c r="F169" s="2089" t="str">
        <f>$EM$94&amp;F168</f>
        <v>111A08</v>
      </c>
      <c r="J169" s="528"/>
      <c r="L169" s="2240"/>
      <c r="M169" s="524" t="str">
        <f>M137</f>
        <v>Stuffnavn</v>
      </c>
      <c r="N169" s="524"/>
      <c r="O169" s="524"/>
      <c r="P169" s="524"/>
      <c r="Q169" s="524"/>
      <c r="R169" s="524"/>
      <c r="S169" s="524"/>
      <c r="T169" s="2070" t="s">
        <v>149</v>
      </c>
      <c r="U169" s="120"/>
      <c r="V169" s="524"/>
      <c r="W169" s="524"/>
      <c r="X169" s="2241"/>
      <c r="Y169" s="2241"/>
      <c r="Z169" s="2242"/>
      <c r="AB169" s="2267"/>
      <c r="AC169" s="2268"/>
      <c r="AD169" s="6379" t="s">
        <v>488</v>
      </c>
      <c r="AE169" s="6379"/>
      <c r="AF169" s="6379"/>
      <c r="AG169" s="6379"/>
      <c r="AH169" s="6379"/>
      <c r="AI169" s="2268"/>
      <c r="AJ169" s="30" t="str">
        <f>IF(OR($AD$169="",_Calcs!$QS$132&gt;1),"!","✓")</f>
        <v>!</v>
      </c>
      <c r="AK169" s="2269"/>
      <c r="AM169" s="2267"/>
      <c r="AN169" s="2268"/>
      <c r="AO169" s="6393" t="s">
        <v>484</v>
      </c>
      <c r="AP169" s="6394"/>
      <c r="AQ169" s="6394"/>
      <c r="AR169" s="6394"/>
      <c r="AS169" s="6395"/>
      <c r="AT169" s="2268"/>
      <c r="AU169" s="30" t="str">
        <f>IF(OR($AO$169="",_Calcs!$QT$132&gt;1),"!","✓")</f>
        <v>!</v>
      </c>
      <c r="AV169" s="2269"/>
      <c r="AX169" s="2267"/>
      <c r="AY169" s="2268"/>
      <c r="AZ169" s="6379" t="s">
        <v>489</v>
      </c>
      <c r="BA169" s="6379"/>
      <c r="BB169" s="6379"/>
      <c r="BC169" s="6379"/>
      <c r="BD169" s="6379"/>
      <c r="BE169" s="6379"/>
      <c r="BF169" s="6379"/>
      <c r="BG169" s="6379"/>
      <c r="BH169" s="6379"/>
      <c r="BI169" s="2268"/>
      <c r="BJ169" s="30" t="str">
        <f>IF(OR($AZ$169="",_Calcs!$QU$132&gt;1),"!","✓")</f>
        <v>!</v>
      </c>
      <c r="BK169" s="2269"/>
      <c r="BM169" s="2267"/>
      <c r="BN169" s="2268"/>
      <c r="BO169" s="6379" t="s">
        <v>490</v>
      </c>
      <c r="BP169" s="6379"/>
      <c r="BQ169" s="6379"/>
      <c r="BR169" s="6379"/>
      <c r="BS169" s="6379"/>
      <c r="BT169" s="6379"/>
      <c r="BU169" s="6379"/>
      <c r="BV169" s="6379"/>
      <c r="BW169" s="6379"/>
      <c r="BX169" s="6379"/>
      <c r="BY169" s="6379"/>
      <c r="BZ169" s="6379"/>
      <c r="CA169" s="6379"/>
      <c r="CB169" s="2268"/>
      <c r="CC169" s="30" t="str">
        <f>IF(OR($BO$169="",_Calcs!$QV$132&gt;1),"!","✓")</f>
        <v>!</v>
      </c>
      <c r="CD169" s="2269"/>
      <c r="CF169" s="2266"/>
      <c r="CZ169" s="13"/>
      <c r="DG169" s="14"/>
      <c r="DI169" s="14"/>
      <c r="DJ169" s="14"/>
      <c r="DK169" s="14"/>
    </row>
    <row r="170" spans="1:143" s="21" customFormat="1" ht="15" customHeight="1" thickBot="1" x14ac:dyDescent="0.25">
      <c r="A170" s="14" t="s">
        <v>266</v>
      </c>
      <c r="B170" s="14" t="str">
        <f>IF(B$140=1,"endrift",IF(B$140=2,"vekdrift",""))</f>
        <v>endrift</v>
      </c>
      <c r="C170" s="14"/>
      <c r="D170" s="14" t="str">
        <f>IF(D$140=1,"endrift",IF(D$140=2,"vekdrift",""))</f>
        <v>endrift</v>
      </c>
      <c r="E170" s="14" t="str">
        <f>IF(E$140=1,"endrift",IF(E$140=2,"vekdrift",""))</f>
        <v>endrift</v>
      </c>
      <c r="F170" s="2089" t="str">
        <f>IF(F$140=1,"endrift",IF(F$140=2,"vekdrift",""))</f>
        <v>endrift</v>
      </c>
      <c r="J170" s="528"/>
      <c r="L170" s="2240"/>
      <c r="M170" s="525"/>
      <c r="N170" s="524"/>
      <c r="O170" s="524"/>
      <c r="P170" s="524"/>
      <c r="Q170" s="524"/>
      <c r="R170" s="524"/>
      <c r="S170" s="524"/>
      <c r="T170" s="834"/>
      <c r="U170" s="113"/>
      <c r="V170" s="524"/>
      <c r="W170" s="524"/>
      <c r="X170" s="2245"/>
      <c r="Y170" s="2245"/>
      <c r="Z170" s="2242"/>
      <c r="AB170" s="2267"/>
      <c r="AC170" s="2268"/>
      <c r="AD170" s="531"/>
      <c r="AE170" s="531"/>
      <c r="AF170" s="531"/>
      <c r="AG170" s="531"/>
      <c r="AH170" s="2268"/>
      <c r="AI170" s="2268"/>
      <c r="AJ170" s="2270"/>
      <c r="AK170" s="2269"/>
      <c r="AM170" s="2267"/>
      <c r="AN170" s="2268"/>
      <c r="AO170" s="531"/>
      <c r="AP170" s="2268"/>
      <c r="AQ170" s="2268"/>
      <c r="AR170" s="2268"/>
      <c r="AS170" s="2268"/>
      <c r="AT170" s="2268"/>
      <c r="AU170" s="2268"/>
      <c r="AV170" s="2269"/>
      <c r="AX170" s="2267"/>
      <c r="AY170" s="2268"/>
      <c r="AZ170" s="531"/>
      <c r="BA170" s="2268"/>
      <c r="BB170" s="2268"/>
      <c r="BC170" s="2268"/>
      <c r="BD170" s="2268"/>
      <c r="BE170" s="2268"/>
      <c r="BF170" s="2268"/>
      <c r="BG170" s="2268"/>
      <c r="BH170" s="2268"/>
      <c r="BI170" s="2268"/>
      <c r="BJ170" s="2268"/>
      <c r="BK170" s="2269"/>
      <c r="BM170" s="2267"/>
      <c r="BN170" s="2268"/>
      <c r="BO170" s="531"/>
      <c r="BP170" s="2268"/>
      <c r="BQ170" s="2268"/>
      <c r="BR170" s="2268"/>
      <c r="BS170" s="2268"/>
      <c r="BT170" s="2268"/>
      <c r="BU170" s="2268"/>
      <c r="BV170" s="2268"/>
      <c r="BW170" s="2268"/>
      <c r="BX170" s="2270"/>
      <c r="BY170" s="2270"/>
      <c r="BZ170" s="2268"/>
      <c r="CA170" s="2268"/>
      <c r="CB170" s="2268"/>
      <c r="CC170" s="2268"/>
      <c r="CD170" s="2269"/>
      <c r="CF170" s="2266"/>
      <c r="CZ170" s="13"/>
      <c r="DG170" s="14"/>
      <c r="DI170" s="14"/>
      <c r="DJ170" s="14"/>
      <c r="DK170" s="14"/>
    </row>
    <row r="171" spans="1:143" s="21" customFormat="1" ht="20.100000000000001" customHeight="1" thickBot="1" x14ac:dyDescent="0.25">
      <c r="A171" s="14" t="s">
        <v>265</v>
      </c>
      <c r="B171" s="21">
        <f>IF($F$13=1,1,IF(AND($F$13=3),B140,IF($F$13=2,2,0)))</f>
        <v>1</v>
      </c>
      <c r="D171" s="21">
        <f>IF($F$13=1,1,IF(AND($F$13=3),D140,IF($F$13=2,2,0)))</f>
        <v>1</v>
      </c>
      <c r="E171" s="14">
        <f>IF($F$13=1,1,IF(AND($F$13=3),E140,IF($F$13=2,2,0)))</f>
        <v>1</v>
      </c>
      <c r="F171" s="21">
        <f>IF($F$13=1,1,IF(AND($F$13=3),F140,IF($F$13=2,2,0)))</f>
        <v>1</v>
      </c>
      <c r="J171" s="528"/>
      <c r="L171" s="2240"/>
      <c r="M171" s="524" t="str">
        <f>M139</f>
        <v>Stufflengde</v>
      </c>
      <c r="N171" s="524"/>
      <c r="O171" s="524"/>
      <c r="P171" s="524"/>
      <c r="Q171" s="524"/>
      <c r="R171" s="524"/>
      <c r="S171" s="524"/>
      <c r="T171" s="2070" t="s">
        <v>149</v>
      </c>
      <c r="U171" s="120"/>
      <c r="V171" s="524"/>
      <c r="W171" s="524"/>
      <c r="X171" s="2245" t="s">
        <v>78</v>
      </c>
      <c r="Y171" s="2245"/>
      <c r="Z171" s="2242"/>
      <c r="AB171" s="2267"/>
      <c r="AC171" s="2268"/>
      <c r="AD171" s="6376">
        <f>IF(B176&lt;=0,0,B176)</f>
        <v>0</v>
      </c>
      <c r="AE171" s="6377"/>
      <c r="AF171" s="6377"/>
      <c r="AG171" s="6377"/>
      <c r="AH171" s="6378"/>
      <c r="AI171" s="2268"/>
      <c r="AJ171" s="30" t="str">
        <f>IF(AND(B176&gt;0),"✓","!")</f>
        <v>!</v>
      </c>
      <c r="AK171" s="2269"/>
      <c r="AM171" s="2267"/>
      <c r="AN171" s="2268"/>
      <c r="AO171" s="6380"/>
      <c r="AP171" s="6381"/>
      <c r="AQ171" s="6381"/>
      <c r="AR171" s="6381"/>
      <c r="AS171" s="6382"/>
      <c r="AT171" s="2268"/>
      <c r="AU171" s="30" t="str">
        <f>IF(AND(D176&gt;0,D176&lt;_Calcs!$BH$33),"✓","!")</f>
        <v>!</v>
      </c>
      <c r="AV171" s="2269"/>
      <c r="AX171" s="2267"/>
      <c r="AY171" s="2268"/>
      <c r="AZ171" s="6389"/>
      <c r="BA171" s="6389"/>
      <c r="BB171" s="6389"/>
      <c r="BC171" s="6389"/>
      <c r="BD171" s="6389"/>
      <c r="BE171" s="6389"/>
      <c r="BF171" s="6389"/>
      <c r="BG171" s="6389"/>
      <c r="BH171" s="6389"/>
      <c r="BI171" s="2268"/>
      <c r="BJ171" s="30" t="str">
        <f>IF(AND(E176&gt;0,E176&lt;_Calcs!$BH$33),"✓","!")</f>
        <v>!</v>
      </c>
      <c r="BK171" s="2269"/>
      <c r="BM171" s="2267"/>
      <c r="BN171" s="2268"/>
      <c r="BO171" s="6389"/>
      <c r="BP171" s="6389"/>
      <c r="BQ171" s="6389"/>
      <c r="BR171" s="6389"/>
      <c r="BS171" s="6389"/>
      <c r="BT171" s="6389"/>
      <c r="BU171" s="6389"/>
      <c r="BV171" s="6389"/>
      <c r="BW171" s="6389"/>
      <c r="BX171" s="6389"/>
      <c r="BY171" s="6389"/>
      <c r="BZ171" s="6389"/>
      <c r="CA171" s="6389"/>
      <c r="CB171" s="2268"/>
      <c r="CC171" s="30" t="str">
        <f>IF(AND(F176&gt;0,F176&lt;_Calcs!$BH$33),"✓","!")</f>
        <v>!</v>
      </c>
      <c r="CD171" s="2269"/>
      <c r="CF171" s="2266"/>
      <c r="CZ171" s="13"/>
      <c r="DG171" s="14"/>
      <c r="DI171" s="14"/>
      <c r="DJ171" s="14"/>
      <c r="DK171" s="14"/>
    </row>
    <row r="172" spans="1:143" s="21" customFormat="1" ht="15" customHeight="1" thickBot="1" x14ac:dyDescent="0.25">
      <c r="A172" s="21" t="s">
        <v>479</v>
      </c>
      <c r="B172" s="21">
        <f>B141</f>
        <v>1</v>
      </c>
      <c r="D172" s="21">
        <f>D141</f>
        <v>1</v>
      </c>
      <c r="E172" s="14">
        <f>E141</f>
        <v>1</v>
      </c>
      <c r="F172" s="2089">
        <f>F141</f>
        <v>1</v>
      </c>
      <c r="J172" s="528"/>
      <c r="L172" s="2240"/>
      <c r="M172" s="524"/>
      <c r="N172" s="524"/>
      <c r="O172" s="524"/>
      <c r="P172" s="524"/>
      <c r="Q172" s="524"/>
      <c r="R172" s="524"/>
      <c r="S172" s="524"/>
      <c r="T172" s="834"/>
      <c r="U172" s="113"/>
      <c r="V172" s="524"/>
      <c r="W172" s="524"/>
      <c r="X172" s="2245"/>
      <c r="Y172" s="2245"/>
      <c r="Z172" s="2242"/>
      <c r="AB172" s="2267"/>
      <c r="AC172" s="2268"/>
      <c r="AD172" s="531"/>
      <c r="AE172" s="531"/>
      <c r="AF172" s="531"/>
      <c r="AG172" s="531"/>
      <c r="AH172" s="2268"/>
      <c r="AI172" s="2268"/>
      <c r="AJ172" s="2270"/>
      <c r="AK172" s="2269"/>
      <c r="AM172" s="2267"/>
      <c r="AN172" s="2268"/>
      <c r="AO172" s="531"/>
      <c r="AP172" s="2268"/>
      <c r="AQ172" s="2268"/>
      <c r="AR172" s="2268"/>
      <c r="AS172" s="2268"/>
      <c r="AT172" s="2268"/>
      <c r="AU172" s="2268"/>
      <c r="AV172" s="2269"/>
      <c r="AX172" s="2267"/>
      <c r="AY172" s="2268"/>
      <c r="AZ172" s="531"/>
      <c r="BA172" s="2268"/>
      <c r="BB172" s="2268"/>
      <c r="BC172" s="2268"/>
      <c r="BD172" s="2268"/>
      <c r="BE172" s="2268"/>
      <c r="BF172" s="2268"/>
      <c r="BG172" s="2268"/>
      <c r="BH172" s="2268"/>
      <c r="BI172" s="2268"/>
      <c r="BJ172" s="2268"/>
      <c r="BK172" s="2269"/>
      <c r="BM172" s="2267"/>
      <c r="BN172" s="2268"/>
      <c r="BO172" s="531"/>
      <c r="BP172" s="2268"/>
      <c r="BQ172" s="2268"/>
      <c r="BR172" s="2268"/>
      <c r="BS172" s="2268"/>
      <c r="BT172" s="2268"/>
      <c r="BU172" s="2268"/>
      <c r="BV172" s="2268"/>
      <c r="BW172" s="2268"/>
      <c r="BX172" s="2270"/>
      <c r="BY172" s="2270"/>
      <c r="BZ172" s="2268"/>
      <c r="CA172" s="2268"/>
      <c r="CB172" s="2268"/>
      <c r="CC172" s="2268"/>
      <c r="CD172" s="2269"/>
      <c r="CF172" s="2266"/>
      <c r="CZ172" s="13"/>
      <c r="DG172" s="14"/>
      <c r="DI172" s="14"/>
      <c r="DJ172" s="14"/>
      <c r="DK172" s="14"/>
    </row>
    <row r="173" spans="1:143" s="21" customFormat="1" ht="20.100000000000001" customHeight="1" thickBot="1" x14ac:dyDescent="0.25">
      <c r="A173" s="21" t="s">
        <v>481</v>
      </c>
      <c r="E173" s="14"/>
      <c r="F173" s="2089"/>
      <c r="J173" s="528"/>
      <c r="L173" s="2240"/>
      <c r="M173" s="524" t="str">
        <f>M141</f>
        <v>Forskjøvet oppstart</v>
      </c>
      <c r="N173" s="524"/>
      <c r="O173" s="524"/>
      <c r="P173" s="524"/>
      <c r="Q173" s="524"/>
      <c r="R173" s="524"/>
      <c r="S173" s="524"/>
      <c r="T173" s="2070" t="s">
        <v>149</v>
      </c>
      <c r="U173" s="120"/>
      <c r="V173" s="524"/>
      <c r="W173" s="524"/>
      <c r="X173" s="2245" t="s">
        <v>146</v>
      </c>
      <c r="Y173" s="2245"/>
      <c r="Z173" s="2242"/>
      <c r="AB173" s="2267"/>
      <c r="AC173" s="2268"/>
      <c r="AD173" s="6375"/>
      <c r="AE173" s="6375"/>
      <c r="AF173" s="6375"/>
      <c r="AG173" s="6375"/>
      <c r="AH173" s="6375"/>
      <c r="AI173" s="2268"/>
      <c r="AJ173" s="30" t="str">
        <f>IF(AD173="","!","✓")</f>
        <v>!</v>
      </c>
      <c r="AK173" s="2269"/>
      <c r="AM173" s="2267"/>
      <c r="AN173" s="2268"/>
      <c r="AO173" s="6384"/>
      <c r="AP173" s="6385"/>
      <c r="AQ173" s="6385"/>
      <c r="AR173" s="6385"/>
      <c r="AS173" s="6386"/>
      <c r="AT173" s="2268"/>
      <c r="AU173" s="30" t="str">
        <f>IF(AO173="","!","✓")</f>
        <v>!</v>
      </c>
      <c r="AV173" s="2269"/>
      <c r="AX173" s="2267"/>
      <c r="AY173" s="2268"/>
      <c r="AZ173" s="6375"/>
      <c r="BA173" s="6375"/>
      <c r="BB173" s="6375"/>
      <c r="BC173" s="6375"/>
      <c r="BD173" s="6375"/>
      <c r="BE173" s="6375"/>
      <c r="BF173" s="6375"/>
      <c r="BG173" s="6375"/>
      <c r="BH173" s="6375"/>
      <c r="BI173" s="2268"/>
      <c r="BJ173" s="30" t="str">
        <f>IF(AZ173="","!","✓")</f>
        <v>!</v>
      </c>
      <c r="BK173" s="2269"/>
      <c r="BM173" s="2267"/>
      <c r="BN173" s="2268"/>
      <c r="BO173" s="6375"/>
      <c r="BP173" s="6375"/>
      <c r="BQ173" s="6375"/>
      <c r="BR173" s="6375"/>
      <c r="BS173" s="6375"/>
      <c r="BT173" s="6375"/>
      <c r="BU173" s="6375"/>
      <c r="BV173" s="6375"/>
      <c r="BW173" s="6375"/>
      <c r="BX173" s="6375"/>
      <c r="BY173" s="6375"/>
      <c r="BZ173" s="6375"/>
      <c r="CA173" s="6375"/>
      <c r="CB173" s="2268"/>
      <c r="CC173" s="30" t="str">
        <f>IF(BO173="","!","✓")</f>
        <v>!</v>
      </c>
      <c r="CD173" s="2269"/>
      <c r="CF173" s="2266"/>
      <c r="CZ173" s="13"/>
      <c r="DG173" s="14"/>
      <c r="DI173" s="14"/>
      <c r="DJ173" s="14"/>
      <c r="DK173" s="14"/>
    </row>
    <row r="174" spans="1:143" s="21" customFormat="1" ht="15" customHeight="1" thickBot="1" x14ac:dyDescent="0.25">
      <c r="A174" s="21" t="s">
        <v>482</v>
      </c>
      <c r="E174" s="14"/>
      <c r="F174" s="2089"/>
      <c r="J174" s="528"/>
      <c r="L174" s="2252"/>
      <c r="M174" s="526"/>
      <c r="N174" s="526"/>
      <c r="O174" s="526"/>
      <c r="P174" s="526"/>
      <c r="Q174" s="526"/>
      <c r="R174" s="526"/>
      <c r="S174" s="526"/>
      <c r="T174" s="2253"/>
      <c r="U174" s="2254"/>
      <c r="V174" s="2254"/>
      <c r="W174" s="2254"/>
      <c r="X174" s="2254"/>
      <c r="Y174" s="2254"/>
      <c r="Z174" s="2255"/>
      <c r="AB174" s="2271"/>
      <c r="AC174" s="2272"/>
      <c r="AD174" s="2272"/>
      <c r="AE174" s="2272"/>
      <c r="AF174" s="2272"/>
      <c r="AG174" s="2272"/>
      <c r="AH174" s="2272"/>
      <c r="AI174" s="2272"/>
      <c r="AJ174" s="2273"/>
      <c r="AK174" s="2274"/>
      <c r="AM174" s="2271"/>
      <c r="AN174" s="2272"/>
      <c r="AO174" s="2272"/>
      <c r="AP174" s="2272"/>
      <c r="AQ174" s="2272"/>
      <c r="AR174" s="2272"/>
      <c r="AS174" s="2272"/>
      <c r="AT174" s="2272"/>
      <c r="AU174" s="2272"/>
      <c r="AV174" s="2274"/>
      <c r="AX174" s="2271"/>
      <c r="AY174" s="2272"/>
      <c r="AZ174" s="2272"/>
      <c r="BA174" s="2272"/>
      <c r="BB174" s="2272"/>
      <c r="BC174" s="2272"/>
      <c r="BD174" s="2272"/>
      <c r="BE174" s="2272"/>
      <c r="BF174" s="2272"/>
      <c r="BG174" s="2272"/>
      <c r="BH174" s="2272"/>
      <c r="BI174" s="2272"/>
      <c r="BJ174" s="2272"/>
      <c r="BK174" s="2274"/>
      <c r="BM174" s="2271"/>
      <c r="BN174" s="2272"/>
      <c r="BO174" s="2272"/>
      <c r="BP174" s="2272"/>
      <c r="BQ174" s="2272"/>
      <c r="BR174" s="2272"/>
      <c r="BS174" s="2272"/>
      <c r="BT174" s="2272"/>
      <c r="BU174" s="2272"/>
      <c r="BV174" s="2272"/>
      <c r="BW174" s="2272"/>
      <c r="BX174" s="2273"/>
      <c r="BY174" s="2273"/>
      <c r="BZ174" s="2272"/>
      <c r="CA174" s="2272"/>
      <c r="CB174" s="2272"/>
      <c r="CC174" s="2272"/>
      <c r="CD174" s="2274"/>
      <c r="CF174" s="2266"/>
      <c r="CZ174" s="13"/>
      <c r="DG174" s="14"/>
      <c r="DI174" s="14"/>
      <c r="DJ174" s="14"/>
      <c r="DK174" s="14"/>
    </row>
    <row r="175" spans="1:143" s="21" customFormat="1" ht="9.9499999999999993" customHeight="1" thickBot="1" x14ac:dyDescent="0.25">
      <c r="E175" s="14"/>
      <c r="F175" s="2089"/>
      <c r="J175" s="528"/>
      <c r="L175" s="136"/>
      <c r="M175" s="136"/>
      <c r="N175" s="136"/>
      <c r="O175" s="136"/>
      <c r="P175" s="136"/>
      <c r="Q175" s="136"/>
      <c r="R175" s="136"/>
      <c r="S175" s="136"/>
      <c r="T175" s="16"/>
      <c r="U175" s="17"/>
      <c r="V175" s="17"/>
      <c r="W175" s="17"/>
      <c r="X175" s="17"/>
      <c r="Y175" s="17"/>
      <c r="Z175" s="17"/>
      <c r="AA175" s="136"/>
      <c r="AB175" s="136"/>
      <c r="AC175" s="136"/>
      <c r="AD175" s="136"/>
      <c r="AE175" s="136"/>
      <c r="AF175" s="136"/>
      <c r="AG175" s="136"/>
      <c r="AH175" s="136"/>
      <c r="AI175" s="136"/>
      <c r="AJ175" s="1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6"/>
      <c r="BY175" s="16"/>
      <c r="BZ175" s="136"/>
      <c r="CA175" s="136"/>
      <c r="CB175" s="136"/>
      <c r="CC175" s="136"/>
      <c r="CD175" s="136"/>
      <c r="CE175" s="136"/>
      <c r="CF175" s="136"/>
      <c r="CG175" s="136"/>
      <c r="CH175" s="136"/>
      <c r="CI175" s="136"/>
      <c r="CJ175" s="136"/>
      <c r="CK175" s="136"/>
      <c r="CL175" s="136"/>
      <c r="CM175" s="136"/>
      <c r="CN175" s="136"/>
      <c r="CZ175" s="13"/>
      <c r="DG175" s="14"/>
      <c r="DI175" s="14"/>
      <c r="DJ175" s="14"/>
      <c r="DK175" s="14"/>
    </row>
    <row r="176" spans="1:143" s="21" customFormat="1" ht="15" customHeight="1" thickBot="1" x14ac:dyDescent="0.25">
      <c r="A176" s="21" t="s">
        <v>247</v>
      </c>
      <c r="B176" s="14">
        <f>IF(OR($EH$86="11",$EH$86="22"),Prosjektinfo!$Q$90,IF(OR($EH$86="12",$EH$86="24"),(Prosjektinfo!$Q$90-($D$176)),IF(OR($EH$86="13",$EH$86="26"),(Prosjektinfo!$Q$90-($D$176+$E$176)),IF(OR(Tunneldrift!$EH$86="14",Tunneldrift!$EH$86="28"),Prosjektinfo!$Q$90-($D$176+$E$176+$F$176),0))))</f>
        <v>0</v>
      </c>
      <c r="C176" s="14"/>
      <c r="D176" s="14">
        <f>AO171</f>
        <v>0</v>
      </c>
      <c r="E176" s="14">
        <f>AZ171</f>
        <v>0</v>
      </c>
      <c r="F176" s="2089">
        <f>BO171</f>
        <v>0</v>
      </c>
      <c r="J176" s="528"/>
      <c r="L176" s="2258"/>
      <c r="M176" s="2259"/>
      <c r="N176" s="2259"/>
      <c r="O176" s="2259"/>
      <c r="P176" s="2259"/>
      <c r="Q176" s="2259"/>
      <c r="R176" s="2259"/>
      <c r="S176" s="2259"/>
      <c r="T176" s="2260"/>
      <c r="U176" s="2236"/>
      <c r="V176" s="2236"/>
      <c r="W176" s="2236"/>
      <c r="X176" s="2236"/>
      <c r="Y176" s="2236"/>
      <c r="Z176" s="2261"/>
      <c r="AB176" s="2262"/>
      <c r="AC176" s="2263"/>
      <c r="AD176" s="2263"/>
      <c r="AE176" s="2263"/>
      <c r="AF176" s="2263"/>
      <c r="AG176" s="2263"/>
      <c r="AH176" s="2263"/>
      <c r="AI176" s="2263"/>
      <c r="AJ176" s="2264"/>
      <c r="AK176" s="2265"/>
      <c r="AM176" s="2262"/>
      <c r="AN176" s="2263"/>
      <c r="AO176" s="2263"/>
      <c r="AP176" s="2263"/>
      <c r="AQ176" s="2263"/>
      <c r="AR176" s="2263"/>
      <c r="AS176" s="2263"/>
      <c r="AT176" s="2263"/>
      <c r="AU176" s="2263"/>
      <c r="AV176" s="2265"/>
      <c r="AX176" s="2262"/>
      <c r="AY176" s="2263"/>
      <c r="AZ176" s="2263"/>
      <c r="BA176" s="2263"/>
      <c r="BB176" s="2263"/>
      <c r="BC176" s="2263"/>
      <c r="BD176" s="2263"/>
      <c r="BE176" s="2263"/>
      <c r="BF176" s="2263"/>
      <c r="BG176" s="2263"/>
      <c r="BH176" s="2263"/>
      <c r="BI176" s="2263"/>
      <c r="BJ176" s="2263"/>
      <c r="BK176" s="2265"/>
      <c r="BM176" s="2262"/>
      <c r="BN176" s="2263"/>
      <c r="BO176" s="2263"/>
      <c r="BP176" s="2263"/>
      <c r="BQ176" s="2263"/>
      <c r="BR176" s="2263"/>
      <c r="BS176" s="2263"/>
      <c r="BT176" s="2263"/>
      <c r="BU176" s="2263"/>
      <c r="BV176" s="2263"/>
      <c r="BW176" s="2263"/>
      <c r="BX176" s="2264"/>
      <c r="BY176" s="2264"/>
      <c r="BZ176" s="2263"/>
      <c r="CA176" s="2263"/>
      <c r="CB176" s="2263"/>
      <c r="CC176" s="2263"/>
      <c r="CD176" s="2265"/>
      <c r="CF176" s="2266"/>
      <c r="CZ176" s="13"/>
      <c r="DG176" s="14"/>
      <c r="DI176" s="14"/>
      <c r="DJ176" s="14"/>
      <c r="DK176" s="14"/>
    </row>
    <row r="177" spans="1:151" s="21" customFormat="1" ht="20.100000000000001" customHeight="1" thickBot="1" x14ac:dyDescent="0.25">
      <c r="A177" s="21" t="s">
        <v>817</v>
      </c>
      <c r="B177" s="14" t="str">
        <f>IF($B$176&lt;=0,"? ",$B$176)</f>
        <v xml:space="preserve">? </v>
      </c>
      <c r="C177" s="14"/>
      <c r="D177" s="14" t="str">
        <f>IF($D$176=0,"? ",$D$176)</f>
        <v xml:space="preserve">? </v>
      </c>
      <c r="E177" s="14" t="str">
        <f>IF($E$176=0,"? ",$E$176)</f>
        <v xml:space="preserve">? </v>
      </c>
      <c r="F177" s="14" t="str">
        <f>IF($F$176=0,"? ",$F$176)</f>
        <v xml:space="preserve">? </v>
      </c>
      <c r="J177" s="528"/>
      <c r="L177" s="2240"/>
      <c r="M177" s="524" t="str">
        <f>$M$150</f>
        <v>Driftsform</v>
      </c>
      <c r="N177" s="524"/>
      <c r="O177" s="524"/>
      <c r="P177" s="524"/>
      <c r="Q177" s="524"/>
      <c r="R177" s="524"/>
      <c r="S177" s="524"/>
      <c r="T177" s="2247" t="s">
        <v>149</v>
      </c>
      <c r="U177" s="2245"/>
      <c r="V177" s="2245"/>
      <c r="W177" s="2245"/>
      <c r="X177" s="2245"/>
      <c r="Y177" s="2245"/>
      <c r="Z177" s="2242"/>
      <c r="AB177" s="2267"/>
      <c r="AC177" s="2268"/>
      <c r="AD177" s="6387" t="str">
        <f>IF(Tunneldrift!$B$171=1,_List!$AW$7,IF(Tunneldrift!$B$171=2,_List!$AY$8))</f>
        <v>Enstuffs drift</v>
      </c>
      <c r="AE177" s="6387"/>
      <c r="AF177" s="6387"/>
      <c r="AG177" s="6387"/>
      <c r="AH177" s="6387"/>
      <c r="AI177" s="2268"/>
      <c r="AJ177" s="2270"/>
      <c r="AK177" s="2269"/>
      <c r="AM177" s="2267"/>
      <c r="AN177" s="2268"/>
      <c r="AO177" s="6366" t="str">
        <f>IF(Tunneldrift!$D$171=1,_List!$AW$7,IF(Tunneldrift!$D$171=2,_List!$AY$8))</f>
        <v>Enstuffs drift</v>
      </c>
      <c r="AP177" s="6366"/>
      <c r="AQ177" s="6366"/>
      <c r="AR177" s="6366"/>
      <c r="AS177" s="6366"/>
      <c r="AT177" s="2268"/>
      <c r="AU177" s="2268"/>
      <c r="AV177" s="2269"/>
      <c r="AX177" s="2267"/>
      <c r="AY177" s="2268"/>
      <c r="AZ177" s="6366" t="str">
        <f>IF(Tunneldrift!$E$171=1,_List!$AW$7,IF(Tunneldrift!$E$171=2,_List!$AY$8))</f>
        <v>Enstuffs drift</v>
      </c>
      <c r="BA177" s="6366"/>
      <c r="BB177" s="6366"/>
      <c r="BC177" s="6366"/>
      <c r="BD177" s="6366"/>
      <c r="BE177" s="6366"/>
      <c r="BF177" s="6366"/>
      <c r="BG177" s="6366"/>
      <c r="BH177" s="6366"/>
      <c r="BI177" s="2268"/>
      <c r="BJ177" s="2268"/>
      <c r="BK177" s="2269"/>
      <c r="BM177" s="2267"/>
      <c r="BN177" s="2268"/>
      <c r="BO177" s="6366" t="str">
        <f>IF(Tunneldrift!$F$171=1,_List!$AW$7,IF(Tunneldrift!$F$171=2,_List!$AY$8))</f>
        <v>Enstuffs drift</v>
      </c>
      <c r="BP177" s="6366"/>
      <c r="BQ177" s="6366"/>
      <c r="BR177" s="6366"/>
      <c r="BS177" s="6366"/>
      <c r="BT177" s="6366"/>
      <c r="BU177" s="6366"/>
      <c r="BV177" s="6366"/>
      <c r="BW177" s="6366"/>
      <c r="BX177" s="6366"/>
      <c r="BY177" s="6366"/>
      <c r="BZ177" s="6366"/>
      <c r="CA177" s="6366"/>
      <c r="CB177" s="2268"/>
      <c r="CC177" s="2268"/>
      <c r="CD177" s="2269"/>
      <c r="CF177" s="2266"/>
      <c r="CZ177" s="13"/>
      <c r="DG177" s="14"/>
      <c r="DI177" s="14"/>
      <c r="DJ177" s="14"/>
      <c r="DK177" s="14"/>
    </row>
    <row r="178" spans="1:151" s="21" customFormat="1" ht="15" customHeight="1" thickBot="1" x14ac:dyDescent="0.25">
      <c r="E178" s="15"/>
      <c r="F178" s="2089"/>
      <c r="J178" s="528"/>
      <c r="L178" s="2252"/>
      <c r="M178" s="526"/>
      <c r="N178" s="526"/>
      <c r="O178" s="526"/>
      <c r="P178" s="526"/>
      <c r="Q178" s="526"/>
      <c r="R178" s="526"/>
      <c r="S178" s="526"/>
      <c r="T178" s="2253"/>
      <c r="U178" s="2254"/>
      <c r="V178" s="2254"/>
      <c r="W178" s="2254"/>
      <c r="X178" s="2254"/>
      <c r="Y178" s="2254"/>
      <c r="Z178" s="2255"/>
      <c r="AB178" s="2271"/>
      <c r="AC178" s="2272"/>
      <c r="AD178" s="2272"/>
      <c r="AE178" s="2272"/>
      <c r="AF178" s="2272"/>
      <c r="AG178" s="2272"/>
      <c r="AH178" s="2272"/>
      <c r="AI178" s="2272"/>
      <c r="AJ178" s="2273"/>
      <c r="AK178" s="2274"/>
      <c r="AM178" s="2271"/>
      <c r="AN178" s="2272"/>
      <c r="AO178" s="2272"/>
      <c r="AP178" s="2272"/>
      <c r="AQ178" s="2272"/>
      <c r="AR178" s="2272"/>
      <c r="AS178" s="2272"/>
      <c r="AT178" s="2272"/>
      <c r="AU178" s="2272"/>
      <c r="AV178" s="2274"/>
      <c r="AX178" s="2271"/>
      <c r="AY178" s="2272"/>
      <c r="AZ178" s="2272"/>
      <c r="BA178" s="2272"/>
      <c r="BB178" s="2272"/>
      <c r="BC178" s="2272"/>
      <c r="BD178" s="2272"/>
      <c r="BE178" s="2272"/>
      <c r="BF178" s="2272"/>
      <c r="BG178" s="2272"/>
      <c r="BH178" s="2272"/>
      <c r="BI178" s="2272"/>
      <c r="BJ178" s="2272"/>
      <c r="BK178" s="2274"/>
      <c r="BM178" s="2271"/>
      <c r="BN178" s="2272"/>
      <c r="BO178" s="2272"/>
      <c r="BP178" s="2272"/>
      <c r="BQ178" s="2272"/>
      <c r="BR178" s="2272"/>
      <c r="BS178" s="2272"/>
      <c r="BT178" s="2272"/>
      <c r="BU178" s="2272"/>
      <c r="BV178" s="2272"/>
      <c r="BW178" s="2272"/>
      <c r="BX178" s="2273"/>
      <c r="BY178" s="2273"/>
      <c r="BZ178" s="2272"/>
      <c r="CA178" s="2272"/>
      <c r="CB178" s="2272"/>
      <c r="CC178" s="2272"/>
      <c r="CD178" s="2274"/>
      <c r="CF178" s="2266"/>
      <c r="CZ178" s="13"/>
      <c r="DG178" s="14"/>
      <c r="DI178" s="14"/>
      <c r="DJ178" s="14"/>
      <c r="DK178" s="14"/>
    </row>
    <row r="179" spans="1:151" s="21" customFormat="1" ht="9.9499999999999993" customHeight="1" thickBot="1" x14ac:dyDescent="0.25">
      <c r="E179" s="15"/>
      <c r="F179" s="2089"/>
      <c r="J179" s="528"/>
      <c r="L179" s="2240"/>
      <c r="M179" s="524"/>
      <c r="N179" s="524"/>
      <c r="O179" s="524"/>
      <c r="P179" s="524"/>
      <c r="Q179" s="524"/>
      <c r="R179" s="524"/>
      <c r="S179" s="524"/>
      <c r="T179" s="2246"/>
      <c r="U179" s="2245"/>
      <c r="V179" s="2245"/>
      <c r="W179" s="2245"/>
      <c r="X179" s="2245"/>
      <c r="Y179" s="2245"/>
      <c r="Z179" s="2242"/>
      <c r="AB179" s="2267"/>
      <c r="AC179" s="2268"/>
      <c r="AD179" s="2268"/>
      <c r="AE179" s="2268"/>
      <c r="AF179" s="2268"/>
      <c r="AG179" s="2268"/>
      <c r="AH179" s="2268"/>
      <c r="AI179" s="2268"/>
      <c r="AJ179" s="2270"/>
      <c r="AK179" s="2269"/>
      <c r="AM179" s="2267"/>
      <c r="AN179" s="2268"/>
      <c r="AO179" s="2268"/>
      <c r="AP179" s="2268"/>
      <c r="AQ179" s="2268"/>
      <c r="AR179" s="2268"/>
      <c r="AS179" s="2268"/>
      <c r="AT179" s="2268"/>
      <c r="AU179" s="2268"/>
      <c r="AV179" s="2269"/>
      <c r="AX179" s="2267"/>
      <c r="AY179" s="2268"/>
      <c r="AZ179" s="2268"/>
      <c r="BA179" s="2268"/>
      <c r="BB179" s="2268"/>
      <c r="BC179" s="2268"/>
      <c r="BD179" s="2268"/>
      <c r="BE179" s="2268"/>
      <c r="BF179" s="2268"/>
      <c r="BG179" s="2268"/>
      <c r="BH179" s="2268"/>
      <c r="BI179" s="2268"/>
      <c r="BJ179" s="2268"/>
      <c r="BK179" s="2269"/>
      <c r="BM179" s="2267"/>
      <c r="BN179" s="2268"/>
      <c r="BO179" s="2268"/>
      <c r="BP179" s="2268"/>
      <c r="BQ179" s="2268"/>
      <c r="BR179" s="2268"/>
      <c r="BS179" s="2268"/>
      <c r="BT179" s="2268"/>
      <c r="BU179" s="2268"/>
      <c r="BV179" s="2268"/>
      <c r="BW179" s="2268"/>
      <c r="BX179" s="2270"/>
      <c r="BY179" s="2270"/>
      <c r="BZ179" s="2268"/>
      <c r="CA179" s="2268"/>
      <c r="CB179" s="2268"/>
      <c r="CC179" s="2268"/>
      <c r="CD179" s="2269"/>
      <c r="CF179" s="2266"/>
      <c r="CZ179" s="13"/>
      <c r="DG179" s="14"/>
      <c r="DI179" s="14"/>
      <c r="DJ179" s="14"/>
      <c r="DK179" s="14"/>
    </row>
    <row r="180" spans="1:151" s="21" customFormat="1" ht="12" customHeight="1" x14ac:dyDescent="0.2">
      <c r="E180" s="15"/>
      <c r="F180" s="2089"/>
      <c r="I180" s="5221"/>
      <c r="J180" s="528"/>
      <c r="L180" s="2258"/>
      <c r="M180" s="2259"/>
      <c r="N180" s="2259"/>
      <c r="O180" s="2259"/>
      <c r="P180" s="2259"/>
      <c r="Q180" s="2259"/>
      <c r="R180" s="2259"/>
      <c r="S180" s="2259"/>
      <c r="T180" s="2260"/>
      <c r="U180" s="2236"/>
      <c r="V180" s="2236"/>
      <c r="W180" s="2236"/>
      <c r="X180" s="2236"/>
      <c r="Y180" s="2236"/>
      <c r="Z180" s="2261"/>
      <c r="AB180" s="5216"/>
      <c r="AC180" s="5217"/>
      <c r="AD180" s="6365" t="str">
        <f>AD153</f>
        <v>Enstuffs drift</v>
      </c>
      <c r="AE180" s="6365"/>
      <c r="AF180" s="5218"/>
      <c r="AG180" s="6365" t="str">
        <f>AG153</f>
        <v>Vekseldrift</v>
      </c>
      <c r="AH180" s="6365"/>
      <c r="AI180" s="5218"/>
      <c r="AJ180" s="5218"/>
      <c r="AK180" s="5219"/>
      <c r="AL180" s="5212"/>
      <c r="AM180" s="5220"/>
      <c r="AN180" s="5218"/>
      <c r="AO180" s="6365" t="str">
        <f>AO153</f>
        <v>Enstuffs drift</v>
      </c>
      <c r="AP180" s="6365"/>
      <c r="AQ180" s="6365"/>
      <c r="AR180" s="5218"/>
      <c r="AS180" s="5218" t="str">
        <f>AS153</f>
        <v>Vekseldrift</v>
      </c>
      <c r="AT180" s="5218"/>
      <c r="AU180" s="5218"/>
      <c r="AV180" s="5219"/>
      <c r="AW180" s="5212"/>
      <c r="AX180" s="5220"/>
      <c r="AY180" s="5218"/>
      <c r="AZ180" s="6365" t="str">
        <f>AZ153</f>
        <v>Enstuffs drift</v>
      </c>
      <c r="BA180" s="6365"/>
      <c r="BB180" s="6365"/>
      <c r="BC180" s="6365"/>
      <c r="BD180" s="6365"/>
      <c r="BE180" s="6365"/>
      <c r="BF180" s="5218"/>
      <c r="BG180" s="5218"/>
      <c r="BH180" s="5218" t="str">
        <f>BH153</f>
        <v>Vekseldrift</v>
      </c>
      <c r="BI180" s="5218"/>
      <c r="BJ180" s="5218"/>
      <c r="BK180" s="5219"/>
      <c r="BL180" s="5212"/>
      <c r="BM180" s="5220"/>
      <c r="BN180" s="5218"/>
      <c r="BO180" s="6365" t="str">
        <f>BO153</f>
        <v>Enstuffs drift</v>
      </c>
      <c r="BP180" s="6365"/>
      <c r="BQ180" s="6365"/>
      <c r="BR180" s="6365"/>
      <c r="BS180" s="6365"/>
      <c r="BT180" s="6365"/>
      <c r="BU180" s="6365"/>
      <c r="BV180" s="5218"/>
      <c r="BW180" s="5218"/>
      <c r="BX180" s="5218"/>
      <c r="BY180" s="6365" t="str">
        <f>BY153</f>
        <v>Vekseldrift</v>
      </c>
      <c r="BZ180" s="6365"/>
      <c r="CA180" s="6365"/>
      <c r="CB180" s="5218"/>
      <c r="CC180" s="5218"/>
      <c r="CD180" s="5219"/>
      <c r="CF180" s="2266"/>
      <c r="CZ180" s="13"/>
      <c r="DG180" s="14"/>
      <c r="DI180" s="14"/>
      <c r="DJ180" s="14"/>
      <c r="DK180" s="14"/>
    </row>
    <row r="181" spans="1:151" s="21" customFormat="1" ht="5.0999999999999996" customHeight="1" thickBot="1" x14ac:dyDescent="0.25">
      <c r="E181" s="15"/>
      <c r="F181" s="2089"/>
      <c r="J181" s="528"/>
      <c r="L181" s="2240"/>
      <c r="M181" s="524"/>
      <c r="N181" s="524"/>
      <c r="O181" s="524"/>
      <c r="P181" s="524"/>
      <c r="Q181" s="524"/>
      <c r="R181" s="524"/>
      <c r="S181" s="524"/>
      <c r="T181" s="2246"/>
      <c r="U181" s="2245"/>
      <c r="V181" s="2245"/>
      <c r="W181" s="2245"/>
      <c r="X181" s="2245"/>
      <c r="Y181" s="2245"/>
      <c r="Z181" s="2242"/>
      <c r="AB181" s="2267"/>
      <c r="AC181" s="2268"/>
      <c r="AD181" s="2268"/>
      <c r="AE181" s="2268"/>
      <c r="AF181" s="2268"/>
      <c r="AG181" s="2268"/>
      <c r="AH181" s="2268"/>
      <c r="AI181" s="2268"/>
      <c r="AJ181" s="2270"/>
      <c r="AK181" s="2269"/>
      <c r="AM181" s="2267"/>
      <c r="AN181" s="2268"/>
      <c r="AO181" s="2268"/>
      <c r="AP181" s="2268"/>
      <c r="AQ181" s="2268"/>
      <c r="AR181" s="2268"/>
      <c r="AS181" s="2268"/>
      <c r="AT181" s="2268"/>
      <c r="AU181" s="2268"/>
      <c r="AV181" s="2269"/>
      <c r="AX181" s="2267"/>
      <c r="AY181" s="2268"/>
      <c r="AZ181" s="2268"/>
      <c r="BA181" s="2268"/>
      <c r="BB181" s="2268"/>
      <c r="BC181" s="2268"/>
      <c r="BD181" s="2268"/>
      <c r="BE181" s="2268"/>
      <c r="BF181" s="2268"/>
      <c r="BG181" s="2268"/>
      <c r="BH181" s="2268"/>
      <c r="BI181" s="2268"/>
      <c r="BJ181" s="2268"/>
      <c r="BK181" s="2269"/>
      <c r="BM181" s="2267"/>
      <c r="BN181" s="2268"/>
      <c r="BO181" s="2268"/>
      <c r="BP181" s="2268"/>
      <c r="BQ181" s="2268"/>
      <c r="BR181" s="2268"/>
      <c r="BS181" s="2268"/>
      <c r="BT181" s="2268"/>
      <c r="BU181" s="2268"/>
      <c r="BV181" s="2268"/>
      <c r="BW181" s="2268"/>
      <c r="BX181" s="2270"/>
      <c r="BY181" s="2270"/>
      <c r="BZ181" s="2268"/>
      <c r="CA181" s="2268"/>
      <c r="CB181" s="2268"/>
      <c r="CC181" s="2268"/>
      <c r="CD181" s="2269"/>
      <c r="CF181" s="2266"/>
      <c r="CZ181" s="13"/>
      <c r="DG181" s="14"/>
      <c r="DI181" s="14"/>
      <c r="DJ181" s="14"/>
      <c r="DK181" s="14"/>
    </row>
    <row r="182" spans="1:151" s="21" customFormat="1" ht="20.100000000000001" customHeight="1" thickBot="1" x14ac:dyDescent="0.25">
      <c r="E182" s="15"/>
      <c r="F182" s="2089"/>
      <c r="I182" s="5221"/>
      <c r="J182" s="528"/>
      <c r="L182" s="2240"/>
      <c r="M182" s="524" t="str">
        <f>M155</f>
        <v>Andel av tunnel med enstuffs drift</v>
      </c>
      <c r="N182" s="524"/>
      <c r="O182" s="524"/>
      <c r="P182" s="524"/>
      <c r="Q182" s="524"/>
      <c r="R182" s="524"/>
      <c r="S182" s="524"/>
      <c r="T182" s="2247" t="s">
        <v>149</v>
      </c>
      <c r="U182" s="2245"/>
      <c r="V182" s="2245"/>
      <c r="W182" s="2245"/>
      <c r="X182" s="2241" t="s">
        <v>78</v>
      </c>
      <c r="Y182" s="2241"/>
      <c r="Z182" s="2242"/>
      <c r="AB182" s="2267"/>
      <c r="AC182" s="2268"/>
      <c r="AD182" s="6368" t="b">
        <f>_Calcs!$KX$62</f>
        <v>0</v>
      </c>
      <c r="AE182" s="6370"/>
      <c r="AF182" s="5360"/>
      <c r="AG182" s="6374" t="str">
        <f>INDEX(tunneldrift_vekseldrift[vekseldrift_lengde],MATCH(_Calcs!$BB$53,tunneldrift_vekseldrift[Stuff_navn],0))</f>
        <v>!</v>
      </c>
      <c r="AH182" s="6374"/>
      <c r="AI182" s="2268"/>
      <c r="AJ182" s="30" t="str">
        <f>IF(_Calcs!$LB$62=0,"!","✓")</f>
        <v>!</v>
      </c>
      <c r="AK182" s="2269"/>
      <c r="AM182" s="2267"/>
      <c r="AN182" s="2268"/>
      <c r="AO182" s="6368" t="b">
        <f>_Calcs!$KX$63</f>
        <v>0</v>
      </c>
      <c r="AP182" s="6369"/>
      <c r="AQ182" s="6370"/>
      <c r="AR182" s="5222"/>
      <c r="AS182" s="5249" t="str">
        <f>INDEX(tunneldrift_vekseldrift[vekseldrift_lengde],MATCH(_Calcs!$BB$54,tunneldrift_vekseldrift[Stuff_navn],0))</f>
        <v>!</v>
      </c>
      <c r="AT182" s="2268"/>
      <c r="AU182" s="30" t="str">
        <f>IF(_Calcs!$LB$63=0,"!","✓")</f>
        <v>!</v>
      </c>
      <c r="AV182" s="2269"/>
      <c r="AX182" s="2267"/>
      <c r="AY182" s="2268"/>
      <c r="AZ182" s="6368" t="b">
        <f>_Calcs!$KX$64</f>
        <v>0</v>
      </c>
      <c r="BA182" s="6369"/>
      <c r="BB182" s="6369"/>
      <c r="BC182" s="6369"/>
      <c r="BD182" s="6369"/>
      <c r="BE182" s="6370"/>
      <c r="BF182" s="5222"/>
      <c r="BG182" s="5222"/>
      <c r="BH182" s="5249" t="str">
        <f>INDEX(tunneldrift_vekseldrift[vekseldrift_lengde],MATCH(_Calcs!$BB$55,tunneldrift_vekseldrift[Stuff_navn],0))</f>
        <v>!</v>
      </c>
      <c r="BI182" s="2268"/>
      <c r="BJ182" s="30" t="str">
        <f>IF(_Calcs!$LB$64=0,"!","✓")</f>
        <v>!</v>
      </c>
      <c r="BK182" s="2269"/>
      <c r="BM182" s="2267"/>
      <c r="BN182" s="2268"/>
      <c r="BO182" s="6368" t="b">
        <f>_Calcs!$KX$65</f>
        <v>0</v>
      </c>
      <c r="BP182" s="6369"/>
      <c r="BQ182" s="6369"/>
      <c r="BR182" s="6369"/>
      <c r="BS182" s="6369"/>
      <c r="BT182" s="6369"/>
      <c r="BU182" s="6370"/>
      <c r="BV182" s="5222"/>
      <c r="BW182" s="5222"/>
      <c r="BX182" s="5222"/>
      <c r="BY182" s="6371" t="str">
        <f>INDEX(tunneldrift_vekseldrift[vekseldrift_lengde],MATCH(_Calcs!$BB$56,tunneldrift_vekseldrift[Stuff_navn],0))</f>
        <v>!</v>
      </c>
      <c r="BZ182" s="6372"/>
      <c r="CA182" s="6373"/>
      <c r="CB182" s="2268"/>
      <c r="CC182" s="30" t="str">
        <f>IF(_Calcs!$LB$65=0,"!","✓")</f>
        <v>!</v>
      </c>
      <c r="CD182" s="2269"/>
      <c r="CF182" s="2266"/>
      <c r="CZ182" s="13"/>
      <c r="DG182" s="14"/>
      <c r="DI182" s="14"/>
      <c r="DJ182" s="14"/>
      <c r="DK182" s="14"/>
    </row>
    <row r="183" spans="1:151" s="21" customFormat="1" ht="15" customHeight="1" thickBot="1" x14ac:dyDescent="0.25">
      <c r="E183" s="15"/>
      <c r="F183" s="2089"/>
      <c r="J183" s="529"/>
      <c r="L183" s="2252"/>
      <c r="M183" s="526"/>
      <c r="N183" s="526"/>
      <c r="O183" s="526"/>
      <c r="P183" s="526"/>
      <c r="Q183" s="526"/>
      <c r="R183" s="526"/>
      <c r="S183" s="526"/>
      <c r="T183" s="2253"/>
      <c r="U183" s="2254"/>
      <c r="V183" s="2254"/>
      <c r="W183" s="2254"/>
      <c r="X183" s="2254"/>
      <c r="Y183" s="2254"/>
      <c r="Z183" s="2255"/>
      <c r="AB183" s="2271"/>
      <c r="AC183" s="2272"/>
      <c r="AD183" s="2272"/>
      <c r="AE183" s="2272"/>
      <c r="AF183" s="2272"/>
      <c r="AG183" s="2272"/>
      <c r="AH183" s="2272"/>
      <c r="AI183" s="2272"/>
      <c r="AJ183" s="2273"/>
      <c r="AK183" s="2274"/>
      <c r="AM183" s="2271"/>
      <c r="AN183" s="2272"/>
      <c r="AO183" s="2272"/>
      <c r="AP183" s="2272"/>
      <c r="AQ183" s="2272"/>
      <c r="AR183" s="2272"/>
      <c r="AS183" s="2272"/>
      <c r="AT183" s="2272"/>
      <c r="AU183" s="2272"/>
      <c r="AV183" s="2274"/>
      <c r="AX183" s="2271"/>
      <c r="AY183" s="2272"/>
      <c r="AZ183" s="2272"/>
      <c r="BA183" s="2272"/>
      <c r="BB183" s="2272"/>
      <c r="BC183" s="2272"/>
      <c r="BD183" s="2272"/>
      <c r="BE183" s="2272"/>
      <c r="BF183" s="2272"/>
      <c r="BG183" s="2272"/>
      <c r="BH183" s="2272"/>
      <c r="BI183" s="2272"/>
      <c r="BJ183" s="2272"/>
      <c r="BK183" s="2274"/>
      <c r="BM183" s="2271"/>
      <c r="BN183" s="2272"/>
      <c r="BO183" s="2272"/>
      <c r="BP183" s="2272"/>
      <c r="BQ183" s="2272"/>
      <c r="BR183" s="2272"/>
      <c r="BS183" s="2272"/>
      <c r="BT183" s="2272"/>
      <c r="BU183" s="2272"/>
      <c r="BV183" s="2272"/>
      <c r="BW183" s="2272"/>
      <c r="BX183" s="2272"/>
      <c r="BY183" s="2272"/>
      <c r="BZ183" s="2272"/>
      <c r="CA183" s="2272"/>
      <c r="CB183" s="2272"/>
      <c r="CC183" s="2272"/>
      <c r="CD183" s="2274"/>
      <c r="CF183" s="2266"/>
      <c r="CZ183" s="13"/>
      <c r="DG183" s="14"/>
      <c r="DI183" s="14"/>
      <c r="DJ183" s="14"/>
      <c r="DK183" s="14"/>
    </row>
    <row r="184" spans="1:151" s="21" customFormat="1" ht="30" customHeight="1" x14ac:dyDescent="0.2">
      <c r="E184" s="15"/>
      <c r="F184" s="14"/>
      <c r="J184" s="5221"/>
      <c r="T184" s="13"/>
      <c r="X184" s="15"/>
      <c r="Y184" s="15"/>
      <c r="AJ184" s="13"/>
      <c r="BX184" s="13"/>
      <c r="BY184" s="13"/>
      <c r="CZ184" s="13"/>
      <c r="DG184" s="14"/>
      <c r="DI184" s="14"/>
      <c r="DJ184" s="14"/>
      <c r="DK184" s="14"/>
      <c r="EC184" s="136"/>
      <c r="ED184" s="136"/>
      <c r="EE184" s="136"/>
      <c r="EF184" s="136"/>
      <c r="EG184" s="136"/>
    </row>
    <row r="185" spans="1:151" ht="5.0999999999999996" customHeight="1" x14ac:dyDescent="0.2">
      <c r="J185" s="1880"/>
      <c r="L185" s="1880"/>
      <c r="M185" s="1880"/>
      <c r="N185" s="1880"/>
      <c r="O185" s="1880"/>
      <c r="P185" s="1880"/>
      <c r="Q185" s="1880"/>
      <c r="R185" s="1880"/>
      <c r="S185" s="1880"/>
      <c r="T185" s="2069"/>
      <c r="U185" s="1880"/>
      <c r="V185" s="1880"/>
      <c r="W185" s="1880"/>
      <c r="X185" s="919"/>
      <c r="Y185" s="919"/>
      <c r="Z185" s="1880"/>
      <c r="AB185" s="1880"/>
      <c r="AC185" s="1880"/>
      <c r="AD185" s="1880"/>
      <c r="AE185" s="1880"/>
      <c r="AF185" s="1880"/>
      <c r="AG185" s="1880"/>
      <c r="AH185" s="1880"/>
      <c r="AI185" s="1880"/>
      <c r="AJ185" s="1170"/>
      <c r="AK185" s="1880"/>
      <c r="AM185" s="1880"/>
      <c r="AN185" s="1880"/>
      <c r="AO185" s="1880"/>
      <c r="AP185" s="1880"/>
      <c r="AQ185" s="1880"/>
      <c r="AR185" s="1880"/>
      <c r="AS185" s="1880"/>
      <c r="AT185" s="1880"/>
      <c r="AU185" s="1880"/>
      <c r="AV185" s="1880"/>
      <c r="AX185" s="1880"/>
      <c r="AY185" s="1880"/>
      <c r="AZ185" s="1880"/>
      <c r="BA185" s="1880"/>
      <c r="BB185" s="1880"/>
      <c r="BC185" s="1880"/>
      <c r="BD185" s="1880"/>
      <c r="BE185" s="1880"/>
      <c r="BF185" s="1880"/>
      <c r="BG185" s="1880"/>
      <c r="BH185" s="1880"/>
      <c r="BI185" s="1880"/>
      <c r="BJ185" s="1880"/>
      <c r="BK185" s="1880"/>
      <c r="BM185" s="1880"/>
      <c r="BN185" s="1880"/>
      <c r="BO185" s="1880"/>
      <c r="BP185" s="1880"/>
      <c r="BQ185" s="1880"/>
      <c r="BR185" s="1880"/>
      <c r="BS185" s="1880"/>
      <c r="BT185" s="1880"/>
      <c r="BU185" s="1880"/>
      <c r="BV185" s="1880"/>
      <c r="BW185" s="1880"/>
      <c r="BX185" s="1170"/>
      <c r="BY185" s="1170"/>
      <c r="BZ185" s="1880"/>
      <c r="CA185" s="1880"/>
      <c r="CB185" s="1880"/>
      <c r="CC185" s="1880"/>
      <c r="CD185" s="1880"/>
      <c r="CF185" s="1880"/>
      <c r="DI185" s="2012"/>
      <c r="EC185" s="78"/>
      <c r="ED185" s="78"/>
      <c r="EE185" s="78"/>
      <c r="EF185" s="78"/>
      <c r="EG185" s="78"/>
    </row>
    <row r="186" spans="1:151" ht="3.75" customHeight="1" x14ac:dyDescent="0.2">
      <c r="DI186" s="2012"/>
    </row>
    <row r="187" spans="1:151" ht="12" customHeight="1" x14ac:dyDescent="0.2">
      <c r="J187" s="1880"/>
      <c r="L187" s="1880"/>
      <c r="M187" s="1880"/>
      <c r="N187" s="1880"/>
      <c r="O187" s="1880"/>
      <c r="P187" s="1880"/>
      <c r="Q187" s="1880"/>
      <c r="R187" s="1880"/>
      <c r="S187" s="1880"/>
      <c r="T187" s="2069"/>
      <c r="U187" s="1880"/>
      <c r="V187" s="1880"/>
      <c r="W187" s="1880"/>
      <c r="X187" s="919"/>
      <c r="Y187" s="919"/>
      <c r="Z187" s="1880"/>
      <c r="AB187" s="1880"/>
      <c r="AC187" s="1880"/>
      <c r="AD187" s="1880"/>
      <c r="AE187" s="1880"/>
      <c r="AF187" s="1880"/>
      <c r="AG187" s="1880"/>
      <c r="AH187" s="1880"/>
      <c r="AI187" s="1880"/>
      <c r="AJ187" s="1170"/>
      <c r="AK187" s="1880"/>
      <c r="AM187" s="1880"/>
      <c r="AN187" s="1880"/>
      <c r="AO187" s="1880"/>
      <c r="AP187" s="1880"/>
      <c r="AQ187" s="1880"/>
      <c r="AR187" s="1880"/>
      <c r="AS187" s="1880"/>
      <c r="AT187" s="1880"/>
      <c r="AU187" s="1880"/>
      <c r="AV187" s="1880"/>
      <c r="AX187" s="1880"/>
      <c r="AY187" s="1880"/>
      <c r="AZ187" s="1880"/>
      <c r="BA187" s="1880"/>
      <c r="BB187" s="1880"/>
      <c r="BC187" s="1880"/>
      <c r="BD187" s="1880"/>
      <c r="BE187" s="1880"/>
      <c r="BF187" s="1880"/>
      <c r="BG187" s="1880"/>
      <c r="BH187" s="1880"/>
      <c r="BI187" s="1880"/>
      <c r="BJ187" s="1880"/>
      <c r="BK187" s="1880"/>
      <c r="BM187" s="1880"/>
      <c r="BN187" s="1880"/>
      <c r="BO187" s="1880"/>
      <c r="BP187" s="1880"/>
      <c r="BQ187" s="1880"/>
      <c r="BR187" s="1880"/>
      <c r="BS187" s="1880"/>
      <c r="BT187" s="1880"/>
      <c r="BU187" s="1880"/>
      <c r="BV187" s="1880"/>
      <c r="BW187" s="1880"/>
      <c r="BX187" s="1170"/>
      <c r="BY187" s="1170"/>
      <c r="BZ187" s="1880"/>
      <c r="CA187" s="1880"/>
      <c r="CB187" s="1880"/>
      <c r="CC187" s="1880"/>
      <c r="CD187" s="1880"/>
      <c r="CF187" s="1880"/>
      <c r="DI187" s="2012"/>
    </row>
    <row r="188" spans="1:151" ht="50.1" customHeight="1" x14ac:dyDescent="0.2">
      <c r="DI188" s="2012"/>
      <c r="DV188" s="6269"/>
    </row>
    <row r="189" spans="1:151" ht="15" hidden="1" customHeight="1" x14ac:dyDescent="0.2">
      <c r="DI189" s="2012"/>
    </row>
    <row r="190" spans="1:151" s="21" customFormat="1" ht="15" hidden="1" customHeight="1" x14ac:dyDescent="0.2">
      <c r="E190" s="15"/>
      <c r="F190" s="14"/>
      <c r="J190" s="70"/>
      <c r="K190" s="70"/>
      <c r="L190" s="70"/>
      <c r="M190" s="70"/>
      <c r="N190" s="70"/>
      <c r="O190" s="70"/>
      <c r="P190" s="70"/>
      <c r="Q190" s="70"/>
      <c r="R190" s="70"/>
      <c r="S190" s="70"/>
      <c r="T190" s="2000"/>
      <c r="U190" s="70"/>
      <c r="V190" s="70"/>
      <c r="W190" s="70"/>
      <c r="X190" s="15"/>
      <c r="Y190" s="15"/>
      <c r="Z190" s="70"/>
      <c r="AA190" s="70"/>
      <c r="AB190" s="70"/>
      <c r="AC190" s="70"/>
      <c r="AD190" s="70"/>
      <c r="AE190" s="70"/>
      <c r="AF190" s="70"/>
      <c r="AG190" s="70"/>
      <c r="AH190" s="70"/>
      <c r="AI190" s="70"/>
      <c r="AJ190" s="13"/>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CE190" s="70"/>
      <c r="DI190" s="14"/>
      <c r="EH190" s="70"/>
      <c r="EI190" s="70"/>
      <c r="EJ190" s="70"/>
      <c r="EK190" s="70"/>
      <c r="EL190" s="70"/>
      <c r="EM190" s="70"/>
      <c r="EN190" s="70"/>
      <c r="EO190" s="70"/>
      <c r="EP190" s="70"/>
      <c r="EQ190" s="70"/>
      <c r="ER190" s="70"/>
      <c r="ES190" s="70"/>
      <c r="ET190" s="70"/>
      <c r="EU190" s="70"/>
    </row>
    <row r="191" spans="1:151" ht="15" hidden="1" customHeight="1" x14ac:dyDescent="0.2"/>
    <row r="192" spans="1:151" ht="15" hidden="1" customHeight="1" x14ac:dyDescent="0.2">
      <c r="DI192" s="2012"/>
    </row>
    <row r="193" spans="113:136" ht="15" hidden="1" customHeight="1" x14ac:dyDescent="0.2">
      <c r="DI193" s="2012"/>
    </row>
    <row r="194" spans="113:136" ht="15" hidden="1" customHeight="1" x14ac:dyDescent="0.2"/>
    <row r="195" spans="113:136" ht="15" hidden="1" customHeight="1" x14ac:dyDescent="0.2"/>
    <row r="196" spans="113:136" ht="15" hidden="1" customHeight="1" x14ac:dyDescent="0.2"/>
    <row r="197" spans="113:136" ht="15" hidden="1" customHeight="1" x14ac:dyDescent="0.2"/>
    <row r="198" spans="113:136" ht="15" hidden="1" customHeight="1" x14ac:dyDescent="0.2"/>
    <row r="199" spans="113:136" ht="15" hidden="1" customHeight="1" x14ac:dyDescent="0.2"/>
    <row r="200" spans="113:136" ht="15" hidden="1" customHeight="1" x14ac:dyDescent="0.2"/>
    <row r="201" spans="113:136" ht="15" hidden="1" customHeight="1" x14ac:dyDescent="0.2"/>
    <row r="202" spans="113:136" ht="15" hidden="1" customHeight="1" x14ac:dyDescent="0.2"/>
    <row r="203" spans="113:136" ht="15" hidden="1" customHeight="1" x14ac:dyDescent="0.2"/>
    <row r="204" spans="113:136" ht="15" hidden="1" customHeight="1" x14ac:dyDescent="0.2"/>
    <row r="205" spans="113:136" ht="15" hidden="1" customHeight="1" x14ac:dyDescent="0.2">
      <c r="DQ205" s="78"/>
      <c r="DR205" s="78"/>
      <c r="DS205" s="78"/>
      <c r="DT205" s="78"/>
      <c r="DU205" s="78"/>
      <c r="DV205" s="78"/>
      <c r="DW205" s="78"/>
      <c r="DX205" s="78"/>
      <c r="DY205" s="78"/>
      <c r="DZ205" s="78"/>
      <c r="EA205" s="78"/>
      <c r="EB205" s="78"/>
      <c r="EC205" s="78"/>
      <c r="ED205" s="78"/>
      <c r="EE205" s="78"/>
      <c r="EF205" s="78"/>
    </row>
    <row r="206" spans="113:136" ht="17.45" hidden="1" customHeight="1" x14ac:dyDescent="0.2">
      <c r="DQ206" s="78"/>
      <c r="DR206" s="78"/>
      <c r="DS206" s="78"/>
      <c r="DT206" s="78"/>
      <c r="DU206" s="78"/>
      <c r="DV206" s="78"/>
      <c r="DW206" s="78"/>
      <c r="DX206" s="78"/>
      <c r="DY206" s="78"/>
      <c r="DZ206" s="78"/>
      <c r="EA206" s="78"/>
      <c r="EB206" s="78"/>
      <c r="EC206" s="78"/>
      <c r="ED206" s="78"/>
      <c r="EE206" s="78"/>
      <c r="EF206" s="78"/>
    </row>
    <row r="207" spans="113:136" ht="15" hidden="1" customHeight="1" x14ac:dyDescent="0.2">
      <c r="DQ207" s="78"/>
      <c r="DR207" s="78"/>
      <c r="DS207" s="78"/>
      <c r="DT207" s="78"/>
      <c r="DU207" s="78"/>
      <c r="DV207" s="78"/>
      <c r="DW207" s="78"/>
      <c r="DX207" s="78"/>
      <c r="DY207" s="78"/>
      <c r="DZ207" s="78"/>
      <c r="EA207" s="78"/>
      <c r="EB207" s="78"/>
      <c r="EC207" s="78"/>
      <c r="ED207" s="78"/>
      <c r="EE207" s="78"/>
      <c r="EF207" s="78"/>
    </row>
    <row r="208" spans="113:136" ht="17.45" hidden="1" customHeight="1" x14ac:dyDescent="0.2"/>
    <row r="209" spans="121:136" ht="17.45" hidden="1" customHeight="1" x14ac:dyDescent="0.2"/>
    <row r="210" spans="121:136" ht="17.45" hidden="1" customHeight="1" x14ac:dyDescent="0.2"/>
    <row r="211" spans="121:136" ht="15" hidden="1" customHeight="1" x14ac:dyDescent="0.2"/>
    <row r="212" spans="121:136" ht="17.45" hidden="1" customHeight="1" x14ac:dyDescent="0.2"/>
    <row r="213" spans="121:136" ht="15" hidden="1" customHeight="1" x14ac:dyDescent="0.2"/>
    <row r="214" spans="121:136" ht="15" hidden="1" customHeight="1" x14ac:dyDescent="0.2"/>
    <row r="215" spans="121:136" ht="15" hidden="1" customHeight="1" x14ac:dyDescent="0.2"/>
    <row r="216" spans="121:136" ht="17.45" hidden="1" customHeight="1" x14ac:dyDescent="0.2">
      <c r="DQ216" s="78"/>
      <c r="DR216" s="78"/>
      <c r="DS216" s="78"/>
      <c r="DT216" s="78"/>
      <c r="DU216" s="78"/>
      <c r="DV216" s="78"/>
      <c r="DW216" s="78"/>
      <c r="DX216" s="78"/>
      <c r="DY216" s="78"/>
      <c r="DZ216" s="78"/>
      <c r="EA216" s="78"/>
      <c r="EB216" s="78"/>
      <c r="EC216" s="78"/>
      <c r="ED216" s="78"/>
      <c r="EE216" s="78"/>
      <c r="EF216" s="78"/>
    </row>
    <row r="217" spans="121:136" ht="15" hidden="1" customHeight="1" x14ac:dyDescent="0.2">
      <c r="DQ217" s="78"/>
      <c r="DR217" s="78"/>
      <c r="DS217" s="78"/>
      <c r="DT217" s="78"/>
      <c r="DU217" s="78"/>
      <c r="DV217" s="78"/>
      <c r="DW217" s="78"/>
      <c r="DX217" s="78"/>
      <c r="DY217" s="78"/>
      <c r="DZ217" s="78"/>
      <c r="EA217" s="78"/>
      <c r="EB217" s="78"/>
      <c r="EC217" s="78"/>
      <c r="ED217" s="78"/>
      <c r="EE217" s="78"/>
      <c r="EF217" s="78"/>
    </row>
    <row r="218" spans="121:136" ht="17.45" hidden="1" customHeight="1" x14ac:dyDescent="0.2"/>
    <row r="219" spans="121:136" ht="17.45" hidden="1" customHeight="1" x14ac:dyDescent="0.2"/>
    <row r="220" spans="121:136" ht="17.45" hidden="1" customHeight="1" x14ac:dyDescent="0.2"/>
    <row r="221" spans="121:136" ht="15" hidden="1" customHeight="1" x14ac:dyDescent="0.2"/>
    <row r="222" spans="121:136" ht="17.45" hidden="1" customHeight="1" x14ac:dyDescent="0.2"/>
    <row r="223" spans="121:136" ht="15" hidden="1" customHeight="1" x14ac:dyDescent="0.2"/>
    <row r="224" spans="121:136" ht="15" hidden="1" customHeight="1" x14ac:dyDescent="0.2"/>
    <row r="225" spans="7:136" ht="15" hidden="1" customHeight="1" x14ac:dyDescent="0.2"/>
    <row r="226" spans="7:136" ht="17.45" hidden="1" customHeight="1" x14ac:dyDescent="0.2">
      <c r="DQ226" s="78"/>
      <c r="DR226" s="78"/>
      <c r="DS226" s="78"/>
      <c r="DT226" s="78"/>
      <c r="DU226" s="78"/>
      <c r="DV226" s="78"/>
      <c r="DW226" s="78"/>
      <c r="DX226" s="78"/>
      <c r="DY226" s="78"/>
      <c r="DZ226" s="78"/>
      <c r="EA226" s="78"/>
      <c r="EB226" s="78"/>
      <c r="EC226" s="78"/>
      <c r="ED226" s="78"/>
      <c r="EE226" s="78"/>
      <c r="EF226" s="78"/>
    </row>
    <row r="227" spans="7:136" ht="15" hidden="1" customHeight="1" x14ac:dyDescent="0.2">
      <c r="DQ227" s="78"/>
      <c r="DR227" s="78"/>
      <c r="DS227" s="78"/>
      <c r="DT227" s="78"/>
      <c r="DU227" s="78"/>
      <c r="DV227" s="78"/>
      <c r="DW227" s="78"/>
      <c r="DX227" s="78"/>
      <c r="DY227" s="78"/>
      <c r="DZ227" s="78"/>
      <c r="EA227" s="78"/>
      <c r="EB227" s="78"/>
      <c r="EC227" s="78"/>
      <c r="ED227" s="78"/>
      <c r="EE227" s="78"/>
      <c r="EF227" s="78"/>
    </row>
    <row r="228" spans="7:136" ht="17.45" hidden="1" customHeight="1" x14ac:dyDescent="0.2"/>
    <row r="229" spans="7:136" ht="17.45" hidden="1" customHeight="1" x14ac:dyDescent="0.2"/>
    <row r="230" spans="7:136" ht="17.45" hidden="1" customHeight="1" x14ac:dyDescent="0.2"/>
    <row r="231" spans="7:136" ht="15" hidden="1" customHeight="1" x14ac:dyDescent="0.2">
      <c r="G231" s="17"/>
      <c r="H231" s="17"/>
    </row>
    <row r="232" spans="7:136" ht="17.45" hidden="1" customHeight="1" x14ac:dyDescent="0.2">
      <c r="G232" s="14"/>
      <c r="H232" s="14"/>
    </row>
    <row r="233" spans="7:136" ht="15" hidden="1" customHeight="1" x14ac:dyDescent="0.2">
      <c r="G233" s="15"/>
      <c r="H233" s="15"/>
      <c r="I233" s="15"/>
    </row>
    <row r="234" spans="7:136" ht="15" hidden="1" customHeight="1" x14ac:dyDescent="0.2">
      <c r="G234" s="15"/>
      <c r="H234" s="15"/>
      <c r="I234" s="15"/>
    </row>
    <row r="235" spans="7:136" ht="15" hidden="1" customHeight="1" x14ac:dyDescent="0.2">
      <c r="G235" s="15"/>
      <c r="H235" s="15"/>
      <c r="I235" s="15"/>
    </row>
    <row r="236" spans="7:136" ht="17.45" hidden="1" customHeight="1" x14ac:dyDescent="0.2">
      <c r="DQ236" s="78"/>
      <c r="DR236" s="78"/>
      <c r="DS236" s="78"/>
      <c r="DT236" s="78"/>
      <c r="DU236" s="78"/>
      <c r="DV236" s="78"/>
      <c r="DW236" s="78"/>
      <c r="DX236" s="78"/>
      <c r="DY236" s="78"/>
      <c r="DZ236" s="78"/>
      <c r="EA236" s="78"/>
      <c r="EB236" s="78"/>
      <c r="EC236" s="78"/>
      <c r="ED236" s="78"/>
      <c r="EE236" s="78"/>
      <c r="EF236" s="78"/>
    </row>
    <row r="237" spans="7:136" ht="15" hidden="1" customHeight="1" x14ac:dyDescent="0.2">
      <c r="DQ237" s="78"/>
      <c r="DR237" s="78"/>
      <c r="DS237" s="78"/>
      <c r="DT237" s="78"/>
      <c r="DU237" s="78"/>
      <c r="DV237" s="78"/>
      <c r="DW237" s="78"/>
      <c r="DX237" s="78"/>
      <c r="DY237" s="78"/>
      <c r="DZ237" s="78"/>
      <c r="EA237" s="78"/>
      <c r="EB237" s="78"/>
      <c r="EC237" s="78"/>
      <c r="ED237" s="78"/>
      <c r="EE237" s="78"/>
      <c r="EF237" s="78"/>
    </row>
    <row r="238" spans="7:136" ht="17.45" hidden="1" customHeight="1" x14ac:dyDescent="0.2"/>
    <row r="239" spans="7:136" ht="15" hidden="1" customHeight="1" x14ac:dyDescent="0.2"/>
    <row r="240" spans="7:136" ht="17.45" hidden="1" customHeight="1" x14ac:dyDescent="0.2">
      <c r="H240" s="337"/>
      <c r="I240" s="337"/>
    </row>
    <row r="241" spans="7:9" ht="15" hidden="1" customHeight="1" x14ac:dyDescent="0.2"/>
    <row r="242" spans="7:9" ht="15" hidden="1" customHeight="1" x14ac:dyDescent="0.2">
      <c r="G242" s="15"/>
    </row>
    <row r="243" spans="7:9" ht="15" hidden="1" customHeight="1" x14ac:dyDescent="0.2"/>
    <row r="244" spans="7:9" ht="14.25" hidden="1" customHeight="1" x14ac:dyDescent="0.2">
      <c r="G244" s="15"/>
    </row>
    <row r="245" spans="7:9" hidden="1" x14ac:dyDescent="0.2">
      <c r="G245" s="15"/>
    </row>
    <row r="246" spans="7:9" hidden="1" x14ac:dyDescent="0.2">
      <c r="G246" s="15"/>
    </row>
    <row r="247" spans="7:9" hidden="1" x14ac:dyDescent="0.2">
      <c r="G247" s="115"/>
    </row>
    <row r="248" spans="7:9" hidden="1" x14ac:dyDescent="0.2">
      <c r="G248" s="115"/>
    </row>
    <row r="256" spans="7:9" hidden="1" x14ac:dyDescent="0.2">
      <c r="G256" s="219"/>
      <c r="H256" s="219"/>
      <c r="I256" s="219"/>
    </row>
    <row r="351" spans="38:38" hidden="1" x14ac:dyDescent="0.2">
      <c r="AL351" s="78"/>
    </row>
    <row r="352" spans="38:38" hidden="1" x14ac:dyDescent="0.2">
      <c r="AL352" s="78"/>
    </row>
    <row r="353" spans="37:38" hidden="1" x14ac:dyDescent="0.2">
      <c r="AL353" s="78"/>
    </row>
    <row r="354" spans="37:38" hidden="1" x14ac:dyDescent="0.2">
      <c r="AL354" s="78"/>
    </row>
    <row r="355" spans="37:38" hidden="1" x14ac:dyDescent="0.2">
      <c r="AL355" s="78"/>
    </row>
    <row r="356" spans="37:38" hidden="1" x14ac:dyDescent="0.2">
      <c r="AL356" s="78"/>
    </row>
    <row r="357" spans="37:38" hidden="1" x14ac:dyDescent="0.2">
      <c r="AL357" s="78"/>
    </row>
    <row r="358" spans="37:38" hidden="1" x14ac:dyDescent="0.2">
      <c r="AL358" s="78"/>
    </row>
    <row r="359" spans="37:38" hidden="1" x14ac:dyDescent="0.2">
      <c r="AL359" s="78"/>
    </row>
    <row r="360" spans="37:38" hidden="1" x14ac:dyDescent="0.2">
      <c r="AL360" s="78"/>
    </row>
    <row r="361" spans="37:38" hidden="1" x14ac:dyDescent="0.2">
      <c r="AL361" s="78"/>
    </row>
    <row r="362" spans="37:38" hidden="1" x14ac:dyDescent="0.2">
      <c r="AL362" s="78"/>
    </row>
    <row r="363" spans="37:38" hidden="1" x14ac:dyDescent="0.2">
      <c r="AK363" s="2012"/>
      <c r="AL363" s="78"/>
    </row>
    <row r="364" spans="37:38" hidden="1" x14ac:dyDescent="0.2">
      <c r="AK364" s="2012"/>
      <c r="AL364" s="78"/>
    </row>
    <row r="365" spans="37:38" hidden="1" x14ac:dyDescent="0.2">
      <c r="AK365" s="2012"/>
    </row>
  </sheetData>
  <sheetProtection algorithmName="SHA-512" hashValue="57h24tT9w618jfGstlg7MBFDQza6v2J0FZNu8nfLJJ+CUvILmAeOsCNjcejaiIwjbsWSL5GXbXwqxYYq0w0R6A==" saltValue="Eb24rOHyp4VZlXmsPXOl4A==" spinCount="100000" sheet="1" objects="1" scenarios="1"/>
  <mergeCells count="158">
    <mergeCell ref="AV85:AY86"/>
    <mergeCell ref="AQ85:AT86"/>
    <mergeCell ref="M89:O91"/>
    <mergeCell ref="AD137:AH137"/>
    <mergeCell ref="O133:V133"/>
    <mergeCell ref="L165:N165"/>
    <mergeCell ref="O165:V165"/>
    <mergeCell ref="AO173:AS173"/>
    <mergeCell ref="AO171:AS171"/>
    <mergeCell ref="AO169:AS169"/>
    <mergeCell ref="AO150:AS150"/>
    <mergeCell ref="AD108:AH108"/>
    <mergeCell ref="AD110:AH110"/>
    <mergeCell ref="AD95:AH95"/>
    <mergeCell ref="AD150:AH150"/>
    <mergeCell ref="AD139:AH139"/>
    <mergeCell ref="AG153:AH153"/>
    <mergeCell ref="AD153:AE153"/>
    <mergeCell ref="J18:J19"/>
    <mergeCell ref="M18:M19"/>
    <mergeCell ref="T18:T19"/>
    <mergeCell ref="AD18:AH19"/>
    <mergeCell ref="V18:W19"/>
    <mergeCell ref="AD39:AH39"/>
    <mergeCell ref="AZ137:BH137"/>
    <mergeCell ref="AD89:AE89"/>
    <mergeCell ref="AD112:AH112"/>
    <mergeCell ref="AD121:AH121"/>
    <mergeCell ref="AO133:AU133"/>
    <mergeCell ref="AP61:AY62"/>
    <mergeCell ref="J133:J136"/>
    <mergeCell ref="L133:N133"/>
    <mergeCell ref="AD133:AJ133"/>
    <mergeCell ref="M112:O112"/>
    <mergeCell ref="AD100:AH100"/>
    <mergeCell ref="AD37:AH37"/>
    <mergeCell ref="M85:O86"/>
    <mergeCell ref="AQ78:AT79"/>
    <mergeCell ref="AV78:AY79"/>
    <mergeCell ref="AV81:AY82"/>
    <mergeCell ref="AQ81:AT82"/>
    <mergeCell ref="X18:Y19"/>
    <mergeCell ref="CB13:CV13"/>
    <mergeCell ref="CB14:CV15"/>
    <mergeCell ref="BO41:BO45"/>
    <mergeCell ref="CD41:CI45"/>
    <mergeCell ref="BZ41:CA45"/>
    <mergeCell ref="AP54:AY60"/>
    <mergeCell ref="DS22:DT24"/>
    <mergeCell ref="BO180:BU180"/>
    <mergeCell ref="BY180:CA180"/>
    <mergeCell ref="BO141:CA141"/>
    <mergeCell ref="AZ150:BH150"/>
    <mergeCell ref="BO59:BO62"/>
    <mergeCell ref="AZ165:BJ165"/>
    <mergeCell ref="AZ173:BH173"/>
    <mergeCell ref="AZ145:BH145"/>
    <mergeCell ref="AZ169:BH169"/>
    <mergeCell ref="CR37:CT39"/>
    <mergeCell ref="CJ37:CL39"/>
    <mergeCell ref="DS43:DT50"/>
    <mergeCell ref="AP22:AY24"/>
    <mergeCell ref="AP20:AY21"/>
    <mergeCell ref="DS61:DT62"/>
    <mergeCell ref="DS54:DT60"/>
    <mergeCell ref="DS20:DT21"/>
    <mergeCell ref="CB20:CV21"/>
    <mergeCell ref="BZ59:CA62"/>
    <mergeCell ref="EF2:EQ6"/>
    <mergeCell ref="AP41:AY42"/>
    <mergeCell ref="AD85:AH85"/>
    <mergeCell ref="AD42:AH47"/>
    <mergeCell ref="AD41:AH41"/>
    <mergeCell ref="CR65:CT66"/>
    <mergeCell ref="CB18:CV19"/>
    <mergeCell ref="CW59:CZ62"/>
    <mergeCell ref="DF59:DG62"/>
    <mergeCell ref="BH59:BJ62"/>
    <mergeCell ref="CJ65:CL66"/>
    <mergeCell ref="DS85:DT86"/>
    <mergeCell ref="CB9:CV10"/>
    <mergeCell ref="AD82:AH82"/>
    <mergeCell ref="DI41:DK45"/>
    <mergeCell ref="BH41:BK45"/>
    <mergeCell ref="DJ55:DK55"/>
    <mergeCell ref="CU41:CV45"/>
    <mergeCell ref="CU59:CV62"/>
    <mergeCell ref="DI59:DK62"/>
    <mergeCell ref="CW41:CZ45"/>
    <mergeCell ref="DF41:DG45"/>
    <mergeCell ref="CD59:CI62"/>
    <mergeCell ref="M9:AJ9"/>
    <mergeCell ref="BY153:CA153"/>
    <mergeCell ref="BO153:BU153"/>
    <mergeCell ref="AO155:AQ155"/>
    <mergeCell ref="AZ155:BE155"/>
    <mergeCell ref="DS41:DT42"/>
    <mergeCell ref="J25:J31"/>
    <mergeCell ref="J66:J77"/>
    <mergeCell ref="AD125:AH125"/>
    <mergeCell ref="J121:J125"/>
    <mergeCell ref="AP43:AY50"/>
    <mergeCell ref="AD87:AE87"/>
    <mergeCell ref="AG87:AH87"/>
    <mergeCell ref="AG89:AH89"/>
    <mergeCell ref="M43:X51"/>
    <mergeCell ref="AD78:AH78"/>
    <mergeCell ref="AD106:AH106"/>
    <mergeCell ref="AD102:AH102"/>
    <mergeCell ref="AD104:AH104"/>
    <mergeCell ref="AD74:AH74"/>
    <mergeCell ref="AD66:AH66"/>
    <mergeCell ref="AD25:AH25"/>
    <mergeCell ref="AD31:AH31"/>
    <mergeCell ref="AZ139:BH139"/>
    <mergeCell ref="AZ133:BJ133"/>
    <mergeCell ref="BO177:CA177"/>
    <mergeCell ref="AD165:AJ165"/>
    <mergeCell ref="AD141:AH141"/>
    <mergeCell ref="AD145:AH145"/>
    <mergeCell ref="AD177:AH177"/>
    <mergeCell ref="BO150:CA150"/>
    <mergeCell ref="BO165:CC165"/>
    <mergeCell ref="BO145:CA145"/>
    <mergeCell ref="BO169:CA169"/>
    <mergeCell ref="BO171:CA171"/>
    <mergeCell ref="BO173:CA173"/>
    <mergeCell ref="AZ171:BH171"/>
    <mergeCell ref="AO145:AS145"/>
    <mergeCell ref="AZ141:BH141"/>
    <mergeCell ref="AO141:AS141"/>
    <mergeCell ref="AO139:AS139"/>
    <mergeCell ref="AO137:AS137"/>
    <mergeCell ref="BO137:CA137"/>
    <mergeCell ref="BO133:CC133"/>
    <mergeCell ref="BY155:CA155"/>
    <mergeCell ref="BO155:BU155"/>
    <mergeCell ref="BO139:CA139"/>
    <mergeCell ref="BY182:CA182"/>
    <mergeCell ref="AD182:AE182"/>
    <mergeCell ref="AG182:AH182"/>
    <mergeCell ref="AO182:AQ182"/>
    <mergeCell ref="AZ182:BE182"/>
    <mergeCell ref="AG180:AH180"/>
    <mergeCell ref="AD155:AE155"/>
    <mergeCell ref="AZ180:BE180"/>
    <mergeCell ref="AD173:AH173"/>
    <mergeCell ref="AD171:AH171"/>
    <mergeCell ref="AD169:AH169"/>
    <mergeCell ref="AZ153:BE153"/>
    <mergeCell ref="AO153:AQ153"/>
    <mergeCell ref="AG155:AH155"/>
    <mergeCell ref="AO180:AQ180"/>
    <mergeCell ref="AD180:AE180"/>
    <mergeCell ref="AO177:AS177"/>
    <mergeCell ref="AZ177:BH177"/>
    <mergeCell ref="AO165:AU165"/>
    <mergeCell ref="BO182:BU182"/>
  </mergeCells>
  <conditionalFormatting sqref="BC58:BE58 DN58:DP58 DN46:DP46 BC46:BE46">
    <cfRule type="expression" dxfId="5881" priority="2718">
      <formula>$F$10=1</formula>
    </cfRule>
  </conditionalFormatting>
  <conditionalFormatting sqref="BC59:BF60 DM59:DP60 DM44:DP45 BW44 DB44 DB60 CO60 BW60 BC44:BF45 CO44">
    <cfRule type="expression" dxfId="5880" priority="3282">
      <formula>$F$10=1</formula>
    </cfRule>
  </conditionalFormatting>
  <conditionalFormatting sqref="BG52:DL52">
    <cfRule type="expression" dxfId="5879" priority="2732">
      <formula>$F$10=2</formula>
    </cfRule>
  </conditionalFormatting>
  <conditionalFormatting sqref="BG49:DL49 BG55:DL55">
    <cfRule type="expression" dxfId="5878" priority="2733">
      <formula>$F$10=2</formula>
    </cfRule>
  </conditionalFormatting>
  <conditionalFormatting sqref="CU63:DK63 CP77 BH59 BK62:BN64 BO59 DH53 CW59 CU59 CC62:CC64 CD59:CG59 DA62:DE64 DF59 DH62:DH64 DI59 BH63:CG63 CI63 BP62:BY64 BZ59">
    <cfRule type="expression" dxfId="5877" priority="2735">
      <formula>$F$10=1</formula>
    </cfRule>
  </conditionalFormatting>
  <conditionalFormatting sqref="CK73:CS74">
    <cfRule type="expression" dxfId="5876" priority="3094">
      <formula>$F$65&lt;&gt;2</formula>
    </cfRule>
  </conditionalFormatting>
  <conditionalFormatting sqref="CO33:CO43 CK32:CR32 CS31:CS32 CK31">
    <cfRule type="expression" dxfId="5875" priority="3095">
      <formula>$F$65=1</formula>
    </cfRule>
  </conditionalFormatting>
  <conditionalFormatting sqref="CO77">
    <cfRule type="expression" dxfId="5874" priority="3102">
      <formula>$F$65&lt;&gt;2</formula>
    </cfRule>
  </conditionalFormatting>
  <conditionalFormatting sqref="CO25">
    <cfRule type="expression" dxfId="5873" priority="3103">
      <formula>$F$65&lt;&gt;1</formula>
    </cfRule>
  </conditionalFormatting>
  <conditionalFormatting sqref="CO62:CO72">
    <cfRule type="expression" dxfId="5872" priority="3104">
      <formula>$F$65=2</formula>
    </cfRule>
  </conditionalFormatting>
  <conditionalFormatting sqref="DC48:DL48 DC50:DL50 DC54:DL54 DC56:DL56">
    <cfRule type="expression" dxfId="5871" priority="3318">
      <formula>0</formula>
    </cfRule>
  </conditionalFormatting>
  <conditionalFormatting sqref="CW59 DF59 CD63:CG63 BZ59">
    <cfRule type="expression" dxfId="5870" priority="3463" stopIfTrue="1">
      <formula>$AD$25&lt;=1</formula>
    </cfRule>
  </conditionalFormatting>
  <conditionalFormatting sqref="AJ139">
    <cfRule type="expression" dxfId="5869" priority="452">
      <formula>$AJ$139="✓"</formula>
    </cfRule>
  </conditionalFormatting>
  <conditionalFormatting sqref="AJ141">
    <cfRule type="expression" dxfId="5868" priority="451">
      <formula>$AJ$141="✓"</formula>
    </cfRule>
  </conditionalFormatting>
  <conditionalFormatting sqref="AU139">
    <cfRule type="expression" dxfId="5867" priority="448">
      <formula>AU139="✓"</formula>
    </cfRule>
  </conditionalFormatting>
  <conditionalFormatting sqref="AU141">
    <cfRule type="expression" dxfId="5866" priority="447">
      <formula>AU141="✓"</formula>
    </cfRule>
  </conditionalFormatting>
  <conditionalFormatting sqref="BJ139">
    <cfRule type="expression" dxfId="5865" priority="446">
      <formula>BJ139="✓"</formula>
    </cfRule>
  </conditionalFormatting>
  <conditionalFormatting sqref="CC139">
    <cfRule type="expression" dxfId="5864" priority="460">
      <formula>CC139="✓"</formula>
    </cfRule>
  </conditionalFormatting>
  <conditionalFormatting sqref="BJ141">
    <cfRule type="expression" dxfId="5863" priority="442">
      <formula>BJ141="✓"</formula>
    </cfRule>
  </conditionalFormatting>
  <conditionalFormatting sqref="CC141">
    <cfRule type="expression" dxfId="5862" priority="444">
      <formula>CC141="✓"</formula>
    </cfRule>
  </conditionalFormatting>
  <conditionalFormatting sqref="AJ137">
    <cfRule type="expression" dxfId="5861" priority="440">
      <formula>$AJ$137="✓"</formula>
    </cfRule>
  </conditionalFormatting>
  <conditionalFormatting sqref="AU137">
    <cfRule type="expression" dxfId="5860" priority="439">
      <formula>AU137="✓"</formula>
    </cfRule>
  </conditionalFormatting>
  <conditionalFormatting sqref="BJ137">
    <cfRule type="expression" dxfId="5859" priority="438">
      <formula>BJ137="✓"</formula>
    </cfRule>
  </conditionalFormatting>
  <conditionalFormatting sqref="CC137">
    <cfRule type="expression" dxfId="5858" priority="441">
      <formula>CC137="✓"</formula>
    </cfRule>
  </conditionalFormatting>
  <conditionalFormatting sqref="AJ169">
    <cfRule type="expression" dxfId="5857" priority="457">
      <formula>AJ169="✓"</formula>
    </cfRule>
  </conditionalFormatting>
  <conditionalFormatting sqref="AJ171">
    <cfRule type="expression" dxfId="5856" priority="453">
      <formula>AJ171="✓"</formula>
    </cfRule>
  </conditionalFormatting>
  <conditionalFormatting sqref="AJ173">
    <cfRule type="expression" dxfId="5855" priority="436">
      <formula>AJ173="✓"</formula>
    </cfRule>
  </conditionalFormatting>
  <conditionalFormatting sqref="AU169">
    <cfRule type="expression" dxfId="5854" priority="432">
      <formula>AU169="✓"</formula>
    </cfRule>
  </conditionalFormatting>
  <conditionalFormatting sqref="AU171">
    <cfRule type="expression" dxfId="5853" priority="431">
      <formula>AU171="✓"</formula>
    </cfRule>
  </conditionalFormatting>
  <conditionalFormatting sqref="AU173">
    <cfRule type="expression" dxfId="5852" priority="430">
      <formula>AU173="✓"</formula>
    </cfRule>
  </conditionalFormatting>
  <conditionalFormatting sqref="BJ169">
    <cfRule type="expression" dxfId="5851" priority="429">
      <formula>BJ169="✓"</formula>
    </cfRule>
  </conditionalFormatting>
  <conditionalFormatting sqref="BJ171">
    <cfRule type="expression" dxfId="5850" priority="428">
      <formula>BJ171="✓"</formula>
    </cfRule>
  </conditionalFormatting>
  <conditionalFormatting sqref="BJ173">
    <cfRule type="expression" dxfId="5849" priority="427">
      <formula>BJ173="✓"</formula>
    </cfRule>
  </conditionalFormatting>
  <conditionalFormatting sqref="CC169">
    <cfRule type="expression" dxfId="5848" priority="426">
      <formula>CC169="✓"</formula>
    </cfRule>
  </conditionalFormatting>
  <conditionalFormatting sqref="CC171">
    <cfRule type="expression" dxfId="5847" priority="425">
      <formula>CC171="✓"</formula>
    </cfRule>
  </conditionalFormatting>
  <conditionalFormatting sqref="CC173">
    <cfRule type="expression" dxfId="5846" priority="422">
      <formula>CC173="✓"</formula>
    </cfRule>
  </conditionalFormatting>
  <conditionalFormatting sqref="AJ25">
    <cfRule type="containsText" dxfId="5845" priority="357" operator="containsText" text="✓">
      <formula>NOT(ISERROR(SEARCH("✓",AJ25)))</formula>
    </cfRule>
  </conditionalFormatting>
  <conditionalFormatting sqref="AJ31">
    <cfRule type="containsText" dxfId="5844" priority="356" operator="containsText" text="✓">
      <formula>NOT(ISERROR(SEARCH("✓",AJ31)))</formula>
    </cfRule>
  </conditionalFormatting>
  <conditionalFormatting sqref="AJ37">
    <cfRule type="containsText" dxfId="5843" priority="355" operator="containsText" text="✓">
      <formula>NOT(ISERROR(SEARCH("✓",AJ37)))</formula>
    </cfRule>
  </conditionalFormatting>
  <conditionalFormatting sqref="AJ39">
    <cfRule type="containsText" dxfId="5842" priority="354" operator="containsText" text="✓">
      <formula>NOT(ISERROR(SEARCH("✓",AJ39)))</formula>
    </cfRule>
  </conditionalFormatting>
  <conditionalFormatting sqref="CO60:CO61">
    <cfRule type="expression" dxfId="5841" priority="4262" stopIfTrue="1">
      <formula>AND($F$10=1,$F$65=2)</formula>
    </cfRule>
  </conditionalFormatting>
  <conditionalFormatting sqref="CO44">
    <cfRule type="expression" dxfId="5840" priority="3107" stopIfTrue="1">
      <formula>(AND($F$10=1,$F$65=1))</formula>
    </cfRule>
  </conditionalFormatting>
  <conditionalFormatting sqref="BM128:BM145 BM150:BM161">
    <cfRule type="expression" dxfId="5839" priority="348">
      <formula>AND($F$10=1,$F$18&lt;4)</formula>
    </cfRule>
  </conditionalFormatting>
  <conditionalFormatting sqref="AX128:AX145 AX150:AX161">
    <cfRule type="expression" dxfId="5838" priority="338">
      <formula>AND($F$10=1,$F$18&lt;3)</formula>
    </cfRule>
  </conditionalFormatting>
  <conditionalFormatting sqref="AM128:AM145 AM150:AM161">
    <cfRule type="expression" dxfId="5837" priority="337">
      <formula>AND($F$10=1,$F$18&lt;2)</formula>
    </cfRule>
  </conditionalFormatting>
  <conditionalFormatting sqref="BM128:BM145 BM150:BM183">
    <cfRule type="expression" dxfId="5836" priority="344">
      <formula>AND($F$10=2,$F$18&lt;8)</formula>
    </cfRule>
  </conditionalFormatting>
  <conditionalFormatting sqref="AX128:AX145 AX150:AX183">
    <cfRule type="expression" dxfId="5835" priority="336">
      <formula>AND($F$10=2,$F$18&lt;6)</formula>
    </cfRule>
  </conditionalFormatting>
  <conditionalFormatting sqref="AM128:AM145 AM150:AM183">
    <cfRule type="expression" dxfId="5834" priority="334">
      <formula>AND($F$10=2,$F$18&lt;4)</formula>
    </cfRule>
  </conditionalFormatting>
  <conditionalFormatting sqref="J157:J161">
    <cfRule type="expression" dxfId="5833" priority="331">
      <formula>$F$10=1</formula>
    </cfRule>
  </conditionalFormatting>
  <conditionalFormatting sqref="J157:J158">
    <cfRule type="expression" dxfId="5832" priority="330">
      <formula>$F$10=1</formula>
    </cfRule>
  </conditionalFormatting>
  <conditionalFormatting sqref="BG50:DL50 BG48:DL48 BG54:DL54 BG56:DL56">
    <cfRule type="expression" dxfId="5831" priority="4410">
      <formula>$EH$94="2202"</formula>
    </cfRule>
  </conditionalFormatting>
  <conditionalFormatting sqref="AJ112:AJ113 AJ81:AJ85">
    <cfRule type="expression" dxfId="5830" priority="322">
      <formula>AJ81="✓"</formula>
    </cfRule>
  </conditionalFormatting>
  <conditionalFormatting sqref="AJ66">
    <cfRule type="expression" dxfId="5829" priority="317">
      <formula>AJ66="✓"</formula>
    </cfRule>
  </conditionalFormatting>
  <conditionalFormatting sqref="AJ102">
    <cfRule type="expression" dxfId="5828" priority="316">
      <formula>AJ102="✓"</formula>
    </cfRule>
  </conditionalFormatting>
  <conditionalFormatting sqref="AJ119">
    <cfRule type="containsText" dxfId="5827" priority="315" operator="containsText" text="✓">
      <formula>NOT(ISERROR(SEARCH("✓",AJ119)))</formula>
    </cfRule>
  </conditionalFormatting>
  <conditionalFormatting sqref="AJ125">
    <cfRule type="containsText" dxfId="5826" priority="314" operator="containsText" text="✓">
      <formula>NOT(ISERROR(SEARCH("✓",AJ125)))</formula>
    </cfRule>
  </conditionalFormatting>
  <conditionalFormatting sqref="AJ110:AJ111">
    <cfRule type="expression" dxfId="5825" priority="313">
      <formula>AJ110="✓"</formula>
    </cfRule>
  </conditionalFormatting>
  <conditionalFormatting sqref="AJ104">
    <cfRule type="expression" dxfId="5824" priority="295">
      <formula>AJ104="✓"</formula>
    </cfRule>
  </conditionalFormatting>
  <conditionalFormatting sqref="AJ106">
    <cfRule type="expression" dxfId="5823" priority="294">
      <formula>AJ106="✓"</formula>
    </cfRule>
  </conditionalFormatting>
  <conditionalFormatting sqref="AJ108">
    <cfRule type="expression" dxfId="5822" priority="293">
      <formula>AJ108="✓"</formula>
    </cfRule>
  </conditionalFormatting>
  <conditionalFormatting sqref="M108">
    <cfRule type="expression" dxfId="5821" priority="292">
      <formula>$F$98&lt;4</formula>
    </cfRule>
  </conditionalFormatting>
  <conditionalFormatting sqref="M106">
    <cfRule type="expression" dxfId="5820" priority="291">
      <formula>$F$98&lt;3</formula>
    </cfRule>
  </conditionalFormatting>
  <conditionalFormatting sqref="M104">
    <cfRule type="expression" dxfId="5819" priority="290">
      <formula>$F$98&lt;2</formula>
    </cfRule>
  </conditionalFormatting>
  <conditionalFormatting sqref="M102">
    <cfRule type="expression" dxfId="5818" priority="289">
      <formula>$F$98=0</formula>
    </cfRule>
  </conditionalFormatting>
  <conditionalFormatting sqref="AJ95">
    <cfRule type="expression" dxfId="5817" priority="288">
      <formula>AJ95="✓"</formula>
    </cfRule>
  </conditionalFormatting>
  <conditionalFormatting sqref="AJ78:AJ80">
    <cfRule type="expression" dxfId="5816" priority="286">
      <formula>AJ78="✓"</formula>
    </cfRule>
  </conditionalFormatting>
  <conditionalFormatting sqref="AJ150">
    <cfRule type="expression" dxfId="5815" priority="332">
      <formula>$AJ$150="✓"</formula>
    </cfRule>
  </conditionalFormatting>
  <conditionalFormatting sqref="AU150">
    <cfRule type="expression" dxfId="5814" priority="455">
      <formula>AU150="✓"</formula>
    </cfRule>
  </conditionalFormatting>
  <conditionalFormatting sqref="BJ150">
    <cfRule type="expression" dxfId="5813" priority="349">
      <formula>BJ150="✓"</formula>
    </cfRule>
  </conditionalFormatting>
  <conditionalFormatting sqref="CC150">
    <cfRule type="expression" dxfId="5812" priority="437">
      <formula>CC150="✓"</formula>
    </cfRule>
  </conditionalFormatting>
  <conditionalFormatting sqref="AJ145">
    <cfRule type="expression" dxfId="5811" priority="8255">
      <formula>$AJ$145="✓"</formula>
    </cfRule>
  </conditionalFormatting>
  <conditionalFormatting sqref="AJ182">
    <cfRule type="expression" dxfId="5810" priority="280">
      <formula>AJ182="✓"</formula>
    </cfRule>
  </conditionalFormatting>
  <conditionalFormatting sqref="AU145">
    <cfRule type="expression" dxfId="5809" priority="282">
      <formula>$AU$145="✓"</formula>
    </cfRule>
  </conditionalFormatting>
  <conditionalFormatting sqref="BJ145">
    <cfRule type="expression" dxfId="5808" priority="283">
      <formula>$BJ$145="✓"</formula>
    </cfRule>
  </conditionalFormatting>
  <conditionalFormatting sqref="CC145">
    <cfRule type="expression" dxfId="5807" priority="339">
      <formula>$CC$145="✓"</formula>
    </cfRule>
  </conditionalFormatting>
  <conditionalFormatting sqref="AU182">
    <cfRule type="expression" dxfId="5806" priority="274">
      <formula>AU182="✓"</formula>
    </cfRule>
  </conditionalFormatting>
  <conditionalFormatting sqref="BJ182">
    <cfRule type="expression" dxfId="5805" priority="272">
      <formula>BJ182="✓"</formula>
    </cfRule>
  </conditionalFormatting>
  <conditionalFormatting sqref="CC182">
    <cfRule type="expression" dxfId="5804" priority="269">
      <formula>CC182="✓"</formula>
    </cfRule>
  </conditionalFormatting>
  <conditionalFormatting sqref="AJ100">
    <cfRule type="expression" dxfId="5803" priority="257">
      <formula>AJ100="✓"</formula>
    </cfRule>
  </conditionalFormatting>
  <conditionalFormatting sqref="AB99:AK114 AM99:AM114">
    <cfRule type="expression" dxfId="5802" priority="256">
      <formula>$F$37=0</formula>
    </cfRule>
  </conditionalFormatting>
  <conditionalFormatting sqref="AB71:AM73 AL74:AM74 AB75:AM77 AB81:AM81 AB78:AD80 AI78:AM80 AB83:AM84 AB82:AD82 AI82:AM82 AB97:AM97 AB86:AM95 AI85:AM85 AB85:AD85">
    <cfRule type="expression" dxfId="5801" priority="351">
      <formula>$F$37=0</formula>
    </cfRule>
  </conditionalFormatting>
  <conditionalFormatting sqref="AB70:AK70">
    <cfRule type="expression" dxfId="5800" priority="243">
      <formula>$F$37=1</formula>
    </cfRule>
  </conditionalFormatting>
  <conditionalFormatting sqref="J159:J161">
    <cfRule type="expression" dxfId="5799" priority="242">
      <formula>$F$10=2</formula>
    </cfRule>
  </conditionalFormatting>
  <conditionalFormatting sqref="CF158 BM158:CD158 AX158:BK158 AM158:AV158 AB158:AK158 L158:Z158">
    <cfRule type="expression" dxfId="5798" priority="248">
      <formula>$F$10=2</formula>
    </cfRule>
  </conditionalFormatting>
  <conditionalFormatting sqref="L159:CF161">
    <cfRule type="expression" dxfId="5797" priority="247">
      <formula>$F$10=2</formula>
    </cfRule>
  </conditionalFormatting>
  <conditionalFormatting sqref="AG89:AH89">
    <cfRule type="expression" dxfId="5796" priority="244">
      <formula>$AD$89&lt;&gt;""</formula>
    </cfRule>
  </conditionalFormatting>
  <conditionalFormatting sqref="AJ74">
    <cfRule type="expression" dxfId="5795" priority="236">
      <formula>AJ74="✓"</formula>
    </cfRule>
  </conditionalFormatting>
  <conditionalFormatting sqref="AJ121:AJ123">
    <cfRule type="containsText" dxfId="5794" priority="224" operator="containsText" text="✓">
      <formula>NOT(ISERROR(SEARCH("✓",AJ121)))</formula>
    </cfRule>
  </conditionalFormatting>
  <conditionalFormatting sqref="AP43:AS43 AP54:AS54">
    <cfRule type="expression" dxfId="5793" priority="223">
      <formula>$F$10=1</formula>
    </cfRule>
  </conditionalFormatting>
  <conditionalFormatting sqref="AP41:AY42">
    <cfRule type="expression" dxfId="5792" priority="221">
      <formula>$F$10=1</formula>
    </cfRule>
  </conditionalFormatting>
  <conditionalFormatting sqref="AP61:AY62 DS61:DT62">
    <cfRule type="expression" dxfId="5791" priority="220">
      <formula>$F$10=1</formula>
    </cfRule>
  </conditionalFormatting>
  <conditionalFormatting sqref="AP54:AY60">
    <cfRule type="expression" dxfId="5790" priority="219">
      <formula>$F$10=1</formula>
    </cfRule>
  </conditionalFormatting>
  <conditionalFormatting sqref="AP43:AS43">
    <cfRule type="expression" dxfId="5789" priority="218">
      <formula>$F$10=1</formula>
    </cfRule>
  </conditionalFormatting>
  <conditionalFormatting sqref="AP43:AY50 AP61:AY62 DS61:DT62">
    <cfRule type="expression" dxfId="5788" priority="216">
      <formula>$F$10=2</formula>
    </cfRule>
  </conditionalFormatting>
  <conditionalFormatting sqref="DS43 DS54">
    <cfRule type="expression" dxfId="5787" priority="209">
      <formula>$F$10=1</formula>
    </cfRule>
  </conditionalFormatting>
  <conditionalFormatting sqref="DS41:DT42">
    <cfRule type="expression" dxfId="5786" priority="208">
      <formula>$F$10=1</formula>
    </cfRule>
  </conditionalFormatting>
  <conditionalFormatting sqref="DS54">
    <cfRule type="expression" dxfId="5785" priority="206">
      <formula>$F$10=1</formula>
    </cfRule>
  </conditionalFormatting>
  <conditionalFormatting sqref="DS43">
    <cfRule type="expression" dxfId="5784" priority="205">
      <formula>$F$10=1</formula>
    </cfRule>
  </conditionalFormatting>
  <conditionalFormatting sqref="DS43:DT50">
    <cfRule type="expression" dxfId="5783" priority="204">
      <formula>$F$10=2</formula>
    </cfRule>
  </conditionalFormatting>
  <conditionalFormatting sqref="AB96:AM96">
    <cfRule type="expression" dxfId="5782" priority="203">
      <formula>$F$37=0</formula>
    </cfRule>
  </conditionalFormatting>
  <conditionalFormatting sqref="AB74:AK79 AB81:AK92 AB94:AK97 AB99:AK114 AM74:AM79 AM81:AM92 AM94:AM97 AM99:AM114">
    <cfRule type="expression" dxfId="5781" priority="200">
      <formula>$F$37=0</formula>
    </cfRule>
  </conditionalFormatting>
  <conditionalFormatting sqref="AU155">
    <cfRule type="expression" dxfId="5780" priority="149">
      <formula>AU155="✓"</formula>
    </cfRule>
  </conditionalFormatting>
  <conditionalFormatting sqref="BJ155">
    <cfRule type="expression" dxfId="5779" priority="145">
      <formula>BJ155="✓"</formula>
    </cfRule>
  </conditionalFormatting>
  <conditionalFormatting sqref="AJ155">
    <cfRule type="expression" dxfId="5778" priority="140">
      <formula>AJ155="✓"</formula>
    </cfRule>
  </conditionalFormatting>
  <conditionalFormatting sqref="CC155">
    <cfRule type="expression" dxfId="5777" priority="136">
      <formula>CC155="✓"</formula>
    </cfRule>
  </conditionalFormatting>
  <conditionalFormatting sqref="M43">
    <cfRule type="expression" dxfId="5776" priority="8254">
      <formula>$F$13=3</formula>
    </cfRule>
  </conditionalFormatting>
  <conditionalFormatting sqref="AB144:AK146 AM144:AV146 AX144:BK146 BM144:CD146">
    <cfRule type="expression" dxfId="5775" priority="281">
      <formula>$F$13=3</formula>
    </cfRule>
  </conditionalFormatting>
  <conditionalFormatting sqref="L144:Z146">
    <cfRule type="expression" dxfId="5774" priority="8259">
      <formula>$F$13=3</formula>
    </cfRule>
  </conditionalFormatting>
  <conditionalFormatting sqref="M150:Y150">
    <cfRule type="expression" dxfId="5773" priority="8265">
      <formula>$F$13&lt;&gt;3</formula>
    </cfRule>
  </conditionalFormatting>
  <conditionalFormatting sqref="AB150:AK150 AM150:AV150 AX150:BK150 BM150:CD150">
    <cfRule type="expression" dxfId="5772" priority="8267">
      <formula>$F$13&lt;&gt;3</formula>
    </cfRule>
  </conditionalFormatting>
  <conditionalFormatting sqref="BN146:CF149">
    <cfRule type="expression" dxfId="5771" priority="121">
      <formula>AND($F$10=1,$F$18&lt;4)</formula>
    </cfRule>
  </conditionalFormatting>
  <conditionalFormatting sqref="BM146:BM149">
    <cfRule type="expression" dxfId="5770" priority="127">
      <formula>AND($F$10=1,$F$18&lt;4)</formula>
    </cfRule>
  </conditionalFormatting>
  <conditionalFormatting sqref="AX146:AX149">
    <cfRule type="expression" dxfId="5769" priority="125">
      <formula>AND($F$10=1,$F$18&lt;3)</formula>
    </cfRule>
  </conditionalFormatting>
  <conditionalFormatting sqref="AM146:AM149">
    <cfRule type="expression" dxfId="5768" priority="124">
      <formula>AND($F$10=1,$F$18&lt;2)</formula>
    </cfRule>
  </conditionalFormatting>
  <conditionalFormatting sqref="BM146:BM149">
    <cfRule type="expression" dxfId="5767" priority="126">
      <formula>AND($F$10=2,$F$18&lt;8)</formula>
    </cfRule>
  </conditionalFormatting>
  <conditionalFormatting sqref="AX146:AX149">
    <cfRule type="expression" dxfId="5766" priority="123">
      <formula>AND($F$10=2,$F$18&lt;6)</formula>
    </cfRule>
  </conditionalFormatting>
  <conditionalFormatting sqref="AM146:AM149">
    <cfRule type="expression" dxfId="5765" priority="122">
      <formula>AND($F$10=2,$F$18&lt;4)</formula>
    </cfRule>
  </conditionalFormatting>
  <conditionalFormatting sqref="L147:CF147">
    <cfRule type="expression" dxfId="5764" priority="116">
      <formula>$F$13=3</formula>
    </cfRule>
  </conditionalFormatting>
  <conditionalFormatting sqref="L152:Z152">
    <cfRule type="expression" dxfId="5763" priority="112">
      <formula>OR($F$13=3)</formula>
    </cfRule>
  </conditionalFormatting>
  <conditionalFormatting sqref="L149:CD151">
    <cfRule type="expression" dxfId="5762" priority="114">
      <formula>$F$13=2</formula>
    </cfRule>
  </conditionalFormatting>
  <conditionalFormatting sqref="BM150:CD150 AX150:BK150 AM150:AV150 AB150:AK150">
    <cfRule type="expression" dxfId="5761" priority="111">
      <formula>$F$13=2</formula>
    </cfRule>
  </conditionalFormatting>
  <conditionalFormatting sqref="L148:CF148 L151:CF151">
    <cfRule type="expression" dxfId="5760" priority="110">
      <formula>$F$13=2</formula>
    </cfRule>
  </conditionalFormatting>
  <conditionalFormatting sqref="BM151:CD151 AX151:BK151 AM151:AV151 AB151:AK151 L151:Z151">
    <cfRule type="expression" priority="109">
      <formula>$F$13=3</formula>
    </cfRule>
  </conditionalFormatting>
  <conditionalFormatting sqref="L148:CF148">
    <cfRule type="expression" dxfId="5759" priority="108">
      <formula>$F$13=1</formula>
    </cfRule>
  </conditionalFormatting>
  <conditionalFormatting sqref="AB149:AK151 AM149:AV151 AX149:BK151 BM149:CD151">
    <cfRule type="expression" dxfId="5758" priority="107">
      <formula>$F$13=1</formula>
    </cfRule>
  </conditionalFormatting>
  <conditionalFormatting sqref="L152:CF152">
    <cfRule type="expression" dxfId="5757" priority="106">
      <formula>$F$13=1</formula>
    </cfRule>
  </conditionalFormatting>
  <conditionalFormatting sqref="L149:Z151">
    <cfRule type="expression" dxfId="5756" priority="104">
      <formula>$F$13=1</formula>
    </cfRule>
  </conditionalFormatting>
  <conditionalFormatting sqref="AM152:AV152">
    <cfRule type="expression" dxfId="5755" priority="95">
      <formula>AND($F$13=3,$D$140=2)</formula>
    </cfRule>
  </conditionalFormatting>
  <conditionalFormatting sqref="AM153:AV156">
    <cfRule type="expression" dxfId="5754" priority="37">
      <formula>$D$140=1</formula>
    </cfRule>
  </conditionalFormatting>
  <conditionalFormatting sqref="AB152:AK152">
    <cfRule type="expression" dxfId="5753" priority="93">
      <formula>$B$140=1</formula>
    </cfRule>
    <cfRule type="expression" dxfId="5752" priority="101">
      <formula>AND($F$13=3,$B$140=2)</formula>
    </cfRule>
  </conditionalFormatting>
  <conditionalFormatting sqref="AX152:BK152">
    <cfRule type="expression" dxfId="5751" priority="100">
      <formula>AND($F$13=3,$E$140=2)</formula>
    </cfRule>
  </conditionalFormatting>
  <conditionalFormatting sqref="AX153:BK156">
    <cfRule type="expression" dxfId="5750" priority="33">
      <formula>$E$140=1</formula>
    </cfRule>
  </conditionalFormatting>
  <conditionalFormatting sqref="BM152:CD152">
    <cfRule type="expression" dxfId="5749" priority="96">
      <formula>AND($F$13=3,$F$140=2)</formula>
    </cfRule>
  </conditionalFormatting>
  <conditionalFormatting sqref="BM153:CD156">
    <cfRule type="expression" dxfId="5748" priority="79">
      <formula>$F$140=1</formula>
    </cfRule>
  </conditionalFormatting>
  <conditionalFormatting sqref="AB153:AK156">
    <cfRule type="expression" dxfId="5747" priority="20">
      <formula>$B$140=1</formula>
    </cfRule>
  </conditionalFormatting>
  <conditionalFormatting sqref="L153:Z153">
    <cfRule type="expression" dxfId="5746" priority="91">
      <formula>$F$13=2</formula>
    </cfRule>
  </conditionalFormatting>
  <conditionalFormatting sqref="AG87:AH87">
    <cfRule type="expression" dxfId="5745" priority="88">
      <formula>$AD$89&lt;&gt;""</formula>
    </cfRule>
  </conditionalFormatting>
  <conditionalFormatting sqref="AD89:AE89">
    <cfRule type="expression" dxfId="5744" priority="87">
      <formula>$AD$89&lt;&gt;""</formula>
    </cfRule>
  </conditionalFormatting>
  <conditionalFormatting sqref="AD87:AE87">
    <cfRule type="expression" dxfId="5743" priority="86">
      <formula>$AD$89&lt;&gt;""</formula>
    </cfRule>
  </conditionalFormatting>
  <conditionalFormatting sqref="AM178:AV179">
    <cfRule type="expression" dxfId="5742" priority="70">
      <formula>$D$171=2</formula>
    </cfRule>
  </conditionalFormatting>
  <conditionalFormatting sqref="AX178:BK179">
    <cfRule type="expression" dxfId="5741" priority="69">
      <formula>$E$171=2</formula>
    </cfRule>
  </conditionalFormatting>
  <conditionalFormatting sqref="BM178:CD179">
    <cfRule type="expression" dxfId="5740" priority="68">
      <formula>$F$171=2</formula>
    </cfRule>
  </conditionalFormatting>
  <conditionalFormatting sqref="L178:Z178">
    <cfRule type="expression" dxfId="5739" priority="67">
      <formula>$F$13&lt;&gt;1</formula>
    </cfRule>
  </conditionalFormatting>
  <conditionalFormatting sqref="AB179:AK179">
    <cfRule type="expression" dxfId="5738" priority="59">
      <formula>$B$171=1</formula>
    </cfRule>
    <cfRule type="expression" dxfId="5737" priority="71">
      <formula>$B$171=2</formula>
    </cfRule>
  </conditionalFormatting>
  <conditionalFormatting sqref="AX180:BK183">
    <cfRule type="expression" dxfId="5736" priority="34">
      <formula>$E$171=1</formula>
    </cfRule>
  </conditionalFormatting>
  <conditionalFormatting sqref="AM180:AV183">
    <cfRule type="expression" dxfId="5735" priority="38">
      <formula>$D$171=1</formula>
    </cfRule>
  </conditionalFormatting>
  <conditionalFormatting sqref="AB180:AK183">
    <cfRule type="expression" dxfId="5734" priority="41">
      <formula>$B$171=1</formula>
    </cfRule>
  </conditionalFormatting>
  <conditionalFormatting sqref="L179:Z179">
    <cfRule type="expression" dxfId="5733" priority="46">
      <formula>$F$13=1</formula>
    </cfRule>
  </conditionalFormatting>
  <conditionalFormatting sqref="L180:Z180">
    <cfRule type="expression" dxfId="5732" priority="45">
      <formula>$F$13&lt;&gt;1</formula>
    </cfRule>
  </conditionalFormatting>
  <conditionalFormatting sqref="J40 L40:Z40 AB40:AK40">
    <cfRule type="expression" dxfId="5731" priority="28">
      <formula>$F$13=3</formula>
    </cfRule>
  </conditionalFormatting>
  <conditionalFormatting sqref="J41:AM41">
    <cfRule type="expression" dxfId="5730" priority="27">
      <formula>$F$13&lt;&gt;3</formula>
    </cfRule>
  </conditionalFormatting>
  <conditionalFormatting sqref="J42:J52 L42:Z52 AB42:AK52">
    <cfRule type="expression" dxfId="5729" priority="26">
      <formula>$F$13&lt;&gt;3</formula>
    </cfRule>
  </conditionalFormatting>
  <conditionalFormatting sqref="AS182 AS155">
    <cfRule type="expression" dxfId="5728" priority="84">
      <formula>AND($AS$182&lt;&gt;$AS$155,$AO$155&lt;$AO$139,$AO$139&lt;&gt;"",$AO$171&lt;&gt;"")</formula>
    </cfRule>
  </conditionalFormatting>
  <conditionalFormatting sqref="BH182 BH155">
    <cfRule type="expression" dxfId="5727" priority="80">
      <formula>AND($BH$182&lt;&gt;$BH$155,$AZ$155&lt;=$AZ$139,$AZ$139&lt;&gt;"",$AZ$171&lt;&gt;"")</formula>
    </cfRule>
  </conditionalFormatting>
  <conditionalFormatting sqref="BY182:CA182 BY155:CA155">
    <cfRule type="expression" dxfId="5726" priority="81">
      <formula>AND($BY$182&lt;&gt;$BY$155,$BO$155&lt;=$BO$139,$BO$139&lt;&gt;"",$BO$171&lt;&gt;"")</formula>
    </cfRule>
  </conditionalFormatting>
  <conditionalFormatting sqref="AG182:AH182 AG155:AH155">
    <cfRule type="expression" dxfId="5725" priority="8308">
      <formula>AND($AG$182&lt;&gt;$AG$155,$AD$155&lt;=$AD$139,$AD$155&lt;&gt;"")</formula>
    </cfRule>
  </conditionalFormatting>
  <conditionalFormatting sqref="AD155:AE155">
    <cfRule type="expression" dxfId="5724" priority="29">
      <formula>AND($AD$155&gt;=$AD$139,$AD$155&lt;&gt;"",$AD$139&lt;&gt;"")</formula>
    </cfRule>
  </conditionalFormatting>
  <conditionalFormatting sqref="AO155:AQ155">
    <cfRule type="expression" dxfId="5723" priority="24">
      <formula>AND($AO$155&gt;=$AO$139,$AO$155&lt;&gt;"",$AO$139&lt;&gt;"")</formula>
    </cfRule>
  </conditionalFormatting>
  <conditionalFormatting sqref="AZ155:BE155">
    <cfRule type="expression" dxfId="5722" priority="23">
      <formula>AND($AZ$155&gt;=$AZ$139,$AZ$155&lt;&gt;"",$AZ$139&lt;&gt;"")</formula>
    </cfRule>
  </conditionalFormatting>
  <conditionalFormatting sqref="BO155:BU155">
    <cfRule type="expression" dxfId="5721" priority="22">
      <formula>AND($BO$155&gt;=$BO$139,$BO$155&lt;&gt;"",$BO$139&lt;&gt;"")</formula>
    </cfRule>
  </conditionalFormatting>
  <conditionalFormatting sqref="J162:DT187">
    <cfRule type="expression" dxfId="5720" priority="2">
      <formula>$F$10=1</formula>
    </cfRule>
  </conditionalFormatting>
  <conditionalFormatting sqref="BW54:BW58 CO54:CO58 DB54:DB58 BW46:BW50 CO46:CO50 DB46:DB50 BW44 CO44 DB44 BW60 CO60 DB60">
    <cfRule type="expression" dxfId="5719" priority="10956">
      <formula>$EM$86="111A"</formula>
    </cfRule>
  </conditionalFormatting>
  <conditionalFormatting sqref="BW44 BW46 BW58 BW60 CO46 CO58 CO60 DB46 CO44 DB58 DB44 DB60">
    <cfRule type="expression" dxfId="5718" priority="10968">
      <formula>OR($EL$86="220")</formula>
    </cfRule>
  </conditionalFormatting>
  <conditionalFormatting sqref="BW44 BW46 BW58 BW60">
    <cfRule type="expression" dxfId="5717" priority="10980">
      <formula>OR($EM$86="242a",$EM$86="262a",$EM$86="241A",$EI$86="26a",$EH$86="24",$EI$86="26D")</formula>
    </cfRule>
  </conditionalFormatting>
  <conditionalFormatting sqref="DB44 DB58 DB60 DB46">
    <cfRule type="expression" dxfId="5716" priority="10984">
      <formula>OR($EM$86="242a",$EM$86="262b",$EM$86="261B",$EM$86="241A",$EH$86="24",$EI$86="26b",$EI$86="26c")</formula>
    </cfRule>
  </conditionalFormatting>
  <conditionalFormatting sqref="BG48:BV48 BG50:BV50 BG54:BV54 BG56:BV56">
    <cfRule type="expression" dxfId="5715" priority="10988">
      <formula>OR($EM$86="262b",$EM$86="282a")</formula>
    </cfRule>
  </conditionalFormatting>
  <conditionalFormatting sqref="BX48:CN48 BX50:CN50 BX54:CN54 BX56:CN56">
    <cfRule type="expression" dxfId="5714" priority="10992">
      <formula>OR($EM$86="262b",$EM$86="282a")</formula>
    </cfRule>
  </conditionalFormatting>
  <conditionalFormatting sqref="DC48:DL48 DC50:DL50 DC56:DL56 DC54:DL54">
    <cfRule type="expression" dxfId="5713" priority="10996">
      <formula>$EM$86="282A"</formula>
    </cfRule>
  </conditionalFormatting>
  <conditionalFormatting sqref="CO49 CO55">
    <cfRule type="expression" dxfId="5712" priority="11000">
      <formula>OR($EM$86="242a",$EM$86="262a",$EM$86="262b")</formula>
    </cfRule>
  </conditionalFormatting>
  <conditionalFormatting sqref="DB49 DB55">
    <cfRule type="expression" dxfId="5711" priority="11002">
      <formula>OR($EM$86="262a",$EM$86="282a")</formula>
    </cfRule>
  </conditionalFormatting>
  <conditionalFormatting sqref="DB48 DB50 DB54 DB56">
    <cfRule type="expression" dxfId="5710" priority="11004">
      <formula>$EM$86="262b"</formula>
    </cfRule>
  </conditionalFormatting>
  <conditionalFormatting sqref="BW49 BW55">
    <cfRule type="expression" dxfId="5709" priority="11008">
      <formula>OR($EM$86="262b",$EM$86="282a")</formula>
    </cfRule>
  </conditionalFormatting>
  <conditionalFormatting sqref="BG51:CN51 BG53:CN53">
    <cfRule type="expression" dxfId="5708" priority="11010">
      <formula>OR($EH$86="12",$EM$86="131A",$EI$86="13d")</formula>
    </cfRule>
  </conditionalFormatting>
  <conditionalFormatting sqref="BW46 BW48 BW50 BW54 BW56 BW58">
    <cfRule type="expression" dxfId="5707" priority="11012">
      <formula>OR($EH$86="12",$EM$86="131A",$EI$86="13d")</formula>
    </cfRule>
  </conditionalFormatting>
  <conditionalFormatting sqref="DB46 DB48 DB50 DB54 DB56 DB58">
    <cfRule type="expression" dxfId="5706" priority="11018">
      <formula>OR($EH$86="12",$EM$86="131B")</formula>
    </cfRule>
  </conditionalFormatting>
  <conditionalFormatting sqref="DC51:DL51 DC53:DL53">
    <cfRule type="expression" dxfId="5705" priority="11024">
      <formula>$EM$86="141A"</formula>
    </cfRule>
    <cfRule type="expression" dxfId="5704" priority="11025">
      <formula>OR($EM$86="131A",$EI$86="13c",$EI$86="13d")</formula>
    </cfRule>
  </conditionalFormatting>
  <conditionalFormatting sqref="BG51:BV51 BG53:BV53">
    <cfRule type="expression" dxfId="5703" priority="11028">
      <formula>OR($EM$86="131B",$EM$86="141A",AND($EI$86="13c"))</formula>
    </cfRule>
  </conditionalFormatting>
  <conditionalFormatting sqref="BX51:CN51 BX53:CN53">
    <cfRule type="expression" dxfId="5702" priority="11030">
      <formula>OR($EM$86="131B",$EM$86="141A",$EI$86="13c")</formula>
    </cfRule>
  </conditionalFormatting>
  <conditionalFormatting sqref="DB51:DL51 DB53:DL53">
    <cfRule type="expression" dxfId="5701" priority="11032">
      <formula>$EM$86="131B"</formula>
    </cfRule>
  </conditionalFormatting>
  <conditionalFormatting sqref="BG48:BV48 BG50:BV50">
    <cfRule type="expression" dxfId="5700" priority="11034">
      <formula>OR($EM$86="281a",$EI$86="26b",$EI$86="28a",$EI$86="26c",$EI$86="26D")</formula>
    </cfRule>
  </conditionalFormatting>
  <conditionalFormatting sqref="BG48:CN48 BG50:CN50">
    <cfRule type="expression" dxfId="5699" priority="11036">
      <formula>OR($EM$86="241A",$EH$86="24",$EI$86="26a")</formula>
    </cfRule>
  </conditionalFormatting>
  <conditionalFormatting sqref="BG54:BV54 BG56:BV56">
    <cfRule type="expression" dxfId="5698" priority="11038">
      <formula>OR($EM$86="261B",AND($EI$86="26D",$EN$116=2))</formula>
    </cfRule>
  </conditionalFormatting>
  <conditionalFormatting sqref="BG51:DL51 BG53:DL53">
    <cfRule type="expression" dxfId="5697" priority="11040">
      <formula>$EM$86="111A"</formula>
    </cfRule>
  </conditionalFormatting>
  <conditionalFormatting sqref="CP51:DL51 CP53:DL53">
    <cfRule type="expression" dxfId="5696" priority="11042">
      <formula>$EH$86="12"</formula>
    </cfRule>
  </conditionalFormatting>
  <conditionalFormatting sqref="CP51:DA51 CP53:DA53">
    <cfRule type="expression" dxfId="5695" priority="11044">
      <formula>OR($EM$86="131B",$EM$86="141A",$EI$86="13c")</formula>
    </cfRule>
    <cfRule type="expression" dxfId="5694" priority="11045">
      <formula>OR($EM$86="131A",$EI$86="13d")</formula>
    </cfRule>
  </conditionalFormatting>
  <conditionalFormatting sqref="BG48:DL48 BG50:DL50">
    <cfRule type="expression" dxfId="5693" priority="11048">
      <formula>$EH$86="22"</formula>
    </cfRule>
  </conditionalFormatting>
  <conditionalFormatting sqref="BG54:DL54 BG56:DL56">
    <cfRule type="expression" dxfId="5692" priority="11050">
      <formula>$EN$86="2201"</formula>
    </cfRule>
  </conditionalFormatting>
  <conditionalFormatting sqref="M37 AD37:AH37">
    <cfRule type="expression" dxfId="5691" priority="11052">
      <formula>AND($EH$86="14",$EH$86="28",$EH$86="11",$EH$86="22")</formula>
    </cfRule>
  </conditionalFormatting>
  <conditionalFormatting sqref="BG54:BV54 BG56:BV56">
    <cfRule type="expression" dxfId="5690" priority="11054">
      <formula>OR(AND($EI$86="26b",$EN$116=2),AND($EI$86="28a",$EN$116=2),AND($EI$86="26c",$EN$116=2))</formula>
    </cfRule>
  </conditionalFormatting>
  <conditionalFormatting sqref="BX48:CN48 BX50:CN50">
    <cfRule type="expression" dxfId="5689" priority="11056">
      <formula>$EI$86="26D"</formula>
    </cfRule>
    <cfRule type="expression" dxfId="5688" priority="11057">
      <formula>OR(AND($EI$86="26b",$EO$106=2),AND($EI$86="28a",$EO$106=2),AND($EI$86="26c",$EO$106=2))</formula>
    </cfRule>
    <cfRule type="expression" dxfId="5687" priority="11058">
      <formula>OR($EM$86="281a",$EM$86="261B",AND($EI$86="26b",$EO$106=3),AND($EI$86="28a",$EO$106=3),AND($EI$86="26c",$EO$106=3))</formula>
    </cfRule>
  </conditionalFormatting>
  <conditionalFormatting sqref="DC48:DL48 DC50:DL50">
    <cfRule type="expression" dxfId="5686" priority="11062">
      <formula>OR(AND($EI$86="28a",$EQ$106=6),AND($EI$86="26D",$EP$106=6))</formula>
    </cfRule>
    <cfRule type="expression" dxfId="5685" priority="11063">
      <formula>OR(AND($EI$86="26a",$EP$106=3),AND($EI$86="26b",$EP$106=3),,AND($EI$86="26c",$EP$106=3),AND($EI$86="26D",$EP$106=3))</formula>
    </cfRule>
    <cfRule type="expression" dxfId="5684" priority="11064">
      <formula>OR(AND($EI$86="26a",$EP$106=5),AND($EI$86="26b",$EP$106=5),AND($EI$86="28a",$EQ$106=5),AND($EI$86="26c",$EP$106=5),AND($EI$86="26D",$EP$106=5))</formula>
    </cfRule>
    <cfRule type="expression" dxfId="5683" priority="11065">
      <formula>OR(AND($EI$86="28a",$EQ$106=7),AND($EI$86="26c",$EP$106=7))</formula>
    </cfRule>
  </conditionalFormatting>
  <conditionalFormatting sqref="BX54:CN54 BX56:CN56">
    <cfRule type="expression" dxfId="5682" priority="11070">
      <formula>OR(AND($EI$86="26c",$EO$116=1),AND($EI$86="26D",$EN$116=1))</formula>
    </cfRule>
    <cfRule type="expression" dxfId="5681" priority="11071">
      <formula>OR(AND($EI$86="26b",$EO$116=3),AND($EI$86="28a",$EO$116=3),AND($EI$86="26c",$EO$116=3))</formula>
    </cfRule>
    <cfRule type="expression" dxfId="5680" priority="11072">
      <formula>OR(AND($EI$86="26b",$EO$116=2),AND($EI$86="28a",$EO$116=2),AND($EI$86="26c",$EO$116=2),AND($EI$86="26D",$EN$116=2))</formula>
    </cfRule>
    <cfRule type="expression" dxfId="5679" priority="11073">
      <formula>OR(AND($EI$86="26b",$EO$116=2))</formula>
    </cfRule>
    <cfRule type="expression" dxfId="5678" priority="11074">
      <formula>OR($EM$86="281a",AND($EI$86="26b",$EO$116=4),AND($EI$86="28a",$EO$116=4),AND($EI$86="26c",$EO$116=4))</formula>
    </cfRule>
  </conditionalFormatting>
  <conditionalFormatting sqref="DC54:DL54 DC56:DL56">
    <cfRule type="expression" dxfId="5677" priority="11080">
      <formula>AND($EI$86="28a",$EQ$116=7)</formula>
    </cfRule>
    <cfRule type="expression" dxfId="5676" priority="11081">
      <formula>OR(AND($EI$86="26a",$EP$116=4),AND($EI$86="26b",$EP$116=4),AND($EI$86="28a",$EQ$116=4),AND($EI$86="26c",$EP$116=4),AND($EI$86="26D",$EP$116=4))</formula>
    </cfRule>
    <cfRule type="expression" dxfId="5675" priority="11082">
      <formula>OR(AND($EI$86="26a",$EP$116=3),AND($EI$86="26b",$EP$116=3),,AND($EI$86="26c",$EP$116=3),AND($EI$86="26D",$EP$116=3))</formula>
    </cfRule>
    <cfRule type="expression" dxfId="5674" priority="11083">
      <formula>OR(AND($EI$86="26a",$EP$116=6),AND($EI$86="26b",$EP$116=6),AND($EI$86="28a",$EQ$116=6),AND($EI$86="26c",$EP$116=6),AND($EI$86="26D",$EP$116=6))</formula>
    </cfRule>
    <cfRule type="expression" dxfId="5673" priority="11084">
      <formula>OR(AND($EI$86="26a",$EP$116=5),AND($EI$86="26b",$EP$116=5),AND($EI$86="28a",$EQ$116=5),AND($EI$86="26c",$EP$116=5),AND($EI$86="26D",$EP$116=5))</formula>
    </cfRule>
    <cfRule type="expression" dxfId="5672" priority="11085">
      <formula>OR($EM$86="261a",$EM$86="261B")</formula>
    </cfRule>
    <cfRule type="expression" dxfId="5671" priority="11086">
      <formula>OR(AND($EI$86="28a",$EQ$116=8),AND($EI$86="26c",$EP$116=8))</formula>
    </cfRule>
  </conditionalFormatting>
  <conditionalFormatting sqref="DB48 DB50">
    <cfRule type="expression" dxfId="5670" priority="11094">
      <formula>OR(AND($EI$86="26b",$EP$106=4),AND($EI$86="26c",$EP$106=4))</formula>
    </cfRule>
    <cfRule type="expression" dxfId="5669" priority="11095">
      <formula>OR(AND($EI$86="26b",$EP$106=3),,AND($EI$86="26c",$EP$106=3))</formula>
    </cfRule>
    <cfRule type="expression" dxfId="5668" priority="11096">
      <formula>OR(AND($EI$86="26b",$EP$106=5),,AND($EI$86="26c",$EP$106=5))</formula>
    </cfRule>
  </conditionalFormatting>
  <conditionalFormatting sqref="DB54 DB56">
    <cfRule type="expression" dxfId="5667" priority="11100">
      <formula>OR(AND($EI$86="26b",$EP$116=5),,AND($EI$86="26c",$EP$116=5))</formula>
    </cfRule>
    <cfRule type="expression" dxfId="5666" priority="11101">
      <formula>OR(AND($EI$86="26b",$EP$116=4),AND($EI$86="26c",$EP$116=4))</formula>
    </cfRule>
    <cfRule type="expression" dxfId="5665" priority="11102">
      <formula>OR(AND($EI$86="26b",$EP$116=3),,AND($EI$86="26c",$EP$116=3))</formula>
    </cfRule>
    <cfRule type="expression" dxfId="5664" priority="11103">
      <formula>OR(AND($EI$86="26b",$EP$116=6),,AND($EI$86="26c",$EP$116=6))</formula>
    </cfRule>
  </conditionalFormatting>
  <conditionalFormatting sqref="CP48:DA48 CP50:DA50">
    <cfRule type="expression" dxfId="5663" priority="11108">
      <formula>OR(AND($EI$86="26b",$EP$106=4),AND($EI$86="28a",$EP$106=4),AND($EI$86="26c",$EP$106=4),AND($EI$86="26D",$EO$106=4))</formula>
    </cfRule>
    <cfRule type="expression" dxfId="5662" priority="11109">
      <formula>OR(AND($EI$86="26a",$EO$106=2),AND($EI$86="26D",$EO$106=2))</formula>
    </cfRule>
    <cfRule type="expression" dxfId="5661" priority="11110">
      <formula>OR(AND($EI$86="26a",$EO$106=3),AND($EI$86="26b",$EP$106=3),AND($EI$86="28a",$EP$106=3),AND($EI$86="26c",$EP$106=3),AND($EI$86="26D",$EO$106=3))</formula>
    </cfRule>
    <cfRule type="expression" dxfId="5660" priority="11111">
      <formula>OR($EM$86="281a",$EM$86="261B",AND($EI$86="26b",$EP$106=5),AND($EI$86="28a",$EP$106=5),AND($EI$86="26c",$EP$106=5))</formula>
    </cfRule>
  </conditionalFormatting>
  <conditionalFormatting sqref="CP54:DA54 CP56:DA56">
    <cfRule type="expression" dxfId="5659" priority="11116">
      <formula>OR(AND($EI$86="26b",$EP$116=3),AND($EI$86="26a",$EO$116=3),AND($EI$86="28a",$EP$116=3),AND($EI$86="26c",$EP$116=3),AND($EI$86="26D",$EO$116=3))</formula>
    </cfRule>
    <cfRule type="expression" dxfId="5658" priority="11117">
      <formula>OR(AND($EI$86="26b",$EP$116=5),AND($EI$86="28a",$EP$116=5),AND($EI$86="26c",$EP$116=5))</formula>
    </cfRule>
    <cfRule type="expression" dxfId="5657" priority="11118">
      <formula>OR(AND($EI$86="26a",$EO$116=2),AND($EI$86="26D",$EO$116=2))</formula>
    </cfRule>
    <cfRule type="expression" dxfId="5656" priority="11119">
      <formula>OR(AND($EI$86="26a",$EO$116=4),AND($EI$86="26b",$EP$116=4),AND($EI$86="28a",$EP$116=4),AND($EI$86="26c",$EP$116=4),AND($EI$86="26D",$EO$116=4))</formula>
    </cfRule>
    <cfRule type="expression" dxfId="5655" priority="11120">
      <formula>OR($EM$86="281a",$EM$86="261b",AND($EI$86="26b",$EP$116=6),AND($EI$86="28a",$EP$116=6),AND($EI$86="26c",$EP$116=6))</formula>
    </cfRule>
  </conditionalFormatting>
  <conditionalFormatting sqref="DC48:DL48 DC50:DL50">
    <cfRule type="expression" dxfId="5654" priority="11126">
      <formula>OR(AND($EI$86="26a",$EP$106=4),AND($EI$86="26b",$EP$106=4),AND($EI$86="28a",$EQ$106=4),AND($EI$86="26c",$EP$106=4),AND($EI$86="26D",$EP$106=4))</formula>
    </cfRule>
  </conditionalFormatting>
  <conditionalFormatting sqref="BG56:BV56 BG54:BV54">
    <cfRule type="expression" dxfId="5653" priority="11128">
      <formula>OR(AND($EI$86="26b",$EN$116=1),AND($EI$86="28a",$EN$116=1),AND($EI$86="26c",$EN$116=1),AND($EI$86="26D",$EN$116=1))</formula>
    </cfRule>
  </conditionalFormatting>
  <conditionalFormatting sqref="DA54 DA56">
    <cfRule type="expression" dxfId="5652" priority="11130">
      <formula>OR(AND($EI$86="26b",$EP$116=3))</formula>
    </cfRule>
  </conditionalFormatting>
  <conditionalFormatting sqref="CP33:CP50">
    <cfRule type="expression" dxfId="5651" priority="11132">
      <formula>OR($EI$94="1411a",$EK$86="13c1")</formula>
    </cfRule>
    <cfRule type="expression" dxfId="5650" priority="11133">
      <formula>$EI$94="1211C"</formula>
    </cfRule>
    <cfRule type="expression" dxfId="5649" priority="11134">
      <formula>OR($EI$94="1211b",$EI$94="1311a",$EI$94="1311b",$EK$86="13d1")</formula>
    </cfRule>
  </conditionalFormatting>
  <conditionalFormatting sqref="CN33:CN50">
    <cfRule type="expression" dxfId="5648" priority="11135">
      <formula>OR($EI$94="1211C",$EK$86="13d1")</formula>
    </cfRule>
    <cfRule type="expression" dxfId="5647" priority="11136">
      <formula>OR($EI$94="1211b",$EI$94="1311a",$EI$94="1311b",$EI$94="1411a",$EK$86="13c1")</formula>
    </cfRule>
  </conditionalFormatting>
  <conditionalFormatting sqref="CN54:CN72">
    <cfRule type="expression" dxfId="5646" priority="11137">
      <formula>OR($EI$94="1221c",$EK$86="13d2")</formula>
    </cfRule>
    <cfRule type="expression" dxfId="5645" priority="11138">
      <formula>OR($EK$86="13b2",$EN$86="1421",$EI$94="1221b",$EK$86="13a2",$EK$86="12b2",$EK$86="13c2")</formula>
    </cfRule>
  </conditionalFormatting>
  <conditionalFormatting sqref="CP54:CP72">
    <cfRule type="expression" dxfId="5644" priority="11139">
      <formula>OR($EI$94="1421a",$EK$86="13c2")</formula>
    </cfRule>
    <cfRule type="expression" dxfId="5643" priority="11140">
      <formula>OR($EK$86="13a2",$EK$86="12b2",$EK$86="13d2")</formula>
    </cfRule>
    <cfRule type="expression" dxfId="5642" priority="11141">
      <formula>$EI$94="1221c"</formula>
    </cfRule>
    <cfRule type="expression" dxfId="5641" priority="11142">
      <formula>OR($EK$86="13b2")</formula>
    </cfRule>
  </conditionalFormatting>
  <conditionalFormatting sqref="BW48 BW50">
    <cfRule type="expression" dxfId="5640" priority="11143">
      <formula>OR(AND($EI$86="26D",$EN$106=1))</formula>
    </cfRule>
  </conditionalFormatting>
  <conditionalFormatting sqref="BW54 BW56">
    <cfRule type="expression" dxfId="5639" priority="11145">
      <formula>OR(AND($EI$86="26D",$EN$116=1))</formula>
    </cfRule>
  </conditionalFormatting>
  <conditionalFormatting sqref="DB56 DB58 DB54 DB50 DB48 DB46">
    <cfRule type="expression" dxfId="5638" priority="11147">
      <formula>OR($EI$86="13c")</formula>
    </cfRule>
  </conditionalFormatting>
  <conditionalFormatting sqref="DB51 DB53">
    <cfRule type="expression" dxfId="5637" priority="11153">
      <formula>OR($EI$86="13c")</formula>
    </cfRule>
  </conditionalFormatting>
  <conditionalFormatting sqref="BG48:CN48 BG50:CN50 BG54:CN54 BG56:CN56">
    <cfRule type="expression" dxfId="5636" priority="11155">
      <formula>OR($EM$86="242a",AND($EH$86="24",$EH$135=2),AND($EI$86="26a",$EH$135=2))</formula>
    </cfRule>
  </conditionalFormatting>
  <conditionalFormatting sqref="BG54:CN54 BG56:CN56">
    <cfRule type="expression" dxfId="5635" priority="11159">
      <formula>OR($EM$86="241A",AND($EH$86="24",$EH$135=1),AND($EI$86="26a",$EH$135=1),AND($EI$86="26d",$EN$116=2))</formula>
    </cfRule>
    <cfRule type="expression" dxfId="5634" priority="11160">
      <formula>$EM$86="261a"</formula>
    </cfRule>
  </conditionalFormatting>
  <conditionalFormatting sqref="CP48:DL48 CP50:DL50 CP54:DL54 CP56:DL56">
    <cfRule type="expression" dxfId="5633" priority="11163">
      <formula>OR($EM$86="242a",AND($EH$86="24",$EH$135=2,$EI$135=2))</formula>
    </cfRule>
  </conditionalFormatting>
  <conditionalFormatting sqref="CP48:DA48 CP50:DA50 CP54:DA54 CP56:DA56">
    <cfRule type="expression" dxfId="5632" priority="11167">
      <formula>OR($EM$86="282a",AND($EI$86="26a",$EH$135=1,$EI$135=2))</formula>
    </cfRule>
    <cfRule type="expression" dxfId="5631" priority="11168">
      <formula>OR($EM$86="262a")</formula>
    </cfRule>
  </conditionalFormatting>
  <conditionalFormatting sqref="CP48:DL48 CP50:DL50">
    <cfRule type="expression" dxfId="5630" priority="11175">
      <formula>OR(AND($EH$86="24",$EH$135=2))</formula>
    </cfRule>
    <cfRule type="expression" dxfId="5629" priority="11176">
      <formula>OR($EM$86="241A",AND($EH$86="24",$EO$106=3))</formula>
    </cfRule>
  </conditionalFormatting>
  <conditionalFormatting sqref="CN33:CN47">
    <cfRule type="expression" dxfId="5628" priority="11179">
      <formula>OR($EK$86="24c1",$EK$86="26d1")</formula>
    </cfRule>
    <cfRule type="expression" dxfId="5627" priority="11180">
      <formula>OR(AND($EK$86="24b1",$EH$135=1,$EJ$135=1),AND($EK$86="24b1",$EH$135=1,$EJ$135=2),AND($EK$86="26b1",$EO$106=3),AND($EK$86="26a1",$EO$106=3),AND($EL$86="281",$EO$106=3),AND($EK$86="26c1",$EO$106=3))</formula>
    </cfRule>
    <cfRule type="expression" dxfId="5626" priority="11181">
      <formula>OR(AND($EL$86="241",$EH$135=2),AND($EK$86="26a1",$EO$106=2),AND($EK$86="26b1",$EO$106=2),AND($EL$86="281",$EO$106=2),AND($EK$86="26c1",$EO$106=2))</formula>
    </cfRule>
  </conditionalFormatting>
  <conditionalFormatting sqref="CP33:CP47">
    <cfRule type="expression" dxfId="5625" priority="11182">
      <formula>OR(AND($EL$86="281",$EP$106=4),AND($EK$86="26c1",$EP$106=4))</formula>
    </cfRule>
    <cfRule type="expression" dxfId="5624" priority="11183">
      <formula>OR(AND($EK$86="24c1"))</formula>
    </cfRule>
    <cfRule type="expression" dxfId="5623" priority="11184">
      <formula>OR(AND($EL$86="281",$EP$106=5),AND($EK$86="26c1",$EP$106=5))</formula>
    </cfRule>
    <cfRule type="expression" dxfId="5622" priority="11185">
      <formula>OR(AND($EK$86="24b1",$EH$135=1,$EJ$135=1),AND($EK$86="24b1",$EH$135=1,$EJ$135=2),AND($EK$86="26b1",$EO$106=3),AND($EK$86="26a1",$EO$106=3),AND($EL$86="281",$EP$106=3),AND($EK$86="26c1",$EP$106=3),AND($EK$86="26d1",$EO$106=3))</formula>
    </cfRule>
    <cfRule type="expression" dxfId="5621" priority="11186">
      <formula>OR(AND($EK$86="24B1",$EH$135=2),AND($EK$86="26a1",$EO$106=2),AND($EK$86="26b1",$EO$106=2),AND($EK$86="26d1",$EO$106=2))</formula>
    </cfRule>
  </conditionalFormatting>
  <conditionalFormatting sqref="CP57:CP72">
    <cfRule type="expression" dxfId="5620" priority="11187">
      <formula>OR(AND($EL$86="282",$EP$116=6),AND($EK$86="26c2",$EP$116=6))</formula>
    </cfRule>
    <cfRule type="expression" dxfId="5619" priority="11188">
      <formula>OR(AND($EL$86="282",$EP$116=5),AND($EK$86="26c2",$EP$116=5))</formula>
    </cfRule>
    <cfRule type="expression" dxfId="5618" priority="11189">
      <formula>OR(AND($EK$86="24b2",$EH$135=1,$EI$135=1),AND($EK$86="26b2",$EO$116=4),AND($EK$86="26a2",$EO$116=4),AND($EL$86="282",$EP$116=4),AND($EK$86="26c2",$EP$116=4),AND($EK$86="26D2",$EO$116=4))</formula>
    </cfRule>
    <cfRule type="expression" dxfId="5617" priority="11190">
      <formula>OR(AND($EK$86="24C2",$EH$135=2))</formula>
    </cfRule>
    <cfRule type="expression" dxfId="5616" priority="11191">
      <formula>OR(AND($EK$86="24b2",$EH$135=1,$EI$135=2),AND($EK$86="26b2",$EO$116=3),AND($EK$86="26a2",$EO$116=3),AND($EK$86="24B2",$EO$116=3),AND($EL$86="282",$EP$116=3),AND($EK$86="26c2",$EP$116=3),AND($EK$86="26D2",$EO$116=3))</formula>
    </cfRule>
    <cfRule type="expression" dxfId="5615" priority="11192">
      <formula>OR(AND($EK$86="24C2",$EH$135=1),AND($EK$86="24b2",$EH$135=2,$EI$135=2),AND($EK$86="26b2",$EO$116=2),AND($EK$86="26a2",$EO$116=2),AND($EK$86="26c2",$EO$116=2),AND($EK$86="26D2",$EO$116=2))</formula>
    </cfRule>
  </conditionalFormatting>
  <conditionalFormatting sqref="CN57:CN72">
    <cfRule type="expression" dxfId="5614" priority="11193">
      <formula>OR(AND($EK$86="24C2",$EH$135=1),AND($EK$86="24b2",$EH$135=2,$EI$135=2),AND($EK$86="26b2",$EO$116=2),AND($EK$86="26a2",$EO$116=2),AND($EL$86="282",$EO$116=2),AND($EK$86="26c2",$EO$116=2),AND($EK$86="26D2",$EN$116=2))</formula>
    </cfRule>
    <cfRule type="expression" dxfId="5613" priority="11194">
      <formula>(OR(AND($EK$86="24b2",$EH$135=1,$EI$135=2),AND($EK$86="26b2",$EO$116=3),AND($EK$86="26a2",$EO$116=3),AND($EK$86="24B2",$EO$116=3),AND($EL$86="282",$EO$116=3),,AND($EK$86="26c2",$EO$116=3)))</formula>
    </cfRule>
    <cfRule type="expression" dxfId="5612" priority="11195">
      <formula>OR(AND($EK$86="24C2",$EH$135=2),AND($EK$86="26D2",$EN$116=1))</formula>
    </cfRule>
    <cfRule type="expression" dxfId="5611" priority="11196">
      <formula>OR(AND($EK$86="24b2",$EH$135=1,$EI$135=1),AND($EK$86="26b2",$EO$116=4),AND($EK$86="26a2",$EO$116=4),AND($EL$86="282",$EO$116=4),AND($EK$86="26c2",$EO$116=4))</formula>
    </cfRule>
  </conditionalFormatting>
  <conditionalFormatting sqref="CP54:DL54 CP56:DL56">
    <cfRule type="expression" dxfId="5610" priority="11197">
      <formula>OR(AND($EH$86="24",$EH$135=2,$EI$135=1),AND($EH$86="24",$EH$135=1,$EI$135=2))</formula>
    </cfRule>
    <cfRule type="expression" dxfId="5609" priority="11198">
      <formula>OR($EM$86="241A",AND($EH$86="24",$EH$135=1,$EI$149=1))</formula>
    </cfRule>
  </conditionalFormatting>
  <conditionalFormatting sqref="AB85:AK92">
    <cfRule type="expression" dxfId="5608" priority="14">
      <formula>AND($F$37&lt;&gt;0,$AD$82="")</formula>
    </cfRule>
  </conditionalFormatting>
  <conditionalFormatting sqref="AB84:AM84">
    <cfRule type="expression" dxfId="5607" priority="13">
      <formula>AND($F$37&lt;&gt;0,$AD$82="")</formula>
    </cfRule>
  </conditionalFormatting>
  <conditionalFormatting sqref="AB84:AK84">
    <cfRule type="expression" dxfId="5606" priority="12">
      <formula>AND($F$37&lt;&gt;0,$AD$82&lt;&gt;"")</formula>
    </cfRule>
  </conditionalFormatting>
  <conditionalFormatting sqref="Y133">
    <cfRule type="expression" dxfId="5605" priority="8">
      <formula>$Y$133&lt;&gt;"!"</formula>
    </cfRule>
  </conditionalFormatting>
  <conditionalFormatting sqref="Y165">
    <cfRule type="expression" dxfId="5604" priority="16">
      <formula>$Y$165&lt;&gt;"!"</formula>
    </cfRule>
  </conditionalFormatting>
  <conditionalFormatting sqref="O165:V165">
    <cfRule type="expression" dxfId="5603" priority="7">
      <formula>$Y$165="!"</formula>
    </cfRule>
  </conditionalFormatting>
  <conditionalFormatting sqref="O133:V133">
    <cfRule type="expression" dxfId="5602" priority="1">
      <formula>$Y$133="!"</formula>
    </cfRule>
  </conditionalFormatting>
  <dataValidations xWindow="473" yWindow="1007" count="63">
    <dataValidation allowBlank="1" showErrorMessage="1" promptTitle="Én stuff drift" prompt="Påvirker ikke beregningene på dette tidspunktet" sqref="U39" xr:uid="{292B9C90-C467-4956-8BCC-96465D87862E}"/>
    <dataValidation allowBlank="1" showErrorMessage="1" promptTitle="Sonderboring" prompt="bormeter - Sonderboring inkl. lekkasjemåling, avh. av antall hull, her antas 4" sqref="T119:Z119 U39 X89:Y89 U169 U141 U171 X95:Y95 U139 U137 U125:Z125 AB116:AK116 AB62:AK64 U173 U31 T116:Z116" xr:uid="{199579FD-4D05-4306-AB62-151947EEEFAB}"/>
    <dataValidation allowBlank="1" showErrorMessage="1" promptTitle="Stuff antall" prompt="Påvirker ikke beregningene på dette tidspunktet" sqref="U31" xr:uid="{6BFF488E-0D9C-40FA-AF22-B57355AADCE9}"/>
    <dataValidation allowBlank="1" showInputMessage="1" showErrorMessage="1" promptTitle="Arbeidsuke lengde" prompt="Nødvendig for å konvertere timer til uke" sqref="T119:Z119 U169 U171 U141 U139 U137 U125:Z125 U173" xr:uid="{76140FB1-7302-4CC3-8BC9-1815DE3ECFA5}"/>
    <dataValidation allowBlank="1" showInputMessage="1" showErrorMessage="1" promptTitle="Antall løp" prompt="Kan bare endres fra prosjektinformasjon ark" sqref="U25" xr:uid="{42E3613B-BC42-4E74-B3BD-7EB431466F26}"/>
    <dataValidation allowBlank="1" showInputMessage="1" showErrorMessage="1" promptTitle="Stuff antall" prompt="Antall løp kan bare endres fra &quot;Prosjektinformasjon&quot; -fanen" sqref="U25" xr:uid="{3E9057F5-1E0B-4C22-A4B0-9FDF8A7C5B7D}"/>
    <dataValidation allowBlank="1" showInputMessage="1" showErrorMessage="1" promptTitle="Driftsform" prompt="Valgt driftsform (enstuffs drift eller vekseldrift) representerer hele tunnelen. Hvis &quot;kombinasjon&quot; velges, må individuell driftsform velges for hver stuff nedenfor." sqref="T39" xr:uid="{2E389E03-B78C-4F3D-AD9A-91D7124545A4}"/>
    <dataValidation allowBlank="1" showInputMessage="1" showErrorMessage="1" promptTitle="Konstruksjonsmetode" prompt="Den valgte konstruksjonsmetoden representerer hele tunnelen. Hvis den &quot;kombinasjon&quot; metoden er valgt, må konstruksjonsmetoden for hver stuff defineres." sqref="T39" xr:uid="{64CEC194-9B03-4314-B4E0-AF5FBD32D3FD}"/>
    <dataValidation allowBlank="1" showInputMessage="1" showErrorMessage="1" promptTitle="Antall stuffer" prompt="Oppgi antall stuffer som tunnelen er delt inn i." sqref="T31" xr:uid="{8EE64DB4-552F-4B72-AE71-A3B1682E2D1B}"/>
    <dataValidation allowBlank="1" showInputMessage="1" showErrorMessage="1" promptTitle="Stuff antall" prompt="Oppgi antall stuffer som tunnelen er delt inn i." sqref="T31" xr:uid="{BE525224-677D-4302-BC69-1DB18B008CBE}"/>
    <dataValidation allowBlank="1" showInputMessage="1" showErrorMessage="1" promptTitle="Antall løp" prompt="Antall tunnelløp kan bare endres i fanen Prosjektinformasjon." sqref="T25" xr:uid="{461B8B5F-B5ED-4642-B6B1-918223470D34}"/>
    <dataValidation allowBlank="1" showInputMessage="1" showErrorMessage="1" promptTitle="Tverrslag" prompt="Avhengig av antall løp og stuffer, samt driftskonfigurasjon. velges automatisk." sqref="T66" xr:uid="{9B4AF0F9-BA0A-4A3D-A27D-B35A4109281F}"/>
    <dataValidation allowBlank="1" showInputMessage="1" showErrorMessage="1" promptTitle="Drivekonfigurasjon" prompt="Drivekonfigurasjon bestemmer hvordan tunnelen visualiseres i diagrammet til høyre._x000a__x000a_For nærmere beskrivelse av hver konfigurasjon, se veilederen." sqref="T37" xr:uid="{CEB73039-79D2-4C17-80D7-693F58650B3A}"/>
    <dataValidation allowBlank="1" showInputMessage="1" showErrorMessage="1" promptTitle="Stuff antall" prompt="Oppgi antall stuffer som tunnelen er delt inn i.fsdffsdf_x000a__x000a_" sqref="T37" xr:uid="{A8E918F3-D184-4B28-B3AD-A284AD0FBAAC}"/>
    <dataValidation allowBlank="1" showErrorMessage="1" sqref="AJ119 AJ125 J6 N12:P12 R14:T15 L12:M15 N14:P15 E11:J11 E12:E15 A11:C15 J12:J15 AX9 BL13:BL15 BL10 BK11:BK15 AJ121:AJ123 BC68:BF68 BX11:BY12 CA11:CV12 L11:AS11 BI13:BJ15 AD74 AP22:AR22 T15:AS15 AS14 R12:AS12 T13:AO14 AP20:AR20 CB20 CW11:DT15 AQ80:AQ81 CB14 BM11:BW15 BZ11:BZ15 AQ78 AV78 AV80:AV81 DU12:DV15 L40:Z65 J115:S126" xr:uid="{8F68130F-CADE-4312-8845-A036E09A5EA2}"/>
    <dataValidation type="decimal" operator="greaterThan" allowBlank="1" showErrorMessage="1" errorTitle="Oops!" error="Sjekk verdien. Tverrsnittsareal må være større en 0." sqref="AD89:AE89" xr:uid="{6CBA0015-B958-4809-AB09-3C9B807A1EF4}">
      <formula1>0</formula1>
    </dataValidation>
    <dataValidation type="list" allowBlank="1" showInputMessage="1" showErrorMessage="1" sqref="AD102 AD104 AD106 AD108" xr:uid="{198A98E7-2694-4CDC-BD3D-4765A0DBA2E0}">
      <formula1>tverr_conn</formula1>
    </dataValidation>
    <dataValidation allowBlank="1" showInputMessage="1" showErrorMessage="1" promptTitle="Driftskonfigurasjon" prompt="Her vises driftskonfigurasjonen av tunnelen. Flere alternativer er mulige og endres fra input-skjema (til venstre)." sqref="BL10" xr:uid="{04FAAB4E-BFE8-4978-B4EF-A417FFC099E2}"/>
    <dataValidation allowBlank="1" showInputMessage="1" showErrorMessage="1" promptTitle="Antall løp" prompt="Her vises driftskonfigurasjonen av tunnelen. Flere alternativer er mulige og endres fra input-skjema (til venstre)." sqref="BL10" xr:uid="{D3BA7462-3BD4-45C9-BD55-BD95F83CA63A}"/>
    <dataValidation allowBlank="1" showInputMessage="1" showErrorMessage="1" promptTitle="Driftsform løp 1" prompt="Ved toløps tunneler må driftsformen være den samme for parallelle stuffer. Derfor kan driftsformen bare endres fra &quot;Løp 1&quot;." sqref="T150" xr:uid="{A8CB1979-D71A-4EEF-9C76-355D0B3B0841}"/>
    <dataValidation allowBlank="1" showInputMessage="1" showErrorMessage="1" promptTitle="Stufflengde løp 2" prompt="Samlet lengde av stuffene må være lik lengden for tunnelløpet som er oppgitt i fanen &quot;Prosjektinformasjon&quot;." sqref="T171" xr:uid="{ED7C3ECE-480D-4305-AE57-9EFA88FE3373}"/>
    <dataValidation allowBlank="1" showInputMessage="1" showErrorMessage="1" promptTitle="Arbeidsuke lengde" prompt="Nødvendig for å konvertere timer til uke " sqref="T171" xr:uid="{D1513990-82AF-410F-9267-785E4879B352}"/>
    <dataValidation allowBlank="1" showInputMessage="1" showErrorMessage="1" promptTitle="Stuffnavn løp 2" prompt="Når antall tunnelløp og stuffer er valgt over, får stuffen(e) et standadisert navn. Dette navnet kan endres til et unikt navn for hver enkelt stuff." sqref="T169" xr:uid="{93DB7DB7-954E-4F37-B8CA-047DA83DED12}"/>
    <dataValidation allowBlank="1" showInputMessage="1" showErrorMessage="1" promptTitle="Stuffnavn" prompt="Når antall tunnelløp og stuffer er valgt over, får stuffen(e) et standadisert navn. Dette navnet kan endres til et unikt navn for hver enkelt stuff." sqref="T137" xr:uid="{5D496C93-F3FB-414B-83BB-90D3B2300CA9}"/>
    <dataValidation allowBlank="1" showInputMessage="1" showErrorMessage="1" promptTitle="Arbeidsuke lengde " prompt="Nødvendig for å konvertere timer til uke" sqref="T169" xr:uid="{84FF0C04-E199-48DE-8C15-FDFA34DB2D93}"/>
    <dataValidation type="decimal" operator="greaterThan" allowBlank="1" showErrorMessage="1" errorTitle="Oops!" error="Bare tall (≥ 0) er tillatt." sqref="AD95:AH95" xr:uid="{DAC0DFBF-9EB1-4813-A125-81496A3E5EFF}">
      <formula1>0</formula1>
    </dataValidation>
    <dataValidation type="decimal" operator="greaterThanOrEqual" allowBlank="1" showInputMessage="1" showErrorMessage="1" errorTitle="Oops!" error="Bare tall er tillatt." sqref="AD113:AH113" xr:uid="{BD6A6683-C308-4167-9592-F8727C3285F5}">
      <formula1>0</formula1>
    </dataValidation>
    <dataValidation type="list" allowBlank="1" showInputMessage="1" showErrorMessage="1" errorTitle="Oops!" error="Velg en verdi fra listen." sqref="AD39:AH39" xr:uid="{8B5789FE-3646-42B6-9904-FAD03DDF813E}">
      <formula1>INDIRECT($F$21)</formula1>
    </dataValidation>
    <dataValidation type="list" allowBlank="1" showInputMessage="1" showErrorMessage="1" errorTitle="Oops!" error="Velg en verdi fra listen." sqref="AD78:AH78" xr:uid="{9B18C5E3-47CD-4E83-8044-2B91D301FE35}">
      <formula1>INDIRECT("config24")</formula1>
    </dataValidation>
    <dataValidation type="list" allowBlank="1" showInputMessage="1" showErrorMessage="1" errorTitle="Oops!" error="Velg en verdi fra listen." sqref="AD82:AH82" xr:uid="{42758609-D31C-4831-B6DB-B7DF1D7FC91B}">
      <formula1>INDIRECT($F$40)</formula1>
    </dataValidation>
    <dataValidation type="decimal" operator="greaterThanOrEqual" allowBlank="1" showInputMessage="1" showErrorMessage="1" errorTitle="Oops!" error="Bare tall (≥ 0) er tillatt." sqref="AO173:AS173 AZ173:BH173 BO173:CA173 AZ141:BH141 BO141:CA141 AD173:AH173 AD171:AH171 AD139:AH139 AD112:AH112 AD100:AH100 AD141:AH141 AO141:AS141 AD155:AE155 AO155:AQ155 AZ155:BE155 BO155:BU155 BO182:BU182 AZ182:BE182 AO182:AQ182 AD182:AE182" xr:uid="{0ABEA9B9-95C4-4824-B39F-0F39C2A24DF7}">
      <formula1>0</formula1>
    </dataValidation>
    <dataValidation type="list" allowBlank="1" showInputMessage="1" showErrorMessage="1" errorTitle="Oops!" error="Velg en verdi fra listen." sqref="AD121:AH121" xr:uid="{5E59C9DA-69A8-4913-91A3-6390B6E180B7}">
      <formula1>INDIRECT($F$124)</formula1>
    </dataValidation>
    <dataValidation type="list" allowBlank="1" showInputMessage="1" showErrorMessage="1" errorTitle="Oops!" error="Velg en verdi fra listen." sqref="AD125:AH125" xr:uid="{99B45F22-BC5C-4EF0-BA33-B98E5D5A3C67}">
      <formula1>INDIRECT("distrib")</formula1>
    </dataValidation>
    <dataValidation type="list" allowBlank="1" showInputMessage="1" showErrorMessage="1" errorTitle="Oops!" error="Velg en verdi fra listen." sqref="AD150:AH150" xr:uid="{C8B572EF-E542-4986-88AD-C7B304729A74}">
      <formula1>INDIRECT($B$139)</formula1>
    </dataValidation>
    <dataValidation type="list" allowBlank="1" showInputMessage="1" showErrorMessage="1" errorTitle="Oops!" error="Velg en verdi fra listen." sqref="AO150:AS150" xr:uid="{551FB1D0-C28F-4DEF-8959-4B7DB56BD5A2}">
      <formula1>INDIRECT($D$139)</formula1>
    </dataValidation>
    <dataValidation type="list" allowBlank="1" showInputMessage="1" showErrorMessage="1" errorTitle="Oops!" error="Velg en verdi fra listen." sqref="AZ150:BH150" xr:uid="{02C03DE2-A95D-4F41-B0E7-74188E8A5133}">
      <formula1>INDIRECT($E$139)</formula1>
    </dataValidation>
    <dataValidation type="list" allowBlank="1" showInputMessage="1" showErrorMessage="1" errorTitle="Oops!" error="Velg en verdi fra listen." sqref="BO150:CA150" xr:uid="{74E28E6B-785F-46F9-8741-CDBB3EC90585}">
      <formula1>INDIRECT($F$139)</formula1>
    </dataValidation>
    <dataValidation type="decimal" operator="greaterThan" allowBlank="1" showInputMessage="1" showErrorMessage="1" errorTitle="Oops!" error="Bare tall (≥ 0) er tillatt." sqref="BO171:CA171 AZ171:BH171 AO171:AS171 AO139:AS139 AZ139:BH139 BO139:CA139" xr:uid="{A9D242F0-74B2-4E61-8861-96E7AC0D8B50}">
      <formula1>0</formula1>
    </dataValidation>
    <dataValidation type="list" allowBlank="1" showInputMessage="1" showErrorMessage="1" errorTitle="Oops!" error="Velg en verdi fra listen." sqref="AD31:AH31" xr:uid="{7D4FAF2E-67E3-42C7-9299-FCBD8FD6EB89}">
      <formula1>INDIRECT($F$2)</formula1>
    </dataValidation>
    <dataValidation type="list" allowBlank="1" showInputMessage="1" showErrorMessage="1" errorTitle="Oops!" error="Velg en verdi fra listen." sqref="AD37:AH37" xr:uid="{8BB18CDF-DE40-4382-99C2-CF515E994399}">
      <formula1>INDIRECT($F$5)</formula1>
    </dataValidation>
    <dataValidation allowBlank="1" showInputMessage="1" showErrorMessage="1" promptTitle="Andel enstuffs drift løp 2" prompt="Vekseldrift mellom to parallelle løp må ofte kombineres med enstuffs drift for å oppnå at en av stuffene skal ligge foran den andre. Det må også kompenseres for ulik stufflengde." sqref="T182" xr:uid="{2E7E83DD-6C72-4852-B532-F46F38A2CC67}"/>
    <dataValidation allowBlank="1" showInputMessage="1" showErrorMessage="1" errorTitle="Oops!" error="Velg en verdi fra listen." sqref="AD79:AJ80" xr:uid="{D887AB8B-66E2-4DC7-939C-80DBCF248623}"/>
    <dataValidation allowBlank="1" showInputMessage="1" showErrorMessage="1" promptTitle="Stuff antall" prompt="Antall løp kan bare endres fra &quot;Prosjektinformasjon&quot; -fanen." sqref="T25" xr:uid="{9A64E652-45DE-4339-B3FA-50E1D8075F00}"/>
    <dataValidation allowBlank="1" showInputMessage="1" showErrorMessage="1" promptTitle="Tunnelprofil" prompt="For vegtunneler: se N500 fra Statens Vegvesen." sqref="T82" xr:uid="{B05A6B4A-3373-4443-BECF-DA44CE2E948D}"/>
    <dataValidation allowBlank="1" showInputMessage="1" showErrorMessage="1" promptTitle="Standard profil tverrslag" prompt="Standard teoretisk sprengningsprofil (fra N500) brukes som gjennomgående teoretisk sprengningsprofil for tverrslaget dersom ikke annet oppgis i innboksen &quot;Brukerdefinert&quot; under." sqref="T85" xr:uid="{2A9BA955-C4BE-4C64-821D-5E33D28D9C6E}"/>
    <dataValidation allowBlank="1" showInputMessage="1" showErrorMessage="1" promptTitle="Tverrslagskonfigurasjon" prompt="Brukes for å plassere tverrslaget over eller under hovedtunnelen på skissen til høyre. Plasseringen av tverrslaget gjør det mulig å få skissen til høyre til å stemme med tunnelens geografiske layout." sqref="T78" xr:uid="{358D0CDE-67FE-437B-A86E-2E7B932D3636}"/>
    <dataValidation allowBlank="1" showInputMessage="1" showErrorMessage="1" promptTitle="Gjennomgående sprengningsprofil" prompt="Dersom annet sprengningsprofil enn standard teoretisk sprengningsprofil (fra N500) skal brukes som gjennomgående teoretisk sprengningsprofil for tverrslaget, angis det i innboksen &quot;Brukerdefinert&quot;." sqref="T89" xr:uid="{EB8235A1-8929-4553-A7AF-261A68926060}"/>
    <dataValidation allowBlank="1" showInputMessage="1" showErrorMessage="1" promptTitle="Forskjøvet oppstart tverrslag" prompt="Antall uker drivingen av tverrslaget planlegges å starte senere enn oppstart på første stuff av hovedtunnelen(e)." sqref="T100" xr:uid="{47051AF7-4896-47B3-9E72-BBA0E8557F16}"/>
    <dataValidation allowBlank="1" showInputMessage="1" showErrorMessage="1" promptTitle="Etablering av kryssområde" prompt="Angir forsinkelse som skyldes redusert kapasitet ved oppstart av drivingen av stuffen(e) i hovedtunnelen(e) ut fra tverrslaget, noe som ikke kan foregå uavhengig av hverandre før stuffen(e) har nådd en viss lengde." sqref="T112" xr:uid="{9EB822C1-8302-4E8F-AFFD-AA53E0BBD213}"/>
    <dataValidation allowBlank="1" showInputMessage="1" showErrorMessage="1" promptTitle="Beregning av tid for sikring" prompt="Dette valget brukes ikke i Tunnelbyggetid 2021,versjon 1.0. Denne versjonen kan bare håndtere sikringsmengder i henhold til Statens vegvesens prosesskode (R761). Muligheten for å bruke sikringsklasser vil komme i en senere versjon." sqref="T121" xr:uid="{DCE0478F-B558-437D-A55D-7A9D9968FD40}"/>
    <dataValidation allowBlank="1" showInputMessage="1" showErrorMessage="1" promptTitle="Arbeidsuke lengde" prompt="Dette valget brukes ikke i Tunnelbyggetid 2021,versjon 1.0. Denne versjonen kan bare håndtere sikringsmengder i henhold til Statens vegvesens prosesskode (R761). Muligheten for å bruke sikringsklasser vil komme i en senere versjon." sqref="T121" xr:uid="{2CA94A9D-92C0-4F81-87FF-D4664460E503}"/>
    <dataValidation allowBlank="1" showInputMessage="1" showErrorMessage="1" promptTitle="Fordeling av mengder" prompt="&quot;Lengdeavhengig&quot; fordeler de samlede mengdene &quot;foran stuff&quot; og &quot;stabilitetssikring&quot; jevnt over hele tunnelen, med unntak av evt. tverrslag. Valget brukes typisk i tidligfasen. Dersom fordeling av mengdene pr. stuff er kjent, velges &quot;brukerdefinert&quot;." sqref="T125" xr:uid="{3D0F1350-8633-4592-B628-F48DA0B491D6}"/>
    <dataValidation allowBlank="1" showInputMessage="1" showErrorMessage="1" promptTitle="Arbeidsuke lengde" prompt="&quot;Lengdeavhengig&quot; fordeler de samlede mengdene &quot;foran stuff&quot; og &quot;stabilitetssikring&quot; jevnt over hele tunnelen, med unntak av evt. tverrslag. Valget brukes typisk i tidligfasen. Dersom fordeling av mengdene pr. stuff er kjent, velges &quot;brukerdefinert&quot;." sqref="T125" xr:uid="{1974D42C-950D-42A4-B389-5A5334B02CEB}"/>
    <dataValidation allowBlank="1" showInputMessage="1" showErrorMessage="1" promptTitle="Stufflengde" prompt="Samlet lengde av stuffene må være lik lengden for tunnelløpet som er oppgitt i fanen &quot;Prosjektinformasjon&quot;." sqref="T139" xr:uid="{B8D22688-C476-4D79-945A-A853691DCC42}"/>
    <dataValidation allowBlank="1" showInputMessage="1" showErrorMessage="1" promptTitle="Arbeidsuke lengde" prompt="Samlet lengde av stuffene må være lik lengden for tunnelløpet som er oppgitt i fanen &quot;Prosjektinformasjon&quot;." sqref="T139" xr:uid="{D0855AC2-497C-45F2-A78D-C42AE2618643}"/>
    <dataValidation allowBlank="1" showInputMessage="1" showErrorMessage="1" promptTitle="Forskjøvet oppstart" prompt="Antall uker drivingen av stuffen planlegges å starte senere enn oppstart på første stuff av hovedtunnelen(e) eller tverrslaget." sqref="T141" xr:uid="{0D81A3BA-4103-4010-8F77-D4CFC07C69F8}"/>
    <dataValidation allowBlank="1" showInputMessage="1" showErrorMessage="1" promptTitle="Andel enstuffs drift" prompt="Vekseldrift mellom to parallelle løp må ofte kombineres med enstuffs drift for å oppnå at en av stuffene skal ligge foran den andre. Det må også kompenseres for ulik stufflengde." sqref="T155" xr:uid="{148520A5-FB74-491A-8419-D67BF200506C}"/>
    <dataValidation allowBlank="1" showInputMessage="1" showErrorMessage="1" promptTitle="Forskjøvet oppstart løp 2" prompt="Antall uker drivingen av stuffen planlegges å starte senere enn oppstart på første stuff av hovedtunnelen(e) eller tverrslaget." sqref="T173" xr:uid="{8DFB4D15-559F-4717-8725-DEFD9CD7C901}"/>
    <dataValidation allowBlank="1" showInputMessage="1" showErrorMessage="1" promptTitle="Arbeidsuke lengde" prompt="Antall uker drivingen av stuffen planlegges å starte senere enn oppstart på første stuff av hovedtunnelen(e) eller tverrslaget." sqref="T173" xr:uid="{C3002E6E-54E3-4465-B2B0-EDEE9E457284}"/>
    <dataValidation allowBlank="1" showInputMessage="1" showErrorMessage="1" promptTitle="Driftsform løp 2" prompt="Ved toløps tunneler må driftsformen være den samme for parallelle stuffer. Derfor kan driftsformen bare endres fra &quot;Løp 1&quot;." sqref="T177" xr:uid="{F0FDB41C-8003-469E-B120-FEF4F9FD9223}"/>
    <dataValidation allowBlank="1" showErrorMessage="1" promptTitle="Driftsform løp 1" prompt="Ved toløps tunneler må driftsformen være den samme for parallelle stuffer. Derfor kan driftsformen bare endres fra &quot;Løp 1&quot;." sqref="T145" xr:uid="{535EF452-8E37-4B30-9E3B-EB2CE2A03718}"/>
    <dataValidation allowBlank="1" showErrorMessage="1" promptTitle="Et feilsymbol (!) kan indikere.." prompt="at informasjon er om stufflengden er feil eller ufullstendig._x000a__x000a_Løs 1: Sjekk at den totale stufflengden er den samme som den løp lengden som er oppgit i &quot;Prosjektinformasjon&quot; -fanen._x000a__x000a_Løs 2: Cellen kan ikke være tom." sqref="AJ139 AU139 BJ139 CC139 CC171 BJ171 AU171 AJ171" xr:uid="{9DEB3417-290F-4783-A5D8-87ADA42EAC79}"/>
    <dataValidation allowBlank="1" showErrorMessage="1" promptTitle="Et feilsymbol (!) kan indikerer." prompt="Den &quot;topp&quot; stuffen og den &quot;bunn&quot; stuffen må ha samme den &quot;vekseldrift&quot; lengden." sqref="BJ155 AU155 AJ155 CC155 CC182 BJ182 AU182 AJ182" xr:uid="{F4A4FB27-54DE-4F2F-9228-120EB979B1A0}"/>
  </dataValidations>
  <printOptions horizontalCentered="1" verticalCentered="1"/>
  <pageMargins left="0.23622047244094491" right="0.23622047244094491" top="0.74803149606299213" bottom="0.74803149606299213" header="0.31496062992125984" footer="0.31496062992125984"/>
  <pageSetup paperSize="8" scale="35" orientation="landscape" r:id="rId1"/>
  <extLst>
    <ext xmlns:x14="http://schemas.microsoft.com/office/spreadsheetml/2009/9/main" uri="{78C0D931-6437-407d-A8EE-F0AAD7539E65}">
      <x14:conditionalFormattings>
        <x14:conditionalFormatting xmlns:xm="http://schemas.microsoft.com/office/excel/2006/main">
          <x14:cfRule type="expression" priority="17" id="{00000000-000E-0000-0200-000015000000}">
            <xm:f>_Calcs!$KP$25&lt;4</xm:f>
            <x14:dxf>
              <font>
                <color theme="0"/>
              </font>
              <fill>
                <patternFill>
                  <bgColor theme="0"/>
                </patternFill>
              </fill>
              <border>
                <left/>
                <right/>
                <top/>
                <bottom/>
                <vertical/>
                <horizontal/>
              </border>
            </x14:dxf>
          </x14:cfRule>
          <xm:sqref>BN128:CF187</xm:sqref>
        </x14:conditionalFormatting>
        <x14:conditionalFormatting xmlns:xm="http://schemas.microsoft.com/office/excel/2006/main">
          <x14:cfRule type="expression" priority="103" id="{00000000-000E-0000-0200-000008000000}">
            <xm:f>AND(_Calcs!$KP$25&gt;=2,$D$140=1)</xm:f>
            <x14:dxf>
              <fill>
                <patternFill>
                  <bgColor theme="0"/>
                </patternFill>
              </fill>
              <border>
                <left/>
                <right/>
                <vertical/>
                <horizontal/>
              </border>
            </x14:dxf>
          </x14:cfRule>
          <xm:sqref>AM152:AV152</xm:sqref>
        </x14:conditionalFormatting>
        <x14:conditionalFormatting xmlns:xm="http://schemas.microsoft.com/office/excel/2006/main">
          <x14:cfRule type="expression" priority="99" id="{00000000-000E-0000-0200-000004000000}">
            <xm:f>AND(_Calcs!$KP$25&gt;=3,$E$140=1)</xm:f>
            <x14:dxf>
              <fill>
                <patternFill>
                  <bgColor theme="0"/>
                </patternFill>
              </fill>
              <border>
                <left/>
                <right/>
                <vertical/>
                <horizontal/>
              </border>
            </x14:dxf>
          </x14:cfRule>
          <xm:sqref>AX152:BK152</xm:sqref>
        </x14:conditionalFormatting>
        <x14:conditionalFormatting xmlns:xm="http://schemas.microsoft.com/office/excel/2006/main">
          <x14:cfRule type="expression" priority="253" id="{1DA21497-38DE-4ECA-B1FB-FC87E78123C9}">
            <xm:f>_Calcs!$QO$132&gt;1</xm:f>
            <x14:dxf>
              <border>
                <left style="thin">
                  <color rgb="FFFF0066"/>
                </left>
                <right style="thin">
                  <color rgb="FFFF0066"/>
                </right>
                <top style="thin">
                  <color rgb="FFFF0066"/>
                </top>
                <bottom style="thin">
                  <color rgb="FFFF0066"/>
                </bottom>
                <vertical/>
                <horizontal/>
              </border>
            </x14:dxf>
          </x14:cfRule>
          <xm:sqref>AD137:AH137</xm:sqref>
        </x14:conditionalFormatting>
        <x14:conditionalFormatting xmlns:xm="http://schemas.microsoft.com/office/excel/2006/main">
          <x14:cfRule type="expression" priority="263" id="{CB5AB749-17BA-4DCB-86F0-766B66349BD4}">
            <xm:f>_Calcs!$QP$132&gt;1</xm:f>
            <x14:dxf>
              <border>
                <left style="thin">
                  <color rgb="FFFF0066"/>
                </left>
                <right style="thin">
                  <color rgb="FFFF0066"/>
                </right>
                <top style="thin">
                  <color rgb="FFFF0066"/>
                </top>
                <bottom style="thin">
                  <color rgb="FFFF0066"/>
                </bottom>
                <vertical/>
                <horizontal/>
              </border>
            </x14:dxf>
          </x14:cfRule>
          <xm:sqref>AO137:AS137</xm:sqref>
        </x14:conditionalFormatting>
        <x14:conditionalFormatting xmlns:xm="http://schemas.microsoft.com/office/excel/2006/main">
          <x14:cfRule type="expression" priority="262" id="{91B9D0A4-ED75-4AE6-823C-97B352D07651}">
            <xm:f>_Calcs!$QQ$132&gt;1</xm:f>
            <x14:dxf>
              <border>
                <left style="thin">
                  <color rgb="FFFF0066"/>
                </left>
                <right style="thin">
                  <color rgb="FFFF0066"/>
                </right>
                <top style="thin">
                  <color rgb="FFFF0066"/>
                </top>
                <bottom style="thin">
                  <color rgb="FFFF0066"/>
                </bottom>
                <vertical/>
                <horizontal/>
              </border>
            </x14:dxf>
          </x14:cfRule>
          <xm:sqref>AZ137:BH137</xm:sqref>
        </x14:conditionalFormatting>
        <x14:conditionalFormatting xmlns:xm="http://schemas.microsoft.com/office/excel/2006/main">
          <x14:cfRule type="expression" priority="264" id="{E6F76CB1-10A6-4DEC-9CE2-295A47DE7E2E}">
            <xm:f>_Calcs!$QR$132&gt;1</xm:f>
            <x14:dxf>
              <border>
                <left style="thin">
                  <color rgb="FFFF0066"/>
                </left>
                <right style="thin">
                  <color rgb="FFFF0066"/>
                </right>
                <top style="thin">
                  <color rgb="FFFF0066"/>
                </top>
                <bottom style="thin">
                  <color rgb="FFFF0066"/>
                </bottom>
                <vertical/>
                <horizontal/>
              </border>
            </x14:dxf>
          </x14:cfRule>
          <xm:sqref>BO137:CA137</xm:sqref>
        </x14:conditionalFormatting>
        <x14:conditionalFormatting xmlns:xm="http://schemas.microsoft.com/office/excel/2006/main">
          <x14:cfRule type="expression" priority="258" id="{CC41C454-C516-44C4-8BD0-05F383938783}">
            <xm:f>_Calcs!$QS$132&gt;1</xm:f>
            <x14:dxf>
              <border>
                <left style="thin">
                  <color rgb="FFFF0066"/>
                </left>
                <right style="thin">
                  <color rgb="FFFF0066"/>
                </right>
                <top style="thin">
                  <color rgb="FFFF0066"/>
                </top>
                <bottom style="thin">
                  <color rgb="FFFF0066"/>
                </bottom>
                <vertical/>
                <horizontal/>
              </border>
            </x14:dxf>
          </x14:cfRule>
          <xm:sqref>AD169:AH169</xm:sqref>
        </x14:conditionalFormatting>
        <x14:conditionalFormatting xmlns:xm="http://schemas.microsoft.com/office/excel/2006/main">
          <x14:cfRule type="expression" priority="252" id="{DE11847E-65B5-48BD-809F-41DC4997E09F}">
            <xm:f>_Calcs!$QT$132&gt;1</xm:f>
            <x14:dxf>
              <border>
                <left style="thin">
                  <color rgb="FFFF0066"/>
                </left>
                <right style="thin">
                  <color rgb="FFFF0066"/>
                </right>
                <top style="thin">
                  <color rgb="FFFF0066"/>
                </top>
                <bottom style="thin">
                  <color rgb="FFFF0066"/>
                </bottom>
                <vertical/>
                <horizontal/>
              </border>
            </x14:dxf>
          </x14:cfRule>
          <xm:sqref>AO169:AS169</xm:sqref>
        </x14:conditionalFormatting>
        <x14:conditionalFormatting xmlns:xm="http://schemas.microsoft.com/office/excel/2006/main">
          <x14:cfRule type="expression" priority="251" id="{6270DBC2-86E6-4730-BF9B-C5E3AE6DF52C}">
            <xm:f>_Calcs!$QU$132&gt;1</xm:f>
            <x14:dxf>
              <border>
                <left style="thin">
                  <color rgb="FFFF0066"/>
                </left>
                <right style="thin">
                  <color rgb="FFFF0066"/>
                </right>
                <top style="thin">
                  <color rgb="FFFF0066"/>
                </top>
                <bottom style="thin">
                  <color rgb="FFFF0066"/>
                </bottom>
                <vertical/>
                <horizontal/>
              </border>
            </x14:dxf>
          </x14:cfRule>
          <xm:sqref>AZ169:BH169</xm:sqref>
        </x14:conditionalFormatting>
        <x14:conditionalFormatting xmlns:xm="http://schemas.microsoft.com/office/excel/2006/main">
          <x14:cfRule type="expression" priority="250" id="{A9B4D3C9-8FD7-453E-B6B2-8B9D99AFE4CF}">
            <xm:f>_Calcs!$QV$132&gt;1</xm:f>
            <x14:dxf>
              <border>
                <left style="thin">
                  <color rgb="FFFF0066"/>
                </left>
                <right style="thin">
                  <color rgb="FFFF0066"/>
                </right>
                <top style="thin">
                  <color rgb="FFFF0066"/>
                </top>
                <bottom style="thin">
                  <color rgb="FFFF0066"/>
                </bottom>
                <vertical/>
                <horizontal/>
              </border>
            </x14:dxf>
          </x14:cfRule>
          <xm:sqref>BO169:CA169</xm:sqref>
        </x14:conditionalFormatting>
        <x14:conditionalFormatting xmlns:xm="http://schemas.microsoft.com/office/excel/2006/main">
          <x14:cfRule type="expression" priority="191" id="{D57A1A4F-00B8-4C77-BB14-79F7EE1DE7D7}">
            <xm:f>_Calcs!$D$9=1</xm:f>
            <x14:dxf>
              <font>
                <b val="0"/>
                <i val="0"/>
              </font>
              <fill>
                <patternFill>
                  <bgColor theme="0" tint="-4.9989318521683403E-2"/>
                </patternFill>
              </fill>
              <border>
                <vertical/>
                <horizontal/>
              </border>
            </x14:dxf>
          </x14:cfRule>
          <xm:sqref>AD121:AH121</xm:sqref>
        </x14:conditionalFormatting>
        <x14:conditionalFormatting xmlns:xm="http://schemas.microsoft.com/office/excel/2006/main">
          <x14:cfRule type="expression" priority="58" id="{884410A2-E76D-411B-B63E-EC5D539E9C96}">
            <xm:f>AND(_Calcs!$KP$25&gt;=2,$D$171=1)</xm:f>
            <x14:dxf>
              <fill>
                <patternFill>
                  <bgColor theme="0"/>
                </patternFill>
              </fill>
              <border>
                <left/>
                <right/>
                <vertical/>
                <horizontal/>
              </border>
            </x14:dxf>
          </x14:cfRule>
          <xm:sqref>AM179:AV179</xm:sqref>
        </x14:conditionalFormatting>
        <x14:conditionalFormatting xmlns:xm="http://schemas.microsoft.com/office/excel/2006/main">
          <x14:cfRule type="expression" priority="57" id="{572E1B63-E3F0-4109-A8D8-990C65D7FE10}">
            <xm:f>AND(_Calcs!$KP$25&gt;=3,$E$171=1)</xm:f>
            <x14:dxf>
              <fill>
                <patternFill>
                  <bgColor theme="0"/>
                </patternFill>
              </fill>
              <border>
                <left/>
                <right/>
                <vertical/>
                <horizontal/>
              </border>
            </x14:dxf>
          </x14:cfRule>
          <xm:sqref>AX179:BK179</xm:sqref>
        </x14:conditionalFormatting>
        <x14:conditionalFormatting xmlns:xm="http://schemas.microsoft.com/office/excel/2006/main">
          <x14:cfRule type="expression" priority="56" id="{F3E643F8-1FE2-43B4-947E-7707DD4720A4}">
            <xm:f>AND(_Calcs!$KP$25&gt;=4,$F$171=1)</xm:f>
            <x14:dxf>
              <fill>
                <patternFill>
                  <bgColor theme="0"/>
                </patternFill>
              </fill>
              <border>
                <left/>
                <right/>
                <vertical/>
                <horizontal/>
              </border>
            </x14:dxf>
          </x14:cfRule>
          <xm:sqref>BM179:CD179 CF179</xm:sqref>
        </x14:conditionalFormatting>
        <x14:conditionalFormatting xmlns:xm="http://schemas.microsoft.com/office/excel/2006/main">
          <x14:cfRule type="expression" priority="30" id="{C514199C-95A8-46CC-8DE6-55E8E063B1E0}">
            <xm:f>AND(_Calcs!$KP$25&gt;=4,$F$171=1)</xm:f>
            <x14:dxf>
              <font>
                <color rgb="FFDFE8DC"/>
              </font>
              <fill>
                <patternFill>
                  <bgColor rgb="FFDFE8DC"/>
                </patternFill>
              </fill>
              <border>
                <left/>
                <right/>
                <top/>
                <bottom/>
                <vertical/>
                <horizontal/>
              </border>
            </x14:dxf>
          </x14:cfRule>
          <xm:sqref>BM180:CD183</xm:sqref>
        </x14:conditionalFormatting>
        <x14:conditionalFormatting xmlns:xm="http://schemas.microsoft.com/office/excel/2006/main">
          <x14:cfRule type="expression" priority="105" id="{00000000-000E-0000-0200-000002000000}">
            <xm:f>AND(_Calcs!$KP$25&gt;=4,$F$140=1)</xm:f>
            <x14:dxf>
              <fill>
                <patternFill>
                  <bgColor theme="0"/>
                </patternFill>
              </fill>
              <border>
                <left/>
                <right/>
                <vertical/>
                <horizontal/>
              </border>
            </x14:dxf>
          </x14:cfRule>
          <xm:sqref>BM152:CF152</xm:sqref>
        </x14:conditionalFormatting>
        <x14:conditionalFormatting xmlns:xm="http://schemas.microsoft.com/office/excel/2006/main">
          <x14:cfRule type="expression" priority="18" id="{54D5D85A-CA0F-40DB-8C84-BFDE772E117A}">
            <xm:f>_Calcs!$KP$25&lt;3</xm:f>
            <x14:dxf>
              <font>
                <color theme="0"/>
              </font>
              <fill>
                <patternFill>
                  <bgColor theme="0"/>
                </patternFill>
              </fill>
              <border>
                <left/>
                <right/>
                <top/>
                <bottom/>
                <vertical/>
                <horizontal/>
              </border>
            </x14:dxf>
          </x14:cfRule>
          <xm:sqref>AY128:BM187</xm:sqref>
        </x14:conditionalFormatting>
        <x14:conditionalFormatting xmlns:xm="http://schemas.microsoft.com/office/excel/2006/main">
          <x14:cfRule type="expression" priority="19" id="{20340B03-DC87-4506-BB54-19DF74C71E53}">
            <xm:f>_Calcs!$KP$25&lt;2</xm:f>
            <x14:dxf>
              <font>
                <color theme="0"/>
              </font>
              <fill>
                <patternFill>
                  <bgColor theme="0"/>
                </patternFill>
              </fill>
              <border>
                <left/>
                <right/>
                <top/>
                <bottom/>
                <vertical/>
                <horizontal/>
              </border>
            </x14:dxf>
          </x14:cfRule>
          <xm:sqref>AN128:AX187</xm:sqref>
        </x14:conditionalFormatting>
        <x14:conditionalFormatting xmlns:xm="http://schemas.microsoft.com/office/excel/2006/main">
          <x14:cfRule type="expression" priority="51" id="{F64533DA-7131-4AEE-9E3B-3212F2CE665F}">
            <xm:f>AND($E$140=1,_Calcs!$KP$25=3)</xm:f>
            <x14:dxf>
              <fill>
                <patternFill>
                  <bgColor theme="0"/>
                </patternFill>
              </fill>
            </x14:dxf>
          </x14:cfRule>
          <xm:sqref>BM152 BM179</xm:sqref>
        </x14:conditionalFormatting>
        <x14:conditionalFormatting xmlns:xm="http://schemas.microsoft.com/office/excel/2006/main">
          <x14:cfRule type="expression" priority="48" id="{F17E359E-7AA0-476F-9BCD-17F63912A301}">
            <xm:f>AND($D$140=1,_Calcs!$KP$25=2)</xm:f>
            <x14:dxf>
              <fill>
                <patternFill>
                  <bgColor theme="0"/>
                </patternFill>
              </fill>
            </x14:dxf>
          </x14:cfRule>
          <xm:sqref>AX152 AX179</xm:sqref>
        </x14:conditionalFormatting>
        <x14:conditionalFormatting xmlns:xm="http://schemas.microsoft.com/office/excel/2006/main">
          <x14:cfRule type="expression" priority="47" id="{B49DD2C3-09DC-4B7F-98CC-FB16079E8A23}">
            <xm:f>AND($B$140=1,_Calcs!$KP$25=1)</xm:f>
            <x14:dxf>
              <fill>
                <patternFill>
                  <bgColor theme="0"/>
                </patternFill>
              </fill>
            </x14:dxf>
          </x14:cfRule>
          <xm:sqref>AM152 AM179</xm:sqref>
        </x14:conditionalFormatting>
        <x14:conditionalFormatting xmlns:xm="http://schemas.microsoft.com/office/excel/2006/main">
          <x14:cfRule type="expression" priority="21" id="{D9884F81-8603-498A-80C8-C4F2DDA065B6}">
            <xm:f>_Calcs!$BC$42=1</xm:f>
            <x14:dxf>
              <font>
                <color rgb="FFDDECEF"/>
              </font>
              <fill>
                <patternFill>
                  <bgColor rgb="FFDDECEF"/>
                </patternFill>
              </fill>
              <border>
                <left/>
                <right/>
                <top/>
                <bottom/>
                <vertical/>
                <horizontal/>
              </border>
            </x14:dxf>
          </x14:cfRule>
          <xm:sqref>AB153:AK156 AM153:AV156 AX153:BK156 BM153:CD156</xm:sqref>
        </x14:conditionalFormatting>
        <x14:conditionalFormatting xmlns:xm="http://schemas.microsoft.com/office/excel/2006/main">
          <x14:cfRule type="expression" priority="11" id="{84BC6BB6-7815-4EB0-A69D-B0180AE48FE3}">
            <xm:f>_Calcs!$BC$33=2</xm:f>
            <x14:dxf>
              <border>
                <top/>
                <bottom/>
                <vertical/>
                <horizontal/>
              </border>
            </x14:dxf>
          </x14:cfRule>
          <xm:sqref>J156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D51C-5423-4087-BDD7-221C75EDBEA7}">
  <sheetPr codeName="Sheet6">
    <tabColor rgb="FFF2ECDA"/>
    <pageSetUpPr fitToPage="1"/>
  </sheetPr>
  <dimension ref="A1:FR60"/>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21.625" style="70" customWidth="1"/>
    <col min="7" max="7" width="4.125" style="70" customWidth="1"/>
    <col min="8" max="8" width="7.25" style="70" customWidth="1"/>
    <col min="9" max="9" width="5.625" style="70" customWidth="1"/>
    <col min="10" max="10" width="4.875" style="13" customWidth="1"/>
    <col min="11" max="11" width="0.875" style="13" hidden="1" customWidth="1"/>
    <col min="12" max="12" width="4.125" style="13" hidden="1" customWidth="1"/>
    <col min="13" max="13" width="0.875" style="70" customWidth="1"/>
    <col min="14" max="14" width="5.625" style="15" customWidth="1"/>
    <col min="15" max="16" width="3.625" style="70" customWidth="1"/>
    <col min="17" max="18" width="1.625" style="70" customWidth="1"/>
    <col min="19" max="19" width="16.625" style="70" customWidth="1"/>
    <col min="20" max="20" width="1.625" style="70" customWidth="1"/>
    <col min="21" max="21" width="2.625" style="70" customWidth="1"/>
    <col min="22" max="23" width="0.875" style="70" customWidth="1"/>
    <col min="24" max="24" width="3.625" style="70" customWidth="1"/>
    <col min="25" max="26" width="1.625" style="70" customWidth="1"/>
    <col min="27" max="27" width="16.625" style="70" customWidth="1"/>
    <col min="28" max="28" width="1.625" style="70" customWidth="1"/>
    <col min="29" max="29" width="2.625" style="70" customWidth="1"/>
    <col min="30" max="31" width="0.875" style="70" customWidth="1"/>
    <col min="32" max="32" width="3.625" style="70" customWidth="1"/>
    <col min="33" max="34" width="1.625" style="70" customWidth="1"/>
    <col min="35" max="35" width="16.625" style="70" customWidth="1"/>
    <col min="36" max="36" width="1.625" style="70" customWidth="1"/>
    <col min="37" max="37" width="2.625" style="70" customWidth="1"/>
    <col min="38" max="39" width="0.875" style="70" customWidth="1"/>
    <col min="40" max="40" width="3.625" style="70" customWidth="1"/>
    <col min="41" max="42" width="1.625" style="70" customWidth="1"/>
    <col min="43" max="43" width="16.625" style="70" customWidth="1"/>
    <col min="44" max="44" width="1.625" style="70" customWidth="1"/>
    <col min="45" max="45" width="2.625" style="70" customWidth="1"/>
    <col min="46" max="47" width="0.875" style="70" customWidth="1"/>
    <col min="48" max="48" width="3.625" style="70" customWidth="1"/>
    <col min="49" max="50" width="1.625" style="70" customWidth="1"/>
    <col min="51" max="51" width="16.625" style="70" customWidth="1"/>
    <col min="52" max="52" width="1.625" style="70" customWidth="1"/>
    <col min="53" max="53" width="2.625" style="70" customWidth="1"/>
    <col min="54" max="55" width="0.875" style="70" customWidth="1"/>
    <col min="56" max="56" width="3.625" style="70" customWidth="1"/>
    <col min="57" max="58" width="1.625" style="70" customWidth="1"/>
    <col min="59" max="59" width="16.625" style="70" customWidth="1"/>
    <col min="60" max="60" width="1.625" style="70" customWidth="1"/>
    <col min="61" max="61" width="2.625" style="70" customWidth="1"/>
    <col min="62" max="63" width="0.875" style="70" customWidth="1"/>
    <col min="64" max="64" width="3.625" style="70" customWidth="1"/>
    <col min="65" max="66" width="1.625" style="70" customWidth="1"/>
    <col min="67" max="67" width="16.625" style="70" customWidth="1"/>
    <col min="68" max="68" width="1.625" style="70" customWidth="1"/>
    <col min="69" max="69" width="2.625" style="70" customWidth="1"/>
    <col min="70" max="71" width="0.875" style="70" customWidth="1"/>
    <col min="72" max="72" width="3.625" style="70" customWidth="1"/>
    <col min="73" max="74" width="1.625" style="70" customWidth="1"/>
    <col min="75" max="75" width="16.625" style="70" customWidth="1"/>
    <col min="76" max="76" width="1.625" style="70" customWidth="1"/>
    <col min="77" max="77" width="2.625" style="70" customWidth="1"/>
    <col min="78" max="79" width="0.875" style="70" customWidth="1"/>
    <col min="80" max="80" width="3.625" style="70" customWidth="1"/>
    <col min="81" max="82" width="1.625" style="70" customWidth="1"/>
    <col min="83" max="83" width="16.625" style="70" customWidth="1"/>
    <col min="84" max="84" width="1.625" style="70" customWidth="1"/>
    <col min="85" max="85" width="2.625" style="70" customWidth="1"/>
    <col min="86" max="87" width="0.875" style="70" customWidth="1"/>
    <col min="88" max="88" width="3.625" style="70" customWidth="1"/>
    <col min="89" max="90" width="1.625" style="70" customWidth="1"/>
    <col min="91" max="91" width="16.625" style="70" customWidth="1"/>
    <col min="92" max="92" width="1.625" style="70" customWidth="1"/>
    <col min="93" max="93" width="2.625" style="70" customWidth="1"/>
    <col min="94" max="95" width="0.875" style="70" customWidth="1"/>
    <col min="96" max="96" width="3.625" style="70" customWidth="1"/>
    <col min="97" max="97" width="1.625" style="70" customWidth="1"/>
    <col min="98" max="99" width="3.625" style="70" customWidth="1"/>
    <col min="100" max="100" width="3.625" style="70" hidden="1" customWidth="1"/>
    <col min="101" max="101" width="2.625" style="70" hidden="1" customWidth="1"/>
    <col min="102" max="103" width="1.625" style="70" hidden="1" customWidth="1"/>
    <col min="104" max="104" width="2.625" style="70" hidden="1" customWidth="1"/>
    <col min="105" max="106" width="1.625" style="70" hidden="1" customWidth="1"/>
    <col min="107" max="107" width="18.625" style="70" hidden="1" customWidth="1"/>
    <col min="108" max="108" width="1.625" style="70" hidden="1" customWidth="1"/>
    <col min="109" max="109" width="2.625" style="70" hidden="1" customWidth="1"/>
    <col min="110" max="111" width="1.625" style="70" hidden="1" customWidth="1"/>
    <col min="112" max="112" width="2.625" style="70" hidden="1" customWidth="1"/>
    <col min="113" max="114" width="1.625" style="70" hidden="1" customWidth="1"/>
    <col min="115" max="115" width="18.625" style="70" hidden="1" customWidth="1"/>
    <col min="116" max="116" width="1.625" style="70" hidden="1" customWidth="1"/>
    <col min="117" max="117" width="2.625" style="70" hidden="1" customWidth="1"/>
    <col min="118" max="119" width="1.625" style="70" hidden="1" customWidth="1"/>
    <col min="120" max="174" width="0" style="70" hidden="1" customWidth="1"/>
    <col min="175" max="16384" width="8.875" style="70" hidden="1"/>
  </cols>
  <sheetData>
    <row r="1" spans="1:173" ht="50.1" customHeight="1" x14ac:dyDescent="0.2"/>
    <row r="2" spans="1:173" ht="12" customHeight="1" x14ac:dyDescent="0.2">
      <c r="C2" s="920"/>
      <c r="D2" s="78"/>
      <c r="E2" s="1872"/>
      <c r="F2" s="1873"/>
      <c r="G2" s="1873"/>
      <c r="H2" s="1873"/>
      <c r="I2" s="1873"/>
      <c r="J2" s="920"/>
      <c r="K2" s="920"/>
      <c r="L2" s="920"/>
      <c r="M2" s="1874"/>
      <c r="N2" s="1874"/>
      <c r="O2" s="1874"/>
      <c r="P2" s="1874"/>
      <c r="Q2" s="1874"/>
      <c r="R2" s="1874"/>
      <c r="S2" s="1874"/>
      <c r="T2" s="1874"/>
      <c r="U2" s="1874"/>
      <c r="V2" s="1874"/>
      <c r="W2" s="1875"/>
    </row>
    <row r="3" spans="1:173" ht="5.0999999999999996" customHeight="1" x14ac:dyDescent="0.2">
      <c r="C3" s="16"/>
      <c r="D3" s="78"/>
      <c r="E3" s="20"/>
      <c r="F3" s="136"/>
      <c r="G3" s="136"/>
      <c r="H3" s="136"/>
      <c r="I3" s="136"/>
      <c r="J3" s="16"/>
      <c r="K3" s="16"/>
      <c r="L3" s="16"/>
      <c r="M3" s="572"/>
      <c r="N3" s="572"/>
      <c r="O3" s="572"/>
      <c r="P3" s="572"/>
      <c r="Q3" s="572"/>
      <c r="R3" s="572"/>
      <c r="S3" s="572"/>
      <c r="T3" s="572"/>
      <c r="U3" s="572"/>
      <c r="V3" s="572"/>
      <c r="W3" s="36"/>
    </row>
    <row r="4" spans="1:173" ht="5.0999999999999996" customHeight="1" x14ac:dyDescent="0.2">
      <c r="C4" s="920"/>
      <c r="D4" s="78"/>
      <c r="E4" s="1872"/>
      <c r="F4" s="1873"/>
      <c r="G4" s="1873"/>
      <c r="H4" s="1873"/>
      <c r="I4" s="1873"/>
      <c r="J4" s="920"/>
      <c r="K4" s="920"/>
      <c r="L4" s="920"/>
      <c r="M4" s="1874"/>
      <c r="N4" s="1874"/>
      <c r="O4" s="1874"/>
      <c r="P4" s="1874"/>
      <c r="Q4" s="1874"/>
      <c r="R4" s="1874"/>
      <c r="S4" s="1874"/>
      <c r="T4" s="1874"/>
      <c r="U4" s="1874"/>
      <c r="V4" s="1874"/>
      <c r="W4" s="1875"/>
    </row>
    <row r="5" spans="1:173" s="21" customFormat="1" ht="30" customHeight="1" thickBot="1" x14ac:dyDescent="0.25">
      <c r="A5" s="20"/>
      <c r="B5" s="20"/>
      <c r="C5" s="13"/>
      <c r="D5" s="13"/>
      <c r="E5" s="14"/>
      <c r="J5" s="13"/>
      <c r="K5" s="13"/>
      <c r="L5" s="13"/>
      <c r="M5" s="50"/>
      <c r="N5" s="15"/>
      <c r="O5" s="15"/>
      <c r="P5" s="15"/>
      <c r="Q5" s="15"/>
      <c r="R5" s="15"/>
      <c r="S5" s="15"/>
      <c r="T5" s="15"/>
      <c r="U5" s="15"/>
      <c r="V5" s="15"/>
      <c r="W5" s="5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row>
    <row r="6" spans="1:173" s="21" customFormat="1" ht="15" customHeight="1" thickBot="1" x14ac:dyDescent="0.25">
      <c r="A6" s="20"/>
      <c r="B6" s="20"/>
      <c r="C6" s="1107"/>
      <c r="D6" s="13"/>
      <c r="E6" s="681"/>
      <c r="F6" s="626"/>
      <c r="G6" s="626"/>
      <c r="H6" s="626"/>
      <c r="I6" s="626"/>
      <c r="J6" s="3921"/>
      <c r="K6" s="4120"/>
      <c r="L6" s="626"/>
      <c r="M6" s="626"/>
      <c r="N6" s="1988"/>
      <c r="O6" s="1988"/>
      <c r="P6" s="1988"/>
      <c r="Q6" s="1988"/>
      <c r="R6" s="1988"/>
      <c r="S6" s="1988"/>
      <c r="T6" s="1988"/>
      <c r="U6" s="1988"/>
      <c r="V6" s="1988"/>
      <c r="W6" s="682"/>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row>
    <row r="7" spans="1:173" s="21" customFormat="1" ht="8.1" customHeight="1" thickBot="1" x14ac:dyDescent="0.25">
      <c r="A7" s="20"/>
      <c r="B7" s="20"/>
      <c r="C7" s="13"/>
      <c r="D7" s="13"/>
      <c r="E7" s="14"/>
      <c r="J7" s="13"/>
      <c r="K7" s="13"/>
      <c r="L7" s="13"/>
      <c r="M7" s="50"/>
      <c r="N7" s="15"/>
      <c r="O7" s="15"/>
      <c r="P7" s="15"/>
      <c r="Q7" s="15"/>
      <c r="R7" s="15"/>
      <c r="S7" s="15"/>
      <c r="T7" s="15"/>
      <c r="U7" s="15"/>
      <c r="V7" s="15"/>
      <c r="W7" s="5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row>
    <row r="8" spans="1:173" s="21" customFormat="1" ht="9.9499999999999993" customHeight="1" x14ac:dyDescent="0.2">
      <c r="A8" s="20"/>
      <c r="B8" s="20"/>
      <c r="C8" s="3909"/>
      <c r="D8" s="13"/>
      <c r="E8" s="553"/>
      <c r="F8" s="554"/>
      <c r="G8" s="554"/>
      <c r="H8" s="554"/>
      <c r="I8" s="554"/>
      <c r="J8" s="555"/>
      <c r="K8" s="555"/>
      <c r="L8" s="555"/>
      <c r="M8" s="559"/>
      <c r="N8" s="606"/>
      <c r="O8" s="606"/>
      <c r="P8" s="606"/>
      <c r="Q8" s="606"/>
      <c r="R8" s="606"/>
      <c r="S8" s="606"/>
      <c r="T8" s="606"/>
      <c r="U8" s="606"/>
      <c r="V8" s="606"/>
      <c r="W8" s="56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row>
    <row r="9" spans="1:173" s="21" customFormat="1" ht="39.950000000000003" customHeight="1" x14ac:dyDescent="0.2">
      <c r="A9" s="20"/>
      <c r="B9" s="20"/>
      <c r="C9" s="1460"/>
      <c r="D9" s="13"/>
      <c r="E9" s="561"/>
      <c r="F9" s="4110" t="s">
        <v>111</v>
      </c>
      <c r="G9" s="2608"/>
      <c r="H9" s="2608"/>
      <c r="I9" s="2608"/>
      <c r="J9" s="2608"/>
      <c r="K9" s="2608"/>
      <c r="L9" s="2608"/>
      <c r="M9" s="2608"/>
      <c r="N9" s="2608"/>
      <c r="O9" s="2608"/>
      <c r="P9" s="2608"/>
      <c r="Q9" s="2608"/>
      <c r="R9" s="2608"/>
      <c r="S9" s="2608"/>
      <c r="T9" s="2608"/>
      <c r="U9" s="2608"/>
      <c r="V9" s="2608"/>
      <c r="W9" s="607"/>
    </row>
    <row r="10" spans="1:173" s="21" customFormat="1" ht="9.9499999999999993" customHeight="1" thickBot="1" x14ac:dyDescent="0.25">
      <c r="A10" s="20"/>
      <c r="B10" s="20"/>
      <c r="C10" s="1460"/>
      <c r="D10" s="13"/>
      <c r="E10" s="561"/>
      <c r="F10" s="1843"/>
      <c r="G10" s="1843"/>
      <c r="H10" s="1843"/>
      <c r="I10" s="1843"/>
      <c r="J10" s="1990"/>
      <c r="K10" s="1990"/>
      <c r="L10" s="1843"/>
      <c r="M10" s="1843"/>
      <c r="N10" s="1941"/>
      <c r="O10" s="1941"/>
      <c r="P10" s="1941"/>
      <c r="Q10" s="1941"/>
      <c r="R10" s="1941"/>
      <c r="S10" s="1941"/>
      <c r="T10" s="1941"/>
      <c r="U10" s="1941"/>
      <c r="V10" s="1941"/>
      <c r="W10" s="607"/>
    </row>
    <row r="11" spans="1:173" s="21" customFormat="1" ht="39.950000000000003" customHeight="1" thickBot="1" x14ac:dyDescent="0.25">
      <c r="A11" s="20"/>
      <c r="B11" s="20"/>
      <c r="C11" s="1460"/>
      <c r="D11" s="13"/>
      <c r="E11" s="561"/>
      <c r="F11" s="6559" t="s">
        <v>826</v>
      </c>
      <c r="G11" s="6560"/>
      <c r="H11" s="2318"/>
      <c r="I11" s="2318"/>
      <c r="J11" s="2318"/>
      <c r="K11" s="2318"/>
      <c r="L11" s="2318"/>
      <c r="M11" s="2318"/>
      <c r="N11" s="2322"/>
      <c r="O11" s="2322"/>
      <c r="P11" s="2322"/>
      <c r="Q11" s="2322"/>
      <c r="R11" s="2322"/>
      <c r="S11" s="2322"/>
      <c r="T11" s="2322"/>
      <c r="U11" s="2322"/>
      <c r="V11" s="2322"/>
      <c r="W11" s="607"/>
    </row>
    <row r="12" spans="1:173" s="21" customFormat="1" ht="15" customHeight="1" thickBot="1" x14ac:dyDescent="0.25">
      <c r="A12" s="20"/>
      <c r="B12" s="20"/>
      <c r="C12" s="1460"/>
      <c r="D12" s="13"/>
      <c r="E12" s="563"/>
      <c r="F12" s="608"/>
      <c r="G12" s="608"/>
      <c r="H12" s="608"/>
      <c r="I12" s="608"/>
      <c r="J12" s="609"/>
      <c r="K12" s="609"/>
      <c r="L12" s="609"/>
      <c r="M12" s="608"/>
      <c r="N12" s="608"/>
      <c r="O12" s="608"/>
      <c r="P12" s="608"/>
      <c r="Q12" s="608"/>
      <c r="R12" s="608"/>
      <c r="S12" s="608"/>
      <c r="T12" s="608"/>
      <c r="U12" s="608"/>
      <c r="V12" s="608"/>
      <c r="W12" s="61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row>
    <row r="13" spans="1:173" s="21" customFormat="1" ht="15" customHeight="1" thickBot="1" x14ac:dyDescent="0.25">
      <c r="A13" s="20"/>
      <c r="B13" s="20"/>
      <c r="C13" s="1460"/>
      <c r="D13" s="13"/>
      <c r="E13" s="20"/>
      <c r="F13" s="3496"/>
      <c r="G13" s="3496"/>
      <c r="H13" s="3496"/>
      <c r="I13" s="3496"/>
      <c r="J13" s="3497"/>
      <c r="K13" s="3497"/>
      <c r="L13" s="3497"/>
      <c r="M13" s="3496"/>
      <c r="N13" s="3496"/>
      <c r="O13" s="3496"/>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row>
    <row r="14" spans="1:173" s="78" customFormat="1" ht="15" customHeight="1" thickBot="1" x14ac:dyDescent="0.25">
      <c r="A14" s="70"/>
      <c r="B14" s="70"/>
      <c r="C14" s="1460"/>
      <c r="D14" s="21"/>
      <c r="E14" s="3498"/>
      <c r="F14" s="3499"/>
      <c r="G14" s="3499"/>
      <c r="H14" s="3499"/>
      <c r="I14" s="3499"/>
      <c r="J14" s="3499"/>
      <c r="K14" s="3499"/>
      <c r="L14" s="3499"/>
      <c r="M14" s="3500"/>
      <c r="N14" s="3501"/>
      <c r="O14" s="3502"/>
      <c r="P14" s="70"/>
      <c r="Q14" s="3514"/>
      <c r="R14" s="3515"/>
      <c r="S14" s="3499"/>
      <c r="T14" s="3499"/>
      <c r="U14" s="3515"/>
      <c r="V14" s="3515"/>
      <c r="W14" s="3516"/>
      <c r="AA14" s="16"/>
      <c r="AB14" s="16"/>
      <c r="AF14" s="136"/>
      <c r="AI14" s="16"/>
      <c r="AJ14" s="16"/>
      <c r="AN14" s="136"/>
      <c r="AQ14" s="16"/>
      <c r="AR14" s="16"/>
      <c r="AV14" s="136"/>
      <c r="AY14" s="16"/>
      <c r="AZ14" s="16"/>
      <c r="BD14" s="136"/>
      <c r="BG14" s="16"/>
      <c r="BH14" s="16"/>
      <c r="BL14" s="136"/>
      <c r="BO14" s="16"/>
      <c r="BP14" s="16"/>
      <c r="BT14" s="136"/>
      <c r="BW14" s="16"/>
      <c r="BX14" s="16"/>
      <c r="CB14" s="136"/>
      <c r="CE14" s="16"/>
      <c r="CF14" s="16"/>
      <c r="CJ14" s="136"/>
      <c r="CM14" s="16"/>
      <c r="CN14" s="16"/>
      <c r="CR14" s="136"/>
      <c r="CS14" s="137"/>
      <c r="CU14" s="136"/>
    </row>
    <row r="15" spans="1:173" s="78" customFormat="1" ht="30" customHeight="1" thickBot="1" x14ac:dyDescent="0.25">
      <c r="A15" s="70"/>
      <c r="B15" s="70"/>
      <c r="C15" s="1460"/>
      <c r="D15" s="21"/>
      <c r="E15" s="3503"/>
      <c r="F15" s="6105" t="str">
        <f>_Calcs!$GJ$10</f>
        <v>Skal forberedende arbeider inkluderes?</v>
      </c>
      <c r="G15" s="3504"/>
      <c r="H15" s="3504"/>
      <c r="I15" s="3504"/>
      <c r="J15" s="3505"/>
      <c r="K15" s="3505"/>
      <c r="L15" s="3505"/>
      <c r="M15" s="3504"/>
      <c r="N15" s="3506"/>
      <c r="O15" s="3507"/>
      <c r="P15" s="70"/>
      <c r="Q15" s="3513"/>
      <c r="R15" s="3511"/>
      <c r="S15" s="4059"/>
      <c r="T15" s="3504"/>
      <c r="U15" s="30" t="str">
        <f>IF(S15="","!","✓")</f>
        <v>!</v>
      </c>
      <c r="V15" s="3511"/>
      <c r="W15" s="3512"/>
      <c r="AA15" s="36"/>
      <c r="AB15" s="136"/>
      <c r="AC15" s="954"/>
      <c r="AF15" s="136"/>
      <c r="AI15" s="36"/>
      <c r="AJ15" s="136"/>
      <c r="AK15" s="954"/>
      <c r="AN15" s="136"/>
      <c r="AQ15" s="36"/>
      <c r="AR15" s="136"/>
      <c r="AS15" s="954"/>
      <c r="AV15" s="136"/>
      <c r="AY15" s="36"/>
      <c r="AZ15" s="136"/>
      <c r="BA15" s="954"/>
      <c r="BD15" s="136"/>
      <c r="BG15" s="36"/>
      <c r="BH15" s="136"/>
      <c r="BI15" s="954"/>
      <c r="BL15" s="136"/>
      <c r="BO15" s="36"/>
      <c r="BP15" s="136"/>
      <c r="BQ15" s="954"/>
      <c r="BT15" s="136"/>
      <c r="BW15" s="36"/>
      <c r="BX15" s="136"/>
      <c r="BY15" s="954"/>
      <c r="CB15" s="136"/>
      <c r="CE15" s="36"/>
      <c r="CF15" s="136"/>
      <c r="CG15" s="954"/>
      <c r="CJ15" s="136"/>
      <c r="CM15" s="36"/>
      <c r="CN15" s="136"/>
      <c r="CO15" s="954"/>
      <c r="CR15" s="136"/>
      <c r="CS15" s="137"/>
      <c r="CU15" s="136"/>
    </row>
    <row r="16" spans="1:173" s="78" customFormat="1" ht="15" customHeight="1" thickBot="1" x14ac:dyDescent="0.25">
      <c r="A16" s="70"/>
      <c r="B16" s="70"/>
      <c r="C16" s="1461"/>
      <c r="D16" s="21"/>
      <c r="E16" s="3508"/>
      <c r="F16" s="3509"/>
      <c r="G16" s="3509"/>
      <c r="H16" s="3509"/>
      <c r="I16" s="3509"/>
      <c r="J16" s="3517"/>
      <c r="K16" s="3517"/>
      <c r="L16" s="3517"/>
      <c r="M16" s="3509"/>
      <c r="N16" s="3518"/>
      <c r="O16" s="3510"/>
      <c r="P16" s="70"/>
      <c r="Q16" s="3508"/>
      <c r="R16" s="3509"/>
      <c r="S16" s="3509"/>
      <c r="T16" s="3509"/>
      <c r="U16" s="3509"/>
      <c r="V16" s="3509"/>
      <c r="W16" s="3510"/>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7"/>
      <c r="CU16" s="136"/>
    </row>
    <row r="17" spans="1:173" s="21" customFormat="1" ht="24.95" customHeight="1" thickBot="1" x14ac:dyDescent="0.25">
      <c r="A17" s="20"/>
      <c r="B17" s="20"/>
      <c r="C17" s="78"/>
      <c r="D17" s="78"/>
      <c r="E17" s="78"/>
      <c r="F17" s="78"/>
      <c r="G17" s="78"/>
      <c r="H17" s="78"/>
      <c r="I17" s="78"/>
      <c r="J17" s="218"/>
      <c r="K17" s="218"/>
      <c r="L17" s="78"/>
      <c r="M17" s="78"/>
      <c r="N17" s="17"/>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V17" s="14"/>
      <c r="FL17" s="70"/>
      <c r="FM17" s="70"/>
      <c r="FN17" s="70"/>
      <c r="FO17" s="70"/>
      <c r="FP17" s="70"/>
      <c r="FQ17" s="70"/>
    </row>
    <row r="18" spans="1:173" s="21" customFormat="1" ht="39.950000000000003" customHeight="1" thickBot="1" x14ac:dyDescent="0.25">
      <c r="A18" s="25"/>
      <c r="B18" s="25"/>
      <c r="C18" s="1861"/>
      <c r="D18" s="78"/>
      <c r="E18" s="1858"/>
      <c r="F18" s="1859"/>
      <c r="G18" s="1859"/>
      <c r="H18" s="1859"/>
      <c r="I18" s="1859"/>
      <c r="J18" s="1991"/>
      <c r="K18" s="1991"/>
      <c r="L18" s="1859"/>
      <c r="M18" s="1859"/>
      <c r="N18" s="2010"/>
      <c r="O18" s="1860"/>
      <c r="P18" s="78"/>
      <c r="Q18" s="1857"/>
      <c r="R18" s="6547" t="str">
        <f>_Calcs!$GK$13</f>
        <v>Prosjekt</v>
      </c>
      <c r="S18" s="6547"/>
      <c r="T18" s="6547"/>
      <c r="U18" s="6547"/>
      <c r="V18" s="1855"/>
      <c r="W18" s="1856"/>
      <c r="X18" s="78"/>
      <c r="Y18" s="1857"/>
      <c r="Z18" s="6547" t="str">
        <f>_Calcs!$NO$36</f>
        <v>Stuff 1-1</v>
      </c>
      <c r="AA18" s="6547"/>
      <c r="AB18" s="6547"/>
      <c r="AC18" s="6547"/>
      <c r="AD18" s="1855"/>
      <c r="AE18" s="1856"/>
      <c r="AF18" s="78"/>
      <c r="AG18" s="1857"/>
      <c r="AH18" s="6547" t="str">
        <f>_Calcs!$NP$36</f>
        <v/>
      </c>
      <c r="AI18" s="6547"/>
      <c r="AJ18" s="6547"/>
      <c r="AK18" s="6547"/>
      <c r="AL18" s="1855"/>
      <c r="AM18" s="1856"/>
      <c r="AN18" s="78"/>
      <c r="AO18" s="1857"/>
      <c r="AP18" s="6547" t="str">
        <f>_Calcs!$NQ$36</f>
        <v/>
      </c>
      <c r="AQ18" s="6547"/>
      <c r="AR18" s="6547"/>
      <c r="AS18" s="6547"/>
      <c r="AT18" s="1855"/>
      <c r="AU18" s="1856"/>
      <c r="AV18" s="78"/>
      <c r="AW18" s="1857"/>
      <c r="AX18" s="6547" t="str">
        <f>_Calcs!$NR$36</f>
        <v/>
      </c>
      <c r="AY18" s="6547"/>
      <c r="AZ18" s="6547"/>
      <c r="BA18" s="6547"/>
      <c r="BB18" s="1855"/>
      <c r="BC18" s="1856"/>
      <c r="BD18" s="78"/>
      <c r="BE18" s="1857"/>
      <c r="BF18" s="6547" t="str">
        <f>_Calcs!$NS$36</f>
        <v/>
      </c>
      <c r="BG18" s="6547"/>
      <c r="BH18" s="6547"/>
      <c r="BI18" s="6547"/>
      <c r="BJ18" s="1855"/>
      <c r="BK18" s="1856"/>
      <c r="BL18" s="78"/>
      <c r="BM18" s="1857"/>
      <c r="BN18" s="6547" t="str">
        <f>_Calcs!$NT$36</f>
        <v/>
      </c>
      <c r="BO18" s="6547"/>
      <c r="BP18" s="6547"/>
      <c r="BQ18" s="6547"/>
      <c r="BR18" s="1855"/>
      <c r="BS18" s="1856"/>
      <c r="BT18" s="78"/>
      <c r="BU18" s="1857"/>
      <c r="BV18" s="6547" t="str">
        <f>_Calcs!$NU$36</f>
        <v/>
      </c>
      <c r="BW18" s="6547"/>
      <c r="BX18" s="6547"/>
      <c r="BY18" s="6547"/>
      <c r="BZ18" s="1855"/>
      <c r="CA18" s="1856"/>
      <c r="CB18" s="78"/>
      <c r="CC18" s="1857"/>
      <c r="CD18" s="6547" t="str">
        <f>_Calcs!$NV$36</f>
        <v/>
      </c>
      <c r="CE18" s="6547"/>
      <c r="CF18" s="6547"/>
      <c r="CG18" s="6547"/>
      <c r="CH18" s="1855"/>
      <c r="CI18" s="1856"/>
      <c r="CJ18" s="78"/>
      <c r="CK18" s="1854"/>
      <c r="CL18" s="6547" t="str">
        <f>_Calcs!$NW$36</f>
        <v/>
      </c>
      <c r="CM18" s="6547"/>
      <c r="CN18" s="6547"/>
      <c r="CO18" s="6547"/>
      <c r="CP18" s="1855"/>
      <c r="CQ18" s="1856"/>
      <c r="CR18" s="78"/>
      <c r="CS18" s="1050"/>
      <c r="CT18" s="78"/>
      <c r="CU18" s="78"/>
      <c r="CV18" s="78"/>
      <c r="CW18" s="78"/>
      <c r="CX18" s="78"/>
      <c r="CY18" s="78"/>
      <c r="CZ18" s="78"/>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row>
    <row r="19" spans="1:173" s="21" customFormat="1" ht="24.95" customHeight="1" thickBot="1" x14ac:dyDescent="0.25">
      <c r="A19" s="20"/>
      <c r="B19" s="20"/>
      <c r="C19" s="13"/>
      <c r="D19" s="13"/>
      <c r="F19" s="605"/>
      <c r="G19" s="605"/>
      <c r="H19" s="605"/>
      <c r="J19" s="13"/>
      <c r="K19" s="13"/>
      <c r="L19" s="16"/>
      <c r="M19" s="50"/>
      <c r="N19" s="15"/>
      <c r="O19" s="50"/>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V19" s="14"/>
      <c r="FL19" s="70"/>
      <c r="FM19" s="70"/>
      <c r="FN19" s="70"/>
      <c r="FO19" s="70"/>
      <c r="FP19" s="70"/>
      <c r="FQ19" s="70"/>
    </row>
    <row r="20" spans="1:173" s="21" customFormat="1" ht="20.100000000000001" customHeight="1" thickBot="1" x14ac:dyDescent="0.25">
      <c r="C20" s="1060"/>
      <c r="D20" s="13"/>
      <c r="E20" s="1108"/>
      <c r="F20" s="5991"/>
      <c r="G20" s="1019"/>
      <c r="H20" s="1019"/>
      <c r="I20" s="1019"/>
      <c r="J20" s="3931" t="s">
        <v>131</v>
      </c>
      <c r="K20" s="4121"/>
      <c r="L20" s="3931" t="s">
        <v>154</v>
      </c>
      <c r="M20" s="1109"/>
      <c r="N20" s="1019" t="s">
        <v>100</v>
      </c>
      <c r="O20" s="1110"/>
      <c r="Q20" s="1108"/>
      <c r="R20" s="1019"/>
      <c r="S20" s="3912" t="s">
        <v>2741</v>
      </c>
      <c r="T20" s="1019"/>
      <c r="U20" s="1750"/>
      <c r="V20" s="3931"/>
      <c r="W20" s="3932"/>
      <c r="Y20" s="1108"/>
      <c r="Z20" s="1019"/>
      <c r="AA20" s="3912" t="str">
        <f>$S$20</f>
        <v>Varighet</v>
      </c>
      <c r="AB20" s="1019"/>
      <c r="AC20" s="1750"/>
      <c r="AD20" s="3931"/>
      <c r="AE20" s="3932"/>
      <c r="AF20" s="35"/>
      <c r="AG20" s="1108"/>
      <c r="AH20" s="1019"/>
      <c r="AI20" s="3912" t="str">
        <f>$S$20</f>
        <v>Varighet</v>
      </c>
      <c r="AJ20" s="1019"/>
      <c r="AK20" s="1750"/>
      <c r="AL20" s="3931"/>
      <c r="AM20" s="3932"/>
      <c r="AN20" s="35"/>
      <c r="AO20" s="1108"/>
      <c r="AP20" s="1019"/>
      <c r="AQ20" s="3912" t="str">
        <f>$S$20</f>
        <v>Varighet</v>
      </c>
      <c r="AR20" s="1019"/>
      <c r="AS20" s="1750"/>
      <c r="AT20" s="3931"/>
      <c r="AU20" s="3932"/>
      <c r="AV20" s="35"/>
      <c r="AW20" s="1108"/>
      <c r="AX20" s="1019"/>
      <c r="AY20" s="3912" t="str">
        <f>$S$20</f>
        <v>Varighet</v>
      </c>
      <c r="AZ20" s="1019"/>
      <c r="BA20" s="1750"/>
      <c r="BB20" s="3931"/>
      <c r="BC20" s="3932"/>
      <c r="BD20" s="35"/>
      <c r="BE20" s="1108"/>
      <c r="BF20" s="1019"/>
      <c r="BG20" s="3912" t="str">
        <f>$S$20</f>
        <v>Varighet</v>
      </c>
      <c r="BH20" s="1019"/>
      <c r="BI20" s="1750"/>
      <c r="BJ20" s="3931"/>
      <c r="BK20" s="3932"/>
      <c r="BL20" s="35"/>
      <c r="BM20" s="1108"/>
      <c r="BN20" s="1019"/>
      <c r="BO20" s="3912" t="str">
        <f>$S$20</f>
        <v>Varighet</v>
      </c>
      <c r="BP20" s="1019"/>
      <c r="BQ20" s="1750"/>
      <c r="BR20" s="3931"/>
      <c r="BS20" s="3932"/>
      <c r="BT20" s="35"/>
      <c r="BU20" s="1108"/>
      <c r="BV20" s="1019"/>
      <c r="BW20" s="3912" t="str">
        <f>$S$20</f>
        <v>Varighet</v>
      </c>
      <c r="BX20" s="1019"/>
      <c r="BY20" s="1750"/>
      <c r="BZ20" s="3931"/>
      <c r="CA20" s="3932"/>
      <c r="CB20" s="35"/>
      <c r="CC20" s="1108"/>
      <c r="CD20" s="1019"/>
      <c r="CE20" s="3912" t="str">
        <f>$S$20</f>
        <v>Varighet</v>
      </c>
      <c r="CF20" s="1019"/>
      <c r="CG20" s="1750"/>
      <c r="CH20" s="3931"/>
      <c r="CI20" s="3932"/>
      <c r="CJ20" s="35"/>
      <c r="CK20" s="1108"/>
      <c r="CL20" s="1019"/>
      <c r="CM20" s="3912" t="str">
        <f>$S$20</f>
        <v>Varighet</v>
      </c>
      <c r="CN20" s="1019"/>
      <c r="CO20" s="1750"/>
      <c r="CP20" s="3931"/>
      <c r="CQ20" s="3932"/>
      <c r="CR20" s="35"/>
      <c r="CS20" s="834"/>
    </row>
    <row r="21" spans="1:173" s="21" customFormat="1" ht="24.95" customHeight="1" thickBot="1" x14ac:dyDescent="0.25">
      <c r="A21" s="20"/>
      <c r="B21" s="20"/>
      <c r="C21" s="13"/>
      <c r="D21" s="20"/>
      <c r="E21" s="14"/>
      <c r="I21" s="16"/>
      <c r="J21" s="16"/>
      <c r="K21" s="16"/>
      <c r="L21" s="16"/>
      <c r="M21" s="16"/>
      <c r="N21" s="17"/>
      <c r="O21" s="16"/>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row>
    <row r="22" spans="1:173" ht="15" customHeight="1" thickBot="1" x14ac:dyDescent="0.25">
      <c r="C22" s="912"/>
      <c r="D22" s="21"/>
      <c r="E22" s="611"/>
      <c r="F22" s="546"/>
      <c r="G22" s="546"/>
      <c r="H22" s="546"/>
      <c r="I22" s="546"/>
      <c r="J22" s="546"/>
      <c r="K22" s="546"/>
      <c r="L22" s="546"/>
      <c r="M22" s="915"/>
      <c r="N22" s="612"/>
      <c r="O22" s="916"/>
      <c r="Q22" s="1051"/>
      <c r="R22" s="1052"/>
      <c r="S22" s="546"/>
      <c r="T22" s="546"/>
      <c r="U22" s="1052"/>
      <c r="V22" s="1052"/>
      <c r="W22" s="1053"/>
      <c r="Y22" s="1051"/>
      <c r="Z22" s="1052"/>
      <c r="AA22" s="546"/>
      <c r="AB22" s="546"/>
      <c r="AC22" s="1052"/>
      <c r="AD22" s="1052"/>
      <c r="AE22" s="1053"/>
      <c r="AF22" s="21"/>
      <c r="AG22" s="1051"/>
      <c r="AH22" s="1052"/>
      <c r="AI22" s="546"/>
      <c r="AJ22" s="546"/>
      <c r="AK22" s="1052"/>
      <c r="AL22" s="1052"/>
      <c r="AM22" s="1053"/>
      <c r="AN22" s="21"/>
      <c r="AO22" s="1051"/>
      <c r="AP22" s="1052"/>
      <c r="AQ22" s="546"/>
      <c r="AR22" s="546"/>
      <c r="AS22" s="1052"/>
      <c r="AT22" s="1052"/>
      <c r="AU22" s="1053"/>
      <c r="AV22" s="21"/>
      <c r="AW22" s="1051"/>
      <c r="AX22" s="1052"/>
      <c r="AY22" s="546"/>
      <c r="AZ22" s="546"/>
      <c r="BA22" s="1052"/>
      <c r="BB22" s="1052"/>
      <c r="BC22" s="1053"/>
      <c r="BD22" s="21"/>
      <c r="BE22" s="1051"/>
      <c r="BF22" s="1052"/>
      <c r="BG22" s="546"/>
      <c r="BH22" s="546"/>
      <c r="BI22" s="1052"/>
      <c r="BJ22" s="1052"/>
      <c r="BK22" s="1053"/>
      <c r="BL22" s="21"/>
      <c r="BM22" s="1051"/>
      <c r="BN22" s="1052"/>
      <c r="BO22" s="546"/>
      <c r="BP22" s="546"/>
      <c r="BQ22" s="1052"/>
      <c r="BR22" s="1052"/>
      <c r="BS22" s="1053"/>
      <c r="BT22" s="21"/>
      <c r="BU22" s="1051"/>
      <c r="BV22" s="1052"/>
      <c r="BW22" s="546"/>
      <c r="BX22" s="546"/>
      <c r="BY22" s="1052"/>
      <c r="BZ22" s="1052"/>
      <c r="CA22" s="1053"/>
      <c r="CB22" s="21"/>
      <c r="CC22" s="1051"/>
      <c r="CD22" s="1052"/>
      <c r="CE22" s="546"/>
      <c r="CF22" s="546"/>
      <c r="CG22" s="1052"/>
      <c r="CH22" s="1052"/>
      <c r="CI22" s="1053"/>
      <c r="CJ22" s="21"/>
      <c r="CK22" s="1051"/>
      <c r="CL22" s="1052"/>
      <c r="CM22" s="546"/>
      <c r="CN22" s="546"/>
      <c r="CO22" s="1052"/>
      <c r="CP22" s="1052"/>
      <c r="CQ22" s="1053"/>
      <c r="CR22" s="21"/>
      <c r="CS22" s="45"/>
      <c r="CU22" s="21"/>
    </row>
    <row r="23" spans="1:173" ht="20.100000000000001" customHeight="1" thickBot="1" x14ac:dyDescent="0.25">
      <c r="C23" s="6405" t="s">
        <v>153</v>
      </c>
      <c r="D23" s="21"/>
      <c r="E23" s="599"/>
      <c r="F23" s="542" t="s">
        <v>111</v>
      </c>
      <c r="G23" s="542"/>
      <c r="H23" s="542"/>
      <c r="I23" s="542"/>
      <c r="J23" s="917" t="s">
        <v>149</v>
      </c>
      <c r="K23" s="917"/>
      <c r="L23" s="917"/>
      <c r="M23" s="542"/>
      <c r="N23" s="49" t="s">
        <v>146</v>
      </c>
      <c r="O23" s="600"/>
      <c r="Q23" s="1054"/>
      <c r="R23" s="1050"/>
      <c r="S23" s="6195"/>
      <c r="T23" s="542"/>
      <c r="U23" s="30" t="str">
        <f>IF(_Calcs!$GL$49&gt;0,"!",IF(_Calcs!$GL$49=0,"✓"))</f>
        <v>✓</v>
      </c>
      <c r="V23" s="1050"/>
      <c r="W23" s="1055"/>
      <c r="Y23" s="1054"/>
      <c r="Z23" s="1050"/>
      <c r="AA23" s="3911"/>
      <c r="AB23" s="542"/>
      <c r="AC23" s="30" t="str">
        <f>IF(_Calcs!$GL$50&gt;0,"!",IF(_Calcs!$GL$50=0,"✓"))</f>
        <v>✓</v>
      </c>
      <c r="AD23" s="1050"/>
      <c r="AE23" s="1055"/>
      <c r="AF23" s="21"/>
      <c r="AG23" s="1054"/>
      <c r="AH23" s="1050"/>
      <c r="AI23" s="3911"/>
      <c r="AJ23" s="542"/>
      <c r="AK23" s="30" t="str">
        <f>IF(_Calcs!$GL$51&gt;0,"!",IF(_Calcs!$GL$51=0,"✓"))</f>
        <v>✓</v>
      </c>
      <c r="AL23" s="1050"/>
      <c r="AM23" s="1055"/>
      <c r="AN23" s="21"/>
      <c r="AO23" s="1054"/>
      <c r="AP23" s="1050"/>
      <c r="AQ23" s="3911"/>
      <c r="AR23" s="542"/>
      <c r="AS23" s="30" t="str">
        <f>IF(_Calcs!$GL$52&gt;0,"!",IF(_Calcs!$GL$52=0,"✓"))</f>
        <v>✓</v>
      </c>
      <c r="AT23" s="1050"/>
      <c r="AU23" s="1055"/>
      <c r="AV23" s="21"/>
      <c r="AW23" s="1054"/>
      <c r="AX23" s="1050"/>
      <c r="AY23" s="3911"/>
      <c r="AZ23" s="542"/>
      <c r="BA23" s="30" t="str">
        <f>IF(_Calcs!$GL$53&gt;0,"!",IF(_Calcs!$GL$53=0,"✓"))</f>
        <v>✓</v>
      </c>
      <c r="BB23" s="1050"/>
      <c r="BC23" s="1055"/>
      <c r="BD23" s="21"/>
      <c r="BE23" s="1054"/>
      <c r="BF23" s="1050"/>
      <c r="BG23" s="3911"/>
      <c r="BH23" s="542"/>
      <c r="BI23" s="30" t="str">
        <f>IF(_Calcs!$GL$54&gt;0,"!",IF(_Calcs!$GL$54=0,"✓"))</f>
        <v>✓</v>
      </c>
      <c r="BJ23" s="1050"/>
      <c r="BK23" s="1055"/>
      <c r="BL23" s="21"/>
      <c r="BM23" s="1054"/>
      <c r="BN23" s="1050"/>
      <c r="BO23" s="3911"/>
      <c r="BP23" s="542"/>
      <c r="BQ23" s="30" t="str">
        <f>IF(_Calcs!$GL$55&gt;0,"!",IF(_Calcs!$GL$55=0,"✓"))</f>
        <v>✓</v>
      </c>
      <c r="BR23" s="1050"/>
      <c r="BS23" s="1055"/>
      <c r="BT23" s="21"/>
      <c r="BU23" s="1054"/>
      <c r="BV23" s="1050"/>
      <c r="BW23" s="3911"/>
      <c r="BX23" s="542"/>
      <c r="BY23" s="30" t="str">
        <f>IF(_Calcs!$GL$56&gt;0,"!",IF(_Calcs!$GL$56=0,"✓"))</f>
        <v>✓</v>
      </c>
      <c r="BZ23" s="1050"/>
      <c r="CA23" s="1055"/>
      <c r="CB23" s="21"/>
      <c r="CC23" s="1054"/>
      <c r="CD23" s="1050"/>
      <c r="CE23" s="3911"/>
      <c r="CF23" s="542"/>
      <c r="CG23" s="30" t="str">
        <f>IF(_Calcs!$GL$57&gt;0,"!",IF(_Calcs!$GL$57=0,"✓"))</f>
        <v>✓</v>
      </c>
      <c r="CH23" s="1050"/>
      <c r="CI23" s="1055"/>
      <c r="CJ23" s="21"/>
      <c r="CK23" s="1054"/>
      <c r="CL23" s="1050"/>
      <c r="CM23" s="3911"/>
      <c r="CN23" s="542"/>
      <c r="CO23" s="30" t="str">
        <f>IF(_Calcs!$GL$58&gt;0,"!",IF(_Calcs!$GL$58=0,"✓"))</f>
        <v>✓</v>
      </c>
      <c r="CP23" s="1050"/>
      <c r="CQ23" s="1055"/>
      <c r="CR23" s="21"/>
      <c r="CS23" s="45"/>
      <c r="CU23" s="21"/>
    </row>
    <row r="24" spans="1:173" ht="16.5" customHeight="1" thickBot="1" x14ac:dyDescent="0.25">
      <c r="C24" s="6405"/>
      <c r="D24" s="21"/>
      <c r="E24" s="599"/>
      <c r="F24" s="542"/>
      <c r="G24" s="542"/>
      <c r="H24" s="542"/>
      <c r="I24" s="542"/>
      <c r="J24" s="44"/>
      <c r="K24" s="44"/>
      <c r="L24" s="44"/>
      <c r="M24" s="542"/>
      <c r="N24" s="49"/>
      <c r="O24" s="600"/>
      <c r="Q24" s="599"/>
      <c r="R24" s="542"/>
      <c r="S24" s="542"/>
      <c r="T24" s="542"/>
      <c r="U24" s="542"/>
      <c r="V24" s="542"/>
      <c r="W24" s="600"/>
      <c r="Y24" s="599"/>
      <c r="Z24" s="542"/>
      <c r="AA24" s="542"/>
      <c r="AB24" s="542"/>
      <c r="AC24" s="542"/>
      <c r="AD24" s="542"/>
      <c r="AE24" s="600"/>
      <c r="AF24" s="21"/>
      <c r="AG24" s="599"/>
      <c r="AH24" s="542"/>
      <c r="AI24" s="542"/>
      <c r="AJ24" s="542"/>
      <c r="AK24" s="542"/>
      <c r="AL24" s="542"/>
      <c r="AM24" s="600"/>
      <c r="AN24" s="21"/>
      <c r="AO24" s="599"/>
      <c r="AP24" s="542"/>
      <c r="AQ24" s="542"/>
      <c r="AR24" s="542"/>
      <c r="AS24" s="542"/>
      <c r="AT24" s="542"/>
      <c r="AU24" s="600"/>
      <c r="AV24" s="21"/>
      <c r="AW24" s="599"/>
      <c r="AX24" s="542"/>
      <c r="AY24" s="542"/>
      <c r="AZ24" s="542"/>
      <c r="BA24" s="542"/>
      <c r="BB24" s="542"/>
      <c r="BC24" s="600"/>
      <c r="BD24" s="21"/>
      <c r="BE24" s="599"/>
      <c r="BF24" s="542"/>
      <c r="BG24" s="542"/>
      <c r="BH24" s="542"/>
      <c r="BI24" s="542"/>
      <c r="BJ24" s="542"/>
      <c r="BK24" s="600"/>
      <c r="BL24" s="21"/>
      <c r="BM24" s="599"/>
      <c r="BN24" s="542"/>
      <c r="BO24" s="542"/>
      <c r="BP24" s="542"/>
      <c r="BQ24" s="542"/>
      <c r="BR24" s="542"/>
      <c r="BS24" s="600"/>
      <c r="BT24" s="21"/>
      <c r="BU24" s="599"/>
      <c r="BV24" s="542"/>
      <c r="BW24" s="542"/>
      <c r="BX24" s="542"/>
      <c r="BY24" s="542"/>
      <c r="BZ24" s="542"/>
      <c r="CA24" s="600"/>
      <c r="CB24" s="21"/>
      <c r="CC24" s="599"/>
      <c r="CD24" s="542"/>
      <c r="CE24" s="542"/>
      <c r="CF24" s="542"/>
      <c r="CG24" s="542"/>
      <c r="CH24" s="542"/>
      <c r="CI24" s="600"/>
      <c r="CJ24" s="21"/>
      <c r="CK24" s="599"/>
      <c r="CL24" s="542"/>
      <c r="CM24" s="542"/>
      <c r="CN24" s="542"/>
      <c r="CO24" s="542"/>
      <c r="CP24" s="542"/>
      <c r="CQ24" s="600"/>
      <c r="CR24" s="21"/>
      <c r="CS24" s="45"/>
      <c r="CU24" s="21"/>
    </row>
    <row r="25" spans="1:173" ht="20.100000000000001" customHeight="1" thickBot="1" x14ac:dyDescent="0.25">
      <c r="C25" s="6405"/>
      <c r="D25" s="21"/>
      <c r="E25" s="599"/>
      <c r="F25" s="542" t="s">
        <v>1198</v>
      </c>
      <c r="G25" s="542"/>
      <c r="H25" s="542"/>
      <c r="I25" s="542"/>
      <c r="J25" s="917"/>
      <c r="K25" s="917"/>
      <c r="L25" s="917"/>
      <c r="M25" s="542"/>
      <c r="N25" s="49" t="s">
        <v>146</v>
      </c>
      <c r="O25" s="600"/>
      <c r="Q25" s="6197"/>
      <c r="R25" s="6198"/>
      <c r="S25" s="6199" t="str">
        <f>_Calcs!$GK$11</f>
        <v>Ikke relevant</v>
      </c>
      <c r="T25" s="6200"/>
      <c r="U25" s="6201"/>
      <c r="V25" s="6200"/>
      <c r="W25" s="6202"/>
      <c r="Y25" s="1054"/>
      <c r="Z25" s="1050"/>
      <c r="AA25" s="3911"/>
      <c r="AB25" s="542"/>
      <c r="AC25" s="30" t="str">
        <f>IF(_Calcs!$GM$50&gt;0,"!",IF(_Calcs!$GM$50=0,"✓"))</f>
        <v>✓</v>
      </c>
      <c r="AD25" s="542"/>
      <c r="AE25" s="600"/>
      <c r="AF25" s="21"/>
      <c r="AG25" s="1054"/>
      <c r="AH25" s="1050"/>
      <c r="AI25" s="3911"/>
      <c r="AJ25" s="542"/>
      <c r="AK25" s="30" t="str">
        <f>IF(_Calcs!$GM$51&gt;0,"!",IF(_Calcs!$GM$51=0,"✓"))</f>
        <v>✓</v>
      </c>
      <c r="AL25" s="542"/>
      <c r="AM25" s="600"/>
      <c r="AN25" s="21"/>
      <c r="AO25" s="1054"/>
      <c r="AP25" s="1050"/>
      <c r="AQ25" s="3911"/>
      <c r="AR25" s="542"/>
      <c r="AS25" s="30" t="str">
        <f>IF(_Calcs!$GM$52&gt;0,"!",IF(_Calcs!$GM$52=0,"✓"))</f>
        <v>✓</v>
      </c>
      <c r="AT25" s="542"/>
      <c r="AU25" s="600"/>
      <c r="AV25" s="21"/>
      <c r="AW25" s="1054"/>
      <c r="AX25" s="1050"/>
      <c r="AY25" s="3911"/>
      <c r="AZ25" s="542"/>
      <c r="BA25" s="30" t="str">
        <f>IF(_Calcs!$GM$53&gt;0,"!",IF(_Calcs!$GM$53=0,"✓"))</f>
        <v>✓</v>
      </c>
      <c r="BB25" s="542"/>
      <c r="BC25" s="600"/>
      <c r="BD25" s="21"/>
      <c r="BE25" s="1054"/>
      <c r="BF25" s="1050"/>
      <c r="BG25" s="3911"/>
      <c r="BH25" s="542"/>
      <c r="BI25" s="30" t="str">
        <f>IF(_Calcs!$GM$54&gt;0,"!",IF(_Calcs!$GM$54=0,"✓"))</f>
        <v>✓</v>
      </c>
      <c r="BJ25" s="542"/>
      <c r="BK25" s="600"/>
      <c r="BL25" s="21"/>
      <c r="BM25" s="1054"/>
      <c r="BN25" s="1050"/>
      <c r="BO25" s="3911"/>
      <c r="BP25" s="542"/>
      <c r="BQ25" s="30" t="str">
        <f>IF(_Calcs!$GM$55&gt;0,"!",IF(_Calcs!$GM$55=0,"✓"))</f>
        <v>✓</v>
      </c>
      <c r="BR25" s="542"/>
      <c r="BS25" s="600"/>
      <c r="BT25" s="21"/>
      <c r="BU25" s="1054"/>
      <c r="BV25" s="1050"/>
      <c r="BW25" s="3911"/>
      <c r="BX25" s="542"/>
      <c r="BY25" s="30" t="str">
        <f>IF(_Calcs!$GM$56&gt;0,"!",IF(_Calcs!$GM$56=0,"✓"))</f>
        <v>✓</v>
      </c>
      <c r="BZ25" s="542"/>
      <c r="CA25" s="600"/>
      <c r="CB25" s="21"/>
      <c r="CC25" s="1054"/>
      <c r="CD25" s="1050"/>
      <c r="CE25" s="3911"/>
      <c r="CF25" s="542"/>
      <c r="CG25" s="30" t="str">
        <f>IF(_Calcs!$GM$57&gt;0,"!",IF(_Calcs!$GM$57=0,"✓"))</f>
        <v>✓</v>
      </c>
      <c r="CH25" s="542"/>
      <c r="CI25" s="600"/>
      <c r="CJ25" s="21"/>
      <c r="CK25" s="1054"/>
      <c r="CL25" s="1050"/>
      <c r="CM25" s="3911"/>
      <c r="CN25" s="542"/>
      <c r="CO25" s="30" t="str">
        <f>IF(_Calcs!$GM$58&gt;0,"!",IF(_Calcs!$GM$58=0,"✓"))</f>
        <v>✓</v>
      </c>
      <c r="CP25" s="542"/>
      <c r="CQ25" s="600"/>
      <c r="CR25" s="21"/>
      <c r="CS25" s="45"/>
      <c r="CU25" s="21"/>
    </row>
    <row r="26" spans="1:173" ht="16.5" customHeight="1" thickBot="1" x14ac:dyDescent="0.25">
      <c r="C26" s="6405"/>
      <c r="D26" s="21"/>
      <c r="E26" s="599"/>
      <c r="F26" s="542"/>
      <c r="G26" s="542"/>
      <c r="H26" s="542"/>
      <c r="I26" s="542"/>
      <c r="J26" s="44"/>
      <c r="K26" s="44"/>
      <c r="L26" s="44"/>
      <c r="M26" s="542"/>
      <c r="N26" s="49"/>
      <c r="O26" s="600"/>
      <c r="Q26" s="599"/>
      <c r="R26" s="542"/>
      <c r="S26" s="542"/>
      <c r="T26" s="542"/>
      <c r="U26" s="542"/>
      <c r="V26" s="542"/>
      <c r="W26" s="600"/>
      <c r="Y26" s="599"/>
      <c r="Z26" s="542"/>
      <c r="AA26" s="542"/>
      <c r="AB26" s="542"/>
      <c r="AC26" s="542"/>
      <c r="AD26" s="542"/>
      <c r="AE26" s="600"/>
      <c r="AF26" s="21"/>
      <c r="AG26" s="599"/>
      <c r="AH26" s="542"/>
      <c r="AI26" s="542"/>
      <c r="AJ26" s="542"/>
      <c r="AK26" s="542"/>
      <c r="AL26" s="542"/>
      <c r="AM26" s="600"/>
      <c r="AN26" s="21"/>
      <c r="AO26" s="599"/>
      <c r="AP26" s="542"/>
      <c r="AQ26" s="542"/>
      <c r="AR26" s="542"/>
      <c r="AS26" s="542"/>
      <c r="AT26" s="542"/>
      <c r="AU26" s="600"/>
      <c r="AV26" s="21"/>
      <c r="AW26" s="599"/>
      <c r="AX26" s="542"/>
      <c r="AY26" s="542"/>
      <c r="AZ26" s="542"/>
      <c r="BA26" s="542"/>
      <c r="BB26" s="542"/>
      <c r="BC26" s="600"/>
      <c r="BD26" s="21"/>
      <c r="BE26" s="599"/>
      <c r="BF26" s="542"/>
      <c r="BG26" s="542"/>
      <c r="BH26" s="542"/>
      <c r="BI26" s="542"/>
      <c r="BJ26" s="542"/>
      <c r="BK26" s="600"/>
      <c r="BL26" s="21"/>
      <c r="BM26" s="599"/>
      <c r="BN26" s="542"/>
      <c r="BO26" s="542"/>
      <c r="BP26" s="542"/>
      <c r="BQ26" s="542"/>
      <c r="BR26" s="542"/>
      <c r="BS26" s="600"/>
      <c r="BT26" s="21"/>
      <c r="BU26" s="599"/>
      <c r="BV26" s="542"/>
      <c r="BW26" s="542"/>
      <c r="BX26" s="542"/>
      <c r="BY26" s="542"/>
      <c r="BZ26" s="542"/>
      <c r="CA26" s="600"/>
      <c r="CB26" s="21"/>
      <c r="CC26" s="599"/>
      <c r="CD26" s="542"/>
      <c r="CE26" s="542"/>
      <c r="CF26" s="542"/>
      <c r="CG26" s="542"/>
      <c r="CH26" s="542"/>
      <c r="CI26" s="600"/>
      <c r="CJ26" s="21"/>
      <c r="CK26" s="599"/>
      <c r="CL26" s="542"/>
      <c r="CM26" s="542"/>
      <c r="CN26" s="542"/>
      <c r="CO26" s="542"/>
      <c r="CP26" s="542"/>
      <c r="CQ26" s="600"/>
      <c r="CR26" s="21"/>
      <c r="CS26" s="45"/>
      <c r="CU26" s="21"/>
    </row>
    <row r="27" spans="1:173" ht="20.100000000000001" customHeight="1" thickBot="1" x14ac:dyDescent="0.25">
      <c r="C27" s="913"/>
      <c r="D27" s="21"/>
      <c r="E27" s="599"/>
      <c r="F27" s="542" t="s">
        <v>148</v>
      </c>
      <c r="G27" s="542"/>
      <c r="H27" s="542"/>
      <c r="I27" s="542"/>
      <c r="J27" s="917" t="s">
        <v>149</v>
      </c>
      <c r="K27" s="917"/>
      <c r="L27" s="917"/>
      <c r="M27" s="542"/>
      <c r="N27" s="49" t="s">
        <v>146</v>
      </c>
      <c r="O27" s="600"/>
      <c r="Q27" s="1054"/>
      <c r="R27" s="1050"/>
      <c r="S27" s="6195"/>
      <c r="T27" s="542"/>
      <c r="U27" s="542"/>
      <c r="V27" s="542"/>
      <c r="W27" s="600"/>
      <c r="Y27" s="1054"/>
      <c r="Z27" s="1050"/>
      <c r="AA27" s="3911"/>
      <c r="AB27" s="542"/>
      <c r="AC27" s="542"/>
      <c r="AD27" s="542"/>
      <c r="AE27" s="600"/>
      <c r="AF27" s="21"/>
      <c r="AG27" s="1054"/>
      <c r="AH27" s="1050"/>
      <c r="AI27" s="3911"/>
      <c r="AJ27" s="542"/>
      <c r="AK27" s="542"/>
      <c r="AL27" s="542"/>
      <c r="AM27" s="600"/>
      <c r="AN27" s="21"/>
      <c r="AO27" s="1054"/>
      <c r="AP27" s="1050"/>
      <c r="AQ27" s="3911"/>
      <c r="AR27" s="542"/>
      <c r="AS27" s="542"/>
      <c r="AT27" s="542"/>
      <c r="AU27" s="600"/>
      <c r="AV27" s="21"/>
      <c r="AW27" s="1054"/>
      <c r="AX27" s="1050"/>
      <c r="AY27" s="3911"/>
      <c r="AZ27" s="542"/>
      <c r="BA27" s="542"/>
      <c r="BB27" s="542"/>
      <c r="BC27" s="600"/>
      <c r="BD27" s="21"/>
      <c r="BE27" s="1054"/>
      <c r="BF27" s="1050"/>
      <c r="BG27" s="3911"/>
      <c r="BH27" s="542"/>
      <c r="BI27" s="542"/>
      <c r="BJ27" s="542"/>
      <c r="BK27" s="600"/>
      <c r="BL27" s="21"/>
      <c r="BM27" s="1054"/>
      <c r="BN27" s="1050"/>
      <c r="BO27" s="3911"/>
      <c r="BP27" s="542"/>
      <c r="BQ27" s="542"/>
      <c r="BR27" s="542"/>
      <c r="BS27" s="600"/>
      <c r="BT27" s="21"/>
      <c r="BU27" s="1054"/>
      <c r="BV27" s="1050"/>
      <c r="BW27" s="3911"/>
      <c r="BX27" s="542"/>
      <c r="BY27" s="542"/>
      <c r="BZ27" s="542"/>
      <c r="CA27" s="600"/>
      <c r="CB27" s="21"/>
      <c r="CC27" s="1054"/>
      <c r="CD27" s="1050"/>
      <c r="CE27" s="3911"/>
      <c r="CF27" s="542"/>
      <c r="CG27" s="542"/>
      <c r="CH27" s="542"/>
      <c r="CI27" s="600"/>
      <c r="CJ27" s="21"/>
      <c r="CK27" s="1054"/>
      <c r="CL27" s="1050"/>
      <c r="CM27" s="3911"/>
      <c r="CN27" s="542"/>
      <c r="CO27" s="542"/>
      <c r="CP27" s="542"/>
      <c r="CQ27" s="600"/>
      <c r="CR27" s="21"/>
      <c r="CS27" s="45"/>
      <c r="CU27" s="21"/>
    </row>
    <row r="28" spans="1:173" ht="14.25" customHeight="1" thickBot="1" x14ac:dyDescent="0.25">
      <c r="C28" s="914"/>
      <c r="D28" s="21"/>
      <c r="E28" s="601"/>
      <c r="F28" s="602"/>
      <c r="G28" s="602"/>
      <c r="H28" s="602"/>
      <c r="I28" s="602"/>
      <c r="J28" s="615"/>
      <c r="K28" s="615"/>
      <c r="L28" s="615"/>
      <c r="M28" s="602"/>
      <c r="N28" s="616"/>
      <c r="O28" s="603"/>
      <c r="Q28" s="601"/>
      <c r="R28" s="602"/>
      <c r="S28" s="602"/>
      <c r="T28" s="602"/>
      <c r="U28" s="602"/>
      <c r="V28" s="602"/>
      <c r="W28" s="603"/>
      <c r="Y28" s="601"/>
      <c r="Z28" s="602"/>
      <c r="AA28" s="602"/>
      <c r="AB28" s="602"/>
      <c r="AC28" s="602"/>
      <c r="AD28" s="602"/>
      <c r="AE28" s="603"/>
      <c r="AG28" s="601"/>
      <c r="AH28" s="602"/>
      <c r="AI28" s="602"/>
      <c r="AJ28" s="602"/>
      <c r="AK28" s="602"/>
      <c r="AL28" s="602"/>
      <c r="AM28" s="603"/>
      <c r="AO28" s="601"/>
      <c r="AP28" s="602"/>
      <c r="AQ28" s="602"/>
      <c r="AR28" s="602"/>
      <c r="AS28" s="602"/>
      <c r="AT28" s="602"/>
      <c r="AU28" s="603"/>
      <c r="AW28" s="601"/>
      <c r="AX28" s="602"/>
      <c r="AY28" s="602"/>
      <c r="AZ28" s="602"/>
      <c r="BA28" s="602"/>
      <c r="BB28" s="602"/>
      <c r="BC28" s="603"/>
      <c r="BE28" s="601"/>
      <c r="BF28" s="602"/>
      <c r="BG28" s="602"/>
      <c r="BH28" s="602"/>
      <c r="BI28" s="602"/>
      <c r="BJ28" s="602"/>
      <c r="BK28" s="603"/>
      <c r="BM28" s="601"/>
      <c r="BN28" s="602"/>
      <c r="BO28" s="602"/>
      <c r="BP28" s="602"/>
      <c r="BQ28" s="602"/>
      <c r="BR28" s="602"/>
      <c r="BS28" s="603"/>
      <c r="BU28" s="601"/>
      <c r="BV28" s="602"/>
      <c r="BW28" s="602"/>
      <c r="BX28" s="602"/>
      <c r="BY28" s="602"/>
      <c r="BZ28" s="602"/>
      <c r="CA28" s="603"/>
      <c r="CC28" s="601"/>
      <c r="CD28" s="602"/>
      <c r="CE28" s="602"/>
      <c r="CF28" s="602"/>
      <c r="CG28" s="602"/>
      <c r="CH28" s="602"/>
      <c r="CI28" s="603"/>
      <c r="CK28" s="601"/>
      <c r="CL28" s="602"/>
      <c r="CM28" s="602"/>
      <c r="CN28" s="602"/>
      <c r="CO28" s="602"/>
      <c r="CP28" s="602"/>
      <c r="CQ28" s="603"/>
      <c r="CS28" s="45"/>
    </row>
    <row r="29" spans="1:173" s="78" customFormat="1" ht="30" customHeight="1" x14ac:dyDescent="0.2">
      <c r="J29" s="1992"/>
      <c r="K29" s="1992"/>
      <c r="L29" s="307"/>
      <c r="N29" s="17"/>
      <c r="P29" s="70"/>
      <c r="U29" s="215"/>
      <c r="X29" s="70"/>
      <c r="AC29" s="215"/>
      <c r="AF29" s="21"/>
      <c r="AK29" s="215"/>
      <c r="AN29" s="21"/>
      <c r="AS29" s="215"/>
      <c r="AV29" s="21"/>
      <c r="BA29" s="215"/>
      <c r="BD29" s="21"/>
      <c r="BI29" s="215"/>
      <c r="BL29" s="21"/>
      <c r="BQ29" s="215"/>
      <c r="BT29" s="21"/>
      <c r="BY29" s="215"/>
      <c r="CB29" s="21"/>
      <c r="CG29" s="215"/>
      <c r="CJ29" s="21"/>
      <c r="CO29" s="215"/>
      <c r="CR29" s="21"/>
      <c r="CS29" s="132"/>
      <c r="CT29" s="70"/>
      <c r="CU29" s="70"/>
      <c r="CV29" s="70"/>
      <c r="CW29" s="70"/>
      <c r="CX29" s="70"/>
      <c r="CY29" s="70"/>
      <c r="CZ29" s="70"/>
      <c r="DA29" s="70"/>
      <c r="DB29" s="70"/>
      <c r="DC29" s="70"/>
      <c r="DD29" s="70"/>
      <c r="DE29" s="70"/>
      <c r="DF29" s="70"/>
      <c r="DG29" s="70"/>
      <c r="DH29" s="70"/>
      <c r="DI29" s="70"/>
      <c r="DJ29" s="70"/>
      <c r="DK29" s="70"/>
      <c r="DL29" s="70"/>
      <c r="DM29" s="70"/>
    </row>
    <row r="30" spans="1:173" s="21" customFormat="1" ht="12" customHeight="1" x14ac:dyDescent="0.2">
      <c r="A30" s="25"/>
      <c r="B30" s="25"/>
      <c r="C30" s="1170"/>
      <c r="D30" s="78"/>
      <c r="E30" s="918"/>
      <c r="F30" s="919"/>
      <c r="G30" s="919"/>
      <c r="H30" s="919"/>
      <c r="I30" s="920"/>
      <c r="J30" s="920"/>
      <c r="K30" s="920"/>
      <c r="L30" s="920"/>
      <c r="M30" s="1170"/>
      <c r="N30" s="919"/>
      <c r="O30" s="1170"/>
      <c r="Q30" s="921"/>
      <c r="R30" s="921"/>
      <c r="S30" s="923"/>
      <c r="T30" s="924"/>
      <c r="U30" s="920"/>
      <c r="V30" s="920"/>
      <c r="W30" s="920"/>
      <c r="Y30" s="921"/>
      <c r="Z30" s="921"/>
      <c r="AA30" s="923"/>
      <c r="AB30" s="924"/>
      <c r="AC30" s="920"/>
      <c r="AD30" s="920"/>
      <c r="AE30" s="920"/>
      <c r="AF30" s="16"/>
      <c r="AG30" s="921"/>
      <c r="AH30" s="921"/>
      <c r="AI30" s="923"/>
      <c r="AJ30" s="924"/>
      <c r="AK30" s="920"/>
      <c r="AL30" s="920"/>
      <c r="AM30" s="920"/>
      <c r="AN30" s="16"/>
      <c r="AO30" s="921"/>
      <c r="AP30" s="921"/>
      <c r="AQ30" s="923"/>
      <c r="AR30" s="924"/>
      <c r="AS30" s="920"/>
      <c r="AT30" s="920"/>
      <c r="AU30" s="920"/>
      <c r="AV30" s="16"/>
      <c r="AW30" s="921"/>
      <c r="AX30" s="921"/>
      <c r="AY30" s="923"/>
      <c r="AZ30" s="924"/>
      <c r="BA30" s="920"/>
      <c r="BB30" s="920"/>
      <c r="BC30" s="920"/>
      <c r="BD30" s="16"/>
      <c r="BE30" s="921"/>
      <c r="BF30" s="921"/>
      <c r="BG30" s="923"/>
      <c r="BH30" s="924"/>
      <c r="BI30" s="920"/>
      <c r="BJ30" s="920"/>
      <c r="BK30" s="920"/>
      <c r="BL30" s="16"/>
      <c r="BM30" s="921"/>
      <c r="BN30" s="921"/>
      <c r="BO30" s="923"/>
      <c r="BP30" s="924"/>
      <c r="BQ30" s="920"/>
      <c r="BR30" s="920"/>
      <c r="BS30" s="920"/>
      <c r="BT30" s="16"/>
      <c r="BU30" s="921"/>
      <c r="BV30" s="921"/>
      <c r="BW30" s="923"/>
      <c r="BX30" s="924"/>
      <c r="BY30" s="920"/>
      <c r="BZ30" s="920"/>
      <c r="CA30" s="920"/>
      <c r="CB30" s="16"/>
      <c r="CC30" s="921"/>
      <c r="CD30" s="921"/>
      <c r="CE30" s="923"/>
      <c r="CF30" s="924"/>
      <c r="CG30" s="920"/>
      <c r="CH30" s="920"/>
      <c r="CI30" s="920"/>
      <c r="CJ30" s="16"/>
      <c r="CK30" s="921"/>
      <c r="CL30" s="921"/>
      <c r="CM30" s="923"/>
      <c r="CN30" s="924"/>
      <c r="CO30" s="920"/>
      <c r="CP30" s="920"/>
      <c r="CQ30" s="920"/>
      <c r="CR30" s="16"/>
      <c r="CS30" s="920"/>
    </row>
    <row r="31" spans="1:173" s="21" customFormat="1" ht="3.75" customHeight="1" x14ac:dyDescent="0.2">
      <c r="A31" s="25"/>
      <c r="B31" s="25"/>
      <c r="C31" s="13"/>
      <c r="D31" s="78"/>
      <c r="E31" s="14"/>
      <c r="F31" s="15"/>
      <c r="G31" s="15"/>
      <c r="H31" s="15"/>
      <c r="I31" s="16"/>
      <c r="J31" s="16"/>
      <c r="K31" s="16"/>
      <c r="L31" s="16"/>
      <c r="M31" s="13"/>
      <c r="N31" s="15"/>
      <c r="O31" s="13"/>
      <c r="Q31" s="17"/>
      <c r="R31" s="17"/>
      <c r="S31" s="18"/>
      <c r="T31" s="19"/>
      <c r="U31" s="16"/>
      <c r="V31" s="16"/>
      <c r="W31" s="16"/>
      <c r="Y31" s="17"/>
      <c r="Z31" s="17"/>
      <c r="AA31" s="18"/>
      <c r="AB31" s="19"/>
      <c r="AC31" s="16"/>
      <c r="AD31" s="16"/>
      <c r="AE31" s="16"/>
      <c r="AF31" s="16"/>
      <c r="AG31" s="17"/>
      <c r="AH31" s="17"/>
      <c r="AI31" s="18"/>
      <c r="AJ31" s="19"/>
      <c r="AK31" s="16"/>
      <c r="AL31" s="16"/>
      <c r="AM31" s="16"/>
      <c r="AN31" s="16"/>
      <c r="AO31" s="17"/>
      <c r="AP31" s="17"/>
      <c r="AQ31" s="18"/>
      <c r="AR31" s="19"/>
      <c r="AS31" s="16"/>
      <c r="AT31" s="16"/>
      <c r="AU31" s="16"/>
      <c r="AV31" s="16"/>
      <c r="AW31" s="17"/>
      <c r="AX31" s="17"/>
      <c r="AY31" s="18"/>
      <c r="AZ31" s="19"/>
      <c r="BA31" s="16"/>
      <c r="BB31" s="16"/>
      <c r="BC31" s="16"/>
      <c r="BD31" s="16"/>
      <c r="BE31" s="17"/>
      <c r="BF31" s="17"/>
      <c r="BG31" s="18"/>
      <c r="BH31" s="19"/>
      <c r="BI31" s="16"/>
      <c r="BJ31" s="16"/>
      <c r="BK31" s="16"/>
      <c r="BL31" s="16"/>
      <c r="BM31" s="17"/>
      <c r="BN31" s="17"/>
      <c r="BO31" s="18"/>
      <c r="BP31" s="19"/>
      <c r="BQ31" s="16"/>
      <c r="BR31" s="16"/>
      <c r="BS31" s="16"/>
      <c r="BT31" s="16"/>
      <c r="BU31" s="17"/>
      <c r="BV31" s="17"/>
      <c r="BW31" s="18"/>
      <c r="BX31" s="19"/>
      <c r="BY31" s="16"/>
      <c r="BZ31" s="16"/>
      <c r="CA31" s="16"/>
      <c r="CB31" s="16"/>
      <c r="CC31" s="17"/>
      <c r="CD31" s="17"/>
      <c r="CE31" s="18"/>
      <c r="CF31" s="19"/>
      <c r="CG31" s="16"/>
      <c r="CH31" s="16"/>
      <c r="CI31" s="16"/>
      <c r="CJ31" s="16"/>
      <c r="CK31" s="17"/>
      <c r="CL31" s="17"/>
      <c r="CM31" s="18"/>
      <c r="CN31" s="19"/>
      <c r="CO31" s="16"/>
      <c r="CP31" s="16"/>
      <c r="CQ31" s="16"/>
      <c r="CR31" s="16"/>
      <c r="CS31" s="16"/>
    </row>
    <row r="32" spans="1:173" s="21" customFormat="1" ht="5.0999999999999996" customHeight="1" x14ac:dyDescent="0.2">
      <c r="A32" s="25"/>
      <c r="B32" s="25"/>
      <c r="C32" s="1170"/>
      <c r="D32" s="78"/>
      <c r="E32" s="918"/>
      <c r="F32" s="919"/>
      <c r="G32" s="919"/>
      <c r="H32" s="919"/>
      <c r="I32" s="920"/>
      <c r="J32" s="920"/>
      <c r="K32" s="920"/>
      <c r="L32" s="920"/>
      <c r="M32" s="1170"/>
      <c r="N32" s="919"/>
      <c r="O32" s="1170"/>
      <c r="Q32" s="921"/>
      <c r="R32" s="921"/>
      <c r="S32" s="923"/>
      <c r="T32" s="924"/>
      <c r="U32" s="920"/>
      <c r="V32" s="920"/>
      <c r="W32" s="920"/>
      <c r="Y32" s="921"/>
      <c r="Z32" s="921"/>
      <c r="AA32" s="923"/>
      <c r="AB32" s="924"/>
      <c r="AC32" s="920"/>
      <c r="AD32" s="920"/>
      <c r="AE32" s="920"/>
      <c r="AF32" s="16"/>
      <c r="AG32" s="921"/>
      <c r="AH32" s="921"/>
      <c r="AI32" s="923"/>
      <c r="AJ32" s="924"/>
      <c r="AK32" s="920"/>
      <c r="AL32" s="920"/>
      <c r="AM32" s="920"/>
      <c r="AN32" s="16"/>
      <c r="AO32" s="921"/>
      <c r="AP32" s="921"/>
      <c r="AQ32" s="923"/>
      <c r="AR32" s="924"/>
      <c r="AS32" s="920"/>
      <c r="AT32" s="920"/>
      <c r="AU32" s="920"/>
      <c r="AV32" s="16"/>
      <c r="AW32" s="921"/>
      <c r="AX32" s="921"/>
      <c r="AY32" s="923"/>
      <c r="AZ32" s="924"/>
      <c r="BA32" s="920"/>
      <c r="BB32" s="920"/>
      <c r="BC32" s="920"/>
      <c r="BD32" s="16"/>
      <c r="BE32" s="921"/>
      <c r="BF32" s="921"/>
      <c r="BG32" s="923"/>
      <c r="BH32" s="924"/>
      <c r="BI32" s="920"/>
      <c r="BJ32" s="920"/>
      <c r="BK32" s="920"/>
      <c r="BL32" s="16"/>
      <c r="BM32" s="921"/>
      <c r="BN32" s="921"/>
      <c r="BO32" s="923"/>
      <c r="BP32" s="924"/>
      <c r="BQ32" s="920"/>
      <c r="BR32" s="920"/>
      <c r="BS32" s="920"/>
      <c r="BT32" s="16"/>
      <c r="BU32" s="921"/>
      <c r="BV32" s="921"/>
      <c r="BW32" s="923"/>
      <c r="BX32" s="924"/>
      <c r="BY32" s="920"/>
      <c r="BZ32" s="920"/>
      <c r="CA32" s="920"/>
      <c r="CB32" s="16"/>
      <c r="CC32" s="921"/>
      <c r="CD32" s="921"/>
      <c r="CE32" s="923"/>
      <c r="CF32" s="924"/>
      <c r="CG32" s="920"/>
      <c r="CH32" s="920"/>
      <c r="CI32" s="920"/>
      <c r="CJ32" s="16"/>
      <c r="CK32" s="921"/>
      <c r="CL32" s="921"/>
      <c r="CM32" s="923"/>
      <c r="CN32" s="924"/>
      <c r="CO32" s="920"/>
      <c r="CP32" s="920"/>
      <c r="CQ32" s="920"/>
      <c r="CR32" s="16"/>
      <c r="CS32" s="920"/>
    </row>
    <row r="33" spans="1:144" s="21" customFormat="1" ht="30" customHeight="1" thickBot="1" x14ac:dyDescent="0.25">
      <c r="A33" s="20"/>
      <c r="B33" s="20"/>
      <c r="C33" s="13"/>
      <c r="D33" s="78"/>
      <c r="E33" s="14"/>
      <c r="I33" s="16"/>
      <c r="J33" s="16"/>
      <c r="K33" s="16"/>
      <c r="L33" s="16"/>
      <c r="M33" s="13"/>
      <c r="N33" s="15"/>
      <c r="O33" s="13"/>
      <c r="P33" s="70"/>
      <c r="Q33" s="16"/>
      <c r="R33" s="16"/>
      <c r="S33" s="22"/>
      <c r="T33" s="16"/>
      <c r="U33" s="16"/>
      <c r="V33" s="70"/>
      <c r="W33" s="70"/>
      <c r="X33" s="70"/>
      <c r="Y33" s="16"/>
      <c r="Z33" s="16"/>
      <c r="AA33" s="22"/>
      <c r="AB33" s="16"/>
      <c r="AC33" s="16"/>
      <c r="AD33" s="70"/>
      <c r="AE33" s="70"/>
      <c r="AF33" s="70"/>
      <c r="AG33" s="16"/>
      <c r="AH33" s="16"/>
      <c r="AI33" s="22"/>
      <c r="AJ33" s="16"/>
      <c r="AK33" s="16"/>
      <c r="AL33" s="70"/>
      <c r="AM33" s="70"/>
      <c r="AN33" s="70"/>
      <c r="AO33" s="16"/>
      <c r="AP33" s="16"/>
      <c r="AQ33" s="22"/>
      <c r="AR33" s="16"/>
      <c r="AS33" s="16"/>
      <c r="AT33" s="70"/>
      <c r="AU33" s="70"/>
      <c r="AV33" s="70"/>
      <c r="AW33" s="16"/>
      <c r="AX33" s="16"/>
      <c r="AY33" s="22"/>
      <c r="AZ33" s="16"/>
      <c r="BA33" s="16"/>
      <c r="BB33" s="70"/>
      <c r="BC33" s="70"/>
      <c r="BD33" s="70"/>
      <c r="BE33" s="16"/>
      <c r="BF33" s="16"/>
      <c r="BG33" s="22"/>
      <c r="BH33" s="16"/>
      <c r="BI33" s="16"/>
      <c r="BJ33" s="70"/>
      <c r="BK33" s="70"/>
      <c r="BL33" s="70"/>
      <c r="BM33" s="16"/>
      <c r="BN33" s="16"/>
      <c r="BO33" s="22"/>
      <c r="BP33" s="16"/>
      <c r="BQ33" s="16"/>
      <c r="BR33" s="70"/>
      <c r="BS33" s="70"/>
      <c r="BT33" s="70"/>
      <c r="BU33" s="16"/>
      <c r="BV33" s="16"/>
      <c r="BW33" s="22"/>
      <c r="BX33" s="16"/>
      <c r="BY33" s="16"/>
      <c r="BZ33" s="70"/>
      <c r="CA33" s="70"/>
      <c r="CB33" s="70"/>
      <c r="CC33" s="16"/>
      <c r="CD33" s="16"/>
      <c r="CE33" s="22"/>
      <c r="CF33" s="16"/>
      <c r="CG33" s="16"/>
      <c r="CH33" s="70"/>
      <c r="CI33" s="70"/>
      <c r="CJ33" s="70"/>
      <c r="CK33" s="16"/>
      <c r="CL33" s="16"/>
      <c r="CM33" s="22"/>
      <c r="CN33" s="16"/>
      <c r="CO33" s="16"/>
      <c r="CP33" s="70"/>
      <c r="CQ33" s="70"/>
      <c r="CR33" s="70"/>
      <c r="CS33" s="70"/>
      <c r="CT33" s="70"/>
      <c r="CU33" s="70"/>
      <c r="CV33" s="70"/>
      <c r="CW33" s="70"/>
      <c r="CX33" s="70"/>
      <c r="CY33" s="70"/>
      <c r="CZ33" s="70"/>
      <c r="DA33" s="70"/>
      <c r="DB33" s="70"/>
      <c r="DC33" s="70"/>
    </row>
    <row r="34" spans="1:144" s="21" customFormat="1" ht="15" customHeight="1" thickBot="1" x14ac:dyDescent="0.25">
      <c r="A34" s="20"/>
      <c r="B34" s="20"/>
      <c r="C34" s="908"/>
      <c r="D34" s="13"/>
      <c r="E34" s="6556"/>
      <c r="F34" s="6557"/>
      <c r="G34" s="6557"/>
      <c r="H34" s="6557"/>
      <c r="I34" s="6557"/>
      <c r="J34" s="6557"/>
      <c r="K34" s="6557"/>
      <c r="L34" s="6557"/>
      <c r="M34" s="6557"/>
      <c r="N34" s="6557"/>
      <c r="O34" s="6558"/>
      <c r="P34" s="70"/>
      <c r="Q34" s="878"/>
      <c r="R34" s="879"/>
      <c r="S34" s="879"/>
      <c r="T34" s="879"/>
      <c r="U34" s="879"/>
      <c r="V34" s="879"/>
      <c r="W34" s="1597"/>
      <c r="X34" s="70"/>
      <c r="Y34" s="878"/>
      <c r="Z34" s="879"/>
      <c r="AA34" s="879"/>
      <c r="AB34" s="879"/>
      <c r="AC34" s="879"/>
      <c r="AD34" s="879"/>
      <c r="AE34" s="1597"/>
      <c r="AF34" s="70"/>
      <c r="AG34" s="878"/>
      <c r="AH34" s="879"/>
      <c r="AI34" s="879"/>
      <c r="AJ34" s="879"/>
      <c r="AK34" s="879"/>
      <c r="AL34" s="879"/>
      <c r="AM34" s="1597"/>
      <c r="AN34" s="70"/>
      <c r="AO34" s="878"/>
      <c r="AP34" s="879"/>
      <c r="AQ34" s="879"/>
      <c r="AR34" s="879"/>
      <c r="AS34" s="879"/>
      <c r="AT34" s="879"/>
      <c r="AU34" s="1597"/>
      <c r="AV34" s="70"/>
      <c r="AW34" s="878"/>
      <c r="AX34" s="879"/>
      <c r="AY34" s="879"/>
      <c r="AZ34" s="879"/>
      <c r="BA34" s="879"/>
      <c r="BB34" s="879"/>
      <c r="BC34" s="1597"/>
      <c r="BD34" s="70"/>
      <c r="BE34" s="878"/>
      <c r="BF34" s="879"/>
      <c r="BG34" s="879"/>
      <c r="BH34" s="879"/>
      <c r="BI34" s="879"/>
      <c r="BJ34" s="879"/>
      <c r="BK34" s="1597"/>
      <c r="BL34" s="70"/>
      <c r="BM34" s="878"/>
      <c r="BN34" s="879"/>
      <c r="BO34" s="879"/>
      <c r="BP34" s="879"/>
      <c r="BQ34" s="879"/>
      <c r="BR34" s="879"/>
      <c r="BS34" s="1597"/>
      <c r="BT34" s="70"/>
      <c r="BU34" s="878"/>
      <c r="BV34" s="879"/>
      <c r="BW34" s="879"/>
      <c r="BX34" s="879"/>
      <c r="BY34" s="879"/>
      <c r="BZ34" s="879"/>
      <c r="CA34" s="1597"/>
      <c r="CB34" s="70"/>
      <c r="CC34" s="878"/>
      <c r="CD34" s="879"/>
      <c r="CE34" s="879"/>
      <c r="CF34" s="879"/>
      <c r="CG34" s="879"/>
      <c r="CH34" s="879"/>
      <c r="CI34" s="1597"/>
      <c r="CJ34" s="70"/>
      <c r="CK34" s="878"/>
      <c r="CL34" s="879"/>
      <c r="CM34" s="879"/>
      <c r="CN34" s="879"/>
      <c r="CO34" s="879"/>
      <c r="CP34" s="879"/>
      <c r="CQ34" s="1597"/>
      <c r="CR34" s="70"/>
      <c r="CS34" s="92"/>
      <c r="CT34" s="70"/>
      <c r="CU34" s="70"/>
      <c r="CV34" s="70"/>
      <c r="CW34" s="70"/>
      <c r="CX34" s="70"/>
      <c r="CY34" s="70"/>
      <c r="CZ34" s="70"/>
      <c r="DA34" s="70"/>
      <c r="DB34" s="70"/>
      <c r="DC34" s="70"/>
    </row>
    <row r="35" spans="1:144" s="1058" customFormat="1" ht="8.1" customHeight="1" thickBot="1" x14ac:dyDescent="0.25">
      <c r="A35" s="755"/>
      <c r="B35" s="755"/>
      <c r="C35" s="756"/>
      <c r="D35" s="757"/>
      <c r="E35" s="757"/>
      <c r="F35" s="757"/>
      <c r="G35" s="757"/>
      <c r="H35" s="757"/>
      <c r="I35" s="757"/>
      <c r="J35" s="757"/>
      <c r="K35" s="757"/>
      <c r="L35" s="757"/>
      <c r="M35" s="758"/>
      <c r="N35" s="2011"/>
      <c r="O35" s="758"/>
      <c r="P35" s="1056"/>
      <c r="Q35" s="757"/>
      <c r="R35" s="757"/>
      <c r="S35" s="759"/>
      <c r="T35" s="758"/>
      <c r="U35" s="758"/>
      <c r="V35" s="758"/>
      <c r="W35" s="758"/>
      <c r="X35" s="1056"/>
      <c r="Y35" s="757"/>
      <c r="Z35" s="757"/>
      <c r="AA35" s="759"/>
      <c r="AB35" s="758"/>
      <c r="AC35" s="758"/>
      <c r="AD35" s="758"/>
      <c r="AE35" s="758"/>
      <c r="AF35" s="1056"/>
      <c r="AG35" s="757"/>
      <c r="AH35" s="757"/>
      <c r="AI35" s="759"/>
      <c r="AJ35" s="758"/>
      <c r="AK35" s="758"/>
      <c r="AL35" s="758"/>
      <c r="AM35" s="758"/>
      <c r="AN35" s="1056"/>
      <c r="AO35" s="757"/>
      <c r="AP35" s="757"/>
      <c r="AQ35" s="759"/>
      <c r="AR35" s="758"/>
      <c r="AS35" s="758"/>
      <c r="AT35" s="758"/>
      <c r="AU35" s="758"/>
      <c r="AV35" s="1056"/>
      <c r="AW35" s="757"/>
      <c r="AX35" s="757"/>
      <c r="AY35" s="759"/>
      <c r="AZ35" s="758"/>
      <c r="BA35" s="758"/>
      <c r="BB35" s="758"/>
      <c r="BC35" s="758"/>
      <c r="BD35" s="1057"/>
      <c r="BE35" s="757"/>
      <c r="BF35" s="757"/>
      <c r="BG35" s="759"/>
      <c r="BH35" s="758"/>
      <c r="BI35" s="758"/>
      <c r="BJ35" s="758"/>
      <c r="BK35" s="758"/>
      <c r="BL35" s="1056"/>
      <c r="BM35" s="757"/>
      <c r="BN35" s="757"/>
      <c r="BO35" s="759"/>
      <c r="BP35" s="758"/>
      <c r="BQ35" s="758"/>
      <c r="BR35" s="758"/>
      <c r="BS35" s="758"/>
      <c r="BT35" s="1056"/>
      <c r="BU35" s="757"/>
      <c r="BV35" s="757"/>
      <c r="BW35" s="759"/>
      <c r="BX35" s="758"/>
      <c r="BY35" s="758"/>
      <c r="BZ35" s="758"/>
      <c r="CA35" s="758"/>
      <c r="CB35" s="1056"/>
      <c r="CC35" s="757"/>
      <c r="CD35" s="757"/>
      <c r="CE35" s="759"/>
      <c r="CF35" s="758"/>
      <c r="CG35" s="758"/>
      <c r="CH35" s="758"/>
      <c r="CI35" s="758"/>
      <c r="CJ35" s="1056"/>
      <c r="CK35" s="757"/>
      <c r="CL35" s="757"/>
      <c r="CM35" s="759"/>
      <c r="CN35" s="758"/>
      <c r="CO35" s="758"/>
      <c r="CP35" s="758"/>
      <c r="CQ35" s="758"/>
      <c r="CR35" s="1056"/>
      <c r="CS35" s="757"/>
      <c r="CT35" s="1056"/>
      <c r="CU35" s="1056"/>
      <c r="CV35" s="1056"/>
      <c r="CW35" s="1056"/>
      <c r="CX35" s="1056"/>
      <c r="CY35" s="1056"/>
      <c r="CZ35" s="1056"/>
      <c r="DA35" s="1056"/>
      <c r="DB35" s="1056"/>
      <c r="DC35" s="1056"/>
    </row>
    <row r="36" spans="1:144" s="1862" customFormat="1" ht="15" hidden="1" x14ac:dyDescent="0.2">
      <c r="B36" s="135"/>
      <c r="C36" s="1868"/>
      <c r="D36" s="135"/>
      <c r="E36" s="885"/>
      <c r="F36" s="886"/>
      <c r="G36" s="886"/>
      <c r="H36" s="886"/>
      <c r="I36" s="886"/>
      <c r="J36" s="1953"/>
      <c r="K36" s="1953"/>
      <c r="L36" s="886"/>
      <c r="M36" s="886"/>
      <c r="N36" s="890"/>
      <c r="O36" s="880"/>
      <c r="Q36" s="2506"/>
      <c r="R36" s="2506"/>
      <c r="S36" s="2506"/>
      <c r="T36" s="2506"/>
      <c r="U36" s="2506"/>
      <c r="V36" s="2506"/>
      <c r="W36" s="2506"/>
      <c r="Y36" s="2506"/>
      <c r="Z36" s="2506"/>
      <c r="AA36" s="2506"/>
      <c r="AB36" s="2506"/>
      <c r="AC36" s="2506"/>
      <c r="AD36" s="2506"/>
      <c r="AE36" s="2506"/>
      <c r="AG36" s="2506"/>
      <c r="AH36" s="2506"/>
      <c r="AI36" s="2506"/>
      <c r="AJ36" s="2506"/>
      <c r="AK36" s="2506"/>
      <c r="AL36" s="2506"/>
      <c r="AM36" s="2506"/>
      <c r="AN36" s="2499"/>
      <c r="AO36" s="2506"/>
      <c r="AP36" s="2506"/>
      <c r="AQ36" s="2506"/>
      <c r="AR36" s="2506"/>
      <c r="AS36" s="2506"/>
      <c r="AT36" s="2506"/>
      <c r="AU36" s="2506"/>
      <c r="AV36" s="2499"/>
      <c r="AW36" s="2506"/>
      <c r="AX36" s="2506"/>
      <c r="AY36" s="2506"/>
      <c r="AZ36" s="2506"/>
      <c r="BA36" s="2506"/>
      <c r="BB36" s="2506"/>
      <c r="BC36" s="2506"/>
      <c r="BD36" s="2499"/>
      <c r="BE36" s="2506"/>
      <c r="BF36" s="2506"/>
      <c r="BG36" s="2506"/>
      <c r="BH36" s="2506"/>
      <c r="BI36" s="2506"/>
      <c r="BJ36" s="2506"/>
      <c r="BK36" s="2506"/>
      <c r="BL36" s="2499"/>
      <c r="BM36" s="2506"/>
      <c r="BN36" s="2506"/>
      <c r="BO36" s="2506"/>
      <c r="BP36" s="2506"/>
      <c r="BQ36" s="2506"/>
      <c r="BR36" s="2506"/>
      <c r="BS36" s="2506"/>
      <c r="BT36" s="2499"/>
      <c r="BU36" s="2506"/>
      <c r="BV36" s="2506"/>
      <c r="BW36" s="2506"/>
      <c r="BX36" s="2506"/>
      <c r="BY36" s="2506"/>
      <c r="BZ36" s="2506"/>
      <c r="CA36" s="2506"/>
      <c r="CB36" s="2499"/>
      <c r="CC36" s="2506"/>
      <c r="CD36" s="2506"/>
      <c r="CE36" s="2506"/>
      <c r="CF36" s="2506"/>
      <c r="CG36" s="2506"/>
      <c r="CH36" s="2506"/>
      <c r="CI36" s="2506"/>
      <c r="CJ36" s="2499"/>
      <c r="CK36" s="2506"/>
      <c r="CL36" s="2506"/>
      <c r="CM36" s="2506"/>
      <c r="CN36" s="2506"/>
      <c r="CO36" s="2506"/>
      <c r="CP36" s="2506"/>
      <c r="CQ36" s="2506"/>
      <c r="CR36" s="2499"/>
      <c r="CS36" s="2506"/>
    </row>
    <row r="37" spans="1:144" s="1862" customFormat="1" ht="15" hidden="1" customHeight="1" x14ac:dyDescent="0.2">
      <c r="B37" s="135"/>
      <c r="C37" s="2806" t="s">
        <v>641</v>
      </c>
      <c r="D37" s="135"/>
      <c r="E37" s="1428"/>
      <c r="I37" s="1017"/>
      <c r="K37" s="4119"/>
      <c r="L37" s="1017"/>
      <c r="M37" s="1017"/>
      <c r="N37" s="3933"/>
      <c r="O37" s="1830"/>
      <c r="Q37" s="2506"/>
      <c r="R37" s="2506"/>
      <c r="S37" s="2506"/>
      <c r="T37" s="2506"/>
      <c r="U37" s="2506"/>
      <c r="V37" s="2506"/>
      <c r="W37" s="2506"/>
      <c r="Y37" s="2506"/>
      <c r="Z37" s="2506"/>
      <c r="AA37" s="2506"/>
      <c r="AB37" s="2506"/>
      <c r="AC37" s="2506"/>
      <c r="AD37" s="2506"/>
      <c r="AE37" s="2506"/>
      <c r="AG37" s="2506"/>
      <c r="AH37" s="2506"/>
      <c r="AI37" s="2506"/>
      <c r="AJ37" s="2506"/>
      <c r="AK37" s="2506"/>
      <c r="AL37" s="2506"/>
      <c r="AM37" s="2506"/>
      <c r="AN37" s="2499"/>
      <c r="AO37" s="2506"/>
      <c r="AP37" s="2506"/>
      <c r="AQ37" s="2506"/>
      <c r="AR37" s="2506"/>
      <c r="AS37" s="2506"/>
      <c r="AT37" s="2506"/>
      <c r="AU37" s="2506"/>
      <c r="AV37" s="2499"/>
      <c r="AW37" s="2506"/>
      <c r="AX37" s="2506"/>
      <c r="AY37" s="2506"/>
      <c r="AZ37" s="2506"/>
      <c r="BA37" s="2506"/>
      <c r="BB37" s="2506"/>
      <c r="BC37" s="2506"/>
      <c r="BD37" s="2499"/>
      <c r="BE37" s="2506"/>
      <c r="BF37" s="2506"/>
      <c r="BG37" s="2506"/>
      <c r="BH37" s="2506"/>
      <c r="BI37" s="2506"/>
      <c r="BJ37" s="2506"/>
      <c r="BK37" s="2506"/>
      <c r="BL37" s="2499"/>
      <c r="BM37" s="2506"/>
      <c r="BN37" s="2506"/>
      <c r="BO37" s="2506"/>
      <c r="BP37" s="2506"/>
      <c r="BQ37" s="2506"/>
      <c r="BR37" s="2506"/>
      <c r="BS37" s="2506"/>
      <c r="BT37" s="2499"/>
      <c r="BU37" s="2506"/>
      <c r="BV37" s="2506"/>
      <c r="BW37" s="2506"/>
      <c r="BX37" s="2506"/>
      <c r="BY37" s="2506"/>
      <c r="BZ37" s="2506"/>
      <c r="CA37" s="2506"/>
      <c r="CB37" s="2499"/>
      <c r="CC37" s="2506"/>
      <c r="CD37" s="2506"/>
      <c r="CE37" s="2506"/>
      <c r="CF37" s="2506"/>
      <c r="CG37" s="2506"/>
      <c r="CH37" s="2506"/>
      <c r="CI37" s="2506"/>
      <c r="CJ37" s="2499"/>
      <c r="CK37" s="2506"/>
      <c r="CL37" s="2506"/>
      <c r="CM37" s="2506"/>
      <c r="CN37" s="2506"/>
      <c r="CO37" s="2506"/>
      <c r="CP37" s="2506"/>
      <c r="CQ37" s="2506"/>
      <c r="CR37" s="2499"/>
      <c r="CS37" s="2506"/>
    </row>
    <row r="38" spans="1:144" s="1862" customFormat="1" ht="8.1" hidden="1" customHeight="1" thickBot="1" x14ac:dyDescent="0.25">
      <c r="B38" s="1832"/>
      <c r="C38" s="2806"/>
      <c r="D38" s="1004"/>
      <c r="E38" s="760"/>
      <c r="I38" s="2497"/>
      <c r="K38" s="4119"/>
      <c r="L38" s="1338"/>
      <c r="M38" s="598"/>
      <c r="N38" s="1865"/>
      <c r="O38" s="1148"/>
      <c r="Q38" s="2499"/>
      <c r="R38" s="2499"/>
      <c r="S38" s="2499"/>
      <c r="T38" s="148"/>
      <c r="U38" s="2499"/>
      <c r="V38" s="148"/>
      <c r="W38" s="148"/>
      <c r="Y38" s="2499"/>
      <c r="Z38" s="2499"/>
      <c r="AA38" s="2499"/>
      <c r="AB38" s="148"/>
      <c r="AC38" s="2499"/>
      <c r="AD38" s="148"/>
      <c r="AE38" s="148"/>
      <c r="AG38" s="2499"/>
      <c r="AH38" s="2499"/>
      <c r="AI38" s="2499"/>
      <c r="AJ38" s="148"/>
      <c r="AK38" s="2499"/>
      <c r="AL38" s="148"/>
      <c r="AM38" s="148"/>
      <c r="AN38" s="2499"/>
      <c r="AO38" s="2499"/>
      <c r="AP38" s="2499"/>
      <c r="AQ38" s="2499"/>
      <c r="AR38" s="148"/>
      <c r="AS38" s="2499"/>
      <c r="AT38" s="148"/>
      <c r="AU38" s="148"/>
      <c r="AV38" s="2499"/>
      <c r="AW38" s="2499"/>
      <c r="AX38" s="2499"/>
      <c r="AY38" s="2499"/>
      <c r="AZ38" s="148"/>
      <c r="BA38" s="2499"/>
      <c r="BB38" s="148"/>
      <c r="BC38" s="148"/>
      <c r="BD38" s="2499"/>
      <c r="BE38" s="2499"/>
      <c r="BF38" s="2499"/>
      <c r="BG38" s="2499"/>
      <c r="BH38" s="148"/>
      <c r="BI38" s="2499"/>
      <c r="BJ38" s="148"/>
      <c r="BK38" s="148"/>
      <c r="BL38" s="2499"/>
      <c r="BM38" s="2499"/>
      <c r="BN38" s="2499"/>
      <c r="BO38" s="2499"/>
      <c r="BP38" s="148"/>
      <c r="BQ38" s="2499"/>
      <c r="BR38" s="148"/>
      <c r="BS38" s="148"/>
      <c r="BT38" s="2499"/>
      <c r="BU38" s="2499"/>
      <c r="BV38" s="2499"/>
      <c r="BW38" s="2499"/>
      <c r="BX38" s="148"/>
      <c r="BY38" s="2499"/>
      <c r="BZ38" s="148"/>
      <c r="CA38" s="148"/>
      <c r="CB38" s="2499"/>
      <c r="CC38" s="2499"/>
      <c r="CD38" s="2499"/>
      <c r="CE38" s="2499"/>
      <c r="CF38" s="148"/>
      <c r="CG38" s="2499"/>
      <c r="CH38" s="148"/>
      <c r="CI38" s="148"/>
      <c r="CJ38" s="2499"/>
      <c r="CK38" s="2499"/>
      <c r="CL38" s="2499"/>
      <c r="CM38" s="2499"/>
      <c r="CN38" s="148"/>
      <c r="CO38" s="2499"/>
      <c r="CP38" s="148"/>
      <c r="CQ38" s="148"/>
      <c r="CR38" s="2499"/>
      <c r="CS38" s="2499"/>
    </row>
    <row r="39" spans="1:144" s="1862" customFormat="1" ht="15" customHeight="1" thickBot="1" x14ac:dyDescent="0.25">
      <c r="B39" s="1832"/>
      <c r="C39" s="5977"/>
      <c r="D39" s="1004"/>
      <c r="E39" s="5973"/>
      <c r="F39" s="5974"/>
      <c r="G39" s="5974"/>
      <c r="H39" s="5974"/>
      <c r="I39" s="5974"/>
      <c r="J39" s="5975"/>
      <c r="K39" s="5975"/>
      <c r="L39" s="1339"/>
      <c r="M39" s="2503"/>
      <c r="N39" s="5976"/>
      <c r="O39" s="2505"/>
      <c r="Q39" s="2500"/>
      <c r="R39" s="2501"/>
      <c r="S39" s="2502"/>
      <c r="T39" s="2503"/>
      <c r="U39" s="2504"/>
      <c r="V39" s="2503"/>
      <c r="W39" s="2505"/>
      <c r="Y39" s="2500"/>
      <c r="Z39" s="2501"/>
      <c r="AA39" s="2502"/>
      <c r="AB39" s="2503"/>
      <c r="AC39" s="2504"/>
      <c r="AD39" s="2503"/>
      <c r="AE39" s="2505"/>
      <c r="AG39" s="2500"/>
      <c r="AH39" s="2501"/>
      <c r="AI39" s="2502"/>
      <c r="AJ39" s="2503"/>
      <c r="AK39" s="2504"/>
      <c r="AL39" s="2503"/>
      <c r="AM39" s="2505"/>
      <c r="AO39" s="2500"/>
      <c r="AP39" s="2501"/>
      <c r="AQ39" s="2502"/>
      <c r="AR39" s="2503"/>
      <c r="AS39" s="2504"/>
      <c r="AT39" s="2503"/>
      <c r="AU39" s="2505"/>
      <c r="AW39" s="2500"/>
      <c r="AX39" s="2501"/>
      <c r="AY39" s="2502"/>
      <c r="AZ39" s="2503"/>
      <c r="BA39" s="2504"/>
      <c r="BB39" s="2503"/>
      <c r="BC39" s="2505"/>
      <c r="BE39" s="2500"/>
      <c r="BF39" s="2501"/>
      <c r="BG39" s="2502"/>
      <c r="BH39" s="2503"/>
      <c r="BI39" s="2504"/>
      <c r="BJ39" s="2503"/>
      <c r="BK39" s="2505"/>
      <c r="BM39" s="2500"/>
      <c r="BN39" s="2501"/>
      <c r="BO39" s="2502"/>
      <c r="BP39" s="2503"/>
      <c r="BQ39" s="2504"/>
      <c r="BR39" s="2503"/>
      <c r="BS39" s="2505"/>
      <c r="BU39" s="2500"/>
      <c r="BV39" s="2501"/>
      <c r="BW39" s="2502"/>
      <c r="BX39" s="2503"/>
      <c r="BY39" s="2504"/>
      <c r="BZ39" s="2503"/>
      <c r="CA39" s="2505"/>
      <c r="CC39" s="2500"/>
      <c r="CD39" s="2501"/>
      <c r="CE39" s="2502"/>
      <c r="CF39" s="2503"/>
      <c r="CG39" s="2504"/>
      <c r="CH39" s="2503"/>
      <c r="CI39" s="2505"/>
      <c r="CK39" s="2500"/>
      <c r="CL39" s="2501"/>
      <c r="CM39" s="2502"/>
      <c r="CN39" s="2503"/>
      <c r="CO39" s="2504"/>
      <c r="CP39" s="2503"/>
      <c r="CQ39" s="2505"/>
      <c r="CS39" s="1865"/>
    </row>
    <row r="40" spans="1:144" s="1862" customFormat="1" ht="15" customHeight="1" x14ac:dyDescent="0.2">
      <c r="B40" s="1832"/>
      <c r="C40" s="6563" t="s">
        <v>641</v>
      </c>
      <c r="D40" s="1004"/>
      <c r="E40" s="760"/>
      <c r="F40" s="6561" t="s">
        <v>111</v>
      </c>
      <c r="G40" s="6561"/>
      <c r="H40" s="6561"/>
      <c r="I40" s="2497"/>
      <c r="J40" s="6562"/>
      <c r="K40" s="2498"/>
      <c r="L40" s="1338"/>
      <c r="M40" s="598"/>
      <c r="N40" s="6564" t="s">
        <v>146</v>
      </c>
      <c r="O40" s="1148"/>
      <c r="Q40" s="1866"/>
      <c r="R40" s="1867"/>
      <c r="S40" s="6550" t="str">
        <f>IF(_Calcs!GN12=1,_Calcs!$GQ$19,"")</f>
        <v/>
      </c>
      <c r="T40" s="598"/>
      <c r="U40" s="6548" t="str">
        <f>IF(_Calcs!$GN$49&gt;0,"!",IF(_Calcs!$GN$49=0,"✓"))</f>
        <v>✓</v>
      </c>
      <c r="V40" s="598"/>
      <c r="W40" s="1148"/>
      <c r="Y40" s="1866"/>
      <c r="Z40" s="1867"/>
      <c r="AA40" s="6550" t="str">
        <f>INDEX(outputs_oppsum[total_forbe],MATCH(_Calcs!$NO$40,outputs_oppsum[stuff_id],0))</f>
        <v>Ikke relevant</v>
      </c>
      <c r="AB40" s="598"/>
      <c r="AC40" s="6548" t="str">
        <f>IF(_Calcs!$GN$50&gt;0,"!",IF(_Calcs!$GN$50=0,"✓"))</f>
        <v>✓</v>
      </c>
      <c r="AD40" s="598"/>
      <c r="AE40" s="1148"/>
      <c r="AG40" s="1866"/>
      <c r="AH40" s="1867"/>
      <c r="AI40" s="6550" t="e">
        <f>INDEX(outputs_oppsum[total_forbe],MATCH(_Calcs!$NP$40,outputs_oppsum[stuff_id],0))</f>
        <v>#N/A</v>
      </c>
      <c r="AJ40" s="598"/>
      <c r="AK40" s="6552" t="str">
        <f>IF(_Calcs!$GN$51&gt;0,"!",IF(_Calcs!$GN$51=0,"✓"))</f>
        <v>✓</v>
      </c>
      <c r="AL40" s="598"/>
      <c r="AM40" s="1148"/>
      <c r="AO40" s="1866"/>
      <c r="AP40" s="1867"/>
      <c r="AQ40" s="6550" t="e">
        <f>INDEX(outputs_oppsum[total_forbe],MATCH(_Calcs!$NQ$40,outputs_oppsum[stuff_id],0))</f>
        <v>#N/A</v>
      </c>
      <c r="AR40" s="598"/>
      <c r="AS40" s="6552" t="str">
        <f>IF(_Calcs!$GN$52&gt;0,"!",IF(_Calcs!$GN$52=0,"✓"))</f>
        <v>✓</v>
      </c>
      <c r="AT40" s="598"/>
      <c r="AU40" s="1148"/>
      <c r="AW40" s="1866"/>
      <c r="AX40" s="1867"/>
      <c r="AY40" s="6554" t="e">
        <f>INDEX(outputs_oppsum[total_forbe],MATCH(_Calcs!$NR$40,outputs_oppsum[stuff_id],0))</f>
        <v>#N/A</v>
      </c>
      <c r="AZ40" s="598"/>
      <c r="BA40" s="6552" t="str">
        <f>IF(_Calcs!$GN$53&gt;0,"!",IF(_Calcs!$GN$53=0,"✓"))</f>
        <v>✓</v>
      </c>
      <c r="BB40" s="598"/>
      <c r="BC40" s="1148"/>
      <c r="BE40" s="1866"/>
      <c r="BF40" s="1867"/>
      <c r="BG40" s="6554" t="e">
        <f>INDEX(outputs_oppsum[total_forbe],MATCH(_Calcs!$NS$40,outputs_oppsum[stuff_id],0))</f>
        <v>#N/A</v>
      </c>
      <c r="BH40" s="598"/>
      <c r="BI40" s="6552" t="str">
        <f>IF(_Calcs!$GN$54&gt;0,"!",IF(_Calcs!$GN$54=0,"✓"))</f>
        <v>✓</v>
      </c>
      <c r="BJ40" s="598"/>
      <c r="BK40" s="1148"/>
      <c r="BM40" s="1866"/>
      <c r="BN40" s="1867"/>
      <c r="BO40" s="6554" t="e">
        <f>INDEX(outputs_oppsum[total_forbe],MATCH(_Calcs!$NT$40,outputs_oppsum[stuff_id],0))</f>
        <v>#N/A</v>
      </c>
      <c r="BP40" s="598"/>
      <c r="BQ40" s="6552" t="str">
        <f>IF(_Calcs!$GN$55&gt;0,"!",IF(_Calcs!$GN$55=0,"✓"))</f>
        <v>✓</v>
      </c>
      <c r="BR40" s="598"/>
      <c r="BS40" s="1148"/>
      <c r="BU40" s="1866"/>
      <c r="BV40" s="1867"/>
      <c r="BW40" s="6554" t="e">
        <f>INDEX(outputs_oppsum[total_forbe],MATCH(_Calcs!$NU$40,outputs_oppsum[stuff_id],0))</f>
        <v>#N/A</v>
      </c>
      <c r="BX40" s="598"/>
      <c r="BY40" s="6552" t="str">
        <f>IF(_Calcs!$GN$56&gt;0,"!",IF(_Calcs!$GN$56=0,"✓"))</f>
        <v>✓</v>
      </c>
      <c r="BZ40" s="598"/>
      <c r="CA40" s="1148"/>
      <c r="CC40" s="1866"/>
      <c r="CD40" s="1867"/>
      <c r="CE40" s="6554" t="e">
        <f>INDEX(outputs_oppsum[total_forbe],MATCH(_Calcs!$NV$40,outputs_oppsum[stuff_id],0))</f>
        <v>#N/A</v>
      </c>
      <c r="CF40" s="598"/>
      <c r="CG40" s="6552" t="str">
        <f>IF(_Calcs!$GN$57&gt;0,"!",IF(_Calcs!$GN$57=0,"✓"))</f>
        <v>✓</v>
      </c>
      <c r="CH40" s="598"/>
      <c r="CI40" s="1148"/>
      <c r="CK40" s="1866"/>
      <c r="CL40" s="1867"/>
      <c r="CM40" s="6554" t="e">
        <f>INDEX(outputs_oppsum[total_forbe],MATCH(_Calcs!$NW$40,outputs_oppsum[stuff_id],0))</f>
        <v>#N/A</v>
      </c>
      <c r="CN40" s="598"/>
      <c r="CO40" s="6552" t="str">
        <f>IF(_Calcs!$GN$58&gt;0,"!",IF(_Calcs!$GN$58=0,"✓"))</f>
        <v>✓</v>
      </c>
      <c r="CP40" s="598"/>
      <c r="CQ40" s="1148"/>
      <c r="CS40" s="1865"/>
    </row>
    <row r="41" spans="1:144" s="1862" customFormat="1" ht="15" customHeight="1" thickBot="1" x14ac:dyDescent="0.25">
      <c r="B41" s="1832"/>
      <c r="C41" s="6563"/>
      <c r="D41" s="1004"/>
      <c r="E41" s="760"/>
      <c r="F41" s="6561"/>
      <c r="G41" s="6561"/>
      <c r="H41" s="6561"/>
      <c r="I41" s="2497"/>
      <c r="J41" s="6562"/>
      <c r="K41" s="2498"/>
      <c r="L41" s="1338"/>
      <c r="M41" s="598"/>
      <c r="N41" s="6564"/>
      <c r="O41" s="1148"/>
      <c r="Q41" s="1866"/>
      <c r="R41" s="1867"/>
      <c r="S41" s="6551"/>
      <c r="T41" s="598"/>
      <c r="U41" s="6549"/>
      <c r="V41" s="598"/>
      <c r="W41" s="1148"/>
      <c r="Y41" s="1866"/>
      <c r="Z41" s="1867"/>
      <c r="AA41" s="6551"/>
      <c r="AB41" s="598"/>
      <c r="AC41" s="6549"/>
      <c r="AD41" s="598"/>
      <c r="AE41" s="1148"/>
      <c r="AG41" s="1866"/>
      <c r="AH41" s="1867"/>
      <c r="AI41" s="6551"/>
      <c r="AJ41" s="598"/>
      <c r="AK41" s="6553"/>
      <c r="AL41" s="598"/>
      <c r="AM41" s="1148"/>
      <c r="AO41" s="1866"/>
      <c r="AP41" s="1867"/>
      <c r="AQ41" s="6551"/>
      <c r="AR41" s="598"/>
      <c r="AS41" s="6553"/>
      <c r="AT41" s="598"/>
      <c r="AU41" s="1148"/>
      <c r="AW41" s="1866"/>
      <c r="AX41" s="1867"/>
      <c r="AY41" s="6555"/>
      <c r="AZ41" s="598"/>
      <c r="BA41" s="6553"/>
      <c r="BB41" s="598"/>
      <c r="BC41" s="1148"/>
      <c r="BE41" s="1866"/>
      <c r="BF41" s="1867"/>
      <c r="BG41" s="6555"/>
      <c r="BH41" s="598"/>
      <c r="BI41" s="6553"/>
      <c r="BJ41" s="598"/>
      <c r="BK41" s="1148"/>
      <c r="BM41" s="1866"/>
      <c r="BN41" s="1867"/>
      <c r="BO41" s="6555"/>
      <c r="BP41" s="598"/>
      <c r="BQ41" s="6553"/>
      <c r="BR41" s="598"/>
      <c r="BS41" s="1148"/>
      <c r="BU41" s="1866"/>
      <c r="BV41" s="1867"/>
      <c r="BW41" s="6555"/>
      <c r="BX41" s="598"/>
      <c r="BY41" s="6553"/>
      <c r="BZ41" s="598"/>
      <c r="CA41" s="1148"/>
      <c r="CC41" s="1866"/>
      <c r="CD41" s="1867"/>
      <c r="CE41" s="6555"/>
      <c r="CF41" s="598"/>
      <c r="CG41" s="6553"/>
      <c r="CH41" s="598"/>
      <c r="CI41" s="1148"/>
      <c r="CK41" s="1866"/>
      <c r="CL41" s="1867"/>
      <c r="CM41" s="6555"/>
      <c r="CN41" s="598"/>
      <c r="CO41" s="6553"/>
      <c r="CP41" s="598"/>
      <c r="CQ41" s="1148"/>
      <c r="CS41" s="1865"/>
    </row>
    <row r="42" spans="1:144" s="1862" customFormat="1" ht="15" customHeight="1" thickBot="1" x14ac:dyDescent="0.25">
      <c r="B42" s="1832"/>
      <c r="C42" s="1863"/>
      <c r="D42" s="1004"/>
      <c r="E42" s="761"/>
      <c r="F42" s="762"/>
      <c r="G42" s="762"/>
      <c r="H42" s="762"/>
      <c r="I42" s="762"/>
      <c r="J42" s="1993"/>
      <c r="K42" s="1993"/>
      <c r="L42" s="762"/>
      <c r="M42" s="762"/>
      <c r="N42" s="1989"/>
      <c r="O42" s="1864"/>
      <c r="Q42" s="761"/>
      <c r="R42" s="762"/>
      <c r="S42" s="762"/>
      <c r="T42" s="762"/>
      <c r="U42" s="762"/>
      <c r="V42" s="762"/>
      <c r="W42" s="1864"/>
      <c r="Y42" s="761"/>
      <c r="Z42" s="762"/>
      <c r="AA42" s="762"/>
      <c r="AB42" s="762"/>
      <c r="AC42" s="762"/>
      <c r="AD42" s="762"/>
      <c r="AE42" s="1864"/>
      <c r="AG42" s="761"/>
      <c r="AH42" s="762"/>
      <c r="AI42" s="762"/>
      <c r="AJ42" s="762"/>
      <c r="AK42" s="762"/>
      <c r="AL42" s="762"/>
      <c r="AM42" s="1864"/>
      <c r="AO42" s="761"/>
      <c r="AP42" s="762"/>
      <c r="AQ42" s="762"/>
      <c r="AR42" s="762"/>
      <c r="AS42" s="762"/>
      <c r="AT42" s="762"/>
      <c r="AU42" s="1864"/>
      <c r="AW42" s="761"/>
      <c r="AX42" s="762"/>
      <c r="AY42" s="762"/>
      <c r="AZ42" s="762"/>
      <c r="BA42" s="762"/>
      <c r="BB42" s="762"/>
      <c r="BC42" s="1864"/>
      <c r="BE42" s="761"/>
      <c r="BF42" s="762"/>
      <c r="BG42" s="762"/>
      <c r="BH42" s="762"/>
      <c r="BI42" s="762"/>
      <c r="BJ42" s="762"/>
      <c r="BK42" s="1864"/>
      <c r="BM42" s="761"/>
      <c r="BN42" s="762"/>
      <c r="BO42" s="762"/>
      <c r="BP42" s="762"/>
      <c r="BQ42" s="762"/>
      <c r="BR42" s="762"/>
      <c r="BS42" s="1864"/>
      <c r="BU42" s="761"/>
      <c r="BV42" s="762"/>
      <c r="BW42" s="762"/>
      <c r="BX42" s="762"/>
      <c r="BY42" s="762"/>
      <c r="BZ42" s="762"/>
      <c r="CA42" s="1864"/>
      <c r="CC42" s="761"/>
      <c r="CD42" s="762"/>
      <c r="CE42" s="762"/>
      <c r="CF42" s="762"/>
      <c r="CG42" s="762"/>
      <c r="CH42" s="762"/>
      <c r="CI42" s="1864"/>
      <c r="CK42" s="761"/>
      <c r="CL42" s="762"/>
      <c r="CM42" s="762"/>
      <c r="CN42" s="762"/>
      <c r="CO42" s="762"/>
      <c r="CP42" s="762"/>
      <c r="CQ42" s="1864"/>
      <c r="CS42" s="598"/>
    </row>
    <row r="43" spans="1:144" s="78" customFormat="1" ht="30" customHeight="1" x14ac:dyDescent="0.2">
      <c r="J43" s="218"/>
      <c r="K43" s="218"/>
      <c r="M43" s="573"/>
      <c r="N43" s="572"/>
      <c r="P43" s="70"/>
      <c r="R43" s="70"/>
      <c r="S43" s="70"/>
      <c r="T43" s="70"/>
      <c r="U43" s="70"/>
      <c r="X43" s="70"/>
      <c r="Z43" s="70"/>
      <c r="AA43" s="70"/>
      <c r="AB43" s="70"/>
      <c r="AC43" s="70"/>
      <c r="AF43" s="70"/>
      <c r="AG43" s="215"/>
      <c r="AJ43" s="21"/>
      <c r="AK43" s="70"/>
      <c r="AL43" s="70"/>
      <c r="AM43" s="70"/>
      <c r="AN43" s="70"/>
      <c r="AO43" s="215"/>
      <c r="AR43" s="21"/>
      <c r="AS43" s="70"/>
      <c r="AW43" s="215"/>
      <c r="AZ43" s="21"/>
      <c r="BA43" s="70"/>
      <c r="BE43" s="215"/>
      <c r="BH43" s="21"/>
      <c r="BI43" s="70"/>
      <c r="BM43" s="215"/>
      <c r="BP43" s="21"/>
      <c r="BQ43" s="70"/>
      <c r="BU43" s="215"/>
      <c r="BX43" s="21"/>
      <c r="BY43" s="70"/>
      <c r="CC43" s="215"/>
      <c r="CF43" s="21"/>
      <c r="CG43" s="70"/>
      <c r="CK43" s="215"/>
      <c r="CN43" s="21"/>
      <c r="CO43" s="70"/>
      <c r="CS43" s="215"/>
      <c r="CV43" s="21"/>
      <c r="CW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row>
    <row r="44" spans="1:144" s="21" customFormat="1" ht="5.0999999999999996" customHeight="1" x14ac:dyDescent="0.2">
      <c r="A44" s="25"/>
      <c r="B44" s="25"/>
      <c r="C44" s="2275"/>
      <c r="D44" s="25"/>
      <c r="E44" s="2276"/>
      <c r="F44" s="2277"/>
      <c r="G44" s="2277"/>
      <c r="H44" s="2277"/>
      <c r="I44" s="2277"/>
      <c r="J44" s="2275"/>
      <c r="K44" s="2275"/>
      <c r="L44" s="2275"/>
      <c r="M44" s="2275"/>
      <c r="N44" s="2277"/>
      <c r="O44" s="2277"/>
      <c r="P44" s="70"/>
      <c r="Q44" s="2275"/>
      <c r="R44" s="2275"/>
      <c r="S44" s="2275"/>
      <c r="T44" s="2275"/>
      <c r="U44" s="2275"/>
      <c r="V44" s="2277"/>
      <c r="W44" s="2277"/>
      <c r="X44" s="70"/>
      <c r="Y44" s="2275"/>
      <c r="Z44" s="2275"/>
      <c r="AA44" s="2275"/>
      <c r="AB44" s="2275"/>
      <c r="AC44" s="2275"/>
      <c r="AD44" s="2277"/>
      <c r="AE44" s="2277"/>
      <c r="AF44" s="70"/>
      <c r="AG44" s="2275"/>
      <c r="AH44" s="2275"/>
      <c r="AI44" s="2275"/>
      <c r="AJ44" s="2278"/>
      <c r="AK44" s="2278"/>
      <c r="AL44" s="2278"/>
      <c r="AM44" s="2278"/>
      <c r="AN44" s="70"/>
      <c r="AO44" s="2275"/>
      <c r="AP44" s="2275"/>
      <c r="AQ44" s="2275"/>
      <c r="AR44" s="2275"/>
      <c r="AS44" s="2275"/>
      <c r="AT44" s="2275"/>
      <c r="AU44" s="2275"/>
      <c r="AV44" s="78"/>
      <c r="AW44" s="2275"/>
      <c r="AX44" s="2275"/>
      <c r="AY44" s="2275"/>
      <c r="AZ44" s="2275"/>
      <c r="BA44" s="2275"/>
      <c r="BB44" s="2277"/>
      <c r="BC44" s="2277"/>
      <c r="BD44" s="70"/>
      <c r="BE44" s="2275"/>
      <c r="BF44" s="2275"/>
      <c r="BG44" s="2275"/>
      <c r="BH44" s="2278"/>
      <c r="BI44" s="2278"/>
      <c r="BJ44" s="2278"/>
      <c r="BK44" s="2278"/>
      <c r="BL44" s="70"/>
      <c r="BM44" s="2275"/>
      <c r="BN44" s="2275"/>
      <c r="BO44" s="2275"/>
      <c r="BP44" s="2275"/>
      <c r="BQ44" s="2275"/>
      <c r="BR44" s="2275"/>
      <c r="BS44" s="2275"/>
      <c r="BT44" s="78"/>
      <c r="BU44" s="2275"/>
      <c r="BV44" s="2275"/>
      <c r="BW44" s="2275"/>
      <c r="BX44" s="2275"/>
      <c r="BY44" s="2275"/>
      <c r="BZ44" s="2277"/>
      <c r="CA44" s="2277"/>
      <c r="CB44" s="78"/>
      <c r="CC44" s="2275"/>
      <c r="CD44" s="2275"/>
      <c r="CE44" s="2275"/>
      <c r="CF44" s="2275"/>
      <c r="CG44" s="2275"/>
      <c r="CH44" s="2277"/>
      <c r="CI44" s="2277"/>
      <c r="CJ44" s="70"/>
      <c r="CK44" s="2275"/>
      <c r="CL44" s="2275"/>
      <c r="CM44" s="2275"/>
      <c r="CN44" s="2278"/>
      <c r="CO44" s="2278"/>
      <c r="CP44" s="2278"/>
      <c r="CQ44" s="2278"/>
      <c r="CR44" s="70"/>
      <c r="CS44" s="2275"/>
      <c r="CT44" s="2279"/>
      <c r="CU44" s="2279"/>
      <c r="CV44" s="2279"/>
      <c r="CW44" s="2279"/>
      <c r="CX44" s="2279"/>
      <c r="CY44" s="2279"/>
    </row>
    <row r="45" spans="1:144" s="21" customFormat="1" ht="3.75" customHeight="1" x14ac:dyDescent="0.2">
      <c r="A45" s="25"/>
      <c r="B45" s="25"/>
      <c r="C45" s="13"/>
      <c r="D45" s="25"/>
      <c r="E45" s="14"/>
      <c r="F45" s="15"/>
      <c r="G45" s="15"/>
      <c r="H45" s="15"/>
      <c r="I45" s="15"/>
      <c r="J45" s="13"/>
      <c r="K45" s="13"/>
      <c r="L45" s="16"/>
      <c r="M45" s="16"/>
      <c r="N45" s="17"/>
      <c r="O45" s="17"/>
      <c r="P45" s="70"/>
      <c r="Q45" s="16"/>
      <c r="R45" s="16"/>
      <c r="S45" s="16"/>
      <c r="T45" s="16"/>
      <c r="U45" s="16"/>
      <c r="V45" s="18"/>
      <c r="W45" s="18"/>
      <c r="X45" s="70"/>
      <c r="Y45" s="16"/>
      <c r="Z45" s="16"/>
      <c r="AA45" s="16"/>
      <c r="AB45" s="16"/>
      <c r="AC45" s="16"/>
      <c r="AD45" s="18"/>
      <c r="AE45" s="18"/>
      <c r="AF45" s="70"/>
      <c r="AG45" s="16"/>
      <c r="AH45" s="16"/>
      <c r="AI45" s="16"/>
      <c r="AJ45" s="19"/>
      <c r="AK45" s="19"/>
      <c r="AL45" s="19"/>
      <c r="AM45" s="19"/>
      <c r="AN45" s="70"/>
      <c r="AO45" s="16"/>
      <c r="AP45" s="16"/>
      <c r="AQ45" s="16"/>
      <c r="AR45" s="16"/>
      <c r="AS45" s="16"/>
      <c r="AT45" s="16"/>
      <c r="AU45" s="16"/>
      <c r="AV45" s="78"/>
      <c r="AW45" s="16"/>
      <c r="AX45" s="16"/>
      <c r="AY45" s="16"/>
      <c r="AZ45" s="16"/>
      <c r="BA45" s="16"/>
      <c r="BB45" s="18"/>
      <c r="BC45" s="18"/>
      <c r="BD45" s="70"/>
      <c r="BE45" s="16"/>
      <c r="BF45" s="16"/>
      <c r="BG45" s="16"/>
      <c r="BH45" s="19"/>
      <c r="BI45" s="19"/>
      <c r="BJ45" s="19"/>
      <c r="BK45" s="19"/>
      <c r="BL45" s="70"/>
      <c r="BM45" s="16"/>
      <c r="BN45" s="16"/>
      <c r="BO45" s="16"/>
      <c r="BP45" s="16"/>
      <c r="BQ45" s="16"/>
      <c r="BR45" s="16"/>
      <c r="BS45" s="16"/>
      <c r="BT45" s="78"/>
      <c r="BU45" s="16"/>
      <c r="BV45" s="16"/>
      <c r="BW45" s="16"/>
      <c r="BX45" s="16"/>
      <c r="BY45" s="16"/>
      <c r="BZ45" s="18"/>
      <c r="CA45" s="18"/>
      <c r="CB45" s="78"/>
      <c r="CC45" s="16"/>
      <c r="CD45" s="16"/>
      <c r="CE45" s="16"/>
      <c r="CF45" s="16"/>
      <c r="CG45" s="16"/>
      <c r="CH45" s="18"/>
      <c r="CI45" s="18"/>
      <c r="CJ45" s="70"/>
      <c r="CK45" s="16"/>
      <c r="CL45" s="16"/>
      <c r="CM45" s="16"/>
      <c r="CN45" s="19"/>
      <c r="CO45" s="19"/>
      <c r="CP45" s="19"/>
      <c r="CQ45" s="19"/>
      <c r="CR45" s="70"/>
      <c r="CS45" s="16"/>
      <c r="CT45" s="16"/>
      <c r="CU45" s="16"/>
      <c r="CV45" s="16"/>
      <c r="CW45" s="16"/>
      <c r="CX45" s="16"/>
      <c r="CY45" s="16"/>
      <c r="DY45" s="70"/>
    </row>
    <row r="46" spans="1:144" s="21" customFormat="1" ht="12" customHeight="1" x14ac:dyDescent="0.2">
      <c r="A46" s="25"/>
      <c r="B46" s="25"/>
      <c r="C46" s="2275"/>
      <c r="D46" s="25"/>
      <c r="E46" s="2276"/>
      <c r="F46" s="2277"/>
      <c r="G46" s="2277"/>
      <c r="H46" s="2277"/>
      <c r="I46" s="2277"/>
      <c r="J46" s="2275"/>
      <c r="K46" s="2275"/>
      <c r="L46" s="2275"/>
      <c r="M46" s="2275"/>
      <c r="N46" s="2277"/>
      <c r="O46" s="2277"/>
      <c r="P46" s="70"/>
      <c r="Q46" s="2275"/>
      <c r="R46" s="2275"/>
      <c r="S46" s="2275"/>
      <c r="T46" s="2275"/>
      <c r="U46" s="2275"/>
      <c r="V46" s="2277"/>
      <c r="W46" s="2277"/>
      <c r="X46" s="70"/>
      <c r="Y46" s="2275"/>
      <c r="Z46" s="2275"/>
      <c r="AA46" s="2275"/>
      <c r="AB46" s="2275"/>
      <c r="AC46" s="2275"/>
      <c r="AD46" s="2277"/>
      <c r="AE46" s="2277"/>
      <c r="AF46" s="70"/>
      <c r="AG46" s="2275"/>
      <c r="AH46" s="2275"/>
      <c r="AI46" s="2275"/>
      <c r="AJ46" s="2278"/>
      <c r="AK46" s="2278"/>
      <c r="AL46" s="2278"/>
      <c r="AM46" s="2278"/>
      <c r="AN46" s="70"/>
      <c r="AO46" s="2275"/>
      <c r="AP46" s="2275"/>
      <c r="AQ46" s="2275"/>
      <c r="AR46" s="2275"/>
      <c r="AS46" s="2275"/>
      <c r="AT46" s="2275"/>
      <c r="AU46" s="2275"/>
      <c r="AV46" s="78"/>
      <c r="AW46" s="2275"/>
      <c r="AX46" s="2275"/>
      <c r="AY46" s="2275"/>
      <c r="AZ46" s="2275"/>
      <c r="BA46" s="2275"/>
      <c r="BB46" s="2277"/>
      <c r="BC46" s="2277"/>
      <c r="BD46" s="70"/>
      <c r="BE46" s="2275"/>
      <c r="BF46" s="2275"/>
      <c r="BG46" s="2275"/>
      <c r="BH46" s="2278"/>
      <c r="BI46" s="2278"/>
      <c r="BJ46" s="2278"/>
      <c r="BK46" s="2278"/>
      <c r="BL46" s="70"/>
      <c r="BM46" s="2275"/>
      <c r="BN46" s="2275"/>
      <c r="BO46" s="2275"/>
      <c r="BP46" s="2275"/>
      <c r="BQ46" s="2275"/>
      <c r="BR46" s="2275"/>
      <c r="BS46" s="2275"/>
      <c r="BT46" s="78"/>
      <c r="BU46" s="2275"/>
      <c r="BV46" s="2275"/>
      <c r="BW46" s="2275"/>
      <c r="BX46" s="2275"/>
      <c r="BY46" s="2275"/>
      <c r="BZ46" s="2277"/>
      <c r="CA46" s="2277"/>
      <c r="CB46" s="78"/>
      <c r="CC46" s="2275"/>
      <c r="CD46" s="2275"/>
      <c r="CE46" s="2275"/>
      <c r="CF46" s="2275"/>
      <c r="CG46" s="2275"/>
      <c r="CH46" s="2277"/>
      <c r="CI46" s="2277"/>
      <c r="CJ46" s="70"/>
      <c r="CK46" s="2275"/>
      <c r="CL46" s="2275"/>
      <c r="CM46" s="2275"/>
      <c r="CN46" s="2278"/>
      <c r="CO46" s="2278"/>
      <c r="CP46" s="2278"/>
      <c r="CQ46" s="2278"/>
      <c r="CR46" s="70"/>
      <c r="CS46" s="2275"/>
      <c r="CT46" s="2279"/>
      <c r="CU46" s="2279"/>
      <c r="CV46" s="2279"/>
      <c r="CW46" s="2279"/>
      <c r="CX46" s="2279"/>
      <c r="CY46" s="2279"/>
      <c r="DY46" s="70"/>
    </row>
    <row r="47" spans="1:144" s="21" customFormat="1" ht="49.5" customHeight="1" x14ac:dyDescent="0.2">
      <c r="A47" s="20"/>
      <c r="B47" s="20"/>
      <c r="C47" s="13"/>
      <c r="D47" s="20"/>
      <c r="E47" s="14"/>
      <c r="J47" s="13"/>
      <c r="K47" s="13"/>
      <c r="L47" s="16"/>
      <c r="M47" s="16"/>
      <c r="N47" s="17"/>
      <c r="O47" s="16"/>
      <c r="P47" s="70"/>
      <c r="Q47" s="16"/>
      <c r="R47" s="70"/>
      <c r="S47" s="115"/>
      <c r="T47" s="70"/>
      <c r="V47" s="22"/>
      <c r="W47" s="22"/>
      <c r="X47" s="70"/>
      <c r="Y47" s="16"/>
      <c r="Z47" s="70"/>
      <c r="AA47" s="115"/>
      <c r="AB47" s="70"/>
      <c r="AD47" s="22"/>
      <c r="AE47" s="22"/>
      <c r="AF47" s="70"/>
      <c r="AG47" s="16"/>
      <c r="AH47" s="70"/>
      <c r="AI47" s="70"/>
      <c r="AJ47" s="70"/>
      <c r="AL47" s="70"/>
      <c r="AM47" s="70"/>
      <c r="AN47" s="70"/>
      <c r="AO47" s="16"/>
      <c r="AP47" s="70"/>
      <c r="AQ47" s="70"/>
      <c r="AR47" s="70"/>
      <c r="AT47" s="22"/>
      <c r="AU47" s="22"/>
      <c r="AV47" s="78"/>
      <c r="AW47" s="16"/>
      <c r="AX47" s="70"/>
      <c r="AY47" s="70"/>
      <c r="AZ47" s="70"/>
      <c r="BB47" s="22"/>
      <c r="BC47" s="22"/>
      <c r="BD47" s="13"/>
      <c r="BE47" s="16"/>
      <c r="BF47" s="70"/>
      <c r="BG47" s="70"/>
      <c r="BH47" s="70"/>
      <c r="BI47" s="70"/>
      <c r="BJ47" s="22"/>
      <c r="BK47" s="22"/>
      <c r="BL47" s="13"/>
      <c r="BM47" s="16"/>
      <c r="BN47" s="70"/>
      <c r="BO47" s="70"/>
      <c r="BP47" s="70"/>
      <c r="BR47" s="22"/>
      <c r="BS47" s="22"/>
      <c r="BT47" s="13"/>
      <c r="BU47" s="16"/>
      <c r="BV47" s="70"/>
      <c r="BW47" s="70"/>
      <c r="BX47" s="70"/>
      <c r="BZ47" s="22"/>
      <c r="CA47" s="22"/>
      <c r="CB47" s="13"/>
      <c r="CC47" s="16"/>
      <c r="CD47" s="70"/>
      <c r="CE47" s="70"/>
      <c r="CF47" s="70"/>
      <c r="CH47" s="22"/>
      <c r="CI47" s="22"/>
      <c r="CJ47" s="13"/>
      <c r="CK47" s="16"/>
      <c r="CL47" s="70"/>
      <c r="CM47" s="70"/>
      <c r="CN47" s="70"/>
      <c r="CO47" s="70"/>
      <c r="CP47" s="22"/>
      <c r="CQ47" s="22"/>
      <c r="CR47" s="13"/>
      <c r="CS47" s="16"/>
      <c r="CT47" s="70"/>
      <c r="CU47" s="70"/>
      <c r="CV47" s="70"/>
      <c r="CW47" s="70"/>
      <c r="CX47" s="78"/>
      <c r="CY47" s="70"/>
    </row>
    <row r="48" spans="1:144" hidden="1" x14ac:dyDescent="0.2">
      <c r="J48" s="2000"/>
      <c r="K48" s="2000"/>
      <c r="L48" s="70"/>
    </row>
    <row r="49" spans="10:12" hidden="1" x14ac:dyDescent="0.2">
      <c r="J49" s="2000"/>
      <c r="K49" s="2000"/>
      <c r="L49" s="70"/>
    </row>
    <row r="50" spans="10:12" hidden="1" x14ac:dyDescent="0.2">
      <c r="J50" s="2000"/>
      <c r="K50" s="2000"/>
      <c r="L50" s="70"/>
    </row>
    <row r="51" spans="10:12" hidden="1" x14ac:dyDescent="0.2">
      <c r="J51" s="2000"/>
      <c r="K51" s="2000"/>
      <c r="L51" s="70"/>
    </row>
    <row r="52" spans="10:12" hidden="1" x14ac:dyDescent="0.2">
      <c r="J52" s="2000"/>
      <c r="K52" s="2000"/>
      <c r="L52" s="70"/>
    </row>
    <row r="53" spans="10:12" hidden="1" x14ac:dyDescent="0.2">
      <c r="J53" s="2000"/>
      <c r="K53" s="2000"/>
      <c r="L53" s="70"/>
    </row>
    <row r="54" spans="10:12" hidden="1" x14ac:dyDescent="0.2">
      <c r="J54" s="2000"/>
      <c r="K54" s="2000"/>
      <c r="L54" s="70"/>
    </row>
    <row r="55" spans="10:12" hidden="1" x14ac:dyDescent="0.2">
      <c r="J55" s="2000"/>
      <c r="K55" s="2000"/>
      <c r="L55" s="70"/>
    </row>
    <row r="56" spans="10:12" hidden="1" x14ac:dyDescent="0.2">
      <c r="J56" s="2000"/>
      <c r="K56" s="2000"/>
      <c r="L56" s="70"/>
    </row>
    <row r="57" spans="10:12" hidden="1" x14ac:dyDescent="0.2">
      <c r="J57" s="2000"/>
      <c r="K57" s="2000"/>
      <c r="L57" s="70"/>
    </row>
    <row r="58" spans="10:12" hidden="1" x14ac:dyDescent="0.2">
      <c r="J58" s="2000"/>
      <c r="K58" s="2000"/>
      <c r="L58" s="70"/>
    </row>
    <row r="59" spans="10:12" hidden="1" x14ac:dyDescent="0.2">
      <c r="J59" s="2000"/>
      <c r="K59" s="2000"/>
      <c r="L59" s="70"/>
    </row>
    <row r="60" spans="10:12" hidden="1" x14ac:dyDescent="0.2">
      <c r="J60" s="2000"/>
      <c r="K60" s="2000"/>
      <c r="L60" s="70"/>
    </row>
  </sheetData>
  <sheetProtection algorithmName="SHA-512" hashValue="N75q0kJ9K7t/ZM3QqdekCKP0FRrSJp1CA0ciPioJKZjGQyL/X48+B908uzk9yAzpAxYCxhSWnWfF8ZYvF/kGWA==" saltValue="G8zAofG5bkKy2WCTXQ3s8Q==" spinCount="100000" sheet="1" objects="1" scenarios="1"/>
  <mergeCells count="37">
    <mergeCell ref="CE40:CE41"/>
    <mergeCell ref="CM40:CM41"/>
    <mergeCell ref="BI40:BI41"/>
    <mergeCell ref="BQ40:BQ41"/>
    <mergeCell ref="BY40:BY41"/>
    <mergeCell ref="E34:O34"/>
    <mergeCell ref="C23:C26"/>
    <mergeCell ref="F11:G11"/>
    <mergeCell ref="F40:H41"/>
    <mergeCell ref="J40:J41"/>
    <mergeCell ref="C40:C41"/>
    <mergeCell ref="N40:N41"/>
    <mergeCell ref="R18:U18"/>
    <mergeCell ref="S40:S41"/>
    <mergeCell ref="U40:U41"/>
    <mergeCell ref="CL18:CO18"/>
    <mergeCell ref="CD18:CG18"/>
    <mergeCell ref="BV18:BY18"/>
    <mergeCell ref="BN18:BQ18"/>
    <mergeCell ref="BF18:BI18"/>
    <mergeCell ref="AA40:AA41"/>
    <mergeCell ref="CG40:CG41"/>
    <mergeCell ref="CO40:CO41"/>
    <mergeCell ref="AQ40:AQ41"/>
    <mergeCell ref="AY40:AY41"/>
    <mergeCell ref="BG40:BG41"/>
    <mergeCell ref="BO40:BO41"/>
    <mergeCell ref="BW40:BW41"/>
    <mergeCell ref="Z18:AC18"/>
    <mergeCell ref="AC40:AC41"/>
    <mergeCell ref="AI40:AI41"/>
    <mergeCell ref="AK40:AK41"/>
    <mergeCell ref="BA40:BA41"/>
    <mergeCell ref="AS40:AS41"/>
    <mergeCell ref="AX18:BA18"/>
    <mergeCell ref="AP18:AS18"/>
    <mergeCell ref="AH18:AK18"/>
  </mergeCells>
  <conditionalFormatting sqref="AC40:AC41 AK40:AK41 AS40:AS41 BA40:BA41 BI40:BI41 BQ40:BQ41 BY40:BY41 CG40:CG41 CO40:CO41">
    <cfRule type="containsText" dxfId="5577" priority="102" operator="containsText" text="✓">
      <formula>NOT(ISERROR(SEARCH("✓",AC40)))</formula>
    </cfRule>
  </conditionalFormatting>
  <conditionalFormatting sqref="U23">
    <cfRule type="containsText" dxfId="5576" priority="73" operator="containsText" text="✓">
      <formula>NOT(ISERROR(SEARCH("✓",U23)))</formula>
    </cfRule>
  </conditionalFormatting>
  <conditionalFormatting sqref="U40:U41">
    <cfRule type="containsText" dxfId="5575" priority="71" operator="containsText" text="✓">
      <formula>NOT(ISERROR(SEARCH("✓",U40)))</formula>
    </cfRule>
  </conditionalFormatting>
  <conditionalFormatting sqref="U15">
    <cfRule type="containsText" dxfId="5574" priority="34" operator="containsText" text="✓">
      <formula>NOT(ISERROR(SEARCH("✓",U15)))</formula>
    </cfRule>
  </conditionalFormatting>
  <conditionalFormatting sqref="CO25 CO23 CG25 CG23 BY25 BY23 BQ23 BQ25 BI25 BI23 BA25 BA23 AS25 AS23 AK25 AK23 AC23 AC25">
    <cfRule type="containsText" dxfId="5573" priority="93" operator="containsText" text="✓">
      <formula>NOT(ISERROR(SEARCH("✓",AC23)))</formula>
    </cfRule>
  </conditionalFormatting>
  <dataValidations count="8">
    <dataValidation allowBlank="1" showErrorMessage="1" promptTitle="Foreslått kapasitet" prompt="Disse verdiene er estimater fra NFF" sqref="M20:O20" xr:uid="{2F422778-1C47-4856-98A8-B23D701A763C}"/>
    <dataValidation operator="greaterThanOrEqual" allowBlank="1" showInputMessage="1" showErrorMessage="1" errorTitle="Oops!" error="Du må bare skrive inn tall." sqref="AA39:AA40 CE39:CE40 AI39:AI40 AQ39:AQ40 AY39:AY40 BG39:BG40 BO39:BO40 BW39:BW40 CM39:CM40 S39:S40" xr:uid="{32C52416-30F9-432B-86BD-20F0A863E9E7}"/>
    <dataValidation allowBlank="1" showErrorMessage="1" sqref="A43:L47 AC39:AC40 Y43:AE47 AG43:AV47 BE44:CI46 AW44:BC46 CZ43:DU47 AW43:CY43 AW47:CY47 CK44:CY46 AA26 AA24 T23:W27 AI24 AI26 AB23:AH27 AQ26 AQ24 AJ23:AP27 AY24 AY26 AR23:AX27 BG26 BG24 AZ23:BF27 BO24 BO26 BH23:BN27 BW26 BW24 BP23:BV27 CE24 CE26 BX23:CD27 CM24 CM26 CO25 N43:O47 U39:U40 Q43:W47 S26 S24 T15:W16 CF23:CL27 CO23 S16 Y1:CU16" xr:uid="{1CC9EB6E-AD4C-4D5B-A6A4-DDE9CCB454A3}"/>
    <dataValidation type="list" operator="greaterThanOrEqual" allowBlank="1" showErrorMessage="1" errorTitle="Oops!" error="Velg en verdi fra listen." sqref="S15" xr:uid="{B4F89C2B-C9E6-4D79-B64F-24FB1C77A4D7}">
      <formula1>"Ja,Nei"</formula1>
    </dataValidation>
    <dataValidation type="decimal" operator="greaterThanOrEqual" allowBlank="1" showErrorMessage="1" errorTitle="Oops!" error="Bare tall (≥ 0) er tillatt." sqref="S23 CM27 S27 AA27 AA25 AA23 AI23 AI25 AI27 AQ27 AQ25 AQ23 AY23 AY25 AY27 BG27 BG25 BG23 BO23 BO25 BO27 BW27 BW25 BW23 CE23 CE25 CE27 CM23 CM25" xr:uid="{A892CBF8-B675-46E7-98DE-468126E04815}">
      <formula1>0</formula1>
    </dataValidation>
    <dataValidation allowBlank="1" showInputMessage="1" showErrorMessage="1" promptTitle="Forberedende arbeider" prompt="Varighet av forberedende arbeider for &quot;Prosjekt&quot; vil bli lagt til tidene angitt for alle stuffer og evt. tverrslaget." sqref="J23" xr:uid="{4D83F5A4-3080-4122-8EB4-25D25825E260}"/>
    <dataValidation allowBlank="1" showInputMessage="1" showErrorMessage="1" promptTitle="Andre arbeider" prompt="Varighet av andre arbeider for &quot;Prosjekt&quot; vil bli lagt til tidene angitt for alle stuffer og evt. tverrslaget." sqref="J27" xr:uid="{8557B215-C616-42A6-A89C-DBC507A4AADE}"/>
    <dataValidation operator="greaterThanOrEqual" allowBlank="1" showErrorMessage="1" errorTitle="Oops!" error="Bare tall (≥ 0) er tillatt." sqref="S25" xr:uid="{E3E0DEDC-A38F-4998-88E7-598F07DB23A1}"/>
  </dataValidations>
  <printOptions horizontalCentered="1" verticalCentered="1"/>
  <pageMargins left="0.23622047244094491" right="0.23622047244094491" top="0.74803149606299213" bottom="0.74803149606299213" header="0.31496062992125984" footer="0.31496062992125984"/>
  <pageSetup paperSize="9" scale="32" orientation="landscape" r:id="rId1"/>
  <extLst>
    <ext xmlns:x14="http://schemas.microsoft.com/office/spreadsheetml/2009/9/main" uri="{78C0D931-6437-407d-A8EE-F0AAD7539E65}">
      <x14:conditionalFormattings>
        <x14:conditionalFormatting xmlns:xm="http://schemas.microsoft.com/office/excel/2006/main">
          <x14:cfRule type="expression" priority="15" stopIfTrue="1" id="{929235B3-7C4E-4D0E-B09D-C028469A1B3F}">
            <xm:f>_Calcs!$NO$48&lt;9</xm:f>
            <x14:dxf>
              <font>
                <color theme="0"/>
              </font>
              <fill>
                <patternFill>
                  <bgColor theme="0"/>
                </patternFill>
              </fill>
              <border>
                <left/>
                <right/>
                <top/>
                <bottom/>
                <vertical/>
                <horizontal/>
              </border>
            </x14:dxf>
          </x14:cfRule>
          <xm:sqref>CL1:CS1048576</xm:sqref>
        </x14:conditionalFormatting>
        <x14:conditionalFormatting xmlns:xm="http://schemas.microsoft.com/office/excel/2006/main">
          <x14:cfRule type="expression" priority="92" id="{8B75726A-C7AD-42A7-A551-E704C28FA177}">
            <xm:f>_Calcs!$NO$48&lt;9</xm:f>
            <x14:dxf>
              <border>
                <left/>
                <right/>
                <top/>
                <bottom/>
                <vertical/>
                <horizontal/>
              </border>
            </x14:dxf>
          </x14:cfRule>
          <xm:sqref>CK1:CK1048576</xm:sqref>
        </x14:conditionalFormatting>
        <x14:conditionalFormatting xmlns:xm="http://schemas.microsoft.com/office/excel/2006/main">
          <x14:cfRule type="expression" priority="16" stopIfTrue="1" id="{09677EA4-C6B0-4298-BF48-4D8513521DE4}">
            <xm:f>_Calcs!$NO$48&lt;8</xm:f>
            <x14:dxf>
              <font>
                <color theme="0"/>
              </font>
              <fill>
                <patternFill>
                  <bgColor theme="0"/>
                </patternFill>
              </fill>
              <border>
                <left/>
                <right/>
                <top/>
                <bottom/>
                <vertical/>
                <horizontal/>
              </border>
            </x14:dxf>
          </x14:cfRule>
          <xm:sqref>CD1:CK1048576</xm:sqref>
        </x14:conditionalFormatting>
        <x14:conditionalFormatting xmlns:xm="http://schemas.microsoft.com/office/excel/2006/main">
          <x14:cfRule type="expression" priority="90" id="{70E6FB58-97E8-4C8B-9CD6-F6BEABFF86FD}">
            <xm:f>_Calcs!$NO$48&lt;8</xm:f>
            <x14:dxf>
              <border>
                <left/>
                <right/>
                <top/>
                <bottom/>
                <vertical/>
                <horizontal/>
              </border>
            </x14:dxf>
          </x14:cfRule>
          <xm:sqref>CC1:CC1048576</xm:sqref>
        </x14:conditionalFormatting>
        <x14:conditionalFormatting xmlns:xm="http://schemas.microsoft.com/office/excel/2006/main">
          <x14:cfRule type="expression" priority="17" stopIfTrue="1" id="{45CC941B-A2F4-41D5-8CBF-722EEE2D8C72}">
            <xm:f>_Calcs!$NO$48&lt;7</xm:f>
            <x14:dxf>
              <font>
                <color theme="0"/>
              </font>
              <fill>
                <patternFill>
                  <bgColor theme="0"/>
                </patternFill>
              </fill>
              <border>
                <left/>
                <right/>
                <top/>
                <bottom/>
                <vertical/>
                <horizontal/>
              </border>
            </x14:dxf>
          </x14:cfRule>
          <xm:sqref>BV1:CC1048576</xm:sqref>
        </x14:conditionalFormatting>
        <x14:conditionalFormatting xmlns:xm="http://schemas.microsoft.com/office/excel/2006/main">
          <x14:cfRule type="expression" priority="88" id="{6595C410-F1AB-41C8-BB82-68A7B958C06B}">
            <xm:f>_Calcs!$NO$48&lt;7</xm:f>
            <x14:dxf>
              <border>
                <left/>
                <right/>
                <top/>
                <bottom/>
                <vertical/>
                <horizontal/>
              </border>
            </x14:dxf>
          </x14:cfRule>
          <xm:sqref>BU1:BU1048576</xm:sqref>
        </x14:conditionalFormatting>
        <x14:conditionalFormatting xmlns:xm="http://schemas.microsoft.com/office/excel/2006/main">
          <x14:cfRule type="expression" priority="18" stopIfTrue="1" id="{7723D314-C305-41CD-9430-C160F3F4C23A}">
            <xm:f>_Calcs!$NO$48&lt;6</xm:f>
            <x14:dxf>
              <font>
                <color theme="0"/>
              </font>
              <fill>
                <patternFill>
                  <bgColor theme="0"/>
                </patternFill>
              </fill>
              <border>
                <left/>
                <right/>
                <top/>
                <bottom/>
                <vertical/>
                <horizontal/>
              </border>
            </x14:dxf>
          </x14:cfRule>
          <xm:sqref>BN1:BU1048576</xm:sqref>
        </x14:conditionalFormatting>
        <x14:conditionalFormatting xmlns:xm="http://schemas.microsoft.com/office/excel/2006/main">
          <x14:cfRule type="expression" priority="86" id="{0F36B067-C9F1-44F2-A5EA-2FADC7938833}">
            <xm:f>_Calcs!$NO$48&lt;6</xm:f>
            <x14:dxf>
              <border>
                <left/>
                <right/>
                <top/>
                <bottom/>
                <vertical/>
                <horizontal/>
              </border>
            </x14:dxf>
          </x14:cfRule>
          <xm:sqref>BM1:BM1048576</xm:sqref>
        </x14:conditionalFormatting>
        <x14:conditionalFormatting xmlns:xm="http://schemas.microsoft.com/office/excel/2006/main">
          <x14:cfRule type="expression" priority="19" stopIfTrue="1" id="{2A3EF6B8-6D64-43DA-B46E-2A57CBA4C71E}">
            <xm:f>_Calcs!$NO$48&lt;5</xm:f>
            <x14:dxf>
              <font>
                <color theme="0"/>
              </font>
              <fill>
                <patternFill>
                  <bgColor theme="0"/>
                </patternFill>
              </fill>
              <border>
                <left/>
                <right/>
                <top/>
                <bottom/>
                <vertical/>
                <horizontal/>
              </border>
            </x14:dxf>
          </x14:cfRule>
          <xm:sqref>BF1:BM1048576</xm:sqref>
        </x14:conditionalFormatting>
        <x14:conditionalFormatting xmlns:xm="http://schemas.microsoft.com/office/excel/2006/main">
          <x14:cfRule type="expression" priority="84" id="{31E8ACB3-B828-4BF9-B171-860A7F38F596}">
            <xm:f>_Calcs!$NO$48&lt;5</xm:f>
            <x14:dxf>
              <border>
                <left/>
                <right/>
                <top/>
                <bottom/>
                <vertical/>
                <horizontal/>
              </border>
            </x14:dxf>
          </x14:cfRule>
          <xm:sqref>BE1:BE1048576</xm:sqref>
        </x14:conditionalFormatting>
        <x14:conditionalFormatting xmlns:xm="http://schemas.microsoft.com/office/excel/2006/main">
          <x14:cfRule type="expression" priority="20" stopIfTrue="1" id="{FD51C2DE-5DCC-4D28-AC5F-39B456433EC2}">
            <xm:f>_Calcs!$NO$48&lt;4</xm:f>
            <x14:dxf>
              <font>
                <color theme="0"/>
              </font>
              <fill>
                <patternFill>
                  <bgColor theme="0"/>
                </patternFill>
              </fill>
              <border>
                <left/>
                <right/>
                <top/>
                <bottom/>
                <vertical/>
                <horizontal/>
              </border>
            </x14:dxf>
          </x14:cfRule>
          <xm:sqref>AX1:BE1048576</xm:sqref>
        </x14:conditionalFormatting>
        <x14:conditionalFormatting xmlns:xm="http://schemas.microsoft.com/office/excel/2006/main">
          <x14:cfRule type="expression" priority="82" id="{5D64C657-2DD5-4D10-8B81-9DDE79E690F5}">
            <xm:f>_Calcs!$NO$48&lt;4</xm:f>
            <x14:dxf>
              <border>
                <left/>
                <right/>
                <top/>
                <bottom/>
                <vertical/>
                <horizontal/>
              </border>
            </x14:dxf>
          </x14:cfRule>
          <xm:sqref>AW1:AW1048576</xm:sqref>
        </x14:conditionalFormatting>
        <x14:conditionalFormatting xmlns:xm="http://schemas.microsoft.com/office/excel/2006/main">
          <x14:cfRule type="expression" priority="21" stopIfTrue="1" id="{9B02BCFD-6CC2-4F6F-B9DC-409CE418AFF0}">
            <xm:f>_Calcs!$NO$48&lt;3</xm:f>
            <x14:dxf>
              <font>
                <color theme="0"/>
              </font>
              <fill>
                <patternFill>
                  <bgColor theme="0"/>
                </patternFill>
              </fill>
              <border>
                <left/>
                <right/>
                <top/>
                <bottom/>
                <vertical/>
                <horizontal/>
              </border>
            </x14:dxf>
          </x14:cfRule>
          <xm:sqref>AP1:AW1048576</xm:sqref>
        </x14:conditionalFormatting>
        <x14:conditionalFormatting xmlns:xm="http://schemas.microsoft.com/office/excel/2006/main">
          <x14:cfRule type="expression" priority="80" id="{47FFFD56-7414-4D72-96E9-3F8CFFDC6DF7}">
            <xm:f>_Calcs!$NO$48&lt;3</xm:f>
            <x14:dxf>
              <border>
                <left/>
                <right/>
                <top/>
                <bottom/>
                <vertical/>
                <horizontal/>
              </border>
            </x14:dxf>
          </x14:cfRule>
          <xm:sqref>AO1:AO1048576</xm:sqref>
        </x14:conditionalFormatting>
        <x14:conditionalFormatting xmlns:xm="http://schemas.microsoft.com/office/excel/2006/main">
          <x14:cfRule type="expression" priority="22" stopIfTrue="1" id="{B0638F9D-E380-4DE4-BA81-6CA6DD803F36}">
            <xm:f>_Calcs!$NO$48&lt;2</xm:f>
            <x14:dxf>
              <font>
                <color theme="0"/>
              </font>
              <fill>
                <patternFill>
                  <bgColor theme="0"/>
                </patternFill>
              </fill>
              <border>
                <left/>
                <right/>
                <top/>
                <bottom/>
                <vertical/>
                <horizontal/>
              </border>
            </x14:dxf>
          </x14:cfRule>
          <xm:sqref>AH1:AO1048576</xm:sqref>
        </x14:conditionalFormatting>
        <x14:conditionalFormatting xmlns:xm="http://schemas.microsoft.com/office/excel/2006/main">
          <x14:cfRule type="expression" priority="78" id="{6A00739B-96AE-4082-8AA2-20D912E5CC95}">
            <xm:f>_Calcs!$NO$48&lt;2</xm:f>
            <x14:dxf>
              <border>
                <left/>
                <right/>
                <top/>
                <bottom/>
              </border>
            </x14:dxf>
          </x14:cfRule>
          <xm:sqref>AG1:AG1048576</xm:sqref>
        </x14:conditionalFormatting>
        <x14:conditionalFormatting xmlns:xm="http://schemas.microsoft.com/office/excel/2006/main">
          <x14:cfRule type="expression" priority="11535" id="{E8EDBD2A-9936-48EE-B50C-85948E0C09CE}">
            <xm:f>_Calcs!$GK$50=0</xm:f>
            <x14:dxf>
              <font>
                <color theme="0" tint="-0.14996795556505021"/>
              </font>
              <fill>
                <patternFill>
                  <bgColor theme="0" tint="-0.14996795556505021"/>
                </patternFill>
              </fill>
            </x14:dxf>
          </x14:cfRule>
          <xm:sqref>AA23 AA25 AA27</xm:sqref>
        </x14:conditionalFormatting>
        <x14:conditionalFormatting xmlns:xm="http://schemas.microsoft.com/office/excel/2006/main">
          <x14:cfRule type="expression" priority="11538" id="{B372D83F-EE59-4914-8461-90666131CE8F}">
            <xm:f>_Calcs!$GK$51=0</xm:f>
            <x14:dxf>
              <font>
                <color theme="0" tint="-0.14996795556505021"/>
              </font>
              <fill>
                <patternFill>
                  <bgColor theme="0" tint="-0.14996795556505021"/>
                </patternFill>
              </fill>
            </x14:dxf>
          </x14:cfRule>
          <xm:sqref>AI23 AI25 AI27</xm:sqref>
        </x14:conditionalFormatting>
        <x14:conditionalFormatting xmlns:xm="http://schemas.microsoft.com/office/excel/2006/main">
          <x14:cfRule type="expression" priority="11541" id="{006C870E-3D99-4A1D-8F19-044999B554D7}">
            <xm:f>_Calcs!$GK$52=0</xm:f>
            <x14:dxf>
              <font>
                <color theme="0" tint="-0.14996795556505021"/>
              </font>
              <fill>
                <patternFill>
                  <bgColor theme="0" tint="-0.14996795556505021"/>
                </patternFill>
              </fill>
            </x14:dxf>
          </x14:cfRule>
          <xm:sqref>AQ23 AQ25 AQ27</xm:sqref>
        </x14:conditionalFormatting>
        <x14:conditionalFormatting xmlns:xm="http://schemas.microsoft.com/office/excel/2006/main">
          <x14:cfRule type="expression" priority="11544" id="{2733C7AF-8E63-4E37-A893-349B242A2741}">
            <xm:f>_Calcs!$GK$53=0</xm:f>
            <x14:dxf>
              <font>
                <color theme="0" tint="-0.14996795556505021"/>
              </font>
              <fill>
                <patternFill>
                  <bgColor theme="0" tint="-0.14996795556505021"/>
                </patternFill>
              </fill>
            </x14:dxf>
          </x14:cfRule>
          <xm:sqref>AY23 AY25 AY27</xm:sqref>
        </x14:conditionalFormatting>
        <x14:conditionalFormatting xmlns:xm="http://schemas.microsoft.com/office/excel/2006/main">
          <x14:cfRule type="expression" priority="11547" id="{53C3F252-C113-41C2-8C10-61AF34432004}">
            <xm:f>_Calcs!$GK$54=0</xm:f>
            <x14:dxf>
              <font>
                <color theme="0" tint="-0.14996795556505021"/>
              </font>
              <fill>
                <patternFill>
                  <bgColor theme="0" tint="-0.14996795556505021"/>
                </patternFill>
              </fill>
            </x14:dxf>
          </x14:cfRule>
          <xm:sqref>BG23 BG25 BG27</xm:sqref>
        </x14:conditionalFormatting>
        <x14:conditionalFormatting xmlns:xm="http://schemas.microsoft.com/office/excel/2006/main">
          <x14:cfRule type="expression" priority="11550" id="{B1CA5C0C-DD04-4EBC-83DF-4B60EB3C4EE3}">
            <xm:f>_Calcs!$GK$55=0</xm:f>
            <x14:dxf>
              <font>
                <color theme="0" tint="-0.14996795556505021"/>
              </font>
              <fill>
                <patternFill>
                  <fgColor theme="0"/>
                  <bgColor theme="0" tint="-0.14996795556505021"/>
                </patternFill>
              </fill>
            </x14:dxf>
          </x14:cfRule>
          <xm:sqref>BO23 BO25 BO27</xm:sqref>
        </x14:conditionalFormatting>
        <x14:conditionalFormatting xmlns:xm="http://schemas.microsoft.com/office/excel/2006/main">
          <x14:cfRule type="expression" priority="11553" id="{8E7D42E9-A121-46D9-8E10-3F2E2AA745E6}">
            <xm:f>_Calcs!$GK$56=0</xm:f>
            <x14:dxf>
              <font>
                <color theme="0" tint="-0.14996795556505021"/>
              </font>
              <fill>
                <patternFill>
                  <bgColor theme="0" tint="-0.14996795556505021"/>
                </patternFill>
              </fill>
            </x14:dxf>
          </x14:cfRule>
          <xm:sqref>BW23 BW25 BW27</xm:sqref>
        </x14:conditionalFormatting>
        <x14:conditionalFormatting xmlns:xm="http://schemas.microsoft.com/office/excel/2006/main">
          <x14:cfRule type="expression" priority="11556" id="{A3B3DA7D-EA48-4D51-BB52-114BFC9ADF4A}">
            <xm:f>_Calcs!$GK$57=0</xm:f>
            <x14:dxf>
              <font>
                <color theme="0" tint="-0.14996795556505021"/>
              </font>
              <fill>
                <patternFill>
                  <bgColor theme="0" tint="-0.14996795556505021"/>
                </patternFill>
              </fill>
            </x14:dxf>
          </x14:cfRule>
          <xm:sqref>CE23 CE25 CE27</xm:sqref>
        </x14:conditionalFormatting>
        <x14:conditionalFormatting xmlns:xm="http://schemas.microsoft.com/office/excel/2006/main">
          <x14:cfRule type="expression" priority="11559" id="{58169ED0-AD42-49DA-85B9-FC97A77DD7F6}">
            <xm:f>_Calcs!$GK$58=0</xm:f>
            <x14:dxf>
              <font>
                <color theme="0" tint="-0.14996795556505021"/>
              </font>
              <fill>
                <patternFill>
                  <bgColor theme="0" tint="-0.14996795556505021"/>
                </patternFill>
              </fill>
            </x14:dxf>
          </x14:cfRule>
          <xm:sqref>CM23 CM25 CM27</xm:sqref>
        </x14:conditionalFormatting>
        <x14:conditionalFormatting xmlns:xm="http://schemas.microsoft.com/office/excel/2006/main">
          <x14:cfRule type="expression" priority="11562" id="{3C012F45-E1EF-41EC-8499-DC90E2C459EF}">
            <xm:f>$S$40=_Calcs!$GK$11</xm:f>
            <x14:dxf>
              <font>
                <b/>
                <i/>
              </font>
            </x14:dxf>
          </x14:cfRule>
          <xm:sqref>S40:S41</xm:sqref>
        </x14:conditionalFormatting>
        <x14:conditionalFormatting xmlns:xm="http://schemas.microsoft.com/office/excel/2006/main">
          <x14:cfRule type="expression" priority="11563" id="{EA689BCF-E135-4C8F-9269-7D986CD89060}">
            <xm:f>$AA$40=_Calcs!$GK$11</xm:f>
            <x14:dxf>
              <font>
                <b/>
                <i/>
              </font>
            </x14:dxf>
          </x14:cfRule>
          <xm:sqref>AA40:AA41</xm:sqref>
        </x14:conditionalFormatting>
        <x14:conditionalFormatting xmlns:xm="http://schemas.microsoft.com/office/excel/2006/main">
          <x14:cfRule type="expression" priority="11564" id="{04E9F747-F1C8-461D-9C10-3F233874B83A}">
            <xm:f>$AI$40=_Calcs!$GK$11</xm:f>
            <x14:dxf>
              <font>
                <b/>
                <i/>
              </font>
            </x14:dxf>
          </x14:cfRule>
          <xm:sqref>AI40:AI41</xm:sqref>
        </x14:conditionalFormatting>
        <x14:conditionalFormatting xmlns:xm="http://schemas.microsoft.com/office/excel/2006/main">
          <x14:cfRule type="expression" priority="11565" id="{AD0416CA-8CDE-43EE-AB4B-EACE7A54366F}">
            <xm:f>$AQ$40=_Calcs!$GK$11</xm:f>
            <x14:dxf>
              <font>
                <b/>
                <i/>
              </font>
            </x14:dxf>
          </x14:cfRule>
          <xm:sqref>AQ40:AQ41</xm:sqref>
        </x14:conditionalFormatting>
        <x14:conditionalFormatting xmlns:xm="http://schemas.microsoft.com/office/excel/2006/main">
          <x14:cfRule type="expression" priority="11566" id="{F3C6DC84-71BD-447F-B98F-813C4388D714}">
            <xm:f>$AY$40=_Calcs!$GK$11</xm:f>
            <x14:dxf>
              <font>
                <b/>
                <i/>
              </font>
            </x14:dxf>
          </x14:cfRule>
          <xm:sqref>AY40:AY41</xm:sqref>
        </x14:conditionalFormatting>
        <x14:conditionalFormatting xmlns:xm="http://schemas.microsoft.com/office/excel/2006/main">
          <x14:cfRule type="expression" priority="11567" id="{38A128FD-DEA8-4362-80E6-2682EDD7FA1F}">
            <xm:f>$BG$40=_Calcs!$GK$11</xm:f>
            <x14:dxf>
              <font>
                <b/>
                <i/>
              </font>
            </x14:dxf>
          </x14:cfRule>
          <xm:sqref>BG40:BG41</xm:sqref>
        </x14:conditionalFormatting>
        <x14:conditionalFormatting xmlns:xm="http://schemas.microsoft.com/office/excel/2006/main">
          <x14:cfRule type="expression" priority="11568" id="{EE1967A8-CC3B-4B50-84C6-AAFAB2ED8829}">
            <xm:f>$BO$40=_Calcs!$GK$11</xm:f>
            <x14:dxf>
              <font>
                <b/>
                <i/>
              </font>
            </x14:dxf>
          </x14:cfRule>
          <xm:sqref>BO40:BO41</xm:sqref>
        </x14:conditionalFormatting>
        <x14:conditionalFormatting xmlns:xm="http://schemas.microsoft.com/office/excel/2006/main">
          <x14:cfRule type="expression" priority="11569" id="{D77D70B4-DF5D-435F-9626-20276672268C}">
            <xm:f>$BW$40=_Calcs!$GK$11</xm:f>
            <x14:dxf>
              <font>
                <b/>
                <i/>
              </font>
            </x14:dxf>
          </x14:cfRule>
          <xm:sqref>BW40:BW41</xm:sqref>
        </x14:conditionalFormatting>
        <x14:conditionalFormatting xmlns:xm="http://schemas.microsoft.com/office/excel/2006/main">
          <x14:cfRule type="expression" priority="11570" id="{E4E0319B-45FF-4348-A4CC-00D86807ECEE}">
            <xm:f>$CE$40=_Calcs!$GK$11</xm:f>
            <x14:dxf>
              <font>
                <b/>
                <i/>
              </font>
            </x14:dxf>
          </x14:cfRule>
          <xm:sqref>CE40:CE41</xm:sqref>
        </x14:conditionalFormatting>
        <x14:conditionalFormatting xmlns:xm="http://schemas.microsoft.com/office/excel/2006/main">
          <x14:cfRule type="expression" priority="11571" id="{8C28EA11-82A1-4EBC-82EA-3425D0010F9D}">
            <xm:f>$CM$40=_Calcs!$GK$11</xm:f>
            <x14:dxf>
              <font>
                <b/>
                <i/>
              </font>
            </x14:dxf>
          </x14:cfRule>
          <xm:sqref>CM40:CM41</xm:sqref>
        </x14:conditionalFormatting>
        <x14:conditionalFormatting xmlns:xm="http://schemas.microsoft.com/office/excel/2006/main">
          <x14:cfRule type="expression" priority="15027" id="{A86A9B23-7352-425C-858C-F57505D63BD2}">
            <xm:f>_Calcs!$GN$12=2</xm:f>
            <x14:dxf>
              <font>
                <color theme="0" tint="-0.14996795556505021"/>
              </font>
              <fill>
                <patternFill>
                  <bgColor theme="0" tint="-0.14996795556505021"/>
                </patternFill>
              </fill>
            </x14:dxf>
          </x14:cfRule>
          <xm:sqref>S23 AA23 AA25 S27 AA27 AI23 AI25 AI27 AQ27 AQ25 AQ23 AY23 AY25 AY27 BG27 BG25 BG23 BO23 BO25 BO27 BW27 BW25 BW23 CE23 CE25 CE27 CM27 CM25 CM23 S40 AA40 AI40 AQ40 AY40 BG40 BO40 BW40 CE40 CM40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A216D-0107-4E98-9C80-1D9B2001083D}">
  <sheetPr codeName="Sheet14">
    <tabColor rgb="FFF1A9A9"/>
    <pageSetUpPr fitToPage="1"/>
  </sheetPr>
  <dimension ref="A1:FC74"/>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17.625" style="15" customWidth="1"/>
    <col min="7" max="7" width="8.125" style="70" customWidth="1"/>
    <col min="8" max="8" width="9.375" style="70" customWidth="1"/>
    <col min="9" max="9" width="3.375" style="70" customWidth="1"/>
    <col min="10" max="10" width="4.875" style="2000" customWidth="1"/>
    <col min="11" max="11" width="0.875" style="70" hidden="1" customWidth="1"/>
    <col min="12" max="12" width="2.75" style="70" hidden="1" customWidth="1"/>
    <col min="13" max="13" width="1.625" style="70" hidden="1" customWidth="1"/>
    <col min="14" max="14" width="0.875" style="70" customWidth="1"/>
    <col min="15" max="15" width="6.625" style="15" customWidth="1"/>
    <col min="16" max="16" width="2.625" style="70" customWidth="1"/>
    <col min="17" max="18" width="3.625" style="70" customWidth="1"/>
    <col min="19" max="19" width="16.625" style="114" customWidth="1"/>
    <col min="20" max="21" width="3.625" style="70" customWidth="1"/>
    <col min="22" max="23" width="1.625" style="70" customWidth="1"/>
    <col min="24" max="24" width="16.625" style="114" customWidth="1"/>
    <col min="25" max="25" width="1.625" style="114" customWidth="1"/>
    <col min="26" max="26" width="2.625" style="70" customWidth="1"/>
    <col min="27" max="27" width="0.875" style="70" customWidth="1"/>
    <col min="28" max="28" width="0.875" style="114" customWidth="1"/>
    <col min="29" max="29" width="3.625" style="114" customWidth="1"/>
    <col min="30" max="31" width="1.625" style="70" customWidth="1"/>
    <col min="32" max="32" width="16.625" style="114" customWidth="1"/>
    <col min="33" max="33" width="1.625" style="114" customWidth="1"/>
    <col min="34" max="34" width="2.625" style="70" customWidth="1"/>
    <col min="35" max="35" width="0.875" style="70" customWidth="1"/>
    <col min="36" max="36" width="0.875" style="114" customWidth="1"/>
    <col min="37" max="37" width="3.625" style="114" customWidth="1"/>
    <col min="38" max="39" width="1.625" style="70" customWidth="1"/>
    <col min="40" max="40" width="16.625" style="114" customWidth="1"/>
    <col min="41" max="41" width="1.625" style="114" customWidth="1"/>
    <col min="42" max="42" width="2.625" style="70" customWidth="1"/>
    <col min="43" max="44" width="0.875" style="114" customWidth="1"/>
    <col min="45" max="45" width="3.625" style="114" customWidth="1"/>
    <col min="46" max="47" width="1.625" style="70" customWidth="1"/>
    <col min="48" max="48" width="16.625" style="114" customWidth="1"/>
    <col min="49" max="49" width="1.625" style="114" customWidth="1"/>
    <col min="50" max="50" width="2.625" style="70" customWidth="1"/>
    <col min="51" max="52" width="0.875" style="114" customWidth="1"/>
    <col min="53" max="53" width="3.625" style="114" customWidth="1"/>
    <col min="54" max="55" width="1.625" style="70" customWidth="1"/>
    <col min="56" max="56" width="16.625" style="114" customWidth="1"/>
    <col min="57" max="57" width="1.625" style="114" customWidth="1"/>
    <col min="58" max="58" width="2.625" style="70" customWidth="1"/>
    <col min="59" max="60" width="0.875" style="114" customWidth="1"/>
    <col min="61" max="61" width="3.625" style="114" customWidth="1"/>
    <col min="62" max="63" width="1.625" style="70" customWidth="1"/>
    <col min="64" max="64" width="16.625" style="114" customWidth="1"/>
    <col min="65" max="65" width="1.625" style="114" customWidth="1"/>
    <col min="66" max="66" width="2.625" style="70" customWidth="1"/>
    <col min="67" max="68" width="0.875" style="114" customWidth="1"/>
    <col min="69" max="69" width="3.625" style="114" customWidth="1"/>
    <col min="70" max="71" width="1.625" style="70" customWidth="1"/>
    <col min="72" max="72" width="16.625" style="114" customWidth="1"/>
    <col min="73" max="73" width="1.625" style="114" customWidth="1"/>
    <col min="74" max="74" width="2.625" style="70" customWidth="1"/>
    <col min="75" max="76" width="0.875" style="114" customWidth="1"/>
    <col min="77" max="77" width="3.625" style="114" customWidth="1"/>
    <col min="78" max="79" width="1.625" style="70" customWidth="1"/>
    <col min="80" max="80" width="16.625" style="114" customWidth="1"/>
    <col min="81" max="81" width="1.625" style="114" customWidth="1"/>
    <col min="82" max="82" width="2.625" style="70" customWidth="1"/>
    <col min="83" max="84" width="0.875" style="114" customWidth="1"/>
    <col min="85" max="85" width="3.625" style="114" customWidth="1"/>
    <col min="86" max="87" width="1.625" style="70" customWidth="1"/>
    <col min="88" max="88" width="16.625" style="114" customWidth="1"/>
    <col min="89" max="89" width="1.625" style="114" customWidth="1"/>
    <col min="90" max="90" width="2.625" style="70" customWidth="1"/>
    <col min="91" max="92" width="0.875" style="114" customWidth="1"/>
    <col min="93" max="93" width="3.625" style="114" customWidth="1"/>
    <col min="94" max="94" width="1.625" style="70" customWidth="1"/>
    <col min="95" max="96" width="3.625" style="70" customWidth="1"/>
    <col min="97" max="97" width="3.5" style="70" hidden="1" customWidth="1"/>
    <col min="98" max="98" width="10.25" style="70" hidden="1" customWidth="1"/>
    <col min="99" max="99" width="15.125" style="70" hidden="1" customWidth="1"/>
    <col min="100" max="113" width="10.25" style="70" hidden="1" customWidth="1"/>
    <col min="114" max="16384" width="9" style="70" hidden="1"/>
  </cols>
  <sheetData>
    <row r="1" spans="1:159" s="136" customFormat="1" ht="50.1" customHeight="1" x14ac:dyDescent="0.2">
      <c r="A1" s="20"/>
      <c r="B1" s="20"/>
      <c r="C1" s="16"/>
      <c r="D1" s="13"/>
      <c r="E1" s="20"/>
      <c r="F1" s="17"/>
      <c r="J1" s="16"/>
      <c r="K1" s="16"/>
      <c r="L1" s="16"/>
      <c r="M1" s="16"/>
      <c r="N1" s="137"/>
      <c r="O1" s="17"/>
      <c r="P1" s="16"/>
      <c r="Q1" s="16"/>
      <c r="R1" s="21"/>
      <c r="S1" s="191"/>
      <c r="T1" s="21"/>
      <c r="U1" s="21"/>
      <c r="V1" s="16"/>
      <c r="W1" s="16"/>
      <c r="X1" s="36"/>
      <c r="Y1" s="16"/>
      <c r="Z1" s="138"/>
      <c r="AA1" s="138"/>
      <c r="AB1" s="137"/>
      <c r="AC1" s="21"/>
      <c r="AD1" s="16"/>
      <c r="AE1" s="16"/>
      <c r="AF1" s="36"/>
      <c r="AG1" s="16"/>
      <c r="AH1" s="138"/>
      <c r="AI1" s="138"/>
      <c r="AJ1" s="137"/>
      <c r="AK1" s="21"/>
      <c r="AL1" s="16"/>
      <c r="AM1" s="16"/>
      <c r="AN1" s="36"/>
      <c r="AO1" s="16"/>
      <c r="AP1" s="138"/>
      <c r="AQ1" s="138"/>
      <c r="AR1" s="137"/>
      <c r="AS1" s="21"/>
      <c r="AT1" s="16"/>
      <c r="AU1" s="16"/>
      <c r="AV1" s="36"/>
      <c r="AW1" s="16"/>
      <c r="AX1" s="138"/>
      <c r="AY1" s="138"/>
      <c r="AZ1" s="137"/>
      <c r="BA1" s="21"/>
      <c r="BB1" s="16"/>
      <c r="BC1" s="16"/>
      <c r="BD1" s="36"/>
      <c r="BE1" s="16"/>
      <c r="BF1" s="138"/>
      <c r="BG1" s="138"/>
      <c r="BH1" s="137"/>
      <c r="BI1" s="21"/>
      <c r="BJ1" s="16"/>
      <c r="BK1" s="16"/>
      <c r="BL1" s="36"/>
      <c r="BM1" s="16"/>
      <c r="BN1" s="138"/>
      <c r="BO1" s="138"/>
      <c r="BP1" s="137"/>
      <c r="BQ1" s="21"/>
      <c r="BR1" s="16"/>
      <c r="BS1" s="16"/>
      <c r="BT1" s="36"/>
      <c r="BU1" s="16"/>
      <c r="BV1" s="138"/>
      <c r="BW1" s="138"/>
      <c r="BX1" s="137"/>
      <c r="BY1" s="21"/>
      <c r="BZ1" s="16"/>
      <c r="CA1" s="16"/>
      <c r="CB1" s="36"/>
      <c r="CC1" s="16"/>
      <c r="CD1" s="138"/>
      <c r="CE1" s="138"/>
      <c r="CF1" s="137"/>
      <c r="CG1" s="21"/>
      <c r="CH1" s="16"/>
      <c r="CI1" s="16"/>
      <c r="CJ1" s="36"/>
      <c r="CK1" s="16"/>
      <c r="CL1" s="138"/>
      <c r="CM1" s="138"/>
      <c r="CN1" s="137"/>
      <c r="CO1" s="21"/>
      <c r="CP1" s="138"/>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13"/>
      <c r="DU1" s="137"/>
      <c r="DV1" s="139" t="s">
        <v>155</v>
      </c>
      <c r="DW1" s="140"/>
      <c r="DX1" s="3986"/>
      <c r="DY1" s="3986"/>
      <c r="DZ1" s="3986"/>
    </row>
    <row r="2" spans="1:159" ht="12" customHeight="1" x14ac:dyDescent="0.2">
      <c r="C2" s="920"/>
      <c r="D2" s="78"/>
      <c r="E2" s="1872"/>
      <c r="F2" s="921"/>
      <c r="G2" s="1873"/>
      <c r="H2" s="920"/>
      <c r="I2" s="920"/>
      <c r="J2" s="1875"/>
      <c r="K2" s="1875"/>
      <c r="L2" s="1873"/>
      <c r="M2" s="1873"/>
      <c r="N2" s="1873"/>
      <c r="O2" s="1873"/>
      <c r="P2" s="1873"/>
      <c r="Q2" s="1873"/>
      <c r="R2" s="1873"/>
      <c r="S2" s="1873"/>
      <c r="T2" s="1873"/>
      <c r="X2" s="70"/>
      <c r="Y2" s="70"/>
      <c r="AB2" s="70"/>
      <c r="AC2" s="70"/>
      <c r="AF2" s="70"/>
      <c r="AG2" s="70"/>
      <c r="AJ2" s="70"/>
      <c r="AK2" s="70"/>
      <c r="AN2" s="70"/>
      <c r="AO2" s="70"/>
      <c r="AQ2" s="70"/>
      <c r="AR2" s="70"/>
      <c r="AS2" s="70"/>
      <c r="AV2" s="70"/>
      <c r="AW2" s="70"/>
      <c r="AY2" s="70"/>
      <c r="AZ2" s="70"/>
      <c r="BA2" s="70"/>
      <c r="BD2" s="70"/>
      <c r="BE2" s="70"/>
      <c r="BG2" s="70"/>
      <c r="BH2" s="70"/>
      <c r="BI2" s="70"/>
      <c r="BL2" s="70"/>
      <c r="BM2" s="70"/>
      <c r="BO2" s="70"/>
      <c r="BP2" s="70"/>
      <c r="BQ2" s="70"/>
      <c r="BT2" s="70"/>
      <c r="BU2" s="70"/>
      <c r="BW2" s="70"/>
      <c r="BX2" s="70"/>
      <c r="BY2" s="70"/>
      <c r="CB2" s="70"/>
      <c r="CC2" s="70"/>
      <c r="CE2" s="70"/>
      <c r="CF2" s="70"/>
      <c r="CG2" s="70"/>
      <c r="CJ2" s="70"/>
      <c r="CK2" s="70"/>
      <c r="CM2" s="70"/>
      <c r="CN2" s="70"/>
      <c r="CO2" s="70"/>
    </row>
    <row r="3" spans="1:159" ht="5.0999999999999996" customHeight="1" x14ac:dyDescent="0.2">
      <c r="C3" s="16"/>
      <c r="D3" s="78"/>
      <c r="E3" s="20"/>
      <c r="F3" s="17"/>
      <c r="G3" s="136"/>
      <c r="H3" s="16"/>
      <c r="I3" s="16"/>
      <c r="J3" s="36"/>
      <c r="K3" s="36"/>
      <c r="L3" s="136"/>
      <c r="M3" s="136"/>
      <c r="N3" s="136"/>
      <c r="O3" s="136"/>
      <c r="P3" s="136"/>
      <c r="Q3" s="136"/>
      <c r="R3" s="136"/>
      <c r="S3" s="136"/>
      <c r="T3" s="136"/>
      <c r="X3" s="70"/>
      <c r="Y3" s="70"/>
      <c r="AB3" s="70"/>
      <c r="AC3" s="70"/>
      <c r="AF3" s="70"/>
      <c r="AG3" s="70"/>
      <c r="AJ3" s="70"/>
      <c r="AK3" s="70"/>
      <c r="AN3" s="70"/>
      <c r="AO3" s="70"/>
      <c r="AQ3" s="70"/>
      <c r="AR3" s="70"/>
      <c r="AS3" s="70"/>
      <c r="AV3" s="70"/>
      <c r="AW3" s="70"/>
      <c r="AY3" s="70"/>
      <c r="AZ3" s="70"/>
      <c r="BA3" s="70"/>
      <c r="BD3" s="70"/>
      <c r="BE3" s="70"/>
      <c r="BG3" s="70"/>
      <c r="BH3" s="70"/>
      <c r="BI3" s="70"/>
      <c r="BL3" s="70"/>
      <c r="BM3" s="70"/>
      <c r="BO3" s="70"/>
      <c r="BP3" s="70"/>
      <c r="BQ3" s="70"/>
      <c r="BT3" s="70"/>
      <c r="BU3" s="70"/>
      <c r="BW3" s="70"/>
      <c r="BX3" s="70"/>
      <c r="BY3" s="70"/>
      <c r="CB3" s="70"/>
      <c r="CC3" s="70"/>
      <c r="CE3" s="70"/>
      <c r="CF3" s="70"/>
      <c r="CG3" s="70"/>
      <c r="CJ3" s="70"/>
      <c r="CK3" s="70"/>
      <c r="CM3" s="70"/>
      <c r="CN3" s="70"/>
      <c r="CO3" s="70"/>
    </row>
    <row r="4" spans="1:159" ht="5.0999999999999996" customHeight="1" x14ac:dyDescent="0.2">
      <c r="C4" s="920"/>
      <c r="D4" s="78"/>
      <c r="E4" s="1872"/>
      <c r="F4" s="921"/>
      <c r="G4" s="1873"/>
      <c r="H4" s="920"/>
      <c r="I4" s="920"/>
      <c r="J4" s="1875"/>
      <c r="K4" s="1875"/>
      <c r="L4" s="1873"/>
      <c r="M4" s="1873"/>
      <c r="N4" s="1873"/>
      <c r="O4" s="1873"/>
      <c r="P4" s="1873"/>
      <c r="Q4" s="1873"/>
      <c r="R4" s="1873"/>
      <c r="S4" s="1873"/>
      <c r="T4" s="1873"/>
      <c r="X4" s="70"/>
      <c r="Y4" s="70"/>
      <c r="AB4" s="70"/>
      <c r="AC4" s="70"/>
      <c r="AF4" s="70"/>
      <c r="AG4" s="70"/>
      <c r="AJ4" s="70"/>
      <c r="AK4" s="70"/>
      <c r="AN4" s="70"/>
      <c r="AO4" s="70"/>
      <c r="AQ4" s="70"/>
      <c r="AR4" s="70"/>
      <c r="AS4" s="70"/>
      <c r="AV4" s="70"/>
      <c r="AW4" s="70"/>
      <c r="AY4" s="70"/>
      <c r="AZ4" s="70"/>
      <c r="BA4" s="70"/>
      <c r="BD4" s="70"/>
      <c r="BE4" s="70"/>
      <c r="BG4" s="70"/>
      <c r="BH4" s="70"/>
      <c r="BI4" s="70"/>
      <c r="BL4" s="70"/>
      <c r="BM4" s="70"/>
      <c r="BO4" s="70"/>
      <c r="BP4" s="70"/>
      <c r="BQ4" s="70"/>
      <c r="BT4" s="70"/>
      <c r="BU4" s="70"/>
      <c r="BW4" s="70"/>
      <c r="BX4" s="70"/>
      <c r="BY4" s="70"/>
      <c r="CB4" s="70"/>
      <c r="CC4" s="70"/>
      <c r="CE4" s="70"/>
      <c r="CF4" s="70"/>
      <c r="CG4" s="70"/>
      <c r="CJ4" s="70"/>
      <c r="CK4" s="70"/>
      <c r="CM4" s="70"/>
      <c r="CN4" s="70"/>
      <c r="CO4" s="70"/>
    </row>
    <row r="5" spans="1:159" s="21" customFormat="1" ht="30" customHeight="1" thickBot="1" x14ac:dyDescent="0.25">
      <c r="A5" s="20"/>
      <c r="B5" s="20"/>
      <c r="C5" s="13"/>
      <c r="D5" s="13"/>
      <c r="E5" s="14"/>
      <c r="F5" s="15"/>
      <c r="J5" s="16"/>
      <c r="K5" s="16"/>
      <c r="L5" s="16"/>
      <c r="M5" s="16"/>
      <c r="N5" s="50"/>
      <c r="O5" s="15"/>
      <c r="P5" s="16"/>
      <c r="Q5" s="16"/>
      <c r="S5" s="191"/>
      <c r="V5" s="16"/>
      <c r="W5" s="16"/>
      <c r="X5" s="22"/>
      <c r="Y5" s="16"/>
      <c r="Z5" s="19"/>
      <c r="AA5" s="19"/>
      <c r="AB5" s="50"/>
      <c r="AD5" s="16"/>
      <c r="AE5" s="16"/>
      <c r="AF5" s="22"/>
      <c r="AG5" s="16"/>
      <c r="AH5" s="19"/>
      <c r="AI5" s="19"/>
      <c r="AJ5" s="50"/>
      <c r="AL5" s="16"/>
      <c r="AM5" s="16"/>
      <c r="AN5" s="22"/>
      <c r="AO5" s="16"/>
      <c r="AP5" s="19"/>
      <c r="AQ5" s="19"/>
      <c r="AR5" s="50"/>
      <c r="AT5" s="16"/>
      <c r="AU5" s="16"/>
      <c r="AV5" s="22"/>
      <c r="AW5" s="16"/>
      <c r="AX5" s="19"/>
      <c r="AY5" s="19"/>
      <c r="AZ5" s="50"/>
      <c r="BB5" s="16"/>
      <c r="BC5" s="16"/>
      <c r="BD5" s="22"/>
      <c r="BE5" s="16"/>
      <c r="BF5" s="19"/>
      <c r="BG5" s="19"/>
      <c r="BH5" s="50"/>
      <c r="BJ5" s="16"/>
      <c r="BK5" s="16"/>
      <c r="BL5" s="22"/>
      <c r="BM5" s="16"/>
      <c r="BN5" s="19"/>
      <c r="BO5" s="19"/>
      <c r="BP5" s="50"/>
      <c r="BR5" s="16"/>
      <c r="BS5" s="16"/>
      <c r="BT5" s="22"/>
      <c r="BU5" s="16"/>
      <c r="BV5" s="19"/>
      <c r="BW5" s="19"/>
      <c r="BX5" s="50"/>
      <c r="BZ5" s="16"/>
      <c r="CA5" s="16"/>
      <c r="CB5" s="22"/>
      <c r="CC5" s="16"/>
      <c r="CD5" s="19"/>
      <c r="CE5" s="19"/>
      <c r="CF5" s="50"/>
      <c r="CH5" s="16"/>
      <c r="CI5" s="16"/>
      <c r="CJ5" s="22"/>
      <c r="CK5" s="16"/>
      <c r="CL5" s="19"/>
      <c r="CM5" s="19"/>
      <c r="CN5" s="50"/>
      <c r="CP5" s="138"/>
      <c r="DT5" s="13"/>
      <c r="DU5" s="50"/>
      <c r="DV5" s="90"/>
      <c r="DW5" s="13"/>
    </row>
    <row r="6" spans="1:159" s="21" customFormat="1" ht="15" customHeight="1" thickBot="1" x14ac:dyDescent="0.25">
      <c r="A6" s="20"/>
      <c r="B6" s="20"/>
      <c r="C6" s="1107"/>
      <c r="D6" s="13"/>
      <c r="E6" s="6578"/>
      <c r="F6" s="6579"/>
      <c r="G6" s="6579"/>
      <c r="H6" s="6579"/>
      <c r="I6" s="6579"/>
      <c r="J6" s="6579"/>
      <c r="K6" s="6579"/>
      <c r="L6" s="6579"/>
      <c r="M6" s="6579"/>
      <c r="N6" s="6579"/>
      <c r="O6" s="6579"/>
      <c r="P6" s="6579"/>
      <c r="Q6" s="6579"/>
      <c r="R6" s="6579"/>
      <c r="S6" s="6579"/>
      <c r="T6" s="658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8"/>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row>
    <row r="7" spans="1:159" s="21" customFormat="1" ht="7.5" customHeight="1" thickBot="1" x14ac:dyDescent="0.25">
      <c r="A7" s="20"/>
      <c r="B7" s="20"/>
      <c r="C7" s="13"/>
      <c r="D7" s="13"/>
      <c r="E7" s="14"/>
      <c r="F7" s="15"/>
      <c r="H7" s="13"/>
      <c r="I7" s="13"/>
      <c r="J7" s="1963"/>
      <c r="K7" s="15"/>
      <c r="L7" s="50"/>
      <c r="M7" s="50"/>
      <c r="N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8"/>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row>
    <row r="8" spans="1:159" s="21" customFormat="1" ht="9.9499999999999993" customHeight="1" x14ac:dyDescent="0.2">
      <c r="A8" s="20"/>
      <c r="B8" s="20"/>
      <c r="C8" s="1354"/>
      <c r="D8" s="13"/>
      <c r="E8" s="553"/>
      <c r="F8" s="606"/>
      <c r="G8" s="554"/>
      <c r="H8" s="554"/>
      <c r="I8" s="554"/>
      <c r="J8" s="555"/>
      <c r="K8" s="555"/>
      <c r="L8" s="555"/>
      <c r="M8" s="555"/>
      <c r="N8" s="559"/>
      <c r="O8" s="606"/>
      <c r="P8" s="555"/>
      <c r="Q8" s="555"/>
      <c r="R8" s="555"/>
      <c r="S8" s="555"/>
      <c r="T8" s="958"/>
      <c r="V8" s="16"/>
      <c r="W8" s="16"/>
      <c r="X8" s="22"/>
      <c r="Y8" s="16"/>
      <c r="Z8" s="19"/>
      <c r="AA8" s="19"/>
      <c r="AB8" s="50"/>
      <c r="AD8" s="16"/>
      <c r="AE8" s="16"/>
      <c r="AF8" s="22"/>
      <c r="AG8" s="16"/>
      <c r="AH8" s="19"/>
      <c r="AI8" s="19"/>
      <c r="AJ8" s="50"/>
      <c r="AL8" s="16"/>
      <c r="AM8" s="16"/>
      <c r="AN8" s="22"/>
      <c r="AO8" s="16"/>
      <c r="AP8" s="19"/>
      <c r="AQ8" s="19"/>
      <c r="AR8" s="50"/>
      <c r="AT8" s="16"/>
      <c r="AU8" s="16"/>
      <c r="AV8" s="22"/>
      <c r="AW8" s="16"/>
      <c r="AX8" s="19"/>
      <c r="AY8" s="19"/>
      <c r="AZ8" s="50"/>
      <c r="BB8" s="16"/>
      <c r="BC8" s="16"/>
      <c r="BD8" s="22"/>
      <c r="BE8" s="16"/>
      <c r="BF8" s="19"/>
      <c r="BG8" s="19"/>
      <c r="BH8" s="50"/>
      <c r="BJ8" s="16"/>
      <c r="BK8" s="16"/>
      <c r="BL8" s="22"/>
      <c r="BM8" s="16"/>
      <c r="BN8" s="19"/>
      <c r="BO8" s="19"/>
      <c r="BP8" s="50"/>
      <c r="BR8" s="16"/>
      <c r="BS8" s="16"/>
      <c r="BT8" s="22"/>
      <c r="BU8" s="16"/>
      <c r="BV8" s="19"/>
      <c r="BW8" s="19"/>
      <c r="BX8" s="50"/>
      <c r="BZ8" s="16"/>
      <c r="CA8" s="16"/>
      <c r="CB8" s="22"/>
      <c r="CC8" s="16"/>
      <c r="CD8" s="19"/>
      <c r="CE8" s="19"/>
      <c r="CF8" s="50"/>
      <c r="CH8" s="16"/>
      <c r="CI8" s="16"/>
      <c r="CJ8" s="22"/>
      <c r="CK8" s="16"/>
      <c r="CL8" s="19"/>
      <c r="CM8" s="19"/>
      <c r="CN8" s="50"/>
      <c r="CP8" s="138"/>
      <c r="DT8" s="13"/>
      <c r="DU8" s="50"/>
      <c r="DV8" s="90"/>
      <c r="DW8" s="13"/>
    </row>
    <row r="9" spans="1:159" s="15" customFormat="1" ht="39.950000000000003" customHeight="1" x14ac:dyDescent="0.2">
      <c r="A9" s="17"/>
      <c r="B9" s="17"/>
      <c r="C9" s="1772"/>
      <c r="E9" s="1846"/>
      <c r="F9" s="6342" t="str">
        <f>_Calcs!$I$43</f>
        <v>Arbeider foran stuff</v>
      </c>
      <c r="G9" s="6342"/>
      <c r="H9" s="6342"/>
      <c r="I9" s="6342"/>
      <c r="J9" s="6342"/>
      <c r="K9" s="6342"/>
      <c r="L9" s="6342"/>
      <c r="M9" s="6342"/>
      <c r="N9" s="6342"/>
      <c r="O9" s="6342"/>
      <c r="P9" s="106"/>
      <c r="Q9" s="106"/>
      <c r="R9" s="106"/>
      <c r="S9" s="106"/>
      <c r="T9" s="1847"/>
      <c r="V9" s="17"/>
      <c r="W9" s="17"/>
      <c r="X9" s="17"/>
      <c r="Y9" s="18"/>
      <c r="Z9" s="17"/>
      <c r="AA9" s="17"/>
      <c r="AB9" s="1848"/>
      <c r="AC9" s="1848"/>
      <c r="AD9" s="1849"/>
      <c r="AE9" s="1849"/>
      <c r="AG9" s="17"/>
      <c r="AH9" s="17"/>
      <c r="AI9" s="17"/>
      <c r="AJ9" s="18"/>
      <c r="AK9" s="17"/>
      <c r="AL9" s="1848"/>
      <c r="AM9" s="1848"/>
      <c r="AN9" s="1848"/>
      <c r="AO9" s="1849"/>
      <c r="AQ9" s="17"/>
      <c r="AR9" s="17"/>
      <c r="AS9" s="17"/>
      <c r="AT9" s="18"/>
      <c r="AU9" s="18"/>
      <c r="AV9" s="17"/>
      <c r="AW9" s="1848"/>
      <c r="AX9" s="1848"/>
      <c r="AY9" s="1849"/>
      <c r="AZ9" s="1849"/>
      <c r="BB9" s="17"/>
      <c r="BC9" s="17"/>
      <c r="BD9" s="17"/>
      <c r="BE9" s="18"/>
      <c r="BF9" s="17"/>
      <c r="BG9" s="1848"/>
      <c r="BH9" s="1848"/>
      <c r="BI9" s="1848"/>
      <c r="BJ9" s="1849"/>
      <c r="BK9" s="1849"/>
      <c r="BM9" s="17"/>
      <c r="BN9" s="17"/>
      <c r="BO9" s="18"/>
      <c r="BP9" s="18"/>
      <c r="BQ9" s="17"/>
      <c r="BR9" s="1848"/>
      <c r="BS9" s="1848"/>
      <c r="BT9" s="1848"/>
      <c r="BU9" s="1849"/>
      <c r="BW9" s="17"/>
      <c r="BX9" s="17"/>
      <c r="BY9" s="17"/>
      <c r="BZ9" s="18"/>
      <c r="CA9" s="18"/>
      <c r="CB9" s="17"/>
      <c r="CC9" s="1848"/>
      <c r="CD9" s="1848"/>
      <c r="CE9" s="1849"/>
      <c r="CF9" s="1849"/>
      <c r="CH9" s="17"/>
      <c r="CI9" s="17"/>
      <c r="CJ9" s="17"/>
      <c r="CK9" s="18"/>
      <c r="CL9" s="17"/>
      <c r="CM9" s="1848"/>
      <c r="CN9" s="1848"/>
      <c r="CO9" s="1848"/>
      <c r="CP9" s="1849"/>
      <c r="CR9" s="17"/>
      <c r="CS9" s="17"/>
      <c r="CT9" s="18"/>
      <c r="CU9" s="17"/>
      <c r="CV9" s="18"/>
      <c r="CW9" s="17"/>
      <c r="CX9" s="1848"/>
      <c r="CY9" s="1848"/>
      <c r="CZ9" s="1849"/>
      <c r="DB9" s="1850"/>
    </row>
    <row r="10" spans="1:159" s="21" customFormat="1" ht="9.9499999999999993" customHeight="1" thickBot="1" x14ac:dyDescent="0.25">
      <c r="A10" s="20"/>
      <c r="B10" s="20"/>
      <c r="C10" s="1355"/>
      <c r="D10" s="13"/>
      <c r="E10" s="561"/>
      <c r="F10" s="3915"/>
      <c r="G10" s="1844"/>
      <c r="H10" s="1844"/>
      <c r="I10" s="1844"/>
      <c r="J10" s="1995"/>
      <c r="K10" s="1844"/>
      <c r="L10" s="1844"/>
      <c r="M10" s="1844"/>
      <c r="N10" s="1844"/>
      <c r="O10" s="3915"/>
      <c r="P10" s="107"/>
      <c r="Q10" s="107"/>
      <c r="R10" s="107"/>
      <c r="S10" s="107"/>
      <c r="T10" s="959"/>
      <c r="V10" s="16"/>
      <c r="W10" s="16"/>
      <c r="X10" s="16"/>
      <c r="Y10" s="22"/>
      <c r="Z10" s="16"/>
      <c r="AA10" s="16"/>
      <c r="AB10" s="19"/>
      <c r="AC10" s="19"/>
      <c r="AD10" s="50"/>
      <c r="AE10" s="50"/>
      <c r="AG10" s="16"/>
      <c r="AH10" s="16"/>
      <c r="AI10" s="16"/>
      <c r="AJ10" s="22"/>
      <c r="AK10" s="16"/>
      <c r="AL10" s="19"/>
      <c r="AM10" s="19"/>
      <c r="AN10" s="19"/>
      <c r="AO10" s="50"/>
      <c r="AQ10" s="16"/>
      <c r="AR10" s="16"/>
      <c r="AS10" s="16"/>
      <c r="AT10" s="22"/>
      <c r="AU10" s="22"/>
      <c r="AV10" s="16"/>
      <c r="AW10" s="19"/>
      <c r="AX10" s="19"/>
      <c r="AY10" s="50"/>
      <c r="AZ10" s="50"/>
      <c r="BB10" s="16"/>
      <c r="BC10" s="16"/>
      <c r="BD10" s="16"/>
      <c r="BE10" s="22"/>
      <c r="BF10" s="16"/>
      <c r="BG10" s="19"/>
      <c r="BH10" s="19"/>
      <c r="BI10" s="19"/>
      <c r="BJ10" s="50"/>
      <c r="BK10" s="50"/>
      <c r="BM10" s="16"/>
      <c r="BN10" s="16"/>
      <c r="BO10" s="22"/>
      <c r="BP10" s="22"/>
      <c r="BQ10" s="16"/>
      <c r="BR10" s="19"/>
      <c r="BS10" s="19"/>
      <c r="BT10" s="19"/>
      <c r="BU10" s="50"/>
      <c r="BW10" s="16"/>
      <c r="BX10" s="16"/>
      <c r="BY10" s="16"/>
      <c r="BZ10" s="22"/>
      <c r="CA10" s="22"/>
      <c r="CB10" s="16"/>
      <c r="CC10" s="19"/>
      <c r="CD10" s="19"/>
      <c r="CE10" s="50"/>
      <c r="CF10" s="50"/>
      <c r="CH10" s="16"/>
      <c r="CI10" s="16"/>
      <c r="CJ10" s="16"/>
      <c r="CK10" s="22"/>
      <c r="CL10" s="16"/>
      <c r="CM10" s="19"/>
      <c r="CN10" s="19"/>
      <c r="CO10" s="19"/>
      <c r="CP10" s="50"/>
      <c r="CR10" s="16"/>
      <c r="CS10" s="16"/>
      <c r="CT10" s="22"/>
      <c r="CU10" s="16"/>
      <c r="CV10" s="22"/>
      <c r="CW10" s="16"/>
      <c r="CX10" s="19"/>
      <c r="CY10" s="19"/>
      <c r="CZ10" s="50"/>
      <c r="DB10" s="138"/>
      <c r="DG10" s="14"/>
      <c r="EK10" s="70"/>
      <c r="EL10" s="70"/>
      <c r="EM10" s="70"/>
      <c r="EN10" s="70"/>
      <c r="EO10" s="70"/>
      <c r="EP10" s="70"/>
      <c r="EQ10" s="70"/>
      <c r="ER10" s="70"/>
      <c r="ES10" s="70"/>
      <c r="ET10" s="70"/>
    </row>
    <row r="11" spans="1:159" s="21" customFormat="1" ht="39.950000000000003" customHeight="1" thickBot="1" x14ac:dyDescent="0.25">
      <c r="A11" s="20"/>
      <c r="B11" s="20"/>
      <c r="C11" s="1355"/>
      <c r="D11" s="13"/>
      <c r="E11" s="561"/>
      <c r="F11" s="6559" t="s">
        <v>826</v>
      </c>
      <c r="G11" s="6560"/>
      <c r="H11" s="5487"/>
      <c r="I11" s="2318"/>
      <c r="J11" s="2318"/>
      <c r="K11" s="2319"/>
      <c r="L11" s="2319"/>
      <c r="M11" s="2319"/>
      <c r="N11" s="2320"/>
      <c r="O11" s="2320"/>
      <c r="P11" s="2320"/>
      <c r="Q11" s="2320"/>
      <c r="R11" s="2320"/>
      <c r="S11" s="2320"/>
      <c r="T11" s="2280"/>
    </row>
    <row r="12" spans="1:159" s="21" customFormat="1" ht="15" customHeight="1" thickBot="1" x14ac:dyDescent="0.25">
      <c r="A12" s="20"/>
      <c r="B12" s="20"/>
      <c r="C12" s="1355"/>
      <c r="D12" s="13"/>
      <c r="E12" s="563"/>
      <c r="F12" s="1552"/>
      <c r="G12" s="564"/>
      <c r="H12" s="564"/>
      <c r="I12" s="564"/>
      <c r="J12" s="565"/>
      <c r="K12" s="565"/>
      <c r="L12" s="565"/>
      <c r="M12" s="565"/>
      <c r="N12" s="569"/>
      <c r="O12" s="1552"/>
      <c r="P12" s="565"/>
      <c r="Q12" s="565"/>
      <c r="R12" s="565"/>
      <c r="S12" s="565"/>
      <c r="T12" s="961"/>
      <c r="V12" s="16"/>
      <c r="W12" s="16"/>
      <c r="X12" s="16"/>
      <c r="Y12" s="22"/>
      <c r="Z12" s="16"/>
      <c r="AA12" s="16"/>
      <c r="AB12" s="19"/>
      <c r="AC12" s="19"/>
      <c r="AD12" s="50"/>
      <c r="AE12" s="50"/>
      <c r="AG12" s="16"/>
      <c r="AH12" s="16"/>
      <c r="AI12" s="16"/>
      <c r="AJ12" s="22"/>
      <c r="AK12" s="16"/>
      <c r="AL12" s="19"/>
      <c r="AM12" s="19"/>
      <c r="AN12" s="19"/>
      <c r="AO12" s="50"/>
      <c r="AQ12" s="16"/>
      <c r="AR12" s="16"/>
      <c r="AS12" s="16"/>
      <c r="AT12" s="22"/>
      <c r="AU12" s="22"/>
      <c r="AV12" s="16"/>
      <c r="AW12" s="19"/>
      <c r="AX12" s="19"/>
      <c r="AY12" s="50"/>
      <c r="AZ12" s="50"/>
      <c r="BB12" s="16"/>
      <c r="BC12" s="16"/>
      <c r="BD12" s="16"/>
      <c r="BE12" s="22"/>
      <c r="BF12" s="16"/>
      <c r="BG12" s="19"/>
      <c r="BH12" s="19"/>
      <c r="BI12" s="19"/>
      <c r="BJ12" s="50"/>
      <c r="BK12" s="50"/>
      <c r="BM12" s="16"/>
      <c r="BN12" s="16"/>
      <c r="BO12" s="22"/>
      <c r="BP12" s="22"/>
      <c r="BQ12" s="16"/>
      <c r="BR12" s="19"/>
      <c r="BS12" s="19"/>
      <c r="BT12" s="19"/>
      <c r="BU12" s="50"/>
      <c r="BW12" s="16"/>
      <c r="BX12" s="16"/>
      <c r="BY12" s="16"/>
      <c r="BZ12" s="22"/>
      <c r="CA12" s="22"/>
      <c r="CB12" s="16"/>
      <c r="CC12" s="19"/>
      <c r="CD12" s="19"/>
      <c r="CE12" s="50"/>
      <c r="CF12" s="50"/>
      <c r="CH12" s="16"/>
      <c r="CI12" s="16"/>
      <c r="CJ12" s="16"/>
      <c r="CK12" s="22"/>
      <c r="CL12" s="16"/>
      <c r="CM12" s="19"/>
      <c r="CN12" s="19"/>
      <c r="CO12" s="19"/>
      <c r="CP12" s="50"/>
      <c r="CR12" s="16"/>
      <c r="CS12" s="16"/>
      <c r="CT12" s="22"/>
      <c r="CU12" s="16"/>
      <c r="CV12" s="22"/>
      <c r="CW12" s="16"/>
      <c r="CX12" s="19"/>
      <c r="CY12" s="19"/>
      <c r="CZ12" s="50"/>
      <c r="DB12" s="138"/>
      <c r="DG12" s="14"/>
      <c r="EK12" s="70"/>
      <c r="EL12" s="70"/>
      <c r="EM12" s="70"/>
      <c r="EN12" s="70"/>
      <c r="EO12" s="70"/>
      <c r="EP12" s="70"/>
      <c r="EQ12" s="70"/>
      <c r="ER12" s="70"/>
      <c r="ES12" s="70"/>
      <c r="ET12" s="70"/>
    </row>
    <row r="13" spans="1:159" s="21" customFormat="1" ht="15" customHeight="1" thickBot="1" x14ac:dyDescent="0.25">
      <c r="A13" s="20"/>
      <c r="B13" s="20"/>
      <c r="C13" s="1355"/>
      <c r="D13" s="13"/>
      <c r="E13" s="20"/>
      <c r="F13" s="17"/>
      <c r="G13" s="136"/>
      <c r="H13" s="136"/>
      <c r="I13" s="136"/>
      <c r="J13" s="16"/>
      <c r="K13" s="16"/>
      <c r="L13" s="16"/>
      <c r="M13" s="16"/>
      <c r="N13" s="137"/>
      <c r="O13" s="17"/>
      <c r="P13" s="16"/>
      <c r="Q13" s="16"/>
      <c r="R13" s="16"/>
      <c r="S13" s="16"/>
      <c r="T13" s="16"/>
      <c r="V13" s="16"/>
      <c r="W13" s="16"/>
      <c r="X13" s="16"/>
      <c r="Y13" s="22"/>
      <c r="Z13" s="16"/>
      <c r="AA13" s="16"/>
      <c r="AB13" s="19"/>
      <c r="AC13" s="19"/>
      <c r="AD13" s="50"/>
      <c r="AE13" s="50"/>
      <c r="AG13" s="16"/>
      <c r="AH13" s="16"/>
      <c r="AI13" s="16"/>
      <c r="AJ13" s="22"/>
      <c r="AK13" s="16"/>
      <c r="AL13" s="19"/>
      <c r="AM13" s="19"/>
      <c r="AN13" s="19"/>
      <c r="AO13" s="50"/>
      <c r="AQ13" s="16"/>
      <c r="AR13" s="16"/>
      <c r="AS13" s="16"/>
      <c r="AT13" s="22"/>
      <c r="AU13" s="22"/>
      <c r="AV13" s="16"/>
      <c r="AW13" s="19"/>
      <c r="AX13" s="19"/>
      <c r="AY13" s="50"/>
      <c r="AZ13" s="50"/>
      <c r="BB13" s="16"/>
      <c r="BC13" s="16"/>
      <c r="BD13" s="16"/>
      <c r="BE13" s="22"/>
      <c r="BF13" s="16"/>
      <c r="BG13" s="19"/>
      <c r="BH13" s="19"/>
      <c r="BI13" s="19"/>
      <c r="BJ13" s="50"/>
      <c r="BK13" s="50"/>
      <c r="BM13" s="16"/>
      <c r="BN13" s="16"/>
      <c r="BO13" s="22"/>
      <c r="BP13" s="22"/>
      <c r="BQ13" s="16"/>
      <c r="BR13" s="19"/>
      <c r="BS13" s="19"/>
      <c r="BT13" s="19"/>
      <c r="BU13" s="50"/>
      <c r="BW13" s="16"/>
      <c r="BX13" s="16"/>
      <c r="BY13" s="16"/>
      <c r="BZ13" s="22"/>
      <c r="CA13" s="22"/>
      <c r="CB13" s="16"/>
      <c r="CC13" s="19"/>
      <c r="CD13" s="19"/>
      <c r="CE13" s="50"/>
      <c r="CF13" s="50"/>
      <c r="CH13" s="16"/>
      <c r="CI13" s="16"/>
      <c r="CJ13" s="16"/>
      <c r="CK13" s="22"/>
      <c r="CL13" s="16"/>
      <c r="CM13" s="19"/>
      <c r="CN13" s="19"/>
      <c r="CO13" s="19"/>
      <c r="CP13" s="50"/>
      <c r="CR13" s="16"/>
      <c r="CS13" s="16"/>
      <c r="CT13" s="22"/>
      <c r="CU13" s="16"/>
      <c r="CV13" s="22"/>
      <c r="CW13" s="16"/>
      <c r="CX13" s="19"/>
      <c r="CY13" s="19"/>
      <c r="CZ13" s="50"/>
      <c r="DB13" s="138"/>
      <c r="DG13" s="14"/>
      <c r="EK13" s="70"/>
      <c r="EL13" s="70"/>
      <c r="EM13" s="70"/>
      <c r="EN13" s="70"/>
      <c r="EO13" s="70"/>
      <c r="EP13" s="70"/>
      <c r="EQ13" s="70"/>
      <c r="ER13" s="70"/>
      <c r="ES13" s="70"/>
      <c r="ET13" s="70"/>
    </row>
    <row r="14" spans="1:159" s="21" customFormat="1" ht="15" customHeight="1" thickBot="1" x14ac:dyDescent="0.25">
      <c r="A14" s="20"/>
      <c r="B14" s="20"/>
      <c r="C14" s="1355"/>
      <c r="D14" s="13"/>
      <c r="E14" s="1359"/>
      <c r="F14" s="1379"/>
      <c r="G14" s="1360"/>
      <c r="H14" s="1360"/>
      <c r="I14" s="1360"/>
      <c r="J14" s="1361"/>
      <c r="K14" s="1361"/>
      <c r="L14" s="1361"/>
      <c r="M14" s="1361"/>
      <c r="N14" s="1362"/>
      <c r="O14" s="1379"/>
      <c r="P14" s="1361"/>
      <c r="Q14" s="1361"/>
      <c r="R14" s="1361"/>
      <c r="S14" s="1361"/>
      <c r="T14" s="1364"/>
      <c r="V14" s="16"/>
      <c r="W14" s="16"/>
      <c r="X14" s="16"/>
      <c r="Y14" s="22"/>
      <c r="Z14" s="16"/>
      <c r="AA14" s="16"/>
      <c r="AB14" s="19"/>
      <c r="AC14" s="19"/>
      <c r="AD14" s="50"/>
      <c r="AE14" s="50"/>
      <c r="AG14" s="16"/>
      <c r="AH14" s="16"/>
      <c r="AI14" s="16"/>
      <c r="AJ14" s="22"/>
      <c r="AK14" s="16"/>
      <c r="AL14" s="19"/>
      <c r="AM14" s="19"/>
      <c r="AN14" s="19"/>
      <c r="AO14" s="50"/>
      <c r="AQ14" s="16"/>
      <c r="AR14" s="16"/>
      <c r="AS14" s="16"/>
      <c r="AT14" s="22"/>
      <c r="AU14" s="22"/>
      <c r="AV14" s="16"/>
      <c r="AW14" s="19"/>
      <c r="AX14" s="19"/>
      <c r="AY14" s="50"/>
      <c r="AZ14" s="50"/>
      <c r="BB14" s="16"/>
      <c r="BC14" s="16"/>
      <c r="BD14" s="16"/>
      <c r="BE14" s="22"/>
      <c r="BF14" s="16"/>
      <c r="BG14" s="19"/>
      <c r="BH14" s="19"/>
      <c r="BI14" s="19"/>
      <c r="BJ14" s="50"/>
      <c r="BK14" s="50"/>
      <c r="BM14" s="16"/>
      <c r="BN14" s="16"/>
      <c r="BO14" s="22"/>
      <c r="BP14" s="22"/>
      <c r="BQ14" s="16"/>
      <c r="BR14" s="19"/>
      <c r="BS14" s="19"/>
      <c r="BT14" s="19"/>
      <c r="BU14" s="50"/>
      <c r="BW14" s="16"/>
      <c r="BX14" s="16"/>
      <c r="BY14" s="16"/>
      <c r="BZ14" s="22"/>
      <c r="CA14" s="22"/>
      <c r="CB14" s="16"/>
      <c r="CC14" s="19"/>
      <c r="CD14" s="19"/>
      <c r="CE14" s="50"/>
      <c r="CF14" s="50"/>
      <c r="CH14" s="16"/>
      <c r="CI14" s="16"/>
      <c r="CJ14" s="16"/>
      <c r="CK14" s="22"/>
      <c r="CL14" s="16"/>
      <c r="CM14" s="19"/>
      <c r="CN14" s="19"/>
      <c r="CO14" s="19"/>
      <c r="CP14" s="50"/>
      <c r="CR14" s="16"/>
      <c r="CS14" s="16"/>
      <c r="CT14" s="22"/>
      <c r="CU14" s="16"/>
      <c r="CV14" s="22"/>
      <c r="CW14" s="16"/>
      <c r="CX14" s="19"/>
      <c r="CY14" s="19"/>
      <c r="CZ14" s="50"/>
      <c r="DB14" s="138"/>
      <c r="DG14" s="14"/>
      <c r="EK14" s="70"/>
      <c r="EL14" s="70"/>
      <c r="EM14" s="70"/>
      <c r="EN14" s="70"/>
      <c r="EO14" s="70"/>
      <c r="EP14" s="70"/>
      <c r="EQ14" s="70"/>
      <c r="ER14" s="70"/>
      <c r="ES14" s="70"/>
      <c r="ET14" s="70"/>
    </row>
    <row r="15" spans="1:159" s="21" customFormat="1" ht="30" customHeight="1" thickBot="1" x14ac:dyDescent="0.25">
      <c r="A15" s="20"/>
      <c r="B15" s="20"/>
      <c r="C15" s="1355"/>
      <c r="D15" s="13"/>
      <c r="E15" s="1365"/>
      <c r="F15" s="1851" t="str">
        <f>Tunneldrift!$M$125</f>
        <v>Fordeling av mengder</v>
      </c>
      <c r="G15" s="1568"/>
      <c r="H15" s="6574" t="str">
        <f>Tunneldrift!$F$125</f>
        <v>Brukerdefinert</v>
      </c>
      <c r="I15" s="6575"/>
      <c r="J15" s="6575"/>
      <c r="K15" s="6575"/>
      <c r="L15" s="6575"/>
      <c r="M15" s="6575"/>
      <c r="N15" s="6575"/>
      <c r="O15" s="6576"/>
      <c r="P15" s="3894"/>
      <c r="Q15" s="3894"/>
      <c r="R15" s="3894"/>
      <c r="S15" s="1367"/>
      <c r="T15" s="1369"/>
      <c r="V15" s="16"/>
      <c r="W15" s="16"/>
      <c r="X15" s="16"/>
      <c r="Y15" s="22"/>
      <c r="Z15" s="16"/>
      <c r="AA15" s="16"/>
      <c r="AB15" s="19"/>
      <c r="AC15" s="19"/>
      <c r="AD15" s="50"/>
      <c r="AE15" s="50"/>
      <c r="AG15" s="16"/>
      <c r="AH15" s="16"/>
      <c r="AI15" s="16"/>
      <c r="AJ15" s="22"/>
      <c r="AK15" s="16"/>
      <c r="AL15" s="19"/>
      <c r="AM15" s="19"/>
      <c r="AN15" s="19"/>
      <c r="AO15" s="50"/>
      <c r="AQ15" s="16"/>
      <c r="AR15" s="16"/>
      <c r="AS15" s="16"/>
      <c r="AT15" s="22"/>
      <c r="AU15" s="22"/>
      <c r="AV15" s="16"/>
      <c r="AW15" s="19"/>
      <c r="AX15" s="19"/>
      <c r="AY15" s="50"/>
      <c r="AZ15" s="50"/>
      <c r="BB15" s="16"/>
      <c r="BC15" s="16"/>
      <c r="BD15" s="16"/>
      <c r="BE15" s="22"/>
      <c r="BF15" s="16"/>
      <c r="BG15" s="19"/>
      <c r="BH15" s="19"/>
      <c r="BI15" s="19"/>
      <c r="BJ15" s="50"/>
      <c r="BK15" s="50"/>
      <c r="BM15" s="16"/>
      <c r="BN15" s="16"/>
      <c r="BO15" s="22"/>
      <c r="BP15" s="22"/>
      <c r="BQ15" s="16"/>
      <c r="BR15" s="19"/>
      <c r="BS15" s="19"/>
      <c r="BT15" s="19"/>
      <c r="BU15" s="50"/>
      <c r="BW15" s="16"/>
      <c r="BX15" s="16"/>
      <c r="BY15" s="16"/>
      <c r="BZ15" s="22"/>
      <c r="CA15" s="22"/>
      <c r="CB15" s="16"/>
      <c r="CC15" s="19"/>
      <c r="CD15" s="19"/>
      <c r="CE15" s="50"/>
      <c r="CF15" s="50"/>
      <c r="CH15" s="16"/>
      <c r="CI15" s="16"/>
      <c r="CJ15" s="16"/>
      <c r="CK15" s="22"/>
      <c r="CL15" s="16"/>
      <c r="CM15" s="19"/>
      <c r="CN15" s="19"/>
      <c r="CO15" s="19"/>
      <c r="CP15" s="50"/>
      <c r="CR15" s="16"/>
      <c r="CS15" s="16"/>
      <c r="CT15" s="22"/>
      <c r="CU15" s="16"/>
      <c r="CV15" s="22"/>
      <c r="CW15" s="16"/>
      <c r="CX15" s="19"/>
      <c r="CY15" s="19"/>
      <c r="CZ15" s="50"/>
      <c r="DB15" s="138"/>
      <c r="DG15" s="14"/>
      <c r="EK15" s="70"/>
      <c r="EL15" s="70"/>
      <c r="EM15" s="70"/>
      <c r="EN15" s="70"/>
      <c r="EO15" s="70"/>
      <c r="EP15" s="70"/>
      <c r="EQ15" s="70"/>
      <c r="ER15" s="70"/>
      <c r="ES15" s="70"/>
      <c r="ET15" s="70"/>
    </row>
    <row r="16" spans="1:159" s="21" customFormat="1" ht="15" customHeight="1" thickBot="1" x14ac:dyDescent="0.25">
      <c r="A16" s="20"/>
      <c r="B16" s="20"/>
      <c r="C16" s="1356"/>
      <c r="D16" s="13"/>
      <c r="E16" s="4060"/>
      <c r="F16" s="2003"/>
      <c r="G16" s="4061"/>
      <c r="H16" s="4061"/>
      <c r="I16" s="4061"/>
      <c r="J16" s="4061"/>
      <c r="K16" s="4061"/>
      <c r="L16" s="1372"/>
      <c r="M16" s="1372"/>
      <c r="N16" s="1373"/>
      <c r="O16" s="2003"/>
      <c r="P16" s="1372"/>
      <c r="Q16" s="1372"/>
      <c r="R16" s="1372"/>
      <c r="S16" s="1372"/>
      <c r="T16" s="1375"/>
      <c r="V16" s="16"/>
      <c r="W16" s="16"/>
      <c r="X16" s="16"/>
      <c r="Y16" s="22"/>
      <c r="Z16" s="16"/>
      <c r="AA16" s="16"/>
      <c r="AB16" s="19"/>
      <c r="AC16" s="19"/>
      <c r="AD16" s="50"/>
      <c r="AE16" s="50"/>
      <c r="AG16" s="16"/>
      <c r="AH16" s="16"/>
      <c r="AI16" s="16"/>
      <c r="AJ16" s="22"/>
      <c r="AK16" s="16"/>
      <c r="AL16" s="19"/>
      <c r="AM16" s="19"/>
      <c r="AN16" s="19"/>
      <c r="AO16" s="50"/>
      <c r="AQ16" s="16"/>
      <c r="AR16" s="16"/>
      <c r="AS16" s="16"/>
      <c r="AT16" s="22"/>
      <c r="AU16" s="22"/>
      <c r="AV16" s="16"/>
      <c r="AW16" s="19"/>
      <c r="AX16" s="19"/>
      <c r="AY16" s="50"/>
      <c r="AZ16" s="50"/>
      <c r="BB16" s="16"/>
      <c r="BC16" s="16"/>
      <c r="BD16" s="16"/>
      <c r="BE16" s="22"/>
      <c r="BF16" s="16"/>
      <c r="BG16" s="19"/>
      <c r="BH16" s="19"/>
      <c r="BI16" s="19"/>
      <c r="BJ16" s="50"/>
      <c r="BK16" s="50"/>
      <c r="BM16" s="16"/>
      <c r="BN16" s="16"/>
      <c r="BO16" s="22"/>
      <c r="BP16" s="22"/>
      <c r="BQ16" s="16"/>
      <c r="BR16" s="19"/>
      <c r="BS16" s="19"/>
      <c r="BT16" s="19"/>
      <c r="BU16" s="50"/>
      <c r="BW16" s="16"/>
      <c r="BX16" s="16"/>
      <c r="BY16" s="16"/>
      <c r="BZ16" s="22"/>
      <c r="CA16" s="22"/>
      <c r="CB16" s="16"/>
      <c r="CC16" s="19"/>
      <c r="CD16" s="19"/>
      <c r="CE16" s="50"/>
      <c r="CF16" s="50"/>
      <c r="CH16" s="16"/>
      <c r="CI16" s="16"/>
      <c r="CJ16" s="16"/>
      <c r="CK16" s="22"/>
      <c r="CL16" s="16"/>
      <c r="CM16" s="19"/>
      <c r="CN16" s="19"/>
      <c r="CO16" s="19"/>
      <c r="CP16" s="50"/>
      <c r="CR16" s="16"/>
      <c r="CS16" s="16"/>
      <c r="CT16" s="22"/>
      <c r="CU16" s="16"/>
      <c r="CV16" s="22"/>
      <c r="CW16" s="16"/>
      <c r="CX16" s="19"/>
      <c r="CY16" s="19"/>
      <c r="CZ16" s="50"/>
      <c r="DB16" s="138"/>
      <c r="DG16" s="14"/>
      <c r="EK16" s="70"/>
      <c r="EL16" s="70"/>
      <c r="EM16" s="70"/>
      <c r="EN16" s="70"/>
      <c r="EO16" s="70"/>
      <c r="EP16" s="70"/>
      <c r="EQ16" s="70"/>
      <c r="ER16" s="70"/>
      <c r="ES16" s="70"/>
      <c r="ET16" s="70"/>
    </row>
    <row r="17" spans="1:98" s="21" customFormat="1" ht="24.95" customHeight="1" thickBot="1" x14ac:dyDescent="0.25">
      <c r="A17" s="20"/>
      <c r="B17" s="20"/>
      <c r="C17" s="13"/>
      <c r="D17" s="20"/>
      <c r="E17" s="14"/>
      <c r="F17" s="15"/>
      <c r="I17" s="16"/>
      <c r="J17" s="16"/>
      <c r="K17" s="16"/>
      <c r="L17" s="16"/>
      <c r="M17" s="16"/>
      <c r="N17" s="16"/>
      <c r="O17" s="15"/>
      <c r="P17" s="16"/>
      <c r="S17" s="191"/>
      <c r="V17" s="16"/>
      <c r="W17" s="16"/>
      <c r="X17" s="22"/>
      <c r="Y17" s="22"/>
      <c r="Z17" s="19"/>
      <c r="AA17" s="19"/>
      <c r="AB17" s="22"/>
      <c r="AC17" s="22"/>
      <c r="AD17" s="16"/>
      <c r="AE17" s="16"/>
      <c r="AF17" s="22"/>
      <c r="AG17" s="22"/>
      <c r="AH17" s="19"/>
      <c r="AI17" s="19"/>
      <c r="AJ17" s="22"/>
      <c r="AK17" s="22"/>
      <c r="AL17" s="16"/>
      <c r="AM17" s="16"/>
      <c r="AN17" s="22"/>
      <c r="AO17" s="22"/>
      <c r="AP17" s="19"/>
      <c r="AQ17" s="22"/>
      <c r="AR17" s="22"/>
      <c r="AS17" s="22"/>
      <c r="AT17" s="16"/>
      <c r="AU17" s="16"/>
      <c r="AV17" s="22"/>
      <c r="AW17" s="22"/>
      <c r="AX17" s="19"/>
      <c r="AY17" s="22"/>
      <c r="AZ17" s="22"/>
      <c r="BA17" s="22"/>
      <c r="BB17" s="16"/>
      <c r="BC17" s="16"/>
      <c r="BD17" s="22"/>
      <c r="BE17" s="22"/>
      <c r="BF17" s="19"/>
      <c r="BG17" s="22"/>
      <c r="BH17" s="22"/>
      <c r="BI17" s="22"/>
      <c r="BJ17" s="16"/>
      <c r="BK17" s="16"/>
      <c r="BL17" s="22"/>
      <c r="BM17" s="22"/>
      <c r="BN17" s="19"/>
      <c r="BO17" s="22"/>
      <c r="BP17" s="22"/>
      <c r="BQ17" s="22"/>
      <c r="BR17" s="16"/>
      <c r="BS17" s="16"/>
      <c r="BT17" s="22"/>
      <c r="BU17" s="22"/>
      <c r="BV17" s="19"/>
      <c r="BW17" s="22"/>
      <c r="BX17" s="22"/>
      <c r="BY17" s="22"/>
      <c r="BZ17" s="16"/>
      <c r="CA17" s="16"/>
      <c r="CB17" s="22"/>
      <c r="CC17" s="22"/>
      <c r="CD17" s="19"/>
      <c r="CE17" s="22"/>
      <c r="CF17" s="22"/>
      <c r="CG17" s="22"/>
      <c r="CH17" s="16"/>
      <c r="CI17" s="16"/>
      <c r="CJ17" s="22"/>
      <c r="CK17" s="22"/>
      <c r="CL17" s="19"/>
      <c r="CM17" s="22"/>
      <c r="CN17" s="22"/>
      <c r="CO17" s="22"/>
      <c r="CP17" s="70"/>
      <c r="CQ17" s="70"/>
      <c r="CR17" s="70"/>
      <c r="CS17" s="70"/>
    </row>
    <row r="18" spans="1:98" s="13" customFormat="1" ht="39.950000000000003" customHeight="1" thickBot="1" x14ac:dyDescent="0.25">
      <c r="A18" s="38"/>
      <c r="B18" s="38"/>
      <c r="C18" s="2294"/>
      <c r="D18" s="38"/>
      <c r="E18" s="2295"/>
      <c r="F18" s="1996"/>
      <c r="G18" s="1996"/>
      <c r="H18" s="1996"/>
      <c r="I18" s="1996"/>
      <c r="J18" s="1996"/>
      <c r="K18" s="1996"/>
      <c r="L18" s="1996"/>
      <c r="M18" s="1996"/>
      <c r="N18" s="1996"/>
      <c r="O18" s="1996"/>
      <c r="P18" s="2296"/>
      <c r="R18" s="6567" t="s">
        <v>641</v>
      </c>
      <c r="S18" s="6568"/>
      <c r="T18" s="6569"/>
      <c r="V18" s="687"/>
      <c r="W18" s="6577" t="str">
        <f>_Calcs!$BC$125</f>
        <v>Stuff 1-1</v>
      </c>
      <c r="X18" s="6577"/>
      <c r="Y18" s="6577"/>
      <c r="Z18" s="6577"/>
      <c r="AA18" s="1580"/>
      <c r="AB18" s="689"/>
      <c r="AD18" s="687"/>
      <c r="AE18" s="6577" t="str">
        <f>_Calcs!$BD$125</f>
        <v/>
      </c>
      <c r="AF18" s="6577"/>
      <c r="AG18" s="6577"/>
      <c r="AH18" s="6577"/>
      <c r="AI18" s="1580"/>
      <c r="AJ18" s="689"/>
      <c r="AL18" s="687"/>
      <c r="AM18" s="6577" t="str">
        <f>_Calcs!$BE$125</f>
        <v/>
      </c>
      <c r="AN18" s="6577"/>
      <c r="AO18" s="6577"/>
      <c r="AP18" s="6577"/>
      <c r="AQ18" s="1580"/>
      <c r="AR18" s="689"/>
      <c r="AT18" s="687"/>
      <c r="AU18" s="6577" t="str">
        <f>_Calcs!$BF$125</f>
        <v/>
      </c>
      <c r="AV18" s="6577"/>
      <c r="AW18" s="6577"/>
      <c r="AX18" s="6577"/>
      <c r="AY18" s="1580"/>
      <c r="AZ18" s="689"/>
      <c r="BB18" s="687"/>
      <c r="BC18" s="6577" t="str">
        <f>_Calcs!$BG$125</f>
        <v/>
      </c>
      <c r="BD18" s="6577"/>
      <c r="BE18" s="6577"/>
      <c r="BF18" s="6577"/>
      <c r="BG18" s="1580"/>
      <c r="BH18" s="689"/>
      <c r="BJ18" s="687"/>
      <c r="BK18" s="6577" t="str">
        <f>_Calcs!$BH$125</f>
        <v/>
      </c>
      <c r="BL18" s="6577"/>
      <c r="BM18" s="6577"/>
      <c r="BN18" s="6577"/>
      <c r="BO18" s="1580"/>
      <c r="BP18" s="689"/>
      <c r="BR18" s="687"/>
      <c r="BS18" s="6577" t="str">
        <f>_Calcs!$BI$125</f>
        <v/>
      </c>
      <c r="BT18" s="6577"/>
      <c r="BU18" s="6577"/>
      <c r="BV18" s="6577"/>
      <c r="BW18" s="1580"/>
      <c r="BX18" s="689"/>
      <c r="BZ18" s="687"/>
      <c r="CA18" s="6577" t="str">
        <f>_Calcs!$BJ$125</f>
        <v/>
      </c>
      <c r="CB18" s="6577"/>
      <c r="CC18" s="6577"/>
      <c r="CD18" s="6577"/>
      <c r="CE18" s="1580"/>
      <c r="CF18" s="689"/>
      <c r="CH18" s="687"/>
      <c r="CI18" s="6577" t="str">
        <f>_Calcs!$BK$125</f>
        <v/>
      </c>
      <c r="CJ18" s="6577"/>
      <c r="CK18" s="6577"/>
      <c r="CL18" s="6577"/>
      <c r="CM18" s="1580"/>
      <c r="CN18" s="689"/>
      <c r="CP18" s="52"/>
      <c r="CR18" s="2000"/>
      <c r="CS18" s="2000"/>
    </row>
    <row r="19" spans="1:98" s="21" customFormat="1" ht="24.95" customHeight="1" thickBot="1" x14ac:dyDescent="0.25">
      <c r="A19" s="25"/>
      <c r="B19" s="25"/>
      <c r="C19" s="149"/>
      <c r="D19" s="25"/>
      <c r="E19" s="150"/>
      <c r="F19" s="150"/>
      <c r="G19" s="150"/>
      <c r="H19" s="150"/>
      <c r="I19" s="150"/>
      <c r="J19" s="152"/>
      <c r="K19" s="152"/>
      <c r="L19" s="152"/>
      <c r="M19" s="152"/>
      <c r="N19" s="152"/>
      <c r="O19" s="150"/>
      <c r="P19" s="151"/>
      <c r="S19" s="191"/>
      <c r="V19" s="151"/>
      <c r="W19" s="151"/>
      <c r="X19" s="151"/>
      <c r="Y19" s="151"/>
      <c r="Z19" s="155"/>
      <c r="AA19" s="155"/>
      <c r="AB19" s="151"/>
      <c r="AD19" s="151"/>
      <c r="AE19" s="151"/>
      <c r="AF19" s="151"/>
      <c r="AG19" s="151"/>
      <c r="AH19" s="155"/>
      <c r="AI19" s="155"/>
      <c r="AJ19" s="151"/>
      <c r="AK19" s="22"/>
      <c r="AL19" s="151"/>
      <c r="AM19" s="151"/>
      <c r="AN19" s="151"/>
      <c r="AO19" s="151"/>
      <c r="AP19" s="155"/>
      <c r="AQ19" s="155"/>
      <c r="AR19" s="151"/>
      <c r="AT19" s="151"/>
      <c r="AU19" s="151"/>
      <c r="AV19" s="151"/>
      <c r="AW19" s="151"/>
      <c r="AX19" s="155"/>
      <c r="AY19" s="155"/>
      <c r="AZ19" s="151"/>
      <c r="BA19" s="22"/>
      <c r="BB19" s="151"/>
      <c r="BC19" s="151"/>
      <c r="BD19" s="151"/>
      <c r="BE19" s="151"/>
      <c r="BF19" s="155"/>
      <c r="BG19" s="155"/>
      <c r="BH19" s="151"/>
      <c r="BJ19" s="151"/>
      <c r="BK19" s="151"/>
      <c r="BL19" s="151"/>
      <c r="BM19" s="151"/>
      <c r="BN19" s="155"/>
      <c r="BO19" s="155"/>
      <c r="BP19" s="151"/>
      <c r="BQ19" s="22"/>
      <c r="BR19" s="151"/>
      <c r="BS19" s="151"/>
      <c r="BT19" s="151"/>
      <c r="BU19" s="151"/>
      <c r="BV19" s="155"/>
      <c r="BW19" s="155"/>
      <c r="BX19" s="151"/>
      <c r="BZ19" s="151"/>
      <c r="CA19" s="151"/>
      <c r="CB19" s="151"/>
      <c r="CC19" s="151"/>
      <c r="CD19" s="155"/>
      <c r="CE19" s="155"/>
      <c r="CF19" s="151"/>
      <c r="CG19" s="22"/>
      <c r="CH19" s="151"/>
      <c r="CI19" s="151"/>
      <c r="CJ19" s="151"/>
      <c r="CK19" s="151"/>
      <c r="CL19" s="155"/>
      <c r="CM19" s="155"/>
      <c r="CN19" s="151"/>
      <c r="CO19" s="22"/>
      <c r="CP19" s="151"/>
      <c r="CQ19" s="70"/>
      <c r="CR19" s="70"/>
      <c r="CS19" s="70"/>
    </row>
    <row r="20" spans="1:98" s="21" customFormat="1" ht="20.100000000000001" customHeight="1" thickBot="1" x14ac:dyDescent="0.25">
      <c r="A20" s="25"/>
      <c r="B20" s="25"/>
      <c r="C20" s="1060"/>
      <c r="D20" s="25"/>
      <c r="E20" s="1108"/>
      <c r="F20" s="1019"/>
      <c r="G20" s="1019"/>
      <c r="H20" s="1019"/>
      <c r="I20" s="1019"/>
      <c r="J20" s="3912" t="s">
        <v>131</v>
      </c>
      <c r="K20" s="3912"/>
      <c r="L20" s="1195" t="s">
        <v>154</v>
      </c>
      <c r="M20" s="1852"/>
      <c r="N20" s="3912"/>
      <c r="O20" s="1195" t="s">
        <v>100</v>
      </c>
      <c r="P20" s="1196"/>
      <c r="R20" s="1108"/>
      <c r="S20" s="3935"/>
      <c r="T20" s="1201"/>
      <c r="V20" s="1202"/>
      <c r="W20" s="3912"/>
      <c r="X20" s="3912" t="s">
        <v>73</v>
      </c>
      <c r="Y20" s="3912"/>
      <c r="Z20" s="1164"/>
      <c r="AA20" s="1164"/>
      <c r="AB20" s="1196"/>
      <c r="AD20" s="1202"/>
      <c r="AE20" s="3912"/>
      <c r="AF20" s="3912" t="s">
        <v>73</v>
      </c>
      <c r="AG20" s="3912"/>
      <c r="AH20" s="1164"/>
      <c r="AI20" s="1164"/>
      <c r="AJ20" s="1196"/>
      <c r="AK20" s="22"/>
      <c r="AL20" s="1202"/>
      <c r="AM20" s="3912"/>
      <c r="AN20" s="3912" t="s">
        <v>73</v>
      </c>
      <c r="AO20" s="3912"/>
      <c r="AP20" s="1164"/>
      <c r="AQ20" s="1164"/>
      <c r="AR20" s="1196"/>
      <c r="AT20" s="1202"/>
      <c r="AU20" s="3912"/>
      <c r="AV20" s="3912" t="s">
        <v>73</v>
      </c>
      <c r="AW20" s="3912"/>
      <c r="AX20" s="1164"/>
      <c r="AY20" s="1164"/>
      <c r="AZ20" s="1196"/>
      <c r="BA20" s="22"/>
      <c r="BB20" s="1202"/>
      <c r="BC20" s="3912"/>
      <c r="BD20" s="3912" t="s">
        <v>73</v>
      </c>
      <c r="BE20" s="3912"/>
      <c r="BF20" s="1164"/>
      <c r="BG20" s="1164"/>
      <c r="BH20" s="1196"/>
      <c r="BJ20" s="1202"/>
      <c r="BK20" s="3912"/>
      <c r="BL20" s="3912" t="s">
        <v>73</v>
      </c>
      <c r="BM20" s="3912"/>
      <c r="BN20" s="1164"/>
      <c r="BO20" s="1164"/>
      <c r="BP20" s="1196"/>
      <c r="BQ20" s="22"/>
      <c r="BR20" s="1202"/>
      <c r="BS20" s="3912"/>
      <c r="BT20" s="3912" t="s">
        <v>73</v>
      </c>
      <c r="BU20" s="3912"/>
      <c r="BV20" s="1164"/>
      <c r="BW20" s="1164"/>
      <c r="BX20" s="1196"/>
      <c r="BZ20" s="1202"/>
      <c r="CA20" s="3912"/>
      <c r="CB20" s="3912" t="s">
        <v>73</v>
      </c>
      <c r="CC20" s="3912"/>
      <c r="CD20" s="1164"/>
      <c r="CE20" s="1164"/>
      <c r="CF20" s="1196"/>
      <c r="CG20" s="22"/>
      <c r="CH20" s="1202"/>
      <c r="CI20" s="3912"/>
      <c r="CJ20" s="3912" t="s">
        <v>73</v>
      </c>
      <c r="CK20" s="3912"/>
      <c r="CL20" s="1164"/>
      <c r="CM20" s="1164"/>
      <c r="CN20" s="1196"/>
      <c r="CO20" s="22"/>
      <c r="CP20" s="32"/>
      <c r="CQ20" s="70"/>
      <c r="CR20" s="70"/>
      <c r="CS20" s="70"/>
    </row>
    <row r="21" spans="1:98" s="21" customFormat="1" ht="24.95" customHeight="1" thickBot="1" x14ac:dyDescent="0.25">
      <c r="A21" s="25"/>
      <c r="B21" s="25"/>
      <c r="C21" s="149"/>
      <c r="D21" s="25"/>
      <c r="E21" s="150"/>
      <c r="F21" s="150"/>
      <c r="G21" s="150"/>
      <c r="H21" s="150"/>
      <c r="I21" s="150"/>
      <c r="J21" s="152"/>
      <c r="K21" s="152"/>
      <c r="L21" s="152"/>
      <c r="M21" s="152"/>
      <c r="N21" s="152"/>
      <c r="O21" s="150"/>
      <c r="P21" s="151"/>
      <c r="S21" s="191"/>
      <c r="V21" s="151"/>
      <c r="W21" s="151"/>
      <c r="X21" s="151"/>
      <c r="Y21" s="151"/>
      <c r="Z21" s="155"/>
      <c r="AA21" s="155"/>
      <c r="AB21" s="151"/>
      <c r="AD21" s="151"/>
      <c r="AE21" s="151"/>
      <c r="AF21" s="151"/>
      <c r="AG21" s="151"/>
      <c r="AH21" s="155"/>
      <c r="AI21" s="155"/>
      <c r="AJ21" s="151"/>
      <c r="AK21" s="22"/>
      <c r="AL21" s="151"/>
      <c r="AM21" s="151"/>
      <c r="AN21" s="151"/>
      <c r="AO21" s="151"/>
      <c r="AP21" s="155"/>
      <c r="AQ21" s="155"/>
      <c r="AR21" s="151"/>
      <c r="AT21" s="151"/>
      <c r="AU21" s="151"/>
      <c r="AV21" s="151"/>
      <c r="AW21" s="151"/>
      <c r="AX21" s="155"/>
      <c r="AY21" s="155"/>
      <c r="AZ21" s="151"/>
      <c r="BA21" s="22"/>
      <c r="BB21" s="151"/>
      <c r="BC21" s="151"/>
      <c r="BD21" s="151"/>
      <c r="BE21" s="151"/>
      <c r="BF21" s="155"/>
      <c r="BG21" s="155"/>
      <c r="BH21" s="151"/>
      <c r="BJ21" s="151"/>
      <c r="BK21" s="151"/>
      <c r="BL21" s="151"/>
      <c r="BM21" s="151"/>
      <c r="BN21" s="155"/>
      <c r="BO21" s="155"/>
      <c r="BP21" s="151"/>
      <c r="BQ21" s="22"/>
      <c r="BR21" s="151"/>
      <c r="BS21" s="151"/>
      <c r="BT21" s="151"/>
      <c r="BU21" s="151"/>
      <c r="BV21" s="155"/>
      <c r="BW21" s="155"/>
      <c r="BX21" s="151"/>
      <c r="BZ21" s="151"/>
      <c r="CA21" s="151"/>
      <c r="CB21" s="151"/>
      <c r="CC21" s="151"/>
      <c r="CD21" s="155"/>
      <c r="CE21" s="155"/>
      <c r="CF21" s="151"/>
      <c r="CG21" s="22"/>
      <c r="CH21" s="151"/>
      <c r="CI21" s="151"/>
      <c r="CJ21" s="151"/>
      <c r="CK21" s="151"/>
      <c r="CL21" s="155"/>
      <c r="CM21" s="155"/>
      <c r="CN21" s="151"/>
      <c r="CO21" s="22"/>
      <c r="CP21" s="151"/>
      <c r="CQ21" s="70"/>
      <c r="CR21" s="70"/>
      <c r="CS21" s="70"/>
    </row>
    <row r="22" spans="1:98" s="21" customFormat="1" ht="15" customHeight="1" thickBot="1" x14ac:dyDescent="0.25">
      <c r="A22" s="25"/>
      <c r="B22" s="25"/>
      <c r="C22" s="1197"/>
      <c r="D22" s="25"/>
      <c r="E22" s="1186"/>
      <c r="F22" s="6570" t="str">
        <f>_Calcs!$K$43</f>
        <v>Forundersøkelser</v>
      </c>
      <c r="G22" s="6570"/>
      <c r="H22" s="6570"/>
      <c r="I22" s="6570"/>
      <c r="J22" s="6570"/>
      <c r="K22" s="6570"/>
      <c r="L22" s="6570"/>
      <c r="M22" s="6570"/>
      <c r="N22" s="6570"/>
      <c r="O22" s="6570"/>
      <c r="P22" s="1187"/>
      <c r="R22" s="114"/>
      <c r="S22" s="114"/>
      <c r="T22" s="114"/>
      <c r="V22" s="17"/>
      <c r="W22" s="17"/>
      <c r="X22" s="17"/>
      <c r="Y22" s="17"/>
      <c r="Z22" s="17"/>
      <c r="AA22" s="17"/>
      <c r="AB22" s="17"/>
      <c r="AD22" s="17"/>
      <c r="AE22" s="17"/>
      <c r="AF22" s="17"/>
      <c r="AG22" s="17"/>
      <c r="AH22" s="17"/>
      <c r="AI22" s="17"/>
      <c r="AJ22" s="17"/>
      <c r="AK22" s="22"/>
      <c r="AL22" s="17"/>
      <c r="AM22" s="17"/>
      <c r="AN22" s="17"/>
      <c r="AO22" s="17"/>
      <c r="AP22" s="17"/>
      <c r="AQ22" s="17"/>
      <c r="AR22" s="17"/>
      <c r="AT22" s="17"/>
      <c r="AU22" s="17"/>
      <c r="AV22" s="17"/>
      <c r="AW22" s="17"/>
      <c r="AX22" s="17"/>
      <c r="AY22" s="17"/>
      <c r="AZ22" s="17"/>
      <c r="BA22" s="22"/>
      <c r="BB22" s="17"/>
      <c r="BC22" s="17"/>
      <c r="BD22" s="17"/>
      <c r="BE22" s="17"/>
      <c r="BF22" s="17"/>
      <c r="BG22" s="17"/>
      <c r="BH22" s="17"/>
      <c r="BJ22" s="17"/>
      <c r="BK22" s="17"/>
      <c r="BL22" s="17"/>
      <c r="BM22" s="17"/>
      <c r="BN22" s="17"/>
      <c r="BO22" s="17"/>
      <c r="BP22" s="17"/>
      <c r="BQ22" s="22"/>
      <c r="BR22" s="17"/>
      <c r="BS22" s="17"/>
      <c r="BT22" s="17"/>
      <c r="BU22" s="17"/>
      <c r="BV22" s="17"/>
      <c r="BW22" s="17"/>
      <c r="BX22" s="17"/>
      <c r="BZ22" s="17"/>
      <c r="CA22" s="17"/>
      <c r="CB22" s="17"/>
      <c r="CC22" s="17"/>
      <c r="CD22" s="17"/>
      <c r="CE22" s="17"/>
      <c r="CF22" s="17"/>
      <c r="CG22" s="22"/>
      <c r="CH22" s="17"/>
      <c r="CI22" s="17"/>
      <c r="CJ22" s="17"/>
      <c r="CK22" s="17"/>
      <c r="CL22" s="17"/>
      <c r="CM22" s="17"/>
      <c r="CN22" s="17"/>
      <c r="CO22" s="22"/>
      <c r="CP22" s="17"/>
      <c r="CQ22" s="70"/>
      <c r="CR22" s="70"/>
      <c r="CS22" s="70"/>
    </row>
    <row r="23" spans="1:98" s="21" customFormat="1" ht="15" customHeight="1" thickBot="1" x14ac:dyDescent="0.25">
      <c r="A23" s="25"/>
      <c r="B23" s="25"/>
      <c r="C23" s="6408" t="s">
        <v>83</v>
      </c>
      <c r="D23" s="25"/>
      <c r="E23" s="1188"/>
      <c r="F23" s="6571"/>
      <c r="G23" s="6571"/>
      <c r="H23" s="6571"/>
      <c r="I23" s="6571"/>
      <c r="J23" s="6571"/>
      <c r="K23" s="6571"/>
      <c r="L23" s="6571"/>
      <c r="M23" s="6571"/>
      <c r="N23" s="6571"/>
      <c r="O23" s="6571"/>
      <c r="P23" s="1189"/>
      <c r="R23" s="4094"/>
      <c r="S23" s="4095"/>
      <c r="T23" s="4096"/>
      <c r="V23" s="492"/>
      <c r="W23" s="582"/>
      <c r="X23" s="582"/>
      <c r="Y23" s="582"/>
      <c r="Z23" s="582"/>
      <c r="AA23" s="582"/>
      <c r="AB23" s="493"/>
      <c r="AD23" s="492"/>
      <c r="AE23" s="582"/>
      <c r="AF23" s="582"/>
      <c r="AG23" s="582"/>
      <c r="AH23" s="582"/>
      <c r="AI23" s="582"/>
      <c r="AJ23" s="493"/>
      <c r="AK23" s="22"/>
      <c r="AL23" s="492"/>
      <c r="AM23" s="582"/>
      <c r="AN23" s="582"/>
      <c r="AO23" s="582"/>
      <c r="AP23" s="582"/>
      <c r="AQ23" s="582"/>
      <c r="AR23" s="493"/>
      <c r="AT23" s="492"/>
      <c r="AU23" s="582"/>
      <c r="AV23" s="582"/>
      <c r="AW23" s="582"/>
      <c r="AX23" s="582"/>
      <c r="AY23" s="582"/>
      <c r="AZ23" s="493"/>
      <c r="BA23" s="22"/>
      <c r="BB23" s="492"/>
      <c r="BC23" s="582"/>
      <c r="BD23" s="582"/>
      <c r="BE23" s="582"/>
      <c r="BF23" s="582"/>
      <c r="BG23" s="582"/>
      <c r="BH23" s="493"/>
      <c r="BJ23" s="492"/>
      <c r="BK23" s="582"/>
      <c r="BL23" s="582"/>
      <c r="BM23" s="582"/>
      <c r="BN23" s="582"/>
      <c r="BO23" s="582"/>
      <c r="BP23" s="493"/>
      <c r="BQ23" s="22"/>
      <c r="BR23" s="492"/>
      <c r="BS23" s="582"/>
      <c r="BT23" s="582"/>
      <c r="BU23" s="582"/>
      <c r="BV23" s="582"/>
      <c r="BW23" s="582"/>
      <c r="BX23" s="493"/>
      <c r="BZ23" s="492"/>
      <c r="CA23" s="582"/>
      <c r="CB23" s="582"/>
      <c r="CC23" s="582"/>
      <c r="CD23" s="582"/>
      <c r="CE23" s="582"/>
      <c r="CF23" s="493"/>
      <c r="CG23" s="22"/>
      <c r="CH23" s="492"/>
      <c r="CI23" s="582"/>
      <c r="CJ23" s="582"/>
      <c r="CK23" s="582"/>
      <c r="CL23" s="582"/>
      <c r="CM23" s="582"/>
      <c r="CN23" s="493"/>
      <c r="CO23" s="22"/>
      <c r="CP23" s="53"/>
      <c r="CQ23" s="70"/>
      <c r="CR23" s="70"/>
      <c r="CS23" s="70"/>
    </row>
    <row r="24" spans="1:98" s="21" customFormat="1" ht="8.1" customHeight="1" thickBot="1" x14ac:dyDescent="0.25">
      <c r="A24" s="25"/>
      <c r="B24" s="25"/>
      <c r="C24" s="6408"/>
      <c r="D24" s="25"/>
      <c r="E24" s="17"/>
      <c r="F24" s="129"/>
      <c r="G24" s="129"/>
      <c r="H24" s="129"/>
      <c r="I24" s="17"/>
      <c r="J24" s="16"/>
      <c r="K24" s="17"/>
      <c r="L24" s="17"/>
      <c r="M24" s="17"/>
      <c r="N24" s="17"/>
      <c r="O24" s="17"/>
      <c r="P24" s="17"/>
      <c r="R24" s="114"/>
      <c r="S24" s="114"/>
      <c r="T24" s="114"/>
      <c r="V24" s="17"/>
      <c r="W24" s="17"/>
      <c r="X24" s="17"/>
      <c r="Y24" s="17"/>
      <c r="Z24" s="17"/>
      <c r="AA24" s="17"/>
      <c r="AB24" s="17"/>
      <c r="AD24" s="17"/>
      <c r="AE24" s="17"/>
      <c r="AF24" s="17"/>
      <c r="AG24" s="17"/>
      <c r="AH24" s="17"/>
      <c r="AI24" s="17"/>
      <c r="AJ24" s="17"/>
      <c r="AK24" s="22"/>
      <c r="AL24" s="17"/>
      <c r="AM24" s="17"/>
      <c r="AN24" s="17"/>
      <c r="AO24" s="17"/>
      <c r="AP24" s="17"/>
      <c r="AQ24" s="17"/>
      <c r="AR24" s="17"/>
      <c r="AT24" s="17"/>
      <c r="AU24" s="17"/>
      <c r="AV24" s="17"/>
      <c r="AW24" s="17"/>
      <c r="AX24" s="17"/>
      <c r="AY24" s="17"/>
      <c r="AZ24" s="17"/>
      <c r="BA24" s="22"/>
      <c r="BB24" s="17"/>
      <c r="BC24" s="17"/>
      <c r="BD24" s="17"/>
      <c r="BE24" s="17"/>
      <c r="BF24" s="17"/>
      <c r="BG24" s="17"/>
      <c r="BH24" s="17"/>
      <c r="BJ24" s="17"/>
      <c r="BK24" s="17"/>
      <c r="BL24" s="17"/>
      <c r="BM24" s="17"/>
      <c r="BN24" s="17"/>
      <c r="BO24" s="17"/>
      <c r="BP24" s="17"/>
      <c r="BQ24" s="22"/>
      <c r="BR24" s="17"/>
      <c r="BS24" s="17"/>
      <c r="BT24" s="17"/>
      <c r="BU24" s="17"/>
      <c r="BV24" s="17"/>
      <c r="BW24" s="17"/>
      <c r="BX24" s="17"/>
      <c r="BZ24" s="17"/>
      <c r="CA24" s="17"/>
      <c r="CB24" s="17"/>
      <c r="CC24" s="17"/>
      <c r="CD24" s="17"/>
      <c r="CE24" s="17"/>
      <c r="CF24" s="17"/>
      <c r="CG24" s="22"/>
      <c r="CH24" s="17"/>
      <c r="CI24" s="17"/>
      <c r="CJ24" s="17"/>
      <c r="CK24" s="17"/>
      <c r="CL24" s="17"/>
      <c r="CM24" s="17"/>
      <c r="CN24" s="17"/>
      <c r="CO24" s="22"/>
      <c r="CP24" s="17"/>
      <c r="CQ24" s="70"/>
      <c r="CR24" s="70"/>
      <c r="CS24" s="70"/>
    </row>
    <row r="25" spans="1:98" s="21" customFormat="1" ht="15" customHeight="1" thickBot="1" x14ac:dyDescent="0.25">
      <c r="A25" s="25"/>
      <c r="B25" s="25"/>
      <c r="C25" s="6408"/>
      <c r="D25" s="25"/>
      <c r="E25" s="574"/>
      <c r="F25" s="576"/>
      <c r="G25" s="575"/>
      <c r="H25" s="575"/>
      <c r="I25" s="728"/>
      <c r="J25" s="728"/>
      <c r="K25" s="728"/>
      <c r="L25" s="1173"/>
      <c r="M25" s="1173"/>
      <c r="N25" s="1173"/>
      <c r="O25" s="576"/>
      <c r="P25" s="1174"/>
      <c r="R25" s="4065"/>
      <c r="S25" s="4066"/>
      <c r="T25" s="4067"/>
      <c r="V25" s="1190"/>
      <c r="W25" s="576"/>
      <c r="X25" s="738"/>
      <c r="Y25" s="576"/>
      <c r="Z25" s="739"/>
      <c r="AA25" s="739"/>
      <c r="AB25" s="1174"/>
      <c r="AD25" s="1190"/>
      <c r="AE25" s="576"/>
      <c r="AF25" s="738"/>
      <c r="AG25" s="576"/>
      <c r="AH25" s="739"/>
      <c r="AI25" s="739"/>
      <c r="AJ25" s="1174"/>
      <c r="AK25" s="22"/>
      <c r="AL25" s="1190"/>
      <c r="AM25" s="576"/>
      <c r="AN25" s="738"/>
      <c r="AO25" s="576"/>
      <c r="AP25" s="739"/>
      <c r="AQ25" s="739"/>
      <c r="AR25" s="1174"/>
      <c r="AT25" s="1190"/>
      <c r="AU25" s="576"/>
      <c r="AV25" s="738"/>
      <c r="AW25" s="576"/>
      <c r="AX25" s="739"/>
      <c r="AY25" s="739"/>
      <c r="AZ25" s="1174"/>
      <c r="BA25" s="22"/>
      <c r="BB25" s="1190"/>
      <c r="BC25" s="576"/>
      <c r="BD25" s="738"/>
      <c r="BE25" s="576"/>
      <c r="BF25" s="739"/>
      <c r="BG25" s="739"/>
      <c r="BH25" s="1174"/>
      <c r="BJ25" s="1190"/>
      <c r="BK25" s="576"/>
      <c r="BL25" s="738"/>
      <c r="BM25" s="576"/>
      <c r="BN25" s="739"/>
      <c r="BO25" s="739"/>
      <c r="BP25" s="1174"/>
      <c r="BQ25" s="22"/>
      <c r="BR25" s="1190"/>
      <c r="BS25" s="576"/>
      <c r="BT25" s="738"/>
      <c r="BU25" s="576"/>
      <c r="BV25" s="739"/>
      <c r="BW25" s="739"/>
      <c r="BX25" s="1174"/>
      <c r="BZ25" s="1190"/>
      <c r="CA25" s="576"/>
      <c r="CB25" s="738"/>
      <c r="CC25" s="576"/>
      <c r="CD25" s="739"/>
      <c r="CE25" s="739"/>
      <c r="CF25" s="1174"/>
      <c r="CG25" s="22"/>
      <c r="CH25" s="1190"/>
      <c r="CI25" s="576"/>
      <c r="CJ25" s="738"/>
      <c r="CK25" s="576"/>
      <c r="CL25" s="739"/>
      <c r="CM25" s="739"/>
      <c r="CN25" s="1174"/>
      <c r="CO25" s="22"/>
      <c r="CP25" s="57"/>
      <c r="CQ25" s="70"/>
      <c r="CR25" s="70"/>
      <c r="CS25" s="70"/>
    </row>
    <row r="26" spans="1:98" s="21" customFormat="1" ht="20.100000000000001" customHeight="1" thickBot="1" x14ac:dyDescent="0.25">
      <c r="A26" s="25"/>
      <c r="B26" s="25"/>
      <c r="C26" s="6408"/>
      <c r="D26" s="25"/>
      <c r="E26" s="577"/>
      <c r="F26" s="59" t="str">
        <f>_Calcs!$M$43</f>
        <v>Sondérboring</v>
      </c>
      <c r="G26" s="160"/>
      <c r="H26" s="160"/>
      <c r="I26" s="60"/>
      <c r="J26" s="156" t="s">
        <v>149</v>
      </c>
      <c r="K26" s="156"/>
      <c r="L26" s="157"/>
      <c r="M26" s="157"/>
      <c r="N26" s="157"/>
      <c r="O26" s="59" t="s">
        <v>79</v>
      </c>
      <c r="P26" s="1175"/>
      <c r="R26" s="4068"/>
      <c r="S26" s="2301">
        <f>_Calcs!DW72</f>
        <v>0</v>
      </c>
      <c r="T26" s="4069"/>
      <c r="V26" s="1206"/>
      <c r="W26" s="59"/>
      <c r="X26" s="3911"/>
      <c r="Y26" s="59"/>
      <c r="Z26" s="158" t="str">
        <f>IF(X26="","!","✓")</f>
        <v>!</v>
      </c>
      <c r="AA26" s="1208"/>
      <c r="AB26" s="1175"/>
      <c r="AD26" s="1206"/>
      <c r="AE26" s="59"/>
      <c r="AF26" s="3911"/>
      <c r="AG26" s="59"/>
      <c r="AH26" s="158" t="str">
        <f>IF(AF26="","!","✓")</f>
        <v>!</v>
      </c>
      <c r="AI26" s="1208"/>
      <c r="AJ26" s="1175"/>
      <c r="AK26" s="22"/>
      <c r="AL26" s="1206"/>
      <c r="AM26" s="59"/>
      <c r="AN26" s="3911"/>
      <c r="AO26" s="59"/>
      <c r="AP26" s="158" t="str">
        <f>IF(AN26="","!","✓")</f>
        <v>!</v>
      </c>
      <c r="AQ26" s="1208"/>
      <c r="AR26" s="1175"/>
      <c r="AT26" s="1206"/>
      <c r="AU26" s="59"/>
      <c r="AV26" s="3911"/>
      <c r="AW26" s="59"/>
      <c r="AX26" s="158" t="str">
        <f>IF(AV26="","!","✓")</f>
        <v>!</v>
      </c>
      <c r="AY26" s="1208"/>
      <c r="AZ26" s="1175"/>
      <c r="BA26" s="22"/>
      <c r="BB26" s="1206"/>
      <c r="BC26" s="59"/>
      <c r="BD26" s="3911"/>
      <c r="BE26" s="59"/>
      <c r="BF26" s="158" t="str">
        <f>IF(BD26="","!","✓")</f>
        <v>!</v>
      </c>
      <c r="BG26" s="1208"/>
      <c r="BH26" s="1175"/>
      <c r="BJ26" s="1206"/>
      <c r="BK26" s="59"/>
      <c r="BL26" s="3911"/>
      <c r="BM26" s="59"/>
      <c r="BN26" s="158" t="str">
        <f>IF(BL26="","!","✓")</f>
        <v>!</v>
      </c>
      <c r="BO26" s="1208"/>
      <c r="BP26" s="1175"/>
      <c r="BQ26" s="22"/>
      <c r="BR26" s="1206"/>
      <c r="BS26" s="59"/>
      <c r="BT26" s="3911"/>
      <c r="BU26" s="59"/>
      <c r="BV26" s="158" t="str">
        <f>IF(BT26="","!","✓")</f>
        <v>!</v>
      </c>
      <c r="BW26" s="1208"/>
      <c r="BX26" s="1175"/>
      <c r="BZ26" s="1206"/>
      <c r="CA26" s="59"/>
      <c r="CB26" s="3911"/>
      <c r="CC26" s="59"/>
      <c r="CD26" s="158" t="str">
        <f>IF(CB26="","!","✓")</f>
        <v>!</v>
      </c>
      <c r="CE26" s="1208"/>
      <c r="CF26" s="1175"/>
      <c r="CG26" s="22"/>
      <c r="CH26" s="1206"/>
      <c r="CI26" s="59"/>
      <c r="CJ26" s="3911"/>
      <c r="CK26" s="59"/>
      <c r="CL26" s="158" t="str">
        <f>IF(CJ26="","!","✓")</f>
        <v>!</v>
      </c>
      <c r="CM26" s="1208"/>
      <c r="CN26" s="1175"/>
      <c r="CO26" s="22"/>
      <c r="CP26" s="57"/>
      <c r="CQ26" s="70"/>
      <c r="CR26" s="70"/>
      <c r="CS26" s="70"/>
    </row>
    <row r="27" spans="1:98" s="21" customFormat="1" ht="15" customHeight="1" thickBot="1" x14ac:dyDescent="0.25">
      <c r="A27" s="25"/>
      <c r="B27" s="25"/>
      <c r="C27" s="6408"/>
      <c r="D27" s="25"/>
      <c r="E27" s="577"/>
      <c r="F27" s="59"/>
      <c r="G27" s="160"/>
      <c r="H27" s="160"/>
      <c r="I27" s="60"/>
      <c r="J27" s="156"/>
      <c r="K27" s="156"/>
      <c r="L27" s="165"/>
      <c r="M27" s="165"/>
      <c r="N27" s="160"/>
      <c r="O27" s="59"/>
      <c r="P27" s="1175"/>
      <c r="R27" s="4068"/>
      <c r="S27" s="4071"/>
      <c r="T27" s="4069"/>
      <c r="U27" s="70"/>
      <c r="V27" s="1206"/>
      <c r="W27" s="59"/>
      <c r="X27" s="58"/>
      <c r="Y27" s="59"/>
      <c r="Z27" s="741"/>
      <c r="AA27" s="741"/>
      <c r="AB27" s="1175"/>
      <c r="AC27" s="70"/>
      <c r="AD27" s="1206"/>
      <c r="AE27" s="59"/>
      <c r="AF27" s="58"/>
      <c r="AG27" s="59"/>
      <c r="AH27" s="741"/>
      <c r="AI27" s="741"/>
      <c r="AJ27" s="1175"/>
      <c r="AK27" s="22"/>
      <c r="AL27" s="1206"/>
      <c r="AM27" s="59"/>
      <c r="AN27" s="58"/>
      <c r="AO27" s="59"/>
      <c r="AP27" s="741"/>
      <c r="AQ27" s="741"/>
      <c r="AR27" s="1175"/>
      <c r="AS27" s="70"/>
      <c r="AT27" s="1206"/>
      <c r="AU27" s="59"/>
      <c r="AV27" s="58"/>
      <c r="AW27" s="59"/>
      <c r="AX27" s="741"/>
      <c r="AY27" s="741"/>
      <c r="AZ27" s="1175"/>
      <c r="BA27" s="22"/>
      <c r="BB27" s="1206"/>
      <c r="BC27" s="59"/>
      <c r="BD27" s="58"/>
      <c r="BE27" s="59"/>
      <c r="BF27" s="741"/>
      <c r="BG27" s="741"/>
      <c r="BH27" s="1175"/>
      <c r="BI27" s="70"/>
      <c r="BJ27" s="1206"/>
      <c r="BK27" s="59"/>
      <c r="BL27" s="58"/>
      <c r="BM27" s="59"/>
      <c r="BN27" s="741"/>
      <c r="BO27" s="741"/>
      <c r="BP27" s="1175"/>
      <c r="BQ27" s="22"/>
      <c r="BR27" s="1206"/>
      <c r="BS27" s="59"/>
      <c r="BT27" s="58"/>
      <c r="BU27" s="59"/>
      <c r="BV27" s="741"/>
      <c r="BW27" s="741"/>
      <c r="BX27" s="1175"/>
      <c r="BY27" s="70"/>
      <c r="BZ27" s="1206"/>
      <c r="CA27" s="59"/>
      <c r="CB27" s="58"/>
      <c r="CC27" s="59"/>
      <c r="CD27" s="741"/>
      <c r="CE27" s="741"/>
      <c r="CF27" s="1175"/>
      <c r="CG27" s="22"/>
      <c r="CH27" s="1206"/>
      <c r="CI27" s="59"/>
      <c r="CJ27" s="58"/>
      <c r="CK27" s="59"/>
      <c r="CL27" s="741"/>
      <c r="CM27" s="741"/>
      <c r="CN27" s="1175"/>
      <c r="CO27" s="22"/>
      <c r="CP27" s="59"/>
      <c r="CQ27" s="70"/>
      <c r="CR27" s="70"/>
      <c r="CS27" s="70"/>
      <c r="CT27" s="70"/>
    </row>
    <row r="28" spans="1:98" s="21" customFormat="1" ht="20.100000000000001" customHeight="1" thickBot="1" x14ac:dyDescent="0.25">
      <c r="A28" s="25"/>
      <c r="B28" s="25"/>
      <c r="C28" s="1198"/>
      <c r="D28" s="25"/>
      <c r="E28" s="577"/>
      <c r="F28" s="59" t="str">
        <f>_Calcs!$M$44</f>
        <v>Kjerneboring</v>
      </c>
      <c r="G28" s="160"/>
      <c r="H28" s="160"/>
      <c r="I28" s="60"/>
      <c r="J28" s="156" t="s">
        <v>149</v>
      </c>
      <c r="K28" s="156"/>
      <c r="L28" s="165"/>
      <c r="M28" s="165"/>
      <c r="N28" s="157"/>
      <c r="O28" s="59" t="s">
        <v>46</v>
      </c>
      <c r="P28" s="1175"/>
      <c r="R28" s="4068"/>
      <c r="S28" s="2301">
        <f>_Calcs!DX72</f>
        <v>0</v>
      </c>
      <c r="T28" s="4069"/>
      <c r="U28" s="70"/>
      <c r="V28" s="1206"/>
      <c r="W28" s="59"/>
      <c r="X28" s="3911"/>
      <c r="Y28" s="59"/>
      <c r="Z28" s="158" t="str">
        <f>IF(X28="","!","✓")</f>
        <v>!</v>
      </c>
      <c r="AA28" s="1208"/>
      <c r="AB28" s="1175"/>
      <c r="AC28" s="70"/>
      <c r="AD28" s="1206"/>
      <c r="AE28" s="59"/>
      <c r="AF28" s="3911"/>
      <c r="AG28" s="59"/>
      <c r="AH28" s="158" t="str">
        <f>IF(AF28="","!","✓")</f>
        <v>!</v>
      </c>
      <c r="AI28" s="1208"/>
      <c r="AJ28" s="1175"/>
      <c r="AK28" s="22"/>
      <c r="AL28" s="1206"/>
      <c r="AM28" s="59"/>
      <c r="AN28" s="3911"/>
      <c r="AO28" s="59"/>
      <c r="AP28" s="158" t="str">
        <f>IF(AN28="","!","✓")</f>
        <v>!</v>
      </c>
      <c r="AQ28" s="1208"/>
      <c r="AR28" s="1175"/>
      <c r="AS28" s="70"/>
      <c r="AT28" s="1206"/>
      <c r="AU28" s="59"/>
      <c r="AV28" s="3911"/>
      <c r="AW28" s="59"/>
      <c r="AX28" s="158" t="str">
        <f>IF(AV28="","!","✓")</f>
        <v>!</v>
      </c>
      <c r="AY28" s="1208"/>
      <c r="AZ28" s="1175"/>
      <c r="BA28" s="22"/>
      <c r="BB28" s="1206"/>
      <c r="BC28" s="59"/>
      <c r="BD28" s="3911"/>
      <c r="BE28" s="59"/>
      <c r="BF28" s="158" t="str">
        <f>IF(BD28="","!","✓")</f>
        <v>!</v>
      </c>
      <c r="BG28" s="1208"/>
      <c r="BH28" s="1175"/>
      <c r="BI28" s="70"/>
      <c r="BJ28" s="1206"/>
      <c r="BK28" s="59"/>
      <c r="BL28" s="3911"/>
      <c r="BM28" s="59"/>
      <c r="BN28" s="158" t="str">
        <f>IF(BL28="","!","✓")</f>
        <v>!</v>
      </c>
      <c r="BO28" s="1208"/>
      <c r="BP28" s="1175"/>
      <c r="BQ28" s="22"/>
      <c r="BR28" s="1206"/>
      <c r="BS28" s="59"/>
      <c r="BT28" s="3911"/>
      <c r="BU28" s="59"/>
      <c r="BV28" s="158" t="str">
        <f>IF(BT28="","!","✓")</f>
        <v>!</v>
      </c>
      <c r="BW28" s="1208"/>
      <c r="BX28" s="1175"/>
      <c r="BY28" s="70"/>
      <c r="BZ28" s="1206"/>
      <c r="CA28" s="59"/>
      <c r="CB28" s="3911"/>
      <c r="CC28" s="59"/>
      <c r="CD28" s="158" t="str">
        <f>IF(CB28="","!","✓")</f>
        <v>!</v>
      </c>
      <c r="CE28" s="1208"/>
      <c r="CF28" s="1175"/>
      <c r="CG28" s="22"/>
      <c r="CH28" s="1206"/>
      <c r="CI28" s="59"/>
      <c r="CJ28" s="3911"/>
      <c r="CK28" s="59"/>
      <c r="CL28" s="158" t="str">
        <f>IF(CJ28="","!","✓")</f>
        <v>!</v>
      </c>
      <c r="CM28" s="1208"/>
      <c r="CN28" s="1175"/>
      <c r="CO28" s="22"/>
      <c r="CP28" s="57"/>
      <c r="CQ28" s="70"/>
      <c r="CR28" s="70"/>
      <c r="CS28" s="70"/>
      <c r="CT28" s="70"/>
    </row>
    <row r="29" spans="1:98" s="21" customFormat="1" ht="15" customHeight="1" thickBot="1" x14ac:dyDescent="0.25">
      <c r="A29" s="25"/>
      <c r="B29" s="25"/>
      <c r="C29" s="1198"/>
      <c r="D29" s="25"/>
      <c r="E29" s="731"/>
      <c r="F29" s="745"/>
      <c r="G29" s="579"/>
      <c r="H29" s="579"/>
      <c r="I29" s="733"/>
      <c r="J29" s="1180"/>
      <c r="K29" s="1180"/>
      <c r="L29" s="1177"/>
      <c r="M29" s="1177"/>
      <c r="N29" s="1177"/>
      <c r="O29" s="745"/>
      <c r="P29" s="1179"/>
      <c r="R29" s="4070"/>
      <c r="S29" s="4071"/>
      <c r="T29" s="4072"/>
      <c r="U29" s="70"/>
      <c r="V29" s="1207"/>
      <c r="W29" s="745"/>
      <c r="X29" s="744"/>
      <c r="Y29" s="745"/>
      <c r="Z29" s="746"/>
      <c r="AA29" s="746"/>
      <c r="AB29" s="1179"/>
      <c r="AC29" s="70"/>
      <c r="AD29" s="1207"/>
      <c r="AE29" s="745"/>
      <c r="AF29" s="744"/>
      <c r="AG29" s="745"/>
      <c r="AH29" s="746"/>
      <c r="AI29" s="746"/>
      <c r="AJ29" s="1179"/>
      <c r="AK29" s="22"/>
      <c r="AL29" s="1207"/>
      <c r="AM29" s="745"/>
      <c r="AN29" s="744"/>
      <c r="AO29" s="745"/>
      <c r="AP29" s="746"/>
      <c r="AQ29" s="746"/>
      <c r="AR29" s="1179"/>
      <c r="AS29" s="70"/>
      <c r="AT29" s="1207"/>
      <c r="AU29" s="745"/>
      <c r="AV29" s="744"/>
      <c r="AW29" s="745"/>
      <c r="AX29" s="746"/>
      <c r="AY29" s="746"/>
      <c r="AZ29" s="1179"/>
      <c r="BA29" s="22"/>
      <c r="BB29" s="1207"/>
      <c r="BC29" s="745"/>
      <c r="BD29" s="744"/>
      <c r="BE29" s="745"/>
      <c r="BF29" s="746"/>
      <c r="BG29" s="746"/>
      <c r="BH29" s="1179"/>
      <c r="BI29" s="70"/>
      <c r="BJ29" s="1207"/>
      <c r="BK29" s="745"/>
      <c r="BL29" s="744"/>
      <c r="BM29" s="745"/>
      <c r="BN29" s="746"/>
      <c r="BO29" s="746"/>
      <c r="BP29" s="1179"/>
      <c r="BQ29" s="22"/>
      <c r="BR29" s="1207"/>
      <c r="BS29" s="745"/>
      <c r="BT29" s="744"/>
      <c r="BU29" s="745"/>
      <c r="BV29" s="746"/>
      <c r="BW29" s="746"/>
      <c r="BX29" s="1179"/>
      <c r="BY29" s="70"/>
      <c r="BZ29" s="1207"/>
      <c r="CA29" s="745"/>
      <c r="CB29" s="744"/>
      <c r="CC29" s="745"/>
      <c r="CD29" s="746"/>
      <c r="CE29" s="746"/>
      <c r="CF29" s="1179"/>
      <c r="CG29" s="22"/>
      <c r="CH29" s="1207"/>
      <c r="CI29" s="745"/>
      <c r="CJ29" s="744"/>
      <c r="CK29" s="745"/>
      <c r="CL29" s="746"/>
      <c r="CM29" s="746"/>
      <c r="CN29" s="1179"/>
      <c r="CO29" s="22"/>
      <c r="CP29" s="59"/>
      <c r="CQ29" s="70"/>
      <c r="CR29" s="70"/>
      <c r="CS29" s="70"/>
      <c r="CT29" s="70"/>
    </row>
    <row r="30" spans="1:98" s="21" customFormat="1" ht="8.1" customHeight="1" thickBot="1" x14ac:dyDescent="0.25">
      <c r="A30" s="25"/>
      <c r="B30" s="25"/>
      <c r="C30" s="2615"/>
      <c r="D30" s="25"/>
      <c r="E30" s="20"/>
      <c r="F30" s="17"/>
      <c r="G30" s="136"/>
      <c r="H30" s="136"/>
      <c r="I30" s="35"/>
      <c r="J30" s="1181"/>
      <c r="K30" s="1181"/>
      <c r="L30" s="137"/>
      <c r="M30" s="137"/>
      <c r="N30" s="137"/>
      <c r="O30" s="17"/>
      <c r="P30" s="17"/>
      <c r="R30" s="25"/>
      <c r="S30" s="4097"/>
      <c r="U30" s="70"/>
      <c r="V30" s="17"/>
      <c r="W30" s="17"/>
      <c r="X30" s="36"/>
      <c r="Y30" s="17"/>
      <c r="Z30" s="19"/>
      <c r="AA30" s="19"/>
      <c r="AB30" s="17"/>
      <c r="AC30" s="70"/>
      <c r="AD30" s="17"/>
      <c r="AE30" s="17"/>
      <c r="AF30" s="36"/>
      <c r="AG30" s="17"/>
      <c r="AH30" s="19"/>
      <c r="AI30" s="19"/>
      <c r="AJ30" s="17"/>
      <c r="AK30" s="22"/>
      <c r="AL30" s="17"/>
      <c r="AM30" s="17"/>
      <c r="AN30" s="36"/>
      <c r="AO30" s="17"/>
      <c r="AP30" s="19"/>
      <c r="AQ30" s="19"/>
      <c r="AR30" s="17"/>
      <c r="AS30" s="70"/>
      <c r="AT30" s="17"/>
      <c r="AU30" s="17"/>
      <c r="AV30" s="36"/>
      <c r="AW30" s="17"/>
      <c r="AX30" s="19"/>
      <c r="AY30" s="19"/>
      <c r="AZ30" s="17"/>
      <c r="BA30" s="22"/>
      <c r="BB30" s="17"/>
      <c r="BC30" s="17"/>
      <c r="BD30" s="36"/>
      <c r="BE30" s="17"/>
      <c r="BF30" s="19"/>
      <c r="BG30" s="19"/>
      <c r="BH30" s="17"/>
      <c r="BI30" s="70"/>
      <c r="BJ30" s="17"/>
      <c r="BK30" s="17"/>
      <c r="BL30" s="36"/>
      <c r="BM30" s="17"/>
      <c r="BN30" s="19"/>
      <c r="BO30" s="19"/>
      <c r="BP30" s="17"/>
      <c r="BQ30" s="22"/>
      <c r="BR30" s="17"/>
      <c r="BS30" s="17"/>
      <c r="BT30" s="36"/>
      <c r="BU30" s="17"/>
      <c r="BV30" s="19"/>
      <c r="BW30" s="19"/>
      <c r="BX30" s="17"/>
      <c r="BY30" s="70"/>
      <c r="BZ30" s="17"/>
      <c r="CA30" s="17"/>
      <c r="CB30" s="36"/>
      <c r="CC30" s="17"/>
      <c r="CD30" s="19"/>
      <c r="CE30" s="19"/>
      <c r="CF30" s="17"/>
      <c r="CG30" s="22"/>
      <c r="CH30" s="17"/>
      <c r="CI30" s="17"/>
      <c r="CJ30" s="36"/>
      <c r="CK30" s="17"/>
      <c r="CL30" s="19"/>
      <c r="CM30" s="19"/>
      <c r="CN30" s="17"/>
      <c r="CO30" s="22"/>
      <c r="CP30" s="59"/>
      <c r="CQ30" s="70"/>
      <c r="CR30" s="70"/>
      <c r="CS30" s="70"/>
      <c r="CT30" s="70"/>
    </row>
    <row r="31" spans="1:98" s="21" customFormat="1" ht="15" customHeight="1" thickBot="1" x14ac:dyDescent="0.25">
      <c r="A31" s="25"/>
      <c r="B31" s="25"/>
      <c r="C31" s="2615"/>
      <c r="D31" s="25"/>
      <c r="E31" s="574"/>
      <c r="F31" s="576"/>
      <c r="G31" s="575"/>
      <c r="H31" s="575"/>
      <c r="I31" s="1182"/>
      <c r="J31" s="1183"/>
      <c r="K31" s="1183"/>
      <c r="L31" s="1173"/>
      <c r="M31" s="1173"/>
      <c r="N31" s="1173"/>
      <c r="O31" s="576"/>
      <c r="P31" s="1174"/>
      <c r="R31" s="4065"/>
      <c r="S31" s="4073"/>
      <c r="T31" s="4067"/>
      <c r="U31" s="70"/>
      <c r="V31" s="1190"/>
      <c r="W31" s="576"/>
      <c r="X31" s="738"/>
      <c r="Y31" s="576"/>
      <c r="Z31" s="739"/>
      <c r="AA31" s="739"/>
      <c r="AB31" s="1174"/>
      <c r="AC31" s="70"/>
      <c r="AD31" s="1190"/>
      <c r="AE31" s="576"/>
      <c r="AF31" s="738"/>
      <c r="AG31" s="576"/>
      <c r="AH31" s="739"/>
      <c r="AI31" s="739"/>
      <c r="AJ31" s="1174"/>
      <c r="AK31" s="22"/>
      <c r="AL31" s="1190"/>
      <c r="AM31" s="576"/>
      <c r="AN31" s="738"/>
      <c r="AO31" s="576"/>
      <c r="AP31" s="739"/>
      <c r="AQ31" s="739"/>
      <c r="AR31" s="1174"/>
      <c r="AS31" s="70"/>
      <c r="AT31" s="1190"/>
      <c r="AU31" s="576"/>
      <c r="AV31" s="738"/>
      <c r="AW31" s="576"/>
      <c r="AX31" s="739"/>
      <c r="AY31" s="739"/>
      <c r="AZ31" s="1174"/>
      <c r="BA31" s="22"/>
      <c r="BB31" s="1190"/>
      <c r="BC31" s="576"/>
      <c r="BD31" s="738"/>
      <c r="BE31" s="576"/>
      <c r="BF31" s="739"/>
      <c r="BG31" s="739"/>
      <c r="BH31" s="1174"/>
      <c r="BI31" s="70"/>
      <c r="BJ31" s="1190"/>
      <c r="BK31" s="576"/>
      <c r="BL31" s="738"/>
      <c r="BM31" s="576"/>
      <c r="BN31" s="739"/>
      <c r="BO31" s="739"/>
      <c r="BP31" s="1174"/>
      <c r="BQ31" s="22"/>
      <c r="BR31" s="1190"/>
      <c r="BS31" s="576"/>
      <c r="BT31" s="738"/>
      <c r="BU31" s="576"/>
      <c r="BV31" s="739"/>
      <c r="BW31" s="739"/>
      <c r="BX31" s="1174"/>
      <c r="BY31" s="70"/>
      <c r="BZ31" s="1190"/>
      <c r="CA31" s="576"/>
      <c r="CB31" s="738"/>
      <c r="CC31" s="576"/>
      <c r="CD31" s="739"/>
      <c r="CE31" s="739"/>
      <c r="CF31" s="1174"/>
      <c r="CG31" s="22"/>
      <c r="CH31" s="1190"/>
      <c r="CI31" s="576"/>
      <c r="CJ31" s="738"/>
      <c r="CK31" s="576"/>
      <c r="CL31" s="739"/>
      <c r="CM31" s="739"/>
      <c r="CN31" s="1174"/>
      <c r="CO31" s="22"/>
      <c r="CP31" s="59"/>
      <c r="CQ31" s="70"/>
      <c r="CR31" s="70"/>
      <c r="CS31" s="70"/>
      <c r="CT31" s="70"/>
    </row>
    <row r="32" spans="1:98" s="21" customFormat="1" ht="20.100000000000001" customHeight="1" thickBot="1" x14ac:dyDescent="0.25">
      <c r="A32" s="25"/>
      <c r="B32" s="25"/>
      <c r="C32" s="1199"/>
      <c r="D32" s="25"/>
      <c r="E32" s="577"/>
      <c r="F32" s="59" t="str">
        <f>_Calcs!$M$45</f>
        <v>Seismikk</v>
      </c>
      <c r="G32" s="160"/>
      <c r="H32" s="160"/>
      <c r="I32" s="60"/>
      <c r="J32" s="156"/>
      <c r="K32" s="156"/>
      <c r="L32" s="165"/>
      <c r="M32" s="165"/>
      <c r="N32" s="157"/>
      <c r="O32" s="59" t="s">
        <v>46</v>
      </c>
      <c r="P32" s="1175"/>
      <c r="R32" s="4068"/>
      <c r="S32" s="2301">
        <f>_Calcs!DY72</f>
        <v>0</v>
      </c>
      <c r="T32" s="4069"/>
      <c r="U32" s="70"/>
      <c r="V32" s="1206"/>
      <c r="W32" s="59"/>
      <c r="X32" s="4098"/>
      <c r="Y32" s="59"/>
      <c r="Z32" s="158" t="str">
        <f>IF(X32="","!","✓")</f>
        <v>!</v>
      </c>
      <c r="AA32" s="1208"/>
      <c r="AB32" s="1175"/>
      <c r="AC32" s="70"/>
      <c r="AD32" s="1206"/>
      <c r="AE32" s="59"/>
      <c r="AF32" s="4098"/>
      <c r="AG32" s="59"/>
      <c r="AH32" s="158" t="str">
        <f>IF(AF32="","!","✓")</f>
        <v>!</v>
      </c>
      <c r="AI32" s="1208"/>
      <c r="AJ32" s="1175"/>
      <c r="AK32" s="22"/>
      <c r="AL32" s="1206"/>
      <c r="AM32" s="59"/>
      <c r="AN32" s="4098"/>
      <c r="AO32" s="59"/>
      <c r="AP32" s="158" t="str">
        <f>IF(AN32="","!","✓")</f>
        <v>!</v>
      </c>
      <c r="AQ32" s="1208"/>
      <c r="AR32" s="1175"/>
      <c r="AS32" s="70"/>
      <c r="AT32" s="1206"/>
      <c r="AU32" s="59"/>
      <c r="AV32" s="4098"/>
      <c r="AW32" s="59"/>
      <c r="AX32" s="158" t="str">
        <f>IF(AV32="","!","✓")</f>
        <v>!</v>
      </c>
      <c r="AY32" s="1208"/>
      <c r="AZ32" s="1175"/>
      <c r="BA32" s="22"/>
      <c r="BB32" s="1206"/>
      <c r="BC32" s="59"/>
      <c r="BD32" s="4098"/>
      <c r="BE32" s="59"/>
      <c r="BF32" s="158" t="str">
        <f>IF(BD32="","!","✓")</f>
        <v>!</v>
      </c>
      <c r="BG32" s="1208"/>
      <c r="BH32" s="1175"/>
      <c r="BI32" s="70"/>
      <c r="BJ32" s="1206"/>
      <c r="BK32" s="59"/>
      <c r="BL32" s="4098"/>
      <c r="BM32" s="59"/>
      <c r="BN32" s="158" t="str">
        <f>IF(BL32="","!","✓")</f>
        <v>!</v>
      </c>
      <c r="BO32" s="1208"/>
      <c r="BP32" s="1175"/>
      <c r="BQ32" s="22"/>
      <c r="BR32" s="1206"/>
      <c r="BS32" s="59"/>
      <c r="BT32" s="4098"/>
      <c r="BU32" s="59"/>
      <c r="BV32" s="158" t="str">
        <f>IF(BT32="","!","✓")</f>
        <v>!</v>
      </c>
      <c r="BW32" s="1208"/>
      <c r="BX32" s="1175"/>
      <c r="BY32" s="70"/>
      <c r="BZ32" s="1206"/>
      <c r="CA32" s="59"/>
      <c r="CB32" s="4098"/>
      <c r="CC32" s="59"/>
      <c r="CD32" s="158" t="str">
        <f>IF(CB32="","!","✓")</f>
        <v>!</v>
      </c>
      <c r="CE32" s="1208"/>
      <c r="CF32" s="1175"/>
      <c r="CG32" s="22"/>
      <c r="CH32" s="1206"/>
      <c r="CI32" s="59"/>
      <c r="CJ32" s="4098"/>
      <c r="CK32" s="59"/>
      <c r="CL32" s="158" t="str">
        <f>IF(CJ32="","!","✓")</f>
        <v>!</v>
      </c>
      <c r="CM32" s="1208"/>
      <c r="CN32" s="1175"/>
      <c r="CO32" s="22"/>
      <c r="CP32" s="57"/>
      <c r="CQ32" s="70"/>
      <c r="CR32" s="70"/>
      <c r="CS32" s="70"/>
      <c r="CT32" s="124"/>
    </row>
    <row r="33" spans="1:98" s="21" customFormat="1" ht="15" thickBot="1" x14ac:dyDescent="0.25">
      <c r="A33" s="25"/>
      <c r="B33" s="25"/>
      <c r="C33" s="1199"/>
      <c r="D33" s="25"/>
      <c r="E33" s="731"/>
      <c r="F33" s="745"/>
      <c r="G33" s="579"/>
      <c r="H33" s="579"/>
      <c r="I33" s="733"/>
      <c r="J33" s="1176"/>
      <c r="K33" s="1176"/>
      <c r="L33" s="1177"/>
      <c r="M33" s="1177"/>
      <c r="N33" s="1178"/>
      <c r="O33" s="745"/>
      <c r="P33" s="1179"/>
      <c r="R33" s="4070"/>
      <c r="S33" s="4071"/>
      <c r="T33" s="4072"/>
      <c r="U33" s="70"/>
      <c r="V33" s="1207"/>
      <c r="W33" s="745"/>
      <c r="X33" s="4099"/>
      <c r="Y33" s="745"/>
      <c r="Z33" s="746"/>
      <c r="AA33" s="746"/>
      <c r="AB33" s="1179"/>
      <c r="AC33" s="70"/>
      <c r="AD33" s="1207"/>
      <c r="AE33" s="745"/>
      <c r="AF33" s="4099"/>
      <c r="AG33" s="745"/>
      <c r="AH33" s="746"/>
      <c r="AI33" s="746"/>
      <c r="AJ33" s="1179"/>
      <c r="AK33" s="22"/>
      <c r="AL33" s="1207"/>
      <c r="AM33" s="745"/>
      <c r="AN33" s="4099"/>
      <c r="AO33" s="745"/>
      <c r="AP33" s="746"/>
      <c r="AQ33" s="746"/>
      <c r="AR33" s="1179"/>
      <c r="AS33" s="70"/>
      <c r="AT33" s="1207"/>
      <c r="AU33" s="745"/>
      <c r="AV33" s="4099"/>
      <c r="AW33" s="745"/>
      <c r="AX33" s="746"/>
      <c r="AY33" s="746"/>
      <c r="AZ33" s="1179"/>
      <c r="BA33" s="22"/>
      <c r="BB33" s="1207"/>
      <c r="BC33" s="745"/>
      <c r="BD33" s="4099"/>
      <c r="BE33" s="745"/>
      <c r="BF33" s="746"/>
      <c r="BG33" s="746"/>
      <c r="BH33" s="1179"/>
      <c r="BI33" s="70"/>
      <c r="BJ33" s="1207"/>
      <c r="BK33" s="745"/>
      <c r="BL33" s="4099"/>
      <c r="BM33" s="745"/>
      <c r="BN33" s="746"/>
      <c r="BO33" s="746"/>
      <c r="BP33" s="1179"/>
      <c r="BQ33" s="22"/>
      <c r="BR33" s="1207"/>
      <c r="BS33" s="745"/>
      <c r="BT33" s="4099"/>
      <c r="BU33" s="745"/>
      <c r="BV33" s="746"/>
      <c r="BW33" s="746"/>
      <c r="BX33" s="1179"/>
      <c r="BY33" s="70"/>
      <c r="BZ33" s="1207"/>
      <c r="CA33" s="745"/>
      <c r="CB33" s="4099"/>
      <c r="CC33" s="745"/>
      <c r="CD33" s="746"/>
      <c r="CE33" s="746"/>
      <c r="CF33" s="1179"/>
      <c r="CG33" s="22"/>
      <c r="CH33" s="1207"/>
      <c r="CI33" s="745"/>
      <c r="CJ33" s="4099"/>
      <c r="CK33" s="745"/>
      <c r="CL33" s="746"/>
      <c r="CM33" s="746"/>
      <c r="CN33" s="1179"/>
      <c r="CO33" s="22"/>
      <c r="CP33" s="57"/>
      <c r="CQ33" s="70"/>
      <c r="CR33" s="70"/>
      <c r="CS33" s="70"/>
      <c r="CT33" s="70"/>
    </row>
    <row r="34" spans="1:98" s="21" customFormat="1" ht="24.95" customHeight="1" thickBot="1" x14ac:dyDescent="0.25">
      <c r="A34" s="25"/>
      <c r="B34" s="25"/>
      <c r="C34" s="1199"/>
      <c r="D34" s="25"/>
      <c r="E34" s="25"/>
      <c r="F34" s="25"/>
      <c r="G34" s="25"/>
      <c r="H34" s="25"/>
      <c r="I34" s="25"/>
      <c r="J34" s="1997"/>
      <c r="K34" s="161"/>
      <c r="L34" s="25"/>
      <c r="M34" s="25"/>
      <c r="N34" s="25"/>
      <c r="O34" s="25"/>
      <c r="P34" s="25"/>
      <c r="R34" s="70"/>
      <c r="S34" s="4097"/>
      <c r="T34" s="70"/>
      <c r="U34" s="70"/>
      <c r="V34" s="25"/>
      <c r="W34" s="25"/>
      <c r="X34" s="4100"/>
      <c r="Y34" s="25"/>
      <c r="Z34" s="25"/>
      <c r="AA34" s="25"/>
      <c r="AB34" s="25"/>
      <c r="AC34" s="70"/>
      <c r="AD34" s="25"/>
      <c r="AE34" s="25"/>
      <c r="AF34" s="4100"/>
      <c r="AG34" s="25"/>
      <c r="AH34" s="25"/>
      <c r="AI34" s="25"/>
      <c r="AJ34" s="25"/>
      <c r="AK34" s="22"/>
      <c r="AL34" s="25"/>
      <c r="AM34" s="25"/>
      <c r="AN34" s="4100"/>
      <c r="AO34" s="25"/>
      <c r="AP34" s="25"/>
      <c r="AQ34" s="25"/>
      <c r="AR34" s="25"/>
      <c r="AS34" s="70"/>
      <c r="AT34" s="25"/>
      <c r="AU34" s="25"/>
      <c r="AV34" s="4100"/>
      <c r="AW34" s="25"/>
      <c r="AX34" s="25"/>
      <c r="AY34" s="25"/>
      <c r="AZ34" s="25"/>
      <c r="BA34" s="22"/>
      <c r="BB34" s="25"/>
      <c r="BC34" s="25"/>
      <c r="BD34" s="4100"/>
      <c r="BE34" s="25"/>
      <c r="BF34" s="25"/>
      <c r="BG34" s="25"/>
      <c r="BH34" s="25"/>
      <c r="BI34" s="70"/>
      <c r="BJ34" s="25"/>
      <c r="BK34" s="25"/>
      <c r="BL34" s="4100"/>
      <c r="BM34" s="25"/>
      <c r="BN34" s="25"/>
      <c r="BO34" s="25"/>
      <c r="BP34" s="25"/>
      <c r="BQ34" s="22"/>
      <c r="BR34" s="25"/>
      <c r="BS34" s="25"/>
      <c r="BT34" s="4100"/>
      <c r="BU34" s="25"/>
      <c r="BV34" s="25"/>
      <c r="BW34" s="25"/>
      <c r="BX34" s="25"/>
      <c r="BY34" s="70"/>
      <c r="BZ34" s="25"/>
      <c r="CA34" s="25"/>
      <c r="CB34" s="4100"/>
      <c r="CC34" s="25"/>
      <c r="CD34" s="25"/>
      <c r="CE34" s="25"/>
      <c r="CF34" s="25"/>
      <c r="CG34" s="22"/>
      <c r="CH34" s="25"/>
      <c r="CI34" s="25"/>
      <c r="CJ34" s="4100"/>
      <c r="CK34" s="25"/>
      <c r="CL34" s="25"/>
      <c r="CM34" s="25"/>
      <c r="CN34" s="25"/>
      <c r="CO34" s="22"/>
      <c r="CP34" s="25"/>
      <c r="CQ34" s="70"/>
      <c r="CR34" s="70"/>
      <c r="CS34" s="70"/>
      <c r="CT34" s="70"/>
    </row>
    <row r="35" spans="1:98" s="21" customFormat="1" ht="15" customHeight="1" thickBot="1" x14ac:dyDescent="0.25">
      <c r="A35" s="25"/>
      <c r="B35" s="25"/>
      <c r="C35" s="1199"/>
      <c r="D35" s="25"/>
      <c r="E35" s="1186"/>
      <c r="F35" s="6570" t="str">
        <f>_Calcs!$K$46</f>
        <v>Injeksjon</v>
      </c>
      <c r="G35" s="6570"/>
      <c r="H35" s="6570"/>
      <c r="I35" s="6570"/>
      <c r="J35" s="6570"/>
      <c r="K35" s="6570"/>
      <c r="L35" s="6570"/>
      <c r="M35" s="6570"/>
      <c r="N35" s="6570"/>
      <c r="O35" s="6570"/>
      <c r="P35" s="1187"/>
      <c r="S35" s="4101"/>
      <c r="U35" s="70"/>
      <c r="V35" s="17"/>
      <c r="W35" s="17"/>
      <c r="X35" s="36"/>
      <c r="Y35" s="17"/>
      <c r="Z35" s="138"/>
      <c r="AA35" s="138"/>
      <c r="AB35" s="17"/>
      <c r="AC35" s="70"/>
      <c r="AD35" s="17"/>
      <c r="AE35" s="17"/>
      <c r="AF35" s="36"/>
      <c r="AG35" s="17"/>
      <c r="AH35" s="138"/>
      <c r="AI35" s="138"/>
      <c r="AJ35" s="17"/>
      <c r="AK35" s="22"/>
      <c r="AL35" s="17"/>
      <c r="AM35" s="17"/>
      <c r="AN35" s="36"/>
      <c r="AO35" s="17"/>
      <c r="AP35" s="138"/>
      <c r="AQ35" s="138"/>
      <c r="AR35" s="17"/>
      <c r="AS35" s="70"/>
      <c r="AT35" s="17"/>
      <c r="AU35" s="17"/>
      <c r="AV35" s="36"/>
      <c r="AW35" s="17"/>
      <c r="AX35" s="138"/>
      <c r="AY35" s="138"/>
      <c r="AZ35" s="17"/>
      <c r="BA35" s="22"/>
      <c r="BB35" s="17"/>
      <c r="BC35" s="17"/>
      <c r="BD35" s="36"/>
      <c r="BE35" s="17"/>
      <c r="BF35" s="138"/>
      <c r="BG35" s="138"/>
      <c r="BH35" s="17"/>
      <c r="BI35" s="70"/>
      <c r="BJ35" s="17"/>
      <c r="BK35" s="17"/>
      <c r="BL35" s="36"/>
      <c r="BM35" s="17"/>
      <c r="BN35" s="138"/>
      <c r="BO35" s="138"/>
      <c r="BP35" s="17"/>
      <c r="BQ35" s="22"/>
      <c r="BR35" s="17"/>
      <c r="BS35" s="17"/>
      <c r="BT35" s="36"/>
      <c r="BU35" s="17"/>
      <c r="BV35" s="138"/>
      <c r="BW35" s="138"/>
      <c r="BX35" s="17"/>
      <c r="BY35" s="70"/>
      <c r="BZ35" s="17"/>
      <c r="CA35" s="17"/>
      <c r="CB35" s="36"/>
      <c r="CC35" s="17"/>
      <c r="CD35" s="138"/>
      <c r="CE35" s="138"/>
      <c r="CF35" s="17"/>
      <c r="CG35" s="22"/>
      <c r="CH35" s="17"/>
      <c r="CI35" s="17"/>
      <c r="CJ35" s="36"/>
      <c r="CK35" s="17"/>
      <c r="CL35" s="138"/>
      <c r="CM35" s="138"/>
      <c r="CN35" s="17"/>
      <c r="CO35" s="22"/>
      <c r="CP35" s="17"/>
      <c r="CQ35" s="70"/>
      <c r="CR35" s="70"/>
      <c r="CS35" s="70"/>
      <c r="CT35" s="70"/>
    </row>
    <row r="36" spans="1:98" s="21" customFormat="1" ht="15" customHeight="1" thickBot="1" x14ac:dyDescent="0.25">
      <c r="A36" s="25"/>
      <c r="B36" s="25"/>
      <c r="C36" s="1199"/>
      <c r="D36" s="25"/>
      <c r="E36" s="1188"/>
      <c r="F36" s="6571"/>
      <c r="G36" s="6571"/>
      <c r="H36" s="6571"/>
      <c r="I36" s="6571"/>
      <c r="J36" s="6571"/>
      <c r="K36" s="6571"/>
      <c r="L36" s="6571"/>
      <c r="M36" s="6571"/>
      <c r="N36" s="6571"/>
      <c r="O36" s="6571"/>
      <c r="P36" s="1189"/>
      <c r="R36" s="4062"/>
      <c r="S36" s="4089"/>
      <c r="T36" s="4064"/>
      <c r="U36" s="70"/>
      <c r="V36" s="492"/>
      <c r="W36" s="582"/>
      <c r="X36" s="582"/>
      <c r="Y36" s="582"/>
      <c r="Z36" s="582"/>
      <c r="AA36" s="582"/>
      <c r="AB36" s="493"/>
      <c r="AC36" s="70"/>
      <c r="AD36" s="492"/>
      <c r="AE36" s="582"/>
      <c r="AF36" s="582"/>
      <c r="AG36" s="582"/>
      <c r="AH36" s="582"/>
      <c r="AI36" s="582"/>
      <c r="AJ36" s="493"/>
      <c r="AK36" s="22"/>
      <c r="AL36" s="492"/>
      <c r="AM36" s="582"/>
      <c r="AN36" s="582"/>
      <c r="AO36" s="582"/>
      <c r="AP36" s="582"/>
      <c r="AQ36" s="582"/>
      <c r="AR36" s="493"/>
      <c r="AS36" s="70"/>
      <c r="AT36" s="492"/>
      <c r="AU36" s="582"/>
      <c r="AV36" s="582"/>
      <c r="AW36" s="582"/>
      <c r="AX36" s="582"/>
      <c r="AY36" s="582"/>
      <c r="AZ36" s="493"/>
      <c r="BA36" s="22"/>
      <c r="BB36" s="492"/>
      <c r="BC36" s="582"/>
      <c r="BD36" s="582"/>
      <c r="BE36" s="582"/>
      <c r="BF36" s="582"/>
      <c r="BG36" s="582"/>
      <c r="BH36" s="493"/>
      <c r="BI36" s="70"/>
      <c r="BJ36" s="492"/>
      <c r="BK36" s="582"/>
      <c r="BL36" s="582"/>
      <c r="BM36" s="582"/>
      <c r="BN36" s="582"/>
      <c r="BO36" s="582"/>
      <c r="BP36" s="493"/>
      <c r="BQ36" s="22"/>
      <c r="BR36" s="492"/>
      <c r="BS36" s="582"/>
      <c r="BT36" s="582"/>
      <c r="BU36" s="582"/>
      <c r="BV36" s="582"/>
      <c r="BW36" s="582"/>
      <c r="BX36" s="493"/>
      <c r="BY36" s="70"/>
      <c r="BZ36" s="492"/>
      <c r="CA36" s="582"/>
      <c r="CB36" s="582"/>
      <c r="CC36" s="582"/>
      <c r="CD36" s="582"/>
      <c r="CE36" s="582"/>
      <c r="CF36" s="493"/>
      <c r="CG36" s="22"/>
      <c r="CH36" s="492"/>
      <c r="CI36" s="582"/>
      <c r="CJ36" s="582"/>
      <c r="CK36" s="582"/>
      <c r="CL36" s="582"/>
      <c r="CM36" s="582"/>
      <c r="CN36" s="493"/>
      <c r="CO36" s="22"/>
      <c r="CP36" s="53"/>
      <c r="CQ36" s="70"/>
      <c r="CR36" s="70"/>
      <c r="CS36" s="70"/>
      <c r="CT36" s="70"/>
    </row>
    <row r="37" spans="1:98" s="21" customFormat="1" ht="8.1" customHeight="1" thickBot="1" x14ac:dyDescent="0.25">
      <c r="A37" s="25"/>
      <c r="B37" s="25"/>
      <c r="C37" s="1199"/>
      <c r="D37" s="25"/>
      <c r="E37" s="17"/>
      <c r="F37" s="129"/>
      <c r="G37" s="129"/>
      <c r="H37" s="129"/>
      <c r="I37" s="17"/>
      <c r="J37" s="624"/>
      <c r="K37" s="1184"/>
      <c r="L37" s="1185"/>
      <c r="M37" s="1185"/>
      <c r="N37" s="1185"/>
      <c r="O37" s="17"/>
      <c r="P37" s="17"/>
      <c r="S37" s="4101"/>
      <c r="U37" s="70"/>
      <c r="V37" s="17"/>
      <c r="W37" s="17"/>
      <c r="X37" s="36"/>
      <c r="Y37" s="17"/>
      <c r="Z37" s="138"/>
      <c r="AA37" s="138"/>
      <c r="AB37" s="17"/>
      <c r="AC37" s="70"/>
      <c r="AD37" s="17"/>
      <c r="AE37" s="17"/>
      <c r="AF37" s="36"/>
      <c r="AG37" s="17"/>
      <c r="AH37" s="138"/>
      <c r="AI37" s="138"/>
      <c r="AJ37" s="17"/>
      <c r="AK37" s="22"/>
      <c r="AL37" s="17"/>
      <c r="AM37" s="17"/>
      <c r="AN37" s="36"/>
      <c r="AO37" s="17"/>
      <c r="AP37" s="138"/>
      <c r="AQ37" s="138"/>
      <c r="AR37" s="17"/>
      <c r="AS37" s="70"/>
      <c r="AT37" s="17"/>
      <c r="AU37" s="17"/>
      <c r="AV37" s="36"/>
      <c r="AW37" s="17"/>
      <c r="AX37" s="138"/>
      <c r="AY37" s="138"/>
      <c r="AZ37" s="17"/>
      <c r="BA37" s="22"/>
      <c r="BB37" s="17"/>
      <c r="BC37" s="17"/>
      <c r="BD37" s="36"/>
      <c r="BE37" s="17"/>
      <c r="BF37" s="138"/>
      <c r="BG37" s="138"/>
      <c r="BH37" s="17"/>
      <c r="BI37" s="70"/>
      <c r="BJ37" s="17"/>
      <c r="BK37" s="17"/>
      <c r="BL37" s="36"/>
      <c r="BM37" s="17"/>
      <c r="BN37" s="138"/>
      <c r="BO37" s="138"/>
      <c r="BP37" s="17"/>
      <c r="BQ37" s="22"/>
      <c r="BR37" s="17"/>
      <c r="BS37" s="17"/>
      <c r="BT37" s="36"/>
      <c r="BU37" s="17"/>
      <c r="BV37" s="138"/>
      <c r="BW37" s="138"/>
      <c r="BX37" s="17"/>
      <c r="BY37" s="70"/>
      <c r="BZ37" s="17"/>
      <c r="CA37" s="17"/>
      <c r="CB37" s="36"/>
      <c r="CC37" s="17"/>
      <c r="CD37" s="138"/>
      <c r="CE37" s="138"/>
      <c r="CF37" s="17"/>
      <c r="CG37" s="22"/>
      <c r="CH37" s="17"/>
      <c r="CI37" s="17"/>
      <c r="CJ37" s="36"/>
      <c r="CK37" s="17"/>
      <c r="CL37" s="138"/>
      <c r="CM37" s="138"/>
      <c r="CN37" s="17"/>
      <c r="CO37" s="22"/>
      <c r="CP37" s="17"/>
      <c r="CQ37" s="70"/>
      <c r="CR37" s="70"/>
      <c r="CS37" s="70"/>
      <c r="CT37" s="70"/>
    </row>
    <row r="38" spans="1:98" s="21" customFormat="1" ht="15" customHeight="1" x14ac:dyDescent="0.2">
      <c r="A38" s="25"/>
      <c r="B38" s="25"/>
      <c r="C38" s="1199"/>
      <c r="D38" s="25"/>
      <c r="E38" s="1190"/>
      <c r="F38" s="2056"/>
      <c r="G38" s="1018"/>
      <c r="H38" s="1018"/>
      <c r="I38" s="576"/>
      <c r="J38" s="727"/>
      <c r="K38" s="1191"/>
      <c r="L38" s="1173"/>
      <c r="M38" s="1173"/>
      <c r="N38" s="1192"/>
      <c r="O38" s="576"/>
      <c r="P38" s="1174"/>
      <c r="R38" s="4003"/>
      <c r="S38" s="4074"/>
      <c r="T38" s="4003"/>
      <c r="U38" s="70"/>
      <c r="V38" s="4026"/>
      <c r="W38" s="4026"/>
      <c r="X38" s="4026"/>
      <c r="Y38" s="4026"/>
      <c r="Z38" s="4026"/>
      <c r="AA38" s="4026"/>
      <c r="AB38" s="4026"/>
      <c r="AC38" s="70"/>
      <c r="AD38" s="4026"/>
      <c r="AE38" s="4026"/>
      <c r="AF38" s="4026"/>
      <c r="AG38" s="4026"/>
      <c r="AH38" s="4026"/>
      <c r="AI38" s="4026"/>
      <c r="AJ38" s="4026"/>
      <c r="AK38" s="22"/>
      <c r="AL38" s="4026"/>
      <c r="AM38" s="4026"/>
      <c r="AN38" s="4026"/>
      <c r="AO38" s="4026"/>
      <c r="AP38" s="4026"/>
      <c r="AQ38" s="4026"/>
      <c r="AR38" s="4026"/>
      <c r="AS38" s="70"/>
      <c r="AT38" s="4026"/>
      <c r="AU38" s="4026"/>
      <c r="AV38" s="4026"/>
      <c r="AW38" s="4026"/>
      <c r="AX38" s="4026"/>
      <c r="AY38" s="4026"/>
      <c r="AZ38" s="4026"/>
      <c r="BA38" s="22"/>
      <c r="BB38" s="4026"/>
      <c r="BC38" s="4026"/>
      <c r="BD38" s="4026"/>
      <c r="BE38" s="4026"/>
      <c r="BF38" s="4026"/>
      <c r="BG38" s="4026"/>
      <c r="BH38" s="4026"/>
      <c r="BI38" s="70"/>
      <c r="BJ38" s="4026"/>
      <c r="BK38" s="4026"/>
      <c r="BL38" s="4026"/>
      <c r="BM38" s="4026"/>
      <c r="BN38" s="4026"/>
      <c r="BO38" s="4026"/>
      <c r="BP38" s="4026"/>
      <c r="BQ38" s="22"/>
      <c r="BR38" s="4026"/>
      <c r="BS38" s="4026"/>
      <c r="BT38" s="4026"/>
      <c r="BU38" s="4026"/>
      <c r="BV38" s="4026"/>
      <c r="BW38" s="4026"/>
      <c r="BX38" s="4026"/>
      <c r="BY38" s="70"/>
      <c r="BZ38" s="4026"/>
      <c r="CA38" s="4026"/>
      <c r="CB38" s="4026"/>
      <c r="CC38" s="4026"/>
      <c r="CD38" s="4026"/>
      <c r="CE38" s="4026"/>
      <c r="CF38" s="4026"/>
      <c r="CG38" s="22"/>
      <c r="CH38" s="4026"/>
      <c r="CI38" s="4026"/>
      <c r="CJ38" s="4026"/>
      <c r="CK38" s="4026"/>
      <c r="CL38" s="4026"/>
      <c r="CM38" s="4026"/>
      <c r="CN38" s="4026"/>
      <c r="CO38" s="22"/>
      <c r="CP38" s="1598"/>
      <c r="CQ38" s="70"/>
      <c r="CR38" s="70"/>
      <c r="CS38" s="70"/>
      <c r="CT38" s="70"/>
    </row>
    <row r="39" spans="1:98" s="21" customFormat="1" ht="15" customHeight="1" x14ac:dyDescent="0.2">
      <c r="A39" s="25"/>
      <c r="B39" s="25"/>
      <c r="C39" s="1199"/>
      <c r="D39" s="25"/>
      <c r="E39" s="577"/>
      <c r="F39" s="6573" t="str">
        <f>_Calcs!$L$46</f>
        <v>Behovsprøvd</v>
      </c>
      <c r="G39" s="6573"/>
      <c r="H39" s="6573"/>
      <c r="I39" s="6573"/>
      <c r="J39" s="156"/>
      <c r="K39" s="156"/>
      <c r="L39" s="165"/>
      <c r="M39" s="165"/>
      <c r="N39" s="165"/>
      <c r="O39" s="59"/>
      <c r="P39" s="1175"/>
      <c r="R39" s="4003"/>
      <c r="S39" s="4074"/>
      <c r="T39" s="4003"/>
      <c r="U39" s="70"/>
      <c r="V39" s="4102"/>
      <c r="W39" s="4102"/>
      <c r="X39" s="4102"/>
      <c r="Y39" s="4102"/>
      <c r="Z39" s="4102"/>
      <c r="AA39" s="4102"/>
      <c r="AB39" s="4102"/>
      <c r="AC39" s="70"/>
      <c r="AD39" s="4102"/>
      <c r="AE39" s="4102"/>
      <c r="AF39" s="4102"/>
      <c r="AG39" s="4102"/>
      <c r="AH39" s="4102"/>
      <c r="AI39" s="4102"/>
      <c r="AJ39" s="4102"/>
      <c r="AK39" s="22"/>
      <c r="AL39" s="4102"/>
      <c r="AM39" s="4102"/>
      <c r="AN39" s="4102"/>
      <c r="AO39" s="4102"/>
      <c r="AP39" s="4102"/>
      <c r="AQ39" s="4102"/>
      <c r="AR39" s="4102"/>
      <c r="AS39" s="70"/>
      <c r="AT39" s="4102"/>
      <c r="AU39" s="4102"/>
      <c r="AV39" s="4102"/>
      <c r="AW39" s="4102"/>
      <c r="AX39" s="4102"/>
      <c r="AY39" s="4102"/>
      <c r="AZ39" s="4102"/>
      <c r="BA39" s="22"/>
      <c r="BB39" s="4102"/>
      <c r="BC39" s="4102"/>
      <c r="BD39" s="4102"/>
      <c r="BE39" s="4102"/>
      <c r="BF39" s="4102"/>
      <c r="BG39" s="4102"/>
      <c r="BH39" s="4102"/>
      <c r="BI39" s="70"/>
      <c r="BJ39" s="4102"/>
      <c r="BK39" s="4102"/>
      <c r="BL39" s="4102"/>
      <c r="BM39" s="4102"/>
      <c r="BN39" s="4102"/>
      <c r="BO39" s="4102"/>
      <c r="BP39" s="4102"/>
      <c r="BQ39" s="22"/>
      <c r="BR39" s="4102"/>
      <c r="BS39" s="4102"/>
      <c r="BT39" s="4102"/>
      <c r="BU39" s="4102"/>
      <c r="BV39" s="4102"/>
      <c r="BW39" s="4102"/>
      <c r="BX39" s="4102"/>
      <c r="BY39" s="70"/>
      <c r="BZ39" s="4102"/>
      <c r="CA39" s="4102"/>
      <c r="CB39" s="4102"/>
      <c r="CC39" s="4102"/>
      <c r="CD39" s="4102"/>
      <c r="CE39" s="4102"/>
      <c r="CF39" s="4102"/>
      <c r="CG39" s="22"/>
      <c r="CH39" s="4102"/>
      <c r="CI39" s="4102"/>
      <c r="CJ39" s="4102"/>
      <c r="CK39" s="4102"/>
      <c r="CL39" s="4102"/>
      <c r="CM39" s="4102"/>
      <c r="CN39" s="4102"/>
      <c r="CO39" s="22"/>
      <c r="CP39" s="1598"/>
      <c r="CQ39" s="70"/>
      <c r="CR39" s="70"/>
      <c r="CS39" s="70"/>
      <c r="CT39" s="70"/>
    </row>
    <row r="40" spans="1:98" s="21" customFormat="1" ht="8.1" customHeight="1" thickBot="1" x14ac:dyDescent="0.25">
      <c r="A40" s="25"/>
      <c r="B40" s="25"/>
      <c r="C40" s="1199"/>
      <c r="D40" s="25"/>
      <c r="E40" s="577"/>
      <c r="F40" s="6573"/>
      <c r="G40" s="6573"/>
      <c r="H40" s="6573"/>
      <c r="I40" s="6573"/>
      <c r="J40" s="156"/>
      <c r="K40" s="156"/>
      <c r="L40" s="165"/>
      <c r="M40" s="165"/>
      <c r="N40" s="165"/>
      <c r="O40" s="59"/>
      <c r="P40" s="1175"/>
      <c r="S40" s="4101"/>
      <c r="U40" s="70"/>
      <c r="V40" s="70"/>
      <c r="W40" s="70"/>
      <c r="X40" s="70"/>
      <c r="Y40" s="70"/>
      <c r="Z40" s="70"/>
      <c r="AA40" s="70"/>
      <c r="AB40" s="70"/>
      <c r="AC40" s="70"/>
      <c r="AD40" s="70"/>
      <c r="AE40" s="70"/>
      <c r="AF40" s="70"/>
      <c r="AG40" s="70"/>
      <c r="AH40" s="70"/>
      <c r="AI40" s="70"/>
      <c r="AJ40" s="70"/>
      <c r="AK40" s="22"/>
      <c r="AL40" s="70"/>
      <c r="AM40" s="70"/>
      <c r="AN40" s="70"/>
      <c r="AO40" s="70"/>
      <c r="AP40" s="70"/>
      <c r="AQ40" s="70"/>
      <c r="AR40" s="70"/>
      <c r="AS40" s="70"/>
      <c r="AT40" s="70"/>
      <c r="AU40" s="70"/>
      <c r="AV40" s="70"/>
      <c r="AW40" s="70"/>
      <c r="AX40" s="70"/>
      <c r="AY40" s="70"/>
      <c r="AZ40" s="70"/>
      <c r="BA40" s="22"/>
      <c r="BB40" s="70"/>
      <c r="BC40" s="70"/>
      <c r="BD40" s="70"/>
      <c r="BE40" s="70"/>
      <c r="BF40" s="70"/>
      <c r="BG40" s="70"/>
      <c r="BH40" s="70"/>
      <c r="BI40" s="70"/>
      <c r="BJ40" s="70"/>
      <c r="BK40" s="70"/>
      <c r="BL40" s="70"/>
      <c r="BM40" s="70"/>
      <c r="BN40" s="70"/>
      <c r="BO40" s="70"/>
      <c r="BP40" s="70"/>
      <c r="BQ40" s="22"/>
      <c r="BR40" s="70"/>
      <c r="BS40" s="70"/>
      <c r="BT40" s="70"/>
      <c r="BU40" s="70"/>
      <c r="BV40" s="70"/>
      <c r="BW40" s="70"/>
      <c r="BX40" s="70"/>
      <c r="BY40" s="70"/>
      <c r="BZ40" s="70"/>
      <c r="CA40" s="70"/>
      <c r="CB40" s="70"/>
      <c r="CC40" s="70"/>
      <c r="CD40" s="70"/>
      <c r="CE40" s="70"/>
      <c r="CF40" s="70"/>
      <c r="CG40" s="22"/>
      <c r="CH40" s="70"/>
      <c r="CI40" s="70"/>
      <c r="CJ40" s="70"/>
      <c r="CK40" s="70"/>
      <c r="CL40" s="70"/>
      <c r="CM40" s="70"/>
      <c r="CN40" s="70"/>
      <c r="CO40" s="22"/>
      <c r="CP40" s="17"/>
      <c r="CQ40" s="70"/>
      <c r="CR40" s="70"/>
      <c r="CS40" s="70"/>
      <c r="CT40" s="70"/>
    </row>
    <row r="41" spans="1:98" s="21" customFormat="1" ht="15" customHeight="1" thickBot="1" x14ac:dyDescent="0.25">
      <c r="A41" s="25"/>
      <c r="B41" s="25"/>
      <c r="C41" s="1199"/>
      <c r="D41" s="25"/>
      <c r="E41" s="577"/>
      <c r="F41" s="59"/>
      <c r="G41" s="160"/>
      <c r="H41" s="160"/>
      <c r="I41" s="164"/>
      <c r="J41" s="156"/>
      <c r="K41" s="156"/>
      <c r="L41" s="165"/>
      <c r="M41" s="165"/>
      <c r="N41" s="165"/>
      <c r="O41" s="59"/>
      <c r="P41" s="1175"/>
      <c r="R41" s="4065"/>
      <c r="S41" s="4073"/>
      <c r="T41" s="4067"/>
      <c r="U41" s="70"/>
      <c r="V41" s="1190"/>
      <c r="W41" s="576"/>
      <c r="X41" s="1211"/>
      <c r="Y41" s="576"/>
      <c r="Z41" s="739"/>
      <c r="AA41" s="739"/>
      <c r="AB41" s="1174"/>
      <c r="AC41" s="70"/>
      <c r="AD41" s="1190"/>
      <c r="AE41" s="576"/>
      <c r="AF41" s="1211"/>
      <c r="AG41" s="576"/>
      <c r="AH41" s="739"/>
      <c r="AI41" s="739"/>
      <c r="AJ41" s="1174"/>
      <c r="AK41" s="22"/>
      <c r="AL41" s="1190"/>
      <c r="AM41" s="576"/>
      <c r="AN41" s="1211"/>
      <c r="AO41" s="576"/>
      <c r="AP41" s="739"/>
      <c r="AQ41" s="739"/>
      <c r="AR41" s="1174"/>
      <c r="AS41" s="70"/>
      <c r="AT41" s="1190"/>
      <c r="AU41" s="576"/>
      <c r="AV41" s="1211"/>
      <c r="AW41" s="576"/>
      <c r="AX41" s="739"/>
      <c r="AY41" s="739"/>
      <c r="AZ41" s="1174"/>
      <c r="BA41" s="22"/>
      <c r="BB41" s="1190"/>
      <c r="BC41" s="576"/>
      <c r="BD41" s="1211"/>
      <c r="BE41" s="576"/>
      <c r="BF41" s="739"/>
      <c r="BG41" s="739"/>
      <c r="BH41" s="1174"/>
      <c r="BI41" s="70"/>
      <c r="BJ41" s="1190"/>
      <c r="BK41" s="576"/>
      <c r="BL41" s="1211"/>
      <c r="BM41" s="576"/>
      <c r="BN41" s="739"/>
      <c r="BO41" s="739"/>
      <c r="BP41" s="1174"/>
      <c r="BQ41" s="22"/>
      <c r="BR41" s="1190"/>
      <c r="BS41" s="576"/>
      <c r="BT41" s="1211"/>
      <c r="BU41" s="576"/>
      <c r="BV41" s="739"/>
      <c r="BW41" s="739"/>
      <c r="BX41" s="1174"/>
      <c r="BY41" s="70"/>
      <c r="BZ41" s="1190"/>
      <c r="CA41" s="576"/>
      <c r="CB41" s="1211"/>
      <c r="CC41" s="576"/>
      <c r="CD41" s="739"/>
      <c r="CE41" s="739"/>
      <c r="CF41" s="1174"/>
      <c r="CG41" s="22"/>
      <c r="CH41" s="1190"/>
      <c r="CI41" s="576"/>
      <c r="CJ41" s="1211"/>
      <c r="CK41" s="576"/>
      <c r="CL41" s="739"/>
      <c r="CM41" s="739"/>
      <c r="CN41" s="1174"/>
      <c r="CO41" s="22"/>
      <c r="CP41" s="57"/>
      <c r="CQ41" s="70"/>
      <c r="CR41" s="70"/>
      <c r="CS41" s="70"/>
      <c r="CT41" s="70"/>
    </row>
    <row r="42" spans="1:98" s="21" customFormat="1" ht="20.100000000000001" customHeight="1" thickBot="1" x14ac:dyDescent="0.25">
      <c r="A42" s="25"/>
      <c r="B42" s="25"/>
      <c r="C42" s="1199"/>
      <c r="D42" s="25"/>
      <c r="E42" s="577"/>
      <c r="F42" s="59" t="str">
        <f>_Calcs!$N$46</f>
        <v>Opp- og nedrigging</v>
      </c>
      <c r="G42" s="160"/>
      <c r="H42" s="160"/>
      <c r="I42" s="60"/>
      <c r="J42" s="156" t="s">
        <v>149</v>
      </c>
      <c r="K42" s="156"/>
      <c r="L42" s="165"/>
      <c r="M42" s="165"/>
      <c r="N42" s="157"/>
      <c r="O42" s="59" t="s">
        <v>97</v>
      </c>
      <c r="P42" s="1175"/>
      <c r="R42" s="4068"/>
      <c r="S42" s="3885">
        <f>_Calcs!DZ72</f>
        <v>0</v>
      </c>
      <c r="T42" s="4069"/>
      <c r="U42" s="70"/>
      <c r="V42" s="1206"/>
      <c r="W42" s="59"/>
      <c r="X42" s="4098"/>
      <c r="Y42" s="59"/>
      <c r="Z42" s="158" t="str">
        <f>IF(OR(_Calcs!$DS$168=0,X42=""),"!","✓")</f>
        <v>!</v>
      </c>
      <c r="AA42" s="1208"/>
      <c r="AB42" s="1175"/>
      <c r="AC42" s="70"/>
      <c r="AD42" s="1206"/>
      <c r="AE42" s="59"/>
      <c r="AF42" s="4098"/>
      <c r="AG42" s="59"/>
      <c r="AH42" s="158" t="str">
        <f>IF(OR(_Calcs!$DS$169=0,AF42=""),"!","✓")</f>
        <v>!</v>
      </c>
      <c r="AI42" s="1208"/>
      <c r="AJ42" s="1175"/>
      <c r="AK42" s="22"/>
      <c r="AL42" s="1206"/>
      <c r="AM42" s="59"/>
      <c r="AN42" s="4098"/>
      <c r="AO42" s="59"/>
      <c r="AP42" s="158" t="str">
        <f>IF(OR(_Calcs!$DS$170=0,AN42=""),"!","✓")</f>
        <v>!</v>
      </c>
      <c r="AQ42" s="1208"/>
      <c r="AR42" s="1175"/>
      <c r="AS42" s="70"/>
      <c r="AT42" s="1206"/>
      <c r="AU42" s="59"/>
      <c r="AV42" s="4098"/>
      <c r="AW42" s="59"/>
      <c r="AX42" s="158" t="str">
        <f>IF(OR(_Calcs!$DS$171=0,AV42=""),"!","✓")</f>
        <v>!</v>
      </c>
      <c r="AY42" s="1208"/>
      <c r="AZ42" s="1175"/>
      <c r="BA42" s="22"/>
      <c r="BB42" s="1206"/>
      <c r="BC42" s="59"/>
      <c r="BD42" s="4098"/>
      <c r="BE42" s="59"/>
      <c r="BF42" s="158" t="str">
        <f>IF(OR(_Calcs!$DS$172=0,BD42=""),"!","✓")</f>
        <v>!</v>
      </c>
      <c r="BG42" s="1208"/>
      <c r="BH42" s="1175"/>
      <c r="BI42" s="70"/>
      <c r="BJ42" s="1206"/>
      <c r="BK42" s="59"/>
      <c r="BL42" s="4098"/>
      <c r="BM42" s="59"/>
      <c r="BN42" s="158" t="str">
        <f>IF(OR(_Calcs!$DS$173=0,BL42=""),"!","✓")</f>
        <v>!</v>
      </c>
      <c r="BO42" s="1208"/>
      <c r="BP42" s="1175"/>
      <c r="BQ42" s="22"/>
      <c r="BR42" s="1206"/>
      <c r="BS42" s="59"/>
      <c r="BT42" s="4098"/>
      <c r="BU42" s="59"/>
      <c r="BV42" s="158" t="str">
        <f>IF(OR(_Calcs!$DS$174=0,BT42=""),"!","✓")</f>
        <v>!</v>
      </c>
      <c r="BW42" s="1208"/>
      <c r="BX42" s="1175"/>
      <c r="BY42" s="70"/>
      <c r="BZ42" s="1206"/>
      <c r="CA42" s="59"/>
      <c r="CB42" s="4098"/>
      <c r="CC42" s="59"/>
      <c r="CD42" s="158" t="str">
        <f>IF(OR(_Calcs!$DS$175=0,CB42=""),"!","✓")</f>
        <v>!</v>
      </c>
      <c r="CE42" s="1208"/>
      <c r="CF42" s="1175"/>
      <c r="CG42" s="22"/>
      <c r="CH42" s="1206"/>
      <c r="CI42" s="59"/>
      <c r="CJ42" s="4098"/>
      <c r="CK42" s="59"/>
      <c r="CL42" s="158" t="str">
        <f>IF(OR(_Calcs!$DS$176=0,CJ42=""),"!","✓")</f>
        <v>!</v>
      </c>
      <c r="CM42" s="1208"/>
      <c r="CN42" s="1175"/>
      <c r="CO42" s="22"/>
      <c r="CP42" s="57"/>
      <c r="CQ42" s="70"/>
      <c r="CR42" s="70"/>
      <c r="CS42" s="70"/>
      <c r="CT42" s="70"/>
    </row>
    <row r="43" spans="1:98" s="21" customFormat="1" ht="15" customHeight="1" thickBot="1" x14ac:dyDescent="0.25">
      <c r="A43" s="25"/>
      <c r="B43" s="25"/>
      <c r="C43" s="1199"/>
      <c r="D43" s="25"/>
      <c r="E43" s="577"/>
      <c r="F43" s="59"/>
      <c r="G43" s="160"/>
      <c r="H43" s="160"/>
      <c r="I43" s="60"/>
      <c r="J43" s="55"/>
      <c r="K43" s="1193"/>
      <c r="L43" s="165"/>
      <c r="M43" s="165"/>
      <c r="N43" s="165"/>
      <c r="O43" s="59"/>
      <c r="P43" s="1175"/>
      <c r="R43" s="4068"/>
      <c r="S43" s="4071"/>
      <c r="T43" s="4069"/>
      <c r="U43" s="70"/>
      <c r="V43" s="1206"/>
      <c r="W43" s="59"/>
      <c r="X43" s="58"/>
      <c r="Y43" s="59"/>
      <c r="Z43" s="1209"/>
      <c r="AA43" s="1209"/>
      <c r="AB43" s="1175"/>
      <c r="AC43" s="70"/>
      <c r="AD43" s="1206"/>
      <c r="AE43" s="59"/>
      <c r="AF43" s="58"/>
      <c r="AG43" s="59"/>
      <c r="AH43" s="1209"/>
      <c r="AI43" s="1209"/>
      <c r="AJ43" s="1175"/>
      <c r="AK43" s="22"/>
      <c r="AL43" s="1206"/>
      <c r="AM43" s="59"/>
      <c r="AN43" s="58"/>
      <c r="AO43" s="59"/>
      <c r="AP43" s="1209"/>
      <c r="AQ43" s="1209"/>
      <c r="AR43" s="1175"/>
      <c r="AS43" s="70"/>
      <c r="AT43" s="1206"/>
      <c r="AU43" s="59"/>
      <c r="AV43" s="58"/>
      <c r="AW43" s="59"/>
      <c r="AX43" s="1209"/>
      <c r="AY43" s="1209"/>
      <c r="AZ43" s="1175"/>
      <c r="BA43" s="22"/>
      <c r="BB43" s="1206"/>
      <c r="BC43" s="59"/>
      <c r="BD43" s="58"/>
      <c r="BE43" s="59"/>
      <c r="BF43" s="1209"/>
      <c r="BG43" s="1209"/>
      <c r="BH43" s="1175"/>
      <c r="BI43" s="70"/>
      <c r="BJ43" s="1206"/>
      <c r="BK43" s="59"/>
      <c r="BL43" s="58"/>
      <c r="BM43" s="59"/>
      <c r="BN43" s="1209"/>
      <c r="BO43" s="1209"/>
      <c r="BP43" s="1175"/>
      <c r="BQ43" s="22"/>
      <c r="BR43" s="1206"/>
      <c r="BS43" s="59"/>
      <c r="BT43" s="58"/>
      <c r="BU43" s="59"/>
      <c r="BV43" s="1209"/>
      <c r="BW43" s="1209"/>
      <c r="BX43" s="1175"/>
      <c r="BY43" s="70"/>
      <c r="BZ43" s="1206"/>
      <c r="CA43" s="59"/>
      <c r="CB43" s="58"/>
      <c r="CC43" s="59"/>
      <c r="CD43" s="1209"/>
      <c r="CE43" s="1209"/>
      <c r="CF43" s="1175"/>
      <c r="CG43" s="22"/>
      <c r="CH43" s="1206"/>
      <c r="CI43" s="59"/>
      <c r="CJ43" s="58"/>
      <c r="CK43" s="59"/>
      <c r="CL43" s="1209"/>
      <c r="CM43" s="1209"/>
      <c r="CN43" s="1175"/>
      <c r="CO43" s="22"/>
      <c r="CP43" s="59"/>
      <c r="CQ43" s="70"/>
      <c r="CR43" s="70"/>
      <c r="CS43" s="70"/>
      <c r="CT43" s="70"/>
    </row>
    <row r="44" spans="1:98" s="21" customFormat="1" ht="20.100000000000001" customHeight="1" thickBot="1" x14ac:dyDescent="0.25">
      <c r="A44" s="25"/>
      <c r="B44" s="25"/>
      <c r="C44" s="1199"/>
      <c r="D44" s="25"/>
      <c r="E44" s="577"/>
      <c r="F44" s="59" t="str">
        <f>_Calcs!$N$47</f>
        <v>Boring</v>
      </c>
      <c r="G44" s="160"/>
      <c r="H44" s="160"/>
      <c r="I44" s="60"/>
      <c r="J44" s="156" t="s">
        <v>149</v>
      </c>
      <c r="K44" s="156"/>
      <c r="L44" s="165"/>
      <c r="M44" s="165"/>
      <c r="N44" s="157"/>
      <c r="O44" s="59" t="s">
        <v>79</v>
      </c>
      <c r="P44" s="1175"/>
      <c r="R44" s="4068"/>
      <c r="S44" s="2301">
        <f>_Calcs!EA72</f>
        <v>0</v>
      </c>
      <c r="T44" s="4069"/>
      <c r="U44" s="70"/>
      <c r="V44" s="1206"/>
      <c r="W44" s="59"/>
      <c r="X44" s="4098"/>
      <c r="Y44" s="59"/>
      <c r="Z44" s="158" t="str">
        <f>IF(OR(_Calcs!$DT$168=0,X44=""),"!","✓")</f>
        <v>!</v>
      </c>
      <c r="AA44" s="1208"/>
      <c r="AB44" s="1175"/>
      <c r="AC44" s="70"/>
      <c r="AD44" s="1206"/>
      <c r="AE44" s="59"/>
      <c r="AF44" s="4098"/>
      <c r="AG44" s="59"/>
      <c r="AH44" s="158" t="str">
        <f>IF(OR(_Calcs!$DT$169=0,AF44=""),"!","✓")</f>
        <v>!</v>
      </c>
      <c r="AI44" s="1208"/>
      <c r="AJ44" s="1175"/>
      <c r="AK44" s="22"/>
      <c r="AL44" s="1206"/>
      <c r="AM44" s="59"/>
      <c r="AN44" s="4098"/>
      <c r="AO44" s="59"/>
      <c r="AP44" s="158" t="str">
        <f>IF(OR(_Calcs!$DT$170=0,AN44=""),"!","✓")</f>
        <v>!</v>
      </c>
      <c r="AQ44" s="1208"/>
      <c r="AR44" s="1175"/>
      <c r="AS44" s="70"/>
      <c r="AT44" s="1206"/>
      <c r="AU44" s="59"/>
      <c r="AV44" s="4098"/>
      <c r="AW44" s="59"/>
      <c r="AX44" s="158" t="str">
        <f>IF(OR(_Calcs!$DT$171=0,AV44=""),"!","✓")</f>
        <v>!</v>
      </c>
      <c r="AY44" s="1208"/>
      <c r="AZ44" s="1175"/>
      <c r="BA44" s="22"/>
      <c r="BB44" s="1206"/>
      <c r="BC44" s="59"/>
      <c r="BD44" s="4098"/>
      <c r="BE44" s="59"/>
      <c r="BF44" s="158" t="str">
        <f>IF(OR(_Calcs!$DT$172=0,BD44=""),"!","✓")</f>
        <v>!</v>
      </c>
      <c r="BG44" s="1208"/>
      <c r="BH44" s="1175"/>
      <c r="BI44" s="70"/>
      <c r="BJ44" s="1206"/>
      <c r="BK44" s="59"/>
      <c r="BL44" s="4098"/>
      <c r="BM44" s="59"/>
      <c r="BN44" s="158" t="str">
        <f>IF(OR(_Calcs!$DT$173=0,BL44=""),"!","✓")</f>
        <v>!</v>
      </c>
      <c r="BO44" s="1208"/>
      <c r="BP44" s="1175"/>
      <c r="BQ44" s="22"/>
      <c r="BR44" s="1206"/>
      <c r="BS44" s="59"/>
      <c r="BT44" s="4098"/>
      <c r="BU44" s="59"/>
      <c r="BV44" s="158" t="str">
        <f>IF(OR(_Calcs!$DT$174=0,BT44=""),"!","✓")</f>
        <v>!</v>
      </c>
      <c r="BW44" s="1208"/>
      <c r="BX44" s="1175"/>
      <c r="BY44" s="70"/>
      <c r="BZ44" s="1206"/>
      <c r="CA44" s="59"/>
      <c r="CB44" s="4098"/>
      <c r="CC44" s="59"/>
      <c r="CD44" s="158" t="str">
        <f>IF(OR(_Calcs!$DT$175=0,CB44=""),"!","✓")</f>
        <v>!</v>
      </c>
      <c r="CE44" s="1208"/>
      <c r="CF44" s="1175"/>
      <c r="CG44" s="22"/>
      <c r="CH44" s="1206"/>
      <c r="CI44" s="59"/>
      <c r="CJ44" s="4098"/>
      <c r="CK44" s="59"/>
      <c r="CL44" s="158" t="str">
        <f>IF(OR(_Calcs!$DT$176=0,CJ44=""),"!","✓")</f>
        <v>!</v>
      </c>
      <c r="CM44" s="1208"/>
      <c r="CN44" s="1175"/>
      <c r="CO44" s="22"/>
      <c r="CP44" s="57"/>
      <c r="CQ44" s="70"/>
      <c r="CR44" s="70"/>
      <c r="CS44" s="70"/>
      <c r="CT44" s="70"/>
    </row>
    <row r="45" spans="1:98" s="21" customFormat="1" ht="15" customHeight="1" thickBot="1" x14ac:dyDescent="0.25">
      <c r="A45" s="25"/>
      <c r="B45" s="25"/>
      <c r="C45" s="1199"/>
      <c r="D45" s="25"/>
      <c r="E45" s="577"/>
      <c r="F45" s="59"/>
      <c r="G45" s="160"/>
      <c r="H45" s="160"/>
      <c r="I45" s="60"/>
      <c r="J45" s="55"/>
      <c r="K45" s="1193"/>
      <c r="L45" s="165"/>
      <c r="M45" s="165"/>
      <c r="N45" s="165"/>
      <c r="O45" s="59"/>
      <c r="P45" s="1175"/>
      <c r="R45" s="4068"/>
      <c r="S45" s="4073"/>
      <c r="T45" s="4069"/>
      <c r="U45" s="70"/>
      <c r="V45" s="1206"/>
      <c r="W45" s="59"/>
      <c r="X45" s="58"/>
      <c r="Y45" s="59"/>
      <c r="Z45" s="1209"/>
      <c r="AA45" s="1209"/>
      <c r="AB45" s="1175"/>
      <c r="AC45" s="70"/>
      <c r="AD45" s="1206"/>
      <c r="AE45" s="59"/>
      <c r="AF45" s="58"/>
      <c r="AG45" s="59"/>
      <c r="AH45" s="1209"/>
      <c r="AI45" s="1209"/>
      <c r="AJ45" s="1175"/>
      <c r="AK45" s="22"/>
      <c r="AL45" s="1206"/>
      <c r="AM45" s="59"/>
      <c r="AN45" s="58"/>
      <c r="AO45" s="59"/>
      <c r="AP45" s="1209"/>
      <c r="AQ45" s="1209"/>
      <c r="AR45" s="1175"/>
      <c r="AS45" s="70"/>
      <c r="AT45" s="1206"/>
      <c r="AU45" s="59"/>
      <c r="AV45" s="58"/>
      <c r="AW45" s="59"/>
      <c r="AX45" s="1209"/>
      <c r="AY45" s="1209"/>
      <c r="AZ45" s="1175"/>
      <c r="BA45" s="22"/>
      <c r="BB45" s="1206"/>
      <c r="BC45" s="59"/>
      <c r="BD45" s="58"/>
      <c r="BE45" s="59"/>
      <c r="BF45" s="1209"/>
      <c r="BG45" s="1209"/>
      <c r="BH45" s="1175"/>
      <c r="BI45" s="70"/>
      <c r="BJ45" s="1206"/>
      <c r="BK45" s="59"/>
      <c r="BL45" s="58"/>
      <c r="BM45" s="59"/>
      <c r="BN45" s="1209"/>
      <c r="BO45" s="1209"/>
      <c r="BP45" s="1175"/>
      <c r="BQ45" s="22"/>
      <c r="BR45" s="1206"/>
      <c r="BS45" s="59"/>
      <c r="BT45" s="58"/>
      <c r="BU45" s="59"/>
      <c r="BV45" s="1209"/>
      <c r="BW45" s="1209"/>
      <c r="BX45" s="1175"/>
      <c r="BY45" s="70"/>
      <c r="BZ45" s="1206"/>
      <c r="CA45" s="59"/>
      <c r="CB45" s="58"/>
      <c r="CC45" s="59"/>
      <c r="CD45" s="1209"/>
      <c r="CE45" s="1209"/>
      <c r="CF45" s="1175"/>
      <c r="CG45" s="22"/>
      <c r="CH45" s="1206"/>
      <c r="CI45" s="59"/>
      <c r="CJ45" s="58"/>
      <c r="CK45" s="59"/>
      <c r="CL45" s="1209"/>
      <c r="CM45" s="1209"/>
      <c r="CN45" s="1175"/>
      <c r="CO45" s="22"/>
      <c r="CP45" s="59"/>
      <c r="CQ45" s="70"/>
      <c r="CR45" s="70"/>
      <c r="CS45" s="70"/>
      <c r="CT45" s="70"/>
    </row>
    <row r="46" spans="1:98" s="21" customFormat="1" ht="20.100000000000001" customHeight="1" thickBot="1" x14ac:dyDescent="0.25">
      <c r="A46" s="25"/>
      <c r="B46" s="25"/>
      <c r="C46" s="1199"/>
      <c r="D46" s="25"/>
      <c r="E46" s="577"/>
      <c r="F46" s="59" t="str">
        <f>_Calcs!$N$48</f>
        <v>Injeksjon</v>
      </c>
      <c r="G46" s="160"/>
      <c r="H46" s="160"/>
      <c r="I46" s="60"/>
      <c r="J46" s="156"/>
      <c r="K46" s="156"/>
      <c r="L46" s="165"/>
      <c r="M46" s="165"/>
      <c r="N46" s="157"/>
      <c r="O46" s="59" t="s">
        <v>1208</v>
      </c>
      <c r="P46" s="1175"/>
      <c r="R46" s="4068"/>
      <c r="S46" s="2301">
        <f>_Calcs!EB72</f>
        <v>0</v>
      </c>
      <c r="T46" s="4069"/>
      <c r="U46" s="70"/>
      <c r="V46" s="1206"/>
      <c r="W46" s="59"/>
      <c r="X46" s="4098"/>
      <c r="Y46" s="59"/>
      <c r="Z46" s="158" t="str">
        <f>IF(OR(_Calcs!$DU$168=0,X46=""),"!","✓")</f>
        <v>!</v>
      </c>
      <c r="AA46" s="1208"/>
      <c r="AB46" s="1175"/>
      <c r="AC46" s="70"/>
      <c r="AD46" s="1206"/>
      <c r="AE46" s="59"/>
      <c r="AF46" s="4098"/>
      <c r="AG46" s="59"/>
      <c r="AH46" s="158" t="str">
        <f>IF(OR(_Calcs!$DU$169=0,AF46=""),"!","✓")</f>
        <v>!</v>
      </c>
      <c r="AI46" s="1208"/>
      <c r="AJ46" s="1175"/>
      <c r="AK46" s="22"/>
      <c r="AL46" s="1206"/>
      <c r="AM46" s="59"/>
      <c r="AN46" s="4098"/>
      <c r="AO46" s="59"/>
      <c r="AP46" s="158" t="str">
        <f>IF(OR(_Calcs!$DU$170=0,AN46=""),"!","✓")</f>
        <v>!</v>
      </c>
      <c r="AQ46" s="1208"/>
      <c r="AR46" s="1175"/>
      <c r="AS46" s="70"/>
      <c r="AT46" s="1206"/>
      <c r="AU46" s="59"/>
      <c r="AV46" s="4098"/>
      <c r="AW46" s="59"/>
      <c r="AX46" s="158" t="str">
        <f>IF(OR(_Calcs!$DU$171=0,AV46=""),"!","✓")</f>
        <v>!</v>
      </c>
      <c r="AY46" s="1208"/>
      <c r="AZ46" s="1175"/>
      <c r="BA46" s="22"/>
      <c r="BB46" s="1206"/>
      <c r="BC46" s="59"/>
      <c r="BD46" s="4098"/>
      <c r="BE46" s="59"/>
      <c r="BF46" s="158" t="str">
        <f>IF(OR(_Calcs!$DU$172=0,BD46=""),"!","✓")</f>
        <v>!</v>
      </c>
      <c r="BG46" s="1208"/>
      <c r="BH46" s="1175"/>
      <c r="BI46" s="70"/>
      <c r="BJ46" s="1206"/>
      <c r="BK46" s="59"/>
      <c r="BL46" s="4098"/>
      <c r="BM46" s="59"/>
      <c r="BN46" s="158" t="str">
        <f>IF(OR(_Calcs!$DU$173=0,BL46=""),"!","✓")</f>
        <v>!</v>
      </c>
      <c r="BO46" s="1208"/>
      <c r="BP46" s="1175"/>
      <c r="BQ46" s="22"/>
      <c r="BR46" s="1206"/>
      <c r="BS46" s="59"/>
      <c r="BT46" s="4098"/>
      <c r="BU46" s="59"/>
      <c r="BV46" s="158" t="str">
        <f>IF(OR(_Calcs!$DU$174=0,BT46=""),"!","✓")</f>
        <v>!</v>
      </c>
      <c r="BW46" s="1208"/>
      <c r="BX46" s="1175"/>
      <c r="BY46" s="70"/>
      <c r="BZ46" s="1206"/>
      <c r="CA46" s="59"/>
      <c r="CB46" s="4098"/>
      <c r="CC46" s="59"/>
      <c r="CD46" s="158" t="str">
        <f>IF(OR(_Calcs!$DU$175=0,CB46=""),"!","✓")</f>
        <v>!</v>
      </c>
      <c r="CE46" s="1208"/>
      <c r="CF46" s="1175"/>
      <c r="CG46" s="22"/>
      <c r="CH46" s="1206"/>
      <c r="CI46" s="59"/>
      <c r="CJ46" s="4098"/>
      <c r="CK46" s="59"/>
      <c r="CL46" s="158" t="str">
        <f>IF(OR(_Calcs!$DU$176=0,CJ46=""),"!","✓")</f>
        <v>!</v>
      </c>
      <c r="CM46" s="1208"/>
      <c r="CN46" s="1175"/>
      <c r="CO46" s="22"/>
      <c r="CP46" s="57"/>
      <c r="CQ46" s="70"/>
      <c r="CR46" s="70"/>
      <c r="CS46" s="70"/>
      <c r="CT46" s="70"/>
    </row>
    <row r="47" spans="1:98" s="21" customFormat="1" ht="15" customHeight="1" thickBot="1" x14ac:dyDescent="0.25">
      <c r="A47" s="25"/>
      <c r="B47" s="25"/>
      <c r="C47" s="1199"/>
      <c r="D47" s="25"/>
      <c r="E47" s="731"/>
      <c r="F47" s="745"/>
      <c r="G47" s="579"/>
      <c r="H47" s="579"/>
      <c r="I47" s="733"/>
      <c r="J47" s="1180"/>
      <c r="K47" s="1180"/>
      <c r="L47" s="1177"/>
      <c r="M47" s="1177"/>
      <c r="N47" s="1177"/>
      <c r="O47" s="745"/>
      <c r="P47" s="1179"/>
      <c r="R47" s="4070"/>
      <c r="S47" s="4071"/>
      <c r="T47" s="4072"/>
      <c r="U47" s="114"/>
      <c r="V47" s="1207"/>
      <c r="W47" s="745"/>
      <c r="X47" s="744"/>
      <c r="Y47" s="745"/>
      <c r="Z47" s="746"/>
      <c r="AA47" s="746"/>
      <c r="AB47" s="1179"/>
      <c r="AC47" s="114"/>
      <c r="AD47" s="1207"/>
      <c r="AE47" s="745"/>
      <c r="AF47" s="744"/>
      <c r="AG47" s="745"/>
      <c r="AH47" s="746"/>
      <c r="AI47" s="746"/>
      <c r="AJ47" s="1179"/>
      <c r="AK47" s="22"/>
      <c r="AL47" s="1207"/>
      <c r="AM47" s="745"/>
      <c r="AN47" s="744"/>
      <c r="AO47" s="745"/>
      <c r="AP47" s="746"/>
      <c r="AQ47" s="746"/>
      <c r="AR47" s="1179"/>
      <c r="AS47" s="114"/>
      <c r="AT47" s="1207"/>
      <c r="AU47" s="745"/>
      <c r="AV47" s="744"/>
      <c r="AW47" s="745"/>
      <c r="AX47" s="746"/>
      <c r="AY47" s="746"/>
      <c r="AZ47" s="1179"/>
      <c r="BA47" s="22"/>
      <c r="BB47" s="1207"/>
      <c r="BC47" s="745"/>
      <c r="BD47" s="744"/>
      <c r="BE47" s="745"/>
      <c r="BF47" s="746"/>
      <c r="BG47" s="746"/>
      <c r="BH47" s="1179"/>
      <c r="BI47" s="114"/>
      <c r="BJ47" s="1207"/>
      <c r="BK47" s="745"/>
      <c r="BL47" s="744"/>
      <c r="BM47" s="745"/>
      <c r="BN47" s="746"/>
      <c r="BO47" s="746"/>
      <c r="BP47" s="1179"/>
      <c r="BQ47" s="22"/>
      <c r="BR47" s="1207"/>
      <c r="BS47" s="745"/>
      <c r="BT47" s="744"/>
      <c r="BU47" s="745"/>
      <c r="BV47" s="746"/>
      <c r="BW47" s="746"/>
      <c r="BX47" s="1179"/>
      <c r="BY47" s="114"/>
      <c r="BZ47" s="1207"/>
      <c r="CA47" s="745"/>
      <c r="CB47" s="744"/>
      <c r="CC47" s="745"/>
      <c r="CD47" s="746"/>
      <c r="CE47" s="746"/>
      <c r="CF47" s="1179"/>
      <c r="CG47" s="22"/>
      <c r="CH47" s="1207"/>
      <c r="CI47" s="745"/>
      <c r="CJ47" s="744"/>
      <c r="CK47" s="745"/>
      <c r="CL47" s="746"/>
      <c r="CM47" s="746"/>
      <c r="CN47" s="1179"/>
      <c r="CO47" s="22"/>
      <c r="CP47" s="57"/>
      <c r="CQ47" s="70"/>
      <c r="CR47" s="70"/>
      <c r="CS47" s="70"/>
      <c r="CT47" s="70"/>
    </row>
    <row r="48" spans="1:98" s="21" customFormat="1" ht="8.1" customHeight="1" thickBot="1" x14ac:dyDescent="0.25">
      <c r="A48" s="25"/>
      <c r="B48" s="25"/>
      <c r="C48" s="1199"/>
      <c r="D48" s="25"/>
      <c r="E48" s="20"/>
      <c r="F48" s="17"/>
      <c r="G48" s="136"/>
      <c r="H48" s="136"/>
      <c r="I48" s="35"/>
      <c r="J48" s="1181"/>
      <c r="K48" s="1181"/>
      <c r="L48" s="137"/>
      <c r="M48" s="137"/>
      <c r="N48" s="137"/>
      <c r="O48" s="17"/>
      <c r="P48" s="17"/>
      <c r="S48" s="4101"/>
      <c r="U48" s="114"/>
      <c r="V48" s="15"/>
      <c r="W48" s="15"/>
      <c r="X48" s="36"/>
      <c r="Y48" s="15"/>
      <c r="Z48" s="19"/>
      <c r="AA48" s="19"/>
      <c r="AB48" s="15"/>
      <c r="AC48" s="114"/>
      <c r="AD48" s="15"/>
      <c r="AE48" s="15"/>
      <c r="AF48" s="36"/>
      <c r="AG48" s="15"/>
      <c r="AH48" s="19"/>
      <c r="AI48" s="19"/>
      <c r="AJ48" s="15"/>
      <c r="AK48" s="22"/>
      <c r="AL48" s="15"/>
      <c r="AM48" s="15"/>
      <c r="AN48" s="36"/>
      <c r="AO48" s="15"/>
      <c r="AP48" s="19"/>
      <c r="AQ48" s="19"/>
      <c r="AR48" s="15"/>
      <c r="AS48" s="114"/>
      <c r="AT48" s="15"/>
      <c r="AU48" s="15"/>
      <c r="AV48" s="36"/>
      <c r="AW48" s="15"/>
      <c r="AX48" s="19"/>
      <c r="AY48" s="19"/>
      <c r="AZ48" s="15"/>
      <c r="BA48" s="22"/>
      <c r="BB48" s="15"/>
      <c r="BC48" s="15"/>
      <c r="BD48" s="36"/>
      <c r="BE48" s="15"/>
      <c r="BF48" s="19"/>
      <c r="BG48" s="19"/>
      <c r="BH48" s="15"/>
      <c r="BI48" s="114"/>
      <c r="BJ48" s="15"/>
      <c r="BK48" s="15"/>
      <c r="BL48" s="36"/>
      <c r="BM48" s="15"/>
      <c r="BN48" s="19"/>
      <c r="BO48" s="19"/>
      <c r="BP48" s="15"/>
      <c r="BQ48" s="22"/>
      <c r="BR48" s="15"/>
      <c r="BS48" s="15"/>
      <c r="BT48" s="36"/>
      <c r="BU48" s="15"/>
      <c r="BV48" s="19"/>
      <c r="BW48" s="19"/>
      <c r="BX48" s="15"/>
      <c r="BY48" s="114"/>
      <c r="BZ48" s="15"/>
      <c r="CA48" s="15"/>
      <c r="CB48" s="36"/>
      <c r="CC48" s="15"/>
      <c r="CD48" s="19"/>
      <c r="CE48" s="19"/>
      <c r="CF48" s="15"/>
      <c r="CG48" s="22"/>
      <c r="CH48" s="15"/>
      <c r="CI48" s="15"/>
      <c r="CJ48" s="36"/>
      <c r="CK48" s="15"/>
      <c r="CL48" s="19"/>
      <c r="CM48" s="19"/>
      <c r="CN48" s="15"/>
      <c r="CO48" s="22"/>
      <c r="CP48" s="15"/>
      <c r="CQ48" s="70"/>
      <c r="CR48" s="70"/>
      <c r="CS48" s="70"/>
      <c r="CT48" s="70"/>
    </row>
    <row r="49" spans="1:130" s="21" customFormat="1" ht="15" customHeight="1" x14ac:dyDescent="0.2">
      <c r="A49" s="25"/>
      <c r="B49" s="25"/>
      <c r="C49" s="1199"/>
      <c r="D49" s="25"/>
      <c r="E49" s="574"/>
      <c r="F49" s="576"/>
      <c r="G49" s="575"/>
      <c r="H49" s="575"/>
      <c r="I49" s="1182"/>
      <c r="J49" s="1183"/>
      <c r="K49" s="1183"/>
      <c r="L49" s="1173"/>
      <c r="M49" s="1173"/>
      <c r="N49" s="1173"/>
      <c r="O49" s="576"/>
      <c r="P49" s="1174"/>
      <c r="R49" s="4003"/>
      <c r="S49" s="4074"/>
      <c r="T49" s="4003"/>
      <c r="U49" s="70"/>
      <c r="V49" s="4026"/>
      <c r="W49" s="4026"/>
      <c r="X49" s="4026"/>
      <c r="Y49" s="4026"/>
      <c r="Z49" s="4026"/>
      <c r="AA49" s="4026"/>
      <c r="AB49" s="4026"/>
      <c r="AC49" s="70"/>
      <c r="AD49" s="4026"/>
      <c r="AE49" s="4026"/>
      <c r="AF49" s="4026"/>
      <c r="AG49" s="4026"/>
      <c r="AH49" s="4026"/>
      <c r="AI49" s="4026"/>
      <c r="AJ49" s="4026"/>
      <c r="AK49" s="22"/>
      <c r="AL49" s="4026"/>
      <c r="AM49" s="4026"/>
      <c r="AN49" s="4026"/>
      <c r="AO49" s="4026"/>
      <c r="AP49" s="4026"/>
      <c r="AQ49" s="4026"/>
      <c r="AR49" s="4026"/>
      <c r="AS49" s="70"/>
      <c r="AT49" s="4026"/>
      <c r="AU49" s="4026"/>
      <c r="AV49" s="4026"/>
      <c r="AW49" s="4026"/>
      <c r="AX49" s="4026"/>
      <c r="AY49" s="4026"/>
      <c r="AZ49" s="4026"/>
      <c r="BA49" s="22"/>
      <c r="BB49" s="4026"/>
      <c r="BC49" s="4026"/>
      <c r="BD49" s="4026"/>
      <c r="BE49" s="4026"/>
      <c r="BF49" s="4026"/>
      <c r="BG49" s="4026"/>
      <c r="BH49" s="4026"/>
      <c r="BI49" s="70"/>
      <c r="BJ49" s="4026"/>
      <c r="BK49" s="4026"/>
      <c r="BL49" s="4026"/>
      <c r="BM49" s="4026"/>
      <c r="BN49" s="4026"/>
      <c r="BO49" s="4026"/>
      <c r="BP49" s="4026"/>
      <c r="BQ49" s="22"/>
      <c r="BR49" s="4026"/>
      <c r="BS49" s="4026"/>
      <c r="BT49" s="4026"/>
      <c r="BU49" s="4026"/>
      <c r="BV49" s="4026"/>
      <c r="BW49" s="4026"/>
      <c r="BX49" s="4026"/>
      <c r="BY49" s="70"/>
      <c r="BZ49" s="4026"/>
      <c r="CA49" s="4026"/>
      <c r="CB49" s="4026"/>
      <c r="CC49" s="4026"/>
      <c r="CD49" s="4026"/>
      <c r="CE49" s="4026"/>
      <c r="CF49" s="4026"/>
      <c r="CG49" s="22"/>
      <c r="CH49" s="4026"/>
      <c r="CI49" s="4026"/>
      <c r="CJ49" s="4026"/>
      <c r="CK49" s="4026"/>
      <c r="CL49" s="4026"/>
      <c r="CM49" s="4026"/>
      <c r="CN49" s="4026"/>
      <c r="CO49" s="22"/>
      <c r="CP49" s="1599"/>
      <c r="CQ49" s="70"/>
      <c r="CR49" s="70"/>
      <c r="CS49" s="70"/>
      <c r="CT49" s="70"/>
    </row>
    <row r="50" spans="1:130" s="21" customFormat="1" ht="15" customHeight="1" x14ac:dyDescent="0.2">
      <c r="A50" s="25"/>
      <c r="B50" s="25"/>
      <c r="C50" s="1199"/>
      <c r="D50" s="25"/>
      <c r="E50" s="577"/>
      <c r="F50" s="6573" t="str">
        <f>_Calcs!$M$46</f>
        <v>Systematisk</v>
      </c>
      <c r="G50" s="6573"/>
      <c r="H50" s="6573"/>
      <c r="I50" s="6573"/>
      <c r="J50" s="156"/>
      <c r="K50" s="156"/>
      <c r="L50" s="165"/>
      <c r="M50" s="165"/>
      <c r="N50" s="165"/>
      <c r="O50" s="59"/>
      <c r="P50" s="1175"/>
      <c r="R50" s="4003"/>
      <c r="S50" s="4074"/>
      <c r="T50" s="4003"/>
      <c r="U50" s="70"/>
      <c r="V50" s="4026"/>
      <c r="W50" s="4026"/>
      <c r="X50" s="4026"/>
      <c r="Y50" s="4026"/>
      <c r="Z50" s="4026"/>
      <c r="AA50" s="4026"/>
      <c r="AB50" s="4026"/>
      <c r="AC50" s="70"/>
      <c r="AD50" s="4026"/>
      <c r="AE50" s="4026"/>
      <c r="AF50" s="4026"/>
      <c r="AG50" s="4026"/>
      <c r="AH50" s="4026"/>
      <c r="AI50" s="4026"/>
      <c r="AJ50" s="4026"/>
      <c r="AK50" s="22"/>
      <c r="AL50" s="4026"/>
      <c r="AM50" s="4026"/>
      <c r="AN50" s="4026"/>
      <c r="AO50" s="4026"/>
      <c r="AP50" s="4026"/>
      <c r="AQ50" s="4026"/>
      <c r="AR50" s="4026"/>
      <c r="AS50" s="70"/>
      <c r="AT50" s="4026"/>
      <c r="AU50" s="4026"/>
      <c r="AV50" s="4026"/>
      <c r="AW50" s="4026"/>
      <c r="AX50" s="4026"/>
      <c r="AY50" s="4026"/>
      <c r="AZ50" s="4026"/>
      <c r="BA50" s="22"/>
      <c r="BB50" s="4026"/>
      <c r="BC50" s="4026"/>
      <c r="BD50" s="4026"/>
      <c r="BE50" s="4026"/>
      <c r="BF50" s="4026"/>
      <c r="BG50" s="4026"/>
      <c r="BH50" s="4026"/>
      <c r="BI50" s="70"/>
      <c r="BJ50" s="4026"/>
      <c r="BK50" s="4026"/>
      <c r="BL50" s="4026"/>
      <c r="BM50" s="4026"/>
      <c r="BN50" s="4026"/>
      <c r="BO50" s="4026"/>
      <c r="BP50" s="4026"/>
      <c r="BQ50" s="22"/>
      <c r="BR50" s="4026"/>
      <c r="BS50" s="4026"/>
      <c r="BT50" s="4026"/>
      <c r="BU50" s="4026"/>
      <c r="BV50" s="4026"/>
      <c r="BW50" s="4026"/>
      <c r="BX50" s="4026"/>
      <c r="BY50" s="70"/>
      <c r="BZ50" s="4026"/>
      <c r="CA50" s="4026"/>
      <c r="CB50" s="4026"/>
      <c r="CC50" s="4026"/>
      <c r="CD50" s="4026"/>
      <c r="CE50" s="4026"/>
      <c r="CF50" s="4026"/>
      <c r="CG50" s="22"/>
      <c r="CH50" s="4026"/>
      <c r="CI50" s="4026"/>
      <c r="CJ50" s="4026"/>
      <c r="CK50" s="4026"/>
      <c r="CL50" s="4026"/>
      <c r="CM50" s="4026"/>
      <c r="CN50" s="4026"/>
      <c r="CO50" s="22"/>
      <c r="CP50" s="1599"/>
      <c r="CQ50" s="70"/>
      <c r="CR50" s="70"/>
      <c r="CS50" s="70"/>
      <c r="CT50" s="70"/>
    </row>
    <row r="51" spans="1:130" s="21" customFormat="1" ht="8.1" customHeight="1" thickBot="1" x14ac:dyDescent="0.25">
      <c r="A51" s="25"/>
      <c r="B51" s="25"/>
      <c r="C51" s="1199"/>
      <c r="D51" s="25"/>
      <c r="E51" s="577"/>
      <c r="F51" s="6573"/>
      <c r="G51" s="6573"/>
      <c r="H51" s="6573"/>
      <c r="I51" s="6573"/>
      <c r="J51" s="156"/>
      <c r="K51" s="156"/>
      <c r="L51" s="165"/>
      <c r="M51" s="165"/>
      <c r="N51" s="165"/>
      <c r="O51" s="59"/>
      <c r="P51" s="1175"/>
      <c r="S51" s="4101"/>
      <c r="U51" s="70"/>
      <c r="V51" s="70"/>
      <c r="W51" s="70"/>
      <c r="X51" s="70"/>
      <c r="Y51" s="70"/>
      <c r="Z51" s="70"/>
      <c r="AA51" s="70"/>
      <c r="AB51" s="70"/>
      <c r="AC51" s="70"/>
      <c r="AD51" s="70"/>
      <c r="AE51" s="70"/>
      <c r="AF51" s="70"/>
      <c r="AG51" s="70"/>
      <c r="AH51" s="70"/>
      <c r="AI51" s="70"/>
      <c r="AJ51" s="70"/>
      <c r="AK51" s="22"/>
      <c r="AL51" s="70"/>
      <c r="AM51" s="70"/>
      <c r="AN51" s="70"/>
      <c r="AO51" s="70"/>
      <c r="AP51" s="70"/>
      <c r="AQ51" s="70"/>
      <c r="AR51" s="70"/>
      <c r="AS51" s="70"/>
      <c r="AT51" s="70"/>
      <c r="AU51" s="70"/>
      <c r="AV51" s="70"/>
      <c r="AW51" s="70"/>
      <c r="AX51" s="70"/>
      <c r="AY51" s="70"/>
      <c r="AZ51" s="70"/>
      <c r="BA51" s="22"/>
      <c r="BB51" s="70"/>
      <c r="BC51" s="70"/>
      <c r="BD51" s="70"/>
      <c r="BE51" s="70"/>
      <c r="BF51" s="70"/>
      <c r="BG51" s="70"/>
      <c r="BH51" s="70"/>
      <c r="BI51" s="70"/>
      <c r="BJ51" s="70"/>
      <c r="BK51" s="70"/>
      <c r="BL51" s="70"/>
      <c r="BM51" s="70"/>
      <c r="BN51" s="70"/>
      <c r="BO51" s="70"/>
      <c r="BP51" s="70"/>
      <c r="BQ51" s="22"/>
      <c r="BR51" s="70"/>
      <c r="BS51" s="70"/>
      <c r="BT51" s="70"/>
      <c r="BU51" s="70"/>
      <c r="BV51" s="70"/>
      <c r="BW51" s="70"/>
      <c r="BX51" s="70"/>
      <c r="BY51" s="70"/>
      <c r="BZ51" s="70"/>
      <c r="CA51" s="70"/>
      <c r="CB51" s="70"/>
      <c r="CC51" s="70"/>
      <c r="CD51" s="70"/>
      <c r="CE51" s="70"/>
      <c r="CF51" s="70"/>
      <c r="CG51" s="22"/>
      <c r="CH51" s="70"/>
      <c r="CI51" s="70"/>
      <c r="CJ51" s="70"/>
      <c r="CK51" s="70"/>
      <c r="CL51" s="70"/>
      <c r="CM51" s="70"/>
      <c r="CN51" s="70"/>
      <c r="CO51" s="22"/>
      <c r="CP51" s="15"/>
      <c r="CQ51" s="70"/>
      <c r="CR51" s="70"/>
      <c r="CS51" s="70"/>
      <c r="CT51" s="13"/>
    </row>
    <row r="52" spans="1:130" s="21" customFormat="1" ht="15" customHeight="1" thickBot="1" x14ac:dyDescent="0.25">
      <c r="A52" s="25"/>
      <c r="B52" s="25"/>
      <c r="C52" s="1199"/>
      <c r="D52" s="25"/>
      <c r="E52" s="577"/>
      <c r="F52" s="1194"/>
      <c r="G52" s="1194"/>
      <c r="H52" s="1194"/>
      <c r="I52" s="56"/>
      <c r="J52" s="55"/>
      <c r="K52" s="55"/>
      <c r="L52" s="165"/>
      <c r="M52" s="165"/>
      <c r="N52" s="165"/>
      <c r="O52" s="59"/>
      <c r="P52" s="1175"/>
      <c r="R52" s="4065"/>
      <c r="S52" s="4073"/>
      <c r="T52" s="4067"/>
      <c r="U52" s="114"/>
      <c r="V52" s="1190"/>
      <c r="W52" s="576"/>
      <c r="X52" s="1211"/>
      <c r="Y52" s="576"/>
      <c r="Z52" s="739"/>
      <c r="AA52" s="739"/>
      <c r="AB52" s="1174"/>
      <c r="AC52" s="114"/>
      <c r="AD52" s="1190"/>
      <c r="AE52" s="576"/>
      <c r="AF52" s="1211"/>
      <c r="AG52" s="576"/>
      <c r="AH52" s="739"/>
      <c r="AI52" s="739"/>
      <c r="AJ52" s="1174"/>
      <c r="AK52" s="22"/>
      <c r="AL52" s="1190"/>
      <c r="AM52" s="576"/>
      <c r="AN52" s="1211"/>
      <c r="AO52" s="576"/>
      <c r="AP52" s="739"/>
      <c r="AQ52" s="739"/>
      <c r="AR52" s="1174"/>
      <c r="AS52" s="114"/>
      <c r="AT52" s="1190"/>
      <c r="AU52" s="576"/>
      <c r="AV52" s="1211"/>
      <c r="AW52" s="576"/>
      <c r="AX52" s="739"/>
      <c r="AY52" s="739"/>
      <c r="AZ52" s="1174"/>
      <c r="BA52" s="22"/>
      <c r="BB52" s="1190"/>
      <c r="BC52" s="576"/>
      <c r="BD52" s="1211"/>
      <c r="BE52" s="576"/>
      <c r="BF52" s="739"/>
      <c r="BG52" s="739"/>
      <c r="BH52" s="1174"/>
      <c r="BI52" s="114"/>
      <c r="BJ52" s="1190"/>
      <c r="BK52" s="576"/>
      <c r="BL52" s="1211"/>
      <c r="BM52" s="576"/>
      <c r="BN52" s="739"/>
      <c r="BO52" s="739"/>
      <c r="BP52" s="1174"/>
      <c r="BQ52" s="22"/>
      <c r="BR52" s="1190"/>
      <c r="BS52" s="576"/>
      <c r="BT52" s="1211"/>
      <c r="BU52" s="576"/>
      <c r="BV52" s="739"/>
      <c r="BW52" s="739"/>
      <c r="BX52" s="1174"/>
      <c r="BY52" s="114"/>
      <c r="BZ52" s="1190"/>
      <c r="CA52" s="576"/>
      <c r="CB52" s="1211"/>
      <c r="CC52" s="576"/>
      <c r="CD52" s="739"/>
      <c r="CE52" s="739"/>
      <c r="CF52" s="1174"/>
      <c r="CG52" s="22"/>
      <c r="CH52" s="1190"/>
      <c r="CI52" s="576"/>
      <c r="CJ52" s="1211"/>
      <c r="CK52" s="576"/>
      <c r="CL52" s="739"/>
      <c r="CM52" s="739"/>
      <c r="CN52" s="1174"/>
      <c r="CO52" s="22"/>
      <c r="CP52" s="57"/>
      <c r="CQ52" s="70"/>
      <c r="CR52" s="70"/>
      <c r="CS52" s="70"/>
      <c r="CT52" s="13"/>
    </row>
    <row r="53" spans="1:130" s="21" customFormat="1" ht="20.100000000000001" customHeight="1" thickBot="1" x14ac:dyDescent="0.25">
      <c r="A53" s="25"/>
      <c r="B53" s="25"/>
      <c r="C53" s="1199"/>
      <c r="D53" s="25"/>
      <c r="E53" s="577"/>
      <c r="F53" s="59" t="str">
        <f>_Calcs!$N$46</f>
        <v>Opp- og nedrigging</v>
      </c>
      <c r="G53" s="160"/>
      <c r="H53" s="160"/>
      <c r="I53" s="60"/>
      <c r="J53" s="156" t="s">
        <v>149</v>
      </c>
      <c r="K53" s="156"/>
      <c r="L53" s="165"/>
      <c r="M53" s="165"/>
      <c r="N53" s="157"/>
      <c r="O53" s="59" t="s">
        <v>97</v>
      </c>
      <c r="P53" s="1175"/>
      <c r="R53" s="4068"/>
      <c r="S53" s="3885">
        <f>_Calcs!ED72</f>
        <v>0</v>
      </c>
      <c r="T53" s="4069"/>
      <c r="U53" s="114"/>
      <c r="V53" s="1206"/>
      <c r="W53" s="59"/>
      <c r="X53" s="4098"/>
      <c r="Y53" s="59"/>
      <c r="Z53" s="158" t="str">
        <f>IF(OR(_Calcs!$DX$168=0,X53=""),"!","✓")</f>
        <v>!</v>
      </c>
      <c r="AA53" s="1208"/>
      <c r="AB53" s="1175"/>
      <c r="AC53" s="114"/>
      <c r="AD53" s="1206"/>
      <c r="AE53" s="59"/>
      <c r="AF53" s="4098"/>
      <c r="AG53" s="59"/>
      <c r="AH53" s="158" t="str">
        <f>IF(OR(_Calcs!$DX$169=0,AF53=""),"!","✓")</f>
        <v>!</v>
      </c>
      <c r="AI53" s="1208"/>
      <c r="AJ53" s="1175"/>
      <c r="AK53" s="22"/>
      <c r="AL53" s="1206"/>
      <c r="AM53" s="59"/>
      <c r="AN53" s="4098"/>
      <c r="AO53" s="59"/>
      <c r="AP53" s="158" t="str">
        <f>IF(OR(_Calcs!$DX$170=0,AN53=""),"!","✓")</f>
        <v>!</v>
      </c>
      <c r="AQ53" s="1208"/>
      <c r="AR53" s="1175"/>
      <c r="AS53" s="114"/>
      <c r="AT53" s="1206"/>
      <c r="AU53" s="59"/>
      <c r="AV53" s="4098"/>
      <c r="AW53" s="59"/>
      <c r="AX53" s="158" t="str">
        <f>IF(OR(_Calcs!$DX$171=0,AV53=""),"!","✓")</f>
        <v>!</v>
      </c>
      <c r="AY53" s="1208"/>
      <c r="AZ53" s="1175"/>
      <c r="BA53" s="22"/>
      <c r="BB53" s="1206"/>
      <c r="BC53" s="59"/>
      <c r="BD53" s="4098"/>
      <c r="BE53" s="59"/>
      <c r="BF53" s="158" t="str">
        <f>IF(OR(_Calcs!$DX$172=0,BD53=""),"!","✓")</f>
        <v>!</v>
      </c>
      <c r="BG53" s="1208"/>
      <c r="BH53" s="1175"/>
      <c r="BI53" s="114"/>
      <c r="BJ53" s="1206"/>
      <c r="BK53" s="59"/>
      <c r="BL53" s="4098"/>
      <c r="BM53" s="59"/>
      <c r="BN53" s="158" t="str">
        <f>IF(OR(_Calcs!$DX$173=0,BL53=""),"!","✓")</f>
        <v>!</v>
      </c>
      <c r="BO53" s="1208"/>
      <c r="BP53" s="1175"/>
      <c r="BQ53" s="22"/>
      <c r="BR53" s="1206"/>
      <c r="BS53" s="59"/>
      <c r="BT53" s="4098"/>
      <c r="BU53" s="59"/>
      <c r="BV53" s="158" t="str">
        <f>IF(OR(_Calcs!$DX$174=0,BT53=""),"!","✓")</f>
        <v>!</v>
      </c>
      <c r="BW53" s="1208"/>
      <c r="BX53" s="1175"/>
      <c r="BY53" s="114"/>
      <c r="BZ53" s="1206"/>
      <c r="CA53" s="59"/>
      <c r="CB53" s="4098"/>
      <c r="CC53" s="59"/>
      <c r="CD53" s="158" t="str">
        <f>IF(OR(_Calcs!$DX$175=0,CB53=""),"!","✓")</f>
        <v>!</v>
      </c>
      <c r="CE53" s="1208"/>
      <c r="CF53" s="1175"/>
      <c r="CG53" s="22"/>
      <c r="CH53" s="1206"/>
      <c r="CI53" s="59"/>
      <c r="CJ53" s="4098"/>
      <c r="CK53" s="59"/>
      <c r="CL53" s="158" t="str">
        <f>IF(OR(_Calcs!$DX$176=0,CJ53=""),"!","✓")</f>
        <v>!</v>
      </c>
      <c r="CM53" s="1208"/>
      <c r="CN53" s="1175"/>
      <c r="CO53" s="22"/>
      <c r="CP53" s="57"/>
      <c r="CQ53" s="70"/>
      <c r="CR53" s="70"/>
      <c r="CS53" s="70"/>
      <c r="CT53" s="13"/>
    </row>
    <row r="54" spans="1:130" s="21" customFormat="1" ht="15" customHeight="1" thickBot="1" x14ac:dyDescent="0.25">
      <c r="A54" s="25"/>
      <c r="B54" s="25"/>
      <c r="C54" s="1199"/>
      <c r="D54" s="25"/>
      <c r="E54" s="577"/>
      <c r="F54" s="59"/>
      <c r="G54" s="160"/>
      <c r="H54" s="160"/>
      <c r="I54" s="60"/>
      <c r="J54" s="55"/>
      <c r="K54" s="1193"/>
      <c r="L54" s="165"/>
      <c r="M54" s="165"/>
      <c r="N54" s="165"/>
      <c r="O54" s="59"/>
      <c r="P54" s="1175"/>
      <c r="R54" s="4068"/>
      <c r="S54" s="4071"/>
      <c r="T54" s="4069"/>
      <c r="U54" s="114"/>
      <c r="V54" s="1206"/>
      <c r="W54" s="59"/>
      <c r="X54" s="58"/>
      <c r="Y54" s="59"/>
      <c r="Z54" s="1209"/>
      <c r="AA54" s="1209"/>
      <c r="AB54" s="1175"/>
      <c r="AC54" s="114"/>
      <c r="AD54" s="1206"/>
      <c r="AE54" s="59"/>
      <c r="AF54" s="58"/>
      <c r="AG54" s="59"/>
      <c r="AH54" s="1209"/>
      <c r="AI54" s="1209"/>
      <c r="AJ54" s="1175"/>
      <c r="AK54" s="22"/>
      <c r="AL54" s="1206"/>
      <c r="AM54" s="59"/>
      <c r="AN54" s="58"/>
      <c r="AO54" s="59"/>
      <c r="AP54" s="1209"/>
      <c r="AQ54" s="1209"/>
      <c r="AR54" s="1175"/>
      <c r="AS54" s="114"/>
      <c r="AT54" s="1206"/>
      <c r="AU54" s="59"/>
      <c r="AV54" s="58"/>
      <c r="AW54" s="59"/>
      <c r="AX54" s="1209"/>
      <c r="AY54" s="1209"/>
      <c r="AZ54" s="1175"/>
      <c r="BA54" s="22"/>
      <c r="BB54" s="1206"/>
      <c r="BC54" s="59"/>
      <c r="BD54" s="58"/>
      <c r="BE54" s="59"/>
      <c r="BF54" s="1209"/>
      <c r="BG54" s="1209"/>
      <c r="BH54" s="1175"/>
      <c r="BI54" s="114"/>
      <c r="BJ54" s="1206"/>
      <c r="BK54" s="59"/>
      <c r="BL54" s="58"/>
      <c r="BM54" s="59"/>
      <c r="BN54" s="1209"/>
      <c r="BO54" s="1209"/>
      <c r="BP54" s="1175"/>
      <c r="BQ54" s="22"/>
      <c r="BR54" s="1206"/>
      <c r="BS54" s="59"/>
      <c r="BT54" s="58"/>
      <c r="BU54" s="59"/>
      <c r="BV54" s="1209"/>
      <c r="BW54" s="1209"/>
      <c r="BX54" s="1175"/>
      <c r="BY54" s="114"/>
      <c r="BZ54" s="1206"/>
      <c r="CA54" s="59"/>
      <c r="CB54" s="58"/>
      <c r="CC54" s="59"/>
      <c r="CD54" s="1209"/>
      <c r="CE54" s="1209"/>
      <c r="CF54" s="1175"/>
      <c r="CG54" s="22"/>
      <c r="CH54" s="1206"/>
      <c r="CI54" s="59"/>
      <c r="CJ54" s="58"/>
      <c r="CK54" s="59"/>
      <c r="CL54" s="1209"/>
      <c r="CM54" s="1209"/>
      <c r="CN54" s="1175"/>
      <c r="CO54" s="22"/>
      <c r="CP54" s="57"/>
      <c r="CQ54" s="70"/>
      <c r="CR54" s="70"/>
      <c r="CS54" s="70"/>
      <c r="CT54" s="13"/>
    </row>
    <row r="55" spans="1:130" s="21" customFormat="1" ht="20.100000000000001" customHeight="1" thickBot="1" x14ac:dyDescent="0.25">
      <c r="A55" s="25"/>
      <c r="B55" s="25"/>
      <c r="C55" s="1199"/>
      <c r="D55" s="25"/>
      <c r="E55" s="577"/>
      <c r="F55" s="59" t="str">
        <f>_Calcs!$N$47</f>
        <v>Boring</v>
      </c>
      <c r="G55" s="160"/>
      <c r="H55" s="160"/>
      <c r="I55" s="60"/>
      <c r="J55" s="156" t="s">
        <v>149</v>
      </c>
      <c r="K55" s="156"/>
      <c r="L55" s="165"/>
      <c r="M55" s="165"/>
      <c r="N55" s="157"/>
      <c r="O55" s="59" t="s">
        <v>79</v>
      </c>
      <c r="P55" s="1175"/>
      <c r="R55" s="4068"/>
      <c r="S55" s="2301">
        <f>_Calcs!EE72</f>
        <v>0</v>
      </c>
      <c r="T55" s="4069"/>
      <c r="U55" s="114"/>
      <c r="V55" s="1206"/>
      <c r="W55" s="59"/>
      <c r="X55" s="4098"/>
      <c r="Y55" s="59"/>
      <c r="Z55" s="158" t="str">
        <f>IF(OR(_Calcs!$DY$168=0,X55=""),"!","✓")</f>
        <v>!</v>
      </c>
      <c r="AA55" s="1208"/>
      <c r="AB55" s="1175"/>
      <c r="AC55" s="114"/>
      <c r="AD55" s="1206"/>
      <c r="AE55" s="59"/>
      <c r="AF55" s="4098"/>
      <c r="AG55" s="59"/>
      <c r="AH55" s="158" t="str">
        <f>IF(OR(_Calcs!$DY$169=0,AF55=""),"!","✓")</f>
        <v>!</v>
      </c>
      <c r="AI55" s="1208"/>
      <c r="AJ55" s="1175"/>
      <c r="AK55" s="22"/>
      <c r="AL55" s="1206"/>
      <c r="AM55" s="59"/>
      <c r="AN55" s="4098"/>
      <c r="AO55" s="59"/>
      <c r="AP55" s="158" t="str">
        <f>IF(OR(_Calcs!$DY$170=0,AN55=""),"!","✓")</f>
        <v>!</v>
      </c>
      <c r="AQ55" s="1208"/>
      <c r="AR55" s="1175"/>
      <c r="AS55" s="114"/>
      <c r="AT55" s="1206"/>
      <c r="AU55" s="59"/>
      <c r="AV55" s="4098"/>
      <c r="AW55" s="59"/>
      <c r="AX55" s="158" t="str">
        <f>IF(OR(_Calcs!$DY$171=0,AV55=""),"!","✓")</f>
        <v>!</v>
      </c>
      <c r="AY55" s="1208"/>
      <c r="AZ55" s="1175"/>
      <c r="BA55" s="22"/>
      <c r="BB55" s="1206"/>
      <c r="BC55" s="59"/>
      <c r="BD55" s="4098"/>
      <c r="BE55" s="59"/>
      <c r="BF55" s="158" t="str">
        <f>IF(OR(_Calcs!$DY$172=0,BD55=""),"!","✓")</f>
        <v>!</v>
      </c>
      <c r="BG55" s="1208"/>
      <c r="BH55" s="1175"/>
      <c r="BI55" s="114"/>
      <c r="BJ55" s="1206"/>
      <c r="BK55" s="59"/>
      <c r="BL55" s="4098"/>
      <c r="BM55" s="59"/>
      <c r="BN55" s="158" t="str">
        <f>IF(OR(_Calcs!$DY$173=0,BL55=""),"!","✓")</f>
        <v>!</v>
      </c>
      <c r="BO55" s="1208"/>
      <c r="BP55" s="1175"/>
      <c r="BQ55" s="22"/>
      <c r="BR55" s="1206"/>
      <c r="BS55" s="59"/>
      <c r="BT55" s="4098"/>
      <c r="BU55" s="59"/>
      <c r="BV55" s="158" t="str">
        <f>IF(OR(_Calcs!$DY$174=0,BT55=""),"!","✓")</f>
        <v>!</v>
      </c>
      <c r="BW55" s="1208"/>
      <c r="BX55" s="1175"/>
      <c r="BY55" s="114"/>
      <c r="BZ55" s="1206"/>
      <c r="CA55" s="59"/>
      <c r="CB55" s="4098"/>
      <c r="CC55" s="59"/>
      <c r="CD55" s="158" t="str">
        <f>IF(OR(_Calcs!$DY$175=0,CB55=""),"!","✓")</f>
        <v>!</v>
      </c>
      <c r="CE55" s="1208"/>
      <c r="CF55" s="1175"/>
      <c r="CG55" s="22"/>
      <c r="CH55" s="1206"/>
      <c r="CI55" s="59"/>
      <c r="CJ55" s="4098"/>
      <c r="CK55" s="59"/>
      <c r="CL55" s="158" t="str">
        <f>IF(OR(_Calcs!$DY$176=0,CJ55=""),"!","✓")</f>
        <v>!</v>
      </c>
      <c r="CM55" s="1208"/>
      <c r="CN55" s="1175"/>
      <c r="CO55" s="22"/>
      <c r="CP55" s="57"/>
      <c r="CQ55" s="70"/>
      <c r="CR55" s="70"/>
      <c r="CS55" s="70"/>
      <c r="CT55" s="13"/>
    </row>
    <row r="56" spans="1:130" s="21" customFormat="1" ht="15" customHeight="1" thickBot="1" x14ac:dyDescent="0.25">
      <c r="A56" s="25"/>
      <c r="B56" s="25"/>
      <c r="C56" s="1199"/>
      <c r="D56" s="25"/>
      <c r="E56" s="577"/>
      <c r="F56" s="59"/>
      <c r="G56" s="160"/>
      <c r="H56" s="160"/>
      <c r="I56" s="60"/>
      <c r="J56" s="55"/>
      <c r="K56" s="1193"/>
      <c r="L56" s="165"/>
      <c r="M56" s="165"/>
      <c r="N56" s="165"/>
      <c r="O56" s="59"/>
      <c r="P56" s="1175"/>
      <c r="R56" s="4068"/>
      <c r="S56" s="4073"/>
      <c r="T56" s="4069"/>
      <c r="U56" s="114"/>
      <c r="V56" s="1206"/>
      <c r="W56" s="59"/>
      <c r="X56" s="58"/>
      <c r="Y56" s="59"/>
      <c r="Z56" s="1209"/>
      <c r="AA56" s="1209"/>
      <c r="AB56" s="1175"/>
      <c r="AC56" s="114"/>
      <c r="AD56" s="1206"/>
      <c r="AE56" s="59"/>
      <c r="AF56" s="58"/>
      <c r="AG56" s="59"/>
      <c r="AH56" s="1209"/>
      <c r="AI56" s="1209"/>
      <c r="AJ56" s="1175"/>
      <c r="AK56" s="22"/>
      <c r="AL56" s="1206"/>
      <c r="AM56" s="59"/>
      <c r="AN56" s="58"/>
      <c r="AO56" s="59"/>
      <c r="AP56" s="1209"/>
      <c r="AQ56" s="1209"/>
      <c r="AR56" s="1175"/>
      <c r="AS56" s="114"/>
      <c r="AT56" s="1206"/>
      <c r="AU56" s="59"/>
      <c r="AV56" s="58"/>
      <c r="AW56" s="59"/>
      <c r="AX56" s="1209"/>
      <c r="AY56" s="1209"/>
      <c r="AZ56" s="1175"/>
      <c r="BA56" s="22"/>
      <c r="BB56" s="1206"/>
      <c r="BC56" s="59"/>
      <c r="BD56" s="58"/>
      <c r="BE56" s="59"/>
      <c r="BF56" s="1209"/>
      <c r="BG56" s="1209"/>
      <c r="BH56" s="1175"/>
      <c r="BI56" s="114"/>
      <c r="BJ56" s="1206"/>
      <c r="BK56" s="59"/>
      <c r="BL56" s="58"/>
      <c r="BM56" s="59"/>
      <c r="BN56" s="1209"/>
      <c r="BO56" s="1209"/>
      <c r="BP56" s="1175"/>
      <c r="BQ56" s="22"/>
      <c r="BR56" s="1206"/>
      <c r="BS56" s="59"/>
      <c r="BT56" s="58"/>
      <c r="BU56" s="59"/>
      <c r="BV56" s="1209"/>
      <c r="BW56" s="1209"/>
      <c r="BX56" s="1175"/>
      <c r="BY56" s="114"/>
      <c r="BZ56" s="1206"/>
      <c r="CA56" s="59"/>
      <c r="CB56" s="58"/>
      <c r="CC56" s="59"/>
      <c r="CD56" s="1209"/>
      <c r="CE56" s="1209"/>
      <c r="CF56" s="1175"/>
      <c r="CG56" s="22"/>
      <c r="CH56" s="1206"/>
      <c r="CI56" s="59"/>
      <c r="CJ56" s="58"/>
      <c r="CK56" s="59"/>
      <c r="CL56" s="1209"/>
      <c r="CM56" s="1209"/>
      <c r="CN56" s="1175"/>
      <c r="CO56" s="22"/>
      <c r="CP56" s="57"/>
      <c r="CQ56" s="70"/>
      <c r="CR56" s="70"/>
      <c r="CS56" s="70"/>
      <c r="CT56" s="13"/>
    </row>
    <row r="57" spans="1:130" s="21" customFormat="1" ht="20.100000000000001" customHeight="1" thickBot="1" x14ac:dyDescent="0.25">
      <c r="A57" s="25"/>
      <c r="B57" s="25"/>
      <c r="C57" s="1199"/>
      <c r="D57" s="25"/>
      <c r="E57" s="577"/>
      <c r="F57" s="59" t="str">
        <f>_Calcs!$N$48</f>
        <v>Injeksjon</v>
      </c>
      <c r="G57" s="160"/>
      <c r="H57" s="160"/>
      <c r="I57" s="60"/>
      <c r="J57" s="156"/>
      <c r="K57" s="156"/>
      <c r="L57" s="165"/>
      <c r="M57" s="165"/>
      <c r="N57" s="157"/>
      <c r="O57" s="59" t="s">
        <v>1208</v>
      </c>
      <c r="P57" s="1175"/>
      <c r="R57" s="4068"/>
      <c r="S57" s="2301">
        <f>_Calcs!EF72</f>
        <v>0</v>
      </c>
      <c r="T57" s="4069"/>
      <c r="U57" s="114"/>
      <c r="V57" s="1206"/>
      <c r="W57" s="59"/>
      <c r="X57" s="4098"/>
      <c r="Y57" s="59"/>
      <c r="Z57" s="158" t="str">
        <f>IF(OR(_Calcs!$DZ$168=0,X57=""),"!","✓")</f>
        <v>!</v>
      </c>
      <c r="AA57" s="1208"/>
      <c r="AB57" s="1175"/>
      <c r="AC57" s="114"/>
      <c r="AD57" s="1206"/>
      <c r="AE57" s="59"/>
      <c r="AF57" s="4098"/>
      <c r="AG57" s="59"/>
      <c r="AH57" s="158" t="str">
        <f>IF(OR(_Calcs!$DZ$169=0,AF57=""),"!","✓")</f>
        <v>!</v>
      </c>
      <c r="AI57" s="1208"/>
      <c r="AJ57" s="1175"/>
      <c r="AK57" s="22"/>
      <c r="AL57" s="1206"/>
      <c r="AM57" s="59"/>
      <c r="AN57" s="4098"/>
      <c r="AO57" s="59"/>
      <c r="AP57" s="158" t="str">
        <f>IF(OR(_Calcs!$DZ$170=0,AN57=""),"!","✓")</f>
        <v>!</v>
      </c>
      <c r="AQ57" s="1208"/>
      <c r="AR57" s="1175"/>
      <c r="AS57" s="114"/>
      <c r="AT57" s="1206"/>
      <c r="AU57" s="59"/>
      <c r="AV57" s="4098"/>
      <c r="AW57" s="59"/>
      <c r="AX57" s="158" t="str">
        <f>IF(OR(_Calcs!$DZ$171=0,AV57=""),"!","✓")</f>
        <v>!</v>
      </c>
      <c r="AY57" s="1208"/>
      <c r="AZ57" s="1175"/>
      <c r="BA57" s="22"/>
      <c r="BB57" s="1206"/>
      <c r="BC57" s="59"/>
      <c r="BD57" s="4098"/>
      <c r="BE57" s="59"/>
      <c r="BF57" s="158" t="str">
        <f>IF(OR(_Calcs!$DZ$172=0,BD57=""),"!","✓")</f>
        <v>!</v>
      </c>
      <c r="BG57" s="1208"/>
      <c r="BH57" s="1175"/>
      <c r="BI57" s="114"/>
      <c r="BJ57" s="1206"/>
      <c r="BK57" s="59"/>
      <c r="BL57" s="4098"/>
      <c r="BM57" s="59"/>
      <c r="BN57" s="158" t="str">
        <f>IF(OR(_Calcs!$DZ$173=0,BL57=""),"!","✓")</f>
        <v>!</v>
      </c>
      <c r="BO57" s="1208"/>
      <c r="BP57" s="1175"/>
      <c r="BQ57" s="22"/>
      <c r="BR57" s="1206"/>
      <c r="BS57" s="59"/>
      <c r="BT57" s="4098"/>
      <c r="BU57" s="59"/>
      <c r="BV57" s="158" t="str">
        <f>IF(OR(_Calcs!$DZ$174=0,BT57=""),"!","✓")</f>
        <v>!</v>
      </c>
      <c r="BW57" s="1208"/>
      <c r="BX57" s="1175"/>
      <c r="BY57" s="114"/>
      <c r="BZ57" s="1206"/>
      <c r="CA57" s="59"/>
      <c r="CB57" s="4098"/>
      <c r="CC57" s="59"/>
      <c r="CD57" s="158" t="str">
        <f>IF(OR(_Calcs!$DZ$175=0,CB57=""),"!","✓")</f>
        <v>!</v>
      </c>
      <c r="CE57" s="1208"/>
      <c r="CF57" s="1175"/>
      <c r="CG57" s="22"/>
      <c r="CH57" s="1206"/>
      <c r="CI57" s="59"/>
      <c r="CJ57" s="4098"/>
      <c r="CK57" s="59"/>
      <c r="CL57" s="158" t="str">
        <f>IF(OR(_Calcs!$DZ$176=0,CJ57=""),"!","✓")</f>
        <v>!</v>
      </c>
      <c r="CM57" s="1208"/>
      <c r="CN57" s="1175"/>
      <c r="CO57" s="22"/>
      <c r="CP57" s="57"/>
      <c r="CQ57" s="70"/>
      <c r="CR57" s="70"/>
      <c r="CS57" s="70"/>
      <c r="CT57" s="13"/>
    </row>
    <row r="58" spans="1:130" s="21" customFormat="1" ht="15" customHeight="1" thickBot="1" x14ac:dyDescent="0.25">
      <c r="A58" s="25"/>
      <c r="B58" s="25"/>
      <c r="C58" s="1200"/>
      <c r="D58" s="25"/>
      <c r="E58" s="731"/>
      <c r="F58" s="745"/>
      <c r="G58" s="579"/>
      <c r="H58" s="579"/>
      <c r="I58" s="743"/>
      <c r="J58" s="743"/>
      <c r="K58" s="743"/>
      <c r="L58" s="1177"/>
      <c r="M58" s="1177"/>
      <c r="N58" s="1177"/>
      <c r="O58" s="745"/>
      <c r="P58" s="1179"/>
      <c r="R58" s="4070"/>
      <c r="S58" s="4103"/>
      <c r="T58" s="4072"/>
      <c r="U58" s="70"/>
      <c r="V58" s="1207"/>
      <c r="W58" s="745"/>
      <c r="X58" s="744"/>
      <c r="Y58" s="745"/>
      <c r="Z58" s="1210"/>
      <c r="AA58" s="1210"/>
      <c r="AB58" s="1179"/>
      <c r="AC58" s="70"/>
      <c r="AD58" s="1207"/>
      <c r="AE58" s="745"/>
      <c r="AF58" s="744"/>
      <c r="AG58" s="745"/>
      <c r="AH58" s="1210"/>
      <c r="AI58" s="1210"/>
      <c r="AJ58" s="1179"/>
      <c r="AK58" s="22"/>
      <c r="AL58" s="1207"/>
      <c r="AM58" s="745"/>
      <c r="AN58" s="744"/>
      <c r="AO58" s="745"/>
      <c r="AP58" s="1210"/>
      <c r="AQ58" s="1210"/>
      <c r="AR58" s="1179"/>
      <c r="AS58" s="70"/>
      <c r="AT58" s="1207"/>
      <c r="AU58" s="745"/>
      <c r="AV58" s="744"/>
      <c r="AW58" s="745"/>
      <c r="AX58" s="1210"/>
      <c r="AY58" s="1210"/>
      <c r="AZ58" s="1179"/>
      <c r="BA58" s="22"/>
      <c r="BB58" s="1207"/>
      <c r="BC58" s="745"/>
      <c r="BD58" s="744"/>
      <c r="BE58" s="745"/>
      <c r="BF58" s="1210"/>
      <c r="BG58" s="1210"/>
      <c r="BH58" s="1179"/>
      <c r="BI58" s="70"/>
      <c r="BJ58" s="1207"/>
      <c r="BK58" s="745"/>
      <c r="BL58" s="744"/>
      <c r="BM58" s="745"/>
      <c r="BN58" s="1210"/>
      <c r="BO58" s="1210"/>
      <c r="BP58" s="1179"/>
      <c r="BQ58" s="22"/>
      <c r="BR58" s="1207"/>
      <c r="BS58" s="745"/>
      <c r="BT58" s="744"/>
      <c r="BU58" s="745"/>
      <c r="BV58" s="1210"/>
      <c r="BW58" s="1210"/>
      <c r="BX58" s="1179"/>
      <c r="BY58" s="70"/>
      <c r="BZ58" s="1207"/>
      <c r="CA58" s="745"/>
      <c r="CB58" s="744"/>
      <c r="CC58" s="745"/>
      <c r="CD58" s="1210"/>
      <c r="CE58" s="1210"/>
      <c r="CF58" s="1179"/>
      <c r="CG58" s="22"/>
      <c r="CH58" s="1207"/>
      <c r="CI58" s="745"/>
      <c r="CJ58" s="744"/>
      <c r="CK58" s="745"/>
      <c r="CL58" s="1210"/>
      <c r="CM58" s="1210"/>
      <c r="CN58" s="1179"/>
      <c r="CO58" s="22"/>
      <c r="CP58" s="57"/>
      <c r="CQ58" s="70"/>
      <c r="CR58" s="70"/>
      <c r="CS58" s="70"/>
    </row>
    <row r="59" spans="1:130" s="78" customFormat="1" ht="30" customHeight="1" x14ac:dyDescent="0.2">
      <c r="F59" s="17"/>
      <c r="J59" s="36"/>
      <c r="K59" s="573"/>
      <c r="O59" s="136"/>
      <c r="R59" s="70"/>
      <c r="S59" s="70"/>
      <c r="T59" s="70"/>
      <c r="U59" s="70"/>
      <c r="Y59" s="215"/>
      <c r="AB59" s="21"/>
      <c r="AC59" s="70"/>
      <c r="AG59" s="215"/>
      <c r="AJ59" s="21"/>
      <c r="AK59" s="70"/>
      <c r="AO59" s="215"/>
      <c r="AR59" s="21"/>
      <c r="AS59" s="70"/>
      <c r="AW59" s="215"/>
      <c r="AZ59" s="21"/>
      <c r="BA59" s="70"/>
      <c r="BE59" s="215"/>
      <c r="BH59" s="21"/>
      <c r="BI59" s="70"/>
      <c r="BM59" s="215"/>
      <c r="BP59" s="21"/>
      <c r="BQ59" s="70"/>
      <c r="BU59" s="215"/>
      <c r="BX59" s="21"/>
      <c r="BY59" s="70"/>
      <c r="CC59" s="215"/>
      <c r="CF59" s="21"/>
      <c r="CG59" s="70"/>
      <c r="CK59" s="215"/>
      <c r="CN59" s="21"/>
      <c r="CO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row>
    <row r="60" spans="1:130" s="21" customFormat="1" ht="5.0999999999999996" customHeight="1" x14ac:dyDescent="0.2">
      <c r="A60" s="25"/>
      <c r="B60" s="25"/>
      <c r="C60" s="2275"/>
      <c r="D60" s="25"/>
      <c r="E60" s="2276"/>
      <c r="F60" s="2277"/>
      <c r="G60" s="2277"/>
      <c r="H60" s="2277"/>
      <c r="I60" s="2275"/>
      <c r="J60" s="2275"/>
      <c r="K60" s="2275"/>
      <c r="L60" s="2277"/>
      <c r="M60" s="2277"/>
      <c r="N60" s="2277"/>
      <c r="O60" s="2278"/>
      <c r="P60" s="2277"/>
      <c r="Q60" s="17"/>
      <c r="R60" s="2275"/>
      <c r="S60" s="2275"/>
      <c r="T60" s="2275"/>
      <c r="V60" s="2277"/>
      <c r="W60" s="2277"/>
      <c r="X60" s="2275"/>
      <c r="Y60" s="2275"/>
      <c r="Z60" s="2275"/>
      <c r="AA60" s="2275"/>
      <c r="AB60" s="2278"/>
      <c r="AD60" s="2277"/>
      <c r="AE60" s="2277"/>
      <c r="AF60" s="2275"/>
      <c r="AG60" s="2275"/>
      <c r="AH60" s="2275"/>
      <c r="AI60" s="2275"/>
      <c r="AJ60" s="2278"/>
      <c r="AL60" s="2277"/>
      <c r="AM60" s="2277"/>
      <c r="AN60" s="2275"/>
      <c r="AO60" s="2275"/>
      <c r="AP60" s="2275"/>
      <c r="AQ60" s="2275"/>
      <c r="AR60" s="2278"/>
      <c r="AT60" s="2277"/>
      <c r="AU60" s="2277"/>
      <c r="AV60" s="2275"/>
      <c r="AW60" s="2275"/>
      <c r="AX60" s="2275"/>
      <c r="AY60" s="2275"/>
      <c r="AZ60" s="2278"/>
      <c r="BA60" s="70"/>
      <c r="BB60" s="2277"/>
      <c r="BC60" s="2277"/>
      <c r="BD60" s="2275"/>
      <c r="BE60" s="2275"/>
      <c r="BF60" s="2275"/>
      <c r="BG60" s="2275"/>
      <c r="BH60" s="2278"/>
      <c r="BJ60" s="2277"/>
      <c r="BK60" s="2277"/>
      <c r="BL60" s="2275"/>
      <c r="BM60" s="2275"/>
      <c r="BN60" s="2275"/>
      <c r="BO60" s="2275"/>
      <c r="BP60" s="2278"/>
      <c r="BR60" s="2277"/>
      <c r="BS60" s="2277"/>
      <c r="BT60" s="2275"/>
      <c r="BU60" s="2275"/>
      <c r="BV60" s="2275"/>
      <c r="BW60" s="2275"/>
      <c r="BX60" s="2278"/>
      <c r="BZ60" s="2277"/>
      <c r="CA60" s="2277"/>
      <c r="CB60" s="2275"/>
      <c r="CC60" s="2275"/>
      <c r="CD60" s="2275"/>
      <c r="CE60" s="2275"/>
      <c r="CF60" s="2278"/>
      <c r="CG60" s="70"/>
      <c r="CH60" s="2277"/>
      <c r="CI60" s="2277"/>
      <c r="CJ60" s="2275"/>
      <c r="CK60" s="2275"/>
      <c r="CL60" s="2275"/>
      <c r="CM60" s="2275"/>
      <c r="CN60" s="2278"/>
      <c r="CO60" s="70"/>
      <c r="CP60" s="2275"/>
      <c r="CQ60" s="70"/>
    </row>
    <row r="61" spans="1:130" s="21" customFormat="1" ht="3.75" customHeight="1" x14ac:dyDescent="0.2">
      <c r="A61" s="25"/>
      <c r="B61" s="25"/>
      <c r="C61" s="13"/>
      <c r="D61" s="25"/>
      <c r="E61" s="14"/>
      <c r="F61" s="15"/>
      <c r="G61" s="15"/>
      <c r="H61" s="15"/>
      <c r="I61" s="16"/>
      <c r="J61" s="16"/>
      <c r="K61" s="16"/>
      <c r="L61" s="17"/>
      <c r="M61" s="17"/>
      <c r="N61" s="15"/>
      <c r="O61" s="19"/>
      <c r="P61" s="17"/>
      <c r="Q61" s="17"/>
      <c r="R61" s="16"/>
      <c r="S61" s="16"/>
      <c r="T61" s="16"/>
      <c r="V61" s="18"/>
      <c r="W61" s="18"/>
      <c r="X61" s="13"/>
      <c r="Y61" s="16"/>
      <c r="Z61" s="16"/>
      <c r="AA61" s="16"/>
      <c r="AB61" s="19"/>
      <c r="AD61" s="18"/>
      <c r="AE61" s="18"/>
      <c r="AF61" s="13"/>
      <c r="AG61" s="16"/>
      <c r="AH61" s="16"/>
      <c r="AI61" s="16"/>
      <c r="AJ61" s="19"/>
      <c r="AL61" s="18"/>
      <c r="AM61" s="18"/>
      <c r="AN61" s="13"/>
      <c r="AO61" s="16"/>
      <c r="AP61" s="16"/>
      <c r="AQ61" s="16"/>
      <c r="AR61" s="19"/>
      <c r="AT61" s="18"/>
      <c r="AU61" s="18"/>
      <c r="AV61" s="13"/>
      <c r="AW61" s="16"/>
      <c r="AX61" s="16"/>
      <c r="AY61" s="16"/>
      <c r="AZ61" s="19"/>
      <c r="BA61" s="70"/>
      <c r="BB61" s="18"/>
      <c r="BC61" s="18"/>
      <c r="BD61" s="13"/>
      <c r="BE61" s="16"/>
      <c r="BF61" s="16"/>
      <c r="BG61" s="16"/>
      <c r="BH61" s="19"/>
      <c r="BJ61" s="18"/>
      <c r="BK61" s="18"/>
      <c r="BL61" s="13"/>
      <c r="BM61" s="16"/>
      <c r="BN61" s="16"/>
      <c r="BO61" s="16"/>
      <c r="BP61" s="19"/>
      <c r="BR61" s="18"/>
      <c r="BS61" s="18"/>
      <c r="BT61" s="13"/>
      <c r="BU61" s="16"/>
      <c r="BV61" s="16"/>
      <c r="BW61" s="16"/>
      <c r="BX61" s="19"/>
      <c r="BZ61" s="18"/>
      <c r="CA61" s="18"/>
      <c r="CB61" s="13"/>
      <c r="CC61" s="16"/>
      <c r="CD61" s="16"/>
      <c r="CE61" s="16"/>
      <c r="CF61" s="19"/>
      <c r="CG61" s="70"/>
      <c r="CH61" s="18"/>
      <c r="CI61" s="18"/>
      <c r="CJ61" s="13"/>
      <c r="CK61" s="16"/>
      <c r="CL61" s="16"/>
      <c r="CM61" s="16"/>
      <c r="CN61" s="19"/>
      <c r="CO61" s="70"/>
      <c r="CP61" s="16"/>
      <c r="CQ61" s="70"/>
      <c r="DK61" s="70"/>
    </row>
    <row r="62" spans="1:130" s="21" customFormat="1" ht="12" customHeight="1" x14ac:dyDescent="0.2">
      <c r="A62" s="25"/>
      <c r="B62" s="25"/>
      <c r="C62" s="2285"/>
      <c r="D62" s="25"/>
      <c r="E62" s="2276"/>
      <c r="F62" s="2277"/>
      <c r="G62" s="2277"/>
      <c r="H62" s="2277"/>
      <c r="I62" s="2275"/>
      <c r="J62" s="2275"/>
      <c r="K62" s="2275"/>
      <c r="L62" s="2277"/>
      <c r="M62" s="2277"/>
      <c r="N62" s="2277"/>
      <c r="O62" s="2278"/>
      <c r="P62" s="2277"/>
      <c r="Q62" s="17"/>
      <c r="R62" s="2275"/>
      <c r="S62" s="2275"/>
      <c r="T62" s="2275"/>
      <c r="V62" s="2277"/>
      <c r="W62" s="2277"/>
      <c r="X62" s="2275"/>
      <c r="Y62" s="2275"/>
      <c r="Z62" s="2275"/>
      <c r="AA62" s="2275"/>
      <c r="AB62" s="2278"/>
      <c r="AD62" s="2277"/>
      <c r="AE62" s="2277"/>
      <c r="AF62" s="2275"/>
      <c r="AG62" s="2275"/>
      <c r="AH62" s="2275"/>
      <c r="AI62" s="2275"/>
      <c r="AJ62" s="2278"/>
      <c r="AL62" s="2277"/>
      <c r="AM62" s="2277"/>
      <c r="AN62" s="2275"/>
      <c r="AO62" s="2275"/>
      <c r="AP62" s="2275"/>
      <c r="AQ62" s="2275"/>
      <c r="AR62" s="2278"/>
      <c r="AT62" s="2277"/>
      <c r="AU62" s="2277"/>
      <c r="AV62" s="2275"/>
      <c r="AW62" s="2275"/>
      <c r="AX62" s="2275"/>
      <c r="AY62" s="2275"/>
      <c r="AZ62" s="2278"/>
      <c r="BA62" s="70"/>
      <c r="BB62" s="2277"/>
      <c r="BC62" s="2277"/>
      <c r="BD62" s="2275"/>
      <c r="BE62" s="2275"/>
      <c r="BF62" s="2275"/>
      <c r="BG62" s="2275"/>
      <c r="BH62" s="2278"/>
      <c r="BJ62" s="2277"/>
      <c r="BK62" s="2277"/>
      <c r="BL62" s="2275"/>
      <c r="BM62" s="2275"/>
      <c r="BN62" s="2275"/>
      <c r="BO62" s="2275"/>
      <c r="BP62" s="2278"/>
      <c r="BR62" s="2277"/>
      <c r="BS62" s="2277"/>
      <c r="BT62" s="2275"/>
      <c r="BU62" s="2275"/>
      <c r="BV62" s="2275"/>
      <c r="BW62" s="2275"/>
      <c r="BX62" s="2278"/>
      <c r="BZ62" s="2277"/>
      <c r="CA62" s="2277"/>
      <c r="CB62" s="2275"/>
      <c r="CC62" s="2275"/>
      <c r="CD62" s="2275"/>
      <c r="CE62" s="2275"/>
      <c r="CF62" s="2278"/>
      <c r="CG62" s="70"/>
      <c r="CH62" s="2277"/>
      <c r="CI62" s="2277"/>
      <c r="CJ62" s="2275"/>
      <c r="CK62" s="2275"/>
      <c r="CL62" s="2275"/>
      <c r="CM62" s="2275"/>
      <c r="CN62" s="2278"/>
      <c r="CO62" s="70"/>
      <c r="CP62" s="2275"/>
      <c r="CQ62" s="70"/>
      <c r="DK62" s="70"/>
    </row>
    <row r="63" spans="1:130" s="21" customFormat="1" ht="50.1" customHeight="1" x14ac:dyDescent="0.2">
      <c r="A63" s="20"/>
      <c r="B63" s="20"/>
      <c r="C63" s="13"/>
      <c r="D63" s="20"/>
      <c r="E63" s="14"/>
      <c r="F63" s="15"/>
      <c r="I63" s="16"/>
      <c r="J63" s="16"/>
      <c r="K63" s="16"/>
      <c r="L63" s="16"/>
      <c r="M63" s="16"/>
      <c r="N63" s="15"/>
      <c r="O63" s="16"/>
      <c r="P63" s="16"/>
      <c r="Q63" s="16"/>
      <c r="R63" s="70"/>
      <c r="S63" s="115"/>
      <c r="T63" s="70"/>
      <c r="V63" s="22"/>
      <c r="W63" s="22"/>
      <c r="X63" s="13"/>
      <c r="Y63" s="16"/>
      <c r="Z63" s="70"/>
      <c r="AA63" s="70"/>
      <c r="AB63" s="70"/>
      <c r="AD63" s="22"/>
      <c r="AE63" s="22"/>
      <c r="AF63" s="13"/>
      <c r="AG63" s="16"/>
      <c r="AH63" s="70"/>
      <c r="AI63" s="70"/>
      <c r="AJ63" s="70"/>
      <c r="AL63" s="22"/>
      <c r="AM63" s="22"/>
      <c r="AN63" s="13"/>
      <c r="AO63" s="16"/>
      <c r="AP63" s="70"/>
      <c r="AQ63" s="70"/>
      <c r="AR63" s="70"/>
      <c r="AT63" s="22"/>
      <c r="AU63" s="22"/>
      <c r="AV63" s="13"/>
      <c r="AW63" s="16"/>
      <c r="AX63" s="70"/>
      <c r="AY63" s="70"/>
      <c r="AZ63" s="70"/>
      <c r="BA63" s="70"/>
      <c r="BB63" s="22"/>
      <c r="BC63" s="22"/>
      <c r="BD63" s="13"/>
      <c r="BE63" s="16"/>
      <c r="BF63" s="70"/>
      <c r="BG63" s="70"/>
      <c r="BH63" s="70"/>
      <c r="BJ63" s="22"/>
      <c r="BK63" s="22"/>
      <c r="BL63" s="13"/>
      <c r="BM63" s="16"/>
      <c r="BN63" s="70"/>
      <c r="BO63" s="70"/>
      <c r="BP63" s="70"/>
      <c r="BR63" s="22"/>
      <c r="BS63" s="22"/>
      <c r="BT63" s="13"/>
      <c r="BU63" s="16"/>
      <c r="BV63" s="70"/>
      <c r="BW63" s="70"/>
      <c r="BX63" s="70"/>
      <c r="BZ63" s="22"/>
      <c r="CA63" s="22"/>
      <c r="CB63" s="13"/>
      <c r="CC63" s="16"/>
      <c r="CD63" s="70"/>
      <c r="CE63" s="70"/>
      <c r="CF63" s="70"/>
      <c r="CG63" s="70"/>
      <c r="CH63" s="22"/>
      <c r="CI63" s="22"/>
      <c r="CJ63" s="13"/>
      <c r="CK63" s="16"/>
      <c r="CL63" s="70"/>
      <c r="CM63" s="70"/>
      <c r="CN63" s="70"/>
      <c r="CO63" s="70"/>
      <c r="CP63" s="78"/>
      <c r="CQ63" s="70"/>
    </row>
    <row r="64" spans="1:130" s="78" customFormat="1" ht="30" hidden="1" customHeight="1" x14ac:dyDescent="0.2">
      <c r="F64" s="17"/>
      <c r="J64" s="218"/>
      <c r="O64" s="17"/>
      <c r="P64" s="307"/>
      <c r="Q64" s="70"/>
      <c r="R64" s="70"/>
      <c r="S64" s="70"/>
      <c r="T64" s="70"/>
      <c r="U64" s="70"/>
      <c r="V64" s="307"/>
      <c r="W64" s="307"/>
      <c r="X64" s="307"/>
      <c r="Y64" s="307"/>
      <c r="AB64" s="307"/>
      <c r="AC64" s="22"/>
      <c r="AD64" s="307"/>
      <c r="AE64" s="307"/>
      <c r="AF64" s="307"/>
      <c r="AG64" s="307"/>
      <c r="AJ64" s="307"/>
      <c r="AK64" s="22"/>
      <c r="AL64" s="307"/>
      <c r="AM64" s="307"/>
      <c r="AN64" s="307"/>
      <c r="AO64" s="307"/>
      <c r="AQ64" s="307"/>
      <c r="AR64" s="307"/>
      <c r="AS64" s="22"/>
      <c r="AT64" s="307"/>
      <c r="AU64" s="307"/>
      <c r="AV64" s="307"/>
      <c r="AW64" s="307"/>
      <c r="AY64" s="307"/>
      <c r="AZ64" s="307"/>
      <c r="BA64" s="22"/>
      <c r="BB64" s="307"/>
      <c r="BC64" s="307"/>
      <c r="BD64" s="307"/>
      <c r="BE64" s="307"/>
      <c r="BG64" s="307"/>
      <c r="BH64" s="307"/>
      <c r="BI64" s="22"/>
      <c r="BJ64" s="307"/>
      <c r="BK64" s="307"/>
      <c r="BL64" s="307"/>
      <c r="BM64" s="307"/>
      <c r="BO64" s="307"/>
      <c r="BP64" s="307"/>
      <c r="BQ64" s="22"/>
      <c r="BR64" s="307"/>
      <c r="BS64" s="307"/>
      <c r="BT64" s="307"/>
      <c r="BU64" s="307"/>
      <c r="BW64" s="307"/>
      <c r="BX64" s="307"/>
      <c r="BY64" s="22"/>
      <c r="BZ64" s="307"/>
      <c r="CA64" s="307"/>
      <c r="CB64" s="307"/>
      <c r="CC64" s="307"/>
      <c r="CE64" s="307"/>
      <c r="CF64" s="307"/>
      <c r="CG64" s="22"/>
      <c r="CH64" s="307"/>
      <c r="CI64" s="307"/>
      <c r="CJ64" s="307"/>
      <c r="CK64" s="307"/>
      <c r="CM64" s="307"/>
      <c r="CN64" s="307"/>
      <c r="CO64" s="22"/>
      <c r="CP64" s="307"/>
      <c r="CQ64" s="70"/>
      <c r="CR64" s="70"/>
      <c r="CS64" s="70"/>
      <c r="CT64" s="70"/>
    </row>
    <row r="65" spans="1:100" s="21" customFormat="1" ht="15" hidden="1" customHeight="1" x14ac:dyDescent="0.2">
      <c r="A65" s="20"/>
      <c r="B65" s="20"/>
      <c r="C65" s="13"/>
      <c r="D65" s="20"/>
      <c r="E65" s="14"/>
      <c r="F65" s="15"/>
      <c r="I65" s="16"/>
      <c r="J65" s="22"/>
      <c r="K65" s="22"/>
      <c r="L65" s="22"/>
      <c r="M65" s="22"/>
      <c r="N65" s="22"/>
      <c r="O65" s="17"/>
      <c r="P65" s="16"/>
      <c r="R65" s="70"/>
      <c r="S65" s="115"/>
      <c r="T65" s="70"/>
      <c r="V65" s="16"/>
      <c r="W65" s="16"/>
      <c r="X65" s="16"/>
      <c r="Y65" s="16"/>
      <c r="Z65" s="15"/>
      <c r="AA65" s="15"/>
      <c r="AB65" s="16"/>
      <c r="AC65" s="22"/>
      <c r="AD65" s="16"/>
      <c r="AE65" s="16"/>
      <c r="AF65" s="16"/>
      <c r="AG65" s="16"/>
      <c r="AH65" s="15"/>
      <c r="AI65" s="15"/>
      <c r="AJ65" s="16"/>
      <c r="AK65" s="22"/>
      <c r="AL65" s="16"/>
      <c r="AM65" s="16"/>
      <c r="AN65" s="16"/>
      <c r="AO65" s="16"/>
      <c r="AP65" s="15"/>
      <c r="AQ65" s="16"/>
      <c r="AR65" s="16"/>
      <c r="AS65" s="22"/>
      <c r="AT65" s="16"/>
      <c r="AU65" s="16"/>
      <c r="AV65" s="16"/>
      <c r="AW65" s="16"/>
      <c r="AX65" s="15"/>
      <c r="AY65" s="16"/>
      <c r="AZ65" s="16"/>
      <c r="BA65" s="22"/>
      <c r="BB65" s="16"/>
      <c r="BC65" s="16"/>
      <c r="BD65" s="16"/>
      <c r="BE65" s="16"/>
      <c r="BF65" s="15"/>
      <c r="BG65" s="16"/>
      <c r="BH65" s="16"/>
      <c r="BI65" s="22"/>
      <c r="BJ65" s="16"/>
      <c r="BK65" s="16"/>
      <c r="BL65" s="16"/>
      <c r="BM65" s="16"/>
      <c r="BN65" s="15"/>
      <c r="BO65" s="16"/>
      <c r="BP65" s="16"/>
      <c r="BQ65" s="22"/>
      <c r="BR65" s="16"/>
      <c r="BS65" s="16"/>
      <c r="BT65" s="16"/>
      <c r="BU65" s="16"/>
      <c r="BV65" s="15"/>
      <c r="BW65" s="16"/>
      <c r="BX65" s="16"/>
      <c r="BY65" s="22"/>
      <c r="BZ65" s="16"/>
      <c r="CA65" s="16"/>
      <c r="CB65" s="16"/>
      <c r="CC65" s="16"/>
      <c r="CD65" s="15"/>
      <c r="CE65" s="16"/>
      <c r="CF65" s="16"/>
      <c r="CG65" s="22"/>
      <c r="CH65" s="16"/>
      <c r="CI65" s="16"/>
      <c r="CJ65" s="16"/>
      <c r="CK65" s="16"/>
      <c r="CL65" s="15"/>
      <c r="CM65" s="16"/>
      <c r="CN65" s="16"/>
      <c r="CO65" s="22"/>
      <c r="CP65" s="70"/>
      <c r="CQ65" s="70"/>
      <c r="CR65" s="70"/>
      <c r="CS65" s="70"/>
    </row>
    <row r="66" spans="1:100" s="21" customFormat="1" ht="24.75" hidden="1" customHeight="1" x14ac:dyDescent="0.2">
      <c r="A66" s="20"/>
      <c r="B66" s="20"/>
      <c r="C66" s="90"/>
      <c r="D66" s="13"/>
      <c r="E66" s="92"/>
      <c r="F66" s="159"/>
      <c r="G66" s="92"/>
      <c r="H66" s="92"/>
      <c r="I66" s="92"/>
      <c r="J66" s="92"/>
      <c r="K66" s="92"/>
      <c r="L66" s="92"/>
      <c r="M66" s="92"/>
      <c r="N66" s="92"/>
      <c r="O66" s="159"/>
      <c r="P66" s="92"/>
      <c r="R66" s="6572" t="s">
        <v>72</v>
      </c>
      <c r="S66" s="6572"/>
      <c r="T66" s="6572"/>
      <c r="V66" s="92"/>
      <c r="W66" s="92"/>
      <c r="X66" s="92"/>
      <c r="Y66" s="92"/>
      <c r="Z66" s="93"/>
      <c r="AA66" s="93"/>
      <c r="AB66" s="92"/>
      <c r="AC66" s="22"/>
      <c r="AD66" s="92"/>
      <c r="AE66" s="92"/>
      <c r="AF66" s="92"/>
      <c r="AG66" s="92"/>
      <c r="AH66" s="93"/>
      <c r="AI66" s="93"/>
      <c r="AJ66" s="92"/>
      <c r="AK66" s="22"/>
      <c r="AL66" s="92"/>
      <c r="AM66" s="92"/>
      <c r="AN66" s="92"/>
      <c r="AO66" s="92"/>
      <c r="AP66" s="93"/>
      <c r="AQ66" s="92"/>
      <c r="AR66" s="92"/>
      <c r="AS66" s="22"/>
      <c r="AT66" s="92"/>
      <c r="AU66" s="92"/>
      <c r="AV66" s="92"/>
      <c r="AW66" s="92"/>
      <c r="AX66" s="93"/>
      <c r="AY66" s="92"/>
      <c r="AZ66" s="92"/>
      <c r="BA66" s="22"/>
      <c r="BB66" s="92"/>
      <c r="BC66" s="92"/>
      <c r="BD66" s="92"/>
      <c r="BE66" s="92"/>
      <c r="BF66" s="93"/>
      <c r="BG66" s="92"/>
      <c r="BH66" s="92"/>
      <c r="BI66" s="22"/>
      <c r="BJ66" s="92"/>
      <c r="BK66" s="92"/>
      <c r="BL66" s="92"/>
      <c r="BM66" s="92"/>
      <c r="BN66" s="93"/>
      <c r="BO66" s="92"/>
      <c r="BP66" s="92"/>
      <c r="BQ66" s="22"/>
      <c r="BR66" s="92"/>
      <c r="BS66" s="92"/>
      <c r="BT66" s="92"/>
      <c r="BU66" s="92"/>
      <c r="BV66" s="93"/>
      <c r="BW66" s="92"/>
      <c r="BX66" s="92"/>
      <c r="BY66" s="22"/>
      <c r="BZ66" s="92"/>
      <c r="CA66" s="92"/>
      <c r="CB66" s="92"/>
      <c r="CC66" s="92"/>
      <c r="CD66" s="93"/>
      <c r="CE66" s="92"/>
      <c r="CF66" s="92"/>
      <c r="CG66" s="22"/>
      <c r="CH66" s="92"/>
      <c r="CI66" s="92"/>
      <c r="CJ66" s="92"/>
      <c r="CK66" s="92"/>
      <c r="CL66" s="93"/>
      <c r="CM66" s="92"/>
      <c r="CN66" s="92"/>
      <c r="CO66" s="22"/>
      <c r="CP66" s="70"/>
      <c r="CQ66" s="70"/>
      <c r="CR66" s="70"/>
      <c r="CS66" s="70"/>
    </row>
    <row r="67" spans="1:100" ht="15" hidden="1" customHeight="1" thickBot="1" x14ac:dyDescent="0.25">
      <c r="B67" s="14"/>
      <c r="C67" s="14"/>
      <c r="D67" s="14"/>
      <c r="E67" s="102"/>
      <c r="F67" s="167"/>
      <c r="G67" s="102"/>
      <c r="H67" s="102"/>
      <c r="I67" s="102"/>
      <c r="J67" s="101"/>
      <c r="K67" s="102"/>
      <c r="L67" s="102"/>
      <c r="M67" s="102"/>
      <c r="N67" s="102"/>
      <c r="O67" s="167"/>
      <c r="P67" s="102"/>
      <c r="R67" s="94"/>
      <c r="S67" s="94"/>
      <c r="T67" s="95"/>
      <c r="V67" s="102"/>
      <c r="W67" s="102"/>
      <c r="X67" s="102"/>
      <c r="Y67" s="102"/>
      <c r="Z67" s="102"/>
      <c r="AA67" s="102"/>
      <c r="AB67" s="102"/>
      <c r="AC67" s="22"/>
      <c r="AD67" s="102"/>
      <c r="AE67" s="102"/>
      <c r="AF67" s="102"/>
      <c r="AG67" s="102"/>
      <c r="AH67" s="102"/>
      <c r="AI67" s="102"/>
      <c r="AJ67" s="102"/>
      <c r="AK67" s="22"/>
      <c r="AL67" s="102"/>
      <c r="AM67" s="102"/>
      <c r="AN67" s="102"/>
      <c r="AO67" s="102"/>
      <c r="AP67" s="102"/>
      <c r="AQ67" s="102"/>
      <c r="AR67" s="102"/>
      <c r="AS67" s="22"/>
      <c r="AT67" s="102"/>
      <c r="AU67" s="102"/>
      <c r="AV67" s="102"/>
      <c r="AW67" s="102"/>
      <c r="AX67" s="102"/>
      <c r="AY67" s="102"/>
      <c r="AZ67" s="102"/>
      <c r="BA67" s="22"/>
      <c r="BB67" s="102"/>
      <c r="BC67" s="102"/>
      <c r="BD67" s="102"/>
      <c r="BE67" s="102"/>
      <c r="BF67" s="102"/>
      <c r="BG67" s="102"/>
      <c r="BH67" s="102"/>
      <c r="BI67" s="22"/>
      <c r="BJ67" s="102"/>
      <c r="BK67" s="102"/>
      <c r="BL67" s="102"/>
      <c r="BM67" s="102"/>
      <c r="BN67" s="102"/>
      <c r="BO67" s="102"/>
      <c r="BP67" s="102"/>
      <c r="BQ67" s="22"/>
      <c r="BR67" s="102"/>
      <c r="BS67" s="102"/>
      <c r="BT67" s="102"/>
      <c r="BU67" s="102"/>
      <c r="BV67" s="102"/>
      <c r="BW67" s="102"/>
      <c r="BX67" s="102"/>
      <c r="BY67" s="22"/>
      <c r="BZ67" s="102"/>
      <c r="CA67" s="102"/>
      <c r="CB67" s="102"/>
      <c r="CC67" s="102"/>
      <c r="CD67" s="102"/>
      <c r="CE67" s="102"/>
      <c r="CF67" s="102"/>
      <c r="CG67" s="22"/>
      <c r="CH67" s="102"/>
      <c r="CI67" s="102"/>
      <c r="CJ67" s="102"/>
      <c r="CK67" s="102"/>
      <c r="CL67" s="102"/>
      <c r="CM67" s="102"/>
      <c r="CN67" s="102"/>
      <c r="CO67" s="22"/>
    </row>
    <row r="68" spans="1:100" ht="15" hidden="1" customHeight="1" x14ac:dyDescent="0.2">
      <c r="B68" s="90"/>
      <c r="C68" s="96"/>
      <c r="D68" s="13"/>
      <c r="E68" s="133"/>
      <c r="F68" s="168"/>
      <c r="G68" s="133"/>
      <c r="H68" s="133"/>
      <c r="I68" s="133"/>
      <c r="J68" s="1998"/>
      <c r="K68" s="133"/>
      <c r="L68" s="133"/>
      <c r="M68" s="133"/>
      <c r="N68" s="133"/>
      <c r="O68" s="168"/>
      <c r="P68" s="133"/>
      <c r="R68" s="94"/>
      <c r="S68" s="6565"/>
      <c r="T68" s="95"/>
      <c r="V68" s="133"/>
      <c r="W68" s="133"/>
      <c r="X68" s="133"/>
      <c r="Y68" s="133"/>
      <c r="Z68" s="133"/>
      <c r="AA68" s="133"/>
      <c r="AB68" s="133"/>
      <c r="AC68" s="22"/>
      <c r="AD68" s="133"/>
      <c r="AE68" s="133"/>
      <c r="AF68" s="133"/>
      <c r="AG68" s="133"/>
      <c r="AH68" s="133"/>
      <c r="AI68" s="133"/>
      <c r="AJ68" s="133"/>
      <c r="AK68" s="22"/>
      <c r="AL68" s="133"/>
      <c r="AM68" s="133"/>
      <c r="AN68" s="133"/>
      <c r="AO68" s="133"/>
      <c r="AP68" s="133"/>
      <c r="AQ68" s="133"/>
      <c r="AR68" s="133"/>
      <c r="AS68" s="22"/>
      <c r="AT68" s="133"/>
      <c r="AU68" s="133"/>
      <c r="AV68" s="133"/>
      <c r="AW68" s="133"/>
      <c r="AX68" s="133"/>
      <c r="AY68" s="133"/>
      <c r="AZ68" s="133"/>
      <c r="BA68" s="22"/>
      <c r="BB68" s="133"/>
      <c r="BC68" s="133"/>
      <c r="BD68" s="133"/>
      <c r="BE68" s="133"/>
      <c r="BF68" s="133"/>
      <c r="BG68" s="133"/>
      <c r="BH68" s="133"/>
      <c r="BI68" s="22"/>
      <c r="BJ68" s="133"/>
      <c r="BK68" s="133"/>
      <c r="BL68" s="133"/>
      <c r="BM68" s="133"/>
      <c r="BN68" s="133"/>
      <c r="BO68" s="133"/>
      <c r="BP68" s="133"/>
      <c r="BQ68" s="22"/>
      <c r="BR68" s="133"/>
      <c r="BS68" s="133"/>
      <c r="BT68" s="133"/>
      <c r="BU68" s="133"/>
      <c r="BV68" s="133"/>
      <c r="BW68" s="133"/>
      <c r="BX68" s="133"/>
      <c r="BY68" s="22"/>
      <c r="BZ68" s="133"/>
      <c r="CA68" s="133"/>
      <c r="CB68" s="133"/>
      <c r="CC68" s="133"/>
      <c r="CD68" s="133"/>
      <c r="CE68" s="133"/>
      <c r="CF68" s="133"/>
      <c r="CG68" s="22"/>
      <c r="CH68" s="133"/>
      <c r="CI68" s="133"/>
      <c r="CJ68" s="133"/>
      <c r="CK68" s="133"/>
      <c r="CL68" s="133"/>
      <c r="CM68" s="133"/>
      <c r="CN68" s="133"/>
      <c r="CO68" s="22"/>
    </row>
    <row r="69" spans="1:100" ht="15" hidden="1" customHeight="1" thickBot="1" x14ac:dyDescent="0.25">
      <c r="B69" s="90"/>
      <c r="C69" s="96"/>
      <c r="D69" s="13"/>
      <c r="E69" s="133"/>
      <c r="F69" s="168"/>
      <c r="G69" s="133"/>
      <c r="H69" s="133"/>
      <c r="I69" s="133"/>
      <c r="J69" s="1998"/>
      <c r="K69" s="133"/>
      <c r="L69" s="133"/>
      <c r="M69" s="133"/>
      <c r="N69" s="133"/>
      <c r="O69" s="168"/>
      <c r="P69" s="133"/>
      <c r="R69" s="94"/>
      <c r="S69" s="6566"/>
      <c r="T69" s="95"/>
      <c r="V69" s="133"/>
      <c r="W69" s="133"/>
      <c r="X69" s="133"/>
      <c r="Y69" s="133"/>
      <c r="Z69" s="133"/>
      <c r="AA69" s="133"/>
      <c r="AB69" s="133"/>
      <c r="AC69" s="22"/>
      <c r="AD69" s="133"/>
      <c r="AE69" s="133"/>
      <c r="AF69" s="133"/>
      <c r="AG69" s="133"/>
      <c r="AH69" s="133"/>
      <c r="AI69" s="133"/>
      <c r="AJ69" s="133"/>
      <c r="AK69" s="22"/>
      <c r="AL69" s="133"/>
      <c r="AM69" s="133"/>
      <c r="AN69" s="133"/>
      <c r="AO69" s="133"/>
      <c r="AP69" s="133"/>
      <c r="AQ69" s="133"/>
      <c r="AR69" s="133"/>
      <c r="AS69" s="22"/>
      <c r="AT69" s="133"/>
      <c r="AU69" s="133"/>
      <c r="AV69" s="133"/>
      <c r="AW69" s="133"/>
      <c r="AX69" s="133"/>
      <c r="AY69" s="133"/>
      <c r="AZ69" s="133"/>
      <c r="BA69" s="22"/>
      <c r="BB69" s="133"/>
      <c r="BC69" s="133"/>
      <c r="BD69" s="133"/>
      <c r="BE69" s="133"/>
      <c r="BF69" s="133"/>
      <c r="BG69" s="133"/>
      <c r="BH69" s="133"/>
      <c r="BI69" s="22"/>
      <c r="BJ69" s="133"/>
      <c r="BK69" s="133"/>
      <c r="BL69" s="133"/>
      <c r="BM69" s="133"/>
      <c r="BN69" s="133"/>
      <c r="BO69" s="133"/>
      <c r="BP69" s="133"/>
      <c r="BQ69" s="22"/>
      <c r="BR69" s="133"/>
      <c r="BS69" s="133"/>
      <c r="BT69" s="133"/>
      <c r="BU69" s="133"/>
      <c r="BV69" s="133"/>
      <c r="BW69" s="133"/>
      <c r="BX69" s="133"/>
      <c r="BY69" s="22"/>
      <c r="BZ69" s="133"/>
      <c r="CA69" s="133"/>
      <c r="CB69" s="133"/>
      <c r="CC69" s="133"/>
      <c r="CD69" s="133"/>
      <c r="CE69" s="133"/>
      <c r="CF69" s="133"/>
      <c r="CG69" s="22"/>
      <c r="CH69" s="133"/>
      <c r="CI69" s="133"/>
      <c r="CJ69" s="133"/>
      <c r="CK69" s="133"/>
      <c r="CL69" s="133"/>
      <c r="CM69" s="133"/>
      <c r="CN69" s="133"/>
      <c r="CO69" s="22"/>
    </row>
    <row r="70" spans="1:100" ht="15" hidden="1" customHeight="1" thickBot="1" x14ac:dyDescent="0.25">
      <c r="B70" s="90"/>
      <c r="C70" s="96"/>
      <c r="D70" s="13"/>
      <c r="E70" s="133"/>
      <c r="F70" s="168"/>
      <c r="G70" s="133"/>
      <c r="H70" s="133"/>
      <c r="I70" s="133"/>
      <c r="J70" s="1998"/>
      <c r="K70" s="133"/>
      <c r="L70" s="133"/>
      <c r="M70" s="133"/>
      <c r="N70" s="133"/>
      <c r="O70" s="168"/>
      <c r="P70" s="133"/>
      <c r="R70" s="94"/>
      <c r="S70" s="94"/>
      <c r="T70" s="95"/>
      <c r="V70" s="133"/>
      <c r="W70" s="133"/>
      <c r="X70" s="133"/>
      <c r="Y70" s="133"/>
      <c r="Z70" s="259"/>
      <c r="AA70" s="259"/>
      <c r="AB70" s="133"/>
      <c r="AC70" s="22"/>
      <c r="AD70" s="133"/>
      <c r="AE70" s="133"/>
      <c r="AF70" s="133"/>
      <c r="AG70" s="133"/>
      <c r="AH70" s="259"/>
      <c r="AI70" s="259"/>
      <c r="AJ70" s="133"/>
      <c r="AK70" s="22"/>
      <c r="AL70" s="133"/>
      <c r="AM70" s="133"/>
      <c r="AN70" s="133"/>
      <c r="AO70" s="133"/>
      <c r="AP70" s="259"/>
      <c r="AQ70" s="133"/>
      <c r="AR70" s="133"/>
      <c r="AS70" s="22"/>
      <c r="AT70" s="133"/>
      <c r="AU70" s="133"/>
      <c r="AV70" s="133"/>
      <c r="AW70" s="133"/>
      <c r="AX70" s="259"/>
      <c r="AY70" s="133"/>
      <c r="AZ70" s="133"/>
      <c r="BA70" s="22"/>
      <c r="BB70" s="133"/>
      <c r="BC70" s="133"/>
      <c r="BD70" s="133"/>
      <c r="BE70" s="133"/>
      <c r="BF70" s="259"/>
      <c r="BG70" s="133"/>
      <c r="BH70" s="133"/>
      <c r="BI70" s="22"/>
      <c r="BJ70" s="133"/>
      <c r="BK70" s="133"/>
      <c r="BL70" s="133"/>
      <c r="BM70" s="133"/>
      <c r="BN70" s="259"/>
      <c r="BO70" s="133"/>
      <c r="BP70" s="133"/>
      <c r="BQ70" s="22"/>
      <c r="BR70" s="133"/>
      <c r="BS70" s="133"/>
      <c r="BT70" s="133"/>
      <c r="BU70" s="133"/>
      <c r="BV70" s="259"/>
      <c r="BW70" s="133"/>
      <c r="BX70" s="133"/>
      <c r="BY70" s="22"/>
      <c r="BZ70" s="133"/>
      <c r="CA70" s="133"/>
      <c r="CB70" s="133"/>
      <c r="CC70" s="133"/>
      <c r="CD70" s="259"/>
      <c r="CE70" s="133"/>
      <c r="CF70" s="133"/>
      <c r="CG70" s="22"/>
      <c r="CH70" s="133"/>
      <c r="CI70" s="133"/>
      <c r="CJ70" s="133"/>
      <c r="CK70" s="133"/>
      <c r="CL70" s="259"/>
      <c r="CM70" s="133"/>
      <c r="CN70" s="133"/>
      <c r="CO70" s="22"/>
    </row>
    <row r="71" spans="1:100" ht="15" hidden="1" customHeight="1" x14ac:dyDescent="0.2">
      <c r="B71" s="90"/>
      <c r="C71" s="96"/>
      <c r="D71" s="13"/>
      <c r="E71" s="133"/>
      <c r="F71" s="168"/>
      <c r="G71" s="133"/>
      <c r="H71" s="133"/>
      <c r="I71" s="133"/>
      <c r="J71" s="1998"/>
      <c r="K71" s="133"/>
      <c r="L71" s="133"/>
      <c r="M71" s="133"/>
      <c r="N71" s="133"/>
      <c r="O71" s="168"/>
      <c r="P71" s="133"/>
      <c r="R71" s="94"/>
      <c r="S71" s="6565"/>
      <c r="T71" s="95"/>
      <c r="V71" s="133"/>
      <c r="W71" s="133"/>
      <c r="X71" s="133"/>
      <c r="Y71" s="133"/>
      <c r="Z71" s="133"/>
      <c r="AA71" s="133"/>
      <c r="AB71" s="133"/>
      <c r="AC71" s="22"/>
      <c r="AD71" s="133"/>
      <c r="AE71" s="133"/>
      <c r="AF71" s="133"/>
      <c r="AG71" s="133"/>
      <c r="AH71" s="133"/>
      <c r="AI71" s="133"/>
      <c r="AJ71" s="133"/>
      <c r="AK71" s="22"/>
      <c r="AL71" s="133"/>
      <c r="AM71" s="133"/>
      <c r="AN71" s="133"/>
      <c r="AO71" s="133"/>
      <c r="AP71" s="133"/>
      <c r="AQ71" s="133"/>
      <c r="AR71" s="133"/>
      <c r="AS71" s="22"/>
      <c r="AT71" s="133"/>
      <c r="AU71" s="133"/>
      <c r="AV71" s="133"/>
      <c r="AW71" s="133"/>
      <c r="AX71" s="133"/>
      <c r="AY71" s="133"/>
      <c r="AZ71" s="133"/>
      <c r="BA71" s="22"/>
      <c r="BB71" s="133"/>
      <c r="BC71" s="133"/>
      <c r="BD71" s="133"/>
      <c r="BE71" s="133"/>
      <c r="BF71" s="133"/>
      <c r="BG71" s="133"/>
      <c r="BH71" s="133"/>
      <c r="BI71" s="22"/>
      <c r="BJ71" s="133"/>
      <c r="BK71" s="133"/>
      <c r="BL71" s="133"/>
      <c r="BM71" s="133"/>
      <c r="BN71" s="133"/>
      <c r="BO71" s="133"/>
      <c r="BP71" s="133"/>
      <c r="BQ71" s="22"/>
      <c r="BR71" s="133"/>
      <c r="BS71" s="133"/>
      <c r="BT71" s="133"/>
      <c r="BU71" s="133"/>
      <c r="BV71" s="133"/>
      <c r="BW71" s="133"/>
      <c r="BX71" s="133"/>
      <c r="BY71" s="22"/>
      <c r="BZ71" s="133"/>
      <c r="CA71" s="133"/>
      <c r="CB71" s="133"/>
      <c r="CC71" s="133"/>
      <c r="CD71" s="133"/>
      <c r="CE71" s="133"/>
      <c r="CF71" s="133"/>
      <c r="CG71" s="22"/>
      <c r="CH71" s="133"/>
      <c r="CI71" s="133"/>
      <c r="CJ71" s="133"/>
      <c r="CK71" s="133"/>
      <c r="CL71" s="133"/>
      <c r="CM71" s="133"/>
      <c r="CN71" s="133"/>
      <c r="CO71" s="22"/>
    </row>
    <row r="72" spans="1:100" ht="15" hidden="1" customHeight="1" thickBot="1" x14ac:dyDescent="0.25">
      <c r="B72" s="90"/>
      <c r="C72" s="96"/>
      <c r="D72" s="13"/>
      <c r="E72" s="102"/>
      <c r="F72" s="167"/>
      <c r="G72" s="102"/>
      <c r="H72" s="102"/>
      <c r="I72" s="102"/>
      <c r="J72" s="101"/>
      <c r="K72" s="102"/>
      <c r="L72" s="102"/>
      <c r="M72" s="102"/>
      <c r="N72" s="102"/>
      <c r="O72" s="167"/>
      <c r="P72" s="102"/>
      <c r="R72" s="99"/>
      <c r="S72" s="6566"/>
      <c r="T72" s="95"/>
      <c r="V72" s="102"/>
      <c r="W72" s="102"/>
      <c r="X72" s="102"/>
      <c r="Y72" s="102"/>
      <c r="Z72" s="102"/>
      <c r="AA72" s="102"/>
      <c r="AB72" s="102"/>
      <c r="AC72" s="22"/>
      <c r="AD72" s="102"/>
      <c r="AE72" s="102"/>
      <c r="AF72" s="102"/>
      <c r="AG72" s="102"/>
      <c r="AH72" s="102"/>
      <c r="AI72" s="102"/>
      <c r="AJ72" s="102"/>
      <c r="AK72" s="22"/>
      <c r="AL72" s="102"/>
      <c r="AM72" s="102"/>
      <c r="AN72" s="102"/>
      <c r="AO72" s="102"/>
      <c r="AP72" s="102"/>
      <c r="AQ72" s="102"/>
      <c r="AR72" s="102"/>
      <c r="AS72" s="22"/>
      <c r="AT72" s="102"/>
      <c r="AU72" s="102"/>
      <c r="AV72" s="102"/>
      <c r="AW72" s="102"/>
      <c r="AX72" s="102"/>
      <c r="AY72" s="102"/>
      <c r="AZ72" s="102"/>
      <c r="BA72" s="22"/>
      <c r="BB72" s="102"/>
      <c r="BC72" s="102"/>
      <c r="BD72" s="102"/>
      <c r="BE72" s="102"/>
      <c r="BF72" s="102"/>
      <c r="BG72" s="102"/>
      <c r="BH72" s="102"/>
      <c r="BI72" s="22"/>
      <c r="BJ72" s="102"/>
      <c r="BK72" s="102"/>
      <c r="BL72" s="102"/>
      <c r="BM72" s="102"/>
      <c r="BN72" s="102"/>
      <c r="BO72" s="102"/>
      <c r="BP72" s="102"/>
      <c r="BQ72" s="22"/>
      <c r="BR72" s="102"/>
      <c r="BS72" s="102"/>
      <c r="BT72" s="102"/>
      <c r="BU72" s="102"/>
      <c r="BV72" s="102"/>
      <c r="BW72" s="102"/>
      <c r="BX72" s="102"/>
      <c r="BY72" s="22"/>
      <c r="BZ72" s="102"/>
      <c r="CA72" s="102"/>
      <c r="CB72" s="102"/>
      <c r="CC72" s="102"/>
      <c r="CD72" s="102"/>
      <c r="CE72" s="102"/>
      <c r="CF72" s="102"/>
      <c r="CG72" s="22"/>
      <c r="CH72" s="102"/>
      <c r="CI72" s="102"/>
      <c r="CJ72" s="102"/>
      <c r="CK72" s="102"/>
      <c r="CL72" s="102"/>
      <c r="CM72" s="102"/>
      <c r="CN72" s="102"/>
      <c r="CO72" s="22"/>
    </row>
    <row r="73" spans="1:100" s="21" customFormat="1" ht="15" hidden="1" customHeight="1" x14ac:dyDescent="0.2">
      <c r="A73" s="25"/>
      <c r="B73" s="25"/>
      <c r="C73" s="16"/>
      <c r="D73" s="13"/>
      <c r="E73" s="101"/>
      <c r="F73" s="167"/>
      <c r="G73" s="101"/>
      <c r="H73" s="101"/>
      <c r="I73" s="101"/>
      <c r="J73" s="101"/>
      <c r="K73" s="101"/>
      <c r="L73" s="101"/>
      <c r="M73" s="101"/>
      <c r="N73" s="101"/>
      <c r="O73" s="167"/>
      <c r="P73" s="101"/>
      <c r="Q73" s="70"/>
      <c r="R73" s="94"/>
      <c r="S73" s="94"/>
      <c r="T73" s="95"/>
      <c r="U73" s="70"/>
      <c r="V73" s="101"/>
      <c r="W73" s="101"/>
      <c r="X73" s="101"/>
      <c r="Y73" s="101"/>
      <c r="Z73" s="178"/>
      <c r="AA73" s="178"/>
      <c r="AB73" s="101"/>
      <c r="AC73" s="22"/>
      <c r="AD73" s="101"/>
      <c r="AE73" s="101"/>
      <c r="AF73" s="101"/>
      <c r="AG73" s="101"/>
      <c r="AH73" s="178"/>
      <c r="AI73" s="178"/>
      <c r="AJ73" s="101"/>
      <c r="AK73" s="22"/>
      <c r="AL73" s="101"/>
      <c r="AM73" s="101"/>
      <c r="AN73" s="101"/>
      <c r="AO73" s="101"/>
      <c r="AP73" s="178"/>
      <c r="AQ73" s="101"/>
      <c r="AR73" s="101"/>
      <c r="AS73" s="22"/>
      <c r="AT73" s="101"/>
      <c r="AU73" s="101"/>
      <c r="AV73" s="101"/>
      <c r="AW73" s="101"/>
      <c r="AX73" s="178"/>
      <c r="AY73" s="101"/>
      <c r="AZ73" s="101"/>
      <c r="BA73" s="22"/>
      <c r="BB73" s="101"/>
      <c r="BC73" s="101"/>
      <c r="BD73" s="101"/>
      <c r="BE73" s="101"/>
      <c r="BF73" s="178"/>
      <c r="BG73" s="101"/>
      <c r="BH73" s="101"/>
      <c r="BI73" s="22"/>
      <c r="BJ73" s="101"/>
      <c r="BK73" s="101"/>
      <c r="BL73" s="101"/>
      <c r="BM73" s="101"/>
      <c r="BN73" s="178"/>
      <c r="BO73" s="101"/>
      <c r="BP73" s="101"/>
      <c r="BQ73" s="22"/>
      <c r="BR73" s="101"/>
      <c r="BS73" s="101"/>
      <c r="BT73" s="101"/>
      <c r="BU73" s="101"/>
      <c r="BV73" s="178"/>
      <c r="BW73" s="101"/>
      <c r="BX73" s="101"/>
      <c r="BY73" s="22"/>
      <c r="BZ73" s="101"/>
      <c r="CA73" s="101"/>
      <c r="CB73" s="101"/>
      <c r="CC73" s="101"/>
      <c r="CD73" s="178"/>
      <c r="CE73" s="101"/>
      <c r="CF73" s="101"/>
      <c r="CG73" s="22"/>
      <c r="CH73" s="101"/>
      <c r="CI73" s="101"/>
      <c r="CJ73" s="101"/>
      <c r="CK73" s="101"/>
      <c r="CL73" s="178"/>
      <c r="CM73" s="101"/>
      <c r="CN73" s="101"/>
      <c r="CO73" s="22"/>
      <c r="CP73" s="70"/>
      <c r="CQ73" s="70"/>
      <c r="CR73" s="70"/>
      <c r="CS73" s="70"/>
      <c r="CT73" s="70"/>
      <c r="CU73" s="70"/>
      <c r="CV73" s="70"/>
    </row>
    <row r="74" spans="1:100" s="21" customFormat="1" ht="15" hidden="1" customHeight="1" x14ac:dyDescent="0.2">
      <c r="A74" s="25"/>
      <c r="B74" s="25"/>
      <c r="C74" s="16"/>
      <c r="D74" s="13"/>
      <c r="E74" s="101"/>
      <c r="F74" s="167"/>
      <c r="G74" s="101"/>
      <c r="H74" s="101"/>
      <c r="I74" s="101"/>
      <c r="J74" s="101"/>
      <c r="K74" s="101"/>
      <c r="L74" s="101"/>
      <c r="M74" s="101"/>
      <c r="N74" s="101"/>
      <c r="O74" s="167"/>
      <c r="P74" s="101"/>
      <c r="Q74" s="70"/>
      <c r="R74" s="94"/>
      <c r="S74" s="94"/>
      <c r="T74" s="95"/>
      <c r="U74" s="70"/>
      <c r="V74" s="101"/>
      <c r="W74" s="101"/>
      <c r="X74" s="101"/>
      <c r="Y74" s="101"/>
      <c r="Z74" s="101"/>
      <c r="AA74" s="101"/>
      <c r="AB74" s="101"/>
      <c r="AC74" s="22"/>
      <c r="AD74" s="101"/>
      <c r="AE74" s="101"/>
      <c r="AF74" s="101"/>
      <c r="AG74" s="101"/>
      <c r="AH74" s="101"/>
      <c r="AI74" s="101"/>
      <c r="AJ74" s="101"/>
      <c r="AK74" s="22"/>
      <c r="AL74" s="101"/>
      <c r="AM74" s="101"/>
      <c r="AN74" s="101"/>
      <c r="AO74" s="101"/>
      <c r="AP74" s="101"/>
      <c r="AQ74" s="101"/>
      <c r="AR74" s="101"/>
      <c r="AS74" s="22"/>
      <c r="AT74" s="101"/>
      <c r="AU74" s="101"/>
      <c r="AV74" s="101"/>
      <c r="AW74" s="101"/>
      <c r="AX74" s="101"/>
      <c r="AY74" s="101"/>
      <c r="AZ74" s="101"/>
      <c r="BA74" s="22"/>
      <c r="BB74" s="101"/>
      <c r="BC74" s="101"/>
      <c r="BD74" s="101"/>
      <c r="BE74" s="101"/>
      <c r="BF74" s="101"/>
      <c r="BG74" s="101"/>
      <c r="BH74" s="101"/>
      <c r="BI74" s="22"/>
      <c r="BJ74" s="101"/>
      <c r="BK74" s="101"/>
      <c r="BL74" s="101"/>
      <c r="BM74" s="101"/>
      <c r="BN74" s="101"/>
      <c r="BO74" s="101"/>
      <c r="BP74" s="101"/>
      <c r="BQ74" s="22"/>
      <c r="BR74" s="101"/>
      <c r="BS74" s="101"/>
      <c r="BT74" s="101"/>
      <c r="BU74" s="101"/>
      <c r="BV74" s="101"/>
      <c r="BW74" s="101"/>
      <c r="BX74" s="101"/>
      <c r="BY74" s="22"/>
      <c r="BZ74" s="101"/>
      <c r="CA74" s="101"/>
      <c r="CB74" s="101"/>
      <c r="CC74" s="101"/>
      <c r="CD74" s="101"/>
      <c r="CE74" s="101"/>
      <c r="CF74" s="101"/>
      <c r="CG74" s="22"/>
      <c r="CH74" s="101"/>
      <c r="CI74" s="101"/>
      <c r="CJ74" s="101"/>
      <c r="CK74" s="101"/>
      <c r="CL74" s="101"/>
      <c r="CM74" s="101"/>
      <c r="CN74" s="101"/>
      <c r="CO74" s="22"/>
      <c r="CP74" s="70"/>
      <c r="CQ74" s="70"/>
      <c r="CR74" s="70"/>
      <c r="CS74" s="70"/>
      <c r="CT74" s="70"/>
      <c r="CU74" s="70"/>
      <c r="CV74" s="70"/>
    </row>
  </sheetData>
  <sheetProtection algorithmName="SHA-512" hashValue="h04iFbEbWXH1+CiWMYHMwrStEf8SCaoUwZaUHOBwjXwhUU307YwEcEoThBhJikpS57BMIivRAJ4jBNoTTWKzwg==" saltValue="M6Qijpso/IrcE2f7+evNfA==" spinCount="100000" sheet="1" objects="1" scenarios="1"/>
  <mergeCells count="22">
    <mergeCell ref="CI18:CL18"/>
    <mergeCell ref="S68:S69"/>
    <mergeCell ref="C23:C27"/>
    <mergeCell ref="E6:T6"/>
    <mergeCell ref="F11:G11"/>
    <mergeCell ref="W18:Z18"/>
    <mergeCell ref="AE18:AH18"/>
    <mergeCell ref="AM18:AP18"/>
    <mergeCell ref="AU18:AX18"/>
    <mergeCell ref="BC18:BF18"/>
    <mergeCell ref="BK18:BN18"/>
    <mergeCell ref="BS18:BV18"/>
    <mergeCell ref="CA18:CD18"/>
    <mergeCell ref="S71:S72"/>
    <mergeCell ref="R18:T18"/>
    <mergeCell ref="F9:O9"/>
    <mergeCell ref="F22:O23"/>
    <mergeCell ref="R66:T66"/>
    <mergeCell ref="F35:O36"/>
    <mergeCell ref="F50:I51"/>
    <mergeCell ref="F39:I40"/>
    <mergeCell ref="H15:O15"/>
  </mergeCells>
  <conditionalFormatting sqref="AA42">
    <cfRule type="containsText" dxfId="5536" priority="355" operator="containsText" text="✓">
      <formula>NOT(ISERROR(SEARCH("✓",AA42)))</formula>
    </cfRule>
  </conditionalFormatting>
  <conditionalFormatting sqref="Z26:AA26">
    <cfRule type="containsText" dxfId="5535" priority="344" operator="containsText" text="✓">
      <formula>NOT(ISERROR(SEARCH("✓",Z26)))</formula>
    </cfRule>
  </conditionalFormatting>
  <conditionalFormatting sqref="AA57 AA55 AA53 AA46 AA44 AA32 AA28">
    <cfRule type="containsText" dxfId="5534" priority="342" operator="containsText" text="✓">
      <formula>NOT(ISERROR(SEARCH("✓",AA28)))</formula>
    </cfRule>
  </conditionalFormatting>
  <conditionalFormatting sqref="CM42">
    <cfRule type="containsText" dxfId="5533" priority="252" operator="containsText" text="✓">
      <formula>NOT(ISERROR(SEARCH("✓",CM42)))</formula>
    </cfRule>
  </conditionalFormatting>
  <conditionalFormatting sqref="CM26">
    <cfRule type="containsText" dxfId="5532" priority="251" operator="containsText" text="✓">
      <formula>NOT(ISERROR(SEARCH("✓",CM26)))</formula>
    </cfRule>
  </conditionalFormatting>
  <conditionalFormatting sqref="CM57 CM55 CM53 CM46 CM44 CM32 CM28">
    <cfRule type="containsText" dxfId="5531" priority="250" operator="containsText" text="✓">
      <formula>NOT(ISERROR(SEARCH("✓",CM28)))</formula>
    </cfRule>
  </conditionalFormatting>
  <conditionalFormatting sqref="AI42">
    <cfRule type="containsText" dxfId="5530" priority="5233" operator="containsText" text="✓">
      <formula>NOT(ISERROR(SEARCH("✓",AI42)))</formula>
    </cfRule>
  </conditionalFormatting>
  <conditionalFormatting sqref="AI26">
    <cfRule type="containsText" dxfId="5529" priority="287" operator="containsText" text="✓">
      <formula>NOT(ISERROR(SEARCH("✓",AI26)))</formula>
    </cfRule>
  </conditionalFormatting>
  <conditionalFormatting sqref="AI57 AI55 AI53 AI46 AI44 AI32 AI28">
    <cfRule type="containsText" dxfId="5528" priority="286" operator="containsText" text="✓">
      <formula>NOT(ISERROR(SEARCH("✓",AI28)))</formula>
    </cfRule>
  </conditionalFormatting>
  <conditionalFormatting sqref="AQ42">
    <cfRule type="containsText" dxfId="5527" priority="5246" operator="containsText" text="✓">
      <formula>NOT(ISERROR(SEARCH("✓",AQ42)))</formula>
    </cfRule>
  </conditionalFormatting>
  <conditionalFormatting sqref="AQ26">
    <cfRule type="containsText" dxfId="5526" priority="282" operator="containsText" text="✓">
      <formula>NOT(ISERROR(SEARCH("✓",AQ26)))</formula>
    </cfRule>
  </conditionalFormatting>
  <conditionalFormatting sqref="AQ57 AQ55 AQ53 AQ46 AQ44 AQ32 AQ28">
    <cfRule type="containsText" dxfId="5525" priority="281" operator="containsText" text="✓">
      <formula>NOT(ISERROR(SEARCH("✓",AQ28)))</formula>
    </cfRule>
  </conditionalFormatting>
  <conditionalFormatting sqref="AY42">
    <cfRule type="containsText" dxfId="5524" priority="5244" operator="containsText" text="✓">
      <formula>NOT(ISERROR(SEARCH("✓",AY42)))</formula>
    </cfRule>
  </conditionalFormatting>
  <conditionalFormatting sqref="AY26">
    <cfRule type="containsText" dxfId="5523" priority="277" operator="containsText" text="✓">
      <formula>NOT(ISERROR(SEARCH("✓",AY26)))</formula>
    </cfRule>
  </conditionalFormatting>
  <conditionalFormatting sqref="AY57 AY55 AY53 AY46 AY44 AY32 AY28">
    <cfRule type="containsText" dxfId="5522" priority="276" operator="containsText" text="✓">
      <formula>NOT(ISERROR(SEARCH("✓",AY28)))</formula>
    </cfRule>
  </conditionalFormatting>
  <conditionalFormatting sqref="BG42">
    <cfRule type="containsText" dxfId="5521" priority="5242" operator="containsText" text="✓">
      <formula>NOT(ISERROR(SEARCH("✓",BG42)))</formula>
    </cfRule>
  </conditionalFormatting>
  <conditionalFormatting sqref="BG26">
    <cfRule type="containsText" dxfId="5520" priority="272" operator="containsText" text="✓">
      <formula>NOT(ISERROR(SEARCH("✓",BG26)))</formula>
    </cfRule>
  </conditionalFormatting>
  <conditionalFormatting sqref="BG57 BG55 BG53 BG46 BG44 BG32 BG28">
    <cfRule type="containsText" dxfId="5519" priority="271" operator="containsText" text="✓">
      <formula>NOT(ISERROR(SEARCH("✓",BG28)))</formula>
    </cfRule>
  </conditionalFormatting>
  <conditionalFormatting sqref="BO42">
    <cfRule type="containsText" dxfId="5518" priority="5240" operator="containsText" text="✓">
      <formula>NOT(ISERROR(SEARCH("✓",BO42)))</formula>
    </cfRule>
  </conditionalFormatting>
  <conditionalFormatting sqref="BO26">
    <cfRule type="containsText" dxfId="5517" priority="267" operator="containsText" text="✓">
      <formula>NOT(ISERROR(SEARCH("✓",BO26)))</formula>
    </cfRule>
  </conditionalFormatting>
  <conditionalFormatting sqref="BO57 BO55 BO53 BO46 BO44 BO32 BO28">
    <cfRule type="containsText" dxfId="5516" priority="266" operator="containsText" text="✓">
      <formula>NOT(ISERROR(SEARCH("✓",BO28)))</formula>
    </cfRule>
  </conditionalFormatting>
  <conditionalFormatting sqref="BW42">
    <cfRule type="containsText" dxfId="5515" priority="5238" operator="containsText" text="✓">
      <formula>NOT(ISERROR(SEARCH("✓",BW42)))</formula>
    </cfRule>
  </conditionalFormatting>
  <conditionalFormatting sqref="BW26">
    <cfRule type="containsText" dxfId="5514" priority="262" operator="containsText" text="✓">
      <formula>NOT(ISERROR(SEARCH("✓",BW26)))</formula>
    </cfRule>
  </conditionalFormatting>
  <conditionalFormatting sqref="BW57 BW55 BW53 BW46 BW44 BW32 BW28">
    <cfRule type="containsText" dxfId="5513" priority="261" operator="containsText" text="✓">
      <formula>NOT(ISERROR(SEARCH("✓",BW28)))</formula>
    </cfRule>
  </conditionalFormatting>
  <conditionalFormatting sqref="CE42">
    <cfRule type="containsText" dxfId="5512" priority="5236" operator="containsText" text="✓">
      <formula>NOT(ISERROR(SEARCH("✓",CE42)))</formula>
    </cfRule>
  </conditionalFormatting>
  <conditionalFormatting sqref="CE26">
    <cfRule type="containsText" dxfId="5511" priority="257" operator="containsText" text="✓">
      <formula>NOT(ISERROR(SEARCH("✓",CE26)))</formula>
    </cfRule>
  </conditionalFormatting>
  <conditionalFormatting sqref="CE57 CE55 CE53 CE46 CE44 CE32 CE28">
    <cfRule type="containsText" dxfId="5510" priority="256" operator="containsText" text="✓">
      <formula>NOT(ISERROR(SEARCH("✓",CE28)))</formula>
    </cfRule>
  </conditionalFormatting>
  <conditionalFormatting sqref="Z28">
    <cfRule type="containsText" dxfId="5509" priority="249" operator="containsText" text="✓">
      <formula>NOT(ISERROR(SEARCH("✓",Z28)))</formula>
    </cfRule>
  </conditionalFormatting>
  <conditionalFormatting sqref="Z32">
    <cfRule type="containsText" dxfId="5508" priority="248" operator="containsText" text="✓">
      <formula>NOT(ISERROR(SEARCH("✓",Z32)))</formula>
    </cfRule>
  </conditionalFormatting>
  <conditionalFormatting sqref="Z42">
    <cfRule type="containsText" dxfId="5507" priority="247" operator="containsText" text="✓">
      <formula>NOT(ISERROR(SEARCH("✓",Z42)))</formula>
    </cfRule>
  </conditionalFormatting>
  <conditionalFormatting sqref="AH26">
    <cfRule type="containsText" dxfId="5506" priority="285" operator="containsText" text="✓">
      <formula>NOT(ISERROR(SEARCH("✓",AH26)))</formula>
    </cfRule>
  </conditionalFormatting>
  <conditionalFormatting sqref="AH28">
    <cfRule type="containsText" dxfId="5505" priority="239" operator="containsText" text="✓">
      <formula>NOT(ISERROR(SEARCH("✓",AH28)))</formula>
    </cfRule>
  </conditionalFormatting>
  <conditionalFormatting sqref="AH32">
    <cfRule type="containsText" dxfId="5504" priority="238" operator="containsText" text="✓">
      <formula>NOT(ISERROR(SEARCH("✓",AH32)))</formula>
    </cfRule>
  </conditionalFormatting>
  <conditionalFormatting sqref="AP26">
    <cfRule type="containsText" dxfId="5503" priority="280" operator="containsText" text="✓">
      <formula>NOT(ISERROR(SEARCH("✓",AP26)))</formula>
    </cfRule>
  </conditionalFormatting>
  <conditionalFormatting sqref="AP28">
    <cfRule type="containsText" dxfId="5502" priority="228" operator="containsText" text="✓">
      <formula>NOT(ISERROR(SEARCH("✓",AP28)))</formula>
    </cfRule>
  </conditionalFormatting>
  <conditionalFormatting sqref="AP32">
    <cfRule type="containsText" dxfId="5501" priority="227" operator="containsText" text="✓">
      <formula>NOT(ISERROR(SEARCH("✓",AP32)))</formula>
    </cfRule>
  </conditionalFormatting>
  <conditionalFormatting sqref="AX26">
    <cfRule type="containsText" dxfId="5500" priority="275" operator="containsText" text="✓">
      <formula>NOT(ISERROR(SEARCH("✓",AX26)))</formula>
    </cfRule>
  </conditionalFormatting>
  <conditionalFormatting sqref="AX28">
    <cfRule type="containsText" dxfId="5499" priority="217" operator="containsText" text="✓">
      <formula>NOT(ISERROR(SEARCH("✓",AX28)))</formula>
    </cfRule>
  </conditionalFormatting>
  <conditionalFormatting sqref="AX32">
    <cfRule type="containsText" dxfId="5498" priority="216" operator="containsText" text="✓">
      <formula>NOT(ISERROR(SEARCH("✓",AX32)))</formula>
    </cfRule>
  </conditionalFormatting>
  <conditionalFormatting sqref="BF26">
    <cfRule type="containsText" dxfId="5497" priority="270" operator="containsText" text="✓">
      <formula>NOT(ISERROR(SEARCH("✓",BF26)))</formula>
    </cfRule>
  </conditionalFormatting>
  <conditionalFormatting sqref="BF28">
    <cfRule type="containsText" dxfId="5496" priority="206" operator="containsText" text="✓">
      <formula>NOT(ISERROR(SEARCH("✓",BF28)))</formula>
    </cfRule>
  </conditionalFormatting>
  <conditionalFormatting sqref="BF32">
    <cfRule type="containsText" dxfId="5495" priority="205" operator="containsText" text="✓">
      <formula>NOT(ISERROR(SEARCH("✓",BF32)))</formula>
    </cfRule>
  </conditionalFormatting>
  <conditionalFormatting sqref="BN26">
    <cfRule type="containsText" dxfId="5494" priority="265" operator="containsText" text="✓">
      <formula>NOT(ISERROR(SEARCH("✓",BN26)))</formula>
    </cfRule>
  </conditionalFormatting>
  <conditionalFormatting sqref="BN28">
    <cfRule type="containsText" dxfId="5493" priority="195" operator="containsText" text="✓">
      <formula>NOT(ISERROR(SEARCH("✓",BN28)))</formula>
    </cfRule>
  </conditionalFormatting>
  <conditionalFormatting sqref="BN32">
    <cfRule type="containsText" dxfId="5492" priority="194" operator="containsText" text="✓">
      <formula>NOT(ISERROR(SEARCH("✓",BN32)))</formula>
    </cfRule>
  </conditionalFormatting>
  <conditionalFormatting sqref="BV26">
    <cfRule type="containsText" dxfId="5491" priority="260" operator="containsText" text="✓">
      <formula>NOT(ISERROR(SEARCH("✓",BV26)))</formula>
    </cfRule>
  </conditionalFormatting>
  <conditionalFormatting sqref="BV28">
    <cfRule type="containsText" dxfId="5490" priority="184" operator="containsText" text="✓">
      <formula>NOT(ISERROR(SEARCH("✓",BV28)))</formula>
    </cfRule>
  </conditionalFormatting>
  <conditionalFormatting sqref="BV32">
    <cfRule type="containsText" dxfId="5489" priority="183" operator="containsText" text="✓">
      <formula>NOT(ISERROR(SEARCH("✓",BV32)))</formula>
    </cfRule>
  </conditionalFormatting>
  <conditionalFormatting sqref="CD26">
    <cfRule type="containsText" dxfId="5488" priority="255" operator="containsText" text="✓">
      <formula>NOT(ISERROR(SEARCH("✓",CD26)))</formula>
    </cfRule>
  </conditionalFormatting>
  <conditionalFormatting sqref="CD28">
    <cfRule type="containsText" dxfId="5487" priority="173" operator="containsText" text="✓">
      <formula>NOT(ISERROR(SEARCH("✓",CD28)))</formula>
    </cfRule>
  </conditionalFormatting>
  <conditionalFormatting sqref="CD32">
    <cfRule type="containsText" dxfId="5486" priority="172" operator="containsText" text="✓">
      <formula>NOT(ISERROR(SEARCH("✓",CD32)))</formula>
    </cfRule>
  </conditionalFormatting>
  <conditionalFormatting sqref="CL26">
    <cfRule type="containsText" dxfId="5485" priority="5235" operator="containsText" text="✓">
      <formula>NOT(ISERROR(SEARCH("✓",CL26)))</formula>
    </cfRule>
  </conditionalFormatting>
  <conditionalFormatting sqref="CL28">
    <cfRule type="containsText" dxfId="5484" priority="162" operator="containsText" text="✓">
      <formula>NOT(ISERROR(SEARCH("✓",CL28)))</formula>
    </cfRule>
  </conditionalFormatting>
  <conditionalFormatting sqref="CL32">
    <cfRule type="containsText" dxfId="5483" priority="161" operator="containsText" text="✓">
      <formula>NOT(ISERROR(SEARCH("✓",CL32)))</formula>
    </cfRule>
  </conditionalFormatting>
  <conditionalFormatting sqref="Z44">
    <cfRule type="containsText" dxfId="5482" priority="135" operator="containsText" text="✓">
      <formula>NOT(ISERROR(SEARCH("✓",Z44)))</formula>
    </cfRule>
  </conditionalFormatting>
  <conditionalFormatting sqref="Z46">
    <cfRule type="containsText" dxfId="5481" priority="134" operator="containsText" text="✓">
      <formula>NOT(ISERROR(SEARCH("✓",Z46)))</formula>
    </cfRule>
  </conditionalFormatting>
  <conditionalFormatting sqref="Z53">
    <cfRule type="containsText" dxfId="5480" priority="133" operator="containsText" text="✓">
      <formula>NOT(ISERROR(SEARCH("✓",Z53)))</formula>
    </cfRule>
  </conditionalFormatting>
  <conditionalFormatting sqref="Z55">
    <cfRule type="containsText" dxfId="5479" priority="132" operator="containsText" text="✓">
      <formula>NOT(ISERROR(SEARCH("✓",Z55)))</formula>
    </cfRule>
  </conditionalFormatting>
  <conditionalFormatting sqref="Z57">
    <cfRule type="containsText" dxfId="5478" priority="131" operator="containsText" text="✓">
      <formula>NOT(ISERROR(SEARCH("✓",Z57)))</formula>
    </cfRule>
  </conditionalFormatting>
  <conditionalFormatting sqref="AH42">
    <cfRule type="containsText" dxfId="5477" priority="237" operator="containsText" text="✓">
      <formula>NOT(ISERROR(SEARCH("✓",AH42)))</formula>
    </cfRule>
  </conditionalFormatting>
  <conditionalFormatting sqref="AH44">
    <cfRule type="containsText" dxfId="5476" priority="128" operator="containsText" text="✓">
      <formula>NOT(ISERROR(SEARCH("✓",AH44)))</formula>
    </cfRule>
  </conditionalFormatting>
  <conditionalFormatting sqref="AH46">
    <cfRule type="containsText" dxfId="5475" priority="127" operator="containsText" text="✓">
      <formula>NOT(ISERROR(SEARCH("✓",AH46)))</formula>
    </cfRule>
  </conditionalFormatting>
  <conditionalFormatting sqref="AH53">
    <cfRule type="containsText" dxfId="5474" priority="126" operator="containsText" text="✓">
      <formula>NOT(ISERROR(SEARCH("✓",AH53)))</formula>
    </cfRule>
  </conditionalFormatting>
  <conditionalFormatting sqref="AH55">
    <cfRule type="containsText" dxfId="5473" priority="125" operator="containsText" text="✓">
      <formula>NOT(ISERROR(SEARCH("✓",AH55)))</formula>
    </cfRule>
  </conditionalFormatting>
  <conditionalFormatting sqref="AH57">
    <cfRule type="containsText" dxfId="5472" priority="124" operator="containsText" text="✓">
      <formula>NOT(ISERROR(SEARCH("✓",AH57)))</formula>
    </cfRule>
  </conditionalFormatting>
  <conditionalFormatting sqref="AP42">
    <cfRule type="containsText" dxfId="5471" priority="226" operator="containsText" text="✓">
      <formula>NOT(ISERROR(SEARCH("✓",AP42)))</formula>
    </cfRule>
  </conditionalFormatting>
  <conditionalFormatting sqref="AP44">
    <cfRule type="containsText" dxfId="5470" priority="120" operator="containsText" text="✓">
      <formula>NOT(ISERROR(SEARCH("✓",AP44)))</formula>
    </cfRule>
  </conditionalFormatting>
  <conditionalFormatting sqref="AP46">
    <cfRule type="containsText" dxfId="5469" priority="119" operator="containsText" text="✓">
      <formula>NOT(ISERROR(SEARCH("✓",AP46)))</formula>
    </cfRule>
  </conditionalFormatting>
  <conditionalFormatting sqref="AP53">
    <cfRule type="containsText" dxfId="5468" priority="118" operator="containsText" text="✓">
      <formula>NOT(ISERROR(SEARCH("✓",AP53)))</formula>
    </cfRule>
  </conditionalFormatting>
  <conditionalFormatting sqref="AP55">
    <cfRule type="containsText" dxfId="5467" priority="117" operator="containsText" text="✓">
      <formula>NOT(ISERROR(SEARCH("✓",AP55)))</formula>
    </cfRule>
  </conditionalFormatting>
  <conditionalFormatting sqref="AP57">
    <cfRule type="containsText" dxfId="5466" priority="116" operator="containsText" text="✓">
      <formula>NOT(ISERROR(SEARCH("✓",AP57)))</formula>
    </cfRule>
  </conditionalFormatting>
  <conditionalFormatting sqref="AX42">
    <cfRule type="containsText" dxfId="5465" priority="215" operator="containsText" text="✓">
      <formula>NOT(ISERROR(SEARCH("✓",AX42)))</formula>
    </cfRule>
  </conditionalFormatting>
  <conditionalFormatting sqref="AX44">
    <cfRule type="containsText" dxfId="5464" priority="112" operator="containsText" text="✓">
      <formula>NOT(ISERROR(SEARCH("✓",AX44)))</formula>
    </cfRule>
  </conditionalFormatting>
  <conditionalFormatting sqref="AX46">
    <cfRule type="containsText" dxfId="5463" priority="111" operator="containsText" text="✓">
      <formula>NOT(ISERROR(SEARCH("✓",AX46)))</formula>
    </cfRule>
  </conditionalFormatting>
  <conditionalFormatting sqref="AX53">
    <cfRule type="containsText" dxfId="5462" priority="110" operator="containsText" text="✓">
      <formula>NOT(ISERROR(SEARCH("✓",AX53)))</formula>
    </cfRule>
  </conditionalFormatting>
  <conditionalFormatting sqref="AX55">
    <cfRule type="containsText" dxfId="5461" priority="109" operator="containsText" text="✓">
      <formula>NOT(ISERROR(SEARCH("✓",AX55)))</formula>
    </cfRule>
  </conditionalFormatting>
  <conditionalFormatting sqref="AX57">
    <cfRule type="containsText" dxfId="5460" priority="108" operator="containsText" text="✓">
      <formula>NOT(ISERROR(SEARCH("✓",AX57)))</formula>
    </cfRule>
  </conditionalFormatting>
  <conditionalFormatting sqref="BF42">
    <cfRule type="containsText" dxfId="5459" priority="204" operator="containsText" text="✓">
      <formula>NOT(ISERROR(SEARCH("✓",BF42)))</formula>
    </cfRule>
  </conditionalFormatting>
  <conditionalFormatting sqref="BF44">
    <cfRule type="containsText" dxfId="5458" priority="104" operator="containsText" text="✓">
      <formula>NOT(ISERROR(SEARCH("✓",BF44)))</formula>
    </cfRule>
  </conditionalFormatting>
  <conditionalFormatting sqref="BF46">
    <cfRule type="containsText" dxfId="5457" priority="103" operator="containsText" text="✓">
      <formula>NOT(ISERROR(SEARCH("✓",BF46)))</formula>
    </cfRule>
  </conditionalFormatting>
  <conditionalFormatting sqref="BF53">
    <cfRule type="containsText" dxfId="5456" priority="102" operator="containsText" text="✓">
      <formula>NOT(ISERROR(SEARCH("✓",BF53)))</formula>
    </cfRule>
  </conditionalFormatting>
  <conditionalFormatting sqref="BF55">
    <cfRule type="containsText" dxfId="5455" priority="101" operator="containsText" text="✓">
      <formula>NOT(ISERROR(SEARCH("✓",BF55)))</formula>
    </cfRule>
  </conditionalFormatting>
  <conditionalFormatting sqref="BF57">
    <cfRule type="containsText" dxfId="5454" priority="100" operator="containsText" text="✓">
      <formula>NOT(ISERROR(SEARCH("✓",BF57)))</formula>
    </cfRule>
  </conditionalFormatting>
  <conditionalFormatting sqref="BN42">
    <cfRule type="containsText" dxfId="5453" priority="193" operator="containsText" text="✓">
      <formula>NOT(ISERROR(SEARCH("✓",BN42)))</formula>
    </cfRule>
  </conditionalFormatting>
  <conditionalFormatting sqref="BN44">
    <cfRule type="containsText" dxfId="5452" priority="96" operator="containsText" text="✓">
      <formula>NOT(ISERROR(SEARCH("✓",BN44)))</formula>
    </cfRule>
  </conditionalFormatting>
  <conditionalFormatting sqref="BN46">
    <cfRule type="containsText" dxfId="5451" priority="95" operator="containsText" text="✓">
      <formula>NOT(ISERROR(SEARCH("✓",BN46)))</formula>
    </cfRule>
  </conditionalFormatting>
  <conditionalFormatting sqref="BN53">
    <cfRule type="containsText" dxfId="5450" priority="94" operator="containsText" text="✓">
      <formula>NOT(ISERROR(SEARCH("✓",BN53)))</formula>
    </cfRule>
  </conditionalFormatting>
  <conditionalFormatting sqref="BN55">
    <cfRule type="containsText" dxfId="5449" priority="93" operator="containsText" text="✓">
      <formula>NOT(ISERROR(SEARCH("✓",BN55)))</formula>
    </cfRule>
  </conditionalFormatting>
  <conditionalFormatting sqref="BN57">
    <cfRule type="containsText" dxfId="5448" priority="92" operator="containsText" text="✓">
      <formula>NOT(ISERROR(SEARCH("✓",BN57)))</formula>
    </cfRule>
  </conditionalFormatting>
  <conditionalFormatting sqref="BV42">
    <cfRule type="containsText" dxfId="5447" priority="182" operator="containsText" text="✓">
      <formula>NOT(ISERROR(SEARCH("✓",BV42)))</formula>
    </cfRule>
  </conditionalFormatting>
  <conditionalFormatting sqref="BV44">
    <cfRule type="containsText" dxfId="5446" priority="88" operator="containsText" text="✓">
      <formula>NOT(ISERROR(SEARCH("✓",BV44)))</formula>
    </cfRule>
  </conditionalFormatting>
  <conditionalFormatting sqref="BV46">
    <cfRule type="containsText" dxfId="5445" priority="87" operator="containsText" text="✓">
      <formula>NOT(ISERROR(SEARCH("✓",BV46)))</formula>
    </cfRule>
  </conditionalFormatting>
  <conditionalFormatting sqref="BV53">
    <cfRule type="containsText" dxfId="5444" priority="86" operator="containsText" text="✓">
      <formula>NOT(ISERROR(SEARCH("✓",BV53)))</formula>
    </cfRule>
  </conditionalFormatting>
  <conditionalFormatting sqref="BV55">
    <cfRule type="containsText" dxfId="5443" priority="85" operator="containsText" text="✓">
      <formula>NOT(ISERROR(SEARCH("✓",BV55)))</formula>
    </cfRule>
  </conditionalFormatting>
  <conditionalFormatting sqref="BV57">
    <cfRule type="containsText" dxfId="5442" priority="84" operator="containsText" text="✓">
      <formula>NOT(ISERROR(SEARCH("✓",BV57)))</formula>
    </cfRule>
  </conditionalFormatting>
  <conditionalFormatting sqref="CD42">
    <cfRule type="containsText" dxfId="5441" priority="171" operator="containsText" text="✓">
      <formula>NOT(ISERROR(SEARCH("✓",CD42)))</formula>
    </cfRule>
  </conditionalFormatting>
  <conditionalFormatting sqref="CD44">
    <cfRule type="containsText" dxfId="5440" priority="80" operator="containsText" text="✓">
      <formula>NOT(ISERROR(SEARCH("✓",CD44)))</formula>
    </cfRule>
  </conditionalFormatting>
  <conditionalFormatting sqref="CD46">
    <cfRule type="containsText" dxfId="5439" priority="79" operator="containsText" text="✓">
      <formula>NOT(ISERROR(SEARCH("✓",CD46)))</formula>
    </cfRule>
  </conditionalFormatting>
  <conditionalFormatting sqref="CD53">
    <cfRule type="containsText" dxfId="5438" priority="78" operator="containsText" text="✓">
      <formula>NOT(ISERROR(SEARCH("✓",CD53)))</formula>
    </cfRule>
  </conditionalFormatting>
  <conditionalFormatting sqref="CD55">
    <cfRule type="containsText" dxfId="5437" priority="77" operator="containsText" text="✓">
      <formula>NOT(ISERROR(SEARCH("✓",CD55)))</formula>
    </cfRule>
  </conditionalFormatting>
  <conditionalFormatting sqref="CD57">
    <cfRule type="containsText" dxfId="5436" priority="76" operator="containsText" text="✓">
      <formula>NOT(ISERROR(SEARCH("✓",CD57)))</formula>
    </cfRule>
  </conditionalFormatting>
  <conditionalFormatting sqref="CL42">
    <cfRule type="containsText" dxfId="5435" priority="152" operator="containsText" text="✓">
      <formula>NOT(ISERROR(SEARCH("✓",CL42)))</formula>
    </cfRule>
  </conditionalFormatting>
  <conditionalFormatting sqref="CL44">
    <cfRule type="containsText" dxfId="5434" priority="72" operator="containsText" text="✓">
      <formula>NOT(ISERROR(SEARCH("✓",CL44)))</formula>
    </cfRule>
  </conditionalFormatting>
  <conditionalFormatting sqref="CL46">
    <cfRule type="containsText" dxfId="5433" priority="71" operator="containsText" text="✓">
      <formula>NOT(ISERROR(SEARCH("✓",CL46)))</formula>
    </cfRule>
  </conditionalFormatting>
  <conditionalFormatting sqref="CL53">
    <cfRule type="containsText" dxfId="5432" priority="70" operator="containsText" text="✓">
      <formula>NOT(ISERROR(SEARCH("✓",CL53)))</formula>
    </cfRule>
  </conditionalFormatting>
  <conditionalFormatting sqref="CL55">
    <cfRule type="containsText" dxfId="5431" priority="69" operator="containsText" text="✓">
      <formula>NOT(ISERROR(SEARCH("✓",CL55)))</formula>
    </cfRule>
  </conditionalFormatting>
  <conditionalFormatting sqref="CL57">
    <cfRule type="containsText" dxfId="5430" priority="68" operator="containsText" text="✓">
      <formula>NOT(ISERROR(SEARCH("✓",CL57)))</formula>
    </cfRule>
  </conditionalFormatting>
  <dataValidations xWindow="712" yWindow="688" count="11">
    <dataValidation allowBlank="1" showInputMessage="1" showErrorMessage="1" promptTitle="Opp- og nedrigging (systematisk)" prompt="Inkluderer herdetid på 60 minutter før boring av kontrollhull eller salveboring kan starte. 1 stk tilsvarer opp- og nedrigging for 1 injeksjonsskjerm." sqref="J53" xr:uid="{1C940860-9E96-43AA-A1F6-E337F958EA6B}"/>
    <dataValidation allowBlank="1" showInputMessage="1" showErrorMessage="1" promptTitle="Boring (systematisk)" prompt="Omfatter boring av injeksjons- og kontrollhull. Alle injeksjonshull bores og pakkes før injeksjon starter." sqref="J55" xr:uid="{2C1E2FA3-B912-4F29-9923-767434B84128}"/>
    <dataValidation allowBlank="1" showErrorMessage="1" sqref="L17:L24 X45 X41 Y19:AB37 X33:X37 M21:M24 A59:I1048576 A12:I13 X19:X25 X54 X27 AF58 A1:I1 M17:M19 CL19:CL37 X47:X48 AB18:AE18 AJ18:AM18 AR18:AU18 AZ18:BC18 BH18:BK18 BP18:BS18 BX18:CA18 CF18:CI18 A5:I10 X43 V18:W37 AN27 AH19:AH37 AV58 AP19:AP37 BD27 AX19:AX37 BL58 BF19:BF37 BT27 BN19:BN37 CB58 BV19:BV37 CJ58 CD19:CD37 K59:DG63 K12:DY13 CU9:DY10 K5:DG5 K1:DG1 K8:DG10 L64:CW1048576 X29:X31 CJ19:CJ25 CJ27 CJ29:CJ31 CJ33:CJ41 CJ43 CJ45 CJ47:CJ52 CJ54 CJ56 CB19:CB25 CB27 CB29:CB31 CB33:CB41 CB43 CB45 CB47:CB52 CB54 CB56 BT58 BT56 BT54 BT47:BT52 BT45 BT43 BT33:BT41 BT29:BT31 BT19:BT25 BL19:BL25 BL27 BL29:BL31 BL33:BL41 BL43 BL45 BL47:BL52 BL54 BL56 BD58 BD56 BD54 BD47:BD52 BD45 BD43 BD33:BD41 BD29:BD31 BD19:BD25 AV19:AV25 AV27 AV29:AV31 AV33:AV41 AV43 AV45 AV47:AV52 AV54 AV56 AN58 AN56 AN54 AN47:AN52 AN45 AN43 AN33:AN41 AN29:AN31 AN19:AN25 AF27 AF19:AF25 AF29:AF31 AF33:AF41 AF43 AF45 AF47:AF52 AF54 AF56 X58 X56 X52 F56:O58 K55:O55 F55:I55 F54:O54 K53:O53 F53:I53 F45:O52 K44:O44 F44:I44 F43:O43 K42:O42 F42:I42 F33:O41 K32:O32 F32:I32 F29:O31 K28:O28 F28:I28 F27:O27 K26:O26 F26:I26 F25:O25 V14:CM17 CX14:DY16 C14:C23 N17:O24 F17:I24 H15 G16:I16 K16:O16 E14:F16 G14:I14 K14:O14 Y52:AB58 U52:W58 CD52:CD58 BV52:BV58 BN52:BN58 BF52:BF58 AX52:AX58 AP52:AP58 AH52:AH58 CL52:CL58 C28:C58 CM19:CM58 E17:E58 CE19:CI58 CK19:CK58 BW19:CA58 CC19:CC58 BO19:BS58 BU19:BU58 BG19:BK58 BM19:BM58 AY19:BC58 BE19:BE58 AQ19:AU58 AW19:AW58 AI19:AM58 AO19:AO58 AC19:AE58 AG19:AG58 A14:B58 P14:T58 CN14:CW58 D14:D58 U14:U48 V41:W48 CL41:CL48 CD41:CD48 BV41:BV48 BN41:BN48 BF41:BF48 AX41:AX48 AP41:AP48 AH41:AH48 Y41:AB48" xr:uid="{D4C5D53E-5CD7-48CD-B3E5-2FBFCCB356F4}"/>
    <dataValidation allowBlank="1" showInputMessage="1" showErrorMessage="1" promptTitle="Sondérboring" prompt="Sonderboring inkluderer også tid for lekkasjemåling og eventuell gjenstøping av sonderborhull og spyling av sonderhull som skal brukes til injeksjon." sqref="J26" xr:uid="{DDAD2F89-EB30-46DA-BD9C-DD1FCD1CC36E}"/>
    <dataValidation allowBlank="1" showInputMessage="1" showErrorMessage="1" promptTitle="Kjerneboring" prompt="Omfatter kjerneboring inkl. rigging, lekkasjemåling, gjenstøping med mer, samt evt. tilkalling av boreentreprenør." sqref="J28" xr:uid="{CC864412-60C5-4114-AB74-D50968D63F15}"/>
    <dataValidation allowBlank="1" showErrorMessage="1" promptTitle="Seismikk" prompt="Time for time, inngår i ventetid" sqref="J32" xr:uid="{6D02FFD9-CE65-4063-B95F-F26D61834EF1}"/>
    <dataValidation allowBlank="1" showInputMessage="1" showErrorMessage="1" promptTitle="Sonderboring" prompt="bormeter - Sonderboring inkl. lekkasjemåling, avh. av antall hull, her antas 4" sqref="J28 J26" xr:uid="{5937BD97-E8C2-498E-9DB7-BCE2DF73C75A}"/>
    <dataValidation allowBlank="1" showInputMessage="1" showErrorMessage="1" promptTitle="Seismikk" prompt="Ventetid - Time for time, inngår i ventetid" sqref="J32" xr:uid="{21FE3900-C598-41A0-B1D5-05B041ED1B88}"/>
    <dataValidation type="decimal" operator="greaterThanOrEqual" allowBlank="1" showErrorMessage="1" errorTitle="Oops!" error="Bare tall (≥ 0) er tillatt." sqref="X26 AF26 AF28 X28 X32 AF32 AF42 X42 X44 X46 AF46 AF44 AN42 AN44 AN46 AV46 AV44 AV42 AV32 AV28 AV26 AN26 AN28 AN32 BD26 BD28 BD32 BD42 BD44 BD46 BL46 BL44 BL42 BL32 BL28 BL26 BT26 BT28 BT32 BT42 BT44 BT46 BT53 CB46 CB44 CB42 CB32 CB28 CB26 CJ26 CJ28 CJ32 CJ42 CJ44 CJ46 CJ53 CJ55 CJ57 CB57 CB55 CB53 BT55 BT57 BL57 BL55 BL53 BD53 BD55 BD57 AV57 AV55 AV53 AN53 AN55 AN57 AF57 AF55 AF53 X53 X55 X57" xr:uid="{9D8195C0-A71B-42E9-AEBD-1C6C581D9FEC}">
      <formula1>0</formula1>
    </dataValidation>
    <dataValidation allowBlank="1" showInputMessage="1" showErrorMessage="1" promptTitle="Boring (behovsprøvd)" prompt="Omfatter boring av injeksjons- og kontrollhull. Alle injeksjonshull bores og pakkes før injeksjon starter." sqref="J44" xr:uid="{9CC77F20-192D-4F69-B9DB-89D6E1F341D1}"/>
    <dataValidation allowBlank="1" showInputMessage="1" showErrorMessage="1" promptTitle="Opp- og nedrigging (behovsprøvd)" prompt="Inkluderer herdetid på 60 minutter før boring av kontrollhull eller salveboring kan starte. 1 stk tilsvarer opp- og nedrigging for 1 injeksjonsskjerm." sqref="J42" xr:uid="{C4B9486D-8AD3-4683-AE03-59FCFB981636}"/>
  </dataValidations>
  <printOptions horizontalCentered="1" verticalCentered="1"/>
  <pageMargins left="0.23622047244094491" right="0.23622047244094491" top="0.74803149606299213" bottom="0.74803149606299213" header="0.31496062992125984" footer="0.31496062992125984"/>
  <pageSetup paperSize="8" scale="46" orientation="landscape" r:id="rId1"/>
  <extLst>
    <ext xmlns:x14="http://schemas.microsoft.com/office/spreadsheetml/2009/9/main" uri="{78C0D931-6437-407d-A8EE-F0AAD7539E65}">
      <x14:conditionalFormattings>
        <x14:conditionalFormatting xmlns:xm="http://schemas.microsoft.com/office/excel/2006/main">
          <x14:cfRule type="expression" priority="51" stopIfTrue="1" id="{7427FC98-79BF-4721-A1C8-ECF12E14DEFC}">
            <xm:f>_Calcs!$NO$54&lt;2</xm:f>
            <x14:dxf>
              <font>
                <color theme="0"/>
              </font>
              <fill>
                <patternFill>
                  <bgColor theme="0"/>
                </patternFill>
              </fill>
              <border>
                <left/>
                <right/>
                <top/>
                <bottom/>
                <vertical/>
                <horizontal/>
              </border>
            </x14:dxf>
          </x14:cfRule>
          <xm:sqref>AE1:AL1048576</xm:sqref>
        </x14:conditionalFormatting>
        <x14:conditionalFormatting xmlns:xm="http://schemas.microsoft.com/office/excel/2006/main">
          <x14:cfRule type="expression" priority="7843" id="{906712CE-8CA8-422E-B706-249F5F403B26}">
            <xm:f>_Calcs!$NO$54&lt;2</xm:f>
            <x14:dxf>
              <border>
                <left/>
                <right/>
                <top/>
                <bottom/>
                <vertical/>
                <horizontal/>
              </border>
            </x14:dxf>
          </x14:cfRule>
          <xm:sqref>AD1:AD1048576</xm:sqref>
        </x14:conditionalFormatting>
        <x14:conditionalFormatting xmlns:xm="http://schemas.microsoft.com/office/excel/2006/main">
          <x14:cfRule type="expression" priority="9" stopIfTrue="1" id="{E6A59ACB-3242-4FDE-9FB5-51CD52867B2A}">
            <xm:f>_Calcs!$NO$54&lt;9</xm:f>
            <x14:dxf>
              <font>
                <color theme="0"/>
              </font>
              <fill>
                <patternFill>
                  <bgColor theme="0"/>
                </patternFill>
              </fill>
              <border>
                <left/>
                <right/>
                <top/>
                <bottom/>
                <vertical/>
                <horizontal/>
              </border>
            </x14:dxf>
          </x14:cfRule>
          <xm:sqref>CI1:CP1048576</xm:sqref>
        </x14:conditionalFormatting>
        <x14:conditionalFormatting xmlns:xm="http://schemas.microsoft.com/office/excel/2006/main">
          <x14:cfRule type="expression" priority="7848" id="{7B3AE1FC-FEE1-4966-A68C-C6B18A497929}">
            <xm:f>_Calcs!$NO$54&lt;9</xm:f>
            <x14:dxf>
              <border>
                <left/>
                <right/>
                <top/>
                <bottom/>
                <vertical/>
                <horizontal/>
              </border>
            </x14:dxf>
          </x14:cfRule>
          <xm:sqref>CH1:CH1048576</xm:sqref>
        </x14:conditionalFormatting>
        <x14:conditionalFormatting xmlns:xm="http://schemas.microsoft.com/office/excel/2006/main">
          <x14:cfRule type="expression" priority="15" stopIfTrue="1" id="{22B9182E-4052-44B9-A965-2BBD098CD39E}">
            <xm:f>_Calcs!$NO$54&lt;8</xm:f>
            <x14:dxf>
              <font>
                <color theme="0"/>
              </font>
              <fill>
                <patternFill>
                  <bgColor theme="0"/>
                </patternFill>
              </fill>
              <border>
                <left/>
                <right/>
                <top/>
                <bottom/>
                <vertical/>
                <horizontal/>
              </border>
            </x14:dxf>
          </x14:cfRule>
          <xm:sqref>CA1:CH1048576</xm:sqref>
        </x14:conditionalFormatting>
        <x14:conditionalFormatting xmlns:xm="http://schemas.microsoft.com/office/excel/2006/main">
          <x14:cfRule type="expression" priority="7853" id="{72018855-3A48-401D-97E0-6C7950727D59}">
            <xm:f>_Calcs!$NO$54&lt;8</xm:f>
            <x14:dxf>
              <border>
                <left/>
                <right/>
                <top/>
                <bottom/>
                <vertical/>
                <horizontal/>
              </border>
            </x14:dxf>
          </x14:cfRule>
          <xm:sqref>BZ1:BZ1048576</xm:sqref>
        </x14:conditionalFormatting>
        <x14:conditionalFormatting xmlns:xm="http://schemas.microsoft.com/office/excel/2006/main">
          <x14:cfRule type="expression" priority="21" stopIfTrue="1" id="{6AFA48BC-B015-46A2-9BD6-DE570F7F4CBC}">
            <xm:f>_Calcs!$NO$54&lt;7</xm:f>
            <x14:dxf>
              <font>
                <color theme="0"/>
              </font>
              <fill>
                <patternFill>
                  <bgColor theme="0"/>
                </patternFill>
              </fill>
              <border>
                <left/>
                <right/>
                <top/>
                <bottom/>
                <vertical/>
                <horizontal/>
              </border>
            </x14:dxf>
          </x14:cfRule>
          <xm:sqref>BS1:BZ1048576</xm:sqref>
        </x14:conditionalFormatting>
        <x14:conditionalFormatting xmlns:xm="http://schemas.microsoft.com/office/excel/2006/main">
          <x14:cfRule type="expression" priority="7858" id="{EF6E0C2B-2601-4AF8-811E-BC2F58955F86}">
            <xm:f>_Calcs!$NO$54&lt;7</xm:f>
            <x14:dxf>
              <border>
                <left/>
                <right/>
                <top/>
                <bottom/>
                <vertical/>
                <horizontal/>
              </border>
            </x14:dxf>
          </x14:cfRule>
          <xm:sqref>BR1:BR1048576</xm:sqref>
        </x14:conditionalFormatting>
        <x14:conditionalFormatting xmlns:xm="http://schemas.microsoft.com/office/excel/2006/main">
          <x14:cfRule type="expression" priority="27" stopIfTrue="1" id="{4970B24D-0228-457D-A2FA-D5136F046C02}">
            <xm:f>_Calcs!$NO$54&lt;6</xm:f>
            <x14:dxf>
              <font>
                <color theme="0"/>
              </font>
              <fill>
                <patternFill>
                  <bgColor theme="0"/>
                </patternFill>
              </fill>
              <border>
                <left/>
                <right/>
                <top/>
                <bottom/>
                <vertical/>
                <horizontal/>
              </border>
            </x14:dxf>
          </x14:cfRule>
          <xm:sqref>BK1:BR1048576</xm:sqref>
        </x14:conditionalFormatting>
        <x14:conditionalFormatting xmlns:xm="http://schemas.microsoft.com/office/excel/2006/main">
          <x14:cfRule type="expression" priority="7863" id="{DEEF4E9E-C68F-4685-9CBB-95F250C74957}">
            <xm:f>_Calcs!$NO$54&lt;6</xm:f>
            <x14:dxf>
              <border>
                <left/>
                <right/>
                <top/>
                <bottom/>
                <vertical/>
                <horizontal/>
              </border>
            </x14:dxf>
          </x14:cfRule>
          <xm:sqref>BJ1:BJ1048576</xm:sqref>
        </x14:conditionalFormatting>
        <x14:conditionalFormatting xmlns:xm="http://schemas.microsoft.com/office/excel/2006/main">
          <x14:cfRule type="expression" priority="33" stopIfTrue="1" id="{A990D190-C306-4B26-90F9-17A40238D601}">
            <xm:f>_Calcs!$NO$54&lt;5</xm:f>
            <x14:dxf>
              <font>
                <color theme="0"/>
              </font>
              <fill>
                <patternFill>
                  <bgColor theme="0"/>
                </patternFill>
              </fill>
              <border>
                <left/>
                <right/>
                <top/>
                <bottom/>
                <vertical/>
                <horizontal/>
              </border>
            </x14:dxf>
          </x14:cfRule>
          <xm:sqref>BC1:BJ1048576</xm:sqref>
        </x14:conditionalFormatting>
        <x14:conditionalFormatting xmlns:xm="http://schemas.microsoft.com/office/excel/2006/main">
          <x14:cfRule type="expression" priority="7868" id="{D33BB26B-9C1B-42C5-A4FA-3E33F48A9058}">
            <xm:f>_Calcs!$NO$54&lt;5</xm:f>
            <x14:dxf>
              <border>
                <left/>
                <right/>
                <top/>
                <bottom/>
                <vertical/>
                <horizontal/>
              </border>
            </x14:dxf>
          </x14:cfRule>
          <xm:sqref>BB1:BB1048576</xm:sqref>
        </x14:conditionalFormatting>
        <x14:conditionalFormatting xmlns:xm="http://schemas.microsoft.com/office/excel/2006/main">
          <x14:cfRule type="expression" priority="39" stopIfTrue="1" id="{624FD56F-4888-48D4-AD1F-49446D57C80E}">
            <xm:f>_Calcs!$NO$54&lt;4</xm:f>
            <x14:dxf>
              <font>
                <color theme="0"/>
              </font>
              <fill>
                <patternFill>
                  <bgColor theme="0"/>
                </patternFill>
              </fill>
              <border>
                <left/>
                <right/>
                <top/>
                <bottom/>
                <vertical/>
                <horizontal/>
              </border>
            </x14:dxf>
          </x14:cfRule>
          <xm:sqref>AU1:BB1048576</xm:sqref>
        </x14:conditionalFormatting>
        <x14:conditionalFormatting xmlns:xm="http://schemas.microsoft.com/office/excel/2006/main">
          <x14:cfRule type="expression" priority="7873" id="{7328C9DE-AA1E-4716-9ED7-56DFA37E2E06}">
            <xm:f>_Calcs!$NO$54&lt;4</xm:f>
            <x14:dxf>
              <border>
                <left/>
                <right/>
                <top/>
                <bottom/>
                <vertical/>
                <horizontal/>
              </border>
            </x14:dxf>
          </x14:cfRule>
          <xm:sqref>AT1:AT1048576</xm:sqref>
        </x14:conditionalFormatting>
        <x14:conditionalFormatting xmlns:xm="http://schemas.microsoft.com/office/excel/2006/main">
          <x14:cfRule type="expression" priority="45" stopIfTrue="1" id="{AC1E8380-A053-458D-ADFB-B76EDBE7EC30}">
            <xm:f>_Calcs!$NO$54&lt;3</xm:f>
            <x14:dxf>
              <font>
                <color theme="0"/>
              </font>
              <fill>
                <patternFill>
                  <bgColor theme="0"/>
                </patternFill>
              </fill>
              <border>
                <left/>
                <right/>
                <top/>
                <bottom/>
                <vertical/>
                <horizontal/>
              </border>
            </x14:dxf>
          </x14:cfRule>
          <xm:sqref>AM1:AT1048576</xm:sqref>
        </x14:conditionalFormatting>
        <x14:conditionalFormatting xmlns:xm="http://schemas.microsoft.com/office/excel/2006/main">
          <x14:cfRule type="expression" priority="7878" id="{93430FFB-44DB-4EAE-915E-96952D37DB5D}">
            <xm:f>_Calcs!$NO$54&lt;3</xm:f>
            <x14:dxf>
              <border>
                <left/>
                <right/>
                <top/>
                <bottom/>
                <vertical/>
                <horizontal/>
              </border>
            </x14:dxf>
          </x14:cfRule>
          <xm:sqref>AL1:AL1048576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6FA1-A9A6-4F8A-BA2D-31DA5776B162}">
  <sheetPr codeName="Sheet10">
    <tabColor rgb="FF60A4D2"/>
    <pageSetUpPr fitToPage="1"/>
  </sheetPr>
  <dimension ref="A1:FI89"/>
  <sheetViews>
    <sheetView showGridLines="0" showRowColHeaders="0" zoomScale="70" zoomScaleNormal="70" workbookViewId="0"/>
  </sheetViews>
  <sheetFormatPr defaultColWidth="0" defaultRowHeight="14.25" zeroHeight="1" x14ac:dyDescent="0.2"/>
  <cols>
    <col min="1" max="2" width="3.625" style="20" customWidth="1"/>
    <col min="3" max="3" width="30.125" style="16" customWidth="1"/>
    <col min="4" max="5" width="3.625" style="20" customWidth="1"/>
    <col min="6" max="6" width="17.625" style="17" customWidth="1"/>
    <col min="7" max="7" width="8.125" style="136" customWidth="1"/>
    <col min="8" max="8" width="9.375" style="136" customWidth="1"/>
    <col min="9" max="9" width="3.375" style="136" customWidth="1"/>
    <col min="10" max="10" width="4.875" style="16" customWidth="1"/>
    <col min="11" max="11" width="0.875" style="16" hidden="1" customWidth="1"/>
    <col min="12" max="12" width="2.75" style="16" hidden="1" customWidth="1"/>
    <col min="13" max="13" width="1.625" style="16" hidden="1" customWidth="1"/>
    <col min="14" max="14" width="0.875" style="137" customWidth="1"/>
    <col min="15" max="15" width="6.625" style="17" customWidth="1"/>
    <col min="16" max="16" width="2.625" style="16" customWidth="1"/>
    <col min="17" max="17" width="3.625" style="16" customWidth="1"/>
    <col min="18" max="18" width="3.625" style="70" customWidth="1"/>
    <col min="19" max="19" width="16.625" style="114" customWidth="1"/>
    <col min="20" max="21" width="3.625" style="70" customWidth="1"/>
    <col min="22" max="23" width="1.625" style="16" customWidth="1"/>
    <col min="24" max="24" width="16.625" style="36" customWidth="1"/>
    <col min="25" max="25" width="1.625" style="16" customWidth="1"/>
    <col min="26" max="26" width="2.625" style="138" customWidth="1"/>
    <col min="27" max="27" width="0.875" style="138" customWidth="1"/>
    <col min="28" max="28" width="0.875" style="137" customWidth="1"/>
    <col min="29" max="29" width="3.625" style="70" customWidth="1"/>
    <col min="30" max="31" width="1.625" style="16" customWidth="1"/>
    <col min="32" max="32" width="16.625" style="36" customWidth="1"/>
    <col min="33" max="33" width="1.625" style="16" customWidth="1"/>
    <col min="34" max="34" width="2.625" style="138" customWidth="1"/>
    <col min="35" max="35" width="0.875" style="138" customWidth="1"/>
    <col min="36" max="36" width="0.875" style="137" customWidth="1"/>
    <col min="37" max="37" width="3.625" style="70" customWidth="1"/>
    <col min="38" max="39" width="1.625" style="16" customWidth="1"/>
    <col min="40" max="40" width="16.625" style="36" customWidth="1"/>
    <col min="41" max="41" width="1.625" style="16" customWidth="1"/>
    <col min="42" max="42" width="2.625" style="138" customWidth="1"/>
    <col min="43" max="43" width="0.875" style="138" customWidth="1"/>
    <col min="44" max="44" width="0.875" style="137" customWidth="1"/>
    <col min="45" max="45" width="3.625" style="70" customWidth="1"/>
    <col min="46" max="47" width="1.625" style="16" customWidth="1"/>
    <col min="48" max="48" width="16.625" style="36" customWidth="1"/>
    <col min="49" max="49" width="1.625" style="16" customWidth="1"/>
    <col min="50" max="50" width="2.625" style="138" customWidth="1"/>
    <col min="51" max="51" width="0.875" style="138" customWidth="1"/>
    <col min="52" max="52" width="0.875" style="137" customWidth="1"/>
    <col min="53" max="53" width="3.625" style="70" customWidth="1"/>
    <col min="54" max="55" width="1.625" style="16" customWidth="1"/>
    <col min="56" max="56" width="16.625" style="36" customWidth="1"/>
    <col min="57" max="57" width="1.625" style="16" customWidth="1"/>
    <col min="58" max="58" width="2.625" style="138" customWidth="1"/>
    <col min="59" max="59" width="0.875" style="138" customWidth="1"/>
    <col min="60" max="60" width="0.875" style="137" customWidth="1"/>
    <col min="61" max="61" width="3.625" style="70" customWidth="1"/>
    <col min="62" max="63" width="1.625" style="16" customWidth="1"/>
    <col min="64" max="64" width="16.625" style="36" customWidth="1"/>
    <col min="65" max="65" width="1.625" style="16" customWidth="1"/>
    <col min="66" max="66" width="2.625" style="138" customWidth="1"/>
    <col min="67" max="67" width="0.875" style="138" customWidth="1"/>
    <col min="68" max="68" width="0.875" style="137" customWidth="1"/>
    <col min="69" max="69" width="3.625" style="70" customWidth="1"/>
    <col min="70" max="71" width="1.625" style="16" customWidth="1"/>
    <col min="72" max="72" width="16.625" style="36" customWidth="1"/>
    <col min="73" max="73" width="1.625" style="16" customWidth="1"/>
    <col min="74" max="74" width="2.625" style="138" customWidth="1"/>
    <col min="75" max="75" width="0.875" style="138" customWidth="1"/>
    <col min="76" max="76" width="0.875" style="137" customWidth="1"/>
    <col min="77" max="77" width="3.625" style="70" customWidth="1"/>
    <col min="78" max="79" width="1.625" style="16" customWidth="1"/>
    <col min="80" max="80" width="16.625" style="36" customWidth="1"/>
    <col min="81" max="81" width="1.625" style="16" customWidth="1"/>
    <col min="82" max="82" width="2.625" style="138" customWidth="1"/>
    <col min="83" max="83" width="0.875" style="138" customWidth="1"/>
    <col min="84" max="84" width="0.875" style="137" customWidth="1"/>
    <col min="85" max="85" width="3.625" style="70" customWidth="1"/>
    <col min="86" max="87" width="1.625" style="16" customWidth="1"/>
    <col min="88" max="88" width="16.625" style="36" customWidth="1"/>
    <col min="89" max="89" width="1.625" style="16" customWidth="1"/>
    <col min="90" max="90" width="2.625" style="138" customWidth="1"/>
    <col min="91" max="91" width="0.875" style="138" customWidth="1"/>
    <col min="92" max="92" width="0.875" style="137" customWidth="1"/>
    <col min="93" max="93" width="3.625" style="70" customWidth="1"/>
    <col min="94" max="94" width="1.625" style="138" customWidth="1"/>
    <col min="95" max="96" width="3.625" style="70" customWidth="1"/>
    <col min="97" max="97" width="3.5" style="70" hidden="1" customWidth="1"/>
    <col min="98" max="98" width="10.25" style="70" hidden="1" customWidth="1"/>
    <col min="99" max="99" width="15.125" style="70" hidden="1" customWidth="1"/>
    <col min="100" max="117" width="10.25" style="70" hidden="1" customWidth="1"/>
    <col min="118" max="128" width="3.5" style="70" hidden="1" customWidth="1"/>
    <col min="129" max="129" width="2.875" style="70" hidden="1" customWidth="1"/>
    <col min="130" max="131" width="3.625" style="137" hidden="1" customWidth="1"/>
    <col min="132" max="132" width="25.375" style="147" hidden="1" customWidth="1"/>
    <col min="133" max="133" width="3.625" style="16" hidden="1" customWidth="1"/>
    <col min="134" max="16384" width="9" style="136" hidden="1"/>
  </cols>
  <sheetData>
    <row r="1" spans="1:165" ht="50.1" customHeight="1" x14ac:dyDescent="0.2">
      <c r="D1" s="13"/>
      <c r="R1" s="21"/>
      <c r="S1" s="191"/>
      <c r="T1" s="21"/>
      <c r="U1" s="21"/>
      <c r="AC1" s="21"/>
      <c r="AK1" s="21"/>
      <c r="AS1" s="21"/>
      <c r="BA1" s="21"/>
      <c r="BI1" s="21"/>
      <c r="BQ1" s="21"/>
      <c r="BY1" s="21"/>
      <c r="CG1" s="21"/>
      <c r="CO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13"/>
      <c r="EB1" s="139" t="s">
        <v>155</v>
      </c>
      <c r="EC1" s="140"/>
      <c r="ED1" s="3986"/>
      <c r="EE1" s="3986"/>
      <c r="EF1" s="3986"/>
    </row>
    <row r="2" spans="1:165" s="70" customFormat="1" ht="12" customHeight="1" x14ac:dyDescent="0.2">
      <c r="C2" s="920"/>
      <c r="D2" s="78"/>
      <c r="E2" s="1872"/>
      <c r="F2" s="921"/>
      <c r="G2" s="1873"/>
      <c r="H2" s="920"/>
      <c r="I2" s="920"/>
      <c r="J2" s="1874"/>
      <c r="K2" s="1875"/>
      <c r="L2" s="1873"/>
      <c r="M2" s="1873"/>
      <c r="N2" s="1873"/>
      <c r="O2" s="921"/>
      <c r="P2" s="1873"/>
      <c r="Q2" s="1873"/>
      <c r="R2" s="1873"/>
      <c r="S2" s="1873"/>
      <c r="T2" s="1873"/>
    </row>
    <row r="3" spans="1:165" s="70" customFormat="1" ht="5.0999999999999996" customHeight="1" x14ac:dyDescent="0.2">
      <c r="C3" s="16"/>
      <c r="D3" s="78"/>
      <c r="E3" s="20"/>
      <c r="F3" s="17"/>
      <c r="G3" s="136"/>
      <c r="H3" s="16"/>
      <c r="I3" s="16"/>
      <c r="J3" s="572"/>
      <c r="K3" s="36"/>
      <c r="L3" s="136"/>
      <c r="M3" s="136"/>
      <c r="N3" s="136"/>
      <c r="O3" s="17"/>
      <c r="P3" s="136"/>
      <c r="Q3" s="136"/>
      <c r="R3" s="136"/>
      <c r="S3" s="136"/>
      <c r="T3" s="136"/>
    </row>
    <row r="4" spans="1:165" s="70" customFormat="1" ht="5.0999999999999996" customHeight="1" x14ac:dyDescent="0.2">
      <c r="C4" s="920"/>
      <c r="D4" s="78"/>
      <c r="E4" s="1872"/>
      <c r="F4" s="921"/>
      <c r="G4" s="1873"/>
      <c r="H4" s="920"/>
      <c r="I4" s="920"/>
      <c r="J4" s="1874"/>
      <c r="K4" s="1875"/>
      <c r="L4" s="1873"/>
      <c r="M4" s="1873"/>
      <c r="N4" s="1873"/>
      <c r="O4" s="921"/>
      <c r="P4" s="1873"/>
      <c r="Q4" s="1873"/>
      <c r="R4" s="1873"/>
      <c r="S4" s="1873"/>
      <c r="T4" s="1873"/>
    </row>
    <row r="5" spans="1:165" s="21" customFormat="1" ht="30" customHeight="1" thickBot="1" x14ac:dyDescent="0.25">
      <c r="A5" s="20"/>
      <c r="B5" s="20"/>
      <c r="C5" s="13"/>
      <c r="D5" s="13"/>
      <c r="E5" s="14"/>
      <c r="F5" s="15"/>
      <c r="J5" s="16"/>
      <c r="K5" s="16"/>
      <c r="L5" s="16"/>
      <c r="M5" s="16"/>
      <c r="N5" s="50"/>
      <c r="O5" s="15"/>
      <c r="P5" s="16"/>
      <c r="Q5" s="16"/>
      <c r="S5" s="191"/>
      <c r="V5" s="16"/>
      <c r="W5" s="16"/>
      <c r="X5" s="22"/>
      <c r="Y5" s="16"/>
      <c r="Z5" s="19"/>
      <c r="AA5" s="19"/>
      <c r="AB5" s="50"/>
      <c r="AD5" s="16"/>
      <c r="AE5" s="16"/>
      <c r="AF5" s="22"/>
      <c r="AG5" s="16"/>
      <c r="AH5" s="19"/>
      <c r="AI5" s="19"/>
      <c r="AJ5" s="50"/>
      <c r="AL5" s="16"/>
      <c r="AM5" s="16"/>
      <c r="AN5" s="22"/>
      <c r="AO5" s="16"/>
      <c r="AP5" s="19"/>
      <c r="AQ5" s="19"/>
      <c r="AR5" s="50"/>
      <c r="AT5" s="16"/>
      <c r="AU5" s="16"/>
      <c r="AV5" s="22"/>
      <c r="AW5" s="16"/>
      <c r="AX5" s="19"/>
      <c r="AY5" s="19"/>
      <c r="AZ5" s="50"/>
      <c r="BB5" s="16"/>
      <c r="BC5" s="16"/>
      <c r="BD5" s="22"/>
      <c r="BE5" s="16"/>
      <c r="BF5" s="19"/>
      <c r="BG5" s="19"/>
      <c r="BH5" s="50"/>
      <c r="BJ5" s="16"/>
      <c r="BK5" s="16"/>
      <c r="BL5" s="22"/>
      <c r="BM5" s="16"/>
      <c r="BN5" s="19"/>
      <c r="BO5" s="19"/>
      <c r="BP5" s="50"/>
      <c r="BR5" s="16"/>
      <c r="BS5" s="16"/>
      <c r="BT5" s="22"/>
      <c r="BU5" s="16"/>
      <c r="BV5" s="19"/>
      <c r="BW5" s="19"/>
      <c r="BX5" s="50"/>
      <c r="BZ5" s="16"/>
      <c r="CA5" s="16"/>
      <c r="CB5" s="22"/>
      <c r="CC5" s="16"/>
      <c r="CD5" s="19"/>
      <c r="CE5" s="19"/>
      <c r="CF5" s="50"/>
      <c r="CH5" s="16"/>
      <c r="CI5" s="16"/>
      <c r="CJ5" s="22"/>
      <c r="CK5" s="16"/>
      <c r="CL5" s="19"/>
      <c r="CM5" s="19"/>
      <c r="CN5" s="50"/>
      <c r="CP5" s="138"/>
      <c r="DZ5" s="13"/>
      <c r="EA5" s="50"/>
      <c r="EB5" s="90"/>
      <c r="EC5" s="13"/>
    </row>
    <row r="6" spans="1:165" s="21" customFormat="1" ht="15" customHeight="1" thickBot="1" x14ac:dyDescent="0.25">
      <c r="A6" s="20"/>
      <c r="B6" s="20"/>
      <c r="C6" s="1107"/>
      <c r="D6" s="13"/>
      <c r="E6" s="6578"/>
      <c r="F6" s="6579"/>
      <c r="G6" s="6579"/>
      <c r="H6" s="6579"/>
      <c r="I6" s="6579"/>
      <c r="J6" s="6579"/>
      <c r="K6" s="6579"/>
      <c r="L6" s="6579"/>
      <c r="M6" s="6579"/>
      <c r="N6" s="6579"/>
      <c r="O6" s="6579"/>
      <c r="P6" s="6579"/>
      <c r="Q6" s="6579"/>
      <c r="R6" s="6579"/>
      <c r="S6" s="6579"/>
      <c r="T6" s="658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8"/>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row>
    <row r="7" spans="1:165" s="21" customFormat="1" ht="8.1" customHeight="1" thickBot="1" x14ac:dyDescent="0.25">
      <c r="A7" s="20"/>
      <c r="B7" s="20"/>
      <c r="C7" s="13"/>
      <c r="D7" s="13"/>
      <c r="E7" s="14"/>
      <c r="F7" s="15"/>
      <c r="H7" s="13"/>
      <c r="I7" s="13"/>
      <c r="J7" s="50"/>
      <c r="K7" s="15"/>
      <c r="L7" s="50"/>
      <c r="M7" s="50"/>
      <c r="N7" s="70"/>
      <c r="O7" s="15"/>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8"/>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row>
    <row r="8" spans="1:165" s="21" customFormat="1" ht="9.9499999999999993" customHeight="1" x14ac:dyDescent="0.2">
      <c r="A8" s="20"/>
      <c r="B8" s="20"/>
      <c r="C8" s="1458"/>
      <c r="D8" s="13"/>
      <c r="E8" s="553"/>
      <c r="F8" s="606"/>
      <c r="G8" s="554"/>
      <c r="H8" s="554"/>
      <c r="I8" s="554"/>
      <c r="J8" s="555"/>
      <c r="K8" s="555"/>
      <c r="L8" s="555"/>
      <c r="M8" s="555"/>
      <c r="N8" s="559"/>
      <c r="O8" s="606"/>
      <c r="P8" s="555"/>
      <c r="Q8" s="555"/>
      <c r="R8" s="555"/>
      <c r="S8" s="555"/>
      <c r="T8" s="958"/>
      <c r="V8" s="16"/>
      <c r="W8" s="16"/>
      <c r="X8" s="22"/>
      <c r="Y8" s="16"/>
      <c r="Z8" s="19"/>
      <c r="AA8" s="19"/>
      <c r="AB8" s="50"/>
      <c r="AD8" s="16"/>
      <c r="AE8" s="16"/>
      <c r="AF8" s="22"/>
      <c r="AG8" s="16"/>
      <c r="AH8" s="19"/>
      <c r="AI8" s="19"/>
      <c r="AJ8" s="50"/>
      <c r="AL8" s="16"/>
      <c r="AM8" s="16"/>
      <c r="AN8" s="22"/>
      <c r="AO8" s="16"/>
      <c r="AP8" s="19"/>
      <c r="AQ8" s="19"/>
      <c r="AR8" s="50"/>
      <c r="AT8" s="16"/>
      <c r="AU8" s="16"/>
      <c r="AV8" s="22"/>
      <c r="AW8" s="16"/>
      <c r="AX8" s="19"/>
      <c r="AY8" s="19"/>
      <c r="AZ8" s="50"/>
      <c r="BB8" s="16"/>
      <c r="BC8" s="16"/>
      <c r="BD8" s="22"/>
      <c r="BE8" s="16"/>
      <c r="BF8" s="19"/>
      <c r="BG8" s="19"/>
      <c r="BH8" s="50"/>
      <c r="BJ8" s="16"/>
      <c r="BK8" s="16"/>
      <c r="BL8" s="22"/>
      <c r="BM8" s="16"/>
      <c r="BN8" s="19"/>
      <c r="BO8" s="19"/>
      <c r="BP8" s="50"/>
      <c r="BR8" s="16"/>
      <c r="BS8" s="16"/>
      <c r="BT8" s="22"/>
      <c r="BU8" s="16"/>
      <c r="BV8" s="19"/>
      <c r="BW8" s="19"/>
      <c r="BX8" s="50"/>
      <c r="BZ8" s="16"/>
      <c r="CA8" s="16"/>
      <c r="CB8" s="22"/>
      <c r="CC8" s="16"/>
      <c r="CD8" s="19"/>
      <c r="CE8" s="19"/>
      <c r="CF8" s="50"/>
      <c r="CH8" s="16"/>
      <c r="CI8" s="16"/>
      <c r="CJ8" s="22"/>
      <c r="CK8" s="16"/>
      <c r="CL8" s="19"/>
      <c r="CM8" s="19"/>
      <c r="CN8" s="50"/>
      <c r="CP8" s="138"/>
      <c r="DZ8" s="13"/>
      <c r="EA8" s="50"/>
      <c r="EB8" s="90"/>
      <c r="EC8" s="13"/>
    </row>
    <row r="9" spans="1:165" s="15" customFormat="1" ht="39.950000000000003" customHeight="1" x14ac:dyDescent="0.2">
      <c r="A9" s="17"/>
      <c r="B9" s="17"/>
      <c r="C9" s="1845"/>
      <c r="E9" s="1846"/>
      <c r="F9" s="6342" t="str">
        <f>_Calcs!$K$28</f>
        <v>Sprengningsvolum</v>
      </c>
      <c r="G9" s="6342"/>
      <c r="H9" s="6342"/>
      <c r="I9" s="6342"/>
      <c r="J9" s="6342"/>
      <c r="K9" s="6342"/>
      <c r="L9" s="6342"/>
      <c r="M9" s="6342"/>
      <c r="N9" s="6342"/>
      <c r="O9" s="6342"/>
      <c r="P9" s="106"/>
      <c r="Q9" s="106"/>
      <c r="R9" s="106"/>
      <c r="S9" s="106"/>
      <c r="T9" s="1847"/>
      <c r="V9" s="17"/>
      <c r="W9" s="17"/>
      <c r="X9" s="18"/>
      <c r="Y9" s="17"/>
      <c r="Z9" s="1848"/>
      <c r="AA9" s="1848"/>
      <c r="AB9" s="1849"/>
      <c r="AD9" s="17"/>
      <c r="AE9" s="17"/>
      <c r="AF9" s="18"/>
      <c r="AG9" s="17"/>
      <c r="AH9" s="1848"/>
      <c r="AI9" s="1848"/>
      <c r="AJ9" s="1849"/>
      <c r="AL9" s="17"/>
      <c r="AM9" s="17"/>
      <c r="AN9" s="18"/>
      <c r="AO9" s="17"/>
      <c r="AP9" s="1848"/>
      <c r="AQ9" s="1848"/>
      <c r="AR9" s="1849"/>
      <c r="AT9" s="17"/>
      <c r="AU9" s="17"/>
      <c r="AV9" s="18"/>
      <c r="AW9" s="17"/>
      <c r="AX9" s="1848"/>
      <c r="AY9" s="1848"/>
      <c r="AZ9" s="1849"/>
      <c r="BB9" s="17"/>
      <c r="BC9" s="17"/>
      <c r="BD9" s="18"/>
      <c r="BE9" s="17"/>
      <c r="BF9" s="1848"/>
      <c r="BG9" s="1848"/>
      <c r="BH9" s="1849"/>
      <c r="BJ9" s="17"/>
      <c r="BK9" s="17"/>
      <c r="BL9" s="18"/>
      <c r="BM9" s="17"/>
      <c r="BN9" s="1848"/>
      <c r="BO9" s="1848"/>
      <c r="BP9" s="1849"/>
      <c r="BR9" s="17"/>
      <c r="BS9" s="17"/>
      <c r="BT9" s="18"/>
      <c r="BU9" s="17"/>
      <c r="BV9" s="1848"/>
      <c r="BW9" s="1848"/>
      <c r="BX9" s="1849"/>
      <c r="BZ9" s="17"/>
      <c r="CA9" s="17"/>
      <c r="CB9" s="18"/>
      <c r="CC9" s="17"/>
      <c r="CD9" s="1848"/>
      <c r="CE9" s="1848"/>
      <c r="CF9" s="1849"/>
      <c r="CH9" s="17"/>
      <c r="CI9" s="17"/>
      <c r="CJ9" s="18"/>
      <c r="CK9" s="17"/>
      <c r="CL9" s="1848"/>
      <c r="CM9" s="1848"/>
      <c r="CN9" s="1849"/>
      <c r="CP9" s="1850"/>
    </row>
    <row r="10" spans="1:165" s="21" customFormat="1" ht="9.9499999999999993" customHeight="1" thickBot="1" x14ac:dyDescent="0.25">
      <c r="A10" s="20"/>
      <c r="B10" s="20"/>
      <c r="C10" s="1357"/>
      <c r="D10" s="13"/>
      <c r="E10" s="561"/>
      <c r="F10" s="3915"/>
      <c r="G10" s="1844"/>
      <c r="H10" s="1844"/>
      <c r="I10" s="1844"/>
      <c r="J10" s="1844"/>
      <c r="K10" s="1844"/>
      <c r="L10" s="1844"/>
      <c r="M10" s="1844"/>
      <c r="N10" s="1844"/>
      <c r="O10" s="3915"/>
      <c r="P10" s="107"/>
      <c r="Q10" s="107"/>
      <c r="R10" s="107"/>
      <c r="S10" s="107"/>
      <c r="T10" s="959"/>
      <c r="V10" s="16"/>
      <c r="W10" s="16"/>
      <c r="X10" s="22"/>
      <c r="Y10" s="16"/>
      <c r="Z10" s="19"/>
      <c r="AA10" s="19"/>
      <c r="AB10" s="50"/>
      <c r="AD10" s="16"/>
      <c r="AE10" s="16"/>
      <c r="AF10" s="22"/>
      <c r="AG10" s="16"/>
      <c r="AH10" s="19"/>
      <c r="AI10" s="19"/>
      <c r="AJ10" s="50"/>
      <c r="AL10" s="16"/>
      <c r="AM10" s="16"/>
      <c r="AN10" s="22"/>
      <c r="AO10" s="16"/>
      <c r="AP10" s="19"/>
      <c r="AQ10" s="19"/>
      <c r="AR10" s="50"/>
      <c r="AT10" s="16"/>
      <c r="AU10" s="16"/>
      <c r="AV10" s="22"/>
      <c r="AW10" s="16"/>
      <c r="AX10" s="19"/>
      <c r="AY10" s="19"/>
      <c r="AZ10" s="50"/>
      <c r="BB10" s="16"/>
      <c r="BC10" s="16"/>
      <c r="BD10" s="22"/>
      <c r="BE10" s="16"/>
      <c r="BF10" s="19"/>
      <c r="BG10" s="19"/>
      <c r="BH10" s="50"/>
      <c r="BJ10" s="16"/>
      <c r="BK10" s="16"/>
      <c r="BL10" s="22"/>
      <c r="BM10" s="16"/>
      <c r="BN10" s="19"/>
      <c r="BO10" s="19"/>
      <c r="BP10" s="50"/>
      <c r="BR10" s="16"/>
      <c r="BS10" s="16"/>
      <c r="BT10" s="22"/>
      <c r="BU10" s="16"/>
      <c r="BV10" s="19"/>
      <c r="BW10" s="19"/>
      <c r="BX10" s="50"/>
      <c r="BZ10" s="16"/>
      <c r="CA10" s="16"/>
      <c r="CB10" s="22"/>
      <c r="CC10" s="16"/>
      <c r="CD10" s="19"/>
      <c r="CE10" s="19"/>
      <c r="CF10" s="50"/>
      <c r="CH10" s="16"/>
      <c r="CI10" s="16"/>
      <c r="CJ10" s="22"/>
      <c r="CK10" s="16"/>
      <c r="CL10" s="19"/>
      <c r="CM10" s="19"/>
      <c r="CN10" s="50"/>
      <c r="CP10" s="138"/>
      <c r="CU10" s="14"/>
      <c r="DY10" s="70"/>
      <c r="DZ10" s="70"/>
      <c r="EA10" s="70"/>
      <c r="EB10" s="70"/>
      <c r="EC10" s="70"/>
      <c r="ED10" s="70"/>
      <c r="EE10" s="70"/>
      <c r="EF10" s="70"/>
      <c r="EG10" s="70"/>
      <c r="EH10" s="70"/>
    </row>
    <row r="11" spans="1:165" s="21" customFormat="1" ht="39.950000000000003" customHeight="1" thickBot="1" x14ac:dyDescent="0.25">
      <c r="A11" s="20"/>
      <c r="B11" s="20"/>
      <c r="C11" s="1357"/>
      <c r="D11" s="13"/>
      <c r="E11" s="561"/>
      <c r="F11" s="6559" t="s">
        <v>826</v>
      </c>
      <c r="G11" s="6560"/>
      <c r="H11" s="2318"/>
      <c r="I11" s="2318"/>
      <c r="J11" s="2318"/>
      <c r="K11" s="2319"/>
      <c r="L11" s="2321"/>
      <c r="M11" s="2321"/>
      <c r="N11" s="2320"/>
      <c r="O11" s="2317"/>
      <c r="P11" s="2320"/>
      <c r="Q11" s="2320"/>
      <c r="R11" s="2320"/>
      <c r="S11" s="1459"/>
      <c r="T11" s="2280"/>
    </row>
    <row r="12" spans="1:165" s="21" customFormat="1" ht="15" customHeight="1" thickBot="1" x14ac:dyDescent="0.25">
      <c r="A12" s="20"/>
      <c r="B12" s="20"/>
      <c r="C12" s="1357"/>
      <c r="D12" s="13"/>
      <c r="E12" s="563"/>
      <c r="F12" s="1552"/>
      <c r="G12" s="564"/>
      <c r="H12" s="564"/>
      <c r="I12" s="564"/>
      <c r="J12" s="565"/>
      <c r="K12" s="565"/>
      <c r="L12" s="565"/>
      <c r="M12" s="565"/>
      <c r="N12" s="569"/>
      <c r="O12" s="1552"/>
      <c r="P12" s="565"/>
      <c r="Q12" s="565"/>
      <c r="R12" s="565"/>
      <c r="S12" s="565"/>
      <c r="T12" s="961"/>
      <c r="V12" s="16"/>
      <c r="W12" s="16"/>
      <c r="X12" s="22"/>
      <c r="Y12" s="16"/>
      <c r="Z12" s="19"/>
      <c r="AA12" s="19"/>
      <c r="AB12" s="50"/>
      <c r="AD12" s="16"/>
      <c r="AE12" s="16"/>
      <c r="AF12" s="22"/>
      <c r="AG12" s="16"/>
      <c r="AH12" s="19"/>
      <c r="AI12" s="19"/>
      <c r="AJ12" s="50"/>
      <c r="AL12" s="16"/>
      <c r="AM12" s="16"/>
      <c r="AN12" s="22"/>
      <c r="AO12" s="16"/>
      <c r="AP12" s="19"/>
      <c r="AQ12" s="19"/>
      <c r="AR12" s="50"/>
      <c r="AT12" s="16"/>
      <c r="AU12" s="16"/>
      <c r="AV12" s="22"/>
      <c r="AW12" s="16"/>
      <c r="AX12" s="19"/>
      <c r="AY12" s="19"/>
      <c r="AZ12" s="50"/>
      <c r="BB12" s="16"/>
      <c r="BC12" s="16"/>
      <c r="BD12" s="22"/>
      <c r="BE12" s="16"/>
      <c r="BF12" s="19"/>
      <c r="BG12" s="19"/>
      <c r="BH12" s="50"/>
      <c r="BJ12" s="16"/>
      <c r="BK12" s="16"/>
      <c r="BL12" s="22"/>
      <c r="BM12" s="16"/>
      <c r="BN12" s="19"/>
      <c r="BO12" s="19"/>
      <c r="BP12" s="50"/>
      <c r="BR12" s="16"/>
      <c r="BS12" s="16"/>
      <c r="BT12" s="22"/>
      <c r="BU12" s="16"/>
      <c r="BV12" s="19"/>
      <c r="BW12" s="19"/>
      <c r="BX12" s="50"/>
      <c r="BZ12" s="16"/>
      <c r="CA12" s="16"/>
      <c r="CB12" s="22"/>
      <c r="CC12" s="16"/>
      <c r="CD12" s="19"/>
      <c r="CE12" s="19"/>
      <c r="CF12" s="50"/>
      <c r="CH12" s="16"/>
      <c r="CI12" s="16"/>
      <c r="CJ12" s="22"/>
      <c r="CK12" s="16"/>
      <c r="CL12" s="19"/>
      <c r="CM12" s="19"/>
      <c r="CN12" s="50"/>
      <c r="CP12" s="138"/>
      <c r="CU12" s="14"/>
      <c r="DY12" s="70"/>
      <c r="DZ12" s="70"/>
      <c r="EA12" s="70"/>
      <c r="EB12" s="70"/>
      <c r="EC12" s="70"/>
      <c r="ED12" s="70"/>
      <c r="EE12" s="70"/>
      <c r="EF12" s="70"/>
      <c r="EG12" s="70"/>
      <c r="EH12" s="70"/>
    </row>
    <row r="13" spans="1:165" s="21" customFormat="1" ht="15" customHeight="1" thickBot="1" x14ac:dyDescent="0.25">
      <c r="A13" s="20"/>
      <c r="B13" s="20"/>
      <c r="C13" s="1357"/>
      <c r="D13" s="13"/>
      <c r="E13" s="20"/>
      <c r="F13" s="17"/>
      <c r="G13" s="136"/>
      <c r="H13" s="136"/>
      <c r="I13" s="136"/>
      <c r="J13" s="16"/>
      <c r="K13" s="16"/>
      <c r="L13" s="16"/>
      <c r="M13" s="16"/>
      <c r="N13" s="137"/>
      <c r="O13" s="17"/>
      <c r="P13" s="16"/>
      <c r="Q13" s="16"/>
      <c r="R13" s="16"/>
      <c r="S13" s="16"/>
      <c r="T13" s="16"/>
      <c r="V13" s="16"/>
      <c r="W13" s="16"/>
      <c r="X13" s="22"/>
      <c r="Y13" s="16"/>
      <c r="Z13" s="19"/>
      <c r="AA13" s="19"/>
      <c r="AB13" s="50"/>
      <c r="AD13" s="16"/>
      <c r="AE13" s="16"/>
      <c r="AF13" s="22"/>
      <c r="AG13" s="16"/>
      <c r="AH13" s="19"/>
      <c r="AI13" s="19"/>
      <c r="AJ13" s="50"/>
      <c r="AL13" s="16"/>
      <c r="AM13" s="16"/>
      <c r="AN13" s="22"/>
      <c r="AO13" s="16"/>
      <c r="AP13" s="19"/>
      <c r="AQ13" s="19"/>
      <c r="AR13" s="50"/>
      <c r="AT13" s="16"/>
      <c r="AU13" s="16"/>
      <c r="AV13" s="22"/>
      <c r="AW13" s="16"/>
      <c r="AX13" s="19"/>
      <c r="AY13" s="19"/>
      <c r="AZ13" s="50"/>
      <c r="BB13" s="16"/>
      <c r="BC13" s="16"/>
      <c r="BD13" s="22"/>
      <c r="BE13" s="16"/>
      <c r="BF13" s="19"/>
      <c r="BG13" s="19"/>
      <c r="BH13" s="50"/>
      <c r="BJ13" s="16"/>
      <c r="BK13" s="16"/>
      <c r="BL13" s="22"/>
      <c r="BM13" s="16"/>
      <c r="BN13" s="19"/>
      <c r="BO13" s="19"/>
      <c r="BP13" s="50"/>
      <c r="BR13" s="16"/>
      <c r="BS13" s="16"/>
      <c r="BT13" s="22"/>
      <c r="BU13" s="16"/>
      <c r="BV13" s="19"/>
      <c r="BW13" s="19"/>
      <c r="BX13" s="50"/>
      <c r="BZ13" s="16"/>
      <c r="CA13" s="16"/>
      <c r="CB13" s="22"/>
      <c r="CC13" s="16"/>
      <c r="CD13" s="19"/>
      <c r="CE13" s="19"/>
      <c r="CF13" s="50"/>
      <c r="CH13" s="16"/>
      <c r="CI13" s="16"/>
      <c r="CJ13" s="22"/>
      <c r="CK13" s="16"/>
      <c r="CL13" s="19"/>
      <c r="CM13" s="19"/>
      <c r="CN13" s="50"/>
      <c r="CP13" s="138"/>
      <c r="CU13" s="14"/>
      <c r="DY13" s="70"/>
      <c r="DZ13" s="70"/>
      <c r="EA13" s="70"/>
      <c r="EB13" s="70"/>
      <c r="EC13" s="70"/>
      <c r="ED13" s="70"/>
      <c r="EE13" s="70"/>
      <c r="EF13" s="70"/>
      <c r="EG13" s="70"/>
      <c r="EH13" s="70"/>
    </row>
    <row r="14" spans="1:165" s="21" customFormat="1" ht="15" customHeight="1" thickBot="1" x14ac:dyDescent="0.25">
      <c r="A14" s="20"/>
      <c r="B14" s="20"/>
      <c r="C14" s="1357"/>
      <c r="D14" s="13"/>
      <c r="E14" s="1359"/>
      <c r="F14" s="1379"/>
      <c r="G14" s="1360"/>
      <c r="H14" s="1360"/>
      <c r="I14" s="1360"/>
      <c r="J14" s="1361"/>
      <c r="K14" s="1361"/>
      <c r="L14" s="1361"/>
      <c r="M14" s="1361"/>
      <c r="N14" s="1362"/>
      <c r="O14" s="1379"/>
      <c r="P14" s="1361"/>
      <c r="Q14" s="1361"/>
      <c r="R14" s="1361"/>
      <c r="S14" s="1361"/>
      <c r="T14" s="1364"/>
      <c r="V14" s="16"/>
      <c r="W14" s="16"/>
      <c r="X14" s="22"/>
      <c r="Y14" s="16"/>
      <c r="Z14" s="19"/>
      <c r="AA14" s="19"/>
      <c r="AB14" s="50"/>
      <c r="AD14" s="16"/>
      <c r="AE14" s="16"/>
      <c r="AF14" s="22"/>
      <c r="AG14" s="16"/>
      <c r="AH14" s="19"/>
      <c r="AI14" s="19"/>
      <c r="AJ14" s="50"/>
      <c r="AL14" s="16"/>
      <c r="AM14" s="16"/>
      <c r="AN14" s="22"/>
      <c r="AO14" s="16"/>
      <c r="AP14" s="19"/>
      <c r="AQ14" s="19"/>
      <c r="AR14" s="50"/>
      <c r="AT14" s="16"/>
      <c r="AU14" s="16"/>
      <c r="AV14" s="22"/>
      <c r="AW14" s="16"/>
      <c r="AX14" s="19"/>
      <c r="AY14" s="19"/>
      <c r="AZ14" s="50"/>
      <c r="BB14" s="16"/>
      <c r="BC14" s="16"/>
      <c r="BD14" s="22"/>
      <c r="BE14" s="16"/>
      <c r="BF14" s="19"/>
      <c r="BG14" s="19"/>
      <c r="BH14" s="50"/>
      <c r="BJ14" s="16"/>
      <c r="BK14" s="16"/>
      <c r="BL14" s="22"/>
      <c r="BM14" s="16"/>
      <c r="BN14" s="19"/>
      <c r="BO14" s="19"/>
      <c r="BP14" s="50"/>
      <c r="BR14" s="16"/>
      <c r="BS14" s="16"/>
      <c r="BT14" s="22"/>
      <c r="BU14" s="16"/>
      <c r="BV14" s="19"/>
      <c r="BW14" s="19"/>
      <c r="BX14" s="50"/>
      <c r="BZ14" s="16"/>
      <c r="CA14" s="16"/>
      <c r="CB14" s="22"/>
      <c r="CC14" s="16"/>
      <c r="CD14" s="19"/>
      <c r="CE14" s="19"/>
      <c r="CF14" s="50"/>
      <c r="CH14" s="16"/>
      <c r="CI14" s="16"/>
      <c r="CJ14" s="22"/>
      <c r="CK14" s="16"/>
      <c r="CL14" s="19"/>
      <c r="CM14" s="19"/>
      <c r="CN14" s="50"/>
      <c r="CP14" s="138"/>
      <c r="CU14" s="14"/>
      <c r="DY14" s="70"/>
      <c r="DZ14" s="70"/>
      <c r="EA14" s="70"/>
      <c r="EB14" s="70"/>
      <c r="EC14" s="70"/>
      <c r="ED14" s="70"/>
      <c r="EE14" s="70"/>
      <c r="EF14" s="70"/>
      <c r="EG14" s="70"/>
      <c r="EH14" s="70"/>
    </row>
    <row r="15" spans="1:165" s="21" customFormat="1" ht="30" customHeight="1" thickBot="1" x14ac:dyDescent="0.25">
      <c r="A15" s="20"/>
      <c r="B15" s="20"/>
      <c r="C15" s="1357"/>
      <c r="D15" s="13"/>
      <c r="E15" s="1365"/>
      <c r="F15" s="1376" t="str">
        <f>Tunneldrift!$M$125</f>
        <v>Fordeling av mengder</v>
      </c>
      <c r="G15" s="1568"/>
      <c r="H15" s="6574" t="str">
        <f>Tunneldrift!$F$125</f>
        <v>Brukerdefinert</v>
      </c>
      <c r="I15" s="6575"/>
      <c r="J15" s="6575"/>
      <c r="K15" s="6575"/>
      <c r="L15" s="6575"/>
      <c r="M15" s="6575"/>
      <c r="N15" s="6575"/>
      <c r="O15" s="6576"/>
      <c r="P15" s="1367"/>
      <c r="Q15" s="1367"/>
      <c r="R15" s="1367"/>
      <c r="S15" s="1367"/>
      <c r="T15" s="1369"/>
      <c r="V15" s="16"/>
      <c r="W15" s="16"/>
      <c r="X15" s="22"/>
      <c r="Y15" s="16"/>
      <c r="Z15" s="19"/>
      <c r="AA15" s="19"/>
      <c r="AB15" s="50"/>
      <c r="AD15" s="16"/>
      <c r="AE15" s="16"/>
      <c r="AF15" s="22"/>
      <c r="AG15" s="16"/>
      <c r="AH15" s="19"/>
      <c r="AI15" s="19"/>
      <c r="AJ15" s="50"/>
      <c r="AL15" s="16"/>
      <c r="AM15" s="16"/>
      <c r="AN15" s="22"/>
      <c r="AO15" s="16"/>
      <c r="AP15" s="19"/>
      <c r="AQ15" s="19"/>
      <c r="AR15" s="50"/>
      <c r="AT15" s="16"/>
      <c r="AU15" s="16"/>
      <c r="AV15" s="22"/>
      <c r="AW15" s="16"/>
      <c r="AX15" s="19"/>
      <c r="AY15" s="19"/>
      <c r="AZ15" s="50"/>
      <c r="BB15" s="16"/>
      <c r="BC15" s="16"/>
      <c r="BD15" s="22"/>
      <c r="BE15" s="16"/>
      <c r="BF15" s="19"/>
      <c r="BG15" s="19"/>
      <c r="BH15" s="50"/>
      <c r="BJ15" s="16"/>
      <c r="BK15" s="16"/>
      <c r="BL15" s="22"/>
      <c r="BM15" s="16"/>
      <c r="BN15" s="19"/>
      <c r="BO15" s="19"/>
      <c r="BP15" s="50"/>
      <c r="BR15" s="16"/>
      <c r="BS15" s="16"/>
      <c r="BT15" s="22"/>
      <c r="BU15" s="16"/>
      <c r="BV15" s="19"/>
      <c r="BW15" s="19"/>
      <c r="BX15" s="50"/>
      <c r="BZ15" s="16"/>
      <c r="CA15" s="16"/>
      <c r="CB15" s="22"/>
      <c r="CC15" s="16"/>
      <c r="CD15" s="19"/>
      <c r="CE15" s="19"/>
      <c r="CF15" s="50"/>
      <c r="CH15" s="16"/>
      <c r="CI15" s="16"/>
      <c r="CJ15" s="22"/>
      <c r="CK15" s="16"/>
      <c r="CL15" s="19"/>
      <c r="CM15" s="19"/>
      <c r="CN15" s="50"/>
      <c r="CP15" s="138"/>
      <c r="CU15" s="14"/>
      <c r="DY15" s="70"/>
      <c r="DZ15" s="70"/>
      <c r="EA15" s="70"/>
      <c r="EB15" s="70"/>
      <c r="EC15" s="70"/>
      <c r="ED15" s="70"/>
      <c r="EE15" s="70"/>
      <c r="EF15" s="70"/>
      <c r="EG15" s="70"/>
      <c r="EH15" s="70"/>
    </row>
    <row r="16" spans="1:165" s="21" customFormat="1" ht="15" customHeight="1" thickBot="1" x14ac:dyDescent="0.25">
      <c r="A16" s="20"/>
      <c r="B16" s="20"/>
      <c r="C16" s="1358"/>
      <c r="D16" s="13"/>
      <c r="E16" s="4060"/>
      <c r="F16" s="2003"/>
      <c r="G16" s="4061"/>
      <c r="H16" s="4061"/>
      <c r="I16" s="4061"/>
      <c r="J16" s="4061"/>
      <c r="K16" s="4061"/>
      <c r="L16" s="1372"/>
      <c r="M16" s="1372"/>
      <c r="N16" s="1373"/>
      <c r="O16" s="2003"/>
      <c r="P16" s="1372"/>
      <c r="Q16" s="1372"/>
      <c r="R16" s="1372"/>
      <c r="S16" s="1372"/>
      <c r="T16" s="1375"/>
      <c r="V16" s="16"/>
      <c r="W16" s="16"/>
      <c r="X16" s="22"/>
      <c r="Y16" s="16"/>
      <c r="Z16" s="19"/>
      <c r="AA16" s="19"/>
      <c r="AB16" s="50"/>
      <c r="AD16" s="16"/>
      <c r="AE16" s="16"/>
      <c r="AF16" s="22"/>
      <c r="AG16" s="16"/>
      <c r="AH16" s="19"/>
      <c r="AI16" s="19"/>
      <c r="AJ16" s="50"/>
      <c r="AL16" s="16"/>
      <c r="AM16" s="16"/>
      <c r="AN16" s="22"/>
      <c r="AO16" s="16"/>
      <c r="AP16" s="19"/>
      <c r="AQ16" s="19"/>
      <c r="AR16" s="50"/>
      <c r="AT16" s="16"/>
      <c r="AU16" s="16"/>
      <c r="AV16" s="22"/>
      <c r="AW16" s="16"/>
      <c r="AX16" s="19"/>
      <c r="AY16" s="19"/>
      <c r="AZ16" s="50"/>
      <c r="BB16" s="16"/>
      <c r="BC16" s="16"/>
      <c r="BD16" s="22"/>
      <c r="BE16" s="16"/>
      <c r="BF16" s="19"/>
      <c r="BG16" s="19"/>
      <c r="BH16" s="50"/>
      <c r="BJ16" s="16"/>
      <c r="BK16" s="16"/>
      <c r="BL16" s="22"/>
      <c r="BM16" s="16"/>
      <c r="BN16" s="19"/>
      <c r="BO16" s="19"/>
      <c r="BP16" s="50"/>
      <c r="BR16" s="16"/>
      <c r="BS16" s="16"/>
      <c r="BT16" s="22"/>
      <c r="BU16" s="16"/>
      <c r="BV16" s="19"/>
      <c r="BW16" s="19"/>
      <c r="BX16" s="50"/>
      <c r="BZ16" s="16"/>
      <c r="CA16" s="16"/>
      <c r="CB16" s="22"/>
      <c r="CC16" s="16"/>
      <c r="CD16" s="19"/>
      <c r="CE16" s="19"/>
      <c r="CF16" s="50"/>
      <c r="CH16" s="16"/>
      <c r="CI16" s="16"/>
      <c r="CJ16" s="22"/>
      <c r="CK16" s="16"/>
      <c r="CL16" s="19"/>
      <c r="CM16" s="19"/>
      <c r="CN16" s="50"/>
      <c r="CP16" s="138"/>
      <c r="CU16" s="14"/>
      <c r="DY16" s="70"/>
      <c r="DZ16" s="70"/>
      <c r="EA16" s="70"/>
      <c r="EB16" s="70"/>
      <c r="EC16" s="70"/>
      <c r="ED16" s="70"/>
      <c r="EE16" s="70"/>
      <c r="EF16" s="70"/>
      <c r="EG16" s="70"/>
      <c r="EH16" s="70"/>
    </row>
    <row r="17" spans="1:145" s="21" customFormat="1" ht="24.95" customHeight="1" thickBot="1" x14ac:dyDescent="0.25">
      <c r="A17" s="25"/>
      <c r="B17" s="25"/>
      <c r="C17" s="13"/>
      <c r="D17" s="13"/>
      <c r="E17" s="14"/>
      <c r="F17" s="15"/>
      <c r="J17" s="16"/>
      <c r="K17" s="16"/>
      <c r="L17" s="16"/>
      <c r="M17" s="16"/>
      <c r="N17" s="50"/>
      <c r="O17" s="15"/>
      <c r="P17" s="16"/>
      <c r="Q17" s="16"/>
      <c r="S17" s="191"/>
      <c r="V17" s="16"/>
      <c r="W17" s="16"/>
      <c r="X17" s="22"/>
      <c r="Y17" s="16"/>
      <c r="Z17" s="19"/>
      <c r="AA17" s="19"/>
      <c r="AB17" s="50"/>
      <c r="AD17" s="16"/>
      <c r="AE17" s="16"/>
      <c r="AF17" s="22"/>
      <c r="AG17" s="16"/>
      <c r="AH17" s="19"/>
      <c r="AI17" s="19"/>
      <c r="AJ17" s="50"/>
      <c r="AL17" s="16"/>
      <c r="AM17" s="16"/>
      <c r="AN17" s="22"/>
      <c r="AO17" s="16"/>
      <c r="AP17" s="19"/>
      <c r="AQ17" s="19"/>
      <c r="AR17" s="50"/>
      <c r="AT17" s="16"/>
      <c r="AU17" s="16"/>
      <c r="AV17" s="22"/>
      <c r="AW17" s="16"/>
      <c r="AX17" s="19"/>
      <c r="AY17" s="19"/>
      <c r="AZ17" s="50"/>
      <c r="BB17" s="16"/>
      <c r="BC17" s="16"/>
      <c r="BD17" s="22"/>
      <c r="BE17" s="16"/>
      <c r="BF17" s="19"/>
      <c r="BG17" s="19"/>
      <c r="BH17" s="50"/>
      <c r="BJ17" s="16"/>
      <c r="BK17" s="16"/>
      <c r="BL17" s="22"/>
      <c r="BM17" s="16"/>
      <c r="BN17" s="19"/>
      <c r="BO17" s="19"/>
      <c r="BP17" s="50"/>
      <c r="BR17" s="16"/>
      <c r="BS17" s="16"/>
      <c r="BT17" s="22"/>
      <c r="BU17" s="16"/>
      <c r="BV17" s="19"/>
      <c r="BW17" s="19"/>
      <c r="BX17" s="50"/>
      <c r="BZ17" s="16"/>
      <c r="CA17" s="16"/>
      <c r="CB17" s="22"/>
      <c r="CC17" s="16"/>
      <c r="CD17" s="19"/>
      <c r="CE17" s="19"/>
      <c r="CF17" s="50"/>
      <c r="CH17" s="16"/>
      <c r="CI17" s="16"/>
      <c r="CJ17" s="22"/>
      <c r="CK17" s="16"/>
      <c r="CL17" s="19"/>
      <c r="CM17" s="19"/>
      <c r="CN17" s="50"/>
      <c r="CP17" s="138"/>
      <c r="DT17" s="70"/>
      <c r="DU17" s="70"/>
      <c r="DV17" s="70"/>
      <c r="DW17" s="70"/>
      <c r="DX17" s="70"/>
      <c r="DY17" s="70"/>
      <c r="EL17" s="70"/>
      <c r="EM17" s="70"/>
      <c r="EN17" s="70"/>
      <c r="EO17" s="70"/>
    </row>
    <row r="18" spans="1:145" s="13" customFormat="1" ht="39.950000000000003" customHeight="1" thickBot="1" x14ac:dyDescent="0.25">
      <c r="A18" s="38"/>
      <c r="B18" s="38"/>
      <c r="C18" s="1514"/>
      <c r="E18" s="1515"/>
      <c r="F18" s="1516"/>
      <c r="G18" s="1516"/>
      <c r="H18" s="1516"/>
      <c r="I18" s="1516"/>
      <c r="J18" s="1516"/>
      <c r="K18" s="1516"/>
      <c r="L18" s="1516"/>
      <c r="M18" s="1516"/>
      <c r="N18" s="1516"/>
      <c r="O18" s="1516"/>
      <c r="P18" s="1517"/>
      <c r="Q18" s="16"/>
      <c r="R18" s="6567" t="s">
        <v>641</v>
      </c>
      <c r="S18" s="6568"/>
      <c r="T18" s="6569"/>
      <c r="V18" s="2292"/>
      <c r="W18" s="6581" t="str">
        <f>_Calcs!$BC$125</f>
        <v>Stuff 1-1</v>
      </c>
      <c r="X18" s="6581"/>
      <c r="Y18" s="6581"/>
      <c r="Z18" s="6581"/>
      <c r="AA18" s="3920"/>
      <c r="AB18" s="2293"/>
      <c r="AD18" s="2292"/>
      <c r="AE18" s="6581" t="str">
        <f>_Calcs!$BD$125</f>
        <v/>
      </c>
      <c r="AF18" s="6581"/>
      <c r="AG18" s="6581"/>
      <c r="AH18" s="6581"/>
      <c r="AI18" s="3920"/>
      <c r="AJ18" s="2293"/>
      <c r="AL18" s="2292"/>
      <c r="AM18" s="6581" t="str">
        <f>_Calcs!$BE$125</f>
        <v/>
      </c>
      <c r="AN18" s="6581"/>
      <c r="AO18" s="6581"/>
      <c r="AP18" s="6581"/>
      <c r="AQ18" s="3920"/>
      <c r="AR18" s="2293"/>
      <c r="AT18" s="2292"/>
      <c r="AU18" s="6581" t="str">
        <f>_Calcs!$BF$125</f>
        <v/>
      </c>
      <c r="AV18" s="6581"/>
      <c r="AW18" s="6581"/>
      <c r="AX18" s="6581"/>
      <c r="AY18" s="3920"/>
      <c r="AZ18" s="2293"/>
      <c r="BB18" s="2292"/>
      <c r="BC18" s="6581" t="str">
        <f>_Calcs!$BG$125</f>
        <v/>
      </c>
      <c r="BD18" s="6581"/>
      <c r="BE18" s="6581"/>
      <c r="BF18" s="6581"/>
      <c r="BG18" s="3920"/>
      <c r="BH18" s="2293"/>
      <c r="BJ18" s="2292"/>
      <c r="BK18" s="6581" t="str">
        <f>_Calcs!$BH$125</f>
        <v/>
      </c>
      <c r="BL18" s="6581"/>
      <c r="BM18" s="6581"/>
      <c r="BN18" s="6581"/>
      <c r="BO18" s="3920"/>
      <c r="BP18" s="2293"/>
      <c r="BR18" s="2292"/>
      <c r="BS18" s="6581" t="str">
        <f>_Calcs!$BI$125</f>
        <v/>
      </c>
      <c r="BT18" s="6581"/>
      <c r="BU18" s="6581"/>
      <c r="BV18" s="6581"/>
      <c r="BW18" s="3920"/>
      <c r="BX18" s="2293"/>
      <c r="BZ18" s="2292"/>
      <c r="CA18" s="6581" t="str">
        <f>_Calcs!$BJ$125</f>
        <v/>
      </c>
      <c r="CB18" s="6581"/>
      <c r="CC18" s="6581"/>
      <c r="CD18" s="6581"/>
      <c r="CE18" s="3920"/>
      <c r="CF18" s="2293"/>
      <c r="CH18" s="2292"/>
      <c r="CI18" s="6581" t="str">
        <f>_Calcs!$BK$125</f>
        <v/>
      </c>
      <c r="CJ18" s="6581"/>
      <c r="CK18" s="6581"/>
      <c r="CL18" s="6581"/>
      <c r="CM18" s="3920"/>
      <c r="CN18" s="2293"/>
      <c r="CP18" s="971"/>
      <c r="DT18" s="2000"/>
      <c r="DU18" s="2000"/>
      <c r="DV18" s="2000"/>
      <c r="DW18" s="2000"/>
      <c r="DX18" s="2000"/>
      <c r="DY18" s="2000"/>
      <c r="EL18" s="2000"/>
      <c r="EM18" s="2000"/>
      <c r="EN18" s="2000"/>
      <c r="EO18" s="2000"/>
    </row>
    <row r="19" spans="1:145" s="21" customFormat="1" ht="24.95" customHeight="1" thickBot="1" x14ac:dyDescent="0.25">
      <c r="A19" s="25"/>
      <c r="B19" s="25"/>
      <c r="C19" s="227"/>
      <c r="D19" s="13"/>
      <c r="E19" s="17"/>
      <c r="F19" s="129"/>
      <c r="G19" s="129"/>
      <c r="H19" s="129"/>
      <c r="I19" s="129"/>
      <c r="J19" s="17"/>
      <c r="K19" s="17"/>
      <c r="L19" s="17"/>
      <c r="M19" s="17"/>
      <c r="N19" s="17"/>
      <c r="O19" s="17"/>
      <c r="P19" s="17"/>
      <c r="Q19" s="17"/>
      <c r="R19" s="114"/>
      <c r="S19" s="228"/>
      <c r="T19" s="228"/>
      <c r="V19" s="17"/>
      <c r="W19" s="17"/>
      <c r="X19" s="228"/>
      <c r="Y19" s="228"/>
      <c r="Z19" s="228"/>
      <c r="AA19" s="228"/>
      <c r="AB19" s="17"/>
      <c r="AD19" s="17"/>
      <c r="AE19" s="17"/>
      <c r="AF19" s="228"/>
      <c r="AG19" s="228"/>
      <c r="AH19" s="228"/>
      <c r="AI19" s="228"/>
      <c r="AJ19" s="17"/>
      <c r="AL19" s="17"/>
      <c r="AM19" s="17"/>
      <c r="AN19" s="228"/>
      <c r="AO19" s="228"/>
      <c r="AP19" s="228"/>
      <c r="AQ19" s="228"/>
      <c r="AR19" s="17"/>
      <c r="AT19" s="17"/>
      <c r="AU19" s="17"/>
      <c r="AV19" s="228"/>
      <c r="AW19" s="228"/>
      <c r="AX19" s="228"/>
      <c r="AY19" s="228"/>
      <c r="AZ19" s="17"/>
      <c r="BB19" s="17"/>
      <c r="BC19" s="17"/>
      <c r="BD19" s="228"/>
      <c r="BE19" s="228"/>
      <c r="BF19" s="228"/>
      <c r="BG19" s="228"/>
      <c r="BH19" s="17"/>
      <c r="BJ19" s="17"/>
      <c r="BK19" s="17"/>
      <c r="BL19" s="228"/>
      <c r="BM19" s="228"/>
      <c r="BN19" s="228"/>
      <c r="BO19" s="228"/>
      <c r="BP19" s="17"/>
      <c r="BR19" s="17"/>
      <c r="BS19" s="17"/>
      <c r="BT19" s="228"/>
      <c r="BU19" s="228"/>
      <c r="BV19" s="228"/>
      <c r="BW19" s="228"/>
      <c r="BX19" s="17"/>
      <c r="BZ19" s="17"/>
      <c r="CA19" s="17"/>
      <c r="CB19" s="228"/>
      <c r="CC19" s="228"/>
      <c r="CD19" s="228"/>
      <c r="CE19" s="228"/>
      <c r="CF19" s="17"/>
      <c r="CH19" s="17"/>
      <c r="CI19" s="17"/>
      <c r="CJ19" s="228"/>
      <c r="CK19" s="228"/>
      <c r="CL19" s="228"/>
      <c r="CM19" s="228"/>
      <c r="CN19" s="17"/>
      <c r="CP19" s="228"/>
      <c r="DT19" s="70"/>
      <c r="DU19" s="70"/>
      <c r="DV19" s="70"/>
      <c r="DW19" s="70"/>
      <c r="DX19" s="70"/>
      <c r="DY19" s="70"/>
      <c r="EL19" s="70"/>
      <c r="EM19" s="70"/>
      <c r="EN19" s="70"/>
      <c r="EO19" s="70"/>
    </row>
    <row r="20" spans="1:145" s="21" customFormat="1" ht="20.100000000000001" customHeight="1" thickBot="1" x14ac:dyDescent="0.25">
      <c r="A20" s="25"/>
      <c r="B20" s="25"/>
      <c r="C20" s="1060"/>
      <c r="D20" s="13"/>
      <c r="E20" s="1108"/>
      <c r="F20" s="1019"/>
      <c r="G20" s="1019"/>
      <c r="H20" s="1019"/>
      <c r="I20" s="1019"/>
      <c r="J20" s="3931" t="s">
        <v>131</v>
      </c>
      <c r="K20" s="3931"/>
      <c r="L20" s="1019" t="s">
        <v>154</v>
      </c>
      <c r="M20" s="3931"/>
      <c r="N20" s="1020"/>
      <c r="O20" s="1019" t="s">
        <v>100</v>
      </c>
      <c r="P20" s="3932"/>
      <c r="Q20" s="16"/>
      <c r="R20" s="1108"/>
      <c r="S20" s="1161"/>
      <c r="T20" s="1162"/>
      <c r="V20" s="1108"/>
      <c r="W20" s="1019"/>
      <c r="X20" s="3912" t="s">
        <v>73</v>
      </c>
      <c r="Y20" s="3931"/>
      <c r="Z20" s="1964"/>
      <c r="AA20" s="3931"/>
      <c r="AB20" s="1059"/>
      <c r="AD20" s="1108"/>
      <c r="AE20" s="1019"/>
      <c r="AF20" s="3912" t="s">
        <v>73</v>
      </c>
      <c r="AG20" s="3931"/>
      <c r="AH20" s="1964"/>
      <c r="AI20" s="3931"/>
      <c r="AJ20" s="1059"/>
      <c r="AL20" s="1108"/>
      <c r="AM20" s="1019"/>
      <c r="AN20" s="3912" t="s">
        <v>73</v>
      </c>
      <c r="AO20" s="3931"/>
      <c r="AP20" s="1964"/>
      <c r="AQ20" s="3931"/>
      <c r="AR20" s="1059"/>
      <c r="AT20" s="1108"/>
      <c r="AU20" s="1019"/>
      <c r="AV20" s="3912" t="s">
        <v>73</v>
      </c>
      <c r="AW20" s="3931"/>
      <c r="AX20" s="1964"/>
      <c r="AY20" s="3931"/>
      <c r="AZ20" s="1059"/>
      <c r="BB20" s="1108"/>
      <c r="BC20" s="1019"/>
      <c r="BD20" s="3912" t="s">
        <v>73</v>
      </c>
      <c r="BE20" s="3931"/>
      <c r="BF20" s="1964"/>
      <c r="BG20" s="3931"/>
      <c r="BH20" s="1059"/>
      <c r="BJ20" s="1108"/>
      <c r="BK20" s="1019"/>
      <c r="BL20" s="3912" t="s">
        <v>73</v>
      </c>
      <c r="BM20" s="3931"/>
      <c r="BN20" s="1964"/>
      <c r="BO20" s="3931"/>
      <c r="BP20" s="1059"/>
      <c r="BR20" s="1108"/>
      <c r="BS20" s="1019"/>
      <c r="BT20" s="3912" t="s">
        <v>73</v>
      </c>
      <c r="BU20" s="3931"/>
      <c r="BV20" s="1964"/>
      <c r="BW20" s="3931"/>
      <c r="BX20" s="1059"/>
      <c r="BZ20" s="1108"/>
      <c r="CA20" s="1019"/>
      <c r="CB20" s="3912" t="s">
        <v>73</v>
      </c>
      <c r="CC20" s="3931"/>
      <c r="CD20" s="1964"/>
      <c r="CE20" s="3931"/>
      <c r="CF20" s="1059"/>
      <c r="CH20" s="1108"/>
      <c r="CI20" s="1019"/>
      <c r="CJ20" s="3912" t="s">
        <v>73</v>
      </c>
      <c r="CK20" s="3931"/>
      <c r="CL20" s="1964"/>
      <c r="CM20" s="3931"/>
      <c r="CN20" s="1059"/>
      <c r="CP20" s="834"/>
    </row>
    <row r="21" spans="1:145" s="21" customFormat="1" ht="24.95" customHeight="1" thickBot="1" x14ac:dyDescent="0.25">
      <c r="A21" s="25"/>
      <c r="B21" s="25"/>
      <c r="C21" s="17"/>
      <c r="D21" s="13"/>
      <c r="E21" s="14"/>
      <c r="F21" s="15"/>
      <c r="G21" s="15"/>
      <c r="H21" s="15"/>
      <c r="I21" s="15"/>
      <c r="J21" s="16"/>
      <c r="K21" s="16"/>
      <c r="L21" s="16"/>
      <c r="M21" s="16"/>
      <c r="N21" s="50"/>
      <c r="O21" s="15"/>
      <c r="P21" s="16"/>
      <c r="Q21" s="16"/>
      <c r="R21" s="36"/>
      <c r="S21" s="36"/>
      <c r="T21" s="36"/>
      <c r="V21" s="16"/>
      <c r="W21" s="16"/>
      <c r="X21" s="22"/>
      <c r="Y21" s="16"/>
      <c r="Z21" s="19"/>
      <c r="AA21" s="19"/>
      <c r="AB21" s="50"/>
      <c r="AD21" s="16"/>
      <c r="AE21" s="16"/>
      <c r="AF21" s="22"/>
      <c r="AG21" s="16"/>
      <c r="AH21" s="19"/>
      <c r="AI21" s="19"/>
      <c r="AJ21" s="50"/>
      <c r="AL21" s="16"/>
      <c r="AM21" s="16"/>
      <c r="AN21" s="22"/>
      <c r="AO21" s="16"/>
      <c r="AP21" s="19"/>
      <c r="AQ21" s="19"/>
      <c r="AR21" s="50"/>
      <c r="AT21" s="16"/>
      <c r="AU21" s="16"/>
      <c r="AV21" s="22"/>
      <c r="AW21" s="16"/>
      <c r="AX21" s="19"/>
      <c r="AY21" s="19"/>
      <c r="AZ21" s="50"/>
      <c r="BB21" s="16"/>
      <c r="BC21" s="16"/>
      <c r="BD21" s="22"/>
      <c r="BE21" s="16"/>
      <c r="BF21" s="19"/>
      <c r="BG21" s="19"/>
      <c r="BH21" s="50"/>
      <c r="BJ21" s="16"/>
      <c r="BK21" s="16"/>
      <c r="BL21" s="22"/>
      <c r="BM21" s="16"/>
      <c r="BN21" s="19"/>
      <c r="BO21" s="19"/>
      <c r="BP21" s="50"/>
      <c r="BR21" s="16"/>
      <c r="BS21" s="16"/>
      <c r="BT21" s="22"/>
      <c r="BU21" s="16"/>
      <c r="BV21" s="19"/>
      <c r="BW21" s="19"/>
      <c r="BX21" s="50"/>
      <c r="BZ21" s="16"/>
      <c r="CA21" s="16"/>
      <c r="CB21" s="22"/>
      <c r="CC21" s="16"/>
      <c r="CD21" s="19"/>
      <c r="CE21" s="19"/>
      <c r="CF21" s="50"/>
      <c r="CH21" s="16"/>
      <c r="CI21" s="16"/>
      <c r="CJ21" s="22"/>
      <c r="CK21" s="16"/>
      <c r="CL21" s="19"/>
      <c r="CM21" s="19"/>
      <c r="CN21" s="50"/>
      <c r="CP21" s="138"/>
      <c r="CU21" s="191"/>
      <c r="CV21" s="191"/>
      <c r="CW21" s="191"/>
      <c r="CX21" s="191"/>
      <c r="CY21" s="191"/>
      <c r="CZ21" s="191"/>
      <c r="DA21" s="191"/>
      <c r="DB21" s="191"/>
      <c r="DC21" s="191"/>
      <c r="DD21" s="191"/>
      <c r="DE21" s="191"/>
      <c r="DT21" s="70"/>
      <c r="DU21" s="70"/>
      <c r="DW21" s="70"/>
      <c r="DX21" s="70"/>
      <c r="DY21" s="70"/>
      <c r="EL21" s="70"/>
      <c r="EM21" s="70"/>
      <c r="EN21" s="70"/>
      <c r="EO21" s="70"/>
    </row>
    <row r="22" spans="1:145" s="21" customFormat="1" ht="15" customHeight="1" thickBot="1" x14ac:dyDescent="0.25">
      <c r="A22" s="25"/>
      <c r="B22" s="25"/>
      <c r="C22" s="939"/>
      <c r="D22" s="13"/>
      <c r="E22" s="948"/>
      <c r="F22" s="6592" t="s">
        <v>1200</v>
      </c>
      <c r="G22" s="6592"/>
      <c r="H22" s="6592"/>
      <c r="I22" s="6592"/>
      <c r="J22" s="6592"/>
      <c r="K22" s="6592"/>
      <c r="L22" s="6592"/>
      <c r="M22" s="6592"/>
      <c r="N22" s="6592"/>
      <c r="O22" s="6592"/>
      <c r="P22" s="949"/>
      <c r="Q22" s="16"/>
      <c r="R22" s="36"/>
      <c r="S22" s="36"/>
      <c r="T22" s="36"/>
      <c r="V22" s="16"/>
      <c r="W22" s="16"/>
      <c r="X22" s="22"/>
      <c r="Y22" s="16"/>
      <c r="Z22" s="19"/>
      <c r="AA22" s="19"/>
      <c r="AB22" s="50"/>
      <c r="AD22" s="16"/>
      <c r="AE22" s="16"/>
      <c r="AF22" s="22"/>
      <c r="AG22" s="16"/>
      <c r="AH22" s="19"/>
      <c r="AI22" s="19"/>
      <c r="AJ22" s="50"/>
      <c r="AL22" s="16"/>
      <c r="AM22" s="16"/>
      <c r="AN22" s="22"/>
      <c r="AO22" s="16"/>
      <c r="AP22" s="19"/>
      <c r="AQ22" s="19"/>
      <c r="AR22" s="50"/>
      <c r="AT22" s="16"/>
      <c r="AU22" s="16"/>
      <c r="AV22" s="22"/>
      <c r="AW22" s="16"/>
      <c r="AX22" s="19"/>
      <c r="AY22" s="19"/>
      <c r="AZ22" s="50"/>
      <c r="BB22" s="16"/>
      <c r="BC22" s="16"/>
      <c r="BD22" s="22"/>
      <c r="BE22" s="16"/>
      <c r="BF22" s="19"/>
      <c r="BG22" s="19"/>
      <c r="BH22" s="50"/>
      <c r="BJ22" s="16"/>
      <c r="BK22" s="16"/>
      <c r="BL22" s="22"/>
      <c r="BM22" s="16"/>
      <c r="BN22" s="19"/>
      <c r="BO22" s="19"/>
      <c r="BP22" s="50"/>
      <c r="BR22" s="16"/>
      <c r="BS22" s="16"/>
      <c r="BT22" s="22"/>
      <c r="BU22" s="16"/>
      <c r="BV22" s="19"/>
      <c r="BW22" s="19"/>
      <c r="BX22" s="50"/>
      <c r="BZ22" s="16"/>
      <c r="CA22" s="16"/>
      <c r="CB22" s="22"/>
      <c r="CC22" s="16"/>
      <c r="CD22" s="19"/>
      <c r="CE22" s="19"/>
      <c r="CF22" s="50"/>
      <c r="CH22" s="16"/>
      <c r="CI22" s="16"/>
      <c r="CJ22" s="22"/>
      <c r="CK22" s="16"/>
      <c r="CL22" s="19"/>
      <c r="CM22" s="19"/>
      <c r="CN22" s="50"/>
      <c r="CP22" s="138"/>
      <c r="CU22" s="191"/>
      <c r="CV22" s="191"/>
      <c r="CW22" s="191"/>
      <c r="CX22" s="191"/>
      <c r="CY22" s="191"/>
      <c r="CZ22" s="191"/>
      <c r="DA22" s="191"/>
      <c r="DB22" s="191"/>
      <c r="DC22" s="191"/>
      <c r="DD22" s="191"/>
      <c r="DE22" s="191"/>
      <c r="DT22" s="70"/>
      <c r="DU22" s="70"/>
      <c r="DW22" s="70"/>
      <c r="DX22" s="70"/>
      <c r="DY22" s="70"/>
      <c r="EL22" s="70"/>
      <c r="EM22" s="70"/>
      <c r="EN22" s="70"/>
      <c r="EO22" s="70"/>
    </row>
    <row r="23" spans="1:145" s="21" customFormat="1" ht="15" customHeight="1" thickBot="1" x14ac:dyDescent="0.25">
      <c r="A23" s="25"/>
      <c r="B23" s="25"/>
      <c r="C23" s="6582" t="s">
        <v>296</v>
      </c>
      <c r="D23" s="13"/>
      <c r="E23" s="950"/>
      <c r="F23" s="6593"/>
      <c r="G23" s="6593"/>
      <c r="H23" s="6593"/>
      <c r="I23" s="6593"/>
      <c r="J23" s="6593"/>
      <c r="K23" s="6593"/>
      <c r="L23" s="6593"/>
      <c r="M23" s="6593"/>
      <c r="N23" s="6593"/>
      <c r="O23" s="6593"/>
      <c r="P23" s="951"/>
      <c r="Q23" s="16"/>
      <c r="R23" s="4062"/>
      <c r="S23" s="4063"/>
      <c r="T23" s="4064"/>
      <c r="U23" s="16"/>
      <c r="V23" s="969"/>
      <c r="W23" s="970"/>
      <c r="X23" s="725"/>
      <c r="Y23" s="970"/>
      <c r="Z23" s="1114"/>
      <c r="AA23" s="1114"/>
      <c r="AB23" s="1115"/>
      <c r="AC23" s="16"/>
      <c r="AD23" s="969"/>
      <c r="AE23" s="970"/>
      <c r="AF23" s="725"/>
      <c r="AG23" s="970"/>
      <c r="AH23" s="1114"/>
      <c r="AI23" s="1114"/>
      <c r="AJ23" s="1115"/>
      <c r="AK23" s="16"/>
      <c r="AL23" s="969"/>
      <c r="AM23" s="970"/>
      <c r="AN23" s="725"/>
      <c r="AO23" s="970"/>
      <c r="AP23" s="1114"/>
      <c r="AQ23" s="1114"/>
      <c r="AR23" s="1115"/>
      <c r="AS23" s="16"/>
      <c r="AT23" s="969"/>
      <c r="AU23" s="970"/>
      <c r="AV23" s="725"/>
      <c r="AW23" s="970"/>
      <c r="AX23" s="1114"/>
      <c r="AY23" s="1114"/>
      <c r="AZ23" s="1115"/>
      <c r="BB23" s="969"/>
      <c r="BC23" s="970"/>
      <c r="BD23" s="725"/>
      <c r="BE23" s="970"/>
      <c r="BF23" s="1114"/>
      <c r="BG23" s="1114"/>
      <c r="BH23" s="1115"/>
      <c r="BI23" s="16"/>
      <c r="BJ23" s="969"/>
      <c r="BK23" s="970"/>
      <c r="BL23" s="725"/>
      <c r="BM23" s="970"/>
      <c r="BN23" s="1114"/>
      <c r="BO23" s="1114"/>
      <c r="BP23" s="1115"/>
      <c r="BQ23" s="16"/>
      <c r="BR23" s="969"/>
      <c r="BS23" s="970"/>
      <c r="BT23" s="725"/>
      <c r="BU23" s="970"/>
      <c r="BV23" s="1114"/>
      <c r="BW23" s="1114"/>
      <c r="BX23" s="1115"/>
      <c r="BY23" s="16"/>
      <c r="BZ23" s="969"/>
      <c r="CA23" s="970"/>
      <c r="CB23" s="725"/>
      <c r="CC23" s="970"/>
      <c r="CD23" s="1114"/>
      <c r="CE23" s="1114"/>
      <c r="CF23" s="1115"/>
      <c r="CH23" s="969"/>
      <c r="CI23" s="970"/>
      <c r="CJ23" s="725"/>
      <c r="CK23" s="970"/>
      <c r="CL23" s="1114"/>
      <c r="CM23" s="1114"/>
      <c r="CN23" s="1115"/>
      <c r="CP23" s="1167"/>
      <c r="CU23" s="191"/>
      <c r="CV23" s="191"/>
      <c r="CW23" s="191"/>
      <c r="CX23" s="191"/>
      <c r="CY23" s="191"/>
      <c r="CZ23" s="191"/>
      <c r="DA23" s="191"/>
      <c r="DB23" s="191"/>
      <c r="DC23" s="191"/>
      <c r="DD23" s="191"/>
      <c r="DE23" s="191"/>
      <c r="DT23" s="70"/>
      <c r="DU23" s="70"/>
      <c r="DW23" s="70"/>
      <c r="DX23" s="70"/>
      <c r="DY23" s="70"/>
      <c r="EL23" s="70"/>
      <c r="EM23" s="70"/>
      <c r="EN23" s="70"/>
      <c r="EO23" s="70"/>
    </row>
    <row r="24" spans="1:145" s="21" customFormat="1" ht="8.1" customHeight="1" thickBot="1" x14ac:dyDescent="0.25">
      <c r="A24" s="25"/>
      <c r="B24" s="25"/>
      <c r="C24" s="6582"/>
      <c r="D24" s="13"/>
      <c r="E24" s="20"/>
      <c r="F24" s="17"/>
      <c r="G24" s="17"/>
      <c r="H24" s="17"/>
      <c r="I24" s="17"/>
      <c r="J24" s="16"/>
      <c r="K24" s="16"/>
      <c r="L24" s="16"/>
      <c r="M24" s="16"/>
      <c r="N24" s="137"/>
      <c r="O24" s="17"/>
      <c r="P24" s="16"/>
      <c r="Q24" s="16"/>
      <c r="R24" s="36"/>
      <c r="S24" s="36"/>
      <c r="T24" s="36"/>
      <c r="V24" s="16"/>
      <c r="W24" s="16"/>
      <c r="X24" s="22"/>
      <c r="Y24" s="16"/>
      <c r="Z24" s="19"/>
      <c r="AA24" s="19"/>
      <c r="AB24" s="50"/>
      <c r="AD24" s="16"/>
      <c r="AE24" s="16"/>
      <c r="AF24" s="22"/>
      <c r="AG24" s="16"/>
      <c r="AH24" s="19"/>
      <c r="AI24" s="19"/>
      <c r="AJ24" s="50"/>
      <c r="AL24" s="16"/>
      <c r="AM24" s="16"/>
      <c r="AN24" s="22"/>
      <c r="AO24" s="16"/>
      <c r="AP24" s="19"/>
      <c r="AQ24" s="19"/>
      <c r="AR24" s="50"/>
      <c r="AT24" s="16"/>
      <c r="AU24" s="16"/>
      <c r="AV24" s="22"/>
      <c r="AW24" s="16"/>
      <c r="AX24" s="19"/>
      <c r="AY24" s="19"/>
      <c r="AZ24" s="50"/>
      <c r="BB24" s="16"/>
      <c r="BC24" s="16"/>
      <c r="BD24" s="22"/>
      <c r="BE24" s="16"/>
      <c r="BF24" s="19"/>
      <c r="BG24" s="19"/>
      <c r="BH24" s="50"/>
      <c r="BJ24" s="16"/>
      <c r="BK24" s="16"/>
      <c r="BL24" s="22"/>
      <c r="BM24" s="16"/>
      <c r="BN24" s="19"/>
      <c r="BO24" s="19"/>
      <c r="BP24" s="50"/>
      <c r="BR24" s="16"/>
      <c r="BS24" s="16"/>
      <c r="BT24" s="22"/>
      <c r="BU24" s="16"/>
      <c r="BV24" s="19"/>
      <c r="BW24" s="19"/>
      <c r="BX24" s="50"/>
      <c r="BZ24" s="16"/>
      <c r="CA24" s="16"/>
      <c r="CB24" s="22"/>
      <c r="CC24" s="16"/>
      <c r="CD24" s="19"/>
      <c r="CE24" s="19"/>
      <c r="CF24" s="50"/>
      <c r="CH24" s="16"/>
      <c r="CI24" s="16"/>
      <c r="CJ24" s="22"/>
      <c r="CK24" s="16"/>
      <c r="CL24" s="19"/>
      <c r="CM24" s="19"/>
      <c r="CN24" s="50"/>
      <c r="CP24" s="138"/>
      <c r="CU24" s="191"/>
      <c r="CV24" s="191"/>
      <c r="CW24" s="191"/>
      <c r="CX24" s="191"/>
      <c r="CY24" s="191"/>
      <c r="CZ24" s="191"/>
      <c r="DA24" s="191"/>
      <c r="DB24" s="191"/>
      <c r="DC24" s="191"/>
      <c r="DD24" s="191"/>
      <c r="DE24" s="191"/>
      <c r="DT24" s="70"/>
      <c r="DU24" s="70"/>
      <c r="DW24" s="70"/>
      <c r="DX24" s="70"/>
      <c r="DY24" s="70"/>
      <c r="EL24" s="70"/>
      <c r="EM24" s="70"/>
      <c r="EN24" s="70"/>
      <c r="EO24" s="70"/>
    </row>
    <row r="25" spans="1:145" s="21" customFormat="1" ht="15" customHeight="1" thickBot="1" x14ac:dyDescent="0.25">
      <c r="A25" s="25"/>
      <c r="B25" s="25"/>
      <c r="C25" s="6582"/>
      <c r="D25" s="13"/>
      <c r="E25" s="1133"/>
      <c r="F25" s="1090"/>
      <c r="G25" s="1090"/>
      <c r="H25" s="1090"/>
      <c r="I25" s="1090"/>
      <c r="J25" s="1088"/>
      <c r="K25" s="1088"/>
      <c r="L25" s="1088"/>
      <c r="M25" s="1088"/>
      <c r="N25" s="1134"/>
      <c r="O25" s="1090"/>
      <c r="P25" s="1092"/>
      <c r="Q25" s="16"/>
      <c r="R25" s="4065"/>
      <c r="S25" s="4066"/>
      <c r="T25" s="4067"/>
      <c r="V25" s="1087"/>
      <c r="W25" s="1088"/>
      <c r="X25" s="1089"/>
      <c r="Y25" s="1088"/>
      <c r="Z25" s="1091"/>
      <c r="AA25" s="1091"/>
      <c r="AB25" s="1116"/>
      <c r="AD25" s="1087"/>
      <c r="AE25" s="1088"/>
      <c r="AF25" s="1089"/>
      <c r="AG25" s="1088"/>
      <c r="AH25" s="1091"/>
      <c r="AI25" s="1091"/>
      <c r="AJ25" s="1116"/>
      <c r="AL25" s="1087"/>
      <c r="AM25" s="1088"/>
      <c r="AN25" s="1089"/>
      <c r="AO25" s="1088"/>
      <c r="AP25" s="1091"/>
      <c r="AQ25" s="1091"/>
      <c r="AR25" s="1116"/>
      <c r="AT25" s="1087"/>
      <c r="AU25" s="1088"/>
      <c r="AV25" s="1089"/>
      <c r="AW25" s="1088"/>
      <c r="AX25" s="1091"/>
      <c r="AY25" s="1091"/>
      <c r="AZ25" s="1116"/>
      <c r="BB25" s="1087"/>
      <c r="BC25" s="1088"/>
      <c r="BD25" s="1089"/>
      <c r="BE25" s="1088"/>
      <c r="BF25" s="1091"/>
      <c r="BG25" s="1091"/>
      <c r="BH25" s="1116"/>
      <c r="BJ25" s="1087"/>
      <c r="BK25" s="1088"/>
      <c r="BL25" s="1089"/>
      <c r="BM25" s="1088"/>
      <c r="BN25" s="1091"/>
      <c r="BO25" s="1091"/>
      <c r="BP25" s="1116"/>
      <c r="BR25" s="1087"/>
      <c r="BS25" s="1088"/>
      <c r="BT25" s="1089"/>
      <c r="BU25" s="1088"/>
      <c r="BV25" s="1091"/>
      <c r="BW25" s="1091"/>
      <c r="BX25" s="1116"/>
      <c r="BZ25" s="1087"/>
      <c r="CA25" s="1088"/>
      <c r="CB25" s="1089"/>
      <c r="CC25" s="1088"/>
      <c r="CD25" s="1091"/>
      <c r="CE25" s="1091"/>
      <c r="CF25" s="1116"/>
      <c r="CH25" s="1087"/>
      <c r="CI25" s="1088"/>
      <c r="CJ25" s="1089"/>
      <c r="CK25" s="1088"/>
      <c r="CL25" s="1091"/>
      <c r="CM25" s="1091"/>
      <c r="CN25" s="1116"/>
      <c r="CP25" s="1168"/>
      <c r="CU25" s="191"/>
      <c r="CV25" s="191"/>
      <c r="CW25" s="191"/>
      <c r="CX25" s="191"/>
      <c r="CY25" s="191"/>
      <c r="CZ25" s="191"/>
      <c r="DA25" s="191"/>
      <c r="DB25" s="191"/>
      <c r="DC25" s="191"/>
      <c r="DD25" s="191"/>
      <c r="DE25" s="191"/>
      <c r="DT25" s="70"/>
      <c r="DU25" s="70"/>
      <c r="DW25" s="70"/>
      <c r="DX25" s="70"/>
      <c r="DY25" s="70"/>
      <c r="EL25" s="70"/>
      <c r="EM25" s="70"/>
      <c r="EN25" s="70"/>
      <c r="EO25" s="70"/>
    </row>
    <row r="26" spans="1:145" s="21" customFormat="1" ht="20.100000000000001" customHeight="1" thickBot="1" x14ac:dyDescent="0.25">
      <c r="A26" s="25"/>
      <c r="B26" s="25"/>
      <c r="C26" s="6582"/>
      <c r="D26" s="13"/>
      <c r="E26" s="1135"/>
      <c r="F26" s="6583" t="s">
        <v>2633</v>
      </c>
      <c r="G26" s="6583"/>
      <c r="H26" s="6583"/>
      <c r="I26" s="6583"/>
      <c r="J26" s="2281" t="s">
        <v>149</v>
      </c>
      <c r="K26" s="2281"/>
      <c r="L26" s="128"/>
      <c r="M26" s="128"/>
      <c r="N26" s="571"/>
      <c r="O26" s="1094" t="s">
        <v>86</v>
      </c>
      <c r="P26" s="1095"/>
      <c r="Q26" s="16"/>
      <c r="R26" s="4068"/>
      <c r="S26" s="2301">
        <f>_Calcs!$BD$192</f>
        <v>0</v>
      </c>
      <c r="T26" s="4069"/>
      <c r="V26" s="1093"/>
      <c r="W26" s="128"/>
      <c r="X26" s="2643">
        <f>IF(_Calcs!$BC$126&lt;=0,0,_Calcs!$BC$126)</f>
        <v>0</v>
      </c>
      <c r="Y26" s="128"/>
      <c r="Z26" s="30" t="str">
        <f>IF(_Calcs!$NO$389=1,"✓","!")</f>
        <v>!</v>
      </c>
      <c r="AA26" s="1132"/>
      <c r="AB26" s="1117"/>
      <c r="AD26" s="1093"/>
      <c r="AE26" s="128"/>
      <c r="AF26" s="2643">
        <f>IF(_Calcs!$BD$126&lt;=0,0,_Calcs!$BD$126)</f>
        <v>0</v>
      </c>
      <c r="AG26" s="128"/>
      <c r="AH26" s="30" t="e">
        <f>IF(_Calcs!$NP$389=1,"✓","!")</f>
        <v>#N/A</v>
      </c>
      <c r="AI26" s="1132"/>
      <c r="AJ26" s="1117"/>
      <c r="AL26" s="1093"/>
      <c r="AM26" s="128"/>
      <c r="AN26" s="2643">
        <f>IF(_Calcs!$BE$126&lt;=0,0,_Calcs!$BE$126)</f>
        <v>0</v>
      </c>
      <c r="AO26" s="128"/>
      <c r="AP26" s="30" t="e">
        <f>IF(_Calcs!$NQ$389=1,"✓","!")</f>
        <v>#N/A</v>
      </c>
      <c r="AQ26" s="1132"/>
      <c r="AR26" s="1117"/>
      <c r="AT26" s="1093"/>
      <c r="AU26" s="128"/>
      <c r="AV26" s="2643">
        <f>IF(_Calcs!$BF$126&lt;=0,0,_Calcs!$BF$126)</f>
        <v>0</v>
      </c>
      <c r="AW26" s="128"/>
      <c r="AX26" s="30" t="e">
        <f>IF(_Calcs!$NR$389=1,"✓","!")</f>
        <v>#N/A</v>
      </c>
      <c r="AY26" s="1132"/>
      <c r="AZ26" s="1117"/>
      <c r="BB26" s="1093"/>
      <c r="BC26" s="128"/>
      <c r="BD26" s="2643">
        <f>IF(_Calcs!$BG$126&lt;=0,0,_Calcs!$BG$126)</f>
        <v>0</v>
      </c>
      <c r="BE26" s="128"/>
      <c r="BF26" s="30" t="e">
        <f>IF(_Calcs!$NS$389=1,"✓","!")</f>
        <v>#N/A</v>
      </c>
      <c r="BG26" s="1132"/>
      <c r="BH26" s="1117"/>
      <c r="BJ26" s="1093"/>
      <c r="BK26" s="128"/>
      <c r="BL26" s="2643">
        <f>IF(_Calcs!$BH$126&lt;=0,0,_Calcs!$BH$126)</f>
        <v>0</v>
      </c>
      <c r="BM26" s="128"/>
      <c r="BN26" s="30" t="e">
        <f>IF(_Calcs!$NT$389=1,"✓","!")</f>
        <v>#N/A</v>
      </c>
      <c r="BO26" s="1132"/>
      <c r="BP26" s="1117"/>
      <c r="BR26" s="1093"/>
      <c r="BS26" s="128"/>
      <c r="BT26" s="2643">
        <f>IF(_Calcs!$BI$126&lt;=0,0,_Calcs!$BI$126)</f>
        <v>0</v>
      </c>
      <c r="BU26" s="128"/>
      <c r="BV26" s="30" t="e">
        <f>IF(_Calcs!$NU$389=1,"✓","!")</f>
        <v>#N/A</v>
      </c>
      <c r="BW26" s="1132"/>
      <c r="BX26" s="1117"/>
      <c r="BZ26" s="1093"/>
      <c r="CA26" s="128"/>
      <c r="CB26" s="2643">
        <f>IF(_Calcs!$BJ$126&lt;=0,0,_Calcs!$BJ$126)</f>
        <v>0</v>
      </c>
      <c r="CC26" s="128"/>
      <c r="CD26" s="30" t="e">
        <f>IF(_Calcs!$NV$389=1,"✓","!")</f>
        <v>#N/A</v>
      </c>
      <c r="CE26" s="1132"/>
      <c r="CF26" s="1117"/>
      <c r="CH26" s="1093"/>
      <c r="CI26" s="128"/>
      <c r="CJ26" s="2643">
        <f>IF(_Calcs!$BK$126&lt;=0,0,_Calcs!$BK$126)</f>
        <v>0</v>
      </c>
      <c r="CK26" s="128"/>
      <c r="CL26" s="30" t="e">
        <f>IF(_Calcs!$NW$389=1,"✓","!")</f>
        <v>#N/A</v>
      </c>
      <c r="CM26" s="1132"/>
      <c r="CN26" s="1117"/>
      <c r="CP26" s="1132"/>
      <c r="DT26" s="70"/>
      <c r="DU26" s="70"/>
      <c r="DW26" s="70"/>
      <c r="DX26" s="70"/>
      <c r="DY26" s="70"/>
      <c r="EL26" s="70"/>
      <c r="EM26" s="70"/>
      <c r="EN26" s="70"/>
      <c r="EO26" s="70"/>
    </row>
    <row r="27" spans="1:145" s="21" customFormat="1" ht="15" customHeight="1" thickBot="1" x14ac:dyDescent="0.25">
      <c r="A27" s="25"/>
      <c r="B27" s="25"/>
      <c r="C27" s="940"/>
      <c r="D27" s="13"/>
      <c r="E27" s="1135"/>
      <c r="F27" s="6583"/>
      <c r="G27" s="6583"/>
      <c r="H27" s="6583"/>
      <c r="I27" s="6583"/>
      <c r="J27" s="2281"/>
      <c r="K27" s="2281"/>
      <c r="L27" s="128"/>
      <c r="M27" s="128"/>
      <c r="N27" s="571"/>
      <c r="O27" s="1094"/>
      <c r="P27" s="1095"/>
      <c r="Q27" s="16"/>
      <c r="R27" s="4070"/>
      <c r="S27" s="4071"/>
      <c r="T27" s="4072"/>
      <c r="V27" s="1096"/>
      <c r="W27" s="1097"/>
      <c r="X27" s="1118"/>
      <c r="Y27" s="1097"/>
      <c r="Z27" s="1120"/>
      <c r="AA27" s="1120"/>
      <c r="AB27" s="1119"/>
      <c r="AD27" s="1096"/>
      <c r="AE27" s="1097"/>
      <c r="AF27" s="1118"/>
      <c r="AG27" s="1097"/>
      <c r="AH27" s="1120"/>
      <c r="AI27" s="1120"/>
      <c r="AJ27" s="1119"/>
      <c r="AL27" s="1096"/>
      <c r="AM27" s="1097"/>
      <c r="AN27" s="1118"/>
      <c r="AO27" s="1097"/>
      <c r="AP27" s="1120"/>
      <c r="AQ27" s="1120"/>
      <c r="AR27" s="1119"/>
      <c r="AT27" s="1096"/>
      <c r="AU27" s="1097"/>
      <c r="AV27" s="1118"/>
      <c r="AW27" s="1097"/>
      <c r="AX27" s="1120"/>
      <c r="AY27" s="1120"/>
      <c r="AZ27" s="1119"/>
      <c r="BB27" s="1096"/>
      <c r="BC27" s="1097"/>
      <c r="BD27" s="1118"/>
      <c r="BE27" s="1097"/>
      <c r="BF27" s="1120"/>
      <c r="BG27" s="1120"/>
      <c r="BH27" s="1119"/>
      <c r="BJ27" s="1096"/>
      <c r="BK27" s="1097"/>
      <c r="BL27" s="1118"/>
      <c r="BM27" s="1097"/>
      <c r="BN27" s="1120"/>
      <c r="BO27" s="1120"/>
      <c r="BP27" s="1119"/>
      <c r="BR27" s="1096"/>
      <c r="BS27" s="1097"/>
      <c r="BT27" s="1118"/>
      <c r="BU27" s="1097"/>
      <c r="BV27" s="1120"/>
      <c r="BW27" s="1120"/>
      <c r="BX27" s="1119"/>
      <c r="BZ27" s="1096"/>
      <c r="CA27" s="1097"/>
      <c r="CB27" s="1118"/>
      <c r="CC27" s="1097"/>
      <c r="CD27" s="1120"/>
      <c r="CE27" s="1120"/>
      <c r="CF27" s="1119"/>
      <c r="CH27" s="1096"/>
      <c r="CI27" s="1097"/>
      <c r="CJ27" s="1118"/>
      <c r="CK27" s="1097"/>
      <c r="CL27" s="1120"/>
      <c r="CM27" s="1120"/>
      <c r="CN27" s="1119"/>
      <c r="CP27" s="1132"/>
      <c r="DT27" s="70"/>
      <c r="DU27" s="70"/>
      <c r="DW27" s="70"/>
      <c r="DX27" s="70"/>
      <c r="DY27" s="70"/>
      <c r="EL27" s="70"/>
      <c r="EM27" s="70"/>
      <c r="EN27" s="70"/>
      <c r="EO27" s="70"/>
    </row>
    <row r="28" spans="1:145" s="21" customFormat="1" ht="9.9499999999999993" customHeight="1" x14ac:dyDescent="0.2">
      <c r="A28" s="25"/>
      <c r="B28" s="25"/>
      <c r="C28" s="940"/>
      <c r="D28" s="13"/>
      <c r="E28" s="5398"/>
      <c r="F28" s="5435"/>
      <c r="G28" s="5435"/>
      <c r="H28" s="5435"/>
      <c r="I28" s="5435"/>
      <c r="J28" s="5395"/>
      <c r="K28" s="5395"/>
      <c r="L28" s="5396"/>
      <c r="M28" s="5396"/>
      <c r="N28" s="5397"/>
      <c r="O28" s="5394"/>
      <c r="P28" s="5399"/>
      <c r="Q28" s="16"/>
      <c r="R28" s="36"/>
      <c r="S28" s="4088"/>
      <c r="T28" s="36"/>
      <c r="V28" s="16"/>
      <c r="W28" s="16"/>
      <c r="X28" s="953"/>
      <c r="Y28" s="16"/>
      <c r="Z28" s="954"/>
      <c r="AA28" s="954"/>
      <c r="AB28" s="137"/>
      <c r="AD28" s="16"/>
      <c r="AE28" s="16"/>
      <c r="AF28" s="953"/>
      <c r="AG28" s="16"/>
      <c r="AH28" s="954"/>
      <c r="AI28" s="954"/>
      <c r="AJ28" s="137"/>
      <c r="AL28" s="16"/>
      <c r="AM28" s="16"/>
      <c r="AN28" s="953"/>
      <c r="AO28" s="16"/>
      <c r="AP28" s="954"/>
      <c r="AQ28" s="954"/>
      <c r="AR28" s="137"/>
      <c r="AT28" s="16"/>
      <c r="AU28" s="16"/>
      <c r="AV28" s="953"/>
      <c r="AW28" s="16"/>
      <c r="AX28" s="954"/>
      <c r="AY28" s="954"/>
      <c r="AZ28" s="137"/>
      <c r="BB28" s="16"/>
      <c r="BC28" s="16"/>
      <c r="BD28" s="953"/>
      <c r="BE28" s="16"/>
      <c r="BF28" s="954"/>
      <c r="BG28" s="954"/>
      <c r="BH28" s="137"/>
      <c r="BJ28" s="16"/>
      <c r="BK28" s="16"/>
      <c r="BL28" s="953"/>
      <c r="BM28" s="16"/>
      <c r="BN28" s="954"/>
      <c r="BO28" s="954"/>
      <c r="BP28" s="137"/>
      <c r="BR28" s="16"/>
      <c r="BS28" s="16"/>
      <c r="BT28" s="953"/>
      <c r="BU28" s="16"/>
      <c r="BV28" s="954"/>
      <c r="BW28" s="954"/>
      <c r="BX28" s="137"/>
      <c r="BZ28" s="16"/>
      <c r="CA28" s="16"/>
      <c r="CB28" s="953"/>
      <c r="CC28" s="16"/>
      <c r="CD28" s="954"/>
      <c r="CE28" s="954"/>
      <c r="CF28" s="137"/>
      <c r="CH28" s="16"/>
      <c r="CI28" s="16"/>
      <c r="CJ28" s="953"/>
      <c r="CK28" s="16"/>
      <c r="CL28" s="954"/>
      <c r="CM28" s="954"/>
      <c r="CN28" s="137"/>
      <c r="CP28" s="954"/>
      <c r="DT28" s="70"/>
      <c r="DU28" s="70"/>
      <c r="DW28" s="70"/>
      <c r="DX28" s="70"/>
      <c r="DY28" s="70"/>
      <c r="EL28" s="70"/>
      <c r="EM28" s="70"/>
      <c r="EN28" s="70"/>
      <c r="EO28" s="70"/>
    </row>
    <row r="29" spans="1:145" s="21" customFormat="1" ht="8.1" customHeight="1" thickBot="1" x14ac:dyDescent="0.25">
      <c r="A29" s="25"/>
      <c r="B29" s="25"/>
      <c r="C29" s="940"/>
      <c r="D29" s="13"/>
      <c r="E29" s="1136"/>
      <c r="F29" s="5400"/>
      <c r="G29" s="1137"/>
      <c r="H29" s="1137"/>
      <c r="I29" s="1098"/>
      <c r="J29" s="2282"/>
      <c r="K29" s="2282"/>
      <c r="L29" s="1097"/>
      <c r="M29" s="1097"/>
      <c r="N29" s="1138"/>
      <c r="O29" s="1098"/>
      <c r="P29" s="1099"/>
      <c r="Q29" s="16"/>
      <c r="R29" s="4074"/>
      <c r="S29" s="4074"/>
      <c r="T29" s="4074"/>
      <c r="V29" s="5402"/>
      <c r="W29" s="5402"/>
      <c r="X29" s="5403"/>
      <c r="Y29" s="5402"/>
      <c r="Z29" s="5401"/>
      <c r="AA29" s="5401"/>
      <c r="AB29" s="5404"/>
      <c r="AD29" s="5402"/>
      <c r="AE29" s="5402"/>
      <c r="AF29" s="5403"/>
      <c r="AG29" s="5402"/>
      <c r="AH29" s="5401"/>
      <c r="AI29" s="5401"/>
      <c r="AJ29" s="5404"/>
      <c r="AL29" s="5402"/>
      <c r="AM29" s="5402"/>
      <c r="AN29" s="5403"/>
      <c r="AO29" s="5402"/>
      <c r="AP29" s="5401"/>
      <c r="AQ29" s="5401"/>
      <c r="AR29" s="5404"/>
      <c r="AT29" s="5402"/>
      <c r="AU29" s="5402"/>
      <c r="AV29" s="5403"/>
      <c r="AW29" s="5402"/>
      <c r="AX29" s="5401"/>
      <c r="AY29" s="5401"/>
      <c r="AZ29" s="5404"/>
      <c r="BB29" s="5402"/>
      <c r="BC29" s="5402"/>
      <c r="BD29" s="5403"/>
      <c r="BE29" s="5402"/>
      <c r="BF29" s="5401"/>
      <c r="BG29" s="5401"/>
      <c r="BH29" s="5404"/>
      <c r="BJ29" s="5402"/>
      <c r="BK29" s="5402"/>
      <c r="BL29" s="5403"/>
      <c r="BM29" s="5402"/>
      <c r="BN29" s="5401"/>
      <c r="BO29" s="5401"/>
      <c r="BP29" s="5404"/>
      <c r="BR29" s="5402"/>
      <c r="BS29" s="5402"/>
      <c r="BT29" s="5403"/>
      <c r="BU29" s="5402"/>
      <c r="BV29" s="5401"/>
      <c r="BW29" s="5401"/>
      <c r="BX29" s="5404"/>
      <c r="BZ29" s="5402"/>
      <c r="CA29" s="5402"/>
      <c r="CB29" s="5403"/>
      <c r="CC29" s="5402"/>
      <c r="CD29" s="5401"/>
      <c r="CE29" s="5401"/>
      <c r="CF29" s="5404"/>
      <c r="CH29" s="5402"/>
      <c r="CI29" s="5402"/>
      <c r="CJ29" s="5403"/>
      <c r="CK29" s="5402"/>
      <c r="CL29" s="5401"/>
      <c r="CM29" s="5401"/>
      <c r="CN29" s="5404"/>
      <c r="CP29" s="5401"/>
      <c r="DT29" s="70"/>
      <c r="DU29" s="70"/>
      <c r="DW29" s="70"/>
      <c r="DX29" s="70"/>
      <c r="DY29" s="70"/>
      <c r="EL29" s="70"/>
      <c r="EM29" s="70"/>
      <c r="EN29" s="70"/>
      <c r="EO29" s="70"/>
    </row>
    <row r="30" spans="1:145" ht="8.1" customHeight="1" thickBot="1" x14ac:dyDescent="0.25">
      <c r="A30" s="25"/>
      <c r="B30" s="25"/>
      <c r="C30" s="940"/>
      <c r="D30" s="16"/>
      <c r="F30" s="952"/>
      <c r="G30" s="952"/>
      <c r="H30" s="952"/>
      <c r="I30" s="17"/>
      <c r="J30" s="624"/>
      <c r="K30" s="624"/>
      <c r="R30" s="36"/>
      <c r="S30" s="953"/>
      <c r="T30" s="36"/>
      <c r="U30" s="136"/>
      <c r="X30" s="953"/>
      <c r="Z30" s="954"/>
      <c r="AA30" s="954"/>
      <c r="AC30" s="136"/>
      <c r="AF30" s="953"/>
      <c r="AH30" s="954"/>
      <c r="AI30" s="954"/>
      <c r="AK30" s="136"/>
      <c r="AN30" s="953"/>
      <c r="AP30" s="954"/>
      <c r="AQ30" s="954"/>
      <c r="AS30" s="136"/>
      <c r="AV30" s="953"/>
      <c r="AX30" s="954"/>
      <c r="AY30" s="954"/>
      <c r="BA30" s="136"/>
      <c r="BD30" s="953"/>
      <c r="BF30" s="954"/>
      <c r="BG30" s="954"/>
      <c r="BI30" s="136"/>
      <c r="BL30" s="953"/>
      <c r="BN30" s="954"/>
      <c r="BO30" s="954"/>
      <c r="BQ30" s="136"/>
      <c r="BT30" s="953"/>
      <c r="BV30" s="954"/>
      <c r="BW30" s="954"/>
      <c r="BY30" s="136"/>
      <c r="CB30" s="953"/>
      <c r="CD30" s="954"/>
      <c r="CE30" s="954"/>
      <c r="CG30" s="136"/>
      <c r="CJ30" s="953"/>
      <c r="CL30" s="954"/>
      <c r="CM30" s="954"/>
      <c r="CO30" s="136"/>
      <c r="CP30" s="954"/>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78"/>
      <c r="DU30" s="78"/>
      <c r="DV30" s="136"/>
      <c r="DW30" s="78"/>
      <c r="DX30" s="78"/>
      <c r="DY30" s="78"/>
      <c r="DZ30" s="136"/>
      <c r="EA30" s="136"/>
      <c r="EB30" s="136"/>
      <c r="EC30" s="136"/>
      <c r="EL30" s="78"/>
      <c r="EM30" s="78"/>
      <c r="EN30" s="78"/>
      <c r="EO30" s="78"/>
    </row>
    <row r="31" spans="1:145" s="21" customFormat="1" ht="15" customHeight="1" thickBot="1" x14ac:dyDescent="0.25">
      <c r="A31" s="25"/>
      <c r="B31" s="25"/>
      <c r="C31" s="940"/>
      <c r="D31" s="13"/>
      <c r="E31" s="695"/>
      <c r="F31" s="947"/>
      <c r="G31" s="947"/>
      <c r="H31" s="947"/>
      <c r="I31" s="709"/>
      <c r="J31" s="697"/>
      <c r="K31" s="697"/>
      <c r="L31" s="698"/>
      <c r="M31" s="698"/>
      <c r="N31" s="934"/>
      <c r="O31" s="709"/>
      <c r="P31" s="932"/>
      <c r="Q31" s="16"/>
      <c r="R31" s="4065"/>
      <c r="S31" s="4073"/>
      <c r="T31" s="4067"/>
      <c r="V31" s="963"/>
      <c r="W31" s="698"/>
      <c r="X31" s="964"/>
      <c r="Y31" s="698"/>
      <c r="Z31" s="965"/>
      <c r="AA31" s="965"/>
      <c r="AB31" s="966"/>
      <c r="AD31" s="963"/>
      <c r="AE31" s="698"/>
      <c r="AF31" s="964"/>
      <c r="AG31" s="698"/>
      <c r="AH31" s="965"/>
      <c r="AI31" s="965"/>
      <c r="AJ31" s="966"/>
      <c r="AL31" s="963"/>
      <c r="AM31" s="698"/>
      <c r="AN31" s="964"/>
      <c r="AO31" s="698"/>
      <c r="AP31" s="965"/>
      <c r="AQ31" s="965"/>
      <c r="AR31" s="966"/>
      <c r="AT31" s="963"/>
      <c r="AU31" s="698"/>
      <c r="AV31" s="964"/>
      <c r="AW31" s="698"/>
      <c r="AX31" s="965"/>
      <c r="AY31" s="965"/>
      <c r="AZ31" s="966"/>
      <c r="BB31" s="963"/>
      <c r="BC31" s="698"/>
      <c r="BD31" s="964"/>
      <c r="BE31" s="698"/>
      <c r="BF31" s="965"/>
      <c r="BG31" s="965"/>
      <c r="BH31" s="966"/>
      <c r="BJ31" s="963"/>
      <c r="BK31" s="698"/>
      <c r="BL31" s="964"/>
      <c r="BM31" s="698"/>
      <c r="BN31" s="965"/>
      <c r="BO31" s="965"/>
      <c r="BP31" s="966"/>
      <c r="BR31" s="963"/>
      <c r="BS31" s="698"/>
      <c r="BT31" s="964"/>
      <c r="BU31" s="698"/>
      <c r="BV31" s="965"/>
      <c r="BW31" s="965"/>
      <c r="BX31" s="966"/>
      <c r="BZ31" s="963"/>
      <c r="CA31" s="698"/>
      <c r="CB31" s="964"/>
      <c r="CC31" s="698"/>
      <c r="CD31" s="965"/>
      <c r="CE31" s="965"/>
      <c r="CF31" s="966"/>
      <c r="CH31" s="963"/>
      <c r="CI31" s="698"/>
      <c r="CJ31" s="964"/>
      <c r="CK31" s="698"/>
      <c r="CL31" s="965"/>
      <c r="CM31" s="965"/>
      <c r="CN31" s="966"/>
      <c r="CP31" s="962"/>
      <c r="DT31" s="70"/>
      <c r="DU31" s="70"/>
      <c r="DW31" s="70"/>
      <c r="DX31" s="70"/>
      <c r="DY31" s="70"/>
      <c r="EL31" s="70"/>
      <c r="EM31" s="70"/>
      <c r="EN31" s="70"/>
      <c r="EO31" s="70"/>
    </row>
    <row r="32" spans="1:145" s="21" customFormat="1" ht="20.100000000000001" customHeight="1" thickBot="1" x14ac:dyDescent="0.25">
      <c r="A32" s="25"/>
      <c r="B32" s="25"/>
      <c r="C32" s="940"/>
      <c r="D32" s="13"/>
      <c r="E32" s="700"/>
      <c r="F32" s="6240" t="str">
        <f>_Calcs!$M$29</f>
        <v>Normalsalve</v>
      </c>
      <c r="G32" s="3924"/>
      <c r="H32" s="3924"/>
      <c r="I32" s="935"/>
      <c r="J32" s="142" t="s">
        <v>149</v>
      </c>
      <c r="K32" s="142"/>
      <c r="L32" s="143"/>
      <c r="M32" s="143"/>
      <c r="N32" s="936"/>
      <c r="O32" s="3934" t="s">
        <v>86</v>
      </c>
      <c r="P32" s="933"/>
      <c r="Q32" s="214"/>
      <c r="R32" s="4068"/>
      <c r="S32" s="2301">
        <f>_Calcs!$BD$193</f>
        <v>0</v>
      </c>
      <c r="T32" s="4069"/>
      <c r="V32" s="925"/>
      <c r="W32" s="144"/>
      <c r="X32" s="1165">
        <f>(_Calcs!$BC$127)</f>
        <v>0</v>
      </c>
      <c r="Y32" s="66"/>
      <c r="Z32" s="30" t="str">
        <f>IF(_Calcs!$NO$390=1,"✓","!")</f>
        <v>!</v>
      </c>
      <c r="AA32" s="962"/>
      <c r="AB32" s="926"/>
      <c r="AD32" s="925"/>
      <c r="AE32" s="144"/>
      <c r="AF32" s="1165">
        <f>(_Calcs!$BD$127)</f>
        <v>0</v>
      </c>
      <c r="AG32" s="66"/>
      <c r="AH32" s="30" t="e">
        <f>IF(_Calcs!$NP$390=1,"✓","!")</f>
        <v>#N/A</v>
      </c>
      <c r="AI32" s="962"/>
      <c r="AJ32" s="926"/>
      <c r="AL32" s="925"/>
      <c r="AM32" s="144"/>
      <c r="AN32" s="1165">
        <f>(_Calcs!$BE$127)</f>
        <v>0</v>
      </c>
      <c r="AO32" s="66"/>
      <c r="AP32" s="30" t="e">
        <f>IF(_Calcs!$NQ$390=1,"✓","!")</f>
        <v>#N/A</v>
      </c>
      <c r="AQ32" s="962"/>
      <c r="AR32" s="926"/>
      <c r="AT32" s="925"/>
      <c r="AU32" s="144"/>
      <c r="AV32" s="1165">
        <f>(_Calcs!$BF$127)</f>
        <v>0</v>
      </c>
      <c r="AW32" s="66"/>
      <c r="AX32" s="30" t="e">
        <f>IF(_Calcs!$NR$390=1,"✓","!")</f>
        <v>#N/A</v>
      </c>
      <c r="AY32" s="962"/>
      <c r="AZ32" s="926"/>
      <c r="BB32" s="925"/>
      <c r="BC32" s="144"/>
      <c r="BD32" s="1165">
        <f>(_Calcs!$BG$127)</f>
        <v>0</v>
      </c>
      <c r="BE32" s="66"/>
      <c r="BF32" s="30" t="e">
        <f>IF(_Calcs!$NS$390=1,"✓","!")</f>
        <v>#N/A</v>
      </c>
      <c r="BG32" s="962"/>
      <c r="BH32" s="926"/>
      <c r="BJ32" s="925"/>
      <c r="BK32" s="144"/>
      <c r="BL32" s="1165">
        <f>(_Calcs!$BH$127)</f>
        <v>0</v>
      </c>
      <c r="BM32" s="66"/>
      <c r="BN32" s="30" t="e">
        <f>IF(_Calcs!$NT$390=1,"✓","!")</f>
        <v>#N/A</v>
      </c>
      <c r="BO32" s="962"/>
      <c r="BP32" s="926"/>
      <c r="BR32" s="925"/>
      <c r="BS32" s="144"/>
      <c r="BT32" s="1165">
        <f>(_Calcs!$BI$127)</f>
        <v>0</v>
      </c>
      <c r="BU32" s="66"/>
      <c r="BV32" s="30" t="e">
        <f>IF(_Calcs!$NU$390=1,"✓","!")</f>
        <v>#N/A</v>
      </c>
      <c r="BW32" s="962"/>
      <c r="BX32" s="926"/>
      <c r="BZ32" s="925"/>
      <c r="CA32" s="144"/>
      <c r="CB32" s="1165">
        <f>(_Calcs!$BJ$127)</f>
        <v>0</v>
      </c>
      <c r="CC32" s="66"/>
      <c r="CD32" s="30" t="e">
        <f>IF(_Calcs!$NV$390=1,"✓","!")</f>
        <v>#N/A</v>
      </c>
      <c r="CE32" s="962"/>
      <c r="CF32" s="926"/>
      <c r="CH32" s="925"/>
      <c r="CI32" s="144"/>
      <c r="CJ32" s="1165">
        <f>(_Calcs!$BK$127)</f>
        <v>0</v>
      </c>
      <c r="CK32" s="66"/>
      <c r="CL32" s="30" t="e">
        <f>IF(_Calcs!$NW$390=1,"✓","!")</f>
        <v>#N/A</v>
      </c>
      <c r="CM32" s="962"/>
      <c r="CN32" s="926"/>
      <c r="CP32" s="962"/>
      <c r="CT32" s="191"/>
      <c r="DT32" s="70"/>
      <c r="DU32" s="70"/>
      <c r="DW32" s="70"/>
      <c r="DX32" s="70"/>
      <c r="DY32" s="70"/>
      <c r="EL32" s="70"/>
      <c r="EM32" s="70"/>
      <c r="EN32" s="70"/>
      <c r="EO32" s="70"/>
    </row>
    <row r="33" spans="1:145" s="21" customFormat="1" ht="15" customHeight="1" thickBot="1" x14ac:dyDescent="0.25">
      <c r="A33" s="25"/>
      <c r="B33" s="25"/>
      <c r="C33" s="940"/>
      <c r="D33" s="13"/>
      <c r="E33" s="702"/>
      <c r="F33" s="717"/>
      <c r="G33" s="930"/>
      <c r="H33" s="930"/>
      <c r="I33" s="930"/>
      <c r="J33" s="930"/>
      <c r="K33" s="930"/>
      <c r="L33" s="930"/>
      <c r="M33" s="930"/>
      <c r="N33" s="930"/>
      <c r="O33" s="717"/>
      <c r="P33" s="938"/>
      <c r="Q33" s="14"/>
      <c r="R33" s="4070"/>
      <c r="S33" s="4071"/>
      <c r="T33" s="4072"/>
      <c r="V33" s="702"/>
      <c r="W33" s="930"/>
      <c r="X33" s="1111"/>
      <c r="Y33" s="930"/>
      <c r="Z33" s="930"/>
      <c r="AA33" s="930"/>
      <c r="AB33" s="931"/>
      <c r="AD33" s="702"/>
      <c r="AE33" s="930"/>
      <c r="AF33" s="1111"/>
      <c r="AG33" s="930"/>
      <c r="AH33" s="930"/>
      <c r="AI33" s="930"/>
      <c r="AJ33" s="931"/>
      <c r="AL33" s="702"/>
      <c r="AM33" s="930"/>
      <c r="AN33" s="1111"/>
      <c r="AO33" s="930"/>
      <c r="AP33" s="930"/>
      <c r="AQ33" s="930"/>
      <c r="AR33" s="931"/>
      <c r="AT33" s="702"/>
      <c r="AU33" s="930"/>
      <c r="AV33" s="1111"/>
      <c r="AW33" s="930"/>
      <c r="AX33" s="930"/>
      <c r="AY33" s="930"/>
      <c r="AZ33" s="931"/>
      <c r="BB33" s="702"/>
      <c r="BC33" s="930"/>
      <c r="BD33" s="1111"/>
      <c r="BE33" s="930"/>
      <c r="BF33" s="930"/>
      <c r="BG33" s="930"/>
      <c r="BH33" s="931"/>
      <c r="BJ33" s="702"/>
      <c r="BK33" s="930"/>
      <c r="BL33" s="1111"/>
      <c r="BM33" s="930"/>
      <c r="BN33" s="930"/>
      <c r="BO33" s="930"/>
      <c r="BP33" s="931"/>
      <c r="BR33" s="702"/>
      <c r="BS33" s="930"/>
      <c r="BT33" s="1111"/>
      <c r="BU33" s="930"/>
      <c r="BV33" s="930"/>
      <c r="BW33" s="930"/>
      <c r="BX33" s="931"/>
      <c r="BZ33" s="702"/>
      <c r="CA33" s="930"/>
      <c r="CB33" s="1111"/>
      <c r="CC33" s="930"/>
      <c r="CD33" s="930"/>
      <c r="CE33" s="930"/>
      <c r="CF33" s="931"/>
      <c r="CH33" s="702"/>
      <c r="CI33" s="930"/>
      <c r="CJ33" s="1111"/>
      <c r="CK33" s="930"/>
      <c r="CL33" s="930"/>
      <c r="CM33" s="930"/>
      <c r="CN33" s="931"/>
      <c r="CP33" s="928"/>
      <c r="DT33" s="70"/>
      <c r="DU33" s="70"/>
      <c r="DV33" s="70"/>
      <c r="DW33" s="70"/>
      <c r="DX33" s="70"/>
      <c r="DY33" s="70"/>
      <c r="EL33" s="70"/>
      <c r="EM33" s="70"/>
      <c r="EN33" s="70"/>
      <c r="EO33" s="70"/>
    </row>
    <row r="34" spans="1:145" ht="8.1" customHeight="1" thickBot="1" x14ac:dyDescent="0.25">
      <c r="A34" s="25"/>
      <c r="B34" s="25"/>
      <c r="C34" s="940"/>
      <c r="D34" s="16"/>
      <c r="G34" s="20"/>
      <c r="H34" s="20"/>
      <c r="I34" s="20"/>
      <c r="J34" s="20"/>
      <c r="K34" s="20"/>
      <c r="L34" s="20"/>
      <c r="M34" s="20"/>
      <c r="N34" s="20"/>
      <c r="Q34" s="20"/>
      <c r="R34" s="20"/>
      <c r="S34" s="2303"/>
      <c r="T34" s="20"/>
      <c r="U34" s="136"/>
      <c r="V34" s="20"/>
      <c r="W34" s="20"/>
      <c r="X34" s="967"/>
      <c r="Y34" s="20"/>
      <c r="Z34" s="20"/>
      <c r="AA34" s="20"/>
      <c r="AB34" s="20"/>
      <c r="AC34" s="136"/>
      <c r="AD34" s="20"/>
      <c r="AE34" s="20"/>
      <c r="AF34" s="967"/>
      <c r="AG34" s="20"/>
      <c r="AH34" s="20"/>
      <c r="AI34" s="20"/>
      <c r="AJ34" s="20"/>
      <c r="AK34" s="136"/>
      <c r="AL34" s="20"/>
      <c r="AM34" s="20"/>
      <c r="AN34" s="967"/>
      <c r="AO34" s="20"/>
      <c r="AP34" s="20"/>
      <c r="AQ34" s="20"/>
      <c r="AR34" s="20"/>
      <c r="AS34" s="136"/>
      <c r="AT34" s="20"/>
      <c r="AU34" s="20"/>
      <c r="AV34" s="967"/>
      <c r="AW34" s="20"/>
      <c r="AX34" s="20"/>
      <c r="AY34" s="20"/>
      <c r="AZ34" s="20"/>
      <c r="BA34" s="136"/>
      <c r="BB34" s="20"/>
      <c r="BC34" s="20"/>
      <c r="BD34" s="967"/>
      <c r="BE34" s="20"/>
      <c r="BF34" s="20"/>
      <c r="BG34" s="20"/>
      <c r="BH34" s="20"/>
      <c r="BI34" s="136"/>
      <c r="BJ34" s="20"/>
      <c r="BK34" s="20"/>
      <c r="BL34" s="967"/>
      <c r="BM34" s="20"/>
      <c r="BN34" s="20"/>
      <c r="BO34" s="20"/>
      <c r="BP34" s="20"/>
      <c r="BQ34" s="136"/>
      <c r="BR34" s="20"/>
      <c r="BS34" s="20"/>
      <c r="BT34" s="967"/>
      <c r="BU34" s="20"/>
      <c r="BV34" s="20"/>
      <c r="BW34" s="20"/>
      <c r="BX34" s="20"/>
      <c r="BY34" s="136"/>
      <c r="BZ34" s="20"/>
      <c r="CA34" s="20"/>
      <c r="CB34" s="967"/>
      <c r="CC34" s="20"/>
      <c r="CD34" s="20"/>
      <c r="CE34" s="20"/>
      <c r="CF34" s="20"/>
      <c r="CG34" s="136"/>
      <c r="CH34" s="20"/>
      <c r="CI34" s="20"/>
      <c r="CJ34" s="967"/>
      <c r="CK34" s="20"/>
      <c r="CL34" s="20"/>
      <c r="CM34" s="20"/>
      <c r="CN34" s="20"/>
      <c r="CO34" s="136"/>
      <c r="CP34" s="20"/>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78"/>
      <c r="DU34" s="78"/>
      <c r="DV34" s="78"/>
      <c r="DW34" s="78"/>
      <c r="DX34" s="78"/>
      <c r="DY34" s="78"/>
      <c r="DZ34" s="136"/>
      <c r="EA34" s="136"/>
      <c r="EB34" s="136"/>
      <c r="EC34" s="136"/>
      <c r="EL34" s="78"/>
      <c r="EM34" s="78"/>
      <c r="EN34" s="78"/>
      <c r="EO34" s="78"/>
    </row>
    <row r="35" spans="1:145" s="21" customFormat="1" ht="15" customHeight="1" x14ac:dyDescent="0.2">
      <c r="A35" s="25"/>
      <c r="B35" s="25"/>
      <c r="C35" s="940"/>
      <c r="D35" s="13"/>
      <c r="E35" s="695"/>
      <c r="F35" s="709"/>
      <c r="G35" s="927"/>
      <c r="H35" s="927"/>
      <c r="I35" s="927"/>
      <c r="J35" s="927"/>
      <c r="K35" s="927"/>
      <c r="L35" s="927"/>
      <c r="M35" s="927"/>
      <c r="N35" s="927"/>
      <c r="O35" s="709"/>
      <c r="P35" s="932"/>
      <c r="R35" s="4003"/>
      <c r="S35" s="4074"/>
      <c r="T35" s="4003"/>
      <c r="V35" s="1218"/>
      <c r="W35" s="1218"/>
      <c r="X35" s="1218"/>
      <c r="Y35" s="1218"/>
      <c r="Z35" s="1218"/>
      <c r="AA35" s="1218"/>
      <c r="AB35" s="1218"/>
      <c r="AD35" s="1218"/>
      <c r="AE35" s="1218"/>
      <c r="AF35" s="1218"/>
      <c r="AG35" s="1218"/>
      <c r="AH35" s="1218"/>
      <c r="AI35" s="1218"/>
      <c r="AJ35" s="1218"/>
      <c r="AL35" s="1218"/>
      <c r="AM35" s="1218"/>
      <c r="AN35" s="1218"/>
      <c r="AO35" s="1218"/>
      <c r="AP35" s="1218"/>
      <c r="AQ35" s="1218"/>
      <c r="AR35" s="1218"/>
      <c r="AT35" s="1218"/>
      <c r="AU35" s="1218"/>
      <c r="AV35" s="1218"/>
      <c r="AW35" s="1218"/>
      <c r="AX35" s="1218"/>
      <c r="AY35" s="1218"/>
      <c r="AZ35" s="1218"/>
      <c r="BB35" s="1218"/>
      <c r="BC35" s="1218"/>
      <c r="BD35" s="1218"/>
      <c r="BE35" s="1218"/>
      <c r="BF35" s="1218"/>
      <c r="BG35" s="1218"/>
      <c r="BH35" s="1218"/>
      <c r="BJ35" s="1218"/>
      <c r="BK35" s="1218"/>
      <c r="BL35" s="1218"/>
      <c r="BM35" s="1218"/>
      <c r="BN35" s="1218"/>
      <c r="BO35" s="1218"/>
      <c r="BP35" s="1218"/>
      <c r="BR35" s="1218"/>
      <c r="BS35" s="1218"/>
      <c r="BT35" s="1218"/>
      <c r="BU35" s="1218"/>
      <c r="BV35" s="1218"/>
      <c r="BW35" s="1218"/>
      <c r="BX35" s="1218"/>
      <c r="BZ35" s="1218"/>
      <c r="CA35" s="1218"/>
      <c r="CB35" s="1218"/>
      <c r="CC35" s="1218"/>
      <c r="CD35" s="1218"/>
      <c r="CE35" s="1218"/>
      <c r="CF35" s="1218"/>
      <c r="CH35" s="1218"/>
      <c r="CI35" s="1218"/>
      <c r="CJ35" s="1218"/>
      <c r="CK35" s="1218"/>
      <c r="CL35" s="1218"/>
      <c r="CM35" s="1218"/>
      <c r="CN35" s="1218"/>
      <c r="CP35" s="1218"/>
      <c r="DT35" s="70"/>
      <c r="DU35" s="70"/>
      <c r="DV35" s="70"/>
      <c r="DW35" s="70"/>
      <c r="DX35" s="70"/>
      <c r="DY35" s="70"/>
      <c r="EL35" s="70"/>
      <c r="EM35" s="70"/>
      <c r="EN35" s="70"/>
      <c r="EO35" s="70"/>
    </row>
    <row r="36" spans="1:145" s="21" customFormat="1" ht="15" customHeight="1" x14ac:dyDescent="0.2">
      <c r="A36" s="25"/>
      <c r="B36" s="25"/>
      <c r="C36" s="940"/>
      <c r="D36" s="13"/>
      <c r="E36" s="700"/>
      <c r="F36" s="6594" t="s">
        <v>1202</v>
      </c>
      <c r="G36" s="6594"/>
      <c r="H36" s="6594"/>
      <c r="I36" s="6594"/>
      <c r="J36" s="928"/>
      <c r="K36" s="928"/>
      <c r="L36" s="928"/>
      <c r="M36" s="928"/>
      <c r="N36" s="928"/>
      <c r="O36" s="3934"/>
      <c r="P36" s="933"/>
      <c r="R36" s="4003"/>
      <c r="S36" s="4074"/>
      <c r="T36" s="4003"/>
      <c r="V36" s="1218"/>
      <c r="W36" s="1218"/>
      <c r="X36" s="1218"/>
      <c r="Y36" s="1218"/>
      <c r="Z36" s="1218"/>
      <c r="AA36" s="1218"/>
      <c r="AB36" s="1218"/>
      <c r="AD36" s="1218"/>
      <c r="AE36" s="1218"/>
      <c r="AF36" s="1218"/>
      <c r="AG36" s="1218"/>
      <c r="AH36" s="1218"/>
      <c r="AI36" s="1218"/>
      <c r="AJ36" s="1218"/>
      <c r="AL36" s="1218"/>
      <c r="AM36" s="1218"/>
      <c r="AN36" s="1218"/>
      <c r="AO36" s="1218"/>
      <c r="AP36" s="1218"/>
      <c r="AQ36" s="1218"/>
      <c r="AR36" s="1218"/>
      <c r="AT36" s="1218"/>
      <c r="AU36" s="1218"/>
      <c r="AV36" s="1218"/>
      <c r="AW36" s="1218"/>
      <c r="AX36" s="1218"/>
      <c r="AY36" s="1218"/>
      <c r="AZ36" s="1218"/>
      <c r="BB36" s="1218"/>
      <c r="BC36" s="1218"/>
      <c r="BD36" s="1218"/>
      <c r="BE36" s="1218"/>
      <c r="BF36" s="1218"/>
      <c r="BG36" s="1218"/>
      <c r="BH36" s="1218"/>
      <c r="BJ36" s="1218"/>
      <c r="BK36" s="1218"/>
      <c r="BL36" s="1218"/>
      <c r="BM36" s="1218"/>
      <c r="BN36" s="1218"/>
      <c r="BO36" s="1218"/>
      <c r="BP36" s="1218"/>
      <c r="BR36" s="1218"/>
      <c r="BS36" s="1218"/>
      <c r="BT36" s="1218"/>
      <c r="BU36" s="1218"/>
      <c r="BV36" s="1218"/>
      <c r="BW36" s="1218"/>
      <c r="BX36" s="1218"/>
      <c r="BZ36" s="1218"/>
      <c r="CA36" s="1218"/>
      <c r="CB36" s="1218"/>
      <c r="CC36" s="1218"/>
      <c r="CD36" s="1218"/>
      <c r="CE36" s="1218"/>
      <c r="CF36" s="1218"/>
      <c r="CH36" s="1218"/>
      <c r="CI36" s="1218"/>
      <c r="CJ36" s="1218"/>
      <c r="CK36" s="1218"/>
      <c r="CL36" s="1218"/>
      <c r="CM36" s="1218"/>
      <c r="CN36" s="1218"/>
      <c r="CP36" s="1218"/>
      <c r="DT36" s="70"/>
      <c r="DU36" s="70"/>
      <c r="DV36" s="70"/>
      <c r="DW36" s="70"/>
      <c r="DX36" s="70"/>
      <c r="DY36" s="70"/>
      <c r="EL36" s="70"/>
      <c r="EM36" s="70"/>
      <c r="EN36" s="70"/>
      <c r="EO36" s="70"/>
    </row>
    <row r="37" spans="1:145" s="21" customFormat="1" ht="8.1" customHeight="1" thickBot="1" x14ac:dyDescent="0.25">
      <c r="A37" s="25"/>
      <c r="B37" s="25"/>
      <c r="C37" s="940"/>
      <c r="D37" s="13"/>
      <c r="E37" s="700"/>
      <c r="F37" s="6594"/>
      <c r="G37" s="6594"/>
      <c r="H37" s="6594"/>
      <c r="I37" s="6594"/>
      <c r="J37" s="928"/>
      <c r="K37" s="928"/>
      <c r="L37" s="928"/>
      <c r="M37" s="928"/>
      <c r="N37" s="928"/>
      <c r="O37" s="3934"/>
      <c r="P37" s="933"/>
      <c r="S37" s="4075"/>
      <c r="V37" s="70"/>
      <c r="W37" s="70"/>
      <c r="X37" s="70"/>
      <c r="Y37" s="70"/>
      <c r="Z37" s="70"/>
      <c r="AA37" s="70"/>
      <c r="AB37" s="70"/>
      <c r="AD37" s="70"/>
      <c r="AE37" s="70"/>
      <c r="AF37" s="70"/>
      <c r="AG37" s="70"/>
      <c r="AH37" s="70"/>
      <c r="AI37" s="70"/>
      <c r="AJ37" s="70"/>
      <c r="AL37" s="70"/>
      <c r="AM37" s="70"/>
      <c r="AN37" s="70"/>
      <c r="AO37" s="70"/>
      <c r="AP37" s="70"/>
      <c r="AQ37" s="70"/>
      <c r="AR37" s="70"/>
      <c r="AT37" s="70"/>
      <c r="AU37" s="70"/>
      <c r="AV37" s="70"/>
      <c r="AW37" s="70"/>
      <c r="AX37" s="70"/>
      <c r="AY37" s="70"/>
      <c r="AZ37" s="70"/>
      <c r="BB37" s="70"/>
      <c r="BC37" s="70"/>
      <c r="BD37" s="70"/>
      <c r="BE37" s="70"/>
      <c r="BF37" s="70"/>
      <c r="BG37" s="70"/>
      <c r="BH37" s="70"/>
      <c r="BJ37" s="70"/>
      <c r="BK37" s="70"/>
      <c r="BL37" s="70"/>
      <c r="BM37" s="70"/>
      <c r="BN37" s="70"/>
      <c r="BO37" s="70"/>
      <c r="BP37" s="70"/>
      <c r="BR37" s="70"/>
      <c r="BS37" s="70"/>
      <c r="BT37" s="70"/>
      <c r="BU37" s="70"/>
      <c r="BV37" s="70"/>
      <c r="BW37" s="70"/>
      <c r="BX37" s="70"/>
      <c r="BZ37" s="70"/>
      <c r="CA37" s="70"/>
      <c r="CB37" s="70"/>
      <c r="CC37" s="70"/>
      <c r="CD37" s="70"/>
      <c r="CE37" s="70"/>
      <c r="CF37" s="70"/>
      <c r="CH37" s="70"/>
      <c r="CI37" s="70"/>
      <c r="CJ37" s="70"/>
      <c r="CK37" s="70"/>
      <c r="CL37" s="70"/>
      <c r="CM37" s="70"/>
      <c r="CN37" s="70"/>
      <c r="CP37" s="78"/>
      <c r="DT37" s="70"/>
      <c r="DU37" s="70"/>
      <c r="DV37" s="70"/>
      <c r="DW37" s="70"/>
      <c r="DX37" s="70"/>
      <c r="DY37" s="70"/>
      <c r="EL37" s="70"/>
      <c r="EM37" s="70"/>
      <c r="EN37" s="70"/>
      <c r="EO37" s="70"/>
    </row>
    <row r="38" spans="1:145" s="21" customFormat="1" ht="15" customHeight="1" thickBot="1" x14ac:dyDescent="0.25">
      <c r="A38" s="25"/>
      <c r="B38" s="25"/>
      <c r="C38" s="940"/>
      <c r="D38" s="13"/>
      <c r="E38" s="700"/>
      <c r="F38" s="3924"/>
      <c r="G38" s="3924"/>
      <c r="H38" s="3924"/>
      <c r="I38" s="928"/>
      <c r="J38" s="928"/>
      <c r="K38" s="928"/>
      <c r="L38" s="928"/>
      <c r="M38" s="928"/>
      <c r="N38" s="928"/>
      <c r="O38" s="3934"/>
      <c r="P38" s="933"/>
      <c r="Q38" s="14"/>
      <c r="R38" s="4076"/>
      <c r="S38" s="4073"/>
      <c r="T38" s="4077"/>
      <c r="V38" s="695"/>
      <c r="W38" s="927"/>
      <c r="X38" s="1121"/>
      <c r="Y38" s="927"/>
      <c r="Z38" s="927"/>
      <c r="AA38" s="927"/>
      <c r="AB38" s="1122"/>
      <c r="AD38" s="695"/>
      <c r="AE38" s="927"/>
      <c r="AF38" s="1121"/>
      <c r="AG38" s="927"/>
      <c r="AH38" s="927"/>
      <c r="AI38" s="927"/>
      <c r="AJ38" s="1122"/>
      <c r="AL38" s="695"/>
      <c r="AM38" s="927"/>
      <c r="AN38" s="1121"/>
      <c r="AO38" s="927"/>
      <c r="AP38" s="927"/>
      <c r="AQ38" s="927"/>
      <c r="AR38" s="1122"/>
      <c r="AT38" s="695"/>
      <c r="AU38" s="927"/>
      <c r="AV38" s="1121"/>
      <c r="AW38" s="927"/>
      <c r="AX38" s="927"/>
      <c r="AY38" s="927"/>
      <c r="AZ38" s="1122"/>
      <c r="BB38" s="695"/>
      <c r="BC38" s="927"/>
      <c r="BD38" s="1121"/>
      <c r="BE38" s="927"/>
      <c r="BF38" s="927"/>
      <c r="BG38" s="927"/>
      <c r="BH38" s="1122"/>
      <c r="BJ38" s="695"/>
      <c r="BK38" s="927"/>
      <c r="BL38" s="1121"/>
      <c r="BM38" s="927"/>
      <c r="BN38" s="927"/>
      <c r="BO38" s="927"/>
      <c r="BP38" s="1122"/>
      <c r="BR38" s="695"/>
      <c r="BS38" s="927"/>
      <c r="BT38" s="1121"/>
      <c r="BU38" s="927"/>
      <c r="BV38" s="927"/>
      <c r="BW38" s="927"/>
      <c r="BX38" s="1122"/>
      <c r="BZ38" s="695"/>
      <c r="CA38" s="927"/>
      <c r="CB38" s="1121"/>
      <c r="CC38" s="927"/>
      <c r="CD38" s="927"/>
      <c r="CE38" s="927"/>
      <c r="CF38" s="1122"/>
      <c r="CH38" s="695"/>
      <c r="CI38" s="927"/>
      <c r="CJ38" s="1121"/>
      <c r="CK38" s="927"/>
      <c r="CL38" s="927"/>
      <c r="CM38" s="927"/>
      <c r="CN38" s="1122"/>
      <c r="CP38" s="928"/>
      <c r="DT38" s="70"/>
      <c r="DU38" s="70"/>
      <c r="DV38" s="70"/>
      <c r="DW38" s="70"/>
      <c r="DX38" s="70"/>
      <c r="DY38" s="70"/>
      <c r="EL38" s="70"/>
      <c r="EM38" s="70"/>
      <c r="EN38" s="70"/>
      <c r="EO38" s="70"/>
    </row>
    <row r="39" spans="1:145" s="21" customFormat="1" ht="20.100000000000001" customHeight="1" thickBot="1" x14ac:dyDescent="0.25">
      <c r="A39" s="25"/>
      <c r="B39" s="25"/>
      <c r="C39" s="940"/>
      <c r="D39" s="13"/>
      <c r="E39" s="700"/>
      <c r="F39" s="3934" t="str">
        <f>_Calcs!$M$31</f>
        <v>Fullt tverrsnitt – redusert salvelengde</v>
      </c>
      <c r="G39" s="679"/>
      <c r="H39" s="679"/>
      <c r="I39" s="928"/>
      <c r="J39" s="2283" t="s">
        <v>149</v>
      </c>
      <c r="K39" s="928"/>
      <c r="L39" s="928"/>
      <c r="M39" s="928"/>
      <c r="N39" s="928"/>
      <c r="O39" s="3934" t="s">
        <v>86</v>
      </c>
      <c r="P39" s="929"/>
      <c r="Q39" s="14"/>
      <c r="R39" s="4078"/>
      <c r="S39" s="2301">
        <f>_Calcs!BD194</f>
        <v>0</v>
      </c>
      <c r="T39" s="4079"/>
      <c r="V39" s="700"/>
      <c r="W39" s="928"/>
      <c r="X39" s="4080"/>
      <c r="Y39" s="1931"/>
      <c r="Z39" s="3884" t="str">
        <f>IF(_Calcs!$NO$391=1,"✓","!")</f>
        <v>!</v>
      </c>
      <c r="AA39" s="1932"/>
      <c r="AB39" s="1933"/>
      <c r="AC39" s="191"/>
      <c r="AD39" s="1934"/>
      <c r="AE39" s="1931"/>
      <c r="AF39" s="2480"/>
      <c r="AG39" s="1931"/>
      <c r="AH39" s="3884" t="str">
        <f>IF(_Calcs!$NP$391=1,"✓","!")</f>
        <v>!</v>
      </c>
      <c r="AI39" s="1932"/>
      <c r="AJ39" s="1933"/>
      <c r="AK39" s="191"/>
      <c r="AL39" s="1934"/>
      <c r="AM39" s="1931"/>
      <c r="AN39" s="2480"/>
      <c r="AO39" s="1931"/>
      <c r="AP39" s="3884" t="str">
        <f>IF(_Calcs!$NQ$391=1,"✓","!")</f>
        <v>!</v>
      </c>
      <c r="AQ39" s="1932"/>
      <c r="AR39" s="1933"/>
      <c r="AS39" s="191"/>
      <c r="AT39" s="1934"/>
      <c r="AU39" s="1931"/>
      <c r="AV39" s="2480"/>
      <c r="AW39" s="1931"/>
      <c r="AX39" s="3884" t="str">
        <f>IF(_Calcs!$NR$391=1,"✓","!")</f>
        <v>!</v>
      </c>
      <c r="AY39" s="1932"/>
      <c r="AZ39" s="1933"/>
      <c r="BA39" s="191"/>
      <c r="BB39" s="1934"/>
      <c r="BC39" s="1931"/>
      <c r="BD39" s="2480"/>
      <c r="BE39" s="1931"/>
      <c r="BF39" s="3884" t="str">
        <f>IF(_Calcs!$NS$391=1,"✓","!")</f>
        <v>!</v>
      </c>
      <c r="BG39" s="1932"/>
      <c r="BH39" s="1933"/>
      <c r="BI39" s="191"/>
      <c r="BJ39" s="1934"/>
      <c r="BK39" s="1931"/>
      <c r="BL39" s="2480"/>
      <c r="BM39" s="1931"/>
      <c r="BN39" s="3884" t="str">
        <f>IF(_Calcs!$NT$391=1,"✓","!")</f>
        <v>!</v>
      </c>
      <c r="BO39" s="1932"/>
      <c r="BP39" s="1933"/>
      <c r="BQ39" s="191"/>
      <c r="BR39" s="1934"/>
      <c r="BS39" s="1931"/>
      <c r="BT39" s="2480"/>
      <c r="BU39" s="1931"/>
      <c r="BV39" s="3884" t="str">
        <f>IF(_Calcs!$NU$391=1,"✓","!")</f>
        <v>!</v>
      </c>
      <c r="BW39" s="1932"/>
      <c r="BX39" s="1933"/>
      <c r="BY39" s="191"/>
      <c r="BZ39" s="1934"/>
      <c r="CA39" s="1931"/>
      <c r="CB39" s="2480"/>
      <c r="CC39" s="1931"/>
      <c r="CD39" s="3884" t="str">
        <f>IF(_Calcs!$NV$391=1,"✓","!")</f>
        <v>!</v>
      </c>
      <c r="CE39" s="1932"/>
      <c r="CF39" s="1933"/>
      <c r="CG39" s="191"/>
      <c r="CH39" s="1934"/>
      <c r="CI39" s="1931"/>
      <c r="CJ39" s="2480"/>
      <c r="CK39" s="1931"/>
      <c r="CL39" s="3884" t="str">
        <f>IF(_Calcs!$NW$391=1,"✓","!")</f>
        <v>!</v>
      </c>
      <c r="CM39" s="1932"/>
      <c r="CN39" s="1933"/>
      <c r="CO39" s="191"/>
      <c r="CP39" s="1932"/>
      <c r="CQ39" s="191"/>
      <c r="CR39" s="191"/>
      <c r="CS39" s="191"/>
      <c r="CT39" s="191"/>
      <c r="CU39" s="191"/>
      <c r="CV39" s="191"/>
      <c r="CW39" s="191"/>
      <c r="CX39" s="191"/>
      <c r="CY39" s="191"/>
      <c r="CZ39" s="191"/>
      <c r="DA39" s="191"/>
      <c r="DB39" s="191"/>
      <c r="DC39" s="191"/>
      <c r="DD39" s="191"/>
      <c r="DE39" s="191"/>
      <c r="DF39" s="191"/>
      <c r="DG39" s="191"/>
      <c r="DH39" s="191"/>
      <c r="DI39" s="191"/>
      <c r="DT39" s="70"/>
      <c r="DU39" s="70"/>
      <c r="DV39" s="70"/>
      <c r="DW39" s="70"/>
      <c r="DX39" s="70"/>
      <c r="DY39" s="70"/>
      <c r="EL39" s="70"/>
      <c r="EM39" s="70"/>
      <c r="EN39" s="70"/>
      <c r="EO39" s="70"/>
    </row>
    <row r="40" spans="1:145" s="21" customFormat="1" ht="15" customHeight="1" thickBot="1" x14ac:dyDescent="0.25">
      <c r="A40" s="25"/>
      <c r="B40" s="25"/>
      <c r="C40" s="940"/>
      <c r="D40" s="13"/>
      <c r="E40" s="700"/>
      <c r="F40" s="3934"/>
      <c r="G40" s="679"/>
      <c r="H40" s="679"/>
      <c r="I40" s="928"/>
      <c r="J40" s="928"/>
      <c r="K40" s="928"/>
      <c r="L40" s="928"/>
      <c r="M40" s="928"/>
      <c r="N40" s="928"/>
      <c r="O40" s="3934"/>
      <c r="P40" s="929"/>
      <c r="Q40" s="14"/>
      <c r="R40" s="4081"/>
      <c r="S40" s="4082"/>
      <c r="T40" s="4083"/>
      <c r="V40" s="700"/>
      <c r="W40" s="928"/>
      <c r="X40" s="65"/>
      <c r="Y40" s="1931"/>
      <c r="Z40" s="1931"/>
      <c r="AA40" s="1931"/>
      <c r="AB40" s="1933"/>
      <c r="AC40" s="191"/>
      <c r="AD40" s="1934"/>
      <c r="AE40" s="1931"/>
      <c r="AF40" s="65"/>
      <c r="AG40" s="1931"/>
      <c r="AH40" s="1931"/>
      <c r="AI40" s="1931"/>
      <c r="AJ40" s="1933"/>
      <c r="AK40" s="191"/>
      <c r="AL40" s="1934"/>
      <c r="AM40" s="1931"/>
      <c r="AN40" s="65"/>
      <c r="AO40" s="1931"/>
      <c r="AP40" s="1931"/>
      <c r="AQ40" s="1931"/>
      <c r="AR40" s="1933"/>
      <c r="AS40" s="191"/>
      <c r="AT40" s="1934"/>
      <c r="AU40" s="1931"/>
      <c r="AV40" s="65"/>
      <c r="AW40" s="1931"/>
      <c r="AX40" s="1931"/>
      <c r="AY40" s="1931"/>
      <c r="AZ40" s="1933"/>
      <c r="BA40" s="191"/>
      <c r="BB40" s="1934"/>
      <c r="BC40" s="1931"/>
      <c r="BD40" s="65"/>
      <c r="BE40" s="1931"/>
      <c r="BF40" s="1931"/>
      <c r="BG40" s="1931"/>
      <c r="BH40" s="1933"/>
      <c r="BI40" s="191"/>
      <c r="BJ40" s="1934"/>
      <c r="BK40" s="1931"/>
      <c r="BL40" s="65"/>
      <c r="BM40" s="1931"/>
      <c r="BN40" s="1931"/>
      <c r="BO40" s="1931"/>
      <c r="BP40" s="1933"/>
      <c r="BQ40" s="191"/>
      <c r="BR40" s="1934"/>
      <c r="BS40" s="1931"/>
      <c r="BT40" s="65"/>
      <c r="BU40" s="1931"/>
      <c r="BV40" s="1931"/>
      <c r="BW40" s="1931"/>
      <c r="BX40" s="1933"/>
      <c r="BY40" s="191"/>
      <c r="BZ40" s="1934"/>
      <c r="CA40" s="1931"/>
      <c r="CB40" s="65"/>
      <c r="CC40" s="1931"/>
      <c r="CD40" s="1931"/>
      <c r="CE40" s="1931"/>
      <c r="CF40" s="1933"/>
      <c r="CG40" s="191"/>
      <c r="CH40" s="1934"/>
      <c r="CI40" s="1931"/>
      <c r="CJ40" s="65"/>
      <c r="CK40" s="1931"/>
      <c r="CL40" s="1931"/>
      <c r="CM40" s="1931"/>
      <c r="CN40" s="1933"/>
      <c r="CO40" s="191"/>
      <c r="CP40" s="1931"/>
      <c r="CQ40" s="191"/>
      <c r="CR40" s="191"/>
      <c r="CS40" s="191"/>
      <c r="CT40" s="191"/>
      <c r="CU40" s="191"/>
      <c r="CV40" s="191"/>
      <c r="CW40" s="191"/>
      <c r="CX40" s="191"/>
      <c r="CY40" s="191"/>
      <c r="CZ40" s="191"/>
      <c r="DA40" s="191"/>
      <c r="DB40" s="191"/>
      <c r="DC40" s="191"/>
      <c r="DD40" s="191"/>
      <c r="DE40" s="191"/>
      <c r="DF40" s="191"/>
      <c r="DG40" s="191"/>
      <c r="DH40" s="191"/>
      <c r="DI40" s="191"/>
      <c r="DT40" s="70"/>
      <c r="DU40" s="70"/>
      <c r="DV40" s="70"/>
      <c r="DW40" s="70"/>
      <c r="DX40" s="70"/>
      <c r="DY40" s="70"/>
      <c r="EL40" s="70"/>
      <c r="EM40" s="70"/>
      <c r="EN40" s="70"/>
      <c r="EO40" s="70"/>
    </row>
    <row r="41" spans="1:145" s="21" customFormat="1" ht="20.100000000000001" customHeight="1" thickBot="1" x14ac:dyDescent="0.25">
      <c r="A41" s="25"/>
      <c r="B41" s="25"/>
      <c r="C41" s="940"/>
      <c r="D41" s="13"/>
      <c r="E41" s="700"/>
      <c r="F41" s="3934" t="str">
        <f>_Calcs!$M$32</f>
        <v>Todelt tverrsnitt – normal salvelengde</v>
      </c>
      <c r="G41" s="679"/>
      <c r="H41" s="679"/>
      <c r="I41" s="928"/>
      <c r="J41" s="2283" t="s">
        <v>149</v>
      </c>
      <c r="K41" s="928"/>
      <c r="L41" s="928"/>
      <c r="M41" s="928"/>
      <c r="N41" s="928"/>
      <c r="O41" s="3934" t="s">
        <v>86</v>
      </c>
      <c r="P41" s="929"/>
      <c r="Q41" s="14"/>
      <c r="R41" s="4078"/>
      <c r="S41" s="2301">
        <f>_Calcs!BD195</f>
        <v>0</v>
      </c>
      <c r="T41" s="4079"/>
      <c r="V41" s="700"/>
      <c r="W41" s="928"/>
      <c r="X41" s="4080"/>
      <c r="Y41" s="1931"/>
      <c r="Z41" s="3884" t="str">
        <f>IF(_Calcs!$NO$392=1,"✓","!")</f>
        <v>!</v>
      </c>
      <c r="AA41" s="1932"/>
      <c r="AB41" s="1933"/>
      <c r="AC41" s="191"/>
      <c r="AD41" s="1934"/>
      <c r="AE41" s="1931"/>
      <c r="AF41" s="2480"/>
      <c r="AG41" s="1931"/>
      <c r="AH41" s="3884" t="str">
        <f>IF(_Calcs!$NP$392=1,"✓","!")</f>
        <v>!</v>
      </c>
      <c r="AI41" s="1932"/>
      <c r="AJ41" s="1933"/>
      <c r="AK41" s="191"/>
      <c r="AL41" s="1934"/>
      <c r="AM41" s="1931"/>
      <c r="AN41" s="2480"/>
      <c r="AO41" s="1931"/>
      <c r="AP41" s="3884" t="str">
        <f>IF(_Calcs!$NQ$392=1,"✓","!")</f>
        <v>!</v>
      </c>
      <c r="AQ41" s="1932"/>
      <c r="AR41" s="1933"/>
      <c r="AS41" s="191"/>
      <c r="AT41" s="1934"/>
      <c r="AU41" s="1931"/>
      <c r="AV41" s="2480"/>
      <c r="AW41" s="1931"/>
      <c r="AX41" s="3884" t="str">
        <f>IF(_Calcs!$NR$392=1,"✓","!")</f>
        <v>!</v>
      </c>
      <c r="AY41" s="1932"/>
      <c r="AZ41" s="1933"/>
      <c r="BA41" s="191"/>
      <c r="BB41" s="1934"/>
      <c r="BC41" s="1931"/>
      <c r="BD41" s="2480"/>
      <c r="BE41" s="1931"/>
      <c r="BF41" s="3884" t="str">
        <f>IF(_Calcs!$NS$392=1,"✓","!")</f>
        <v>!</v>
      </c>
      <c r="BG41" s="1932"/>
      <c r="BH41" s="1933"/>
      <c r="BI41" s="191"/>
      <c r="BJ41" s="1934"/>
      <c r="BK41" s="1931"/>
      <c r="BL41" s="2480"/>
      <c r="BM41" s="1931"/>
      <c r="BN41" s="3884" t="str">
        <f>IF(_Calcs!$NT$392=1,"✓","!")</f>
        <v>!</v>
      </c>
      <c r="BO41" s="1932"/>
      <c r="BP41" s="1933"/>
      <c r="BQ41" s="191"/>
      <c r="BR41" s="1934"/>
      <c r="BS41" s="1931"/>
      <c r="BT41" s="2480"/>
      <c r="BU41" s="1931"/>
      <c r="BV41" s="3884" t="str">
        <f>IF(_Calcs!$NU$392=1,"✓","!")</f>
        <v>!</v>
      </c>
      <c r="BW41" s="1932"/>
      <c r="BX41" s="1933"/>
      <c r="BY41" s="191"/>
      <c r="BZ41" s="1934"/>
      <c r="CA41" s="1931"/>
      <c r="CB41" s="2480"/>
      <c r="CC41" s="1931"/>
      <c r="CD41" s="3884" t="str">
        <f>IF(_Calcs!$NV$392=1,"✓","!")</f>
        <v>!</v>
      </c>
      <c r="CE41" s="1932"/>
      <c r="CF41" s="1933"/>
      <c r="CG41" s="191"/>
      <c r="CH41" s="1934"/>
      <c r="CI41" s="1931"/>
      <c r="CJ41" s="2480"/>
      <c r="CK41" s="1931"/>
      <c r="CL41" s="3884" t="str">
        <f>IF(_Calcs!$NW$392=1,"✓","!")</f>
        <v>!</v>
      </c>
      <c r="CM41" s="1932"/>
      <c r="CN41" s="1933"/>
      <c r="CO41" s="191"/>
      <c r="CP41" s="1932"/>
      <c r="CQ41" s="191"/>
      <c r="CR41" s="191"/>
      <c r="CS41" s="191"/>
      <c r="CT41" s="191"/>
      <c r="CU41" s="191"/>
      <c r="CV41" s="191"/>
      <c r="CW41" s="191"/>
      <c r="CX41" s="191"/>
      <c r="CY41" s="191"/>
      <c r="CZ41" s="191"/>
      <c r="DA41" s="191"/>
      <c r="DB41" s="191"/>
      <c r="DC41" s="191"/>
      <c r="DD41" s="191"/>
      <c r="DE41" s="191"/>
      <c r="DF41" s="191"/>
      <c r="DG41" s="191"/>
      <c r="DH41" s="191"/>
      <c r="DI41" s="191"/>
      <c r="DT41" s="70"/>
      <c r="DU41" s="70"/>
      <c r="DV41" s="70"/>
      <c r="DW41" s="70"/>
      <c r="DX41" s="70"/>
      <c r="DY41" s="70"/>
      <c r="EL41" s="70"/>
      <c r="EM41" s="70"/>
      <c r="EN41" s="70"/>
      <c r="EO41" s="70"/>
    </row>
    <row r="42" spans="1:145" s="21" customFormat="1" ht="15" customHeight="1" thickBot="1" x14ac:dyDescent="0.25">
      <c r="A42" s="25"/>
      <c r="B42" s="25"/>
      <c r="C42" s="940"/>
      <c r="D42" s="13"/>
      <c r="E42" s="700"/>
      <c r="F42" s="3934"/>
      <c r="G42" s="679"/>
      <c r="H42" s="679"/>
      <c r="I42" s="928"/>
      <c r="J42" s="928"/>
      <c r="K42" s="928"/>
      <c r="L42" s="928"/>
      <c r="M42" s="928"/>
      <c r="N42" s="928"/>
      <c r="O42" s="3934"/>
      <c r="P42" s="929"/>
      <c r="Q42" s="14"/>
      <c r="R42" s="4078"/>
      <c r="S42" s="4084"/>
      <c r="T42" s="4079"/>
      <c r="V42" s="700"/>
      <c r="W42" s="928"/>
      <c r="X42" s="65"/>
      <c r="Y42" s="1931"/>
      <c r="Z42" s="1931"/>
      <c r="AA42" s="1931"/>
      <c r="AB42" s="1933"/>
      <c r="AC42" s="191"/>
      <c r="AD42" s="1934"/>
      <c r="AE42" s="1931"/>
      <c r="AF42" s="65"/>
      <c r="AG42" s="1931"/>
      <c r="AH42" s="1931"/>
      <c r="AI42" s="1931"/>
      <c r="AJ42" s="1933"/>
      <c r="AK42" s="191"/>
      <c r="AL42" s="1934"/>
      <c r="AM42" s="1931"/>
      <c r="AN42" s="65"/>
      <c r="AO42" s="1931"/>
      <c r="AP42" s="1931"/>
      <c r="AQ42" s="1931"/>
      <c r="AR42" s="1933"/>
      <c r="AS42" s="191"/>
      <c r="AT42" s="1934"/>
      <c r="AU42" s="1931"/>
      <c r="AV42" s="65"/>
      <c r="AW42" s="1931"/>
      <c r="AX42" s="1931"/>
      <c r="AY42" s="1931"/>
      <c r="AZ42" s="1933"/>
      <c r="BA42" s="191"/>
      <c r="BB42" s="1934"/>
      <c r="BC42" s="1931"/>
      <c r="BD42" s="65"/>
      <c r="BE42" s="1931"/>
      <c r="BF42" s="1931"/>
      <c r="BG42" s="1931"/>
      <c r="BH42" s="1933"/>
      <c r="BI42" s="191"/>
      <c r="BJ42" s="1934"/>
      <c r="BK42" s="1931"/>
      <c r="BL42" s="65"/>
      <c r="BM42" s="1931"/>
      <c r="BN42" s="1931"/>
      <c r="BO42" s="1931"/>
      <c r="BP42" s="1933"/>
      <c r="BQ42" s="191"/>
      <c r="BR42" s="1934"/>
      <c r="BS42" s="1931"/>
      <c r="BT42" s="65"/>
      <c r="BU42" s="1931"/>
      <c r="BV42" s="1931"/>
      <c r="BW42" s="1931"/>
      <c r="BX42" s="1933"/>
      <c r="BY42" s="191"/>
      <c r="BZ42" s="1934"/>
      <c r="CA42" s="1931"/>
      <c r="CB42" s="65"/>
      <c r="CC42" s="1931"/>
      <c r="CD42" s="1931"/>
      <c r="CE42" s="1931"/>
      <c r="CF42" s="1933"/>
      <c r="CG42" s="191"/>
      <c r="CH42" s="1934"/>
      <c r="CI42" s="1931"/>
      <c r="CJ42" s="65"/>
      <c r="CK42" s="1931"/>
      <c r="CL42" s="1931"/>
      <c r="CM42" s="1931"/>
      <c r="CN42" s="1933"/>
      <c r="CO42" s="191"/>
      <c r="CP42" s="1931"/>
      <c r="CQ42" s="191"/>
      <c r="CR42" s="191"/>
      <c r="CS42" s="191"/>
      <c r="CT42" s="191"/>
      <c r="CU42" s="191"/>
      <c r="CV42" s="191"/>
      <c r="CW42" s="191"/>
      <c r="CX42" s="191"/>
      <c r="CY42" s="191"/>
      <c r="CZ42" s="191"/>
      <c r="DA42" s="191"/>
      <c r="DB42" s="191"/>
      <c r="DC42" s="191"/>
      <c r="DD42" s="191"/>
      <c r="DE42" s="191"/>
      <c r="DF42" s="191"/>
      <c r="DG42" s="191"/>
      <c r="DH42" s="191"/>
      <c r="DI42" s="191"/>
      <c r="DT42" s="70"/>
      <c r="DU42" s="70"/>
      <c r="DV42" s="70"/>
      <c r="DW42" s="70"/>
      <c r="DX42" s="70"/>
      <c r="DY42" s="70"/>
      <c r="EL42" s="70"/>
      <c r="EM42" s="70"/>
      <c r="EN42" s="70"/>
      <c r="EO42" s="70"/>
    </row>
    <row r="43" spans="1:145" s="21" customFormat="1" ht="20.100000000000001" customHeight="1" thickBot="1" x14ac:dyDescent="0.25">
      <c r="A43" s="25"/>
      <c r="B43" s="25"/>
      <c r="C43" s="940"/>
      <c r="D43" s="13"/>
      <c r="E43" s="700"/>
      <c r="F43" s="6585" t="str">
        <f>_Calcs!$M$33</f>
        <v>Todelt tverrsnitt – redusert salvelengde</v>
      </c>
      <c r="G43" s="6585"/>
      <c r="H43" s="6585"/>
      <c r="I43" s="6585"/>
      <c r="J43" s="2283" t="s">
        <v>149</v>
      </c>
      <c r="K43" s="928"/>
      <c r="L43" s="928"/>
      <c r="M43" s="928"/>
      <c r="N43" s="928"/>
      <c r="O43" s="3934" t="s">
        <v>86</v>
      </c>
      <c r="P43" s="929"/>
      <c r="Q43" s="14"/>
      <c r="R43" s="4078"/>
      <c r="S43" s="2301">
        <f>_Calcs!BD196</f>
        <v>0</v>
      </c>
      <c r="T43" s="4079"/>
      <c r="V43" s="700"/>
      <c r="W43" s="928"/>
      <c r="X43" s="4080"/>
      <c r="Y43" s="1931"/>
      <c r="Z43" s="3884" t="str">
        <f>IF(_Calcs!$NO$393=1,"✓","!")</f>
        <v>!</v>
      </c>
      <c r="AA43" s="1932"/>
      <c r="AB43" s="1933"/>
      <c r="AC43" s="191"/>
      <c r="AD43" s="1934"/>
      <c r="AE43" s="1931"/>
      <c r="AF43" s="2480"/>
      <c r="AG43" s="1931"/>
      <c r="AH43" s="3884" t="str">
        <f>IF(_Calcs!$NP$393=1,"✓","!")</f>
        <v>!</v>
      </c>
      <c r="AI43" s="1932"/>
      <c r="AJ43" s="1933"/>
      <c r="AK43" s="191"/>
      <c r="AL43" s="1934"/>
      <c r="AM43" s="1931"/>
      <c r="AN43" s="2480"/>
      <c r="AO43" s="1931"/>
      <c r="AP43" s="3884" t="str">
        <f>IF(_Calcs!$NQ$393=1,"✓","!")</f>
        <v>!</v>
      </c>
      <c r="AQ43" s="1932"/>
      <c r="AR43" s="1933"/>
      <c r="AS43" s="191"/>
      <c r="AT43" s="1934"/>
      <c r="AU43" s="1931"/>
      <c r="AV43" s="2480"/>
      <c r="AW43" s="1931"/>
      <c r="AX43" s="3884" t="str">
        <f>IF(_Calcs!$NR$393=1,"✓","!")</f>
        <v>!</v>
      </c>
      <c r="AY43" s="1932"/>
      <c r="AZ43" s="1933"/>
      <c r="BA43" s="191"/>
      <c r="BB43" s="1934"/>
      <c r="BC43" s="1931"/>
      <c r="BD43" s="2480"/>
      <c r="BE43" s="1931"/>
      <c r="BF43" s="3884" t="str">
        <f>IF(_Calcs!$NS$393=1,"✓","!")</f>
        <v>!</v>
      </c>
      <c r="BG43" s="1932"/>
      <c r="BH43" s="1933"/>
      <c r="BI43" s="191"/>
      <c r="BJ43" s="1934"/>
      <c r="BK43" s="1931"/>
      <c r="BL43" s="2480"/>
      <c r="BM43" s="1931"/>
      <c r="BN43" s="3884" t="str">
        <f>IF(_Calcs!$NT$393=1,"✓","!")</f>
        <v>!</v>
      </c>
      <c r="BO43" s="1932"/>
      <c r="BP43" s="1933"/>
      <c r="BQ43" s="191"/>
      <c r="BR43" s="1934"/>
      <c r="BS43" s="1931"/>
      <c r="BT43" s="2480"/>
      <c r="BU43" s="1931"/>
      <c r="BV43" s="3884" t="str">
        <f>IF(_Calcs!$NU$393=1,"✓","!")</f>
        <v>!</v>
      </c>
      <c r="BW43" s="1932"/>
      <c r="BX43" s="1933"/>
      <c r="BY43" s="191"/>
      <c r="BZ43" s="1934"/>
      <c r="CA43" s="1931"/>
      <c r="CB43" s="2480"/>
      <c r="CC43" s="1931"/>
      <c r="CD43" s="3884" t="str">
        <f>IF(_Calcs!$NV$393=1,"✓","!")</f>
        <v>!</v>
      </c>
      <c r="CE43" s="1932"/>
      <c r="CF43" s="1933"/>
      <c r="CG43" s="191"/>
      <c r="CH43" s="1934"/>
      <c r="CI43" s="1931"/>
      <c r="CJ43" s="2480"/>
      <c r="CK43" s="1931"/>
      <c r="CL43" s="3884" t="str">
        <f>IF(_Calcs!$NW$393=1,"✓","!")</f>
        <v>!</v>
      </c>
      <c r="CM43" s="1932"/>
      <c r="CN43" s="1933"/>
      <c r="CO43" s="191"/>
      <c r="CP43" s="1932"/>
      <c r="CQ43" s="191"/>
      <c r="CR43" s="191"/>
      <c r="CS43" s="191"/>
      <c r="CT43" s="191"/>
      <c r="CU43" s="191"/>
      <c r="CV43" s="191"/>
      <c r="CW43" s="191"/>
      <c r="CX43" s="191"/>
      <c r="CY43" s="191"/>
      <c r="CZ43" s="191"/>
      <c r="DA43" s="191"/>
      <c r="DB43" s="191"/>
      <c r="DC43" s="191"/>
      <c r="DD43" s="191"/>
      <c r="DE43" s="191"/>
      <c r="DF43" s="191"/>
      <c r="DG43" s="191"/>
      <c r="DH43" s="191"/>
      <c r="DI43" s="191"/>
      <c r="DT43" s="70"/>
      <c r="DU43" s="70"/>
      <c r="DV43" s="70"/>
      <c r="DW43" s="70"/>
      <c r="DX43" s="70"/>
      <c r="DY43" s="70"/>
      <c r="EL43" s="70"/>
      <c r="EM43" s="70"/>
      <c r="EN43" s="70"/>
      <c r="EO43" s="70"/>
    </row>
    <row r="44" spans="1:145" s="21" customFormat="1" ht="15" customHeight="1" thickBot="1" x14ac:dyDescent="0.25">
      <c r="A44" s="25"/>
      <c r="B44" s="25"/>
      <c r="C44" s="940"/>
      <c r="D44" s="13"/>
      <c r="E44" s="702"/>
      <c r="F44" s="717"/>
      <c r="G44" s="930"/>
      <c r="H44" s="930"/>
      <c r="I44" s="930"/>
      <c r="J44" s="930"/>
      <c r="K44" s="930"/>
      <c r="L44" s="930"/>
      <c r="M44" s="930"/>
      <c r="N44" s="930"/>
      <c r="O44" s="717"/>
      <c r="P44" s="931"/>
      <c r="Q44" s="14"/>
      <c r="R44" s="4085"/>
      <c r="S44" s="4086"/>
      <c r="T44" s="4033"/>
      <c r="V44" s="702"/>
      <c r="W44" s="930"/>
      <c r="X44" s="930"/>
      <c r="Y44" s="930"/>
      <c r="Z44" s="930"/>
      <c r="AA44" s="930"/>
      <c r="AB44" s="931"/>
      <c r="AD44" s="702"/>
      <c r="AE44" s="930"/>
      <c r="AF44" s="930"/>
      <c r="AG44" s="930"/>
      <c r="AH44" s="930"/>
      <c r="AI44" s="930"/>
      <c r="AJ44" s="931"/>
      <c r="AL44" s="702"/>
      <c r="AM44" s="930"/>
      <c r="AN44" s="930"/>
      <c r="AO44" s="930"/>
      <c r="AP44" s="930"/>
      <c r="AQ44" s="930"/>
      <c r="AR44" s="931"/>
      <c r="AT44" s="702"/>
      <c r="AU44" s="930"/>
      <c r="AV44" s="930"/>
      <c r="AW44" s="930"/>
      <c r="AX44" s="930"/>
      <c r="AY44" s="930"/>
      <c r="AZ44" s="931"/>
      <c r="BB44" s="702"/>
      <c r="BC44" s="930"/>
      <c r="BD44" s="930"/>
      <c r="BE44" s="930"/>
      <c r="BF44" s="930"/>
      <c r="BG44" s="930"/>
      <c r="BH44" s="931"/>
      <c r="BJ44" s="702"/>
      <c r="BK44" s="930"/>
      <c r="BL44" s="930"/>
      <c r="BM44" s="930"/>
      <c r="BN44" s="930"/>
      <c r="BO44" s="930"/>
      <c r="BP44" s="931"/>
      <c r="BR44" s="702"/>
      <c r="BS44" s="930"/>
      <c r="BT44" s="930"/>
      <c r="BU44" s="930"/>
      <c r="BV44" s="930"/>
      <c r="BW44" s="930"/>
      <c r="BX44" s="931"/>
      <c r="BZ44" s="702"/>
      <c r="CA44" s="930"/>
      <c r="CB44" s="930"/>
      <c r="CC44" s="930"/>
      <c r="CD44" s="930"/>
      <c r="CE44" s="930"/>
      <c r="CF44" s="931"/>
      <c r="CH44" s="702"/>
      <c r="CI44" s="930"/>
      <c r="CJ44" s="930"/>
      <c r="CK44" s="930"/>
      <c r="CL44" s="930"/>
      <c r="CM44" s="930"/>
      <c r="CN44" s="931"/>
      <c r="CP44" s="928"/>
      <c r="DT44" s="70"/>
      <c r="DU44" s="70"/>
      <c r="DV44" s="70"/>
      <c r="DW44" s="70"/>
      <c r="DX44" s="70"/>
      <c r="DY44" s="70"/>
      <c r="EL44" s="70"/>
      <c r="EM44" s="70"/>
      <c r="EN44" s="70"/>
      <c r="EO44" s="70"/>
    </row>
    <row r="45" spans="1:145" s="21" customFormat="1" ht="8.1" hidden="1" customHeight="1" x14ac:dyDescent="0.2">
      <c r="A45" s="25"/>
      <c r="B45" s="25"/>
      <c r="C45" s="940"/>
      <c r="D45" s="13"/>
      <c r="E45" s="700"/>
      <c r="F45" s="3936"/>
      <c r="G45" s="3936"/>
      <c r="H45" s="3936"/>
      <c r="I45" s="928"/>
      <c r="J45" s="928"/>
      <c r="K45" s="928"/>
      <c r="L45" s="928"/>
      <c r="M45" s="928"/>
      <c r="N45" s="928"/>
      <c r="O45" s="3934"/>
      <c r="P45" s="929"/>
      <c r="Q45" s="14"/>
      <c r="R45" s="78"/>
      <c r="S45" s="4087"/>
      <c r="T45" s="78"/>
      <c r="V45" s="20"/>
      <c r="W45" s="20"/>
      <c r="X45" s="20"/>
      <c r="Y45" s="20"/>
      <c r="Z45" s="20"/>
      <c r="AA45" s="20"/>
      <c r="AB45" s="20"/>
      <c r="AD45" s="20"/>
      <c r="AE45" s="20"/>
      <c r="AF45" s="20"/>
      <c r="AG45" s="20"/>
      <c r="AH45" s="20"/>
      <c r="AI45" s="20"/>
      <c r="AJ45" s="20"/>
      <c r="AL45" s="20"/>
      <c r="AM45" s="20"/>
      <c r="AN45" s="20"/>
      <c r="AO45" s="20"/>
      <c r="AP45" s="20"/>
      <c r="AQ45" s="20"/>
      <c r="AR45" s="20"/>
      <c r="AT45" s="20"/>
      <c r="AU45" s="20"/>
      <c r="AV45" s="20"/>
      <c r="AW45" s="20"/>
      <c r="AX45" s="20"/>
      <c r="AY45" s="20"/>
      <c r="AZ45" s="20"/>
      <c r="BB45" s="20"/>
      <c r="BC45" s="20"/>
      <c r="BD45" s="20"/>
      <c r="BE45" s="20"/>
      <c r="BF45" s="20"/>
      <c r="BG45" s="20"/>
      <c r="BH45" s="20"/>
      <c r="BJ45" s="20"/>
      <c r="BK45" s="20"/>
      <c r="BL45" s="20"/>
      <c r="BM45" s="20"/>
      <c r="BN45" s="20"/>
      <c r="BO45" s="20"/>
      <c r="BP45" s="20"/>
      <c r="BR45" s="20"/>
      <c r="BS45" s="20"/>
      <c r="BT45" s="20"/>
      <c r="BU45" s="20"/>
      <c r="BV45" s="20"/>
      <c r="BW45" s="20"/>
      <c r="BX45" s="20"/>
      <c r="BZ45" s="20"/>
      <c r="CA45" s="20"/>
      <c r="CB45" s="20"/>
      <c r="CC45" s="20"/>
      <c r="CD45" s="20"/>
      <c r="CE45" s="20"/>
      <c r="CF45" s="20"/>
      <c r="CH45" s="20"/>
      <c r="CI45" s="20"/>
      <c r="CJ45" s="20"/>
      <c r="CK45" s="20"/>
      <c r="CL45" s="20"/>
      <c r="CM45" s="20"/>
      <c r="CN45" s="20"/>
      <c r="CP45" s="20"/>
      <c r="DT45" s="70"/>
      <c r="DU45" s="70"/>
      <c r="DV45" s="70"/>
      <c r="DW45" s="70"/>
      <c r="DX45" s="70"/>
      <c r="DY45" s="70"/>
      <c r="EL45" s="70"/>
      <c r="EM45" s="70"/>
      <c r="EN45" s="70"/>
      <c r="EO45" s="70"/>
    </row>
    <row r="46" spans="1:145" s="21" customFormat="1" ht="9.9499999999999993" hidden="1" customHeight="1" thickBot="1" x14ac:dyDescent="0.25">
      <c r="A46" s="25"/>
      <c r="B46" s="25"/>
      <c r="C46" s="940"/>
      <c r="D46" s="13"/>
      <c r="E46" s="702"/>
      <c r="F46" s="717"/>
      <c r="G46" s="930"/>
      <c r="H46" s="930"/>
      <c r="I46" s="930"/>
      <c r="J46" s="930"/>
      <c r="K46" s="930"/>
      <c r="L46" s="930"/>
      <c r="M46" s="930"/>
      <c r="N46" s="930"/>
      <c r="O46" s="717"/>
      <c r="P46" s="931"/>
      <c r="Q46" s="14"/>
      <c r="R46" s="4003"/>
      <c r="S46" s="4074"/>
      <c r="T46" s="4003"/>
      <c r="V46" s="1218"/>
      <c r="W46" s="1218"/>
      <c r="X46" s="1218"/>
      <c r="Y46" s="1218"/>
      <c r="Z46" s="1218"/>
      <c r="AA46" s="1218"/>
      <c r="AB46" s="1218"/>
      <c r="AD46" s="1218"/>
      <c r="AE46" s="1218"/>
      <c r="AF46" s="1218"/>
      <c r="AG46" s="1218"/>
      <c r="AH46" s="1218"/>
      <c r="AI46" s="1218"/>
      <c r="AJ46" s="1218"/>
      <c r="AL46" s="1218"/>
      <c r="AM46" s="1218"/>
      <c r="AN46" s="1218"/>
      <c r="AO46" s="1218"/>
      <c r="AP46" s="1218"/>
      <c r="AQ46" s="1218"/>
      <c r="AR46" s="1218"/>
      <c r="AT46" s="1218"/>
      <c r="AU46" s="1218"/>
      <c r="AV46" s="1218"/>
      <c r="AW46" s="1218"/>
      <c r="AX46" s="1218"/>
      <c r="AY46" s="1218"/>
      <c r="AZ46" s="1218"/>
      <c r="BB46" s="1218"/>
      <c r="BC46" s="1218"/>
      <c r="BD46" s="1218"/>
      <c r="BE46" s="1218"/>
      <c r="BF46" s="1218"/>
      <c r="BG46" s="1218"/>
      <c r="BH46" s="1218"/>
      <c r="BJ46" s="1218"/>
      <c r="BK46" s="1218"/>
      <c r="BL46" s="1218"/>
      <c r="BM46" s="1218"/>
      <c r="BN46" s="1218"/>
      <c r="BO46" s="1218"/>
      <c r="BP46" s="1218"/>
      <c r="BR46" s="1218"/>
      <c r="BS46" s="1218"/>
      <c r="BT46" s="1218"/>
      <c r="BU46" s="1218"/>
      <c r="BV46" s="1218"/>
      <c r="BW46" s="1218"/>
      <c r="BX46" s="1218"/>
      <c r="BZ46" s="1218"/>
      <c r="CA46" s="1218"/>
      <c r="CB46" s="1218"/>
      <c r="CC46" s="1218"/>
      <c r="CD46" s="1218"/>
      <c r="CE46" s="1218"/>
      <c r="CF46" s="1218"/>
      <c r="CH46" s="1218"/>
      <c r="CI46" s="1218"/>
      <c r="CJ46" s="1218"/>
      <c r="CK46" s="1218"/>
      <c r="CL46" s="1218"/>
      <c r="CM46" s="1218"/>
      <c r="CN46" s="1218"/>
      <c r="CP46" s="1218"/>
      <c r="DT46" s="70"/>
      <c r="DU46" s="70"/>
      <c r="DV46" s="70"/>
      <c r="DW46" s="70"/>
      <c r="DX46" s="70"/>
      <c r="DY46" s="70"/>
      <c r="EL46" s="70"/>
      <c r="EM46" s="70"/>
      <c r="EN46" s="70"/>
      <c r="EO46" s="70"/>
    </row>
    <row r="47" spans="1:145" s="21" customFormat="1" ht="24.95" customHeight="1" thickBot="1" x14ac:dyDescent="0.25">
      <c r="A47" s="25"/>
      <c r="B47" s="25"/>
      <c r="C47" s="940"/>
      <c r="D47" s="13"/>
      <c r="E47" s="14"/>
      <c r="F47" s="15"/>
      <c r="G47" s="14"/>
      <c r="H47" s="14"/>
      <c r="I47" s="14"/>
      <c r="J47" s="14"/>
      <c r="K47" s="14"/>
      <c r="L47" s="14"/>
      <c r="M47" s="14"/>
      <c r="N47" s="14"/>
      <c r="O47" s="15"/>
      <c r="P47" s="14"/>
      <c r="Q47" s="14"/>
      <c r="R47" s="25"/>
      <c r="S47" s="4088"/>
      <c r="T47" s="25"/>
      <c r="V47" s="14"/>
      <c r="W47" s="14"/>
      <c r="X47" s="145"/>
      <c r="Y47" s="14"/>
      <c r="Z47" s="14"/>
      <c r="AA47" s="14"/>
      <c r="AB47" s="14"/>
      <c r="AD47" s="14"/>
      <c r="AE47" s="14"/>
      <c r="AF47" s="145"/>
      <c r="AG47" s="14"/>
      <c r="AH47" s="14"/>
      <c r="AI47" s="14"/>
      <c r="AJ47" s="14"/>
      <c r="AL47" s="14"/>
      <c r="AM47" s="14"/>
      <c r="AN47" s="145"/>
      <c r="AO47" s="14"/>
      <c r="AP47" s="14"/>
      <c r="AQ47" s="14"/>
      <c r="AR47" s="14"/>
      <c r="AT47" s="14"/>
      <c r="AU47" s="14"/>
      <c r="AV47" s="145"/>
      <c r="AW47" s="14"/>
      <c r="AX47" s="14"/>
      <c r="AY47" s="14"/>
      <c r="AZ47" s="14"/>
      <c r="BB47" s="14"/>
      <c r="BC47" s="14"/>
      <c r="BD47" s="145"/>
      <c r="BE47" s="14"/>
      <c r="BF47" s="14"/>
      <c r="BG47" s="14"/>
      <c r="BH47" s="14"/>
      <c r="BJ47" s="14"/>
      <c r="BK47" s="14"/>
      <c r="BL47" s="145"/>
      <c r="BM47" s="14"/>
      <c r="BN47" s="14"/>
      <c r="BO47" s="14"/>
      <c r="BP47" s="14"/>
      <c r="BR47" s="14"/>
      <c r="BS47" s="14"/>
      <c r="BT47" s="145"/>
      <c r="BU47" s="14"/>
      <c r="BV47" s="14"/>
      <c r="BW47" s="14"/>
      <c r="BX47" s="14"/>
      <c r="BZ47" s="14"/>
      <c r="CA47" s="14"/>
      <c r="CB47" s="145"/>
      <c r="CC47" s="14"/>
      <c r="CD47" s="14"/>
      <c r="CE47" s="14"/>
      <c r="CF47" s="14"/>
      <c r="CH47" s="14"/>
      <c r="CI47" s="14"/>
      <c r="CJ47" s="145"/>
      <c r="CK47" s="14"/>
      <c r="CL47" s="14"/>
      <c r="CM47" s="14"/>
      <c r="CN47" s="14"/>
      <c r="DT47" s="70"/>
      <c r="DU47" s="70"/>
      <c r="DV47" s="70"/>
      <c r="DW47" s="70"/>
      <c r="DX47" s="70"/>
      <c r="DY47" s="70"/>
      <c r="EL47" s="70"/>
      <c r="EM47" s="70"/>
      <c r="EN47" s="70"/>
      <c r="EO47" s="70"/>
    </row>
    <row r="48" spans="1:145" s="21" customFormat="1" ht="15" customHeight="1" thickBot="1" x14ac:dyDescent="0.25">
      <c r="A48" s="25"/>
      <c r="B48" s="25"/>
      <c r="C48" s="940"/>
      <c r="D48" s="13"/>
      <c r="E48" s="1112"/>
      <c r="F48" s="6592" t="str">
        <f>_Calcs!$M$34</f>
        <v>Berguttak grøfter, nisjer og bergrom</v>
      </c>
      <c r="G48" s="6592"/>
      <c r="H48" s="6592"/>
      <c r="I48" s="6592"/>
      <c r="J48" s="6592"/>
      <c r="K48" s="6592"/>
      <c r="L48" s="6592"/>
      <c r="M48" s="6592"/>
      <c r="N48" s="6592"/>
      <c r="O48" s="6592"/>
      <c r="P48" s="1113"/>
      <c r="Q48" s="16"/>
      <c r="R48" s="16"/>
      <c r="S48" s="2304"/>
      <c r="T48" s="16"/>
      <c r="U48" s="16"/>
      <c r="V48" s="16"/>
      <c r="W48" s="16"/>
      <c r="X48" s="22"/>
      <c r="Y48" s="16"/>
      <c r="Z48" s="19"/>
      <c r="AA48" s="19"/>
      <c r="AB48" s="50"/>
      <c r="AC48" s="16"/>
      <c r="AD48" s="16"/>
      <c r="AE48" s="16"/>
      <c r="AF48" s="22"/>
      <c r="AG48" s="16"/>
      <c r="AH48" s="19"/>
      <c r="AI48" s="19"/>
      <c r="AJ48" s="50"/>
      <c r="AK48" s="16"/>
      <c r="AL48" s="16"/>
      <c r="AM48" s="16"/>
      <c r="AN48" s="22"/>
      <c r="AO48" s="16"/>
      <c r="AP48" s="19"/>
      <c r="AQ48" s="19"/>
      <c r="AR48" s="50"/>
      <c r="AS48" s="16"/>
      <c r="AT48" s="16"/>
      <c r="AU48" s="16"/>
      <c r="AV48" s="22"/>
      <c r="AW48" s="16"/>
      <c r="AX48" s="19"/>
      <c r="AY48" s="19"/>
      <c r="AZ48" s="50"/>
      <c r="BB48" s="16"/>
      <c r="BC48" s="16"/>
      <c r="BD48" s="22"/>
      <c r="BE48" s="16"/>
      <c r="BF48" s="19"/>
      <c r="BG48" s="19"/>
      <c r="BH48" s="50"/>
      <c r="BI48" s="16"/>
      <c r="BJ48" s="16"/>
      <c r="BK48" s="16"/>
      <c r="BL48" s="22"/>
      <c r="BM48" s="16"/>
      <c r="BN48" s="19"/>
      <c r="BO48" s="19"/>
      <c r="BP48" s="50"/>
      <c r="BQ48" s="16"/>
      <c r="BR48" s="16"/>
      <c r="BS48" s="16"/>
      <c r="BT48" s="22"/>
      <c r="BU48" s="16"/>
      <c r="BV48" s="19"/>
      <c r="BW48" s="19"/>
      <c r="BX48" s="50"/>
      <c r="BY48" s="16"/>
      <c r="BZ48" s="16"/>
      <c r="CA48" s="16"/>
      <c r="CB48" s="22"/>
      <c r="CC48" s="16"/>
      <c r="CD48" s="19"/>
      <c r="CE48" s="19"/>
      <c r="CF48" s="50"/>
      <c r="CH48" s="16"/>
      <c r="CI48" s="16"/>
      <c r="CJ48" s="22"/>
      <c r="CK48" s="16"/>
      <c r="CL48" s="19"/>
      <c r="CM48" s="19"/>
      <c r="CN48" s="50"/>
      <c r="CP48" s="138"/>
      <c r="DT48" s="70"/>
      <c r="DU48" s="70"/>
      <c r="DV48" s="70"/>
      <c r="DW48" s="70"/>
      <c r="DX48" s="70"/>
      <c r="DY48" s="70"/>
      <c r="EL48" s="70"/>
      <c r="EM48" s="70"/>
      <c r="EN48" s="70"/>
      <c r="EO48" s="70"/>
    </row>
    <row r="49" spans="1:145" s="21" customFormat="1" ht="15" customHeight="1" thickBot="1" x14ac:dyDescent="0.25">
      <c r="A49" s="25"/>
      <c r="B49" s="25"/>
      <c r="C49" s="940"/>
      <c r="D49" s="13"/>
      <c r="E49" s="955"/>
      <c r="F49" s="6593"/>
      <c r="G49" s="6593"/>
      <c r="H49" s="6593"/>
      <c r="I49" s="6593"/>
      <c r="J49" s="6593"/>
      <c r="K49" s="6593"/>
      <c r="L49" s="6593"/>
      <c r="M49" s="6593"/>
      <c r="N49" s="6593"/>
      <c r="O49" s="6593"/>
      <c r="P49" s="956"/>
      <c r="Q49" s="16"/>
      <c r="R49" s="4062"/>
      <c r="S49" s="4089"/>
      <c r="T49" s="4064"/>
      <c r="U49" s="16"/>
      <c r="V49" s="969"/>
      <c r="W49" s="970"/>
      <c r="X49" s="725"/>
      <c r="Y49" s="970"/>
      <c r="Z49" s="1114"/>
      <c r="AA49" s="1114"/>
      <c r="AB49" s="1115"/>
      <c r="AC49" s="16"/>
      <c r="AD49" s="969"/>
      <c r="AE49" s="970"/>
      <c r="AF49" s="725"/>
      <c r="AG49" s="970"/>
      <c r="AH49" s="1114"/>
      <c r="AI49" s="1114"/>
      <c r="AJ49" s="1115"/>
      <c r="AK49" s="16"/>
      <c r="AL49" s="969"/>
      <c r="AM49" s="970"/>
      <c r="AN49" s="725"/>
      <c r="AO49" s="970"/>
      <c r="AP49" s="1114"/>
      <c r="AQ49" s="1114"/>
      <c r="AR49" s="1115"/>
      <c r="AS49" s="16"/>
      <c r="AT49" s="969"/>
      <c r="AU49" s="970"/>
      <c r="AV49" s="725"/>
      <c r="AW49" s="970"/>
      <c r="AX49" s="1114"/>
      <c r="AY49" s="1114"/>
      <c r="AZ49" s="1115"/>
      <c r="BB49" s="969"/>
      <c r="BC49" s="970"/>
      <c r="BD49" s="725"/>
      <c r="BE49" s="970"/>
      <c r="BF49" s="1114"/>
      <c r="BG49" s="1114"/>
      <c r="BH49" s="1115"/>
      <c r="BI49" s="16"/>
      <c r="BJ49" s="969"/>
      <c r="BK49" s="970"/>
      <c r="BL49" s="725"/>
      <c r="BM49" s="970"/>
      <c r="BN49" s="1114"/>
      <c r="BO49" s="1114"/>
      <c r="BP49" s="1115"/>
      <c r="BQ49" s="16"/>
      <c r="BR49" s="969"/>
      <c r="BS49" s="970"/>
      <c r="BT49" s="725"/>
      <c r="BU49" s="970"/>
      <c r="BV49" s="1114"/>
      <c r="BW49" s="1114"/>
      <c r="BX49" s="1115"/>
      <c r="BY49" s="16"/>
      <c r="BZ49" s="969"/>
      <c r="CA49" s="970"/>
      <c r="CB49" s="725"/>
      <c r="CC49" s="970"/>
      <c r="CD49" s="1114"/>
      <c r="CE49" s="1114"/>
      <c r="CF49" s="1115"/>
      <c r="CH49" s="969"/>
      <c r="CI49" s="970"/>
      <c r="CJ49" s="725"/>
      <c r="CK49" s="970"/>
      <c r="CL49" s="1114"/>
      <c r="CM49" s="1114"/>
      <c r="CN49" s="1115"/>
      <c r="CP49" s="1167"/>
      <c r="DT49" s="70"/>
      <c r="DU49" s="70"/>
      <c r="DV49" s="70"/>
      <c r="DW49" s="70"/>
      <c r="DX49" s="70"/>
      <c r="DY49" s="70"/>
      <c r="EL49" s="70"/>
      <c r="EM49" s="70"/>
      <c r="EN49" s="70"/>
      <c r="EO49" s="70"/>
    </row>
    <row r="50" spans="1:145" s="21" customFormat="1" ht="8.1" customHeight="1" thickBot="1" x14ac:dyDescent="0.25">
      <c r="A50" s="25"/>
      <c r="B50" s="25"/>
      <c r="C50" s="940"/>
      <c r="D50" s="13"/>
      <c r="E50" s="17"/>
      <c r="F50" s="944"/>
      <c r="G50" s="944"/>
      <c r="H50" s="944"/>
      <c r="I50" s="945"/>
      <c r="J50" s="17"/>
      <c r="K50" s="17"/>
      <c r="L50" s="17"/>
      <c r="M50" s="17"/>
      <c r="N50" s="17"/>
      <c r="O50" s="17"/>
      <c r="P50" s="17"/>
      <c r="Q50" s="17"/>
      <c r="R50" s="14"/>
      <c r="S50" s="103"/>
      <c r="T50" s="14"/>
      <c r="V50" s="17"/>
      <c r="W50" s="17"/>
      <c r="X50" s="17"/>
      <c r="Y50" s="17"/>
      <c r="Z50" s="17"/>
      <c r="AA50" s="17"/>
      <c r="AB50" s="17"/>
      <c r="AD50" s="17"/>
      <c r="AE50" s="17"/>
      <c r="AF50" s="17"/>
      <c r="AG50" s="17"/>
      <c r="AH50" s="17"/>
      <c r="AI50" s="17"/>
      <c r="AJ50" s="17"/>
      <c r="AL50" s="17"/>
      <c r="AM50" s="17"/>
      <c r="AN50" s="17"/>
      <c r="AO50" s="17"/>
      <c r="AP50" s="17"/>
      <c r="AQ50" s="17"/>
      <c r="AR50" s="17"/>
      <c r="AT50" s="17"/>
      <c r="AU50" s="17"/>
      <c r="AV50" s="17"/>
      <c r="AW50" s="17"/>
      <c r="AX50" s="17"/>
      <c r="AY50" s="17"/>
      <c r="AZ50" s="17"/>
      <c r="BB50" s="17"/>
      <c r="BC50" s="17"/>
      <c r="BD50" s="17"/>
      <c r="BE50" s="17"/>
      <c r="BF50" s="17"/>
      <c r="BG50" s="17"/>
      <c r="BH50" s="17"/>
      <c r="BJ50" s="17"/>
      <c r="BK50" s="17"/>
      <c r="BL50" s="17"/>
      <c r="BM50" s="17"/>
      <c r="BN50" s="17"/>
      <c r="BO50" s="17"/>
      <c r="BP50" s="17"/>
      <c r="BR50" s="17"/>
      <c r="BS50" s="17"/>
      <c r="BT50" s="17"/>
      <c r="BU50" s="17"/>
      <c r="BV50" s="17"/>
      <c r="BW50" s="17"/>
      <c r="BX50" s="17"/>
      <c r="BZ50" s="17"/>
      <c r="CA50" s="17"/>
      <c r="CB50" s="17"/>
      <c r="CC50" s="17"/>
      <c r="CD50" s="17"/>
      <c r="CE50" s="17"/>
      <c r="CF50" s="17"/>
      <c r="CH50" s="17"/>
      <c r="CI50" s="17"/>
      <c r="CJ50" s="17"/>
      <c r="CK50" s="17"/>
      <c r="CL50" s="17"/>
      <c r="CM50" s="17"/>
      <c r="CN50" s="17"/>
      <c r="CP50" s="17"/>
      <c r="DT50" s="70"/>
      <c r="DU50" s="70"/>
      <c r="DV50" s="70"/>
      <c r="DW50" s="70"/>
      <c r="DX50" s="70"/>
      <c r="DY50" s="70"/>
      <c r="EL50" s="70"/>
      <c r="EM50" s="70"/>
      <c r="EN50" s="70"/>
      <c r="EO50" s="70"/>
    </row>
    <row r="51" spans="1:145" s="21" customFormat="1" ht="15" customHeight="1" thickBot="1" x14ac:dyDescent="0.25">
      <c r="A51" s="25"/>
      <c r="B51" s="25"/>
      <c r="C51" s="940"/>
      <c r="D51" s="13"/>
      <c r="E51" s="695"/>
      <c r="F51" s="946"/>
      <c r="G51" s="946"/>
      <c r="H51" s="946"/>
      <c r="I51" s="946"/>
      <c r="J51" s="698"/>
      <c r="K51" s="698"/>
      <c r="L51" s="698"/>
      <c r="M51" s="698"/>
      <c r="N51" s="934"/>
      <c r="O51" s="709"/>
      <c r="P51" s="932"/>
      <c r="Q51" s="16"/>
      <c r="R51" s="670"/>
      <c r="S51" s="2305"/>
      <c r="T51" s="671"/>
      <c r="V51" s="1124"/>
      <c r="W51" s="1125"/>
      <c r="X51" s="708"/>
      <c r="Y51" s="698"/>
      <c r="Z51" s="1126"/>
      <c r="AA51" s="1126"/>
      <c r="AB51" s="966"/>
      <c r="AD51" s="1124"/>
      <c r="AE51" s="1125"/>
      <c r="AF51" s="708"/>
      <c r="AG51" s="698"/>
      <c r="AH51" s="1126"/>
      <c r="AI51" s="1126"/>
      <c r="AJ51" s="966"/>
      <c r="AL51" s="1124"/>
      <c r="AM51" s="1125"/>
      <c r="AN51" s="708"/>
      <c r="AO51" s="698"/>
      <c r="AP51" s="1126"/>
      <c r="AQ51" s="1126"/>
      <c r="AR51" s="966"/>
      <c r="AT51" s="1124"/>
      <c r="AU51" s="1125"/>
      <c r="AV51" s="708"/>
      <c r="AW51" s="698"/>
      <c r="AX51" s="1126"/>
      <c r="AY51" s="1126"/>
      <c r="AZ51" s="966"/>
      <c r="BB51" s="1124"/>
      <c r="BC51" s="1125"/>
      <c r="BD51" s="708"/>
      <c r="BE51" s="698"/>
      <c r="BF51" s="1126"/>
      <c r="BG51" s="1126"/>
      <c r="BH51" s="966"/>
      <c r="BJ51" s="1124"/>
      <c r="BK51" s="1125"/>
      <c r="BL51" s="708"/>
      <c r="BM51" s="698"/>
      <c r="BN51" s="1126"/>
      <c r="BO51" s="1126"/>
      <c r="BP51" s="966"/>
      <c r="BR51" s="1124"/>
      <c r="BS51" s="1125"/>
      <c r="BT51" s="708"/>
      <c r="BU51" s="698"/>
      <c r="BV51" s="1126"/>
      <c r="BW51" s="1126"/>
      <c r="BX51" s="966"/>
      <c r="BZ51" s="1124"/>
      <c r="CA51" s="1125"/>
      <c r="CB51" s="708"/>
      <c r="CC51" s="698"/>
      <c r="CD51" s="1126"/>
      <c r="CE51" s="1126"/>
      <c r="CF51" s="966"/>
      <c r="CH51" s="1124"/>
      <c r="CI51" s="1125"/>
      <c r="CJ51" s="708"/>
      <c r="CK51" s="698"/>
      <c r="CL51" s="1126"/>
      <c r="CM51" s="1126"/>
      <c r="CN51" s="966"/>
      <c r="CP51" s="1128"/>
      <c r="DT51" s="70"/>
      <c r="DU51" s="70"/>
      <c r="DV51" s="70"/>
      <c r="DW51" s="70"/>
      <c r="DX51" s="70"/>
      <c r="DY51" s="70"/>
      <c r="EL51" s="70"/>
      <c r="EM51" s="70"/>
      <c r="EN51" s="70"/>
      <c r="EO51" s="70"/>
    </row>
    <row r="52" spans="1:145" s="21" customFormat="1" ht="20.100000000000001" customHeight="1" thickBot="1" x14ac:dyDescent="0.25">
      <c r="A52" s="25"/>
      <c r="B52" s="25"/>
      <c r="C52" s="940"/>
      <c r="D52" s="13"/>
      <c r="E52" s="700"/>
      <c r="F52" s="5747" t="str">
        <f>_Calcs!$N$34</f>
        <v>Grøfter</v>
      </c>
      <c r="G52" s="5747"/>
      <c r="H52" s="5747"/>
      <c r="I52" s="5747"/>
      <c r="J52" s="142" t="s">
        <v>149</v>
      </c>
      <c r="K52" s="142"/>
      <c r="L52" s="66"/>
      <c r="M52" s="66"/>
      <c r="N52" s="936"/>
      <c r="O52" s="5747" t="s">
        <v>86</v>
      </c>
      <c r="P52" s="933"/>
      <c r="Q52" s="16"/>
      <c r="R52" s="881"/>
      <c r="S52" s="2301">
        <f>_Calcs!BD197</f>
        <v>0</v>
      </c>
      <c r="T52" s="1171"/>
      <c r="V52" s="1127"/>
      <c r="W52" s="66"/>
      <c r="X52" s="4090"/>
      <c r="Y52" s="66"/>
      <c r="Z52" s="30" t="str">
        <f>IF(X52="","!","✓")</f>
        <v>!</v>
      </c>
      <c r="AA52" s="962"/>
      <c r="AB52" s="926"/>
      <c r="AD52" s="1127"/>
      <c r="AE52" s="66"/>
      <c r="AF52" s="4090"/>
      <c r="AG52" s="66"/>
      <c r="AH52" s="30" t="str">
        <f>IF(AF52="","!","✓")</f>
        <v>!</v>
      </c>
      <c r="AI52" s="962"/>
      <c r="AJ52" s="926"/>
      <c r="AL52" s="1127"/>
      <c r="AM52" s="66"/>
      <c r="AN52" s="4090"/>
      <c r="AO52" s="66"/>
      <c r="AP52" s="30" t="str">
        <f>IF(AN52="","!","✓")</f>
        <v>!</v>
      </c>
      <c r="AQ52" s="962"/>
      <c r="AR52" s="926"/>
      <c r="AT52" s="1127"/>
      <c r="AU52" s="66"/>
      <c r="AV52" s="4090"/>
      <c r="AW52" s="66"/>
      <c r="AX52" s="30" t="str">
        <f>IF(AV52="","!","✓")</f>
        <v>!</v>
      </c>
      <c r="AY52" s="962"/>
      <c r="AZ52" s="926"/>
      <c r="BB52" s="1127"/>
      <c r="BC52" s="66"/>
      <c r="BD52" s="4090"/>
      <c r="BE52" s="66"/>
      <c r="BF52" s="30" t="str">
        <f>IF(BD52="","!","✓")</f>
        <v>!</v>
      </c>
      <c r="BG52" s="962"/>
      <c r="BH52" s="926"/>
      <c r="BJ52" s="1127"/>
      <c r="BK52" s="66"/>
      <c r="BL52" s="4090"/>
      <c r="BM52" s="66"/>
      <c r="BN52" s="30" t="str">
        <f>IF(BL52="","!","✓")</f>
        <v>!</v>
      </c>
      <c r="BO52" s="962"/>
      <c r="BP52" s="926"/>
      <c r="BR52" s="1127"/>
      <c r="BS52" s="66"/>
      <c r="BT52" s="4090"/>
      <c r="BU52" s="66"/>
      <c r="BV52" s="30" t="str">
        <f>IF(BT52="","!","✓")</f>
        <v>!</v>
      </c>
      <c r="BW52" s="962"/>
      <c r="BX52" s="926"/>
      <c r="BZ52" s="1127"/>
      <c r="CA52" s="66"/>
      <c r="CB52" s="4090"/>
      <c r="CC52" s="66"/>
      <c r="CD52" s="30" t="str">
        <f>IF(CB52="","!","✓")</f>
        <v>!</v>
      </c>
      <c r="CE52" s="962"/>
      <c r="CF52" s="926"/>
      <c r="CH52" s="1127"/>
      <c r="CI52" s="66"/>
      <c r="CJ52" s="4090"/>
      <c r="CK52" s="66"/>
      <c r="CL52" s="30" t="str">
        <f>IF(CJ52="","!","✓")</f>
        <v>!</v>
      </c>
      <c r="CM52" s="962"/>
      <c r="CN52" s="926"/>
      <c r="CP52" s="962"/>
      <c r="DT52" s="70"/>
      <c r="DU52" s="70"/>
      <c r="DV52" s="70"/>
      <c r="DW52" s="70"/>
      <c r="DX52" s="70"/>
      <c r="DY52" s="70"/>
      <c r="EL52" s="70"/>
      <c r="EM52" s="70"/>
      <c r="EN52" s="70"/>
      <c r="EO52" s="70"/>
    </row>
    <row r="53" spans="1:145" s="21" customFormat="1" ht="15" customHeight="1" thickBot="1" x14ac:dyDescent="0.25">
      <c r="A53" s="25"/>
      <c r="B53" s="25"/>
      <c r="C53" s="940"/>
      <c r="D53" s="13"/>
      <c r="E53" s="700"/>
      <c r="F53" s="5744"/>
      <c r="G53" s="5744"/>
      <c r="H53" s="5744"/>
      <c r="I53" s="5744"/>
      <c r="J53" s="66"/>
      <c r="K53" s="66"/>
      <c r="L53" s="66"/>
      <c r="M53" s="66"/>
      <c r="N53" s="936"/>
      <c r="O53" s="5747"/>
      <c r="P53" s="933"/>
      <c r="Q53" s="16"/>
      <c r="R53" s="881"/>
      <c r="S53" s="2305"/>
      <c r="T53" s="1171"/>
      <c r="V53" s="925"/>
      <c r="W53" s="144"/>
      <c r="X53" s="708"/>
      <c r="Y53" s="66"/>
      <c r="Z53" s="1128"/>
      <c r="AA53" s="1128"/>
      <c r="AB53" s="926"/>
      <c r="AD53" s="925"/>
      <c r="AE53" s="144"/>
      <c r="AF53" s="708"/>
      <c r="AG53" s="66"/>
      <c r="AH53" s="1128"/>
      <c r="AI53" s="1128"/>
      <c r="AJ53" s="926"/>
      <c r="AL53" s="925"/>
      <c r="AM53" s="144"/>
      <c r="AN53" s="708"/>
      <c r="AO53" s="66"/>
      <c r="AP53" s="1128"/>
      <c r="AQ53" s="1128"/>
      <c r="AR53" s="926"/>
      <c r="AT53" s="925"/>
      <c r="AU53" s="144"/>
      <c r="AV53" s="708"/>
      <c r="AW53" s="66"/>
      <c r="AX53" s="1128"/>
      <c r="AY53" s="1128"/>
      <c r="AZ53" s="926"/>
      <c r="BB53" s="925"/>
      <c r="BC53" s="144"/>
      <c r="BD53" s="708"/>
      <c r="BE53" s="66"/>
      <c r="BF53" s="1128"/>
      <c r="BG53" s="1128"/>
      <c r="BH53" s="926"/>
      <c r="BJ53" s="925"/>
      <c r="BK53" s="144"/>
      <c r="BL53" s="708"/>
      <c r="BM53" s="66"/>
      <c r="BN53" s="1128"/>
      <c r="BO53" s="1128"/>
      <c r="BP53" s="926"/>
      <c r="BR53" s="925"/>
      <c r="BS53" s="144"/>
      <c r="BT53" s="708"/>
      <c r="BU53" s="66"/>
      <c r="BV53" s="1128"/>
      <c r="BW53" s="1128"/>
      <c r="BX53" s="926"/>
      <c r="BZ53" s="925"/>
      <c r="CA53" s="144"/>
      <c r="CB53" s="708"/>
      <c r="CC53" s="66"/>
      <c r="CD53" s="1128"/>
      <c r="CE53" s="1128"/>
      <c r="CF53" s="926"/>
      <c r="CH53" s="925"/>
      <c r="CI53" s="144"/>
      <c r="CJ53" s="708"/>
      <c r="CK53" s="66"/>
      <c r="CL53" s="1128"/>
      <c r="CM53" s="1128"/>
      <c r="CN53" s="926"/>
      <c r="CP53" s="1128"/>
      <c r="DT53" s="70"/>
      <c r="DU53" s="70"/>
      <c r="DV53" s="70"/>
      <c r="DW53" s="70"/>
      <c r="DX53" s="70"/>
      <c r="DY53" s="70"/>
      <c r="EL53" s="70"/>
      <c r="EM53" s="70"/>
      <c r="EN53" s="70"/>
      <c r="EO53" s="70"/>
    </row>
    <row r="54" spans="1:145" s="21" customFormat="1" ht="20.100000000000001" customHeight="1" thickBot="1" x14ac:dyDescent="0.25">
      <c r="A54" s="25"/>
      <c r="B54" s="25"/>
      <c r="C54" s="940"/>
      <c r="D54" s="13"/>
      <c r="E54" s="700"/>
      <c r="F54" s="5740" t="str">
        <f>_Calcs!$N$35</f>
        <v>Nisjer</v>
      </c>
      <c r="G54" s="3934"/>
      <c r="H54" s="3934"/>
      <c r="I54" s="3934"/>
      <c r="J54" s="142" t="s">
        <v>149</v>
      </c>
      <c r="K54" s="142"/>
      <c r="L54" s="66"/>
      <c r="M54" s="66"/>
      <c r="N54" s="936"/>
      <c r="O54" s="3934" t="s">
        <v>86</v>
      </c>
      <c r="P54" s="933"/>
      <c r="Q54" s="16"/>
      <c r="R54" s="881"/>
      <c r="S54" s="2301">
        <f>_Calcs!BD198</f>
        <v>0</v>
      </c>
      <c r="T54" s="1171"/>
      <c r="V54" s="1127"/>
      <c r="W54" s="66"/>
      <c r="X54" s="4090"/>
      <c r="Y54" s="66"/>
      <c r="Z54" s="30" t="str">
        <f>IF(X54="","!","✓")</f>
        <v>!</v>
      </c>
      <c r="AA54" s="962"/>
      <c r="AB54" s="926"/>
      <c r="AD54" s="1127"/>
      <c r="AE54" s="66"/>
      <c r="AF54" s="4090"/>
      <c r="AG54" s="66"/>
      <c r="AH54" s="30" t="str">
        <f>IF(AF54="","!","✓")</f>
        <v>!</v>
      </c>
      <c r="AI54" s="962"/>
      <c r="AJ54" s="926"/>
      <c r="AL54" s="1127"/>
      <c r="AM54" s="66"/>
      <c r="AN54" s="4090"/>
      <c r="AO54" s="66"/>
      <c r="AP54" s="30" t="str">
        <f>IF(AN54="","!","✓")</f>
        <v>!</v>
      </c>
      <c r="AQ54" s="962"/>
      <c r="AR54" s="926"/>
      <c r="AT54" s="1127"/>
      <c r="AU54" s="66"/>
      <c r="AV54" s="4090"/>
      <c r="AW54" s="66"/>
      <c r="AX54" s="30" t="str">
        <f>IF(AV54="","!","✓")</f>
        <v>!</v>
      </c>
      <c r="AY54" s="962"/>
      <c r="AZ54" s="926"/>
      <c r="BB54" s="1127"/>
      <c r="BC54" s="66"/>
      <c r="BD54" s="4090"/>
      <c r="BE54" s="66"/>
      <c r="BF54" s="30" t="str">
        <f>IF(BD54="","!","✓")</f>
        <v>!</v>
      </c>
      <c r="BG54" s="962"/>
      <c r="BH54" s="926"/>
      <c r="BJ54" s="1127"/>
      <c r="BK54" s="66"/>
      <c r="BL54" s="4090"/>
      <c r="BM54" s="66"/>
      <c r="BN54" s="30" t="str">
        <f>IF(BL54="","!","✓")</f>
        <v>!</v>
      </c>
      <c r="BO54" s="962"/>
      <c r="BP54" s="926"/>
      <c r="BR54" s="1127"/>
      <c r="BS54" s="66"/>
      <c r="BT54" s="4090"/>
      <c r="BU54" s="66"/>
      <c r="BV54" s="30" t="str">
        <f>IF(BT54="","!","✓")</f>
        <v>!</v>
      </c>
      <c r="BW54" s="962"/>
      <c r="BX54" s="926"/>
      <c r="BZ54" s="1127"/>
      <c r="CA54" s="66"/>
      <c r="CB54" s="4090"/>
      <c r="CC54" s="66"/>
      <c r="CD54" s="30" t="str">
        <f>IF(CB54="","!","✓")</f>
        <v>!</v>
      </c>
      <c r="CE54" s="962"/>
      <c r="CF54" s="926"/>
      <c r="CH54" s="1127"/>
      <c r="CI54" s="66"/>
      <c r="CJ54" s="4090"/>
      <c r="CK54" s="66"/>
      <c r="CL54" s="30" t="str">
        <f>IF(CJ54="","!","✓")</f>
        <v>!</v>
      </c>
      <c r="CM54" s="962"/>
      <c r="CN54" s="926"/>
      <c r="CP54" s="962"/>
      <c r="DT54" s="70"/>
      <c r="DU54" s="70"/>
      <c r="DV54" s="70"/>
      <c r="DW54" s="70"/>
      <c r="DX54" s="70"/>
      <c r="DY54" s="70"/>
      <c r="EL54" s="70"/>
      <c r="EM54" s="70"/>
      <c r="EN54" s="70"/>
      <c r="EO54" s="70"/>
    </row>
    <row r="55" spans="1:145" s="21" customFormat="1" ht="15" customHeight="1" thickBot="1" x14ac:dyDescent="0.25">
      <c r="A55" s="25"/>
      <c r="B55" s="25"/>
      <c r="C55" s="940"/>
      <c r="D55" s="13"/>
      <c r="E55" s="700"/>
      <c r="F55" s="5740"/>
      <c r="G55" s="3934"/>
      <c r="H55" s="3934"/>
      <c r="I55" s="3934"/>
      <c r="J55" s="66"/>
      <c r="K55" s="66"/>
      <c r="L55" s="66"/>
      <c r="M55" s="66"/>
      <c r="N55" s="936"/>
      <c r="O55" s="3934"/>
      <c r="P55" s="933"/>
      <c r="Q55" s="16"/>
      <c r="R55" s="881"/>
      <c r="S55" s="2306"/>
      <c r="T55" s="1171"/>
      <c r="V55" s="1127"/>
      <c r="W55" s="66"/>
      <c r="X55" s="65"/>
      <c r="Y55" s="66"/>
      <c r="Z55" s="1128"/>
      <c r="AA55" s="1128"/>
      <c r="AB55" s="926"/>
      <c r="AD55" s="1127"/>
      <c r="AE55" s="66"/>
      <c r="AF55" s="65"/>
      <c r="AG55" s="66"/>
      <c r="AH55" s="1128"/>
      <c r="AI55" s="1128"/>
      <c r="AJ55" s="926"/>
      <c r="AL55" s="1127"/>
      <c r="AM55" s="66"/>
      <c r="AN55" s="65"/>
      <c r="AO55" s="66"/>
      <c r="AP55" s="1128"/>
      <c r="AQ55" s="1128"/>
      <c r="AR55" s="926"/>
      <c r="AT55" s="1127"/>
      <c r="AU55" s="66"/>
      <c r="AV55" s="65"/>
      <c r="AW55" s="66"/>
      <c r="AX55" s="1128"/>
      <c r="AY55" s="1128"/>
      <c r="AZ55" s="926"/>
      <c r="BB55" s="1127"/>
      <c r="BC55" s="66"/>
      <c r="BD55" s="65"/>
      <c r="BE55" s="66"/>
      <c r="BF55" s="1128"/>
      <c r="BG55" s="1128"/>
      <c r="BH55" s="926"/>
      <c r="BJ55" s="1127"/>
      <c r="BK55" s="66"/>
      <c r="BL55" s="65"/>
      <c r="BM55" s="66"/>
      <c r="BN55" s="1128"/>
      <c r="BO55" s="1128"/>
      <c r="BP55" s="926"/>
      <c r="BR55" s="1127"/>
      <c r="BS55" s="66"/>
      <c r="BT55" s="65"/>
      <c r="BU55" s="66"/>
      <c r="BV55" s="1128"/>
      <c r="BW55" s="1128"/>
      <c r="BX55" s="926"/>
      <c r="BZ55" s="1127"/>
      <c r="CA55" s="66"/>
      <c r="CB55" s="65"/>
      <c r="CC55" s="66"/>
      <c r="CD55" s="1128"/>
      <c r="CE55" s="1128"/>
      <c r="CF55" s="926"/>
      <c r="CH55" s="1127"/>
      <c r="CI55" s="66"/>
      <c r="CJ55" s="65"/>
      <c r="CK55" s="66"/>
      <c r="CL55" s="1128"/>
      <c r="CM55" s="1128"/>
      <c r="CN55" s="926"/>
      <c r="CP55" s="1128"/>
      <c r="DT55" s="70"/>
      <c r="DU55" s="70"/>
      <c r="DV55" s="70"/>
      <c r="DW55" s="70"/>
      <c r="DX55" s="70"/>
      <c r="DY55" s="70"/>
      <c r="EL55" s="70"/>
      <c r="EM55" s="70"/>
      <c r="EN55" s="70"/>
      <c r="EO55" s="70"/>
    </row>
    <row r="56" spans="1:145" s="21" customFormat="1" ht="20.100000000000001" customHeight="1" thickBot="1" x14ac:dyDescent="0.25">
      <c r="A56" s="25"/>
      <c r="B56" s="25"/>
      <c r="C56" s="940"/>
      <c r="D56" s="13"/>
      <c r="E56" s="700"/>
      <c r="F56" s="5740" t="str">
        <f>_Calcs!$N$36</f>
        <v>Snunisjer</v>
      </c>
      <c r="G56" s="3934"/>
      <c r="H56" s="3934"/>
      <c r="I56" s="3934"/>
      <c r="J56" s="142" t="s">
        <v>149</v>
      </c>
      <c r="K56" s="142"/>
      <c r="L56" s="66"/>
      <c r="M56" s="66"/>
      <c r="N56" s="936"/>
      <c r="O56" s="3934" t="s">
        <v>86</v>
      </c>
      <c r="P56" s="933"/>
      <c r="Q56" s="16"/>
      <c r="R56" s="881"/>
      <c r="S56" s="2301">
        <f>_Calcs!BD199</f>
        <v>0</v>
      </c>
      <c r="T56" s="1171"/>
      <c r="U56" s="70"/>
      <c r="V56" s="1127"/>
      <c r="W56" s="66"/>
      <c r="X56" s="4090"/>
      <c r="Y56" s="66"/>
      <c r="Z56" s="30" t="str">
        <f>IF(X56="","!","✓")</f>
        <v>!</v>
      </c>
      <c r="AA56" s="962"/>
      <c r="AB56" s="926"/>
      <c r="AC56" s="70"/>
      <c r="AD56" s="1127"/>
      <c r="AE56" s="66"/>
      <c r="AF56" s="4090"/>
      <c r="AG56" s="66"/>
      <c r="AH56" s="30" t="str">
        <f>IF(AF56="","!","✓")</f>
        <v>!</v>
      </c>
      <c r="AI56" s="962"/>
      <c r="AJ56" s="926"/>
      <c r="AK56" s="70"/>
      <c r="AL56" s="1127"/>
      <c r="AM56" s="66"/>
      <c r="AN56" s="4090"/>
      <c r="AO56" s="66"/>
      <c r="AP56" s="30" t="str">
        <f>IF(AN56="","!","✓")</f>
        <v>!</v>
      </c>
      <c r="AQ56" s="962"/>
      <c r="AR56" s="926"/>
      <c r="AS56" s="70"/>
      <c r="AT56" s="1127"/>
      <c r="AU56" s="66"/>
      <c r="AV56" s="4090"/>
      <c r="AW56" s="66"/>
      <c r="AX56" s="30" t="str">
        <f>IF(AV56="","!","✓")</f>
        <v>!</v>
      </c>
      <c r="AY56" s="962"/>
      <c r="AZ56" s="926"/>
      <c r="BA56" s="37"/>
      <c r="BB56" s="1127"/>
      <c r="BC56" s="66"/>
      <c r="BD56" s="4090"/>
      <c r="BE56" s="66"/>
      <c r="BF56" s="30" t="str">
        <f>IF(BD56="","!","✓")</f>
        <v>!</v>
      </c>
      <c r="BG56" s="962"/>
      <c r="BH56" s="926"/>
      <c r="BI56" s="70"/>
      <c r="BJ56" s="1127"/>
      <c r="BK56" s="66"/>
      <c r="BL56" s="4090"/>
      <c r="BM56" s="66"/>
      <c r="BN56" s="30" t="str">
        <f>IF(BL56="","!","✓")</f>
        <v>!</v>
      </c>
      <c r="BO56" s="962"/>
      <c r="BP56" s="926"/>
      <c r="BQ56" s="70"/>
      <c r="BR56" s="1127"/>
      <c r="BS56" s="66"/>
      <c r="BT56" s="4090"/>
      <c r="BU56" s="66"/>
      <c r="BV56" s="30" t="str">
        <f>IF(BT56="","!","✓")</f>
        <v>!</v>
      </c>
      <c r="BW56" s="962"/>
      <c r="BX56" s="926"/>
      <c r="BY56" s="70"/>
      <c r="BZ56" s="1127"/>
      <c r="CA56" s="66"/>
      <c r="CB56" s="4090"/>
      <c r="CC56" s="66"/>
      <c r="CD56" s="30" t="str">
        <f>IF(CB56="","!","✓")</f>
        <v>!</v>
      </c>
      <c r="CE56" s="962"/>
      <c r="CF56" s="926"/>
      <c r="CG56" s="37"/>
      <c r="CH56" s="1127"/>
      <c r="CI56" s="66"/>
      <c r="CJ56" s="4090"/>
      <c r="CK56" s="66"/>
      <c r="CL56" s="30" t="str">
        <f>IF(CJ56="","!","✓")</f>
        <v>!</v>
      </c>
      <c r="CM56" s="962"/>
      <c r="CN56" s="926"/>
      <c r="CO56" s="37"/>
      <c r="CP56" s="962"/>
      <c r="CQ56" s="37"/>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T56" s="70"/>
      <c r="DU56" s="70"/>
      <c r="DV56" s="70"/>
      <c r="DW56" s="70"/>
      <c r="DX56" s="70"/>
      <c r="DY56" s="70"/>
      <c r="EB56" s="70"/>
      <c r="EE56" s="70"/>
      <c r="EF56" s="70"/>
      <c r="EG56" s="70"/>
      <c r="EH56" s="70"/>
      <c r="EI56" s="70"/>
      <c r="EJ56" s="70"/>
      <c r="EK56" s="70"/>
      <c r="EL56" s="70"/>
      <c r="EM56" s="70"/>
      <c r="EN56" s="70"/>
      <c r="EO56" s="70"/>
    </row>
    <row r="57" spans="1:145" s="21" customFormat="1" ht="15" customHeight="1" thickBot="1" x14ac:dyDescent="0.25">
      <c r="A57" s="25"/>
      <c r="B57" s="25"/>
      <c r="C57" s="940"/>
      <c r="D57" s="13"/>
      <c r="E57" s="700"/>
      <c r="F57" s="5740"/>
      <c r="G57" s="3934"/>
      <c r="H57" s="3934"/>
      <c r="I57" s="3934"/>
      <c r="J57" s="142"/>
      <c r="K57" s="142"/>
      <c r="L57" s="66"/>
      <c r="M57" s="66"/>
      <c r="N57" s="936"/>
      <c r="O57" s="3934"/>
      <c r="P57" s="933"/>
      <c r="Q57" s="16"/>
      <c r="R57" s="881"/>
      <c r="S57" s="2306"/>
      <c r="T57" s="1171"/>
      <c r="U57" s="70"/>
      <c r="V57" s="1127"/>
      <c r="W57" s="66"/>
      <c r="X57" s="65"/>
      <c r="Y57" s="66"/>
      <c r="Z57" s="1128"/>
      <c r="AA57" s="1128"/>
      <c r="AB57" s="926"/>
      <c r="AC57" s="70"/>
      <c r="AD57" s="1127"/>
      <c r="AE57" s="66"/>
      <c r="AF57" s="65"/>
      <c r="AG57" s="66"/>
      <c r="AH57" s="1128"/>
      <c r="AI57" s="1128"/>
      <c r="AJ57" s="926"/>
      <c r="AK57" s="70"/>
      <c r="AL57" s="1127"/>
      <c r="AM57" s="66"/>
      <c r="AN57" s="65"/>
      <c r="AO57" s="66"/>
      <c r="AP57" s="1128"/>
      <c r="AQ57" s="1128"/>
      <c r="AR57" s="926"/>
      <c r="AS57" s="70"/>
      <c r="AT57" s="1127"/>
      <c r="AU57" s="66"/>
      <c r="AV57" s="65"/>
      <c r="AW57" s="66"/>
      <c r="AX57" s="1128"/>
      <c r="AY57" s="1128"/>
      <c r="AZ57" s="926"/>
      <c r="BB57" s="1127"/>
      <c r="BC57" s="66"/>
      <c r="BD57" s="65"/>
      <c r="BE57" s="66"/>
      <c r="BF57" s="1128"/>
      <c r="BG57" s="1128"/>
      <c r="BH57" s="926"/>
      <c r="BI57" s="70"/>
      <c r="BJ57" s="1127"/>
      <c r="BK57" s="66"/>
      <c r="BL57" s="65"/>
      <c r="BM57" s="66"/>
      <c r="BN57" s="1128"/>
      <c r="BO57" s="1128"/>
      <c r="BP57" s="926"/>
      <c r="BQ57" s="70"/>
      <c r="BR57" s="1127"/>
      <c r="BS57" s="66"/>
      <c r="BT57" s="65"/>
      <c r="BU57" s="66"/>
      <c r="BV57" s="1128"/>
      <c r="BW57" s="1128"/>
      <c r="BX57" s="926"/>
      <c r="BY57" s="70"/>
      <c r="BZ57" s="1127"/>
      <c r="CA57" s="66"/>
      <c r="CB57" s="65"/>
      <c r="CC57" s="66"/>
      <c r="CD57" s="1128"/>
      <c r="CE57" s="1128"/>
      <c r="CF57" s="926"/>
      <c r="CH57" s="1127"/>
      <c r="CI57" s="66"/>
      <c r="CJ57" s="65"/>
      <c r="CK57" s="66"/>
      <c r="CL57" s="1128"/>
      <c r="CM57" s="1128"/>
      <c r="CN57" s="926"/>
      <c r="CP57" s="1128"/>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T57" s="70"/>
      <c r="DU57" s="70"/>
      <c r="DV57" s="70"/>
      <c r="DW57" s="70"/>
      <c r="DX57" s="70"/>
      <c r="DY57" s="70"/>
      <c r="EB57" s="70"/>
      <c r="EC57" s="70"/>
      <c r="ED57" s="70"/>
      <c r="EE57" s="70"/>
      <c r="EF57" s="70"/>
      <c r="EG57" s="70"/>
      <c r="EH57" s="70"/>
      <c r="EI57" s="70"/>
      <c r="EJ57" s="70"/>
      <c r="EK57" s="70"/>
      <c r="EL57" s="70"/>
      <c r="EM57" s="70"/>
      <c r="EN57" s="70"/>
      <c r="EO57" s="70"/>
    </row>
    <row r="58" spans="1:145" s="21" customFormat="1" ht="20.100000000000001" customHeight="1" thickBot="1" x14ac:dyDescent="0.25">
      <c r="A58" s="25"/>
      <c r="B58" s="25"/>
      <c r="C58" s="941"/>
      <c r="D58" s="13"/>
      <c r="E58" s="700"/>
      <c r="F58" s="5741" t="str">
        <f>_Calcs!$N$37</f>
        <v>Tverrforbindelser</v>
      </c>
      <c r="G58" s="3936"/>
      <c r="H58" s="3936"/>
      <c r="I58" s="3936"/>
      <c r="J58" s="142" t="s">
        <v>149</v>
      </c>
      <c r="K58" s="142"/>
      <c r="L58" s="66"/>
      <c r="M58" s="66"/>
      <c r="N58" s="936"/>
      <c r="O58" s="3934" t="s">
        <v>86</v>
      </c>
      <c r="P58" s="933"/>
      <c r="Q58" s="16"/>
      <c r="R58" s="881"/>
      <c r="S58" s="2301">
        <f>_Calcs!BD200</f>
        <v>0</v>
      </c>
      <c r="T58" s="1171"/>
      <c r="U58" s="70"/>
      <c r="V58" s="1127"/>
      <c r="W58" s="66"/>
      <c r="X58" s="4090"/>
      <c r="Y58" s="66"/>
      <c r="Z58" s="30" t="str">
        <f>IF(X58="","!","✓")</f>
        <v>!</v>
      </c>
      <c r="AA58" s="962"/>
      <c r="AB58" s="926"/>
      <c r="AC58" s="70"/>
      <c r="AD58" s="1127"/>
      <c r="AE58" s="66"/>
      <c r="AF58" s="4090"/>
      <c r="AG58" s="66"/>
      <c r="AH58" s="30" t="str">
        <f>IF(AF58="","!","✓")</f>
        <v>!</v>
      </c>
      <c r="AI58" s="962"/>
      <c r="AJ58" s="926"/>
      <c r="AK58" s="70"/>
      <c r="AL58" s="1127"/>
      <c r="AM58" s="66"/>
      <c r="AN58" s="4090"/>
      <c r="AO58" s="66"/>
      <c r="AP58" s="30" t="str">
        <f>IF(AN58="","!","✓")</f>
        <v>!</v>
      </c>
      <c r="AQ58" s="962"/>
      <c r="AR58" s="926"/>
      <c r="AS58" s="70"/>
      <c r="AT58" s="1127"/>
      <c r="AU58" s="66"/>
      <c r="AV58" s="4090"/>
      <c r="AW58" s="66"/>
      <c r="AX58" s="30" t="str">
        <f>IF(AV58="","!","✓")</f>
        <v>!</v>
      </c>
      <c r="AY58" s="962"/>
      <c r="AZ58" s="926"/>
      <c r="BB58" s="1127"/>
      <c r="BC58" s="66"/>
      <c r="BD58" s="4090"/>
      <c r="BE58" s="66"/>
      <c r="BF58" s="30" t="str">
        <f>IF(BD58="","!","✓")</f>
        <v>!</v>
      </c>
      <c r="BG58" s="962"/>
      <c r="BH58" s="926"/>
      <c r="BI58" s="70"/>
      <c r="BJ58" s="1127"/>
      <c r="BK58" s="66"/>
      <c r="BL58" s="4090"/>
      <c r="BM58" s="66"/>
      <c r="BN58" s="30" t="str">
        <f>IF(BL58="","!","✓")</f>
        <v>!</v>
      </c>
      <c r="BO58" s="962"/>
      <c r="BP58" s="926"/>
      <c r="BQ58" s="70"/>
      <c r="BR58" s="1127"/>
      <c r="BS58" s="66"/>
      <c r="BT58" s="4090"/>
      <c r="BU58" s="66"/>
      <c r="BV58" s="30" t="str">
        <f>IF(BT58="","!","✓")</f>
        <v>!</v>
      </c>
      <c r="BW58" s="962"/>
      <c r="BX58" s="926"/>
      <c r="BY58" s="70"/>
      <c r="BZ58" s="1127"/>
      <c r="CA58" s="66"/>
      <c r="CB58" s="4090"/>
      <c r="CC58" s="66"/>
      <c r="CD58" s="30" t="str">
        <f>IF(CB58="","!","✓")</f>
        <v>!</v>
      </c>
      <c r="CE58" s="962"/>
      <c r="CF58" s="926"/>
      <c r="CH58" s="1127"/>
      <c r="CI58" s="66"/>
      <c r="CJ58" s="4090"/>
      <c r="CK58" s="66"/>
      <c r="CL58" s="30" t="str">
        <f>IF(CJ58="","!","✓")</f>
        <v>!</v>
      </c>
      <c r="CM58" s="962"/>
      <c r="CN58" s="926"/>
      <c r="CP58" s="962"/>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T58" s="70"/>
      <c r="DU58" s="70"/>
      <c r="DV58" s="70"/>
      <c r="DW58" s="70"/>
      <c r="DX58" s="70"/>
      <c r="DY58" s="70"/>
      <c r="EB58" s="70"/>
      <c r="EC58" s="70"/>
      <c r="ED58" s="70"/>
      <c r="EE58" s="70"/>
      <c r="EF58" s="70"/>
      <c r="EG58" s="70"/>
      <c r="EH58" s="70"/>
      <c r="EI58" s="70"/>
      <c r="EJ58" s="70"/>
      <c r="EK58" s="70"/>
      <c r="EL58" s="70"/>
      <c r="EM58" s="70"/>
      <c r="EN58" s="70"/>
      <c r="EO58" s="70"/>
    </row>
    <row r="59" spans="1:145" s="21" customFormat="1" ht="15" customHeight="1" thickBot="1" x14ac:dyDescent="0.25">
      <c r="A59" s="25"/>
      <c r="B59" s="25"/>
      <c r="C59" s="941"/>
      <c r="D59" s="13"/>
      <c r="E59" s="700"/>
      <c r="F59" s="5741"/>
      <c r="G59" s="3936"/>
      <c r="H59" s="3936"/>
      <c r="I59" s="3936"/>
      <c r="J59" s="142"/>
      <c r="K59" s="142"/>
      <c r="L59" s="66"/>
      <c r="M59" s="66"/>
      <c r="N59" s="936"/>
      <c r="O59" s="3934"/>
      <c r="P59" s="933"/>
      <c r="Q59" s="16"/>
      <c r="R59" s="881"/>
      <c r="S59" s="2306"/>
      <c r="T59" s="1171"/>
      <c r="U59" s="70"/>
      <c r="V59" s="1127"/>
      <c r="W59" s="66"/>
      <c r="X59" s="65"/>
      <c r="Y59" s="66"/>
      <c r="Z59" s="1128"/>
      <c r="AA59" s="1128"/>
      <c r="AB59" s="926"/>
      <c r="AC59" s="70"/>
      <c r="AD59" s="1127"/>
      <c r="AE59" s="66"/>
      <c r="AF59" s="65"/>
      <c r="AG59" s="66"/>
      <c r="AH59" s="1128"/>
      <c r="AI59" s="1128"/>
      <c r="AJ59" s="926"/>
      <c r="AK59" s="70"/>
      <c r="AL59" s="1127"/>
      <c r="AM59" s="66"/>
      <c r="AN59" s="65"/>
      <c r="AO59" s="66"/>
      <c r="AP59" s="1128"/>
      <c r="AQ59" s="1128"/>
      <c r="AR59" s="926"/>
      <c r="AS59" s="70"/>
      <c r="AT59" s="1127"/>
      <c r="AU59" s="66"/>
      <c r="AV59" s="65"/>
      <c r="AW59" s="66"/>
      <c r="AX59" s="1128"/>
      <c r="AY59" s="1128"/>
      <c r="AZ59" s="926"/>
      <c r="BB59" s="1127"/>
      <c r="BC59" s="66"/>
      <c r="BD59" s="65"/>
      <c r="BE59" s="66"/>
      <c r="BF59" s="1128"/>
      <c r="BG59" s="1128"/>
      <c r="BH59" s="926"/>
      <c r="BI59" s="70"/>
      <c r="BJ59" s="1127"/>
      <c r="BK59" s="66"/>
      <c r="BL59" s="65"/>
      <c r="BM59" s="66"/>
      <c r="BN59" s="1128"/>
      <c r="BO59" s="1128"/>
      <c r="BP59" s="926"/>
      <c r="BQ59" s="70"/>
      <c r="BR59" s="1127"/>
      <c r="BS59" s="66"/>
      <c r="BT59" s="65"/>
      <c r="BU59" s="66"/>
      <c r="BV59" s="1128"/>
      <c r="BW59" s="1128"/>
      <c r="BX59" s="926"/>
      <c r="BY59" s="70"/>
      <c r="BZ59" s="1127"/>
      <c r="CA59" s="66"/>
      <c r="CB59" s="65"/>
      <c r="CC59" s="66"/>
      <c r="CD59" s="1128"/>
      <c r="CE59" s="1128"/>
      <c r="CF59" s="926"/>
      <c r="CH59" s="1127"/>
      <c r="CI59" s="66"/>
      <c r="CJ59" s="65"/>
      <c r="CK59" s="66"/>
      <c r="CL59" s="1128"/>
      <c r="CM59" s="1128"/>
      <c r="CN59" s="926"/>
      <c r="CP59" s="1128"/>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T59" s="70"/>
      <c r="DU59" s="70"/>
      <c r="DV59" s="70"/>
      <c r="DW59" s="70"/>
      <c r="DX59" s="70"/>
      <c r="DY59" s="70"/>
      <c r="EB59" s="70"/>
      <c r="EC59" s="70"/>
      <c r="ED59" s="70"/>
      <c r="EE59" s="70"/>
      <c r="EF59" s="70"/>
      <c r="EG59" s="70"/>
      <c r="EH59" s="70"/>
      <c r="EI59" s="70"/>
      <c r="EJ59" s="70"/>
      <c r="EK59" s="70"/>
      <c r="EL59" s="70"/>
      <c r="EM59" s="70"/>
      <c r="EN59" s="70"/>
      <c r="EO59" s="70"/>
    </row>
    <row r="60" spans="1:145" s="21" customFormat="1" ht="20.100000000000001" customHeight="1" thickBot="1" x14ac:dyDescent="0.25">
      <c r="A60" s="25"/>
      <c r="B60" s="25"/>
      <c r="C60" s="941"/>
      <c r="D60" s="13"/>
      <c r="E60" s="700"/>
      <c r="F60" s="5741" t="str">
        <f>_Calcs!$N$38</f>
        <v>Tekniske rom</v>
      </c>
      <c r="G60" s="3936"/>
      <c r="H60" s="3936"/>
      <c r="I60" s="3936"/>
      <c r="J60" s="142"/>
      <c r="K60" s="142"/>
      <c r="L60" s="66"/>
      <c r="M60" s="66"/>
      <c r="N60" s="936"/>
      <c r="O60" s="3934" t="s">
        <v>86</v>
      </c>
      <c r="P60" s="933"/>
      <c r="Q60" s="16"/>
      <c r="R60" s="881"/>
      <c r="S60" s="2301">
        <f>_Calcs!BD201</f>
        <v>0</v>
      </c>
      <c r="T60" s="1171"/>
      <c r="U60" s="70"/>
      <c r="V60" s="1127"/>
      <c r="W60" s="66"/>
      <c r="X60" s="4090"/>
      <c r="Y60" s="66"/>
      <c r="Z60" s="30" t="str">
        <f>IF(X60="","!","✓")</f>
        <v>!</v>
      </c>
      <c r="AA60" s="962"/>
      <c r="AB60" s="926"/>
      <c r="AC60" s="70"/>
      <c r="AD60" s="1127"/>
      <c r="AE60" s="66"/>
      <c r="AF60" s="4090"/>
      <c r="AG60" s="66"/>
      <c r="AH60" s="30" t="str">
        <f>IF(AF60="","!","✓")</f>
        <v>!</v>
      </c>
      <c r="AI60" s="962"/>
      <c r="AJ60" s="926"/>
      <c r="AK60" s="70"/>
      <c r="AL60" s="1127"/>
      <c r="AM60" s="66"/>
      <c r="AN60" s="4090"/>
      <c r="AO60" s="66"/>
      <c r="AP60" s="30" t="str">
        <f>IF(AN60="","!","✓")</f>
        <v>!</v>
      </c>
      <c r="AQ60" s="962"/>
      <c r="AR60" s="926"/>
      <c r="AS60" s="70"/>
      <c r="AT60" s="1127"/>
      <c r="AU60" s="66"/>
      <c r="AV60" s="4090"/>
      <c r="AW60" s="66"/>
      <c r="AX60" s="30" t="str">
        <f>IF(AV60="","!","✓")</f>
        <v>!</v>
      </c>
      <c r="AY60" s="962"/>
      <c r="AZ60" s="926"/>
      <c r="BB60" s="1127"/>
      <c r="BC60" s="66"/>
      <c r="BD60" s="4090"/>
      <c r="BE60" s="66"/>
      <c r="BF60" s="30" t="str">
        <f>IF(BD60="","!","✓")</f>
        <v>!</v>
      </c>
      <c r="BG60" s="962"/>
      <c r="BH60" s="926"/>
      <c r="BI60" s="70"/>
      <c r="BJ60" s="1127"/>
      <c r="BK60" s="66"/>
      <c r="BL60" s="4090"/>
      <c r="BM60" s="66"/>
      <c r="BN60" s="30" t="str">
        <f>IF(BL60="","!","✓")</f>
        <v>!</v>
      </c>
      <c r="BO60" s="962"/>
      <c r="BP60" s="926"/>
      <c r="BQ60" s="70"/>
      <c r="BR60" s="1127"/>
      <c r="BS60" s="66"/>
      <c r="BT60" s="4090"/>
      <c r="BU60" s="66"/>
      <c r="BV60" s="30" t="str">
        <f>IF(BT60="","!","✓")</f>
        <v>!</v>
      </c>
      <c r="BW60" s="962"/>
      <c r="BX60" s="926"/>
      <c r="BY60" s="70"/>
      <c r="BZ60" s="1127"/>
      <c r="CA60" s="66"/>
      <c r="CB60" s="4090"/>
      <c r="CC60" s="66"/>
      <c r="CD60" s="30" t="str">
        <f>IF(CB60="","!","✓")</f>
        <v>!</v>
      </c>
      <c r="CE60" s="962"/>
      <c r="CF60" s="926"/>
      <c r="CH60" s="1127"/>
      <c r="CI60" s="66"/>
      <c r="CJ60" s="4090"/>
      <c r="CK60" s="66"/>
      <c r="CL60" s="30" t="str">
        <f>IF(CJ60="","!","✓")</f>
        <v>!</v>
      </c>
      <c r="CM60" s="962"/>
      <c r="CN60" s="926"/>
      <c r="CP60" s="962"/>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T60" s="70"/>
      <c r="DU60" s="70"/>
      <c r="DV60" s="70"/>
      <c r="DW60" s="70"/>
      <c r="DX60" s="70"/>
      <c r="DY60" s="70"/>
      <c r="EB60" s="70"/>
      <c r="EC60" s="70"/>
      <c r="ED60" s="70"/>
      <c r="EE60" s="70"/>
      <c r="EF60" s="70"/>
      <c r="EG60" s="70"/>
      <c r="EH60" s="70"/>
      <c r="EI60" s="70"/>
      <c r="EJ60" s="70"/>
      <c r="EK60" s="70"/>
      <c r="EL60" s="70"/>
      <c r="EM60" s="70"/>
      <c r="EN60" s="70"/>
      <c r="EO60" s="70"/>
    </row>
    <row r="61" spans="1:145" s="21" customFormat="1" ht="15" customHeight="1" thickBot="1" x14ac:dyDescent="0.25">
      <c r="A61" s="25"/>
      <c r="B61" s="25"/>
      <c r="C61" s="941"/>
      <c r="D61" s="13"/>
      <c r="E61" s="700"/>
      <c r="F61" s="5741"/>
      <c r="G61" s="3936"/>
      <c r="H61" s="3936"/>
      <c r="I61" s="3936"/>
      <c r="J61" s="142"/>
      <c r="K61" s="142"/>
      <c r="L61" s="66"/>
      <c r="M61" s="66"/>
      <c r="N61" s="936"/>
      <c r="O61" s="3934"/>
      <c r="P61" s="933"/>
      <c r="Q61" s="16"/>
      <c r="R61" s="881"/>
      <c r="S61" s="2306"/>
      <c r="T61" s="1171"/>
      <c r="U61" s="70"/>
      <c r="V61" s="1127"/>
      <c r="W61" s="66"/>
      <c r="X61" s="65"/>
      <c r="Y61" s="66"/>
      <c r="Z61" s="1128"/>
      <c r="AA61" s="1128"/>
      <c r="AB61" s="926"/>
      <c r="AC61" s="70"/>
      <c r="AD61" s="1127"/>
      <c r="AE61" s="66"/>
      <c r="AF61" s="65"/>
      <c r="AG61" s="66"/>
      <c r="AH61" s="1128"/>
      <c r="AI61" s="1128"/>
      <c r="AJ61" s="926"/>
      <c r="AK61" s="70"/>
      <c r="AL61" s="1127"/>
      <c r="AM61" s="66"/>
      <c r="AN61" s="65"/>
      <c r="AO61" s="66"/>
      <c r="AP61" s="1128"/>
      <c r="AQ61" s="1128"/>
      <c r="AR61" s="926"/>
      <c r="AS61" s="70"/>
      <c r="AT61" s="1127"/>
      <c r="AU61" s="66"/>
      <c r="AV61" s="65"/>
      <c r="AW61" s="66"/>
      <c r="AX61" s="1128"/>
      <c r="AY61" s="1128"/>
      <c r="AZ61" s="926"/>
      <c r="BB61" s="1127"/>
      <c r="BC61" s="66"/>
      <c r="BD61" s="65"/>
      <c r="BE61" s="66"/>
      <c r="BF61" s="1128"/>
      <c r="BG61" s="1128"/>
      <c r="BH61" s="926"/>
      <c r="BI61" s="70"/>
      <c r="BJ61" s="1127"/>
      <c r="BK61" s="66"/>
      <c r="BL61" s="65"/>
      <c r="BM61" s="66"/>
      <c r="BN61" s="1128"/>
      <c r="BO61" s="1128"/>
      <c r="BP61" s="926"/>
      <c r="BQ61" s="70"/>
      <c r="BR61" s="1127"/>
      <c r="BS61" s="66"/>
      <c r="BT61" s="65"/>
      <c r="BU61" s="66"/>
      <c r="BV61" s="1128"/>
      <c r="BW61" s="1128"/>
      <c r="BX61" s="926"/>
      <c r="BY61" s="70"/>
      <c r="BZ61" s="1127"/>
      <c r="CA61" s="66"/>
      <c r="CB61" s="65"/>
      <c r="CC61" s="66"/>
      <c r="CD61" s="1128"/>
      <c r="CE61" s="1128"/>
      <c r="CF61" s="926"/>
      <c r="CH61" s="1127"/>
      <c r="CI61" s="66"/>
      <c r="CJ61" s="65"/>
      <c r="CK61" s="66"/>
      <c r="CL61" s="1128"/>
      <c r="CM61" s="1128"/>
      <c r="CN61" s="926"/>
      <c r="CP61" s="1128"/>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T61" s="70"/>
      <c r="DU61" s="70"/>
      <c r="DV61" s="70"/>
      <c r="DW61" s="70"/>
      <c r="DX61" s="70"/>
      <c r="DY61" s="70"/>
      <c r="EB61" s="70"/>
      <c r="EC61" s="70"/>
      <c r="ED61" s="70"/>
      <c r="EE61" s="70"/>
      <c r="EF61" s="70"/>
      <c r="EG61" s="70"/>
      <c r="EH61" s="70"/>
      <c r="EI61" s="70"/>
      <c r="EJ61" s="70"/>
      <c r="EK61" s="70"/>
      <c r="EL61" s="70"/>
      <c r="EM61" s="70"/>
      <c r="EN61" s="70"/>
      <c r="EO61" s="70"/>
    </row>
    <row r="62" spans="1:145" s="21" customFormat="1" ht="20.100000000000001" customHeight="1" thickBot="1" x14ac:dyDescent="0.25">
      <c r="A62" s="25"/>
      <c r="B62" s="25"/>
      <c r="C62" s="941"/>
      <c r="D62" s="13"/>
      <c r="E62" s="700"/>
      <c r="F62" s="5741" t="str">
        <f>_Calcs!$N$39</f>
        <v>Siktutvidelse</v>
      </c>
      <c r="G62" s="3936"/>
      <c r="H62" s="3936"/>
      <c r="I62" s="3936"/>
      <c r="J62" s="142"/>
      <c r="K62" s="142"/>
      <c r="L62" s="66"/>
      <c r="M62" s="66"/>
      <c r="N62" s="936"/>
      <c r="O62" s="3934" t="s">
        <v>86</v>
      </c>
      <c r="P62" s="933"/>
      <c r="Q62" s="16"/>
      <c r="R62" s="881"/>
      <c r="S62" s="2301">
        <f>_Calcs!BD202</f>
        <v>0</v>
      </c>
      <c r="T62" s="1171"/>
      <c r="U62" s="70"/>
      <c r="V62" s="1127"/>
      <c r="W62" s="66"/>
      <c r="X62" s="4090"/>
      <c r="Y62" s="66"/>
      <c r="Z62" s="30" t="str">
        <f>IF(X62="","!","✓")</f>
        <v>!</v>
      </c>
      <c r="AA62" s="962"/>
      <c r="AB62" s="926"/>
      <c r="AC62" s="70"/>
      <c r="AD62" s="1127"/>
      <c r="AE62" s="66"/>
      <c r="AF62" s="4090"/>
      <c r="AG62" s="66"/>
      <c r="AH62" s="30" t="str">
        <f>IF(AF62="","!","✓")</f>
        <v>!</v>
      </c>
      <c r="AI62" s="962"/>
      <c r="AJ62" s="926"/>
      <c r="AK62" s="70"/>
      <c r="AL62" s="1127"/>
      <c r="AM62" s="66"/>
      <c r="AN62" s="4090"/>
      <c r="AO62" s="66"/>
      <c r="AP62" s="30" t="str">
        <f>IF(AN62="","!","✓")</f>
        <v>!</v>
      </c>
      <c r="AQ62" s="962"/>
      <c r="AR62" s="926"/>
      <c r="AS62" s="70"/>
      <c r="AT62" s="1127"/>
      <c r="AU62" s="66"/>
      <c r="AV62" s="4090"/>
      <c r="AW62" s="66"/>
      <c r="AX62" s="30" t="str">
        <f>IF(AV62="","!","✓")</f>
        <v>!</v>
      </c>
      <c r="AY62" s="962"/>
      <c r="AZ62" s="926"/>
      <c r="BB62" s="1127"/>
      <c r="BC62" s="66"/>
      <c r="BD62" s="4090"/>
      <c r="BE62" s="66"/>
      <c r="BF62" s="30" t="str">
        <f>IF(BD62="","!","✓")</f>
        <v>!</v>
      </c>
      <c r="BG62" s="962"/>
      <c r="BH62" s="926"/>
      <c r="BI62" s="70"/>
      <c r="BJ62" s="1127"/>
      <c r="BK62" s="66"/>
      <c r="BL62" s="4090"/>
      <c r="BM62" s="66"/>
      <c r="BN62" s="30" t="str">
        <f>IF(BL62="","!","✓")</f>
        <v>!</v>
      </c>
      <c r="BO62" s="962"/>
      <c r="BP62" s="926"/>
      <c r="BQ62" s="70"/>
      <c r="BR62" s="1127"/>
      <c r="BS62" s="66"/>
      <c r="BT62" s="4090"/>
      <c r="BU62" s="66"/>
      <c r="BV62" s="30" t="str">
        <f>IF(BT62="","!","✓")</f>
        <v>!</v>
      </c>
      <c r="BW62" s="962"/>
      <c r="BX62" s="926"/>
      <c r="BY62" s="70"/>
      <c r="BZ62" s="1127"/>
      <c r="CA62" s="66"/>
      <c r="CB62" s="4090"/>
      <c r="CC62" s="66"/>
      <c r="CD62" s="30" t="str">
        <f>IF(CB62="","!","✓")</f>
        <v>!</v>
      </c>
      <c r="CE62" s="962"/>
      <c r="CF62" s="926"/>
      <c r="CH62" s="1127"/>
      <c r="CI62" s="66"/>
      <c r="CJ62" s="4090"/>
      <c r="CK62" s="66"/>
      <c r="CL62" s="30" t="str">
        <f>IF(CJ62="","!","✓")</f>
        <v>!</v>
      </c>
      <c r="CM62" s="962"/>
      <c r="CN62" s="926"/>
      <c r="CP62" s="962"/>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T62" s="70"/>
      <c r="DU62" s="70"/>
      <c r="DV62" s="70"/>
      <c r="DW62" s="70"/>
      <c r="DX62" s="70"/>
      <c r="DY62" s="70"/>
      <c r="EB62" s="70"/>
      <c r="EC62" s="70"/>
      <c r="ED62" s="70"/>
      <c r="EE62" s="70"/>
      <c r="EF62" s="70"/>
      <c r="EG62" s="70"/>
      <c r="EH62" s="70"/>
      <c r="EI62" s="70"/>
      <c r="EJ62" s="70"/>
      <c r="EK62" s="70"/>
      <c r="EL62" s="70"/>
      <c r="EM62" s="70"/>
      <c r="EN62" s="70"/>
      <c r="EO62" s="70"/>
    </row>
    <row r="63" spans="1:145" s="21" customFormat="1" ht="15" customHeight="1" thickBot="1" x14ac:dyDescent="0.25">
      <c r="A63" s="25"/>
      <c r="B63" s="25"/>
      <c r="C63" s="941"/>
      <c r="D63" s="13"/>
      <c r="E63" s="700"/>
      <c r="F63" s="5741"/>
      <c r="G63" s="3936"/>
      <c r="H63" s="3936"/>
      <c r="I63" s="3936"/>
      <c r="J63" s="142"/>
      <c r="K63" s="142"/>
      <c r="L63" s="66"/>
      <c r="M63" s="66"/>
      <c r="N63" s="936"/>
      <c r="O63" s="3934"/>
      <c r="P63" s="933"/>
      <c r="Q63" s="16"/>
      <c r="R63" s="881"/>
      <c r="S63" s="2306"/>
      <c r="T63" s="1171"/>
      <c r="U63" s="70"/>
      <c r="V63" s="1127"/>
      <c r="W63" s="66"/>
      <c r="X63" s="65"/>
      <c r="Y63" s="66"/>
      <c r="Z63" s="1128"/>
      <c r="AA63" s="1128"/>
      <c r="AB63" s="926"/>
      <c r="AC63" s="70"/>
      <c r="AD63" s="1127"/>
      <c r="AE63" s="66"/>
      <c r="AF63" s="65"/>
      <c r="AG63" s="66"/>
      <c r="AH63" s="1128"/>
      <c r="AI63" s="1128"/>
      <c r="AJ63" s="926"/>
      <c r="AK63" s="70"/>
      <c r="AL63" s="1127"/>
      <c r="AM63" s="66"/>
      <c r="AN63" s="65"/>
      <c r="AO63" s="66"/>
      <c r="AP63" s="1128"/>
      <c r="AQ63" s="1128"/>
      <c r="AR63" s="926"/>
      <c r="AS63" s="70"/>
      <c r="AT63" s="1127"/>
      <c r="AU63" s="66"/>
      <c r="AV63" s="65"/>
      <c r="AW63" s="66"/>
      <c r="AX63" s="1128"/>
      <c r="AY63" s="1128"/>
      <c r="AZ63" s="926"/>
      <c r="BB63" s="1127"/>
      <c r="BC63" s="66"/>
      <c r="BD63" s="65"/>
      <c r="BE63" s="66"/>
      <c r="BF63" s="1128"/>
      <c r="BG63" s="1128"/>
      <c r="BH63" s="926"/>
      <c r="BI63" s="70"/>
      <c r="BJ63" s="1127"/>
      <c r="BK63" s="66"/>
      <c r="BL63" s="65"/>
      <c r="BM63" s="66"/>
      <c r="BN63" s="1128"/>
      <c r="BO63" s="1128"/>
      <c r="BP63" s="926"/>
      <c r="BQ63" s="70"/>
      <c r="BR63" s="1127"/>
      <c r="BS63" s="66"/>
      <c r="BT63" s="65"/>
      <c r="BU63" s="66"/>
      <c r="BV63" s="1128"/>
      <c r="BW63" s="1128"/>
      <c r="BX63" s="926"/>
      <c r="BY63" s="70"/>
      <c r="BZ63" s="1127"/>
      <c r="CA63" s="66"/>
      <c r="CB63" s="65"/>
      <c r="CC63" s="66"/>
      <c r="CD63" s="1128"/>
      <c r="CE63" s="1128"/>
      <c r="CF63" s="926"/>
      <c r="CH63" s="1127"/>
      <c r="CI63" s="66"/>
      <c r="CJ63" s="65"/>
      <c r="CK63" s="66"/>
      <c r="CL63" s="1128"/>
      <c r="CM63" s="1128"/>
      <c r="CN63" s="926"/>
      <c r="CP63" s="1128"/>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EB63" s="70"/>
      <c r="EC63" s="70"/>
      <c r="ED63" s="70"/>
      <c r="EE63" s="70"/>
      <c r="EF63" s="70"/>
      <c r="EG63" s="70"/>
      <c r="EH63" s="70"/>
      <c r="EI63" s="70"/>
      <c r="EJ63" s="70"/>
      <c r="EK63" s="70"/>
      <c r="EL63" s="70"/>
      <c r="EM63" s="70"/>
      <c r="EN63" s="70"/>
      <c r="EO63" s="70"/>
    </row>
    <row r="64" spans="1:145" s="21" customFormat="1" ht="20.100000000000001" customHeight="1" thickBot="1" x14ac:dyDescent="0.25">
      <c r="A64" s="25"/>
      <c r="B64" s="25"/>
      <c r="C64" s="941"/>
      <c r="D64" s="13"/>
      <c r="E64" s="700"/>
      <c r="F64" s="5740" t="str">
        <f>_Calcs!$N$40</f>
        <v>Utvidelse for tung sikring</v>
      </c>
      <c r="G64" s="3934"/>
      <c r="H64" s="3934"/>
      <c r="I64" s="3934"/>
      <c r="J64" s="142"/>
      <c r="K64" s="142"/>
      <c r="L64" s="66"/>
      <c r="M64" s="66"/>
      <c r="N64" s="936"/>
      <c r="O64" s="3934" t="s">
        <v>86</v>
      </c>
      <c r="P64" s="933"/>
      <c r="Q64" s="16"/>
      <c r="R64" s="881"/>
      <c r="S64" s="2301">
        <f>_Calcs!BD203</f>
        <v>0</v>
      </c>
      <c r="T64" s="1171"/>
      <c r="U64" s="70"/>
      <c r="V64" s="1127"/>
      <c r="W64" s="66"/>
      <c r="X64" s="4090"/>
      <c r="Y64" s="66"/>
      <c r="Z64" s="30" t="str">
        <f>IF(X64="","!","✓")</f>
        <v>!</v>
      </c>
      <c r="AA64" s="962"/>
      <c r="AB64" s="926"/>
      <c r="AC64" s="70"/>
      <c r="AD64" s="1127"/>
      <c r="AE64" s="66"/>
      <c r="AF64" s="4090"/>
      <c r="AG64" s="66"/>
      <c r="AH64" s="30" t="str">
        <f>IF(AF64="","!","✓")</f>
        <v>!</v>
      </c>
      <c r="AI64" s="962"/>
      <c r="AJ64" s="926"/>
      <c r="AK64" s="70"/>
      <c r="AL64" s="1127"/>
      <c r="AM64" s="66"/>
      <c r="AN64" s="4090"/>
      <c r="AO64" s="66"/>
      <c r="AP64" s="30" t="str">
        <f>IF(AN64="","!","✓")</f>
        <v>!</v>
      </c>
      <c r="AQ64" s="962"/>
      <c r="AR64" s="926"/>
      <c r="AS64" s="70"/>
      <c r="AT64" s="1127"/>
      <c r="AU64" s="66"/>
      <c r="AV64" s="4090"/>
      <c r="AW64" s="66"/>
      <c r="AX64" s="30" t="str">
        <f>IF(AV64="","!","✓")</f>
        <v>!</v>
      </c>
      <c r="AY64" s="962"/>
      <c r="AZ64" s="926"/>
      <c r="BB64" s="1127"/>
      <c r="BC64" s="66"/>
      <c r="BD64" s="4090"/>
      <c r="BE64" s="66"/>
      <c r="BF64" s="30" t="str">
        <f>IF(BD64="","!","✓")</f>
        <v>!</v>
      </c>
      <c r="BG64" s="962"/>
      <c r="BH64" s="926"/>
      <c r="BI64" s="70"/>
      <c r="BJ64" s="1127"/>
      <c r="BK64" s="66"/>
      <c r="BL64" s="4090"/>
      <c r="BM64" s="66"/>
      <c r="BN64" s="30" t="str">
        <f>IF(BL64="","!","✓")</f>
        <v>!</v>
      </c>
      <c r="BO64" s="962"/>
      <c r="BP64" s="926"/>
      <c r="BQ64" s="70"/>
      <c r="BR64" s="1127"/>
      <c r="BS64" s="66"/>
      <c r="BT64" s="4090"/>
      <c r="BU64" s="66"/>
      <c r="BV64" s="30" t="str">
        <f>IF(BT64="","!","✓")</f>
        <v>!</v>
      </c>
      <c r="BW64" s="962"/>
      <c r="BX64" s="926"/>
      <c r="BY64" s="70"/>
      <c r="BZ64" s="1127"/>
      <c r="CA64" s="66"/>
      <c r="CB64" s="4090"/>
      <c r="CC64" s="66"/>
      <c r="CD64" s="30" t="str">
        <f>IF(CB64="","!","✓")</f>
        <v>!</v>
      </c>
      <c r="CE64" s="962"/>
      <c r="CF64" s="926"/>
      <c r="CH64" s="1127"/>
      <c r="CI64" s="66"/>
      <c r="CJ64" s="4090"/>
      <c r="CK64" s="66"/>
      <c r="CL64" s="30" t="str">
        <f>IF(CJ64="","!","✓")</f>
        <v>!</v>
      </c>
      <c r="CM64" s="962"/>
      <c r="CN64" s="926"/>
      <c r="CP64" s="962"/>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EB64" s="70"/>
      <c r="EC64" s="70"/>
      <c r="ED64" s="70"/>
      <c r="EE64" s="70"/>
      <c r="EF64" s="70"/>
      <c r="EG64" s="70"/>
      <c r="EH64" s="70"/>
      <c r="EI64" s="70"/>
      <c r="EJ64" s="70"/>
      <c r="EK64" s="70"/>
      <c r="EL64" s="70"/>
      <c r="EM64" s="70"/>
      <c r="EN64" s="70"/>
      <c r="EO64" s="70"/>
    </row>
    <row r="65" spans="1:145" s="21" customFormat="1" ht="15" customHeight="1" thickBot="1" x14ac:dyDescent="0.25">
      <c r="A65" s="25"/>
      <c r="B65" s="25"/>
      <c r="C65" s="941"/>
      <c r="D65" s="13"/>
      <c r="E65" s="700"/>
      <c r="F65" s="5741"/>
      <c r="G65" s="3936"/>
      <c r="H65" s="3936"/>
      <c r="I65" s="3936"/>
      <c r="J65" s="142"/>
      <c r="K65" s="142"/>
      <c r="L65" s="66"/>
      <c r="M65" s="66"/>
      <c r="N65" s="936"/>
      <c r="O65" s="3934"/>
      <c r="P65" s="933"/>
      <c r="Q65" s="16"/>
      <c r="R65" s="881"/>
      <c r="S65" s="2306"/>
      <c r="T65" s="1171"/>
      <c r="U65" s="70"/>
      <c r="V65" s="1127"/>
      <c r="W65" s="66"/>
      <c r="X65" s="65"/>
      <c r="Y65" s="66"/>
      <c r="Z65" s="1128"/>
      <c r="AA65" s="1128"/>
      <c r="AB65" s="926"/>
      <c r="AC65" s="70"/>
      <c r="AD65" s="1127"/>
      <c r="AE65" s="66"/>
      <c r="AF65" s="65"/>
      <c r="AG65" s="66"/>
      <c r="AH65" s="1128"/>
      <c r="AI65" s="1128"/>
      <c r="AJ65" s="926"/>
      <c r="AK65" s="70"/>
      <c r="AL65" s="1127"/>
      <c r="AM65" s="66"/>
      <c r="AN65" s="65"/>
      <c r="AO65" s="66"/>
      <c r="AP65" s="1128"/>
      <c r="AQ65" s="1128"/>
      <c r="AR65" s="926"/>
      <c r="AS65" s="70"/>
      <c r="AT65" s="1127"/>
      <c r="AU65" s="66"/>
      <c r="AV65" s="65"/>
      <c r="AW65" s="66"/>
      <c r="AX65" s="1128"/>
      <c r="AY65" s="1128"/>
      <c r="AZ65" s="926"/>
      <c r="BB65" s="1127"/>
      <c r="BC65" s="66"/>
      <c r="BD65" s="65"/>
      <c r="BE65" s="66"/>
      <c r="BF65" s="1128"/>
      <c r="BG65" s="1128"/>
      <c r="BH65" s="926"/>
      <c r="BI65" s="70"/>
      <c r="BJ65" s="1127"/>
      <c r="BK65" s="66"/>
      <c r="BL65" s="65"/>
      <c r="BM65" s="66"/>
      <c r="BN65" s="1128"/>
      <c r="BO65" s="1128"/>
      <c r="BP65" s="926"/>
      <c r="BQ65" s="70"/>
      <c r="BR65" s="1127"/>
      <c r="BS65" s="66"/>
      <c r="BT65" s="65"/>
      <c r="BU65" s="66"/>
      <c r="BV65" s="1128"/>
      <c r="BW65" s="1128"/>
      <c r="BX65" s="926"/>
      <c r="BY65" s="70"/>
      <c r="BZ65" s="1127"/>
      <c r="CA65" s="66"/>
      <c r="CB65" s="65"/>
      <c r="CC65" s="66"/>
      <c r="CD65" s="1128"/>
      <c r="CE65" s="1128"/>
      <c r="CF65" s="926"/>
      <c r="CH65" s="1127"/>
      <c r="CI65" s="66"/>
      <c r="CJ65" s="65"/>
      <c r="CK65" s="66"/>
      <c r="CL65" s="1128"/>
      <c r="CM65" s="1128"/>
      <c r="CN65" s="926"/>
      <c r="CP65" s="1128"/>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EB65" s="70"/>
      <c r="EC65" s="70"/>
      <c r="ED65" s="70"/>
      <c r="EE65" s="70"/>
      <c r="EF65" s="70"/>
      <c r="EG65" s="70"/>
      <c r="EH65" s="70"/>
      <c r="EI65" s="70"/>
      <c r="EJ65" s="70"/>
      <c r="EK65" s="70"/>
      <c r="EL65" s="70"/>
      <c r="EM65" s="70"/>
      <c r="EN65" s="70"/>
      <c r="EO65" s="70"/>
    </row>
    <row r="66" spans="1:145" s="21" customFormat="1" ht="20.100000000000001" customHeight="1" thickBot="1" x14ac:dyDescent="0.25">
      <c r="A66" s="25"/>
      <c r="B66" s="25"/>
      <c r="C66" s="941"/>
      <c r="D66" s="13"/>
      <c r="E66" s="700"/>
      <c r="F66" s="5741" t="str">
        <f>_Calcs!$N$41</f>
        <v>Pumpesump</v>
      </c>
      <c r="G66" s="3936"/>
      <c r="H66" s="3936"/>
      <c r="I66" s="3936"/>
      <c r="J66" s="142"/>
      <c r="K66" s="142"/>
      <c r="L66" s="66"/>
      <c r="M66" s="66"/>
      <c r="N66" s="936"/>
      <c r="O66" s="3934" t="s">
        <v>86</v>
      </c>
      <c r="P66" s="933"/>
      <c r="Q66" s="16"/>
      <c r="R66" s="881"/>
      <c r="S66" s="2301">
        <f>_Calcs!BD204</f>
        <v>0</v>
      </c>
      <c r="T66" s="1171"/>
      <c r="U66" s="70"/>
      <c r="V66" s="1127"/>
      <c r="W66" s="66"/>
      <c r="X66" s="4090"/>
      <c r="Y66" s="66"/>
      <c r="Z66" s="30" t="str">
        <f>IF(X66="","!","✓")</f>
        <v>!</v>
      </c>
      <c r="AA66" s="962"/>
      <c r="AB66" s="926"/>
      <c r="AC66" s="70"/>
      <c r="AD66" s="1127"/>
      <c r="AE66" s="66"/>
      <c r="AF66" s="4090"/>
      <c r="AG66" s="66"/>
      <c r="AH66" s="30" t="str">
        <f>IF(AF66="","!","✓")</f>
        <v>!</v>
      </c>
      <c r="AI66" s="962"/>
      <c r="AJ66" s="926"/>
      <c r="AK66" s="70"/>
      <c r="AL66" s="1127"/>
      <c r="AM66" s="66"/>
      <c r="AN66" s="4090"/>
      <c r="AO66" s="66"/>
      <c r="AP66" s="30" t="str">
        <f>IF(AN66="","!","✓")</f>
        <v>!</v>
      </c>
      <c r="AQ66" s="962"/>
      <c r="AR66" s="926"/>
      <c r="AS66" s="70"/>
      <c r="AT66" s="1127"/>
      <c r="AU66" s="66"/>
      <c r="AV66" s="4090"/>
      <c r="AW66" s="66"/>
      <c r="AX66" s="30" t="str">
        <f>IF(AV66="","!","✓")</f>
        <v>!</v>
      </c>
      <c r="AY66" s="962"/>
      <c r="AZ66" s="926"/>
      <c r="BB66" s="1127"/>
      <c r="BC66" s="66"/>
      <c r="BD66" s="4090"/>
      <c r="BE66" s="66"/>
      <c r="BF66" s="30" t="str">
        <f>IF(BD66="","!","✓")</f>
        <v>!</v>
      </c>
      <c r="BG66" s="962"/>
      <c r="BH66" s="926"/>
      <c r="BI66" s="70"/>
      <c r="BJ66" s="1127"/>
      <c r="BK66" s="66"/>
      <c r="BL66" s="4090"/>
      <c r="BM66" s="66"/>
      <c r="BN66" s="30" t="str">
        <f>IF(BL66="","!","✓")</f>
        <v>!</v>
      </c>
      <c r="BO66" s="962"/>
      <c r="BP66" s="926"/>
      <c r="BQ66" s="70"/>
      <c r="BR66" s="1127"/>
      <c r="BS66" s="66"/>
      <c r="BT66" s="4090"/>
      <c r="BU66" s="66"/>
      <c r="BV66" s="30" t="str">
        <f>IF(BT66="","!","✓")</f>
        <v>!</v>
      </c>
      <c r="BW66" s="962"/>
      <c r="BX66" s="926"/>
      <c r="BY66" s="70"/>
      <c r="BZ66" s="1127"/>
      <c r="CA66" s="66"/>
      <c r="CB66" s="4090"/>
      <c r="CC66" s="66"/>
      <c r="CD66" s="30" t="str">
        <f>IF(CB66="","!","✓")</f>
        <v>!</v>
      </c>
      <c r="CE66" s="962"/>
      <c r="CF66" s="926"/>
      <c r="CH66" s="1127"/>
      <c r="CI66" s="66"/>
      <c r="CJ66" s="4090"/>
      <c r="CK66" s="66"/>
      <c r="CL66" s="30" t="str">
        <f>IF(CJ66="","!","✓")</f>
        <v>!</v>
      </c>
      <c r="CM66" s="962"/>
      <c r="CN66" s="926"/>
      <c r="CP66" s="962"/>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EB66" s="70"/>
      <c r="EC66" s="70"/>
      <c r="ED66" s="70"/>
      <c r="EE66" s="70"/>
      <c r="EF66" s="70"/>
      <c r="EG66" s="70"/>
      <c r="EH66" s="70"/>
      <c r="EI66" s="70"/>
      <c r="EJ66" s="70"/>
      <c r="EK66" s="70"/>
      <c r="EL66" s="70"/>
      <c r="EM66" s="70"/>
      <c r="EN66" s="70"/>
      <c r="EO66" s="70"/>
    </row>
    <row r="67" spans="1:145" s="21" customFormat="1" ht="15" customHeight="1" thickBot="1" x14ac:dyDescent="0.25">
      <c r="A67" s="25"/>
      <c r="B67" s="25"/>
      <c r="C67" s="941"/>
      <c r="D67" s="13"/>
      <c r="E67" s="700"/>
      <c r="F67" s="5741"/>
      <c r="G67" s="3936"/>
      <c r="H67" s="3936"/>
      <c r="I67" s="3936"/>
      <c r="J67" s="142"/>
      <c r="K67" s="142"/>
      <c r="L67" s="66"/>
      <c r="M67" s="66"/>
      <c r="N67" s="936"/>
      <c r="O67" s="3934"/>
      <c r="P67" s="933"/>
      <c r="Q67" s="16"/>
      <c r="R67" s="4081"/>
      <c r="S67" s="4082"/>
      <c r="T67" s="4083"/>
      <c r="U67" s="70"/>
      <c r="V67" s="1127"/>
      <c r="W67" s="66"/>
      <c r="X67" s="65"/>
      <c r="Y67" s="66"/>
      <c r="Z67" s="1128"/>
      <c r="AA67" s="1128"/>
      <c r="AB67" s="926"/>
      <c r="AC67" s="70"/>
      <c r="AD67" s="1127"/>
      <c r="AE67" s="66"/>
      <c r="AF67" s="65"/>
      <c r="AG67" s="66"/>
      <c r="AH67" s="1128"/>
      <c r="AI67" s="1128"/>
      <c r="AJ67" s="926"/>
      <c r="AK67" s="70"/>
      <c r="AL67" s="1127"/>
      <c r="AM67" s="66"/>
      <c r="AN67" s="65"/>
      <c r="AO67" s="66"/>
      <c r="AP67" s="1128"/>
      <c r="AQ67" s="1128"/>
      <c r="AR67" s="926"/>
      <c r="AS67" s="70"/>
      <c r="AT67" s="1127"/>
      <c r="AU67" s="66"/>
      <c r="AV67" s="65"/>
      <c r="AW67" s="66"/>
      <c r="AX67" s="1128"/>
      <c r="AY67" s="1128"/>
      <c r="AZ67" s="926"/>
      <c r="BB67" s="1127"/>
      <c r="BC67" s="66"/>
      <c r="BD67" s="65"/>
      <c r="BE67" s="66"/>
      <c r="BF67" s="1128"/>
      <c r="BG67" s="1128"/>
      <c r="BH67" s="926"/>
      <c r="BI67" s="70"/>
      <c r="BJ67" s="1127"/>
      <c r="BK67" s="66"/>
      <c r="BL67" s="65"/>
      <c r="BM67" s="66"/>
      <c r="BN67" s="1128"/>
      <c r="BO67" s="1128"/>
      <c r="BP67" s="926"/>
      <c r="BQ67" s="70"/>
      <c r="BR67" s="1127"/>
      <c r="BS67" s="66"/>
      <c r="BT67" s="65"/>
      <c r="BU67" s="66"/>
      <c r="BV67" s="1128"/>
      <c r="BW67" s="1128"/>
      <c r="BX67" s="926"/>
      <c r="BY67" s="70"/>
      <c r="BZ67" s="1127"/>
      <c r="CA67" s="66"/>
      <c r="CB67" s="65"/>
      <c r="CC67" s="66"/>
      <c r="CD67" s="1128"/>
      <c r="CE67" s="1128"/>
      <c r="CF67" s="926"/>
      <c r="CH67" s="1127"/>
      <c r="CI67" s="66"/>
      <c r="CJ67" s="65"/>
      <c r="CK67" s="66"/>
      <c r="CL67" s="1128"/>
      <c r="CM67" s="1128"/>
      <c r="CN67" s="926"/>
      <c r="CP67" s="1128"/>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EB67" s="70"/>
      <c r="EC67" s="70"/>
      <c r="ED67" s="70"/>
      <c r="EE67" s="70"/>
      <c r="EF67" s="70"/>
      <c r="EG67" s="70"/>
      <c r="EH67" s="70"/>
      <c r="EI67" s="70"/>
      <c r="EJ67" s="70"/>
      <c r="EK67" s="70"/>
      <c r="EL67" s="70"/>
      <c r="EM67" s="70"/>
      <c r="EN67" s="70"/>
      <c r="EO67" s="70"/>
    </row>
    <row r="68" spans="1:145" s="21" customFormat="1" ht="20.100000000000001" customHeight="1" thickBot="1" x14ac:dyDescent="0.25">
      <c r="A68" s="25"/>
      <c r="B68" s="25"/>
      <c r="C68" s="942"/>
      <c r="D68" s="13"/>
      <c r="E68" s="700"/>
      <c r="F68" s="5741" t="str">
        <f>_Calcs!$N$42</f>
        <v>Annet</v>
      </c>
      <c r="G68" s="3936"/>
      <c r="H68" s="3936"/>
      <c r="I68" s="3936"/>
      <c r="J68" s="142"/>
      <c r="K68" s="142"/>
      <c r="L68" s="66"/>
      <c r="M68" s="66"/>
      <c r="N68" s="936"/>
      <c r="O68" s="3934" t="s">
        <v>86</v>
      </c>
      <c r="P68" s="933"/>
      <c r="Q68" s="16"/>
      <c r="R68" s="4078"/>
      <c r="S68" s="2301">
        <f>_Calcs!BD206</f>
        <v>0</v>
      </c>
      <c r="T68" s="4079"/>
      <c r="U68" s="70"/>
      <c r="V68" s="1127"/>
      <c r="W68" s="66"/>
      <c r="X68" s="4090"/>
      <c r="Y68" s="66"/>
      <c r="Z68" s="1128"/>
      <c r="AA68" s="1128"/>
      <c r="AB68" s="926"/>
      <c r="AC68" s="70"/>
      <c r="AD68" s="1127"/>
      <c r="AE68" s="66"/>
      <c r="AF68" s="4090"/>
      <c r="AG68" s="66"/>
      <c r="AH68" s="1128"/>
      <c r="AI68" s="1128"/>
      <c r="AJ68" s="926"/>
      <c r="AK68" s="70"/>
      <c r="AL68" s="1127"/>
      <c r="AM68" s="66"/>
      <c r="AN68" s="4090"/>
      <c r="AO68" s="66"/>
      <c r="AP68" s="1128"/>
      <c r="AQ68" s="1128"/>
      <c r="AR68" s="926"/>
      <c r="AS68" s="70"/>
      <c r="AT68" s="1127"/>
      <c r="AU68" s="66"/>
      <c r="AV68" s="4090"/>
      <c r="AW68" s="66"/>
      <c r="AX68" s="1128"/>
      <c r="AY68" s="1128"/>
      <c r="AZ68" s="926"/>
      <c r="BB68" s="1127"/>
      <c r="BC68" s="66"/>
      <c r="BD68" s="4090"/>
      <c r="BE68" s="66"/>
      <c r="BF68" s="1128"/>
      <c r="BG68" s="1128"/>
      <c r="BH68" s="926"/>
      <c r="BI68" s="70"/>
      <c r="BJ68" s="1127"/>
      <c r="BK68" s="66"/>
      <c r="BL68" s="4090"/>
      <c r="BM68" s="66"/>
      <c r="BN68" s="1128"/>
      <c r="BO68" s="1128"/>
      <c r="BP68" s="926"/>
      <c r="BQ68" s="70"/>
      <c r="BR68" s="1127"/>
      <c r="BS68" s="66"/>
      <c r="BT68" s="4090"/>
      <c r="BU68" s="66"/>
      <c r="BV68" s="1128"/>
      <c r="BW68" s="1128"/>
      <c r="BX68" s="926"/>
      <c r="BY68" s="70"/>
      <c r="BZ68" s="1127"/>
      <c r="CA68" s="66"/>
      <c r="CB68" s="4090"/>
      <c r="CC68" s="66"/>
      <c r="CD68" s="1128"/>
      <c r="CE68" s="1128"/>
      <c r="CF68" s="926"/>
      <c r="CH68" s="1127"/>
      <c r="CI68" s="66"/>
      <c r="CJ68" s="4090"/>
      <c r="CK68" s="66"/>
      <c r="CL68" s="1128"/>
      <c r="CM68" s="1128"/>
      <c r="CN68" s="926"/>
      <c r="CP68" s="1128"/>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EB68" s="70"/>
      <c r="EC68" s="70"/>
      <c r="EE68" s="70"/>
      <c r="EF68" s="70"/>
      <c r="EG68" s="70"/>
      <c r="EH68" s="70"/>
      <c r="EI68" s="70"/>
      <c r="EJ68" s="70"/>
      <c r="EK68" s="70"/>
      <c r="EL68" s="70"/>
      <c r="EM68" s="70"/>
      <c r="EN68" s="70"/>
      <c r="EO68" s="70"/>
    </row>
    <row r="69" spans="1:145" s="21" customFormat="1" ht="15" customHeight="1" thickBot="1" x14ac:dyDescent="0.25">
      <c r="A69" s="25"/>
      <c r="B69" s="25"/>
      <c r="C69" s="943"/>
      <c r="D69" s="13"/>
      <c r="E69" s="702"/>
      <c r="F69" s="717"/>
      <c r="G69" s="705"/>
      <c r="H69" s="705"/>
      <c r="I69" s="705"/>
      <c r="J69" s="704"/>
      <c r="K69" s="704"/>
      <c r="L69" s="705"/>
      <c r="M69" s="705"/>
      <c r="N69" s="937"/>
      <c r="O69" s="717"/>
      <c r="P69" s="938"/>
      <c r="Q69" s="16"/>
      <c r="R69" s="4085"/>
      <c r="S69" s="4091"/>
      <c r="T69" s="4033"/>
      <c r="U69" s="70"/>
      <c r="V69" s="1129"/>
      <c r="W69" s="705"/>
      <c r="X69" s="716"/>
      <c r="Y69" s="705"/>
      <c r="Z69" s="1130"/>
      <c r="AA69" s="1130"/>
      <c r="AB69" s="1131"/>
      <c r="AC69" s="70"/>
      <c r="AD69" s="1129"/>
      <c r="AE69" s="705"/>
      <c r="AF69" s="716"/>
      <c r="AG69" s="705"/>
      <c r="AH69" s="1130"/>
      <c r="AI69" s="1130"/>
      <c r="AJ69" s="1131"/>
      <c r="AK69" s="70"/>
      <c r="AL69" s="1129"/>
      <c r="AM69" s="705"/>
      <c r="AN69" s="716"/>
      <c r="AO69" s="705"/>
      <c r="AP69" s="1130"/>
      <c r="AQ69" s="1130"/>
      <c r="AR69" s="1131"/>
      <c r="AS69" s="70"/>
      <c r="AT69" s="1129"/>
      <c r="AU69" s="705"/>
      <c r="AV69" s="716"/>
      <c r="AW69" s="705"/>
      <c r="AX69" s="1130"/>
      <c r="AY69" s="1130"/>
      <c r="AZ69" s="1131"/>
      <c r="BB69" s="1129"/>
      <c r="BC69" s="705"/>
      <c r="BD69" s="716"/>
      <c r="BE69" s="705"/>
      <c r="BF69" s="1130"/>
      <c r="BG69" s="1130"/>
      <c r="BH69" s="1131"/>
      <c r="BI69" s="70"/>
      <c r="BJ69" s="1129"/>
      <c r="BK69" s="705"/>
      <c r="BL69" s="716"/>
      <c r="BM69" s="705"/>
      <c r="BN69" s="1130"/>
      <c r="BO69" s="1130"/>
      <c r="BP69" s="1131"/>
      <c r="BQ69" s="70"/>
      <c r="BR69" s="1129"/>
      <c r="BS69" s="705"/>
      <c r="BT69" s="716"/>
      <c r="BU69" s="705"/>
      <c r="BV69" s="1130"/>
      <c r="BW69" s="1130"/>
      <c r="BX69" s="1131"/>
      <c r="BY69" s="70"/>
      <c r="BZ69" s="1129"/>
      <c r="CA69" s="705"/>
      <c r="CB69" s="716"/>
      <c r="CC69" s="705"/>
      <c r="CD69" s="1130"/>
      <c r="CE69" s="1130"/>
      <c r="CF69" s="1131"/>
      <c r="CH69" s="1129"/>
      <c r="CI69" s="705"/>
      <c r="CJ69" s="716"/>
      <c r="CK69" s="705"/>
      <c r="CL69" s="1130"/>
      <c r="CM69" s="1130"/>
      <c r="CN69" s="1131"/>
      <c r="CP69" s="1169"/>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EB69" s="70"/>
      <c r="EC69" s="70"/>
      <c r="ED69" s="70"/>
      <c r="EE69" s="70"/>
      <c r="EF69" s="70"/>
      <c r="EG69" s="70"/>
      <c r="EH69" s="70"/>
      <c r="EI69" s="70"/>
      <c r="EJ69" s="70"/>
      <c r="EK69" s="70"/>
      <c r="EL69" s="70"/>
      <c r="EM69" s="70"/>
      <c r="EN69" s="70"/>
      <c r="EO69" s="70"/>
    </row>
    <row r="70" spans="1:145" s="78" customFormat="1" ht="30" customHeight="1" x14ac:dyDescent="0.2">
      <c r="F70" s="17"/>
      <c r="J70" s="573"/>
      <c r="K70" s="573"/>
      <c r="O70" s="17"/>
      <c r="R70" s="70"/>
      <c r="S70" s="70"/>
      <c r="T70" s="70"/>
      <c r="U70" s="70"/>
      <c r="Y70" s="215"/>
      <c r="AB70" s="21"/>
      <c r="AC70" s="70"/>
      <c r="AG70" s="215"/>
      <c r="AJ70" s="21"/>
      <c r="AK70" s="70"/>
      <c r="AO70" s="215"/>
      <c r="AR70" s="21"/>
      <c r="AS70" s="70"/>
      <c r="AW70" s="215"/>
      <c r="AZ70" s="21"/>
      <c r="BA70" s="70"/>
      <c r="BE70" s="215"/>
      <c r="BH70" s="21"/>
      <c r="BI70" s="70"/>
      <c r="BM70" s="215"/>
      <c r="BP70" s="21"/>
      <c r="BQ70" s="70"/>
      <c r="BU70" s="215"/>
      <c r="BX70" s="21"/>
      <c r="BY70" s="70"/>
      <c r="CC70" s="215"/>
      <c r="CF70" s="21"/>
      <c r="CG70" s="70"/>
      <c r="CK70" s="215"/>
      <c r="CN70" s="21"/>
      <c r="CO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row>
    <row r="71" spans="1:145" s="21" customFormat="1" ht="12" customHeight="1" x14ac:dyDescent="0.2">
      <c r="A71" s="25"/>
      <c r="B71" s="25"/>
      <c r="C71" s="2275"/>
      <c r="D71" s="25"/>
      <c r="E71" s="2276"/>
      <c r="F71" s="2277"/>
      <c r="G71" s="2277"/>
      <c r="H71" s="2277"/>
      <c r="I71" s="2275"/>
      <c r="J71" s="2275"/>
      <c r="K71" s="2275"/>
      <c r="L71" s="2277"/>
      <c r="M71" s="2277"/>
      <c r="N71" s="2277"/>
      <c r="O71" s="2284"/>
      <c r="P71" s="2277"/>
      <c r="Q71" s="17"/>
      <c r="R71" s="2275"/>
      <c r="S71" s="2275"/>
      <c r="T71" s="2275"/>
      <c r="V71" s="2277"/>
      <c r="W71" s="2277"/>
      <c r="X71" s="2275"/>
      <c r="Y71" s="2275"/>
      <c r="Z71" s="2275"/>
      <c r="AA71" s="2275"/>
      <c r="AB71" s="2278"/>
      <c r="AD71" s="2277"/>
      <c r="AE71" s="2277"/>
      <c r="AF71" s="2275"/>
      <c r="AG71" s="2275"/>
      <c r="AH71" s="2275"/>
      <c r="AI71" s="2275"/>
      <c r="AJ71" s="2278"/>
      <c r="AL71" s="2277"/>
      <c r="AM71" s="2277"/>
      <c r="AN71" s="2275"/>
      <c r="AO71" s="2275"/>
      <c r="AP71" s="2275"/>
      <c r="AQ71" s="2275"/>
      <c r="AR71" s="2278"/>
      <c r="AT71" s="2277"/>
      <c r="AU71" s="2277"/>
      <c r="AV71" s="2275"/>
      <c r="AW71" s="2275"/>
      <c r="AX71" s="2275"/>
      <c r="AY71" s="2275"/>
      <c r="AZ71" s="2278"/>
      <c r="BA71" s="70"/>
      <c r="BB71" s="2277"/>
      <c r="BC71" s="2277"/>
      <c r="BD71" s="2275"/>
      <c r="BE71" s="2275"/>
      <c r="BF71" s="2275"/>
      <c r="BG71" s="2275"/>
      <c r="BH71" s="2278"/>
      <c r="BJ71" s="2277"/>
      <c r="BK71" s="2277"/>
      <c r="BL71" s="2275"/>
      <c r="BM71" s="2275"/>
      <c r="BN71" s="2275"/>
      <c r="BO71" s="2275"/>
      <c r="BP71" s="2278"/>
      <c r="BR71" s="2277"/>
      <c r="BS71" s="2277"/>
      <c r="BT71" s="2275"/>
      <c r="BU71" s="2275"/>
      <c r="BV71" s="2275"/>
      <c r="BW71" s="2275"/>
      <c r="BX71" s="2278"/>
      <c r="BZ71" s="2277"/>
      <c r="CA71" s="2277"/>
      <c r="CB71" s="2275"/>
      <c r="CC71" s="2275"/>
      <c r="CD71" s="2275"/>
      <c r="CE71" s="2275"/>
      <c r="CF71" s="2278"/>
      <c r="CG71" s="70"/>
      <c r="CH71" s="2277"/>
      <c r="CI71" s="2277"/>
      <c r="CJ71" s="2275"/>
      <c r="CK71" s="2275"/>
      <c r="CL71" s="2275"/>
      <c r="CM71" s="2275"/>
      <c r="CN71" s="2278"/>
      <c r="CO71" s="70"/>
      <c r="CP71" s="2275"/>
      <c r="CQ71" s="70"/>
      <c r="DQ71" s="70"/>
    </row>
    <row r="72" spans="1:145" s="21" customFormat="1" ht="3.75" customHeight="1" x14ac:dyDescent="0.2">
      <c r="A72" s="25"/>
      <c r="B72" s="25"/>
      <c r="C72" s="13"/>
      <c r="D72" s="25"/>
      <c r="E72" s="14"/>
      <c r="F72" s="15"/>
      <c r="G72" s="15"/>
      <c r="H72" s="15"/>
      <c r="I72" s="16"/>
      <c r="J72" s="16"/>
      <c r="K72" s="16"/>
      <c r="L72" s="17"/>
      <c r="M72" s="17"/>
      <c r="N72" s="15"/>
      <c r="O72" s="1848"/>
      <c r="P72" s="17"/>
      <c r="Q72" s="17"/>
      <c r="R72" s="16"/>
      <c r="S72" s="16"/>
      <c r="T72" s="16"/>
      <c r="V72" s="18"/>
      <c r="W72" s="18"/>
      <c r="X72" s="13"/>
      <c r="Y72" s="16"/>
      <c r="Z72" s="16"/>
      <c r="AA72" s="16"/>
      <c r="AB72" s="19"/>
      <c r="AD72" s="18"/>
      <c r="AE72" s="18"/>
      <c r="AF72" s="13"/>
      <c r="AG72" s="16"/>
      <c r="AH72" s="16"/>
      <c r="AI72" s="16"/>
      <c r="AJ72" s="19"/>
      <c r="AL72" s="18"/>
      <c r="AM72" s="18"/>
      <c r="AN72" s="13"/>
      <c r="AO72" s="16"/>
      <c r="AP72" s="16"/>
      <c r="AQ72" s="16"/>
      <c r="AR72" s="19"/>
      <c r="AT72" s="18"/>
      <c r="AU72" s="18"/>
      <c r="AV72" s="13"/>
      <c r="AW72" s="16"/>
      <c r="AX72" s="16"/>
      <c r="AY72" s="16"/>
      <c r="AZ72" s="19"/>
      <c r="BA72" s="70"/>
      <c r="BB72" s="18"/>
      <c r="BC72" s="18"/>
      <c r="BD72" s="13"/>
      <c r="BE72" s="16"/>
      <c r="BF72" s="16"/>
      <c r="BG72" s="16"/>
      <c r="BH72" s="19"/>
      <c r="BJ72" s="18"/>
      <c r="BK72" s="18"/>
      <c r="BL72" s="13"/>
      <c r="BM72" s="16"/>
      <c r="BN72" s="16"/>
      <c r="BO72" s="16"/>
      <c r="BP72" s="19"/>
      <c r="BR72" s="18"/>
      <c r="BS72" s="18"/>
      <c r="BT72" s="13"/>
      <c r="BU72" s="16"/>
      <c r="BV72" s="16"/>
      <c r="BW72" s="16"/>
      <c r="BX72" s="19"/>
      <c r="BZ72" s="18"/>
      <c r="CA72" s="18"/>
      <c r="CB72" s="13"/>
      <c r="CC72" s="16"/>
      <c r="CD72" s="16"/>
      <c r="CE72" s="16"/>
      <c r="CF72" s="19"/>
      <c r="CG72" s="70"/>
      <c r="CH72" s="18"/>
      <c r="CI72" s="18"/>
      <c r="CJ72" s="13"/>
      <c r="CK72" s="16"/>
      <c r="CL72" s="16"/>
      <c r="CM72" s="16"/>
      <c r="CN72" s="19"/>
      <c r="CO72" s="70"/>
      <c r="CP72" s="16"/>
      <c r="CQ72" s="70"/>
      <c r="DQ72" s="70"/>
    </row>
    <row r="73" spans="1:145" s="21" customFormat="1" ht="5.0999999999999996" customHeight="1" x14ac:dyDescent="0.2">
      <c r="A73" s="25"/>
      <c r="B73" s="25"/>
      <c r="C73" s="2275"/>
      <c r="D73" s="25"/>
      <c r="E73" s="2276"/>
      <c r="F73" s="2277"/>
      <c r="G73" s="2277"/>
      <c r="H73" s="2277"/>
      <c r="I73" s="2275"/>
      <c r="J73" s="2275"/>
      <c r="K73" s="2275"/>
      <c r="L73" s="2277"/>
      <c r="M73" s="2277"/>
      <c r="N73" s="2277"/>
      <c r="O73" s="2284"/>
      <c r="P73" s="2277"/>
      <c r="Q73" s="17"/>
      <c r="R73" s="2275"/>
      <c r="S73" s="2275"/>
      <c r="T73" s="2275"/>
      <c r="V73" s="2277"/>
      <c r="W73" s="2277"/>
      <c r="X73" s="2275"/>
      <c r="Y73" s="2275"/>
      <c r="Z73" s="2275"/>
      <c r="AA73" s="2275"/>
      <c r="AB73" s="2278"/>
      <c r="AD73" s="2277"/>
      <c r="AE73" s="2277"/>
      <c r="AF73" s="2275"/>
      <c r="AG73" s="2275"/>
      <c r="AH73" s="2275"/>
      <c r="AI73" s="2275"/>
      <c r="AJ73" s="2278"/>
      <c r="AL73" s="2277"/>
      <c r="AM73" s="2277"/>
      <c r="AN73" s="2275"/>
      <c r="AO73" s="2275"/>
      <c r="AP73" s="2275"/>
      <c r="AQ73" s="2275"/>
      <c r="AR73" s="2278"/>
      <c r="AT73" s="2277"/>
      <c r="AU73" s="2277"/>
      <c r="AV73" s="2275"/>
      <c r="AW73" s="2275"/>
      <c r="AX73" s="2275"/>
      <c r="AY73" s="2275"/>
      <c r="AZ73" s="2278"/>
      <c r="BA73" s="70"/>
      <c r="BB73" s="2277"/>
      <c r="BC73" s="2277"/>
      <c r="BD73" s="2275"/>
      <c r="BE73" s="2275"/>
      <c r="BF73" s="2275"/>
      <c r="BG73" s="2275"/>
      <c r="BH73" s="2278"/>
      <c r="BJ73" s="2277"/>
      <c r="BK73" s="2277"/>
      <c r="BL73" s="2275"/>
      <c r="BM73" s="2275"/>
      <c r="BN73" s="2275"/>
      <c r="BO73" s="2275"/>
      <c r="BP73" s="2278"/>
      <c r="BR73" s="2277"/>
      <c r="BS73" s="2277"/>
      <c r="BT73" s="2275"/>
      <c r="BU73" s="2275"/>
      <c r="BV73" s="2275"/>
      <c r="BW73" s="2275"/>
      <c r="BX73" s="2278"/>
      <c r="BZ73" s="2277"/>
      <c r="CA73" s="2277"/>
      <c r="CB73" s="2275"/>
      <c r="CC73" s="2275"/>
      <c r="CD73" s="2275"/>
      <c r="CE73" s="2275"/>
      <c r="CF73" s="2278"/>
      <c r="CG73" s="70"/>
      <c r="CH73" s="2277"/>
      <c r="CI73" s="2277"/>
      <c r="CJ73" s="2275"/>
      <c r="CK73" s="2275"/>
      <c r="CL73" s="2275"/>
      <c r="CM73" s="2275"/>
      <c r="CN73" s="2278"/>
      <c r="CO73" s="70"/>
      <c r="CP73" s="2275"/>
      <c r="CQ73" s="70"/>
    </row>
    <row r="74" spans="1:145" s="21" customFormat="1" ht="30" customHeight="1" thickBot="1" x14ac:dyDescent="0.25">
      <c r="A74" s="20"/>
      <c r="B74" s="20"/>
      <c r="C74" s="13"/>
      <c r="D74" s="20"/>
      <c r="E74" s="14"/>
      <c r="F74" s="15"/>
      <c r="I74" s="16"/>
      <c r="J74" s="16"/>
      <c r="K74" s="16"/>
      <c r="L74" s="16"/>
      <c r="M74" s="16"/>
      <c r="N74" s="15"/>
      <c r="O74" s="17"/>
      <c r="P74" s="16"/>
      <c r="Q74" s="16"/>
      <c r="R74" s="70"/>
      <c r="S74" s="115"/>
      <c r="T74" s="70"/>
      <c r="V74" s="22"/>
      <c r="W74" s="22"/>
      <c r="X74" s="13"/>
      <c r="Y74" s="16"/>
      <c r="Z74" s="70"/>
      <c r="AA74" s="70"/>
      <c r="AB74" s="70"/>
      <c r="AD74" s="22"/>
      <c r="AE74" s="22"/>
      <c r="AF74" s="13"/>
      <c r="AG74" s="16"/>
      <c r="AH74" s="70"/>
      <c r="AI74" s="70"/>
      <c r="AJ74" s="70"/>
      <c r="AL74" s="22"/>
      <c r="AM74" s="22"/>
      <c r="AN74" s="13"/>
      <c r="AO74" s="16"/>
      <c r="AP74" s="70"/>
      <c r="AQ74" s="70"/>
      <c r="AR74" s="70"/>
      <c r="AT74" s="22"/>
      <c r="AU74" s="22"/>
      <c r="AV74" s="13"/>
      <c r="AW74" s="16"/>
      <c r="AX74" s="70"/>
      <c r="AY74" s="70"/>
      <c r="AZ74" s="70"/>
      <c r="BA74" s="70"/>
      <c r="BB74" s="22"/>
      <c r="BC74" s="22"/>
      <c r="BD74" s="13"/>
      <c r="BE74" s="16"/>
      <c r="BF74" s="70"/>
      <c r="BG74" s="70"/>
      <c r="BH74" s="70"/>
      <c r="BJ74" s="22"/>
      <c r="BK74" s="22"/>
      <c r="BL74" s="13"/>
      <c r="BM74" s="16"/>
      <c r="BN74" s="70"/>
      <c r="BO74" s="70"/>
      <c r="BP74" s="70"/>
      <c r="BR74" s="22"/>
      <c r="BS74" s="22"/>
      <c r="BT74" s="13"/>
      <c r="BU74" s="16"/>
      <c r="BV74" s="70"/>
      <c r="BW74" s="70"/>
      <c r="BX74" s="70"/>
      <c r="BZ74" s="22"/>
      <c r="CA74" s="22"/>
      <c r="CB74" s="13"/>
      <c r="CC74" s="16"/>
      <c r="CD74" s="70"/>
      <c r="CE74" s="70"/>
      <c r="CF74" s="70"/>
      <c r="CG74" s="70"/>
      <c r="CH74" s="22"/>
      <c r="CI74" s="22"/>
      <c r="CJ74" s="13"/>
      <c r="CK74" s="16"/>
      <c r="CL74" s="70"/>
      <c r="CM74" s="70"/>
      <c r="CN74" s="70"/>
      <c r="CO74" s="70"/>
      <c r="CP74" s="78"/>
      <c r="CQ74" s="70"/>
    </row>
    <row r="75" spans="1:145" s="21" customFormat="1" ht="15" customHeight="1" thickBot="1" x14ac:dyDescent="0.25">
      <c r="A75" s="20"/>
      <c r="B75" s="20"/>
      <c r="C75" s="4013"/>
      <c r="D75" s="13"/>
      <c r="E75" s="4014"/>
      <c r="F75" s="4092"/>
      <c r="G75" s="4015"/>
      <c r="H75" s="4015"/>
      <c r="I75" s="6589"/>
      <c r="J75" s="6589"/>
      <c r="K75" s="6589"/>
      <c r="L75" s="6589"/>
      <c r="M75" s="6589"/>
      <c r="N75" s="6589"/>
      <c r="O75" s="6589"/>
      <c r="P75" s="4016"/>
      <c r="Q75" s="114"/>
      <c r="R75" s="6590"/>
      <c r="S75" s="6589"/>
      <c r="T75" s="6591"/>
      <c r="V75" s="4014"/>
      <c r="W75" s="4015"/>
      <c r="X75" s="4015"/>
      <c r="Y75" s="4015"/>
      <c r="Z75" s="4015"/>
      <c r="AA75" s="4015"/>
      <c r="AB75" s="4016"/>
      <c r="AD75" s="4014"/>
      <c r="AE75" s="4015"/>
      <c r="AF75" s="4015"/>
      <c r="AG75" s="4015"/>
      <c r="AH75" s="4015"/>
      <c r="AI75" s="4015"/>
      <c r="AJ75" s="4016"/>
      <c r="AL75" s="4014"/>
      <c r="AM75" s="4015"/>
      <c r="AN75" s="4015"/>
      <c r="AO75" s="4015"/>
      <c r="AP75" s="4015"/>
      <c r="AQ75" s="4015"/>
      <c r="AR75" s="4016"/>
      <c r="AT75" s="4014"/>
      <c r="AU75" s="4015"/>
      <c r="AV75" s="4015"/>
      <c r="AW75" s="4015"/>
      <c r="AX75" s="4015"/>
      <c r="AY75" s="4015"/>
      <c r="AZ75" s="4016"/>
      <c r="BA75" s="70"/>
      <c r="BB75" s="4014"/>
      <c r="BC75" s="4015"/>
      <c r="BD75" s="4015"/>
      <c r="BE75" s="4015"/>
      <c r="BF75" s="4015"/>
      <c r="BG75" s="4015"/>
      <c r="BH75" s="4016"/>
      <c r="BJ75" s="4014"/>
      <c r="BK75" s="4015"/>
      <c r="BL75" s="4015"/>
      <c r="BM75" s="4015"/>
      <c r="BN75" s="4015"/>
      <c r="BO75" s="4015"/>
      <c r="BP75" s="4016"/>
      <c r="BR75" s="4014"/>
      <c r="BS75" s="4015"/>
      <c r="BT75" s="4015"/>
      <c r="BU75" s="4015"/>
      <c r="BV75" s="4015"/>
      <c r="BW75" s="4015"/>
      <c r="BX75" s="4016"/>
      <c r="BZ75" s="4014"/>
      <c r="CA75" s="4015"/>
      <c r="CB75" s="4015"/>
      <c r="CC75" s="4015"/>
      <c r="CD75" s="4015"/>
      <c r="CE75" s="4015"/>
      <c r="CF75" s="4016"/>
      <c r="CG75" s="70"/>
      <c r="CH75" s="4014"/>
      <c r="CI75" s="4015"/>
      <c r="CJ75" s="4015"/>
      <c r="CK75" s="4015"/>
      <c r="CL75" s="4015"/>
      <c r="CM75" s="4015"/>
      <c r="CN75" s="4016"/>
      <c r="CO75" s="70"/>
      <c r="CP75" s="4093"/>
    </row>
    <row r="76" spans="1:145" s="21" customFormat="1" ht="8.1" customHeight="1" thickBot="1" x14ac:dyDescent="0.25">
      <c r="A76" s="20"/>
      <c r="B76" s="20"/>
      <c r="C76" s="90"/>
      <c r="D76" s="13"/>
      <c r="E76" s="114"/>
      <c r="F76" s="18"/>
      <c r="G76" s="114"/>
      <c r="H76" s="114"/>
      <c r="I76" s="876"/>
      <c r="J76" s="876"/>
      <c r="K76" s="876"/>
      <c r="L76" s="876"/>
      <c r="M76" s="876"/>
      <c r="N76" s="876"/>
      <c r="O76" s="2009"/>
      <c r="P76" s="114"/>
      <c r="Q76" s="114"/>
      <c r="R76" s="876"/>
      <c r="S76" s="876"/>
      <c r="T76" s="876"/>
      <c r="V76" s="114"/>
      <c r="W76" s="114"/>
      <c r="X76" s="114"/>
      <c r="Y76" s="114"/>
      <c r="Z76" s="114"/>
      <c r="AA76" s="114"/>
      <c r="AB76" s="114"/>
      <c r="AD76" s="114"/>
      <c r="AE76" s="114"/>
      <c r="AF76" s="114"/>
      <c r="AG76" s="114"/>
      <c r="AH76" s="114"/>
      <c r="AI76" s="114"/>
      <c r="AJ76" s="114"/>
      <c r="AL76" s="114"/>
      <c r="AM76" s="114"/>
      <c r="AN76" s="114"/>
      <c r="AO76" s="114"/>
      <c r="AP76" s="114"/>
      <c r="AQ76" s="114"/>
      <c r="AR76" s="114"/>
      <c r="AT76" s="114"/>
      <c r="AU76" s="114"/>
      <c r="AV76" s="114"/>
      <c r="AW76" s="114"/>
      <c r="AX76" s="114"/>
      <c r="AY76" s="114"/>
      <c r="AZ76" s="114"/>
      <c r="BA76" s="70"/>
      <c r="BB76" s="114"/>
      <c r="BC76" s="114"/>
      <c r="BD76" s="114"/>
      <c r="BE76" s="114"/>
      <c r="BF76" s="114"/>
      <c r="BG76" s="114"/>
      <c r="BH76" s="114"/>
      <c r="BJ76" s="114"/>
      <c r="BK76" s="114"/>
      <c r="BL76" s="114"/>
      <c r="BM76" s="114"/>
      <c r="BN76" s="114"/>
      <c r="BO76" s="114"/>
      <c r="BP76" s="114"/>
      <c r="BR76" s="114"/>
      <c r="BS76" s="114"/>
      <c r="BT76" s="114"/>
      <c r="BU76" s="114"/>
      <c r="BV76" s="114"/>
      <c r="BW76" s="114"/>
      <c r="BX76" s="114"/>
      <c r="BZ76" s="114"/>
      <c r="CA76" s="114"/>
      <c r="CB76" s="114"/>
      <c r="CC76" s="114"/>
      <c r="CD76" s="114"/>
      <c r="CE76" s="114"/>
      <c r="CF76" s="114"/>
      <c r="CG76" s="70"/>
      <c r="CH76" s="114"/>
      <c r="CI76" s="114"/>
      <c r="CJ76" s="114"/>
      <c r="CK76" s="114"/>
      <c r="CL76" s="114"/>
      <c r="CM76" s="114"/>
      <c r="CN76" s="114"/>
      <c r="CO76" s="70"/>
      <c r="CP76" s="307"/>
    </row>
    <row r="77" spans="1:145" s="70" customFormat="1" ht="15" customHeight="1" thickBot="1" x14ac:dyDescent="0.25">
      <c r="B77" s="14"/>
      <c r="C77" s="909"/>
      <c r="D77" s="14"/>
      <c r="E77" s="670"/>
      <c r="F77" s="1330"/>
      <c r="G77" s="639"/>
      <c r="H77" s="639"/>
      <c r="I77" s="639"/>
      <c r="J77" s="639"/>
      <c r="K77" s="639"/>
      <c r="L77" s="639"/>
      <c r="M77" s="639"/>
      <c r="N77" s="639"/>
      <c r="O77" s="1330"/>
      <c r="P77" s="671"/>
      <c r="Q77" s="14"/>
      <c r="R77" s="885"/>
      <c r="S77" s="886"/>
      <c r="T77" s="891"/>
      <c r="V77" s="885"/>
      <c r="W77" s="886"/>
      <c r="X77" s="886"/>
      <c r="Y77" s="890"/>
      <c r="Z77" s="886"/>
      <c r="AA77" s="886"/>
      <c r="AB77" s="671"/>
      <c r="AD77" s="885"/>
      <c r="AE77" s="886"/>
      <c r="AF77" s="886"/>
      <c r="AG77" s="890"/>
      <c r="AH77" s="886"/>
      <c r="AI77" s="886"/>
      <c r="AJ77" s="671"/>
      <c r="AL77" s="885"/>
      <c r="AM77" s="886"/>
      <c r="AN77" s="886"/>
      <c r="AO77" s="890"/>
      <c r="AP77" s="886"/>
      <c r="AQ77" s="886"/>
      <c r="AR77" s="671"/>
      <c r="AT77" s="885"/>
      <c r="AU77" s="886"/>
      <c r="AV77" s="886"/>
      <c r="AW77" s="890"/>
      <c r="AX77" s="886"/>
      <c r="AY77" s="886"/>
      <c r="AZ77" s="671"/>
      <c r="BB77" s="885"/>
      <c r="BC77" s="886"/>
      <c r="BD77" s="886"/>
      <c r="BE77" s="890"/>
      <c r="BF77" s="886"/>
      <c r="BG77" s="886"/>
      <c r="BH77" s="671"/>
      <c r="BJ77" s="885"/>
      <c r="BK77" s="886"/>
      <c r="BL77" s="886"/>
      <c r="BM77" s="890"/>
      <c r="BN77" s="886"/>
      <c r="BO77" s="886"/>
      <c r="BP77" s="671"/>
      <c r="BR77" s="885"/>
      <c r="BS77" s="886"/>
      <c r="BT77" s="886"/>
      <c r="BU77" s="890"/>
      <c r="BV77" s="886"/>
      <c r="BW77" s="886"/>
      <c r="BX77" s="671"/>
      <c r="BZ77" s="885"/>
      <c r="CA77" s="886"/>
      <c r="CB77" s="886"/>
      <c r="CC77" s="890"/>
      <c r="CD77" s="886"/>
      <c r="CE77" s="886"/>
      <c r="CF77" s="671"/>
      <c r="CH77" s="885"/>
      <c r="CI77" s="886"/>
      <c r="CJ77" s="886"/>
      <c r="CK77" s="890"/>
      <c r="CL77" s="886"/>
      <c r="CM77" s="886"/>
      <c r="CN77" s="671"/>
      <c r="CP77" s="1017"/>
    </row>
    <row r="78" spans="1:145" s="1862" customFormat="1" ht="15" customHeight="1" thickBot="1" x14ac:dyDescent="0.25">
      <c r="B78" s="1832"/>
      <c r="C78" s="6586" t="s">
        <v>641</v>
      </c>
      <c r="D78" s="1004"/>
      <c r="E78" s="760"/>
      <c r="F78" s="6561" t="s">
        <v>640</v>
      </c>
      <c r="G78" s="6561"/>
      <c r="H78" s="6561"/>
      <c r="I78" s="1338"/>
      <c r="J78" s="6588"/>
      <c r="K78" s="598"/>
      <c r="L78" s="598"/>
      <c r="M78" s="598"/>
      <c r="N78" s="598"/>
      <c r="O78" s="6587" t="s">
        <v>815</v>
      </c>
      <c r="P78" s="1148"/>
      <c r="Q78" s="148"/>
      <c r="R78" s="1428"/>
      <c r="S78" s="6584">
        <f>_Calcs!BD207</f>
        <v>0</v>
      </c>
      <c r="T78" s="1830"/>
      <c r="V78" s="1428"/>
      <c r="W78" s="1017"/>
      <c r="X78" s="6584" t="str">
        <f>_Calcs!BC130</f>
        <v>!</v>
      </c>
      <c r="Y78" s="1017"/>
      <c r="Z78" s="6552" t="str">
        <f>IF(_Calcs!$NO$331&gt;0,"!","✓")</f>
        <v>!</v>
      </c>
      <c r="AA78" s="1017"/>
      <c r="AB78" s="1831"/>
      <c r="AD78" s="1428"/>
      <c r="AE78" s="1017"/>
      <c r="AF78" s="6584" t="str">
        <f>_Calcs!BD130</f>
        <v>!</v>
      </c>
      <c r="AG78" s="1017"/>
      <c r="AH78" s="6552" t="e">
        <f>IF(_Calcs!$NP$331&gt;0,"!","✓")</f>
        <v>#N/A</v>
      </c>
      <c r="AI78" s="1017"/>
      <c r="AJ78" s="1831"/>
      <c r="AL78" s="1428"/>
      <c r="AM78" s="1017"/>
      <c r="AN78" s="6584" t="str">
        <f>_Calcs!BE130</f>
        <v>!</v>
      </c>
      <c r="AO78" s="1017"/>
      <c r="AP78" s="6552" t="e">
        <f>IF(_Calcs!$NQ$331&gt;0,"!","✓")</f>
        <v>#N/A</v>
      </c>
      <c r="AQ78" s="1017"/>
      <c r="AR78" s="1831"/>
      <c r="AT78" s="1428"/>
      <c r="AU78" s="1017"/>
      <c r="AV78" s="6584" t="str">
        <f>_Calcs!BF130</f>
        <v>!</v>
      </c>
      <c r="AW78" s="1017"/>
      <c r="AX78" s="6552" t="e">
        <f>IF(_Calcs!$NR$331&gt;0,"!","✓")</f>
        <v>#N/A</v>
      </c>
      <c r="AY78" s="1017"/>
      <c r="AZ78" s="1831"/>
      <c r="BB78" s="1428"/>
      <c r="BC78" s="1017"/>
      <c r="BD78" s="6584" t="str">
        <f>_Calcs!BG130</f>
        <v>!</v>
      </c>
      <c r="BE78" s="1017"/>
      <c r="BF78" s="6552" t="e">
        <f>IF(_Calcs!$NS$331&gt;0,"!","✓")</f>
        <v>#N/A</v>
      </c>
      <c r="BG78" s="1017"/>
      <c r="BH78" s="1831"/>
      <c r="BJ78" s="1428"/>
      <c r="BK78" s="1017"/>
      <c r="BL78" s="6584" t="str">
        <f>_Calcs!BH130</f>
        <v>!</v>
      </c>
      <c r="BM78" s="1017"/>
      <c r="BN78" s="6552" t="e">
        <f>IF(_Calcs!$NT$331&gt;0,"!","✓")</f>
        <v>#N/A</v>
      </c>
      <c r="BO78" s="1017"/>
      <c r="BP78" s="1831"/>
      <c r="BR78" s="1428"/>
      <c r="BS78" s="1017"/>
      <c r="BT78" s="6584" t="str">
        <f>_Calcs!BI130</f>
        <v>!</v>
      </c>
      <c r="BU78" s="1017"/>
      <c r="BV78" s="6552" t="e">
        <f>IF(_Calcs!$NU$331&gt;0,"!","✓")</f>
        <v>#N/A</v>
      </c>
      <c r="BW78" s="1017"/>
      <c r="BX78" s="1831"/>
      <c r="BZ78" s="1428"/>
      <c r="CA78" s="1017"/>
      <c r="CB78" s="6584" t="str">
        <f>_Calcs!BJ130</f>
        <v>!</v>
      </c>
      <c r="CC78" s="1017"/>
      <c r="CD78" s="6552" t="e">
        <f>IF(_Calcs!$NV$331&gt;0,"!","✓")</f>
        <v>#N/A</v>
      </c>
      <c r="CE78" s="1017"/>
      <c r="CF78" s="1831"/>
      <c r="CH78" s="1428"/>
      <c r="CI78" s="1017"/>
      <c r="CJ78" s="6584" t="str">
        <f>_Calcs!BK130</f>
        <v>!</v>
      </c>
      <c r="CK78" s="1017"/>
      <c r="CL78" s="6552" t="e">
        <f>IF(_Calcs!$NW$331&gt;0,"!","✓")</f>
        <v>#N/A</v>
      </c>
      <c r="CM78" s="1017"/>
      <c r="CN78" s="1831"/>
      <c r="CP78" s="1017"/>
    </row>
    <row r="79" spans="1:145" s="1862" customFormat="1" ht="15" customHeight="1" thickBot="1" x14ac:dyDescent="0.25">
      <c r="B79" s="1832"/>
      <c r="C79" s="6586"/>
      <c r="D79" s="1004"/>
      <c r="E79" s="760"/>
      <c r="F79" s="6561"/>
      <c r="G79" s="6561"/>
      <c r="H79" s="6561"/>
      <c r="I79" s="1338"/>
      <c r="J79" s="6588"/>
      <c r="K79" s="598"/>
      <c r="L79" s="598"/>
      <c r="M79" s="598"/>
      <c r="N79" s="598"/>
      <c r="O79" s="6587"/>
      <c r="P79" s="1148"/>
      <c r="Q79" s="148"/>
      <c r="R79" s="1428"/>
      <c r="S79" s="6584"/>
      <c r="T79" s="882"/>
      <c r="V79" s="1428"/>
      <c r="W79" s="1017"/>
      <c r="X79" s="6584"/>
      <c r="Y79" s="3933"/>
      <c r="Z79" s="6553"/>
      <c r="AA79" s="1017"/>
      <c r="AB79" s="1831"/>
      <c r="AD79" s="1428"/>
      <c r="AE79" s="1017"/>
      <c r="AF79" s="6584"/>
      <c r="AG79" s="3933"/>
      <c r="AH79" s="6553"/>
      <c r="AI79" s="1017"/>
      <c r="AJ79" s="1831"/>
      <c r="AL79" s="1428"/>
      <c r="AM79" s="1017"/>
      <c r="AN79" s="6584"/>
      <c r="AO79" s="3933"/>
      <c r="AP79" s="6553"/>
      <c r="AQ79" s="1017"/>
      <c r="AR79" s="1831"/>
      <c r="AT79" s="1428"/>
      <c r="AU79" s="1017"/>
      <c r="AV79" s="6584"/>
      <c r="AW79" s="3933"/>
      <c r="AX79" s="6553"/>
      <c r="AY79" s="1017"/>
      <c r="AZ79" s="1831"/>
      <c r="BB79" s="1428"/>
      <c r="BC79" s="1017"/>
      <c r="BD79" s="6584"/>
      <c r="BE79" s="3933"/>
      <c r="BF79" s="6553"/>
      <c r="BG79" s="1017"/>
      <c r="BH79" s="1831"/>
      <c r="BJ79" s="1428"/>
      <c r="BK79" s="1017"/>
      <c r="BL79" s="6584"/>
      <c r="BM79" s="3933"/>
      <c r="BN79" s="6553"/>
      <c r="BO79" s="1017"/>
      <c r="BP79" s="1831"/>
      <c r="BR79" s="1428"/>
      <c r="BS79" s="1017"/>
      <c r="BT79" s="6584"/>
      <c r="BU79" s="3933"/>
      <c r="BV79" s="6553"/>
      <c r="BW79" s="1017"/>
      <c r="BX79" s="1831"/>
      <c r="BZ79" s="1428"/>
      <c r="CA79" s="1017"/>
      <c r="CB79" s="6584"/>
      <c r="CC79" s="3933"/>
      <c r="CD79" s="6553"/>
      <c r="CE79" s="1017"/>
      <c r="CF79" s="1831"/>
      <c r="CH79" s="1428"/>
      <c r="CI79" s="1017"/>
      <c r="CJ79" s="6584"/>
      <c r="CK79" s="3933"/>
      <c r="CL79" s="6553"/>
      <c r="CM79" s="1017"/>
      <c r="CN79" s="1831"/>
      <c r="CP79" s="1017"/>
    </row>
    <row r="80" spans="1:145" s="70" customFormat="1" ht="15" customHeight="1" thickBot="1" x14ac:dyDescent="0.25">
      <c r="B80" s="90"/>
      <c r="C80" s="1152"/>
      <c r="D80" s="13"/>
      <c r="E80" s="1149"/>
      <c r="F80" s="1335"/>
      <c r="G80" s="1150"/>
      <c r="H80" s="1150"/>
      <c r="I80" s="1150"/>
      <c r="J80" s="1150"/>
      <c r="K80" s="1150"/>
      <c r="L80" s="1150"/>
      <c r="M80" s="1150"/>
      <c r="N80" s="1150"/>
      <c r="O80" s="1335"/>
      <c r="P80" s="1151"/>
      <c r="Q80" s="14"/>
      <c r="R80" s="1141"/>
      <c r="S80" s="1142"/>
      <c r="T80" s="1146"/>
      <c r="V80" s="1141"/>
      <c r="W80" s="1142"/>
      <c r="X80" s="1142"/>
      <c r="Y80" s="1142"/>
      <c r="Z80" s="1143"/>
      <c r="AA80" s="1143"/>
      <c r="AB80" s="1144"/>
      <c r="AD80" s="1141"/>
      <c r="AE80" s="1142"/>
      <c r="AF80" s="1142"/>
      <c r="AG80" s="1142"/>
      <c r="AH80" s="1143"/>
      <c r="AI80" s="1143"/>
      <c r="AJ80" s="1144"/>
      <c r="AL80" s="1141"/>
      <c r="AM80" s="1142"/>
      <c r="AN80" s="1142"/>
      <c r="AO80" s="1142"/>
      <c r="AP80" s="1143"/>
      <c r="AQ80" s="1143"/>
      <c r="AR80" s="1144"/>
      <c r="AT80" s="1141"/>
      <c r="AU80" s="1142"/>
      <c r="AV80" s="1142"/>
      <c r="AW80" s="1142"/>
      <c r="AX80" s="1143"/>
      <c r="AY80" s="1143"/>
      <c r="AZ80" s="1144"/>
      <c r="BB80" s="1141"/>
      <c r="BC80" s="1142"/>
      <c r="BD80" s="1142"/>
      <c r="BE80" s="1142"/>
      <c r="BF80" s="1143"/>
      <c r="BG80" s="1143"/>
      <c r="BH80" s="1144"/>
      <c r="BJ80" s="1141"/>
      <c r="BK80" s="1142"/>
      <c r="BL80" s="1142"/>
      <c r="BM80" s="1142"/>
      <c r="BN80" s="1143"/>
      <c r="BO80" s="1143"/>
      <c r="BP80" s="1144"/>
      <c r="BR80" s="1141"/>
      <c r="BS80" s="1142"/>
      <c r="BT80" s="1142"/>
      <c r="BU80" s="1142"/>
      <c r="BV80" s="1143"/>
      <c r="BW80" s="1143"/>
      <c r="BX80" s="1144"/>
      <c r="BZ80" s="1141"/>
      <c r="CA80" s="1142"/>
      <c r="CB80" s="1142"/>
      <c r="CC80" s="1142"/>
      <c r="CD80" s="1143"/>
      <c r="CE80" s="1143"/>
      <c r="CF80" s="1144"/>
      <c r="CH80" s="1141"/>
      <c r="CI80" s="1142"/>
      <c r="CJ80" s="1142"/>
      <c r="CK80" s="1142"/>
      <c r="CL80" s="1143"/>
      <c r="CM80" s="1143"/>
      <c r="CN80" s="1144"/>
      <c r="CP80" s="134"/>
    </row>
    <row r="81" spans="1:145" ht="15" thickBot="1" x14ac:dyDescent="0.25">
      <c r="J81" s="136"/>
      <c r="K81" s="136"/>
      <c r="L81" s="136"/>
      <c r="M81" s="136"/>
      <c r="N81" s="136"/>
      <c r="P81" s="136"/>
      <c r="Q81" s="136"/>
      <c r="R81" s="136"/>
      <c r="S81" s="136"/>
      <c r="T81" s="136"/>
      <c r="V81" s="136"/>
      <c r="W81" s="136"/>
      <c r="X81" s="136"/>
      <c r="Y81" s="136"/>
      <c r="Z81" s="136"/>
      <c r="AA81" s="136"/>
      <c r="AB81" s="136"/>
      <c r="AD81" s="136"/>
      <c r="AE81" s="136"/>
      <c r="AF81" s="136"/>
      <c r="AG81" s="136"/>
      <c r="AH81" s="136"/>
      <c r="AI81" s="136"/>
      <c r="AJ81" s="136"/>
      <c r="AL81" s="136"/>
      <c r="AM81" s="136"/>
      <c r="AN81" s="136"/>
      <c r="AO81" s="136"/>
      <c r="AP81" s="136"/>
      <c r="AQ81" s="136"/>
      <c r="AR81" s="136"/>
      <c r="AT81" s="136"/>
      <c r="AU81" s="136"/>
      <c r="AV81" s="136"/>
      <c r="AW81" s="136"/>
      <c r="AX81" s="136"/>
      <c r="AY81" s="136"/>
      <c r="AZ81" s="136"/>
      <c r="BA81" s="136"/>
      <c r="BB81" s="136"/>
      <c r="BC81" s="136"/>
      <c r="BD81" s="136"/>
      <c r="BE81" s="136"/>
      <c r="BF81" s="136"/>
      <c r="BG81" s="136"/>
      <c r="BH81" s="136"/>
      <c r="BJ81" s="136"/>
      <c r="BK81" s="136"/>
      <c r="BL81" s="136"/>
      <c r="BM81" s="136"/>
      <c r="BN81" s="136"/>
      <c r="BO81" s="136"/>
      <c r="BP81" s="136"/>
      <c r="BR81" s="136"/>
      <c r="BS81" s="136"/>
      <c r="BT81" s="136"/>
      <c r="BU81" s="136"/>
      <c r="BV81" s="136"/>
      <c r="BW81" s="136"/>
      <c r="BX81" s="136"/>
      <c r="BZ81" s="136"/>
      <c r="CA81" s="136"/>
      <c r="CB81" s="136"/>
      <c r="CC81" s="136"/>
      <c r="CD81" s="136"/>
      <c r="CE81" s="136"/>
      <c r="CF81" s="136"/>
      <c r="CG81" s="136"/>
      <c r="CH81" s="136"/>
      <c r="CI81" s="136"/>
      <c r="CJ81" s="136"/>
      <c r="CK81" s="136"/>
      <c r="CL81" s="136"/>
      <c r="CM81" s="136"/>
      <c r="CN81" s="136"/>
      <c r="CO81" s="136"/>
      <c r="CP81" s="136"/>
      <c r="CQ81" s="136"/>
      <c r="DZ81" s="70"/>
      <c r="EA81" s="70"/>
      <c r="EB81" s="70"/>
    </row>
    <row r="82" spans="1:145" s="21" customFormat="1" ht="39.950000000000003" customHeight="1" thickBot="1" x14ac:dyDescent="0.25">
      <c r="A82" s="25"/>
      <c r="B82" s="25"/>
      <c r="C82" s="1514"/>
      <c r="D82" s="13"/>
      <c r="E82" s="1515"/>
      <c r="F82" s="2008"/>
      <c r="G82" s="1516"/>
      <c r="H82" s="1516"/>
      <c r="I82" s="1516"/>
      <c r="J82" s="1516"/>
      <c r="K82" s="1516"/>
      <c r="L82" s="1516"/>
      <c r="M82" s="1516"/>
      <c r="N82" s="1516"/>
      <c r="O82" s="2008"/>
      <c r="P82" s="1517"/>
      <c r="Q82" s="17"/>
      <c r="R82" s="6567" t="s">
        <v>641</v>
      </c>
      <c r="S82" s="6568"/>
      <c r="T82" s="6569"/>
      <c r="V82" s="490"/>
      <c r="W82" s="1123"/>
      <c r="X82" s="6581" t="str">
        <f>_Calcs!$BC$125</f>
        <v>Stuff 1-1</v>
      </c>
      <c r="Y82" s="6581"/>
      <c r="Z82" s="6581"/>
      <c r="AA82" s="3920"/>
      <c r="AB82" s="491"/>
      <c r="AD82" s="490"/>
      <c r="AE82" s="1123"/>
      <c r="AF82" s="6581" t="str">
        <f>_Calcs!$BD$125</f>
        <v/>
      </c>
      <c r="AG82" s="6581"/>
      <c r="AH82" s="6581"/>
      <c r="AI82" s="3920"/>
      <c r="AJ82" s="491"/>
      <c r="AL82" s="490"/>
      <c r="AM82" s="1123"/>
      <c r="AN82" s="6581" t="str">
        <f>_Calcs!$BE$125</f>
        <v/>
      </c>
      <c r="AO82" s="6581"/>
      <c r="AP82" s="6581"/>
      <c r="AQ82" s="3920"/>
      <c r="AR82" s="491"/>
      <c r="AT82" s="490"/>
      <c r="AU82" s="1123"/>
      <c r="AV82" s="6581" t="str">
        <f>_Calcs!$BF$125</f>
        <v/>
      </c>
      <c r="AW82" s="6581"/>
      <c r="AX82" s="6581"/>
      <c r="AY82" s="3920"/>
      <c r="AZ82" s="491"/>
      <c r="BB82" s="490"/>
      <c r="BC82" s="1123"/>
      <c r="BD82" s="6581" t="str">
        <f>_Calcs!$BG$125</f>
        <v/>
      </c>
      <c r="BE82" s="6581"/>
      <c r="BF82" s="6581"/>
      <c r="BG82" s="3920"/>
      <c r="BH82" s="491"/>
      <c r="BJ82" s="490"/>
      <c r="BK82" s="1123"/>
      <c r="BL82" s="6581" t="str">
        <f>_Calcs!$BH$125</f>
        <v/>
      </c>
      <c r="BM82" s="6581"/>
      <c r="BN82" s="6581"/>
      <c r="BO82" s="3920"/>
      <c r="BP82" s="491"/>
      <c r="BR82" s="490"/>
      <c r="BS82" s="1123"/>
      <c r="BT82" s="6581" t="str">
        <f>_Calcs!$BI$125</f>
        <v/>
      </c>
      <c r="BU82" s="6581"/>
      <c r="BV82" s="6581"/>
      <c r="BW82" s="3920"/>
      <c r="BX82" s="491"/>
      <c r="BZ82" s="490"/>
      <c r="CA82" s="1123"/>
      <c r="CB82" s="6581" t="str">
        <f>_Calcs!$BJ$125</f>
        <v/>
      </c>
      <c r="CC82" s="6581"/>
      <c r="CD82" s="6581"/>
      <c r="CE82" s="3920"/>
      <c r="CF82" s="491"/>
      <c r="CH82" s="490"/>
      <c r="CI82" s="1123"/>
      <c r="CJ82" s="6581" t="str">
        <f>_Calcs!$BK$125</f>
        <v/>
      </c>
      <c r="CK82" s="6581"/>
      <c r="CL82" s="6581"/>
      <c r="CM82" s="3920"/>
      <c r="CN82" s="491"/>
      <c r="CP82" s="971"/>
      <c r="DT82" s="70"/>
      <c r="DU82" s="70"/>
      <c r="DV82" s="70"/>
      <c r="DW82" s="70"/>
      <c r="DX82" s="70"/>
      <c r="DY82" s="70"/>
      <c r="EL82" s="70"/>
      <c r="EM82" s="70"/>
      <c r="EN82" s="70"/>
      <c r="EO82" s="70"/>
    </row>
    <row r="83" spans="1:145" s="78" customFormat="1" ht="30" customHeight="1" x14ac:dyDescent="0.2">
      <c r="F83" s="17"/>
      <c r="J83" s="573"/>
      <c r="K83" s="573"/>
      <c r="O83" s="17"/>
      <c r="R83" s="70"/>
      <c r="S83" s="70"/>
      <c r="T83" s="70"/>
      <c r="U83" s="70"/>
      <c r="Y83" s="215"/>
      <c r="AB83" s="21"/>
      <c r="AC83" s="70"/>
      <c r="AG83" s="215"/>
      <c r="AJ83" s="21"/>
      <c r="AK83" s="70"/>
      <c r="AO83" s="215"/>
      <c r="AR83" s="21"/>
      <c r="AS83" s="70"/>
      <c r="AW83" s="215"/>
      <c r="AZ83" s="21"/>
      <c r="BA83" s="70"/>
      <c r="BE83" s="215"/>
      <c r="BH83" s="21"/>
      <c r="BI83" s="70"/>
      <c r="BM83" s="215"/>
      <c r="BP83" s="21"/>
      <c r="BQ83" s="70"/>
      <c r="BU83" s="215"/>
      <c r="BX83" s="21"/>
      <c r="BY83" s="70"/>
      <c r="CC83" s="215"/>
      <c r="CF83" s="21"/>
      <c r="CG83" s="70"/>
      <c r="CK83" s="215"/>
      <c r="CN83" s="21"/>
      <c r="CO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row>
    <row r="84" spans="1:145" s="21" customFormat="1" ht="5.0999999999999996" customHeight="1" x14ac:dyDescent="0.2">
      <c r="A84" s="25"/>
      <c r="B84" s="25"/>
      <c r="C84" s="2275"/>
      <c r="D84" s="25"/>
      <c r="E84" s="2276"/>
      <c r="F84" s="2277"/>
      <c r="G84" s="2277"/>
      <c r="H84" s="2277"/>
      <c r="I84" s="2275"/>
      <c r="J84" s="2275"/>
      <c r="K84" s="2275"/>
      <c r="L84" s="2277"/>
      <c r="M84" s="2277"/>
      <c r="N84" s="2277"/>
      <c r="O84" s="2284"/>
      <c r="P84" s="2277"/>
      <c r="Q84" s="17"/>
      <c r="R84" s="2275"/>
      <c r="S84" s="2275"/>
      <c r="T84" s="2275"/>
      <c r="V84" s="2277"/>
      <c r="W84" s="2277"/>
      <c r="X84" s="2275"/>
      <c r="Y84" s="2275"/>
      <c r="Z84" s="2275"/>
      <c r="AA84" s="2275"/>
      <c r="AB84" s="2278"/>
      <c r="AD84" s="2277"/>
      <c r="AE84" s="2277"/>
      <c r="AF84" s="2275"/>
      <c r="AG84" s="2275"/>
      <c r="AH84" s="2275"/>
      <c r="AI84" s="2275"/>
      <c r="AJ84" s="2278"/>
      <c r="AL84" s="2277"/>
      <c r="AM84" s="2277"/>
      <c r="AN84" s="2275"/>
      <c r="AO84" s="2275"/>
      <c r="AP84" s="2275"/>
      <c r="AQ84" s="2275"/>
      <c r="AR84" s="2278"/>
      <c r="AT84" s="2277"/>
      <c r="AU84" s="2277"/>
      <c r="AV84" s="2275"/>
      <c r="AW84" s="2275"/>
      <c r="AX84" s="2275"/>
      <c r="AY84" s="2275"/>
      <c r="AZ84" s="2278"/>
      <c r="BA84" s="70"/>
      <c r="BB84" s="2277"/>
      <c r="BC84" s="2277"/>
      <c r="BD84" s="2275"/>
      <c r="BE84" s="2275"/>
      <c r="BF84" s="2275"/>
      <c r="BG84" s="2275"/>
      <c r="BH84" s="2278"/>
      <c r="BJ84" s="2277"/>
      <c r="BK84" s="2277"/>
      <c r="BL84" s="2275"/>
      <c r="BM84" s="2275"/>
      <c r="BN84" s="2275"/>
      <c r="BO84" s="2275"/>
      <c r="BP84" s="2278"/>
      <c r="BR84" s="2277"/>
      <c r="BS84" s="2277"/>
      <c r="BT84" s="2275"/>
      <c r="BU84" s="2275"/>
      <c r="BV84" s="2275"/>
      <c r="BW84" s="2275"/>
      <c r="BX84" s="2278"/>
      <c r="BZ84" s="2277"/>
      <c r="CA84" s="2277"/>
      <c r="CB84" s="2275"/>
      <c r="CC84" s="2275"/>
      <c r="CD84" s="2275"/>
      <c r="CE84" s="2275"/>
      <c r="CF84" s="2278"/>
      <c r="CG84" s="70"/>
      <c r="CH84" s="2277"/>
      <c r="CI84" s="2277"/>
      <c r="CJ84" s="2275"/>
      <c r="CK84" s="2275"/>
      <c r="CL84" s="2275"/>
      <c r="CM84" s="2275"/>
      <c r="CN84" s="2278"/>
      <c r="CO84" s="70"/>
      <c r="CP84" s="2275"/>
      <c r="CQ84" s="70"/>
    </row>
    <row r="85" spans="1:145" s="21" customFormat="1" ht="3.75" customHeight="1" x14ac:dyDescent="0.2">
      <c r="A85" s="25"/>
      <c r="B85" s="25"/>
      <c r="C85" s="13"/>
      <c r="D85" s="25"/>
      <c r="E85" s="14"/>
      <c r="F85" s="15"/>
      <c r="G85" s="15"/>
      <c r="H85" s="15"/>
      <c r="I85" s="16"/>
      <c r="J85" s="16"/>
      <c r="K85" s="16"/>
      <c r="L85" s="17"/>
      <c r="M85" s="17"/>
      <c r="N85" s="15"/>
      <c r="O85" s="1848"/>
      <c r="P85" s="17"/>
      <c r="Q85" s="17"/>
      <c r="R85" s="16"/>
      <c r="S85" s="16"/>
      <c r="T85" s="16"/>
      <c r="V85" s="18"/>
      <c r="W85" s="18"/>
      <c r="X85" s="13"/>
      <c r="Y85" s="16"/>
      <c r="Z85" s="16"/>
      <c r="AA85" s="16"/>
      <c r="AB85" s="19"/>
      <c r="AD85" s="18"/>
      <c r="AE85" s="18"/>
      <c r="AF85" s="13"/>
      <c r="AG85" s="16"/>
      <c r="AH85" s="16"/>
      <c r="AI85" s="16"/>
      <c r="AJ85" s="19"/>
      <c r="AL85" s="18"/>
      <c r="AM85" s="18"/>
      <c r="AN85" s="13"/>
      <c r="AO85" s="16"/>
      <c r="AP85" s="16"/>
      <c r="AQ85" s="16"/>
      <c r="AR85" s="19"/>
      <c r="AT85" s="18"/>
      <c r="AU85" s="18"/>
      <c r="AV85" s="13"/>
      <c r="AW85" s="16"/>
      <c r="AX85" s="16"/>
      <c r="AY85" s="16"/>
      <c r="AZ85" s="19"/>
      <c r="BA85" s="70"/>
      <c r="BB85" s="18"/>
      <c r="BC85" s="18"/>
      <c r="BD85" s="13"/>
      <c r="BE85" s="16"/>
      <c r="BF85" s="16"/>
      <c r="BG85" s="16"/>
      <c r="BH85" s="19"/>
      <c r="BJ85" s="18"/>
      <c r="BK85" s="18"/>
      <c r="BL85" s="13"/>
      <c r="BM85" s="16"/>
      <c r="BN85" s="16"/>
      <c r="BO85" s="16"/>
      <c r="BP85" s="19"/>
      <c r="BR85" s="18"/>
      <c r="BS85" s="18"/>
      <c r="BT85" s="13"/>
      <c r="BU85" s="16"/>
      <c r="BV85" s="16"/>
      <c r="BW85" s="16"/>
      <c r="BX85" s="19"/>
      <c r="BZ85" s="18"/>
      <c r="CA85" s="18"/>
      <c r="CB85" s="13"/>
      <c r="CC85" s="16"/>
      <c r="CD85" s="16"/>
      <c r="CE85" s="16"/>
      <c r="CF85" s="19"/>
      <c r="CG85" s="70"/>
      <c r="CH85" s="18"/>
      <c r="CI85" s="18"/>
      <c r="CJ85" s="13"/>
      <c r="CK85" s="16"/>
      <c r="CL85" s="16"/>
      <c r="CM85" s="16"/>
      <c r="CN85" s="19"/>
      <c r="CO85" s="70"/>
      <c r="CP85" s="16"/>
      <c r="CQ85" s="70"/>
      <c r="DQ85" s="70"/>
    </row>
    <row r="86" spans="1:145" s="21" customFormat="1" ht="12" customHeight="1" x14ac:dyDescent="0.2">
      <c r="A86" s="25"/>
      <c r="B86" s="25"/>
      <c r="C86" s="2275"/>
      <c r="D86" s="25"/>
      <c r="E86" s="2276"/>
      <c r="F86" s="2277"/>
      <c r="G86" s="2277"/>
      <c r="H86" s="2277"/>
      <c r="I86" s="2275"/>
      <c r="J86" s="2275"/>
      <c r="K86" s="2275"/>
      <c r="L86" s="2277"/>
      <c r="M86" s="2277"/>
      <c r="N86" s="2277"/>
      <c r="O86" s="2284"/>
      <c r="P86" s="2277"/>
      <c r="Q86" s="17"/>
      <c r="R86" s="2275"/>
      <c r="S86" s="2285"/>
      <c r="T86" s="2275"/>
      <c r="V86" s="2277"/>
      <c r="W86" s="2277"/>
      <c r="X86" s="2275"/>
      <c r="Y86" s="2275"/>
      <c r="Z86" s="2275"/>
      <c r="AA86" s="2275"/>
      <c r="AB86" s="2278"/>
      <c r="AD86" s="2277"/>
      <c r="AE86" s="2277"/>
      <c r="AF86" s="2275"/>
      <c r="AG86" s="2275"/>
      <c r="AH86" s="2275"/>
      <c r="AI86" s="2275"/>
      <c r="AJ86" s="2278"/>
      <c r="AL86" s="2277"/>
      <c r="AM86" s="2277"/>
      <c r="AN86" s="2275"/>
      <c r="AO86" s="2275"/>
      <c r="AP86" s="2275"/>
      <c r="AQ86" s="2275"/>
      <c r="AR86" s="2278"/>
      <c r="AT86" s="2277"/>
      <c r="AU86" s="2277"/>
      <c r="AV86" s="2275"/>
      <c r="AW86" s="2275"/>
      <c r="AX86" s="2275"/>
      <c r="AY86" s="2275"/>
      <c r="AZ86" s="2278"/>
      <c r="BA86" s="70"/>
      <c r="BB86" s="2277"/>
      <c r="BC86" s="2277"/>
      <c r="BD86" s="2275"/>
      <c r="BE86" s="2275"/>
      <c r="BF86" s="2275"/>
      <c r="BG86" s="2275"/>
      <c r="BH86" s="2278"/>
      <c r="BJ86" s="2277"/>
      <c r="BK86" s="2277"/>
      <c r="BL86" s="2275"/>
      <c r="BM86" s="2275"/>
      <c r="BN86" s="2275"/>
      <c r="BO86" s="2275"/>
      <c r="BP86" s="2278"/>
      <c r="BR86" s="2277"/>
      <c r="BS86" s="2277"/>
      <c r="BT86" s="2275"/>
      <c r="BU86" s="2275"/>
      <c r="BV86" s="2275"/>
      <c r="BW86" s="2275"/>
      <c r="BX86" s="2278"/>
      <c r="BZ86" s="2277"/>
      <c r="CA86" s="2277"/>
      <c r="CB86" s="2275"/>
      <c r="CC86" s="2275"/>
      <c r="CD86" s="2275"/>
      <c r="CE86" s="2275"/>
      <c r="CF86" s="2278"/>
      <c r="CG86" s="70"/>
      <c r="CH86" s="2277"/>
      <c r="CI86" s="2277"/>
      <c r="CJ86" s="2275"/>
      <c r="CK86" s="2275"/>
      <c r="CL86" s="2275"/>
      <c r="CM86" s="2275"/>
      <c r="CN86" s="2278"/>
      <c r="CO86" s="70"/>
      <c r="CP86" s="2275"/>
      <c r="CQ86" s="70"/>
      <c r="DQ86" s="70"/>
    </row>
    <row r="87" spans="1:145" s="21" customFormat="1" ht="50.1" customHeight="1" x14ac:dyDescent="0.2">
      <c r="A87" s="20"/>
      <c r="B87" s="20"/>
      <c r="C87" s="13"/>
      <c r="D87" s="20"/>
      <c r="E87" s="14"/>
      <c r="F87" s="15"/>
      <c r="I87" s="16"/>
      <c r="J87" s="16"/>
      <c r="K87" s="16"/>
      <c r="L87" s="16"/>
      <c r="M87" s="16"/>
      <c r="N87" s="15"/>
      <c r="O87" s="17"/>
      <c r="P87" s="16"/>
      <c r="Q87" s="16"/>
      <c r="R87" s="70"/>
      <c r="S87" s="115"/>
      <c r="T87" s="70"/>
      <c r="V87" s="22"/>
      <c r="W87" s="22"/>
      <c r="X87" s="13"/>
      <c r="Y87" s="16"/>
      <c r="Z87" s="70"/>
      <c r="AA87" s="70"/>
      <c r="AB87" s="70"/>
      <c r="AD87" s="22"/>
      <c r="AE87" s="22"/>
      <c r="AF87" s="13"/>
      <c r="AG87" s="16"/>
      <c r="AH87" s="70"/>
      <c r="AI87" s="70"/>
      <c r="AJ87" s="70"/>
      <c r="AL87" s="22"/>
      <c r="AM87" s="22"/>
      <c r="AN87" s="13"/>
      <c r="AO87" s="16"/>
      <c r="AP87" s="70"/>
      <c r="AQ87" s="70"/>
      <c r="AR87" s="70"/>
      <c r="AT87" s="22"/>
      <c r="AU87" s="22"/>
      <c r="AV87" s="13"/>
      <c r="AW87" s="16"/>
      <c r="AX87" s="70"/>
      <c r="AY87" s="70"/>
      <c r="AZ87" s="70"/>
      <c r="BA87" s="70"/>
      <c r="BB87" s="22"/>
      <c r="BC87" s="22"/>
      <c r="BD87" s="13"/>
      <c r="BE87" s="16"/>
      <c r="BF87" s="70"/>
      <c r="BG87" s="70"/>
      <c r="BH87" s="70"/>
      <c r="BJ87" s="22"/>
      <c r="BK87" s="22"/>
      <c r="BL87" s="13"/>
      <c r="BM87" s="16"/>
      <c r="BN87" s="70"/>
      <c r="BO87" s="70"/>
      <c r="BP87" s="70"/>
      <c r="BR87" s="22"/>
      <c r="BS87" s="22"/>
      <c r="BT87" s="13"/>
      <c r="BU87" s="16"/>
      <c r="BV87" s="70"/>
      <c r="BW87" s="70"/>
      <c r="BX87" s="70"/>
      <c r="BZ87" s="22"/>
      <c r="CA87" s="22"/>
      <c r="CB87" s="13"/>
      <c r="CC87" s="16"/>
      <c r="CD87" s="70"/>
      <c r="CE87" s="70"/>
      <c r="CF87" s="70"/>
      <c r="CG87" s="70"/>
      <c r="CH87" s="22"/>
      <c r="CI87" s="22"/>
      <c r="CJ87" s="13"/>
      <c r="CK87" s="16"/>
      <c r="CL87" s="70"/>
      <c r="CM87" s="70"/>
      <c r="CN87" s="70"/>
      <c r="CO87" s="70"/>
      <c r="CP87" s="78"/>
      <c r="CQ87" s="70"/>
    </row>
    <row r="88" spans="1:145" ht="15" hidden="1" x14ac:dyDescent="0.2">
      <c r="N88" s="21"/>
      <c r="O88" s="15"/>
      <c r="R88" s="21"/>
      <c r="S88" s="37"/>
      <c r="T88" s="37"/>
      <c r="Y88" s="37"/>
      <c r="Z88" s="37"/>
      <c r="AA88" s="37"/>
      <c r="AB88" s="37"/>
      <c r="AG88" s="37"/>
      <c r="AH88" s="37"/>
      <c r="AI88" s="37"/>
      <c r="AJ88" s="37"/>
      <c r="AO88" s="37"/>
      <c r="AP88" s="37"/>
      <c r="AQ88" s="37"/>
      <c r="AR88" s="37"/>
      <c r="AW88" s="37"/>
      <c r="AX88" s="37"/>
      <c r="AY88" s="37"/>
      <c r="AZ88" s="37"/>
      <c r="BA88" s="14"/>
      <c r="BE88" s="37"/>
      <c r="BF88" s="37"/>
      <c r="BG88" s="37"/>
      <c r="BH88" s="37"/>
      <c r="BM88" s="37"/>
      <c r="BN88" s="37"/>
      <c r="BO88" s="37"/>
      <c r="BP88" s="37"/>
      <c r="BU88" s="37"/>
      <c r="BV88" s="37"/>
      <c r="BW88" s="37"/>
      <c r="BX88" s="37"/>
      <c r="CC88" s="37"/>
      <c r="CD88" s="37"/>
      <c r="CE88" s="37"/>
      <c r="CF88" s="37"/>
      <c r="CG88" s="14"/>
      <c r="CK88" s="37"/>
      <c r="CL88" s="37"/>
      <c r="CM88" s="37"/>
      <c r="CN88" s="37"/>
      <c r="CO88" s="14"/>
      <c r="CP88" s="37"/>
    </row>
    <row r="89" spans="1:145" ht="15" hidden="1" x14ac:dyDescent="0.2">
      <c r="N89" s="21"/>
      <c r="O89" s="170"/>
      <c r="R89" s="21"/>
      <c r="S89" s="37"/>
      <c r="T89" s="37"/>
      <c r="Y89" s="37"/>
      <c r="Z89" s="37"/>
      <c r="AA89" s="37"/>
      <c r="AB89" s="14"/>
      <c r="AG89" s="37"/>
      <c r="AH89" s="37"/>
      <c r="AI89" s="37"/>
      <c r="AJ89" s="14"/>
      <c r="AO89" s="37"/>
      <c r="AP89" s="37"/>
      <c r="AQ89" s="37"/>
      <c r="AR89" s="14"/>
      <c r="AW89" s="37"/>
      <c r="AX89" s="37"/>
      <c r="AY89" s="37"/>
      <c r="AZ89" s="14"/>
      <c r="BE89" s="37"/>
      <c r="BF89" s="37"/>
      <c r="BG89" s="37"/>
      <c r="BH89" s="14"/>
      <c r="BM89" s="37"/>
      <c r="BN89" s="37"/>
      <c r="BO89" s="37"/>
      <c r="BP89" s="14"/>
      <c r="BU89" s="37"/>
      <c r="BV89" s="37"/>
      <c r="BW89" s="37"/>
      <c r="BX89" s="14"/>
      <c r="CC89" s="37"/>
      <c r="CD89" s="37"/>
      <c r="CE89" s="37"/>
      <c r="CF89" s="14"/>
      <c r="CK89" s="37"/>
      <c r="CL89" s="37"/>
      <c r="CM89" s="37"/>
      <c r="CN89" s="14"/>
      <c r="CP89" s="37"/>
    </row>
  </sheetData>
  <sheetProtection algorithmName="SHA-512" hashValue="x4OkWMcwUV3UiQUCMzDiEYO2dDr7SREs+qH+CQLkMUC4ugaMT5HBWzy03Yke4zg2IIBFWsE8+ZDziJT+dKyLXw==" saltValue="3iTqZqDs5pl+hFdWHiBLqQ==" spinCount="100000" sheet="1" objects="1" scenarios="1"/>
  <mergeCells count="55">
    <mergeCell ref="BT82:BV82"/>
    <mergeCell ref="CB82:CD82"/>
    <mergeCell ref="CJ82:CL82"/>
    <mergeCell ref="F36:I37"/>
    <mergeCell ref="AF82:AH82"/>
    <mergeCell ref="AN82:AP82"/>
    <mergeCell ref="AV82:AX82"/>
    <mergeCell ref="BD82:BF82"/>
    <mergeCell ref="BL82:BN82"/>
    <mergeCell ref="AN78:AN79"/>
    <mergeCell ref="AP78:AP79"/>
    <mergeCell ref="AV78:AV79"/>
    <mergeCell ref="CL78:CL79"/>
    <mergeCell ref="BT78:BT79"/>
    <mergeCell ref="CJ78:CJ79"/>
    <mergeCell ref="CD78:CD79"/>
    <mergeCell ref="E6:T6"/>
    <mergeCell ref="R82:T82"/>
    <mergeCell ref="X82:Z82"/>
    <mergeCell ref="X78:X79"/>
    <mergeCell ref="Z78:Z79"/>
    <mergeCell ref="F9:O9"/>
    <mergeCell ref="R18:T18"/>
    <mergeCell ref="I75:O75"/>
    <mergeCell ref="R75:T75"/>
    <mergeCell ref="F11:G11"/>
    <mergeCell ref="F22:O23"/>
    <mergeCell ref="F48:O49"/>
    <mergeCell ref="H15:O15"/>
    <mergeCell ref="CB78:CB79"/>
    <mergeCell ref="BV78:BV79"/>
    <mergeCell ref="F43:I43"/>
    <mergeCell ref="C78:C79"/>
    <mergeCell ref="S78:S79"/>
    <mergeCell ref="O78:O79"/>
    <mergeCell ref="AF78:AF79"/>
    <mergeCell ref="AX78:AX79"/>
    <mergeCell ref="F78:H79"/>
    <mergeCell ref="J78:J79"/>
    <mergeCell ref="BD78:BD79"/>
    <mergeCell ref="BF78:BF79"/>
    <mergeCell ref="BL78:BL79"/>
    <mergeCell ref="BN78:BN79"/>
    <mergeCell ref="AH78:AH79"/>
    <mergeCell ref="C23:C26"/>
    <mergeCell ref="W18:Z18"/>
    <mergeCell ref="AE18:AH18"/>
    <mergeCell ref="AM18:AP18"/>
    <mergeCell ref="AU18:AX18"/>
    <mergeCell ref="F26:I27"/>
    <mergeCell ref="BK18:BN18"/>
    <mergeCell ref="BS18:BV18"/>
    <mergeCell ref="CA18:CD18"/>
    <mergeCell ref="CI18:CL18"/>
    <mergeCell ref="BC18:BF18"/>
  </mergeCells>
  <phoneticPr fontId="56" type="noConversion"/>
  <conditionalFormatting sqref="Z66:AA66 Z64:AA64 Z62:AA62 Z60:AA60 Z58:AA58 Z56:AA56 Z54:AA54">
    <cfRule type="containsText" dxfId="5413" priority="318" operator="containsText" text="✓">
      <formula>NOT(ISERROR(SEARCH("✓",Z54)))</formula>
    </cfRule>
  </conditionalFormatting>
  <conditionalFormatting sqref="AA39">
    <cfRule type="containsText" dxfId="5412" priority="287" operator="containsText" text="✓">
      <formula>NOT(ISERROR(SEARCH("✓",AA39)))</formula>
    </cfRule>
  </conditionalFormatting>
  <conditionalFormatting sqref="AA41">
    <cfRule type="containsText" dxfId="5411" priority="286" operator="containsText" text="✓">
      <formula>NOT(ISERROR(SEARCH("✓",AA41)))</formula>
    </cfRule>
  </conditionalFormatting>
  <conditionalFormatting sqref="AA43">
    <cfRule type="containsText" dxfId="5410" priority="285" operator="containsText" text="✓">
      <formula>NOT(ISERROR(SEARCH("✓",AA43)))</formula>
    </cfRule>
  </conditionalFormatting>
  <conditionalFormatting sqref="Z26:AA31">
    <cfRule type="containsText" dxfId="5409" priority="269" operator="containsText" text="✓">
      <formula>NOT(ISERROR(SEARCH("✓",Z26)))</formula>
    </cfRule>
  </conditionalFormatting>
  <conditionalFormatting sqref="AA32">
    <cfRule type="containsText" dxfId="5408" priority="258" operator="containsText" text="✓">
      <formula>NOT(ISERROR(SEARCH("✓",AA32)))</formula>
    </cfRule>
  </conditionalFormatting>
  <conditionalFormatting sqref="Z78:Z79">
    <cfRule type="containsText" dxfId="5407" priority="257" operator="containsText" text="✓">
      <formula>NOT(ISERROR(SEARCH("✓",Z78)))</formula>
    </cfRule>
  </conditionalFormatting>
  <conditionalFormatting sqref="AI32">
    <cfRule type="containsText" dxfId="5406" priority="134" operator="containsText" text="✓">
      <formula>NOT(ISERROR(SEARCH("✓",AI32)))</formula>
    </cfRule>
  </conditionalFormatting>
  <conditionalFormatting sqref="AH32">
    <cfRule type="containsText" dxfId="5405" priority="135" operator="containsText" text="✓">
      <formula>NOT(ISERROR(SEARCH("✓",AH32)))</formula>
    </cfRule>
  </conditionalFormatting>
  <conditionalFormatting sqref="CE32">
    <cfRule type="containsText" dxfId="5404" priority="160" operator="containsText" text="✓">
      <formula>NOT(ISERROR(SEARCH("✓",CE32)))</formula>
    </cfRule>
  </conditionalFormatting>
  <conditionalFormatting sqref="CD32">
    <cfRule type="containsText" dxfId="5403" priority="159" operator="containsText" text="✓">
      <formula>NOT(ISERROR(SEARCH("✓",CD32)))</formula>
    </cfRule>
  </conditionalFormatting>
  <conditionalFormatting sqref="AQ41">
    <cfRule type="containsText" dxfId="5402" priority="127" operator="containsText" text="✓">
      <formula>NOT(ISERROR(SEARCH("✓",AQ41)))</formula>
    </cfRule>
  </conditionalFormatting>
  <conditionalFormatting sqref="AQ43">
    <cfRule type="containsText" dxfId="5401" priority="126" operator="containsText" text="✓">
      <formula>NOT(ISERROR(SEARCH("✓",AQ43)))</formula>
    </cfRule>
  </conditionalFormatting>
  <conditionalFormatting sqref="CL66:CM66 CL64:CM64 CL62:CM62 CL60:CM60 CL58:CM58 CL56:CM56 CL54:CM54">
    <cfRule type="containsText" dxfId="5400" priority="7871" operator="containsText" text="✓">
      <formula>NOT(ISERROR(SEARCH("✓",CL54)))</formula>
    </cfRule>
  </conditionalFormatting>
  <conditionalFormatting sqref="Z32">
    <cfRule type="containsText" dxfId="5399" priority="234" operator="containsText" text="✓">
      <formula>NOT(ISERROR(SEARCH("✓",Z32)))</formula>
    </cfRule>
  </conditionalFormatting>
  <conditionalFormatting sqref="Z39">
    <cfRule type="containsText" dxfId="5398" priority="233" operator="containsText" text="✓">
      <formula>NOT(ISERROR(SEARCH("✓",Z39)))</formula>
    </cfRule>
  </conditionalFormatting>
  <conditionalFormatting sqref="AH66:AI66 AH64:AI64 AH62:AI62 AH60:AI60 AH58:AI58 AH56:AI56 AH54:AI54">
    <cfRule type="containsText" dxfId="5397" priority="7868" operator="containsText" text="✓">
      <formula>NOT(ISERROR(SEARCH("✓",AH54)))</formula>
    </cfRule>
  </conditionalFormatting>
  <conditionalFormatting sqref="AH78:AH79">
    <cfRule type="containsText" dxfId="5396" priority="5165" operator="containsText" text="✓">
      <formula>NOT(ISERROR(SEARCH("✓",AH78)))</formula>
    </cfRule>
  </conditionalFormatting>
  <conditionalFormatting sqref="BW32">
    <cfRule type="containsText" dxfId="5395" priority="171" operator="containsText" text="✓">
      <formula>NOT(ISERROR(SEARCH("✓",BW32)))</formula>
    </cfRule>
  </conditionalFormatting>
  <conditionalFormatting sqref="AP66:AQ66 AP64:AQ64 AP62:AQ62 AP60:AQ60 AP58:AQ58 AP56:AQ56 AP54:AQ54">
    <cfRule type="containsText" dxfId="5394" priority="7889" operator="containsText" text="✓">
      <formula>NOT(ISERROR(SEARCH("✓",AP54)))</formula>
    </cfRule>
  </conditionalFormatting>
  <conditionalFormatting sqref="BV66:BW66 BV64:BW64 BV62:BW62 BV60:BW60 BV58:BW58 BV56:BW56 BV54:BW54">
    <cfRule type="containsText" dxfId="5393" priority="7877" operator="containsText" text="✓">
      <formula>NOT(ISERROR(SEARCH("✓",BV54)))</formula>
    </cfRule>
  </conditionalFormatting>
  <conditionalFormatting sqref="AP26:AQ31">
    <cfRule type="containsText" dxfId="5392" priority="5159" operator="containsText" text="✓">
      <formula>NOT(ISERROR(SEARCH("✓",AP26)))</formula>
    </cfRule>
  </conditionalFormatting>
  <conditionalFormatting sqref="AQ32">
    <cfRule type="containsText" dxfId="5391" priority="215" operator="containsText" text="✓">
      <formula>NOT(ISERROR(SEARCH("✓",AQ32)))</formula>
    </cfRule>
  </conditionalFormatting>
  <conditionalFormatting sqref="AP78:AP79">
    <cfRule type="containsText" dxfId="5390" priority="219" operator="containsText" text="✓">
      <formula>NOT(ISERROR(SEARCH("✓",AP78)))</formula>
    </cfRule>
  </conditionalFormatting>
  <conditionalFormatting sqref="AP32">
    <cfRule type="containsText" dxfId="5389" priority="214" operator="containsText" text="✓">
      <formula>NOT(ISERROR(SEARCH("✓",AP32)))</formula>
    </cfRule>
  </conditionalFormatting>
  <conditionalFormatting sqref="BV32">
    <cfRule type="containsText" dxfId="5388" priority="170" operator="containsText" text="✓">
      <formula>NOT(ISERROR(SEARCH("✓",BV32)))</formula>
    </cfRule>
  </conditionalFormatting>
  <conditionalFormatting sqref="AX66:AY66 AX64:AY64 AX62:AY62 AX60:AY60 AX58:AY58 AX56:AY56 AX54:AY54">
    <cfRule type="containsText" dxfId="5387" priority="7886" operator="containsText" text="✓">
      <formula>NOT(ISERROR(SEARCH("✓",AX54)))</formula>
    </cfRule>
  </conditionalFormatting>
  <conditionalFormatting sqref="CD66:CE66 CD64:CE64 CD62:CE62 CD60:CE60 CD58:CE58 CD56:CE56 CD54:CE54">
    <cfRule type="containsText" dxfId="5386" priority="7874" operator="containsText" text="✓">
      <formula>NOT(ISERROR(SEARCH("✓",CD54)))</formula>
    </cfRule>
  </conditionalFormatting>
  <conditionalFormatting sqref="AX26:AY31">
    <cfRule type="containsText" dxfId="5385" priority="5153" operator="containsText" text="✓">
      <formula>NOT(ISERROR(SEARCH("✓",AX26)))</formula>
    </cfRule>
  </conditionalFormatting>
  <conditionalFormatting sqref="AY32">
    <cfRule type="containsText" dxfId="5384" priority="204" operator="containsText" text="✓">
      <formula>NOT(ISERROR(SEARCH("✓",AY32)))</formula>
    </cfRule>
  </conditionalFormatting>
  <conditionalFormatting sqref="AX78:AX79">
    <cfRule type="containsText" dxfId="5383" priority="208" operator="containsText" text="✓">
      <formula>NOT(ISERROR(SEARCH("✓",AX78)))</formula>
    </cfRule>
  </conditionalFormatting>
  <conditionalFormatting sqref="AX32">
    <cfRule type="containsText" dxfId="5382" priority="203" operator="containsText" text="✓">
      <formula>NOT(ISERROR(SEARCH("✓",AX32)))</formula>
    </cfRule>
  </conditionalFormatting>
  <conditionalFormatting sqref="BF66:BG66 BF64:BG64 BF62:BG62 BF60:BG60 BF58:BG58 BF56:BG56 BF54:BG54">
    <cfRule type="containsText" dxfId="5381" priority="7883" operator="containsText" text="✓">
      <formula>NOT(ISERROR(SEARCH("✓",BF54)))</formula>
    </cfRule>
  </conditionalFormatting>
  <conditionalFormatting sqref="BF26:BG31">
    <cfRule type="containsText" dxfId="5380" priority="5147" operator="containsText" text="✓">
      <formula>NOT(ISERROR(SEARCH("✓",BF26)))</formula>
    </cfRule>
  </conditionalFormatting>
  <conditionalFormatting sqref="BG32">
    <cfRule type="containsText" dxfId="5379" priority="193" operator="containsText" text="✓">
      <formula>NOT(ISERROR(SEARCH("✓",BG32)))</formula>
    </cfRule>
  </conditionalFormatting>
  <conditionalFormatting sqref="BF78:BF79">
    <cfRule type="containsText" dxfId="5378" priority="197" operator="containsText" text="✓">
      <formula>NOT(ISERROR(SEARCH("✓",BF78)))</formula>
    </cfRule>
  </conditionalFormatting>
  <conditionalFormatting sqref="BF32">
    <cfRule type="containsText" dxfId="5377" priority="192" operator="containsText" text="✓">
      <formula>NOT(ISERROR(SEARCH("✓",BF32)))</formula>
    </cfRule>
  </conditionalFormatting>
  <conditionalFormatting sqref="BN66:BO66 BN64:BO64 BN62:BO62 BN60:BO60 BN58:BO58 BN56:BO56 BN54:BO54">
    <cfRule type="containsText" dxfId="5376" priority="7880" operator="containsText" text="✓">
      <formula>NOT(ISERROR(SEARCH("✓",BN54)))</formula>
    </cfRule>
  </conditionalFormatting>
  <conditionalFormatting sqref="BN26:BO31">
    <cfRule type="containsText" dxfId="5375" priority="5141" operator="containsText" text="✓">
      <formula>NOT(ISERROR(SEARCH("✓",BN26)))</formula>
    </cfRule>
  </conditionalFormatting>
  <conditionalFormatting sqref="BO32">
    <cfRule type="containsText" dxfId="5374" priority="182" operator="containsText" text="✓">
      <formula>NOT(ISERROR(SEARCH("✓",BO32)))</formula>
    </cfRule>
  </conditionalFormatting>
  <conditionalFormatting sqref="BN78:BN79">
    <cfRule type="containsText" dxfId="5373" priority="186" operator="containsText" text="✓">
      <formula>NOT(ISERROR(SEARCH("✓",BN78)))</formula>
    </cfRule>
  </conditionalFormatting>
  <conditionalFormatting sqref="BN32">
    <cfRule type="containsText" dxfId="5372" priority="181" operator="containsText" text="✓">
      <formula>NOT(ISERROR(SEARCH("✓",BN32)))</formula>
    </cfRule>
  </conditionalFormatting>
  <conditionalFormatting sqref="CM32">
    <cfRule type="containsText" dxfId="5371" priority="149" operator="containsText" text="✓">
      <formula>NOT(ISERROR(SEARCH("✓",CM32)))</formula>
    </cfRule>
  </conditionalFormatting>
  <conditionalFormatting sqref="CL32">
    <cfRule type="containsText" dxfId="5370" priority="148" operator="containsText" text="✓">
      <formula>NOT(ISERROR(SEARCH("✓",CL32)))</formula>
    </cfRule>
  </conditionalFormatting>
  <conditionalFormatting sqref="CP66 CP64 CP62 CP60 CP58 CP56 CP54">
    <cfRule type="containsText" dxfId="5369" priority="146" operator="containsText" text="✓">
      <formula>NOT(ISERROR(SEARCH("✓",CP54)))</formula>
    </cfRule>
  </conditionalFormatting>
  <conditionalFormatting sqref="BV26:BW31">
    <cfRule type="containsText" dxfId="5368" priority="5135" operator="containsText" text="✓">
      <formula>NOT(ISERROR(SEARCH("✓",BV26)))</formula>
    </cfRule>
  </conditionalFormatting>
  <conditionalFormatting sqref="BV78:BV79">
    <cfRule type="containsText" dxfId="5367" priority="175" operator="containsText" text="✓">
      <formula>NOT(ISERROR(SEARCH("✓",BV78)))</formula>
    </cfRule>
  </conditionalFormatting>
  <conditionalFormatting sqref="CP32">
    <cfRule type="containsText" dxfId="5366" priority="138" operator="containsText" text="✓">
      <formula>NOT(ISERROR(SEARCH("✓",CP32)))</formula>
    </cfRule>
  </conditionalFormatting>
  <conditionalFormatting sqref="AI39">
    <cfRule type="containsText" dxfId="5365" priority="230" operator="containsText" text="✓">
      <formula>NOT(ISERROR(SEARCH("✓",AI39)))</formula>
    </cfRule>
  </conditionalFormatting>
  <conditionalFormatting sqref="AI41">
    <cfRule type="containsText" dxfId="5364" priority="224" operator="containsText" text="✓">
      <formula>NOT(ISERROR(SEARCH("✓",AI41)))</formula>
    </cfRule>
  </conditionalFormatting>
  <conditionalFormatting sqref="CD26:CE31">
    <cfRule type="containsText" dxfId="5363" priority="5129" operator="containsText" text="✓">
      <formula>NOT(ISERROR(SEARCH("✓",CD26)))</formula>
    </cfRule>
  </conditionalFormatting>
  <conditionalFormatting sqref="CD78:CD79">
    <cfRule type="containsText" dxfId="5362" priority="164" operator="containsText" text="✓">
      <formula>NOT(ISERROR(SEARCH("✓",CD78)))</formula>
    </cfRule>
  </conditionalFormatting>
  <conditionalFormatting sqref="AP39">
    <cfRule type="containsText" dxfId="5361" priority="213" operator="containsText" text="✓">
      <formula>NOT(ISERROR(SEARCH("✓",AP39)))</formula>
    </cfRule>
  </conditionalFormatting>
  <conditionalFormatting sqref="CL26:CM31">
    <cfRule type="containsText" dxfId="5360" priority="5125" operator="containsText" text="✓">
      <formula>NOT(ISERROR(SEARCH("✓",CL26)))</formula>
    </cfRule>
  </conditionalFormatting>
  <conditionalFormatting sqref="CL78:CL79">
    <cfRule type="containsText" dxfId="5359" priority="153" operator="containsText" text="✓">
      <formula>NOT(ISERROR(SEARCH("✓",CL78)))</formula>
    </cfRule>
  </conditionalFormatting>
  <conditionalFormatting sqref="CP43">
    <cfRule type="containsText" dxfId="5358" priority="140" operator="containsText" text="✓">
      <formula>NOT(ISERROR(SEARCH("✓",CP43)))</formula>
    </cfRule>
  </conditionalFormatting>
  <conditionalFormatting sqref="CP39">
    <cfRule type="containsText" dxfId="5357" priority="142" operator="containsText" text="✓">
      <formula>NOT(ISERROR(SEARCH("✓",CP39)))</formula>
    </cfRule>
  </conditionalFormatting>
  <conditionalFormatting sqref="CP41">
    <cfRule type="containsText" dxfId="5356" priority="141" operator="containsText" text="✓">
      <formula>NOT(ISERROR(SEARCH("✓",CP41)))</formula>
    </cfRule>
  </conditionalFormatting>
  <conditionalFormatting sqref="CP26:CP31">
    <cfRule type="containsText" dxfId="5355" priority="139" operator="containsText" text="✓">
      <formula>NOT(ISERROR(SEARCH("✓",CP26)))</formula>
    </cfRule>
  </conditionalFormatting>
  <conditionalFormatting sqref="AI43">
    <cfRule type="containsText" dxfId="5354" priority="136" operator="containsText" text="✓">
      <formula>NOT(ISERROR(SEARCH("✓",AI43)))</formula>
    </cfRule>
  </conditionalFormatting>
  <conditionalFormatting sqref="AH26:AI31">
    <cfRule type="containsText" dxfId="5353" priority="5118" operator="containsText" text="✓">
      <formula>NOT(ISERROR(SEARCH("✓",AH26)))</formula>
    </cfRule>
  </conditionalFormatting>
  <conditionalFormatting sqref="AH39">
    <cfRule type="containsText" dxfId="5352" priority="133" operator="containsText" text="✓">
      <formula>NOT(ISERROR(SEARCH("✓",AH39)))</formula>
    </cfRule>
  </conditionalFormatting>
  <conditionalFormatting sqref="AH41">
    <cfRule type="containsText" dxfId="5351" priority="132" operator="containsText" text="✓">
      <formula>NOT(ISERROR(SEARCH("✓",AH41)))</formula>
    </cfRule>
  </conditionalFormatting>
  <conditionalFormatting sqref="AH43">
    <cfRule type="containsText" dxfId="5350" priority="131" operator="containsText" text="✓">
      <formula>NOT(ISERROR(SEARCH("✓",AH43)))</formula>
    </cfRule>
  </conditionalFormatting>
  <conditionalFormatting sqref="CL43">
    <cfRule type="containsText" dxfId="5349" priority="88" operator="containsText" text="✓">
      <formula>NOT(ISERROR(SEARCH("✓",CL43)))</formula>
    </cfRule>
  </conditionalFormatting>
  <conditionalFormatting sqref="AQ39">
    <cfRule type="containsText" dxfId="5348" priority="212" operator="containsText" text="✓">
      <formula>NOT(ISERROR(SEARCH("✓",AQ39)))</formula>
    </cfRule>
  </conditionalFormatting>
  <conditionalFormatting sqref="AP41">
    <cfRule type="containsText" dxfId="5347" priority="125" operator="containsText" text="✓">
      <formula>NOT(ISERROR(SEARCH("✓",AP41)))</formula>
    </cfRule>
  </conditionalFormatting>
  <conditionalFormatting sqref="AP43">
    <cfRule type="containsText" dxfId="5346" priority="124" operator="containsText" text="✓">
      <formula>NOT(ISERROR(SEARCH("✓",AP43)))</formula>
    </cfRule>
  </conditionalFormatting>
  <conditionalFormatting sqref="AY39">
    <cfRule type="containsText" dxfId="5345" priority="201" operator="containsText" text="✓">
      <formula>NOT(ISERROR(SEARCH("✓",AY39)))</formula>
    </cfRule>
  </conditionalFormatting>
  <conditionalFormatting sqref="AY41">
    <cfRule type="containsText" dxfId="5344" priority="121" operator="containsText" text="✓">
      <formula>NOT(ISERROR(SEARCH("✓",AY41)))</formula>
    </cfRule>
  </conditionalFormatting>
  <conditionalFormatting sqref="AY43">
    <cfRule type="containsText" dxfId="5343" priority="120" operator="containsText" text="✓">
      <formula>NOT(ISERROR(SEARCH("✓",AY43)))</formula>
    </cfRule>
  </conditionalFormatting>
  <conditionalFormatting sqref="AX39">
    <cfRule type="containsText" dxfId="5342" priority="202" operator="containsText" text="✓">
      <formula>NOT(ISERROR(SEARCH("✓",AX39)))</formula>
    </cfRule>
  </conditionalFormatting>
  <conditionalFormatting sqref="AX41">
    <cfRule type="containsText" dxfId="5341" priority="119" operator="containsText" text="✓">
      <formula>NOT(ISERROR(SEARCH("✓",AX41)))</formula>
    </cfRule>
  </conditionalFormatting>
  <conditionalFormatting sqref="AX43">
    <cfRule type="containsText" dxfId="5340" priority="118" operator="containsText" text="✓">
      <formula>NOT(ISERROR(SEARCH("✓",AX43)))</formula>
    </cfRule>
  </conditionalFormatting>
  <conditionalFormatting sqref="BG39">
    <cfRule type="containsText" dxfId="5339" priority="190" operator="containsText" text="✓">
      <formula>NOT(ISERROR(SEARCH("✓",BG39)))</formula>
    </cfRule>
  </conditionalFormatting>
  <conditionalFormatting sqref="BG41">
    <cfRule type="containsText" dxfId="5338" priority="115" operator="containsText" text="✓">
      <formula>NOT(ISERROR(SEARCH("✓",BG41)))</formula>
    </cfRule>
  </conditionalFormatting>
  <conditionalFormatting sqref="BG43">
    <cfRule type="containsText" dxfId="5337" priority="114" operator="containsText" text="✓">
      <formula>NOT(ISERROR(SEARCH("✓",BG43)))</formula>
    </cfRule>
  </conditionalFormatting>
  <conditionalFormatting sqref="BF39">
    <cfRule type="containsText" dxfId="5336" priority="191" operator="containsText" text="✓">
      <formula>NOT(ISERROR(SEARCH("✓",BF39)))</formula>
    </cfRule>
  </conditionalFormatting>
  <conditionalFormatting sqref="BF41">
    <cfRule type="containsText" dxfId="5335" priority="113" operator="containsText" text="✓">
      <formula>NOT(ISERROR(SEARCH("✓",BF41)))</formula>
    </cfRule>
  </conditionalFormatting>
  <conditionalFormatting sqref="BF43">
    <cfRule type="containsText" dxfId="5334" priority="112" operator="containsText" text="✓">
      <formula>NOT(ISERROR(SEARCH("✓",BF43)))</formula>
    </cfRule>
  </conditionalFormatting>
  <conditionalFormatting sqref="BO39">
    <cfRule type="containsText" dxfId="5333" priority="179" operator="containsText" text="✓">
      <formula>NOT(ISERROR(SEARCH("✓",BO39)))</formula>
    </cfRule>
  </conditionalFormatting>
  <conditionalFormatting sqref="BO41">
    <cfRule type="containsText" dxfId="5332" priority="109" operator="containsText" text="✓">
      <formula>NOT(ISERROR(SEARCH("✓",BO41)))</formula>
    </cfRule>
  </conditionalFormatting>
  <conditionalFormatting sqref="BO43">
    <cfRule type="containsText" dxfId="5331" priority="108" operator="containsText" text="✓">
      <formula>NOT(ISERROR(SEARCH("✓",BO43)))</formula>
    </cfRule>
  </conditionalFormatting>
  <conditionalFormatting sqref="BN39">
    <cfRule type="containsText" dxfId="5330" priority="180" operator="containsText" text="✓">
      <formula>NOT(ISERROR(SEARCH("✓",BN39)))</formula>
    </cfRule>
  </conditionalFormatting>
  <conditionalFormatting sqref="BN41">
    <cfRule type="containsText" dxfId="5329" priority="107" operator="containsText" text="✓">
      <formula>NOT(ISERROR(SEARCH("✓",BN41)))</formula>
    </cfRule>
  </conditionalFormatting>
  <conditionalFormatting sqref="BN43">
    <cfRule type="containsText" dxfId="5328" priority="106" operator="containsText" text="✓">
      <formula>NOT(ISERROR(SEARCH("✓",BN43)))</formula>
    </cfRule>
  </conditionalFormatting>
  <conditionalFormatting sqref="BW39">
    <cfRule type="containsText" dxfId="5327" priority="168" operator="containsText" text="✓">
      <formula>NOT(ISERROR(SEARCH("✓",BW39)))</formula>
    </cfRule>
  </conditionalFormatting>
  <conditionalFormatting sqref="BW41">
    <cfRule type="containsText" dxfId="5326" priority="103" operator="containsText" text="✓">
      <formula>NOT(ISERROR(SEARCH("✓",BW41)))</formula>
    </cfRule>
  </conditionalFormatting>
  <conditionalFormatting sqref="BW43">
    <cfRule type="containsText" dxfId="5325" priority="102" operator="containsText" text="✓">
      <formula>NOT(ISERROR(SEARCH("✓",BW43)))</formula>
    </cfRule>
  </conditionalFormatting>
  <conditionalFormatting sqref="BV39">
    <cfRule type="containsText" dxfId="5324" priority="169" operator="containsText" text="✓">
      <formula>NOT(ISERROR(SEARCH("✓",BV39)))</formula>
    </cfRule>
  </conditionalFormatting>
  <conditionalFormatting sqref="BV41">
    <cfRule type="containsText" dxfId="5323" priority="101" operator="containsText" text="✓">
      <formula>NOT(ISERROR(SEARCH("✓",BV41)))</formula>
    </cfRule>
  </conditionalFormatting>
  <conditionalFormatting sqref="BV43">
    <cfRule type="containsText" dxfId="5322" priority="100" operator="containsText" text="✓">
      <formula>NOT(ISERROR(SEARCH("✓",BV43)))</formula>
    </cfRule>
  </conditionalFormatting>
  <conditionalFormatting sqref="CE39">
    <cfRule type="containsText" dxfId="5321" priority="157" operator="containsText" text="✓">
      <formula>NOT(ISERROR(SEARCH("✓",CE39)))</formula>
    </cfRule>
  </conditionalFormatting>
  <conditionalFormatting sqref="CE41">
    <cfRule type="containsText" dxfId="5320" priority="97" operator="containsText" text="✓">
      <formula>NOT(ISERROR(SEARCH("✓",CE41)))</formula>
    </cfRule>
  </conditionalFormatting>
  <conditionalFormatting sqref="CE43">
    <cfRule type="containsText" dxfId="5319" priority="96" operator="containsText" text="✓">
      <formula>NOT(ISERROR(SEARCH("✓",CE43)))</formula>
    </cfRule>
  </conditionalFormatting>
  <conditionalFormatting sqref="CD39">
    <cfRule type="containsText" dxfId="5318" priority="158" operator="containsText" text="✓">
      <formula>NOT(ISERROR(SEARCH("✓",CD39)))</formula>
    </cfRule>
  </conditionalFormatting>
  <conditionalFormatting sqref="CD41">
    <cfRule type="containsText" dxfId="5317" priority="95" operator="containsText" text="✓">
      <formula>NOT(ISERROR(SEARCH("✓",CD41)))</formula>
    </cfRule>
  </conditionalFormatting>
  <conditionalFormatting sqref="CD43">
    <cfRule type="containsText" dxfId="5316" priority="94" operator="containsText" text="✓">
      <formula>NOT(ISERROR(SEARCH("✓",CD43)))</formula>
    </cfRule>
  </conditionalFormatting>
  <conditionalFormatting sqref="CM39">
    <cfRule type="containsText" dxfId="5315" priority="137" operator="containsText" text="✓">
      <formula>NOT(ISERROR(SEARCH("✓",CM39)))</formula>
    </cfRule>
  </conditionalFormatting>
  <conditionalFormatting sqref="CM41">
    <cfRule type="containsText" dxfId="5314" priority="91" operator="containsText" text="✓">
      <formula>NOT(ISERROR(SEARCH("✓",CM41)))</formula>
    </cfRule>
  </conditionalFormatting>
  <conditionalFormatting sqref="CM43">
    <cfRule type="containsText" dxfId="5313" priority="90" operator="containsText" text="✓">
      <formula>NOT(ISERROR(SEARCH("✓",CM43)))</formula>
    </cfRule>
  </conditionalFormatting>
  <conditionalFormatting sqref="CL39">
    <cfRule type="containsText" dxfId="5312" priority="147" operator="containsText" text="✓">
      <formula>NOT(ISERROR(SEARCH("✓",CL39)))</formula>
    </cfRule>
  </conditionalFormatting>
  <conditionalFormatting sqref="CL41">
    <cfRule type="containsText" dxfId="5311" priority="89" operator="containsText" text="✓">
      <formula>NOT(ISERROR(SEARCH("✓",CL41)))</formula>
    </cfRule>
  </conditionalFormatting>
  <conditionalFormatting sqref="Z41">
    <cfRule type="containsText" dxfId="5310" priority="69" operator="containsText" text="✓">
      <formula>NOT(ISERROR(SEARCH("✓",Z41)))</formula>
    </cfRule>
  </conditionalFormatting>
  <conditionalFormatting sqref="Z43">
    <cfRule type="containsText" dxfId="5309" priority="68" operator="containsText" text="✓">
      <formula>NOT(ISERROR(SEARCH("✓",Z43)))</formula>
    </cfRule>
  </conditionalFormatting>
  <conditionalFormatting sqref="AF32">
    <cfRule type="expression" dxfId="5308" priority="128">
      <formula>$AF$32&lt;0</formula>
    </cfRule>
  </conditionalFormatting>
  <conditionalFormatting sqref="X32">
    <cfRule type="expression" dxfId="5307" priority="66">
      <formula>$X$32&lt;0</formula>
    </cfRule>
  </conditionalFormatting>
  <conditionalFormatting sqref="AN32">
    <cfRule type="expression" dxfId="5306" priority="122">
      <formula>$AN$32&lt;0</formula>
    </cfRule>
  </conditionalFormatting>
  <conditionalFormatting sqref="AV32">
    <cfRule type="expression" dxfId="5305" priority="116">
      <formula>$AV$32&lt;0</formula>
    </cfRule>
  </conditionalFormatting>
  <conditionalFormatting sqref="BD32">
    <cfRule type="expression" dxfId="5304" priority="110">
      <formula>$BD$32&lt;0</formula>
    </cfRule>
  </conditionalFormatting>
  <conditionalFormatting sqref="BL32">
    <cfRule type="expression" dxfId="5303" priority="104">
      <formula>$BL$32&lt;0</formula>
    </cfRule>
  </conditionalFormatting>
  <conditionalFormatting sqref="BT32">
    <cfRule type="expression" dxfId="5302" priority="98">
      <formula>$BT$32&lt;0</formula>
    </cfRule>
  </conditionalFormatting>
  <conditionalFormatting sqref="CB32">
    <cfRule type="expression" dxfId="5301" priority="92">
      <formula>$CB$32&lt;0</formula>
    </cfRule>
  </conditionalFormatting>
  <conditionalFormatting sqref="CJ32">
    <cfRule type="expression" dxfId="5300" priority="86">
      <formula>$CJ$32&lt;0</formula>
    </cfRule>
  </conditionalFormatting>
  <conditionalFormatting sqref="CP52">
    <cfRule type="containsText" dxfId="5299" priority="11" operator="containsText" text="✓">
      <formula>NOT(ISERROR(SEARCH("✓",CP52)))</formula>
    </cfRule>
  </conditionalFormatting>
  <conditionalFormatting sqref="Z52:AA52">
    <cfRule type="containsText" dxfId="5298" priority="12" operator="containsText" text="✓">
      <formula>NOT(ISERROR(SEARCH("✓",Z52)))</formula>
    </cfRule>
  </conditionalFormatting>
  <conditionalFormatting sqref="CL52:CM52">
    <cfRule type="containsText" dxfId="5297" priority="15" operator="containsText" text="✓">
      <formula>NOT(ISERROR(SEARCH("✓",CL52)))</formula>
    </cfRule>
  </conditionalFormatting>
  <conditionalFormatting sqref="AH52:AI52">
    <cfRule type="containsText" dxfId="5296" priority="13" operator="containsText" text="✓">
      <formula>NOT(ISERROR(SEARCH("✓",AH52)))</formula>
    </cfRule>
  </conditionalFormatting>
  <conditionalFormatting sqref="AP52:AQ52">
    <cfRule type="containsText" dxfId="5295" priority="27" operator="containsText" text="✓">
      <formula>NOT(ISERROR(SEARCH("✓",AP52)))</formula>
    </cfRule>
  </conditionalFormatting>
  <conditionalFormatting sqref="BV52:BW52">
    <cfRule type="containsText" dxfId="5294" priority="19" operator="containsText" text="✓">
      <formula>NOT(ISERROR(SEARCH("✓",BV52)))</formula>
    </cfRule>
  </conditionalFormatting>
  <conditionalFormatting sqref="AX52:AY52">
    <cfRule type="containsText" dxfId="5293" priority="25" operator="containsText" text="✓">
      <formula>NOT(ISERROR(SEARCH("✓",AX52)))</formula>
    </cfRule>
  </conditionalFormatting>
  <conditionalFormatting sqref="CD52:CE52">
    <cfRule type="containsText" dxfId="5292" priority="17" operator="containsText" text="✓">
      <formula>NOT(ISERROR(SEARCH("✓",CD52)))</formula>
    </cfRule>
  </conditionalFormatting>
  <conditionalFormatting sqref="BF52:BG52">
    <cfRule type="containsText" dxfId="5291" priority="23" operator="containsText" text="✓">
      <formula>NOT(ISERROR(SEARCH("✓",BF52)))</formula>
    </cfRule>
  </conditionalFormatting>
  <conditionalFormatting sqref="BN52:BO52">
    <cfRule type="containsText" dxfId="5290" priority="21" operator="containsText" text="✓">
      <formula>NOT(ISERROR(SEARCH("✓",BN52)))</formula>
    </cfRule>
  </conditionalFormatting>
  <dataValidations count="14">
    <dataValidation allowBlank="1" showInputMessage="1" showErrorMessage="1" promptTitle="Nisjer" prompt="Dersom dette volumet ikke er kjent (f.eks. på et tidlig stadium), kan man bruke 5 - 10 % av volumet for det gjennomgående teoretiske sprengningsprofilet." sqref="J54" xr:uid="{D1A5195B-3D33-4FA6-927D-76D1469AD512}"/>
    <dataValidation allowBlank="1" showInputMessage="1" showErrorMessage="1" promptTitle="Snunisjer" prompt="Gjelder for ettløps vegtunnel." sqref="J56" xr:uid="{A11C451D-E49A-488C-946E-9036ABBD3A35}"/>
    <dataValidation allowBlank="1" showInputMessage="1" showErrorMessage="1" promptTitle="Tverrforbindelser" prompt="Gjelder bare for toløps tunneler." sqref="J58" xr:uid="{75D3C2E5-8B64-44BF-AE96-84D2744E2B5E}"/>
    <dataValidation allowBlank="1" showInputMessage="1" showErrorMessage="1" promptTitle="Volum normalsalve" prompt="Volum for normalsalve beregnes som Totalt sprengningsvolum minus Volum av reduserte salver." sqref="J32" xr:uid="{579A2E77-3429-4A41-843C-92B118CA7B0D}"/>
    <dataValidation allowBlank="1" showInputMessage="1" showErrorMessage="1" promptTitle="Redusert salvelengde" prompt="Salve med redusert salvelengde er definert som salver som er kortere enn 80 % av normal salvelengde." sqref="J39" xr:uid="{053E1F4E-E7DF-49CE-A876-29D161A17A54}"/>
    <dataValidation allowBlank="1" showInputMessage="1" showErrorMessage="1" promptTitle="Teoretisk volum" prompt="Teoretisk tverrsnit x tunnellengde. Verdier (teoretisk tverrsnit og tunnellengde) kan bare endres fra &quot;Prosjektinformasjon&quot; og &quot;Config&quot;-fanen" sqref="J32" xr:uid="{291FC67C-B100-45F7-90BC-7F614A433044}"/>
    <dataValidation allowBlank="1" showErrorMessage="1" sqref="A1:I1 K1:DM1 K5:DM5 A83:I1048576 A12:I13 K8:DM10 A5:I10 H15 Z80:Z82 CL80:CL82 AH80:AH82 AP80:AP82 AX80:AX82 BF80:BF82 BN80:BN82 BV80:BV82 CD80:CD82 K83:DM1048576 AN40 AV69:AV82 BD40 K69:P82 BD55 BL69:BL82 BT55 CB69:CB82 AF69:AF82 Z19:Z25 Z27:Z31 G16:I24 X40 BD69:BD82 BD67 BD65 BD63 BD61 BD59 BD57 BL40 BT40 BL55 BL57 BL59 BL61 BL63 BL65 BL67 BT69:BT82 BT67 BT65 BT63 BT61 BT59 BT57 CB40 CJ40 CB55 CB57 CB59 CB61 CB63 CB65 CB67 CJ53 CJ69:CJ82 CJ67 CJ65 CJ63 CJ61 CJ59 CJ57 CJ55 CB53 CJ42 CJ19:CJ38 BT53 CB42 CB19:CB38 BL53 BT42 BT19:BT38 BD53 BL42 BL19:BL38 BD42 BD19:BD38 Q14:U82 AV19:AV38 CL33:CL78 E52:I54 CM14:DM82 A14:D82 E40:F51 K39:P52 J40 J42 AN53 AN69:AN82 AN67 AN65 AN63 AN61 AN59 AN57 AN55 AN42 AN19:AN38 AF53 AF19:AF38 AF40 AF42 AF55 AF57 AF59 AF61 AF63 AF65 AF67 X53 X69:X82 X67 X65 X63 X61 X59 X57 X55 X42 X19:X38 K16:O24 K58:P58 E58:I58 E57:P57 K56:P56 E56:I56 E55:P55 K54:P54 G65:I68 E39:I39 E33:P38 K32:P32 E32:I32 E26:F26 K26:P26 E25:P25 E14:F24 G14:I14 K12:DM13 V14:CL17 J53:P53 P14:P24 K14:O14 AH19:AH25 AP19:AP25 AX19:AX25 BF19:BF25 BN19:BN25 BV19:BV25 CD19:CD25 CL19:CL25 AH27:AH31 AP27:AP31 AX27:AX31 BF27:BF31 BN27:BN31 BV27:BV31 CD27:CD31 CL27:CL31 E59:F68 J59:P68 G59:I63 G40:I42 F29:I31 F80:H82 I69:I82 G69:H77 E69:E82 F69:F78 E27:E31 J27:P31 X44:X51 AF44:AF51 AN44:AN51 G44:J51 BD44:BD51 BL44:BL51 BT44:BT51 CB44:CB51 CJ44:CJ51 BV33:BV78 CD33:CD78 AH33:AH78 AP33:AP78 AX33:AX78 BF33:BF78 BN33:BN78 Z33:Z78 AY18:BC82 BE19:BE82 BG18:BK82 BM19:BM82 BO18:BS82 BU19:BU82 BW18:CA82 CC19:CC82 CE18:CI82 CK19:CK82 AQ18:AU82 AW19:AW82 AI18:AM82 AO19:AO82 AA18:AE82 AG19:AG82 V18:W82 Y19:Y82 AV53 AV40 AV42 AV55 AV57 AV59 AV61 AV63 AV65 AV67 AV44:AV51" xr:uid="{C00E0A1C-8606-426C-8B9E-1A78B5585DB4}"/>
    <dataValidation allowBlank="1" showErrorMessage="1" promptTitle="Et feilsymbol (!) kan indikerer." prompt="Sprengningsvolum info. er utfullstendig!_x000a__x000a_Løs 1: I &quot;Prosjektinfo&quot;-fanen sjekk at tunnellengden (for alle løp) og teoretisk tverrsnittsarealet er angitt og riktig utfylt._x000a__x000a_Løs 2: I &quot;Tun.drift&quot;-fanen sjekk at stufflengden er angitt og riktig utfylt." sqref="Z26 AH26 AP26 AX26 BF26 BN26 BV26 CD26 CL26" xr:uid="{5953E1E9-5C9B-4716-8F4E-4D595A8FFB04}"/>
    <dataValidation type="decimal" operator="greaterThanOrEqual" allowBlank="1" showErrorMessage="1" errorTitle="Oops!" error="Bare tall (≥ 0) er tillatt." sqref="X39 X41 X43 X54 X56 X58 X60 X62 X64 X66 X68 AF68 AF66 AF64 AF62 AF60 AF58 AF56 AF54 AF43 AF41 AF39 AN39 AN41 AN43 BT64 BT66 BT68 BD39 BD41 BD43 BL43 BL41 BL39 BT39 BT41 BT43 CB43 CB41 CB39 CJ39 CJ41 CJ43 CJ54 CJ56 CJ58 CJ60 CJ62 CJ64 CJ66 CJ68 CB68 CB66 CB64 CB62 CB60 CB58 CB56 CB54 BT54 BT56 BL54 BL56 BL58 BT58 BD54 X52 AN54 AN56 AN58 AF52 CJ52 BD56 BD58 BD60 CB52 BT52 BL52 BD52 AN68 AN66 AN52 AN64 AN62 AN60 BL60 BD62 BD64 BD66 BD68 BL68 BL66 BL64 BL62 BT60 BT62 AV43 AV41 AV39 AV54 AV56 AV58 AV60 AV62 AV64 AV66 AV68 AV52" xr:uid="{C4D3C232-3204-4B0F-9415-E137643B578D}">
      <formula1>0</formula1>
    </dataValidation>
    <dataValidation allowBlank="1" showErrorMessage="1" promptTitle="Et feilsymbol (!) kan indikerer." prompt="Sprengningsvolum info. er enten utfullstendig eller feil._x000a__x000a_Løs 1. Sørg for at det teoretiske volumet er riktig._x000a__x000a_Løs 2. Bekreft at det totale redusert salve volumet ikke er større enn det teoretiske volumet." sqref="Z32 AH32 AP32 AX32 BF32 BN32 BV32 CD32 CL32" xr:uid="{42D34ED8-0AF4-4543-A26A-44EEAE5D5EE5}"/>
    <dataValidation allowBlank="1" showInputMessage="1" showErrorMessage="1" promptTitle="Grøfter" prompt="Grøft volum" sqref="J52" xr:uid="{9820512D-9B92-462A-AD69-BC724F044DDF}"/>
    <dataValidation allowBlank="1" showInputMessage="1" showErrorMessage="1" promptTitle="Teoretisk volum" prompt="Teoretisk sprengningsprofil ganger tunnellengde. Teoretisk sprengningsprofil og tunnellengde kan bare endres i fanen &quot;Prosjektinformasjon&quot;." sqref="J26" xr:uid="{2ABB749B-84BF-44E0-A42C-473B9A9524F3}"/>
    <dataValidation allowBlank="1" showInputMessage="1" showErrorMessage="1" promptTitle="Todelt tverrsnitt" prompt="Dersom salven deles i tre eller flere deler, anbefales det å legge volumet for disse under posten Todelt salve - redusert salvelengde." sqref="J41" xr:uid="{C6CF2299-4660-4D79-A35D-3E06834276F5}"/>
    <dataValidation allowBlank="1" showInputMessage="1" showErrorMessage="1" promptTitle="Todelt tverrsn./halv salvelengde" prompt="Denne posten anbefales også bruk for flerdelte salver med eller uten redusert salvelengde." sqref="J43" xr:uid="{98456317-8FEB-4A74-A43E-A2BE1C4AFE8A}"/>
  </dataValidations>
  <printOptions horizontalCentered="1" verticalCentered="1"/>
  <pageMargins left="0.23622047244094491" right="0.23622047244094491" top="0.74803149606299213" bottom="0.74803149606299213" header="0.31496062992125984" footer="0.31496062992125984"/>
  <pageSetup paperSize="8" scale="46" orientation="landscape" r:id="rId1"/>
  <extLst>
    <ext xmlns:x14="http://schemas.microsoft.com/office/spreadsheetml/2009/9/main" uri="{78C0D931-6437-407d-A8EE-F0AAD7539E65}">
      <x14:conditionalFormattings>
        <x14:conditionalFormatting xmlns:xm="http://schemas.microsoft.com/office/excel/2006/main">
          <x14:cfRule type="expression" priority="7869" id="{757BA5DD-9713-4152-981E-71A5F421F7D8}">
            <xm:f>_Calcs!$NO$54&lt;2</xm:f>
            <x14:dxf>
              <border>
                <left/>
                <right/>
                <top/>
                <bottom/>
                <vertical/>
                <horizontal/>
              </border>
            </x14:dxf>
          </x14:cfRule>
          <xm:sqref>AD1:AD1048576</xm:sqref>
        </x14:conditionalFormatting>
        <x14:conditionalFormatting xmlns:xm="http://schemas.microsoft.com/office/excel/2006/main">
          <x14:cfRule type="expression" priority="7872" id="{80E5E5CD-13FE-4308-99D3-CB8B0428EF22}">
            <xm:f>_Calcs!$NO$54&lt;9</xm:f>
            <x14:dxf>
              <border>
                <left/>
                <right/>
                <top/>
                <bottom/>
                <vertical/>
                <horizontal/>
              </border>
            </x14:dxf>
          </x14:cfRule>
          <xm:sqref>CH1:CH1048576</xm:sqref>
        </x14:conditionalFormatting>
        <x14:conditionalFormatting xmlns:xm="http://schemas.microsoft.com/office/excel/2006/main">
          <x14:cfRule type="expression" priority="7875" id="{EC0A3CAD-D14F-4F3A-8FFA-D6DF4974F4EF}">
            <xm:f>_Calcs!$NO$54&lt;8</xm:f>
            <x14:dxf>
              <border>
                <left/>
                <right/>
                <top/>
                <bottom/>
                <vertical/>
                <horizontal/>
              </border>
            </x14:dxf>
          </x14:cfRule>
          <xm:sqref>BZ1:BZ1048576</xm:sqref>
        </x14:conditionalFormatting>
        <x14:conditionalFormatting xmlns:xm="http://schemas.microsoft.com/office/excel/2006/main">
          <x14:cfRule type="expression" priority="7878" id="{1ADD41BF-2F28-401C-ADB3-976322976B60}">
            <xm:f>_Calcs!$NO$54&lt;7</xm:f>
            <x14:dxf>
              <border>
                <left/>
                <right/>
                <top/>
                <bottom/>
                <vertical/>
                <horizontal/>
              </border>
            </x14:dxf>
          </x14:cfRule>
          <xm:sqref>BR1:BR1048576</xm:sqref>
        </x14:conditionalFormatting>
        <x14:conditionalFormatting xmlns:xm="http://schemas.microsoft.com/office/excel/2006/main">
          <x14:cfRule type="expression" priority="7881" id="{1E9F9D44-ACFB-44CC-97B8-CB2A4062B166}">
            <xm:f>_Calcs!$NO$54&lt;6</xm:f>
            <x14:dxf>
              <border>
                <left/>
                <right/>
                <top/>
                <bottom/>
                <vertical/>
                <horizontal/>
              </border>
            </x14:dxf>
          </x14:cfRule>
          <xm:sqref>BJ1:BJ1048576</xm:sqref>
        </x14:conditionalFormatting>
        <x14:conditionalFormatting xmlns:xm="http://schemas.microsoft.com/office/excel/2006/main">
          <x14:cfRule type="expression" priority="7884" id="{0CFD506F-BA90-4599-994F-EAEAC63338FE}">
            <xm:f>_Calcs!$NO$54&lt;5</xm:f>
            <x14:dxf>
              <border>
                <left/>
                <right/>
                <top/>
                <bottom/>
                <vertical/>
                <horizontal/>
              </border>
            </x14:dxf>
          </x14:cfRule>
          <xm:sqref>BB1:BB1048576</xm:sqref>
        </x14:conditionalFormatting>
        <x14:conditionalFormatting xmlns:xm="http://schemas.microsoft.com/office/excel/2006/main">
          <x14:cfRule type="expression" priority="7887" id="{8CBA4824-1736-4ED4-9217-C4A74783698F}">
            <xm:f>_Calcs!$NO$54&lt;4</xm:f>
            <x14:dxf>
              <border>
                <left/>
                <right/>
                <top/>
                <bottom/>
                <vertical/>
                <horizontal/>
              </border>
            </x14:dxf>
          </x14:cfRule>
          <xm:sqref>AT1:AT1048576</xm:sqref>
        </x14:conditionalFormatting>
        <x14:conditionalFormatting xmlns:xm="http://schemas.microsoft.com/office/excel/2006/main">
          <x14:cfRule type="expression" priority="7890" id="{92931F6C-E570-406B-A567-A0C71B0F4FE9}">
            <xm:f>_Calcs!$NO$54&lt;3</xm:f>
            <x14:dxf>
              <border>
                <left/>
                <right/>
                <top/>
                <bottom/>
                <vertical/>
                <horizontal/>
              </border>
            </x14:dxf>
          </x14:cfRule>
          <xm:sqref>AL1:AL1048576</xm:sqref>
        </x14:conditionalFormatting>
        <x14:conditionalFormatting xmlns:xm="http://schemas.microsoft.com/office/excel/2006/main">
          <x14:cfRule type="expression" priority="10" stopIfTrue="1" id="{10D64994-AE85-466C-92D8-D4C985D0AC82}">
            <xm:f>_Calcs!$NO$54&lt;2</xm:f>
            <x14:dxf>
              <font>
                <color theme="0"/>
              </font>
              <fill>
                <patternFill>
                  <bgColor theme="0"/>
                </patternFill>
              </fill>
              <border>
                <left/>
                <right/>
                <top/>
                <bottom/>
                <vertical/>
                <horizontal/>
              </border>
            </x14:dxf>
          </x14:cfRule>
          <xm:sqref>AE1:AL1048576</xm:sqref>
        </x14:conditionalFormatting>
        <x14:conditionalFormatting xmlns:xm="http://schemas.microsoft.com/office/excel/2006/main">
          <x14:cfRule type="expression" priority="3" stopIfTrue="1" id="{502ACAD8-1AB5-48FE-AB70-1F2AA5539F38}">
            <xm:f>_Calcs!$NO$54&lt;9</xm:f>
            <x14:dxf>
              <font>
                <color theme="0"/>
              </font>
              <fill>
                <patternFill>
                  <fgColor theme="0"/>
                  <bgColor theme="0"/>
                </patternFill>
              </fill>
              <border>
                <left/>
                <right/>
                <top/>
                <bottom/>
                <vertical/>
                <horizontal/>
              </border>
            </x14:dxf>
          </x14:cfRule>
          <xm:sqref>CI1:CP1048576</xm:sqref>
        </x14:conditionalFormatting>
        <x14:conditionalFormatting xmlns:xm="http://schemas.microsoft.com/office/excel/2006/main">
          <x14:cfRule type="expression" priority="4" stopIfTrue="1" id="{4578643D-A0F9-4035-9A0B-7599C17D2B56}">
            <xm:f>_Calcs!$NO$54&lt;8</xm:f>
            <x14:dxf>
              <font>
                <color theme="0"/>
              </font>
              <fill>
                <patternFill>
                  <bgColor theme="0"/>
                </patternFill>
              </fill>
              <border>
                <left/>
                <right/>
                <top/>
                <bottom/>
                <vertical/>
                <horizontal/>
              </border>
            </x14:dxf>
          </x14:cfRule>
          <xm:sqref>CA1:CH1048576</xm:sqref>
        </x14:conditionalFormatting>
        <x14:conditionalFormatting xmlns:xm="http://schemas.microsoft.com/office/excel/2006/main">
          <x14:cfRule type="expression" priority="5" stopIfTrue="1" id="{FC330115-19A8-4127-9B06-DE8DDDB75E31}">
            <xm:f>_Calcs!$NO$54&lt;7</xm:f>
            <x14:dxf>
              <font>
                <color theme="0"/>
              </font>
              <fill>
                <patternFill>
                  <bgColor theme="0"/>
                </patternFill>
              </fill>
              <border>
                <left/>
                <right/>
                <top/>
                <bottom/>
                <vertical/>
                <horizontal/>
              </border>
            </x14:dxf>
          </x14:cfRule>
          <xm:sqref>BS1:BZ1048576</xm:sqref>
        </x14:conditionalFormatting>
        <x14:conditionalFormatting xmlns:xm="http://schemas.microsoft.com/office/excel/2006/main">
          <x14:cfRule type="expression" priority="6" stopIfTrue="1" id="{9E79D1B4-F741-45D7-AF92-B2634CA338A8}">
            <xm:f>_Calcs!$NO$54&lt;6</xm:f>
            <x14:dxf>
              <font>
                <color theme="0"/>
              </font>
              <fill>
                <patternFill>
                  <bgColor theme="0"/>
                </patternFill>
              </fill>
              <border>
                <left/>
                <right/>
                <top/>
                <bottom/>
                <vertical/>
                <horizontal/>
              </border>
            </x14:dxf>
          </x14:cfRule>
          <xm:sqref>BK1:BR1048576</xm:sqref>
        </x14:conditionalFormatting>
        <x14:conditionalFormatting xmlns:xm="http://schemas.microsoft.com/office/excel/2006/main">
          <x14:cfRule type="expression" priority="7" stopIfTrue="1" id="{8BBC3093-0600-48D2-9119-81A260057194}">
            <xm:f>_Calcs!$NO$54&lt;5</xm:f>
            <x14:dxf>
              <font>
                <color theme="0"/>
              </font>
              <fill>
                <patternFill>
                  <bgColor theme="0"/>
                </patternFill>
              </fill>
              <border>
                <left/>
                <right/>
                <top/>
                <bottom/>
                <vertical/>
                <horizontal/>
              </border>
            </x14:dxf>
          </x14:cfRule>
          <xm:sqref>BC1:BJ1048576</xm:sqref>
        </x14:conditionalFormatting>
        <x14:conditionalFormatting xmlns:xm="http://schemas.microsoft.com/office/excel/2006/main">
          <x14:cfRule type="expression" priority="8" stopIfTrue="1" id="{0395ADBF-CFB5-49E2-8BC2-F29E0C57A4C6}">
            <xm:f>_Calcs!$NO$54&lt;4</xm:f>
            <x14:dxf>
              <font>
                <color theme="0"/>
              </font>
              <fill>
                <patternFill>
                  <bgColor theme="0"/>
                </patternFill>
              </fill>
              <border>
                <left/>
                <right/>
                <top/>
                <bottom/>
                <vertical/>
                <horizontal/>
              </border>
            </x14:dxf>
          </x14:cfRule>
          <xm:sqref>AU1:BB1048576</xm:sqref>
        </x14:conditionalFormatting>
        <x14:conditionalFormatting xmlns:xm="http://schemas.microsoft.com/office/excel/2006/main">
          <x14:cfRule type="expression" priority="9" stopIfTrue="1" id="{D32A85D1-89CC-43D0-B266-66948099D988}">
            <xm:f>_Calcs!$NO$54&lt;3</xm:f>
            <x14:dxf>
              <font>
                <color theme="0"/>
              </font>
              <fill>
                <patternFill>
                  <bgColor theme="0"/>
                </patternFill>
              </fill>
              <border>
                <left/>
                <right/>
                <top/>
                <bottom/>
                <vertical/>
                <horizontal/>
              </border>
            </x14:dxf>
          </x14:cfRule>
          <xm:sqref>AM1:AT1048576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011BB-E2D7-4598-AAD3-FA0739B784DD}">
  <sheetPr codeName="Sheet8">
    <tabColor rgb="FFA5D0CF"/>
    <pageSetUpPr fitToPage="1"/>
  </sheetPr>
  <dimension ref="A1:FP87"/>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17.625" style="70" customWidth="1"/>
    <col min="7" max="7" width="8.125" style="70" customWidth="1"/>
    <col min="8" max="8" width="9.375" style="70" customWidth="1"/>
    <col min="9" max="9" width="3.375" style="70" customWidth="1"/>
    <col min="10" max="10" width="4.875" style="70" customWidth="1"/>
    <col min="11" max="11" width="0.875" style="70" hidden="1" customWidth="1"/>
    <col min="12" max="12" width="2.75" style="70" hidden="1" customWidth="1"/>
    <col min="13" max="13" width="1.625" style="70" hidden="1" customWidth="1"/>
    <col min="14" max="14" width="0.875" style="70" customWidth="1"/>
    <col min="15" max="15" width="6.625" style="115" customWidth="1"/>
    <col min="16" max="16" width="2.625" style="115" customWidth="1"/>
    <col min="17" max="18" width="3.625" style="70" customWidth="1"/>
    <col min="19" max="19" width="16.625" style="114" customWidth="1"/>
    <col min="20" max="20" width="3.625" style="70" customWidth="1"/>
    <col min="21" max="21" width="3.625" style="115" customWidth="1"/>
    <col min="22" max="23" width="1.625" style="70" customWidth="1"/>
    <col min="24" max="24" width="16.625" style="114" customWidth="1"/>
    <col min="25" max="25" width="1.625" style="70" customWidth="1"/>
    <col min="26" max="26" width="2.625" style="70" customWidth="1"/>
    <col min="27" max="28" width="0.875" style="70" customWidth="1"/>
    <col min="29" max="29" width="3.625" style="115" customWidth="1"/>
    <col min="30" max="31" width="1.625" style="70" customWidth="1"/>
    <col min="32" max="32" width="16.625" style="114" customWidth="1"/>
    <col min="33" max="33" width="1.625" style="70" customWidth="1"/>
    <col min="34" max="34" width="2.625" style="70" customWidth="1"/>
    <col min="35" max="36" width="0.875" style="70" customWidth="1"/>
    <col min="37" max="37" width="3.625" style="115" customWidth="1"/>
    <col min="38" max="39" width="1.625" style="70" customWidth="1"/>
    <col min="40" max="40" width="16.625" style="114" customWidth="1"/>
    <col min="41" max="41" width="1.625" style="70" customWidth="1"/>
    <col min="42" max="42" width="2.625" style="70" customWidth="1"/>
    <col min="43" max="44" width="0.875" style="70" customWidth="1"/>
    <col min="45" max="45" width="3.625" style="115" customWidth="1"/>
    <col min="46" max="47" width="1.625" style="70" customWidth="1"/>
    <col min="48" max="48" width="16.625" style="114" customWidth="1"/>
    <col min="49" max="49" width="1.625" style="70" customWidth="1"/>
    <col min="50" max="50" width="2.625" style="70" customWidth="1"/>
    <col min="51" max="52" width="0.875" style="70" customWidth="1"/>
    <col min="53" max="53" width="3.625" style="115" customWidth="1"/>
    <col min="54" max="55" width="1.625" style="70" customWidth="1"/>
    <col min="56" max="56" width="16.625" style="114" customWidth="1"/>
    <col min="57" max="57" width="1.625" style="70" customWidth="1"/>
    <col min="58" max="58" width="2.625" style="70" customWidth="1"/>
    <col min="59" max="60" width="0.875" style="70" customWidth="1"/>
    <col min="61" max="61" width="3.625" style="115" customWidth="1"/>
    <col min="62" max="63" width="1.625" style="70" customWidth="1"/>
    <col min="64" max="64" width="16.625" style="114" customWidth="1"/>
    <col min="65" max="65" width="1.625" style="70" customWidth="1"/>
    <col min="66" max="66" width="2.625" style="70" customWidth="1"/>
    <col min="67" max="68" width="0.875" style="70" customWidth="1"/>
    <col min="69" max="69" width="3.625" style="115" customWidth="1"/>
    <col min="70" max="71" width="1.625" style="70" customWidth="1"/>
    <col min="72" max="72" width="16.625" style="114" customWidth="1"/>
    <col min="73" max="73" width="1.625" style="70" customWidth="1"/>
    <col min="74" max="74" width="2.625" style="70" customWidth="1"/>
    <col min="75" max="76" width="0.875" style="70" customWidth="1"/>
    <col min="77" max="77" width="3.625" style="115" customWidth="1"/>
    <col min="78" max="79" width="1.625" style="70" customWidth="1"/>
    <col min="80" max="80" width="16.625" style="114" customWidth="1"/>
    <col min="81" max="81" width="1.625" style="70" customWidth="1"/>
    <col min="82" max="82" width="2.625" style="70" customWidth="1"/>
    <col min="83" max="84" width="0.875" style="70" customWidth="1"/>
    <col min="85" max="85" width="3.625" style="115" customWidth="1"/>
    <col min="86" max="87" width="1.625" style="70" customWidth="1"/>
    <col min="88" max="88" width="16.625" style="114" customWidth="1"/>
    <col min="89" max="89" width="1.625" style="70" customWidth="1"/>
    <col min="90" max="90" width="2.625" style="70" customWidth="1"/>
    <col min="91" max="92" width="0.875" style="70" customWidth="1"/>
    <col min="93" max="93" width="3.625" style="115" customWidth="1"/>
    <col min="94" max="94" width="1.625" style="70" customWidth="1"/>
    <col min="95" max="96" width="3.625" style="70" customWidth="1"/>
    <col min="97" max="16384" width="9" style="70" hidden="1"/>
  </cols>
  <sheetData>
    <row r="1" spans="1:172" s="136" customFormat="1" ht="50.1" customHeight="1" x14ac:dyDescent="0.2">
      <c r="A1" s="20"/>
      <c r="B1" s="20"/>
      <c r="C1" s="20"/>
      <c r="D1" s="13"/>
      <c r="E1" s="20"/>
      <c r="J1" s="16"/>
      <c r="K1" s="16"/>
      <c r="L1" s="16"/>
      <c r="M1" s="16"/>
      <c r="N1" s="137"/>
      <c r="O1" s="215"/>
      <c r="P1" s="16"/>
      <c r="Q1" s="16"/>
      <c r="R1" s="21"/>
      <c r="S1" s="191"/>
      <c r="T1" s="21"/>
      <c r="U1" s="21"/>
      <c r="V1" s="16"/>
      <c r="W1" s="16"/>
      <c r="X1" s="36"/>
      <c r="Y1" s="16"/>
      <c r="Z1" s="138"/>
      <c r="AA1" s="138"/>
      <c r="AB1" s="137"/>
      <c r="AC1" s="21"/>
      <c r="AD1" s="16"/>
      <c r="AE1" s="16"/>
      <c r="AF1" s="36"/>
      <c r="AG1" s="16"/>
      <c r="AH1" s="138"/>
      <c r="AI1" s="138"/>
      <c r="AJ1" s="137"/>
      <c r="AK1" s="21"/>
      <c r="AL1" s="16"/>
      <c r="AM1" s="16"/>
      <c r="AN1" s="36"/>
      <c r="AO1" s="16"/>
      <c r="AP1" s="138"/>
      <c r="AQ1" s="138"/>
      <c r="AR1" s="137"/>
      <c r="AS1" s="21"/>
      <c r="AT1" s="16"/>
      <c r="AU1" s="16"/>
      <c r="AV1" s="36"/>
      <c r="AW1" s="16"/>
      <c r="AX1" s="138"/>
      <c r="AY1" s="138"/>
      <c r="AZ1" s="137"/>
      <c r="BA1" s="21"/>
      <c r="BB1" s="16"/>
      <c r="BC1" s="16"/>
      <c r="BD1" s="36"/>
      <c r="BE1" s="16"/>
      <c r="BF1" s="138"/>
      <c r="BG1" s="138"/>
      <c r="BH1" s="137"/>
      <c r="BI1" s="21"/>
      <c r="BJ1" s="16"/>
      <c r="BK1" s="16"/>
      <c r="BL1" s="36"/>
      <c r="BM1" s="16"/>
      <c r="BN1" s="138"/>
      <c r="BO1" s="138"/>
      <c r="BP1" s="137"/>
      <c r="BQ1" s="21"/>
      <c r="BR1" s="16"/>
      <c r="BS1" s="16"/>
      <c r="BT1" s="36"/>
      <c r="BU1" s="16"/>
      <c r="BV1" s="138"/>
      <c r="BW1" s="138"/>
      <c r="BX1" s="137"/>
      <c r="BY1" s="21"/>
      <c r="BZ1" s="16"/>
      <c r="CA1" s="16"/>
      <c r="CB1" s="36"/>
      <c r="CC1" s="16"/>
      <c r="CD1" s="138"/>
      <c r="CE1" s="138"/>
      <c r="CF1" s="137"/>
      <c r="CG1" s="21"/>
      <c r="CH1" s="16"/>
      <c r="CI1" s="16"/>
      <c r="CJ1" s="36"/>
      <c r="CK1" s="16"/>
      <c r="CL1" s="138"/>
      <c r="CM1" s="138"/>
      <c r="CN1" s="137"/>
      <c r="CO1" s="21"/>
      <c r="CP1" s="138"/>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13"/>
      <c r="EA1" s="137"/>
      <c r="EB1" s="139" t="s">
        <v>155</v>
      </c>
      <c r="EC1" s="140"/>
      <c r="ED1" s="3986"/>
      <c r="EE1" s="3986"/>
      <c r="EF1" s="3986"/>
    </row>
    <row r="2" spans="1:172" ht="12" customHeight="1" x14ac:dyDescent="0.2">
      <c r="C2" s="920"/>
      <c r="D2" s="78"/>
      <c r="E2" s="1872"/>
      <c r="F2" s="1873"/>
      <c r="G2" s="1873"/>
      <c r="H2" s="920"/>
      <c r="I2" s="920"/>
      <c r="J2" s="1874"/>
      <c r="K2" s="1875"/>
      <c r="L2" s="1873"/>
      <c r="M2" s="1873"/>
      <c r="N2" s="1873"/>
      <c r="O2" s="921"/>
      <c r="P2" s="1873"/>
      <c r="Q2" s="1873"/>
      <c r="R2" s="1873"/>
      <c r="S2" s="1873"/>
      <c r="T2" s="1873"/>
      <c r="U2" s="70"/>
      <c r="X2" s="70"/>
      <c r="AC2" s="70"/>
      <c r="AF2" s="70"/>
      <c r="AK2" s="70"/>
      <c r="AN2" s="70"/>
      <c r="AS2" s="70"/>
      <c r="AV2" s="70"/>
      <c r="BA2" s="70"/>
      <c r="BD2" s="70"/>
      <c r="BI2" s="70"/>
      <c r="BL2" s="70"/>
      <c r="BQ2" s="70"/>
      <c r="BT2" s="70"/>
      <c r="BY2" s="70"/>
      <c r="CB2" s="70"/>
      <c r="CG2" s="70"/>
      <c r="CJ2" s="70"/>
      <c r="CO2" s="70"/>
    </row>
    <row r="3" spans="1:172" ht="5.0999999999999996" customHeight="1" x14ac:dyDescent="0.2">
      <c r="C3" s="16"/>
      <c r="D3" s="78"/>
      <c r="E3" s="20"/>
      <c r="F3" s="136"/>
      <c r="G3" s="136"/>
      <c r="H3" s="16"/>
      <c r="I3" s="16"/>
      <c r="J3" s="572"/>
      <c r="K3" s="36"/>
      <c r="L3" s="136"/>
      <c r="M3" s="136"/>
      <c r="N3" s="136"/>
      <c r="O3" s="17"/>
      <c r="P3" s="136"/>
      <c r="Q3" s="136"/>
      <c r="R3" s="136"/>
      <c r="S3" s="136"/>
      <c r="T3" s="136"/>
      <c r="U3" s="70"/>
      <c r="X3" s="70"/>
      <c r="AC3" s="70"/>
      <c r="AF3" s="70"/>
      <c r="AK3" s="70"/>
      <c r="AN3" s="70"/>
      <c r="AS3" s="70"/>
      <c r="AV3" s="70"/>
      <c r="BA3" s="70"/>
      <c r="BD3" s="70"/>
      <c r="BI3" s="70"/>
      <c r="BL3" s="70"/>
      <c r="BQ3" s="70"/>
      <c r="BT3" s="70"/>
      <c r="BY3" s="70"/>
      <c r="CB3" s="70"/>
      <c r="CG3" s="70"/>
      <c r="CJ3" s="70"/>
      <c r="CO3" s="70"/>
    </row>
    <row r="4" spans="1:172" ht="5.0999999999999996" customHeight="1" x14ac:dyDescent="0.2">
      <c r="C4" s="920"/>
      <c r="D4" s="78"/>
      <c r="E4" s="1872"/>
      <c r="F4" s="1873"/>
      <c r="G4" s="1873"/>
      <c r="H4" s="920"/>
      <c r="I4" s="920"/>
      <c r="J4" s="1874"/>
      <c r="K4" s="1875"/>
      <c r="L4" s="1873"/>
      <c r="M4" s="1873"/>
      <c r="N4" s="1873"/>
      <c r="O4" s="921"/>
      <c r="P4" s="1873"/>
      <c r="Q4" s="1873"/>
      <c r="R4" s="1873"/>
      <c r="S4" s="1873"/>
      <c r="T4" s="1873"/>
      <c r="U4" s="70"/>
      <c r="X4" s="70"/>
      <c r="AC4" s="70"/>
      <c r="AF4" s="70"/>
      <c r="AK4" s="70"/>
      <c r="AN4" s="70"/>
      <c r="AS4" s="70"/>
      <c r="AV4" s="70"/>
      <c r="BA4" s="70"/>
      <c r="BD4" s="70"/>
      <c r="BI4" s="70"/>
      <c r="BL4" s="70"/>
      <c r="BQ4" s="70"/>
      <c r="BT4" s="70"/>
      <c r="BY4" s="70"/>
      <c r="CB4" s="70"/>
      <c r="CG4" s="70"/>
      <c r="CJ4" s="70"/>
      <c r="CO4" s="70"/>
    </row>
    <row r="5" spans="1:172" s="21" customFormat="1" ht="30" customHeight="1" thickBot="1" x14ac:dyDescent="0.25">
      <c r="A5" s="20"/>
      <c r="B5" s="20"/>
      <c r="C5" s="13"/>
      <c r="D5" s="13"/>
      <c r="E5" s="14"/>
      <c r="J5" s="16"/>
      <c r="K5" s="16"/>
      <c r="L5" s="16"/>
      <c r="M5" s="16"/>
      <c r="N5" s="50"/>
      <c r="O5" s="115"/>
      <c r="P5" s="16"/>
      <c r="Q5" s="16"/>
      <c r="S5" s="191"/>
      <c r="V5" s="16"/>
      <c r="W5" s="16"/>
      <c r="X5" s="22"/>
      <c r="Y5" s="16"/>
      <c r="Z5" s="19"/>
      <c r="AA5" s="19"/>
      <c r="AB5" s="50"/>
      <c r="AD5" s="16"/>
      <c r="AE5" s="16"/>
      <c r="AF5" s="22"/>
      <c r="AG5" s="16"/>
      <c r="AH5" s="19"/>
      <c r="AI5" s="19"/>
      <c r="AJ5" s="50"/>
      <c r="AL5" s="16"/>
      <c r="AM5" s="16"/>
      <c r="AN5" s="2490"/>
      <c r="AO5" s="2491"/>
      <c r="AP5" s="2492"/>
      <c r="AQ5" s="2492"/>
      <c r="AR5" s="2493"/>
      <c r="AS5" s="2496"/>
      <c r="AT5" s="2491"/>
      <c r="AU5" s="2491"/>
      <c r="AV5" s="2490"/>
      <c r="AW5" s="2491"/>
      <c r="AX5" s="2492"/>
      <c r="AY5" s="2492"/>
      <c r="AZ5" s="2493"/>
      <c r="BA5" s="2496"/>
      <c r="BB5" s="16"/>
      <c r="BC5" s="16"/>
      <c r="BD5" s="22"/>
      <c r="BE5" s="16"/>
      <c r="BF5" s="19"/>
      <c r="BG5" s="19"/>
      <c r="BH5" s="50"/>
      <c r="BJ5" s="16"/>
      <c r="BK5" s="16"/>
      <c r="BL5" s="22"/>
      <c r="BM5" s="16"/>
      <c r="BN5" s="19"/>
      <c r="BO5" s="19"/>
      <c r="BP5" s="50"/>
      <c r="BR5" s="16"/>
      <c r="BS5" s="16"/>
      <c r="BT5" s="22"/>
      <c r="BU5" s="16"/>
      <c r="BV5" s="19"/>
      <c r="BW5" s="19"/>
      <c r="BX5" s="50"/>
      <c r="BZ5" s="16"/>
      <c r="CA5" s="16"/>
      <c r="CB5" s="22"/>
      <c r="CC5" s="16"/>
      <c r="CD5" s="19"/>
      <c r="CE5" s="19"/>
      <c r="CF5" s="50"/>
      <c r="CH5" s="16"/>
      <c r="CI5" s="16"/>
      <c r="CJ5" s="22"/>
      <c r="CK5" s="16"/>
      <c r="CL5" s="19"/>
      <c r="CM5" s="19"/>
      <c r="CN5" s="50"/>
      <c r="CP5" s="138"/>
      <c r="DZ5" s="13"/>
      <c r="EA5" s="50"/>
      <c r="EB5" s="90"/>
      <c r="EC5" s="13"/>
    </row>
    <row r="6" spans="1:172" s="21" customFormat="1" ht="15" customHeight="1" thickBot="1" x14ac:dyDescent="0.25">
      <c r="A6" s="20"/>
      <c r="B6" s="20"/>
      <c r="C6" s="1107"/>
      <c r="D6" s="13"/>
      <c r="E6" s="681"/>
      <c r="F6" s="626"/>
      <c r="G6" s="626"/>
      <c r="H6" s="626"/>
      <c r="I6" s="626"/>
      <c r="J6" s="626"/>
      <c r="K6" s="626"/>
      <c r="L6" s="626"/>
      <c r="M6" s="626"/>
      <c r="N6" s="626"/>
      <c r="O6" s="626"/>
      <c r="P6" s="626"/>
      <c r="Q6" s="626"/>
      <c r="R6" s="626"/>
      <c r="S6" s="626"/>
      <c r="T6" s="682"/>
      <c r="U6" s="70"/>
      <c r="V6" s="5485"/>
      <c r="W6" s="5485"/>
      <c r="X6" s="5485"/>
      <c r="Y6" s="5485"/>
      <c r="Z6" s="5485"/>
      <c r="AA6" s="5485"/>
      <c r="AB6" s="5485"/>
      <c r="AC6" s="5485"/>
      <c r="AD6" s="5485"/>
      <c r="AE6" s="5485"/>
      <c r="AF6" s="5485"/>
      <c r="AG6" s="5484"/>
      <c r="AH6" s="5484"/>
      <c r="AI6" s="5484"/>
      <c r="AJ6" s="5484"/>
      <c r="AK6" s="70"/>
      <c r="AL6" s="70"/>
      <c r="AM6" s="70"/>
      <c r="AN6" s="2495"/>
      <c r="AO6" s="2495"/>
      <c r="AP6" s="2495"/>
      <c r="AQ6" s="2495"/>
      <c r="AR6" s="2495"/>
      <c r="AS6" s="2495"/>
      <c r="AT6" s="2495"/>
      <c r="AU6" s="2495"/>
      <c r="AV6" s="2495"/>
      <c r="AW6" s="2495"/>
      <c r="AX6" s="2495"/>
      <c r="AY6" s="2495"/>
      <c r="AZ6" s="2495"/>
      <c r="BA6" s="2495"/>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8"/>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row>
    <row r="7" spans="1:172" s="21" customFormat="1" ht="8.1" customHeight="1" thickBot="1" x14ac:dyDescent="0.25">
      <c r="A7" s="20"/>
      <c r="B7" s="20"/>
      <c r="C7" s="13"/>
      <c r="D7" s="13"/>
      <c r="E7" s="14"/>
      <c r="H7" s="13"/>
      <c r="I7" s="13"/>
      <c r="J7" s="50"/>
      <c r="K7" s="15"/>
      <c r="L7" s="50"/>
      <c r="M7" s="50"/>
      <c r="N7" s="70"/>
      <c r="O7" s="115"/>
      <c r="P7" s="70"/>
      <c r="Q7" s="70"/>
      <c r="R7" s="70"/>
      <c r="S7" s="70"/>
      <c r="T7" s="70"/>
      <c r="U7" s="70"/>
      <c r="V7" s="5482"/>
      <c r="W7" s="5482"/>
      <c r="X7" s="5482"/>
      <c r="Y7" s="5482"/>
      <c r="Z7" s="5482"/>
      <c r="AA7" s="5482"/>
      <c r="AB7" s="5482"/>
      <c r="AC7" s="5482"/>
      <c r="AD7" s="5482"/>
      <c r="AE7" s="5482"/>
      <c r="AF7" s="5482"/>
      <c r="AG7" s="5483"/>
      <c r="AH7" s="5483"/>
      <c r="AI7" s="5483"/>
      <c r="AJ7" s="5483"/>
      <c r="AK7" s="70"/>
      <c r="AL7" s="70"/>
      <c r="AM7" s="70"/>
      <c r="AN7" s="2495"/>
      <c r="AO7" s="2495"/>
      <c r="AP7" s="2495"/>
      <c r="AQ7" s="2495"/>
      <c r="AR7" s="2495"/>
      <c r="AS7" s="2495"/>
      <c r="AT7" s="2495"/>
      <c r="AU7" s="2495"/>
      <c r="AV7" s="2495"/>
      <c r="AW7" s="2495"/>
      <c r="AX7" s="2495"/>
      <c r="AY7" s="2495"/>
      <c r="AZ7" s="2495"/>
      <c r="BA7" s="2495"/>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8"/>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row>
    <row r="8" spans="1:172" s="21" customFormat="1" ht="9.9499999999999993" customHeight="1" x14ac:dyDescent="0.2">
      <c r="A8" s="20"/>
      <c r="B8" s="20"/>
      <c r="C8" s="1354"/>
      <c r="D8" s="13"/>
      <c r="E8" s="553"/>
      <c r="F8" s="554"/>
      <c r="G8" s="554"/>
      <c r="H8" s="554"/>
      <c r="I8" s="554"/>
      <c r="J8" s="555"/>
      <c r="K8" s="555"/>
      <c r="L8" s="555"/>
      <c r="M8" s="555"/>
      <c r="N8" s="559"/>
      <c r="O8" s="957"/>
      <c r="P8" s="555"/>
      <c r="Q8" s="555"/>
      <c r="R8" s="555"/>
      <c r="S8" s="555"/>
      <c r="T8" s="958"/>
      <c r="V8" s="5485"/>
      <c r="W8" s="5485"/>
      <c r="X8" s="5485"/>
      <c r="Y8" s="5485"/>
      <c r="Z8" s="5485"/>
      <c r="AA8" s="5485"/>
      <c r="AB8" s="5485"/>
      <c r="AC8" s="5485"/>
      <c r="AD8" s="5485"/>
      <c r="AE8" s="5485"/>
      <c r="AF8" s="5485"/>
      <c r="AG8" s="5485"/>
      <c r="AH8" s="5485"/>
      <c r="AI8" s="5484"/>
      <c r="AJ8" s="5484"/>
      <c r="AL8" s="16"/>
      <c r="AM8" s="16"/>
      <c r="AN8" s="2490"/>
      <c r="AO8" s="2491"/>
      <c r="AP8" s="2492"/>
      <c r="AQ8" s="2492"/>
      <c r="AR8" s="2493"/>
      <c r="AS8" s="2496"/>
      <c r="AT8" s="2491"/>
      <c r="AU8" s="2491"/>
      <c r="AV8" s="2490"/>
      <c r="AW8" s="2491"/>
      <c r="AX8" s="2492"/>
      <c r="AY8" s="2492"/>
      <c r="AZ8" s="2493"/>
      <c r="BA8" s="2496"/>
      <c r="BB8" s="16"/>
      <c r="BC8" s="16"/>
      <c r="BD8" s="22"/>
      <c r="BE8" s="16"/>
      <c r="BF8" s="19"/>
      <c r="BG8" s="19"/>
      <c r="BH8" s="50"/>
      <c r="BJ8" s="16"/>
      <c r="BK8" s="16"/>
      <c r="BL8" s="22"/>
      <c r="BM8" s="16"/>
      <c r="BN8" s="19"/>
      <c r="BO8" s="19"/>
      <c r="BP8" s="50"/>
      <c r="BR8" s="16"/>
      <c r="BS8" s="16"/>
      <c r="BT8" s="22"/>
      <c r="BU8" s="16"/>
      <c r="BV8" s="19"/>
      <c r="BW8" s="19"/>
      <c r="BX8" s="50"/>
      <c r="BZ8" s="16"/>
      <c r="CA8" s="16"/>
      <c r="CB8" s="22"/>
      <c r="CC8" s="16"/>
      <c r="CD8" s="19"/>
      <c r="CE8" s="19"/>
      <c r="CF8" s="50"/>
      <c r="CH8" s="16"/>
      <c r="CI8" s="16"/>
      <c r="CJ8" s="22"/>
      <c r="CK8" s="16"/>
      <c r="CL8" s="19"/>
      <c r="CM8" s="19"/>
      <c r="CN8" s="50"/>
      <c r="CP8" s="138"/>
      <c r="DZ8" s="13"/>
      <c r="EA8" s="50"/>
      <c r="EB8" s="90"/>
      <c r="EC8" s="13"/>
    </row>
    <row r="9" spans="1:172" s="21" customFormat="1" ht="39.75" customHeight="1" x14ac:dyDescent="0.2">
      <c r="A9" s="20"/>
      <c r="B9" s="20"/>
      <c r="C9" s="5466"/>
      <c r="D9" s="13"/>
      <c r="E9" s="561"/>
      <c r="F9" s="2608" t="str">
        <f>_Calcs!$I$53</f>
        <v>Stabilitetssikring</v>
      </c>
      <c r="G9" s="2608"/>
      <c r="H9" s="2608"/>
      <c r="I9" s="2608"/>
      <c r="J9" s="3382"/>
      <c r="K9" s="2608"/>
      <c r="L9" s="2608"/>
      <c r="M9" s="116"/>
      <c r="N9" s="116"/>
      <c r="O9" s="5486"/>
      <c r="P9" s="116"/>
      <c r="Q9" s="116"/>
      <c r="R9" s="116"/>
      <c r="S9" s="116"/>
      <c r="T9" s="959"/>
      <c r="V9" s="5485"/>
      <c r="W9" s="6599" t="s">
        <v>1169</v>
      </c>
      <c r="X9" s="6599"/>
      <c r="Y9" s="6599"/>
      <c r="Z9" s="6599"/>
      <c r="AA9" s="6599"/>
      <c r="AB9" s="6599"/>
      <c r="AC9" s="6599"/>
      <c r="AD9" s="6599"/>
      <c r="AE9" s="6599"/>
      <c r="AF9" s="6599"/>
      <c r="AG9" s="6599"/>
      <c r="AH9" s="6599"/>
      <c r="AI9" s="5484"/>
      <c r="AJ9" s="5484"/>
      <c r="AK9" s="22"/>
      <c r="AL9" s="16"/>
      <c r="AM9" s="16"/>
      <c r="AN9" s="2492"/>
      <c r="AO9" s="2492"/>
      <c r="AP9" s="2492"/>
      <c r="AQ9" s="2493"/>
      <c r="AR9" s="2493"/>
      <c r="AS9" s="2496"/>
      <c r="AT9" s="2491"/>
      <c r="AU9" s="2491"/>
      <c r="AV9" s="2491"/>
      <c r="AW9" s="2491"/>
      <c r="AX9" s="2490"/>
      <c r="AY9" s="2490"/>
      <c r="AZ9" s="2490"/>
      <c r="BA9" s="2491"/>
      <c r="BB9" s="19"/>
      <c r="BC9" s="19"/>
      <c r="BD9" s="19"/>
      <c r="BE9" s="50"/>
      <c r="BF9" s="50"/>
      <c r="BI9" s="16"/>
      <c r="BJ9" s="16"/>
      <c r="BK9" s="16"/>
      <c r="BL9" s="16"/>
      <c r="BM9" s="22"/>
      <c r="BN9" s="16"/>
      <c r="BO9" s="19"/>
      <c r="BP9" s="19"/>
      <c r="BQ9" s="19"/>
      <c r="BR9" s="19"/>
      <c r="BS9" s="19"/>
      <c r="BT9" s="50"/>
      <c r="BU9" s="50"/>
      <c r="BW9" s="16"/>
      <c r="BX9" s="16"/>
      <c r="BY9" s="16"/>
      <c r="BZ9" s="22"/>
      <c r="CA9" s="22"/>
      <c r="CB9" s="22"/>
      <c r="CC9" s="16"/>
      <c r="CD9" s="19"/>
      <c r="CE9" s="19"/>
      <c r="CF9" s="19"/>
      <c r="CG9" s="19"/>
      <c r="CH9" s="50"/>
      <c r="CI9" s="50"/>
      <c r="CK9" s="16"/>
      <c r="CL9" s="16"/>
      <c r="CM9" s="16"/>
      <c r="CN9" s="16"/>
      <c r="CO9" s="22"/>
      <c r="CP9" s="16"/>
      <c r="CQ9" s="22"/>
      <c r="CR9" s="16"/>
      <c r="CS9" s="19"/>
      <c r="CT9" s="19"/>
      <c r="CU9" s="50"/>
      <c r="CV9" s="50"/>
      <c r="CX9" s="16"/>
      <c r="CY9" s="16"/>
      <c r="CZ9" s="16"/>
      <c r="DA9" s="22"/>
      <c r="DB9" s="16"/>
      <c r="DC9" s="19"/>
      <c r="DD9" s="19"/>
      <c r="DE9" s="19"/>
      <c r="DF9" s="50"/>
      <c r="DH9" s="16"/>
      <c r="DI9" s="16"/>
      <c r="DJ9" s="22"/>
      <c r="DK9" s="16"/>
      <c r="DL9" s="19"/>
      <c r="DM9" s="19"/>
      <c r="DN9" s="50"/>
      <c r="DP9" s="16"/>
      <c r="DQ9" s="16"/>
      <c r="DR9" s="22"/>
      <c r="DS9" s="16"/>
      <c r="DT9" s="19"/>
      <c r="DU9" s="19"/>
      <c r="DV9" s="50"/>
      <c r="DX9" s="138"/>
      <c r="EC9" s="14"/>
      <c r="FG9" s="70"/>
      <c r="FH9" s="70"/>
      <c r="FI9" s="70"/>
      <c r="FJ9" s="70"/>
      <c r="FK9" s="70"/>
      <c r="FL9" s="70"/>
      <c r="FM9" s="70"/>
      <c r="FN9" s="70"/>
      <c r="FO9" s="70"/>
      <c r="FP9" s="70"/>
    </row>
    <row r="10" spans="1:172" s="21" customFormat="1" ht="9.9499999999999993" customHeight="1" thickBot="1" x14ac:dyDescent="0.25">
      <c r="A10" s="20"/>
      <c r="B10" s="20"/>
      <c r="C10" s="5466"/>
      <c r="D10" s="13"/>
      <c r="E10" s="561"/>
      <c r="F10" s="2608"/>
      <c r="G10" s="2608"/>
      <c r="H10" s="2608"/>
      <c r="I10" s="2608"/>
      <c r="J10" s="3382"/>
      <c r="K10" s="2608"/>
      <c r="L10" s="2608"/>
      <c r="M10" s="116"/>
      <c r="N10" s="116"/>
      <c r="O10" s="116"/>
      <c r="P10" s="116"/>
      <c r="Q10" s="116"/>
      <c r="R10" s="116"/>
      <c r="S10" s="116"/>
      <c r="T10" s="959"/>
      <c r="V10" s="5485"/>
      <c r="W10" s="6599"/>
      <c r="X10" s="6599"/>
      <c r="Y10" s="6599"/>
      <c r="Z10" s="6599"/>
      <c r="AA10" s="6599"/>
      <c r="AB10" s="6599"/>
      <c r="AC10" s="6599"/>
      <c r="AD10" s="6599"/>
      <c r="AE10" s="6599"/>
      <c r="AF10" s="6599"/>
      <c r="AG10" s="6599"/>
      <c r="AH10" s="6599"/>
      <c r="AI10" s="5484"/>
      <c r="AJ10" s="5484"/>
      <c r="AK10" s="22"/>
      <c r="AL10" s="16"/>
      <c r="AM10" s="16"/>
      <c r="AN10" s="2492"/>
      <c r="AO10" s="2492"/>
      <c r="AP10" s="2492"/>
      <c r="AQ10" s="2493"/>
      <c r="AR10" s="2493"/>
      <c r="AS10" s="2496"/>
      <c r="AT10" s="2491"/>
      <c r="AU10" s="2491"/>
      <c r="AV10" s="2491"/>
      <c r="AW10" s="2491"/>
      <c r="AX10" s="2490"/>
      <c r="AY10" s="2490"/>
      <c r="AZ10" s="2490"/>
      <c r="BA10" s="2491"/>
      <c r="BB10" s="19"/>
      <c r="BC10" s="19"/>
      <c r="BD10" s="19"/>
      <c r="BE10" s="50"/>
      <c r="BF10" s="50"/>
      <c r="BI10" s="16"/>
      <c r="BJ10" s="16"/>
      <c r="BK10" s="16"/>
      <c r="BL10" s="16"/>
      <c r="BM10" s="22"/>
      <c r="BN10" s="16"/>
      <c r="BO10" s="19"/>
      <c r="BP10" s="19"/>
      <c r="BQ10" s="19"/>
      <c r="BR10" s="19"/>
      <c r="BS10" s="19"/>
      <c r="BT10" s="50"/>
      <c r="BU10" s="50"/>
      <c r="BW10" s="16"/>
      <c r="BX10" s="16"/>
      <c r="BY10" s="16"/>
      <c r="BZ10" s="22"/>
      <c r="CA10" s="22"/>
      <c r="CB10" s="22"/>
      <c r="CC10" s="16"/>
      <c r="CD10" s="19"/>
      <c r="CE10" s="19"/>
      <c r="CF10" s="19"/>
      <c r="CG10" s="19"/>
      <c r="CH10" s="50"/>
      <c r="CI10" s="50"/>
      <c r="CK10" s="16"/>
      <c r="CL10" s="16"/>
      <c r="CM10" s="16"/>
      <c r="CN10" s="16"/>
      <c r="CO10" s="22"/>
      <c r="CP10" s="16"/>
      <c r="CQ10" s="22"/>
      <c r="CR10" s="16"/>
      <c r="CS10" s="19"/>
      <c r="CT10" s="19"/>
      <c r="CU10" s="50"/>
      <c r="CV10" s="50"/>
      <c r="CX10" s="16"/>
      <c r="CY10" s="16"/>
      <c r="CZ10" s="16"/>
      <c r="DA10" s="22"/>
      <c r="DB10" s="16"/>
      <c r="DC10" s="19"/>
      <c r="DD10" s="19"/>
      <c r="DE10" s="19"/>
      <c r="DF10" s="50"/>
      <c r="DH10" s="16"/>
      <c r="DI10" s="16"/>
      <c r="DJ10" s="22"/>
      <c r="DK10" s="16"/>
      <c r="DL10" s="19"/>
      <c r="DM10" s="19"/>
      <c r="DN10" s="50"/>
      <c r="DP10" s="16"/>
      <c r="DQ10" s="16"/>
      <c r="DR10" s="22"/>
      <c r="DS10" s="16"/>
      <c r="DT10" s="19"/>
      <c r="DU10" s="19"/>
      <c r="DV10" s="50"/>
      <c r="DX10" s="138"/>
      <c r="EC10" s="14"/>
      <c r="FG10" s="70"/>
      <c r="FH10" s="70"/>
      <c r="FI10" s="70"/>
      <c r="FJ10" s="70"/>
      <c r="FK10" s="70"/>
      <c r="FL10" s="70"/>
      <c r="FM10" s="70"/>
      <c r="FN10" s="70"/>
      <c r="FO10" s="70"/>
      <c r="FP10" s="70"/>
    </row>
    <row r="11" spans="1:172" s="21" customFormat="1" ht="9.9499999999999993" hidden="1" customHeight="1" x14ac:dyDescent="0.35">
      <c r="A11" s="20"/>
      <c r="B11" s="20"/>
      <c r="C11" s="5466"/>
      <c r="D11" s="13"/>
      <c r="E11" s="561"/>
      <c r="F11" s="6616" t="str">
        <f>IF(_Calcs!$D$11=2,_List!$CU$7&amp;" arkfane",IF(_Calcs!$D$11=1,_Calcs!$J$53))</f>
        <v>Mengdebasert arkfane</v>
      </c>
      <c r="G11" s="6617"/>
      <c r="H11" s="6617"/>
      <c r="I11" s="6617"/>
      <c r="J11" s="6617"/>
      <c r="K11" s="6617"/>
      <c r="L11" s="6617"/>
      <c r="M11" s="6617"/>
      <c r="N11" s="6617"/>
      <c r="O11" s="6618"/>
      <c r="P11" s="5520"/>
      <c r="Q11" s="6625" t="str">
        <f>IF(_Calcs!$D$11=1,"!","")</f>
        <v/>
      </c>
      <c r="R11" s="5520"/>
      <c r="S11" s="5520"/>
      <c r="T11" s="5521"/>
      <c r="V11" s="5485"/>
      <c r="W11" s="6599"/>
      <c r="X11" s="6599"/>
      <c r="Y11" s="6599"/>
      <c r="Z11" s="6599"/>
      <c r="AA11" s="6599"/>
      <c r="AB11" s="6599"/>
      <c r="AC11" s="6599"/>
      <c r="AD11" s="6599"/>
      <c r="AE11" s="6599"/>
      <c r="AF11" s="6599"/>
      <c r="AG11" s="6599"/>
      <c r="AH11" s="6599"/>
      <c r="AI11" s="5484"/>
      <c r="AJ11" s="5484"/>
      <c r="AK11" s="22"/>
      <c r="AL11" s="16"/>
      <c r="AM11" s="16"/>
      <c r="AN11" s="2492"/>
      <c r="AO11" s="2492"/>
      <c r="AP11" s="2492"/>
      <c r="AQ11" s="2493"/>
      <c r="AR11" s="2493"/>
      <c r="AS11" s="2496"/>
      <c r="AT11" s="2491"/>
      <c r="AU11" s="2491"/>
      <c r="AV11" s="2491"/>
      <c r="AW11" s="2491"/>
      <c r="AX11" s="2490"/>
      <c r="AY11" s="2490"/>
      <c r="AZ11" s="2490"/>
      <c r="BA11" s="2491"/>
      <c r="BB11" s="19"/>
      <c r="BC11" s="19"/>
      <c r="BD11" s="19"/>
      <c r="BE11" s="50"/>
      <c r="BF11" s="50"/>
      <c r="BI11" s="16"/>
      <c r="BJ11" s="16"/>
      <c r="BK11" s="16"/>
      <c r="BL11" s="16"/>
      <c r="BM11" s="22"/>
      <c r="BN11" s="16"/>
      <c r="BO11" s="19"/>
      <c r="BP11" s="19"/>
      <c r="BQ11" s="19"/>
      <c r="BR11" s="19"/>
      <c r="BS11" s="19"/>
      <c r="BT11" s="50"/>
      <c r="BU11" s="50"/>
      <c r="BW11" s="16"/>
      <c r="BX11" s="16"/>
      <c r="BY11" s="16"/>
      <c r="BZ11" s="22"/>
      <c r="CA11" s="22"/>
      <c r="CB11" s="22"/>
      <c r="CC11" s="16"/>
      <c r="CD11" s="19"/>
      <c r="CE11" s="19"/>
      <c r="CF11" s="19"/>
      <c r="CG11" s="19"/>
      <c r="CH11" s="50"/>
      <c r="CI11" s="50"/>
      <c r="CK11" s="16"/>
      <c r="CL11" s="16"/>
      <c r="CM11" s="16"/>
      <c r="CN11" s="16"/>
      <c r="CO11" s="22"/>
      <c r="CP11" s="16"/>
      <c r="CQ11" s="22"/>
      <c r="CR11" s="16"/>
      <c r="CS11" s="19"/>
      <c r="CT11" s="19"/>
      <c r="CU11" s="50"/>
      <c r="CV11" s="50"/>
      <c r="CX11" s="16"/>
      <c r="CY11" s="16"/>
      <c r="CZ11" s="16"/>
      <c r="DA11" s="22"/>
      <c r="DB11" s="16"/>
      <c r="DC11" s="19"/>
      <c r="DD11" s="19"/>
      <c r="DE11" s="19"/>
      <c r="DF11" s="50"/>
      <c r="DH11" s="16"/>
      <c r="DI11" s="16"/>
      <c r="DJ11" s="22"/>
      <c r="DK11" s="16"/>
      <c r="DL11" s="19"/>
      <c r="DM11" s="19"/>
      <c r="DN11" s="50"/>
      <c r="DP11" s="16"/>
      <c r="DQ11" s="16"/>
      <c r="DR11" s="22"/>
      <c r="DS11" s="16"/>
      <c r="DT11" s="19"/>
      <c r="DU11" s="19"/>
      <c r="DV11" s="50"/>
      <c r="DX11" s="138"/>
      <c r="EC11" s="14"/>
      <c r="FG11" s="70"/>
      <c r="FH11" s="70"/>
      <c r="FI11" s="70"/>
      <c r="FJ11" s="70"/>
      <c r="FK11" s="70"/>
      <c r="FL11" s="70"/>
      <c r="FM11" s="70"/>
      <c r="FN11" s="70"/>
      <c r="FO11" s="70"/>
      <c r="FP11" s="70"/>
    </row>
    <row r="12" spans="1:172" s="21" customFormat="1" ht="20.100000000000001" hidden="1" customHeight="1" x14ac:dyDescent="0.35">
      <c r="A12" s="20"/>
      <c r="B12" s="5980"/>
      <c r="C12" s="5466"/>
      <c r="D12" s="13"/>
      <c r="E12" s="561"/>
      <c r="F12" s="6619"/>
      <c r="G12" s="6620"/>
      <c r="H12" s="6620"/>
      <c r="I12" s="6620"/>
      <c r="J12" s="6620"/>
      <c r="K12" s="6620"/>
      <c r="L12" s="6620"/>
      <c r="M12" s="6620"/>
      <c r="N12" s="6620"/>
      <c r="O12" s="6621"/>
      <c r="P12" s="5520"/>
      <c r="Q12" s="6626"/>
      <c r="R12" s="5520"/>
      <c r="S12" s="5520"/>
      <c r="T12" s="5521"/>
      <c r="V12" s="5485"/>
      <c r="W12" s="5485"/>
      <c r="X12" s="5485"/>
      <c r="Y12" s="5485"/>
      <c r="Z12" s="5485"/>
      <c r="AA12" s="5485"/>
      <c r="AB12" s="5485"/>
      <c r="AC12" s="5485"/>
      <c r="AD12" s="5485"/>
      <c r="AE12" s="5485"/>
      <c r="AF12" s="5485"/>
      <c r="AG12" s="5485"/>
      <c r="AH12" s="5485"/>
      <c r="AI12" s="5484"/>
      <c r="AJ12" s="5484"/>
      <c r="AK12" s="22"/>
      <c r="AL12" s="16"/>
      <c r="AM12" s="16"/>
      <c r="AN12" s="2492"/>
      <c r="AO12" s="2492"/>
      <c r="AP12" s="2492"/>
      <c r="AQ12" s="2493"/>
      <c r="AR12" s="2493"/>
      <c r="AS12" s="2496"/>
      <c r="AT12" s="2491"/>
      <c r="AU12" s="2491"/>
      <c r="AV12" s="2491"/>
      <c r="AW12" s="2491"/>
      <c r="AX12" s="2490"/>
      <c r="AY12" s="2490"/>
      <c r="AZ12" s="2490"/>
      <c r="BA12" s="2491"/>
      <c r="BB12" s="19"/>
      <c r="BC12" s="19"/>
      <c r="BD12" s="19"/>
      <c r="BE12" s="50"/>
      <c r="BF12" s="50"/>
      <c r="BI12" s="16"/>
      <c r="BJ12" s="16"/>
      <c r="BK12" s="16"/>
      <c r="BL12" s="16"/>
      <c r="BM12" s="22"/>
      <c r="BN12" s="16"/>
      <c r="BO12" s="19"/>
      <c r="BP12" s="19"/>
      <c r="BQ12" s="19"/>
      <c r="BR12" s="19"/>
      <c r="BS12" s="19"/>
      <c r="BT12" s="50"/>
      <c r="BU12" s="50"/>
      <c r="BW12" s="16"/>
      <c r="BX12" s="16"/>
      <c r="BY12" s="16"/>
      <c r="BZ12" s="22"/>
      <c r="CA12" s="22"/>
      <c r="CB12" s="22"/>
      <c r="CC12" s="16"/>
      <c r="CD12" s="19"/>
      <c r="CE12" s="19"/>
      <c r="CF12" s="19"/>
      <c r="CG12" s="19"/>
      <c r="CH12" s="50"/>
      <c r="CI12" s="50"/>
      <c r="CK12" s="16"/>
      <c r="CL12" s="16"/>
      <c r="CM12" s="16"/>
      <c r="CN12" s="16"/>
      <c r="CO12" s="22"/>
      <c r="CP12" s="16"/>
      <c r="CQ12" s="22"/>
      <c r="CR12" s="16"/>
      <c r="CS12" s="19"/>
      <c r="CT12" s="19"/>
      <c r="CU12" s="50"/>
      <c r="CV12" s="50"/>
      <c r="CX12" s="16"/>
      <c r="CY12" s="16"/>
      <c r="CZ12" s="16"/>
      <c r="DA12" s="22"/>
      <c r="DB12" s="16"/>
      <c r="DC12" s="19"/>
      <c r="DD12" s="19"/>
      <c r="DE12" s="19"/>
      <c r="DF12" s="50"/>
      <c r="DH12" s="16"/>
      <c r="DI12" s="16"/>
      <c r="DJ12" s="22"/>
      <c r="DK12" s="16"/>
      <c r="DL12" s="19"/>
      <c r="DM12" s="19"/>
      <c r="DN12" s="50"/>
      <c r="DP12" s="16"/>
      <c r="DQ12" s="16"/>
      <c r="DR12" s="22"/>
      <c r="DS12" s="16"/>
      <c r="DT12" s="19"/>
      <c r="DU12" s="19"/>
      <c r="DV12" s="50"/>
      <c r="DX12" s="138"/>
      <c r="EC12" s="14"/>
      <c r="FG12" s="70"/>
      <c r="FH12" s="70"/>
      <c r="FI12" s="70"/>
      <c r="FJ12" s="70"/>
      <c r="FK12" s="70"/>
      <c r="FL12" s="70"/>
      <c r="FM12" s="70"/>
      <c r="FN12" s="70"/>
      <c r="FO12" s="70"/>
      <c r="FP12" s="70"/>
    </row>
    <row r="13" spans="1:172" s="219" customFormat="1" ht="9.9499999999999993" hidden="1" customHeight="1" thickBot="1" x14ac:dyDescent="0.4">
      <c r="A13" s="2082"/>
      <c r="B13" s="2082"/>
      <c r="C13" s="5466"/>
      <c r="D13" s="2000"/>
      <c r="E13" s="3384"/>
      <c r="F13" s="6622"/>
      <c r="G13" s="6623"/>
      <c r="H13" s="6623"/>
      <c r="I13" s="6623"/>
      <c r="J13" s="6623"/>
      <c r="K13" s="6623"/>
      <c r="L13" s="6623"/>
      <c r="M13" s="6623"/>
      <c r="N13" s="6623"/>
      <c r="O13" s="6624"/>
      <c r="P13" s="5520"/>
      <c r="Q13" s="6627"/>
      <c r="R13" s="5520"/>
      <c r="S13" s="5520"/>
      <c r="T13" s="5522"/>
      <c r="V13" s="5485"/>
      <c r="W13" s="6600" t="s">
        <v>2400</v>
      </c>
      <c r="X13" s="6600"/>
      <c r="Y13" s="6600"/>
      <c r="Z13" s="6600"/>
      <c r="AA13" s="6600"/>
      <c r="AB13" s="6600"/>
      <c r="AC13" s="6600"/>
      <c r="AD13" s="6600"/>
      <c r="AE13" s="6600"/>
      <c r="AF13" s="6600"/>
      <c r="AG13" s="6600"/>
      <c r="AH13" s="6600"/>
      <c r="AI13" s="5484"/>
      <c r="AJ13" s="5484"/>
      <c r="AK13" s="3393"/>
      <c r="AL13" s="218"/>
      <c r="AM13" s="218"/>
      <c r="AN13" s="3389"/>
      <c r="AO13" s="3389"/>
      <c r="AP13" s="3389"/>
      <c r="AQ13" s="3390"/>
      <c r="AR13" s="3390"/>
      <c r="AS13" s="4104"/>
      <c r="AT13" s="3388"/>
      <c r="AU13" s="3388"/>
      <c r="AV13" s="3388"/>
      <c r="AW13" s="3388"/>
      <c r="AX13" s="3387"/>
      <c r="AY13" s="3387"/>
      <c r="AZ13" s="3387"/>
      <c r="BA13" s="3388"/>
      <c r="BB13" s="217"/>
      <c r="BC13" s="217"/>
      <c r="BD13" s="217"/>
      <c r="BE13" s="3392"/>
      <c r="BF13" s="3392"/>
      <c r="BI13" s="218"/>
      <c r="BJ13" s="218"/>
      <c r="BK13" s="218"/>
      <c r="BL13" s="218"/>
      <c r="BM13" s="3393"/>
      <c r="BN13" s="218"/>
      <c r="BO13" s="217"/>
      <c r="BP13" s="217"/>
      <c r="BQ13" s="217"/>
      <c r="BR13" s="217"/>
      <c r="BS13" s="217"/>
      <c r="BT13" s="3392"/>
      <c r="BU13" s="3392"/>
      <c r="BW13" s="218"/>
      <c r="BX13" s="218"/>
      <c r="BY13" s="218"/>
      <c r="BZ13" s="3393"/>
      <c r="CA13" s="3393"/>
      <c r="CB13" s="3393"/>
      <c r="CC13" s="218"/>
      <c r="CD13" s="217"/>
      <c r="CE13" s="217"/>
      <c r="CF13" s="217"/>
      <c r="CG13" s="217"/>
      <c r="CH13" s="3392"/>
      <c r="CI13" s="3392"/>
      <c r="CK13" s="218"/>
      <c r="CL13" s="218"/>
      <c r="CM13" s="218"/>
      <c r="CN13" s="218"/>
      <c r="CO13" s="3393"/>
      <c r="CP13" s="218"/>
      <c r="CQ13" s="3393"/>
      <c r="CR13" s="218"/>
      <c r="CS13" s="217"/>
      <c r="CT13" s="217"/>
      <c r="CU13" s="3392"/>
      <c r="CV13" s="3392"/>
      <c r="CX13" s="218"/>
      <c r="CY13" s="218"/>
      <c r="CZ13" s="218"/>
      <c r="DA13" s="3393"/>
      <c r="DB13" s="218"/>
      <c r="DC13" s="217"/>
      <c r="DD13" s="217"/>
      <c r="DE13" s="217"/>
      <c r="DF13" s="3392"/>
      <c r="DH13" s="218"/>
      <c r="DI13" s="218"/>
      <c r="DJ13" s="3393"/>
      <c r="DK13" s="218"/>
      <c r="DL13" s="217"/>
      <c r="DM13" s="217"/>
      <c r="DN13" s="3392"/>
      <c r="DP13" s="218"/>
      <c r="DQ13" s="218"/>
      <c r="DR13" s="3393"/>
      <c r="DS13" s="218"/>
      <c r="DT13" s="217"/>
      <c r="DU13" s="217"/>
      <c r="DV13" s="3392"/>
      <c r="DX13" s="1467"/>
      <c r="EC13" s="2012"/>
    </row>
    <row r="14" spans="1:172" s="21" customFormat="1" ht="15" hidden="1" customHeight="1" thickBot="1" x14ac:dyDescent="0.4">
      <c r="A14" s="20"/>
      <c r="B14" s="20"/>
      <c r="C14" s="5466"/>
      <c r="D14" s="13"/>
      <c r="E14" s="561"/>
      <c r="F14" s="5523"/>
      <c r="G14" s="5523"/>
      <c r="H14" s="5523"/>
      <c r="I14" s="5523"/>
      <c r="J14" s="5523"/>
      <c r="K14" s="5523"/>
      <c r="L14" s="5523"/>
      <c r="M14" s="5524"/>
      <c r="N14" s="5524"/>
      <c r="O14" s="5524"/>
      <c r="P14" s="5524"/>
      <c r="Q14" s="5524"/>
      <c r="R14" s="5524"/>
      <c r="S14" s="5524"/>
      <c r="T14" s="5521"/>
      <c r="V14" s="5485"/>
      <c r="W14" s="6600"/>
      <c r="X14" s="6600"/>
      <c r="Y14" s="6600"/>
      <c r="Z14" s="6600"/>
      <c r="AA14" s="6600"/>
      <c r="AB14" s="6600"/>
      <c r="AC14" s="6600"/>
      <c r="AD14" s="6600"/>
      <c r="AE14" s="6600"/>
      <c r="AF14" s="6600"/>
      <c r="AG14" s="6600"/>
      <c r="AH14" s="6600"/>
      <c r="AI14" s="5484"/>
      <c r="AJ14" s="5484"/>
      <c r="AK14" s="22"/>
      <c r="AL14" s="16"/>
      <c r="AM14" s="16"/>
      <c r="AN14" s="2492"/>
      <c r="AO14" s="2492"/>
      <c r="AP14" s="2492"/>
      <c r="AQ14" s="2493"/>
      <c r="AR14" s="2493"/>
      <c r="AS14" s="2496"/>
      <c r="AT14" s="2491"/>
      <c r="AU14" s="2491"/>
      <c r="AV14" s="2491"/>
      <c r="AW14" s="2491"/>
      <c r="AX14" s="2490"/>
      <c r="AY14" s="2490"/>
      <c r="AZ14" s="2490"/>
      <c r="BA14" s="2491"/>
      <c r="BB14" s="19"/>
      <c r="BC14" s="19"/>
      <c r="BD14" s="19"/>
      <c r="BE14" s="50"/>
      <c r="BF14" s="50"/>
      <c r="BI14" s="16"/>
      <c r="BJ14" s="16"/>
      <c r="BK14" s="16"/>
      <c r="BL14" s="16"/>
      <c r="BM14" s="22"/>
      <c r="BN14" s="16"/>
      <c r="BO14" s="19"/>
      <c r="BP14" s="19"/>
      <c r="BQ14" s="19"/>
      <c r="BR14" s="19"/>
      <c r="BS14" s="19"/>
      <c r="BT14" s="50"/>
      <c r="BU14" s="50"/>
      <c r="BW14" s="16"/>
      <c r="BX14" s="16"/>
      <c r="BY14" s="16"/>
      <c r="BZ14" s="22"/>
      <c r="CA14" s="22"/>
      <c r="CB14" s="22"/>
      <c r="CC14" s="16"/>
      <c r="CD14" s="19"/>
      <c r="CE14" s="19"/>
      <c r="CF14" s="19"/>
      <c r="CG14" s="19"/>
      <c r="CH14" s="50"/>
      <c r="CI14" s="50"/>
      <c r="CK14" s="16"/>
      <c r="CL14" s="16"/>
      <c r="CM14" s="16"/>
      <c r="CN14" s="16"/>
      <c r="CO14" s="22"/>
      <c r="CP14" s="16"/>
      <c r="CQ14" s="22"/>
      <c r="CR14" s="16"/>
      <c r="CS14" s="19"/>
      <c r="CT14" s="19"/>
      <c r="CU14" s="50"/>
      <c r="CV14" s="50"/>
      <c r="CX14" s="16"/>
      <c r="CY14" s="16"/>
      <c r="CZ14" s="16"/>
      <c r="DA14" s="22"/>
      <c r="DB14" s="16"/>
      <c r="DC14" s="19"/>
      <c r="DD14" s="19"/>
      <c r="DE14" s="19"/>
      <c r="DF14" s="50"/>
      <c r="DH14" s="16"/>
      <c r="DI14" s="16"/>
      <c r="DJ14" s="22"/>
      <c r="DK14" s="16"/>
      <c r="DL14" s="19"/>
      <c r="DM14" s="19"/>
      <c r="DN14" s="50"/>
      <c r="DP14" s="16"/>
      <c r="DQ14" s="16"/>
      <c r="DR14" s="22"/>
      <c r="DS14" s="16"/>
      <c r="DT14" s="19"/>
      <c r="DU14" s="19"/>
      <c r="DV14" s="50"/>
      <c r="DX14" s="138"/>
      <c r="EC14" s="14"/>
      <c r="FG14" s="70"/>
      <c r="FH14" s="70"/>
      <c r="FI14" s="70"/>
      <c r="FJ14" s="70"/>
      <c r="FK14" s="70"/>
      <c r="FL14" s="70"/>
      <c r="FM14" s="70"/>
      <c r="FN14" s="70"/>
      <c r="FO14" s="70"/>
      <c r="FP14" s="70"/>
    </row>
    <row r="15" spans="1:172" s="21" customFormat="1" ht="15" customHeight="1" x14ac:dyDescent="0.2">
      <c r="A15" s="20"/>
      <c r="B15" s="20"/>
      <c r="C15" s="5466"/>
      <c r="D15" s="13"/>
      <c r="E15" s="561"/>
      <c r="F15" s="6602" t="str">
        <f>IF(_Calcs!$D$11=2,"Inndata",IF(_Calcs!$D$11=1,"Klikk her til:","!"))</f>
        <v>Inndata</v>
      </c>
      <c r="G15" s="6603"/>
      <c r="H15" s="6606" t="str">
        <f>IF(_Calcs!$D$11=1,_List!$CU$8&amp;" -arkfanen","")</f>
        <v/>
      </c>
      <c r="I15" s="6607"/>
      <c r="J15" s="6607"/>
      <c r="K15" s="6607"/>
      <c r="L15" s="6607"/>
      <c r="M15" s="6607"/>
      <c r="N15" s="6607"/>
      <c r="O15" s="6607"/>
      <c r="P15" s="6607"/>
      <c r="Q15" s="6607"/>
      <c r="R15" s="6607"/>
      <c r="S15" s="6608"/>
      <c r="T15" s="5521"/>
      <c r="V15" s="5485"/>
      <c r="W15" s="6600"/>
      <c r="X15" s="6600"/>
      <c r="Y15" s="6600"/>
      <c r="Z15" s="6600"/>
      <c r="AA15" s="6600"/>
      <c r="AB15" s="6600"/>
      <c r="AC15" s="6600"/>
      <c r="AD15" s="6600"/>
      <c r="AE15" s="6600"/>
      <c r="AF15" s="6600"/>
      <c r="AG15" s="6600"/>
      <c r="AH15" s="6600"/>
      <c r="AI15" s="5484"/>
      <c r="AJ15" s="5484"/>
      <c r="AK15" s="22"/>
      <c r="AL15" s="16"/>
      <c r="AM15" s="16"/>
      <c r="AN15" s="2492"/>
      <c r="AO15" s="2492"/>
      <c r="AP15" s="2492"/>
      <c r="AQ15" s="2493"/>
      <c r="AR15" s="2493"/>
      <c r="AS15" s="2496"/>
      <c r="AT15" s="2491"/>
      <c r="AU15" s="2491"/>
      <c r="AV15" s="2491"/>
      <c r="AW15" s="2491"/>
      <c r="AX15" s="2490"/>
      <c r="AY15" s="2490"/>
      <c r="AZ15" s="2490"/>
      <c r="BA15" s="2491"/>
      <c r="BB15" s="19"/>
      <c r="BC15" s="19"/>
      <c r="BD15" s="19"/>
      <c r="BE15" s="50"/>
      <c r="BF15" s="50"/>
      <c r="BI15" s="16"/>
      <c r="BJ15" s="16"/>
      <c r="BK15" s="16"/>
      <c r="BL15" s="16"/>
      <c r="BM15" s="22"/>
      <c r="BN15" s="16"/>
      <c r="BO15" s="19"/>
      <c r="BP15" s="19"/>
      <c r="BQ15" s="19"/>
      <c r="BR15" s="19"/>
      <c r="BS15" s="19"/>
      <c r="BT15" s="50"/>
      <c r="BU15" s="50"/>
      <c r="BW15" s="16"/>
      <c r="BX15" s="16"/>
      <c r="BY15" s="16"/>
      <c r="BZ15" s="22"/>
      <c r="CA15" s="22"/>
      <c r="CB15" s="22"/>
      <c r="CC15" s="16"/>
      <c r="CD15" s="19"/>
      <c r="CE15" s="19"/>
      <c r="CF15" s="19"/>
      <c r="CG15" s="19"/>
      <c r="CH15" s="50"/>
      <c r="CI15" s="50"/>
      <c r="CK15" s="16"/>
      <c r="CL15" s="16"/>
      <c r="CM15" s="16"/>
      <c r="CN15" s="16"/>
      <c r="CO15" s="22"/>
      <c r="CP15" s="16"/>
      <c r="CQ15" s="22"/>
      <c r="CR15" s="16"/>
      <c r="CS15" s="19"/>
      <c r="CT15" s="19"/>
      <c r="CU15" s="50"/>
      <c r="CV15" s="50"/>
      <c r="CX15" s="16"/>
      <c r="CY15" s="16"/>
      <c r="CZ15" s="16"/>
      <c r="DA15" s="22"/>
      <c r="DB15" s="16"/>
      <c r="DC15" s="19"/>
      <c r="DD15" s="19"/>
      <c r="DE15" s="19"/>
      <c r="DF15" s="50"/>
      <c r="DH15" s="16"/>
      <c r="DI15" s="16"/>
      <c r="DJ15" s="22"/>
      <c r="DK15" s="16"/>
      <c r="DL15" s="19"/>
      <c r="DM15" s="19"/>
      <c r="DN15" s="50"/>
      <c r="DP15" s="16"/>
      <c r="DQ15" s="16"/>
      <c r="DR15" s="22"/>
      <c r="DS15" s="16"/>
      <c r="DT15" s="19"/>
      <c r="DU15" s="19"/>
      <c r="DV15" s="50"/>
      <c r="DX15" s="138"/>
      <c r="EC15" s="14"/>
      <c r="FG15" s="70"/>
      <c r="FH15" s="70"/>
      <c r="FI15" s="70"/>
      <c r="FJ15" s="70"/>
      <c r="FK15" s="70"/>
      <c r="FL15" s="70"/>
      <c r="FM15" s="70"/>
      <c r="FN15" s="70"/>
      <c r="FO15" s="70"/>
      <c r="FP15" s="70"/>
    </row>
    <row r="16" spans="1:172" s="21" customFormat="1" ht="24.95" customHeight="1" thickBot="1" x14ac:dyDescent="0.25">
      <c r="A16" s="20"/>
      <c r="B16" s="20"/>
      <c r="C16" s="5466"/>
      <c r="D16" s="13"/>
      <c r="E16" s="561"/>
      <c r="F16" s="6604"/>
      <c r="G16" s="6605"/>
      <c r="H16" s="6609"/>
      <c r="I16" s="6610"/>
      <c r="J16" s="6610"/>
      <c r="K16" s="6610"/>
      <c r="L16" s="6610"/>
      <c r="M16" s="6610"/>
      <c r="N16" s="6610"/>
      <c r="O16" s="6610"/>
      <c r="P16" s="6610"/>
      <c r="Q16" s="6610"/>
      <c r="R16" s="6610"/>
      <c r="S16" s="6611"/>
      <c r="T16" s="1551"/>
      <c r="V16" s="5485"/>
      <c r="W16" s="6600"/>
      <c r="X16" s="6600"/>
      <c r="Y16" s="6600"/>
      <c r="Z16" s="6600"/>
      <c r="AA16" s="6600"/>
      <c r="AB16" s="6600"/>
      <c r="AC16" s="6600"/>
      <c r="AD16" s="6600"/>
      <c r="AE16" s="6600"/>
      <c r="AF16" s="6600"/>
      <c r="AG16" s="6600"/>
      <c r="AH16" s="6600"/>
      <c r="AI16" s="5484"/>
      <c r="AJ16" s="5484"/>
      <c r="AN16" s="2496"/>
      <c r="AO16" s="2496"/>
      <c r="AP16" s="2496"/>
      <c r="AQ16" s="2496"/>
      <c r="AR16" s="2496"/>
      <c r="AS16" s="2496"/>
      <c r="AT16" s="2496"/>
      <c r="AU16" s="2496"/>
      <c r="AV16" s="2496"/>
      <c r="AW16" s="2496"/>
      <c r="AX16" s="2496"/>
      <c r="AY16" s="2496"/>
      <c r="AZ16" s="2496"/>
      <c r="BA16" s="2496"/>
    </row>
    <row r="17" spans="1:172" s="21" customFormat="1" ht="15" customHeight="1" thickBot="1" x14ac:dyDescent="0.25">
      <c r="A17" s="20"/>
      <c r="B17" s="20"/>
      <c r="C17" s="5466"/>
      <c r="D17" s="13"/>
      <c r="E17" s="563"/>
      <c r="F17" s="564"/>
      <c r="G17" s="564"/>
      <c r="H17" s="564"/>
      <c r="I17" s="564"/>
      <c r="J17" s="565"/>
      <c r="K17" s="565"/>
      <c r="L17" s="565"/>
      <c r="M17" s="565"/>
      <c r="N17" s="569"/>
      <c r="O17" s="960"/>
      <c r="P17" s="565"/>
      <c r="Q17" s="565"/>
      <c r="R17" s="565"/>
      <c r="S17" s="565"/>
      <c r="T17" s="961"/>
      <c r="V17" s="5485"/>
      <c r="W17" s="5485"/>
      <c r="X17" s="5485"/>
      <c r="Y17" s="5485"/>
      <c r="Z17" s="5485"/>
      <c r="AA17" s="5485"/>
      <c r="AB17" s="5485"/>
      <c r="AC17" s="5485"/>
      <c r="AD17" s="5485"/>
      <c r="AE17" s="5485"/>
      <c r="AF17" s="5485"/>
      <c r="AG17" s="5485"/>
      <c r="AH17" s="5485"/>
      <c r="AI17" s="5484"/>
      <c r="AJ17" s="5484"/>
      <c r="AK17" s="22"/>
      <c r="AL17" s="16"/>
      <c r="AM17" s="16"/>
      <c r="AN17" s="19"/>
      <c r="AO17" s="19"/>
      <c r="AP17" s="19"/>
      <c r="AQ17" s="50"/>
      <c r="AR17" s="50"/>
      <c r="AT17" s="16"/>
      <c r="AU17" s="16"/>
      <c r="AV17" s="16"/>
      <c r="AW17" s="16"/>
      <c r="AX17" s="22"/>
      <c r="AY17" s="22"/>
      <c r="AZ17" s="22"/>
      <c r="BA17" s="16"/>
      <c r="BB17" s="19"/>
      <c r="BC17" s="19"/>
      <c r="BD17" s="19"/>
      <c r="BE17" s="50"/>
      <c r="BF17" s="50"/>
      <c r="BI17" s="16"/>
      <c r="BJ17" s="16"/>
      <c r="BK17" s="16"/>
      <c r="BL17" s="16"/>
      <c r="BM17" s="22"/>
      <c r="BN17" s="16"/>
      <c r="BO17" s="19"/>
      <c r="BP17" s="19"/>
      <c r="BQ17" s="19"/>
      <c r="BR17" s="19"/>
      <c r="BS17" s="19"/>
      <c r="BT17" s="50"/>
      <c r="BU17" s="50"/>
      <c r="BW17" s="16"/>
      <c r="BX17" s="16"/>
      <c r="BY17" s="16"/>
      <c r="BZ17" s="22"/>
      <c r="CA17" s="22"/>
      <c r="CB17" s="22"/>
      <c r="CC17" s="16"/>
      <c r="CD17" s="19"/>
      <c r="CE17" s="19"/>
      <c r="CF17" s="19"/>
      <c r="CG17" s="19"/>
      <c r="CH17" s="50"/>
      <c r="CI17" s="50"/>
      <c r="CK17" s="16"/>
      <c r="CL17" s="16"/>
      <c r="CM17" s="16"/>
      <c r="CN17" s="16"/>
      <c r="CO17" s="22"/>
      <c r="CP17" s="16"/>
      <c r="CQ17" s="22"/>
      <c r="CR17" s="16"/>
      <c r="CS17" s="19"/>
      <c r="CT17" s="19"/>
      <c r="CU17" s="50"/>
      <c r="CV17" s="50"/>
      <c r="CX17" s="16"/>
      <c r="CY17" s="16"/>
      <c r="CZ17" s="16"/>
      <c r="DA17" s="22"/>
      <c r="DB17" s="16"/>
      <c r="DC17" s="19"/>
      <c r="DD17" s="19"/>
      <c r="DE17" s="19"/>
      <c r="DF17" s="50"/>
      <c r="DH17" s="16"/>
      <c r="DI17" s="16"/>
      <c r="DJ17" s="22"/>
      <c r="DK17" s="16"/>
      <c r="DL17" s="19"/>
      <c r="DM17" s="19"/>
      <c r="DN17" s="50"/>
      <c r="DP17" s="16"/>
      <c r="DQ17" s="16"/>
      <c r="DR17" s="22"/>
      <c r="DS17" s="16"/>
      <c r="DT17" s="19"/>
      <c r="DU17" s="19"/>
      <c r="DV17" s="50"/>
      <c r="DX17" s="138"/>
      <c r="EC17" s="14"/>
      <c r="FG17" s="70"/>
      <c r="FH17" s="70"/>
      <c r="FI17" s="70"/>
      <c r="FJ17" s="70"/>
      <c r="FK17" s="70"/>
      <c r="FL17" s="70"/>
      <c r="FM17" s="70"/>
      <c r="FN17" s="70"/>
      <c r="FO17" s="70"/>
      <c r="FP17" s="70"/>
    </row>
    <row r="18" spans="1:172" s="21" customFormat="1" ht="15" customHeight="1" thickBot="1" x14ac:dyDescent="0.25">
      <c r="A18" s="20"/>
      <c r="B18" s="20"/>
      <c r="C18" s="5466"/>
      <c r="D18" s="13"/>
      <c r="E18" s="14"/>
      <c r="J18" s="16"/>
      <c r="K18" s="16"/>
      <c r="L18" s="16"/>
      <c r="M18" s="16"/>
      <c r="N18" s="50"/>
      <c r="O18" s="115"/>
      <c r="P18" s="16"/>
      <c r="Q18" s="16"/>
      <c r="S18" s="191"/>
      <c r="V18" s="16"/>
      <c r="W18" s="16"/>
      <c r="X18" s="2617"/>
      <c r="Y18" s="2617"/>
      <c r="Z18" s="2617"/>
      <c r="AA18" s="2617"/>
      <c r="AB18" s="2617"/>
      <c r="AC18" s="2617"/>
      <c r="AD18" s="2617"/>
      <c r="AE18" s="2617"/>
      <c r="AF18" s="2617"/>
      <c r="AG18" s="2617"/>
      <c r="AH18" s="2617"/>
      <c r="AI18" s="16"/>
      <c r="AJ18" s="16"/>
      <c r="AK18" s="22"/>
      <c r="AL18" s="16"/>
      <c r="AM18" s="16"/>
      <c r="AN18" s="19"/>
      <c r="AO18" s="19"/>
      <c r="AP18" s="19"/>
      <c r="AQ18" s="50"/>
      <c r="AR18" s="50"/>
      <c r="AT18" s="16"/>
      <c r="AU18" s="16"/>
      <c r="AV18" s="16"/>
      <c r="AW18" s="16"/>
      <c r="AX18" s="22"/>
      <c r="AY18" s="22"/>
      <c r="AZ18" s="22"/>
      <c r="BA18" s="16"/>
      <c r="BB18" s="19"/>
      <c r="BC18" s="19"/>
      <c r="BD18" s="19"/>
      <c r="BE18" s="50"/>
      <c r="BF18" s="50"/>
      <c r="BI18" s="16"/>
      <c r="BJ18" s="16"/>
      <c r="BK18" s="16"/>
      <c r="BL18" s="16"/>
      <c r="BM18" s="22"/>
      <c r="BN18" s="16"/>
      <c r="BO18" s="19"/>
      <c r="BP18" s="19"/>
      <c r="BQ18" s="19"/>
      <c r="BR18" s="19"/>
      <c r="BS18" s="19"/>
      <c r="BT18" s="50"/>
      <c r="BU18" s="50"/>
      <c r="BW18" s="16"/>
      <c r="BX18" s="16"/>
      <c r="BY18" s="16"/>
      <c r="BZ18" s="22"/>
      <c r="CA18" s="22"/>
      <c r="CB18" s="22"/>
      <c r="CC18" s="16"/>
      <c r="CD18" s="19"/>
      <c r="CE18" s="19"/>
      <c r="CF18" s="19"/>
      <c r="CG18" s="19"/>
      <c r="CH18" s="50"/>
      <c r="CI18" s="50"/>
      <c r="CK18" s="16"/>
      <c r="CL18" s="16"/>
      <c r="CM18" s="16"/>
      <c r="CN18" s="16"/>
      <c r="CO18" s="22"/>
      <c r="CP18" s="16"/>
      <c r="CQ18" s="22"/>
      <c r="CR18" s="16"/>
      <c r="CS18" s="19"/>
      <c r="CT18" s="19"/>
      <c r="CU18" s="50"/>
      <c r="CV18" s="50"/>
      <c r="CX18" s="16"/>
      <c r="CY18" s="16"/>
      <c r="CZ18" s="16"/>
      <c r="DA18" s="22"/>
      <c r="DB18" s="16"/>
      <c r="DC18" s="19"/>
      <c r="DD18" s="19"/>
      <c r="DE18" s="19"/>
      <c r="DF18" s="50"/>
      <c r="DH18" s="16"/>
      <c r="DI18" s="16"/>
      <c r="DJ18" s="22"/>
      <c r="DK18" s="16"/>
      <c r="DL18" s="19"/>
      <c r="DM18" s="19"/>
      <c r="DN18" s="50"/>
      <c r="DP18" s="16"/>
      <c r="DQ18" s="16"/>
      <c r="DR18" s="22"/>
      <c r="DS18" s="16"/>
      <c r="DT18" s="19"/>
      <c r="DU18" s="19"/>
      <c r="DV18" s="50"/>
      <c r="DX18" s="138"/>
      <c r="EC18" s="14"/>
      <c r="FG18" s="70"/>
      <c r="FH18" s="70"/>
      <c r="FI18" s="70"/>
      <c r="FJ18" s="70"/>
      <c r="FK18" s="70"/>
      <c r="FL18" s="70"/>
      <c r="FM18" s="70"/>
      <c r="FN18" s="70"/>
      <c r="FO18" s="70"/>
      <c r="FP18" s="70"/>
    </row>
    <row r="19" spans="1:172" s="21" customFormat="1" ht="15" customHeight="1" thickBot="1" x14ac:dyDescent="0.25">
      <c r="A19" s="20"/>
      <c r="B19" s="20"/>
      <c r="C19" s="5466"/>
      <c r="D19" s="13"/>
      <c r="E19" s="1359"/>
      <c r="F19" s="1360"/>
      <c r="G19" s="1360"/>
      <c r="H19" s="1360"/>
      <c r="I19" s="1360"/>
      <c r="J19" s="1361"/>
      <c r="K19" s="1361"/>
      <c r="L19" s="1361"/>
      <c r="M19" s="1361"/>
      <c r="N19" s="1362"/>
      <c r="O19" s="1363"/>
      <c r="P19" s="1361"/>
      <c r="Q19" s="1361"/>
      <c r="R19" s="1360"/>
      <c r="S19" s="5488"/>
      <c r="T19" s="5489"/>
      <c r="V19" s="16"/>
      <c r="W19" s="16"/>
      <c r="X19" s="2617"/>
      <c r="Y19" s="2617"/>
      <c r="Z19" s="2617"/>
      <c r="AA19" s="2617"/>
      <c r="AB19" s="2617"/>
      <c r="AC19" s="2617"/>
      <c r="AD19" s="2617"/>
      <c r="AE19" s="2617"/>
      <c r="AF19" s="2617"/>
      <c r="AG19" s="2617"/>
      <c r="AH19" s="2617"/>
      <c r="AI19" s="16"/>
      <c r="AJ19" s="16"/>
      <c r="AK19" s="22"/>
      <c r="AL19" s="16"/>
      <c r="AM19" s="16"/>
      <c r="AN19" s="19"/>
      <c r="AO19" s="19"/>
      <c r="AP19" s="19"/>
      <c r="AQ19" s="50"/>
      <c r="AR19" s="50"/>
      <c r="AT19" s="16"/>
      <c r="AU19" s="16"/>
      <c r="AV19" s="16"/>
      <c r="AW19" s="16"/>
      <c r="AX19" s="22"/>
      <c r="AY19" s="22"/>
      <c r="AZ19" s="22"/>
      <c r="BA19" s="16"/>
      <c r="BB19" s="19"/>
      <c r="BC19" s="19"/>
      <c r="BD19" s="19"/>
      <c r="BE19" s="50"/>
      <c r="BF19" s="50"/>
      <c r="BI19" s="16"/>
      <c r="BJ19" s="16"/>
      <c r="BK19" s="16"/>
      <c r="BL19" s="16"/>
      <c r="BM19" s="22"/>
      <c r="BN19" s="16"/>
      <c r="BO19" s="19"/>
      <c r="BP19" s="19"/>
      <c r="BQ19" s="19"/>
      <c r="BR19" s="19"/>
      <c r="BS19" s="19"/>
      <c r="BT19" s="50"/>
      <c r="BU19" s="50"/>
      <c r="BW19" s="16"/>
      <c r="BX19" s="16"/>
      <c r="BY19" s="16"/>
      <c r="BZ19" s="22"/>
      <c r="CA19" s="22"/>
      <c r="CB19" s="22"/>
      <c r="CC19" s="16"/>
      <c r="CD19" s="19"/>
      <c r="CE19" s="19"/>
      <c r="CF19" s="19"/>
      <c r="CG19" s="19"/>
      <c r="CH19" s="50"/>
      <c r="CI19" s="50"/>
      <c r="CK19" s="16"/>
      <c r="CL19" s="16"/>
      <c r="CM19" s="16"/>
      <c r="CN19" s="16"/>
      <c r="CO19" s="22"/>
      <c r="CP19" s="16"/>
      <c r="CQ19" s="22"/>
      <c r="CR19" s="16"/>
      <c r="CS19" s="19"/>
      <c r="CT19" s="19"/>
      <c r="CU19" s="50"/>
      <c r="CV19" s="50"/>
      <c r="CX19" s="16"/>
      <c r="CY19" s="16"/>
      <c r="CZ19" s="16"/>
      <c r="DA19" s="22"/>
      <c r="DB19" s="16"/>
      <c r="DC19" s="19"/>
      <c r="DD19" s="19"/>
      <c r="DE19" s="19"/>
      <c r="DF19" s="50"/>
      <c r="DH19" s="16"/>
      <c r="DI19" s="16"/>
      <c r="DJ19" s="22"/>
      <c r="DK19" s="16"/>
      <c r="DL19" s="19"/>
      <c r="DM19" s="19"/>
      <c r="DN19" s="50"/>
      <c r="DP19" s="16"/>
      <c r="DQ19" s="16"/>
      <c r="DR19" s="22"/>
      <c r="DS19" s="16"/>
      <c r="DT19" s="19"/>
      <c r="DU19" s="19"/>
      <c r="DV19" s="50"/>
      <c r="DX19" s="138"/>
      <c r="EC19" s="14"/>
      <c r="FG19" s="70"/>
      <c r="FH19" s="70"/>
      <c r="FI19" s="70"/>
      <c r="FJ19" s="70"/>
      <c r="FK19" s="70"/>
      <c r="FL19" s="70"/>
      <c r="FM19" s="70"/>
      <c r="FN19" s="70"/>
      <c r="FO19" s="70"/>
      <c r="FP19" s="70"/>
    </row>
    <row r="20" spans="1:172" s="21" customFormat="1" ht="30" hidden="1" customHeight="1" thickBot="1" x14ac:dyDescent="0.25">
      <c r="A20" s="5980"/>
      <c r="B20" s="5980"/>
      <c r="C20" s="5466"/>
      <c r="D20" s="13"/>
      <c r="E20" s="1365"/>
      <c r="F20" s="6612" t="str">
        <f>_Calcs!$K$53&amp;" er satt til:"</f>
        <v>Sikrings-mengde er satt til:</v>
      </c>
      <c r="G20" s="6612"/>
      <c r="H20" s="5501"/>
      <c r="I20" s="6613" t="str">
        <f>_Calcs_Klasse!$AH$28</f>
        <v>Mengdebasert</v>
      </c>
      <c r="J20" s="6614"/>
      <c r="K20" s="6614"/>
      <c r="L20" s="6614"/>
      <c r="M20" s="6614"/>
      <c r="N20" s="6614"/>
      <c r="O20" s="6614"/>
      <c r="P20" s="6614"/>
      <c r="Q20" s="6614"/>
      <c r="R20" s="6615"/>
      <c r="S20" s="5491"/>
      <c r="T20" s="5492"/>
      <c r="V20" s="16"/>
      <c r="W20" s="16"/>
      <c r="X20" s="2617"/>
      <c r="Y20" s="2617"/>
      <c r="Z20" s="2617"/>
      <c r="AA20" s="2617"/>
      <c r="AB20" s="2617"/>
      <c r="AC20" s="2617"/>
      <c r="AD20" s="2617"/>
      <c r="AE20" s="2617"/>
      <c r="AF20" s="2617"/>
      <c r="AG20" s="2617"/>
      <c r="AH20" s="2617"/>
      <c r="AI20" s="16"/>
      <c r="AJ20" s="16"/>
      <c r="AK20" s="22"/>
      <c r="AL20" s="16"/>
      <c r="AM20" s="16"/>
      <c r="AN20" s="19"/>
      <c r="AO20" s="19"/>
      <c r="AP20" s="19"/>
      <c r="AQ20" s="50"/>
      <c r="AR20" s="50"/>
      <c r="AT20" s="16"/>
      <c r="AU20" s="16"/>
      <c r="AV20" s="16"/>
      <c r="AW20" s="16"/>
      <c r="AX20" s="22"/>
      <c r="AY20" s="22"/>
      <c r="AZ20" s="22"/>
      <c r="BA20" s="16"/>
      <c r="BB20" s="19"/>
      <c r="BC20" s="19"/>
      <c r="BD20" s="19"/>
      <c r="BE20" s="50"/>
      <c r="BF20" s="50"/>
      <c r="BI20" s="16"/>
      <c r="BJ20" s="16"/>
      <c r="BK20" s="16"/>
      <c r="BL20" s="16"/>
      <c r="BM20" s="22"/>
      <c r="BN20" s="16"/>
      <c r="BO20" s="19"/>
      <c r="BP20" s="19"/>
      <c r="BQ20" s="19"/>
      <c r="BR20" s="19"/>
      <c r="BS20" s="19"/>
      <c r="BT20" s="50"/>
      <c r="BU20" s="50"/>
      <c r="BW20" s="16"/>
      <c r="BX20" s="16"/>
      <c r="BY20" s="16"/>
      <c r="BZ20" s="22"/>
      <c r="CA20" s="22"/>
      <c r="CB20" s="22"/>
      <c r="CC20" s="16"/>
      <c r="CD20" s="19"/>
      <c r="CE20" s="19"/>
      <c r="CF20" s="19"/>
      <c r="CG20" s="19"/>
      <c r="CH20" s="50"/>
      <c r="CI20" s="50"/>
      <c r="CK20" s="16"/>
      <c r="CL20" s="16"/>
      <c r="CM20" s="16"/>
      <c r="CN20" s="16"/>
      <c r="CO20" s="22"/>
      <c r="CP20" s="16"/>
      <c r="CQ20" s="22"/>
      <c r="CR20" s="16"/>
      <c r="CS20" s="19"/>
      <c r="CT20" s="19"/>
      <c r="CU20" s="50"/>
      <c r="CV20" s="50"/>
      <c r="CX20" s="16"/>
      <c r="CY20" s="16"/>
      <c r="CZ20" s="16"/>
      <c r="DA20" s="22"/>
      <c r="DB20" s="16"/>
      <c r="DC20" s="19"/>
      <c r="DD20" s="19"/>
      <c r="DE20" s="19"/>
      <c r="DF20" s="50"/>
      <c r="DH20" s="16"/>
      <c r="DI20" s="16"/>
      <c r="DJ20" s="22"/>
      <c r="DK20" s="16"/>
      <c r="DL20" s="19"/>
      <c r="DM20" s="19"/>
      <c r="DN20" s="50"/>
      <c r="DP20" s="16"/>
      <c r="DQ20" s="16"/>
      <c r="DR20" s="22"/>
      <c r="DS20" s="16"/>
      <c r="DT20" s="19"/>
      <c r="DU20" s="19"/>
      <c r="DV20" s="50"/>
      <c r="DX20" s="138"/>
      <c r="EC20" s="14"/>
      <c r="FG20" s="70"/>
      <c r="FH20" s="70"/>
      <c r="FI20" s="70"/>
      <c r="FJ20" s="70"/>
      <c r="FK20" s="70"/>
      <c r="FL20" s="70"/>
      <c r="FM20" s="70"/>
      <c r="FN20" s="70"/>
      <c r="FO20" s="70"/>
      <c r="FP20" s="70"/>
    </row>
    <row r="21" spans="1:172" s="21" customFormat="1" ht="15" hidden="1" customHeight="1" thickBot="1" x14ac:dyDescent="0.25">
      <c r="A21" s="20"/>
      <c r="B21" s="20"/>
      <c r="C21" s="5466"/>
      <c r="D21" s="13"/>
      <c r="E21" s="5493"/>
      <c r="F21" s="5502"/>
      <c r="G21" s="5502"/>
      <c r="H21" s="5502"/>
      <c r="I21" s="1512"/>
      <c r="J21" s="5505"/>
      <c r="K21" s="5505"/>
      <c r="L21" s="5505"/>
      <c r="M21" s="5505"/>
      <c r="N21" s="5506"/>
      <c r="O21" s="5507"/>
      <c r="P21" s="5505"/>
      <c r="Q21" s="5505"/>
      <c r="R21" s="1512"/>
      <c r="S21" s="5494"/>
      <c r="T21" s="5495"/>
      <c r="V21" s="16"/>
      <c r="W21" s="16"/>
      <c r="X21" s="2617"/>
      <c r="Y21" s="2617"/>
      <c r="Z21" s="2617"/>
      <c r="AA21" s="2617"/>
      <c r="AB21" s="2617"/>
      <c r="AC21" s="2617"/>
      <c r="AD21" s="2617"/>
      <c r="AE21" s="2617"/>
      <c r="AF21" s="2617"/>
      <c r="AG21" s="2617"/>
      <c r="AH21" s="2617"/>
      <c r="AI21" s="16"/>
      <c r="AJ21" s="16"/>
      <c r="AK21" s="22"/>
      <c r="AL21" s="16"/>
      <c r="AM21" s="16"/>
      <c r="AN21" s="19"/>
      <c r="AO21" s="19"/>
      <c r="AP21" s="19"/>
      <c r="AQ21" s="50"/>
      <c r="AR21" s="50"/>
      <c r="AT21" s="16"/>
      <c r="AU21" s="16"/>
      <c r="AV21" s="16"/>
      <c r="AW21" s="16"/>
      <c r="AX21" s="22"/>
      <c r="AY21" s="22"/>
      <c r="AZ21" s="22"/>
      <c r="BA21" s="16"/>
      <c r="BB21" s="19"/>
      <c r="BC21" s="19"/>
      <c r="BD21" s="19"/>
      <c r="BE21" s="50"/>
      <c r="BF21" s="50"/>
      <c r="BI21" s="16"/>
      <c r="BJ21" s="16"/>
      <c r="BK21" s="16"/>
      <c r="BL21" s="16"/>
      <c r="BM21" s="22"/>
      <c r="BN21" s="16"/>
      <c r="BO21" s="19"/>
      <c r="BP21" s="19"/>
      <c r="BQ21" s="19"/>
      <c r="BR21" s="19"/>
      <c r="BS21" s="19"/>
      <c r="BT21" s="50"/>
      <c r="BU21" s="50"/>
      <c r="BW21" s="16"/>
      <c r="BX21" s="16"/>
      <c r="BY21" s="16"/>
      <c r="BZ21" s="22"/>
      <c r="CA21" s="22"/>
      <c r="CB21" s="22"/>
      <c r="CC21" s="16"/>
      <c r="CD21" s="19"/>
      <c r="CE21" s="19"/>
      <c r="CF21" s="19"/>
      <c r="CG21" s="19"/>
      <c r="CH21" s="50"/>
      <c r="CI21" s="50"/>
      <c r="CK21" s="16"/>
      <c r="CL21" s="16"/>
      <c r="CM21" s="16"/>
      <c r="CN21" s="16"/>
      <c r="CO21" s="22"/>
      <c r="CP21" s="16"/>
      <c r="CQ21" s="22"/>
      <c r="CR21" s="16"/>
      <c r="CS21" s="19"/>
      <c r="CT21" s="19"/>
      <c r="CU21" s="50"/>
      <c r="CV21" s="50"/>
      <c r="CX21" s="16"/>
      <c r="CY21" s="16"/>
      <c r="CZ21" s="16"/>
      <c r="DA21" s="22"/>
      <c r="DB21" s="16"/>
      <c r="DC21" s="19"/>
      <c r="DD21" s="19"/>
      <c r="DE21" s="19"/>
      <c r="DF21" s="50"/>
      <c r="DH21" s="16"/>
      <c r="DI21" s="16"/>
      <c r="DJ21" s="22"/>
      <c r="DK21" s="16"/>
      <c r="DL21" s="19"/>
      <c r="DM21" s="19"/>
      <c r="DN21" s="50"/>
      <c r="DP21" s="16"/>
      <c r="DQ21" s="16"/>
      <c r="DR21" s="22"/>
      <c r="DS21" s="16"/>
      <c r="DT21" s="19"/>
      <c r="DU21" s="19"/>
      <c r="DV21" s="50"/>
      <c r="DX21" s="138"/>
      <c r="EC21" s="14"/>
      <c r="FG21" s="70"/>
      <c r="FH21" s="70"/>
      <c r="FI21" s="70"/>
      <c r="FJ21" s="70"/>
      <c r="FK21" s="70"/>
      <c r="FL21" s="70"/>
      <c r="FM21" s="70"/>
      <c r="FN21" s="70"/>
      <c r="FO21" s="70"/>
      <c r="FP21" s="70"/>
    </row>
    <row r="22" spans="1:172" s="21" customFormat="1" ht="8.1" hidden="1" customHeight="1" thickBot="1" x14ac:dyDescent="0.25">
      <c r="A22" s="20"/>
      <c r="B22" s="20"/>
      <c r="C22" s="5466"/>
      <c r="D22" s="13"/>
      <c r="E22" s="5496"/>
      <c r="F22" s="979"/>
      <c r="G22" s="979"/>
      <c r="H22" s="979"/>
      <c r="I22" s="2694"/>
      <c r="J22" s="5508"/>
      <c r="K22" s="5508"/>
      <c r="L22" s="5508"/>
      <c r="M22" s="5508"/>
      <c r="N22" s="5509"/>
      <c r="O22" s="5510"/>
      <c r="P22" s="5508"/>
      <c r="Q22" s="5508"/>
      <c r="R22" s="2694"/>
      <c r="S22" s="573"/>
      <c r="T22" s="5497"/>
      <c r="V22" s="16"/>
      <c r="W22" s="16"/>
      <c r="X22" s="2617"/>
      <c r="Y22" s="2617"/>
      <c r="Z22" s="2617"/>
      <c r="AA22" s="2617"/>
      <c r="AB22" s="2617"/>
      <c r="AC22" s="2617"/>
      <c r="AD22" s="2617"/>
      <c r="AE22" s="2617"/>
      <c r="AF22" s="2617"/>
      <c r="AG22" s="2617"/>
      <c r="AH22" s="2617"/>
      <c r="AI22" s="16"/>
      <c r="AJ22" s="16"/>
      <c r="AK22" s="22"/>
      <c r="AL22" s="16"/>
      <c r="AM22" s="16"/>
      <c r="AN22" s="19"/>
      <c r="AO22" s="19"/>
      <c r="AP22" s="19"/>
      <c r="AQ22" s="50"/>
      <c r="AR22" s="50"/>
      <c r="AT22" s="16"/>
      <c r="AU22" s="16"/>
      <c r="AV22" s="16"/>
      <c r="AW22" s="16"/>
      <c r="AX22" s="22"/>
      <c r="AY22" s="22"/>
      <c r="AZ22" s="22"/>
      <c r="BA22" s="16"/>
      <c r="BB22" s="19"/>
      <c r="BC22" s="19"/>
      <c r="BD22" s="19"/>
      <c r="BE22" s="50"/>
      <c r="BF22" s="50"/>
      <c r="BI22" s="16"/>
      <c r="BJ22" s="16"/>
      <c r="BK22" s="16"/>
      <c r="BL22" s="16"/>
      <c r="BM22" s="22"/>
      <c r="BN22" s="16"/>
      <c r="BO22" s="19"/>
      <c r="BP22" s="19"/>
      <c r="BQ22" s="19"/>
      <c r="BR22" s="19"/>
      <c r="BS22" s="19"/>
      <c r="BT22" s="50"/>
      <c r="BU22" s="50"/>
      <c r="BW22" s="16"/>
      <c r="BX22" s="16"/>
      <c r="BY22" s="16"/>
      <c r="BZ22" s="22"/>
      <c r="CA22" s="22"/>
      <c r="CB22" s="22"/>
      <c r="CC22" s="16"/>
      <c r="CD22" s="19"/>
      <c r="CE22" s="19"/>
      <c r="CF22" s="19"/>
      <c r="CG22" s="19"/>
      <c r="CH22" s="50"/>
      <c r="CI22" s="50"/>
      <c r="CK22" s="16"/>
      <c r="CL22" s="16"/>
      <c r="CM22" s="16"/>
      <c r="CN22" s="16"/>
      <c r="CO22" s="22"/>
      <c r="CP22" s="16"/>
      <c r="CQ22" s="22"/>
      <c r="CR22" s="16"/>
      <c r="CS22" s="19"/>
      <c r="CT22" s="19"/>
      <c r="CU22" s="50"/>
      <c r="CV22" s="50"/>
      <c r="CX22" s="16"/>
      <c r="CY22" s="16"/>
      <c r="CZ22" s="16"/>
      <c r="DA22" s="22"/>
      <c r="DB22" s="16"/>
      <c r="DC22" s="19"/>
      <c r="DD22" s="19"/>
      <c r="DE22" s="19"/>
      <c r="DF22" s="50"/>
      <c r="DH22" s="16"/>
      <c r="DI22" s="16"/>
      <c r="DJ22" s="22"/>
      <c r="DK22" s="16"/>
      <c r="DL22" s="19"/>
      <c r="DM22" s="19"/>
      <c r="DN22" s="50"/>
      <c r="DP22" s="16"/>
      <c r="DQ22" s="16"/>
      <c r="DR22" s="22"/>
      <c r="DS22" s="16"/>
      <c r="DT22" s="19"/>
      <c r="DU22" s="19"/>
      <c r="DV22" s="50"/>
      <c r="DX22" s="138"/>
      <c r="EC22" s="14"/>
      <c r="FG22" s="70"/>
      <c r="FH22" s="70"/>
      <c r="FI22" s="70"/>
      <c r="FJ22" s="70"/>
      <c r="FK22" s="70"/>
      <c r="FL22" s="70"/>
      <c r="FM22" s="70"/>
      <c r="FN22" s="70"/>
      <c r="FO22" s="70"/>
      <c r="FP22" s="70"/>
    </row>
    <row r="23" spans="1:172" s="21" customFormat="1" ht="30" customHeight="1" thickBot="1" x14ac:dyDescent="0.25">
      <c r="A23" s="20"/>
      <c r="B23" s="20"/>
      <c r="C23" s="5466"/>
      <c r="D23" s="13"/>
      <c r="E23" s="1365"/>
      <c r="F23" s="1376" t="str">
        <f>IF(_Calcs!$D$11=2,Tunneldrift!$M$125,"")</f>
        <v>Fordeling av mengder</v>
      </c>
      <c r="G23" s="5501"/>
      <c r="H23" s="6613" t="str">
        <f>IF(_Calcs!$D$11=2,Tunneldrift!$F$125,IF(_Calcs!$D$11=1,""))</f>
        <v>Brukerdefinert</v>
      </c>
      <c r="I23" s="6614"/>
      <c r="J23" s="6614"/>
      <c r="K23" s="6614"/>
      <c r="L23" s="6614"/>
      <c r="M23" s="6614"/>
      <c r="N23" s="6614"/>
      <c r="O23" s="6615"/>
      <c r="P23" s="5984"/>
      <c r="Q23" s="1381"/>
      <c r="R23" s="1381"/>
      <c r="S23" s="1367"/>
      <c r="T23" s="1369"/>
      <c r="V23" s="2617"/>
      <c r="W23" s="2617"/>
      <c r="X23" s="2617"/>
      <c r="Y23" s="2617"/>
      <c r="Z23" s="2617"/>
      <c r="AA23" s="2617"/>
      <c r="AB23" s="2617"/>
      <c r="AC23" s="2617"/>
      <c r="AD23" s="2617"/>
      <c r="AE23" s="2617"/>
      <c r="AF23" s="2617"/>
      <c r="AG23" s="2617"/>
      <c r="AH23" s="2617"/>
      <c r="AI23" s="2617"/>
      <c r="AJ23" s="2617"/>
      <c r="AK23" s="22"/>
      <c r="AL23" s="16"/>
      <c r="AM23" s="16"/>
      <c r="AN23" s="19"/>
      <c r="AO23" s="19"/>
      <c r="AP23" s="19"/>
      <c r="AQ23" s="50"/>
      <c r="AR23" s="50"/>
      <c r="AT23" s="16"/>
      <c r="AU23" s="16"/>
      <c r="AV23" s="16"/>
      <c r="AW23" s="16"/>
      <c r="AX23" s="22"/>
      <c r="AY23" s="22"/>
      <c r="AZ23" s="22"/>
      <c r="BA23" s="16"/>
      <c r="BB23" s="19"/>
      <c r="BC23" s="19"/>
      <c r="BD23" s="19"/>
      <c r="BE23" s="50"/>
      <c r="BF23" s="50"/>
      <c r="BI23" s="16"/>
      <c r="BJ23" s="16"/>
      <c r="BK23" s="16"/>
      <c r="BL23" s="16"/>
      <c r="BM23" s="22"/>
      <c r="BN23" s="16"/>
      <c r="BO23" s="19"/>
      <c r="BP23" s="19"/>
      <c r="BQ23" s="19"/>
      <c r="BR23" s="19"/>
      <c r="BS23" s="19"/>
      <c r="BT23" s="50"/>
      <c r="BU23" s="50"/>
      <c r="BW23" s="16"/>
      <c r="BX23" s="16"/>
      <c r="BY23" s="16"/>
      <c r="BZ23" s="22"/>
      <c r="CA23" s="22"/>
      <c r="CB23" s="22"/>
      <c r="CC23" s="16"/>
      <c r="CD23" s="19"/>
      <c r="CE23" s="19"/>
      <c r="CF23" s="19"/>
      <c r="CG23" s="19"/>
      <c r="CH23" s="50"/>
      <c r="CI23" s="50"/>
      <c r="CK23" s="16"/>
      <c r="CL23" s="16"/>
      <c r="CM23" s="16"/>
      <c r="CN23" s="16"/>
      <c r="CO23" s="22"/>
      <c r="CP23" s="16"/>
      <c r="CQ23" s="22"/>
      <c r="CR23" s="16"/>
      <c r="CS23" s="19"/>
      <c r="CT23" s="19"/>
      <c r="CU23" s="50"/>
      <c r="CV23" s="50"/>
      <c r="CX23" s="16"/>
      <c r="CY23" s="16"/>
      <c r="CZ23" s="16"/>
      <c r="DA23" s="22"/>
      <c r="DB23" s="16"/>
      <c r="DC23" s="19"/>
      <c r="DD23" s="19"/>
      <c r="DE23" s="19"/>
      <c r="DF23" s="50"/>
      <c r="DH23" s="16"/>
      <c r="DI23" s="16"/>
      <c r="DJ23" s="22"/>
      <c r="DK23" s="16"/>
      <c r="DL23" s="19"/>
      <c r="DM23" s="19"/>
      <c r="DN23" s="50"/>
      <c r="DP23" s="16"/>
      <c r="DQ23" s="16"/>
      <c r="DR23" s="22"/>
      <c r="DS23" s="16"/>
      <c r="DT23" s="19"/>
      <c r="DU23" s="19"/>
      <c r="DV23" s="50"/>
      <c r="DX23" s="138"/>
      <c r="EC23" s="14"/>
      <c r="FG23" s="70"/>
      <c r="FH23" s="70"/>
      <c r="FI23" s="70"/>
      <c r="FJ23" s="70"/>
      <c r="FK23" s="70"/>
      <c r="FL23" s="70"/>
      <c r="FM23" s="70"/>
      <c r="FN23" s="70"/>
      <c r="FO23" s="70"/>
      <c r="FP23" s="70"/>
    </row>
    <row r="24" spans="1:172" s="21" customFormat="1" ht="15" customHeight="1" thickBot="1" x14ac:dyDescent="0.25">
      <c r="A24" s="20"/>
      <c r="B24" s="20"/>
      <c r="C24" s="1358"/>
      <c r="D24" s="13"/>
      <c r="E24" s="4060"/>
      <c r="F24" s="2003"/>
      <c r="G24" s="4061"/>
      <c r="H24" s="4061"/>
      <c r="I24" s="4061"/>
      <c r="J24" s="4061"/>
      <c r="K24" s="4061"/>
      <c r="L24" s="1372"/>
      <c r="M24" s="1372"/>
      <c r="N24" s="1373"/>
      <c r="O24" s="2003"/>
      <c r="P24" s="1372"/>
      <c r="Q24" s="1372"/>
      <c r="R24" s="1372"/>
      <c r="S24" s="1372"/>
      <c r="T24" s="1375"/>
      <c r="V24" s="2617"/>
      <c r="W24" s="2617"/>
      <c r="X24" s="2617"/>
      <c r="Y24" s="2617"/>
      <c r="Z24" s="2617"/>
      <c r="AA24" s="2617"/>
      <c r="AB24" s="2617"/>
      <c r="AC24" s="2617"/>
      <c r="AD24" s="2617"/>
      <c r="AE24" s="2617"/>
      <c r="AF24" s="2617"/>
      <c r="AG24" s="2617"/>
      <c r="AH24" s="2617"/>
      <c r="AI24" s="2617"/>
      <c r="AJ24" s="2617"/>
      <c r="AK24" s="22"/>
      <c r="AL24" s="16"/>
      <c r="AM24" s="16"/>
      <c r="AN24" s="19"/>
      <c r="AO24" s="19"/>
      <c r="AP24" s="19"/>
      <c r="AQ24" s="50"/>
      <c r="AR24" s="50"/>
      <c r="AT24" s="16"/>
      <c r="AU24" s="16"/>
      <c r="AV24" s="16"/>
      <c r="AW24" s="16"/>
      <c r="AX24" s="22"/>
      <c r="AY24" s="22"/>
      <c r="AZ24" s="22"/>
      <c r="BA24" s="16"/>
      <c r="BB24" s="19"/>
      <c r="BC24" s="19"/>
      <c r="BD24" s="19"/>
      <c r="BE24" s="50"/>
      <c r="BF24" s="50"/>
      <c r="BI24" s="16"/>
      <c r="BJ24" s="16"/>
      <c r="BK24" s="16"/>
      <c r="BL24" s="16"/>
      <c r="BM24" s="22"/>
      <c r="BN24" s="16"/>
      <c r="BO24" s="19"/>
      <c r="BP24" s="19"/>
      <c r="BQ24" s="19"/>
      <c r="BR24" s="19"/>
      <c r="BS24" s="19"/>
      <c r="BT24" s="50"/>
      <c r="BU24" s="50"/>
      <c r="BW24" s="16"/>
      <c r="BX24" s="16"/>
      <c r="BY24" s="16"/>
      <c r="BZ24" s="22"/>
      <c r="CA24" s="22"/>
      <c r="CB24" s="22"/>
      <c r="CC24" s="16"/>
      <c r="CD24" s="19"/>
      <c r="CE24" s="19"/>
      <c r="CF24" s="19"/>
      <c r="CG24" s="19"/>
      <c r="CH24" s="50"/>
      <c r="CI24" s="50"/>
      <c r="CK24" s="16"/>
      <c r="CL24" s="16"/>
      <c r="CM24" s="16"/>
      <c r="CN24" s="16"/>
      <c r="CO24" s="22"/>
      <c r="CP24" s="16"/>
      <c r="CQ24" s="22"/>
      <c r="CR24" s="16"/>
      <c r="CS24" s="19"/>
      <c r="CT24" s="19"/>
      <c r="CU24" s="50"/>
      <c r="CV24" s="50"/>
      <c r="CX24" s="16"/>
      <c r="CY24" s="16"/>
      <c r="CZ24" s="16"/>
      <c r="DA24" s="22"/>
      <c r="DB24" s="16"/>
      <c r="DC24" s="19"/>
      <c r="DD24" s="19"/>
      <c r="DE24" s="19"/>
      <c r="DF24" s="50"/>
      <c r="DH24" s="16"/>
      <c r="DI24" s="16"/>
      <c r="DJ24" s="22"/>
      <c r="DK24" s="16"/>
      <c r="DL24" s="19"/>
      <c r="DM24" s="19"/>
      <c r="DN24" s="50"/>
      <c r="DP24" s="16"/>
      <c r="DQ24" s="16"/>
      <c r="DR24" s="22"/>
      <c r="DS24" s="16"/>
      <c r="DT24" s="19"/>
      <c r="DU24" s="19"/>
      <c r="DV24" s="50"/>
      <c r="DX24" s="138"/>
      <c r="EC24" s="14"/>
      <c r="FG24" s="70"/>
      <c r="FH24" s="70"/>
      <c r="FI24" s="70"/>
      <c r="FJ24" s="70"/>
      <c r="FK24" s="70"/>
      <c r="FL24" s="70"/>
      <c r="FM24" s="70"/>
      <c r="FN24" s="70"/>
      <c r="FO24" s="70"/>
      <c r="FP24" s="70"/>
    </row>
    <row r="25" spans="1:172" s="21" customFormat="1" ht="24.95" customHeight="1" thickBot="1" x14ac:dyDescent="0.25">
      <c r="A25" s="20"/>
      <c r="B25" s="20"/>
      <c r="C25" s="20"/>
      <c r="D25" s="20"/>
      <c r="E25" s="14"/>
      <c r="J25" s="16"/>
      <c r="K25" s="16"/>
      <c r="L25" s="16"/>
      <c r="M25" s="16"/>
      <c r="N25" s="16"/>
      <c r="O25" s="17"/>
      <c r="P25" s="15"/>
      <c r="Q25" s="16"/>
      <c r="T25" s="191"/>
      <c r="X25" s="16"/>
      <c r="Y25" s="22"/>
      <c r="Z25" s="22"/>
      <c r="AA25" s="19"/>
      <c r="AB25" s="19"/>
      <c r="AC25" s="22"/>
      <c r="AD25" s="22"/>
      <c r="AE25" s="22"/>
      <c r="AF25" s="16"/>
      <c r="AG25" s="22"/>
      <c r="AH25" s="22"/>
      <c r="AI25" s="19"/>
      <c r="AJ25" s="19"/>
      <c r="AK25" s="22"/>
      <c r="AL25" s="22"/>
      <c r="AM25" s="22"/>
      <c r="AN25" s="16"/>
      <c r="AO25" s="22"/>
      <c r="AP25" s="22"/>
      <c r="AQ25" s="19"/>
      <c r="AR25" s="19"/>
      <c r="AS25" s="22"/>
      <c r="AT25" s="22"/>
      <c r="AU25" s="22"/>
      <c r="AV25" s="16"/>
      <c r="AW25" s="22"/>
      <c r="AX25" s="22"/>
      <c r="AY25" s="19"/>
      <c r="AZ25" s="19"/>
      <c r="BA25" s="22"/>
      <c r="BB25" s="22"/>
      <c r="BC25" s="22"/>
      <c r="BD25" s="16"/>
      <c r="BE25" s="22"/>
      <c r="BF25" s="22"/>
      <c r="BG25" s="19"/>
      <c r="BH25" s="19"/>
      <c r="BI25" s="22"/>
      <c r="BJ25" s="22"/>
      <c r="BK25" s="22"/>
      <c r="BL25" s="16"/>
      <c r="BM25" s="22"/>
      <c r="BN25" s="22"/>
      <c r="BO25" s="19"/>
      <c r="BP25" s="19"/>
      <c r="BQ25" s="22"/>
      <c r="BR25" s="22"/>
      <c r="BS25" s="22"/>
      <c r="BT25" s="16"/>
      <c r="BU25" s="22"/>
      <c r="BV25" s="22"/>
      <c r="BW25" s="19"/>
      <c r="BX25" s="19"/>
      <c r="BY25" s="22"/>
      <c r="BZ25" s="22"/>
      <c r="CA25" s="22"/>
      <c r="CB25" s="16"/>
      <c r="CC25" s="22"/>
      <c r="CD25" s="22"/>
      <c r="CE25" s="19"/>
      <c r="CF25" s="19"/>
      <c r="CG25" s="22"/>
      <c r="CH25" s="22"/>
      <c r="CI25" s="22"/>
      <c r="CJ25" s="16"/>
      <c r="CK25" s="22"/>
      <c r="CL25" s="22"/>
      <c r="CM25" s="19"/>
      <c r="CN25" s="19"/>
      <c r="CO25" s="22"/>
      <c r="CP25" s="19"/>
    </row>
    <row r="26" spans="1:172" s="21" customFormat="1" ht="39.950000000000003" customHeight="1" thickBot="1" x14ac:dyDescent="0.25">
      <c r="A26" s="104"/>
      <c r="B26" s="104"/>
      <c r="C26" s="1525"/>
      <c r="D26" s="104"/>
      <c r="E26" s="1522"/>
      <c r="F26" s="1523"/>
      <c r="G26" s="1523"/>
      <c r="H26" s="1523"/>
      <c r="I26" s="1523"/>
      <c r="J26" s="1523"/>
      <c r="K26" s="1523"/>
      <c r="L26" s="1523"/>
      <c r="M26" s="1523"/>
      <c r="N26" s="1523"/>
      <c r="O26" s="1523"/>
      <c r="P26" s="1524"/>
      <c r="R26" s="6567" t="str">
        <f>IF(_Calcs_Klasse!$AI$27=2,"Sum","")</f>
        <v>Sum</v>
      </c>
      <c r="S26" s="6568"/>
      <c r="T26" s="6569"/>
      <c r="V26" s="692"/>
      <c r="W26" s="6595" t="str">
        <f>_Calcs!$BC$125</f>
        <v>Stuff 1-1</v>
      </c>
      <c r="X26" s="6595"/>
      <c r="Y26" s="6595"/>
      <c r="Z26" s="6595"/>
      <c r="AA26" s="693"/>
      <c r="AB26" s="694"/>
      <c r="AD26" s="692"/>
      <c r="AE26" s="6595" t="str">
        <f>_Calcs!$BD$125</f>
        <v/>
      </c>
      <c r="AF26" s="6595"/>
      <c r="AG26" s="6595"/>
      <c r="AH26" s="6595"/>
      <c r="AI26" s="693"/>
      <c r="AJ26" s="694"/>
      <c r="AL26" s="692"/>
      <c r="AM26" s="6595" t="str">
        <f>_Calcs!$BE$125</f>
        <v/>
      </c>
      <c r="AN26" s="6595"/>
      <c r="AO26" s="6595"/>
      <c r="AP26" s="6595"/>
      <c r="AQ26" s="693"/>
      <c r="AR26" s="694"/>
      <c r="AT26" s="692"/>
      <c r="AU26" s="6595" t="str">
        <f>_Calcs!$BF$125</f>
        <v/>
      </c>
      <c r="AV26" s="6595"/>
      <c r="AW26" s="6595"/>
      <c r="AX26" s="6595"/>
      <c r="AY26" s="693"/>
      <c r="AZ26" s="694"/>
      <c r="BB26" s="692"/>
      <c r="BC26" s="6595" t="str">
        <f>_Calcs!$BG$125</f>
        <v/>
      </c>
      <c r="BD26" s="6595"/>
      <c r="BE26" s="6595"/>
      <c r="BF26" s="6595"/>
      <c r="BG26" s="693"/>
      <c r="BH26" s="694"/>
      <c r="BJ26" s="692"/>
      <c r="BK26" s="6595" t="str">
        <f>_Calcs!$BH$125</f>
        <v/>
      </c>
      <c r="BL26" s="6595"/>
      <c r="BM26" s="6595"/>
      <c r="BN26" s="6595"/>
      <c r="BO26" s="693"/>
      <c r="BP26" s="694"/>
      <c r="BR26" s="692"/>
      <c r="BS26" s="6595" t="str">
        <f>_Calcs!$BI$125</f>
        <v/>
      </c>
      <c r="BT26" s="6595"/>
      <c r="BU26" s="6595"/>
      <c r="BV26" s="6595"/>
      <c r="BW26" s="693"/>
      <c r="BX26" s="694"/>
      <c r="BZ26" s="692"/>
      <c r="CA26" s="6595" t="str">
        <f>_Calcs!$BJ$125</f>
        <v/>
      </c>
      <c r="CB26" s="6595"/>
      <c r="CC26" s="6595"/>
      <c r="CD26" s="6595"/>
      <c r="CE26" s="693"/>
      <c r="CF26" s="694"/>
      <c r="CH26" s="692"/>
      <c r="CI26" s="6595" t="str">
        <f>_Calcs!$BK$125</f>
        <v/>
      </c>
      <c r="CJ26" s="6595"/>
      <c r="CK26" s="6595"/>
      <c r="CL26" s="6595"/>
      <c r="CM26" s="693"/>
      <c r="CN26" s="694"/>
      <c r="CP26" s="171"/>
    </row>
    <row r="27" spans="1:172" s="21" customFormat="1" ht="24.95" customHeight="1" thickBot="1" x14ac:dyDescent="0.25">
      <c r="A27" s="20"/>
      <c r="B27" s="20"/>
      <c r="C27" s="13"/>
      <c r="D27" s="20"/>
      <c r="E27" s="14"/>
      <c r="J27" s="16"/>
      <c r="K27" s="16"/>
      <c r="L27" s="50"/>
      <c r="M27" s="50"/>
      <c r="N27" s="50"/>
      <c r="O27" s="15"/>
      <c r="P27" s="15"/>
      <c r="S27" s="191"/>
      <c r="U27" s="16"/>
      <c r="V27" s="16"/>
      <c r="W27" s="16"/>
      <c r="X27" s="22"/>
      <c r="Y27" s="16"/>
      <c r="Z27" s="19"/>
      <c r="AC27" s="16"/>
      <c r="AD27" s="16"/>
      <c r="AE27" s="16"/>
      <c r="AF27" s="22"/>
      <c r="AG27" s="16"/>
      <c r="AH27" s="19"/>
      <c r="AK27" s="16"/>
      <c r="AL27" s="16"/>
      <c r="AM27" s="16"/>
      <c r="AN27" s="22"/>
      <c r="AO27" s="16"/>
      <c r="AP27" s="19"/>
      <c r="AS27" s="16"/>
      <c r="AT27" s="16"/>
      <c r="AU27" s="16"/>
      <c r="AV27" s="22"/>
      <c r="AW27" s="16"/>
      <c r="AX27" s="19"/>
      <c r="BA27" s="16"/>
      <c r="BB27" s="16"/>
      <c r="BC27" s="16"/>
      <c r="BD27" s="22"/>
      <c r="BE27" s="16"/>
      <c r="BF27" s="19"/>
      <c r="BI27" s="16"/>
      <c r="BJ27" s="16"/>
      <c r="BK27" s="16"/>
      <c r="BL27" s="22"/>
      <c r="BM27" s="16"/>
      <c r="BN27" s="19"/>
      <c r="BQ27" s="16"/>
      <c r="BR27" s="16"/>
      <c r="BS27" s="16"/>
      <c r="BT27" s="22"/>
      <c r="BU27" s="16"/>
      <c r="BV27" s="19"/>
      <c r="BY27" s="16"/>
      <c r="BZ27" s="16"/>
      <c r="CA27" s="16"/>
      <c r="CB27" s="22"/>
      <c r="CC27" s="16"/>
      <c r="CD27" s="19"/>
      <c r="CG27" s="16"/>
      <c r="CH27" s="16"/>
      <c r="CI27" s="16"/>
      <c r="CJ27" s="22"/>
      <c r="CK27" s="16"/>
      <c r="CL27" s="19"/>
      <c r="CO27" s="16"/>
    </row>
    <row r="28" spans="1:172" s="21" customFormat="1" ht="20.100000000000001" customHeight="1" thickBot="1" x14ac:dyDescent="0.25">
      <c r="A28" s="25"/>
      <c r="B28" s="25"/>
      <c r="C28" s="1060"/>
      <c r="D28" s="25"/>
      <c r="E28" s="1108"/>
      <c r="F28" s="1019"/>
      <c r="G28" s="1019"/>
      <c r="H28" s="1019"/>
      <c r="I28" s="1019"/>
      <c r="J28" s="5448" t="s">
        <v>131</v>
      </c>
      <c r="K28" s="5448"/>
      <c r="L28" s="1195" t="s">
        <v>154</v>
      </c>
      <c r="M28" s="5448"/>
      <c r="N28" s="5448"/>
      <c r="O28" s="1195" t="s">
        <v>100</v>
      </c>
      <c r="P28" s="1347"/>
      <c r="R28" s="1108"/>
      <c r="S28" s="5457"/>
      <c r="T28" s="1201"/>
      <c r="U28" s="16"/>
      <c r="V28" s="1108"/>
      <c r="W28" s="1019"/>
      <c r="X28" s="3912" t="s">
        <v>73</v>
      </c>
      <c r="Y28" s="1163"/>
      <c r="Z28" s="1164"/>
      <c r="AA28" s="1163"/>
      <c r="AB28" s="1110"/>
      <c r="AC28" s="16"/>
      <c r="AD28" s="1108"/>
      <c r="AE28" s="1019"/>
      <c r="AF28" s="3912" t="s">
        <v>73</v>
      </c>
      <c r="AG28" s="1163"/>
      <c r="AH28" s="1164"/>
      <c r="AI28" s="1163"/>
      <c r="AJ28" s="1110"/>
      <c r="AK28" s="16"/>
      <c r="AL28" s="1108"/>
      <c r="AM28" s="1019"/>
      <c r="AN28" s="3912" t="s">
        <v>73</v>
      </c>
      <c r="AO28" s="1163"/>
      <c r="AP28" s="1164"/>
      <c r="AQ28" s="1163"/>
      <c r="AR28" s="1110"/>
      <c r="AS28" s="16"/>
      <c r="AT28" s="1108"/>
      <c r="AU28" s="1019"/>
      <c r="AV28" s="3912" t="s">
        <v>73</v>
      </c>
      <c r="AW28" s="1163"/>
      <c r="AX28" s="1164"/>
      <c r="AY28" s="1163"/>
      <c r="AZ28" s="1110"/>
      <c r="BA28" s="16"/>
      <c r="BB28" s="1108"/>
      <c r="BC28" s="1019"/>
      <c r="BD28" s="3912" t="s">
        <v>73</v>
      </c>
      <c r="BE28" s="1163"/>
      <c r="BF28" s="1164"/>
      <c r="BG28" s="1163"/>
      <c r="BH28" s="1110"/>
      <c r="BI28" s="16"/>
      <c r="BJ28" s="1108"/>
      <c r="BK28" s="1019"/>
      <c r="BL28" s="3912" t="s">
        <v>73</v>
      </c>
      <c r="BM28" s="1163"/>
      <c r="BN28" s="1164"/>
      <c r="BO28" s="1163"/>
      <c r="BP28" s="1110"/>
      <c r="BQ28" s="16"/>
      <c r="BR28" s="1108"/>
      <c r="BS28" s="1019"/>
      <c r="BT28" s="3912" t="s">
        <v>73</v>
      </c>
      <c r="BU28" s="1163"/>
      <c r="BV28" s="1164"/>
      <c r="BW28" s="1163"/>
      <c r="BX28" s="1110"/>
      <c r="BY28" s="16"/>
      <c r="BZ28" s="1108"/>
      <c r="CA28" s="1019"/>
      <c r="CB28" s="3912" t="s">
        <v>73</v>
      </c>
      <c r="CC28" s="1163"/>
      <c r="CD28" s="1164"/>
      <c r="CE28" s="1163"/>
      <c r="CF28" s="1110"/>
      <c r="CG28" s="16"/>
      <c r="CH28" s="1108"/>
      <c r="CI28" s="1019"/>
      <c r="CJ28" s="3912" t="s">
        <v>73</v>
      </c>
      <c r="CK28" s="1163"/>
      <c r="CL28" s="1164"/>
      <c r="CM28" s="1163"/>
      <c r="CN28" s="1110"/>
      <c r="CO28" s="16"/>
      <c r="CP28" s="33"/>
    </row>
    <row r="29" spans="1:172" s="21" customFormat="1" ht="24.95" customHeight="1" thickBot="1" x14ac:dyDescent="0.25">
      <c r="A29" s="104"/>
      <c r="B29" s="104"/>
      <c r="C29" s="13"/>
      <c r="D29" s="104"/>
      <c r="E29" s="14"/>
      <c r="F29" s="14"/>
      <c r="G29" s="15"/>
      <c r="H29" s="15"/>
      <c r="I29" s="15"/>
      <c r="J29" s="16"/>
      <c r="K29" s="16"/>
      <c r="L29" s="50"/>
      <c r="M29" s="50"/>
      <c r="N29" s="50"/>
      <c r="O29" s="15"/>
      <c r="P29" s="15"/>
      <c r="Q29" s="70"/>
      <c r="S29" s="191"/>
      <c r="U29" s="16"/>
      <c r="V29" s="17"/>
      <c r="W29" s="17"/>
      <c r="X29" s="18"/>
      <c r="Y29" s="16"/>
      <c r="Z29" s="19"/>
      <c r="AC29" s="16"/>
      <c r="AD29" s="17"/>
      <c r="AE29" s="17"/>
      <c r="AF29" s="18"/>
      <c r="AG29" s="16"/>
      <c r="AH29" s="19"/>
      <c r="AK29" s="16"/>
      <c r="AL29" s="17"/>
      <c r="AM29" s="17"/>
      <c r="AN29" s="18"/>
      <c r="AO29" s="16"/>
      <c r="AP29" s="19"/>
      <c r="AS29" s="16"/>
      <c r="AT29" s="17"/>
      <c r="AU29" s="17"/>
      <c r="AV29" s="18"/>
      <c r="AW29" s="16"/>
      <c r="AX29" s="19"/>
      <c r="BA29" s="16"/>
      <c r="BB29" s="17"/>
      <c r="BC29" s="17"/>
      <c r="BD29" s="18"/>
      <c r="BE29" s="16"/>
      <c r="BF29" s="19"/>
      <c r="BI29" s="16"/>
      <c r="BJ29" s="17"/>
      <c r="BK29" s="17"/>
      <c r="BL29" s="18"/>
      <c r="BM29" s="16"/>
      <c r="BN29" s="19"/>
      <c r="BQ29" s="16"/>
      <c r="BR29" s="17"/>
      <c r="BS29" s="17"/>
      <c r="BT29" s="18"/>
      <c r="BU29" s="16"/>
      <c r="BV29" s="19"/>
      <c r="BY29" s="16"/>
      <c r="BZ29" s="17"/>
      <c r="CA29" s="17"/>
      <c r="CB29" s="18"/>
      <c r="CC29" s="16"/>
      <c r="CD29" s="19"/>
      <c r="CG29" s="16"/>
      <c r="CH29" s="17"/>
      <c r="CI29" s="17"/>
      <c r="CJ29" s="18"/>
      <c r="CK29" s="16"/>
      <c r="CL29" s="19"/>
      <c r="CO29" s="16"/>
    </row>
    <row r="30" spans="1:172" s="78" customFormat="1" ht="15" customHeight="1" thickBot="1" x14ac:dyDescent="0.25">
      <c r="A30" s="104"/>
      <c r="B30" s="104"/>
      <c r="C30" s="1253"/>
      <c r="D30" s="104"/>
      <c r="E30" s="1219"/>
      <c r="F30" s="6597" t="str">
        <f>_Calcs!$K$54</f>
        <v>Rensk og kartlegging</v>
      </c>
      <c r="G30" s="6597"/>
      <c r="H30" s="6597"/>
      <c r="I30" s="6597"/>
      <c r="J30" s="6597"/>
      <c r="K30" s="6597"/>
      <c r="L30" s="6597"/>
      <c r="M30" s="6597"/>
      <c r="N30" s="6597"/>
      <c r="O30" s="6597"/>
      <c r="P30" s="1220"/>
      <c r="R30" s="114"/>
      <c r="S30" s="114"/>
      <c r="T30" s="114"/>
      <c r="U30" s="16"/>
      <c r="V30" s="16"/>
      <c r="W30" s="16"/>
      <c r="X30" s="22"/>
      <c r="Y30" s="16"/>
      <c r="Z30" s="19"/>
      <c r="AA30" s="21"/>
      <c r="AB30" s="21"/>
      <c r="AC30" s="16"/>
      <c r="AD30" s="16"/>
      <c r="AE30" s="16"/>
      <c r="AF30" s="22"/>
      <c r="AG30" s="16"/>
      <c r="AH30" s="19"/>
      <c r="AI30" s="21"/>
      <c r="AJ30" s="21"/>
      <c r="AK30" s="16"/>
      <c r="AL30" s="16"/>
      <c r="AM30" s="16"/>
      <c r="AN30" s="22"/>
      <c r="AO30" s="16"/>
      <c r="AP30" s="19"/>
      <c r="AQ30" s="21"/>
      <c r="AR30" s="21"/>
      <c r="AS30" s="16"/>
      <c r="AT30" s="16"/>
      <c r="AU30" s="16"/>
      <c r="AV30" s="22"/>
      <c r="AW30" s="16"/>
      <c r="AX30" s="19"/>
      <c r="AY30" s="21"/>
      <c r="AZ30" s="21"/>
      <c r="BA30" s="16"/>
      <c r="BB30" s="16"/>
      <c r="BC30" s="16"/>
      <c r="BD30" s="22"/>
      <c r="BE30" s="16"/>
      <c r="BF30" s="19"/>
      <c r="BG30" s="21"/>
      <c r="BH30" s="21"/>
      <c r="BI30" s="16"/>
      <c r="BJ30" s="16"/>
      <c r="BK30" s="16"/>
      <c r="BL30" s="22"/>
      <c r="BM30" s="16"/>
      <c r="BN30" s="19"/>
      <c r="BO30" s="21"/>
      <c r="BP30" s="21"/>
      <c r="BQ30" s="16"/>
      <c r="BR30" s="16"/>
      <c r="BS30" s="16"/>
      <c r="BT30" s="22"/>
      <c r="BU30" s="16"/>
      <c r="BV30" s="19"/>
      <c r="BW30" s="21"/>
      <c r="BX30" s="21"/>
      <c r="BY30" s="16"/>
      <c r="BZ30" s="16"/>
      <c r="CA30" s="16"/>
      <c r="CB30" s="22"/>
      <c r="CC30" s="16"/>
      <c r="CD30" s="19"/>
      <c r="CE30" s="21"/>
      <c r="CF30" s="21"/>
      <c r="CG30" s="16"/>
      <c r="CH30" s="16"/>
      <c r="CI30" s="16"/>
      <c r="CJ30" s="22"/>
      <c r="CK30" s="16"/>
      <c r="CL30" s="19"/>
      <c r="CM30" s="21"/>
      <c r="CN30" s="21"/>
      <c r="CO30" s="16"/>
      <c r="CP30" s="21"/>
    </row>
    <row r="31" spans="1:172" s="78" customFormat="1" ht="15" customHeight="1" thickBot="1" x14ac:dyDescent="0.25">
      <c r="A31" s="104"/>
      <c r="B31" s="104"/>
      <c r="C31" s="6601" t="s">
        <v>98</v>
      </c>
      <c r="D31" s="104"/>
      <c r="E31" s="1221"/>
      <c r="F31" s="6598"/>
      <c r="G31" s="6598"/>
      <c r="H31" s="6598"/>
      <c r="I31" s="6598"/>
      <c r="J31" s="6598"/>
      <c r="K31" s="6598"/>
      <c r="L31" s="6598"/>
      <c r="M31" s="6598"/>
      <c r="N31" s="6598"/>
      <c r="O31" s="6598"/>
      <c r="P31" s="1222"/>
      <c r="R31" s="4094"/>
      <c r="S31" s="4095"/>
      <c r="T31" s="4096"/>
      <c r="U31" s="16"/>
      <c r="V31" s="692"/>
      <c r="W31" s="693"/>
      <c r="X31" s="1233"/>
      <c r="Y31" s="693"/>
      <c r="Z31" s="1234"/>
      <c r="AA31" s="748"/>
      <c r="AB31" s="1235"/>
      <c r="AC31" s="16"/>
      <c r="AD31" s="692"/>
      <c r="AE31" s="693"/>
      <c r="AF31" s="1233"/>
      <c r="AG31" s="693"/>
      <c r="AH31" s="1234"/>
      <c r="AI31" s="748"/>
      <c r="AJ31" s="1235"/>
      <c r="AK31" s="16"/>
      <c r="AL31" s="692"/>
      <c r="AM31" s="693"/>
      <c r="AN31" s="1233"/>
      <c r="AO31" s="693"/>
      <c r="AP31" s="1234"/>
      <c r="AQ31" s="748"/>
      <c r="AR31" s="1235"/>
      <c r="AS31" s="16"/>
      <c r="AT31" s="692"/>
      <c r="AU31" s="693"/>
      <c r="AV31" s="1233"/>
      <c r="AW31" s="693"/>
      <c r="AX31" s="1234"/>
      <c r="AY31" s="748"/>
      <c r="AZ31" s="1235"/>
      <c r="BA31" s="16"/>
      <c r="BB31" s="692"/>
      <c r="BC31" s="693"/>
      <c r="BD31" s="1233"/>
      <c r="BE31" s="693"/>
      <c r="BF31" s="1234"/>
      <c r="BG31" s="748"/>
      <c r="BH31" s="1235"/>
      <c r="BI31" s="16"/>
      <c r="BJ31" s="692"/>
      <c r="BK31" s="693"/>
      <c r="BL31" s="1233"/>
      <c r="BM31" s="693"/>
      <c r="BN31" s="1234"/>
      <c r="BO31" s="748"/>
      <c r="BP31" s="1235"/>
      <c r="BQ31" s="16"/>
      <c r="BR31" s="692"/>
      <c r="BS31" s="693"/>
      <c r="BT31" s="1233"/>
      <c r="BU31" s="693"/>
      <c r="BV31" s="1234"/>
      <c r="BW31" s="748"/>
      <c r="BX31" s="1235"/>
      <c r="BY31" s="16"/>
      <c r="BZ31" s="692"/>
      <c r="CA31" s="693"/>
      <c r="CB31" s="1233"/>
      <c r="CC31" s="693"/>
      <c r="CD31" s="1234"/>
      <c r="CE31" s="748"/>
      <c r="CF31" s="1235"/>
      <c r="CG31" s="16"/>
      <c r="CH31" s="692"/>
      <c r="CI31" s="693"/>
      <c r="CJ31" s="1233"/>
      <c r="CK31" s="693"/>
      <c r="CL31" s="1234"/>
      <c r="CM31" s="748"/>
      <c r="CN31" s="1235"/>
      <c r="CO31" s="16"/>
      <c r="CP31" s="172"/>
    </row>
    <row r="32" spans="1:172" s="78" customFormat="1" ht="8.1" customHeight="1" thickBot="1" x14ac:dyDescent="0.25">
      <c r="A32" s="104"/>
      <c r="B32" s="104"/>
      <c r="C32" s="6601"/>
      <c r="D32" s="104"/>
      <c r="E32" s="17"/>
      <c r="F32" s="129"/>
      <c r="G32" s="129"/>
      <c r="H32" s="129"/>
      <c r="I32" s="129"/>
      <c r="J32" s="16"/>
      <c r="K32" s="16"/>
      <c r="L32" s="19"/>
      <c r="M32" s="19"/>
      <c r="N32" s="19"/>
      <c r="O32" s="15"/>
      <c r="P32" s="15"/>
      <c r="R32" s="114"/>
      <c r="S32" s="114"/>
      <c r="T32" s="114"/>
      <c r="U32" s="16"/>
      <c r="V32" s="16"/>
      <c r="W32" s="16"/>
      <c r="X32" s="22"/>
      <c r="Y32" s="16"/>
      <c r="Z32" s="19"/>
      <c r="AA32" s="21"/>
      <c r="AB32" s="21"/>
      <c r="AC32" s="16"/>
      <c r="AD32" s="16"/>
      <c r="AE32" s="16"/>
      <c r="AF32" s="22"/>
      <c r="AG32" s="16"/>
      <c r="AH32" s="19"/>
      <c r="AI32" s="21"/>
      <c r="AJ32" s="21"/>
      <c r="AK32" s="16"/>
      <c r="AL32" s="16"/>
      <c r="AM32" s="16"/>
      <c r="AN32" s="22"/>
      <c r="AO32" s="16"/>
      <c r="AP32" s="19"/>
      <c r="AQ32" s="21"/>
      <c r="AR32" s="21"/>
      <c r="AS32" s="16"/>
      <c r="AT32" s="16"/>
      <c r="AU32" s="16"/>
      <c r="AV32" s="22"/>
      <c r="AW32" s="16"/>
      <c r="AX32" s="19"/>
      <c r="AY32" s="21"/>
      <c r="AZ32" s="21"/>
      <c r="BA32" s="16"/>
      <c r="BB32" s="16"/>
      <c r="BC32" s="16"/>
      <c r="BD32" s="22"/>
      <c r="BE32" s="16"/>
      <c r="BF32" s="19"/>
      <c r="BG32" s="21"/>
      <c r="BH32" s="21"/>
      <c r="BI32" s="16"/>
      <c r="BJ32" s="16"/>
      <c r="BK32" s="16"/>
      <c r="BL32" s="22"/>
      <c r="BM32" s="16"/>
      <c r="BN32" s="19"/>
      <c r="BO32" s="21"/>
      <c r="BP32" s="21"/>
      <c r="BQ32" s="16"/>
      <c r="BR32" s="16"/>
      <c r="BS32" s="16"/>
      <c r="BT32" s="22"/>
      <c r="BU32" s="16"/>
      <c r="BV32" s="19"/>
      <c r="BW32" s="21"/>
      <c r="BX32" s="21"/>
      <c r="BY32" s="16"/>
      <c r="BZ32" s="16"/>
      <c r="CA32" s="16"/>
      <c r="CB32" s="22"/>
      <c r="CC32" s="16"/>
      <c r="CD32" s="19"/>
      <c r="CE32" s="21"/>
      <c r="CF32" s="21"/>
      <c r="CG32" s="16"/>
      <c r="CH32" s="16"/>
      <c r="CI32" s="16"/>
      <c r="CJ32" s="22"/>
      <c r="CK32" s="16"/>
      <c r="CL32" s="19"/>
      <c r="CM32" s="21"/>
      <c r="CN32" s="21"/>
      <c r="CO32" s="16"/>
      <c r="CP32" s="21"/>
    </row>
    <row r="33" spans="1:151" s="78" customFormat="1" ht="15" customHeight="1" thickBot="1" x14ac:dyDescent="0.25">
      <c r="A33" s="104"/>
      <c r="B33" s="104"/>
      <c r="C33" s="6601"/>
      <c r="D33" s="104"/>
      <c r="E33" s="1223"/>
      <c r="F33" s="661"/>
      <c r="G33" s="661"/>
      <c r="H33" s="661"/>
      <c r="I33" s="661"/>
      <c r="J33" s="643"/>
      <c r="K33" s="643"/>
      <c r="L33" s="1224"/>
      <c r="M33" s="1224"/>
      <c r="N33" s="1224"/>
      <c r="O33" s="658"/>
      <c r="P33" s="1225"/>
      <c r="R33" s="4065"/>
      <c r="S33" s="4066"/>
      <c r="T33" s="4067"/>
      <c r="U33" s="16"/>
      <c r="V33" s="1237"/>
      <c r="W33" s="643"/>
      <c r="X33" s="642"/>
      <c r="Y33" s="643"/>
      <c r="Z33" s="1224"/>
      <c r="AA33" s="1238"/>
      <c r="AB33" s="1239"/>
      <c r="AC33" s="16"/>
      <c r="AD33" s="1237"/>
      <c r="AE33" s="643"/>
      <c r="AF33" s="642"/>
      <c r="AG33" s="643"/>
      <c r="AH33" s="1224"/>
      <c r="AI33" s="1238"/>
      <c r="AJ33" s="1239"/>
      <c r="AK33" s="16"/>
      <c r="AL33" s="1237"/>
      <c r="AM33" s="643"/>
      <c r="AN33" s="642"/>
      <c r="AO33" s="643"/>
      <c r="AP33" s="1224"/>
      <c r="AQ33" s="1238"/>
      <c r="AR33" s="1239"/>
      <c r="AS33" s="16"/>
      <c r="AT33" s="1237"/>
      <c r="AU33" s="643"/>
      <c r="AV33" s="642"/>
      <c r="AW33" s="643"/>
      <c r="AX33" s="1224"/>
      <c r="AY33" s="1238"/>
      <c r="AZ33" s="1239"/>
      <c r="BA33" s="16"/>
      <c r="BB33" s="1237"/>
      <c r="BC33" s="643"/>
      <c r="BD33" s="642"/>
      <c r="BE33" s="643"/>
      <c r="BF33" s="1224"/>
      <c r="BG33" s="1238"/>
      <c r="BH33" s="1239"/>
      <c r="BI33" s="16"/>
      <c r="BJ33" s="1237"/>
      <c r="BK33" s="643"/>
      <c r="BL33" s="642"/>
      <c r="BM33" s="643"/>
      <c r="BN33" s="1224"/>
      <c r="BO33" s="1238"/>
      <c r="BP33" s="1239"/>
      <c r="BQ33" s="16"/>
      <c r="BR33" s="1237"/>
      <c r="BS33" s="643"/>
      <c r="BT33" s="642"/>
      <c r="BU33" s="643"/>
      <c r="BV33" s="1224"/>
      <c r="BW33" s="1238"/>
      <c r="BX33" s="1239"/>
      <c r="BY33" s="16"/>
      <c r="BZ33" s="1237"/>
      <c r="CA33" s="643"/>
      <c r="CB33" s="642"/>
      <c r="CC33" s="643"/>
      <c r="CD33" s="1224"/>
      <c r="CE33" s="1238"/>
      <c r="CF33" s="1239"/>
      <c r="CG33" s="16"/>
      <c r="CH33" s="1237"/>
      <c r="CI33" s="643"/>
      <c r="CJ33" s="642"/>
      <c r="CK33" s="643"/>
      <c r="CL33" s="1224"/>
      <c r="CM33" s="1238"/>
      <c r="CN33" s="1239"/>
      <c r="CO33" s="16"/>
      <c r="CP33" s="173"/>
    </row>
    <row r="34" spans="1:151" s="78" customFormat="1" ht="20.100000000000001" customHeight="1" thickBot="1" x14ac:dyDescent="0.25">
      <c r="A34" s="104"/>
      <c r="B34" s="104"/>
      <c r="C34" s="6601"/>
      <c r="D34" s="104"/>
      <c r="E34" s="1226"/>
      <c r="F34" s="76" t="str">
        <f>_Calcs!$M$54</f>
        <v>Manuell driftsrensk</v>
      </c>
      <c r="G34" s="76"/>
      <c r="H34" s="76"/>
      <c r="I34" s="76"/>
      <c r="J34" s="5456" t="s">
        <v>149</v>
      </c>
      <c r="K34" s="75"/>
      <c r="L34" s="1227"/>
      <c r="M34" s="1227"/>
      <c r="N34" s="1227"/>
      <c r="O34" s="76" t="s">
        <v>46</v>
      </c>
      <c r="P34" s="1228"/>
      <c r="Q34" s="21"/>
      <c r="R34" s="4068"/>
      <c r="S34" s="2301">
        <f>IF($I$20&lt;&gt;_List!$CU$8,_Calcs!$EW$97,"")</f>
        <v>0</v>
      </c>
      <c r="T34" s="4069"/>
      <c r="U34" s="16"/>
      <c r="V34" s="1240"/>
      <c r="W34" s="75"/>
      <c r="X34" s="2480"/>
      <c r="Y34" s="75"/>
      <c r="Z34" s="30" t="str">
        <f>IF(_Calcs!$D$11=1,"✓",IF(X34="","!","✓"))</f>
        <v>!</v>
      </c>
      <c r="AA34" s="1227"/>
      <c r="AB34" s="1241"/>
      <c r="AC34" s="16"/>
      <c r="AD34" s="1240"/>
      <c r="AE34" s="75"/>
      <c r="AF34" s="2480"/>
      <c r="AG34" s="75"/>
      <c r="AH34" s="30" t="str">
        <f>IF(_Calcs!$D$11=1,"✓",IF(AF34="","!","✓"))</f>
        <v>!</v>
      </c>
      <c r="AI34" s="1227"/>
      <c r="AJ34" s="1241"/>
      <c r="AK34" s="16"/>
      <c r="AL34" s="1240"/>
      <c r="AM34" s="75"/>
      <c r="AN34" s="2480"/>
      <c r="AO34" s="75"/>
      <c r="AP34" s="30" t="str">
        <f>IF(_Calcs!$D$11=1,"✓",IF(AN34="","!","✓"))</f>
        <v>!</v>
      </c>
      <c r="AQ34" s="1227"/>
      <c r="AR34" s="1241"/>
      <c r="AS34" s="16"/>
      <c r="AT34" s="1240"/>
      <c r="AU34" s="75"/>
      <c r="AV34" s="2480"/>
      <c r="AW34" s="75"/>
      <c r="AX34" s="30" t="str">
        <f>IF(_Calcs!$D$11=1,"✓",IF(AV34="","!","✓"))</f>
        <v>!</v>
      </c>
      <c r="AY34" s="1227"/>
      <c r="AZ34" s="1241"/>
      <c r="BA34" s="16"/>
      <c r="BB34" s="1240"/>
      <c r="BC34" s="75"/>
      <c r="BD34" s="2480"/>
      <c r="BE34" s="75"/>
      <c r="BF34" s="30" t="str">
        <f>IF(_Calcs!$D$11=1,"✓",IF(BD34="","!","✓"))</f>
        <v>!</v>
      </c>
      <c r="BG34" s="1227"/>
      <c r="BH34" s="1241"/>
      <c r="BI34" s="16"/>
      <c r="BJ34" s="1240"/>
      <c r="BK34" s="75"/>
      <c r="BL34" s="2480"/>
      <c r="BM34" s="75"/>
      <c r="BN34" s="30" t="str">
        <f>IF(_Calcs!$D$11=1,"✓",IF(BL34="","!","✓"))</f>
        <v>!</v>
      </c>
      <c r="BO34" s="1227"/>
      <c r="BP34" s="1241"/>
      <c r="BQ34" s="16"/>
      <c r="BR34" s="1240"/>
      <c r="BS34" s="75"/>
      <c r="BT34" s="2480"/>
      <c r="BU34" s="75"/>
      <c r="BV34" s="30" t="str">
        <f>IF(_Calcs!$D$11=1,"✓",IF(BT34="","!","✓"))</f>
        <v>!</v>
      </c>
      <c r="BW34" s="1227"/>
      <c r="BX34" s="1241"/>
      <c r="BY34" s="16"/>
      <c r="BZ34" s="1240"/>
      <c r="CA34" s="75"/>
      <c r="CB34" s="2480"/>
      <c r="CC34" s="75"/>
      <c r="CD34" s="30" t="str">
        <f>IF(_Calcs!$D$11=1,"✓",IF(CB34="","!","✓"))</f>
        <v>!</v>
      </c>
      <c r="CE34" s="1227"/>
      <c r="CF34" s="1241"/>
      <c r="CG34" s="16"/>
      <c r="CH34" s="1240"/>
      <c r="CI34" s="75"/>
      <c r="CJ34" s="2480"/>
      <c r="CK34" s="75"/>
      <c r="CL34" s="30" t="str">
        <f>IF(_Calcs!$D$11=1,"✓",IF(CJ34="","!","✓"))</f>
        <v>!</v>
      </c>
      <c r="CM34" s="1227"/>
      <c r="CN34" s="1241"/>
      <c r="CO34" s="16"/>
      <c r="CP34" s="173"/>
    </row>
    <row r="35" spans="1:151" s="78" customFormat="1" ht="15" customHeight="1" thickBot="1" x14ac:dyDescent="0.25">
      <c r="A35" s="104"/>
      <c r="B35" s="104"/>
      <c r="C35" s="5452"/>
      <c r="D35" s="104"/>
      <c r="E35" s="1226"/>
      <c r="F35" s="76"/>
      <c r="G35" s="76"/>
      <c r="H35" s="76"/>
      <c r="I35" s="76"/>
      <c r="J35" s="5456"/>
      <c r="K35" s="75"/>
      <c r="L35" s="1227"/>
      <c r="M35" s="1227"/>
      <c r="N35" s="1227"/>
      <c r="O35" s="76"/>
      <c r="P35" s="1228"/>
      <c r="Q35" s="21"/>
      <c r="R35" s="4068"/>
      <c r="S35" s="3777"/>
      <c r="T35" s="4069"/>
      <c r="U35" s="16"/>
      <c r="V35" s="1240"/>
      <c r="W35" s="75"/>
      <c r="X35" s="3778"/>
      <c r="Y35" s="75"/>
      <c r="Z35" s="3464"/>
      <c r="AA35" s="1227"/>
      <c r="AB35" s="1241"/>
      <c r="AC35" s="16"/>
      <c r="AD35" s="1240"/>
      <c r="AE35" s="75"/>
      <c r="AF35" s="3778"/>
      <c r="AG35" s="75"/>
      <c r="AH35" s="3464"/>
      <c r="AI35" s="1227"/>
      <c r="AJ35" s="1241"/>
      <c r="AK35" s="16"/>
      <c r="AL35" s="1240"/>
      <c r="AM35" s="75"/>
      <c r="AN35" s="3778"/>
      <c r="AO35" s="75"/>
      <c r="AP35" s="3464"/>
      <c r="AQ35" s="1227"/>
      <c r="AR35" s="1241"/>
      <c r="AS35" s="16"/>
      <c r="AT35" s="1240"/>
      <c r="AU35" s="75"/>
      <c r="AV35" s="3778"/>
      <c r="AW35" s="75"/>
      <c r="AX35" s="3464"/>
      <c r="AY35" s="1227"/>
      <c r="AZ35" s="1241"/>
      <c r="BA35" s="16"/>
      <c r="BB35" s="1240"/>
      <c r="BC35" s="75"/>
      <c r="BD35" s="3778"/>
      <c r="BE35" s="75"/>
      <c r="BF35" s="3464"/>
      <c r="BG35" s="1227"/>
      <c r="BH35" s="1241"/>
      <c r="BI35" s="16"/>
      <c r="BJ35" s="1240"/>
      <c r="BK35" s="75"/>
      <c r="BL35" s="3778"/>
      <c r="BM35" s="75"/>
      <c r="BN35" s="3464"/>
      <c r="BO35" s="1227"/>
      <c r="BP35" s="1241"/>
      <c r="BQ35" s="16"/>
      <c r="BR35" s="1240"/>
      <c r="BS35" s="75"/>
      <c r="BT35" s="3778"/>
      <c r="BU35" s="75"/>
      <c r="BV35" s="3464"/>
      <c r="BW35" s="1227"/>
      <c r="BX35" s="1241"/>
      <c r="BY35" s="16"/>
      <c r="BZ35" s="1240"/>
      <c r="CA35" s="75"/>
      <c r="CB35" s="3778"/>
      <c r="CC35" s="75"/>
      <c r="CD35" s="3464"/>
      <c r="CE35" s="1227"/>
      <c r="CF35" s="1241"/>
      <c r="CG35" s="16"/>
      <c r="CH35" s="1240"/>
      <c r="CI35" s="75"/>
      <c r="CJ35" s="3778"/>
      <c r="CK35" s="75"/>
      <c r="CL35" s="3464"/>
      <c r="CM35" s="1227"/>
      <c r="CN35" s="1241"/>
      <c r="CO35" s="16"/>
      <c r="CP35" s="173"/>
    </row>
    <row r="36" spans="1:151" s="78" customFormat="1" ht="20.100000000000001" customHeight="1" thickBot="1" x14ac:dyDescent="0.25">
      <c r="A36" s="104"/>
      <c r="B36" s="104"/>
      <c r="C36" s="5452"/>
      <c r="D36" s="104"/>
      <c r="E36" s="1226"/>
      <c r="F36" s="76" t="str">
        <f>_Calcs!$M$55</f>
        <v>Registrering og kartlegging</v>
      </c>
      <c r="G36" s="76"/>
      <c r="H36" s="76"/>
      <c r="I36" s="76"/>
      <c r="J36" s="6206"/>
      <c r="K36" s="75"/>
      <c r="L36" s="1227"/>
      <c r="M36" s="1227"/>
      <c r="N36" s="1227"/>
      <c r="O36" s="76" t="s">
        <v>46</v>
      </c>
      <c r="P36" s="1228"/>
      <c r="Q36" s="21"/>
      <c r="R36" s="4068"/>
      <c r="S36" s="2301">
        <f>IF($I$20&lt;&gt;_List!$CU$8,_Calcs!$FF$97,"")</f>
        <v>0</v>
      </c>
      <c r="T36" s="4069"/>
      <c r="U36" s="16"/>
      <c r="V36" s="1240"/>
      <c r="W36" s="75"/>
      <c r="X36" s="2480"/>
      <c r="Y36" s="75"/>
      <c r="Z36" s="30" t="str">
        <f>IF(_Calcs!$D$11=1,"✓",IF(X36="","!","✓"))</f>
        <v>!</v>
      </c>
      <c r="AA36" s="1227"/>
      <c r="AB36" s="1241"/>
      <c r="AC36" s="16"/>
      <c r="AD36" s="1240"/>
      <c r="AE36" s="75"/>
      <c r="AF36" s="2480"/>
      <c r="AG36" s="75"/>
      <c r="AH36" s="30" t="str">
        <f>IF(_Calcs!$D$11=1,"✓",IF(AF36="","!","✓"))</f>
        <v>!</v>
      </c>
      <c r="AI36" s="1227"/>
      <c r="AJ36" s="1241"/>
      <c r="AK36" s="16"/>
      <c r="AL36" s="1240"/>
      <c r="AM36" s="75"/>
      <c r="AN36" s="2480"/>
      <c r="AO36" s="75"/>
      <c r="AP36" s="30" t="str">
        <f>IF(_Calcs!$D$11=1,"✓",IF(AN36="","!","✓"))</f>
        <v>!</v>
      </c>
      <c r="AQ36" s="1227"/>
      <c r="AR36" s="1241"/>
      <c r="AS36" s="16"/>
      <c r="AT36" s="1240"/>
      <c r="AU36" s="75"/>
      <c r="AV36" s="2480"/>
      <c r="AW36" s="75"/>
      <c r="AX36" s="30" t="str">
        <f>IF(_Calcs!$D$11=1,"✓",IF(AV36="","!","✓"))</f>
        <v>!</v>
      </c>
      <c r="AY36" s="1227"/>
      <c r="AZ36" s="1241"/>
      <c r="BA36" s="16"/>
      <c r="BB36" s="1240"/>
      <c r="BC36" s="75"/>
      <c r="BD36" s="2480"/>
      <c r="BE36" s="75"/>
      <c r="BF36" s="30" t="str">
        <f>IF(_Calcs!$D$11=1,"✓",IF(BD36="","!","✓"))</f>
        <v>!</v>
      </c>
      <c r="BG36" s="1227"/>
      <c r="BH36" s="1241"/>
      <c r="BI36" s="16"/>
      <c r="BJ36" s="1240"/>
      <c r="BK36" s="75"/>
      <c r="BL36" s="2480"/>
      <c r="BM36" s="75"/>
      <c r="BN36" s="30" t="str">
        <f>IF(_Calcs!$D$11=1,"✓",IF(BL36="","!","✓"))</f>
        <v>!</v>
      </c>
      <c r="BO36" s="1227"/>
      <c r="BP36" s="1241"/>
      <c r="BQ36" s="16"/>
      <c r="BR36" s="1240"/>
      <c r="BS36" s="75"/>
      <c r="BT36" s="2480"/>
      <c r="BU36" s="75"/>
      <c r="BV36" s="30" t="str">
        <f>IF(_Calcs!$D$11=1,"✓",IF(BT36="","!","✓"))</f>
        <v>!</v>
      </c>
      <c r="BW36" s="1227"/>
      <c r="BX36" s="1241"/>
      <c r="BY36" s="16"/>
      <c r="BZ36" s="1240"/>
      <c r="CA36" s="75"/>
      <c r="CB36" s="2480"/>
      <c r="CC36" s="75"/>
      <c r="CD36" s="30" t="str">
        <f>IF(_Calcs!$D$11=1,"✓",IF(CB36="","!","✓"))</f>
        <v>!</v>
      </c>
      <c r="CE36" s="1227"/>
      <c r="CF36" s="1241"/>
      <c r="CG36" s="16"/>
      <c r="CH36" s="1240"/>
      <c r="CI36" s="75"/>
      <c r="CJ36" s="2480"/>
      <c r="CK36" s="75"/>
      <c r="CL36" s="30" t="str">
        <f>IF(_Calcs!$D$11=1,"✓",IF(CJ36="","!","✓"))</f>
        <v>!</v>
      </c>
      <c r="CM36" s="1227"/>
      <c r="CN36" s="1241"/>
      <c r="CO36" s="16"/>
      <c r="CP36" s="173"/>
    </row>
    <row r="37" spans="1:151" s="78" customFormat="1" ht="15" customHeight="1" thickBot="1" x14ac:dyDescent="0.25">
      <c r="A37" s="104"/>
      <c r="B37" s="104"/>
      <c r="C37" s="1254"/>
      <c r="D37" s="20"/>
      <c r="E37" s="1229"/>
      <c r="F37" s="659"/>
      <c r="G37" s="659"/>
      <c r="H37" s="659"/>
      <c r="I37" s="659"/>
      <c r="J37" s="659"/>
      <c r="K37" s="659"/>
      <c r="L37" s="659"/>
      <c r="M37" s="659"/>
      <c r="N37" s="659"/>
      <c r="O37" s="659"/>
      <c r="P37" s="1230"/>
      <c r="R37" s="4070"/>
      <c r="S37" s="4103"/>
      <c r="T37" s="4072"/>
      <c r="U37" s="16"/>
      <c r="V37" s="1229"/>
      <c r="W37" s="659"/>
      <c r="X37" s="1242"/>
      <c r="Y37" s="659"/>
      <c r="Z37" s="659"/>
      <c r="AA37" s="1243"/>
      <c r="AB37" s="1244"/>
      <c r="AC37" s="16"/>
      <c r="AD37" s="1229"/>
      <c r="AE37" s="659"/>
      <c r="AF37" s="1242"/>
      <c r="AG37" s="659"/>
      <c r="AH37" s="659"/>
      <c r="AI37" s="1243"/>
      <c r="AJ37" s="1244"/>
      <c r="AK37" s="16"/>
      <c r="AL37" s="1229"/>
      <c r="AM37" s="659"/>
      <c r="AN37" s="1242"/>
      <c r="AO37" s="659"/>
      <c r="AP37" s="659"/>
      <c r="AQ37" s="1243"/>
      <c r="AR37" s="1244"/>
      <c r="AS37" s="16"/>
      <c r="AT37" s="1229"/>
      <c r="AU37" s="659"/>
      <c r="AV37" s="1242"/>
      <c r="AW37" s="659"/>
      <c r="AX37" s="659"/>
      <c r="AY37" s="1243"/>
      <c r="AZ37" s="1244"/>
      <c r="BA37" s="16"/>
      <c r="BB37" s="1229"/>
      <c r="BC37" s="659"/>
      <c r="BD37" s="1242"/>
      <c r="BE37" s="659"/>
      <c r="BF37" s="659"/>
      <c r="BG37" s="1243"/>
      <c r="BH37" s="1244"/>
      <c r="BI37" s="16"/>
      <c r="BJ37" s="1229"/>
      <c r="BK37" s="659"/>
      <c r="BL37" s="1242"/>
      <c r="BM37" s="659"/>
      <c r="BN37" s="659"/>
      <c r="BO37" s="1243"/>
      <c r="BP37" s="1244"/>
      <c r="BQ37" s="16"/>
      <c r="BR37" s="1229"/>
      <c r="BS37" s="659"/>
      <c r="BT37" s="1242"/>
      <c r="BU37" s="659"/>
      <c r="BV37" s="659"/>
      <c r="BW37" s="1243"/>
      <c r="BX37" s="1244"/>
      <c r="BY37" s="16"/>
      <c r="BZ37" s="1229"/>
      <c r="CA37" s="659"/>
      <c r="CB37" s="1242"/>
      <c r="CC37" s="659"/>
      <c r="CD37" s="659"/>
      <c r="CE37" s="1243"/>
      <c r="CF37" s="1244"/>
      <c r="CG37" s="16"/>
      <c r="CH37" s="1229"/>
      <c r="CI37" s="659"/>
      <c r="CJ37" s="1242"/>
      <c r="CK37" s="659"/>
      <c r="CL37" s="659"/>
      <c r="CM37" s="1243"/>
      <c r="CN37" s="1244"/>
      <c r="CO37" s="16"/>
      <c r="CP37" s="173"/>
    </row>
    <row r="38" spans="1:151" s="78" customFormat="1" ht="24.95" customHeight="1" thickBot="1" x14ac:dyDescent="0.25">
      <c r="A38" s="104"/>
      <c r="B38" s="104"/>
      <c r="C38" s="1254"/>
      <c r="D38" s="20"/>
      <c r="E38" s="15"/>
      <c r="F38" s="21"/>
      <c r="G38" s="21"/>
      <c r="H38" s="21"/>
      <c r="I38" s="21"/>
      <c r="J38" s="16"/>
      <c r="K38" s="16"/>
      <c r="L38" s="19"/>
      <c r="M38" s="19"/>
      <c r="N38" s="19"/>
      <c r="O38" s="15"/>
      <c r="P38" s="15"/>
      <c r="R38" s="70"/>
      <c r="S38" s="70"/>
      <c r="T38" s="70"/>
      <c r="U38" s="16"/>
      <c r="V38" s="16"/>
      <c r="W38" s="16"/>
      <c r="X38" s="22"/>
      <c r="Y38" s="16"/>
      <c r="Z38" s="19"/>
      <c r="AA38" s="21"/>
      <c r="AB38" s="21"/>
      <c r="AC38" s="16"/>
      <c r="AD38" s="16"/>
      <c r="AE38" s="16"/>
      <c r="AF38" s="22"/>
      <c r="AG38" s="16"/>
      <c r="AH38" s="19"/>
      <c r="AI38" s="21"/>
      <c r="AJ38" s="21"/>
      <c r="AK38" s="16"/>
      <c r="AL38" s="16"/>
      <c r="AM38" s="16"/>
      <c r="AN38" s="22"/>
      <c r="AO38" s="16"/>
      <c r="AP38" s="19"/>
      <c r="AQ38" s="21"/>
      <c r="AR38" s="21"/>
      <c r="AS38" s="16"/>
      <c r="AT38" s="16"/>
      <c r="AU38" s="16"/>
      <c r="AV38" s="22"/>
      <c r="AW38" s="16"/>
      <c r="AX38" s="19"/>
      <c r="AY38" s="21"/>
      <c r="AZ38" s="21"/>
      <c r="BA38" s="16"/>
      <c r="BB38" s="16"/>
      <c r="BC38" s="16"/>
      <c r="BD38" s="22"/>
      <c r="BE38" s="16"/>
      <c r="BF38" s="19"/>
      <c r="BG38" s="21"/>
      <c r="BH38" s="21"/>
      <c r="BI38" s="16"/>
      <c r="BJ38" s="16"/>
      <c r="BK38" s="16"/>
      <c r="BL38" s="22"/>
      <c r="BM38" s="16"/>
      <c r="BN38" s="19"/>
      <c r="BO38" s="21"/>
      <c r="BP38" s="21"/>
      <c r="BQ38" s="16"/>
      <c r="BR38" s="16"/>
      <c r="BS38" s="16"/>
      <c r="BT38" s="22"/>
      <c r="BU38" s="16"/>
      <c r="BV38" s="19"/>
      <c r="BW38" s="21"/>
      <c r="BX38" s="21"/>
      <c r="BY38" s="16"/>
      <c r="BZ38" s="16"/>
      <c r="CA38" s="16"/>
      <c r="CB38" s="22"/>
      <c r="CC38" s="16"/>
      <c r="CD38" s="19"/>
      <c r="CE38" s="21"/>
      <c r="CF38" s="21"/>
      <c r="CG38" s="16"/>
      <c r="CH38" s="16"/>
      <c r="CI38" s="16"/>
      <c r="CJ38" s="22"/>
      <c r="CK38" s="16"/>
      <c r="CL38" s="19"/>
      <c r="CM38" s="21"/>
      <c r="CN38" s="21"/>
      <c r="CO38" s="16"/>
      <c r="CP38" s="21"/>
    </row>
    <row r="39" spans="1:151" s="78" customFormat="1" ht="15" customHeight="1" thickBot="1" x14ac:dyDescent="0.25">
      <c r="A39" s="104"/>
      <c r="B39" s="104"/>
      <c r="C39" s="1254"/>
      <c r="D39" s="20"/>
      <c r="E39" s="1219"/>
      <c r="F39" s="6597" t="str">
        <f>_Calcs!$K$56</f>
        <v>Sikringsbolter</v>
      </c>
      <c r="G39" s="6597"/>
      <c r="H39" s="6597"/>
      <c r="I39" s="6597"/>
      <c r="J39" s="6597"/>
      <c r="K39" s="6597"/>
      <c r="L39" s="6597"/>
      <c r="M39" s="6597"/>
      <c r="N39" s="6597"/>
      <c r="O39" s="6597"/>
      <c r="P39" s="1220"/>
      <c r="R39" s="70"/>
      <c r="S39" s="70"/>
      <c r="T39" s="70"/>
      <c r="U39" s="16"/>
      <c r="V39" s="16"/>
      <c r="W39" s="16"/>
      <c r="X39" s="22"/>
      <c r="Y39" s="16"/>
      <c r="Z39" s="19"/>
      <c r="AA39" s="21"/>
      <c r="AB39" s="21"/>
      <c r="AC39" s="16"/>
      <c r="AD39" s="16"/>
      <c r="AE39" s="16"/>
      <c r="AF39" s="22"/>
      <c r="AG39" s="16"/>
      <c r="AH39" s="19"/>
      <c r="AI39" s="21"/>
      <c r="AJ39" s="21"/>
      <c r="AK39" s="16"/>
      <c r="AL39" s="16"/>
      <c r="AM39" s="16"/>
      <c r="AN39" s="22"/>
      <c r="AO39" s="16"/>
      <c r="AP39" s="19"/>
      <c r="AQ39" s="21"/>
      <c r="AR39" s="21"/>
      <c r="AS39" s="16"/>
      <c r="AT39" s="16"/>
      <c r="AU39" s="16"/>
      <c r="AV39" s="22"/>
      <c r="AW39" s="16"/>
      <c r="AX39" s="19"/>
      <c r="AY39" s="21"/>
      <c r="AZ39" s="21"/>
      <c r="BA39" s="16"/>
      <c r="BB39" s="16"/>
      <c r="BC39" s="16"/>
      <c r="BD39" s="22"/>
      <c r="BE39" s="16"/>
      <c r="BF39" s="19"/>
      <c r="BG39" s="21"/>
      <c r="BH39" s="21"/>
      <c r="BI39" s="16"/>
      <c r="BJ39" s="16"/>
      <c r="BK39" s="16"/>
      <c r="BL39" s="22"/>
      <c r="BM39" s="16"/>
      <c r="BN39" s="19"/>
      <c r="BO39" s="21"/>
      <c r="BP39" s="21"/>
      <c r="BQ39" s="16"/>
      <c r="BR39" s="16"/>
      <c r="BS39" s="16"/>
      <c r="BT39" s="22"/>
      <c r="BU39" s="16"/>
      <c r="BV39" s="19"/>
      <c r="BW39" s="21"/>
      <c r="BX39" s="21"/>
      <c r="BY39" s="16"/>
      <c r="BZ39" s="16"/>
      <c r="CA39" s="16"/>
      <c r="CB39" s="22"/>
      <c r="CC39" s="16"/>
      <c r="CD39" s="19"/>
      <c r="CE39" s="21"/>
      <c r="CF39" s="21"/>
      <c r="CG39" s="16"/>
      <c r="CH39" s="16"/>
      <c r="CI39" s="16"/>
      <c r="CJ39" s="22"/>
      <c r="CK39" s="16"/>
      <c r="CL39" s="19"/>
      <c r="CM39" s="21"/>
      <c r="CN39" s="21"/>
      <c r="CO39" s="16"/>
      <c r="CP39" s="21"/>
    </row>
    <row r="40" spans="1:151" s="78" customFormat="1" ht="15" customHeight="1" thickBot="1" x14ac:dyDescent="0.25">
      <c r="A40" s="104"/>
      <c r="B40" s="104"/>
      <c r="C40" s="5452"/>
      <c r="D40" s="20"/>
      <c r="E40" s="1221"/>
      <c r="F40" s="6598"/>
      <c r="G40" s="6598"/>
      <c r="H40" s="6598"/>
      <c r="I40" s="6598"/>
      <c r="J40" s="6598"/>
      <c r="K40" s="6598"/>
      <c r="L40" s="6598"/>
      <c r="M40" s="6598"/>
      <c r="N40" s="6598"/>
      <c r="O40" s="6598"/>
      <c r="P40" s="1222"/>
      <c r="R40" s="4094"/>
      <c r="S40" s="4095"/>
      <c r="T40" s="4096"/>
      <c r="U40" s="16"/>
      <c r="V40" s="692"/>
      <c r="W40" s="693"/>
      <c r="X40" s="1233"/>
      <c r="Y40" s="693"/>
      <c r="Z40" s="1234"/>
      <c r="AA40" s="748"/>
      <c r="AB40" s="1235"/>
      <c r="AC40" s="16"/>
      <c r="AD40" s="692"/>
      <c r="AE40" s="693"/>
      <c r="AF40" s="1233"/>
      <c r="AG40" s="693"/>
      <c r="AH40" s="1234"/>
      <c r="AI40" s="748"/>
      <c r="AJ40" s="1235"/>
      <c r="AK40" s="16"/>
      <c r="AL40" s="692"/>
      <c r="AM40" s="693"/>
      <c r="AN40" s="1233"/>
      <c r="AO40" s="693"/>
      <c r="AP40" s="1234"/>
      <c r="AQ40" s="748"/>
      <c r="AR40" s="1235"/>
      <c r="AS40" s="16"/>
      <c r="AT40" s="692"/>
      <c r="AU40" s="693"/>
      <c r="AV40" s="1233"/>
      <c r="AW40" s="693"/>
      <c r="AX40" s="1234"/>
      <c r="AY40" s="748"/>
      <c r="AZ40" s="1235"/>
      <c r="BA40" s="16"/>
      <c r="BB40" s="692"/>
      <c r="BC40" s="693"/>
      <c r="BD40" s="1233"/>
      <c r="BE40" s="693"/>
      <c r="BF40" s="1234"/>
      <c r="BG40" s="748"/>
      <c r="BH40" s="1235"/>
      <c r="BI40" s="16"/>
      <c r="BJ40" s="692"/>
      <c r="BK40" s="693"/>
      <c r="BL40" s="1233"/>
      <c r="BM40" s="693"/>
      <c r="BN40" s="1234"/>
      <c r="BO40" s="748"/>
      <c r="BP40" s="1235"/>
      <c r="BQ40" s="16"/>
      <c r="BR40" s="692"/>
      <c r="BS40" s="693"/>
      <c r="BT40" s="1233"/>
      <c r="BU40" s="693"/>
      <c r="BV40" s="1234"/>
      <c r="BW40" s="748"/>
      <c r="BX40" s="1235"/>
      <c r="BY40" s="16"/>
      <c r="BZ40" s="692"/>
      <c r="CA40" s="693"/>
      <c r="CB40" s="1233"/>
      <c r="CC40" s="693"/>
      <c r="CD40" s="1234"/>
      <c r="CE40" s="748"/>
      <c r="CF40" s="1235"/>
      <c r="CG40" s="16"/>
      <c r="CH40" s="692"/>
      <c r="CI40" s="693"/>
      <c r="CJ40" s="1233"/>
      <c r="CK40" s="693"/>
      <c r="CL40" s="1234"/>
      <c r="CM40" s="748"/>
      <c r="CN40" s="1235"/>
      <c r="CO40" s="16"/>
      <c r="CP40" s="172"/>
    </row>
    <row r="41" spans="1:151" s="78" customFormat="1" ht="8.1" customHeight="1" thickBot="1" x14ac:dyDescent="0.25">
      <c r="A41" s="104"/>
      <c r="B41" s="104"/>
      <c r="C41" s="5452"/>
      <c r="D41" s="20"/>
      <c r="E41" s="15"/>
      <c r="F41" s="1212"/>
      <c r="G41" s="1212"/>
      <c r="H41" s="1212"/>
      <c r="I41" s="1212"/>
      <c r="J41" s="16"/>
      <c r="K41" s="16"/>
      <c r="L41" s="19"/>
      <c r="M41" s="19"/>
      <c r="N41" s="19"/>
      <c r="O41" s="15"/>
      <c r="P41" s="15"/>
      <c r="R41" s="70"/>
      <c r="S41" s="114"/>
      <c r="T41" s="70"/>
      <c r="U41" s="16"/>
      <c r="V41" s="16"/>
      <c r="W41" s="16"/>
      <c r="X41" s="22"/>
      <c r="Y41" s="16"/>
      <c r="Z41" s="19"/>
      <c r="AA41" s="21"/>
      <c r="AB41" s="21"/>
      <c r="AC41" s="16"/>
      <c r="AD41" s="16"/>
      <c r="AE41" s="16"/>
      <c r="AF41" s="22"/>
      <c r="AG41" s="16"/>
      <c r="AH41" s="19"/>
      <c r="AI41" s="21"/>
      <c r="AJ41" s="21"/>
      <c r="AK41" s="16"/>
      <c r="AL41" s="16"/>
      <c r="AM41" s="16"/>
      <c r="AN41" s="22"/>
      <c r="AO41" s="16"/>
      <c r="AP41" s="19"/>
      <c r="AQ41" s="21"/>
      <c r="AR41" s="21"/>
      <c r="AS41" s="16"/>
      <c r="AT41" s="16"/>
      <c r="AU41" s="16"/>
      <c r="AV41" s="22"/>
      <c r="AW41" s="16"/>
      <c r="AX41" s="19"/>
      <c r="AY41" s="21"/>
      <c r="AZ41" s="21"/>
      <c r="BA41" s="16"/>
      <c r="BB41" s="16"/>
      <c r="BC41" s="16"/>
      <c r="BD41" s="22"/>
      <c r="BE41" s="16"/>
      <c r="BF41" s="19"/>
      <c r="BG41" s="21"/>
      <c r="BH41" s="21"/>
      <c r="BI41" s="16"/>
      <c r="BJ41" s="16"/>
      <c r="BK41" s="16"/>
      <c r="BL41" s="22"/>
      <c r="BM41" s="16"/>
      <c r="BN41" s="19"/>
      <c r="BO41" s="21"/>
      <c r="BP41" s="21"/>
      <c r="BQ41" s="16"/>
      <c r="BR41" s="16"/>
      <c r="BS41" s="16"/>
      <c r="BT41" s="22"/>
      <c r="BU41" s="16"/>
      <c r="BV41" s="19"/>
      <c r="BW41" s="21"/>
      <c r="BX41" s="21"/>
      <c r="BY41" s="16"/>
      <c r="BZ41" s="16"/>
      <c r="CA41" s="16"/>
      <c r="CB41" s="22"/>
      <c r="CC41" s="16"/>
      <c r="CD41" s="19"/>
      <c r="CE41" s="21"/>
      <c r="CF41" s="21"/>
      <c r="CG41" s="16"/>
      <c r="CH41" s="16"/>
      <c r="CI41" s="16"/>
      <c r="CJ41" s="22"/>
      <c r="CK41" s="16"/>
      <c r="CL41" s="19"/>
      <c r="CM41" s="21"/>
      <c r="CN41" s="21"/>
      <c r="CO41" s="16"/>
      <c r="CP41" s="21"/>
    </row>
    <row r="42" spans="1:151" s="78" customFormat="1" ht="15" customHeight="1" thickBot="1" x14ac:dyDescent="0.25">
      <c r="A42" s="104"/>
      <c r="B42" s="104"/>
      <c r="C42" s="1250"/>
      <c r="D42" s="20"/>
      <c r="E42" s="1223"/>
      <c r="F42" s="661"/>
      <c r="G42" s="661"/>
      <c r="H42" s="661"/>
      <c r="I42" s="661"/>
      <c r="J42" s="643"/>
      <c r="K42" s="643"/>
      <c r="L42" s="1224"/>
      <c r="M42" s="1224"/>
      <c r="N42" s="1224"/>
      <c r="O42" s="658"/>
      <c r="P42" s="1225"/>
      <c r="R42" s="4065"/>
      <c r="S42" s="4066"/>
      <c r="T42" s="4067"/>
      <c r="U42" s="16"/>
      <c r="V42" s="1237"/>
      <c r="W42" s="643"/>
      <c r="X42" s="642"/>
      <c r="Y42" s="643"/>
      <c r="Z42" s="1224"/>
      <c r="AA42" s="1238"/>
      <c r="AB42" s="1239"/>
      <c r="AC42" s="16"/>
      <c r="AD42" s="1237"/>
      <c r="AE42" s="643"/>
      <c r="AF42" s="642"/>
      <c r="AG42" s="643"/>
      <c r="AH42" s="1224"/>
      <c r="AI42" s="1238"/>
      <c r="AJ42" s="1239"/>
      <c r="AK42" s="16"/>
      <c r="AL42" s="1237"/>
      <c r="AM42" s="643"/>
      <c r="AN42" s="642"/>
      <c r="AO42" s="643"/>
      <c r="AP42" s="1224"/>
      <c r="AQ42" s="1238"/>
      <c r="AR42" s="1239"/>
      <c r="AS42" s="16"/>
      <c r="AT42" s="1237"/>
      <c r="AU42" s="643"/>
      <c r="AV42" s="642"/>
      <c r="AW42" s="643"/>
      <c r="AX42" s="1224"/>
      <c r="AY42" s="1238"/>
      <c r="AZ42" s="1239"/>
      <c r="BA42" s="16"/>
      <c r="BB42" s="1237"/>
      <c r="BC42" s="643"/>
      <c r="BD42" s="642"/>
      <c r="BE42" s="643"/>
      <c r="BF42" s="1224"/>
      <c r="BG42" s="1238"/>
      <c r="BH42" s="1239"/>
      <c r="BI42" s="16"/>
      <c r="BJ42" s="1237"/>
      <c r="BK42" s="643"/>
      <c r="BL42" s="642"/>
      <c r="BM42" s="643"/>
      <c r="BN42" s="1224"/>
      <c r="BO42" s="1238"/>
      <c r="BP42" s="1239"/>
      <c r="BQ42" s="16"/>
      <c r="BR42" s="1237"/>
      <c r="BS42" s="643"/>
      <c r="BT42" s="642"/>
      <c r="BU42" s="643"/>
      <c r="BV42" s="1224"/>
      <c r="BW42" s="1238"/>
      <c r="BX42" s="1239"/>
      <c r="BY42" s="16"/>
      <c r="BZ42" s="1237"/>
      <c r="CA42" s="643"/>
      <c r="CB42" s="642"/>
      <c r="CC42" s="643"/>
      <c r="CD42" s="1224"/>
      <c r="CE42" s="1238"/>
      <c r="CF42" s="1239"/>
      <c r="CG42" s="16"/>
      <c r="CH42" s="1237"/>
      <c r="CI42" s="643"/>
      <c r="CJ42" s="642"/>
      <c r="CK42" s="643"/>
      <c r="CL42" s="1224"/>
      <c r="CM42" s="1238"/>
      <c r="CN42" s="1239"/>
      <c r="CO42" s="16"/>
      <c r="CP42" s="173"/>
    </row>
    <row r="43" spans="1:151" s="1913" customFormat="1" ht="20.100000000000001" customHeight="1" thickBot="1" x14ac:dyDescent="0.25">
      <c r="A43" s="1905"/>
      <c r="B43" s="1905"/>
      <c r="C43" s="1906"/>
      <c r="D43" s="1907"/>
      <c r="E43" s="1908"/>
      <c r="F43" s="1909" t="str">
        <f>_Calcs!$M$56</f>
        <v>Alle typer ≤ 4 m</v>
      </c>
      <c r="G43" s="1909"/>
      <c r="H43" s="1909"/>
      <c r="I43" s="1909"/>
      <c r="J43" s="2297" t="s">
        <v>149</v>
      </c>
      <c r="K43" s="2297"/>
      <c r="L43" s="1910"/>
      <c r="M43" s="1910"/>
      <c r="N43" s="1910"/>
      <c r="O43" s="1911" t="s">
        <v>97</v>
      </c>
      <c r="P43" s="1912"/>
      <c r="R43" s="4105"/>
      <c r="S43" s="3885">
        <f>IF($I$20&lt;&gt;_List!$CU$8,_Calcs!$EX$97,"")</f>
        <v>0</v>
      </c>
      <c r="T43" s="4106"/>
      <c r="U43" s="1917"/>
      <c r="V43" s="1918"/>
      <c r="W43" s="1919"/>
      <c r="X43" s="2480"/>
      <c r="Y43" s="1919"/>
      <c r="Z43" s="3878" t="str">
        <f>IF(_Calcs!$D$11=1,"✓",IF(X43="","!","✓"))</f>
        <v>!</v>
      </c>
      <c r="AA43" s="1920"/>
      <c r="AB43" s="1921"/>
      <c r="AC43" s="1917"/>
      <c r="AD43" s="1918"/>
      <c r="AE43" s="1919"/>
      <c r="AF43" s="2480"/>
      <c r="AG43" s="1919"/>
      <c r="AH43" s="3878" t="str">
        <f>IF(_Calcs!$D$11=1,"✓",IF(AF43="","!","✓"))</f>
        <v>!</v>
      </c>
      <c r="AI43" s="1920"/>
      <c r="AJ43" s="1921"/>
      <c r="AK43" s="1917"/>
      <c r="AL43" s="1918"/>
      <c r="AM43" s="1919"/>
      <c r="AN43" s="2480"/>
      <c r="AO43" s="1919"/>
      <c r="AP43" s="3878" t="str">
        <f>IF(_Calcs!$D$11=1,"✓",IF(AN43="","!","✓"))</f>
        <v>!</v>
      </c>
      <c r="AQ43" s="1920"/>
      <c r="AR43" s="1921"/>
      <c r="AS43" s="1917"/>
      <c r="AT43" s="1918"/>
      <c r="AU43" s="1919"/>
      <c r="AV43" s="2480"/>
      <c r="AW43" s="1919"/>
      <c r="AX43" s="3878" t="str">
        <f>IF(_Calcs!$D$11=1,"✓",IF(AV43="","!","✓"))</f>
        <v>!</v>
      </c>
      <c r="AY43" s="1920"/>
      <c r="AZ43" s="1921"/>
      <c r="BA43" s="1917"/>
      <c r="BB43" s="1918"/>
      <c r="BC43" s="1919"/>
      <c r="BD43" s="2480"/>
      <c r="BE43" s="1919"/>
      <c r="BF43" s="3878" t="str">
        <f>IF(_Calcs!$D$11=1,"✓",IF(BD43="","!","✓"))</f>
        <v>!</v>
      </c>
      <c r="BG43" s="1920"/>
      <c r="BH43" s="1921"/>
      <c r="BI43" s="1917"/>
      <c r="BJ43" s="1918"/>
      <c r="BK43" s="1919"/>
      <c r="BL43" s="2480"/>
      <c r="BM43" s="1919"/>
      <c r="BN43" s="3878" t="str">
        <f>IF(_Calcs!$D$11=1,"✓",IF(BL43="","!","✓"))</f>
        <v>!</v>
      </c>
      <c r="BO43" s="1920"/>
      <c r="BP43" s="1921"/>
      <c r="BQ43" s="1917"/>
      <c r="BR43" s="1918"/>
      <c r="BS43" s="1919"/>
      <c r="BT43" s="2480"/>
      <c r="BU43" s="1919"/>
      <c r="BV43" s="3878" t="str">
        <f>IF(_Calcs!$D$11=1,"✓",IF(BT43="","!","✓"))</f>
        <v>!</v>
      </c>
      <c r="BW43" s="1920"/>
      <c r="BX43" s="1921"/>
      <c r="BY43" s="1917"/>
      <c r="BZ43" s="1918"/>
      <c r="CA43" s="1919"/>
      <c r="CB43" s="2480"/>
      <c r="CC43" s="1919"/>
      <c r="CD43" s="3878" t="str">
        <f>IF(_Calcs!$D$11=1,"✓",IF(CB43="","!","✓"))</f>
        <v>!</v>
      </c>
      <c r="CE43" s="1920"/>
      <c r="CF43" s="1921"/>
      <c r="CG43" s="1917"/>
      <c r="CH43" s="1918"/>
      <c r="CI43" s="1919"/>
      <c r="CJ43" s="2480"/>
      <c r="CK43" s="1919"/>
      <c r="CL43" s="3878" t="str">
        <f>IF(_Calcs!$D$11=1,"✓",IF(CJ43="","!","✓"))</f>
        <v>!</v>
      </c>
      <c r="CM43" s="1920"/>
      <c r="CN43" s="1921"/>
      <c r="CO43" s="1917"/>
      <c r="CP43" s="1922"/>
      <c r="CQ43" s="1923"/>
      <c r="CR43" s="1923"/>
      <c r="CS43" s="1923"/>
      <c r="CT43" s="1923"/>
      <c r="CU43" s="1923"/>
      <c r="CV43" s="1923"/>
      <c r="CW43" s="1923"/>
      <c r="CX43" s="1923"/>
      <c r="CY43" s="1923"/>
      <c r="CZ43" s="1923"/>
      <c r="DA43" s="1923"/>
      <c r="DB43" s="1923"/>
      <c r="DC43" s="1923"/>
      <c r="DD43" s="1923"/>
      <c r="DE43" s="1923"/>
      <c r="DF43" s="1923"/>
      <c r="DG43" s="1923"/>
      <c r="DH43" s="1923"/>
      <c r="DI43" s="1923"/>
      <c r="DJ43" s="1923"/>
      <c r="DK43" s="1923"/>
      <c r="DL43" s="1923"/>
      <c r="DM43" s="1923"/>
      <c r="DN43" s="1923"/>
      <c r="DO43" s="1923"/>
      <c r="DP43" s="1923"/>
      <c r="DQ43" s="1923"/>
      <c r="DR43" s="1923"/>
      <c r="DS43" s="1923"/>
      <c r="DT43" s="1923"/>
      <c r="DU43" s="1923"/>
      <c r="DV43" s="1923"/>
      <c r="DW43" s="1923"/>
      <c r="DX43" s="1923"/>
      <c r="DY43" s="1923"/>
      <c r="DZ43" s="1923"/>
      <c r="EA43" s="1923"/>
      <c r="EB43" s="1923"/>
      <c r="EC43" s="1923"/>
      <c r="ED43" s="1923"/>
      <c r="EE43" s="1923"/>
      <c r="EF43" s="1923"/>
      <c r="EG43" s="1923"/>
      <c r="EH43" s="1923"/>
      <c r="EI43" s="1923"/>
      <c r="EJ43" s="1923"/>
      <c r="EK43" s="1923"/>
      <c r="EL43" s="1923"/>
      <c r="EM43" s="1923"/>
      <c r="EN43" s="1923"/>
      <c r="EO43" s="1923"/>
      <c r="EP43" s="1923"/>
      <c r="EQ43" s="1923"/>
      <c r="ER43" s="1923"/>
      <c r="ES43" s="1923"/>
      <c r="ET43" s="1923"/>
      <c r="EU43" s="1923"/>
    </row>
    <row r="44" spans="1:151" s="78" customFormat="1" ht="15" customHeight="1" thickBot="1" x14ac:dyDescent="0.25">
      <c r="A44" s="104"/>
      <c r="B44" s="104"/>
      <c r="C44" s="1251"/>
      <c r="D44" s="20"/>
      <c r="E44" s="1231"/>
      <c r="F44" s="650"/>
      <c r="G44" s="650"/>
      <c r="H44" s="650"/>
      <c r="I44" s="650"/>
      <c r="J44" s="75"/>
      <c r="K44" s="75"/>
      <c r="L44" s="1232"/>
      <c r="M44" s="1232"/>
      <c r="N44" s="1232"/>
      <c r="O44" s="76"/>
      <c r="P44" s="1228"/>
      <c r="R44" s="4068"/>
      <c r="S44" s="4107"/>
      <c r="T44" s="4106"/>
      <c r="U44" s="1917"/>
      <c r="V44" s="1918"/>
      <c r="W44" s="1919"/>
      <c r="X44" s="1919"/>
      <c r="Y44" s="1919"/>
      <c r="Z44" s="1925"/>
      <c r="AA44" s="1920"/>
      <c r="AB44" s="1921"/>
      <c r="AC44" s="1917"/>
      <c r="AD44" s="1918"/>
      <c r="AE44" s="1919"/>
      <c r="AF44" s="1919"/>
      <c r="AG44" s="1919"/>
      <c r="AH44" s="1925"/>
      <c r="AI44" s="1920"/>
      <c r="AJ44" s="1921"/>
      <c r="AK44" s="1917"/>
      <c r="AL44" s="1918"/>
      <c r="AM44" s="1919"/>
      <c r="AN44" s="1919"/>
      <c r="AO44" s="1919"/>
      <c r="AP44" s="1925"/>
      <c r="AQ44" s="1920"/>
      <c r="AR44" s="1921"/>
      <c r="AS44" s="1917"/>
      <c r="AT44" s="1918"/>
      <c r="AU44" s="1919"/>
      <c r="AV44" s="1919"/>
      <c r="AW44" s="1919"/>
      <c r="AX44" s="1925"/>
      <c r="AY44" s="1920"/>
      <c r="AZ44" s="1921"/>
      <c r="BA44" s="1917"/>
      <c r="BB44" s="1918"/>
      <c r="BC44" s="1919"/>
      <c r="BD44" s="1919"/>
      <c r="BE44" s="1919"/>
      <c r="BF44" s="1925"/>
      <c r="BG44" s="1920"/>
      <c r="BH44" s="1921"/>
      <c r="BI44" s="1917"/>
      <c r="BJ44" s="1918"/>
      <c r="BK44" s="1919"/>
      <c r="BL44" s="1919"/>
      <c r="BM44" s="1919"/>
      <c r="BN44" s="1925"/>
      <c r="BO44" s="1920"/>
      <c r="BP44" s="1921"/>
      <c r="BQ44" s="1917"/>
      <c r="BR44" s="1918"/>
      <c r="BS44" s="1919"/>
      <c r="BT44" s="1919"/>
      <c r="BU44" s="1919"/>
      <c r="BV44" s="1925"/>
      <c r="BW44" s="1920"/>
      <c r="BX44" s="1921"/>
      <c r="BY44" s="1917"/>
      <c r="BZ44" s="1918"/>
      <c r="CA44" s="1919"/>
      <c r="CB44" s="1919"/>
      <c r="CC44" s="1919"/>
      <c r="CD44" s="1925"/>
      <c r="CE44" s="1920"/>
      <c r="CF44" s="1921"/>
      <c r="CG44" s="1917"/>
      <c r="CH44" s="1918"/>
      <c r="CI44" s="1919"/>
      <c r="CJ44" s="1919"/>
      <c r="CK44" s="1919"/>
      <c r="CL44" s="1925"/>
      <c r="CM44" s="1920"/>
      <c r="CN44" s="1921"/>
      <c r="CO44" s="1917"/>
      <c r="CP44" s="1922"/>
      <c r="CQ44" s="1923"/>
      <c r="CR44" s="1923"/>
      <c r="CS44" s="1923"/>
      <c r="CT44" s="1923"/>
      <c r="CU44" s="1923"/>
      <c r="CV44" s="1923"/>
      <c r="CW44" s="1923"/>
      <c r="CX44" s="1923"/>
      <c r="CY44" s="1923"/>
      <c r="CZ44" s="1923"/>
      <c r="DA44" s="1923"/>
      <c r="DB44" s="1923"/>
      <c r="DC44" s="1923"/>
      <c r="DD44" s="1923"/>
      <c r="DE44" s="1923"/>
      <c r="DF44" s="1923"/>
      <c r="DG44" s="1923"/>
      <c r="DH44" s="1923"/>
      <c r="DI44" s="1923"/>
      <c r="DJ44" s="1923"/>
      <c r="DK44" s="1923"/>
      <c r="DL44" s="1923"/>
      <c r="DM44" s="1923"/>
      <c r="DN44" s="1923"/>
      <c r="DO44" s="1923"/>
      <c r="DP44" s="1923"/>
      <c r="DQ44" s="1923"/>
      <c r="DR44" s="1923"/>
      <c r="DS44" s="1923"/>
      <c r="DT44" s="1923"/>
      <c r="DU44" s="1923"/>
      <c r="DV44" s="1923"/>
      <c r="DW44" s="1923"/>
      <c r="DX44" s="1923"/>
      <c r="DY44" s="1923"/>
      <c r="DZ44" s="1923"/>
      <c r="EA44" s="1923"/>
      <c r="EB44" s="1923"/>
      <c r="EC44" s="1923"/>
      <c r="ED44" s="1923"/>
      <c r="EE44" s="1923"/>
      <c r="EF44" s="1923"/>
      <c r="EG44" s="1923"/>
      <c r="EH44" s="1923"/>
      <c r="EI44" s="1923"/>
      <c r="EJ44" s="1923"/>
      <c r="EK44" s="1923"/>
      <c r="EL44" s="1923"/>
      <c r="EM44" s="1923"/>
      <c r="EN44" s="1923"/>
      <c r="EO44" s="1923"/>
      <c r="EP44" s="1923"/>
      <c r="EQ44" s="1923"/>
      <c r="ER44" s="1923"/>
      <c r="ES44" s="1923"/>
      <c r="ET44" s="1923"/>
      <c r="EU44" s="1923"/>
    </row>
    <row r="45" spans="1:151" s="1913" customFormat="1" ht="20.100000000000001" customHeight="1" thickBot="1" x14ac:dyDescent="0.25">
      <c r="A45" s="1905"/>
      <c r="B45" s="1905"/>
      <c r="C45" s="1906"/>
      <c r="D45" s="1907"/>
      <c r="E45" s="1908"/>
      <c r="F45" s="1909" t="str">
        <f>_Calcs!$M$57</f>
        <v>Alle typer &gt; 4 m</v>
      </c>
      <c r="G45" s="1909"/>
      <c r="H45" s="1909"/>
      <c r="I45" s="1909"/>
      <c r="J45" s="2297" t="s">
        <v>149</v>
      </c>
      <c r="K45" s="2297"/>
      <c r="L45" s="1910"/>
      <c r="M45" s="1910"/>
      <c r="N45" s="1910"/>
      <c r="O45" s="1911" t="s">
        <v>97</v>
      </c>
      <c r="P45" s="1912"/>
      <c r="Q45" s="1915"/>
      <c r="R45" s="4105"/>
      <c r="S45" s="3885">
        <f>IF($I$20&lt;&gt;_List!$CU$8,_Calcs!$EY$97,"")</f>
        <v>0</v>
      </c>
      <c r="T45" s="4106"/>
      <c r="U45" s="1917"/>
      <c r="V45" s="1918"/>
      <c r="W45" s="1919"/>
      <c r="X45" s="2480"/>
      <c r="Y45" s="1919"/>
      <c r="Z45" s="3878" t="str">
        <f>IF(_Calcs!$D$11=1,"✓",IF(X45="","!","✓"))</f>
        <v>!</v>
      </c>
      <c r="AA45" s="1920"/>
      <c r="AB45" s="1921"/>
      <c r="AC45" s="1917"/>
      <c r="AD45" s="1918"/>
      <c r="AE45" s="1919"/>
      <c r="AF45" s="2480"/>
      <c r="AG45" s="1919"/>
      <c r="AH45" s="3878" t="str">
        <f>IF(_Calcs!$D$11=1,"✓",IF(AF45="","!","✓"))</f>
        <v>!</v>
      </c>
      <c r="AI45" s="1920"/>
      <c r="AJ45" s="1921"/>
      <c r="AK45" s="1917"/>
      <c r="AL45" s="1918"/>
      <c r="AM45" s="1919"/>
      <c r="AN45" s="2480"/>
      <c r="AO45" s="1919"/>
      <c r="AP45" s="3878" t="str">
        <f>IF(_Calcs!$D$11=1,"✓",IF(AN45="","!","✓"))</f>
        <v>!</v>
      </c>
      <c r="AQ45" s="1920"/>
      <c r="AR45" s="1921"/>
      <c r="AS45" s="1917"/>
      <c r="AT45" s="1918"/>
      <c r="AU45" s="1919"/>
      <c r="AV45" s="2480"/>
      <c r="AW45" s="1919"/>
      <c r="AX45" s="3878" t="str">
        <f>IF(_Calcs!$D$11=1,"✓",IF(AV45="","!","✓"))</f>
        <v>!</v>
      </c>
      <c r="AY45" s="1920"/>
      <c r="AZ45" s="1921"/>
      <c r="BA45" s="1917"/>
      <c r="BB45" s="1918"/>
      <c r="BC45" s="1919"/>
      <c r="BD45" s="2480"/>
      <c r="BE45" s="1919"/>
      <c r="BF45" s="3878" t="str">
        <f>IF(_Calcs!$D$11=1,"✓",IF(BD45="","!","✓"))</f>
        <v>!</v>
      </c>
      <c r="BG45" s="1920"/>
      <c r="BH45" s="1921"/>
      <c r="BI45" s="1917"/>
      <c r="BJ45" s="1918"/>
      <c r="BK45" s="1919"/>
      <c r="BL45" s="2480"/>
      <c r="BM45" s="1919"/>
      <c r="BN45" s="3878" t="str">
        <f>IF(_Calcs!$D$11=1,"✓",IF(BL45="","!","✓"))</f>
        <v>!</v>
      </c>
      <c r="BO45" s="1920"/>
      <c r="BP45" s="1921"/>
      <c r="BQ45" s="1917"/>
      <c r="BR45" s="1918"/>
      <c r="BS45" s="1919"/>
      <c r="BT45" s="2480"/>
      <c r="BU45" s="1919"/>
      <c r="BV45" s="3878" t="str">
        <f>IF(_Calcs!$D$11=1,"✓",IF(BT45="","!","✓"))</f>
        <v>!</v>
      </c>
      <c r="BW45" s="1920"/>
      <c r="BX45" s="1921"/>
      <c r="BY45" s="1917"/>
      <c r="BZ45" s="1918"/>
      <c r="CA45" s="1919"/>
      <c r="CB45" s="2480"/>
      <c r="CC45" s="1919"/>
      <c r="CD45" s="3878" t="str">
        <f>IF(_Calcs!$D$11=1,"✓",IF(CB45="","!","✓"))</f>
        <v>!</v>
      </c>
      <c r="CE45" s="1920"/>
      <c r="CF45" s="1921"/>
      <c r="CG45" s="1917"/>
      <c r="CH45" s="1918"/>
      <c r="CI45" s="1919"/>
      <c r="CJ45" s="2480"/>
      <c r="CK45" s="1919"/>
      <c r="CL45" s="3878" t="str">
        <f>IF(_Calcs!$D$11=1,"✓",IF(CJ45="","!","✓"))</f>
        <v>!</v>
      </c>
      <c r="CM45" s="1920"/>
      <c r="CN45" s="1921"/>
      <c r="CO45" s="1917"/>
      <c r="CP45" s="1922"/>
      <c r="CQ45" s="1923"/>
      <c r="CR45" s="1923"/>
      <c r="CS45" s="1923"/>
      <c r="CT45" s="1923"/>
      <c r="CU45" s="1923"/>
      <c r="CV45" s="1923"/>
      <c r="CW45" s="1923"/>
      <c r="CX45" s="1923"/>
      <c r="CY45" s="1923"/>
      <c r="CZ45" s="1923"/>
      <c r="DA45" s="1923"/>
      <c r="DB45" s="1923"/>
      <c r="DC45" s="1923"/>
      <c r="DD45" s="1923"/>
      <c r="DE45" s="1923"/>
      <c r="DF45" s="1923"/>
      <c r="DG45" s="1923"/>
      <c r="DH45" s="1923"/>
      <c r="DI45" s="1923"/>
      <c r="DJ45" s="1923"/>
      <c r="DK45" s="1923"/>
      <c r="DL45" s="1923"/>
      <c r="DM45" s="1923"/>
      <c r="DN45" s="1923"/>
      <c r="DO45" s="1923"/>
      <c r="DP45" s="1923"/>
      <c r="DQ45" s="1923"/>
      <c r="DR45" s="1923"/>
      <c r="DS45" s="1923"/>
      <c r="DT45" s="1923"/>
      <c r="DU45" s="1923"/>
      <c r="DV45" s="1923"/>
      <c r="DW45" s="1923"/>
      <c r="DX45" s="1923"/>
      <c r="DY45" s="1923"/>
      <c r="DZ45" s="1923"/>
      <c r="EA45" s="1923"/>
      <c r="EB45" s="1923"/>
      <c r="EC45" s="1923"/>
      <c r="ED45" s="1923"/>
      <c r="EE45" s="1923"/>
      <c r="EF45" s="1923"/>
      <c r="EG45" s="1923"/>
      <c r="EH45" s="1923"/>
      <c r="EI45" s="1923"/>
      <c r="EJ45" s="1923"/>
      <c r="EK45" s="1923"/>
      <c r="EL45" s="1923"/>
      <c r="EM45" s="1923"/>
      <c r="EN45" s="1923"/>
      <c r="EO45" s="1923"/>
      <c r="EP45" s="1923"/>
      <c r="EQ45" s="1923"/>
      <c r="ER45" s="1923"/>
      <c r="ES45" s="1923"/>
      <c r="ET45" s="1923"/>
      <c r="EU45" s="1923"/>
    </row>
    <row r="46" spans="1:151" s="78" customFormat="1" ht="15" customHeight="1" thickBot="1" x14ac:dyDescent="0.25">
      <c r="A46" s="104"/>
      <c r="B46" s="104"/>
      <c r="C46" s="1251"/>
      <c r="D46" s="20"/>
      <c r="E46" s="1229"/>
      <c r="F46" s="659"/>
      <c r="G46" s="659"/>
      <c r="H46" s="659"/>
      <c r="I46" s="659"/>
      <c r="J46" s="659"/>
      <c r="K46" s="659"/>
      <c r="L46" s="659"/>
      <c r="M46" s="659"/>
      <c r="N46" s="659"/>
      <c r="O46" s="659"/>
      <c r="P46" s="1230"/>
      <c r="R46" s="4070"/>
      <c r="S46" s="4103"/>
      <c r="T46" s="4072"/>
      <c r="U46" s="16"/>
      <c r="V46" s="1229"/>
      <c r="W46" s="659"/>
      <c r="X46" s="1242"/>
      <c r="Y46" s="659"/>
      <c r="Z46" s="659"/>
      <c r="AA46" s="1243"/>
      <c r="AB46" s="1244"/>
      <c r="AC46" s="16"/>
      <c r="AD46" s="1229"/>
      <c r="AE46" s="659"/>
      <c r="AF46" s="1242"/>
      <c r="AG46" s="659"/>
      <c r="AH46" s="659"/>
      <c r="AI46" s="1243"/>
      <c r="AJ46" s="1244"/>
      <c r="AK46" s="16"/>
      <c r="AL46" s="1229"/>
      <c r="AM46" s="659"/>
      <c r="AN46" s="1242"/>
      <c r="AO46" s="659"/>
      <c r="AP46" s="659"/>
      <c r="AQ46" s="1243"/>
      <c r="AR46" s="1244"/>
      <c r="AS46" s="16"/>
      <c r="AT46" s="1229"/>
      <c r="AU46" s="659"/>
      <c r="AV46" s="1242"/>
      <c r="AW46" s="659"/>
      <c r="AX46" s="659"/>
      <c r="AY46" s="1243"/>
      <c r="AZ46" s="1244"/>
      <c r="BA46" s="16"/>
      <c r="BB46" s="1229"/>
      <c r="BC46" s="659"/>
      <c r="BD46" s="1242"/>
      <c r="BE46" s="659"/>
      <c r="BF46" s="659"/>
      <c r="BG46" s="1243"/>
      <c r="BH46" s="1244"/>
      <c r="BI46" s="16"/>
      <c r="BJ46" s="1229"/>
      <c r="BK46" s="659"/>
      <c r="BL46" s="1242"/>
      <c r="BM46" s="659"/>
      <c r="BN46" s="659"/>
      <c r="BO46" s="1243"/>
      <c r="BP46" s="1244"/>
      <c r="BQ46" s="16"/>
      <c r="BR46" s="1229"/>
      <c r="BS46" s="659"/>
      <c r="BT46" s="1242"/>
      <c r="BU46" s="659"/>
      <c r="BV46" s="659"/>
      <c r="BW46" s="1243"/>
      <c r="BX46" s="1244"/>
      <c r="BY46" s="16"/>
      <c r="BZ46" s="1229"/>
      <c r="CA46" s="659"/>
      <c r="CB46" s="1242"/>
      <c r="CC46" s="659"/>
      <c r="CD46" s="659"/>
      <c r="CE46" s="1243"/>
      <c r="CF46" s="1244"/>
      <c r="CG46" s="16"/>
      <c r="CH46" s="1229"/>
      <c r="CI46" s="659"/>
      <c r="CJ46" s="1242"/>
      <c r="CK46" s="659"/>
      <c r="CL46" s="659"/>
      <c r="CM46" s="1243"/>
      <c r="CN46" s="1244"/>
      <c r="CO46" s="16"/>
      <c r="CP46" s="173"/>
    </row>
    <row r="47" spans="1:151" s="78" customFormat="1" ht="24.95" customHeight="1" thickBot="1" x14ac:dyDescent="0.25">
      <c r="A47" s="104"/>
      <c r="B47" s="104"/>
      <c r="C47" s="1251"/>
      <c r="D47" s="20"/>
      <c r="E47" s="15"/>
      <c r="F47" s="21"/>
      <c r="G47" s="21"/>
      <c r="H47" s="21"/>
      <c r="I47" s="21"/>
      <c r="J47" s="16"/>
      <c r="K47" s="16"/>
      <c r="L47" s="19"/>
      <c r="M47" s="19"/>
      <c r="N47" s="19"/>
      <c r="O47" s="15"/>
      <c r="P47" s="15"/>
      <c r="R47" s="70"/>
      <c r="S47" s="114"/>
      <c r="T47" s="70"/>
      <c r="U47" s="16"/>
      <c r="V47" s="16"/>
      <c r="W47" s="16"/>
      <c r="X47" s="22"/>
      <c r="Y47" s="16"/>
      <c r="Z47" s="19"/>
      <c r="AA47" s="21"/>
      <c r="AB47" s="21"/>
      <c r="AC47" s="16"/>
      <c r="AD47" s="16"/>
      <c r="AE47" s="16"/>
      <c r="AF47" s="22"/>
      <c r="AG47" s="16"/>
      <c r="AH47" s="19"/>
      <c r="AI47" s="21"/>
      <c r="AJ47" s="21"/>
      <c r="AK47" s="16"/>
      <c r="AL47" s="16"/>
      <c r="AM47" s="16"/>
      <c r="AN47" s="22"/>
      <c r="AO47" s="16"/>
      <c r="AP47" s="19"/>
      <c r="AQ47" s="21"/>
      <c r="AR47" s="21"/>
      <c r="AS47" s="16"/>
      <c r="AT47" s="16"/>
      <c r="AU47" s="16"/>
      <c r="AV47" s="22"/>
      <c r="AW47" s="16"/>
      <c r="AX47" s="19"/>
      <c r="AY47" s="21"/>
      <c r="AZ47" s="21"/>
      <c r="BA47" s="16"/>
      <c r="BB47" s="16"/>
      <c r="BC47" s="16"/>
      <c r="BD47" s="22"/>
      <c r="BE47" s="16"/>
      <c r="BF47" s="19"/>
      <c r="BG47" s="21"/>
      <c r="BH47" s="21"/>
      <c r="BI47" s="16"/>
      <c r="BJ47" s="16"/>
      <c r="BK47" s="16"/>
      <c r="BL47" s="22"/>
      <c r="BM47" s="16"/>
      <c r="BN47" s="19"/>
      <c r="BO47" s="21"/>
      <c r="BP47" s="21"/>
      <c r="BQ47" s="16"/>
      <c r="BR47" s="16"/>
      <c r="BS47" s="16"/>
      <c r="BT47" s="22"/>
      <c r="BU47" s="16"/>
      <c r="BV47" s="19"/>
      <c r="BW47" s="21"/>
      <c r="BX47" s="21"/>
      <c r="BY47" s="16"/>
      <c r="BZ47" s="16"/>
      <c r="CA47" s="16"/>
      <c r="CB47" s="22"/>
      <c r="CC47" s="16"/>
      <c r="CD47" s="19"/>
      <c r="CE47" s="21"/>
      <c r="CF47" s="21"/>
      <c r="CG47" s="16"/>
      <c r="CH47" s="16"/>
      <c r="CI47" s="16"/>
      <c r="CJ47" s="22"/>
      <c r="CK47" s="16"/>
      <c r="CL47" s="19"/>
      <c r="CM47" s="21"/>
      <c r="CN47" s="21"/>
      <c r="CO47" s="16"/>
      <c r="CP47" s="21"/>
    </row>
    <row r="48" spans="1:151" s="78" customFormat="1" ht="15" customHeight="1" thickBot="1" x14ac:dyDescent="0.25">
      <c r="A48" s="104"/>
      <c r="B48" s="104"/>
      <c r="C48" s="1251"/>
      <c r="D48" s="20"/>
      <c r="E48" s="1219"/>
      <c r="F48" s="6597" t="str">
        <f>_Calcs!$K$59</f>
        <v>Bergbånd og nett</v>
      </c>
      <c r="G48" s="6597"/>
      <c r="H48" s="6597"/>
      <c r="I48" s="6597"/>
      <c r="J48" s="6597"/>
      <c r="K48" s="6597"/>
      <c r="L48" s="6597"/>
      <c r="M48" s="6597"/>
      <c r="N48" s="6597"/>
      <c r="O48" s="6597"/>
      <c r="P48" s="1220"/>
      <c r="R48" s="70"/>
      <c r="S48" s="70"/>
      <c r="T48" s="70"/>
      <c r="U48" s="16"/>
      <c r="V48" s="16"/>
      <c r="W48" s="16"/>
      <c r="X48" s="22"/>
      <c r="Y48" s="16"/>
      <c r="Z48" s="19"/>
      <c r="AA48" s="21"/>
      <c r="AB48" s="21"/>
      <c r="AC48" s="16"/>
      <c r="AD48" s="16"/>
      <c r="AE48" s="16"/>
      <c r="AF48" s="22"/>
      <c r="AG48" s="16"/>
      <c r="AH48" s="19"/>
      <c r="AI48" s="21"/>
      <c r="AJ48" s="21"/>
      <c r="AK48" s="16"/>
      <c r="AL48" s="16"/>
      <c r="AM48" s="16"/>
      <c r="AN48" s="22"/>
      <c r="AO48" s="16"/>
      <c r="AP48" s="19"/>
      <c r="AQ48" s="21"/>
      <c r="AR48" s="21"/>
      <c r="AS48" s="16"/>
      <c r="AT48" s="16"/>
      <c r="AU48" s="16"/>
      <c r="AV48" s="22"/>
      <c r="AW48" s="16"/>
      <c r="AX48" s="19"/>
      <c r="AY48" s="21"/>
      <c r="AZ48" s="21"/>
      <c r="BA48" s="16"/>
      <c r="BB48" s="16"/>
      <c r="BC48" s="16"/>
      <c r="BD48" s="22"/>
      <c r="BE48" s="16"/>
      <c r="BF48" s="19"/>
      <c r="BG48" s="21"/>
      <c r="BH48" s="21"/>
      <c r="BI48" s="16"/>
      <c r="BJ48" s="16"/>
      <c r="BK48" s="16"/>
      <c r="BL48" s="22"/>
      <c r="BM48" s="16"/>
      <c r="BN48" s="19"/>
      <c r="BO48" s="21"/>
      <c r="BP48" s="21"/>
      <c r="BQ48" s="16"/>
      <c r="BR48" s="16"/>
      <c r="BS48" s="16"/>
      <c r="BT48" s="22"/>
      <c r="BU48" s="16"/>
      <c r="BV48" s="19"/>
      <c r="BW48" s="21"/>
      <c r="BX48" s="21"/>
      <c r="BY48" s="16"/>
      <c r="BZ48" s="16"/>
      <c r="CA48" s="16"/>
      <c r="CB48" s="22"/>
      <c r="CC48" s="16"/>
      <c r="CD48" s="19"/>
      <c r="CE48" s="21"/>
      <c r="CF48" s="21"/>
      <c r="CG48" s="16"/>
      <c r="CH48" s="16"/>
      <c r="CI48" s="16"/>
      <c r="CJ48" s="22"/>
      <c r="CK48" s="16"/>
      <c r="CL48" s="19"/>
      <c r="CM48" s="21"/>
      <c r="CN48" s="21"/>
      <c r="CO48" s="16"/>
      <c r="CP48" s="21"/>
    </row>
    <row r="49" spans="1:94" s="78" customFormat="1" ht="15" customHeight="1" thickBot="1" x14ac:dyDescent="0.25">
      <c r="A49" s="104"/>
      <c r="B49" s="104"/>
      <c r="C49" s="1251"/>
      <c r="D49" s="20"/>
      <c r="E49" s="1221"/>
      <c r="F49" s="6598"/>
      <c r="G49" s="6598"/>
      <c r="H49" s="6598"/>
      <c r="I49" s="6598"/>
      <c r="J49" s="6598"/>
      <c r="K49" s="6598"/>
      <c r="L49" s="6598"/>
      <c r="M49" s="6598"/>
      <c r="N49" s="6598"/>
      <c r="O49" s="6598"/>
      <c r="P49" s="1222"/>
      <c r="R49" s="4094"/>
      <c r="S49" s="4095"/>
      <c r="T49" s="4096"/>
      <c r="U49" s="16"/>
      <c r="V49" s="692"/>
      <c r="W49" s="693"/>
      <c r="X49" s="1233"/>
      <c r="Y49" s="693"/>
      <c r="Z49" s="1234"/>
      <c r="AA49" s="748"/>
      <c r="AB49" s="1235"/>
      <c r="AC49" s="16"/>
      <c r="AD49" s="692"/>
      <c r="AE49" s="693"/>
      <c r="AF49" s="1233"/>
      <c r="AG49" s="693"/>
      <c r="AH49" s="1234"/>
      <c r="AI49" s="748"/>
      <c r="AJ49" s="1235"/>
      <c r="AK49" s="16"/>
      <c r="AL49" s="692"/>
      <c r="AM49" s="693"/>
      <c r="AN49" s="1233"/>
      <c r="AO49" s="693"/>
      <c r="AP49" s="1234"/>
      <c r="AQ49" s="748"/>
      <c r="AR49" s="1235"/>
      <c r="AS49" s="16"/>
      <c r="AT49" s="692"/>
      <c r="AU49" s="693"/>
      <c r="AV49" s="1233"/>
      <c r="AW49" s="693"/>
      <c r="AX49" s="1234"/>
      <c r="AY49" s="748"/>
      <c r="AZ49" s="1235"/>
      <c r="BA49" s="16"/>
      <c r="BB49" s="692"/>
      <c r="BC49" s="693"/>
      <c r="BD49" s="1233"/>
      <c r="BE49" s="693"/>
      <c r="BF49" s="1234"/>
      <c r="BG49" s="748"/>
      <c r="BH49" s="1235"/>
      <c r="BI49" s="16"/>
      <c r="BJ49" s="692"/>
      <c r="BK49" s="693"/>
      <c r="BL49" s="1233"/>
      <c r="BM49" s="693"/>
      <c r="BN49" s="1234"/>
      <c r="BO49" s="748"/>
      <c r="BP49" s="1235"/>
      <c r="BQ49" s="16"/>
      <c r="BR49" s="692"/>
      <c r="BS49" s="693"/>
      <c r="BT49" s="1233"/>
      <c r="BU49" s="693"/>
      <c r="BV49" s="1234"/>
      <c r="BW49" s="748"/>
      <c r="BX49" s="1235"/>
      <c r="BY49" s="16"/>
      <c r="BZ49" s="692"/>
      <c r="CA49" s="693"/>
      <c r="CB49" s="1233"/>
      <c r="CC49" s="693"/>
      <c r="CD49" s="1234"/>
      <c r="CE49" s="748"/>
      <c r="CF49" s="1235"/>
      <c r="CG49" s="16"/>
      <c r="CH49" s="692"/>
      <c r="CI49" s="693"/>
      <c r="CJ49" s="1233"/>
      <c r="CK49" s="693"/>
      <c r="CL49" s="1234"/>
      <c r="CM49" s="748"/>
      <c r="CN49" s="1235"/>
      <c r="CO49" s="16"/>
      <c r="CP49" s="172"/>
    </row>
    <row r="50" spans="1:94" s="78" customFormat="1" ht="8.1" customHeight="1" thickBot="1" x14ac:dyDescent="0.25">
      <c r="A50" s="104"/>
      <c r="B50" s="104"/>
      <c r="C50" s="1251"/>
      <c r="D50" s="20"/>
      <c r="E50" s="15"/>
      <c r="F50" s="1212"/>
      <c r="G50" s="1212"/>
      <c r="H50" s="1212"/>
      <c r="I50" s="1212"/>
      <c r="J50" s="16"/>
      <c r="K50" s="16"/>
      <c r="L50" s="19"/>
      <c r="M50" s="19"/>
      <c r="N50" s="19"/>
      <c r="O50" s="15"/>
      <c r="P50" s="15"/>
      <c r="R50" s="70"/>
      <c r="S50" s="114"/>
      <c r="T50" s="70"/>
      <c r="U50" s="16"/>
      <c r="V50" s="16"/>
      <c r="W50" s="16"/>
      <c r="X50" s="22"/>
      <c r="Y50" s="16"/>
      <c r="Z50" s="19"/>
      <c r="AA50" s="21"/>
      <c r="AB50" s="21"/>
      <c r="AC50" s="16"/>
      <c r="AD50" s="16"/>
      <c r="AE50" s="16"/>
      <c r="AF50" s="22"/>
      <c r="AG50" s="16"/>
      <c r="AH50" s="19"/>
      <c r="AI50" s="21"/>
      <c r="AJ50" s="21"/>
      <c r="AK50" s="16"/>
      <c r="AL50" s="16"/>
      <c r="AM50" s="16"/>
      <c r="AN50" s="22"/>
      <c r="AO50" s="16"/>
      <c r="AP50" s="19"/>
      <c r="AQ50" s="21"/>
      <c r="AR50" s="21"/>
      <c r="AS50" s="16"/>
      <c r="AT50" s="16"/>
      <c r="AU50" s="16"/>
      <c r="AV50" s="22"/>
      <c r="AW50" s="16"/>
      <c r="AX50" s="19"/>
      <c r="AY50" s="21"/>
      <c r="AZ50" s="21"/>
      <c r="BA50" s="16"/>
      <c r="BB50" s="16"/>
      <c r="BC50" s="16"/>
      <c r="BD50" s="22"/>
      <c r="BE50" s="16"/>
      <c r="BF50" s="19"/>
      <c r="BG50" s="21"/>
      <c r="BH50" s="21"/>
      <c r="BI50" s="16"/>
      <c r="BJ50" s="16"/>
      <c r="BK50" s="16"/>
      <c r="BL50" s="22"/>
      <c r="BM50" s="16"/>
      <c r="BN50" s="19"/>
      <c r="BO50" s="21"/>
      <c r="BP50" s="21"/>
      <c r="BQ50" s="16"/>
      <c r="BR50" s="16"/>
      <c r="BS50" s="16"/>
      <c r="BT50" s="22"/>
      <c r="BU50" s="16"/>
      <c r="BV50" s="19"/>
      <c r="BW50" s="21"/>
      <c r="BX50" s="21"/>
      <c r="BY50" s="16"/>
      <c r="BZ50" s="16"/>
      <c r="CA50" s="16"/>
      <c r="CB50" s="22"/>
      <c r="CC50" s="16"/>
      <c r="CD50" s="19"/>
      <c r="CE50" s="21"/>
      <c r="CF50" s="21"/>
      <c r="CG50" s="16"/>
      <c r="CH50" s="16"/>
      <c r="CI50" s="16"/>
      <c r="CJ50" s="22"/>
      <c r="CK50" s="16"/>
      <c r="CL50" s="19"/>
      <c r="CM50" s="21"/>
      <c r="CN50" s="21"/>
      <c r="CO50" s="16"/>
      <c r="CP50" s="21"/>
    </row>
    <row r="51" spans="1:94" s="78" customFormat="1" ht="15" customHeight="1" thickBot="1" x14ac:dyDescent="0.25">
      <c r="A51" s="104"/>
      <c r="B51" s="104"/>
      <c r="C51" s="1251"/>
      <c r="D51" s="20"/>
      <c r="E51" s="660"/>
      <c r="F51" s="661"/>
      <c r="G51" s="661"/>
      <c r="H51" s="661"/>
      <c r="I51" s="661"/>
      <c r="J51" s="643"/>
      <c r="K51" s="643"/>
      <c r="L51" s="1224"/>
      <c r="M51" s="1224"/>
      <c r="N51" s="1224"/>
      <c r="O51" s="658"/>
      <c r="P51" s="1225"/>
      <c r="R51" s="4065"/>
      <c r="S51" s="4066"/>
      <c r="T51" s="4067"/>
      <c r="U51" s="16"/>
      <c r="V51" s="1237"/>
      <c r="W51" s="643"/>
      <c r="X51" s="642"/>
      <c r="Y51" s="643"/>
      <c r="Z51" s="1224"/>
      <c r="AA51" s="1238"/>
      <c r="AB51" s="1239"/>
      <c r="AC51" s="16"/>
      <c r="AD51" s="1237"/>
      <c r="AE51" s="643"/>
      <c r="AF51" s="642"/>
      <c r="AG51" s="643"/>
      <c r="AH51" s="1224"/>
      <c r="AI51" s="1238"/>
      <c r="AJ51" s="1239"/>
      <c r="AK51" s="16"/>
      <c r="AL51" s="1237"/>
      <c r="AM51" s="643"/>
      <c r="AN51" s="642"/>
      <c r="AO51" s="643"/>
      <c r="AP51" s="1224"/>
      <c r="AQ51" s="1238"/>
      <c r="AR51" s="1239"/>
      <c r="AS51" s="16"/>
      <c r="AT51" s="1237"/>
      <c r="AU51" s="643"/>
      <c r="AV51" s="642"/>
      <c r="AW51" s="643"/>
      <c r="AX51" s="1224"/>
      <c r="AY51" s="1238"/>
      <c r="AZ51" s="1239"/>
      <c r="BA51" s="16"/>
      <c r="BB51" s="1237"/>
      <c r="BC51" s="643"/>
      <c r="BD51" s="642"/>
      <c r="BE51" s="643"/>
      <c r="BF51" s="1224"/>
      <c r="BG51" s="1238"/>
      <c r="BH51" s="1239"/>
      <c r="BI51" s="16"/>
      <c r="BJ51" s="1237"/>
      <c r="BK51" s="643"/>
      <c r="BL51" s="642"/>
      <c r="BM51" s="643"/>
      <c r="BN51" s="1224"/>
      <c r="BO51" s="1238"/>
      <c r="BP51" s="1239"/>
      <c r="BQ51" s="16"/>
      <c r="BR51" s="1237"/>
      <c r="BS51" s="643"/>
      <c r="BT51" s="642"/>
      <c r="BU51" s="643"/>
      <c r="BV51" s="1224"/>
      <c r="BW51" s="1238"/>
      <c r="BX51" s="1239"/>
      <c r="BY51" s="16"/>
      <c r="BZ51" s="1237"/>
      <c r="CA51" s="643"/>
      <c r="CB51" s="642"/>
      <c r="CC51" s="643"/>
      <c r="CD51" s="1224"/>
      <c r="CE51" s="1238"/>
      <c r="CF51" s="1239"/>
      <c r="CG51" s="16"/>
      <c r="CH51" s="1237"/>
      <c r="CI51" s="643"/>
      <c r="CJ51" s="642"/>
      <c r="CK51" s="643"/>
      <c r="CL51" s="1224"/>
      <c r="CM51" s="1238"/>
      <c r="CN51" s="1239"/>
      <c r="CO51" s="16"/>
      <c r="CP51" s="173"/>
    </row>
    <row r="52" spans="1:94" s="78" customFormat="1" ht="20.100000000000001" customHeight="1" thickBot="1" x14ac:dyDescent="0.25">
      <c r="A52" s="104"/>
      <c r="B52" s="104"/>
      <c r="C52" s="1251"/>
      <c r="D52" s="20"/>
      <c r="E52" s="663"/>
      <c r="F52" s="650" t="str">
        <f>_Calcs!$L$59</f>
        <v>Bergbånd</v>
      </c>
      <c r="G52" s="650"/>
      <c r="H52" s="650"/>
      <c r="I52" s="650"/>
      <c r="J52" s="5456" t="s">
        <v>149</v>
      </c>
      <c r="K52" s="75"/>
      <c r="L52" s="1227"/>
      <c r="M52" s="1227"/>
      <c r="N52" s="1227"/>
      <c r="O52" s="76" t="s">
        <v>78</v>
      </c>
      <c r="P52" s="1228"/>
      <c r="R52" s="4068"/>
      <c r="S52" s="2301">
        <f>IF($I$20&lt;&gt;_List!$CU$8,_Calcs!$EZ$97,"")</f>
        <v>0</v>
      </c>
      <c r="T52" s="4069"/>
      <c r="U52" s="16"/>
      <c r="V52" s="1240"/>
      <c r="W52" s="75"/>
      <c r="X52" s="2480"/>
      <c r="Y52" s="75"/>
      <c r="Z52" s="30" t="str">
        <f>IF(_Calcs!$D$11=1,"✓",IF(X52="","!","✓"))</f>
        <v>!</v>
      </c>
      <c r="AA52" s="1227"/>
      <c r="AB52" s="1241"/>
      <c r="AC52" s="16"/>
      <c r="AD52" s="1240"/>
      <c r="AE52" s="75"/>
      <c r="AF52" s="2480"/>
      <c r="AG52" s="75"/>
      <c r="AH52" s="30" t="str">
        <f>IF(_Calcs!$D$11=1,"✓",IF(AF52="","!","✓"))</f>
        <v>!</v>
      </c>
      <c r="AI52" s="1227"/>
      <c r="AJ52" s="1241"/>
      <c r="AK52" s="16"/>
      <c r="AL52" s="1240"/>
      <c r="AM52" s="75"/>
      <c r="AN52" s="2480"/>
      <c r="AO52" s="75"/>
      <c r="AP52" s="30" t="str">
        <f>IF(_Calcs!$D$11=1,"✓",IF(AN52="","!","✓"))</f>
        <v>!</v>
      </c>
      <c r="AQ52" s="1227"/>
      <c r="AR52" s="1241"/>
      <c r="AS52" s="16"/>
      <c r="AT52" s="1240"/>
      <c r="AU52" s="75"/>
      <c r="AV52" s="2480"/>
      <c r="AW52" s="75"/>
      <c r="AX52" s="30" t="str">
        <f>IF(_Calcs!$D$11=1,"✓",IF(AV52="","!","✓"))</f>
        <v>!</v>
      </c>
      <c r="AY52" s="1227"/>
      <c r="AZ52" s="1241"/>
      <c r="BA52" s="16"/>
      <c r="BB52" s="1240"/>
      <c r="BC52" s="75"/>
      <c r="BD52" s="2480"/>
      <c r="BE52" s="75"/>
      <c r="BF52" s="30" t="str">
        <f>IF(_Calcs!$D$11=1,"✓",IF(BD52="","!","✓"))</f>
        <v>!</v>
      </c>
      <c r="BG52" s="1227"/>
      <c r="BH52" s="1241"/>
      <c r="BI52" s="16"/>
      <c r="BJ52" s="1240"/>
      <c r="BK52" s="75"/>
      <c r="BL52" s="2480"/>
      <c r="BM52" s="75"/>
      <c r="BN52" s="30" t="str">
        <f>IF(_Calcs!$D$11=1,"✓",IF(BL52="","!","✓"))</f>
        <v>!</v>
      </c>
      <c r="BO52" s="1227"/>
      <c r="BP52" s="1241"/>
      <c r="BQ52" s="16"/>
      <c r="BR52" s="1240"/>
      <c r="BS52" s="75"/>
      <c r="BT52" s="2480"/>
      <c r="BU52" s="75"/>
      <c r="BV52" s="30" t="str">
        <f>IF(_Calcs!$D$11=1,"✓",IF(BT52="","!","✓"))</f>
        <v>!</v>
      </c>
      <c r="BW52" s="1227"/>
      <c r="BX52" s="1241"/>
      <c r="BY52" s="16"/>
      <c r="BZ52" s="1240"/>
      <c r="CA52" s="75"/>
      <c r="CB52" s="2480"/>
      <c r="CC52" s="75"/>
      <c r="CD52" s="30" t="str">
        <f>IF(_Calcs!$D$11=1,"✓",IF(CB52="","!","✓"))</f>
        <v>!</v>
      </c>
      <c r="CE52" s="1227"/>
      <c r="CF52" s="1241"/>
      <c r="CG52" s="16"/>
      <c r="CH52" s="1240"/>
      <c r="CI52" s="75"/>
      <c r="CJ52" s="2480"/>
      <c r="CK52" s="75"/>
      <c r="CL52" s="30" t="str">
        <f>IF(_Calcs!$D$11=1,"✓",IF(CJ52="","!","✓"))</f>
        <v>!</v>
      </c>
      <c r="CM52" s="1227"/>
      <c r="CN52" s="1241"/>
      <c r="CO52" s="16"/>
      <c r="CP52" s="173"/>
    </row>
    <row r="53" spans="1:94" s="78" customFormat="1" ht="15" customHeight="1" thickBot="1" x14ac:dyDescent="0.25">
      <c r="A53" s="104"/>
      <c r="B53" s="104"/>
      <c r="C53" s="1251"/>
      <c r="D53" s="20"/>
      <c r="E53" s="663"/>
      <c r="F53" s="650"/>
      <c r="G53" s="650"/>
      <c r="H53" s="650"/>
      <c r="I53" s="650"/>
      <c r="J53" s="75"/>
      <c r="K53" s="75"/>
      <c r="L53" s="1232"/>
      <c r="M53" s="1232"/>
      <c r="N53" s="1232"/>
      <c r="O53" s="76"/>
      <c r="P53" s="1228"/>
      <c r="R53" s="4068"/>
      <c r="S53" s="4103"/>
      <c r="T53" s="4069"/>
      <c r="U53" s="16"/>
      <c r="V53" s="1240"/>
      <c r="W53" s="75"/>
      <c r="X53" s="74"/>
      <c r="Y53" s="75"/>
      <c r="Z53" s="1232"/>
      <c r="AA53" s="1227"/>
      <c r="AB53" s="1241"/>
      <c r="AC53" s="16"/>
      <c r="AD53" s="1240"/>
      <c r="AE53" s="75"/>
      <c r="AF53" s="74"/>
      <c r="AG53" s="75"/>
      <c r="AH53" s="1232"/>
      <c r="AI53" s="1227"/>
      <c r="AJ53" s="1241"/>
      <c r="AK53" s="16"/>
      <c r="AL53" s="1240"/>
      <c r="AM53" s="75"/>
      <c r="AN53" s="74"/>
      <c r="AO53" s="75"/>
      <c r="AP53" s="1232"/>
      <c r="AQ53" s="1227"/>
      <c r="AR53" s="1241"/>
      <c r="AS53" s="16"/>
      <c r="AT53" s="1240"/>
      <c r="AU53" s="75"/>
      <c r="AV53" s="74"/>
      <c r="AW53" s="75"/>
      <c r="AX53" s="1232"/>
      <c r="AY53" s="1227"/>
      <c r="AZ53" s="1241"/>
      <c r="BA53" s="16"/>
      <c r="BB53" s="1240"/>
      <c r="BC53" s="75"/>
      <c r="BD53" s="74"/>
      <c r="BE53" s="75"/>
      <c r="BF53" s="1232"/>
      <c r="BG53" s="1227"/>
      <c r="BH53" s="1241"/>
      <c r="BI53" s="16"/>
      <c r="BJ53" s="1240"/>
      <c r="BK53" s="75"/>
      <c r="BL53" s="74"/>
      <c r="BM53" s="75"/>
      <c r="BN53" s="1232"/>
      <c r="BO53" s="1227"/>
      <c r="BP53" s="1241"/>
      <c r="BQ53" s="16"/>
      <c r="BR53" s="1240"/>
      <c r="BS53" s="75"/>
      <c r="BT53" s="74"/>
      <c r="BU53" s="75"/>
      <c r="BV53" s="1232"/>
      <c r="BW53" s="1227"/>
      <c r="BX53" s="1241"/>
      <c r="BY53" s="16"/>
      <c r="BZ53" s="1240"/>
      <c r="CA53" s="75"/>
      <c r="CB53" s="74"/>
      <c r="CC53" s="75"/>
      <c r="CD53" s="1232"/>
      <c r="CE53" s="1227"/>
      <c r="CF53" s="1241"/>
      <c r="CG53" s="16"/>
      <c r="CH53" s="1240"/>
      <c r="CI53" s="75"/>
      <c r="CJ53" s="74"/>
      <c r="CK53" s="75"/>
      <c r="CL53" s="1232"/>
      <c r="CM53" s="1227"/>
      <c r="CN53" s="1241"/>
      <c r="CO53" s="16"/>
      <c r="CP53" s="173"/>
    </row>
    <row r="54" spans="1:94" s="78" customFormat="1" ht="20.100000000000001" customHeight="1" thickBot="1" x14ac:dyDescent="0.25">
      <c r="A54" s="104"/>
      <c r="B54" s="104"/>
      <c r="C54" s="1251"/>
      <c r="D54" s="20"/>
      <c r="E54" s="663"/>
      <c r="F54" s="76" t="str">
        <f>_Calcs!$L$62</f>
        <v>Nett</v>
      </c>
      <c r="G54" s="76"/>
      <c r="H54" s="76"/>
      <c r="I54" s="76"/>
      <c r="J54" s="5456" t="s">
        <v>149</v>
      </c>
      <c r="K54" s="75"/>
      <c r="L54" s="1227"/>
      <c r="M54" s="1227"/>
      <c r="N54" s="1227"/>
      <c r="O54" s="76" t="s">
        <v>103</v>
      </c>
      <c r="P54" s="1228"/>
      <c r="Q54" s="21"/>
      <c r="R54" s="4068"/>
      <c r="S54" s="2301">
        <f>IF($I$20&lt;&gt;_List!$CU$8,_Calcs!$FA$97,"")</f>
        <v>0</v>
      </c>
      <c r="T54" s="4069"/>
      <c r="U54" s="16"/>
      <c r="V54" s="1231"/>
      <c r="W54" s="76"/>
      <c r="X54" s="2480"/>
      <c r="Y54" s="75"/>
      <c r="Z54" s="30" t="str">
        <f>IF(_Calcs!$D$11=1,"✓",IF(X54="","!","✓"))</f>
        <v>!</v>
      </c>
      <c r="AA54" s="1227"/>
      <c r="AB54" s="1241"/>
      <c r="AC54" s="16"/>
      <c r="AD54" s="1231"/>
      <c r="AE54" s="76"/>
      <c r="AF54" s="2480"/>
      <c r="AG54" s="75"/>
      <c r="AH54" s="30" t="str">
        <f>IF(_Calcs!$D$11=1,"✓",IF(AF54="","!","✓"))</f>
        <v>!</v>
      </c>
      <c r="AI54" s="1227"/>
      <c r="AJ54" s="1241"/>
      <c r="AK54" s="16"/>
      <c r="AL54" s="1231"/>
      <c r="AM54" s="76"/>
      <c r="AN54" s="2480"/>
      <c r="AO54" s="75"/>
      <c r="AP54" s="30" t="str">
        <f>IF(_Calcs!$D$11=1,"✓",IF(AN54="","!","✓"))</f>
        <v>!</v>
      </c>
      <c r="AQ54" s="1227"/>
      <c r="AR54" s="1241"/>
      <c r="AS54" s="16"/>
      <c r="AT54" s="1231"/>
      <c r="AU54" s="76"/>
      <c r="AV54" s="2480"/>
      <c r="AW54" s="75"/>
      <c r="AX54" s="30" t="str">
        <f>IF(_Calcs!$D$11=1,"✓",IF(AV54="","!","✓"))</f>
        <v>!</v>
      </c>
      <c r="AY54" s="1227"/>
      <c r="AZ54" s="1241"/>
      <c r="BA54" s="16"/>
      <c r="BB54" s="1231"/>
      <c r="BC54" s="76"/>
      <c r="BD54" s="2480"/>
      <c r="BE54" s="75"/>
      <c r="BF54" s="30" t="str">
        <f>IF(_Calcs!$D$11=1,"✓",IF(BD54="","!","✓"))</f>
        <v>!</v>
      </c>
      <c r="BG54" s="1227"/>
      <c r="BH54" s="1241"/>
      <c r="BI54" s="16"/>
      <c r="BJ54" s="1231"/>
      <c r="BK54" s="76"/>
      <c r="BL54" s="2480"/>
      <c r="BM54" s="75"/>
      <c r="BN54" s="30" t="str">
        <f>IF(_Calcs!$D$11=1,"✓",IF(BL54="","!","✓"))</f>
        <v>!</v>
      </c>
      <c r="BO54" s="1227"/>
      <c r="BP54" s="1241"/>
      <c r="BQ54" s="16"/>
      <c r="BR54" s="1231"/>
      <c r="BS54" s="76"/>
      <c r="BT54" s="2480"/>
      <c r="BU54" s="75"/>
      <c r="BV54" s="30" t="str">
        <f>IF(_Calcs!$D$11=1,"✓",IF(BT54="","!","✓"))</f>
        <v>!</v>
      </c>
      <c r="BW54" s="1227"/>
      <c r="BX54" s="1241"/>
      <c r="BY54" s="16"/>
      <c r="BZ54" s="1231"/>
      <c r="CA54" s="76"/>
      <c r="CB54" s="2480"/>
      <c r="CC54" s="75"/>
      <c r="CD54" s="30" t="str">
        <f>IF(_Calcs!$D$11=1,"✓",IF(CB54="","!","✓"))</f>
        <v>!</v>
      </c>
      <c r="CE54" s="1227"/>
      <c r="CF54" s="1241"/>
      <c r="CG54" s="16"/>
      <c r="CH54" s="1231"/>
      <c r="CI54" s="76"/>
      <c r="CJ54" s="2480"/>
      <c r="CK54" s="75"/>
      <c r="CL54" s="30" t="str">
        <f>IF(_Calcs!$D$11=1,"✓",IF(CJ54="","!","✓"))</f>
        <v>!</v>
      </c>
      <c r="CM54" s="1227"/>
      <c r="CN54" s="1241"/>
      <c r="CO54" s="16"/>
      <c r="CP54" s="173"/>
    </row>
    <row r="55" spans="1:94" s="78" customFormat="1" ht="15" customHeight="1" thickBot="1" x14ac:dyDescent="0.25">
      <c r="A55" s="104"/>
      <c r="B55" s="104"/>
      <c r="C55" s="1251"/>
      <c r="D55" s="20"/>
      <c r="E55" s="663"/>
      <c r="F55" s="76"/>
      <c r="G55" s="76"/>
      <c r="H55" s="76"/>
      <c r="I55" s="76"/>
      <c r="J55" s="5456"/>
      <c r="K55" s="75"/>
      <c r="L55" s="1227"/>
      <c r="M55" s="1227"/>
      <c r="N55" s="1227"/>
      <c r="O55" s="76"/>
      <c r="P55" s="1228"/>
      <c r="Q55" s="21"/>
      <c r="R55" s="4068"/>
      <c r="S55" s="3777"/>
      <c r="T55" s="4069"/>
      <c r="U55" s="16"/>
      <c r="V55" s="1240"/>
      <c r="W55" s="75"/>
      <c r="X55" s="3778"/>
      <c r="Y55" s="75"/>
      <c r="Z55" s="3464"/>
      <c r="AA55" s="1227"/>
      <c r="AB55" s="1241"/>
      <c r="AC55" s="16"/>
      <c r="AD55" s="1240"/>
      <c r="AE55" s="75"/>
      <c r="AF55" s="3778"/>
      <c r="AG55" s="75"/>
      <c r="AH55" s="3464"/>
      <c r="AI55" s="1227"/>
      <c r="AJ55" s="1241"/>
      <c r="AK55" s="16"/>
      <c r="AL55" s="1240"/>
      <c r="AM55" s="75"/>
      <c r="AN55" s="3778"/>
      <c r="AO55" s="75"/>
      <c r="AP55" s="3464"/>
      <c r="AQ55" s="1227"/>
      <c r="AR55" s="1241"/>
      <c r="AS55" s="16"/>
      <c r="AT55" s="1240"/>
      <c r="AU55" s="75"/>
      <c r="AV55" s="3778"/>
      <c r="AW55" s="75"/>
      <c r="AX55" s="3464"/>
      <c r="AY55" s="1227"/>
      <c r="AZ55" s="1241"/>
      <c r="BA55" s="16"/>
      <c r="BB55" s="1240"/>
      <c r="BC55" s="75"/>
      <c r="BD55" s="3778"/>
      <c r="BE55" s="75"/>
      <c r="BF55" s="3464"/>
      <c r="BG55" s="1227"/>
      <c r="BH55" s="1241"/>
      <c r="BI55" s="16"/>
      <c r="BJ55" s="1240"/>
      <c r="BK55" s="75"/>
      <c r="BL55" s="3778"/>
      <c r="BM55" s="75"/>
      <c r="BN55" s="3464"/>
      <c r="BO55" s="1227"/>
      <c r="BP55" s="1241"/>
      <c r="BQ55" s="16"/>
      <c r="BR55" s="1240"/>
      <c r="BS55" s="75"/>
      <c r="BT55" s="3778"/>
      <c r="BU55" s="75"/>
      <c r="BV55" s="3464"/>
      <c r="BW55" s="1227"/>
      <c r="BX55" s="1241"/>
      <c r="BY55" s="16"/>
      <c r="BZ55" s="1240"/>
      <c r="CA55" s="75"/>
      <c r="CB55" s="3778"/>
      <c r="CC55" s="75"/>
      <c r="CD55" s="3464"/>
      <c r="CE55" s="1227"/>
      <c r="CF55" s="1241"/>
      <c r="CG55" s="16"/>
      <c r="CH55" s="1240"/>
      <c r="CI55" s="75"/>
      <c r="CJ55" s="3778"/>
      <c r="CK55" s="75"/>
      <c r="CL55" s="3464"/>
      <c r="CM55" s="1227"/>
      <c r="CN55" s="1241"/>
      <c r="CO55" s="16"/>
      <c r="CP55" s="173"/>
    </row>
    <row r="56" spans="1:94" s="78" customFormat="1" ht="20.100000000000001" customHeight="1" thickBot="1" x14ac:dyDescent="0.25">
      <c r="A56" s="104"/>
      <c r="B56" s="104"/>
      <c r="C56" s="1251"/>
      <c r="D56" s="20"/>
      <c r="E56" s="663"/>
      <c r="F56" s="650" t="str">
        <f>_Calcs!$M$61</f>
        <v>Festebolter for bergbånd og nett</v>
      </c>
      <c r="G56" s="3877"/>
      <c r="H56" s="3877"/>
      <c r="I56" s="76"/>
      <c r="J56" s="5456" t="s">
        <v>149</v>
      </c>
      <c r="K56" s="75"/>
      <c r="L56" s="1227"/>
      <c r="M56" s="1227"/>
      <c r="N56" s="1227"/>
      <c r="O56" s="76" t="s">
        <v>97</v>
      </c>
      <c r="P56" s="1228"/>
      <c r="Q56" s="21"/>
      <c r="R56" s="4068"/>
      <c r="S56" s="2301">
        <f>IF($I$20&lt;&gt;_List!$CU$8,_Calcs!$FG$97,"")</f>
        <v>0</v>
      </c>
      <c r="T56" s="4069"/>
      <c r="U56" s="16"/>
      <c r="V56" s="1240"/>
      <c r="W56" s="75"/>
      <c r="X56" s="2480"/>
      <c r="Y56" s="75"/>
      <c r="Z56" s="30" t="str">
        <f>IF(_Calcs!$D$11=1,"✓",IF(X56="","!","✓"))</f>
        <v>!</v>
      </c>
      <c r="AA56" s="1227"/>
      <c r="AB56" s="1241"/>
      <c r="AC56" s="16"/>
      <c r="AD56" s="1240"/>
      <c r="AE56" s="75"/>
      <c r="AF56" s="2480"/>
      <c r="AG56" s="75"/>
      <c r="AH56" s="30" t="str">
        <f>IF(_Calcs!$D$11=1,"✓",IF(AF56="","!","✓"))</f>
        <v>!</v>
      </c>
      <c r="AI56" s="1227"/>
      <c r="AJ56" s="1241"/>
      <c r="AK56" s="16"/>
      <c r="AL56" s="1240"/>
      <c r="AM56" s="75"/>
      <c r="AN56" s="2480"/>
      <c r="AO56" s="75"/>
      <c r="AP56" s="30" t="str">
        <f>IF(_Calcs!$D$11=1,"✓",IF(AN56="","!","✓"))</f>
        <v>!</v>
      </c>
      <c r="AQ56" s="1227"/>
      <c r="AR56" s="1241"/>
      <c r="AS56" s="16"/>
      <c r="AT56" s="1240"/>
      <c r="AU56" s="75"/>
      <c r="AV56" s="2480"/>
      <c r="AW56" s="75"/>
      <c r="AX56" s="30" t="str">
        <f>IF(_Calcs!$D$11=1,"✓",IF(AV56="","!","✓"))</f>
        <v>!</v>
      </c>
      <c r="AY56" s="1227"/>
      <c r="AZ56" s="1241"/>
      <c r="BA56" s="16"/>
      <c r="BB56" s="1240"/>
      <c r="BC56" s="75"/>
      <c r="BD56" s="2480"/>
      <c r="BE56" s="75"/>
      <c r="BF56" s="30" t="str">
        <f>IF(_Calcs!$D$11=1,"✓",IF(BD56="","!","✓"))</f>
        <v>!</v>
      </c>
      <c r="BG56" s="1227"/>
      <c r="BH56" s="1241"/>
      <c r="BI56" s="16"/>
      <c r="BJ56" s="1240"/>
      <c r="BK56" s="75"/>
      <c r="BL56" s="2480"/>
      <c r="BM56" s="75"/>
      <c r="BN56" s="30" t="str">
        <f>IF(_Calcs!$D$11=1,"✓",IF(BL56="","!","✓"))</f>
        <v>!</v>
      </c>
      <c r="BO56" s="1227"/>
      <c r="BP56" s="1241"/>
      <c r="BQ56" s="16"/>
      <c r="BR56" s="1240"/>
      <c r="BS56" s="75"/>
      <c r="BT56" s="2480"/>
      <c r="BU56" s="75"/>
      <c r="BV56" s="30" t="str">
        <f>IF(_Calcs!$D$11=1,"✓",IF(BT56="","!","✓"))</f>
        <v>!</v>
      </c>
      <c r="BW56" s="1227"/>
      <c r="BX56" s="1241"/>
      <c r="BY56" s="16"/>
      <c r="BZ56" s="1240"/>
      <c r="CA56" s="75"/>
      <c r="CB56" s="2480"/>
      <c r="CC56" s="75"/>
      <c r="CD56" s="30" t="str">
        <f>IF(_Calcs!$D$11=1,"✓",IF(CB56="","!","✓"))</f>
        <v>!</v>
      </c>
      <c r="CE56" s="1227"/>
      <c r="CF56" s="1241"/>
      <c r="CG56" s="16"/>
      <c r="CH56" s="1240"/>
      <c r="CI56" s="75"/>
      <c r="CJ56" s="2480"/>
      <c r="CK56" s="75"/>
      <c r="CL56" s="30" t="str">
        <f>IF(_Calcs!$D$11=1,"✓",IF(CJ56="","!","✓"))</f>
        <v>!</v>
      </c>
      <c r="CM56" s="1227"/>
      <c r="CN56" s="1241"/>
      <c r="CO56" s="16"/>
      <c r="CP56" s="173"/>
    </row>
    <row r="57" spans="1:94" s="78" customFormat="1" ht="15" customHeight="1" thickBot="1" x14ac:dyDescent="0.25">
      <c r="A57" s="104"/>
      <c r="B57" s="104"/>
      <c r="C57" s="1251"/>
      <c r="D57" s="20"/>
      <c r="E57" s="3896"/>
      <c r="F57" s="3897"/>
      <c r="G57" s="3897"/>
      <c r="H57" s="3897"/>
      <c r="I57" s="656"/>
      <c r="J57" s="656"/>
      <c r="K57" s="656"/>
      <c r="L57" s="656"/>
      <c r="M57" s="656"/>
      <c r="N57" s="656"/>
      <c r="O57" s="656"/>
      <c r="P57" s="657"/>
      <c r="R57" s="4070"/>
      <c r="S57" s="4103"/>
      <c r="T57" s="4072"/>
      <c r="U57" s="16"/>
      <c r="V57" s="1229"/>
      <c r="W57" s="659"/>
      <c r="X57" s="1242"/>
      <c r="Y57" s="659"/>
      <c r="Z57" s="659"/>
      <c r="AA57" s="1243"/>
      <c r="AB57" s="1244"/>
      <c r="AC57" s="16"/>
      <c r="AD57" s="1229"/>
      <c r="AE57" s="659"/>
      <c r="AF57" s="1242"/>
      <c r="AG57" s="659"/>
      <c r="AH57" s="659"/>
      <c r="AI57" s="1243"/>
      <c r="AJ57" s="1244"/>
      <c r="AK57" s="16"/>
      <c r="AL57" s="1229"/>
      <c r="AM57" s="659"/>
      <c r="AN57" s="1242"/>
      <c r="AO57" s="659"/>
      <c r="AP57" s="659"/>
      <c r="AQ57" s="1243"/>
      <c r="AR57" s="1244"/>
      <c r="AS57" s="16"/>
      <c r="AT57" s="1229"/>
      <c r="AU57" s="659"/>
      <c r="AV57" s="1242"/>
      <c r="AW57" s="659"/>
      <c r="AX57" s="659"/>
      <c r="AY57" s="1243"/>
      <c r="AZ57" s="1244"/>
      <c r="BA57" s="16"/>
      <c r="BB57" s="1229"/>
      <c r="BC57" s="659"/>
      <c r="BD57" s="1242"/>
      <c r="BE57" s="659"/>
      <c r="BF57" s="659"/>
      <c r="BG57" s="1243"/>
      <c r="BH57" s="1244"/>
      <c r="BI57" s="16"/>
      <c r="BJ57" s="1229"/>
      <c r="BK57" s="659"/>
      <c r="BL57" s="1242"/>
      <c r="BM57" s="659"/>
      <c r="BN57" s="659"/>
      <c r="BO57" s="1243"/>
      <c r="BP57" s="1244"/>
      <c r="BQ57" s="16"/>
      <c r="BR57" s="1229"/>
      <c r="BS57" s="659"/>
      <c r="BT57" s="1242"/>
      <c r="BU57" s="659"/>
      <c r="BV57" s="659"/>
      <c r="BW57" s="1243"/>
      <c r="BX57" s="1244"/>
      <c r="BY57" s="16"/>
      <c r="BZ57" s="1229"/>
      <c r="CA57" s="659"/>
      <c r="CB57" s="1242"/>
      <c r="CC57" s="659"/>
      <c r="CD57" s="659"/>
      <c r="CE57" s="1243"/>
      <c r="CF57" s="1244"/>
      <c r="CG57" s="16"/>
      <c r="CH57" s="1229"/>
      <c r="CI57" s="659"/>
      <c r="CJ57" s="1242"/>
      <c r="CK57" s="659"/>
      <c r="CL57" s="659"/>
      <c r="CM57" s="1243"/>
      <c r="CN57" s="1244"/>
      <c r="CO57" s="16"/>
      <c r="CP57" s="173"/>
    </row>
    <row r="58" spans="1:94" s="78" customFormat="1" ht="9.9499999999999993" hidden="1" customHeight="1" x14ac:dyDescent="0.2">
      <c r="A58" s="104"/>
      <c r="B58" s="104"/>
      <c r="C58" s="1251"/>
      <c r="D58" s="20"/>
      <c r="E58" s="663"/>
      <c r="F58" s="76"/>
      <c r="G58" s="76"/>
      <c r="H58" s="76"/>
      <c r="I58" s="76"/>
      <c r="J58" s="75"/>
      <c r="K58" s="75"/>
      <c r="L58" s="1232"/>
      <c r="M58" s="1232"/>
      <c r="N58" s="1232"/>
      <c r="O58" s="76"/>
      <c r="P58" s="1228"/>
      <c r="R58" s="36"/>
      <c r="S58" s="36"/>
      <c r="T58" s="36"/>
      <c r="U58" s="16"/>
      <c r="V58" s="17"/>
      <c r="W58" s="17"/>
      <c r="X58" s="572"/>
      <c r="Y58" s="17"/>
      <c r="Z58" s="17"/>
      <c r="AA58" s="3873"/>
      <c r="AB58" s="3873"/>
      <c r="AC58" s="16"/>
      <c r="AD58" s="17"/>
      <c r="AE58" s="17"/>
      <c r="AF58" s="572"/>
      <c r="AG58" s="17"/>
      <c r="AH58" s="17"/>
      <c r="AI58" s="3873"/>
      <c r="AJ58" s="3873"/>
      <c r="AK58" s="16"/>
      <c r="AL58" s="17"/>
      <c r="AM58" s="17"/>
      <c r="AN58" s="572"/>
      <c r="AO58" s="17"/>
      <c r="AP58" s="17"/>
      <c r="AQ58" s="3873"/>
      <c r="AR58" s="3873"/>
      <c r="AS58" s="16"/>
      <c r="AT58" s="17"/>
      <c r="AU58" s="17"/>
      <c r="AV58" s="572"/>
      <c r="AW58" s="17"/>
      <c r="AX58" s="17"/>
      <c r="AY58" s="3873"/>
      <c r="AZ58" s="3873"/>
      <c r="BA58" s="16"/>
      <c r="BB58" s="17"/>
      <c r="BC58" s="17"/>
      <c r="BD58" s="572"/>
      <c r="BE58" s="17"/>
      <c r="BF58" s="17"/>
      <c r="BG58" s="3873"/>
      <c r="BH58" s="3873"/>
      <c r="BI58" s="16"/>
      <c r="BJ58" s="17"/>
      <c r="BK58" s="17"/>
      <c r="BL58" s="572"/>
      <c r="BM58" s="17"/>
      <c r="BN58" s="17"/>
      <c r="BO58" s="3873"/>
      <c r="BP58" s="3873"/>
      <c r="BQ58" s="16"/>
      <c r="BR58" s="17"/>
      <c r="BS58" s="17"/>
      <c r="BT58" s="572"/>
      <c r="BU58" s="17"/>
      <c r="BV58" s="17"/>
      <c r="BW58" s="3873"/>
      <c r="BX58" s="3873"/>
      <c r="BY58" s="16"/>
      <c r="BZ58" s="17"/>
      <c r="CA58" s="17"/>
      <c r="CB58" s="572"/>
      <c r="CC58" s="17"/>
      <c r="CD58" s="17"/>
      <c r="CE58" s="3873"/>
      <c r="CF58" s="3873"/>
      <c r="CG58" s="16"/>
      <c r="CH58" s="17"/>
      <c r="CI58" s="17"/>
      <c r="CJ58" s="572"/>
      <c r="CK58" s="17"/>
      <c r="CL58" s="17"/>
      <c r="CM58" s="3873"/>
      <c r="CN58" s="3873"/>
      <c r="CO58" s="16"/>
      <c r="CP58" s="1261"/>
    </row>
    <row r="59" spans="1:94" s="78" customFormat="1" ht="8.1" hidden="1" customHeight="1" thickBot="1" x14ac:dyDescent="0.25">
      <c r="A59" s="104"/>
      <c r="B59" s="104"/>
      <c r="C59" s="1251"/>
      <c r="D59" s="20"/>
      <c r="E59" s="665"/>
      <c r="F59" s="659"/>
      <c r="G59" s="659"/>
      <c r="H59" s="659"/>
      <c r="I59" s="659"/>
      <c r="J59" s="655"/>
      <c r="K59" s="655"/>
      <c r="L59" s="1245"/>
      <c r="M59" s="1245"/>
      <c r="N59" s="1245"/>
      <c r="O59" s="659"/>
      <c r="P59" s="1230"/>
      <c r="R59" s="4108"/>
      <c r="S59" s="4108"/>
      <c r="T59" s="4108"/>
      <c r="U59" s="16"/>
      <c r="V59" s="1262"/>
      <c r="W59" s="1262"/>
      <c r="X59" s="3892"/>
      <c r="Y59" s="1262"/>
      <c r="Z59" s="1262"/>
      <c r="AA59" s="3893"/>
      <c r="AB59" s="3893"/>
      <c r="AC59" s="16"/>
      <c r="AD59" s="1262"/>
      <c r="AE59" s="1262"/>
      <c r="AF59" s="3892"/>
      <c r="AG59" s="1262"/>
      <c r="AH59" s="1262"/>
      <c r="AI59" s="3893"/>
      <c r="AJ59" s="3893"/>
      <c r="AK59" s="16"/>
      <c r="AL59" s="1262"/>
      <c r="AM59" s="1262"/>
      <c r="AN59" s="3892"/>
      <c r="AO59" s="1262"/>
      <c r="AP59" s="1262"/>
      <c r="AQ59" s="3893"/>
      <c r="AR59" s="3893"/>
      <c r="AS59" s="16"/>
      <c r="AT59" s="1262"/>
      <c r="AU59" s="1262"/>
      <c r="AV59" s="3892"/>
      <c r="AW59" s="1262"/>
      <c r="AX59" s="1262"/>
      <c r="AY59" s="3893"/>
      <c r="AZ59" s="3893"/>
      <c r="BA59" s="16"/>
      <c r="BB59" s="1262"/>
      <c r="BC59" s="1262"/>
      <c r="BD59" s="3892"/>
      <c r="BE59" s="1262"/>
      <c r="BF59" s="1262"/>
      <c r="BG59" s="3893"/>
      <c r="BH59" s="3893"/>
      <c r="BI59" s="16"/>
      <c r="BJ59" s="1262"/>
      <c r="BK59" s="1262"/>
      <c r="BL59" s="3892"/>
      <c r="BM59" s="1262"/>
      <c r="BN59" s="1262"/>
      <c r="BO59" s="3893"/>
      <c r="BP59" s="3893"/>
      <c r="BQ59" s="16"/>
      <c r="BR59" s="1262"/>
      <c r="BS59" s="1262"/>
      <c r="BT59" s="3892"/>
      <c r="BU59" s="1262"/>
      <c r="BV59" s="1262"/>
      <c r="BW59" s="3893"/>
      <c r="BX59" s="3893"/>
      <c r="BY59" s="16"/>
      <c r="BZ59" s="1262"/>
      <c r="CA59" s="1262"/>
      <c r="CB59" s="3892"/>
      <c r="CC59" s="1262"/>
      <c r="CD59" s="1262"/>
      <c r="CE59" s="3893"/>
      <c r="CF59" s="3893"/>
      <c r="CG59" s="16"/>
      <c r="CH59" s="1262"/>
      <c r="CI59" s="1262"/>
      <c r="CJ59" s="3892"/>
      <c r="CK59" s="1262"/>
      <c r="CL59" s="1262"/>
      <c r="CM59" s="3893"/>
      <c r="CN59" s="3893"/>
      <c r="CO59" s="16"/>
      <c r="CP59" s="1266"/>
    </row>
    <row r="60" spans="1:94" s="21" customFormat="1" ht="24.95" customHeight="1" thickBot="1" x14ac:dyDescent="0.25">
      <c r="A60" s="104"/>
      <c r="B60" s="104"/>
      <c r="C60" s="1251"/>
      <c r="D60" s="104"/>
      <c r="E60" s="104"/>
      <c r="F60" s="104"/>
      <c r="G60" s="104"/>
      <c r="H60" s="104"/>
      <c r="I60" s="104"/>
      <c r="J60" s="104"/>
      <c r="K60" s="104"/>
      <c r="L60" s="104"/>
      <c r="M60" s="104"/>
      <c r="N60" s="104"/>
      <c r="O60" s="104"/>
      <c r="P60" s="104"/>
      <c r="R60" s="70"/>
      <c r="S60" s="114"/>
      <c r="T60" s="70"/>
      <c r="U60" s="16"/>
      <c r="V60" s="104"/>
      <c r="W60" s="104"/>
      <c r="X60" s="306"/>
      <c r="Y60" s="104"/>
      <c r="Z60" s="104"/>
      <c r="AA60" s="104"/>
      <c r="AB60" s="104"/>
      <c r="AC60" s="16"/>
      <c r="AD60" s="104"/>
      <c r="AE60" s="104"/>
      <c r="AF60" s="306"/>
      <c r="AG60" s="104"/>
      <c r="AH60" s="104"/>
      <c r="AI60" s="104"/>
      <c r="AJ60" s="104"/>
      <c r="AK60" s="16"/>
      <c r="AL60" s="104"/>
      <c r="AM60" s="104"/>
      <c r="AN60" s="306"/>
      <c r="AO60" s="104"/>
      <c r="AP60" s="104"/>
      <c r="AQ60" s="104"/>
      <c r="AR60" s="104"/>
      <c r="AS60" s="16"/>
      <c r="AT60" s="104"/>
      <c r="AU60" s="104"/>
      <c r="AV60" s="306"/>
      <c r="AW60" s="104"/>
      <c r="AX60" s="104"/>
      <c r="AY60" s="104"/>
      <c r="AZ60" s="104"/>
      <c r="BA60" s="16"/>
      <c r="BB60" s="104"/>
      <c r="BC60" s="104"/>
      <c r="BD60" s="306"/>
      <c r="BE60" s="104"/>
      <c r="BF60" s="104"/>
      <c r="BG60" s="104"/>
      <c r="BH60" s="104"/>
      <c r="BI60" s="16"/>
      <c r="BJ60" s="104"/>
      <c r="BK60" s="104"/>
      <c r="BL60" s="306"/>
      <c r="BM60" s="104"/>
      <c r="BN60" s="104"/>
      <c r="BO60" s="104"/>
      <c r="BP60" s="104"/>
      <c r="BQ60" s="16"/>
      <c r="BR60" s="104"/>
      <c r="BS60" s="104"/>
      <c r="BT60" s="306"/>
      <c r="BU60" s="104"/>
      <c r="BV60" s="104"/>
      <c r="BW60" s="104"/>
      <c r="BX60" s="104"/>
      <c r="BY60" s="16"/>
      <c r="BZ60" s="104"/>
      <c r="CA60" s="104"/>
      <c r="CB60" s="306"/>
      <c r="CC60" s="104"/>
      <c r="CD60" s="104"/>
      <c r="CE60" s="104"/>
      <c r="CF60" s="104"/>
      <c r="CG60" s="16"/>
      <c r="CH60" s="104"/>
      <c r="CI60" s="104"/>
      <c r="CJ60" s="306"/>
      <c r="CK60" s="104"/>
      <c r="CL60" s="104"/>
      <c r="CM60" s="104"/>
      <c r="CN60" s="104"/>
      <c r="CO60" s="16"/>
      <c r="CP60" s="104"/>
    </row>
    <row r="61" spans="1:94" s="78" customFormat="1" ht="15" customHeight="1" thickBot="1" x14ac:dyDescent="0.25">
      <c r="A61" s="104"/>
      <c r="B61" s="104"/>
      <c r="C61" s="1251"/>
      <c r="D61" s="20"/>
      <c r="E61" s="1219"/>
      <c r="F61" s="6597" t="str">
        <f>_Calcs!$K$65</f>
        <v>Sprøytebetong</v>
      </c>
      <c r="G61" s="6597"/>
      <c r="H61" s="6597"/>
      <c r="I61" s="6597"/>
      <c r="J61" s="6597"/>
      <c r="K61" s="6597"/>
      <c r="L61" s="6597"/>
      <c r="M61" s="6597"/>
      <c r="N61" s="6597"/>
      <c r="O61" s="6597"/>
      <c r="P61" s="1220"/>
      <c r="R61" s="70"/>
      <c r="S61" s="70"/>
      <c r="T61" s="70"/>
      <c r="U61" s="16"/>
      <c r="V61" s="16"/>
      <c r="W61" s="16"/>
      <c r="X61" s="22"/>
      <c r="Y61" s="16"/>
      <c r="Z61" s="19"/>
      <c r="AA61" s="21"/>
      <c r="AB61" s="21"/>
      <c r="AC61" s="16"/>
      <c r="AD61" s="16"/>
      <c r="AE61" s="16"/>
      <c r="AF61" s="22"/>
      <c r="AG61" s="16"/>
      <c r="AH61" s="19"/>
      <c r="AI61" s="21"/>
      <c r="AJ61" s="21"/>
      <c r="AK61" s="16"/>
      <c r="AL61" s="16"/>
      <c r="AM61" s="16"/>
      <c r="AN61" s="22"/>
      <c r="AO61" s="16"/>
      <c r="AP61" s="19"/>
      <c r="AQ61" s="21"/>
      <c r="AR61" s="21"/>
      <c r="AS61" s="16"/>
      <c r="AT61" s="16"/>
      <c r="AU61" s="16"/>
      <c r="AV61" s="22"/>
      <c r="AW61" s="16"/>
      <c r="AX61" s="19"/>
      <c r="AY61" s="21"/>
      <c r="AZ61" s="21"/>
      <c r="BA61" s="16"/>
      <c r="BB61" s="16"/>
      <c r="BC61" s="16"/>
      <c r="BD61" s="22"/>
      <c r="BE61" s="16"/>
      <c r="BF61" s="19"/>
      <c r="BG61" s="21"/>
      <c r="BH61" s="21"/>
      <c r="BI61" s="16"/>
      <c r="BJ61" s="16"/>
      <c r="BK61" s="16"/>
      <c r="BL61" s="22"/>
      <c r="BM61" s="16"/>
      <c r="BN61" s="19"/>
      <c r="BO61" s="21"/>
      <c r="BP61" s="21"/>
      <c r="BQ61" s="16"/>
      <c r="BR61" s="16"/>
      <c r="BS61" s="16"/>
      <c r="BT61" s="22"/>
      <c r="BU61" s="16"/>
      <c r="BV61" s="19"/>
      <c r="BW61" s="21"/>
      <c r="BX61" s="21"/>
      <c r="BY61" s="16"/>
      <c r="BZ61" s="16"/>
      <c r="CA61" s="16"/>
      <c r="CB61" s="22"/>
      <c r="CC61" s="16"/>
      <c r="CD61" s="19"/>
      <c r="CE61" s="21"/>
      <c r="CF61" s="21"/>
      <c r="CG61" s="16"/>
      <c r="CH61" s="16"/>
      <c r="CI61" s="16"/>
      <c r="CJ61" s="22"/>
      <c r="CK61" s="16"/>
      <c r="CL61" s="19"/>
      <c r="CM61" s="21"/>
      <c r="CN61" s="21"/>
      <c r="CO61" s="16"/>
      <c r="CP61" s="21"/>
    </row>
    <row r="62" spans="1:94" s="78" customFormat="1" ht="15" customHeight="1" thickBot="1" x14ac:dyDescent="0.25">
      <c r="A62" s="104"/>
      <c r="B62" s="104"/>
      <c r="C62" s="1251"/>
      <c r="D62" s="20"/>
      <c r="E62" s="1221"/>
      <c r="F62" s="6598"/>
      <c r="G62" s="6598"/>
      <c r="H62" s="6598"/>
      <c r="I62" s="6598"/>
      <c r="J62" s="6598"/>
      <c r="K62" s="6598"/>
      <c r="L62" s="6598"/>
      <c r="M62" s="6598"/>
      <c r="N62" s="6598"/>
      <c r="O62" s="6598"/>
      <c r="P62" s="1222"/>
      <c r="R62" s="4094"/>
      <c r="S62" s="4095"/>
      <c r="T62" s="4096"/>
      <c r="U62" s="16"/>
      <c r="V62" s="692"/>
      <c r="W62" s="693"/>
      <c r="X62" s="1233"/>
      <c r="Y62" s="693"/>
      <c r="Z62" s="1234"/>
      <c r="AA62" s="748"/>
      <c r="AB62" s="1235"/>
      <c r="AC62" s="16"/>
      <c r="AD62" s="692"/>
      <c r="AE62" s="693"/>
      <c r="AF62" s="1233"/>
      <c r="AG62" s="693"/>
      <c r="AH62" s="1234"/>
      <c r="AI62" s="748"/>
      <c r="AJ62" s="1235"/>
      <c r="AK62" s="16"/>
      <c r="AL62" s="692"/>
      <c r="AM62" s="693"/>
      <c r="AN62" s="1233"/>
      <c r="AO62" s="693"/>
      <c r="AP62" s="1234"/>
      <c r="AQ62" s="748"/>
      <c r="AR62" s="1235"/>
      <c r="AS62" s="16"/>
      <c r="AT62" s="692"/>
      <c r="AU62" s="693"/>
      <c r="AV62" s="1233"/>
      <c r="AW62" s="693"/>
      <c r="AX62" s="1234"/>
      <c r="AY62" s="748"/>
      <c r="AZ62" s="1235"/>
      <c r="BA62" s="16"/>
      <c r="BB62" s="692"/>
      <c r="BC62" s="693"/>
      <c r="BD62" s="1233"/>
      <c r="BE62" s="693"/>
      <c r="BF62" s="1234"/>
      <c r="BG62" s="748"/>
      <c r="BH62" s="1235"/>
      <c r="BI62" s="16"/>
      <c r="BJ62" s="692"/>
      <c r="BK62" s="693"/>
      <c r="BL62" s="1233"/>
      <c r="BM62" s="693"/>
      <c r="BN62" s="1234"/>
      <c r="BO62" s="748"/>
      <c r="BP62" s="1235"/>
      <c r="BQ62" s="16"/>
      <c r="BR62" s="692"/>
      <c r="BS62" s="693"/>
      <c r="BT62" s="1233"/>
      <c r="BU62" s="693"/>
      <c r="BV62" s="1234"/>
      <c r="BW62" s="748"/>
      <c r="BX62" s="1235"/>
      <c r="BY62" s="16"/>
      <c r="BZ62" s="692"/>
      <c r="CA62" s="693"/>
      <c r="CB62" s="1233"/>
      <c r="CC62" s="693"/>
      <c r="CD62" s="1234"/>
      <c r="CE62" s="748"/>
      <c r="CF62" s="1235"/>
      <c r="CG62" s="16"/>
      <c r="CH62" s="692"/>
      <c r="CI62" s="693"/>
      <c r="CJ62" s="1233"/>
      <c r="CK62" s="693"/>
      <c r="CL62" s="1234"/>
      <c r="CM62" s="748"/>
      <c r="CN62" s="1235"/>
      <c r="CO62" s="16"/>
      <c r="CP62" s="172"/>
    </row>
    <row r="63" spans="1:94" s="78" customFormat="1" ht="8.1" customHeight="1" thickBot="1" x14ac:dyDescent="0.25">
      <c r="A63" s="104"/>
      <c r="B63" s="104"/>
      <c r="C63" s="1251"/>
      <c r="D63" s="20"/>
      <c r="E63" s="15"/>
      <c r="F63" s="1212"/>
      <c r="G63" s="1212"/>
      <c r="H63" s="1212"/>
      <c r="I63" s="1212"/>
      <c r="J63" s="16"/>
      <c r="K63" s="16"/>
      <c r="L63" s="19"/>
      <c r="M63" s="19"/>
      <c r="N63" s="19"/>
      <c r="O63" s="15"/>
      <c r="P63" s="15"/>
      <c r="R63" s="70"/>
      <c r="S63" s="114"/>
      <c r="T63" s="70"/>
      <c r="U63" s="16"/>
      <c r="V63" s="16"/>
      <c r="W63" s="16"/>
      <c r="X63" s="22"/>
      <c r="Y63" s="16"/>
      <c r="Z63" s="19"/>
      <c r="AA63" s="21"/>
      <c r="AB63" s="21"/>
      <c r="AC63" s="16"/>
      <c r="AD63" s="16"/>
      <c r="AE63" s="16"/>
      <c r="AF63" s="22"/>
      <c r="AG63" s="16"/>
      <c r="AH63" s="19"/>
      <c r="AI63" s="21"/>
      <c r="AJ63" s="21"/>
      <c r="AK63" s="16"/>
      <c r="AL63" s="16"/>
      <c r="AM63" s="16"/>
      <c r="AN63" s="22"/>
      <c r="AO63" s="16"/>
      <c r="AP63" s="19"/>
      <c r="AQ63" s="21"/>
      <c r="AR63" s="21"/>
      <c r="AS63" s="16"/>
      <c r="AT63" s="16"/>
      <c r="AU63" s="16"/>
      <c r="AV63" s="22"/>
      <c r="AW63" s="16"/>
      <c r="AX63" s="19"/>
      <c r="AY63" s="21"/>
      <c r="AZ63" s="21"/>
      <c r="BA63" s="16"/>
      <c r="BB63" s="16"/>
      <c r="BC63" s="16"/>
      <c r="BD63" s="22"/>
      <c r="BE63" s="16"/>
      <c r="BF63" s="19"/>
      <c r="BG63" s="21"/>
      <c r="BH63" s="21"/>
      <c r="BI63" s="16"/>
      <c r="BJ63" s="16"/>
      <c r="BK63" s="16"/>
      <c r="BL63" s="22"/>
      <c r="BM63" s="16"/>
      <c r="BN63" s="19"/>
      <c r="BO63" s="21"/>
      <c r="BP63" s="21"/>
      <c r="BQ63" s="16"/>
      <c r="BR63" s="16"/>
      <c r="BS63" s="16"/>
      <c r="BT63" s="22"/>
      <c r="BU63" s="16"/>
      <c r="BV63" s="19"/>
      <c r="BW63" s="21"/>
      <c r="BX63" s="21"/>
      <c r="BY63" s="16"/>
      <c r="BZ63" s="16"/>
      <c r="CA63" s="16"/>
      <c r="CB63" s="22"/>
      <c r="CC63" s="16"/>
      <c r="CD63" s="19"/>
      <c r="CE63" s="21"/>
      <c r="CF63" s="21"/>
      <c r="CG63" s="16"/>
      <c r="CH63" s="16"/>
      <c r="CI63" s="16"/>
      <c r="CJ63" s="22"/>
      <c r="CK63" s="16"/>
      <c r="CL63" s="19"/>
      <c r="CM63" s="21"/>
      <c r="CN63" s="21"/>
      <c r="CO63" s="16"/>
      <c r="CP63" s="21"/>
    </row>
    <row r="64" spans="1:94" s="78" customFormat="1" ht="15" customHeight="1" thickBot="1" x14ac:dyDescent="0.25">
      <c r="A64" s="104"/>
      <c r="B64" s="104"/>
      <c r="C64" s="1251"/>
      <c r="D64" s="20"/>
      <c r="E64" s="660"/>
      <c r="F64" s="658"/>
      <c r="G64" s="658"/>
      <c r="H64" s="658"/>
      <c r="I64" s="658"/>
      <c r="J64" s="643"/>
      <c r="K64" s="643"/>
      <c r="L64" s="1224"/>
      <c r="M64" s="1224"/>
      <c r="N64" s="1224"/>
      <c r="O64" s="658"/>
      <c r="P64" s="1225"/>
      <c r="R64" s="4065"/>
      <c r="S64" s="4066"/>
      <c r="T64" s="4067"/>
      <c r="U64" s="16"/>
      <c r="V64" s="1223"/>
      <c r="W64" s="658"/>
      <c r="X64" s="1257"/>
      <c r="Y64" s="643"/>
      <c r="Z64" s="1224"/>
      <c r="AA64" s="1238"/>
      <c r="AB64" s="1239"/>
      <c r="AC64" s="16"/>
      <c r="AD64" s="1223"/>
      <c r="AE64" s="658"/>
      <c r="AF64" s="1257"/>
      <c r="AG64" s="643"/>
      <c r="AH64" s="1224"/>
      <c r="AI64" s="1238"/>
      <c r="AJ64" s="1239"/>
      <c r="AK64" s="16"/>
      <c r="AL64" s="1223"/>
      <c r="AM64" s="658"/>
      <c r="AN64" s="1257"/>
      <c r="AO64" s="643"/>
      <c r="AP64" s="1224"/>
      <c r="AQ64" s="1238"/>
      <c r="AR64" s="1239"/>
      <c r="AS64" s="16"/>
      <c r="AT64" s="1223"/>
      <c r="AU64" s="658"/>
      <c r="AV64" s="1257"/>
      <c r="AW64" s="643"/>
      <c r="AX64" s="1224"/>
      <c r="AY64" s="1238"/>
      <c r="AZ64" s="1239"/>
      <c r="BA64" s="16"/>
      <c r="BB64" s="1223"/>
      <c r="BC64" s="658"/>
      <c r="BD64" s="1257"/>
      <c r="BE64" s="643"/>
      <c r="BF64" s="1224"/>
      <c r="BG64" s="1238"/>
      <c r="BH64" s="1239"/>
      <c r="BI64" s="16"/>
      <c r="BJ64" s="1223"/>
      <c r="BK64" s="658"/>
      <c r="BL64" s="1257"/>
      <c r="BM64" s="643"/>
      <c r="BN64" s="1224"/>
      <c r="BO64" s="1238"/>
      <c r="BP64" s="1239"/>
      <c r="BQ64" s="16"/>
      <c r="BR64" s="1223"/>
      <c r="BS64" s="658"/>
      <c r="BT64" s="1257"/>
      <c r="BU64" s="643"/>
      <c r="BV64" s="1224"/>
      <c r="BW64" s="1238"/>
      <c r="BX64" s="1239"/>
      <c r="BY64" s="16"/>
      <c r="BZ64" s="1223"/>
      <c r="CA64" s="658"/>
      <c r="CB64" s="1257"/>
      <c r="CC64" s="643"/>
      <c r="CD64" s="1224"/>
      <c r="CE64" s="1238"/>
      <c r="CF64" s="1239"/>
      <c r="CG64" s="16"/>
      <c r="CH64" s="1223"/>
      <c r="CI64" s="658"/>
      <c r="CJ64" s="1257"/>
      <c r="CK64" s="643"/>
      <c r="CL64" s="1224"/>
      <c r="CM64" s="1238"/>
      <c r="CN64" s="1239"/>
      <c r="CO64" s="16"/>
      <c r="CP64" s="173"/>
    </row>
    <row r="65" spans="1:94" s="78" customFormat="1" ht="20.100000000000001" customHeight="1" thickBot="1" x14ac:dyDescent="0.25">
      <c r="A65" s="104"/>
      <c r="B65" s="104"/>
      <c r="C65" s="1251"/>
      <c r="D65" s="20"/>
      <c r="E65" s="663"/>
      <c r="F65" s="76" t="str">
        <f>_Calcs!$M$65</f>
        <v>Sprøytebetong, all bruk</v>
      </c>
      <c r="G65" s="76"/>
      <c r="H65" s="76"/>
      <c r="I65" s="76"/>
      <c r="J65" s="5456"/>
      <c r="K65" s="75"/>
      <c r="L65" s="1227"/>
      <c r="M65" s="1227"/>
      <c r="N65" s="1227"/>
      <c r="O65" s="76" t="s">
        <v>86</v>
      </c>
      <c r="P65" s="1228"/>
      <c r="Q65" s="21"/>
      <c r="R65" s="4068"/>
      <c r="S65" s="2301">
        <f>IF($I$20&lt;&gt;_List!$CU$8,_Calcs!$FB$97,"")</f>
        <v>0</v>
      </c>
      <c r="T65" s="4069"/>
      <c r="U65" s="16"/>
      <c r="V65" s="1231"/>
      <c r="W65" s="76"/>
      <c r="X65" s="2480"/>
      <c r="Y65" s="75"/>
      <c r="Z65" s="30" t="str">
        <f>IF(_Calcs!$D$11=1,"✓",IF(X65="","!","✓"))</f>
        <v>!</v>
      </c>
      <c r="AA65" s="1227"/>
      <c r="AB65" s="1241"/>
      <c r="AC65" s="16"/>
      <c r="AD65" s="1231"/>
      <c r="AE65" s="76"/>
      <c r="AF65" s="2480"/>
      <c r="AG65" s="75"/>
      <c r="AH65" s="30" t="str">
        <f>IF(_Calcs!$D$11=1,"✓",IF(AF65="","!","✓"))</f>
        <v>!</v>
      </c>
      <c r="AI65" s="1227"/>
      <c r="AJ65" s="1241"/>
      <c r="AK65" s="16"/>
      <c r="AL65" s="1231"/>
      <c r="AM65" s="76"/>
      <c r="AN65" s="2480"/>
      <c r="AO65" s="75"/>
      <c r="AP65" s="30" t="str">
        <f>IF(_Calcs!$D$11=1,"✓",IF(AN65="","!","✓"))</f>
        <v>!</v>
      </c>
      <c r="AQ65" s="1227"/>
      <c r="AR65" s="1241"/>
      <c r="AS65" s="16"/>
      <c r="AT65" s="1231"/>
      <c r="AU65" s="76"/>
      <c r="AV65" s="2480"/>
      <c r="AW65" s="75"/>
      <c r="AX65" s="30" t="str">
        <f>IF(_Calcs!$D$11=1,"✓",IF(AV65="","!","✓"))</f>
        <v>!</v>
      </c>
      <c r="AY65" s="1227"/>
      <c r="AZ65" s="1241"/>
      <c r="BA65" s="16"/>
      <c r="BB65" s="1231"/>
      <c r="BC65" s="76"/>
      <c r="BD65" s="2480"/>
      <c r="BE65" s="75"/>
      <c r="BF65" s="30" t="str">
        <f>IF(_Calcs!$D$11=1,"✓",IF(BD65="","!","✓"))</f>
        <v>!</v>
      </c>
      <c r="BG65" s="1227"/>
      <c r="BH65" s="1241"/>
      <c r="BI65" s="16"/>
      <c r="BJ65" s="1231"/>
      <c r="BK65" s="76"/>
      <c r="BL65" s="2480"/>
      <c r="BM65" s="75"/>
      <c r="BN65" s="30" t="str">
        <f>IF(_Calcs!$D$11=1,"✓",IF(BL65="","!","✓"))</f>
        <v>!</v>
      </c>
      <c r="BO65" s="1227"/>
      <c r="BP65" s="1241"/>
      <c r="BQ65" s="16"/>
      <c r="BR65" s="1231"/>
      <c r="BS65" s="76"/>
      <c r="BT65" s="2480"/>
      <c r="BU65" s="75"/>
      <c r="BV65" s="30" t="str">
        <f>IF(_Calcs!$D$11=1,"✓",IF(BT65="","!","✓"))</f>
        <v>!</v>
      </c>
      <c r="BW65" s="1227"/>
      <c r="BX65" s="1241"/>
      <c r="BY65" s="16"/>
      <c r="BZ65" s="1231"/>
      <c r="CA65" s="76"/>
      <c r="CB65" s="2480"/>
      <c r="CC65" s="75"/>
      <c r="CD65" s="30" t="str">
        <f>IF(_Calcs!$D$11=1,"✓",IF(CB65="","!","✓"))</f>
        <v>!</v>
      </c>
      <c r="CE65" s="1227"/>
      <c r="CF65" s="1241"/>
      <c r="CG65" s="16"/>
      <c r="CH65" s="1231"/>
      <c r="CI65" s="76"/>
      <c r="CJ65" s="2480"/>
      <c r="CK65" s="75"/>
      <c r="CL65" s="30" t="str">
        <f>IF(_Calcs!$D$11=1,"✓",IF(CJ65="","!","✓"))</f>
        <v>!</v>
      </c>
      <c r="CM65" s="1227"/>
      <c r="CN65" s="1241"/>
      <c r="CO65" s="16"/>
      <c r="CP65" s="173"/>
    </row>
    <row r="66" spans="1:94" s="78" customFormat="1" ht="15" customHeight="1" thickBot="1" x14ac:dyDescent="0.25">
      <c r="A66" s="104"/>
      <c r="B66" s="104"/>
      <c r="C66" s="1251"/>
      <c r="D66" s="20"/>
      <c r="E66" s="665"/>
      <c r="F66" s="1246"/>
      <c r="G66" s="1246"/>
      <c r="H66" s="1246"/>
      <c r="I66" s="1246"/>
      <c r="J66" s="1246"/>
      <c r="K66" s="1246"/>
      <c r="L66" s="1246"/>
      <c r="M66" s="1246"/>
      <c r="N66" s="1246"/>
      <c r="O66" s="659"/>
      <c r="P66" s="1230"/>
      <c r="R66" s="4070"/>
      <c r="S66" s="4103"/>
      <c r="T66" s="4072"/>
      <c r="U66" s="16"/>
      <c r="V66" s="665"/>
      <c r="W66" s="1246"/>
      <c r="X66" s="1258"/>
      <c r="Y66" s="1246"/>
      <c r="Z66" s="1246"/>
      <c r="AA66" s="1243"/>
      <c r="AB66" s="1244"/>
      <c r="AC66" s="16"/>
      <c r="AD66" s="665"/>
      <c r="AE66" s="1246"/>
      <c r="AF66" s="1258"/>
      <c r="AG66" s="1246"/>
      <c r="AH66" s="1246"/>
      <c r="AI66" s="1243"/>
      <c r="AJ66" s="1244"/>
      <c r="AK66" s="16"/>
      <c r="AL66" s="665"/>
      <c r="AM66" s="1246"/>
      <c r="AN66" s="1258"/>
      <c r="AO66" s="1246"/>
      <c r="AP66" s="1246"/>
      <c r="AQ66" s="1243"/>
      <c r="AR66" s="1244"/>
      <c r="AS66" s="16"/>
      <c r="AT66" s="665"/>
      <c r="AU66" s="1246"/>
      <c r="AV66" s="1258"/>
      <c r="AW66" s="1246"/>
      <c r="AX66" s="1246"/>
      <c r="AY66" s="1243"/>
      <c r="AZ66" s="1244"/>
      <c r="BA66" s="16"/>
      <c r="BB66" s="665"/>
      <c r="BC66" s="1246"/>
      <c r="BD66" s="1258"/>
      <c r="BE66" s="1246"/>
      <c r="BF66" s="1246"/>
      <c r="BG66" s="1243"/>
      <c r="BH66" s="1244"/>
      <c r="BI66" s="16"/>
      <c r="BJ66" s="665"/>
      <c r="BK66" s="1246"/>
      <c r="BL66" s="1258"/>
      <c r="BM66" s="1246"/>
      <c r="BN66" s="1246"/>
      <c r="BO66" s="1243"/>
      <c r="BP66" s="1244"/>
      <c r="BQ66" s="16"/>
      <c r="BR66" s="665"/>
      <c r="BS66" s="1246"/>
      <c r="BT66" s="1258"/>
      <c r="BU66" s="1246"/>
      <c r="BV66" s="1246"/>
      <c r="BW66" s="1243"/>
      <c r="BX66" s="1244"/>
      <c r="BY66" s="16"/>
      <c r="BZ66" s="665"/>
      <c r="CA66" s="1246"/>
      <c r="CB66" s="1258"/>
      <c r="CC66" s="1246"/>
      <c r="CD66" s="1246"/>
      <c r="CE66" s="1243"/>
      <c r="CF66" s="1244"/>
      <c r="CG66" s="16"/>
      <c r="CH66" s="665"/>
      <c r="CI66" s="1246"/>
      <c r="CJ66" s="1258"/>
      <c r="CK66" s="1246"/>
      <c r="CL66" s="1246"/>
      <c r="CM66" s="1243"/>
      <c r="CN66" s="1244"/>
      <c r="CO66" s="16"/>
      <c r="CP66" s="173"/>
    </row>
    <row r="67" spans="1:94" s="21" customFormat="1" ht="24.95" customHeight="1" thickBot="1" x14ac:dyDescent="0.25">
      <c r="A67" s="104"/>
      <c r="B67" s="104"/>
      <c r="C67" s="1251"/>
      <c r="D67" s="104"/>
      <c r="E67" s="104"/>
      <c r="F67" s="104"/>
      <c r="G67" s="104"/>
      <c r="H67" s="104"/>
      <c r="I67" s="104"/>
      <c r="J67" s="104"/>
      <c r="K67" s="104"/>
      <c r="L67" s="104"/>
      <c r="M67" s="104"/>
      <c r="N67" s="104"/>
      <c r="O67" s="104"/>
      <c r="P67" s="104"/>
      <c r="R67" s="70"/>
      <c r="S67" s="114"/>
      <c r="T67" s="70"/>
      <c r="U67" s="16"/>
      <c r="V67" s="104"/>
      <c r="W67" s="104"/>
      <c r="X67" s="306"/>
      <c r="Y67" s="104"/>
      <c r="Z67" s="104"/>
      <c r="AA67" s="104"/>
      <c r="AB67" s="104"/>
      <c r="AC67" s="16"/>
      <c r="AD67" s="104"/>
      <c r="AE67" s="104"/>
      <c r="AF67" s="306"/>
      <c r="AG67" s="104"/>
      <c r="AH67" s="104"/>
      <c r="AI67" s="104"/>
      <c r="AJ67" s="104"/>
      <c r="AK67" s="16"/>
      <c r="AL67" s="104"/>
      <c r="AM67" s="104"/>
      <c r="AN67" s="306"/>
      <c r="AO67" s="104"/>
      <c r="AP67" s="104"/>
      <c r="AQ67" s="104"/>
      <c r="AR67" s="104"/>
      <c r="AS67" s="16"/>
      <c r="AT67" s="104"/>
      <c r="AU67" s="104"/>
      <c r="AV67" s="306"/>
      <c r="AW67" s="104"/>
      <c r="AX67" s="104"/>
      <c r="AY67" s="104"/>
      <c r="AZ67" s="104"/>
      <c r="BA67" s="16"/>
      <c r="BB67" s="104"/>
      <c r="BC67" s="104"/>
      <c r="BD67" s="306"/>
      <c r="BE67" s="104"/>
      <c r="BF67" s="104"/>
      <c r="BG67" s="104"/>
      <c r="BH67" s="104"/>
      <c r="BI67" s="16"/>
      <c r="BJ67" s="104"/>
      <c r="BK67" s="104"/>
      <c r="BL67" s="306"/>
      <c r="BM67" s="104"/>
      <c r="BN67" s="104"/>
      <c r="BO67" s="104"/>
      <c r="BP67" s="104"/>
      <c r="BQ67" s="16"/>
      <c r="BR67" s="104"/>
      <c r="BS67" s="104"/>
      <c r="BT67" s="306"/>
      <c r="BU67" s="104"/>
      <c r="BV67" s="104"/>
      <c r="BW67" s="104"/>
      <c r="BX67" s="104"/>
      <c r="BY67" s="16"/>
      <c r="BZ67" s="104"/>
      <c r="CA67" s="104"/>
      <c r="CB67" s="306"/>
      <c r="CC67" s="104"/>
      <c r="CD67" s="104"/>
      <c r="CE67" s="104"/>
      <c r="CF67" s="104"/>
      <c r="CG67" s="16"/>
      <c r="CH67" s="104"/>
      <c r="CI67" s="104"/>
      <c r="CJ67" s="306"/>
      <c r="CK67" s="104"/>
      <c r="CL67" s="104"/>
      <c r="CM67" s="104"/>
      <c r="CN67" s="104"/>
      <c r="CO67" s="16"/>
      <c r="CP67" s="104"/>
    </row>
    <row r="68" spans="1:94" s="78" customFormat="1" ht="15" customHeight="1" thickBot="1" x14ac:dyDescent="0.25">
      <c r="A68" s="104"/>
      <c r="B68" s="104"/>
      <c r="C68" s="1251"/>
      <c r="D68" s="20"/>
      <c r="E68" s="1219"/>
      <c r="F68" s="6597" t="str">
        <f>_Calcs!$K$66</f>
        <v>Sikringsbuer</v>
      </c>
      <c r="G68" s="6597"/>
      <c r="H68" s="6597"/>
      <c r="I68" s="6597"/>
      <c r="J68" s="6597"/>
      <c r="K68" s="6597"/>
      <c r="L68" s="6597"/>
      <c r="M68" s="6597"/>
      <c r="N68" s="6597"/>
      <c r="O68" s="6597"/>
      <c r="P68" s="1220"/>
      <c r="R68" s="70"/>
      <c r="S68" s="70"/>
      <c r="T68" s="70"/>
      <c r="U68" s="16"/>
      <c r="V68" s="16"/>
      <c r="W68" s="16"/>
      <c r="X68" s="22"/>
      <c r="Y68" s="16"/>
      <c r="Z68" s="19"/>
      <c r="AA68" s="21"/>
      <c r="AB68" s="21"/>
      <c r="AC68" s="16"/>
      <c r="AD68" s="16"/>
      <c r="AE68" s="16"/>
      <c r="AF68" s="22"/>
      <c r="AG68" s="16"/>
      <c r="AH68" s="19"/>
      <c r="AI68" s="21"/>
      <c r="AJ68" s="21"/>
      <c r="AK68" s="16"/>
      <c r="AL68" s="16"/>
      <c r="AM68" s="16"/>
      <c r="AN68" s="22"/>
      <c r="AO68" s="16"/>
      <c r="AP68" s="19"/>
      <c r="AQ68" s="21"/>
      <c r="AR68" s="21"/>
      <c r="AS68" s="16"/>
      <c r="AT68" s="16"/>
      <c r="AU68" s="16"/>
      <c r="AV68" s="22"/>
      <c r="AW68" s="16"/>
      <c r="AX68" s="19"/>
      <c r="AY68" s="21"/>
      <c r="AZ68" s="21"/>
      <c r="BA68" s="16"/>
      <c r="BB68" s="16"/>
      <c r="BC68" s="16"/>
      <c r="BD68" s="22"/>
      <c r="BE68" s="16"/>
      <c r="BF68" s="19"/>
      <c r="BG68" s="21"/>
      <c r="BH68" s="21"/>
      <c r="BI68" s="16"/>
      <c r="BJ68" s="16"/>
      <c r="BK68" s="16"/>
      <c r="BL68" s="22"/>
      <c r="BM68" s="16"/>
      <c r="BN68" s="19"/>
      <c r="BO68" s="21"/>
      <c r="BP68" s="21"/>
      <c r="BQ68" s="16"/>
      <c r="BR68" s="16"/>
      <c r="BS68" s="16"/>
      <c r="BT68" s="22"/>
      <c r="BU68" s="16"/>
      <c r="BV68" s="19"/>
      <c r="BW68" s="21"/>
      <c r="BX68" s="21"/>
      <c r="BY68" s="16"/>
      <c r="BZ68" s="16"/>
      <c r="CA68" s="16"/>
      <c r="CB68" s="22"/>
      <c r="CC68" s="16"/>
      <c r="CD68" s="19"/>
      <c r="CE68" s="21"/>
      <c r="CF68" s="21"/>
      <c r="CG68" s="16"/>
      <c r="CH68" s="16"/>
      <c r="CI68" s="16"/>
      <c r="CJ68" s="22"/>
      <c r="CK68" s="16"/>
      <c r="CL68" s="19"/>
      <c r="CM68" s="21"/>
      <c r="CN68" s="21"/>
      <c r="CO68" s="16"/>
      <c r="CP68" s="21"/>
    </row>
    <row r="69" spans="1:94" s="78" customFormat="1" ht="15" customHeight="1" thickBot="1" x14ac:dyDescent="0.25">
      <c r="A69" s="104"/>
      <c r="B69" s="104"/>
      <c r="C69" s="1251"/>
      <c r="D69" s="20"/>
      <c r="E69" s="1221"/>
      <c r="F69" s="6598"/>
      <c r="G69" s="6598"/>
      <c r="H69" s="6598"/>
      <c r="I69" s="6598"/>
      <c r="J69" s="6598"/>
      <c r="K69" s="6598"/>
      <c r="L69" s="6598"/>
      <c r="M69" s="6598"/>
      <c r="N69" s="6598"/>
      <c r="O69" s="6598"/>
      <c r="P69" s="1222"/>
      <c r="R69" s="4094"/>
      <c r="S69" s="4095"/>
      <c r="T69" s="4096"/>
      <c r="U69" s="16"/>
      <c r="V69" s="692"/>
      <c r="W69" s="693"/>
      <c r="X69" s="1233"/>
      <c r="Y69" s="693"/>
      <c r="Z69" s="1234"/>
      <c r="AA69" s="748"/>
      <c r="AB69" s="1235"/>
      <c r="AC69" s="16"/>
      <c r="AD69" s="692"/>
      <c r="AE69" s="693"/>
      <c r="AF69" s="1233"/>
      <c r="AG69" s="693"/>
      <c r="AH69" s="1234"/>
      <c r="AI69" s="748"/>
      <c r="AJ69" s="1235"/>
      <c r="AK69" s="16"/>
      <c r="AL69" s="692"/>
      <c r="AM69" s="693"/>
      <c r="AN69" s="1233"/>
      <c r="AO69" s="693"/>
      <c r="AP69" s="1234"/>
      <c r="AQ69" s="748"/>
      <c r="AR69" s="1235"/>
      <c r="AS69" s="16"/>
      <c r="AT69" s="692"/>
      <c r="AU69" s="693"/>
      <c r="AV69" s="1233"/>
      <c r="AW69" s="693"/>
      <c r="AX69" s="1234"/>
      <c r="AY69" s="748"/>
      <c r="AZ69" s="1235"/>
      <c r="BA69" s="16"/>
      <c r="BB69" s="692"/>
      <c r="BC69" s="693"/>
      <c r="BD69" s="1233"/>
      <c r="BE69" s="693"/>
      <c r="BF69" s="1234"/>
      <c r="BG69" s="748"/>
      <c r="BH69" s="1235"/>
      <c r="BI69" s="16"/>
      <c r="BJ69" s="692"/>
      <c r="BK69" s="693"/>
      <c r="BL69" s="1233"/>
      <c r="BM69" s="693"/>
      <c r="BN69" s="1234"/>
      <c r="BO69" s="748"/>
      <c r="BP69" s="1235"/>
      <c r="BQ69" s="16"/>
      <c r="BR69" s="692"/>
      <c r="BS69" s="693"/>
      <c r="BT69" s="1233"/>
      <c r="BU69" s="693"/>
      <c r="BV69" s="1234"/>
      <c r="BW69" s="748"/>
      <c r="BX69" s="1235"/>
      <c r="BY69" s="16"/>
      <c r="BZ69" s="692"/>
      <c r="CA69" s="693"/>
      <c r="CB69" s="1233"/>
      <c r="CC69" s="693"/>
      <c r="CD69" s="1234"/>
      <c r="CE69" s="748"/>
      <c r="CF69" s="1235"/>
      <c r="CG69" s="16"/>
      <c r="CH69" s="692"/>
      <c r="CI69" s="693"/>
      <c r="CJ69" s="1233"/>
      <c r="CK69" s="693"/>
      <c r="CL69" s="1234"/>
      <c r="CM69" s="748"/>
      <c r="CN69" s="1235"/>
      <c r="CO69" s="16"/>
      <c r="CP69" s="172"/>
    </row>
    <row r="70" spans="1:94" s="78" customFormat="1" ht="8.1" customHeight="1" thickBot="1" x14ac:dyDescent="0.25">
      <c r="A70" s="104"/>
      <c r="B70" s="104"/>
      <c r="C70" s="1251"/>
      <c r="D70" s="20"/>
      <c r="E70" s="15"/>
      <c r="F70" s="1212"/>
      <c r="G70" s="1212"/>
      <c r="H70" s="1212"/>
      <c r="I70" s="1212"/>
      <c r="J70" s="16"/>
      <c r="K70" s="16"/>
      <c r="L70" s="19"/>
      <c r="M70" s="19"/>
      <c r="N70" s="19"/>
      <c r="O70" s="15"/>
      <c r="P70" s="15"/>
      <c r="R70" s="70"/>
      <c r="S70" s="114"/>
      <c r="T70" s="70"/>
      <c r="U70" s="16"/>
      <c r="V70" s="16"/>
      <c r="W70" s="16"/>
      <c r="X70" s="22"/>
      <c r="Y70" s="16"/>
      <c r="Z70" s="19"/>
      <c r="AA70" s="21"/>
      <c r="AB70" s="21"/>
      <c r="AC70" s="16"/>
      <c r="AD70" s="16"/>
      <c r="AE70" s="16"/>
      <c r="AF70" s="22"/>
      <c r="AG70" s="16"/>
      <c r="AH70" s="19"/>
      <c r="AI70" s="21"/>
      <c r="AJ70" s="21"/>
      <c r="AK70" s="16"/>
      <c r="AL70" s="16"/>
      <c r="AM70" s="16"/>
      <c r="AN70" s="22"/>
      <c r="AO70" s="16"/>
      <c r="AP70" s="19"/>
      <c r="AQ70" s="21"/>
      <c r="AR70" s="21"/>
      <c r="AS70" s="16"/>
      <c r="AT70" s="16"/>
      <c r="AU70" s="16"/>
      <c r="AV70" s="22"/>
      <c r="AW70" s="16"/>
      <c r="AX70" s="19"/>
      <c r="AY70" s="21"/>
      <c r="AZ70" s="21"/>
      <c r="BA70" s="16"/>
      <c r="BB70" s="16"/>
      <c r="BC70" s="16"/>
      <c r="BD70" s="22"/>
      <c r="BE70" s="16"/>
      <c r="BF70" s="19"/>
      <c r="BG70" s="21"/>
      <c r="BH70" s="21"/>
      <c r="BI70" s="16"/>
      <c r="BJ70" s="16"/>
      <c r="BK70" s="16"/>
      <c r="BL70" s="22"/>
      <c r="BM70" s="16"/>
      <c r="BN70" s="19"/>
      <c r="BO70" s="21"/>
      <c r="BP70" s="21"/>
      <c r="BQ70" s="16"/>
      <c r="BR70" s="16"/>
      <c r="BS70" s="16"/>
      <c r="BT70" s="22"/>
      <c r="BU70" s="16"/>
      <c r="BV70" s="19"/>
      <c r="BW70" s="21"/>
      <c r="BX70" s="21"/>
      <c r="BY70" s="16"/>
      <c r="BZ70" s="16"/>
      <c r="CA70" s="16"/>
      <c r="CB70" s="22"/>
      <c r="CC70" s="16"/>
      <c r="CD70" s="19"/>
      <c r="CE70" s="21"/>
      <c r="CF70" s="21"/>
      <c r="CG70" s="16"/>
      <c r="CH70" s="16"/>
      <c r="CI70" s="16"/>
      <c r="CJ70" s="22"/>
      <c r="CK70" s="16"/>
      <c r="CL70" s="19"/>
      <c r="CM70" s="21"/>
      <c r="CN70" s="21"/>
      <c r="CO70" s="16"/>
      <c r="CP70" s="21"/>
    </row>
    <row r="71" spans="1:94" s="78" customFormat="1" ht="15" customHeight="1" thickBot="1" x14ac:dyDescent="0.25">
      <c r="A71" s="104"/>
      <c r="B71" s="104"/>
      <c r="C71" s="1251"/>
      <c r="D71" s="20"/>
      <c r="E71" s="660"/>
      <c r="F71" s="658"/>
      <c r="G71" s="658"/>
      <c r="H71" s="658"/>
      <c r="I71" s="658"/>
      <c r="J71" s="643"/>
      <c r="K71" s="643"/>
      <c r="L71" s="1224"/>
      <c r="M71" s="1224"/>
      <c r="N71" s="1224"/>
      <c r="O71" s="658"/>
      <c r="P71" s="1225"/>
      <c r="R71" s="4065"/>
      <c r="S71" s="4066"/>
      <c r="T71" s="4067"/>
      <c r="U71" s="16"/>
      <c r="V71" s="1223"/>
      <c r="W71" s="658"/>
      <c r="X71" s="1257"/>
      <c r="Y71" s="643"/>
      <c r="Z71" s="1224"/>
      <c r="AA71" s="661"/>
      <c r="AB71" s="1259"/>
      <c r="AC71" s="16"/>
      <c r="AD71" s="1223"/>
      <c r="AE71" s="658"/>
      <c r="AF71" s="1257"/>
      <c r="AG71" s="643"/>
      <c r="AH71" s="1224"/>
      <c r="AI71" s="661"/>
      <c r="AJ71" s="1259"/>
      <c r="AK71" s="16"/>
      <c r="AL71" s="1223"/>
      <c r="AM71" s="658"/>
      <c r="AN71" s="1257"/>
      <c r="AO71" s="643"/>
      <c r="AP71" s="1224"/>
      <c r="AQ71" s="661"/>
      <c r="AR71" s="1259"/>
      <c r="AS71" s="16"/>
      <c r="AT71" s="1223"/>
      <c r="AU71" s="658"/>
      <c r="AV71" s="1257"/>
      <c r="AW71" s="643"/>
      <c r="AX71" s="1224"/>
      <c r="AY71" s="661"/>
      <c r="AZ71" s="1259"/>
      <c r="BA71" s="16"/>
      <c r="BB71" s="1223"/>
      <c r="BC71" s="658"/>
      <c r="BD71" s="1257"/>
      <c r="BE71" s="643"/>
      <c r="BF71" s="1224"/>
      <c r="BG71" s="661"/>
      <c r="BH71" s="1259"/>
      <c r="BI71" s="16"/>
      <c r="BJ71" s="1223"/>
      <c r="BK71" s="658"/>
      <c r="BL71" s="1257"/>
      <c r="BM71" s="643"/>
      <c r="BN71" s="1224"/>
      <c r="BO71" s="661"/>
      <c r="BP71" s="1259"/>
      <c r="BQ71" s="16"/>
      <c r="BR71" s="1223"/>
      <c r="BS71" s="658"/>
      <c r="BT71" s="1257"/>
      <c r="BU71" s="643"/>
      <c r="BV71" s="1224"/>
      <c r="BW71" s="661"/>
      <c r="BX71" s="1259"/>
      <c r="BY71" s="16"/>
      <c r="BZ71" s="1223"/>
      <c r="CA71" s="658"/>
      <c r="CB71" s="1257"/>
      <c r="CC71" s="643"/>
      <c r="CD71" s="1224"/>
      <c r="CE71" s="661"/>
      <c r="CF71" s="1259"/>
      <c r="CG71" s="16"/>
      <c r="CH71" s="1223"/>
      <c r="CI71" s="658"/>
      <c r="CJ71" s="1257"/>
      <c r="CK71" s="643"/>
      <c r="CL71" s="1224"/>
      <c r="CM71" s="661"/>
      <c r="CN71" s="1259"/>
      <c r="CO71" s="16"/>
      <c r="CP71" s="175"/>
    </row>
    <row r="72" spans="1:94" s="78" customFormat="1" ht="20.100000000000001" customHeight="1" thickBot="1" x14ac:dyDescent="0.25">
      <c r="A72" s="104"/>
      <c r="B72" s="104"/>
      <c r="C72" s="1251"/>
      <c r="D72" s="20"/>
      <c r="E72" s="663"/>
      <c r="F72" s="76" t="str">
        <f>_Calcs!$M$66</f>
        <v>Buelengde</v>
      </c>
      <c r="G72" s="76"/>
      <c r="H72" s="76"/>
      <c r="I72" s="76"/>
      <c r="J72" s="6241" t="s">
        <v>149</v>
      </c>
      <c r="K72" s="5456"/>
      <c r="L72" s="1227"/>
      <c r="M72" s="1227"/>
      <c r="N72" s="1227"/>
      <c r="O72" s="76" t="s">
        <v>2765</v>
      </c>
      <c r="P72" s="1228"/>
      <c r="Q72" s="21"/>
      <c r="R72" s="4068"/>
      <c r="S72" s="2301">
        <f>IF($I$20&lt;&gt;_List!$CU$8,_Calcs!$FC$97,"")</f>
        <v>0</v>
      </c>
      <c r="T72" s="4069"/>
      <c r="U72" s="16"/>
      <c r="V72" s="1231"/>
      <c r="W72" s="76"/>
      <c r="X72" s="2480"/>
      <c r="Y72" s="75"/>
      <c r="Z72" s="30" t="str">
        <f>IF(_Calcs!$D$11=1,"✓",IF(X72="","!","✓"))</f>
        <v>!</v>
      </c>
      <c r="AA72" s="650"/>
      <c r="AB72" s="651"/>
      <c r="AC72" s="16"/>
      <c r="AD72" s="1231"/>
      <c r="AE72" s="76"/>
      <c r="AF72" s="2480"/>
      <c r="AG72" s="75"/>
      <c r="AH72" s="30" t="str">
        <f>IF(_Calcs!$D$11=1,"✓",IF(AF72="","!","✓"))</f>
        <v>!</v>
      </c>
      <c r="AI72" s="650"/>
      <c r="AJ72" s="651"/>
      <c r="AK72" s="16"/>
      <c r="AL72" s="1231"/>
      <c r="AM72" s="76"/>
      <c r="AN72" s="2480"/>
      <c r="AO72" s="75"/>
      <c r="AP72" s="30" t="str">
        <f>IF(_Calcs!$D$11=1,"✓",IF(AN72="","!","✓"))</f>
        <v>!</v>
      </c>
      <c r="AQ72" s="650"/>
      <c r="AR72" s="651"/>
      <c r="AS72" s="16"/>
      <c r="AT72" s="1231"/>
      <c r="AU72" s="76"/>
      <c r="AV72" s="2480"/>
      <c r="AW72" s="75"/>
      <c r="AX72" s="30" t="str">
        <f>IF(_Calcs!$D$11=1,"✓",IF(AV72="","!","✓"))</f>
        <v>!</v>
      </c>
      <c r="AY72" s="650"/>
      <c r="AZ72" s="651"/>
      <c r="BA72" s="16"/>
      <c r="BB72" s="1231"/>
      <c r="BC72" s="76"/>
      <c r="BD72" s="2480"/>
      <c r="BE72" s="75"/>
      <c r="BF72" s="30" t="str">
        <f>IF(_Calcs!$D$11=1,"✓",IF(BD72="","!","✓"))</f>
        <v>!</v>
      </c>
      <c r="BG72" s="650"/>
      <c r="BH72" s="651"/>
      <c r="BI72" s="16"/>
      <c r="BJ72" s="1231"/>
      <c r="BK72" s="76"/>
      <c r="BL72" s="2480"/>
      <c r="BM72" s="75"/>
      <c r="BN72" s="30" t="str">
        <f>IF(_Calcs!$D$11=1,"✓",IF(BL72="","!","✓"))</f>
        <v>!</v>
      </c>
      <c r="BO72" s="650"/>
      <c r="BP72" s="651"/>
      <c r="BQ72" s="16"/>
      <c r="BR72" s="1231"/>
      <c r="BS72" s="76"/>
      <c r="BT72" s="2480"/>
      <c r="BU72" s="75"/>
      <c r="BV72" s="30" t="str">
        <f>IF(_Calcs!$D$11=1,"✓",IF(BT72="","!","✓"))</f>
        <v>!</v>
      </c>
      <c r="BW72" s="650"/>
      <c r="BX72" s="651"/>
      <c r="BY72" s="16"/>
      <c r="BZ72" s="1231"/>
      <c r="CA72" s="76"/>
      <c r="CB72" s="2480"/>
      <c r="CC72" s="75"/>
      <c r="CD72" s="30" t="str">
        <f>IF(_Calcs!$D$11=1,"✓",IF(CB72="","!","✓"))</f>
        <v>!</v>
      </c>
      <c r="CE72" s="650"/>
      <c r="CF72" s="651"/>
      <c r="CG72" s="16"/>
      <c r="CH72" s="1231"/>
      <c r="CI72" s="76"/>
      <c r="CJ72" s="2480"/>
      <c r="CK72" s="75"/>
      <c r="CL72" s="30" t="str">
        <f>IF(_Calcs!$D$11=1,"✓",IF(CJ72="","!","✓"))</f>
        <v>!</v>
      </c>
      <c r="CM72" s="650"/>
      <c r="CN72" s="651"/>
      <c r="CO72" s="16"/>
      <c r="CP72" s="175"/>
    </row>
    <row r="73" spans="1:94" s="78" customFormat="1" ht="15" customHeight="1" thickBot="1" x14ac:dyDescent="0.25">
      <c r="A73" s="104"/>
      <c r="B73" s="104"/>
      <c r="C73" s="1251"/>
      <c r="D73" s="20"/>
      <c r="E73" s="665"/>
      <c r="F73" s="1246"/>
      <c r="G73" s="1246"/>
      <c r="H73" s="1246"/>
      <c r="I73" s="1246"/>
      <c r="J73" s="1246"/>
      <c r="K73" s="1246"/>
      <c r="L73" s="1246"/>
      <c r="M73" s="1246"/>
      <c r="N73" s="1246"/>
      <c r="O73" s="659"/>
      <c r="P73" s="1230"/>
      <c r="R73" s="4070"/>
      <c r="S73" s="4103"/>
      <c r="T73" s="4072"/>
      <c r="U73" s="16"/>
      <c r="V73" s="665"/>
      <c r="W73" s="1246"/>
      <c r="X73" s="1258"/>
      <c r="Y73" s="1246"/>
      <c r="Z73" s="1246"/>
      <c r="AA73" s="1246"/>
      <c r="AB73" s="1260"/>
      <c r="AC73" s="16"/>
      <c r="AD73" s="665"/>
      <c r="AE73" s="1246"/>
      <c r="AF73" s="1258"/>
      <c r="AG73" s="1246"/>
      <c r="AH73" s="1246"/>
      <c r="AI73" s="1246"/>
      <c r="AJ73" s="1260"/>
      <c r="AK73" s="16"/>
      <c r="AL73" s="665"/>
      <c r="AM73" s="1246"/>
      <c r="AN73" s="1258"/>
      <c r="AO73" s="1246"/>
      <c r="AP73" s="1246"/>
      <c r="AQ73" s="1246"/>
      <c r="AR73" s="1260"/>
      <c r="AS73" s="16"/>
      <c r="AT73" s="665"/>
      <c r="AU73" s="1246"/>
      <c r="AV73" s="1258"/>
      <c r="AW73" s="1246"/>
      <c r="AX73" s="1246"/>
      <c r="AY73" s="1246"/>
      <c r="AZ73" s="1260"/>
      <c r="BA73" s="16"/>
      <c r="BB73" s="665"/>
      <c r="BC73" s="1246"/>
      <c r="BD73" s="1258"/>
      <c r="BE73" s="1246"/>
      <c r="BF73" s="1246"/>
      <c r="BG73" s="1246"/>
      <c r="BH73" s="1260"/>
      <c r="BI73" s="16"/>
      <c r="BJ73" s="665"/>
      <c r="BK73" s="1246"/>
      <c r="BL73" s="1258"/>
      <c r="BM73" s="1246"/>
      <c r="BN73" s="1246"/>
      <c r="BO73" s="1246"/>
      <c r="BP73" s="1260"/>
      <c r="BQ73" s="16"/>
      <c r="BR73" s="665"/>
      <c r="BS73" s="1246"/>
      <c r="BT73" s="1258"/>
      <c r="BU73" s="1246"/>
      <c r="BV73" s="1246"/>
      <c r="BW73" s="1246"/>
      <c r="BX73" s="1260"/>
      <c r="BY73" s="16"/>
      <c r="BZ73" s="665"/>
      <c r="CA73" s="1246"/>
      <c r="CB73" s="1258"/>
      <c r="CC73" s="1246"/>
      <c r="CD73" s="1246"/>
      <c r="CE73" s="1246"/>
      <c r="CF73" s="1260"/>
      <c r="CG73" s="16"/>
      <c r="CH73" s="665"/>
      <c r="CI73" s="1246"/>
      <c r="CJ73" s="1258"/>
      <c r="CK73" s="1246"/>
      <c r="CL73" s="1246"/>
      <c r="CM73" s="1246"/>
      <c r="CN73" s="1260"/>
      <c r="CO73" s="16"/>
      <c r="CP73" s="176"/>
    </row>
    <row r="74" spans="1:94" s="78" customFormat="1" ht="24.95" customHeight="1" thickBot="1" x14ac:dyDescent="0.25">
      <c r="A74" s="104"/>
      <c r="B74" s="104"/>
      <c r="C74" s="1251"/>
      <c r="D74" s="20"/>
      <c r="E74" s="14"/>
      <c r="F74" s="15"/>
      <c r="G74" s="15"/>
      <c r="H74" s="15"/>
      <c r="I74" s="15"/>
      <c r="J74" s="16"/>
      <c r="K74" s="16"/>
      <c r="L74" s="19"/>
      <c r="M74" s="19"/>
      <c r="N74" s="19"/>
      <c r="O74" s="15"/>
      <c r="P74" s="15"/>
      <c r="R74" s="70"/>
      <c r="S74" s="114"/>
      <c r="T74" s="70"/>
      <c r="U74" s="16"/>
      <c r="V74" s="17"/>
      <c r="W74" s="17"/>
      <c r="X74" s="18"/>
      <c r="Y74" s="16"/>
      <c r="Z74" s="19"/>
      <c r="AA74" s="21"/>
      <c r="AB74" s="21"/>
      <c r="AC74" s="16"/>
      <c r="AD74" s="17"/>
      <c r="AE74" s="17"/>
      <c r="AF74" s="18"/>
      <c r="AG74" s="16"/>
      <c r="AH74" s="19"/>
      <c r="AI74" s="21"/>
      <c r="AJ74" s="21"/>
      <c r="AK74" s="16"/>
      <c r="AL74" s="17"/>
      <c r="AM74" s="17"/>
      <c r="AN74" s="18"/>
      <c r="AO74" s="16"/>
      <c r="AP74" s="19"/>
      <c r="AQ74" s="21"/>
      <c r="AR74" s="21"/>
      <c r="AS74" s="16"/>
      <c r="AT74" s="17"/>
      <c r="AU74" s="17"/>
      <c r="AV74" s="18"/>
      <c r="AW74" s="16"/>
      <c r="AX74" s="19"/>
      <c r="AY74" s="21"/>
      <c r="AZ74" s="21"/>
      <c r="BA74" s="16"/>
      <c r="BB74" s="17"/>
      <c r="BC74" s="17"/>
      <c r="BD74" s="18"/>
      <c r="BE74" s="16"/>
      <c r="BF74" s="19"/>
      <c r="BG74" s="21"/>
      <c r="BH74" s="21"/>
      <c r="BI74" s="16"/>
      <c r="BJ74" s="17"/>
      <c r="BK74" s="17"/>
      <c r="BL74" s="18"/>
      <c r="BM74" s="16"/>
      <c r="BN74" s="19"/>
      <c r="BO74" s="21"/>
      <c r="BP74" s="21"/>
      <c r="BQ74" s="16"/>
      <c r="BR74" s="17"/>
      <c r="BS74" s="17"/>
      <c r="BT74" s="18"/>
      <c r="BU74" s="16"/>
      <c r="BV74" s="19"/>
      <c r="BW74" s="21"/>
      <c r="BX74" s="21"/>
      <c r="BY74" s="16"/>
      <c r="BZ74" s="17"/>
      <c r="CA74" s="17"/>
      <c r="CB74" s="18"/>
      <c r="CC74" s="16"/>
      <c r="CD74" s="19"/>
      <c r="CE74" s="21"/>
      <c r="CF74" s="21"/>
      <c r="CG74" s="16"/>
      <c r="CH74" s="17"/>
      <c r="CI74" s="17"/>
      <c r="CJ74" s="18"/>
      <c r="CK74" s="16"/>
      <c r="CL74" s="19"/>
      <c r="CM74" s="21"/>
      <c r="CN74" s="21"/>
      <c r="CO74" s="16"/>
      <c r="CP74" s="21"/>
    </row>
    <row r="75" spans="1:94" s="78" customFormat="1" ht="15" customHeight="1" thickBot="1" x14ac:dyDescent="0.25">
      <c r="A75" s="104"/>
      <c r="B75" s="104"/>
      <c r="C75" s="1251"/>
      <c r="D75" s="20"/>
      <c r="E75" s="1219"/>
      <c r="F75" s="6597" t="str">
        <f>_Calcs!$K$70</f>
        <v>Sikringsstøp</v>
      </c>
      <c r="G75" s="6597"/>
      <c r="H75" s="6597"/>
      <c r="I75" s="6597"/>
      <c r="J75" s="6597"/>
      <c r="K75" s="6597"/>
      <c r="L75" s="6597"/>
      <c r="M75" s="6597"/>
      <c r="N75" s="6597"/>
      <c r="O75" s="6597"/>
      <c r="P75" s="1220"/>
      <c r="R75" s="70"/>
      <c r="S75" s="70"/>
      <c r="T75" s="70"/>
      <c r="U75" s="16"/>
      <c r="V75" s="16"/>
      <c r="W75" s="16"/>
      <c r="X75" s="22"/>
      <c r="Y75" s="16"/>
      <c r="Z75" s="19"/>
      <c r="AA75" s="21"/>
      <c r="AB75" s="21"/>
      <c r="AC75" s="16"/>
      <c r="AD75" s="16"/>
      <c r="AE75" s="16"/>
      <c r="AF75" s="22"/>
      <c r="AG75" s="16"/>
      <c r="AH75" s="19"/>
      <c r="AI75" s="21"/>
      <c r="AJ75" s="21"/>
      <c r="AK75" s="16"/>
      <c r="AL75" s="16"/>
      <c r="AM75" s="16"/>
      <c r="AN75" s="22"/>
      <c r="AO75" s="16"/>
      <c r="AP75" s="19"/>
      <c r="AQ75" s="21"/>
      <c r="AR75" s="21"/>
      <c r="AS75" s="16"/>
      <c r="AT75" s="16"/>
      <c r="AU75" s="16"/>
      <c r="AV75" s="22"/>
      <c r="AW75" s="16"/>
      <c r="AX75" s="19"/>
      <c r="AY75" s="21"/>
      <c r="AZ75" s="21"/>
      <c r="BA75" s="16"/>
      <c r="BB75" s="16"/>
      <c r="BC75" s="16"/>
      <c r="BD75" s="22"/>
      <c r="BE75" s="16"/>
      <c r="BF75" s="19"/>
      <c r="BG75" s="21"/>
      <c r="BH75" s="21"/>
      <c r="BI75" s="16"/>
      <c r="BJ75" s="16"/>
      <c r="BK75" s="16"/>
      <c r="BL75" s="22"/>
      <c r="BM75" s="16"/>
      <c r="BN75" s="19"/>
      <c r="BO75" s="21"/>
      <c r="BP75" s="21"/>
      <c r="BQ75" s="16"/>
      <c r="BR75" s="16"/>
      <c r="BS75" s="16"/>
      <c r="BT75" s="22"/>
      <c r="BU75" s="16"/>
      <c r="BV75" s="19"/>
      <c r="BW75" s="21"/>
      <c r="BX75" s="21"/>
      <c r="BY75" s="16"/>
      <c r="BZ75" s="16"/>
      <c r="CA75" s="16"/>
      <c r="CB75" s="22"/>
      <c r="CC75" s="16"/>
      <c r="CD75" s="19"/>
      <c r="CE75" s="21"/>
      <c r="CF75" s="21"/>
      <c r="CG75" s="16"/>
      <c r="CH75" s="16"/>
      <c r="CI75" s="16"/>
      <c r="CJ75" s="22"/>
      <c r="CK75" s="16"/>
      <c r="CL75" s="19"/>
      <c r="CM75" s="21"/>
      <c r="CN75" s="21"/>
      <c r="CO75" s="16"/>
      <c r="CP75" s="21"/>
    </row>
    <row r="76" spans="1:94" s="78" customFormat="1" ht="15" customHeight="1" thickBot="1" x14ac:dyDescent="0.25">
      <c r="A76" s="104"/>
      <c r="B76" s="104"/>
      <c r="C76" s="1251"/>
      <c r="D76" s="20"/>
      <c r="E76" s="1221"/>
      <c r="F76" s="6598"/>
      <c r="G76" s="6598"/>
      <c r="H76" s="6598"/>
      <c r="I76" s="6598"/>
      <c r="J76" s="6598"/>
      <c r="K76" s="6598"/>
      <c r="L76" s="6598"/>
      <c r="M76" s="6598"/>
      <c r="N76" s="6598"/>
      <c r="O76" s="6598"/>
      <c r="P76" s="1222"/>
      <c r="R76" s="4094"/>
      <c r="S76" s="4095"/>
      <c r="T76" s="4096"/>
      <c r="U76" s="16"/>
      <c r="V76" s="692"/>
      <c r="W76" s="693"/>
      <c r="X76" s="1233"/>
      <c r="Y76" s="693"/>
      <c r="Z76" s="1234"/>
      <c r="AA76" s="748"/>
      <c r="AB76" s="1235"/>
      <c r="AC76" s="16"/>
      <c r="AD76" s="692"/>
      <c r="AE76" s="693"/>
      <c r="AF76" s="1233"/>
      <c r="AG76" s="693"/>
      <c r="AH76" s="1234"/>
      <c r="AI76" s="748"/>
      <c r="AJ76" s="1235"/>
      <c r="AK76" s="16"/>
      <c r="AL76" s="692"/>
      <c r="AM76" s="693"/>
      <c r="AN76" s="1233"/>
      <c r="AO76" s="693"/>
      <c r="AP76" s="1234"/>
      <c r="AQ76" s="748"/>
      <c r="AR76" s="1235"/>
      <c r="AS76" s="16"/>
      <c r="AT76" s="692"/>
      <c r="AU76" s="693"/>
      <c r="AV76" s="1233"/>
      <c r="AW76" s="693"/>
      <c r="AX76" s="1234"/>
      <c r="AY76" s="748"/>
      <c r="AZ76" s="1235"/>
      <c r="BA76" s="16"/>
      <c r="BB76" s="692"/>
      <c r="BC76" s="693"/>
      <c r="BD76" s="1233"/>
      <c r="BE76" s="693"/>
      <c r="BF76" s="1234"/>
      <c r="BG76" s="748"/>
      <c r="BH76" s="1235"/>
      <c r="BI76" s="16"/>
      <c r="BJ76" s="692"/>
      <c r="BK76" s="693"/>
      <c r="BL76" s="1233"/>
      <c r="BM76" s="693"/>
      <c r="BN76" s="1234"/>
      <c r="BO76" s="748"/>
      <c r="BP76" s="1235"/>
      <c r="BQ76" s="16"/>
      <c r="BR76" s="692"/>
      <c r="BS76" s="693"/>
      <c r="BT76" s="1233"/>
      <c r="BU76" s="693"/>
      <c r="BV76" s="1234"/>
      <c r="BW76" s="748"/>
      <c r="BX76" s="1235"/>
      <c r="BY76" s="16"/>
      <c r="BZ76" s="692"/>
      <c r="CA76" s="693"/>
      <c r="CB76" s="1233"/>
      <c r="CC76" s="693"/>
      <c r="CD76" s="1234"/>
      <c r="CE76" s="748"/>
      <c r="CF76" s="1235"/>
      <c r="CG76" s="16"/>
      <c r="CH76" s="692"/>
      <c r="CI76" s="693"/>
      <c r="CJ76" s="1233"/>
      <c r="CK76" s="693"/>
      <c r="CL76" s="1234"/>
      <c r="CM76" s="748"/>
      <c r="CN76" s="1235"/>
      <c r="CO76" s="16"/>
      <c r="CP76" s="172"/>
    </row>
    <row r="77" spans="1:94" s="78" customFormat="1" ht="8.1" customHeight="1" thickBot="1" x14ac:dyDescent="0.25">
      <c r="A77" s="104"/>
      <c r="B77" s="104"/>
      <c r="C77" s="1251"/>
      <c r="D77" s="20"/>
      <c r="E77" s="15"/>
      <c r="F77" s="1212"/>
      <c r="G77" s="1212"/>
      <c r="H77" s="1212"/>
      <c r="I77" s="1212"/>
      <c r="J77" s="16"/>
      <c r="K77" s="16"/>
      <c r="L77" s="19"/>
      <c r="M77" s="19"/>
      <c r="N77" s="19"/>
      <c r="O77" s="15"/>
      <c r="P77" s="15"/>
      <c r="R77" s="70"/>
      <c r="S77" s="114"/>
      <c r="T77" s="70"/>
      <c r="U77" s="16"/>
      <c r="V77" s="16"/>
      <c r="W77" s="16"/>
      <c r="X77" s="22"/>
      <c r="Y77" s="16"/>
      <c r="Z77" s="19"/>
      <c r="AA77" s="21"/>
      <c r="AB77" s="21"/>
      <c r="AC77" s="16"/>
      <c r="AD77" s="16"/>
      <c r="AE77" s="16"/>
      <c r="AF77" s="22"/>
      <c r="AG77" s="16"/>
      <c r="AH77" s="19"/>
      <c r="AI77" s="21"/>
      <c r="AJ77" s="21"/>
      <c r="AK77" s="16"/>
      <c r="AL77" s="16"/>
      <c r="AM77" s="16"/>
      <c r="AN77" s="22"/>
      <c r="AO77" s="16"/>
      <c r="AP77" s="19"/>
      <c r="AQ77" s="21"/>
      <c r="AR77" s="21"/>
      <c r="AS77" s="16"/>
      <c r="AT77" s="16"/>
      <c r="AU77" s="16"/>
      <c r="AV77" s="22"/>
      <c r="AW77" s="16"/>
      <c r="AX77" s="19"/>
      <c r="AY77" s="21"/>
      <c r="AZ77" s="21"/>
      <c r="BA77" s="16"/>
      <c r="BB77" s="16"/>
      <c r="BC77" s="16"/>
      <c r="BD77" s="22"/>
      <c r="BE77" s="16"/>
      <c r="BF77" s="19"/>
      <c r="BG77" s="21"/>
      <c r="BH77" s="21"/>
      <c r="BI77" s="16"/>
      <c r="BJ77" s="16"/>
      <c r="BK77" s="16"/>
      <c r="BL77" s="22"/>
      <c r="BM77" s="16"/>
      <c r="BN77" s="19"/>
      <c r="BO77" s="21"/>
      <c r="BP77" s="21"/>
      <c r="BQ77" s="16"/>
      <c r="BR77" s="16"/>
      <c r="BS77" s="16"/>
      <c r="BT77" s="22"/>
      <c r="BU77" s="16"/>
      <c r="BV77" s="19"/>
      <c r="BW77" s="21"/>
      <c r="BX77" s="21"/>
      <c r="BY77" s="16"/>
      <c r="BZ77" s="16"/>
      <c r="CA77" s="16"/>
      <c r="CB77" s="22"/>
      <c r="CC77" s="16"/>
      <c r="CD77" s="19"/>
      <c r="CE77" s="21"/>
      <c r="CF77" s="21"/>
      <c r="CG77" s="16"/>
      <c r="CH77" s="16"/>
      <c r="CI77" s="16"/>
      <c r="CJ77" s="22"/>
      <c r="CK77" s="16"/>
      <c r="CL77" s="19"/>
      <c r="CM77" s="21"/>
      <c r="CN77" s="21"/>
      <c r="CO77" s="16"/>
      <c r="CP77" s="21"/>
    </row>
    <row r="78" spans="1:94" s="78" customFormat="1" ht="15" customHeight="1" thickBot="1" x14ac:dyDescent="0.25">
      <c r="A78" s="104"/>
      <c r="B78" s="104"/>
      <c r="C78" s="1251"/>
      <c r="D78" s="20"/>
      <c r="E78" s="660"/>
      <c r="F78" s="658"/>
      <c r="G78" s="658"/>
      <c r="H78" s="658"/>
      <c r="I78" s="658"/>
      <c r="J78" s="643"/>
      <c r="K78" s="643"/>
      <c r="L78" s="1224"/>
      <c r="M78" s="1224"/>
      <c r="N78" s="1224"/>
      <c r="O78" s="658"/>
      <c r="P78" s="1225"/>
      <c r="R78" s="4065"/>
      <c r="S78" s="4066"/>
      <c r="T78" s="4067"/>
      <c r="U78" s="16"/>
      <c r="V78" s="1223"/>
      <c r="W78" s="658"/>
      <c r="X78" s="1257"/>
      <c r="Y78" s="643"/>
      <c r="Z78" s="1224"/>
      <c r="AA78" s="1238"/>
      <c r="AB78" s="1239"/>
      <c r="AC78" s="16"/>
      <c r="AD78" s="1223"/>
      <c r="AE78" s="658"/>
      <c r="AF78" s="1257"/>
      <c r="AG78" s="643"/>
      <c r="AH78" s="1224"/>
      <c r="AI78" s="1238"/>
      <c r="AJ78" s="1239"/>
      <c r="AK78" s="16"/>
      <c r="AL78" s="1223"/>
      <c r="AM78" s="658"/>
      <c r="AN78" s="1257"/>
      <c r="AO78" s="643"/>
      <c r="AP78" s="1224"/>
      <c r="AQ78" s="1238"/>
      <c r="AR78" s="1239"/>
      <c r="AS78" s="16"/>
      <c r="AT78" s="1223"/>
      <c r="AU78" s="658"/>
      <c r="AV78" s="1257"/>
      <c r="AW78" s="643"/>
      <c r="AX78" s="1224"/>
      <c r="AY78" s="1238"/>
      <c r="AZ78" s="1239"/>
      <c r="BA78" s="16"/>
      <c r="BB78" s="1223"/>
      <c r="BC78" s="658"/>
      <c r="BD78" s="1257"/>
      <c r="BE78" s="643"/>
      <c r="BF78" s="1224"/>
      <c r="BG78" s="1238"/>
      <c r="BH78" s="1239"/>
      <c r="BI78" s="16"/>
      <c r="BJ78" s="1223"/>
      <c r="BK78" s="658"/>
      <c r="BL78" s="1257"/>
      <c r="BM78" s="643"/>
      <c r="BN78" s="1224"/>
      <c r="BO78" s="1238"/>
      <c r="BP78" s="1239"/>
      <c r="BQ78" s="16"/>
      <c r="BR78" s="1223"/>
      <c r="BS78" s="658"/>
      <c r="BT78" s="1257"/>
      <c r="BU78" s="643"/>
      <c r="BV78" s="1224"/>
      <c r="BW78" s="1238"/>
      <c r="BX78" s="1239"/>
      <c r="BY78" s="16"/>
      <c r="BZ78" s="1223"/>
      <c r="CA78" s="658"/>
      <c r="CB78" s="1257"/>
      <c r="CC78" s="643"/>
      <c r="CD78" s="1224"/>
      <c r="CE78" s="1238"/>
      <c r="CF78" s="1239"/>
      <c r="CG78" s="16"/>
      <c r="CH78" s="1223"/>
      <c r="CI78" s="658"/>
      <c r="CJ78" s="1257"/>
      <c r="CK78" s="643"/>
      <c r="CL78" s="1224"/>
      <c r="CM78" s="1238"/>
      <c r="CN78" s="1239"/>
      <c r="CO78" s="16"/>
      <c r="CP78" s="173"/>
    </row>
    <row r="79" spans="1:94" s="78" customFormat="1" ht="20.100000000000001" customHeight="1" thickBot="1" x14ac:dyDescent="0.25">
      <c r="A79" s="104"/>
      <c r="B79" s="104"/>
      <c r="C79" s="1251"/>
      <c r="D79" s="20"/>
      <c r="E79" s="663"/>
      <c r="F79" s="6596" t="s">
        <v>253</v>
      </c>
      <c r="G79" s="6596"/>
      <c r="H79" s="6596"/>
      <c r="I79" s="6596"/>
      <c r="J79" s="5456"/>
      <c r="K79" s="75"/>
      <c r="L79" s="1227"/>
      <c r="M79" s="1227"/>
      <c r="N79" s="1227"/>
      <c r="O79" s="76" t="s">
        <v>78</v>
      </c>
      <c r="P79" s="1228"/>
      <c r="R79" s="4068"/>
      <c r="S79" s="2301">
        <f>IF($I$20&lt;&gt;_List!$CU$8,_Calcs!$FD$97,"")</f>
        <v>0</v>
      </c>
      <c r="T79" s="4069"/>
      <c r="U79" s="16"/>
      <c r="V79" s="1231"/>
      <c r="W79" s="76"/>
      <c r="X79" s="2480"/>
      <c r="Y79" s="75"/>
      <c r="Z79" s="30" t="str">
        <f>IF(INDEX(inputs_checks[sik123],MATCH(_Calcs!$NO$269,inputs_checks[position],0))=0,"!","✓")</f>
        <v>!</v>
      </c>
      <c r="AA79" s="1227"/>
      <c r="AB79" s="1241"/>
      <c r="AC79" s="16"/>
      <c r="AD79" s="1231"/>
      <c r="AE79" s="76"/>
      <c r="AF79" s="2480"/>
      <c r="AG79" s="75"/>
      <c r="AH79" s="30" t="str">
        <f>IF(INDEX(inputs_checks[sik123],MATCH(_Calcs!$NP$269,inputs_checks[position],0))=0,"!","✓")</f>
        <v>!</v>
      </c>
      <c r="AI79" s="1227"/>
      <c r="AJ79" s="1241"/>
      <c r="AK79" s="16"/>
      <c r="AL79" s="1231"/>
      <c r="AM79" s="76"/>
      <c r="AN79" s="2480"/>
      <c r="AO79" s="75"/>
      <c r="AP79" s="30" t="str">
        <f>IF(INDEX(inputs_checks[sik123],MATCH(_Calcs!$NQ$269,inputs_checks[position],0))=0,"!","✓")</f>
        <v>!</v>
      </c>
      <c r="AQ79" s="1227"/>
      <c r="AR79" s="1241"/>
      <c r="AS79" s="16"/>
      <c r="AT79" s="1231"/>
      <c r="AU79" s="76"/>
      <c r="AV79" s="2480"/>
      <c r="AW79" s="75"/>
      <c r="AX79" s="30" t="str">
        <f>IF(INDEX(inputs_checks[sik123],MATCH(_Calcs!$NR$269,inputs_checks[position],0))=0,"!","✓")</f>
        <v>!</v>
      </c>
      <c r="AY79" s="1227"/>
      <c r="AZ79" s="1241"/>
      <c r="BA79" s="16"/>
      <c r="BB79" s="1231"/>
      <c r="BC79" s="76"/>
      <c r="BD79" s="2480"/>
      <c r="BE79" s="75"/>
      <c r="BF79" s="30" t="str">
        <f>IF(INDEX(inputs_checks[sik123],MATCH(_Calcs!$NS$269,inputs_checks[position],0))=0,"!","✓")</f>
        <v>!</v>
      </c>
      <c r="BG79" s="1227"/>
      <c r="BH79" s="1241"/>
      <c r="BI79" s="16"/>
      <c r="BJ79" s="1231"/>
      <c r="BK79" s="76"/>
      <c r="BL79" s="2480"/>
      <c r="BM79" s="75"/>
      <c r="BN79" s="30" t="str">
        <f>IF(INDEX(inputs_checks[sik123],MATCH(_Calcs!$NT$269,inputs_checks[position],0))=0,"!","✓")</f>
        <v>!</v>
      </c>
      <c r="BO79" s="1227"/>
      <c r="BP79" s="1241"/>
      <c r="BQ79" s="16"/>
      <c r="BR79" s="1231"/>
      <c r="BS79" s="76"/>
      <c r="BT79" s="2480"/>
      <c r="BU79" s="75"/>
      <c r="BV79" s="30" t="str">
        <f>IF(INDEX(inputs_checks[sik123],MATCH(_Calcs!$NU$269,inputs_checks[position],0))=0,"!","✓")</f>
        <v>!</v>
      </c>
      <c r="BW79" s="1227"/>
      <c r="BX79" s="1241"/>
      <c r="BY79" s="16"/>
      <c r="BZ79" s="1231"/>
      <c r="CA79" s="76"/>
      <c r="CB79" s="2480"/>
      <c r="CC79" s="75"/>
      <c r="CD79" s="30" t="str">
        <f>IF(INDEX(inputs_checks[sik123],MATCH(_Calcs!$NV$269,inputs_checks[position],0))=0,"!","✓")</f>
        <v>!</v>
      </c>
      <c r="CE79" s="1227"/>
      <c r="CF79" s="1241"/>
      <c r="CG79" s="16"/>
      <c r="CH79" s="1231"/>
      <c r="CI79" s="76"/>
      <c r="CJ79" s="2480"/>
      <c r="CK79" s="75"/>
      <c r="CL79" s="30" t="str">
        <f>IF(INDEX(inputs_checks[sik123],MATCH(_Calcs!$NW$269,inputs_checks[position],0))=0,"!","✓")</f>
        <v>!</v>
      </c>
      <c r="CM79" s="1227"/>
      <c r="CN79" s="1241"/>
      <c r="CO79" s="16"/>
      <c r="CP79" s="173"/>
    </row>
    <row r="80" spans="1:94" s="78" customFormat="1" ht="15" customHeight="1" thickBot="1" x14ac:dyDescent="0.25">
      <c r="A80" s="104"/>
      <c r="B80" s="104"/>
      <c r="C80" s="1252"/>
      <c r="D80" s="20"/>
      <c r="E80" s="665"/>
      <c r="F80" s="659"/>
      <c r="G80" s="659"/>
      <c r="H80" s="659"/>
      <c r="I80" s="659"/>
      <c r="J80" s="655"/>
      <c r="K80" s="655"/>
      <c r="L80" s="1245"/>
      <c r="M80" s="1245"/>
      <c r="N80" s="1245"/>
      <c r="O80" s="659"/>
      <c r="P80" s="1230"/>
      <c r="R80" s="4070"/>
      <c r="S80" s="1236"/>
      <c r="T80" s="4072"/>
      <c r="U80" s="16"/>
      <c r="V80" s="1229"/>
      <c r="W80" s="659"/>
      <c r="X80" s="656"/>
      <c r="Y80" s="656"/>
      <c r="Z80" s="656"/>
      <c r="AA80" s="656"/>
      <c r="AB80" s="657"/>
      <c r="AD80" s="1229"/>
      <c r="AE80" s="659"/>
      <c r="AF80" s="656"/>
      <c r="AG80" s="656"/>
      <c r="AH80" s="656"/>
      <c r="AI80" s="656"/>
      <c r="AJ80" s="657"/>
      <c r="AL80" s="1229"/>
      <c r="AM80" s="659"/>
      <c r="AN80" s="656"/>
      <c r="AO80" s="656"/>
      <c r="AP80" s="656"/>
      <c r="AQ80" s="656"/>
      <c r="AR80" s="657"/>
      <c r="AT80" s="1229"/>
      <c r="AU80" s="659"/>
      <c r="AV80" s="656"/>
      <c r="AW80" s="656"/>
      <c r="AX80" s="656"/>
      <c r="AY80" s="656"/>
      <c r="AZ80" s="657"/>
      <c r="BB80" s="1229"/>
      <c r="BC80" s="659"/>
      <c r="BD80" s="656"/>
      <c r="BE80" s="656"/>
      <c r="BF80" s="656"/>
      <c r="BG80" s="656"/>
      <c r="BH80" s="657"/>
      <c r="BJ80" s="1229"/>
      <c r="BK80" s="659"/>
      <c r="BL80" s="656"/>
      <c r="BM80" s="656"/>
      <c r="BN80" s="656"/>
      <c r="BO80" s="656"/>
      <c r="BP80" s="657"/>
      <c r="BR80" s="1229"/>
      <c r="BS80" s="659"/>
      <c r="BT80" s="656"/>
      <c r="BU80" s="656"/>
      <c r="BV80" s="656"/>
      <c r="BW80" s="656"/>
      <c r="BX80" s="657"/>
      <c r="BZ80" s="1229"/>
      <c r="CA80" s="659"/>
      <c r="CB80" s="656"/>
      <c r="CC80" s="656"/>
      <c r="CD80" s="656"/>
      <c r="CE80" s="656"/>
      <c r="CF80" s="657"/>
      <c r="CH80" s="1229"/>
      <c r="CI80" s="659"/>
      <c r="CJ80" s="656"/>
      <c r="CK80" s="656"/>
      <c r="CL80" s="656"/>
      <c r="CM80" s="656"/>
      <c r="CN80" s="657"/>
      <c r="CO80" s="16"/>
      <c r="CP80" s="173"/>
    </row>
    <row r="81" spans="1:136" s="78" customFormat="1" ht="8.1" hidden="1" customHeight="1" x14ac:dyDescent="0.2">
      <c r="A81" s="104"/>
      <c r="B81" s="104"/>
      <c r="C81" s="1251"/>
      <c r="D81" s="20"/>
      <c r="E81" s="663"/>
      <c r="F81" s="5451"/>
      <c r="G81" s="5451"/>
      <c r="H81" s="5451"/>
      <c r="I81" s="5451"/>
      <c r="J81" s="75"/>
      <c r="K81" s="75"/>
      <c r="L81" s="1227"/>
      <c r="M81" s="1227"/>
      <c r="N81" s="1227"/>
      <c r="O81" s="76"/>
      <c r="P81" s="1228"/>
      <c r="R81" s="36"/>
      <c r="S81" s="2335"/>
      <c r="T81" s="36"/>
      <c r="U81" s="16"/>
      <c r="V81" s="17"/>
      <c r="W81" s="17"/>
      <c r="X81" s="2299"/>
      <c r="Y81" s="16"/>
      <c r="Z81" s="954"/>
      <c r="AA81" s="1261"/>
      <c r="AB81" s="1261"/>
      <c r="AC81" s="16"/>
      <c r="AD81" s="17"/>
      <c r="AE81" s="17"/>
      <c r="AF81" s="2299"/>
      <c r="AG81" s="16"/>
      <c r="AH81" s="954"/>
      <c r="AI81" s="1261"/>
      <c r="AJ81" s="1261"/>
      <c r="AK81" s="16"/>
      <c r="AL81" s="17"/>
      <c r="AM81" s="17"/>
      <c r="AN81" s="2299"/>
      <c r="AO81" s="16"/>
      <c r="AP81" s="954"/>
      <c r="AQ81" s="1261"/>
      <c r="AR81" s="1261"/>
      <c r="AS81" s="16"/>
      <c r="AT81" s="17"/>
      <c r="AU81" s="17"/>
      <c r="AV81" s="2299"/>
      <c r="AW81" s="16"/>
      <c r="AX81" s="954"/>
      <c r="AY81" s="1261"/>
      <c r="AZ81" s="1261"/>
      <c r="BA81" s="16"/>
      <c r="BB81" s="17"/>
      <c r="BC81" s="17"/>
      <c r="BD81" s="2299"/>
      <c r="BE81" s="16"/>
      <c r="BF81" s="954"/>
      <c r="BG81" s="1261"/>
      <c r="BH81" s="1261"/>
      <c r="BI81" s="16"/>
      <c r="BJ81" s="17"/>
      <c r="BK81" s="17"/>
      <c r="BL81" s="2299"/>
      <c r="BM81" s="16"/>
      <c r="BN81" s="954"/>
      <c r="BO81" s="1261"/>
      <c r="BP81" s="1261"/>
      <c r="BQ81" s="16"/>
      <c r="BR81" s="17"/>
      <c r="BS81" s="17"/>
      <c r="BT81" s="2299"/>
      <c r="BU81" s="16"/>
      <c r="BV81" s="954"/>
      <c r="BW81" s="1261"/>
      <c r="BX81" s="1261"/>
      <c r="BY81" s="16"/>
      <c r="BZ81" s="17"/>
      <c r="CA81" s="17"/>
      <c r="CB81" s="2299"/>
      <c r="CC81" s="16"/>
      <c r="CD81" s="954"/>
      <c r="CE81" s="1261"/>
      <c r="CF81" s="1261"/>
      <c r="CG81" s="16"/>
      <c r="CH81" s="17"/>
      <c r="CI81" s="17"/>
      <c r="CJ81" s="2299"/>
      <c r="CK81" s="16"/>
      <c r="CL81" s="954"/>
      <c r="CM81" s="1261"/>
      <c r="CN81" s="1261"/>
      <c r="CO81" s="16"/>
      <c r="CP81" s="1261"/>
    </row>
    <row r="82" spans="1:136" s="78" customFormat="1" ht="9.9499999999999993" hidden="1" customHeight="1" thickBot="1" x14ac:dyDescent="0.25">
      <c r="A82" s="104"/>
      <c r="B82" s="104"/>
      <c r="C82" s="1252"/>
      <c r="D82" s="20"/>
      <c r="E82" s="665"/>
      <c r="F82" s="659"/>
      <c r="G82" s="659"/>
      <c r="H82" s="659"/>
      <c r="I82" s="659"/>
      <c r="J82" s="655"/>
      <c r="K82" s="655"/>
      <c r="L82" s="1245"/>
      <c r="M82" s="1245"/>
      <c r="N82" s="1245"/>
      <c r="O82" s="659"/>
      <c r="P82" s="1230"/>
      <c r="R82" s="4003"/>
      <c r="S82" s="1501"/>
      <c r="T82" s="4003"/>
      <c r="U82" s="16"/>
      <c r="V82" s="1262"/>
      <c r="W82" s="1262"/>
      <c r="X82" s="1263"/>
      <c r="Y82" s="1264"/>
      <c r="Z82" s="1265"/>
      <c r="AA82" s="1266"/>
      <c r="AB82" s="1266"/>
      <c r="AC82" s="16"/>
      <c r="AD82" s="1262"/>
      <c r="AE82" s="1262"/>
      <c r="AF82" s="1263"/>
      <c r="AG82" s="1264"/>
      <c r="AH82" s="1265"/>
      <c r="AI82" s="1266"/>
      <c r="AJ82" s="1266"/>
      <c r="AK82" s="16"/>
      <c r="AL82" s="1262"/>
      <c r="AM82" s="1262"/>
      <c r="AN82" s="1263"/>
      <c r="AO82" s="1264"/>
      <c r="AP82" s="1265"/>
      <c r="AQ82" s="1266"/>
      <c r="AR82" s="1266"/>
      <c r="AS82" s="16"/>
      <c r="AT82" s="1262"/>
      <c r="AU82" s="1262"/>
      <c r="AV82" s="1263"/>
      <c r="AW82" s="1264"/>
      <c r="AX82" s="1265"/>
      <c r="AY82" s="1266"/>
      <c r="AZ82" s="1266"/>
      <c r="BA82" s="16"/>
      <c r="BB82" s="1262"/>
      <c r="BC82" s="1262"/>
      <c r="BD82" s="1263"/>
      <c r="BE82" s="1264"/>
      <c r="BF82" s="1265"/>
      <c r="BG82" s="1266"/>
      <c r="BH82" s="1266"/>
      <c r="BI82" s="16"/>
      <c r="BJ82" s="1262"/>
      <c r="BK82" s="1262"/>
      <c r="BL82" s="1263"/>
      <c r="BM82" s="1264"/>
      <c r="BN82" s="1265"/>
      <c r="BO82" s="1266"/>
      <c r="BP82" s="1266"/>
      <c r="BQ82" s="16"/>
      <c r="BR82" s="1262"/>
      <c r="BS82" s="1262"/>
      <c r="BT82" s="1263"/>
      <c r="BU82" s="1264"/>
      <c r="BV82" s="1265"/>
      <c r="BW82" s="1266"/>
      <c r="BX82" s="1266"/>
      <c r="BY82" s="16"/>
      <c r="BZ82" s="1262"/>
      <c r="CA82" s="1262"/>
      <c r="CB82" s="1263"/>
      <c r="CC82" s="1264"/>
      <c r="CD82" s="1265"/>
      <c r="CE82" s="1266"/>
      <c r="CF82" s="1266"/>
      <c r="CG82" s="16"/>
      <c r="CH82" s="1262"/>
      <c r="CI82" s="1262"/>
      <c r="CJ82" s="1263"/>
      <c r="CK82" s="1264"/>
      <c r="CL82" s="1265"/>
      <c r="CM82" s="1266"/>
      <c r="CN82" s="1266"/>
      <c r="CO82" s="16"/>
      <c r="CP82" s="1265"/>
    </row>
    <row r="83" spans="1:136" s="78" customFormat="1" ht="30" customHeight="1" x14ac:dyDescent="0.2">
      <c r="J83" s="573"/>
      <c r="K83" s="573"/>
      <c r="O83" s="215"/>
      <c r="R83" s="70"/>
      <c r="S83" s="70"/>
      <c r="T83" s="70"/>
      <c r="U83" s="70"/>
      <c r="Y83" s="215"/>
      <c r="AB83" s="21"/>
      <c r="AC83" s="70"/>
      <c r="AG83" s="215"/>
      <c r="AJ83" s="21"/>
      <c r="AK83" s="70"/>
      <c r="AO83" s="215"/>
      <c r="AR83" s="21"/>
      <c r="AS83" s="70"/>
      <c r="AW83" s="215"/>
      <c r="AZ83" s="21"/>
      <c r="BA83" s="70"/>
      <c r="BE83" s="215"/>
      <c r="BH83" s="21"/>
      <c r="BI83" s="70"/>
      <c r="BM83" s="215"/>
      <c r="BP83" s="21"/>
      <c r="BQ83" s="70"/>
      <c r="BU83" s="215"/>
      <c r="BX83" s="21"/>
      <c r="BY83" s="70"/>
      <c r="CC83" s="215"/>
      <c r="CF83" s="21"/>
      <c r="CG83" s="70"/>
      <c r="CK83" s="215"/>
      <c r="CN83" s="21"/>
      <c r="CO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row>
    <row r="84" spans="1:136" s="21" customFormat="1" ht="5.0999999999999996" customHeight="1" x14ac:dyDescent="0.2">
      <c r="A84" s="25"/>
      <c r="B84" s="25"/>
      <c r="C84" s="2275"/>
      <c r="D84" s="25"/>
      <c r="E84" s="2276"/>
      <c r="F84" s="2277"/>
      <c r="G84" s="2277"/>
      <c r="H84" s="2277"/>
      <c r="I84" s="2275"/>
      <c r="J84" s="2275"/>
      <c r="K84" s="2275"/>
      <c r="L84" s="2277"/>
      <c r="M84" s="2277"/>
      <c r="N84" s="2277"/>
      <c r="O84" s="2300"/>
      <c r="P84" s="2277"/>
      <c r="Q84" s="17"/>
      <c r="R84" s="2275"/>
      <c r="S84" s="2275"/>
      <c r="T84" s="2275"/>
      <c r="V84" s="2277"/>
      <c r="W84" s="2277"/>
      <c r="X84" s="2275"/>
      <c r="Y84" s="2275"/>
      <c r="Z84" s="2275"/>
      <c r="AA84" s="2275"/>
      <c r="AB84" s="2278"/>
      <c r="AD84" s="2277"/>
      <c r="AE84" s="2277"/>
      <c r="AF84" s="2275"/>
      <c r="AG84" s="2275"/>
      <c r="AH84" s="2275"/>
      <c r="AI84" s="2275"/>
      <c r="AJ84" s="2278"/>
      <c r="AL84" s="2277"/>
      <c r="AM84" s="2277"/>
      <c r="AN84" s="2275"/>
      <c r="AO84" s="2275"/>
      <c r="AP84" s="2275"/>
      <c r="AQ84" s="2275"/>
      <c r="AR84" s="2278"/>
      <c r="AT84" s="2277"/>
      <c r="AU84" s="2277"/>
      <c r="AV84" s="2275"/>
      <c r="AW84" s="2275"/>
      <c r="AX84" s="2275"/>
      <c r="AY84" s="2275"/>
      <c r="AZ84" s="2278"/>
      <c r="BA84" s="70"/>
      <c r="BB84" s="2277"/>
      <c r="BC84" s="2277"/>
      <c r="BD84" s="2275"/>
      <c r="BE84" s="2275"/>
      <c r="BF84" s="2275"/>
      <c r="BG84" s="2275"/>
      <c r="BH84" s="2278"/>
      <c r="BJ84" s="2277"/>
      <c r="BK84" s="2277"/>
      <c r="BL84" s="2275"/>
      <c r="BM84" s="2275"/>
      <c r="BN84" s="2275"/>
      <c r="BO84" s="2275"/>
      <c r="BP84" s="2278"/>
      <c r="BR84" s="2277"/>
      <c r="BS84" s="2277"/>
      <c r="BT84" s="2275"/>
      <c r="BU84" s="2275"/>
      <c r="BV84" s="2275"/>
      <c r="BW84" s="2275"/>
      <c r="BX84" s="2278"/>
      <c r="BZ84" s="2277"/>
      <c r="CA84" s="2277"/>
      <c r="CB84" s="2275"/>
      <c r="CC84" s="2275"/>
      <c r="CD84" s="2275"/>
      <c r="CE84" s="2275"/>
      <c r="CF84" s="2278"/>
      <c r="CG84" s="70"/>
      <c r="CH84" s="2277"/>
      <c r="CI84" s="2277"/>
      <c r="CJ84" s="2275"/>
      <c r="CK84" s="2275"/>
      <c r="CL84" s="2275"/>
      <c r="CM84" s="2275"/>
      <c r="CN84" s="2278"/>
      <c r="CO84" s="70"/>
      <c r="CP84" s="2275"/>
      <c r="CQ84" s="70"/>
    </row>
    <row r="85" spans="1:136" s="21" customFormat="1" ht="3.75" customHeight="1" x14ac:dyDescent="0.2">
      <c r="A85" s="25"/>
      <c r="B85" s="25"/>
      <c r="C85" s="13"/>
      <c r="D85" s="25"/>
      <c r="E85" s="14"/>
      <c r="F85" s="15"/>
      <c r="G85" s="15"/>
      <c r="H85" s="15"/>
      <c r="I85" s="16"/>
      <c r="J85" s="16"/>
      <c r="K85" s="16"/>
      <c r="L85" s="17"/>
      <c r="M85" s="17"/>
      <c r="N85" s="15"/>
      <c r="O85" s="2007"/>
      <c r="P85" s="17"/>
      <c r="Q85" s="17"/>
      <c r="R85" s="16"/>
      <c r="S85" s="16"/>
      <c r="T85" s="16"/>
      <c r="V85" s="18"/>
      <c r="W85" s="18"/>
      <c r="X85" s="13"/>
      <c r="Y85" s="16"/>
      <c r="Z85" s="16"/>
      <c r="AA85" s="16"/>
      <c r="AB85" s="19"/>
      <c r="AD85" s="18"/>
      <c r="AE85" s="18"/>
      <c r="AF85" s="13"/>
      <c r="AG85" s="16"/>
      <c r="AH85" s="16"/>
      <c r="AI85" s="16"/>
      <c r="AJ85" s="19"/>
      <c r="AL85" s="18"/>
      <c r="AM85" s="18"/>
      <c r="AN85" s="13"/>
      <c r="AO85" s="16"/>
      <c r="AP85" s="16"/>
      <c r="AQ85" s="16"/>
      <c r="AR85" s="19"/>
      <c r="AT85" s="18"/>
      <c r="AU85" s="18"/>
      <c r="AV85" s="13"/>
      <c r="AW85" s="16"/>
      <c r="AX85" s="16"/>
      <c r="AY85" s="16"/>
      <c r="AZ85" s="19"/>
      <c r="BA85" s="70"/>
      <c r="BB85" s="18"/>
      <c r="BC85" s="18"/>
      <c r="BD85" s="13"/>
      <c r="BE85" s="16"/>
      <c r="BF85" s="16"/>
      <c r="BG85" s="16"/>
      <c r="BH85" s="19"/>
      <c r="BJ85" s="18"/>
      <c r="BK85" s="18"/>
      <c r="BL85" s="13"/>
      <c r="BM85" s="16"/>
      <c r="BN85" s="16"/>
      <c r="BO85" s="16"/>
      <c r="BP85" s="19"/>
      <c r="BR85" s="18"/>
      <c r="BS85" s="18"/>
      <c r="BT85" s="13"/>
      <c r="BU85" s="16"/>
      <c r="BV85" s="16"/>
      <c r="BW85" s="16"/>
      <c r="BX85" s="19"/>
      <c r="BZ85" s="18"/>
      <c r="CA85" s="18"/>
      <c r="CB85" s="13"/>
      <c r="CC85" s="16"/>
      <c r="CD85" s="16"/>
      <c r="CE85" s="16"/>
      <c r="CF85" s="19"/>
      <c r="CG85" s="70"/>
      <c r="CH85" s="18"/>
      <c r="CI85" s="18"/>
      <c r="CJ85" s="13"/>
      <c r="CK85" s="16"/>
      <c r="CL85" s="16"/>
      <c r="CM85" s="16"/>
      <c r="CN85" s="19"/>
      <c r="CO85" s="70"/>
      <c r="CP85" s="16"/>
      <c r="CQ85" s="70"/>
      <c r="DQ85" s="70"/>
    </row>
    <row r="86" spans="1:136" s="21" customFormat="1" ht="12" customHeight="1" x14ac:dyDescent="0.2">
      <c r="A86" s="25"/>
      <c r="B86" s="25"/>
      <c r="C86" s="2275"/>
      <c r="D86" s="25"/>
      <c r="E86" s="2276"/>
      <c r="F86" s="2277"/>
      <c r="G86" s="2277"/>
      <c r="H86" s="2277"/>
      <c r="I86" s="2275"/>
      <c r="J86" s="2275"/>
      <c r="K86" s="2275"/>
      <c r="L86" s="2277"/>
      <c r="M86" s="2277"/>
      <c r="N86" s="2277"/>
      <c r="O86" s="2300"/>
      <c r="P86" s="2277"/>
      <c r="Q86" s="17"/>
      <c r="R86" s="2275"/>
      <c r="S86" s="2275"/>
      <c r="T86" s="2275"/>
      <c r="V86" s="2277"/>
      <c r="W86" s="2277"/>
      <c r="X86" s="2275"/>
      <c r="Y86" s="2275"/>
      <c r="Z86" s="2275"/>
      <c r="AA86" s="2275"/>
      <c r="AB86" s="2278"/>
      <c r="AD86" s="2277"/>
      <c r="AE86" s="2277"/>
      <c r="AF86" s="2275"/>
      <c r="AG86" s="2275"/>
      <c r="AH86" s="2275"/>
      <c r="AI86" s="2275"/>
      <c r="AJ86" s="2278"/>
      <c r="AL86" s="2277"/>
      <c r="AM86" s="2277"/>
      <c r="AN86" s="2275"/>
      <c r="AO86" s="2275"/>
      <c r="AP86" s="2275"/>
      <c r="AQ86" s="2275"/>
      <c r="AR86" s="2278"/>
      <c r="AT86" s="2277"/>
      <c r="AU86" s="2277"/>
      <c r="AV86" s="2275"/>
      <c r="AW86" s="2275"/>
      <c r="AX86" s="2275"/>
      <c r="AY86" s="2275"/>
      <c r="AZ86" s="2278"/>
      <c r="BA86" s="70"/>
      <c r="BB86" s="2277"/>
      <c r="BC86" s="2277"/>
      <c r="BD86" s="2275"/>
      <c r="BE86" s="2275"/>
      <c r="BF86" s="2275"/>
      <c r="BG86" s="2275"/>
      <c r="BH86" s="2278"/>
      <c r="BJ86" s="2277"/>
      <c r="BK86" s="2277"/>
      <c r="BL86" s="2275"/>
      <c r="BM86" s="2275"/>
      <c r="BN86" s="2275"/>
      <c r="BO86" s="2275"/>
      <c r="BP86" s="2278"/>
      <c r="BR86" s="2277"/>
      <c r="BS86" s="2277"/>
      <c r="BT86" s="2275"/>
      <c r="BU86" s="2275"/>
      <c r="BV86" s="2275"/>
      <c r="BW86" s="2275"/>
      <c r="BX86" s="2278"/>
      <c r="BZ86" s="2277"/>
      <c r="CA86" s="2277"/>
      <c r="CB86" s="2275"/>
      <c r="CC86" s="2275"/>
      <c r="CD86" s="2275"/>
      <c r="CE86" s="2275"/>
      <c r="CF86" s="2278"/>
      <c r="CG86" s="70"/>
      <c r="CH86" s="2277"/>
      <c r="CI86" s="2277"/>
      <c r="CJ86" s="2275"/>
      <c r="CK86" s="2275"/>
      <c r="CL86" s="2275"/>
      <c r="CM86" s="2275"/>
      <c r="CN86" s="2278"/>
      <c r="CO86" s="70"/>
      <c r="CP86" s="2275"/>
      <c r="CQ86" s="70"/>
      <c r="DQ86" s="70"/>
    </row>
    <row r="87" spans="1:136" s="21" customFormat="1" ht="50.1" customHeight="1" x14ac:dyDescent="0.2">
      <c r="A87" s="20"/>
      <c r="B87" s="20"/>
      <c r="C87" s="20"/>
      <c r="D87" s="20"/>
      <c r="E87" s="14"/>
      <c r="I87" s="16"/>
      <c r="J87" s="16"/>
      <c r="K87" s="16"/>
      <c r="L87" s="16"/>
      <c r="M87" s="16"/>
      <c r="N87" s="15"/>
      <c r="O87" s="215"/>
      <c r="P87" s="16"/>
      <c r="Q87" s="16"/>
      <c r="R87" s="70"/>
      <c r="S87" s="115"/>
      <c r="T87" s="70"/>
      <c r="V87" s="22"/>
      <c r="W87" s="22"/>
      <c r="X87" s="13"/>
      <c r="Y87" s="16"/>
      <c r="Z87" s="70"/>
      <c r="AA87" s="70"/>
      <c r="AB87" s="70"/>
      <c r="AD87" s="22"/>
      <c r="AE87" s="22"/>
      <c r="AF87" s="13"/>
      <c r="AG87" s="16"/>
      <c r="AH87" s="70"/>
      <c r="AI87" s="70"/>
      <c r="AJ87" s="70"/>
      <c r="AL87" s="22"/>
      <c r="AM87" s="22"/>
      <c r="AN87" s="13"/>
      <c r="AO87" s="16"/>
      <c r="AP87" s="70"/>
      <c r="AQ87" s="70"/>
      <c r="AR87" s="70"/>
      <c r="AT87" s="22"/>
      <c r="AU87" s="22"/>
      <c r="AV87" s="13"/>
      <c r="AW87" s="16"/>
      <c r="AX87" s="70"/>
      <c r="AY87" s="70"/>
      <c r="AZ87" s="70"/>
      <c r="BA87" s="70"/>
      <c r="BB87" s="22"/>
      <c r="BC87" s="22"/>
      <c r="BD87" s="13"/>
      <c r="BE87" s="16"/>
      <c r="BF87" s="70"/>
      <c r="BG87" s="70"/>
      <c r="BH87" s="70"/>
      <c r="BJ87" s="22"/>
      <c r="BK87" s="22"/>
      <c r="BL87" s="13"/>
      <c r="BM87" s="16"/>
      <c r="BN87" s="70"/>
      <c r="BO87" s="70"/>
      <c r="BP87" s="70"/>
      <c r="BR87" s="22"/>
      <c r="BS87" s="22"/>
      <c r="BT87" s="13"/>
      <c r="BU87" s="16"/>
      <c r="BV87" s="70"/>
      <c r="BW87" s="70"/>
      <c r="BX87" s="70"/>
      <c r="BZ87" s="22"/>
      <c r="CA87" s="22"/>
      <c r="CB87" s="13"/>
      <c r="CC87" s="16"/>
      <c r="CD87" s="70"/>
      <c r="CE87" s="70"/>
      <c r="CF87" s="70"/>
      <c r="CG87" s="70"/>
      <c r="CH87" s="22"/>
      <c r="CI87" s="22"/>
      <c r="CJ87" s="13"/>
      <c r="CK87" s="16"/>
      <c r="CL87" s="70"/>
      <c r="CM87" s="70"/>
      <c r="CN87" s="70"/>
      <c r="CO87" s="70"/>
      <c r="CP87" s="78"/>
      <c r="CQ87" s="70"/>
    </row>
  </sheetData>
  <sheetProtection algorithmName="SHA-512" hashValue="OmK5uO4wLu7TpybY840VN8kZth7+9c4llnCruEaqMuyqzMAIbpSbvlkL4pL9NbeBlE4A8dHx0yPoGbEpMVwzBQ==" saltValue="TKsxqhCId6xu0FXKjkO4zQ==" spinCount="100000" sheet="1" objects="1" scenarios="1"/>
  <mergeCells count="27">
    <mergeCell ref="W9:AH11"/>
    <mergeCell ref="W13:AH16"/>
    <mergeCell ref="C31:C34"/>
    <mergeCell ref="F30:O31"/>
    <mergeCell ref="R26:T26"/>
    <mergeCell ref="F15:G16"/>
    <mergeCell ref="H15:S16"/>
    <mergeCell ref="F20:G20"/>
    <mergeCell ref="I20:R20"/>
    <mergeCell ref="F11:O13"/>
    <mergeCell ref="Q11:Q13"/>
    <mergeCell ref="H23:O23"/>
    <mergeCell ref="F79:I79"/>
    <mergeCell ref="F39:O40"/>
    <mergeCell ref="F48:O49"/>
    <mergeCell ref="F61:O62"/>
    <mergeCell ref="F68:O69"/>
    <mergeCell ref="F75:O76"/>
    <mergeCell ref="CA26:CD26"/>
    <mergeCell ref="CI26:CL26"/>
    <mergeCell ref="W26:Z26"/>
    <mergeCell ref="AE26:AH26"/>
    <mergeCell ref="AM26:AP26"/>
    <mergeCell ref="AU26:AX26"/>
    <mergeCell ref="BC26:BF26"/>
    <mergeCell ref="BK26:BN26"/>
    <mergeCell ref="BS26:BV26"/>
  </mergeCells>
  <conditionalFormatting sqref="Z34">
    <cfRule type="containsText" dxfId="5273" priority="14547" operator="containsText" text="✓">
      <formula>NOT(ISERROR(SEARCH("✓",Z34)))</formula>
    </cfRule>
  </conditionalFormatting>
  <conditionalFormatting sqref="Z43">
    <cfRule type="containsText" dxfId="5272" priority="5211" operator="containsText" text="✓">
      <formula>NOT(ISERROR(SEARCH("✓",Z43)))</formula>
    </cfRule>
  </conditionalFormatting>
  <conditionalFormatting sqref="Z79 Z72 Z65 Z54 Z52 Z45">
    <cfRule type="containsText" dxfId="5271" priority="174" operator="containsText" text="✓">
      <formula>NOT(ISERROR(SEARCH("✓",Z45)))</formula>
    </cfRule>
  </conditionalFormatting>
  <conditionalFormatting sqref="AH34">
    <cfRule type="containsText" dxfId="5270" priority="7907" operator="containsText" text="✓">
      <formula>NOT(ISERROR(SEARCH("✓",AH34)))</formula>
    </cfRule>
  </conditionalFormatting>
  <conditionalFormatting sqref="AH43">
    <cfRule type="containsText" dxfId="5269" priority="6117" operator="containsText" text="✓">
      <formula>NOT(ISERROR(SEARCH("✓",AH43)))</formula>
    </cfRule>
  </conditionalFormatting>
  <conditionalFormatting sqref="AH79 AH72 AH65 AH54 AH52 AH45">
    <cfRule type="containsText" dxfId="5268" priority="172" operator="containsText" text="✓">
      <formula>NOT(ISERROR(SEARCH("✓",AH45)))</formula>
    </cfRule>
  </conditionalFormatting>
  <conditionalFormatting sqref="AX79 AX72 AX65 AX54 AX52 AX45">
    <cfRule type="containsText" dxfId="5267" priority="133" operator="containsText" text="✓">
      <formula>NOT(ISERROR(SEARCH("✓",AX45)))</formula>
    </cfRule>
  </conditionalFormatting>
  <conditionalFormatting sqref="AP34">
    <cfRule type="containsText" dxfId="5266" priority="7906" operator="containsText" text="✓">
      <formula>NOT(ISERROR(SEARCH("✓",AP34)))</formula>
    </cfRule>
  </conditionalFormatting>
  <conditionalFormatting sqref="AP43">
    <cfRule type="containsText" dxfId="5265" priority="5225" operator="containsText" text="✓">
      <formula>NOT(ISERROR(SEARCH("✓",AP43)))</formula>
    </cfRule>
  </conditionalFormatting>
  <conditionalFormatting sqref="AP79 AP72 AP65 AP54 AP52 AP45">
    <cfRule type="containsText" dxfId="5264" priority="136" operator="containsText" text="✓">
      <formula>NOT(ISERROR(SEARCH("✓",AP45)))</formula>
    </cfRule>
  </conditionalFormatting>
  <conditionalFormatting sqref="AX34">
    <cfRule type="containsText" dxfId="5263" priority="7905" operator="containsText" text="✓">
      <formula>NOT(ISERROR(SEARCH("✓",AX34)))</formula>
    </cfRule>
  </conditionalFormatting>
  <conditionalFormatting sqref="AX43">
    <cfRule type="containsText" dxfId="5262" priority="5223" operator="containsText" text="✓">
      <formula>NOT(ISERROR(SEARCH("✓",AX43)))</formula>
    </cfRule>
  </conditionalFormatting>
  <conditionalFormatting sqref="BF34">
    <cfRule type="containsText" dxfId="5261" priority="7904" operator="containsText" text="✓">
      <formula>NOT(ISERROR(SEARCH("✓",BF34)))</formula>
    </cfRule>
  </conditionalFormatting>
  <conditionalFormatting sqref="BF43">
    <cfRule type="containsText" dxfId="5260" priority="5221" operator="containsText" text="✓">
      <formula>NOT(ISERROR(SEARCH("✓",BF43)))</formula>
    </cfRule>
  </conditionalFormatting>
  <conditionalFormatting sqref="BF79 BF72 BF65 BF54 BF52 BF45">
    <cfRule type="containsText" dxfId="5259" priority="130" operator="containsText" text="✓">
      <formula>NOT(ISERROR(SEARCH("✓",BF45)))</formula>
    </cfRule>
  </conditionalFormatting>
  <conditionalFormatting sqref="BN34">
    <cfRule type="containsText" dxfId="5258" priority="7903" operator="containsText" text="✓">
      <formula>NOT(ISERROR(SEARCH("✓",BN34)))</formula>
    </cfRule>
  </conditionalFormatting>
  <conditionalFormatting sqref="BN43">
    <cfRule type="containsText" dxfId="5257" priority="5219" operator="containsText" text="✓">
      <formula>NOT(ISERROR(SEARCH("✓",BN43)))</formula>
    </cfRule>
  </conditionalFormatting>
  <conditionalFormatting sqref="BN79 BN72 BN65 BN54 BN52 BN45">
    <cfRule type="containsText" dxfId="5256" priority="127" operator="containsText" text="✓">
      <formula>NOT(ISERROR(SEARCH("✓",BN45)))</formula>
    </cfRule>
  </conditionalFormatting>
  <conditionalFormatting sqref="CD79 CD72 CD65 CD54 CD52 CD45">
    <cfRule type="containsText" dxfId="5255" priority="121" operator="containsText" text="✓">
      <formula>NOT(ISERROR(SEARCH("✓",CD45)))</formula>
    </cfRule>
  </conditionalFormatting>
  <conditionalFormatting sqref="BV34">
    <cfRule type="containsText" dxfId="5254" priority="7902" operator="containsText" text="✓">
      <formula>NOT(ISERROR(SEARCH("✓",BV34)))</formula>
    </cfRule>
  </conditionalFormatting>
  <conditionalFormatting sqref="BV43">
    <cfRule type="containsText" dxfId="5253" priority="5217" operator="containsText" text="✓">
      <formula>NOT(ISERROR(SEARCH("✓",BV43)))</formula>
    </cfRule>
  </conditionalFormatting>
  <conditionalFormatting sqref="BV79 BV72 BV65 BV54 BV52 BV45">
    <cfRule type="containsText" dxfId="5252" priority="124" operator="containsText" text="✓">
      <formula>NOT(ISERROR(SEARCH("✓",BV45)))</formula>
    </cfRule>
  </conditionalFormatting>
  <conditionalFormatting sqref="CD34">
    <cfRule type="containsText" dxfId="5251" priority="7901" operator="containsText" text="✓">
      <formula>NOT(ISERROR(SEARCH("✓",CD34)))</formula>
    </cfRule>
  </conditionalFormatting>
  <conditionalFormatting sqref="CD43">
    <cfRule type="containsText" dxfId="5250" priority="5215" operator="containsText" text="✓">
      <formula>NOT(ISERROR(SEARCH("✓",CD43)))</formula>
    </cfRule>
  </conditionalFormatting>
  <conditionalFormatting sqref="CL79 CL72 CL65 CL54 CL52 CL45">
    <cfRule type="containsText" dxfId="5249" priority="118" operator="containsText" text="✓">
      <formula>NOT(ISERROR(SEARCH("✓",CL45)))</formula>
    </cfRule>
  </conditionalFormatting>
  <conditionalFormatting sqref="CL34">
    <cfRule type="containsText" dxfId="5248" priority="7900" operator="containsText" text="✓">
      <formula>NOT(ISERROR(SEARCH("✓",CL34)))</formula>
    </cfRule>
  </conditionalFormatting>
  <conditionalFormatting sqref="CL43">
    <cfRule type="containsText" dxfId="5247" priority="5213" operator="containsText" text="✓">
      <formula>NOT(ISERROR(SEARCH("✓",CL43)))</formula>
    </cfRule>
  </conditionalFormatting>
  <conditionalFormatting sqref="Z36">
    <cfRule type="containsText" dxfId="5246" priority="7899" operator="containsText" text="✓">
      <formula>NOT(ISERROR(SEARCH("✓",Z36)))</formula>
    </cfRule>
  </conditionalFormatting>
  <conditionalFormatting sqref="AH36">
    <cfRule type="containsText" dxfId="5245" priority="171" operator="containsText" text="✓">
      <formula>NOT(ISERROR(SEARCH("✓",AH36)))</formula>
    </cfRule>
  </conditionalFormatting>
  <conditionalFormatting sqref="AP36">
    <cfRule type="containsText" dxfId="5244" priority="135" operator="containsText" text="✓">
      <formula>NOT(ISERROR(SEARCH("✓",AP36)))</formula>
    </cfRule>
  </conditionalFormatting>
  <conditionalFormatting sqref="AX36">
    <cfRule type="containsText" dxfId="5243" priority="132" operator="containsText" text="✓">
      <formula>NOT(ISERROR(SEARCH("✓",AX36)))</formula>
    </cfRule>
  </conditionalFormatting>
  <conditionalFormatting sqref="BF36">
    <cfRule type="containsText" dxfId="5242" priority="129" operator="containsText" text="✓">
      <formula>NOT(ISERROR(SEARCH("✓",BF36)))</formula>
    </cfRule>
  </conditionalFormatting>
  <conditionalFormatting sqref="BN36">
    <cfRule type="containsText" dxfId="5241" priority="126" operator="containsText" text="✓">
      <formula>NOT(ISERROR(SEARCH("✓",BN36)))</formula>
    </cfRule>
  </conditionalFormatting>
  <conditionalFormatting sqref="BV36">
    <cfRule type="containsText" dxfId="5240" priority="123" operator="containsText" text="✓">
      <formula>NOT(ISERROR(SEARCH("✓",BV36)))</formula>
    </cfRule>
  </conditionalFormatting>
  <conditionalFormatting sqref="CD36">
    <cfRule type="containsText" dxfId="5239" priority="120" operator="containsText" text="✓">
      <formula>NOT(ISERROR(SEARCH("✓",CD36)))</formula>
    </cfRule>
  </conditionalFormatting>
  <conditionalFormatting sqref="CL36">
    <cfRule type="containsText" dxfId="5238" priority="117" operator="containsText" text="✓">
      <formula>NOT(ISERROR(SEARCH("✓",CL36)))</formula>
    </cfRule>
  </conditionalFormatting>
  <conditionalFormatting sqref="Z56">
    <cfRule type="containsText" dxfId="5237" priority="42" operator="containsText" text="✓">
      <formula>NOT(ISERROR(SEARCH("✓",Z56)))</formula>
    </cfRule>
  </conditionalFormatting>
  <conditionalFormatting sqref="AH56">
    <cfRule type="containsText" dxfId="5236" priority="45" operator="containsText" text="✓">
      <formula>NOT(ISERROR(SEARCH("✓",AH56)))</formula>
    </cfRule>
  </conditionalFormatting>
  <conditionalFormatting sqref="AP56">
    <cfRule type="containsText" dxfId="5235" priority="60" operator="containsText" text="✓">
      <formula>NOT(ISERROR(SEARCH("✓",AP56)))</formula>
    </cfRule>
  </conditionalFormatting>
  <conditionalFormatting sqref="AX56">
    <cfRule type="containsText" dxfId="5234" priority="57" operator="containsText" text="✓">
      <formula>NOT(ISERROR(SEARCH("✓",AX56)))</formula>
    </cfRule>
  </conditionalFormatting>
  <conditionalFormatting sqref="BF56">
    <cfRule type="containsText" dxfId="5233" priority="55" operator="containsText" text="✓">
      <formula>NOT(ISERROR(SEARCH("✓",BF56)))</formula>
    </cfRule>
  </conditionalFormatting>
  <conditionalFormatting sqref="BN56">
    <cfRule type="containsText" dxfId="5232" priority="53" operator="containsText" text="✓">
      <formula>NOT(ISERROR(SEARCH("✓",BN56)))</formula>
    </cfRule>
  </conditionalFormatting>
  <conditionalFormatting sqref="BV56">
    <cfRule type="containsText" dxfId="5231" priority="51" operator="containsText" text="✓">
      <formula>NOT(ISERROR(SEARCH("✓",BV56)))</formula>
    </cfRule>
  </conditionalFormatting>
  <conditionalFormatting sqref="CD56">
    <cfRule type="containsText" dxfId="5230" priority="49" operator="containsText" text="✓">
      <formula>NOT(ISERROR(SEARCH("✓",CD56)))</formula>
    </cfRule>
  </conditionalFormatting>
  <conditionalFormatting sqref="CL56">
    <cfRule type="containsText" dxfId="5229" priority="47" operator="containsText" text="✓">
      <formula>NOT(ISERROR(SEARCH("✓",CL56)))</formula>
    </cfRule>
  </conditionalFormatting>
  <dataValidations count="18">
    <dataValidation type="decimal" operator="greaterThanOrEqual" allowBlank="1" showInputMessage="1" showErrorMessage="1" errorTitle="Oops!" error="Du må bare skrive inn tall." sqref="X46 X81 AF55 X37 AF37 BL81 X55 AF73 AF46 X35 AN55 X73 AN37 BT81 X66 AN73 AN46 AF35 AV55 AF81 AV37 CB81 AF66 AV73 AV46 AN35 BD55 CB66 BD37 CJ81 AN66 BD73 BD46 AV35 BL55 AN81 BL37 CJ66 AV66 BL73 BL46 BD35 BT55 CJ35 BT37 CJ46 BD66 BT73 BT46 BL35 CB55 AV81 CB37 CJ73 BL66 CB73 CB46 BT35 CJ55 BD81 CJ37 CB35 BT66" xr:uid="{2CA4C0B7-0E61-438B-B968-04F1E3042C5E}">
      <formula1>0</formula1>
    </dataValidation>
    <dataValidation allowBlank="1" showInputMessage="1" showErrorMessage="1" promptTitle="Seismikk" prompt="Time for time, inngår i ventetid" sqref="Y67 Y60 AD60:AE60 AD67:AE67 AG67 AG60 AL60:AM60 AL67:AM67 AO67 AO60 AT60:AU60 AT67:AU67 AW67 AW60 BB60:BC60 BB67:BC67 BE67 BE60 BJ60:BK60 BJ67:BK67 BM67 BM60 BR60:BS60 BR67:BS67 BU67 BU60 BZ60:CA60 BZ67:CA67 CC67 CC60 CH60:CI60 CH67:CI67 CK67 CK60 V67:W67 V60:W60" xr:uid="{0723F96A-AD40-4D4A-A1B5-C74D61F4E7E1}"/>
    <dataValidation allowBlank="1" showErrorMessage="1" sqref="R26:T37 R40:T40 R49:T49 R62:T62 R69:T69 R76:T76 R42:T46 R51:T59 R78:T79 S81 R64:T66 R71:T73 R82:T82 V28:AB28 AD28:AJ28 AL28:AR28 AT28:AZ28 BB28:BH28 BJ28:BP28 BR28:BX28 BZ28:CF28 CH28:CN28 AK9:EU15 K1:DM1 K5:DM5 K83:DM87 V18:W22 AI18:AJ22 AK8:DM15 AI8:AJ8 W13 G5:I10 K14:L14 C5:C8 T8:U15 A5:B15 M8:S8 W9 F14:I14 D5:E15 A24:D24 A1:I1 A83:I87 D48:E56 D57 D58:E69 H23 G24:I24 K24:R24 K21:R22 G21:I22 G17:I19 K17:R19 K8:L10 F5:F11 S17:U24 E17:F24 AK17:EU24 A17:B23 D17:D23 T80:T81 R80:R81" xr:uid="{6C228370-2888-4EF3-AFBA-DF2FE2EE6037}"/>
    <dataValidation allowBlank="1" showInputMessage="1" showErrorMessage="1" promptTitle="Sikringsbolter på stuff (&gt; 4m)" prompt="Inkluderer ikke bolter bak stuff." sqref="J45" xr:uid="{5E0C50AD-3E87-4BA8-94C9-A5887658EB48}"/>
    <dataValidation allowBlank="1" showInputMessage="1" showErrorMessage="1" promptTitle="Buer" prompt="Omfatter radielle bolter, braketter, armering" sqref="CK73 Y73 AG73 AO73 AW73 BE73 BM73 BU73 CC73" xr:uid="{A2C78852-2490-4D28-B5F2-DDE885FF63CD}"/>
    <dataValidation allowBlank="1" showErrorMessage="1" promptTitle="Foreslått kapasitet" prompt="Disse verdiene er estimater fra NFF" sqref="L28 N28" xr:uid="{28D8E0A6-2A4D-4CB0-B5C9-B935A2A42C1C}"/>
    <dataValidation allowBlank="1" showErrorMessage="1" promptTitle="Bolter" prompt="Ikke bak stuff forutsatt «all» sikring på stuff" sqref="CK46 Y46 AG46 AO46 AW46 BE46 BM46 BU46 CC46" xr:uid="{37640A66-CA49-4B0F-8D8D-30B5E9400675}"/>
    <dataValidation allowBlank="1" sqref="F44:P44 J73:J78 J37:J42 G45:H55 F81:P81 K45:P56 J58:J71 F45:F56 I45:I56 F58:I79 K58:P79 F33:I43 K33:P43 J33 J35 J46:J51 J53 J55" xr:uid="{B59BCBB6-2BD5-4063-AE36-F43EF75AE632}"/>
    <dataValidation allowBlank="1" showInputMessage="1" promptTitle="Festebolter" prompt="Det forutsettes at alle disse boltene er ≤ 4 m." sqref="J56" xr:uid="{A6440C44-9D39-4FC6-8859-1F68A53B2CCE}"/>
    <dataValidation allowBlank="1" showInputMessage="1" showErrorMessage="1" promptTitle="Sikringsbuer" prompt="Inkluderer alle arbeider med sikringsbuer, med unntak av radielle bolter, forankringsbolter og sprøytebetong. Bolter og sprøytebetong inkluderes i de respektive postene for slike arbeider._x000a__x000a_Lengde av en bue måles langs teoretisk sprengningsprofil." sqref="J72" xr:uid="{5A8A7251-594C-4FDF-B7AF-0DE56673D557}"/>
    <dataValidation type="decimal" operator="greaterThanOrEqual" allowBlank="1" showInputMessage="1" showErrorMessage="1" errorTitle="Oops!" error="Bare tall (≥ 0) er tillatt." sqref="BD34 X36 X34 BL36 AF36 BL34 AF34 BT36 AN36 BT34 AN34 CB36 AV36 CB34 AV34 CJ34 BD36 CJ36 X72 AF72 AN72 AV72 BD72 BL72 BT72 CB72 CJ72 CJ65 CB65 BT65 BL65 BD65 AV65 AN65 AF65 X65 X56 AF56 AN56 AV56 BD56 BL56 BT56 CB56 CJ56 CJ54 CJ52 CB52 CB54 BT52 BT54 BL52 BL54 BD52 BD54 AV52 AV54 AN52 AN54 AF52 AF54 X52 X54 X43 X45 AF43 AF45 AN43 AN45 AV43 AV45 BD43 BD45 BL43 BL45 BT43 BT45 CB43 CB45 CJ43 CJ45" xr:uid="{0BFF87EF-E75B-4764-8C80-3DD4A1B97A2A}">
      <formula1>0</formula1>
    </dataValidation>
    <dataValidation type="decimal" operator="greaterThanOrEqual" allowBlank="1" showErrorMessage="1" errorTitle="Oops!" error="Bare tall (≥ 0) er tillatt._x000a_" sqref="CJ79 AF79 AN79 AV79 BD79 BL79 BT79 CB79 X79" xr:uid="{979A67B1-5846-403E-A638-81F51F75DC63}">
      <formula1>0</formula1>
    </dataValidation>
    <dataValidation allowBlank="1" promptTitle="Sikringsstøp (for 1. og 2. støp)" prompt="Det forutsettes at lengde på støpeskjoldet er 5 m. Laveste innverdi er 5,0 m og høyeste innverdi er 10,0 m._x000a_" sqref="J79" xr:uid="{9D54ECC3-506F-4093-B7D1-FD224AB28EDE}"/>
    <dataValidation allowBlank="1" showInputMessage="1" promptTitle="Manuell driftsrensk" prompt="Omfatter all manuell driftsrensk utover driftsrensk med maskin medtatt i sprengning." sqref="J34" xr:uid="{24E80A1D-F07E-4105-B6BB-3356A6A9BA93}"/>
    <dataValidation allowBlank="1" promptTitle="Manuell driftsrensk" prompt="Omfatter all manuell driftsrensk utover driftsrensk med maskin medtatt i sprengning." sqref="J36" xr:uid="{5528D290-B377-4BB2-A4FB-31AC7CE264B1}"/>
    <dataValidation allowBlank="1" showInputMessage="1" showErrorMessage="1" promptTitle="Sikringsbolter på stuff (≤ 4 m)" prompt="Inkluderer ikke bolter bak stuff eller festebolter for bergbånd og nett." sqref="J43" xr:uid="{3D0B1A8F-7DEB-4A2B-A347-7071BB636641}"/>
    <dataValidation allowBlank="1" showInputMessage="1" promptTitle="Bergbånd" prompt="Inkluderer montering av bånd i innsatte bolter._x000a_" sqref="J52" xr:uid="{E1768A20-C47C-40AB-BF15-4B2C4EBA4E80}"/>
    <dataValidation allowBlank="1" showInputMessage="1" promptTitle="Nett" prompt="Inkluderer montering av nett i innsatte bolter." sqref="J54" xr:uid="{3D517115-D5AC-4268-9900-FF7C83A695EA}"/>
  </dataValidations>
  <hyperlinks>
    <hyperlink ref="F15:G16" location="'!INN_SK'!A1" display="'!INN_SK'!A1" xr:uid="{0636997D-06A9-4FD2-9E15-4499961A0F01}"/>
    <hyperlink ref="H15:S16" location="'!INN_SK'!A1" display="Sikringsklasse-basert -arkfanen" xr:uid="{16D31252-7682-4F35-8C5D-DC00FA2EEECC}"/>
  </hyperlinks>
  <printOptions horizontalCentered="1" verticalCentered="1"/>
  <pageMargins left="0.23622047244094491" right="0.23622047244094491" top="0.74803149606299213" bottom="0.74803149606299213" header="0.31496062992125984" footer="0.31496062992125984"/>
  <pageSetup paperSize="8" scale="46" orientation="landscape" r:id="rId1"/>
  <extLst>
    <ext xmlns:x14="http://schemas.microsoft.com/office/spreadsheetml/2009/9/main" uri="{78C0D931-6437-407d-A8EE-F0AAD7539E65}">
      <x14:conditionalFormattings>
        <x14:conditionalFormatting xmlns:xm="http://schemas.microsoft.com/office/excel/2006/main">
          <x14:cfRule type="expression" priority="91" id="{AB9DCFFD-5321-49E3-B434-E5D794D5BDA3}">
            <xm:f>_Calcs_Klasse!$AI$27=1</xm:f>
            <x14:dxf>
              <font>
                <b/>
                <i val="0"/>
              </font>
              <fill>
                <patternFill>
                  <bgColor theme="0" tint="-4.9989318521683403E-2"/>
                </patternFill>
              </fill>
            </x14:dxf>
          </x14:cfRule>
          <xm:sqref>F11:O11</xm:sqref>
        </x14:conditionalFormatting>
        <x14:conditionalFormatting xmlns:xm="http://schemas.microsoft.com/office/excel/2006/main">
          <x14:cfRule type="expression" priority="3" stopIfTrue="1" id="{F3054FCA-7082-47F7-9195-494356CFA83D}">
            <xm:f>_Calcs!$NO$54&lt;9</xm:f>
            <x14:dxf>
              <font>
                <color theme="0"/>
              </font>
              <fill>
                <patternFill>
                  <bgColor theme="0"/>
                </patternFill>
              </fill>
              <border>
                <left/>
                <right/>
                <top/>
                <bottom/>
                <vertical/>
                <horizontal/>
              </border>
            </x14:dxf>
          </x14:cfRule>
          <xm:sqref>CI1:CP1048576</xm:sqref>
        </x14:conditionalFormatting>
        <x14:conditionalFormatting xmlns:xm="http://schemas.microsoft.com/office/excel/2006/main">
          <x14:cfRule type="expression" priority="13" stopIfTrue="1" id="{2BB87D78-145B-45DE-BE06-7E8CCCCF8617}">
            <xm:f>_Calcs!$NO$54&lt;8</xm:f>
            <x14:dxf>
              <font>
                <color theme="0"/>
              </font>
              <fill>
                <patternFill>
                  <bgColor theme="0"/>
                </patternFill>
              </fill>
              <border>
                <left/>
                <right/>
                <top/>
                <bottom/>
                <vertical/>
                <horizontal/>
              </border>
            </x14:dxf>
          </x14:cfRule>
          <xm:sqref>CA1:CH1048576</xm:sqref>
        </x14:conditionalFormatting>
        <x14:conditionalFormatting xmlns:xm="http://schemas.microsoft.com/office/excel/2006/main">
          <x14:cfRule type="expression" priority="14" stopIfTrue="1" id="{53554C81-50B9-4763-880C-E601595BC983}">
            <xm:f>_Calcs!$NO$54&lt;7</xm:f>
            <x14:dxf>
              <font>
                <color theme="0"/>
              </font>
              <fill>
                <patternFill>
                  <bgColor theme="0"/>
                </patternFill>
              </fill>
              <border>
                <left/>
                <right/>
                <top/>
                <bottom/>
                <vertical/>
                <horizontal/>
              </border>
            </x14:dxf>
          </x14:cfRule>
          <xm:sqref>BS1:BZ1048576</xm:sqref>
        </x14:conditionalFormatting>
        <x14:conditionalFormatting xmlns:xm="http://schemas.microsoft.com/office/excel/2006/main">
          <x14:cfRule type="expression" priority="15" stopIfTrue="1" id="{F35D5DE7-B8D1-41F6-AC0E-B86E2D392D05}">
            <xm:f>_Calcs!$NO$54&lt;6</xm:f>
            <x14:dxf>
              <font>
                <color theme="0"/>
              </font>
              <fill>
                <patternFill>
                  <bgColor theme="0"/>
                </patternFill>
              </fill>
              <border>
                <left/>
                <right/>
                <top/>
                <bottom/>
                <vertical/>
                <horizontal/>
              </border>
            </x14:dxf>
          </x14:cfRule>
          <xm:sqref>BK1:BR1048576</xm:sqref>
        </x14:conditionalFormatting>
        <x14:conditionalFormatting xmlns:xm="http://schemas.microsoft.com/office/excel/2006/main">
          <x14:cfRule type="expression" priority="21" stopIfTrue="1" id="{0F70924F-4CE7-428B-BE63-D6A9477957D2}">
            <xm:f>_Calcs!$NO$54&lt;5</xm:f>
            <x14:dxf>
              <font>
                <color theme="0"/>
              </font>
              <fill>
                <patternFill>
                  <bgColor theme="0"/>
                </patternFill>
              </fill>
              <border>
                <left/>
                <right/>
                <top/>
                <bottom/>
                <vertical/>
                <horizontal/>
              </border>
            </x14:dxf>
          </x14:cfRule>
          <xm:sqref>BC1:BJ1048576</xm:sqref>
        </x14:conditionalFormatting>
        <x14:conditionalFormatting xmlns:xm="http://schemas.microsoft.com/office/excel/2006/main">
          <x14:cfRule type="expression" priority="32" stopIfTrue="1" id="{BE29AEC6-6DD6-404D-B503-9B7DB23E0A80}">
            <xm:f>_Calcs!$NO$54&lt;4</xm:f>
            <x14:dxf>
              <font>
                <color theme="0"/>
              </font>
              <fill>
                <patternFill>
                  <bgColor theme="0"/>
                </patternFill>
              </fill>
              <border>
                <left/>
                <right/>
                <top/>
                <bottom/>
                <vertical/>
                <horizontal/>
              </border>
            </x14:dxf>
          </x14:cfRule>
          <xm:sqref>AU1:BB1048576</xm:sqref>
        </x14:conditionalFormatting>
        <x14:conditionalFormatting xmlns:xm="http://schemas.microsoft.com/office/excel/2006/main">
          <x14:cfRule type="expression" priority="33" stopIfTrue="1" id="{0BDC0441-7C36-4CFC-BA51-D93DDDEBC331}">
            <xm:f>_Calcs!$NO$54&lt;3</xm:f>
            <x14:dxf>
              <font>
                <color theme="0"/>
              </font>
              <fill>
                <patternFill>
                  <bgColor theme="0"/>
                </patternFill>
              </fill>
              <border>
                <left/>
                <right/>
                <top/>
                <bottom/>
                <vertical/>
                <horizontal/>
              </border>
            </x14:dxf>
          </x14:cfRule>
          <xm:sqref>AM1:AT1048576</xm:sqref>
        </x14:conditionalFormatting>
        <x14:conditionalFormatting xmlns:xm="http://schemas.microsoft.com/office/excel/2006/main">
          <x14:cfRule type="expression" priority="34" stopIfTrue="1" id="{08A8EB3B-D3DB-4702-B191-3E79C2490FB6}">
            <xm:f>_Calcs!$NO$54&lt;2</xm:f>
            <x14:dxf>
              <font>
                <color theme="0"/>
              </font>
              <fill>
                <patternFill>
                  <bgColor theme="0"/>
                </patternFill>
              </fill>
              <border>
                <left/>
                <right/>
                <top/>
                <bottom/>
                <vertical/>
                <horizontal/>
              </border>
            </x14:dxf>
          </x14:cfRule>
          <xm:sqref>AE1:AL1048576</xm:sqref>
        </x14:conditionalFormatting>
        <x14:conditionalFormatting xmlns:xm="http://schemas.microsoft.com/office/excel/2006/main">
          <x14:cfRule type="expression" priority="7908" id="{127EF8E6-3D30-4E44-A4F6-6D485A552EBD}">
            <xm:f>_Calcs!$NO$54&lt;2</xm:f>
            <x14:dxf>
              <border>
                <left/>
                <right/>
                <top/>
                <bottom/>
                <vertical/>
                <horizontal/>
              </border>
            </x14:dxf>
          </x14:cfRule>
          <xm:sqref>AD1:AD1048576</xm:sqref>
        </x14:conditionalFormatting>
        <x14:conditionalFormatting xmlns:xm="http://schemas.microsoft.com/office/excel/2006/main">
          <x14:cfRule type="expression" priority="36" id="{F599951E-AE2F-4776-B778-C2116D6A9E48}">
            <xm:f>_Calcs!$NO$54&lt;9</xm:f>
            <x14:dxf>
              <border>
                <left/>
                <right/>
                <top/>
                <bottom/>
                <vertical/>
                <horizontal/>
              </border>
            </x14:dxf>
          </x14:cfRule>
          <xm:sqref>CH1:CH1048576</xm:sqref>
        </x14:conditionalFormatting>
        <x14:conditionalFormatting xmlns:xm="http://schemas.microsoft.com/office/excel/2006/main">
          <x14:cfRule type="expression" priority="37" id="{A2D0E2EB-961D-496D-A4E0-64F9C6361F08}">
            <xm:f>_Calcs!$NO$54&lt;8</xm:f>
            <x14:dxf>
              <border>
                <left/>
                <right/>
                <top/>
                <bottom/>
                <vertical/>
                <horizontal/>
              </border>
            </x14:dxf>
          </x14:cfRule>
          <xm:sqref>BZ1:BZ1048576</xm:sqref>
        </x14:conditionalFormatting>
        <x14:conditionalFormatting xmlns:xm="http://schemas.microsoft.com/office/excel/2006/main">
          <x14:cfRule type="expression" priority="38" id="{164173A0-11C2-426D-97BB-9A57704F8A7B}">
            <xm:f>_Calcs!$NO$54&lt;7</xm:f>
            <x14:dxf>
              <border>
                <left/>
                <right/>
                <top/>
                <bottom/>
                <vertical/>
                <horizontal/>
              </border>
            </x14:dxf>
          </x14:cfRule>
          <xm:sqref>BR1:BR1048576</xm:sqref>
        </x14:conditionalFormatting>
        <x14:conditionalFormatting xmlns:xm="http://schemas.microsoft.com/office/excel/2006/main">
          <x14:cfRule type="expression" priority="41" id="{BC21E5A0-CC5E-4462-B41A-90A1F015FF6B}">
            <xm:f>_Calcs!$NO$54&lt;6</xm:f>
            <x14:dxf>
              <border>
                <left/>
                <right/>
                <top/>
                <bottom/>
                <vertical/>
                <horizontal/>
              </border>
            </x14:dxf>
          </x14:cfRule>
          <xm:sqref>BJ1:BJ1048576</xm:sqref>
        </x14:conditionalFormatting>
        <x14:conditionalFormatting xmlns:xm="http://schemas.microsoft.com/office/excel/2006/main">
          <x14:cfRule type="expression" priority="7909" id="{7A1B6EBA-EADA-49DC-BE11-37DDB14FACE6}">
            <xm:f>_Calcs!$NO$54&lt;5</xm:f>
            <x14:dxf>
              <border>
                <left/>
                <right/>
                <top/>
                <bottom/>
                <vertical/>
                <horizontal/>
              </border>
            </x14:dxf>
          </x14:cfRule>
          <xm:sqref>BB1:BB1048576</xm:sqref>
        </x14:conditionalFormatting>
        <x14:conditionalFormatting xmlns:xm="http://schemas.microsoft.com/office/excel/2006/main">
          <x14:cfRule type="expression" priority="7910" id="{C3F8587F-756D-49A3-971A-7EFA2D443C38}">
            <xm:f>_Calcs!$NO$54&lt;4</xm:f>
            <x14:dxf>
              <border>
                <left/>
                <right/>
                <top/>
                <bottom/>
                <vertical/>
                <horizontal/>
              </border>
            </x14:dxf>
          </x14:cfRule>
          <xm:sqref>AT1:AT1048576</xm:sqref>
        </x14:conditionalFormatting>
        <x14:conditionalFormatting xmlns:xm="http://schemas.microsoft.com/office/excel/2006/main">
          <x14:cfRule type="expression" priority="7911" id="{00FEE38A-740D-4D6D-BE0F-A2E2186CCDD1}">
            <xm:f>_Calcs!$NO$54&lt;3</xm:f>
            <x14:dxf>
              <border>
                <left/>
                <right/>
                <top/>
                <bottom/>
                <vertical/>
                <horizontal/>
              </border>
            </x14:dxf>
          </x14:cfRule>
          <xm:sqref>AL1:AL1048576</xm:sqref>
        </x14:conditionalFormatting>
        <x14:conditionalFormatting xmlns:xm="http://schemas.microsoft.com/office/excel/2006/main">
          <x14:cfRule type="expression" priority="14349" id="{A88BAE59-71AB-46AF-BEDF-07D16A5600F5}">
            <xm:f>_Calcs!$D$11=1</xm:f>
            <x14:dxf>
              <font>
                <color theme="0" tint="-0.14996795556505021"/>
              </font>
              <fill>
                <patternFill>
                  <bgColor theme="0" tint="-0.14996795556505021"/>
                </patternFill>
              </fill>
            </x14:dxf>
          </x14:cfRule>
          <xm:sqref>X34 X36 X43 X45 X52 X54 X56 X65 X72 X79 S79 S72 S65 S56 S54 S52 S45 S43 S36 S34 AF34 AF36 AF43 AF45 AF52 AF54 AF56 AF65 AF72 AF79 AN79 AN72 AN65 AN56 AN54 AN52 AN45 AN43 AN36 AN34 AV34 AV36 AV43 AV45 AV52 AV54 AV56 AV65 AV72 AV79 BD79 BD72 BD65 BD56 BD54 BD52 BD45 BD43 BD36 BD34 BL34 BL36 BT34 BT36 CB34 CB36 CJ34 CJ36 CJ43 CJ45 CB43 CB45 BT43 BT45 BL43 BL45 BL52 BL54 BL56 BL65 BL72 BL79 BT79 BT72 BT65 BT56 BT54 BT52 CB52 CB54 CB56 CJ52 CJ54 CJ56 CJ65 CB65 CB72 CJ72 CJ79 CB79</xm:sqref>
        </x14:conditionalFormatting>
        <x14:conditionalFormatting xmlns:xm="http://schemas.microsoft.com/office/excel/2006/main">
          <x14:cfRule type="expression" priority="14459" id="{02BA1F0A-1E2E-4BD2-8458-D933227C50B6}">
            <xm:f>_Calcs!$D$11=1</xm:f>
            <x14:dxf>
              <fill>
                <patternFill>
                  <bgColor theme="0" tint="-0.14996795556505021"/>
                </patternFill>
              </fill>
            </x14:dxf>
          </x14:cfRule>
          <xm:sqref>E75:P76 E68:P69 E61:P62 E48:P49 E39:P40 E30:P31 CP31 CH31:CN31 BZ31:CF31 BR31:BX31 BJ31:BP31 BB31:BH31 AT31:AZ31 AL31:AR31 AD31:AJ31 V31:AB31 CP40 CH40:CN40 BZ40:CF40 BR40:BX40 BJ40:BP40 BB40:BH40 AT40:AZ40 AL40:AR40 AD40:AJ40 V40:AB40 CP49 CH49:CN49 BZ49:CF49 BR49:BX49 BJ49:BP49 BB49:BH49 AT49:AZ49 AL49:AR49 AD49:AJ49 V49:AB49 CP62 CH62:CN62 BZ62:CF62 BR62:BX62 BJ62:BP62 BB62:BH62 AT62:AZ62 AL62:AR62 AD62:AJ62 V62:AB62 CP69 CH69:CN69 BZ69:CF69 BR69:BX69 BJ69:BP69 BB69:BH69 AT69:AZ69 AL69:AR69 AD69:AJ69 V69:AB69 CP76 CH76:CN76 BZ76:CF76 BR76:BX76 BJ76:BP76 BB76:BH76 AT76:AZ76 AL76:AR76 AD76:AJ76 V76:AB76 C30:C80</xm:sqref>
        </x14:conditionalFormatting>
        <x14:conditionalFormatting xmlns:xm="http://schemas.microsoft.com/office/excel/2006/main">
          <x14:cfRule type="expression" priority="14526" id="{FFDDC97D-D06B-48D9-B53B-D5C61FE27688}">
            <xm:f>_Calcs!$D$11=1</xm:f>
            <x14:dxf>
              <font>
                <color theme="0" tint="-4.9989318521683403E-2"/>
              </font>
              <fill>
                <patternFill patternType="solid">
                  <bgColor theme="0" tint="-4.9989318521683403E-2"/>
                </patternFill>
              </fill>
            </x14:dxf>
          </x14:cfRule>
          <xm:sqref>E42:P46 E51:P57 E64:P66 E71:P73 E78:P80 E33:P37</xm:sqref>
        </x14:conditionalFormatting>
        <x14:conditionalFormatting xmlns:xm="http://schemas.microsoft.com/office/excel/2006/main">
          <x14:cfRule type="expression" priority="14532" id="{D97F1926-9D23-462C-B9A6-226A52B15DD5}">
            <xm:f>_Calcs!$D$11=2</xm:f>
            <x14:dxf>
              <fill>
                <patternFill>
                  <bgColor rgb="FFD9D9D9"/>
                </patternFill>
              </fill>
              <border>
                <right/>
                <top/>
                <bottom/>
                <vertical/>
                <horizontal/>
              </border>
            </x14:dxf>
          </x14:cfRule>
          <x14:cfRule type="expression" priority="14533" id="{8B03B540-7A01-4117-A561-3FB3D78A64BA}">
            <xm:f>_Calcs!$D$11=1</xm:f>
            <x14:dxf>
              <font>
                <b/>
                <i val="0"/>
              </font>
              <border>
                <left/>
                <vertical/>
                <horizontal/>
              </border>
            </x14:dxf>
          </x14:cfRule>
          <xm:sqref>H15:S16</xm:sqref>
        </x14:conditionalFormatting>
        <x14:conditionalFormatting xmlns:xm="http://schemas.microsoft.com/office/excel/2006/main">
          <x14:cfRule type="expression" priority="14534" id="{43F9AEA5-5A9E-418E-AC80-A0B79C673B3B}">
            <xm:f>_Calcs!$D$11=1</xm:f>
            <x14:dxf>
              <font>
                <color auto="1"/>
              </font>
              <fill>
                <patternFill>
                  <bgColor rgb="FFDEDCB8"/>
                </patternFill>
              </fill>
            </x14:dxf>
          </x14:cfRule>
          <xm:sqref>F15:S16</xm:sqref>
        </x14:conditionalFormatting>
        <x14:conditionalFormatting xmlns:xm="http://schemas.microsoft.com/office/excel/2006/main">
          <x14:cfRule type="expression" priority="14535" id="{C59DD319-DF5F-45BD-9EAA-3967759B55E0}">
            <xm:f>_Calcs!$D$11=1</xm:f>
            <x14:dxf>
              <fill>
                <patternFill>
                  <bgColor theme="0" tint="-4.9989318521683403E-2"/>
                </patternFill>
              </fill>
            </x14:dxf>
          </x14:cfRule>
          <xm:sqref>C26 E26:P26 V26:AB26 AD26:AJ26 AL26:AR26 AT26:AZ26 BB26:BH26 BJ26:BP26 BR26:BX26 BZ26:CF26 CH26:CN26 CP26</xm:sqref>
        </x14:conditionalFormatting>
        <x14:conditionalFormatting xmlns:xm="http://schemas.microsoft.com/office/excel/2006/main">
          <x14:cfRule type="expression" priority="7912" id="{B2959C6E-04F9-41CA-8836-E8CE289E57AD}">
            <xm:f>_Calcs!$D$11=1</xm:f>
            <x14:dxf>
              <font>
                <color theme="1"/>
              </font>
              <fill>
                <patternFill>
                  <bgColor theme="0" tint="-4.9989318521683403E-2"/>
                </patternFill>
              </fill>
            </x14:dxf>
          </x14:cfRule>
          <xm:sqref>CP31 CH31:CN31 BZ31:CF31 BR31:BX31 BJ31:BP31 BB31:BH31 AT31:AZ31 AL31:AR31 AD31:AJ31 V31:AB31 CP76 CP71:CP73 CP69 CP64:CP66 CP62 CP51:CP59 CP49 CP42:CP46 CP40 CP33:CP37 CH80:CN80 CK79:CN79 CH79:CI79 CH78:CN78 CH76:CN76 CH73:CN73 CK72:CN72 CH72:CI72 CH71:CN71 CH69:CN69 CH66:CN66 CK65:CN65 CH65:CI65 CH64:CN64 CH62:CN62 CH57:CN59 CK56:CN56 CH56:CI56 CH55:CN55 CK54:CN54 CH54:CI54 CH53:CN53 CK52:CN52 CH52:CI52 CH51:CN51 CH49:CN49 CH46:CN46 CK45:CN45 CH45:CI45 CH44:CN44 CK43:CN43 CH43:CI43 CH42:CN42 CH40:CN40 CH37:CN37 CK36:CN36 CH36:CI36 CH35:CN35 CK34:CN34 CH34:CI34 CH33:CN33 BZ80:CF80 CC79:CF79 BZ79:CA79 BZ78:CF78 BZ76:CF76 BZ73:CF73 CC72:CF72 BZ72:CA72 BZ71:CF71 BZ69:CF69 BZ66:CF66 CC65:CF65 BZ65:CA65 BZ64:CF64 BZ62:CF62 BZ57:CF59 CC56:CF56 BZ56:CA56 BZ55:CF55 CC54:CF54 BZ54:CA54 BZ53:CF53 CC52:CF52 BZ52:CA52 BZ51:CF51 BZ49:CF49 BZ46:CF46 CC45:CF45 BZ45:CA45 BZ44:CF44 CC43:CF43 BZ43:CA43 BZ42:CF42 BZ40:CF40 BZ37:CF37 CC36:CF36 BZ36:CA36 BZ35:CF35 CC34:CF34 BZ34:CA34 BZ33:CF33 BR80:BX80 BU79:BX79 BR79:BS79 BR78:BX78 BR76:BX76 BR73:BX73 BU72:BX72 BR72:BS72 BR71:BX71 BR69:BX69 BR66:BX66 BU65:BX65 BR65:BS65 BR64:BX64 BR62:BX62 BR57:BX59 BU56:BX56 BR56:BS56 BR55:BX55 BU54:BX54 BR54:BS54 BR53:BX53 BU52:BX52 BR52:BS52 BR51:BX51 BR49:BX49 BR46:BX46 BU45:BX45 BR45:BS45 BR44:BX44 BU43:BX43 BR43:BS43 BR42:BX42 BR40:BX40 BR37:BX37 BU36:BX36 BR36:BS36 BR35:BX35 BU34:BX34 BR34:BS34 BR33:BX33 BJ80:BP80 BM79:BP79 BJ79:BK79 BJ78:BP78 BJ76:BP76 BJ73:BP73 BM72:BP72 BJ72:BK72 BJ71:BP71 BJ69:BP69 BJ66:BP66 BM65:BP65 BJ65:BK65 BJ64:BP64 BJ62:BP62 BJ57:BP59 BM56:BP56 BJ56:BK56 BJ55:BP55 BM54:BP54 BJ54:BK54 BJ53:BP53 BM52:BP52 BJ52:BK52 BJ51:BP51 BJ49:BP49 BJ46:BP46 BM45:BP45 BJ45:BK45 BJ44:BP44 BM43:BP43 BJ43:BK43 BJ42:BP42 BJ40:BP40 BJ37:BP37 BM36:BP36 BJ36:BK36 BJ35:BP35 BM34:BP34 BJ34:BK34 BJ33:BP33 BB80:BH80 BE79:BH79 BB79:BC79 BB78:BH78 BB76:BH76 BB73:BH73 BE72:BH72 BB72:BC72 BB71:BH71 BB69:BH69 BB66:BH66 BE65:BH65 BB65:BC65 BB64:BH64 BB62:BH62 BB57:BH59 BE56:BH56 BB56:BC56 BB55:BH55 BE54:BH54 BB54:BC54 BB53:BH53 BE52:BH52 BB52:BC52 BB51:BH51 BB49:BH49 BB46:BH46 BE45:BH45 BB45:BC45 BB44:BH44 BE43:BH43 BB43:BC43 BB42:BH42 BB40:BH40 BB37:BH37 BE36:BH36 BB36:BC36 BB35:BH35 BE34:BH34 BB34:BC34 BB33:BH33 AT80:AZ80 AW79:AZ79 AT79:AU79 AT78:AZ78 AT76:AZ76 AT73:AZ73 AW72:AZ72 AT72:AU72 AT71:AZ71 AT69:AZ69 AT66:AZ66 AW65:AZ65 AT65:AU65 AT64:AZ64 AT62:AZ62 AT57:AZ59 AW56:AZ56 AT56:AU56 AT55:AZ55 AW54:AZ54 AT54:AU54 AT53:AZ53 AW52:AZ52 AT52:AU52 AT51:AZ51 AT49:AZ49 AT46:AZ46 AW45:AZ45 AT45:AU45 AT44:AZ44 AW43:AZ43 AT43:AU43 AT42:AZ42 AT40:AZ40 AT37:AZ37 AW36:AZ36 AT36:AU36 AT35:AZ35 AW34:AZ34 AT34:AU34 AT33:AZ33 AL80:AR80 AO79:AR79 AL79:AM79 AL78:AR78 AL76:AR76 AL73:AR73 AO72:AR72 AL72:AM72 AL71:AR71 AL69:AR69 AL66:AR66 AO65:AR65 AL65:AM65 AL64:AR64 AL62:AR62 AL57:AR59 AO56:AR56 AL56:AM56 AL55:AR55 AO54:AR54 AL54:AM54 AL53:AR53 AO52:AR52 AL52:AM52 AL51:AR51 AL49:AR49 AL46:AR46 AO45:AR45 AL45:AM45 AL44:AR44 AO43:AR43 AL43:AM43 AL42:AR42 AL40:AR40 AD80:AJ80 AG79:AJ79 AD79:AE79 AD78:AJ78 AD76:AJ76 AD73:AJ73 AG72:AJ72 AD72:AE72 AD71:AJ71 AD69:AJ69 AD66:AJ66 AG65:AJ65 AD65:AE65 AD64:AJ64 AD62:AJ62 AD57:AJ59 AG56:AJ56 AD56:AE56 AD55:AJ55 AG54:AJ54 AD54:AE54 AD53:AJ53 AG52:AJ52 AD52:AE52 AD51:AJ51 AD49:AJ49 AD46:AJ46 AG45:AJ45 AD45:AE45 AD44:AJ44 AG43:AJ43 AD43:AE43 AD42:AJ42 AD40:AJ40 AD37:AJ37 AG36:AJ36 AD36:AE36 AD35:AJ35 AG34:AJ34 AD34:AE34 AD33:AJ33 V80:AB80 Y79:AB79 V79:W79 V78:AB78 V76:AB76 V73:AB73 Y72:AB72 V72:W72 V71:AB71 V69:AB69 V66:AB66 Y65:AB65 V65:W65 V64:AB64 V62:AB62 V57:AB59 Y56:AB56 V56:W56 V55:AB55 Y54:AB54 V54:W54 V53:AB53 Y52:AB52 V52:W52 V51:AB51 V49:AB49 V46:AB46 Y45:AB45 V45:W45 V44:AB44 Y43:AB43 V43:W43 V42:AB42 V40:AB40 V37:AB37 Y36:AB36 V36:W36 V35:AB35 Y34:AB34 V34:W34 V33:AB33 AL37:AR37 AO36:AR36 AL36:AM36 AL35:AR35 AO34:AR34 AL34:AM34 AL33:AR33 CP78:CP80</xm:sqref>
        </x14:conditionalFormatting>
        <x14:conditionalFormatting xmlns:xm="http://schemas.microsoft.com/office/excel/2006/main">
          <x14:cfRule type="expression" priority="14964" id="{9A8E0475-6F00-40E9-B37B-429D6F2B261A}">
            <xm:f>_Calcs!$D$11=1</xm:f>
            <x14:dxf>
              <fill>
                <patternFill>
                  <bgColor rgb="FFDFE4E9"/>
                </patternFill>
              </fill>
              <border>
                <left/>
                <right/>
                <top/>
                <bottom/>
                <vertical/>
                <horizontal/>
              </border>
            </x14:dxf>
          </x14:cfRule>
          <xm:sqref>E24:T24 P23:T23 E23:H23</xm:sqref>
        </x14:conditionalFormatting>
        <x14:conditionalFormatting xmlns:xm="http://schemas.microsoft.com/office/excel/2006/main">
          <x14:cfRule type="expression" priority="14967" id="{DB935671-5460-428B-A393-A6FC88153E0D}">
            <xm:f>_Calcs!$D$11=2</xm:f>
            <x14:dxf>
              <fill>
                <patternFill>
                  <bgColor rgb="FFD9D9D9"/>
                </patternFill>
              </fill>
              <border>
                <left/>
                <right/>
                <top/>
                <bottom/>
                <vertical/>
                <horizontal/>
              </border>
            </x14:dxf>
          </x14:cfRule>
          <xm:sqref>Q11:Q13</xm:sqref>
        </x14:conditionalFormatting>
        <x14:conditionalFormatting xmlns:xm="http://schemas.microsoft.com/office/excel/2006/main">
          <x14:cfRule type="expression" priority="14968" id="{78EC1616-6E47-41B3-B268-A5944D8DDE6B}">
            <xm:f>_Calcs!$D$11=1</xm:f>
            <x14:dxf>
              <border>
                <left/>
                <right/>
                <vertical/>
                <horizontal/>
              </border>
            </x14:dxf>
          </x14:cfRule>
          <x14:cfRule type="expression" priority="14969" id="{07536E9A-A9DE-45DB-9220-AA781B3138E8}">
            <xm:f>_Calcs!$D$11=2</xm:f>
            <x14:dxf>
              <fill>
                <patternFill>
                  <bgColor rgb="FFB0BDC8"/>
                </patternFill>
              </fill>
              <border>
                <vertical/>
                <horizontal/>
              </border>
            </x14:dxf>
          </x14:cfRule>
          <xm:sqref>E22:T22</xm:sqref>
        </x14:conditionalFormatting>
        <x14:conditionalFormatting xmlns:xm="http://schemas.microsoft.com/office/excel/2006/main">
          <x14:cfRule type="expression" priority="14970" id="{EA622AFB-73D3-4AB1-8DAC-CE4295D4D50D}">
            <xm:f>_Calcs!$D$11=2</xm:f>
            <x14:dxf>
              <border>
                <bottom/>
                <vertical/>
                <horizontal/>
              </border>
            </x14:dxf>
          </x14:cfRule>
          <xm:sqref>E21:T21</xm:sqref>
        </x14:conditionalFormatting>
        <x14:conditionalFormatting xmlns:xm="http://schemas.microsoft.com/office/excel/2006/main">
          <x14:cfRule type="expression" priority="14971" id="{DBA08743-7AEE-463D-9AB5-9800BA42FD54}">
            <xm:f>_Calcs!$D$11=1</xm:f>
            <x14:dxf>
              <font>
                <b/>
                <i val="0"/>
                <u val="double"/>
              </font>
            </x14:dxf>
          </x14:cfRule>
          <xm:sqref>F15:G16</xm:sqref>
        </x14:conditionalFormatting>
        <x14:conditionalFormatting xmlns:xm="http://schemas.microsoft.com/office/excel/2006/main">
          <x14:cfRule type="expression" priority="14972" id="{B3C5BE82-646B-4BDA-8723-FD4731CA1CF6}">
            <xm:f>_Calcs!$D$11=1</xm:f>
            <x14:dxf>
              <font>
                <color theme="6" tint="0.79998168889431442"/>
              </font>
            </x14:dxf>
          </x14:cfRule>
          <xm:sqref>CJ28 CB28 BT28 BL28 BD28 AV28 AN28 AF28 X28 J28:O28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F0A1F-3399-48DC-8DBA-01D1B7A681FD}">
  <sheetPr codeName="Sheet16">
    <tabColor rgb="FFF2E0B4"/>
    <pageSetUpPr fitToPage="1"/>
  </sheetPr>
  <dimension ref="A1:EU157"/>
  <sheetViews>
    <sheetView showGridLines="0" showRowColHeaders="0" zoomScale="70" zoomScaleNormal="70" workbookViewId="0"/>
  </sheetViews>
  <sheetFormatPr defaultColWidth="0" defaultRowHeight="14.25" zeroHeight="1" x14ac:dyDescent="0.2"/>
  <cols>
    <col min="1" max="2" width="3.625" style="70" customWidth="1"/>
    <col min="3" max="3" width="30.125" style="70" customWidth="1"/>
    <col min="4" max="5" width="3.625" style="70" customWidth="1"/>
    <col min="6" max="6" width="17.625" style="15" customWidth="1"/>
    <col min="7" max="7" width="8.125" style="70" customWidth="1"/>
    <col min="8" max="8" width="8.625" style="70" customWidth="1"/>
    <col min="9" max="9" width="4.625" style="70" customWidth="1"/>
    <col min="10" max="10" width="4.875" style="13" customWidth="1"/>
    <col min="11" max="11" width="1.625" style="70" hidden="1" customWidth="1"/>
    <col min="12" max="12" width="3.875" style="70" hidden="1" customWidth="1"/>
    <col min="13" max="13" width="2.625" style="70" customWidth="1"/>
    <col min="14" max="14" width="3.625" style="70" customWidth="1"/>
    <col min="15" max="15" width="2.625" style="70" customWidth="1"/>
    <col min="16" max="16" width="20.625" style="70" customWidth="1"/>
    <col min="17" max="17" width="0.125" style="70" customWidth="1"/>
    <col min="18" max="18" width="2.625" style="70" customWidth="1"/>
    <col min="19" max="19" width="1.625" style="70" customWidth="1"/>
    <col min="20" max="20" width="6.375" style="115" customWidth="1"/>
    <col min="21" max="21" width="2.625" style="70" customWidth="1"/>
    <col min="22" max="22" width="3.625" style="70" customWidth="1"/>
    <col min="23" max="24" width="1.625" style="70" customWidth="1"/>
    <col min="25" max="25" width="16.625" style="70" customWidth="1"/>
    <col min="26" max="26" width="1.625" style="70" customWidth="1"/>
    <col min="27" max="27" width="2.625" style="114" customWidth="1"/>
    <col min="28" max="29" width="0.875" style="70" customWidth="1"/>
    <col min="30" max="30" width="3.625" style="115" customWidth="1"/>
    <col min="31" max="32" width="1.625" style="70" customWidth="1"/>
    <col min="33" max="33" width="16.625" style="70" customWidth="1"/>
    <col min="34" max="34" width="1.625" style="70" customWidth="1"/>
    <col min="35" max="35" width="2.625" style="114" customWidth="1"/>
    <col min="36" max="37" width="0.875" style="70" customWidth="1"/>
    <col min="38" max="38" width="3.625" style="115" customWidth="1"/>
    <col min="39" max="40" width="1.625" style="70" customWidth="1"/>
    <col min="41" max="41" width="16.625" style="70" customWidth="1"/>
    <col min="42" max="42" width="1.625" style="70" customWidth="1"/>
    <col min="43" max="43" width="2.625" style="114" customWidth="1"/>
    <col min="44" max="45" width="0.875" style="70" customWidth="1"/>
    <col min="46" max="46" width="3.625" style="70" customWidth="1"/>
    <col min="47" max="48" width="1.625" style="70" customWidth="1"/>
    <col min="49" max="49" width="16.625" style="70" customWidth="1"/>
    <col min="50" max="50" width="1.625" style="70" customWidth="1"/>
    <col min="51" max="51" width="2.625" style="114" customWidth="1"/>
    <col min="52" max="53" width="0.875" style="70" customWidth="1"/>
    <col min="54" max="54" width="3.625" style="115" customWidth="1"/>
    <col min="55" max="56" width="1.625" style="70" customWidth="1"/>
    <col min="57" max="57" width="16.625" style="70" customWidth="1"/>
    <col min="58" max="58" width="1.625" style="70" customWidth="1"/>
    <col min="59" max="59" width="2.625" style="114" customWidth="1"/>
    <col min="60" max="61" width="0.875" style="70" customWidth="1"/>
    <col min="62" max="62" width="3.625" style="115" customWidth="1"/>
    <col min="63" max="64" width="1.625" style="70" customWidth="1"/>
    <col min="65" max="65" width="16.625" style="70" customWidth="1"/>
    <col min="66" max="66" width="1.625" style="70" customWidth="1"/>
    <col min="67" max="67" width="2.625" style="114" customWidth="1"/>
    <col min="68" max="69" width="0.875" style="70" customWidth="1"/>
    <col min="70" max="70" width="3.625" style="70" customWidth="1"/>
    <col min="71" max="72" width="1.625" style="70" customWidth="1"/>
    <col min="73" max="73" width="16.625" style="70" customWidth="1"/>
    <col min="74" max="74" width="1.625" style="70" customWidth="1"/>
    <col min="75" max="75" width="2.625" style="114" customWidth="1"/>
    <col min="76" max="77" width="0.875" style="70" customWidth="1"/>
    <col min="78" max="78" width="3.625" style="115" customWidth="1"/>
    <col min="79" max="80" width="1.625" style="70" customWidth="1"/>
    <col min="81" max="81" width="16.625" style="70" customWidth="1"/>
    <col min="82" max="82" width="1.625" style="70" customWidth="1"/>
    <col min="83" max="83" width="2.625" style="114" customWidth="1"/>
    <col min="84" max="85" width="0.875" style="70" customWidth="1"/>
    <col min="86" max="86" width="3.625" style="115" customWidth="1"/>
    <col min="87" max="88" width="1.625" style="70" customWidth="1"/>
    <col min="89" max="89" width="16.625" style="70" customWidth="1"/>
    <col min="90" max="90" width="1.625" style="70" customWidth="1"/>
    <col min="91" max="91" width="2.625" style="114" customWidth="1"/>
    <col min="92" max="93" width="0.875" style="70" customWidth="1"/>
    <col min="94" max="94" width="3.625" style="115" customWidth="1"/>
    <col min="95" max="95" width="1.625" style="115" customWidth="1"/>
    <col min="96" max="97" width="3.625" style="115" customWidth="1"/>
    <col min="98" max="98" width="3.625" style="115" hidden="1" customWidth="1"/>
    <col min="99" max="16384" width="9" style="21" hidden="1"/>
  </cols>
  <sheetData>
    <row r="1" spans="1:151" s="70" customFormat="1" ht="50.1" customHeight="1" x14ac:dyDescent="0.2">
      <c r="F1" s="15"/>
      <c r="J1" s="13"/>
      <c r="T1" s="115"/>
    </row>
    <row r="2" spans="1:151" s="70" customFormat="1" ht="12" customHeight="1" x14ac:dyDescent="0.2">
      <c r="C2" s="920"/>
      <c r="D2" s="78"/>
      <c r="E2" s="1872"/>
      <c r="F2" s="921"/>
      <c r="G2" s="1873"/>
      <c r="H2" s="1873"/>
      <c r="I2" s="1873"/>
      <c r="J2" s="1875"/>
      <c r="K2" s="1874"/>
      <c r="L2" s="1875"/>
      <c r="M2" s="1875"/>
      <c r="N2" s="1875"/>
      <c r="O2" s="1875"/>
      <c r="P2" s="1875"/>
      <c r="Q2" s="1875"/>
      <c r="R2" s="1875"/>
      <c r="S2" s="1875"/>
      <c r="T2" s="1875"/>
      <c r="U2" s="1875"/>
    </row>
    <row r="3" spans="1:151" s="70" customFormat="1" ht="5.0999999999999996" customHeight="1" x14ac:dyDescent="0.2">
      <c r="C3" s="16"/>
      <c r="D3" s="78"/>
      <c r="E3" s="20"/>
      <c r="F3" s="17"/>
      <c r="G3" s="136"/>
      <c r="H3" s="136"/>
      <c r="I3" s="136"/>
      <c r="J3" s="36"/>
      <c r="K3" s="572"/>
      <c r="L3" s="36"/>
      <c r="M3" s="36"/>
      <c r="N3" s="36"/>
      <c r="O3" s="36"/>
      <c r="P3" s="36"/>
      <c r="Q3" s="36"/>
      <c r="R3" s="36"/>
      <c r="S3" s="36"/>
      <c r="T3" s="36"/>
      <c r="U3" s="36"/>
    </row>
    <row r="4" spans="1:151" s="70" customFormat="1" ht="5.0999999999999996" customHeight="1" x14ac:dyDescent="0.2">
      <c r="C4" s="920"/>
      <c r="D4" s="78"/>
      <c r="E4" s="1872"/>
      <c r="F4" s="921"/>
      <c r="G4" s="1873"/>
      <c r="H4" s="1873"/>
      <c r="I4" s="1873"/>
      <c r="J4" s="1875"/>
      <c r="K4" s="1874"/>
      <c r="L4" s="1875"/>
      <c r="M4" s="1875"/>
      <c r="N4" s="1875"/>
      <c r="O4" s="1875"/>
      <c r="P4" s="1875"/>
      <c r="Q4" s="1875"/>
      <c r="R4" s="1875"/>
      <c r="S4" s="1875"/>
      <c r="T4" s="1875"/>
      <c r="U4" s="1875"/>
    </row>
    <row r="5" spans="1:151" ht="30" customHeight="1" thickBot="1" x14ac:dyDescent="0.25">
      <c r="A5" s="20"/>
      <c r="B5" s="20"/>
      <c r="C5" s="13"/>
      <c r="D5" s="13"/>
      <c r="E5" s="14"/>
      <c r="G5" s="21"/>
      <c r="H5" s="21"/>
      <c r="I5" s="21"/>
      <c r="J5" s="16"/>
      <c r="K5" s="16"/>
      <c r="L5" s="16"/>
      <c r="M5" s="16"/>
      <c r="AA5" s="70"/>
      <c r="AD5" s="70"/>
      <c r="AI5" s="70"/>
      <c r="AL5" s="70"/>
      <c r="AQ5" s="70"/>
      <c r="AY5" s="70"/>
      <c r="BB5" s="70"/>
      <c r="BG5" s="70"/>
      <c r="BJ5" s="70"/>
      <c r="BO5" s="70"/>
      <c r="BW5" s="70"/>
      <c r="BZ5" s="70"/>
      <c r="CE5" s="70"/>
      <c r="CH5" s="70"/>
      <c r="CM5" s="70"/>
      <c r="CP5" s="70"/>
      <c r="CQ5" s="70"/>
      <c r="CR5" s="70"/>
      <c r="CS5" s="70"/>
      <c r="CT5" s="70"/>
      <c r="DJ5" s="13"/>
      <c r="DK5" s="50"/>
      <c r="DL5" s="90"/>
      <c r="DM5" s="13"/>
    </row>
    <row r="6" spans="1:151" ht="15" customHeight="1" thickBot="1" x14ac:dyDescent="0.25">
      <c r="A6" s="20"/>
      <c r="B6" s="20"/>
      <c r="C6" s="1107"/>
      <c r="D6" s="13"/>
      <c r="E6" s="681"/>
      <c r="F6" s="1988"/>
      <c r="G6" s="626"/>
      <c r="H6" s="626"/>
      <c r="I6" s="626"/>
      <c r="J6" s="5450"/>
      <c r="K6" s="626"/>
      <c r="L6" s="626"/>
      <c r="M6" s="626"/>
      <c r="N6" s="626"/>
      <c r="O6" s="626"/>
      <c r="P6" s="626"/>
      <c r="Q6" s="626"/>
      <c r="R6" s="626"/>
      <c r="S6" s="626"/>
      <c r="T6" s="626"/>
      <c r="U6" s="682"/>
      <c r="AA6" s="70"/>
      <c r="AD6" s="70"/>
      <c r="AI6" s="70"/>
      <c r="AL6" s="70"/>
      <c r="AQ6" s="70"/>
      <c r="AY6" s="70"/>
      <c r="BB6" s="70"/>
      <c r="BG6" s="70"/>
      <c r="BJ6" s="70"/>
      <c r="BO6" s="70"/>
      <c r="BW6" s="70"/>
      <c r="BZ6" s="70"/>
      <c r="CE6" s="70"/>
      <c r="CH6" s="70"/>
      <c r="CM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row>
    <row r="7" spans="1:151" ht="8.1" customHeight="1" thickBot="1" x14ac:dyDescent="0.25">
      <c r="A7" s="20"/>
      <c r="B7" s="20"/>
      <c r="C7" s="13"/>
      <c r="D7" s="13"/>
      <c r="E7" s="14"/>
      <c r="G7" s="21"/>
      <c r="H7" s="21"/>
      <c r="I7" s="21"/>
      <c r="J7" s="1963"/>
      <c r="K7" s="50"/>
      <c r="L7" s="15"/>
      <c r="M7" s="15"/>
      <c r="N7" s="17"/>
      <c r="O7" s="17"/>
      <c r="P7" s="17"/>
      <c r="Q7" s="17"/>
      <c r="R7" s="17"/>
      <c r="S7" s="17"/>
      <c r="T7" s="17"/>
      <c r="U7" s="17"/>
      <c r="AA7" s="70"/>
      <c r="AD7" s="70"/>
      <c r="AI7" s="70"/>
      <c r="AL7" s="70"/>
      <c r="AQ7" s="70"/>
      <c r="AY7" s="70"/>
      <c r="BB7" s="70"/>
      <c r="BG7" s="70"/>
      <c r="BJ7" s="70"/>
      <c r="BO7" s="70"/>
      <c r="BW7" s="70"/>
      <c r="BZ7" s="70"/>
      <c r="CE7" s="70"/>
      <c r="CH7" s="70"/>
      <c r="CM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row>
    <row r="8" spans="1:151" ht="9.9499999999999993" customHeight="1" x14ac:dyDescent="0.2">
      <c r="A8" s="20"/>
      <c r="B8" s="20"/>
      <c r="C8" s="5446"/>
      <c r="D8" s="20"/>
      <c r="E8" s="553"/>
      <c r="F8" s="606"/>
      <c r="G8" s="554"/>
      <c r="H8" s="554"/>
      <c r="I8" s="554"/>
      <c r="J8" s="555"/>
      <c r="K8" s="555"/>
      <c r="L8" s="555"/>
      <c r="M8" s="555"/>
      <c r="N8" s="555"/>
      <c r="O8" s="555"/>
      <c r="P8" s="555"/>
      <c r="Q8" s="555"/>
      <c r="R8" s="555"/>
      <c r="S8" s="555"/>
      <c r="T8" s="555"/>
      <c r="U8" s="958"/>
      <c r="AA8" s="70"/>
      <c r="AD8" s="70"/>
      <c r="AI8" s="70"/>
      <c r="AL8" s="70"/>
      <c r="AQ8" s="70"/>
      <c r="AY8" s="70"/>
      <c r="BB8" s="70"/>
      <c r="BG8" s="70"/>
      <c r="BJ8" s="70"/>
      <c r="BO8" s="70"/>
      <c r="BW8" s="70"/>
      <c r="BZ8" s="70"/>
      <c r="CE8" s="70"/>
      <c r="CH8" s="70"/>
      <c r="CM8" s="70"/>
      <c r="CP8" s="70"/>
      <c r="CQ8" s="70"/>
      <c r="CR8" s="70"/>
      <c r="CS8" s="70"/>
      <c r="CT8" s="70"/>
    </row>
    <row r="9" spans="1:151" ht="39.950000000000003" customHeight="1" x14ac:dyDescent="0.2">
      <c r="A9" s="20"/>
      <c r="B9" s="20"/>
      <c r="C9" s="5447"/>
      <c r="D9" s="20"/>
      <c r="E9" s="561"/>
      <c r="F9" s="5449" t="s">
        <v>771</v>
      </c>
      <c r="G9" s="1844"/>
      <c r="H9" s="1844"/>
      <c r="I9" s="1645"/>
      <c r="J9" s="107"/>
      <c r="K9" s="107"/>
      <c r="L9" s="107"/>
      <c r="M9" s="107"/>
      <c r="N9" s="107"/>
      <c r="O9" s="107"/>
      <c r="P9" s="107"/>
      <c r="Q9" s="107"/>
      <c r="R9" s="107"/>
      <c r="S9" s="107"/>
      <c r="T9" s="107"/>
      <c r="U9" s="959"/>
      <c r="AA9" s="70"/>
      <c r="AD9" s="70"/>
      <c r="AI9" s="70"/>
      <c r="AL9" s="70"/>
      <c r="AQ9" s="70"/>
      <c r="AY9" s="70"/>
      <c r="BB9" s="70"/>
      <c r="BG9" s="70"/>
      <c r="BJ9" s="70"/>
      <c r="BO9" s="70"/>
      <c r="BW9" s="70"/>
      <c r="BZ9" s="70"/>
      <c r="CE9" s="70"/>
      <c r="CH9" s="70"/>
      <c r="CM9" s="70"/>
      <c r="CP9" s="70"/>
      <c r="CQ9" s="70"/>
      <c r="CR9" s="70"/>
      <c r="CS9" s="70"/>
      <c r="CT9" s="70"/>
    </row>
    <row r="10" spans="1:151" ht="9.9499999999999993" customHeight="1" thickBot="1" x14ac:dyDescent="0.25">
      <c r="A10" s="20"/>
      <c r="B10" s="20"/>
      <c r="C10" s="5447"/>
      <c r="D10" s="20"/>
      <c r="E10" s="561"/>
      <c r="F10" s="5449"/>
      <c r="G10" s="1844"/>
      <c r="H10" s="1844"/>
      <c r="I10" s="1645"/>
      <c r="J10" s="107"/>
      <c r="K10" s="107"/>
      <c r="L10" s="107"/>
      <c r="M10" s="107"/>
      <c r="N10" s="107"/>
      <c r="O10" s="107"/>
      <c r="P10" s="107"/>
      <c r="Q10" s="107"/>
      <c r="R10" s="107"/>
      <c r="S10" s="107"/>
      <c r="T10" s="107"/>
      <c r="U10" s="959"/>
      <c r="AA10" s="70"/>
      <c r="AD10" s="70"/>
      <c r="AI10" s="70"/>
      <c r="AL10" s="70"/>
      <c r="AQ10" s="70"/>
      <c r="AY10" s="70"/>
      <c r="BB10" s="70"/>
      <c r="BG10" s="70"/>
      <c r="BJ10" s="70"/>
      <c r="BO10" s="70"/>
      <c r="BW10" s="70"/>
      <c r="BZ10" s="70"/>
      <c r="CE10" s="70"/>
      <c r="CH10" s="70"/>
      <c r="CM10" s="70"/>
      <c r="CP10" s="70"/>
      <c r="CQ10" s="70"/>
      <c r="CR10" s="70"/>
      <c r="CS10" s="70"/>
      <c r="CT10" s="70"/>
    </row>
    <row r="11" spans="1:151" ht="39.950000000000003" customHeight="1" thickBot="1" x14ac:dyDescent="0.25">
      <c r="A11" s="20"/>
      <c r="B11" s="20"/>
      <c r="C11" s="1355"/>
      <c r="D11" s="13"/>
      <c r="E11" s="561"/>
      <c r="F11" s="6559" t="s">
        <v>826</v>
      </c>
      <c r="G11" s="6560"/>
      <c r="H11" s="2318"/>
      <c r="I11" s="2318"/>
      <c r="J11" s="2318"/>
      <c r="K11" s="2318"/>
      <c r="L11" s="2318"/>
      <c r="M11" s="2318"/>
      <c r="N11" s="2318"/>
      <c r="O11" s="2318"/>
      <c r="P11" s="2318"/>
      <c r="Q11" s="2318"/>
      <c r="R11" s="2318"/>
      <c r="S11" s="1457"/>
      <c r="T11" s="1457"/>
      <c r="U11" s="1646"/>
      <c r="AA11" s="70"/>
      <c r="AD11" s="70"/>
      <c r="AI11" s="70"/>
      <c r="AL11" s="70"/>
      <c r="AQ11" s="70"/>
      <c r="AY11" s="70"/>
      <c r="BB11" s="70"/>
      <c r="BG11" s="70"/>
      <c r="BJ11" s="70"/>
      <c r="BO11" s="70"/>
      <c r="BW11" s="70"/>
      <c r="BZ11" s="70"/>
      <c r="CE11" s="70"/>
      <c r="CH11" s="70"/>
      <c r="CM11" s="70"/>
      <c r="CP11" s="70"/>
      <c r="CQ11" s="70"/>
      <c r="CR11" s="70"/>
      <c r="CS11" s="70"/>
      <c r="CT11" s="70"/>
    </row>
    <row r="12" spans="1:151" ht="15" customHeight="1" thickBot="1" x14ac:dyDescent="0.25">
      <c r="A12" s="20"/>
      <c r="B12" s="20"/>
      <c r="C12" s="1358"/>
      <c r="D12" s="13"/>
      <c r="E12" s="563"/>
      <c r="F12" s="1552"/>
      <c r="G12" s="564"/>
      <c r="H12" s="564"/>
      <c r="I12" s="564"/>
      <c r="J12" s="565"/>
      <c r="K12" s="565"/>
      <c r="L12" s="565"/>
      <c r="M12" s="565"/>
      <c r="N12" s="565"/>
      <c r="O12" s="565"/>
      <c r="P12" s="565"/>
      <c r="Q12" s="565"/>
      <c r="R12" s="565"/>
      <c r="S12" s="565"/>
      <c r="T12" s="565"/>
      <c r="U12" s="961"/>
      <c r="AA12" s="70"/>
      <c r="AD12" s="70"/>
      <c r="AI12" s="70"/>
      <c r="AL12" s="70"/>
      <c r="AQ12" s="70"/>
      <c r="AY12" s="70"/>
      <c r="BB12" s="70"/>
      <c r="BG12" s="70"/>
      <c r="BJ12" s="70"/>
      <c r="BO12" s="70"/>
      <c r="BW12" s="70"/>
      <c r="BZ12" s="70"/>
      <c r="CE12" s="70"/>
      <c r="CH12" s="70"/>
      <c r="CM12" s="70"/>
      <c r="CP12" s="70"/>
      <c r="CQ12" s="70"/>
      <c r="CR12" s="70"/>
      <c r="CS12" s="70"/>
      <c r="CT12" s="70"/>
      <c r="CU12" s="16"/>
      <c r="CV12" s="16"/>
      <c r="CW12" s="22"/>
      <c r="CX12" s="16"/>
      <c r="CY12" s="19"/>
      <c r="CZ12" s="19"/>
      <c r="DA12" s="50"/>
      <c r="DC12" s="138"/>
      <c r="DH12" s="14"/>
      <c r="EL12" s="70"/>
      <c r="EM12" s="70"/>
      <c r="EN12" s="70"/>
      <c r="EO12" s="70"/>
      <c r="EP12" s="70"/>
      <c r="EQ12" s="70"/>
      <c r="ER12" s="70"/>
      <c r="ES12" s="70"/>
      <c r="ET12" s="70"/>
      <c r="EU12" s="70"/>
    </row>
    <row r="13" spans="1:151" ht="24.95" customHeight="1" thickBot="1" x14ac:dyDescent="0.25">
      <c r="A13" s="20"/>
      <c r="B13" s="20"/>
      <c r="C13" s="13"/>
      <c r="D13" s="20"/>
      <c r="E13" s="14"/>
      <c r="G13" s="21"/>
      <c r="H13" s="21"/>
      <c r="I13" s="21"/>
      <c r="J13" s="16"/>
      <c r="K13" s="16"/>
      <c r="L13" s="16"/>
      <c r="M13" s="16"/>
      <c r="N13" s="16"/>
      <c r="O13" s="15"/>
      <c r="P13" s="16"/>
      <c r="Q13" s="21"/>
      <c r="R13" s="21"/>
      <c r="S13" s="21"/>
      <c r="T13" s="15"/>
      <c r="U13" s="191"/>
      <c r="V13" s="21"/>
      <c r="W13" s="21"/>
      <c r="X13" s="16"/>
      <c r="Y13" s="16"/>
      <c r="Z13" s="22"/>
      <c r="AA13" s="22"/>
      <c r="AB13" s="19"/>
      <c r="AC13" s="19"/>
      <c r="AD13" s="22"/>
      <c r="AE13" s="21"/>
      <c r="AF13" s="16"/>
      <c r="AG13" s="16"/>
      <c r="AH13" s="22"/>
      <c r="AI13" s="22"/>
      <c r="AJ13" s="19"/>
      <c r="AK13" s="19"/>
      <c r="AL13" s="22"/>
      <c r="AM13" s="21"/>
      <c r="AN13" s="16"/>
      <c r="AO13" s="16"/>
      <c r="AP13" s="22"/>
      <c r="AQ13" s="22"/>
      <c r="AR13" s="19"/>
      <c r="AS13" s="19"/>
      <c r="AT13" s="21"/>
      <c r="AU13" s="21"/>
      <c r="AV13" s="16"/>
      <c r="AW13" s="16"/>
      <c r="AX13" s="22"/>
      <c r="AY13" s="22"/>
      <c r="AZ13" s="19"/>
      <c r="BA13" s="19"/>
      <c r="BB13" s="22"/>
      <c r="BC13" s="21"/>
      <c r="BD13" s="16"/>
      <c r="BE13" s="16"/>
      <c r="BF13" s="22"/>
      <c r="BG13" s="22"/>
      <c r="BH13" s="19"/>
      <c r="BI13" s="19"/>
      <c r="BJ13" s="22"/>
      <c r="BK13" s="21"/>
      <c r="BL13" s="16"/>
      <c r="BM13" s="16"/>
      <c r="BN13" s="22"/>
      <c r="BO13" s="22"/>
      <c r="BP13" s="19"/>
      <c r="BQ13" s="19"/>
      <c r="BR13" s="21"/>
      <c r="BS13" s="21"/>
      <c r="BT13" s="16"/>
      <c r="BU13" s="16"/>
      <c r="BV13" s="22"/>
      <c r="BW13" s="22"/>
      <c r="BX13" s="19"/>
      <c r="BY13" s="19"/>
      <c r="BZ13" s="22"/>
      <c r="CA13" s="21"/>
      <c r="CB13" s="16"/>
      <c r="CC13" s="16"/>
      <c r="CD13" s="22"/>
      <c r="CE13" s="22"/>
      <c r="CF13" s="19"/>
      <c r="CG13" s="19"/>
      <c r="CH13" s="22"/>
      <c r="CI13" s="21"/>
      <c r="CJ13" s="16"/>
      <c r="CK13" s="16"/>
      <c r="CL13" s="22"/>
      <c r="CM13" s="22"/>
      <c r="CN13" s="19"/>
      <c r="CO13" s="19"/>
      <c r="CP13" s="22"/>
      <c r="CQ13" s="22"/>
      <c r="CR13" s="22"/>
      <c r="CS13" s="22"/>
      <c r="CT13" s="22"/>
    </row>
    <row r="14" spans="1:151" ht="39.950000000000003" customHeight="1" thickBot="1" x14ac:dyDescent="0.25">
      <c r="A14" s="25"/>
      <c r="B14" s="25"/>
      <c r="C14" s="1744"/>
      <c r="D14" s="25"/>
      <c r="E14" s="1745"/>
      <c r="F14" s="1746"/>
      <c r="G14" s="1746"/>
      <c r="H14" s="1746"/>
      <c r="I14" s="1746"/>
      <c r="J14" s="2062"/>
      <c r="K14" s="1746"/>
      <c r="L14" s="1746"/>
      <c r="M14" s="1771"/>
      <c r="N14" s="1749"/>
      <c r="O14" s="6567"/>
      <c r="P14" s="6568"/>
      <c r="Q14" s="6568"/>
      <c r="R14" s="6568"/>
      <c r="S14" s="6568"/>
      <c r="T14" s="6568"/>
      <c r="U14" s="6569"/>
      <c r="V14" s="21"/>
      <c r="W14" s="1747"/>
      <c r="X14" s="6633" t="str">
        <f>_Calcs!$NO$36</f>
        <v>Stuff 1-1</v>
      </c>
      <c r="Y14" s="6633"/>
      <c r="Z14" s="6633"/>
      <c r="AA14" s="6633"/>
      <c r="AB14" s="3925"/>
      <c r="AC14" s="1748"/>
      <c r="AD14" s="21"/>
      <c r="AE14" s="1747"/>
      <c r="AF14" s="6633" t="str">
        <f>_Calcs!$NP$36</f>
        <v/>
      </c>
      <c r="AG14" s="6633"/>
      <c r="AH14" s="6633"/>
      <c r="AI14" s="6633"/>
      <c r="AJ14" s="3925"/>
      <c r="AK14" s="1748"/>
      <c r="AL14" s="21"/>
      <c r="AM14" s="1747"/>
      <c r="AN14" s="6633" t="str">
        <f>_Calcs!$NQ$36</f>
        <v/>
      </c>
      <c r="AO14" s="6633"/>
      <c r="AP14" s="6633"/>
      <c r="AQ14" s="6633"/>
      <c r="AR14" s="3925"/>
      <c r="AS14" s="1748"/>
      <c r="AT14" s="21"/>
      <c r="AU14" s="1747"/>
      <c r="AV14" s="6633" t="str">
        <f>_Calcs!$NR$36</f>
        <v/>
      </c>
      <c r="AW14" s="6633"/>
      <c r="AX14" s="6633"/>
      <c r="AY14" s="6633"/>
      <c r="AZ14" s="3925"/>
      <c r="BA14" s="1748"/>
      <c r="BB14" s="21"/>
      <c r="BC14" s="1747"/>
      <c r="BD14" s="6633" t="str">
        <f>_Calcs!$NS$36</f>
        <v/>
      </c>
      <c r="BE14" s="6633"/>
      <c r="BF14" s="6633"/>
      <c r="BG14" s="6633"/>
      <c r="BH14" s="3925"/>
      <c r="BI14" s="1748"/>
      <c r="BJ14" s="21"/>
      <c r="BK14" s="1747"/>
      <c r="BL14" s="6633" t="str">
        <f>_Calcs!$NT$36</f>
        <v/>
      </c>
      <c r="BM14" s="6633"/>
      <c r="BN14" s="6633"/>
      <c r="BO14" s="6633"/>
      <c r="BP14" s="3925"/>
      <c r="BQ14" s="1748"/>
      <c r="BR14" s="21"/>
      <c r="BS14" s="1747"/>
      <c r="BT14" s="6633" t="str">
        <f>_Calcs!$NU$36</f>
        <v/>
      </c>
      <c r="BU14" s="6633"/>
      <c r="BV14" s="6633"/>
      <c r="BW14" s="6633"/>
      <c r="BX14" s="3925"/>
      <c r="BY14" s="1748"/>
      <c r="BZ14" s="21"/>
      <c r="CA14" s="1747"/>
      <c r="CB14" s="6633" t="str">
        <f>_Calcs!$NV$36</f>
        <v/>
      </c>
      <c r="CC14" s="6633"/>
      <c r="CD14" s="6633"/>
      <c r="CE14" s="6633"/>
      <c r="CF14" s="3925"/>
      <c r="CG14" s="1748"/>
      <c r="CH14" s="21"/>
      <c r="CI14" s="1747"/>
      <c r="CJ14" s="6633" t="str">
        <f>_Calcs!$NW$36</f>
        <v/>
      </c>
      <c r="CK14" s="6633"/>
      <c r="CL14" s="6633"/>
      <c r="CM14" s="6633"/>
      <c r="CN14" s="3925"/>
      <c r="CO14" s="1748"/>
      <c r="CP14" s="21"/>
      <c r="CQ14" s="83"/>
      <c r="CR14" s="21"/>
      <c r="CS14" s="21"/>
      <c r="CT14" s="21"/>
    </row>
    <row r="15" spans="1:151" ht="24.95" customHeight="1" thickBot="1" x14ac:dyDescent="0.25">
      <c r="A15" s="25"/>
      <c r="B15" s="25"/>
      <c r="C15" s="149"/>
      <c r="D15" s="20"/>
      <c r="E15" s="150"/>
      <c r="F15" s="150"/>
      <c r="G15" s="150"/>
      <c r="H15" s="150"/>
      <c r="I15" s="150"/>
      <c r="J15" s="152"/>
      <c r="K15" s="152"/>
      <c r="L15" s="150"/>
      <c r="M15" s="150"/>
      <c r="N15" s="150"/>
      <c r="O15" s="150"/>
      <c r="P15" s="150"/>
      <c r="Q15" s="150"/>
      <c r="R15" s="3775"/>
      <c r="S15" s="150"/>
      <c r="T15" s="150"/>
      <c r="U15" s="150"/>
      <c r="V15" s="150"/>
      <c r="W15" s="150"/>
      <c r="X15" s="150"/>
      <c r="Y15" s="150"/>
      <c r="Z15" s="150"/>
      <c r="AA15" s="151"/>
      <c r="AB15" s="152"/>
      <c r="AC15" s="152"/>
      <c r="AD15" s="150"/>
      <c r="AE15" s="150"/>
      <c r="AF15" s="150"/>
      <c r="AG15" s="150"/>
      <c r="AH15" s="150"/>
      <c r="AI15" s="151"/>
      <c r="AJ15" s="152"/>
      <c r="AK15" s="152"/>
      <c r="AL15" s="150"/>
      <c r="AM15" s="150"/>
      <c r="AN15" s="150"/>
      <c r="AO15" s="150"/>
      <c r="AP15" s="150"/>
      <c r="AQ15" s="151"/>
      <c r="AR15" s="152"/>
      <c r="AS15" s="152"/>
      <c r="AT15" s="150"/>
      <c r="AU15" s="150"/>
      <c r="AV15" s="150"/>
      <c r="AW15" s="150"/>
      <c r="AX15" s="150"/>
      <c r="AY15" s="151"/>
      <c r="AZ15" s="152"/>
      <c r="BA15" s="152"/>
      <c r="BB15" s="150"/>
      <c r="BC15" s="150"/>
      <c r="BD15" s="150"/>
      <c r="BE15" s="150"/>
      <c r="BF15" s="150"/>
      <c r="BG15" s="151"/>
      <c r="BH15" s="152"/>
      <c r="BI15" s="152"/>
      <c r="BJ15" s="150"/>
      <c r="BK15" s="150"/>
      <c r="BL15" s="150"/>
      <c r="BM15" s="150"/>
      <c r="BN15" s="150"/>
      <c r="BO15" s="151"/>
      <c r="BP15" s="152"/>
      <c r="BQ15" s="152"/>
      <c r="BR15" s="150"/>
      <c r="BS15" s="150"/>
      <c r="BT15" s="150"/>
      <c r="BU15" s="150"/>
      <c r="BV15" s="150"/>
      <c r="BW15" s="151"/>
      <c r="BX15" s="152"/>
      <c r="BY15" s="152"/>
      <c r="BZ15" s="150"/>
      <c r="CA15" s="150"/>
      <c r="CB15" s="150"/>
      <c r="CC15" s="150"/>
      <c r="CD15" s="150"/>
      <c r="CE15" s="151"/>
      <c r="CF15" s="152"/>
      <c r="CG15" s="152"/>
      <c r="CH15" s="150"/>
      <c r="CI15" s="150"/>
      <c r="CJ15" s="150"/>
      <c r="CK15" s="150"/>
      <c r="CL15" s="150"/>
      <c r="CM15" s="151"/>
      <c r="CN15" s="152"/>
      <c r="CO15" s="152"/>
      <c r="CP15" s="150"/>
      <c r="CQ15" s="152"/>
      <c r="CR15" s="150"/>
      <c r="CS15" s="150"/>
      <c r="CT15" s="150"/>
    </row>
    <row r="16" spans="1:151" ht="20.100000000000001" customHeight="1" x14ac:dyDescent="0.2">
      <c r="A16" s="25"/>
      <c r="B16" s="25"/>
      <c r="C16" s="1635"/>
      <c r="D16" s="20"/>
      <c r="E16" s="6637" t="str">
        <f>_Calcs!$K$75</f>
        <v>Framdriftsfaktor vekseldrift</v>
      </c>
      <c r="F16" s="6638"/>
      <c r="G16" s="6638"/>
      <c r="H16" s="6638"/>
      <c r="I16" s="6638"/>
      <c r="J16" s="6638"/>
      <c r="K16" s="6638"/>
      <c r="L16" s="6638"/>
      <c r="M16" s="6639"/>
      <c r="N16" s="129"/>
      <c r="O16" s="17"/>
      <c r="P16" s="17"/>
      <c r="Q16" s="17"/>
      <c r="R16" s="17"/>
      <c r="S16" s="17"/>
      <c r="T16" s="17"/>
      <c r="U16" s="17"/>
      <c r="V16" s="129"/>
      <c r="W16" s="945"/>
      <c r="X16" s="945"/>
      <c r="Y16" s="20"/>
      <c r="Z16" s="945"/>
      <c r="AA16" s="20"/>
      <c r="AB16" s="20"/>
      <c r="AC16" s="20"/>
      <c r="AD16" s="17"/>
      <c r="AE16" s="945"/>
      <c r="AF16" s="945"/>
      <c r="AG16" s="20"/>
      <c r="AH16" s="945"/>
      <c r="AI16" s="20"/>
      <c r="AJ16" s="20"/>
      <c r="AK16" s="20"/>
      <c r="AL16" s="17"/>
      <c r="AM16" s="945"/>
      <c r="AN16" s="945"/>
      <c r="AO16" s="20"/>
      <c r="AP16" s="945"/>
      <c r="AQ16" s="20"/>
      <c r="AR16" s="20"/>
      <c r="AS16" s="20"/>
      <c r="AT16" s="129"/>
      <c r="AU16" s="945"/>
      <c r="AV16" s="945"/>
      <c r="AW16" s="20"/>
      <c r="AX16" s="945"/>
      <c r="AY16" s="20"/>
      <c r="AZ16" s="20"/>
      <c r="BA16" s="20"/>
      <c r="BB16" s="17"/>
      <c r="BC16" s="945"/>
      <c r="BD16" s="945"/>
      <c r="BE16" s="20"/>
      <c r="BF16" s="945"/>
      <c r="BG16" s="20"/>
      <c r="BH16" s="20"/>
      <c r="BI16" s="20"/>
      <c r="BJ16" s="17"/>
      <c r="BK16" s="945"/>
      <c r="BL16" s="945"/>
      <c r="BM16" s="20"/>
      <c r="BN16" s="945"/>
      <c r="BO16" s="20"/>
      <c r="BP16" s="20"/>
      <c r="BQ16" s="20"/>
      <c r="BR16" s="129"/>
      <c r="BS16" s="945"/>
      <c r="BT16" s="945"/>
      <c r="BU16" s="20"/>
      <c r="BV16" s="945"/>
      <c r="BW16" s="20"/>
      <c r="BX16" s="20"/>
      <c r="BY16" s="20"/>
      <c r="BZ16" s="17"/>
      <c r="CA16" s="945"/>
      <c r="CB16" s="945"/>
      <c r="CC16" s="20"/>
      <c r="CD16" s="945"/>
      <c r="CE16" s="20"/>
      <c r="CF16" s="20"/>
      <c r="CG16" s="20"/>
      <c r="CH16" s="17"/>
      <c r="CI16" s="945"/>
      <c r="CJ16" s="945"/>
      <c r="CK16" s="20"/>
      <c r="CL16" s="945"/>
      <c r="CM16" s="20"/>
      <c r="CN16" s="20"/>
      <c r="CO16" s="20"/>
      <c r="CP16" s="17"/>
      <c r="CQ16" s="20"/>
      <c r="CR16" s="17"/>
      <c r="CS16" s="17"/>
      <c r="CT16" s="17"/>
    </row>
    <row r="17" spans="1:98" ht="20.100000000000001" customHeight="1" thickBot="1" x14ac:dyDescent="0.25">
      <c r="A17" s="25"/>
      <c r="B17" s="25"/>
      <c r="C17" s="6643" t="s">
        <v>2755</v>
      </c>
      <c r="D17" s="20"/>
      <c r="E17" s="6640"/>
      <c r="F17" s="6641"/>
      <c r="G17" s="6641"/>
      <c r="H17" s="6641"/>
      <c r="I17" s="6641"/>
      <c r="J17" s="6641"/>
      <c r="K17" s="6641"/>
      <c r="L17" s="6641"/>
      <c r="M17" s="6642"/>
      <c r="N17" s="129"/>
      <c r="O17" s="17"/>
      <c r="P17" s="17"/>
      <c r="Q17" s="17"/>
      <c r="R17" s="17"/>
      <c r="S17" s="17"/>
      <c r="T17" s="17"/>
      <c r="U17" s="17"/>
      <c r="V17" s="129"/>
      <c r="W17" s="945"/>
      <c r="X17" s="945"/>
      <c r="Y17" s="20"/>
      <c r="Z17" s="945"/>
      <c r="AA17" s="20"/>
      <c r="AB17" s="20"/>
      <c r="AC17" s="20"/>
      <c r="AD17" s="17"/>
      <c r="AE17" s="945"/>
      <c r="AF17" s="945"/>
      <c r="AG17" s="20"/>
      <c r="AH17" s="945"/>
      <c r="AI17" s="20"/>
      <c r="AJ17" s="20"/>
      <c r="AK17" s="20"/>
      <c r="AL17" s="17"/>
      <c r="AM17" s="945"/>
      <c r="AN17" s="945"/>
      <c r="AO17" s="20"/>
      <c r="AP17" s="945"/>
      <c r="AQ17" s="20"/>
      <c r="AR17" s="20"/>
      <c r="AS17" s="20"/>
      <c r="AT17" s="129"/>
      <c r="AU17" s="945"/>
      <c r="AV17" s="945"/>
      <c r="AW17" s="20"/>
      <c r="AX17" s="945"/>
      <c r="AY17" s="20"/>
      <c r="AZ17" s="20"/>
      <c r="BA17" s="20"/>
      <c r="BB17" s="17"/>
      <c r="BC17" s="945"/>
      <c r="BD17" s="945"/>
      <c r="BE17" s="20"/>
      <c r="BF17" s="945"/>
      <c r="BG17" s="20"/>
      <c r="BH17" s="20"/>
      <c r="BI17" s="20"/>
      <c r="BJ17" s="17"/>
      <c r="BK17" s="945"/>
      <c r="BL17" s="945"/>
      <c r="BM17" s="20"/>
      <c r="BN17" s="945"/>
      <c r="BO17" s="20"/>
      <c r="BP17" s="20"/>
      <c r="BQ17" s="20"/>
      <c r="BR17" s="129"/>
      <c r="BS17" s="945"/>
      <c r="BT17" s="945"/>
      <c r="BU17" s="20"/>
      <c r="BV17" s="945"/>
      <c r="BW17" s="20"/>
      <c r="BX17" s="20"/>
      <c r="BY17" s="20"/>
      <c r="BZ17" s="17"/>
      <c r="CA17" s="945"/>
      <c r="CB17" s="945"/>
      <c r="CC17" s="20"/>
      <c r="CD17" s="945"/>
      <c r="CE17" s="20"/>
      <c r="CF17" s="20"/>
      <c r="CG17" s="20"/>
      <c r="CH17" s="17"/>
      <c r="CI17" s="945"/>
      <c r="CJ17" s="945"/>
      <c r="CK17" s="20"/>
      <c r="CL17" s="945"/>
      <c r="CM17" s="20"/>
      <c r="CN17" s="20"/>
      <c r="CO17" s="20"/>
      <c r="CP17" s="17"/>
      <c r="CQ17" s="20"/>
      <c r="CR17" s="17"/>
      <c r="CS17" s="17"/>
      <c r="CT17" s="17"/>
    </row>
    <row r="18" spans="1:98" ht="15" customHeight="1" thickBot="1" x14ac:dyDescent="0.25">
      <c r="A18" s="25"/>
      <c r="B18" s="25"/>
      <c r="C18" s="6643"/>
      <c r="D18" s="20"/>
      <c r="E18" s="20"/>
      <c r="F18" s="945"/>
      <c r="G18" s="945"/>
      <c r="H18" s="945"/>
      <c r="I18" s="945"/>
      <c r="J18" s="16"/>
      <c r="K18" s="20"/>
      <c r="L18" s="20"/>
      <c r="M18" s="20"/>
      <c r="N18" s="129"/>
      <c r="O18" s="17"/>
      <c r="P18" s="17"/>
      <c r="Q18" s="17"/>
      <c r="R18" s="17"/>
      <c r="S18" s="17"/>
      <c r="T18" s="17"/>
      <c r="U18" s="17"/>
      <c r="V18" s="129"/>
      <c r="W18" s="945"/>
      <c r="X18" s="945"/>
      <c r="Y18" s="20"/>
      <c r="Z18" s="945"/>
      <c r="AA18" s="20"/>
      <c r="AB18" s="20"/>
      <c r="AC18" s="20"/>
      <c r="AD18" s="17"/>
      <c r="AE18" s="945"/>
      <c r="AF18" s="945"/>
      <c r="AG18" s="20"/>
      <c r="AH18" s="945"/>
      <c r="AI18" s="20"/>
      <c r="AJ18" s="20"/>
      <c r="AK18" s="20"/>
      <c r="AL18" s="17"/>
      <c r="AM18" s="945"/>
      <c r="AN18" s="945"/>
      <c r="AO18" s="20"/>
      <c r="AP18" s="945"/>
      <c r="AQ18" s="20"/>
      <c r="AR18" s="20"/>
      <c r="AS18" s="20"/>
      <c r="AT18" s="129"/>
      <c r="AU18" s="945"/>
      <c r="AV18" s="945"/>
      <c r="AW18" s="20"/>
      <c r="AX18" s="945"/>
      <c r="AY18" s="20"/>
      <c r="AZ18" s="20"/>
      <c r="BA18" s="20"/>
      <c r="BB18" s="17"/>
      <c r="BC18" s="945"/>
      <c r="BD18" s="945"/>
      <c r="BE18" s="20"/>
      <c r="BF18" s="945"/>
      <c r="BG18" s="20"/>
      <c r="BH18" s="20"/>
      <c r="BI18" s="20"/>
      <c r="BJ18" s="17"/>
      <c r="BK18" s="945"/>
      <c r="BL18" s="945"/>
      <c r="BM18" s="20"/>
      <c r="BN18" s="945"/>
      <c r="BO18" s="20"/>
      <c r="BP18" s="20"/>
      <c r="BQ18" s="20"/>
      <c r="BR18" s="129"/>
      <c r="BS18" s="945"/>
      <c r="BT18" s="945"/>
      <c r="BU18" s="20"/>
      <c r="BV18" s="945"/>
      <c r="BW18" s="20"/>
      <c r="BX18" s="20"/>
      <c r="BY18" s="20"/>
      <c r="BZ18" s="17"/>
      <c r="CA18" s="945"/>
      <c r="CB18" s="945"/>
      <c r="CC18" s="20"/>
      <c r="CD18" s="945"/>
      <c r="CE18" s="20"/>
      <c r="CF18" s="20"/>
      <c r="CG18" s="20"/>
      <c r="CH18" s="17"/>
      <c r="CI18" s="945"/>
      <c r="CJ18" s="945"/>
      <c r="CK18" s="20"/>
      <c r="CL18" s="945"/>
      <c r="CM18" s="20"/>
      <c r="CN18" s="20"/>
      <c r="CO18" s="20"/>
      <c r="CP18" s="17"/>
      <c r="CQ18" s="20"/>
      <c r="CR18" s="17"/>
      <c r="CS18" s="17"/>
      <c r="CT18" s="17"/>
    </row>
    <row r="19" spans="1:98" ht="15" customHeight="1" thickBot="1" x14ac:dyDescent="0.25">
      <c r="A19" s="25"/>
      <c r="B19" s="25"/>
      <c r="C19" s="6643"/>
      <c r="D19" s="20"/>
      <c r="E19" s="6291"/>
      <c r="F19" s="6292"/>
      <c r="G19" s="6292"/>
      <c r="H19" s="6292"/>
      <c r="I19" s="6292"/>
      <c r="J19" s="6292"/>
      <c r="K19" s="6292"/>
      <c r="L19" s="6292"/>
      <c r="M19" s="6293"/>
      <c r="N19" s="129"/>
      <c r="O19" s="1720"/>
      <c r="P19" s="1721"/>
      <c r="Q19" s="1721"/>
      <c r="R19" s="1721"/>
      <c r="S19" s="1721"/>
      <c r="T19" s="1718"/>
      <c r="U19" s="5930"/>
      <c r="V19" s="129"/>
      <c r="W19" s="5893"/>
      <c r="X19" s="5894"/>
      <c r="Y19" s="854"/>
      <c r="Z19" s="5895"/>
      <c r="AA19" s="854"/>
      <c r="AB19" s="854"/>
      <c r="AC19" s="855"/>
      <c r="AD19" s="16"/>
      <c r="AE19" s="5893"/>
      <c r="AF19" s="5894"/>
      <c r="AG19" s="854"/>
      <c r="AH19" s="5895"/>
      <c r="AI19" s="854"/>
      <c r="AJ19" s="854"/>
      <c r="AK19" s="855"/>
      <c r="AL19" s="16"/>
      <c r="AM19" s="5893"/>
      <c r="AN19" s="5894"/>
      <c r="AO19" s="854"/>
      <c r="AP19" s="5895"/>
      <c r="AQ19" s="854"/>
      <c r="AR19" s="854"/>
      <c r="AS19" s="855"/>
      <c r="AT19" s="16"/>
      <c r="AU19" s="5893"/>
      <c r="AV19" s="5894"/>
      <c r="AW19" s="854"/>
      <c r="AX19" s="5895"/>
      <c r="AY19" s="854"/>
      <c r="AZ19" s="854"/>
      <c r="BA19" s="855"/>
      <c r="BB19" s="16"/>
      <c r="BC19" s="5893"/>
      <c r="BD19" s="5894"/>
      <c r="BE19" s="854"/>
      <c r="BF19" s="5895"/>
      <c r="BG19" s="854"/>
      <c r="BH19" s="854"/>
      <c r="BI19" s="855"/>
      <c r="BJ19" s="16"/>
      <c r="BK19" s="5893"/>
      <c r="BL19" s="5894"/>
      <c r="BM19" s="854"/>
      <c r="BN19" s="5895"/>
      <c r="BO19" s="854"/>
      <c r="BP19" s="854"/>
      <c r="BQ19" s="855"/>
      <c r="BR19" s="16"/>
      <c r="BS19" s="5893"/>
      <c r="BT19" s="5894"/>
      <c r="BU19" s="854"/>
      <c r="BV19" s="5895"/>
      <c r="BW19" s="854"/>
      <c r="BX19" s="854"/>
      <c r="BY19" s="855"/>
      <c r="BZ19" s="16"/>
      <c r="CA19" s="5893"/>
      <c r="CB19" s="5894"/>
      <c r="CC19" s="854"/>
      <c r="CD19" s="5895"/>
      <c r="CE19" s="854"/>
      <c r="CF19" s="854"/>
      <c r="CG19" s="855"/>
      <c r="CH19" s="16"/>
      <c r="CI19" s="5893"/>
      <c r="CJ19" s="5894"/>
      <c r="CK19" s="854"/>
      <c r="CL19" s="5895"/>
      <c r="CM19" s="854"/>
      <c r="CN19" s="854"/>
      <c r="CO19" s="855"/>
      <c r="CP19" s="17"/>
      <c r="CQ19" s="5917"/>
      <c r="CR19" s="17"/>
      <c r="CS19" s="17"/>
      <c r="CT19" s="17"/>
    </row>
    <row r="20" spans="1:98" ht="30" customHeight="1" thickBot="1" x14ac:dyDescent="0.25">
      <c r="A20" s="25"/>
      <c r="B20" s="25"/>
      <c r="C20" s="6643"/>
      <c r="D20" s="20"/>
      <c r="E20" s="6294"/>
      <c r="F20" s="6290"/>
      <c r="G20" s="6290"/>
      <c r="H20" s="6290"/>
      <c r="I20" s="6290"/>
      <c r="J20" s="6290"/>
      <c r="K20" s="6290"/>
      <c r="L20" s="6290"/>
      <c r="M20" s="6295"/>
      <c r="N20" s="129"/>
      <c r="O20" s="1723"/>
      <c r="P20" s="1724" t="str">
        <f>Tunneldrift!$M$150</f>
        <v>Driftsform</v>
      </c>
      <c r="Q20" s="1724"/>
      <c r="R20" s="1724"/>
      <c r="S20" s="1724"/>
      <c r="T20" s="5911"/>
      <c r="U20" s="5934"/>
      <c r="V20" s="129"/>
      <c r="W20" s="5896"/>
      <c r="X20" s="5890"/>
      <c r="Y20" s="5939" t="str">
        <f>INDEX(outputs_oppsum[kon_metod],MATCH(_Calcs!$NO$41,outputs_oppsum[stuff_id],0))</f>
        <v>Enstuffs drift</v>
      </c>
      <c r="Z20" s="5891"/>
      <c r="AA20" s="5912" t="str">
        <f>IF(_Calcs!$NO$314&gt;0,"!","✓")</f>
        <v>!</v>
      </c>
      <c r="AB20" s="82"/>
      <c r="AC20" s="857"/>
      <c r="AD20" s="16"/>
      <c r="AE20" s="5896"/>
      <c r="AF20" s="5890"/>
      <c r="AG20" s="5939" t="e">
        <f>INDEX(outputs_oppsum[kon_metod],MATCH(_Calcs!$NP$41,outputs_oppsum[stuff_id],0))</f>
        <v>#N/A</v>
      </c>
      <c r="AH20" s="5891"/>
      <c r="AI20" s="5912" t="e">
        <f>IF(_Calcs!$NP$314&gt;0,"!","✓")</f>
        <v>#N/A</v>
      </c>
      <c r="AJ20" s="82"/>
      <c r="AK20" s="857"/>
      <c r="AL20" s="16"/>
      <c r="AM20" s="5896"/>
      <c r="AN20" s="5890"/>
      <c r="AO20" s="5939" t="e">
        <f>INDEX(outputs_oppsum[kon_metod],MATCH(_Calcs!$NQ$41,outputs_oppsum[stuff_id],0))</f>
        <v>#N/A</v>
      </c>
      <c r="AP20" s="5891"/>
      <c r="AQ20" s="5912" t="e">
        <f>IF(_Calcs!$NQ$314&gt;0,"!","✓")</f>
        <v>#N/A</v>
      </c>
      <c r="AR20" s="82"/>
      <c r="AS20" s="857"/>
      <c r="AT20" s="16"/>
      <c r="AU20" s="5896"/>
      <c r="AV20" s="5890"/>
      <c r="AW20" s="5939" t="e">
        <f>INDEX(outputs_oppsum[kon_metod],MATCH(_Calcs!$NR$41,outputs_oppsum[stuff_id],0))</f>
        <v>#N/A</v>
      </c>
      <c r="AX20" s="5891"/>
      <c r="AY20" s="5912" t="e">
        <f>IF(_Calcs!$NR$314&gt;0,"!","✓")</f>
        <v>#N/A</v>
      </c>
      <c r="AZ20" s="82"/>
      <c r="BA20" s="857"/>
      <c r="BB20" s="16"/>
      <c r="BC20" s="5896"/>
      <c r="BD20" s="5890"/>
      <c r="BE20" s="5939" t="e">
        <f>INDEX(outputs_oppsum[kon_metod],MATCH(_Calcs!$NS$41,outputs_oppsum[stuff_id],0))</f>
        <v>#N/A</v>
      </c>
      <c r="BF20" s="5891"/>
      <c r="BG20" s="5912" t="e">
        <f>IF(_Calcs!$NS$314&gt;0,"!","✓")</f>
        <v>#N/A</v>
      </c>
      <c r="BH20" s="82"/>
      <c r="BI20" s="857"/>
      <c r="BJ20" s="16"/>
      <c r="BK20" s="5896"/>
      <c r="BL20" s="5890"/>
      <c r="BM20" s="5939" t="e">
        <f>INDEX(outputs_oppsum[kon_metod],MATCH(_Calcs!$NT$41,outputs_oppsum[stuff_id],0))</f>
        <v>#N/A</v>
      </c>
      <c r="BN20" s="5891"/>
      <c r="BO20" s="5912" t="e">
        <f>IF(_Calcs!$NT$314&gt;0,"!","✓")</f>
        <v>#N/A</v>
      </c>
      <c r="BP20" s="82"/>
      <c r="BQ20" s="857"/>
      <c r="BR20" s="16"/>
      <c r="BS20" s="5896"/>
      <c r="BT20" s="5890"/>
      <c r="BU20" s="5939" t="e">
        <f>INDEX(outputs_oppsum[kon_metod],MATCH(_Calcs!$NU$41,outputs_oppsum[stuff_id],0))</f>
        <v>#N/A</v>
      </c>
      <c r="BV20" s="5891"/>
      <c r="BW20" s="5912" t="e">
        <f>IF(_Calcs!$NU$314&gt;0,"!","✓")</f>
        <v>#N/A</v>
      </c>
      <c r="BX20" s="82"/>
      <c r="BY20" s="857"/>
      <c r="BZ20" s="16"/>
      <c r="CA20" s="5896"/>
      <c r="CB20" s="5890"/>
      <c r="CC20" s="5939" t="e">
        <f>INDEX(outputs_oppsum[kon_metod],MATCH(_Calcs!$NV$41,outputs_oppsum[stuff_id],0))</f>
        <v>#N/A</v>
      </c>
      <c r="CD20" s="5891"/>
      <c r="CE20" s="5912" t="e">
        <f>IF(_Calcs!$NV$314&gt;0,"!","✓")</f>
        <v>#N/A</v>
      </c>
      <c r="CF20" s="82"/>
      <c r="CG20" s="857"/>
      <c r="CH20" s="16"/>
      <c r="CI20" s="5896"/>
      <c r="CJ20" s="5890"/>
      <c r="CK20" s="5939" t="e">
        <f>INDEX(outputs_oppsum[kon_metod],MATCH(_Calcs!$NW$41,outputs_oppsum[stuff_id],0))</f>
        <v>#N/A</v>
      </c>
      <c r="CL20" s="5891"/>
      <c r="CM20" s="5912" t="e">
        <f>IF(_Calcs!$NW$314&gt;0,"!","✓")</f>
        <v>#N/A</v>
      </c>
      <c r="CN20" s="82"/>
      <c r="CO20" s="857"/>
      <c r="CP20" s="17"/>
      <c r="CQ20" s="5917"/>
      <c r="CR20" s="17"/>
      <c r="CS20" s="17"/>
      <c r="CT20" s="17"/>
    </row>
    <row r="21" spans="1:98" ht="15" customHeight="1" thickBot="1" x14ac:dyDescent="0.25">
      <c r="A21" s="25"/>
      <c r="B21" s="25"/>
      <c r="C21" s="3832"/>
      <c r="D21" s="20"/>
      <c r="E21" s="6288"/>
      <c r="F21" s="6287"/>
      <c r="G21" s="6287"/>
      <c r="H21" s="6287"/>
      <c r="I21" s="6287"/>
      <c r="J21" s="6287"/>
      <c r="K21" s="6287"/>
      <c r="L21" s="6287"/>
      <c r="M21" s="6289"/>
      <c r="N21" s="129"/>
      <c r="O21" s="1726"/>
      <c r="P21" s="1727"/>
      <c r="Q21" s="1727"/>
      <c r="R21" s="1727"/>
      <c r="S21" s="1727"/>
      <c r="T21" s="1728"/>
      <c r="U21" s="5937"/>
      <c r="V21" s="129"/>
      <c r="W21" s="5897"/>
      <c r="X21" s="5898"/>
      <c r="Y21" s="860"/>
      <c r="Z21" s="5913"/>
      <c r="AA21" s="860"/>
      <c r="AB21" s="860"/>
      <c r="AC21" s="861"/>
      <c r="AD21" s="16"/>
      <c r="AE21" s="5897"/>
      <c r="AF21" s="5898"/>
      <c r="AG21" s="860"/>
      <c r="AH21" s="5913"/>
      <c r="AI21" s="860"/>
      <c r="AJ21" s="860"/>
      <c r="AK21" s="861"/>
      <c r="AL21" s="16"/>
      <c r="AM21" s="5897"/>
      <c r="AN21" s="5898"/>
      <c r="AO21" s="860"/>
      <c r="AP21" s="5913"/>
      <c r="AQ21" s="860"/>
      <c r="AR21" s="860"/>
      <c r="AS21" s="861"/>
      <c r="AT21" s="16"/>
      <c r="AU21" s="5897"/>
      <c r="AV21" s="5898"/>
      <c r="AW21" s="860"/>
      <c r="AX21" s="5913"/>
      <c r="AY21" s="860"/>
      <c r="AZ21" s="860"/>
      <c r="BA21" s="861"/>
      <c r="BB21" s="16"/>
      <c r="BC21" s="5897"/>
      <c r="BD21" s="5898"/>
      <c r="BE21" s="860"/>
      <c r="BF21" s="5913"/>
      <c r="BG21" s="860"/>
      <c r="BH21" s="860"/>
      <c r="BI21" s="861"/>
      <c r="BJ21" s="16"/>
      <c r="BK21" s="5897"/>
      <c r="BL21" s="5898"/>
      <c r="BM21" s="860"/>
      <c r="BN21" s="5913"/>
      <c r="BO21" s="860"/>
      <c r="BP21" s="860"/>
      <c r="BQ21" s="861"/>
      <c r="BR21" s="16"/>
      <c r="BS21" s="5897"/>
      <c r="BT21" s="5898"/>
      <c r="BU21" s="860"/>
      <c r="BV21" s="5913"/>
      <c r="BW21" s="860"/>
      <c r="BX21" s="860"/>
      <c r="BY21" s="861"/>
      <c r="BZ21" s="16"/>
      <c r="CA21" s="5897"/>
      <c r="CB21" s="5898"/>
      <c r="CC21" s="860"/>
      <c r="CD21" s="5913"/>
      <c r="CE21" s="860"/>
      <c r="CF21" s="860"/>
      <c r="CG21" s="861"/>
      <c r="CH21" s="16"/>
      <c r="CI21" s="5897"/>
      <c r="CJ21" s="5898"/>
      <c r="CK21" s="860"/>
      <c r="CL21" s="5913"/>
      <c r="CM21" s="860"/>
      <c r="CN21" s="860"/>
      <c r="CO21" s="861"/>
      <c r="CP21" s="17"/>
      <c r="CQ21" s="5917"/>
      <c r="CR21" s="17"/>
      <c r="CS21" s="17"/>
      <c r="CT21" s="17"/>
    </row>
    <row r="22" spans="1:98" ht="8.1" customHeight="1" thickBot="1" x14ac:dyDescent="0.25">
      <c r="A22" s="25"/>
      <c r="B22" s="25"/>
      <c r="C22" s="3832"/>
      <c r="D22" s="20"/>
      <c r="E22" s="20"/>
      <c r="F22" s="945"/>
      <c r="G22" s="945"/>
      <c r="H22" s="945"/>
      <c r="I22" s="945"/>
      <c r="J22" s="16"/>
      <c r="K22" s="20"/>
      <c r="L22" s="20"/>
      <c r="M22" s="20"/>
      <c r="N22" s="129"/>
      <c r="O22" s="17"/>
      <c r="P22" s="17"/>
      <c r="Q22" s="17"/>
      <c r="R22" s="17"/>
      <c r="S22" s="17"/>
      <c r="T22" s="17"/>
      <c r="U22" s="17"/>
      <c r="V22" s="129"/>
      <c r="W22" s="945"/>
      <c r="X22" s="945"/>
      <c r="Y22" s="16"/>
      <c r="Z22" s="5889"/>
      <c r="AA22" s="16"/>
      <c r="AB22" s="16"/>
      <c r="AC22" s="16"/>
      <c r="AD22" s="16"/>
      <c r="AE22" s="945"/>
      <c r="AF22" s="945"/>
      <c r="AG22" s="16"/>
      <c r="AH22" s="5889"/>
      <c r="AI22" s="16"/>
      <c r="AJ22" s="16"/>
      <c r="AK22" s="16"/>
      <c r="AL22" s="16"/>
      <c r="AM22" s="945"/>
      <c r="AN22" s="945"/>
      <c r="AO22" s="16"/>
      <c r="AP22" s="5889"/>
      <c r="AQ22" s="16"/>
      <c r="AR22" s="16"/>
      <c r="AS22" s="16"/>
      <c r="AT22" s="16"/>
      <c r="AU22" s="945"/>
      <c r="AV22" s="945"/>
      <c r="AW22" s="16"/>
      <c r="AX22" s="5889"/>
      <c r="AY22" s="16"/>
      <c r="AZ22" s="16"/>
      <c r="BA22" s="16"/>
      <c r="BB22" s="16"/>
      <c r="BC22" s="945"/>
      <c r="BD22" s="945"/>
      <c r="BE22" s="16"/>
      <c r="BF22" s="5889"/>
      <c r="BG22" s="16"/>
      <c r="BH22" s="16"/>
      <c r="BI22" s="16"/>
      <c r="BJ22" s="16"/>
      <c r="BK22" s="945"/>
      <c r="BL22" s="945"/>
      <c r="BM22" s="16"/>
      <c r="BN22" s="5889"/>
      <c r="BO22" s="16"/>
      <c r="BP22" s="16"/>
      <c r="BQ22" s="16"/>
      <c r="BR22" s="16"/>
      <c r="BS22" s="945"/>
      <c r="BT22" s="945"/>
      <c r="BU22" s="16"/>
      <c r="BV22" s="5889"/>
      <c r="BW22" s="16"/>
      <c r="BX22" s="16"/>
      <c r="BY22" s="16"/>
      <c r="BZ22" s="16"/>
      <c r="CA22" s="945"/>
      <c r="CB22" s="945"/>
      <c r="CC22" s="16"/>
      <c r="CD22" s="5889"/>
      <c r="CE22" s="16"/>
      <c r="CF22" s="16"/>
      <c r="CG22" s="16"/>
      <c r="CH22" s="16"/>
      <c r="CI22" s="945"/>
      <c r="CJ22" s="945"/>
      <c r="CK22" s="16"/>
      <c r="CL22" s="5889"/>
      <c r="CM22" s="16"/>
      <c r="CN22" s="16"/>
      <c r="CO22" s="16"/>
      <c r="CP22" s="17"/>
      <c r="CQ22" s="20"/>
      <c r="CR22" s="17"/>
      <c r="CS22" s="17"/>
      <c r="CT22" s="17"/>
    </row>
    <row r="23" spans="1:98" ht="15" customHeight="1" thickBot="1" x14ac:dyDescent="0.25">
      <c r="A23" s="25"/>
      <c r="B23" s="25"/>
      <c r="C23" s="3832"/>
      <c r="D23" s="20"/>
      <c r="E23" s="3978"/>
      <c r="F23" s="3978"/>
      <c r="G23" s="3978"/>
      <c r="H23" s="3978"/>
      <c r="I23" s="3978"/>
      <c r="J23" s="3978"/>
      <c r="K23" s="3978"/>
      <c r="L23" s="3978"/>
      <c r="M23" s="3978"/>
      <c r="N23" s="129"/>
      <c r="O23" s="5929"/>
      <c r="P23" s="1718"/>
      <c r="Q23" s="1718"/>
      <c r="R23" s="1718"/>
      <c r="S23" s="1718"/>
      <c r="T23" s="1718"/>
      <c r="U23" s="5930"/>
      <c r="V23" s="129"/>
      <c r="W23" s="5893"/>
      <c r="X23" s="5894"/>
      <c r="Y23" s="854"/>
      <c r="Z23" s="5895"/>
      <c r="AA23" s="854"/>
      <c r="AB23" s="854"/>
      <c r="AC23" s="855"/>
      <c r="AD23" s="16"/>
      <c r="AE23" s="5893"/>
      <c r="AF23" s="5894"/>
      <c r="AG23" s="854"/>
      <c r="AH23" s="5895"/>
      <c r="AI23" s="854"/>
      <c r="AJ23" s="854"/>
      <c r="AK23" s="855"/>
      <c r="AL23" s="16"/>
      <c r="AM23" s="5893"/>
      <c r="AN23" s="5894"/>
      <c r="AO23" s="854"/>
      <c r="AP23" s="5895"/>
      <c r="AQ23" s="854"/>
      <c r="AR23" s="854"/>
      <c r="AS23" s="855"/>
      <c r="AT23" s="16"/>
      <c r="AU23" s="5893"/>
      <c r="AV23" s="5894"/>
      <c r="AW23" s="854"/>
      <c r="AX23" s="5895"/>
      <c r="AY23" s="854"/>
      <c r="AZ23" s="854"/>
      <c r="BA23" s="855"/>
      <c r="BB23" s="16"/>
      <c r="BC23" s="5893"/>
      <c r="BD23" s="5894"/>
      <c r="BE23" s="854"/>
      <c r="BF23" s="5895"/>
      <c r="BG23" s="854"/>
      <c r="BH23" s="854"/>
      <c r="BI23" s="855"/>
      <c r="BJ23" s="16"/>
      <c r="BK23" s="5893"/>
      <c r="BL23" s="5894"/>
      <c r="BM23" s="854"/>
      <c r="BN23" s="5895"/>
      <c r="BO23" s="854"/>
      <c r="BP23" s="854"/>
      <c r="BQ23" s="855"/>
      <c r="BR23" s="16"/>
      <c r="BS23" s="5893"/>
      <c r="BT23" s="5894"/>
      <c r="BU23" s="854"/>
      <c r="BV23" s="5895"/>
      <c r="BW23" s="854"/>
      <c r="BX23" s="854"/>
      <c r="BY23" s="855"/>
      <c r="BZ23" s="16"/>
      <c r="CA23" s="5893"/>
      <c r="CB23" s="5894"/>
      <c r="CC23" s="854"/>
      <c r="CD23" s="5895"/>
      <c r="CE23" s="854"/>
      <c r="CF23" s="854"/>
      <c r="CG23" s="855"/>
      <c r="CH23" s="16"/>
      <c r="CI23" s="5893"/>
      <c r="CJ23" s="5894"/>
      <c r="CK23" s="854"/>
      <c r="CL23" s="5895"/>
      <c r="CM23" s="854"/>
      <c r="CN23" s="854"/>
      <c r="CO23" s="855"/>
      <c r="CP23" s="17"/>
      <c r="CQ23" s="5917"/>
      <c r="CR23" s="17"/>
      <c r="CS23" s="17"/>
      <c r="CT23" s="17"/>
    </row>
    <row r="24" spans="1:98" s="5176" customFormat="1" ht="12" hidden="1" customHeight="1" x14ac:dyDescent="0.2">
      <c r="A24" s="5901"/>
      <c r="B24" s="5901"/>
      <c r="C24" s="5945"/>
      <c r="D24" s="5903"/>
      <c r="E24" s="3978"/>
      <c r="F24" s="3979"/>
      <c r="G24" s="3978"/>
      <c r="H24" s="3978"/>
      <c r="I24" s="3978"/>
      <c r="J24" s="3980"/>
      <c r="K24" s="3978"/>
      <c r="L24" s="3978"/>
      <c r="M24" s="3978"/>
      <c r="N24" s="5904"/>
      <c r="O24" s="5931"/>
      <c r="Q24" s="5970"/>
      <c r="R24" s="5970"/>
      <c r="S24" s="5970"/>
      <c r="T24" s="5928"/>
      <c r="U24" s="5932"/>
      <c r="V24" s="5904"/>
      <c r="W24" s="5909"/>
      <c r="X24" s="5906"/>
      <c r="Y24" s="5920" t="str">
        <f>_Calcs!$K$22</f>
        <v>Beregnet</v>
      </c>
      <c r="Z24" s="5908"/>
      <c r="AA24" s="5907"/>
      <c r="AB24" s="5907"/>
      <c r="AC24" s="5910"/>
      <c r="AD24" s="5902"/>
      <c r="AE24" s="5909"/>
      <c r="AF24" s="5906"/>
      <c r="AG24" s="5920" t="str">
        <f>_Calcs!$K$22</f>
        <v>Beregnet</v>
      </c>
      <c r="AH24" s="5908"/>
      <c r="AI24" s="5907"/>
      <c r="AJ24" s="5907"/>
      <c r="AK24" s="5910"/>
      <c r="AL24" s="5902"/>
      <c r="AM24" s="5909"/>
      <c r="AN24" s="5906"/>
      <c r="AO24" s="5920" t="str">
        <f>_Calcs!$K$22</f>
        <v>Beregnet</v>
      </c>
      <c r="AP24" s="5908"/>
      <c r="AQ24" s="5907"/>
      <c r="AR24" s="5907"/>
      <c r="AS24" s="5910"/>
      <c r="AT24" s="5902"/>
      <c r="AU24" s="5909"/>
      <c r="AV24" s="5906"/>
      <c r="AW24" s="5920" t="str">
        <f>_Calcs!$K$22</f>
        <v>Beregnet</v>
      </c>
      <c r="AX24" s="5908"/>
      <c r="AY24" s="5907"/>
      <c r="AZ24" s="5907"/>
      <c r="BA24" s="5910"/>
      <c r="BB24" s="5902"/>
      <c r="BC24" s="5909"/>
      <c r="BD24" s="5906"/>
      <c r="BE24" s="5920" t="str">
        <f>_Calcs!$K$22</f>
        <v>Beregnet</v>
      </c>
      <c r="BF24" s="5908"/>
      <c r="BG24" s="5907"/>
      <c r="BH24" s="5907"/>
      <c r="BI24" s="5910"/>
      <c r="BJ24" s="5902"/>
      <c r="BK24" s="5909"/>
      <c r="BL24" s="5906"/>
      <c r="BM24" s="5920" t="str">
        <f>_Calcs!$K$22</f>
        <v>Beregnet</v>
      </c>
      <c r="BN24" s="5908"/>
      <c r="BO24" s="5907"/>
      <c r="BP24" s="5907"/>
      <c r="BQ24" s="5910"/>
      <c r="BR24" s="5902"/>
      <c r="BS24" s="5909"/>
      <c r="BT24" s="5906"/>
      <c r="BU24" s="5920" t="str">
        <f>_Calcs!$K$22</f>
        <v>Beregnet</v>
      </c>
      <c r="BV24" s="5908"/>
      <c r="BW24" s="5907"/>
      <c r="BX24" s="5907"/>
      <c r="BY24" s="5910"/>
      <c r="BZ24" s="5902"/>
      <c r="CA24" s="5909"/>
      <c r="CB24" s="5906"/>
      <c r="CC24" s="5920" t="str">
        <f>_Calcs!$K$22</f>
        <v>Beregnet</v>
      </c>
      <c r="CD24" s="5908"/>
      <c r="CE24" s="5907"/>
      <c r="CF24" s="5907"/>
      <c r="CG24" s="5910"/>
      <c r="CH24" s="5902"/>
      <c r="CI24" s="5909"/>
      <c r="CJ24" s="5906"/>
      <c r="CK24" s="5920" t="str">
        <f>_Calcs!$K$22</f>
        <v>Beregnet</v>
      </c>
      <c r="CL24" s="5908"/>
      <c r="CM24" s="5907"/>
      <c r="CN24" s="5907"/>
      <c r="CO24" s="5910"/>
      <c r="CP24" s="5905"/>
      <c r="CQ24" s="5941"/>
      <c r="CR24" s="5905"/>
      <c r="CS24" s="5905"/>
      <c r="CT24" s="5905"/>
    </row>
    <row r="25" spans="1:98" ht="5.0999999999999996" hidden="1" customHeight="1" thickBot="1" x14ac:dyDescent="0.25">
      <c r="A25" s="25"/>
      <c r="B25" s="25"/>
      <c r="C25" s="3832"/>
      <c r="D25" s="20"/>
      <c r="E25" s="3978"/>
      <c r="F25" s="3979"/>
      <c r="G25" s="3978"/>
      <c r="H25" s="3978"/>
      <c r="I25" s="3978"/>
      <c r="J25" s="3980"/>
      <c r="K25" s="3978"/>
      <c r="L25" s="3978"/>
      <c r="M25" s="3978"/>
      <c r="N25" s="129"/>
      <c r="O25" s="5933"/>
      <c r="P25" s="5970"/>
      <c r="Q25" s="5970"/>
      <c r="R25" s="5970"/>
      <c r="S25" s="5970"/>
      <c r="T25" s="5911"/>
      <c r="U25" s="5934"/>
      <c r="V25" s="129"/>
      <c r="W25" s="5896"/>
      <c r="X25" s="5890"/>
      <c r="Y25" s="82"/>
      <c r="Z25" s="5891"/>
      <c r="AA25" s="82"/>
      <c r="AB25" s="82"/>
      <c r="AC25" s="857"/>
      <c r="AD25" s="16"/>
      <c r="AE25" s="5896"/>
      <c r="AF25" s="5890"/>
      <c r="AG25" s="82"/>
      <c r="AH25" s="5891"/>
      <c r="AI25" s="82"/>
      <c r="AJ25" s="82"/>
      <c r="AK25" s="857"/>
      <c r="AL25" s="16"/>
      <c r="AM25" s="5896"/>
      <c r="AN25" s="5890"/>
      <c r="AO25" s="82"/>
      <c r="AP25" s="5891"/>
      <c r="AQ25" s="82"/>
      <c r="AR25" s="82"/>
      <c r="AS25" s="857"/>
      <c r="AT25" s="16"/>
      <c r="AU25" s="5896"/>
      <c r="AV25" s="5890"/>
      <c r="AW25" s="82"/>
      <c r="AX25" s="5891"/>
      <c r="AY25" s="82"/>
      <c r="AZ25" s="82"/>
      <c r="BA25" s="857"/>
      <c r="BB25" s="16"/>
      <c r="BC25" s="5896"/>
      <c r="BD25" s="5890"/>
      <c r="BE25" s="82"/>
      <c r="BF25" s="5891"/>
      <c r="BG25" s="82"/>
      <c r="BH25" s="82"/>
      <c r="BI25" s="857"/>
      <c r="BJ25" s="16"/>
      <c r="BK25" s="5896"/>
      <c r="BL25" s="5890"/>
      <c r="BM25" s="82"/>
      <c r="BN25" s="5891"/>
      <c r="BO25" s="82"/>
      <c r="BP25" s="82"/>
      <c r="BQ25" s="857"/>
      <c r="BR25" s="16"/>
      <c r="BS25" s="5896"/>
      <c r="BT25" s="5890"/>
      <c r="BU25" s="82"/>
      <c r="BV25" s="5891"/>
      <c r="BW25" s="82"/>
      <c r="BX25" s="82"/>
      <c r="BY25" s="857"/>
      <c r="BZ25" s="16"/>
      <c r="CA25" s="5896"/>
      <c r="CB25" s="5890"/>
      <c r="CC25" s="82"/>
      <c r="CD25" s="5891"/>
      <c r="CE25" s="82"/>
      <c r="CF25" s="82"/>
      <c r="CG25" s="857"/>
      <c r="CH25" s="16"/>
      <c r="CI25" s="5896"/>
      <c r="CJ25" s="5890"/>
      <c r="CK25" s="82"/>
      <c r="CL25" s="5891"/>
      <c r="CM25" s="82"/>
      <c r="CN25" s="82"/>
      <c r="CO25" s="857"/>
      <c r="CP25" s="17"/>
      <c r="CQ25" s="5917"/>
      <c r="CR25" s="17"/>
      <c r="CS25" s="17"/>
      <c r="CT25" s="17"/>
    </row>
    <row r="26" spans="1:98" ht="20.100000000000001" customHeight="1" thickBot="1" x14ac:dyDescent="0.25">
      <c r="A26" s="25"/>
      <c r="B26" s="25"/>
      <c r="C26" s="3832"/>
      <c r="D26" s="20"/>
      <c r="E26" s="3978"/>
      <c r="F26" s="3979"/>
      <c r="G26" s="3978"/>
      <c r="H26" s="3978"/>
      <c r="I26" s="3978"/>
      <c r="J26" s="3980"/>
      <c r="K26" s="3978"/>
      <c r="L26" s="3978"/>
      <c r="M26" s="3978"/>
      <c r="N26" s="129"/>
      <c r="O26" s="5933"/>
      <c r="P26" s="6644" t="s">
        <v>2693</v>
      </c>
      <c r="Q26" s="6644"/>
      <c r="R26" s="6644"/>
      <c r="S26" s="6644"/>
      <c r="T26" s="5911"/>
      <c r="U26" s="5934"/>
      <c r="V26" s="129"/>
      <c r="W26" s="5896"/>
      <c r="X26" s="5890"/>
      <c r="Y26" s="5919">
        <f>INDEX(outputs_oppsum[faktor_beregnet],MATCH(_Calcs!$NO$41,outputs_oppsum[stuff_id],0))</f>
        <v>1</v>
      </c>
      <c r="Z26" s="5891"/>
      <c r="AA26" s="5912" t="str">
        <f>IF(INDEX(outputs_framdriftsfaktor[Beregnet framdriftfaktor_check],MATCH(_Calcs!$NO$35,outputs_framdriftsfaktor[Position],0))&lt;&gt;0,"!","✓")</f>
        <v>!</v>
      </c>
      <c r="AB26" s="82"/>
      <c r="AC26" s="857"/>
      <c r="AD26" s="16"/>
      <c r="AE26" s="5896"/>
      <c r="AF26" s="5890"/>
      <c r="AG26" s="5919" t="e">
        <f>INDEX(outputs_oppsum[faktor_beregnet],MATCH(_Calcs!$NP$41,outputs_oppsum[stuff_id],0))</f>
        <v>#N/A</v>
      </c>
      <c r="AH26" s="5891"/>
      <c r="AI26" s="5912" t="e">
        <f>IF(INDEX(outputs_framdriftsfaktor[Beregnet framdriftfaktor_check],MATCH(_Calcs!$NP$35,outputs_framdriftsfaktor[Position],0))&lt;&gt;0,"!","✓")</f>
        <v>#N/A</v>
      </c>
      <c r="AJ26" s="82"/>
      <c r="AK26" s="857"/>
      <c r="AL26" s="16"/>
      <c r="AM26" s="5896"/>
      <c r="AN26" s="5890"/>
      <c r="AO26" s="5919" t="e">
        <f>INDEX(outputs_oppsum[faktor_beregnet],MATCH(_Calcs!$NQ$41,outputs_oppsum[stuff_id],0))</f>
        <v>#N/A</v>
      </c>
      <c r="AP26" s="5891"/>
      <c r="AQ26" s="5912" t="e">
        <f>IF(INDEX(outputs_framdriftsfaktor[Beregnet framdriftfaktor_check],MATCH(_Calcs!$NQ$35,outputs_framdriftsfaktor[Position],0))&lt;&gt;0,"!","✓")</f>
        <v>#N/A</v>
      </c>
      <c r="AR26" s="82"/>
      <c r="AS26" s="857"/>
      <c r="AT26" s="16"/>
      <c r="AU26" s="5896"/>
      <c r="AV26" s="5890"/>
      <c r="AW26" s="5919" t="e">
        <f>INDEX(outputs_oppsum[faktor_beregnet],MATCH(_Calcs!$NR$41,outputs_oppsum[stuff_id],0))</f>
        <v>#N/A</v>
      </c>
      <c r="AX26" s="5891"/>
      <c r="AY26" s="5912" t="e">
        <f>IF(INDEX(outputs_framdriftsfaktor[Beregnet framdriftfaktor_check],MATCH(_Calcs!$NR$35,outputs_framdriftsfaktor[Position],0))&lt;&gt;0,"!","✓")</f>
        <v>#N/A</v>
      </c>
      <c r="AZ26" s="82"/>
      <c r="BA26" s="857"/>
      <c r="BB26" s="16"/>
      <c r="BC26" s="5896"/>
      <c r="BD26" s="5890"/>
      <c r="BE26" s="5919" t="e">
        <f>INDEX(outputs_oppsum[faktor_beregnet],MATCH(_Calcs!$NS$41,outputs_oppsum[stuff_id],0))</f>
        <v>#N/A</v>
      </c>
      <c r="BF26" s="5891"/>
      <c r="BG26" s="5912" t="e">
        <f>IF(INDEX(outputs_framdriftsfaktor[Beregnet framdriftfaktor_check],MATCH(_Calcs!$NS$35,outputs_framdriftsfaktor[Position],0))&lt;&gt;0,"!","✓")</f>
        <v>#N/A</v>
      </c>
      <c r="BH26" s="82"/>
      <c r="BI26" s="857"/>
      <c r="BJ26" s="16"/>
      <c r="BK26" s="5896"/>
      <c r="BL26" s="5890"/>
      <c r="BM26" s="5919" t="e">
        <f>INDEX(outputs_oppsum[faktor_beregnet],MATCH(_Calcs!$NT$41,outputs_oppsum[stuff_id],0))</f>
        <v>#N/A</v>
      </c>
      <c r="BN26" s="5891"/>
      <c r="BO26" s="5912" t="e">
        <f>IF(INDEX(outputs_framdriftsfaktor[Beregnet framdriftfaktor_check],MATCH(_Calcs!$NT$35,outputs_framdriftsfaktor[Position],0))&lt;&gt;0,"!","✓")</f>
        <v>#N/A</v>
      </c>
      <c r="BP26" s="82"/>
      <c r="BQ26" s="857"/>
      <c r="BR26" s="16"/>
      <c r="BS26" s="5896"/>
      <c r="BT26" s="5890"/>
      <c r="BU26" s="5919" t="e">
        <f>INDEX(outputs_oppsum[faktor_beregnet],MATCH(_Calcs!$NU$41,outputs_oppsum[stuff_id],0))</f>
        <v>#N/A</v>
      </c>
      <c r="BV26" s="5891"/>
      <c r="BW26" s="5912" t="e">
        <f>IF(INDEX(outputs_framdriftsfaktor[Beregnet framdriftfaktor_check],MATCH(_Calcs!$NU$35,outputs_framdriftsfaktor[Position],0))&lt;&gt;0,"!","✓")</f>
        <v>#N/A</v>
      </c>
      <c r="BX26" s="82"/>
      <c r="BY26" s="857"/>
      <c r="BZ26" s="16"/>
      <c r="CA26" s="5896"/>
      <c r="CB26" s="5890"/>
      <c r="CC26" s="5919" t="e">
        <f>INDEX(outputs_oppsum[faktor_beregnet],MATCH(_Calcs!$NV$41,outputs_oppsum[stuff_id],0))</f>
        <v>#N/A</v>
      </c>
      <c r="CD26" s="5891"/>
      <c r="CE26" s="5912" t="e">
        <f>IF(INDEX(outputs_framdriftsfaktor[Beregnet framdriftfaktor_check],MATCH(_Calcs!$NV$35,outputs_framdriftsfaktor[Position],0))&lt;&gt;0,"!","✓")</f>
        <v>#N/A</v>
      </c>
      <c r="CF26" s="82"/>
      <c r="CG26" s="857"/>
      <c r="CH26" s="16"/>
      <c r="CI26" s="5896"/>
      <c r="CJ26" s="5890"/>
      <c r="CK26" s="5919" t="e">
        <f>INDEX(outputs_oppsum[faktor_beregnet],MATCH(_Calcs!$NW$41,outputs_oppsum[stuff_id],0))</f>
        <v>#N/A</v>
      </c>
      <c r="CL26" s="5891"/>
      <c r="CM26" s="5912" t="e">
        <f>IF(INDEX(outputs_framdriftsfaktor[Beregnet framdriftfaktor_check],MATCH(_Calcs!$NW$35,outputs_framdriftsfaktor[Position],0))&lt;&gt;0,"!","✓")</f>
        <v>#N/A</v>
      </c>
      <c r="CN26" s="82"/>
      <c r="CO26" s="857"/>
      <c r="CP26" s="17"/>
      <c r="CQ26" s="5917"/>
      <c r="CR26" s="17"/>
      <c r="CS26" s="17"/>
      <c r="CT26" s="17"/>
    </row>
    <row r="27" spans="1:98" ht="15" customHeight="1" thickBot="1" x14ac:dyDescent="0.25">
      <c r="A27" s="25"/>
      <c r="B27" s="25"/>
      <c r="C27" s="3832"/>
      <c r="D27" s="20"/>
      <c r="E27" s="3978"/>
      <c r="F27" s="3979"/>
      <c r="G27" s="3978"/>
      <c r="H27" s="3978"/>
      <c r="I27" s="3978"/>
      <c r="J27" s="3980"/>
      <c r="K27" s="3978"/>
      <c r="L27" s="3978"/>
      <c r="M27" s="3978"/>
      <c r="N27" s="129"/>
      <c r="O27" s="5933"/>
      <c r="P27" s="6196"/>
      <c r="Q27" s="6196"/>
      <c r="R27" s="6196"/>
      <c r="S27" s="6196"/>
      <c r="T27" s="5995"/>
      <c r="U27" s="5934"/>
      <c r="V27" s="129"/>
      <c r="W27" s="5896"/>
      <c r="X27" s="5890"/>
      <c r="Y27" s="82"/>
      <c r="Z27" s="5891"/>
      <c r="AA27" s="82"/>
      <c r="AB27" s="82"/>
      <c r="AC27" s="857"/>
      <c r="AD27" s="16"/>
      <c r="AE27" s="5896"/>
      <c r="AF27" s="5890"/>
      <c r="AG27" s="82"/>
      <c r="AH27" s="5891"/>
      <c r="AI27" s="82"/>
      <c r="AJ27" s="82"/>
      <c r="AK27" s="857"/>
      <c r="AL27" s="16"/>
      <c r="AM27" s="5896"/>
      <c r="AN27" s="5890"/>
      <c r="AO27" s="82"/>
      <c r="AP27" s="5891"/>
      <c r="AQ27" s="82"/>
      <c r="AR27" s="82"/>
      <c r="AS27" s="857"/>
      <c r="AT27" s="16"/>
      <c r="AU27" s="5896"/>
      <c r="AV27" s="5890"/>
      <c r="AW27" s="82"/>
      <c r="AX27" s="5891"/>
      <c r="AY27" s="82"/>
      <c r="AZ27" s="82"/>
      <c r="BA27" s="857"/>
      <c r="BB27" s="16"/>
      <c r="BC27" s="5896"/>
      <c r="BD27" s="5890"/>
      <c r="BE27" s="82"/>
      <c r="BF27" s="5891"/>
      <c r="BG27" s="82"/>
      <c r="BH27" s="82"/>
      <c r="BI27" s="857"/>
      <c r="BJ27" s="16"/>
      <c r="BK27" s="5896"/>
      <c r="BL27" s="5890"/>
      <c r="BM27" s="82"/>
      <c r="BN27" s="5891"/>
      <c r="BO27" s="82"/>
      <c r="BP27" s="82"/>
      <c r="BQ27" s="857"/>
      <c r="BR27" s="16"/>
      <c r="BS27" s="5896"/>
      <c r="BT27" s="5890"/>
      <c r="BU27" s="82"/>
      <c r="BV27" s="5891"/>
      <c r="BW27" s="82"/>
      <c r="BX27" s="82"/>
      <c r="BY27" s="857"/>
      <c r="BZ27" s="16"/>
      <c r="CA27" s="5896"/>
      <c r="CB27" s="5890"/>
      <c r="CC27" s="82"/>
      <c r="CD27" s="5891"/>
      <c r="CE27" s="82"/>
      <c r="CF27" s="82"/>
      <c r="CG27" s="857"/>
      <c r="CH27" s="16"/>
      <c r="CI27" s="5896"/>
      <c r="CJ27" s="5890"/>
      <c r="CK27" s="82"/>
      <c r="CL27" s="5891"/>
      <c r="CM27" s="82"/>
      <c r="CN27" s="82"/>
      <c r="CO27" s="857"/>
      <c r="CP27" s="17"/>
      <c r="CQ27" s="5917"/>
      <c r="CR27" s="17"/>
      <c r="CS27" s="17"/>
      <c r="CT27" s="17"/>
    </row>
    <row r="28" spans="1:98" s="5176" customFormat="1" ht="12" hidden="1" customHeight="1" x14ac:dyDescent="0.2">
      <c r="A28" s="5901"/>
      <c r="B28" s="5901"/>
      <c r="C28" s="3832"/>
      <c r="D28" s="5903"/>
      <c r="E28" s="3978"/>
      <c r="F28" s="3979"/>
      <c r="G28" s="3978"/>
      <c r="H28" s="3978"/>
      <c r="I28" s="3978"/>
      <c r="J28" s="3980"/>
      <c r="K28" s="3978"/>
      <c r="L28" s="3978"/>
      <c r="M28" s="3978"/>
      <c r="N28" s="5904"/>
      <c r="O28" s="5931"/>
      <c r="P28" s="6070"/>
      <c r="Q28" s="5970"/>
      <c r="R28" s="5970"/>
      <c r="S28" s="5970"/>
      <c r="T28" s="5928"/>
      <c r="U28" s="5932"/>
      <c r="V28" s="5904"/>
      <c r="W28" s="5909"/>
      <c r="X28" s="5906"/>
      <c r="Y28" s="5907" t="s">
        <v>920</v>
      </c>
      <c r="Z28" s="5908"/>
      <c r="AA28" s="5907"/>
      <c r="AB28" s="5907"/>
      <c r="AC28" s="5910"/>
      <c r="AD28" s="5902"/>
      <c r="AE28" s="5909"/>
      <c r="AF28" s="5906"/>
      <c r="AG28" s="5907" t="s">
        <v>920</v>
      </c>
      <c r="AH28" s="5908"/>
      <c r="AI28" s="5907"/>
      <c r="AJ28" s="5907"/>
      <c r="AK28" s="5910"/>
      <c r="AL28" s="5902"/>
      <c r="AM28" s="5909"/>
      <c r="AN28" s="5906"/>
      <c r="AO28" s="5907" t="s">
        <v>920</v>
      </c>
      <c r="AP28" s="5908"/>
      <c r="AQ28" s="5907"/>
      <c r="AR28" s="5907"/>
      <c r="AS28" s="5910"/>
      <c r="AT28" s="5902"/>
      <c r="AU28" s="5909"/>
      <c r="AV28" s="5906"/>
      <c r="AW28" s="5907" t="s">
        <v>920</v>
      </c>
      <c r="AX28" s="5908"/>
      <c r="AY28" s="5907"/>
      <c r="AZ28" s="5907"/>
      <c r="BA28" s="5910"/>
      <c r="BB28" s="5902"/>
      <c r="BC28" s="5909"/>
      <c r="BD28" s="5906"/>
      <c r="BE28" s="5907" t="s">
        <v>920</v>
      </c>
      <c r="BF28" s="5908"/>
      <c r="BG28" s="5907"/>
      <c r="BH28" s="5907"/>
      <c r="BI28" s="5910"/>
      <c r="BJ28" s="5902"/>
      <c r="BK28" s="5909"/>
      <c r="BL28" s="5906"/>
      <c r="BM28" s="5907" t="s">
        <v>920</v>
      </c>
      <c r="BN28" s="5908"/>
      <c r="BO28" s="5907"/>
      <c r="BP28" s="5907"/>
      <c r="BQ28" s="5910"/>
      <c r="BR28" s="5902"/>
      <c r="BS28" s="5909"/>
      <c r="BT28" s="5906"/>
      <c r="BU28" s="5907" t="s">
        <v>920</v>
      </c>
      <c r="BV28" s="5908"/>
      <c r="BW28" s="5907"/>
      <c r="BX28" s="5907"/>
      <c r="BY28" s="5910"/>
      <c r="BZ28" s="5902"/>
      <c r="CA28" s="5909"/>
      <c r="CB28" s="5906"/>
      <c r="CC28" s="5907" t="s">
        <v>920</v>
      </c>
      <c r="CD28" s="5908"/>
      <c r="CE28" s="5907"/>
      <c r="CF28" s="5907"/>
      <c r="CG28" s="5910"/>
      <c r="CH28" s="5902"/>
      <c r="CI28" s="5909"/>
      <c r="CJ28" s="5906"/>
      <c r="CK28" s="5907" t="s">
        <v>920</v>
      </c>
      <c r="CL28" s="5908"/>
      <c r="CM28" s="5907"/>
      <c r="CN28" s="5907"/>
      <c r="CO28" s="5910"/>
      <c r="CP28" s="5905"/>
      <c r="CQ28" s="5941"/>
      <c r="CR28" s="5905"/>
      <c r="CS28" s="5905"/>
      <c r="CT28" s="5905"/>
    </row>
    <row r="29" spans="1:98" ht="5.0999999999999996" hidden="1" customHeight="1" thickBot="1" x14ac:dyDescent="0.25">
      <c r="A29" s="25"/>
      <c r="B29" s="25"/>
      <c r="C29" s="3832"/>
      <c r="D29" s="20"/>
      <c r="E29" s="3978"/>
      <c r="F29" s="3979"/>
      <c r="G29" s="3978"/>
      <c r="H29" s="3978"/>
      <c r="I29" s="3978"/>
      <c r="J29" s="3980"/>
      <c r="K29" s="3978"/>
      <c r="L29" s="3978"/>
      <c r="M29" s="3978"/>
      <c r="N29" s="129"/>
      <c r="O29" s="5933"/>
      <c r="P29" s="5970"/>
      <c r="Q29" s="5970"/>
      <c r="R29" s="5970"/>
      <c r="S29" s="5970"/>
      <c r="T29" s="5911"/>
      <c r="U29" s="5934"/>
      <c r="V29" s="129"/>
      <c r="W29" s="5896"/>
      <c r="X29" s="5890"/>
      <c r="Y29" s="82"/>
      <c r="Z29" s="5891"/>
      <c r="AA29" s="82"/>
      <c r="AB29" s="82"/>
      <c r="AC29" s="857"/>
      <c r="AD29" s="16"/>
      <c r="AE29" s="5896"/>
      <c r="AF29" s="5890"/>
      <c r="AG29" s="82"/>
      <c r="AH29" s="5891"/>
      <c r="AI29" s="82"/>
      <c r="AJ29" s="82"/>
      <c r="AK29" s="857"/>
      <c r="AL29" s="16"/>
      <c r="AM29" s="5896"/>
      <c r="AN29" s="5890"/>
      <c r="AO29" s="82"/>
      <c r="AP29" s="5891"/>
      <c r="AQ29" s="82"/>
      <c r="AR29" s="82"/>
      <c r="AS29" s="857"/>
      <c r="AT29" s="16"/>
      <c r="AU29" s="5896"/>
      <c r="AV29" s="5890"/>
      <c r="AW29" s="82"/>
      <c r="AX29" s="5891"/>
      <c r="AY29" s="82"/>
      <c r="AZ29" s="82"/>
      <c r="BA29" s="857"/>
      <c r="BB29" s="16"/>
      <c r="BC29" s="5896"/>
      <c r="BD29" s="5890"/>
      <c r="BE29" s="82"/>
      <c r="BF29" s="5891"/>
      <c r="BG29" s="82"/>
      <c r="BH29" s="82"/>
      <c r="BI29" s="857"/>
      <c r="BJ29" s="16"/>
      <c r="BK29" s="5896"/>
      <c r="BL29" s="5890"/>
      <c r="BM29" s="82"/>
      <c r="BN29" s="5891"/>
      <c r="BO29" s="82"/>
      <c r="BP29" s="82"/>
      <c r="BQ29" s="857"/>
      <c r="BR29" s="16"/>
      <c r="BS29" s="5896"/>
      <c r="BT29" s="5890"/>
      <c r="BU29" s="82"/>
      <c r="BV29" s="5891"/>
      <c r="BW29" s="82"/>
      <c r="BX29" s="82"/>
      <c r="BY29" s="857"/>
      <c r="BZ29" s="16"/>
      <c r="CA29" s="5896"/>
      <c r="CB29" s="5890"/>
      <c r="CC29" s="82"/>
      <c r="CD29" s="5891"/>
      <c r="CE29" s="82"/>
      <c r="CF29" s="82"/>
      <c r="CG29" s="857"/>
      <c r="CH29" s="16"/>
      <c r="CI29" s="5896"/>
      <c r="CJ29" s="5890"/>
      <c r="CK29" s="82"/>
      <c r="CL29" s="5891"/>
      <c r="CM29" s="82"/>
      <c r="CN29" s="82"/>
      <c r="CO29" s="857"/>
      <c r="CP29" s="17"/>
      <c r="CQ29" s="5917"/>
      <c r="CR29" s="17"/>
      <c r="CS29" s="17"/>
      <c r="CT29" s="17"/>
    </row>
    <row r="30" spans="1:98" ht="20.100000000000001" customHeight="1" thickBot="1" x14ac:dyDescent="0.25">
      <c r="A30" s="25"/>
      <c r="B30" s="25"/>
      <c r="C30" s="3832"/>
      <c r="D30" s="20"/>
      <c r="E30" s="3978"/>
      <c r="F30" s="3979"/>
      <c r="G30" s="3978"/>
      <c r="H30" s="3978"/>
      <c r="I30" s="3978"/>
      <c r="J30" s="3980"/>
      <c r="K30" s="3978"/>
      <c r="L30" s="3978"/>
      <c r="M30" s="3978"/>
      <c r="N30" s="129"/>
      <c r="O30" s="5933"/>
      <c r="P30" s="6636" t="s">
        <v>2694</v>
      </c>
      <c r="Q30" s="6636"/>
      <c r="R30" s="6636"/>
      <c r="S30" s="6636"/>
      <c r="T30" s="5911"/>
      <c r="U30" s="5934"/>
      <c r="V30" s="129"/>
      <c r="W30" s="5896"/>
      <c r="X30" s="5890"/>
      <c r="Y30" s="6185"/>
      <c r="Z30" s="5891"/>
      <c r="AA30" s="5927" t="str">
        <f>IF(Y30&lt;&gt;"","✓","")</f>
        <v/>
      </c>
      <c r="AB30" s="82"/>
      <c r="AC30" s="857"/>
      <c r="AD30" s="16"/>
      <c r="AE30" s="5896"/>
      <c r="AF30" s="5890"/>
      <c r="AG30" s="5994" t="str">
        <f>IF(ISBLANK(Y30)=FALSE,Y30,"")</f>
        <v/>
      </c>
      <c r="AH30" s="5891"/>
      <c r="AI30" s="5927" t="str">
        <f>$AA$30</f>
        <v/>
      </c>
      <c r="AJ30" s="82"/>
      <c r="AK30" s="857"/>
      <c r="AL30" s="16"/>
      <c r="AM30" s="5896"/>
      <c r="AN30" s="5890"/>
      <c r="AO30" s="6187"/>
      <c r="AP30" s="5891"/>
      <c r="AQ30" s="5927" t="str">
        <f>IF(AO30&lt;&gt;"","✓","")</f>
        <v/>
      </c>
      <c r="AR30" s="82"/>
      <c r="AS30" s="857"/>
      <c r="AT30" s="16"/>
      <c r="AU30" s="5896"/>
      <c r="AV30" s="5890"/>
      <c r="AW30" s="5994" t="str">
        <f>IF(ISBLANK(AO30)=FALSE,AO30,"")</f>
        <v/>
      </c>
      <c r="AX30" s="5891"/>
      <c r="AY30" s="5927" t="str">
        <f>IF(AW30&lt;&gt;"","✓","")</f>
        <v/>
      </c>
      <c r="AZ30" s="82"/>
      <c r="BA30" s="857"/>
      <c r="BB30" s="16"/>
      <c r="BC30" s="5896"/>
      <c r="BD30" s="5890"/>
      <c r="BE30" s="6185"/>
      <c r="BF30" s="5891"/>
      <c r="BG30" s="5927" t="str">
        <f>IF(BE30&lt;&gt;"","✓","")</f>
        <v/>
      </c>
      <c r="BH30" s="82"/>
      <c r="BI30" s="857"/>
      <c r="BJ30" s="16"/>
      <c r="BK30" s="5896"/>
      <c r="BL30" s="5890"/>
      <c r="BM30" s="5994" t="str">
        <f>IF(ISBLANK(BE30)=FALSE,BE30,"")</f>
        <v/>
      </c>
      <c r="BN30" s="5891"/>
      <c r="BO30" s="5927" t="str">
        <f>IF(BM30&lt;&gt;"","✓","")</f>
        <v/>
      </c>
      <c r="BP30" s="82"/>
      <c r="BQ30" s="857"/>
      <c r="BR30" s="16"/>
      <c r="BS30" s="5896"/>
      <c r="BT30" s="5890"/>
      <c r="BU30" s="6185"/>
      <c r="BV30" s="5891"/>
      <c r="BW30" s="5927" t="str">
        <f>IF(BU30&lt;&gt;"","✓","")</f>
        <v/>
      </c>
      <c r="BX30" s="82"/>
      <c r="BY30" s="857"/>
      <c r="BZ30" s="16"/>
      <c r="CA30" s="5896"/>
      <c r="CB30" s="5890"/>
      <c r="CC30" s="5994" t="str">
        <f>IF(ISBLANK(BU30)=FALSE,BU30,"")</f>
        <v/>
      </c>
      <c r="CD30" s="5891"/>
      <c r="CE30" s="5927" t="str">
        <f>IF(CC30&lt;&gt;"","✓","")</f>
        <v/>
      </c>
      <c r="CF30" s="82"/>
      <c r="CG30" s="857"/>
      <c r="CH30" s="16"/>
      <c r="CI30" s="5896"/>
      <c r="CJ30" s="5890"/>
      <c r="CK30" s="5892"/>
      <c r="CL30" s="5891"/>
      <c r="CM30" s="5927" t="str">
        <f>IF(CK30&lt;&gt;"","✓","")</f>
        <v/>
      </c>
      <c r="CN30" s="82"/>
      <c r="CO30" s="857"/>
      <c r="CP30" s="17"/>
      <c r="CQ30" s="5917"/>
      <c r="CR30" s="17"/>
      <c r="CS30" s="17"/>
      <c r="CT30" s="17"/>
    </row>
    <row r="31" spans="1:98" ht="15" customHeight="1" thickBot="1" x14ac:dyDescent="0.25">
      <c r="A31" s="25"/>
      <c r="B31" s="25"/>
      <c r="C31" s="3832"/>
      <c r="D31" s="20"/>
      <c r="E31" s="3978"/>
      <c r="F31" s="3979"/>
      <c r="G31" s="3978"/>
      <c r="H31" s="3978"/>
      <c r="I31" s="3978"/>
      <c r="J31" s="3980"/>
      <c r="K31" s="3978"/>
      <c r="L31" s="3978"/>
      <c r="M31" s="3978"/>
      <c r="N31" s="129"/>
      <c r="O31" s="5935"/>
      <c r="P31" s="5936"/>
      <c r="Q31" s="1728"/>
      <c r="R31" s="1728"/>
      <c r="S31" s="1728"/>
      <c r="T31" s="1728"/>
      <c r="U31" s="5937"/>
      <c r="V31" s="129"/>
      <c r="W31" s="5897"/>
      <c r="X31" s="5898"/>
      <c r="Y31" s="5899"/>
      <c r="Z31" s="5898"/>
      <c r="AA31" s="5899"/>
      <c r="AB31" s="5899"/>
      <c r="AC31" s="5900"/>
      <c r="AD31" s="17"/>
      <c r="AE31" s="5897"/>
      <c r="AF31" s="5898"/>
      <c r="AG31" s="5899"/>
      <c r="AH31" s="5898"/>
      <c r="AI31" s="5899"/>
      <c r="AJ31" s="5899"/>
      <c r="AK31" s="5900"/>
      <c r="AL31" s="17"/>
      <c r="AM31" s="5897"/>
      <c r="AN31" s="5898"/>
      <c r="AO31" s="5899"/>
      <c r="AP31" s="5898"/>
      <c r="AQ31" s="5899"/>
      <c r="AR31" s="5899"/>
      <c r="AS31" s="5900"/>
      <c r="AT31" s="17"/>
      <c r="AU31" s="5897"/>
      <c r="AV31" s="5898"/>
      <c r="AW31" s="5899"/>
      <c r="AX31" s="5898"/>
      <c r="AY31" s="5899"/>
      <c r="AZ31" s="5899"/>
      <c r="BA31" s="5900"/>
      <c r="BB31" s="17"/>
      <c r="BC31" s="5897"/>
      <c r="BD31" s="5898"/>
      <c r="BE31" s="5899"/>
      <c r="BF31" s="5898"/>
      <c r="BG31" s="5899"/>
      <c r="BH31" s="5899"/>
      <c r="BI31" s="5900"/>
      <c r="BJ31" s="17"/>
      <c r="BK31" s="5897"/>
      <c r="BL31" s="5898"/>
      <c r="BM31" s="5899"/>
      <c r="BN31" s="5898"/>
      <c r="BO31" s="5899"/>
      <c r="BP31" s="5899"/>
      <c r="BQ31" s="5900"/>
      <c r="BR31" s="17"/>
      <c r="BS31" s="5897"/>
      <c r="BT31" s="5898"/>
      <c r="BU31" s="5899"/>
      <c r="BV31" s="5898"/>
      <c r="BW31" s="5899"/>
      <c r="BX31" s="5899"/>
      <c r="BY31" s="5900"/>
      <c r="BZ31" s="17"/>
      <c r="CA31" s="5897"/>
      <c r="CB31" s="5898"/>
      <c r="CC31" s="5899"/>
      <c r="CD31" s="5898"/>
      <c r="CE31" s="5899"/>
      <c r="CF31" s="5899"/>
      <c r="CG31" s="5900"/>
      <c r="CH31" s="17"/>
      <c r="CI31" s="5897"/>
      <c r="CJ31" s="5898"/>
      <c r="CK31" s="5899"/>
      <c r="CL31" s="5898"/>
      <c r="CM31" s="5899"/>
      <c r="CN31" s="5899"/>
      <c r="CO31" s="5900"/>
      <c r="CP31" s="17"/>
      <c r="CQ31" s="5917"/>
      <c r="CR31" s="17"/>
      <c r="CS31" s="17"/>
      <c r="CT31" s="17"/>
    </row>
    <row r="32" spans="1:98" ht="8.1" customHeight="1" thickBot="1" x14ac:dyDescent="0.25">
      <c r="A32" s="25"/>
      <c r="B32" s="25"/>
      <c r="C32" s="3832"/>
      <c r="D32" s="20"/>
      <c r="E32" s="20"/>
      <c r="F32" s="945"/>
      <c r="G32" s="945"/>
      <c r="H32" s="945"/>
      <c r="I32" s="945"/>
      <c r="J32" s="16"/>
      <c r="K32" s="20"/>
      <c r="L32" s="20"/>
      <c r="M32" s="20"/>
      <c r="N32" s="129"/>
      <c r="O32" s="17"/>
      <c r="P32" s="17"/>
      <c r="Q32" s="17"/>
      <c r="R32" s="17"/>
      <c r="S32" s="17"/>
      <c r="T32" s="17"/>
      <c r="U32" s="17"/>
      <c r="V32" s="129"/>
      <c r="W32" s="945"/>
      <c r="X32" s="945"/>
      <c r="Y32" s="20"/>
      <c r="Z32" s="945"/>
      <c r="AA32" s="20"/>
      <c r="AB32" s="20"/>
      <c r="AC32" s="20"/>
      <c r="AD32" s="17"/>
      <c r="AE32" s="945"/>
      <c r="AF32" s="945"/>
      <c r="AG32" s="20"/>
      <c r="AH32" s="945"/>
      <c r="AI32" s="20"/>
      <c r="AJ32" s="20"/>
      <c r="AK32" s="20"/>
      <c r="AL32" s="17"/>
      <c r="AM32" s="945"/>
      <c r="AN32" s="945"/>
      <c r="AO32" s="20"/>
      <c r="AP32" s="945"/>
      <c r="AQ32" s="20"/>
      <c r="AR32" s="20"/>
      <c r="AS32" s="20"/>
      <c r="AT32" s="17"/>
      <c r="AU32" s="945"/>
      <c r="AV32" s="945"/>
      <c r="AW32" s="20"/>
      <c r="AX32" s="945"/>
      <c r="AY32" s="20"/>
      <c r="AZ32" s="20"/>
      <c r="BA32" s="20"/>
      <c r="BB32" s="17"/>
      <c r="BC32" s="945"/>
      <c r="BD32" s="945"/>
      <c r="BE32" s="20"/>
      <c r="BF32" s="945"/>
      <c r="BG32" s="20"/>
      <c r="BH32" s="20"/>
      <c r="BI32" s="20"/>
      <c r="BJ32" s="17"/>
      <c r="BK32" s="945"/>
      <c r="BL32" s="945"/>
      <c r="BM32" s="20"/>
      <c r="BN32" s="945"/>
      <c r="BO32" s="20"/>
      <c r="BP32" s="20"/>
      <c r="BQ32" s="20"/>
      <c r="BR32" s="17"/>
      <c r="BS32" s="945"/>
      <c r="BT32" s="945"/>
      <c r="BU32" s="20"/>
      <c r="BV32" s="945"/>
      <c r="BW32" s="20"/>
      <c r="BX32" s="20"/>
      <c r="BY32" s="20"/>
      <c r="BZ32" s="17"/>
      <c r="CA32" s="945"/>
      <c r="CB32" s="945"/>
      <c r="CC32" s="20"/>
      <c r="CD32" s="945"/>
      <c r="CE32" s="20"/>
      <c r="CF32" s="20"/>
      <c r="CG32" s="20"/>
      <c r="CH32" s="17"/>
      <c r="CI32" s="945"/>
      <c r="CJ32" s="945"/>
      <c r="CK32" s="20"/>
      <c r="CL32" s="945"/>
      <c r="CM32" s="20"/>
      <c r="CN32" s="20"/>
      <c r="CO32" s="20"/>
      <c r="CP32" s="17"/>
      <c r="CQ32" s="20"/>
      <c r="CR32" s="17"/>
      <c r="CS32" s="17"/>
      <c r="CT32" s="17"/>
    </row>
    <row r="33" spans="1:98" ht="15" customHeight="1" thickBot="1" x14ac:dyDescent="0.25">
      <c r="A33" s="25"/>
      <c r="B33" s="25"/>
      <c r="C33" s="3832"/>
      <c r="D33" s="20"/>
      <c r="E33" s="3978"/>
      <c r="F33" s="3979"/>
      <c r="G33" s="3978"/>
      <c r="H33" s="3978"/>
      <c r="I33" s="3978"/>
      <c r="J33" s="3980"/>
      <c r="K33" s="3978"/>
      <c r="L33" s="3978"/>
      <c r="M33" s="3978"/>
      <c r="N33" s="129"/>
      <c r="O33" s="1720"/>
      <c r="P33" s="1721"/>
      <c r="Q33" s="1721"/>
      <c r="R33" s="1721"/>
      <c r="S33" s="1721"/>
      <c r="T33" s="1718"/>
      <c r="U33" s="5930"/>
      <c r="V33" s="129"/>
      <c r="W33" s="5893"/>
      <c r="X33" s="5894"/>
      <c r="Y33" s="5922"/>
      <c r="Z33" s="5894"/>
      <c r="AA33" s="5922"/>
      <c r="AB33" s="5922"/>
      <c r="AC33" s="5923"/>
      <c r="AD33" s="17"/>
      <c r="AE33" s="5893"/>
      <c r="AF33" s="5894"/>
      <c r="AG33" s="5922"/>
      <c r="AH33" s="5894"/>
      <c r="AI33" s="5922"/>
      <c r="AJ33" s="5922"/>
      <c r="AK33" s="5923"/>
      <c r="AL33" s="17"/>
      <c r="AM33" s="5893"/>
      <c r="AN33" s="5894"/>
      <c r="AO33" s="5922"/>
      <c r="AP33" s="5894"/>
      <c r="AQ33" s="5922"/>
      <c r="AR33" s="5922"/>
      <c r="AS33" s="5923"/>
      <c r="AT33" s="17"/>
      <c r="AU33" s="5893"/>
      <c r="AV33" s="5894"/>
      <c r="AW33" s="5922"/>
      <c r="AX33" s="5894"/>
      <c r="AY33" s="5922"/>
      <c r="AZ33" s="5922"/>
      <c r="BA33" s="5923"/>
      <c r="BB33" s="17"/>
      <c r="BC33" s="5893"/>
      <c r="BD33" s="5894"/>
      <c r="BE33" s="5922"/>
      <c r="BF33" s="5894"/>
      <c r="BG33" s="5922"/>
      <c r="BH33" s="5922"/>
      <c r="BI33" s="5923"/>
      <c r="BJ33" s="17"/>
      <c r="BK33" s="5893"/>
      <c r="BL33" s="5894"/>
      <c r="BM33" s="5922"/>
      <c r="BN33" s="5894"/>
      <c r="BO33" s="5922"/>
      <c r="BP33" s="5922"/>
      <c r="BQ33" s="5923"/>
      <c r="BR33" s="17"/>
      <c r="BS33" s="5893"/>
      <c r="BT33" s="5894"/>
      <c r="BU33" s="5922"/>
      <c r="BV33" s="5894"/>
      <c r="BW33" s="5922"/>
      <c r="BX33" s="5922"/>
      <c r="BY33" s="5923"/>
      <c r="BZ33" s="17"/>
      <c r="CA33" s="5893"/>
      <c r="CB33" s="5894"/>
      <c r="CC33" s="5922"/>
      <c r="CD33" s="5894"/>
      <c r="CE33" s="5922"/>
      <c r="CF33" s="5922"/>
      <c r="CG33" s="5923"/>
      <c r="CH33" s="17"/>
      <c r="CI33" s="5893"/>
      <c r="CJ33" s="5894"/>
      <c r="CK33" s="5922"/>
      <c r="CL33" s="5894"/>
      <c r="CM33" s="5922"/>
      <c r="CN33" s="5922"/>
      <c r="CO33" s="5923"/>
      <c r="CP33" s="17"/>
      <c r="CQ33" s="5917"/>
      <c r="CR33" s="17"/>
      <c r="CS33" s="17"/>
      <c r="CT33" s="17"/>
    </row>
    <row r="34" spans="1:98" s="5183" customFormat="1" ht="15" hidden="1" customHeight="1" x14ac:dyDescent="0.2">
      <c r="A34" s="5918"/>
      <c r="B34" s="5918"/>
      <c r="C34" s="3832"/>
      <c r="D34" s="5902"/>
      <c r="E34" s="3978"/>
      <c r="F34" s="3979"/>
      <c r="G34" s="3978"/>
      <c r="H34" s="3978"/>
      <c r="I34" s="3978"/>
      <c r="J34" s="3980"/>
      <c r="K34" s="3978"/>
      <c r="L34" s="3978"/>
      <c r="M34" s="3978"/>
      <c r="N34" s="5916"/>
      <c r="O34" s="1723"/>
      <c r="Q34" s="1724"/>
      <c r="R34" s="1724"/>
      <c r="S34" s="1724"/>
      <c r="T34" s="5911"/>
      <c r="U34" s="5934"/>
      <c r="V34" s="5916"/>
      <c r="W34" s="5924"/>
      <c r="X34" s="5908"/>
      <c r="Y34" s="5920" t="s">
        <v>138</v>
      </c>
      <c r="Z34" s="5908"/>
      <c r="AA34" s="5907"/>
      <c r="AB34" s="5907"/>
      <c r="AC34" s="5910"/>
      <c r="AD34" s="5902"/>
      <c r="AE34" s="5924"/>
      <c r="AF34" s="5908"/>
      <c r="AG34" s="5920" t="s">
        <v>138</v>
      </c>
      <c r="AH34" s="5908"/>
      <c r="AI34" s="5907"/>
      <c r="AJ34" s="5907"/>
      <c r="AK34" s="5910"/>
      <c r="AL34" s="5902"/>
      <c r="AM34" s="5924"/>
      <c r="AN34" s="5908"/>
      <c r="AO34" s="5920" t="s">
        <v>138</v>
      </c>
      <c r="AP34" s="5908"/>
      <c r="AQ34" s="5907"/>
      <c r="AR34" s="5907"/>
      <c r="AS34" s="5910"/>
      <c r="AT34" s="5902"/>
      <c r="AU34" s="5924"/>
      <c r="AV34" s="5908"/>
      <c r="AW34" s="5920" t="s">
        <v>138</v>
      </c>
      <c r="AX34" s="5908"/>
      <c r="AY34" s="5907"/>
      <c r="AZ34" s="5907"/>
      <c r="BA34" s="5910"/>
      <c r="BB34" s="5902"/>
      <c r="BC34" s="5924"/>
      <c r="BD34" s="5908"/>
      <c r="BE34" s="5920" t="s">
        <v>138</v>
      </c>
      <c r="BF34" s="5908"/>
      <c r="BG34" s="5907"/>
      <c r="BH34" s="5907"/>
      <c r="BI34" s="5910"/>
      <c r="BJ34" s="5902"/>
      <c r="BK34" s="5924"/>
      <c r="BL34" s="5908"/>
      <c r="BM34" s="5920" t="s">
        <v>138</v>
      </c>
      <c r="BN34" s="5908"/>
      <c r="BO34" s="5907"/>
      <c r="BP34" s="5907"/>
      <c r="BQ34" s="5910"/>
      <c r="BR34" s="5902"/>
      <c r="BS34" s="5924"/>
      <c r="BT34" s="5908"/>
      <c r="BU34" s="5920" t="s">
        <v>138</v>
      </c>
      <c r="BV34" s="5908"/>
      <c r="BW34" s="5907"/>
      <c r="BX34" s="5907"/>
      <c r="BY34" s="5910"/>
      <c r="BZ34" s="5902"/>
      <c r="CA34" s="5924"/>
      <c r="CB34" s="5908"/>
      <c r="CC34" s="5920" t="s">
        <v>138</v>
      </c>
      <c r="CD34" s="5908"/>
      <c r="CE34" s="5907"/>
      <c r="CF34" s="5907"/>
      <c r="CG34" s="5910"/>
      <c r="CH34" s="5902"/>
      <c r="CI34" s="5924"/>
      <c r="CJ34" s="5908"/>
      <c r="CK34" s="5920" t="s">
        <v>138</v>
      </c>
      <c r="CL34" s="5908"/>
      <c r="CM34" s="5907"/>
      <c r="CN34" s="5907"/>
      <c r="CO34" s="5910"/>
      <c r="CP34" s="5902"/>
      <c r="CQ34" s="5907"/>
      <c r="CR34" s="5902"/>
      <c r="CS34" s="5902"/>
      <c r="CT34" s="5902"/>
    </row>
    <row r="35" spans="1:98" ht="5.0999999999999996" hidden="1" customHeight="1" thickBot="1" x14ac:dyDescent="0.25">
      <c r="A35" s="25"/>
      <c r="B35" s="25"/>
      <c r="C35" s="3832"/>
      <c r="D35" s="20"/>
      <c r="E35" s="3978"/>
      <c r="F35" s="3979"/>
      <c r="G35" s="3978"/>
      <c r="H35" s="3978"/>
      <c r="I35" s="3978"/>
      <c r="J35" s="3980"/>
      <c r="K35" s="3978"/>
      <c r="L35" s="3978"/>
      <c r="M35" s="3978"/>
      <c r="N35" s="129"/>
      <c r="O35" s="1723"/>
      <c r="P35" s="5970"/>
      <c r="Q35" s="1724"/>
      <c r="R35" s="1724"/>
      <c r="S35" s="1724"/>
      <c r="T35" s="5911"/>
      <c r="U35" s="5934"/>
      <c r="V35" s="129"/>
      <c r="W35" s="5896"/>
      <c r="X35" s="5890"/>
      <c r="Y35" s="5917"/>
      <c r="Z35" s="5890"/>
      <c r="AA35" s="5917"/>
      <c r="AB35" s="5917"/>
      <c r="AC35" s="5925"/>
      <c r="AD35" s="17"/>
      <c r="AE35" s="5896"/>
      <c r="AF35" s="5890"/>
      <c r="AG35" s="5917"/>
      <c r="AH35" s="5890"/>
      <c r="AI35" s="5917"/>
      <c r="AJ35" s="5917"/>
      <c r="AK35" s="5925"/>
      <c r="AL35" s="17"/>
      <c r="AM35" s="5896"/>
      <c r="AN35" s="5890"/>
      <c r="AO35" s="5917"/>
      <c r="AP35" s="5890"/>
      <c r="AQ35" s="5917"/>
      <c r="AR35" s="5917"/>
      <c r="AS35" s="5925"/>
      <c r="AT35" s="17"/>
      <c r="AU35" s="5896"/>
      <c r="AV35" s="5890"/>
      <c r="AW35" s="5917"/>
      <c r="AX35" s="5890"/>
      <c r="AY35" s="5917"/>
      <c r="AZ35" s="5917"/>
      <c r="BA35" s="5925"/>
      <c r="BB35" s="17"/>
      <c r="BC35" s="5896"/>
      <c r="BD35" s="5890"/>
      <c r="BE35" s="5917"/>
      <c r="BF35" s="5890"/>
      <c r="BG35" s="5917"/>
      <c r="BH35" s="5917"/>
      <c r="BI35" s="5925"/>
      <c r="BJ35" s="17"/>
      <c r="BK35" s="5896"/>
      <c r="BL35" s="5890"/>
      <c r="BM35" s="5917"/>
      <c r="BN35" s="5890"/>
      <c r="BO35" s="5917"/>
      <c r="BP35" s="5917"/>
      <c r="BQ35" s="5925"/>
      <c r="BR35" s="17"/>
      <c r="BS35" s="5896"/>
      <c r="BT35" s="5890"/>
      <c r="BU35" s="5917"/>
      <c r="BV35" s="5890"/>
      <c r="BW35" s="5917"/>
      <c r="BX35" s="5917"/>
      <c r="BY35" s="5925"/>
      <c r="BZ35" s="17"/>
      <c r="CA35" s="5896"/>
      <c r="CB35" s="5890"/>
      <c r="CC35" s="5917"/>
      <c r="CD35" s="5890"/>
      <c r="CE35" s="5917"/>
      <c r="CF35" s="5917"/>
      <c r="CG35" s="5925"/>
      <c r="CH35" s="17"/>
      <c r="CI35" s="5896"/>
      <c r="CJ35" s="5890"/>
      <c r="CK35" s="5917"/>
      <c r="CL35" s="5890"/>
      <c r="CM35" s="5917"/>
      <c r="CN35" s="5917"/>
      <c r="CO35" s="5925"/>
      <c r="CP35" s="17"/>
      <c r="CQ35" s="5917"/>
      <c r="CR35" s="17"/>
      <c r="CS35" s="17"/>
      <c r="CT35" s="17"/>
    </row>
    <row r="36" spans="1:98" s="13" customFormat="1" ht="20.100000000000001" customHeight="1" thickBot="1" x14ac:dyDescent="0.25">
      <c r="A36" s="38"/>
      <c r="B36" s="38"/>
      <c r="C36" s="3832"/>
      <c r="D36" s="16"/>
      <c r="E36" s="5940"/>
      <c r="F36" s="3979"/>
      <c r="G36" s="5940"/>
      <c r="H36" s="5940"/>
      <c r="I36" s="5940"/>
      <c r="J36" s="3980"/>
      <c r="K36" s="5940"/>
      <c r="L36" s="5940"/>
      <c r="M36" s="5940"/>
      <c r="N36" s="5915"/>
      <c r="O36" s="1723"/>
      <c r="P36" s="6644" t="s">
        <v>2756</v>
      </c>
      <c r="Q36" s="6644"/>
      <c r="R36" s="6644"/>
      <c r="S36" s="6644"/>
      <c r="T36" s="5911"/>
      <c r="U36" s="5934"/>
      <c r="V36" s="5915"/>
      <c r="W36" s="5926"/>
      <c r="X36" s="5891"/>
      <c r="Y36" s="6186"/>
      <c r="Z36" s="5891"/>
      <c r="AA36" s="5938" t="str">
        <f>IF($Y$36&lt;&gt;"","✓","!")</f>
        <v>!</v>
      </c>
      <c r="AB36" s="82"/>
      <c r="AC36" s="857"/>
      <c r="AD36" s="16"/>
      <c r="AE36" s="5926"/>
      <c r="AF36" s="5891"/>
      <c r="AG36" s="5993" t="str">
        <f>IF(ISBLANK(Y36)=FALSE,Y36,"")</f>
        <v/>
      </c>
      <c r="AH36" s="5891"/>
      <c r="AI36" s="5938" t="str">
        <f>$AA$36</f>
        <v>!</v>
      </c>
      <c r="AJ36" s="82"/>
      <c r="AK36" s="857"/>
      <c r="AL36" s="16"/>
      <c r="AM36" s="5926"/>
      <c r="AN36" s="5891"/>
      <c r="AO36" s="6186"/>
      <c r="AP36" s="5891"/>
      <c r="AQ36" s="5938" t="str">
        <f>IF($AO$36&lt;&gt;"","✓","!")</f>
        <v>!</v>
      </c>
      <c r="AR36" s="82"/>
      <c r="AS36" s="857"/>
      <c r="AT36" s="16"/>
      <c r="AU36" s="5926"/>
      <c r="AV36" s="5891"/>
      <c r="AW36" s="5993" t="str">
        <f>IF(ISBLANK(AO36)=FALSE,AO36,"")</f>
        <v/>
      </c>
      <c r="AX36" s="5891"/>
      <c r="AY36" s="5938" t="str">
        <f>IF($AW$36&lt;&gt;"","✓","!")</f>
        <v>!</v>
      </c>
      <c r="AZ36" s="82"/>
      <c r="BA36" s="857"/>
      <c r="BB36" s="16"/>
      <c r="BC36" s="5926"/>
      <c r="BD36" s="5891"/>
      <c r="BE36" s="6186"/>
      <c r="BF36" s="5891"/>
      <c r="BG36" s="5938" t="str">
        <f>IF($BE$36&lt;&gt;"","✓","!")</f>
        <v>!</v>
      </c>
      <c r="BH36" s="82"/>
      <c r="BI36" s="857"/>
      <c r="BJ36" s="16"/>
      <c r="BK36" s="5926"/>
      <c r="BL36" s="5891"/>
      <c r="BM36" s="5993" t="str">
        <f>IF(ISBLANK(BE36)=FALSE,BE36,"")</f>
        <v/>
      </c>
      <c r="BN36" s="5891"/>
      <c r="BO36" s="5938" t="str">
        <f>IF($BM$36&lt;&gt;"","✓","!")</f>
        <v>!</v>
      </c>
      <c r="BP36" s="82"/>
      <c r="BQ36" s="857"/>
      <c r="BR36" s="16"/>
      <c r="BS36" s="5926"/>
      <c r="BT36" s="5891"/>
      <c r="BU36" s="6186"/>
      <c r="BV36" s="5891"/>
      <c r="BW36" s="5938" t="str">
        <f>IF($BU$36&lt;&gt;"","✓","!")</f>
        <v>!</v>
      </c>
      <c r="BX36" s="82"/>
      <c r="BY36" s="857"/>
      <c r="BZ36" s="16"/>
      <c r="CA36" s="5926"/>
      <c r="CB36" s="5891"/>
      <c r="CC36" s="5993" t="str">
        <f>IF(ISBLANK(BU36)=FALSE,BU36,"")</f>
        <v/>
      </c>
      <c r="CD36" s="5891"/>
      <c r="CE36" s="5938" t="str">
        <f>IF($CC$36&lt;&gt;"","✓","!")</f>
        <v>!</v>
      </c>
      <c r="CF36" s="82"/>
      <c r="CG36" s="857"/>
      <c r="CH36" s="16"/>
      <c r="CI36" s="5926"/>
      <c r="CJ36" s="5891"/>
      <c r="CK36" s="5921"/>
      <c r="CL36" s="5891"/>
      <c r="CM36" s="5938" t="str">
        <f>IF($CK$36&lt;&gt;"","✓","!")</f>
        <v>!</v>
      </c>
      <c r="CN36" s="82"/>
      <c r="CO36" s="857"/>
      <c r="CP36" s="16"/>
      <c r="CQ36" s="82"/>
      <c r="CR36" s="16"/>
      <c r="CS36" s="16"/>
      <c r="CT36" s="16"/>
    </row>
    <row r="37" spans="1:98" ht="15" customHeight="1" thickBot="1" x14ac:dyDescent="0.25">
      <c r="A37" s="25"/>
      <c r="B37" s="25"/>
      <c r="C37" s="5946"/>
      <c r="D37" s="20"/>
      <c r="E37" s="3978"/>
      <c r="F37" s="3979"/>
      <c r="G37" s="3978"/>
      <c r="H37" s="3978"/>
      <c r="I37" s="3978"/>
      <c r="J37" s="3980"/>
      <c r="K37" s="3978"/>
      <c r="L37" s="3978"/>
      <c r="M37" s="3978"/>
      <c r="N37" s="129"/>
      <c r="O37" s="1726"/>
      <c r="P37" s="1727"/>
      <c r="Q37" s="1727"/>
      <c r="R37" s="1727"/>
      <c r="S37" s="1727"/>
      <c r="T37" s="1728"/>
      <c r="U37" s="5937"/>
      <c r="V37" s="129"/>
      <c r="W37" s="5897"/>
      <c r="X37" s="5898"/>
      <c r="Y37" s="5899"/>
      <c r="Z37" s="5898"/>
      <c r="AA37" s="5899"/>
      <c r="AB37" s="5899"/>
      <c r="AC37" s="5900"/>
      <c r="AD37" s="17"/>
      <c r="AE37" s="5897"/>
      <c r="AF37" s="5898"/>
      <c r="AG37" s="5899"/>
      <c r="AH37" s="5898"/>
      <c r="AI37" s="5899"/>
      <c r="AJ37" s="5899"/>
      <c r="AK37" s="5900"/>
      <c r="AL37" s="17"/>
      <c r="AM37" s="5897"/>
      <c r="AN37" s="5898"/>
      <c r="AO37" s="5899"/>
      <c r="AP37" s="5898"/>
      <c r="AQ37" s="5899"/>
      <c r="AR37" s="5899"/>
      <c r="AS37" s="5900"/>
      <c r="AT37" s="17"/>
      <c r="AU37" s="5897"/>
      <c r="AV37" s="5898"/>
      <c r="AW37" s="5899"/>
      <c r="AX37" s="5898"/>
      <c r="AY37" s="5899"/>
      <c r="AZ37" s="5899"/>
      <c r="BA37" s="5900"/>
      <c r="BB37" s="17"/>
      <c r="BC37" s="5897"/>
      <c r="BD37" s="5898"/>
      <c r="BE37" s="5899"/>
      <c r="BF37" s="5898"/>
      <c r="BG37" s="5899"/>
      <c r="BH37" s="5899"/>
      <c r="BI37" s="5900"/>
      <c r="BJ37" s="17"/>
      <c r="BK37" s="5897"/>
      <c r="BL37" s="5898"/>
      <c r="BM37" s="5899"/>
      <c r="BN37" s="5898"/>
      <c r="BO37" s="5899"/>
      <c r="BP37" s="5899"/>
      <c r="BQ37" s="5900"/>
      <c r="BR37" s="17"/>
      <c r="BS37" s="5897"/>
      <c r="BT37" s="5898"/>
      <c r="BU37" s="5899"/>
      <c r="BV37" s="5898"/>
      <c r="BW37" s="5899"/>
      <c r="BX37" s="5899"/>
      <c r="BY37" s="5900"/>
      <c r="BZ37" s="17"/>
      <c r="CA37" s="5897"/>
      <c r="CB37" s="5898"/>
      <c r="CC37" s="5899"/>
      <c r="CD37" s="5898"/>
      <c r="CE37" s="5899"/>
      <c r="CF37" s="5899"/>
      <c r="CG37" s="5900"/>
      <c r="CH37" s="17"/>
      <c r="CI37" s="5897"/>
      <c r="CJ37" s="5898"/>
      <c r="CK37" s="5899"/>
      <c r="CL37" s="5898"/>
      <c r="CM37" s="5899"/>
      <c r="CN37" s="5899"/>
      <c r="CO37" s="5900"/>
      <c r="CP37" s="17"/>
      <c r="CQ37" s="5917"/>
      <c r="CR37" s="17"/>
      <c r="CS37" s="17"/>
      <c r="CT37" s="17"/>
    </row>
    <row r="38" spans="1:98" ht="24.95" customHeight="1" x14ac:dyDescent="0.2">
      <c r="A38" s="25"/>
      <c r="B38" s="25"/>
      <c r="C38"/>
      <c r="D38" s="20"/>
      <c r="E38" s="20"/>
      <c r="F38" s="945"/>
      <c r="G38" s="945"/>
      <c r="H38" s="945"/>
      <c r="I38" s="945"/>
      <c r="J38" s="16"/>
      <c r="K38" s="20"/>
      <c r="L38" s="20"/>
      <c r="M38" s="20"/>
      <c r="N38" s="129"/>
      <c r="O38" s="17"/>
      <c r="P38" s="17"/>
      <c r="Q38" s="17"/>
      <c r="R38" s="17"/>
      <c r="S38" s="17"/>
      <c r="T38" s="17"/>
      <c r="U38" s="17"/>
      <c r="V38" s="129"/>
      <c r="W38" s="945"/>
      <c r="X38" s="945"/>
      <c r="Y38" s="20"/>
      <c r="Z38" s="945"/>
      <c r="AA38" s="20"/>
      <c r="AB38" s="20"/>
      <c r="AC38" s="20"/>
      <c r="AD38" s="17"/>
      <c r="AE38" s="945"/>
      <c r="AF38" s="945"/>
      <c r="AG38" s="20"/>
      <c r="AH38" s="945"/>
      <c r="AI38" s="20"/>
      <c r="AJ38" s="20"/>
      <c r="AK38" s="20"/>
      <c r="AL38" s="17"/>
      <c r="AM38" s="945"/>
      <c r="AN38" s="945"/>
      <c r="AO38" s="20"/>
      <c r="AP38" s="945"/>
      <c r="AQ38" s="20"/>
      <c r="AR38" s="20"/>
      <c r="AS38" s="20"/>
      <c r="AT38" s="129"/>
      <c r="AU38" s="945"/>
      <c r="AV38" s="945"/>
      <c r="AW38" s="20"/>
      <c r="AX38" s="945"/>
      <c r="AY38" s="20"/>
      <c r="AZ38" s="20"/>
      <c r="BA38" s="20"/>
      <c r="BB38" s="17"/>
      <c r="BC38" s="945"/>
      <c r="BD38" s="945"/>
      <c r="BE38" s="20"/>
      <c r="BF38" s="945"/>
      <c r="BG38" s="20"/>
      <c r="BH38" s="20"/>
      <c r="BI38" s="20"/>
      <c r="BJ38" s="17"/>
      <c r="BK38" s="945"/>
      <c r="BL38" s="945"/>
      <c r="BM38" s="20"/>
      <c r="BN38" s="945"/>
      <c r="BO38" s="20"/>
      <c r="BP38" s="20"/>
      <c r="BQ38" s="20"/>
      <c r="BR38" s="129"/>
      <c r="BS38" s="945"/>
      <c r="BT38" s="945"/>
      <c r="BU38" s="20"/>
      <c r="BV38" s="945"/>
      <c r="BW38" s="20"/>
      <c r="BX38" s="20"/>
      <c r="BY38" s="20"/>
      <c r="BZ38" s="17"/>
      <c r="CA38" s="945"/>
      <c r="CB38" s="945"/>
      <c r="CC38" s="20"/>
      <c r="CD38" s="945"/>
      <c r="CE38" s="20"/>
      <c r="CF38" s="20"/>
      <c r="CG38" s="20"/>
      <c r="CH38" s="17"/>
      <c r="CI38" s="945"/>
      <c r="CJ38" s="945"/>
      <c r="CK38" s="20"/>
      <c r="CL38" s="945"/>
      <c r="CM38" s="20"/>
      <c r="CN38" s="20"/>
      <c r="CO38" s="20"/>
      <c r="CP38" s="17"/>
      <c r="CQ38" s="20"/>
      <c r="CR38" s="17"/>
      <c r="CS38" s="17"/>
      <c r="CT38" s="17"/>
    </row>
    <row r="39" spans="1:98" ht="12" customHeight="1" x14ac:dyDescent="0.2">
      <c r="A39" s="25"/>
      <c r="B39" s="25"/>
      <c r="C39" s="6188"/>
      <c r="D39" s="6188"/>
      <c r="E39" s="6188"/>
      <c r="F39" s="6189"/>
      <c r="G39" s="6189"/>
      <c r="H39" s="6189"/>
      <c r="I39" s="6189"/>
      <c r="J39" s="6190"/>
      <c r="K39" s="6188"/>
      <c r="L39" s="6188"/>
      <c r="M39" s="6188"/>
      <c r="N39" s="6191"/>
      <c r="O39" s="6192"/>
      <c r="P39" s="6192"/>
      <c r="Q39" s="6192"/>
      <c r="R39" s="6192"/>
      <c r="S39" s="6192"/>
      <c r="T39" s="6192"/>
      <c r="U39" s="6192"/>
      <c r="V39" s="6191"/>
      <c r="W39" s="6189"/>
      <c r="X39" s="6189"/>
      <c r="Y39" s="6188"/>
      <c r="Z39" s="6189"/>
      <c r="AA39" s="6188"/>
      <c r="AB39" s="6188"/>
      <c r="AC39" s="6188"/>
      <c r="AD39" s="6192"/>
      <c r="AE39" s="6189"/>
      <c r="AF39" s="6189"/>
      <c r="AG39" s="6188"/>
      <c r="AH39" s="6189"/>
      <c r="AI39" s="6188"/>
      <c r="AJ39" s="6188"/>
      <c r="AK39" s="6188"/>
      <c r="AL39" s="6192"/>
      <c r="AM39" s="6189"/>
      <c r="AN39" s="6189"/>
      <c r="AO39" s="6188"/>
      <c r="AP39" s="6189"/>
      <c r="AQ39" s="6188"/>
      <c r="AR39" s="6188"/>
      <c r="AS39" s="6188"/>
      <c r="AT39" s="6191"/>
      <c r="AU39" s="6189"/>
      <c r="AV39" s="6189"/>
      <c r="AW39" s="6188"/>
      <c r="AX39" s="6189"/>
      <c r="AY39" s="6188"/>
      <c r="AZ39" s="6188"/>
      <c r="BA39" s="6188"/>
      <c r="BB39" s="6192"/>
      <c r="BC39" s="6189"/>
      <c r="BD39" s="6189"/>
      <c r="BE39" s="6188"/>
      <c r="BF39" s="6189"/>
      <c r="BG39" s="6188"/>
      <c r="BH39" s="6188"/>
      <c r="BI39" s="6188"/>
      <c r="BJ39" s="6192"/>
      <c r="BK39" s="6189"/>
      <c r="BL39" s="6189"/>
      <c r="BM39" s="6188"/>
      <c r="BN39" s="6189"/>
      <c r="BO39" s="6188"/>
      <c r="BP39" s="6188"/>
      <c r="BQ39" s="6188"/>
      <c r="BR39" s="6191"/>
      <c r="BS39" s="6189"/>
      <c r="BT39" s="6189"/>
      <c r="BU39" s="6188"/>
      <c r="BV39" s="6189"/>
      <c r="BW39" s="6188"/>
      <c r="BX39" s="6188"/>
      <c r="BY39" s="6188"/>
      <c r="BZ39" s="6192"/>
      <c r="CA39" s="6189"/>
      <c r="CB39" s="6189"/>
      <c r="CC39" s="6188"/>
      <c r="CD39" s="6189"/>
      <c r="CE39" s="6188"/>
      <c r="CF39" s="6188"/>
      <c r="CG39" s="6188"/>
      <c r="CH39" s="6192"/>
      <c r="CI39" s="6189"/>
      <c r="CJ39" s="6189"/>
      <c r="CK39" s="6188"/>
      <c r="CL39" s="6189"/>
      <c r="CM39" s="6188"/>
      <c r="CN39" s="6188"/>
      <c r="CO39" s="6188"/>
      <c r="CP39" s="6192"/>
      <c r="CQ39" s="6188"/>
      <c r="CR39" s="17"/>
      <c r="CS39" s="17"/>
      <c r="CT39" s="17"/>
    </row>
    <row r="40" spans="1:98" ht="24.95" customHeight="1" thickBot="1" x14ac:dyDescent="0.25">
      <c r="A40" s="25"/>
      <c r="B40" s="25"/>
      <c r="C40" s="181"/>
      <c r="D40" s="20"/>
      <c r="E40" s="20"/>
      <c r="F40" s="945"/>
      <c r="G40" s="945"/>
      <c r="H40" s="945"/>
      <c r="I40" s="945"/>
      <c r="J40" s="16"/>
      <c r="K40" s="20"/>
      <c r="L40" s="20"/>
      <c r="M40" s="20"/>
      <c r="N40" s="129"/>
      <c r="O40" s="17"/>
      <c r="P40" s="17"/>
      <c r="Q40" s="17"/>
      <c r="R40" s="17"/>
      <c r="S40" s="17"/>
      <c r="T40" s="17"/>
      <c r="U40" s="17"/>
      <c r="V40" s="129"/>
      <c r="W40" s="945"/>
      <c r="X40" s="945"/>
      <c r="Y40" s="20"/>
      <c r="Z40" s="945"/>
      <c r="AA40" s="20"/>
      <c r="AB40" s="20"/>
      <c r="AC40" s="20"/>
      <c r="AD40" s="17"/>
      <c r="AE40" s="945"/>
      <c r="AF40" s="945"/>
      <c r="AG40" s="20"/>
      <c r="AH40" s="945"/>
      <c r="AI40" s="20"/>
      <c r="AJ40" s="20"/>
      <c r="AK40" s="20"/>
      <c r="AL40" s="17"/>
      <c r="AM40" s="945"/>
      <c r="AN40" s="945"/>
      <c r="AO40" s="20"/>
      <c r="AP40" s="945"/>
      <c r="AQ40" s="20"/>
      <c r="AR40" s="20"/>
      <c r="AS40" s="20"/>
      <c r="AT40" s="129"/>
      <c r="AU40" s="945"/>
      <c r="AV40" s="945"/>
      <c r="AW40" s="20"/>
      <c r="AX40" s="945"/>
      <c r="AY40" s="20"/>
      <c r="AZ40" s="20"/>
      <c r="BA40" s="20"/>
      <c r="BB40" s="17"/>
      <c r="BC40" s="945"/>
      <c r="BD40" s="945"/>
      <c r="BE40" s="20"/>
      <c r="BF40" s="945"/>
      <c r="BG40" s="20"/>
      <c r="BH40" s="20"/>
      <c r="BI40" s="20"/>
      <c r="BJ40" s="17"/>
      <c r="BK40" s="945"/>
      <c r="BL40" s="945"/>
      <c r="BM40" s="20"/>
      <c r="BN40" s="945"/>
      <c r="BO40" s="20"/>
      <c r="BP40" s="20"/>
      <c r="BQ40" s="20"/>
      <c r="BR40" s="129"/>
      <c r="BS40" s="945"/>
      <c r="BT40" s="945"/>
      <c r="BU40" s="20"/>
      <c r="BV40" s="945"/>
      <c r="BW40" s="20"/>
      <c r="BX40" s="20"/>
      <c r="BY40" s="20"/>
      <c r="BZ40" s="17"/>
      <c r="CA40" s="945"/>
      <c r="CB40" s="945"/>
      <c r="CC40" s="20"/>
      <c r="CD40" s="945"/>
      <c r="CE40" s="20"/>
      <c r="CF40" s="20"/>
      <c r="CG40" s="20"/>
      <c r="CH40" s="17"/>
      <c r="CI40" s="945"/>
      <c r="CJ40" s="945"/>
      <c r="CK40" s="20"/>
      <c r="CL40" s="945"/>
      <c r="CM40" s="20"/>
      <c r="CN40" s="20"/>
      <c r="CO40" s="20"/>
      <c r="CP40" s="17"/>
      <c r="CQ40" s="20"/>
      <c r="CR40" s="17"/>
      <c r="CS40" s="17"/>
      <c r="CT40" s="17"/>
    </row>
    <row r="41" spans="1:98" ht="20.100000000000001" customHeight="1" x14ac:dyDescent="0.2">
      <c r="A41" s="25"/>
      <c r="B41" s="25"/>
      <c r="C41" s="5947"/>
      <c r="D41" s="20"/>
      <c r="E41" s="6637" t="str">
        <f>_Calcs!$J$77</f>
        <v>Generell justering</v>
      </c>
      <c r="F41" s="6638"/>
      <c r="G41" s="6638"/>
      <c r="H41" s="6638"/>
      <c r="I41" s="6638"/>
      <c r="J41" s="6638"/>
      <c r="K41" s="6638"/>
      <c r="L41" s="6638"/>
      <c r="M41" s="6639"/>
      <c r="N41" s="129"/>
      <c r="O41" s="129"/>
      <c r="P41" s="5971"/>
      <c r="Q41" s="5971"/>
      <c r="R41" s="5971"/>
      <c r="S41" s="5971"/>
      <c r="T41" s="15"/>
      <c r="U41" s="129"/>
      <c r="V41" s="129"/>
      <c r="W41" s="129"/>
      <c r="X41" s="129"/>
      <c r="Y41" s="14"/>
      <c r="Z41" s="129"/>
      <c r="AA41" s="14"/>
      <c r="AB41" s="14"/>
      <c r="AC41" s="14"/>
      <c r="AD41" s="15"/>
      <c r="AE41" s="129"/>
      <c r="AF41" s="129"/>
      <c r="AG41" s="14"/>
      <c r="AH41" s="129"/>
      <c r="AI41" s="14"/>
      <c r="AJ41" s="14"/>
      <c r="AK41" s="14"/>
      <c r="AL41" s="15"/>
      <c r="AM41" s="129"/>
      <c r="AN41" s="129"/>
      <c r="AO41" s="14"/>
      <c r="AP41" s="129"/>
      <c r="AQ41" s="14"/>
      <c r="AR41" s="14"/>
      <c r="AS41" s="14"/>
      <c r="AT41" s="129"/>
      <c r="AU41" s="129"/>
      <c r="AV41" s="129"/>
      <c r="AW41" s="14"/>
      <c r="AX41" s="129"/>
      <c r="AY41" s="14"/>
      <c r="AZ41" s="14"/>
      <c r="BA41" s="14"/>
      <c r="BB41" s="15"/>
      <c r="BC41" s="129"/>
      <c r="BD41" s="129"/>
      <c r="BE41" s="14"/>
      <c r="BF41" s="129"/>
      <c r="BG41" s="14"/>
      <c r="BH41" s="14"/>
      <c r="BI41" s="14"/>
      <c r="BJ41" s="15"/>
      <c r="BK41" s="129"/>
      <c r="BL41" s="129"/>
      <c r="BM41" s="14"/>
      <c r="BN41" s="129"/>
      <c r="BO41" s="14"/>
      <c r="BP41" s="14"/>
      <c r="BQ41" s="14"/>
      <c r="BR41" s="129"/>
      <c r="BS41" s="129"/>
      <c r="BT41" s="129"/>
      <c r="BU41" s="14"/>
      <c r="BV41" s="129"/>
      <c r="BW41" s="14"/>
      <c r="BX41" s="14"/>
      <c r="BY41" s="14"/>
      <c r="BZ41" s="15"/>
      <c r="CA41" s="129"/>
      <c r="CB41" s="129"/>
      <c r="CC41" s="14"/>
      <c r="CD41" s="129"/>
      <c r="CE41" s="14"/>
      <c r="CF41" s="14"/>
      <c r="CG41" s="14"/>
      <c r="CH41" s="15"/>
      <c r="CI41" s="129"/>
      <c r="CJ41" s="129"/>
      <c r="CK41" s="14"/>
      <c r="CL41" s="129"/>
      <c r="CM41" s="14"/>
      <c r="CN41" s="14"/>
      <c r="CO41" s="14"/>
      <c r="CP41" s="15"/>
      <c r="CQ41" s="20"/>
      <c r="CR41" s="15"/>
      <c r="CS41" s="15"/>
      <c r="CT41" s="15"/>
    </row>
    <row r="42" spans="1:98" ht="20.100000000000001" customHeight="1" thickBot="1" x14ac:dyDescent="0.25">
      <c r="A42" s="25"/>
      <c r="B42" s="25"/>
      <c r="C42" s="6643" t="s">
        <v>115</v>
      </c>
      <c r="D42" s="20"/>
      <c r="E42" s="6640"/>
      <c r="F42" s="6641"/>
      <c r="G42" s="6641"/>
      <c r="H42" s="6641"/>
      <c r="I42" s="6641"/>
      <c r="J42" s="6641"/>
      <c r="K42" s="6641"/>
      <c r="L42" s="6641"/>
      <c r="M42" s="6642"/>
      <c r="N42" s="129"/>
      <c r="T42" s="70"/>
      <c r="V42" s="129"/>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c r="BA42" s="2617"/>
      <c r="BB42" s="2617"/>
      <c r="BC42" s="2617"/>
      <c r="BD42" s="2617"/>
      <c r="BE42" s="2617"/>
      <c r="BF42" s="2617"/>
      <c r="BG42" s="2617"/>
      <c r="BH42" s="2617"/>
      <c r="BI42" s="2617"/>
      <c r="BJ42" s="2617"/>
      <c r="BK42" s="2617"/>
      <c r="BL42" s="2617"/>
      <c r="BM42" s="2617"/>
      <c r="BN42" s="2617"/>
      <c r="BO42" s="2617"/>
      <c r="BP42" s="2617"/>
      <c r="BQ42" s="2617"/>
      <c r="BR42" s="2617"/>
      <c r="BS42" s="2617"/>
      <c r="BT42" s="2617"/>
      <c r="BU42" s="2617"/>
      <c r="BV42" s="2617"/>
      <c r="BW42" s="2617"/>
      <c r="BX42" s="2617"/>
      <c r="BY42" s="2617"/>
      <c r="BZ42" s="2617"/>
      <c r="CA42" s="2617"/>
      <c r="CB42" s="2617"/>
      <c r="CC42" s="2617"/>
      <c r="CD42" s="2617"/>
      <c r="CE42" s="2617"/>
      <c r="CF42" s="2617"/>
      <c r="CG42" s="2617"/>
      <c r="CH42" s="2617"/>
      <c r="CI42" s="2617"/>
      <c r="CJ42" s="2617"/>
      <c r="CK42" s="2617"/>
      <c r="CL42" s="2617"/>
      <c r="CM42" s="2617"/>
      <c r="CN42" s="2617"/>
      <c r="CO42" s="2617"/>
      <c r="CP42" s="2617"/>
      <c r="CQ42" s="2617"/>
      <c r="CR42" s="17"/>
      <c r="CS42" s="17"/>
      <c r="CT42" s="17"/>
    </row>
    <row r="43" spans="1:98" ht="15" customHeight="1" thickBot="1" x14ac:dyDescent="0.25">
      <c r="A43" s="25"/>
      <c r="B43" s="25"/>
      <c r="C43" s="6643"/>
      <c r="D43" s="20"/>
      <c r="E43" s="14"/>
      <c r="F43" s="996"/>
      <c r="G43" s="996"/>
      <c r="H43" s="996"/>
      <c r="I43" s="129"/>
      <c r="K43" s="14"/>
      <c r="L43" s="14"/>
      <c r="M43" s="14"/>
      <c r="N43" s="129"/>
      <c r="O43" s="129"/>
      <c r="P43" s="5971"/>
      <c r="Q43" s="5971"/>
      <c r="R43" s="5971"/>
      <c r="S43" s="5971"/>
      <c r="T43" s="15"/>
      <c r="U43" s="129"/>
      <c r="V43" s="129"/>
      <c r="W43" s="129"/>
      <c r="X43" s="129"/>
      <c r="Y43" s="14"/>
      <c r="Z43" s="129"/>
      <c r="AA43" s="14"/>
      <c r="AB43" s="14"/>
      <c r="AC43" s="14"/>
      <c r="AD43" s="15"/>
      <c r="AE43" s="129"/>
      <c r="AF43" s="129"/>
      <c r="AG43" s="14"/>
      <c r="AH43" s="129"/>
      <c r="AI43" s="14"/>
      <c r="AJ43" s="14"/>
      <c r="AK43" s="14"/>
      <c r="AL43" s="15"/>
      <c r="AM43" s="129"/>
      <c r="AN43" s="129"/>
      <c r="AO43" s="14"/>
      <c r="AP43" s="129"/>
      <c r="AQ43" s="14"/>
      <c r="AR43" s="14"/>
      <c r="AS43" s="14"/>
      <c r="AT43" s="129"/>
      <c r="AU43" s="129"/>
      <c r="AV43" s="129"/>
      <c r="AW43" s="14"/>
      <c r="AX43" s="129"/>
      <c r="AY43" s="14"/>
      <c r="AZ43" s="14"/>
      <c r="BA43" s="14"/>
      <c r="BB43" s="15"/>
      <c r="BC43" s="129"/>
      <c r="BD43" s="129"/>
      <c r="BE43" s="14"/>
      <c r="BF43" s="129"/>
      <c r="BG43" s="14"/>
      <c r="BH43" s="14"/>
      <c r="BI43" s="14"/>
      <c r="BJ43" s="129"/>
      <c r="BK43" s="129"/>
      <c r="BL43" s="129"/>
      <c r="BM43" s="14"/>
      <c r="BN43" s="129"/>
      <c r="BO43" s="14"/>
      <c r="BP43" s="14"/>
      <c r="BQ43" s="14"/>
      <c r="BR43" s="15"/>
      <c r="BS43" s="129"/>
      <c r="BT43" s="129"/>
      <c r="BU43" s="14"/>
      <c r="BV43" s="129"/>
      <c r="BW43" s="14"/>
      <c r="BX43" s="14"/>
      <c r="BY43" s="14"/>
      <c r="BZ43" s="129"/>
      <c r="CA43" s="129"/>
      <c r="CB43" s="129"/>
      <c r="CC43" s="14"/>
      <c r="CD43" s="129"/>
      <c r="CE43" s="14"/>
      <c r="CF43" s="14"/>
      <c r="CG43" s="14"/>
      <c r="CH43" s="15"/>
      <c r="CI43" s="129"/>
      <c r="CJ43" s="129"/>
      <c r="CK43" s="14"/>
      <c r="CL43" s="129"/>
      <c r="CM43" s="14"/>
      <c r="CN43" s="14"/>
      <c r="CO43" s="14"/>
      <c r="CP43" s="15"/>
      <c r="CQ43" s="20"/>
      <c r="CR43" s="15"/>
      <c r="CS43" s="15"/>
      <c r="CT43" s="15"/>
    </row>
    <row r="44" spans="1:98" ht="15" customHeight="1" thickBot="1" x14ac:dyDescent="0.25">
      <c r="A44" s="25"/>
      <c r="B44" s="25"/>
      <c r="C44" s="6643"/>
      <c r="D44" s="20"/>
      <c r="E44" s="1730"/>
      <c r="F44" s="2060"/>
      <c r="G44" s="1841"/>
      <c r="H44" s="1841"/>
      <c r="I44" s="1731"/>
      <c r="J44" s="1732"/>
      <c r="K44" s="1732"/>
      <c r="L44" s="1732"/>
      <c r="M44" s="1733"/>
      <c r="N44" s="21"/>
      <c r="O44" s="1720"/>
      <c r="P44" s="1721"/>
      <c r="Q44" s="1721"/>
      <c r="R44" s="1721"/>
      <c r="S44" s="1721"/>
      <c r="T44" s="1718"/>
      <c r="U44" s="1722"/>
      <c r="V44" s="21"/>
      <c r="W44" s="1642"/>
      <c r="X44" s="853"/>
      <c r="Y44" s="854"/>
      <c r="Z44" s="853"/>
      <c r="AA44" s="863"/>
      <c r="AB44" s="854"/>
      <c r="AC44" s="855"/>
      <c r="AD44" s="70"/>
      <c r="AE44" s="1642"/>
      <c r="AF44" s="853"/>
      <c r="AG44" s="854"/>
      <c r="AH44" s="853"/>
      <c r="AI44" s="863"/>
      <c r="AJ44" s="854"/>
      <c r="AK44" s="855"/>
      <c r="AL44" s="70"/>
      <c r="AM44" s="1642"/>
      <c r="AN44" s="853"/>
      <c r="AO44" s="854"/>
      <c r="AP44" s="853"/>
      <c r="AQ44" s="863"/>
      <c r="AR44" s="854"/>
      <c r="AS44" s="855"/>
      <c r="AT44" s="21"/>
      <c r="AU44" s="1642"/>
      <c r="AV44" s="853"/>
      <c r="AW44" s="854"/>
      <c r="AX44" s="853"/>
      <c r="AY44" s="863"/>
      <c r="AZ44" s="854"/>
      <c r="BA44" s="855"/>
      <c r="BB44" s="70"/>
      <c r="BC44" s="1642"/>
      <c r="BD44" s="853"/>
      <c r="BE44" s="854"/>
      <c r="BF44" s="853"/>
      <c r="BG44" s="863"/>
      <c r="BH44" s="854"/>
      <c r="BI44" s="855"/>
      <c r="BJ44" s="21"/>
      <c r="BK44" s="1642"/>
      <c r="BL44" s="853"/>
      <c r="BM44" s="854"/>
      <c r="BN44" s="853"/>
      <c r="BO44" s="863"/>
      <c r="BP44" s="854"/>
      <c r="BQ44" s="855"/>
      <c r="BS44" s="1642"/>
      <c r="BT44" s="853"/>
      <c r="BU44" s="854"/>
      <c r="BV44" s="853"/>
      <c r="BW44" s="863"/>
      <c r="BX44" s="854"/>
      <c r="BY44" s="855"/>
      <c r="BZ44" s="21"/>
      <c r="CA44" s="1642"/>
      <c r="CB44" s="853"/>
      <c r="CC44" s="854"/>
      <c r="CD44" s="853"/>
      <c r="CE44" s="863"/>
      <c r="CF44" s="854"/>
      <c r="CG44" s="855"/>
      <c r="CH44" s="70"/>
      <c r="CI44" s="1642"/>
      <c r="CJ44" s="853"/>
      <c r="CK44" s="854"/>
      <c r="CL44" s="853"/>
      <c r="CM44" s="863"/>
      <c r="CN44" s="854"/>
      <c r="CO44" s="855"/>
      <c r="CP44" s="70"/>
      <c r="CQ44" s="82"/>
      <c r="CR44" s="70"/>
      <c r="CS44" s="70"/>
      <c r="CT44" s="70"/>
    </row>
    <row r="45" spans="1:98" ht="35.1" customHeight="1" thickBot="1" x14ac:dyDescent="0.25">
      <c r="A45" s="25"/>
      <c r="B45" s="25"/>
      <c r="C45" s="6643"/>
      <c r="D45" s="20"/>
      <c r="E45" s="1734"/>
      <c r="F45" s="6210" t="s">
        <v>2753</v>
      </c>
      <c r="G45" s="6210"/>
      <c r="H45" s="6210"/>
      <c r="I45" s="6210"/>
      <c r="J45" s="2316" t="s">
        <v>149</v>
      </c>
      <c r="K45" s="2316"/>
      <c r="L45" s="1736"/>
      <c r="M45" s="1737"/>
      <c r="N45" s="21"/>
      <c r="O45" s="1723"/>
      <c r="P45" s="1724" t="s">
        <v>2682</v>
      </c>
      <c r="Q45" s="1724"/>
      <c r="R45" s="1724"/>
      <c r="S45" s="1724"/>
      <c r="T45" s="3976"/>
      <c r="U45" s="1725"/>
      <c r="V45" s="21"/>
      <c r="W45" s="1643"/>
      <c r="X45" s="680"/>
      <c r="Y45" s="3977"/>
      <c r="Z45" s="2314"/>
      <c r="AA45" s="1644" t="str">
        <f>IF(_Calcs!$IO$38=1,"✓","!")</f>
        <v>!</v>
      </c>
      <c r="AB45" s="82"/>
      <c r="AC45" s="857"/>
      <c r="AD45" s="70"/>
      <c r="AE45" s="1643"/>
      <c r="AF45" s="680"/>
      <c r="AG45" s="3977"/>
      <c r="AH45" s="2314"/>
      <c r="AI45" s="1644" t="str">
        <f>IF(_Calcs!$IO$39=1,"✓","!")</f>
        <v>!</v>
      </c>
      <c r="AJ45" s="82"/>
      <c r="AK45" s="857"/>
      <c r="AL45" s="70"/>
      <c r="AM45" s="1643"/>
      <c r="AN45" s="680"/>
      <c r="AO45" s="3977"/>
      <c r="AP45" s="2314"/>
      <c r="AQ45" s="1644" t="str">
        <f>IF(_Calcs!$IO$40=1,"✓","!")</f>
        <v>!</v>
      </c>
      <c r="AR45" s="82"/>
      <c r="AS45" s="857"/>
      <c r="AT45" s="21"/>
      <c r="AU45" s="1643"/>
      <c r="AV45" s="680"/>
      <c r="AW45" s="3977"/>
      <c r="AX45" s="2314"/>
      <c r="AY45" s="1644" t="str">
        <f>IF(_Calcs!$IO$41=1,"✓","!")</f>
        <v>!</v>
      </c>
      <c r="AZ45" s="82"/>
      <c r="BA45" s="857"/>
      <c r="BB45" s="70"/>
      <c r="BC45" s="1643"/>
      <c r="BD45" s="680"/>
      <c r="BE45" s="3977"/>
      <c r="BF45" s="2314"/>
      <c r="BG45" s="1644" t="str">
        <f>IF(_Calcs!$IO$42=1,"✓","!")</f>
        <v>!</v>
      </c>
      <c r="BH45" s="82"/>
      <c r="BI45" s="857"/>
      <c r="BJ45" s="21"/>
      <c r="BK45" s="1643"/>
      <c r="BL45" s="680"/>
      <c r="BM45" s="3977"/>
      <c r="BN45" s="2314"/>
      <c r="BO45" s="1644" t="str">
        <f>IF(_Calcs!$IO$43=1,"✓","!")</f>
        <v>!</v>
      </c>
      <c r="BP45" s="82"/>
      <c r="BQ45" s="857"/>
      <c r="BS45" s="1643"/>
      <c r="BT45" s="680"/>
      <c r="BU45" s="3977"/>
      <c r="BV45" s="2314"/>
      <c r="BW45" s="1644" t="str">
        <f>IF(_Calcs!$IO$44=1,"✓","!")</f>
        <v>!</v>
      </c>
      <c r="BX45" s="82"/>
      <c r="BY45" s="857"/>
      <c r="BZ45" s="21"/>
      <c r="CA45" s="1643"/>
      <c r="CB45" s="680"/>
      <c r="CC45" s="3977"/>
      <c r="CD45" s="2314"/>
      <c r="CE45" s="1644" t="str">
        <f>IF(_Calcs!$IO$45=1,"✓","!")</f>
        <v>!</v>
      </c>
      <c r="CF45" s="82"/>
      <c r="CG45" s="857"/>
      <c r="CH45" s="70"/>
      <c r="CI45" s="1643"/>
      <c r="CJ45" s="680"/>
      <c r="CK45" s="3977"/>
      <c r="CL45" s="2314"/>
      <c r="CM45" s="1644" t="str">
        <f>IF(_Calcs!$IO$46=1,"✓","!")</f>
        <v>!</v>
      </c>
      <c r="CN45" s="82"/>
      <c r="CO45" s="857"/>
      <c r="CP45" s="70"/>
      <c r="CQ45" s="82"/>
      <c r="CR45" s="70"/>
      <c r="CS45" s="70"/>
      <c r="CT45" s="70"/>
    </row>
    <row r="46" spans="1:98" ht="15" customHeight="1" thickBot="1" x14ac:dyDescent="0.25">
      <c r="A46" s="25"/>
      <c r="B46" s="25"/>
      <c r="C46" s="6643"/>
      <c r="D46" s="20"/>
      <c r="E46" s="1738"/>
      <c r="F46" s="2061"/>
      <c r="G46" s="1739"/>
      <c r="H46" s="1739"/>
      <c r="I46" s="1739"/>
      <c r="J46" s="1740"/>
      <c r="K46" s="1740"/>
      <c r="L46" s="1741"/>
      <c r="M46" s="1742"/>
      <c r="N46" s="21"/>
      <c r="O46" s="1723"/>
      <c r="P46" s="1724"/>
      <c r="Q46" s="1724"/>
      <c r="R46" s="1724"/>
      <c r="S46" s="1724"/>
      <c r="T46" s="5453"/>
      <c r="U46" s="1725"/>
      <c r="V46" s="21"/>
      <c r="W46" s="1743"/>
      <c r="X46" s="859"/>
      <c r="Y46" s="1870"/>
      <c r="Z46" s="859"/>
      <c r="AA46" s="1871"/>
      <c r="AB46" s="860"/>
      <c r="AC46" s="861"/>
      <c r="AD46" s="70"/>
      <c r="AE46" s="1743"/>
      <c r="AF46" s="859"/>
      <c r="AG46" s="1870"/>
      <c r="AH46" s="859"/>
      <c r="AI46" s="1871"/>
      <c r="AJ46" s="860"/>
      <c r="AK46" s="861"/>
      <c r="AL46" s="70"/>
      <c r="AM46" s="1743"/>
      <c r="AN46" s="859"/>
      <c r="AO46" s="1870"/>
      <c r="AP46" s="859"/>
      <c r="AQ46" s="1871"/>
      <c r="AR46" s="860"/>
      <c r="AS46" s="861"/>
      <c r="AT46" s="21"/>
      <c r="AU46" s="1743"/>
      <c r="AV46" s="859"/>
      <c r="AW46" s="1870"/>
      <c r="AX46" s="859"/>
      <c r="AY46" s="1871"/>
      <c r="AZ46" s="860"/>
      <c r="BA46" s="861"/>
      <c r="BB46" s="70"/>
      <c r="BC46" s="1743"/>
      <c r="BD46" s="859"/>
      <c r="BE46" s="1870"/>
      <c r="BF46" s="859"/>
      <c r="BG46" s="1871"/>
      <c r="BH46" s="860"/>
      <c r="BI46" s="861"/>
      <c r="BJ46" s="21"/>
      <c r="BK46" s="1743"/>
      <c r="BL46" s="859"/>
      <c r="BM46" s="1870"/>
      <c r="BN46" s="859"/>
      <c r="BO46" s="1871"/>
      <c r="BP46" s="860"/>
      <c r="BQ46" s="861"/>
      <c r="BS46" s="1743"/>
      <c r="BT46" s="859"/>
      <c r="BU46" s="1870"/>
      <c r="BV46" s="859"/>
      <c r="BW46" s="1871"/>
      <c r="BX46" s="860"/>
      <c r="BY46" s="861"/>
      <c r="BZ46" s="21"/>
      <c r="CA46" s="1743"/>
      <c r="CB46" s="859"/>
      <c r="CC46" s="1870"/>
      <c r="CD46" s="859"/>
      <c r="CE46" s="1871"/>
      <c r="CF46" s="860"/>
      <c r="CG46" s="861"/>
      <c r="CH46" s="70"/>
      <c r="CI46" s="1743"/>
      <c r="CJ46" s="859"/>
      <c r="CK46" s="1870"/>
      <c r="CL46" s="859"/>
      <c r="CM46" s="1871"/>
      <c r="CN46" s="860"/>
      <c r="CO46" s="861"/>
      <c r="CP46" s="70"/>
      <c r="CQ46" s="82"/>
      <c r="CR46" s="70"/>
      <c r="CS46" s="70"/>
      <c r="CT46" s="70"/>
    </row>
    <row r="47" spans="1:98" ht="5.0999999999999996" customHeight="1" thickBot="1" x14ac:dyDescent="0.25">
      <c r="A47" s="25"/>
      <c r="B47" s="25"/>
      <c r="C47" s="1636"/>
      <c r="D47" s="20"/>
      <c r="E47" s="20"/>
      <c r="F47" s="17"/>
      <c r="G47" s="136"/>
      <c r="H47" s="136"/>
      <c r="I47" s="136"/>
      <c r="J47" s="1181"/>
      <c r="K47" s="1181"/>
      <c r="L47" s="35"/>
      <c r="M47" s="35"/>
      <c r="N47" s="21"/>
      <c r="O47" s="1723"/>
      <c r="P47" s="1724"/>
      <c r="Q47" s="1724"/>
      <c r="R47" s="1724"/>
      <c r="S47" s="1724"/>
      <c r="T47" s="5453"/>
      <c r="U47" s="1725"/>
      <c r="V47" s="21"/>
      <c r="W47" s="1643"/>
      <c r="X47" s="680"/>
      <c r="Y47" s="83"/>
      <c r="Z47" s="680"/>
      <c r="AA47" s="81"/>
      <c r="AB47" s="82"/>
      <c r="AC47" s="857"/>
      <c r="AD47" s="70"/>
      <c r="AE47" s="1643"/>
      <c r="AF47" s="680"/>
      <c r="AG47" s="83"/>
      <c r="AH47" s="680"/>
      <c r="AI47" s="81"/>
      <c r="AJ47" s="82"/>
      <c r="AK47" s="857"/>
      <c r="AL47" s="70"/>
      <c r="AM47" s="1643"/>
      <c r="AN47" s="680"/>
      <c r="AO47" s="83"/>
      <c r="AP47" s="680"/>
      <c r="AQ47" s="81"/>
      <c r="AR47" s="82"/>
      <c r="AS47" s="857"/>
      <c r="AT47" s="21"/>
      <c r="AU47" s="1643"/>
      <c r="AV47" s="680"/>
      <c r="AW47" s="83"/>
      <c r="AX47" s="680"/>
      <c r="AY47" s="81"/>
      <c r="AZ47" s="82"/>
      <c r="BA47" s="857"/>
      <c r="BB47" s="70"/>
      <c r="BC47" s="1643"/>
      <c r="BD47" s="680"/>
      <c r="BE47" s="83"/>
      <c r="BF47" s="680"/>
      <c r="BG47" s="81"/>
      <c r="BH47" s="82"/>
      <c r="BI47" s="857"/>
      <c r="BJ47" s="21"/>
      <c r="BK47" s="1643"/>
      <c r="BL47" s="680"/>
      <c r="BM47" s="83"/>
      <c r="BN47" s="680"/>
      <c r="BO47" s="81"/>
      <c r="BP47" s="82"/>
      <c r="BQ47" s="857"/>
      <c r="BS47" s="1643"/>
      <c r="BT47" s="680"/>
      <c r="BU47" s="83"/>
      <c r="BV47" s="680"/>
      <c r="BW47" s="81"/>
      <c r="BX47" s="82"/>
      <c r="BY47" s="857"/>
      <c r="BZ47" s="21"/>
      <c r="CA47" s="1643"/>
      <c r="CB47" s="680"/>
      <c r="CC47" s="83"/>
      <c r="CD47" s="680"/>
      <c r="CE47" s="81"/>
      <c r="CF47" s="82"/>
      <c r="CG47" s="857"/>
      <c r="CH47" s="70"/>
      <c r="CI47" s="1643"/>
      <c r="CJ47" s="680"/>
      <c r="CK47" s="83"/>
      <c r="CL47" s="680"/>
      <c r="CM47" s="81"/>
      <c r="CN47" s="82"/>
      <c r="CO47" s="857"/>
      <c r="CP47" s="70"/>
      <c r="CQ47" s="82"/>
      <c r="CR47" s="70"/>
      <c r="CS47" s="70"/>
      <c r="CT47" s="70"/>
    </row>
    <row r="48" spans="1:98" ht="8.1" customHeight="1" x14ac:dyDescent="0.2">
      <c r="A48" s="25"/>
      <c r="B48" s="25"/>
      <c r="C48" s="1636"/>
      <c r="D48" s="20"/>
      <c r="E48" s="20"/>
      <c r="F48" s="17"/>
      <c r="G48" s="136"/>
      <c r="H48" s="136"/>
      <c r="I48" s="136"/>
      <c r="J48" s="16"/>
      <c r="K48" s="1181"/>
      <c r="L48" s="35"/>
      <c r="M48" s="35"/>
      <c r="N48" s="21"/>
      <c r="O48" s="1723"/>
      <c r="P48" s="6636" t="str">
        <f>_Calcs!$N$80</f>
        <v>Tidjustering</v>
      </c>
      <c r="Q48" s="1724"/>
      <c r="R48" s="1724"/>
      <c r="S48" s="1724"/>
      <c r="T48" s="6636" t="s">
        <v>146</v>
      </c>
      <c r="U48" s="1725"/>
      <c r="V48" s="21"/>
      <c r="W48" s="1643"/>
      <c r="X48" s="680"/>
      <c r="Y48" s="6629"/>
      <c r="Z48" s="680"/>
      <c r="AA48" s="6631" t="str">
        <f>IF(_Calcs!$IP$38=1,"✓","!")</f>
        <v>✓</v>
      </c>
      <c r="AB48" s="82"/>
      <c r="AC48" s="857"/>
      <c r="AD48" s="70"/>
      <c r="AE48" s="1643"/>
      <c r="AF48" s="680"/>
      <c r="AG48" s="6629"/>
      <c r="AH48" s="680"/>
      <c r="AI48" s="6631" t="str">
        <f>IF(_Calcs!$IP$39=1,"✓","!")</f>
        <v>✓</v>
      </c>
      <c r="AJ48" s="82"/>
      <c r="AK48" s="857"/>
      <c r="AL48" s="70"/>
      <c r="AM48" s="1643"/>
      <c r="AN48" s="680"/>
      <c r="AO48" s="6629"/>
      <c r="AP48" s="680"/>
      <c r="AQ48" s="6631" t="str">
        <f>IF(_Calcs!$IP$40=1,"✓","!")</f>
        <v>✓</v>
      </c>
      <c r="AR48" s="82"/>
      <c r="AS48" s="857"/>
      <c r="AT48" s="21"/>
      <c r="AU48" s="1643"/>
      <c r="AV48" s="680"/>
      <c r="AW48" s="6629"/>
      <c r="AX48" s="680"/>
      <c r="AY48" s="6631" t="str">
        <f>IF(_Calcs!$IP$41=1,"✓","!")</f>
        <v>✓</v>
      </c>
      <c r="AZ48" s="82"/>
      <c r="BA48" s="857"/>
      <c r="BB48" s="70"/>
      <c r="BC48" s="1643"/>
      <c r="BD48" s="680"/>
      <c r="BE48" s="6629"/>
      <c r="BF48" s="680"/>
      <c r="BG48" s="6631" t="str">
        <f>IF(_Calcs!$IP$42=1,"✓","!")</f>
        <v>✓</v>
      </c>
      <c r="BH48" s="82"/>
      <c r="BI48" s="857"/>
      <c r="BJ48" s="21"/>
      <c r="BK48" s="1643"/>
      <c r="BL48" s="680"/>
      <c r="BM48" s="6629"/>
      <c r="BN48" s="680"/>
      <c r="BO48" s="6631" t="str">
        <f>IF(_Calcs!$IP$43=1,"✓","!")</f>
        <v>✓</v>
      </c>
      <c r="BP48" s="82"/>
      <c r="BQ48" s="857"/>
      <c r="BS48" s="1643"/>
      <c r="BT48" s="680"/>
      <c r="BU48" s="6629"/>
      <c r="BV48" s="680"/>
      <c r="BW48" s="6631" t="str">
        <f>IF(_Calcs!$IP$44=1,"✓","!")</f>
        <v>✓</v>
      </c>
      <c r="BX48" s="82"/>
      <c r="BY48" s="857"/>
      <c r="BZ48" s="21"/>
      <c r="CA48" s="1643"/>
      <c r="CB48" s="680"/>
      <c r="CC48" s="6629"/>
      <c r="CD48" s="680"/>
      <c r="CE48" s="6631" t="str">
        <f>IF(_Calcs!$IP$45=1,"✓","!")</f>
        <v>✓</v>
      </c>
      <c r="CF48" s="82"/>
      <c r="CG48" s="857"/>
      <c r="CH48" s="70"/>
      <c r="CI48" s="1643"/>
      <c r="CJ48" s="680"/>
      <c r="CK48" s="6629"/>
      <c r="CL48" s="680"/>
      <c r="CM48" s="6631" t="str">
        <f>IF(_Calcs!$IP$46=1,"✓","!")</f>
        <v>✓</v>
      </c>
      <c r="CN48" s="82"/>
      <c r="CO48" s="857"/>
      <c r="CP48" s="70"/>
      <c r="CQ48" s="82"/>
      <c r="CR48" s="70"/>
      <c r="CS48" s="70"/>
      <c r="CT48" s="70"/>
    </row>
    <row r="49" spans="1:98" ht="12" customHeight="1" thickBot="1" x14ac:dyDescent="0.25">
      <c r="A49" s="25"/>
      <c r="B49" s="25"/>
      <c r="C49" s="1636"/>
      <c r="D49" s="20"/>
      <c r="E49" s="3978"/>
      <c r="F49" s="3979"/>
      <c r="G49" s="3978"/>
      <c r="H49" s="3978"/>
      <c r="I49" s="3978"/>
      <c r="J49" s="3980"/>
      <c r="K49" s="3978"/>
      <c r="L49" s="3978"/>
      <c r="M49" s="3978"/>
      <c r="N49" s="21"/>
      <c r="O49" s="1723"/>
      <c r="P49" s="6636"/>
      <c r="Q49" s="1724"/>
      <c r="R49" s="1724"/>
      <c r="S49" s="1724"/>
      <c r="T49" s="6636"/>
      <c r="U49" s="1725"/>
      <c r="V49" s="21"/>
      <c r="W49" s="1643"/>
      <c r="X49" s="680"/>
      <c r="Y49" s="6630"/>
      <c r="Z49" s="680"/>
      <c r="AA49" s="6632"/>
      <c r="AB49" s="82"/>
      <c r="AC49" s="857"/>
      <c r="AD49" s="70"/>
      <c r="AE49" s="1643"/>
      <c r="AF49" s="680"/>
      <c r="AG49" s="6630"/>
      <c r="AH49" s="680"/>
      <c r="AI49" s="6632"/>
      <c r="AJ49" s="82"/>
      <c r="AK49" s="857"/>
      <c r="AL49" s="70"/>
      <c r="AM49" s="1643"/>
      <c r="AN49" s="680"/>
      <c r="AO49" s="6630"/>
      <c r="AP49" s="680"/>
      <c r="AQ49" s="6632"/>
      <c r="AR49" s="82"/>
      <c r="AS49" s="857"/>
      <c r="AT49" s="21"/>
      <c r="AU49" s="1643"/>
      <c r="AV49" s="680"/>
      <c r="AW49" s="6630"/>
      <c r="AX49" s="680"/>
      <c r="AY49" s="6632"/>
      <c r="AZ49" s="82"/>
      <c r="BA49" s="857"/>
      <c r="BB49" s="70"/>
      <c r="BC49" s="1643"/>
      <c r="BD49" s="680"/>
      <c r="BE49" s="6630"/>
      <c r="BF49" s="680"/>
      <c r="BG49" s="6632"/>
      <c r="BH49" s="82"/>
      <c r="BI49" s="857"/>
      <c r="BJ49" s="21"/>
      <c r="BK49" s="1643"/>
      <c r="BL49" s="680"/>
      <c r="BM49" s="6630"/>
      <c r="BN49" s="680"/>
      <c r="BO49" s="6632"/>
      <c r="BP49" s="82"/>
      <c r="BQ49" s="857"/>
      <c r="BS49" s="1643"/>
      <c r="BT49" s="680"/>
      <c r="BU49" s="6630"/>
      <c r="BV49" s="680"/>
      <c r="BW49" s="6632"/>
      <c r="BX49" s="82"/>
      <c r="BY49" s="857"/>
      <c r="BZ49" s="21"/>
      <c r="CA49" s="1643"/>
      <c r="CB49" s="680"/>
      <c r="CC49" s="6630"/>
      <c r="CD49" s="680"/>
      <c r="CE49" s="6632"/>
      <c r="CF49" s="82"/>
      <c r="CG49" s="857"/>
      <c r="CH49" s="70"/>
      <c r="CI49" s="1643"/>
      <c r="CJ49" s="680"/>
      <c r="CK49" s="6630"/>
      <c r="CL49" s="680"/>
      <c r="CM49" s="6632"/>
      <c r="CN49" s="82"/>
      <c r="CO49" s="857"/>
      <c r="CP49" s="70"/>
      <c r="CQ49" s="82"/>
      <c r="CR49" s="70"/>
      <c r="CS49" s="70"/>
      <c r="CT49" s="70"/>
    </row>
    <row r="50" spans="1:98" ht="15" customHeight="1" thickBot="1" x14ac:dyDescent="0.25">
      <c r="A50" s="25"/>
      <c r="B50" s="25"/>
      <c r="C50" s="1636"/>
      <c r="D50" s="20"/>
      <c r="E50" s="3978"/>
      <c r="F50" s="3979"/>
      <c r="G50" s="3978"/>
      <c r="H50" s="3978"/>
      <c r="I50" s="3978"/>
      <c r="J50" s="3980"/>
      <c r="K50" s="3978"/>
      <c r="L50" s="3978"/>
      <c r="M50" s="3978"/>
      <c r="N50" s="21"/>
      <c r="O50" s="1723"/>
      <c r="P50" s="1724"/>
      <c r="Q50" s="1724"/>
      <c r="R50" s="1724"/>
      <c r="S50" s="1724"/>
      <c r="T50" s="5453"/>
      <c r="U50" s="1725"/>
      <c r="V50" s="21"/>
      <c r="W50" s="1643"/>
      <c r="X50" s="680"/>
      <c r="Y50" s="83"/>
      <c r="Z50" s="680"/>
      <c r="AA50" s="81"/>
      <c r="AB50" s="82"/>
      <c r="AC50" s="857"/>
      <c r="AD50" s="70"/>
      <c r="AE50" s="1643"/>
      <c r="AF50" s="680"/>
      <c r="AG50" s="83"/>
      <c r="AH50" s="680"/>
      <c r="AI50" s="81"/>
      <c r="AJ50" s="82"/>
      <c r="AK50" s="857"/>
      <c r="AL50" s="70"/>
      <c r="AM50" s="1643"/>
      <c r="AN50" s="680"/>
      <c r="AO50" s="83"/>
      <c r="AP50" s="680"/>
      <c r="AQ50" s="81"/>
      <c r="AR50" s="82"/>
      <c r="AS50" s="857"/>
      <c r="AT50" s="21"/>
      <c r="AU50" s="1643"/>
      <c r="AV50" s="680"/>
      <c r="AW50" s="83"/>
      <c r="AX50" s="680"/>
      <c r="AY50" s="81"/>
      <c r="AZ50" s="82"/>
      <c r="BA50" s="857"/>
      <c r="BB50" s="70"/>
      <c r="BC50" s="1643"/>
      <c r="BD50" s="680"/>
      <c r="BE50" s="83"/>
      <c r="BF50" s="680"/>
      <c r="BG50" s="81"/>
      <c r="BH50" s="82"/>
      <c r="BI50" s="857"/>
      <c r="BJ50" s="21"/>
      <c r="BK50" s="1643"/>
      <c r="BL50" s="680"/>
      <c r="BM50" s="83"/>
      <c r="BN50" s="680"/>
      <c r="BO50" s="81"/>
      <c r="BP50" s="82"/>
      <c r="BQ50" s="857"/>
      <c r="BS50" s="1643"/>
      <c r="BT50" s="680"/>
      <c r="BU50" s="83"/>
      <c r="BV50" s="680"/>
      <c r="BW50" s="81"/>
      <c r="BX50" s="82"/>
      <c r="BY50" s="857"/>
      <c r="BZ50" s="21"/>
      <c r="CA50" s="1643"/>
      <c r="CB50" s="680"/>
      <c r="CC50" s="83"/>
      <c r="CD50" s="680"/>
      <c r="CE50" s="81"/>
      <c r="CF50" s="82"/>
      <c r="CG50" s="857"/>
      <c r="CH50" s="70"/>
      <c r="CI50" s="1643"/>
      <c r="CJ50" s="680"/>
      <c r="CK50" s="83"/>
      <c r="CL50" s="680"/>
      <c r="CM50" s="81"/>
      <c r="CN50" s="82"/>
      <c r="CO50" s="857"/>
      <c r="CP50" s="70"/>
      <c r="CQ50" s="82"/>
      <c r="CR50" s="70"/>
      <c r="CS50" s="70"/>
      <c r="CT50" s="70"/>
    </row>
    <row r="51" spans="1:98" ht="20.100000000000001" customHeight="1" thickBot="1" x14ac:dyDescent="0.25">
      <c r="A51" s="25"/>
      <c r="B51" s="25"/>
      <c r="C51" s="1636"/>
      <c r="D51" s="20"/>
      <c r="E51" s="3978"/>
      <c r="F51" s="3979"/>
      <c r="G51" s="3978"/>
      <c r="H51" s="3978"/>
      <c r="I51" s="3978"/>
      <c r="J51" s="3980"/>
      <c r="K51" s="3978"/>
      <c r="L51" s="3978"/>
      <c r="M51" s="3978"/>
      <c r="N51" s="21"/>
      <c r="O51" s="1723"/>
      <c r="P51" s="1724" t="str">
        <f>_Calcs!$N$79</f>
        <v>Begrunnelse</v>
      </c>
      <c r="Q51" s="1724"/>
      <c r="R51" s="1724"/>
      <c r="S51" s="1724"/>
      <c r="T51" s="1719"/>
      <c r="U51" s="1725"/>
      <c r="V51" s="21"/>
      <c r="W51" s="1643"/>
      <c r="X51" s="680"/>
      <c r="Y51" s="3981"/>
      <c r="Z51" s="2315"/>
      <c r="AA51" s="1644" t="str">
        <f>IF(_Calcs!$IQ$38=1,"✓","!")</f>
        <v>✓</v>
      </c>
      <c r="AB51" s="82"/>
      <c r="AC51" s="857"/>
      <c r="AD51" s="70"/>
      <c r="AE51" s="1643"/>
      <c r="AF51" s="680"/>
      <c r="AG51" s="3981"/>
      <c r="AH51" s="2315"/>
      <c r="AI51" s="1644" t="str">
        <f>IF(_Calcs!$IQ$39=1,"✓","!")</f>
        <v>✓</v>
      </c>
      <c r="AJ51" s="82"/>
      <c r="AK51" s="857"/>
      <c r="AL51" s="70"/>
      <c r="AM51" s="1643"/>
      <c r="AN51" s="680"/>
      <c r="AO51" s="3981"/>
      <c r="AP51" s="2315"/>
      <c r="AQ51" s="1644" t="str">
        <f>IF(_Calcs!$IQ$40=1,"✓","!")</f>
        <v>✓</v>
      </c>
      <c r="AR51" s="82"/>
      <c r="AS51" s="857"/>
      <c r="AT51" s="21"/>
      <c r="AU51" s="1643"/>
      <c r="AV51" s="680"/>
      <c r="AW51" s="3981"/>
      <c r="AX51" s="2315"/>
      <c r="AY51" s="1644" t="str">
        <f>IF(_Calcs!$IQ$41=1,"✓","!")</f>
        <v>✓</v>
      </c>
      <c r="AZ51" s="82"/>
      <c r="BA51" s="857"/>
      <c r="BB51" s="70"/>
      <c r="BC51" s="1643"/>
      <c r="BD51" s="680"/>
      <c r="BE51" s="3981"/>
      <c r="BF51" s="2315"/>
      <c r="BG51" s="1644" t="str">
        <f>IF(_Calcs!$IQ$42=1,"✓","!")</f>
        <v>✓</v>
      </c>
      <c r="BH51" s="82"/>
      <c r="BI51" s="857"/>
      <c r="BJ51" s="21"/>
      <c r="BK51" s="1643"/>
      <c r="BL51" s="680"/>
      <c r="BM51" s="3981"/>
      <c r="BN51" s="2315"/>
      <c r="BO51" s="1644" t="str">
        <f>IF(_Calcs!$IQ$43=1,"✓","!")</f>
        <v>✓</v>
      </c>
      <c r="BP51" s="82"/>
      <c r="BQ51" s="857"/>
      <c r="BS51" s="1643"/>
      <c r="BT51" s="680"/>
      <c r="BU51" s="3981"/>
      <c r="BV51" s="2315"/>
      <c r="BW51" s="1644" t="str">
        <f>IF(_Calcs!$IQ$44=1,"✓","!")</f>
        <v>✓</v>
      </c>
      <c r="BX51" s="82"/>
      <c r="BY51" s="857"/>
      <c r="BZ51" s="21"/>
      <c r="CA51" s="1643"/>
      <c r="CB51" s="680"/>
      <c r="CC51" s="3981"/>
      <c r="CD51" s="2315"/>
      <c r="CE51" s="1644" t="str">
        <f>IF(_Calcs!$IQ$45=1,"✓","!")</f>
        <v>✓</v>
      </c>
      <c r="CF51" s="82"/>
      <c r="CG51" s="857"/>
      <c r="CH51" s="70"/>
      <c r="CI51" s="1643"/>
      <c r="CJ51" s="680"/>
      <c r="CK51" s="3981"/>
      <c r="CL51" s="2315"/>
      <c r="CM51" s="1644" t="str">
        <f>IF(_Calcs!$IQ$46=1,"✓","!")</f>
        <v>✓</v>
      </c>
      <c r="CN51" s="82"/>
      <c r="CO51" s="857"/>
      <c r="CP51" s="70"/>
      <c r="CQ51" s="82"/>
      <c r="CR51" s="70"/>
      <c r="CS51" s="70"/>
      <c r="CT51" s="70"/>
    </row>
    <row r="52" spans="1:98" ht="15" customHeight="1" thickBot="1" x14ac:dyDescent="0.25">
      <c r="A52" s="25"/>
      <c r="B52" s="25"/>
      <c r="C52" s="1636"/>
      <c r="D52" s="20"/>
      <c r="E52" s="3978"/>
      <c r="F52" s="3979"/>
      <c r="G52" s="3978"/>
      <c r="H52" s="3978"/>
      <c r="I52" s="3978"/>
      <c r="J52" s="3980"/>
      <c r="K52" s="3978"/>
      <c r="L52" s="3978"/>
      <c r="M52" s="3978"/>
      <c r="N52" s="21"/>
      <c r="O52" s="1726"/>
      <c r="P52" s="1727"/>
      <c r="Q52" s="1727"/>
      <c r="R52" s="1727"/>
      <c r="S52" s="1727"/>
      <c r="T52" s="1728"/>
      <c r="U52" s="1729"/>
      <c r="V52" s="21"/>
      <c r="W52" s="1743"/>
      <c r="X52" s="859"/>
      <c r="Y52" s="3854"/>
      <c r="Z52" s="3854"/>
      <c r="AA52" s="3982"/>
      <c r="AB52" s="860"/>
      <c r="AC52" s="861"/>
      <c r="AD52" s="70"/>
      <c r="AE52" s="1743"/>
      <c r="AF52" s="859"/>
      <c r="AG52" s="3854"/>
      <c r="AH52" s="3854"/>
      <c r="AI52" s="3982"/>
      <c r="AJ52" s="860"/>
      <c r="AK52" s="861"/>
      <c r="AL52" s="70"/>
      <c r="AM52" s="1743"/>
      <c r="AN52" s="859"/>
      <c r="AO52" s="3854"/>
      <c r="AP52" s="3854"/>
      <c r="AQ52" s="3982"/>
      <c r="AR52" s="860"/>
      <c r="AS52" s="861"/>
      <c r="AT52" s="21"/>
      <c r="AU52" s="1743"/>
      <c r="AV52" s="859"/>
      <c r="AW52" s="3854"/>
      <c r="AX52" s="3854"/>
      <c r="AY52" s="3982"/>
      <c r="AZ52" s="860"/>
      <c r="BA52" s="861"/>
      <c r="BB52" s="70"/>
      <c r="BC52" s="1743"/>
      <c r="BD52" s="859"/>
      <c r="BE52" s="3854"/>
      <c r="BF52" s="3854"/>
      <c r="BG52" s="3982"/>
      <c r="BH52" s="860"/>
      <c r="BI52" s="861"/>
      <c r="BJ52" s="21"/>
      <c r="BK52" s="1743"/>
      <c r="BL52" s="859"/>
      <c r="BM52" s="3854"/>
      <c r="BN52" s="3854"/>
      <c r="BO52" s="3982"/>
      <c r="BP52" s="860"/>
      <c r="BQ52" s="861"/>
      <c r="BS52" s="1743"/>
      <c r="BT52" s="859"/>
      <c r="BU52" s="3854"/>
      <c r="BV52" s="3854"/>
      <c r="BW52" s="3982"/>
      <c r="BX52" s="860"/>
      <c r="BY52" s="861"/>
      <c r="BZ52" s="21"/>
      <c r="CA52" s="1743"/>
      <c r="CB52" s="859"/>
      <c r="CC52" s="3854"/>
      <c r="CD52" s="3854"/>
      <c r="CE52" s="3982"/>
      <c r="CF52" s="860"/>
      <c r="CG52" s="861"/>
      <c r="CH52" s="70"/>
      <c r="CI52" s="1743"/>
      <c r="CJ52" s="859"/>
      <c r="CK52" s="3854"/>
      <c r="CL52" s="3854"/>
      <c r="CM52" s="3982"/>
      <c r="CN52" s="860"/>
      <c r="CO52" s="861"/>
      <c r="CP52" s="70"/>
      <c r="CQ52" s="82"/>
      <c r="CR52" s="70"/>
      <c r="CS52" s="70"/>
      <c r="CT52" s="70"/>
    </row>
    <row r="53" spans="1:98" s="78" customFormat="1" ht="24.95" customHeight="1" x14ac:dyDescent="0.2">
      <c r="C53" s="1636"/>
      <c r="E53" s="3879"/>
      <c r="F53" s="1893"/>
      <c r="G53" s="3879"/>
      <c r="H53" s="3879"/>
      <c r="I53" s="3879"/>
      <c r="J53" s="3880"/>
      <c r="K53" s="3879"/>
      <c r="L53" s="3879"/>
      <c r="M53" s="3879"/>
      <c r="N53" s="3881"/>
      <c r="O53" s="132"/>
      <c r="P53" s="70"/>
      <c r="T53" s="215"/>
      <c r="W53" s="215"/>
      <c r="Z53" s="21"/>
      <c r="AE53" s="215"/>
      <c r="AH53" s="21"/>
      <c r="AM53" s="215"/>
      <c r="AP53" s="21"/>
      <c r="AU53" s="215"/>
      <c r="AX53" s="21"/>
      <c r="BC53" s="215"/>
      <c r="BF53" s="21"/>
      <c r="BK53" s="215"/>
      <c r="BN53" s="21"/>
      <c r="BS53" s="215"/>
      <c r="BV53" s="21"/>
      <c r="CA53" s="215"/>
      <c r="CD53" s="21"/>
      <c r="CI53" s="215"/>
      <c r="CL53" s="21"/>
      <c r="CM53" s="132"/>
      <c r="CN53" s="70"/>
      <c r="CO53" s="70"/>
      <c r="CP53" s="70"/>
      <c r="CQ53" s="70"/>
      <c r="CR53" s="70"/>
      <c r="CS53" s="70"/>
      <c r="CT53" s="70"/>
    </row>
    <row r="54" spans="1:98" s="78" customFormat="1" ht="12" customHeight="1" x14ac:dyDescent="0.2">
      <c r="C54" s="1636"/>
      <c r="E54" s="3900"/>
      <c r="F54" s="3901"/>
      <c r="G54" s="3900"/>
      <c r="H54" s="3900"/>
      <c r="I54" s="3900"/>
      <c r="J54" s="3902"/>
      <c r="K54" s="3900"/>
      <c r="L54" s="3900"/>
      <c r="M54" s="3900"/>
      <c r="N54" s="3881"/>
      <c r="O54" s="3903"/>
      <c r="P54" s="3904"/>
      <c r="Q54" s="3905"/>
      <c r="R54" s="3905"/>
      <c r="S54" s="3905"/>
      <c r="T54" s="3906"/>
      <c r="U54" s="3905"/>
      <c r="W54" s="3906"/>
      <c r="X54" s="3905"/>
      <c r="Y54" s="3905"/>
      <c r="Z54" s="3907"/>
      <c r="AA54" s="3905"/>
      <c r="AB54" s="3905"/>
      <c r="AC54" s="3905"/>
      <c r="AE54" s="3906"/>
      <c r="AF54" s="3905"/>
      <c r="AG54" s="3905"/>
      <c r="AH54" s="3907"/>
      <c r="AI54" s="3905"/>
      <c r="AJ54" s="3905"/>
      <c r="AK54" s="3905"/>
      <c r="AM54" s="3906"/>
      <c r="AN54" s="3905"/>
      <c r="AO54" s="3905"/>
      <c r="AP54" s="3907"/>
      <c r="AQ54" s="3905"/>
      <c r="AR54" s="3905"/>
      <c r="AS54" s="3905"/>
      <c r="AU54" s="3906"/>
      <c r="AV54" s="3905"/>
      <c r="AW54" s="3905"/>
      <c r="AX54" s="3907"/>
      <c r="AY54" s="3905"/>
      <c r="AZ54" s="3905"/>
      <c r="BA54" s="3905"/>
      <c r="BC54" s="3906"/>
      <c r="BD54" s="3905"/>
      <c r="BE54" s="3905"/>
      <c r="BF54" s="3907"/>
      <c r="BG54" s="3905"/>
      <c r="BH54" s="3905"/>
      <c r="BI54" s="3905"/>
      <c r="BK54" s="3906"/>
      <c r="BL54" s="3905"/>
      <c r="BM54" s="3905"/>
      <c r="BN54" s="3907"/>
      <c r="BO54" s="3905"/>
      <c r="BP54" s="3905"/>
      <c r="BQ54" s="3905"/>
      <c r="BS54" s="3906"/>
      <c r="BT54" s="3905"/>
      <c r="BU54" s="3905"/>
      <c r="BV54" s="3907"/>
      <c r="BW54" s="3905"/>
      <c r="BX54" s="3905"/>
      <c r="BY54" s="3905"/>
      <c r="CA54" s="3906"/>
      <c r="CB54" s="3905"/>
      <c r="CC54" s="3905"/>
      <c r="CD54" s="3907"/>
      <c r="CE54" s="3905"/>
      <c r="CF54" s="3905"/>
      <c r="CG54" s="3905"/>
      <c r="CI54" s="3906"/>
      <c r="CJ54" s="3905"/>
      <c r="CK54" s="3905"/>
      <c r="CL54" s="3907"/>
      <c r="CM54" s="3903"/>
      <c r="CN54" s="3904"/>
      <c r="CO54" s="3904"/>
      <c r="CP54" s="70"/>
      <c r="CQ54" s="3904"/>
      <c r="CR54" s="70"/>
      <c r="CS54" s="70"/>
      <c r="CT54" s="70"/>
    </row>
    <row r="55" spans="1:98" ht="24.95" customHeight="1" thickBot="1" x14ac:dyDescent="0.25">
      <c r="A55" s="25"/>
      <c r="B55" s="25"/>
      <c r="C55" s="1636"/>
      <c r="D55" s="20"/>
      <c r="E55" s="20"/>
      <c r="F55" s="952"/>
      <c r="G55" s="979"/>
      <c r="H55" s="979"/>
      <c r="I55" s="136"/>
      <c r="J55" s="16"/>
      <c r="K55" s="1181"/>
      <c r="L55" s="35"/>
      <c r="M55" s="35"/>
      <c r="N55" s="21"/>
      <c r="O55" s="21"/>
      <c r="P55" s="21"/>
      <c r="Q55" s="21"/>
      <c r="R55" s="21"/>
      <c r="S55" s="21"/>
      <c r="T55" s="15"/>
      <c r="U55" s="21"/>
      <c r="V55" s="136"/>
      <c r="W55" s="136"/>
      <c r="X55" s="136"/>
      <c r="Y55" s="136"/>
      <c r="Z55" s="136"/>
      <c r="AA55" s="136"/>
      <c r="AB55" s="16"/>
      <c r="AC55" s="16"/>
      <c r="AD55" s="78"/>
      <c r="AE55" s="136"/>
      <c r="AF55" s="136"/>
      <c r="AG55" s="136"/>
      <c r="AH55" s="136"/>
      <c r="AI55" s="136"/>
      <c r="AJ55" s="16"/>
      <c r="AK55" s="16"/>
      <c r="AL55" s="78"/>
      <c r="AM55" s="136"/>
      <c r="AN55" s="136"/>
      <c r="AO55" s="136"/>
      <c r="AP55" s="136"/>
      <c r="AQ55" s="136"/>
      <c r="AR55" s="16"/>
      <c r="AS55" s="16"/>
      <c r="AT55" s="136"/>
      <c r="AU55" s="136"/>
      <c r="AV55" s="136"/>
      <c r="AW55" s="136"/>
      <c r="AX55" s="136"/>
      <c r="AY55" s="136"/>
      <c r="AZ55" s="16"/>
      <c r="BA55" s="16"/>
      <c r="BB55" s="78"/>
      <c r="BC55" s="136"/>
      <c r="BD55" s="136"/>
      <c r="BE55" s="136"/>
      <c r="BF55" s="136"/>
      <c r="BG55" s="136"/>
      <c r="BH55" s="16"/>
      <c r="BI55" s="16"/>
      <c r="BJ55" s="136"/>
      <c r="BK55" s="136"/>
      <c r="BL55" s="136"/>
      <c r="BM55" s="136"/>
      <c r="BN55" s="136"/>
      <c r="BO55" s="136"/>
      <c r="BP55" s="16"/>
      <c r="BQ55" s="16"/>
      <c r="BR55" s="78"/>
      <c r="BS55" s="136"/>
      <c r="BT55" s="136"/>
      <c r="BU55" s="136"/>
      <c r="BV55" s="136"/>
      <c r="BW55" s="136"/>
      <c r="BX55" s="16"/>
      <c r="BY55" s="16"/>
      <c r="BZ55" s="136"/>
      <c r="CA55" s="136"/>
      <c r="CB55" s="136"/>
      <c r="CC55" s="136"/>
      <c r="CD55" s="136"/>
      <c r="CE55" s="136"/>
      <c r="CF55" s="16"/>
      <c r="CG55" s="16"/>
      <c r="CH55" s="78"/>
      <c r="CI55" s="136"/>
      <c r="CJ55" s="136"/>
      <c r="CK55" s="136"/>
      <c r="CL55" s="136"/>
      <c r="CM55" s="136"/>
      <c r="CN55" s="16"/>
      <c r="CO55" s="16"/>
      <c r="CP55" s="78"/>
      <c r="CQ55" s="16"/>
      <c r="CR55" s="78"/>
      <c r="CS55" s="78"/>
      <c r="CT55" s="78"/>
    </row>
    <row r="56" spans="1:98" ht="24.95" customHeight="1" x14ac:dyDescent="0.2">
      <c r="A56" s="25"/>
      <c r="B56" s="25"/>
      <c r="C56" s="1637"/>
      <c r="D56" s="20"/>
      <c r="E56" s="6637" t="str">
        <f>_Calcs!$K$77</f>
        <v>Individuelle justeringer</v>
      </c>
      <c r="F56" s="6638"/>
      <c r="G56" s="6638"/>
      <c r="H56" s="6638"/>
      <c r="I56" s="6638"/>
      <c r="J56" s="6638"/>
      <c r="K56" s="6638"/>
      <c r="L56" s="6638"/>
      <c r="M56" s="6639"/>
      <c r="N56" s="129"/>
      <c r="O56" s="129"/>
      <c r="P56" s="5971"/>
      <c r="Q56" s="5971"/>
      <c r="R56" s="5971"/>
      <c r="S56" s="5971"/>
      <c r="T56" s="15"/>
      <c r="U56" s="129"/>
      <c r="V56" s="129"/>
      <c r="W56" s="129"/>
      <c r="X56" s="129"/>
      <c r="Y56" s="14"/>
      <c r="Z56" s="129"/>
      <c r="AA56" s="14"/>
      <c r="AB56" s="14"/>
      <c r="AC56" s="14"/>
      <c r="AD56" s="15"/>
      <c r="AE56" s="129"/>
      <c r="AF56" s="129"/>
      <c r="AG56" s="14"/>
      <c r="AH56" s="129"/>
      <c r="AI56" s="14"/>
      <c r="AJ56" s="14"/>
      <c r="AK56" s="14"/>
      <c r="AL56" s="15"/>
      <c r="AM56" s="129"/>
      <c r="AN56" s="129"/>
      <c r="AO56" s="14"/>
      <c r="AP56" s="129"/>
      <c r="AQ56" s="14"/>
      <c r="AR56" s="14"/>
      <c r="AS56" s="14"/>
      <c r="AT56" s="129"/>
      <c r="AU56" s="129"/>
      <c r="AV56" s="129"/>
      <c r="AW56" s="14"/>
      <c r="AX56" s="129"/>
      <c r="AY56" s="14"/>
      <c r="AZ56" s="14"/>
      <c r="BA56" s="14"/>
      <c r="BB56" s="15"/>
      <c r="BC56" s="129"/>
      <c r="BD56" s="129"/>
      <c r="BE56" s="14"/>
      <c r="BF56" s="129"/>
      <c r="BG56" s="14"/>
      <c r="BH56" s="14"/>
      <c r="BI56" s="14"/>
      <c r="BJ56" s="15"/>
      <c r="BK56" s="129"/>
      <c r="BL56" s="129"/>
      <c r="BM56" s="14"/>
      <c r="BN56" s="129"/>
      <c r="BO56" s="14"/>
      <c r="BP56" s="14"/>
      <c r="BQ56" s="14"/>
      <c r="BR56" s="129"/>
      <c r="BS56" s="129"/>
      <c r="BT56" s="129"/>
      <c r="BU56" s="14"/>
      <c r="BV56" s="129"/>
      <c r="BW56" s="14"/>
      <c r="BX56" s="14"/>
      <c r="BY56" s="14"/>
      <c r="BZ56" s="15"/>
      <c r="CA56" s="129"/>
      <c r="CB56" s="129"/>
      <c r="CC56" s="14"/>
      <c r="CD56" s="129"/>
      <c r="CE56" s="14"/>
      <c r="CF56" s="14"/>
      <c r="CG56" s="14"/>
      <c r="CH56" s="15"/>
      <c r="CI56" s="129"/>
      <c r="CJ56" s="129"/>
      <c r="CK56" s="14"/>
      <c r="CL56" s="129"/>
      <c r="CM56" s="14"/>
      <c r="CN56" s="14"/>
      <c r="CO56" s="14"/>
      <c r="CP56" s="15"/>
      <c r="CQ56" s="20"/>
      <c r="CR56" s="15"/>
      <c r="CS56" s="15"/>
      <c r="CT56" s="15"/>
    </row>
    <row r="57" spans="1:98" ht="15" customHeight="1" thickBot="1" x14ac:dyDescent="0.25">
      <c r="A57" s="25"/>
      <c r="B57" s="25"/>
      <c r="C57" s="1637"/>
      <c r="D57" s="20"/>
      <c r="E57" s="6640"/>
      <c r="F57" s="6641"/>
      <c r="G57" s="6641"/>
      <c r="H57" s="6641"/>
      <c r="I57" s="6641"/>
      <c r="J57" s="6641"/>
      <c r="K57" s="6641"/>
      <c r="L57" s="6641"/>
      <c r="M57" s="6642"/>
      <c r="N57" s="129"/>
      <c r="O57" s="78"/>
      <c r="P57" s="78"/>
      <c r="Q57" s="78"/>
      <c r="R57" s="78"/>
      <c r="S57" s="78"/>
      <c r="T57" s="78"/>
      <c r="U57" s="78"/>
      <c r="V57" s="945"/>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7"/>
      <c r="CS57" s="17"/>
      <c r="CT57" s="17"/>
    </row>
    <row r="58" spans="1:98" ht="15" customHeight="1" thickBot="1" x14ac:dyDescent="0.25">
      <c r="A58" s="25"/>
      <c r="B58" s="25"/>
      <c r="C58" s="1636"/>
      <c r="D58" s="20"/>
      <c r="E58" s="14"/>
      <c r="F58" s="996"/>
      <c r="G58" s="996"/>
      <c r="H58" s="996"/>
      <c r="I58" s="129"/>
      <c r="K58" s="14"/>
      <c r="L58" s="14"/>
      <c r="M58" s="14"/>
      <c r="N58" s="129"/>
      <c r="O58" s="129"/>
      <c r="P58" s="5971"/>
      <c r="Q58" s="5971"/>
      <c r="R58" s="5971"/>
      <c r="S58" s="5971"/>
      <c r="T58" s="15"/>
      <c r="U58" s="129"/>
      <c r="V58" s="129"/>
      <c r="W58" s="129"/>
      <c r="X58" s="129"/>
      <c r="Y58" s="14"/>
      <c r="Z58" s="129"/>
      <c r="AA58" s="14"/>
      <c r="AB58" s="14"/>
      <c r="AC58" s="14"/>
      <c r="AD58" s="15"/>
      <c r="AE58" s="129"/>
      <c r="AF58" s="129"/>
      <c r="AG58" s="14"/>
      <c r="AH58" s="129"/>
      <c r="AI58" s="14"/>
      <c r="AJ58" s="14"/>
      <c r="AK58" s="14"/>
      <c r="AL58" s="15"/>
      <c r="AM58" s="129"/>
      <c r="AN58" s="129"/>
      <c r="AO58" s="14"/>
      <c r="AP58" s="129"/>
      <c r="AQ58" s="14"/>
      <c r="AR58" s="14"/>
      <c r="AS58" s="14"/>
      <c r="AT58" s="129"/>
      <c r="AU58" s="129"/>
      <c r="AV58" s="129"/>
      <c r="AW58" s="14"/>
      <c r="AX58" s="129"/>
      <c r="AY58" s="14"/>
      <c r="AZ58" s="14"/>
      <c r="BA58" s="14"/>
      <c r="BB58" s="15"/>
      <c r="BC58" s="129"/>
      <c r="BD58" s="129"/>
      <c r="BE58" s="14"/>
      <c r="BF58" s="129"/>
      <c r="BG58" s="14"/>
      <c r="BH58" s="14"/>
      <c r="BI58" s="14"/>
      <c r="BJ58" s="129"/>
      <c r="BK58" s="129"/>
      <c r="BL58" s="129"/>
      <c r="BM58" s="14"/>
      <c r="BN58" s="129"/>
      <c r="BO58" s="14"/>
      <c r="BP58" s="14"/>
      <c r="BQ58" s="14"/>
      <c r="BR58" s="15"/>
      <c r="BS58" s="129"/>
      <c r="BT58" s="129"/>
      <c r="BU58" s="14"/>
      <c r="BV58" s="129"/>
      <c r="BW58" s="14"/>
      <c r="BX58" s="14"/>
      <c r="BY58" s="14"/>
      <c r="BZ58" s="129"/>
      <c r="CA58" s="129"/>
      <c r="CB58" s="129"/>
      <c r="CC58" s="14"/>
      <c r="CD58" s="129"/>
      <c r="CE58" s="14"/>
      <c r="CF58" s="14"/>
      <c r="CG58" s="14"/>
      <c r="CH58" s="15"/>
      <c r="CI58" s="129"/>
      <c r="CJ58" s="129"/>
      <c r="CK58" s="14"/>
      <c r="CL58" s="129"/>
      <c r="CM58" s="14"/>
      <c r="CN58" s="14"/>
      <c r="CO58" s="14"/>
      <c r="CP58" s="15"/>
      <c r="CQ58" s="20"/>
      <c r="CR58" s="15"/>
      <c r="CS58" s="15"/>
      <c r="CT58" s="15"/>
    </row>
    <row r="59" spans="1:98" ht="15" customHeight="1" thickBot="1" x14ac:dyDescent="0.25">
      <c r="A59" s="25"/>
      <c r="B59" s="25"/>
      <c r="C59" s="1636"/>
      <c r="D59" s="20"/>
      <c r="E59" s="1730"/>
      <c r="F59" s="2057"/>
      <c r="G59" s="1731"/>
      <c r="H59" s="1731"/>
      <c r="I59" s="1731"/>
      <c r="J59" s="1732"/>
      <c r="K59" s="1732"/>
      <c r="L59" s="1732"/>
      <c r="M59" s="1733"/>
      <c r="N59" s="21"/>
      <c r="O59" s="1720"/>
      <c r="P59" s="1721"/>
      <c r="Q59" s="1721"/>
      <c r="R59" s="1721"/>
      <c r="S59" s="1721"/>
      <c r="T59" s="1718"/>
      <c r="U59" s="1722"/>
      <c r="V59" s="21"/>
      <c r="W59" s="1642"/>
      <c r="X59" s="853"/>
      <c r="Y59" s="854"/>
      <c r="Z59" s="853"/>
      <c r="AA59" s="863"/>
      <c r="AB59" s="854"/>
      <c r="AC59" s="855"/>
      <c r="AD59" s="70"/>
      <c r="AE59" s="1642"/>
      <c r="AF59" s="853"/>
      <c r="AG59" s="854"/>
      <c r="AH59" s="853"/>
      <c r="AI59" s="863"/>
      <c r="AJ59" s="854"/>
      <c r="AK59" s="855"/>
      <c r="AL59" s="70"/>
      <c r="AM59" s="1642"/>
      <c r="AN59" s="853"/>
      <c r="AO59" s="854"/>
      <c r="AP59" s="853"/>
      <c r="AQ59" s="863"/>
      <c r="AR59" s="854"/>
      <c r="AS59" s="855"/>
      <c r="AT59" s="21"/>
      <c r="AU59" s="1642"/>
      <c r="AV59" s="853"/>
      <c r="AW59" s="854"/>
      <c r="AX59" s="853"/>
      <c r="AY59" s="863"/>
      <c r="AZ59" s="854"/>
      <c r="BA59" s="855"/>
      <c r="BB59" s="70"/>
      <c r="BC59" s="1642"/>
      <c r="BD59" s="853"/>
      <c r="BE59" s="854"/>
      <c r="BF59" s="853"/>
      <c r="BG59" s="863"/>
      <c r="BH59" s="854"/>
      <c r="BI59" s="855"/>
      <c r="BJ59" s="21"/>
      <c r="BK59" s="1642"/>
      <c r="BL59" s="853"/>
      <c r="BM59" s="854"/>
      <c r="BN59" s="853"/>
      <c r="BO59" s="863"/>
      <c r="BP59" s="854"/>
      <c r="BQ59" s="855"/>
      <c r="BS59" s="1642"/>
      <c r="BT59" s="853"/>
      <c r="BU59" s="854"/>
      <c r="BV59" s="853"/>
      <c r="BW59" s="863"/>
      <c r="BX59" s="854"/>
      <c r="BY59" s="855"/>
      <c r="BZ59" s="21"/>
      <c r="CA59" s="1642"/>
      <c r="CB59" s="853"/>
      <c r="CC59" s="854"/>
      <c r="CD59" s="853"/>
      <c r="CE59" s="863"/>
      <c r="CF59" s="854"/>
      <c r="CG59" s="855"/>
      <c r="CH59" s="70"/>
      <c r="CI59" s="1642"/>
      <c r="CJ59" s="853"/>
      <c r="CK59" s="854"/>
      <c r="CL59" s="853"/>
      <c r="CM59" s="863"/>
      <c r="CN59" s="854"/>
      <c r="CO59" s="855"/>
      <c r="CP59" s="70"/>
      <c r="CQ59" s="82"/>
      <c r="CR59" s="70"/>
      <c r="CS59" s="70"/>
      <c r="CT59" s="70"/>
    </row>
    <row r="60" spans="1:98" ht="24.95" customHeight="1" thickBot="1" x14ac:dyDescent="0.25">
      <c r="A60" s="25"/>
      <c r="B60" s="25"/>
      <c r="C60" s="1636"/>
      <c r="D60" s="20"/>
      <c r="E60" s="1734"/>
      <c r="F60" s="2058" t="str">
        <f>_Calcs!$L$77</f>
        <v>Krevende geologi og/eller svakhetssoner</v>
      </c>
      <c r="G60" s="1838"/>
      <c r="H60" s="1838"/>
      <c r="I60" s="1735"/>
      <c r="J60" s="2316" t="s">
        <v>149</v>
      </c>
      <c r="K60" s="2316"/>
      <c r="L60" s="1736"/>
      <c r="M60" s="1737"/>
      <c r="N60" s="21"/>
      <c r="O60" s="1723"/>
      <c r="P60" s="1724" t="str">
        <f>_Calcs!$N$81</f>
        <v>Påvirkning</v>
      </c>
      <c r="Q60" s="1724"/>
      <c r="R60" s="1724"/>
      <c r="S60" s="1724"/>
      <c r="T60" s="3976"/>
      <c r="U60" s="1725"/>
      <c r="V60" s="21"/>
      <c r="W60" s="1643"/>
      <c r="X60" s="680"/>
      <c r="Y60" s="3983"/>
      <c r="Z60" s="2314"/>
      <c r="AA60" s="1644" t="str">
        <f>IF(_Calcs!$IR$38=1,"✓","!")</f>
        <v>✓</v>
      </c>
      <c r="AB60" s="82"/>
      <c r="AC60" s="857"/>
      <c r="AD60" s="70"/>
      <c r="AE60" s="1643"/>
      <c r="AF60" s="680"/>
      <c r="AG60" s="3983"/>
      <c r="AH60" s="2314"/>
      <c r="AI60" s="1644" t="str">
        <f>IF(_Calcs!$IR$39=1,"✓","!")</f>
        <v>✓</v>
      </c>
      <c r="AJ60" s="82"/>
      <c r="AK60" s="857"/>
      <c r="AL60" s="70"/>
      <c r="AM60" s="1643"/>
      <c r="AN60" s="680"/>
      <c r="AO60" s="3983"/>
      <c r="AP60" s="2314"/>
      <c r="AQ60" s="1644" t="str">
        <f>IF(_Calcs!$IR$40=1,"✓","!")</f>
        <v>✓</v>
      </c>
      <c r="AR60" s="82"/>
      <c r="AS60" s="857"/>
      <c r="AT60" s="21"/>
      <c r="AU60" s="1643"/>
      <c r="AV60" s="680"/>
      <c r="AW60" s="3983"/>
      <c r="AX60" s="2314"/>
      <c r="AY60" s="1644" t="str">
        <f>IF(_Calcs!$IR$41=1,"✓","!")</f>
        <v>✓</v>
      </c>
      <c r="AZ60" s="82"/>
      <c r="BA60" s="857"/>
      <c r="BB60" s="70"/>
      <c r="BC60" s="1643"/>
      <c r="BD60" s="680"/>
      <c r="BE60" s="3983"/>
      <c r="BF60" s="2314"/>
      <c r="BG60" s="1644" t="str">
        <f>IF(_Calcs!$IR$42=1,"✓","!")</f>
        <v>✓</v>
      </c>
      <c r="BH60" s="82"/>
      <c r="BI60" s="857"/>
      <c r="BJ60" s="21"/>
      <c r="BK60" s="1643"/>
      <c r="BL60" s="680"/>
      <c r="BM60" s="3983"/>
      <c r="BN60" s="2314"/>
      <c r="BO60" s="1644" t="str">
        <f>IF(_Calcs!$IR$43=1,"✓","!")</f>
        <v>✓</v>
      </c>
      <c r="BP60" s="82"/>
      <c r="BQ60" s="857"/>
      <c r="BS60" s="1643"/>
      <c r="BT60" s="680"/>
      <c r="BU60" s="3983"/>
      <c r="BV60" s="2314"/>
      <c r="BW60" s="1644" t="str">
        <f>IF(_Calcs!$IR$44=1,"✓","!")</f>
        <v>✓</v>
      </c>
      <c r="BX60" s="82"/>
      <c r="BY60" s="857"/>
      <c r="BZ60" s="21"/>
      <c r="CA60" s="1643"/>
      <c r="CB60" s="680"/>
      <c r="CC60" s="3983"/>
      <c r="CD60" s="2314"/>
      <c r="CE60" s="1644" t="str">
        <f>IF(_Calcs!$IR$45=1,"✓","!")</f>
        <v>✓</v>
      </c>
      <c r="CF60" s="82"/>
      <c r="CG60" s="857"/>
      <c r="CH60" s="70"/>
      <c r="CI60" s="1643"/>
      <c r="CJ60" s="680"/>
      <c r="CK60" s="3983"/>
      <c r="CL60" s="2314"/>
      <c r="CM60" s="1644" t="str">
        <f>IF(_Calcs!$IR$46=1,"✓","!")</f>
        <v>✓</v>
      </c>
      <c r="CN60" s="82"/>
      <c r="CO60" s="857"/>
      <c r="CP60" s="70"/>
      <c r="CQ60" s="82"/>
      <c r="CR60" s="70"/>
      <c r="CS60" s="70"/>
      <c r="CT60" s="70"/>
    </row>
    <row r="61" spans="1:98" ht="15" customHeight="1" thickBot="1" x14ac:dyDescent="0.25">
      <c r="A61" s="25"/>
      <c r="B61" s="25"/>
      <c r="C61" s="3832"/>
      <c r="D61" s="20"/>
      <c r="E61" s="1738"/>
      <c r="F61" s="2059"/>
      <c r="G61" s="1839"/>
      <c r="H61" s="1839"/>
      <c r="I61" s="1739"/>
      <c r="J61" s="1740"/>
      <c r="K61" s="1740"/>
      <c r="L61" s="1741"/>
      <c r="M61" s="1742"/>
      <c r="N61" s="21"/>
      <c r="O61" s="1723"/>
      <c r="P61" s="1724"/>
      <c r="Q61" s="1724"/>
      <c r="R61" s="1724"/>
      <c r="S61" s="1724"/>
      <c r="T61" s="5453"/>
      <c r="U61" s="1725"/>
      <c r="V61" s="21"/>
      <c r="W61" s="1743"/>
      <c r="X61" s="859"/>
      <c r="Y61" s="1870"/>
      <c r="Z61" s="859"/>
      <c r="AA61" s="1871"/>
      <c r="AB61" s="860"/>
      <c r="AC61" s="861"/>
      <c r="AD61" s="70"/>
      <c r="AE61" s="1743"/>
      <c r="AF61" s="859"/>
      <c r="AG61" s="1870"/>
      <c r="AH61" s="859"/>
      <c r="AI61" s="1871"/>
      <c r="AJ61" s="860"/>
      <c r="AK61" s="861"/>
      <c r="AL61" s="70"/>
      <c r="AM61" s="1743"/>
      <c r="AN61" s="859"/>
      <c r="AO61" s="1870"/>
      <c r="AP61" s="859"/>
      <c r="AQ61" s="1871"/>
      <c r="AR61" s="860"/>
      <c r="AS61" s="861"/>
      <c r="AT61" s="21"/>
      <c r="AU61" s="1743"/>
      <c r="AV61" s="859"/>
      <c r="AW61" s="1870"/>
      <c r="AX61" s="859"/>
      <c r="AY61" s="1871"/>
      <c r="AZ61" s="860"/>
      <c r="BA61" s="861"/>
      <c r="BB61" s="70"/>
      <c r="BC61" s="1743"/>
      <c r="BD61" s="859"/>
      <c r="BE61" s="1870"/>
      <c r="BF61" s="859"/>
      <c r="BG61" s="1871"/>
      <c r="BH61" s="860"/>
      <c r="BI61" s="861"/>
      <c r="BJ61" s="21"/>
      <c r="BK61" s="1743"/>
      <c r="BL61" s="859"/>
      <c r="BM61" s="1870"/>
      <c r="BN61" s="859"/>
      <c r="BO61" s="1871"/>
      <c r="BP61" s="860"/>
      <c r="BQ61" s="861"/>
      <c r="BS61" s="1743"/>
      <c r="BT61" s="859"/>
      <c r="BU61" s="1870"/>
      <c r="BV61" s="859"/>
      <c r="BW61" s="1871"/>
      <c r="BX61" s="860"/>
      <c r="BY61" s="861"/>
      <c r="BZ61" s="21"/>
      <c r="CA61" s="1743"/>
      <c r="CB61" s="859"/>
      <c r="CC61" s="1870"/>
      <c r="CD61" s="859"/>
      <c r="CE61" s="1871"/>
      <c r="CF61" s="860"/>
      <c r="CG61" s="861"/>
      <c r="CH61" s="70"/>
      <c r="CI61" s="1743"/>
      <c r="CJ61" s="859"/>
      <c r="CK61" s="1870"/>
      <c r="CL61" s="859"/>
      <c r="CM61" s="1871"/>
      <c r="CN61" s="860"/>
      <c r="CO61" s="861"/>
      <c r="CP61" s="70"/>
      <c r="CQ61" s="82"/>
      <c r="CR61" s="70"/>
      <c r="CS61" s="70"/>
      <c r="CT61" s="70"/>
    </row>
    <row r="62" spans="1:98" ht="5.0999999999999996" customHeight="1" thickBot="1" x14ac:dyDescent="0.25">
      <c r="A62" s="25"/>
      <c r="B62" s="25"/>
      <c r="C62" s="5914"/>
      <c r="D62" s="20"/>
      <c r="E62" s="20"/>
      <c r="F62" s="952"/>
      <c r="G62" s="979"/>
      <c r="H62" s="979"/>
      <c r="I62" s="136"/>
      <c r="J62" s="1181"/>
      <c r="K62" s="1181"/>
      <c r="L62" s="35"/>
      <c r="M62" s="35"/>
      <c r="N62" s="21"/>
      <c r="O62" s="1723"/>
      <c r="P62" s="1724"/>
      <c r="Q62" s="1724"/>
      <c r="R62" s="1724"/>
      <c r="S62" s="1724"/>
      <c r="T62" s="5453"/>
      <c r="U62" s="1725"/>
      <c r="V62" s="21"/>
      <c r="W62" s="1643"/>
      <c r="X62" s="680"/>
      <c r="Y62" s="83"/>
      <c r="Z62" s="680"/>
      <c r="AA62" s="81"/>
      <c r="AB62" s="82"/>
      <c r="AC62" s="857"/>
      <c r="AD62" s="70"/>
      <c r="AE62" s="1643"/>
      <c r="AF62" s="680"/>
      <c r="AG62" s="83"/>
      <c r="AH62" s="680"/>
      <c r="AI62" s="81"/>
      <c r="AJ62" s="82"/>
      <c r="AK62" s="857"/>
      <c r="AL62" s="70"/>
      <c r="AM62" s="1643"/>
      <c r="AN62" s="680"/>
      <c r="AO62" s="83"/>
      <c r="AP62" s="680"/>
      <c r="AQ62" s="81"/>
      <c r="AR62" s="82"/>
      <c r="AS62" s="857"/>
      <c r="AT62" s="21"/>
      <c r="AU62" s="1643"/>
      <c r="AV62" s="680"/>
      <c r="AW62" s="83"/>
      <c r="AX62" s="680"/>
      <c r="AY62" s="81"/>
      <c r="AZ62" s="82"/>
      <c r="BA62" s="857"/>
      <c r="BB62" s="70"/>
      <c r="BC62" s="1643"/>
      <c r="BD62" s="680"/>
      <c r="BE62" s="83"/>
      <c r="BF62" s="680"/>
      <c r="BG62" s="81"/>
      <c r="BH62" s="82"/>
      <c r="BI62" s="857"/>
      <c r="BJ62" s="21"/>
      <c r="BK62" s="1643"/>
      <c r="BL62" s="680"/>
      <c r="BM62" s="83"/>
      <c r="BN62" s="680"/>
      <c r="BO62" s="81"/>
      <c r="BP62" s="82"/>
      <c r="BQ62" s="857"/>
      <c r="BS62" s="1643"/>
      <c r="BT62" s="680"/>
      <c r="BU62" s="83"/>
      <c r="BV62" s="680"/>
      <c r="BW62" s="81"/>
      <c r="BX62" s="82"/>
      <c r="BY62" s="857"/>
      <c r="BZ62" s="21"/>
      <c r="CA62" s="1643"/>
      <c r="CB62" s="680"/>
      <c r="CC62" s="83"/>
      <c r="CD62" s="680"/>
      <c r="CE62" s="81"/>
      <c r="CF62" s="82"/>
      <c r="CG62" s="857"/>
      <c r="CH62" s="70"/>
      <c r="CI62" s="1643"/>
      <c r="CJ62" s="680"/>
      <c r="CK62" s="83"/>
      <c r="CL62" s="680"/>
      <c r="CM62" s="81"/>
      <c r="CN62" s="82"/>
      <c r="CO62" s="857"/>
      <c r="CP62" s="70"/>
      <c r="CQ62" s="16"/>
      <c r="CR62" s="70"/>
      <c r="CS62" s="70"/>
      <c r="CT62" s="70"/>
    </row>
    <row r="63" spans="1:98" ht="8.1" customHeight="1" x14ac:dyDescent="0.2">
      <c r="A63" s="25"/>
      <c r="B63" s="25"/>
      <c r="C63" s="1842"/>
      <c r="D63" s="20"/>
      <c r="F63" s="535"/>
      <c r="G63" s="1862"/>
      <c r="H63" s="1862"/>
      <c r="N63" s="21"/>
      <c r="O63" s="1723"/>
      <c r="P63" s="6636" t="str">
        <f>_Calcs!$N$80</f>
        <v>Tidjustering</v>
      </c>
      <c r="Q63" s="1724"/>
      <c r="R63" s="1724"/>
      <c r="S63" s="1724"/>
      <c r="T63" s="6636" t="s">
        <v>146</v>
      </c>
      <c r="U63" s="1725"/>
      <c r="V63" s="21"/>
      <c r="W63" s="1643"/>
      <c r="X63" s="680"/>
      <c r="Y63" s="6629"/>
      <c r="Z63" s="680"/>
      <c r="AA63" s="6631" t="str">
        <f>IF(_Calcs!$IS$38=1,"✓","!")</f>
        <v>✓</v>
      </c>
      <c r="AB63" s="82"/>
      <c r="AC63" s="857"/>
      <c r="AD63" s="70"/>
      <c r="AE63" s="1643"/>
      <c r="AF63" s="680"/>
      <c r="AG63" s="6629"/>
      <c r="AH63" s="680"/>
      <c r="AI63" s="6631" t="str">
        <f>IF(_Calcs!$IS$39=1,"✓","!")</f>
        <v>✓</v>
      </c>
      <c r="AJ63" s="82"/>
      <c r="AK63" s="857"/>
      <c r="AL63" s="70"/>
      <c r="AM63" s="1643"/>
      <c r="AN63" s="680"/>
      <c r="AO63" s="6629"/>
      <c r="AP63" s="680"/>
      <c r="AQ63" s="6631" t="str">
        <f>IF(_Calcs!$IS$40=1,"✓","!")</f>
        <v>✓</v>
      </c>
      <c r="AR63" s="82"/>
      <c r="AS63" s="857"/>
      <c r="AT63" s="21"/>
      <c r="AU63" s="1643"/>
      <c r="AV63" s="680"/>
      <c r="AW63" s="6629"/>
      <c r="AX63" s="680"/>
      <c r="AY63" s="6631" t="str">
        <f>IF(_Calcs!$IS$41=1,"✓","!")</f>
        <v>✓</v>
      </c>
      <c r="AZ63" s="82"/>
      <c r="BA63" s="857"/>
      <c r="BB63" s="70"/>
      <c r="BC63" s="1643"/>
      <c r="BD63" s="680"/>
      <c r="BE63" s="6629"/>
      <c r="BF63" s="680"/>
      <c r="BG63" s="6631" t="str">
        <f>IF(_Calcs!$IS$42=1,"✓","!")</f>
        <v>✓</v>
      </c>
      <c r="BH63" s="82"/>
      <c r="BI63" s="857"/>
      <c r="BJ63" s="21"/>
      <c r="BK63" s="1643"/>
      <c r="BL63" s="680"/>
      <c r="BM63" s="6629"/>
      <c r="BN63" s="680"/>
      <c r="BO63" s="6631" t="str">
        <f>IF(_Calcs!$IS$43=1,"✓","!")</f>
        <v>✓</v>
      </c>
      <c r="BP63" s="82"/>
      <c r="BQ63" s="857"/>
      <c r="BS63" s="1643"/>
      <c r="BT63" s="680"/>
      <c r="BU63" s="6629"/>
      <c r="BV63" s="680"/>
      <c r="BW63" s="6631" t="str">
        <f>IF(_Calcs!$IS$44=1,"✓","!")</f>
        <v>✓</v>
      </c>
      <c r="BX63" s="82"/>
      <c r="BY63" s="857"/>
      <c r="BZ63" s="21"/>
      <c r="CA63" s="1643"/>
      <c r="CB63" s="680"/>
      <c r="CC63" s="6629"/>
      <c r="CD63" s="680"/>
      <c r="CE63" s="6631" t="str">
        <f>IF(_Calcs!$IS$45=1,"✓","!")</f>
        <v>✓</v>
      </c>
      <c r="CF63" s="82"/>
      <c r="CG63" s="857"/>
      <c r="CH63" s="70"/>
      <c r="CI63" s="1643"/>
      <c r="CJ63" s="680"/>
      <c r="CK63" s="6629"/>
      <c r="CL63" s="680"/>
      <c r="CM63" s="6631" t="str">
        <f>IF(_Calcs!$IS$46=1,"✓","!")</f>
        <v>✓</v>
      </c>
      <c r="CN63" s="82"/>
      <c r="CO63" s="857"/>
      <c r="CP63" s="70"/>
      <c r="CQ63" s="2491"/>
      <c r="CR63" s="70"/>
      <c r="CS63" s="70"/>
      <c r="CT63" s="70"/>
    </row>
    <row r="64" spans="1:98" ht="12" customHeight="1" thickBot="1" x14ac:dyDescent="0.25">
      <c r="A64" s="25"/>
      <c r="B64" s="25"/>
      <c r="C64" s="1842"/>
      <c r="D64" s="20"/>
      <c r="E64" s="3978"/>
      <c r="F64" s="3984"/>
      <c r="G64" s="3985"/>
      <c r="H64" s="3985"/>
      <c r="I64" s="3978"/>
      <c r="J64" s="3980"/>
      <c r="K64" s="3978"/>
      <c r="L64" s="3978"/>
      <c r="M64" s="3978"/>
      <c r="N64" s="21"/>
      <c r="O64" s="1723"/>
      <c r="P64" s="6636"/>
      <c r="Q64" s="1724"/>
      <c r="R64" s="1724"/>
      <c r="S64" s="1724"/>
      <c r="T64" s="6636"/>
      <c r="U64" s="1725"/>
      <c r="V64" s="21"/>
      <c r="W64" s="1643"/>
      <c r="X64" s="680"/>
      <c r="Y64" s="6630"/>
      <c r="Z64" s="680"/>
      <c r="AA64" s="6632"/>
      <c r="AB64" s="82"/>
      <c r="AC64" s="857"/>
      <c r="AD64" s="70"/>
      <c r="AE64" s="1643"/>
      <c r="AF64" s="680"/>
      <c r="AG64" s="6630"/>
      <c r="AH64" s="680"/>
      <c r="AI64" s="6632"/>
      <c r="AJ64" s="82"/>
      <c r="AK64" s="857"/>
      <c r="AL64" s="70"/>
      <c r="AM64" s="1643"/>
      <c r="AN64" s="680"/>
      <c r="AO64" s="6630"/>
      <c r="AP64" s="680"/>
      <c r="AQ64" s="6632"/>
      <c r="AR64" s="82"/>
      <c r="AS64" s="857"/>
      <c r="AT64" s="21"/>
      <c r="AU64" s="1643"/>
      <c r="AV64" s="680"/>
      <c r="AW64" s="6630"/>
      <c r="AX64" s="680"/>
      <c r="AY64" s="6632"/>
      <c r="AZ64" s="82"/>
      <c r="BA64" s="857"/>
      <c r="BB64" s="70"/>
      <c r="BC64" s="1643"/>
      <c r="BD64" s="680"/>
      <c r="BE64" s="6630"/>
      <c r="BF64" s="680"/>
      <c r="BG64" s="6632"/>
      <c r="BH64" s="82"/>
      <c r="BI64" s="857"/>
      <c r="BJ64" s="21"/>
      <c r="BK64" s="1643"/>
      <c r="BL64" s="680"/>
      <c r="BM64" s="6630"/>
      <c r="BN64" s="680"/>
      <c r="BO64" s="6632"/>
      <c r="BP64" s="82"/>
      <c r="BQ64" s="857"/>
      <c r="BS64" s="1643"/>
      <c r="BT64" s="680"/>
      <c r="BU64" s="6630"/>
      <c r="BV64" s="680"/>
      <c r="BW64" s="6632"/>
      <c r="BX64" s="82"/>
      <c r="BY64" s="857"/>
      <c r="BZ64" s="21"/>
      <c r="CA64" s="1643"/>
      <c r="CB64" s="680"/>
      <c r="CC64" s="6630"/>
      <c r="CD64" s="680"/>
      <c r="CE64" s="6632"/>
      <c r="CF64" s="82"/>
      <c r="CG64" s="857"/>
      <c r="CH64" s="70"/>
      <c r="CI64" s="1643"/>
      <c r="CJ64" s="680"/>
      <c r="CK64" s="6630"/>
      <c r="CL64" s="680"/>
      <c r="CM64" s="6632"/>
      <c r="CN64" s="82"/>
      <c r="CO64" s="857"/>
      <c r="CP64" s="70"/>
      <c r="CQ64" s="16"/>
      <c r="CR64" s="70"/>
      <c r="CS64" s="70"/>
      <c r="CT64" s="70"/>
    </row>
    <row r="65" spans="1:98" ht="15" customHeight="1" thickBot="1" x14ac:dyDescent="0.25">
      <c r="A65" s="25"/>
      <c r="B65" s="25"/>
      <c r="C65" s="1842"/>
      <c r="D65" s="20"/>
      <c r="E65" s="3978"/>
      <c r="F65" s="3984"/>
      <c r="G65" s="3985"/>
      <c r="H65" s="3985"/>
      <c r="I65" s="3978"/>
      <c r="J65" s="3980"/>
      <c r="K65" s="3978"/>
      <c r="L65" s="3978"/>
      <c r="M65" s="3978"/>
      <c r="N65" s="21"/>
      <c r="O65" s="1723"/>
      <c r="P65" s="1724"/>
      <c r="Q65" s="1724"/>
      <c r="R65" s="1724"/>
      <c r="S65" s="1724"/>
      <c r="T65" s="5453"/>
      <c r="U65" s="1725"/>
      <c r="V65" s="21"/>
      <c r="W65" s="1643"/>
      <c r="X65" s="680"/>
      <c r="Y65" s="83"/>
      <c r="Z65" s="680"/>
      <c r="AA65" s="81"/>
      <c r="AB65" s="82"/>
      <c r="AC65" s="857"/>
      <c r="AD65" s="70"/>
      <c r="AE65" s="1643"/>
      <c r="AF65" s="680"/>
      <c r="AG65" s="83"/>
      <c r="AH65" s="680"/>
      <c r="AI65" s="81"/>
      <c r="AJ65" s="82"/>
      <c r="AK65" s="857"/>
      <c r="AL65" s="70"/>
      <c r="AM65" s="1643"/>
      <c r="AN65" s="680"/>
      <c r="AO65" s="83"/>
      <c r="AP65" s="680"/>
      <c r="AQ65" s="81"/>
      <c r="AR65" s="82"/>
      <c r="AS65" s="857"/>
      <c r="AT65" s="21"/>
      <c r="AU65" s="1643"/>
      <c r="AV65" s="680"/>
      <c r="AW65" s="83"/>
      <c r="AX65" s="680"/>
      <c r="AY65" s="81"/>
      <c r="AZ65" s="82"/>
      <c r="BA65" s="857"/>
      <c r="BB65" s="70"/>
      <c r="BC65" s="1643"/>
      <c r="BD65" s="680"/>
      <c r="BE65" s="83"/>
      <c r="BF65" s="680"/>
      <c r="BG65" s="81"/>
      <c r="BH65" s="82"/>
      <c r="BI65" s="857"/>
      <c r="BJ65" s="21"/>
      <c r="BK65" s="1643"/>
      <c r="BL65" s="680"/>
      <c r="BM65" s="83"/>
      <c r="BN65" s="680"/>
      <c r="BO65" s="81"/>
      <c r="BP65" s="82"/>
      <c r="BQ65" s="857"/>
      <c r="BS65" s="1643"/>
      <c r="BT65" s="680"/>
      <c r="BU65" s="83"/>
      <c r="BV65" s="680"/>
      <c r="BW65" s="81"/>
      <c r="BX65" s="82"/>
      <c r="BY65" s="857"/>
      <c r="BZ65" s="21"/>
      <c r="CA65" s="1643"/>
      <c r="CB65" s="680"/>
      <c r="CC65" s="83"/>
      <c r="CD65" s="680"/>
      <c r="CE65" s="81"/>
      <c r="CF65" s="82"/>
      <c r="CG65" s="857"/>
      <c r="CH65" s="70"/>
      <c r="CI65" s="1643"/>
      <c r="CJ65" s="680"/>
      <c r="CK65" s="83"/>
      <c r="CL65" s="680"/>
      <c r="CM65" s="81"/>
      <c r="CN65" s="82"/>
      <c r="CO65" s="857"/>
      <c r="CP65" s="70"/>
      <c r="CQ65" s="16"/>
      <c r="CR65" s="70"/>
      <c r="CS65" s="70"/>
      <c r="CT65" s="70"/>
    </row>
    <row r="66" spans="1:98" ht="19.5" customHeight="1" thickBot="1" x14ac:dyDescent="0.25">
      <c r="A66" s="25"/>
      <c r="B66" s="25"/>
      <c r="C66" s="1842"/>
      <c r="D66" s="20"/>
      <c r="E66" s="3978"/>
      <c r="F66" s="3984"/>
      <c r="G66" s="3985"/>
      <c r="H66" s="3985"/>
      <c r="I66" s="3978"/>
      <c r="J66" s="3980"/>
      <c r="K66" s="3978"/>
      <c r="L66" s="3978"/>
      <c r="M66" s="3978"/>
      <c r="N66" s="21"/>
      <c r="O66" s="1723"/>
      <c r="P66" s="1724" t="str">
        <f>_Calcs!$N$79</f>
        <v>Begrunnelse</v>
      </c>
      <c r="Q66" s="1724"/>
      <c r="R66" s="1724"/>
      <c r="S66" s="1724"/>
      <c r="T66" s="1719"/>
      <c r="U66" s="1725"/>
      <c r="V66" s="21"/>
      <c r="W66" s="1643"/>
      <c r="X66" s="680"/>
      <c r="Y66" s="3981"/>
      <c r="Z66" s="2315"/>
      <c r="AA66" s="1644" t="str">
        <f>IF(_Calcs!$IT$38=1,"✓","!")</f>
        <v>✓</v>
      </c>
      <c r="AB66" s="82"/>
      <c r="AC66" s="857"/>
      <c r="AD66" s="70"/>
      <c r="AE66" s="1643"/>
      <c r="AF66" s="680"/>
      <c r="AG66" s="3981"/>
      <c r="AH66" s="2315"/>
      <c r="AI66" s="1644" t="str">
        <f>IF(_Calcs!$IT$39=1,"✓","!")</f>
        <v>✓</v>
      </c>
      <c r="AJ66" s="82"/>
      <c r="AK66" s="857"/>
      <c r="AL66" s="70"/>
      <c r="AM66" s="1643"/>
      <c r="AN66" s="680"/>
      <c r="AO66" s="3981"/>
      <c r="AP66" s="2315"/>
      <c r="AQ66" s="1644" t="str">
        <f>IF(_Calcs!$IT$40=1,"✓","!")</f>
        <v>✓</v>
      </c>
      <c r="AR66" s="82"/>
      <c r="AS66" s="857"/>
      <c r="AT66" s="21"/>
      <c r="AU66" s="1643"/>
      <c r="AV66" s="680"/>
      <c r="AW66" s="3981"/>
      <c r="AX66" s="2315"/>
      <c r="AY66" s="1644" t="str">
        <f>IF(_Calcs!$IT$41=1,"✓","!")</f>
        <v>✓</v>
      </c>
      <c r="AZ66" s="82"/>
      <c r="BA66" s="857"/>
      <c r="BB66" s="70"/>
      <c r="BC66" s="1643"/>
      <c r="BD66" s="680"/>
      <c r="BE66" s="3981"/>
      <c r="BF66" s="2315"/>
      <c r="BG66" s="1644" t="str">
        <f>IF(_Calcs!$IT$42=1,"✓","!")</f>
        <v>✓</v>
      </c>
      <c r="BH66" s="82"/>
      <c r="BI66" s="857"/>
      <c r="BJ66" s="21"/>
      <c r="BK66" s="1643"/>
      <c r="BL66" s="680"/>
      <c r="BM66" s="3981"/>
      <c r="BN66" s="2315"/>
      <c r="BO66" s="1644" t="str">
        <f>IF(_Calcs!$IT$43=1,"✓","!")</f>
        <v>✓</v>
      </c>
      <c r="BP66" s="82"/>
      <c r="BQ66" s="857"/>
      <c r="BS66" s="1643"/>
      <c r="BT66" s="680"/>
      <c r="BU66" s="3981"/>
      <c r="BV66" s="2315"/>
      <c r="BW66" s="1644" t="str">
        <f>IF(_Calcs!$IT$44=1,"✓","!")</f>
        <v>✓</v>
      </c>
      <c r="BX66" s="82"/>
      <c r="BY66" s="857"/>
      <c r="BZ66" s="21"/>
      <c r="CA66" s="1643"/>
      <c r="CB66" s="680"/>
      <c r="CC66" s="3981"/>
      <c r="CD66" s="2315"/>
      <c r="CE66" s="1644" t="str">
        <f>IF(_Calcs!$IT$45=1,"✓","!")</f>
        <v>✓</v>
      </c>
      <c r="CF66" s="82"/>
      <c r="CG66" s="857"/>
      <c r="CH66" s="70"/>
      <c r="CI66" s="1643"/>
      <c r="CJ66" s="680"/>
      <c r="CK66" s="3981"/>
      <c r="CL66" s="2315"/>
      <c r="CM66" s="1644" t="str">
        <f>IF(_Calcs!$IT$46=1,"✓","!")</f>
        <v>✓</v>
      </c>
      <c r="CN66" s="82"/>
      <c r="CO66" s="857"/>
      <c r="CP66" s="70"/>
      <c r="CQ66" s="16"/>
      <c r="CR66" s="70"/>
      <c r="CS66" s="70"/>
      <c r="CT66" s="70"/>
    </row>
    <row r="67" spans="1:98" ht="15" customHeight="1" thickBot="1" x14ac:dyDescent="0.25">
      <c r="A67" s="25"/>
      <c r="B67" s="25"/>
      <c r="C67" s="1842"/>
      <c r="D67" s="20"/>
      <c r="E67" s="3978"/>
      <c r="F67" s="3984"/>
      <c r="G67" s="3985"/>
      <c r="H67" s="3985"/>
      <c r="I67" s="3978"/>
      <c r="J67" s="3980"/>
      <c r="K67" s="3978"/>
      <c r="L67" s="3978"/>
      <c r="M67" s="3978"/>
      <c r="N67" s="21"/>
      <c r="O67" s="1726"/>
      <c r="P67" s="1727"/>
      <c r="Q67" s="1727"/>
      <c r="R67" s="1727"/>
      <c r="S67" s="1727"/>
      <c r="T67" s="1728"/>
      <c r="U67" s="1729"/>
      <c r="V67" s="21"/>
      <c r="W67" s="1743"/>
      <c r="X67" s="859"/>
      <c r="Y67" s="3854"/>
      <c r="Z67" s="3854"/>
      <c r="AA67" s="3982"/>
      <c r="AB67" s="860"/>
      <c r="AC67" s="861"/>
      <c r="AD67" s="70"/>
      <c r="AE67" s="1743"/>
      <c r="AF67" s="859"/>
      <c r="AG67" s="3854"/>
      <c r="AH67" s="3854"/>
      <c r="AI67" s="3982"/>
      <c r="AJ67" s="860"/>
      <c r="AK67" s="861"/>
      <c r="AL67" s="70"/>
      <c r="AM67" s="1743"/>
      <c r="AN67" s="859"/>
      <c r="AO67" s="3854"/>
      <c r="AP67" s="3854"/>
      <c r="AQ67" s="3982"/>
      <c r="AR67" s="860"/>
      <c r="AS67" s="861"/>
      <c r="AT67" s="21"/>
      <c r="AU67" s="1743"/>
      <c r="AV67" s="859"/>
      <c r="AW67" s="3854"/>
      <c r="AX67" s="3854"/>
      <c r="AY67" s="3982"/>
      <c r="AZ67" s="860"/>
      <c r="BA67" s="861"/>
      <c r="BB67" s="70"/>
      <c r="BC67" s="1743"/>
      <c r="BD67" s="859"/>
      <c r="BE67" s="3854"/>
      <c r="BF67" s="3854"/>
      <c r="BG67" s="3982"/>
      <c r="BH67" s="860"/>
      <c r="BI67" s="861"/>
      <c r="BJ67" s="21"/>
      <c r="BK67" s="1743"/>
      <c r="BL67" s="859"/>
      <c r="BM67" s="3854"/>
      <c r="BN67" s="3854"/>
      <c r="BO67" s="3982"/>
      <c r="BP67" s="860"/>
      <c r="BQ67" s="861"/>
      <c r="BS67" s="1743"/>
      <c r="BT67" s="859"/>
      <c r="BU67" s="3854"/>
      <c r="BV67" s="3854"/>
      <c r="BW67" s="3982"/>
      <c r="BX67" s="860"/>
      <c r="BY67" s="861"/>
      <c r="BZ67" s="21"/>
      <c r="CA67" s="1743"/>
      <c r="CB67" s="859"/>
      <c r="CC67" s="3854"/>
      <c r="CD67" s="3854"/>
      <c r="CE67" s="3982"/>
      <c r="CF67" s="860"/>
      <c r="CG67" s="861"/>
      <c r="CH67" s="70"/>
      <c r="CI67" s="1743"/>
      <c r="CJ67" s="859"/>
      <c r="CK67" s="3854"/>
      <c r="CL67" s="3854"/>
      <c r="CM67" s="3982"/>
      <c r="CN67" s="860"/>
      <c r="CO67" s="861"/>
      <c r="CP67" s="70"/>
      <c r="CQ67" s="16"/>
      <c r="CR67" s="70"/>
      <c r="CS67" s="70"/>
      <c r="CT67" s="70"/>
    </row>
    <row r="68" spans="1:98" ht="24.95" customHeight="1" x14ac:dyDescent="0.2">
      <c r="A68" s="25"/>
      <c r="B68" s="25"/>
      <c r="C68" s="1842"/>
      <c r="D68" s="20"/>
      <c r="E68" s="20"/>
      <c r="F68" s="952"/>
      <c r="G68" s="979"/>
      <c r="H68" s="979"/>
      <c r="I68" s="136"/>
      <c r="J68" s="1181"/>
      <c r="K68" s="1181"/>
      <c r="L68" s="35"/>
      <c r="M68" s="35"/>
      <c r="N68" s="136"/>
      <c r="O68" s="136"/>
      <c r="P68" s="136"/>
      <c r="Q68" s="136"/>
      <c r="R68" s="136"/>
      <c r="S68" s="136"/>
      <c r="T68" s="17"/>
      <c r="U68" s="136"/>
      <c r="V68" s="136"/>
      <c r="W68" s="136"/>
      <c r="X68" s="136"/>
      <c r="Y68" s="17"/>
      <c r="Z68" s="136"/>
      <c r="AA68" s="36"/>
      <c r="AB68" s="16"/>
      <c r="AC68" s="16"/>
      <c r="AD68" s="70"/>
      <c r="AE68" s="136"/>
      <c r="AF68" s="136"/>
      <c r="AG68" s="17"/>
      <c r="AH68" s="136"/>
      <c r="AI68" s="36"/>
      <c r="AJ68" s="16"/>
      <c r="AK68" s="16"/>
      <c r="AL68" s="70"/>
      <c r="AM68" s="136"/>
      <c r="AN68" s="136"/>
      <c r="AO68" s="17"/>
      <c r="AP68" s="136"/>
      <c r="AQ68" s="36"/>
      <c r="AR68" s="16"/>
      <c r="AS68" s="16"/>
      <c r="AT68" s="136"/>
      <c r="AU68" s="136"/>
      <c r="AV68" s="136"/>
      <c r="AW68" s="17"/>
      <c r="AX68" s="136"/>
      <c r="AY68" s="36"/>
      <c r="AZ68" s="16"/>
      <c r="BA68" s="16"/>
      <c r="BB68" s="70"/>
      <c r="BC68" s="136"/>
      <c r="BD68" s="136"/>
      <c r="BE68" s="17"/>
      <c r="BF68" s="136"/>
      <c r="BG68" s="36"/>
      <c r="BH68" s="16"/>
      <c r="BI68" s="16"/>
      <c r="BJ68" s="136"/>
      <c r="BK68" s="136"/>
      <c r="BL68" s="136"/>
      <c r="BM68" s="17"/>
      <c r="BN68" s="136"/>
      <c r="BO68" s="36"/>
      <c r="BP68" s="16"/>
      <c r="BQ68" s="16"/>
      <c r="BS68" s="136"/>
      <c r="BT68" s="136"/>
      <c r="BU68" s="17"/>
      <c r="BV68" s="136"/>
      <c r="BW68" s="36"/>
      <c r="BX68" s="16"/>
      <c r="BY68" s="16"/>
      <c r="BZ68" s="136"/>
      <c r="CA68" s="136"/>
      <c r="CB68" s="136"/>
      <c r="CC68" s="17"/>
      <c r="CD68" s="136"/>
      <c r="CE68" s="36"/>
      <c r="CF68" s="16"/>
      <c r="CG68" s="16"/>
      <c r="CH68" s="70"/>
      <c r="CI68" s="136"/>
      <c r="CJ68" s="136"/>
      <c r="CK68" s="17"/>
      <c r="CL68" s="136"/>
      <c r="CM68" s="36"/>
      <c r="CN68" s="16"/>
      <c r="CO68" s="16"/>
      <c r="CP68" s="70"/>
      <c r="CQ68" s="16"/>
      <c r="CR68" s="70"/>
      <c r="CS68" s="70"/>
      <c r="CT68" s="70"/>
    </row>
    <row r="69" spans="1:98" ht="15" hidden="1" customHeight="1" thickBot="1" x14ac:dyDescent="0.25">
      <c r="A69" s="25"/>
      <c r="B69" s="25"/>
      <c r="C69" s="1637"/>
      <c r="D69" s="20"/>
      <c r="E69" s="1638"/>
      <c r="F69" s="1840"/>
      <c r="G69" s="1840"/>
      <c r="H69" s="1840"/>
      <c r="I69" s="1639"/>
      <c r="J69" s="850"/>
      <c r="K69" s="1640"/>
      <c r="L69" s="1640"/>
      <c r="M69" s="1641"/>
      <c r="N69" s="129"/>
      <c r="O69" s="1751"/>
      <c r="P69" s="1752"/>
      <c r="Q69" s="1752"/>
      <c r="R69" s="1752"/>
      <c r="S69" s="1752"/>
      <c r="T69" s="1752"/>
      <c r="U69" s="1753"/>
      <c r="V69" s="129"/>
      <c r="W69" s="1647"/>
      <c r="X69" s="1639"/>
      <c r="Y69" s="1640"/>
      <c r="Z69" s="1639"/>
      <c r="AA69" s="1640"/>
      <c r="AB69" s="1640"/>
      <c r="AC69" s="1641"/>
      <c r="AD69" s="17"/>
      <c r="AE69" s="1647"/>
      <c r="AF69" s="1639"/>
      <c r="AG69" s="1640"/>
      <c r="AH69" s="1639"/>
      <c r="AI69" s="1640"/>
      <c r="AJ69" s="1640"/>
      <c r="AK69" s="1641"/>
      <c r="AL69" s="17"/>
      <c r="AM69" s="1647"/>
      <c r="AN69" s="1639"/>
      <c r="AO69" s="1640"/>
      <c r="AP69" s="1639"/>
      <c r="AQ69" s="1640"/>
      <c r="AR69" s="1640"/>
      <c r="AS69" s="1641"/>
      <c r="AT69" s="129"/>
      <c r="AU69" s="1647"/>
      <c r="AV69" s="1639"/>
      <c r="AW69" s="1640"/>
      <c r="AX69" s="1639"/>
      <c r="AY69" s="1640"/>
      <c r="AZ69" s="1640"/>
      <c r="BA69" s="1641"/>
      <c r="BB69" s="17"/>
      <c r="BC69" s="1647"/>
      <c r="BD69" s="1639"/>
      <c r="BE69" s="1640"/>
      <c r="BF69" s="1639"/>
      <c r="BG69" s="1640"/>
      <c r="BH69" s="1640"/>
      <c r="BI69" s="1641"/>
      <c r="BJ69" s="129"/>
      <c r="BK69" s="1647"/>
      <c r="BL69" s="1639"/>
      <c r="BM69" s="1640"/>
      <c r="BN69" s="1639"/>
      <c r="BO69" s="1640"/>
      <c r="BP69" s="1640"/>
      <c r="BQ69" s="1641"/>
      <c r="BR69" s="17"/>
      <c r="BS69" s="1647"/>
      <c r="BT69" s="1639"/>
      <c r="BU69" s="1640"/>
      <c r="BV69" s="1639"/>
      <c r="BW69" s="1640"/>
      <c r="BX69" s="1640"/>
      <c r="BY69" s="1641"/>
      <c r="BZ69" s="129"/>
      <c r="CA69" s="1647"/>
      <c r="CB69" s="1639"/>
      <c r="CC69" s="1640"/>
      <c r="CD69" s="1639"/>
      <c r="CE69" s="1640"/>
      <c r="CF69" s="1640"/>
      <c r="CG69" s="1641"/>
      <c r="CH69" s="17"/>
      <c r="CI69" s="1647"/>
      <c r="CJ69" s="1639"/>
      <c r="CK69" s="1640"/>
      <c r="CL69" s="1639"/>
      <c r="CM69" s="1640"/>
      <c r="CN69" s="1640"/>
      <c r="CO69" s="1641"/>
      <c r="CP69" s="17"/>
      <c r="CQ69" s="20"/>
      <c r="CR69" s="17"/>
      <c r="CS69" s="17"/>
      <c r="CT69" s="17"/>
    </row>
    <row r="70" spans="1:98" ht="8.1" customHeight="1" thickBot="1" x14ac:dyDescent="0.25">
      <c r="A70" s="25"/>
      <c r="B70" s="25"/>
      <c r="C70" s="1637"/>
      <c r="D70" s="20"/>
      <c r="E70" s="14"/>
      <c r="F70" s="996"/>
      <c r="G70" s="996"/>
      <c r="H70" s="996"/>
      <c r="I70" s="129"/>
      <c r="K70" s="14"/>
      <c r="L70" s="14"/>
      <c r="M70" s="14"/>
      <c r="N70" s="129"/>
      <c r="O70" s="129"/>
      <c r="P70" s="5971"/>
      <c r="Q70" s="5971"/>
      <c r="R70" s="5971"/>
      <c r="S70" s="5971"/>
      <c r="T70" s="15"/>
      <c r="U70" s="129"/>
      <c r="V70" s="129"/>
      <c r="W70" s="129"/>
      <c r="X70" s="129"/>
      <c r="Y70" s="14"/>
      <c r="Z70" s="129"/>
      <c r="AA70" s="14"/>
      <c r="AB70" s="14"/>
      <c r="AC70" s="14"/>
      <c r="AD70" s="15"/>
      <c r="AE70" s="129"/>
      <c r="AF70" s="129"/>
      <c r="AG70" s="14"/>
      <c r="AH70" s="129"/>
      <c r="AI70" s="14"/>
      <c r="AJ70" s="14"/>
      <c r="AK70" s="14"/>
      <c r="AL70" s="15"/>
      <c r="AM70" s="129"/>
      <c r="AN70" s="129"/>
      <c r="AO70" s="14"/>
      <c r="AP70" s="129"/>
      <c r="AQ70" s="14"/>
      <c r="AR70" s="14"/>
      <c r="AS70" s="14"/>
      <c r="AT70" s="129"/>
      <c r="AU70" s="129"/>
      <c r="AV70" s="129"/>
      <c r="AW70" s="14"/>
      <c r="AX70" s="129"/>
      <c r="AY70" s="14"/>
      <c r="AZ70" s="14"/>
      <c r="BA70" s="14"/>
      <c r="BB70" s="15"/>
      <c r="BC70" s="129"/>
      <c r="BD70" s="129"/>
      <c r="BE70" s="14"/>
      <c r="BF70" s="129"/>
      <c r="BG70" s="14"/>
      <c r="BH70" s="14"/>
      <c r="BI70" s="14"/>
      <c r="BJ70" s="129"/>
      <c r="BK70" s="129"/>
      <c r="BL70" s="129"/>
      <c r="BM70" s="14"/>
      <c r="BN70" s="129"/>
      <c r="BO70" s="14"/>
      <c r="BP70" s="14"/>
      <c r="BQ70" s="14"/>
      <c r="BR70" s="15"/>
      <c r="BS70" s="129"/>
      <c r="BT70" s="129"/>
      <c r="BU70" s="14"/>
      <c r="BV70" s="129"/>
      <c r="BW70" s="14"/>
      <c r="BX70" s="14"/>
      <c r="BY70" s="14"/>
      <c r="BZ70" s="129"/>
      <c r="CA70" s="129"/>
      <c r="CB70" s="129"/>
      <c r="CC70" s="14"/>
      <c r="CD70" s="129"/>
      <c r="CE70" s="14"/>
      <c r="CF70" s="14"/>
      <c r="CG70" s="14"/>
      <c r="CH70" s="15"/>
      <c r="CI70" s="129"/>
      <c r="CJ70" s="129"/>
      <c r="CK70" s="14"/>
      <c r="CL70" s="129"/>
      <c r="CM70" s="14"/>
      <c r="CN70" s="14"/>
      <c r="CO70" s="14"/>
      <c r="CP70" s="15"/>
      <c r="CQ70" s="20"/>
      <c r="CR70" s="15"/>
      <c r="CS70" s="15"/>
      <c r="CT70" s="15"/>
    </row>
    <row r="71" spans="1:98" ht="15" customHeight="1" thickBot="1" x14ac:dyDescent="0.25">
      <c r="A71" s="25"/>
      <c r="B71" s="25"/>
      <c r="C71" s="1842"/>
      <c r="D71" s="20"/>
      <c r="E71" s="1730"/>
      <c r="F71" s="2060"/>
      <c r="G71" s="1841"/>
      <c r="H71" s="1841"/>
      <c r="I71" s="1731"/>
      <c r="J71" s="1732"/>
      <c r="K71" s="1732"/>
      <c r="L71" s="1732"/>
      <c r="M71" s="1733"/>
      <c r="N71" s="21"/>
      <c r="O71" s="1720"/>
      <c r="P71" s="1721"/>
      <c r="Q71" s="1721"/>
      <c r="R71" s="1721"/>
      <c r="S71" s="1721"/>
      <c r="T71" s="1718"/>
      <c r="U71" s="1722"/>
      <c r="V71" s="21"/>
      <c r="W71" s="1642"/>
      <c r="X71" s="853"/>
      <c r="Y71" s="854"/>
      <c r="Z71" s="853"/>
      <c r="AA71" s="863"/>
      <c r="AB71" s="854"/>
      <c r="AC71" s="855"/>
      <c r="AD71" s="70"/>
      <c r="AE71" s="1642"/>
      <c r="AF71" s="853"/>
      <c r="AG71" s="854"/>
      <c r="AH71" s="853"/>
      <c r="AI71" s="863"/>
      <c r="AJ71" s="854"/>
      <c r="AK71" s="855"/>
      <c r="AL71" s="70"/>
      <c r="AM71" s="1642"/>
      <c r="AN71" s="853"/>
      <c r="AO71" s="854"/>
      <c r="AP71" s="853"/>
      <c r="AQ71" s="863"/>
      <c r="AR71" s="854"/>
      <c r="AS71" s="855"/>
      <c r="AT71" s="21"/>
      <c r="AU71" s="1642"/>
      <c r="AV71" s="853"/>
      <c r="AW71" s="854"/>
      <c r="AX71" s="853"/>
      <c r="AY71" s="863"/>
      <c r="AZ71" s="854"/>
      <c r="BA71" s="855"/>
      <c r="BB71" s="70"/>
      <c r="BC71" s="1642"/>
      <c r="BD71" s="853"/>
      <c r="BE71" s="854"/>
      <c r="BF71" s="853"/>
      <c r="BG71" s="863"/>
      <c r="BH71" s="854"/>
      <c r="BI71" s="855"/>
      <c r="BJ71" s="21"/>
      <c r="BK71" s="1642"/>
      <c r="BL71" s="853"/>
      <c r="BM71" s="854"/>
      <c r="BN71" s="853"/>
      <c r="BO71" s="863"/>
      <c r="BP71" s="854"/>
      <c r="BQ71" s="855"/>
      <c r="BS71" s="1642"/>
      <c r="BT71" s="853"/>
      <c r="BU71" s="854"/>
      <c r="BV71" s="853"/>
      <c r="BW71" s="863"/>
      <c r="BX71" s="854"/>
      <c r="BY71" s="855"/>
      <c r="BZ71" s="21"/>
      <c r="CA71" s="1642"/>
      <c r="CB71" s="853"/>
      <c r="CC71" s="854"/>
      <c r="CD71" s="853"/>
      <c r="CE71" s="863"/>
      <c r="CF71" s="854"/>
      <c r="CG71" s="855"/>
      <c r="CH71" s="70"/>
      <c r="CI71" s="1642"/>
      <c r="CJ71" s="853"/>
      <c r="CK71" s="854"/>
      <c r="CL71" s="853"/>
      <c r="CM71" s="863"/>
      <c r="CN71" s="854"/>
      <c r="CO71" s="855"/>
      <c r="CP71" s="70"/>
      <c r="CQ71" s="82"/>
      <c r="CR71" s="70"/>
      <c r="CS71" s="70"/>
      <c r="CT71" s="70"/>
    </row>
    <row r="72" spans="1:98" ht="24.95" customHeight="1" thickBot="1" x14ac:dyDescent="0.25">
      <c r="A72" s="25"/>
      <c r="B72" s="25"/>
      <c r="C72" s="1842"/>
      <c r="D72" s="20"/>
      <c r="E72" s="1734"/>
      <c r="F72" s="2058" t="str">
        <f>_Calcs!$L$78</f>
        <v>Stor stigning eller synk</v>
      </c>
      <c r="G72" s="1838"/>
      <c r="H72" s="1838"/>
      <c r="I72" s="1735"/>
      <c r="J72" s="2316" t="s">
        <v>149</v>
      </c>
      <c r="K72" s="2316"/>
      <c r="L72" s="1736"/>
      <c r="M72" s="1737"/>
      <c r="N72" s="21"/>
      <c r="O72" s="1723"/>
      <c r="P72" s="1724" t="str">
        <f>$P$60</f>
        <v>Påvirkning</v>
      </c>
      <c r="Q72" s="1724"/>
      <c r="R72" s="1724"/>
      <c r="S72" s="1724"/>
      <c r="T72" s="3976"/>
      <c r="U72" s="1725"/>
      <c r="V72" s="21"/>
      <c r="W72" s="1643"/>
      <c r="X72" s="680"/>
      <c r="Y72" s="3983"/>
      <c r="Z72" s="2314"/>
      <c r="AA72" s="1644" t="str">
        <f>IF(_Calcs!$IU$38=1,"✓","!")</f>
        <v>✓</v>
      </c>
      <c r="AB72" s="82"/>
      <c r="AC72" s="857"/>
      <c r="AD72" s="70"/>
      <c r="AE72" s="1643"/>
      <c r="AF72" s="680"/>
      <c r="AG72" s="3983"/>
      <c r="AH72" s="2314"/>
      <c r="AI72" s="1644" t="str">
        <f>IF(_Calcs!$IU$39=1,"✓","!")</f>
        <v>✓</v>
      </c>
      <c r="AJ72" s="82"/>
      <c r="AK72" s="857"/>
      <c r="AL72" s="70"/>
      <c r="AM72" s="1643"/>
      <c r="AN72" s="680"/>
      <c r="AO72" s="3983"/>
      <c r="AP72" s="2314"/>
      <c r="AQ72" s="1644" t="str">
        <f>IF(_Calcs!$IU$40=1,"✓","!")</f>
        <v>✓</v>
      </c>
      <c r="AR72" s="82"/>
      <c r="AS72" s="857"/>
      <c r="AT72" s="21"/>
      <c r="AU72" s="1643"/>
      <c r="AV72" s="680"/>
      <c r="AW72" s="3983"/>
      <c r="AX72" s="2314"/>
      <c r="AY72" s="1644" t="str">
        <f>IF(_Calcs!$IU$41=1,"✓","!")</f>
        <v>✓</v>
      </c>
      <c r="AZ72" s="82"/>
      <c r="BA72" s="857"/>
      <c r="BB72" s="70"/>
      <c r="BC72" s="1643"/>
      <c r="BD72" s="680"/>
      <c r="BE72" s="3983"/>
      <c r="BF72" s="2314"/>
      <c r="BG72" s="1644" t="str">
        <f>IF(_Calcs!$IU$42=1,"✓","!")</f>
        <v>✓</v>
      </c>
      <c r="BH72" s="82"/>
      <c r="BI72" s="857"/>
      <c r="BJ72" s="21"/>
      <c r="BK72" s="1643"/>
      <c r="BL72" s="680"/>
      <c r="BM72" s="3983"/>
      <c r="BN72" s="2314"/>
      <c r="BO72" s="1644" t="str">
        <f>IF(_Calcs!$IU$43=1,"✓","!")</f>
        <v>✓</v>
      </c>
      <c r="BP72" s="82"/>
      <c r="BQ72" s="857"/>
      <c r="BS72" s="1643"/>
      <c r="BT72" s="680"/>
      <c r="BU72" s="3983"/>
      <c r="BV72" s="2314"/>
      <c r="BW72" s="1644" t="str">
        <f>IF(_Calcs!$IU$44=1,"✓","!")</f>
        <v>✓</v>
      </c>
      <c r="BX72" s="82"/>
      <c r="BY72" s="857"/>
      <c r="BZ72" s="21"/>
      <c r="CA72" s="1643"/>
      <c r="CB72" s="680"/>
      <c r="CC72" s="3983"/>
      <c r="CD72" s="2314"/>
      <c r="CE72" s="1644" t="str">
        <f>IF(_Calcs!$IU$45=1,"✓","!")</f>
        <v>✓</v>
      </c>
      <c r="CF72" s="82"/>
      <c r="CG72" s="857"/>
      <c r="CH72" s="70"/>
      <c r="CI72" s="1643"/>
      <c r="CJ72" s="680"/>
      <c r="CK72" s="3983"/>
      <c r="CL72" s="2314"/>
      <c r="CM72" s="1644" t="str">
        <f>IF(_Calcs!$IU$46=1,"✓","!")</f>
        <v>✓</v>
      </c>
      <c r="CN72" s="82"/>
      <c r="CO72" s="857"/>
      <c r="CP72" s="70"/>
      <c r="CQ72" s="82"/>
      <c r="CR72" s="70"/>
      <c r="CS72" s="70"/>
      <c r="CT72" s="70"/>
    </row>
    <row r="73" spans="1:98" ht="15" customHeight="1" thickBot="1" x14ac:dyDescent="0.25">
      <c r="A73" s="25"/>
      <c r="B73" s="25"/>
      <c r="C73" s="1842"/>
      <c r="D73" s="20"/>
      <c r="E73" s="1738"/>
      <c r="F73" s="2059"/>
      <c r="G73" s="1839"/>
      <c r="H73" s="1839"/>
      <c r="I73" s="1739"/>
      <c r="J73" s="1740"/>
      <c r="K73" s="1740"/>
      <c r="L73" s="1741"/>
      <c r="M73" s="1742"/>
      <c r="N73" s="21"/>
      <c r="O73" s="1723"/>
      <c r="P73" s="1724"/>
      <c r="Q73" s="1724"/>
      <c r="R73" s="1724"/>
      <c r="S73" s="1724"/>
      <c r="T73" s="5453"/>
      <c r="U73" s="1725"/>
      <c r="V73" s="21"/>
      <c r="W73" s="1743"/>
      <c r="X73" s="859"/>
      <c r="Y73" s="1870"/>
      <c r="Z73" s="859"/>
      <c r="AA73" s="1871"/>
      <c r="AB73" s="860"/>
      <c r="AC73" s="861"/>
      <c r="AD73" s="70"/>
      <c r="AE73" s="1743"/>
      <c r="AF73" s="859"/>
      <c r="AG73" s="1870"/>
      <c r="AH73" s="859"/>
      <c r="AI73" s="1871"/>
      <c r="AJ73" s="860"/>
      <c r="AK73" s="861"/>
      <c r="AL73" s="70"/>
      <c r="AM73" s="1743"/>
      <c r="AN73" s="859"/>
      <c r="AO73" s="1870"/>
      <c r="AP73" s="859"/>
      <c r="AQ73" s="1871"/>
      <c r="AR73" s="860"/>
      <c r="AS73" s="861"/>
      <c r="AT73" s="21"/>
      <c r="AU73" s="1743"/>
      <c r="AV73" s="859"/>
      <c r="AW73" s="1870"/>
      <c r="AX73" s="859"/>
      <c r="AY73" s="1871"/>
      <c r="AZ73" s="860"/>
      <c r="BA73" s="861"/>
      <c r="BB73" s="70"/>
      <c r="BC73" s="1743"/>
      <c r="BD73" s="859"/>
      <c r="BE73" s="1870"/>
      <c r="BF73" s="859"/>
      <c r="BG73" s="1871"/>
      <c r="BH73" s="860"/>
      <c r="BI73" s="861"/>
      <c r="BJ73" s="21"/>
      <c r="BK73" s="1743"/>
      <c r="BL73" s="859"/>
      <c r="BM73" s="1870"/>
      <c r="BN73" s="859"/>
      <c r="BO73" s="1871"/>
      <c r="BP73" s="860"/>
      <c r="BQ73" s="861"/>
      <c r="BS73" s="1743"/>
      <c r="BT73" s="859"/>
      <c r="BU73" s="1870"/>
      <c r="BV73" s="859"/>
      <c r="BW73" s="1871"/>
      <c r="BX73" s="860"/>
      <c r="BY73" s="861"/>
      <c r="BZ73" s="21"/>
      <c r="CA73" s="1743"/>
      <c r="CB73" s="859"/>
      <c r="CC73" s="1870"/>
      <c r="CD73" s="859"/>
      <c r="CE73" s="1871"/>
      <c r="CF73" s="860"/>
      <c r="CG73" s="861"/>
      <c r="CH73" s="70"/>
      <c r="CI73" s="1743"/>
      <c r="CJ73" s="859"/>
      <c r="CK73" s="1870"/>
      <c r="CL73" s="859"/>
      <c r="CM73" s="1871"/>
      <c r="CN73" s="860"/>
      <c r="CO73" s="861"/>
      <c r="CP73" s="70"/>
      <c r="CQ73" s="82"/>
      <c r="CR73" s="70"/>
      <c r="CS73" s="70"/>
      <c r="CT73" s="70"/>
    </row>
    <row r="74" spans="1:98" ht="5.0999999999999996" customHeight="1" thickBot="1" x14ac:dyDescent="0.25">
      <c r="A74" s="25"/>
      <c r="B74" s="25"/>
      <c r="C74" s="1842"/>
      <c r="D74" s="20"/>
      <c r="E74" s="20"/>
      <c r="F74" s="952"/>
      <c r="G74" s="979"/>
      <c r="H74" s="979"/>
      <c r="I74" s="136"/>
      <c r="J74" s="1181"/>
      <c r="K74" s="1181"/>
      <c r="L74" s="35"/>
      <c r="M74" s="35"/>
      <c r="N74" s="21"/>
      <c r="O74" s="1723"/>
      <c r="P74" s="1724"/>
      <c r="Q74" s="1724"/>
      <c r="R74" s="1724"/>
      <c r="S74" s="1724"/>
      <c r="T74" s="5453"/>
      <c r="U74" s="1725"/>
      <c r="V74" s="21"/>
      <c r="W74" s="1643"/>
      <c r="X74" s="680"/>
      <c r="Y74" s="83"/>
      <c r="Z74" s="680"/>
      <c r="AA74" s="81"/>
      <c r="AB74" s="82"/>
      <c r="AC74" s="857"/>
      <c r="AD74" s="70"/>
      <c r="AE74" s="1643"/>
      <c r="AF74" s="680"/>
      <c r="AG74" s="83"/>
      <c r="AH74" s="680"/>
      <c r="AI74" s="81"/>
      <c r="AJ74" s="82"/>
      <c r="AK74" s="857"/>
      <c r="AL74" s="70"/>
      <c r="AM74" s="1643"/>
      <c r="AN74" s="680"/>
      <c r="AO74" s="83"/>
      <c r="AP74" s="680"/>
      <c r="AQ74" s="81"/>
      <c r="AR74" s="82"/>
      <c r="AS74" s="857"/>
      <c r="AT74" s="21"/>
      <c r="AU74" s="1643"/>
      <c r="AV74" s="680"/>
      <c r="AW74" s="83"/>
      <c r="AX74" s="680"/>
      <c r="AY74" s="81"/>
      <c r="AZ74" s="82"/>
      <c r="BA74" s="857"/>
      <c r="BB74" s="70"/>
      <c r="BC74" s="1643"/>
      <c r="BD74" s="680"/>
      <c r="BE74" s="83"/>
      <c r="BF74" s="680"/>
      <c r="BG74" s="81"/>
      <c r="BH74" s="82"/>
      <c r="BI74" s="857"/>
      <c r="BJ74" s="21"/>
      <c r="BK74" s="1643"/>
      <c r="BL74" s="680"/>
      <c r="BM74" s="83"/>
      <c r="BN74" s="680"/>
      <c r="BO74" s="81"/>
      <c r="BP74" s="82"/>
      <c r="BQ74" s="857"/>
      <c r="BS74" s="1643"/>
      <c r="BT74" s="680"/>
      <c r="BU74" s="83"/>
      <c r="BV74" s="680"/>
      <c r="BW74" s="81"/>
      <c r="BX74" s="82"/>
      <c r="BY74" s="857"/>
      <c r="BZ74" s="21"/>
      <c r="CA74" s="1643"/>
      <c r="CB74" s="680"/>
      <c r="CC74" s="83"/>
      <c r="CD74" s="680"/>
      <c r="CE74" s="81"/>
      <c r="CF74" s="82"/>
      <c r="CG74" s="857"/>
      <c r="CH74" s="70"/>
      <c r="CI74" s="1643"/>
      <c r="CJ74" s="680"/>
      <c r="CK74" s="83"/>
      <c r="CL74" s="680"/>
      <c r="CM74" s="81"/>
      <c r="CN74" s="82"/>
      <c r="CO74" s="857"/>
      <c r="CP74" s="70"/>
      <c r="CQ74" s="16"/>
      <c r="CR74" s="70"/>
      <c r="CS74" s="70"/>
      <c r="CT74" s="70"/>
    </row>
    <row r="75" spans="1:98" ht="8.1" customHeight="1" x14ac:dyDescent="0.2">
      <c r="A75" s="25"/>
      <c r="B75" s="25"/>
      <c r="C75" s="1842"/>
      <c r="D75" s="20"/>
      <c r="F75" s="535"/>
      <c r="G75" s="1862"/>
      <c r="H75" s="1862"/>
      <c r="N75" s="21"/>
      <c r="O75" s="1723"/>
      <c r="P75" s="6636" t="str">
        <f>_Calcs!$N$80</f>
        <v>Tidjustering</v>
      </c>
      <c r="Q75" s="1724"/>
      <c r="R75" s="1724"/>
      <c r="S75" s="1724"/>
      <c r="T75" s="6636" t="s">
        <v>146</v>
      </c>
      <c r="U75" s="1725"/>
      <c r="V75" s="21"/>
      <c r="W75" s="1643"/>
      <c r="X75" s="680"/>
      <c r="Y75" s="6629"/>
      <c r="Z75" s="680"/>
      <c r="AA75" s="6631" t="str">
        <f>IF(_Calcs!$IV$38=1,"✓","!")</f>
        <v>✓</v>
      </c>
      <c r="AB75" s="82"/>
      <c r="AC75" s="857"/>
      <c r="AD75" s="70"/>
      <c r="AE75" s="1643"/>
      <c r="AF75" s="680"/>
      <c r="AG75" s="6629"/>
      <c r="AH75" s="680"/>
      <c r="AI75" s="6631" t="str">
        <f>IF(_Calcs!$IV$39=1,"✓","!")</f>
        <v>✓</v>
      </c>
      <c r="AJ75" s="82"/>
      <c r="AK75" s="857"/>
      <c r="AL75" s="70"/>
      <c r="AM75" s="1643"/>
      <c r="AN75" s="680"/>
      <c r="AO75" s="6629"/>
      <c r="AP75" s="680"/>
      <c r="AQ75" s="6631" t="str">
        <f>IF(_Calcs!$IV$40=1,"✓","!")</f>
        <v>✓</v>
      </c>
      <c r="AR75" s="82"/>
      <c r="AS75" s="857"/>
      <c r="AT75" s="21"/>
      <c r="AU75" s="1643"/>
      <c r="AV75" s="680"/>
      <c r="AW75" s="6629"/>
      <c r="AX75" s="680"/>
      <c r="AY75" s="6631" t="str">
        <f>IF(_Calcs!$IV$41=1,"✓","!")</f>
        <v>✓</v>
      </c>
      <c r="AZ75" s="82"/>
      <c r="BA75" s="857"/>
      <c r="BB75" s="70"/>
      <c r="BC75" s="1643"/>
      <c r="BD75" s="680"/>
      <c r="BE75" s="6629"/>
      <c r="BF75" s="680"/>
      <c r="BG75" s="6631" t="str">
        <f>IF(_Calcs!$IV$42=1,"✓","!")</f>
        <v>✓</v>
      </c>
      <c r="BH75" s="82"/>
      <c r="BI75" s="857"/>
      <c r="BJ75" s="21"/>
      <c r="BK75" s="1643"/>
      <c r="BL75" s="680"/>
      <c r="BM75" s="6629"/>
      <c r="BN75" s="680"/>
      <c r="BO75" s="6631" t="str">
        <f>IF(_Calcs!$IV$43=1,"✓","!")</f>
        <v>✓</v>
      </c>
      <c r="BP75" s="82"/>
      <c r="BQ75" s="857"/>
      <c r="BS75" s="1643"/>
      <c r="BT75" s="680"/>
      <c r="BU75" s="6629"/>
      <c r="BV75" s="680"/>
      <c r="BW75" s="6631" t="str">
        <f>IF(_Calcs!$IV$44=1,"✓","!")</f>
        <v>✓</v>
      </c>
      <c r="BX75" s="82"/>
      <c r="BY75" s="857"/>
      <c r="BZ75" s="21"/>
      <c r="CA75" s="1643"/>
      <c r="CB75" s="680"/>
      <c r="CC75" s="6629"/>
      <c r="CD75" s="680"/>
      <c r="CE75" s="6631" t="str">
        <f>IF(_Calcs!$IV$45=1,"✓","!")</f>
        <v>✓</v>
      </c>
      <c r="CF75" s="82"/>
      <c r="CG75" s="857"/>
      <c r="CH75" s="70"/>
      <c r="CI75" s="1643"/>
      <c r="CJ75" s="680"/>
      <c r="CK75" s="6629"/>
      <c r="CL75" s="680"/>
      <c r="CM75" s="6631" t="str">
        <f>IF(_Calcs!$IV$46=1,"✓","!")</f>
        <v>✓</v>
      </c>
      <c r="CN75" s="82"/>
      <c r="CO75" s="857"/>
      <c r="CP75" s="70"/>
      <c r="CQ75" s="16"/>
      <c r="CR75" s="70"/>
      <c r="CS75" s="70"/>
      <c r="CT75" s="70"/>
    </row>
    <row r="76" spans="1:98" ht="12" customHeight="1" thickBot="1" x14ac:dyDescent="0.25">
      <c r="A76" s="25"/>
      <c r="B76" s="25"/>
      <c r="C76" s="1842"/>
      <c r="D76" s="20"/>
      <c r="E76" s="3978"/>
      <c r="F76" s="3984"/>
      <c r="G76" s="3985"/>
      <c r="H76" s="3985"/>
      <c r="I76" s="3978"/>
      <c r="J76" s="3980"/>
      <c r="K76" s="3978"/>
      <c r="L76" s="3978"/>
      <c r="M76" s="3978"/>
      <c r="N76" s="21"/>
      <c r="O76" s="1723"/>
      <c r="P76" s="6636"/>
      <c r="Q76" s="1724"/>
      <c r="R76" s="1724"/>
      <c r="S76" s="1724"/>
      <c r="T76" s="6636"/>
      <c r="U76" s="1725"/>
      <c r="V76" s="21"/>
      <c r="W76" s="1643"/>
      <c r="X76" s="680"/>
      <c r="Y76" s="6630"/>
      <c r="Z76" s="680"/>
      <c r="AA76" s="6632"/>
      <c r="AB76" s="82"/>
      <c r="AC76" s="857"/>
      <c r="AD76" s="70"/>
      <c r="AE76" s="1643"/>
      <c r="AF76" s="680"/>
      <c r="AG76" s="6630"/>
      <c r="AH76" s="680"/>
      <c r="AI76" s="6632"/>
      <c r="AJ76" s="82"/>
      <c r="AK76" s="857"/>
      <c r="AL76" s="70"/>
      <c r="AM76" s="1643"/>
      <c r="AN76" s="680"/>
      <c r="AO76" s="6630"/>
      <c r="AP76" s="680"/>
      <c r="AQ76" s="6632"/>
      <c r="AR76" s="82"/>
      <c r="AS76" s="857"/>
      <c r="AT76" s="21"/>
      <c r="AU76" s="1643"/>
      <c r="AV76" s="680"/>
      <c r="AW76" s="6630"/>
      <c r="AX76" s="680"/>
      <c r="AY76" s="6632"/>
      <c r="AZ76" s="82"/>
      <c r="BA76" s="857"/>
      <c r="BB76" s="70"/>
      <c r="BC76" s="1643"/>
      <c r="BD76" s="680"/>
      <c r="BE76" s="6630"/>
      <c r="BF76" s="680"/>
      <c r="BG76" s="6632"/>
      <c r="BH76" s="82"/>
      <c r="BI76" s="857"/>
      <c r="BJ76" s="21"/>
      <c r="BK76" s="1643"/>
      <c r="BL76" s="680"/>
      <c r="BM76" s="6630"/>
      <c r="BN76" s="680"/>
      <c r="BO76" s="6632"/>
      <c r="BP76" s="82"/>
      <c r="BQ76" s="857"/>
      <c r="BS76" s="1643"/>
      <c r="BT76" s="680"/>
      <c r="BU76" s="6630"/>
      <c r="BV76" s="680"/>
      <c r="BW76" s="6632"/>
      <c r="BX76" s="82"/>
      <c r="BY76" s="857"/>
      <c r="BZ76" s="21"/>
      <c r="CA76" s="1643"/>
      <c r="CB76" s="680"/>
      <c r="CC76" s="6630"/>
      <c r="CD76" s="680"/>
      <c r="CE76" s="6632"/>
      <c r="CF76" s="82"/>
      <c r="CG76" s="857"/>
      <c r="CH76" s="70"/>
      <c r="CI76" s="1643"/>
      <c r="CJ76" s="680"/>
      <c r="CK76" s="6630"/>
      <c r="CL76" s="680"/>
      <c r="CM76" s="6632"/>
      <c r="CN76" s="82"/>
      <c r="CO76" s="857"/>
      <c r="CP76" s="70"/>
      <c r="CQ76" s="16"/>
      <c r="CR76" s="70"/>
      <c r="CS76" s="70"/>
      <c r="CT76" s="70"/>
    </row>
    <row r="77" spans="1:98" ht="15" customHeight="1" thickBot="1" x14ac:dyDescent="0.25">
      <c r="A77" s="25"/>
      <c r="B77" s="25"/>
      <c r="C77" s="1842"/>
      <c r="D77" s="20"/>
      <c r="E77" s="3978"/>
      <c r="F77" s="3984"/>
      <c r="G77" s="3985"/>
      <c r="H77" s="3985"/>
      <c r="I77" s="3978"/>
      <c r="J77" s="3980"/>
      <c r="K77" s="3978"/>
      <c r="L77" s="3978"/>
      <c r="M77" s="3978"/>
      <c r="N77" s="21"/>
      <c r="O77" s="1723"/>
      <c r="P77" s="1724"/>
      <c r="Q77" s="1724"/>
      <c r="R77" s="1724"/>
      <c r="S77" s="1724"/>
      <c r="T77" s="5453"/>
      <c r="U77" s="1725"/>
      <c r="V77" s="21"/>
      <c r="W77" s="1643"/>
      <c r="X77" s="680"/>
      <c r="Y77" s="83"/>
      <c r="Z77" s="680"/>
      <c r="AA77" s="81"/>
      <c r="AB77" s="82"/>
      <c r="AC77" s="857"/>
      <c r="AD77" s="70"/>
      <c r="AE77" s="1643"/>
      <c r="AF77" s="680"/>
      <c r="AG77" s="83"/>
      <c r="AH77" s="680"/>
      <c r="AI77" s="81"/>
      <c r="AJ77" s="82"/>
      <c r="AK77" s="857"/>
      <c r="AL77" s="70"/>
      <c r="AM77" s="1643"/>
      <c r="AN77" s="680"/>
      <c r="AO77" s="83"/>
      <c r="AP77" s="680"/>
      <c r="AQ77" s="81"/>
      <c r="AR77" s="82"/>
      <c r="AS77" s="857"/>
      <c r="AT77" s="21"/>
      <c r="AU77" s="1643"/>
      <c r="AV77" s="680"/>
      <c r="AW77" s="83"/>
      <c r="AX77" s="680"/>
      <c r="AY77" s="81"/>
      <c r="AZ77" s="82"/>
      <c r="BA77" s="857"/>
      <c r="BB77" s="70"/>
      <c r="BC77" s="1643"/>
      <c r="BD77" s="680"/>
      <c r="BE77" s="83"/>
      <c r="BF77" s="680"/>
      <c r="BG77" s="81"/>
      <c r="BH77" s="82"/>
      <c r="BI77" s="857"/>
      <c r="BJ77" s="21"/>
      <c r="BK77" s="1643"/>
      <c r="BL77" s="680"/>
      <c r="BM77" s="83"/>
      <c r="BN77" s="680"/>
      <c r="BO77" s="81"/>
      <c r="BP77" s="82"/>
      <c r="BQ77" s="857"/>
      <c r="BS77" s="1643"/>
      <c r="BT77" s="680"/>
      <c r="BU77" s="83"/>
      <c r="BV77" s="680"/>
      <c r="BW77" s="81"/>
      <c r="BX77" s="82"/>
      <c r="BY77" s="857"/>
      <c r="BZ77" s="21"/>
      <c r="CA77" s="1643"/>
      <c r="CB77" s="680"/>
      <c r="CC77" s="83"/>
      <c r="CD77" s="680"/>
      <c r="CE77" s="81"/>
      <c r="CF77" s="82"/>
      <c r="CG77" s="857"/>
      <c r="CH77" s="70"/>
      <c r="CI77" s="1643"/>
      <c r="CJ77" s="680"/>
      <c r="CK77" s="83"/>
      <c r="CL77" s="680"/>
      <c r="CM77" s="81"/>
      <c r="CN77" s="82"/>
      <c r="CO77" s="857"/>
      <c r="CP77" s="70"/>
      <c r="CQ77" s="16"/>
      <c r="CR77" s="70"/>
      <c r="CS77" s="70"/>
      <c r="CT77" s="70"/>
    </row>
    <row r="78" spans="1:98" ht="20.100000000000001" customHeight="1" thickBot="1" x14ac:dyDescent="0.25">
      <c r="A78" s="25"/>
      <c r="B78" s="25"/>
      <c r="C78" s="1842"/>
      <c r="D78" s="20"/>
      <c r="E78" s="3978"/>
      <c r="F78" s="3984"/>
      <c r="G78" s="3985"/>
      <c r="H78" s="3985"/>
      <c r="I78" s="3978"/>
      <c r="J78" s="3980"/>
      <c r="K78" s="3978"/>
      <c r="L78" s="3978"/>
      <c r="M78" s="3978"/>
      <c r="N78" s="21"/>
      <c r="O78" s="1723"/>
      <c r="P78" s="1724" t="str">
        <f>_Calcs!$N$79</f>
        <v>Begrunnelse</v>
      </c>
      <c r="Q78" s="1724"/>
      <c r="R78" s="1724"/>
      <c r="S78" s="1724"/>
      <c r="T78" s="1719"/>
      <c r="U78" s="1725"/>
      <c r="V78" s="21"/>
      <c r="W78" s="1643"/>
      <c r="X78" s="680"/>
      <c r="Y78" s="3981"/>
      <c r="Z78" s="2315"/>
      <c r="AA78" s="1644" t="str">
        <f>IF(_Calcs!$IW$38=1,"✓","!")</f>
        <v>✓</v>
      </c>
      <c r="AB78" s="82"/>
      <c r="AC78" s="857"/>
      <c r="AD78" s="70"/>
      <c r="AE78" s="1643"/>
      <c r="AF78" s="680"/>
      <c r="AG78" s="3981"/>
      <c r="AH78" s="2315"/>
      <c r="AI78" s="1644" t="str">
        <f>IF(_Calcs!$IW$39=1,"✓","!")</f>
        <v>✓</v>
      </c>
      <c r="AJ78" s="82"/>
      <c r="AK78" s="857"/>
      <c r="AL78" s="70"/>
      <c r="AM78" s="1643"/>
      <c r="AN78" s="680"/>
      <c r="AO78" s="3981"/>
      <c r="AP78" s="2315"/>
      <c r="AQ78" s="1644" t="str">
        <f>IF(_Calcs!$IW$40=1,"✓","!")</f>
        <v>✓</v>
      </c>
      <c r="AR78" s="82"/>
      <c r="AS78" s="857"/>
      <c r="AT78" s="21"/>
      <c r="AU78" s="1643"/>
      <c r="AV78" s="680"/>
      <c r="AW78" s="3981"/>
      <c r="AX78" s="2315"/>
      <c r="AY78" s="1644" t="str">
        <f>IF(_Calcs!$IW$41=1,"✓","!")</f>
        <v>✓</v>
      </c>
      <c r="AZ78" s="82"/>
      <c r="BA78" s="857"/>
      <c r="BB78" s="70"/>
      <c r="BC78" s="1643"/>
      <c r="BD78" s="680"/>
      <c r="BE78" s="3981"/>
      <c r="BF78" s="2315"/>
      <c r="BG78" s="1644" t="str">
        <f>IF(_Calcs!$IW$42=1,"✓","!")</f>
        <v>✓</v>
      </c>
      <c r="BH78" s="82"/>
      <c r="BI78" s="857"/>
      <c r="BJ78" s="21"/>
      <c r="BK78" s="1643"/>
      <c r="BL78" s="680"/>
      <c r="BM78" s="3981"/>
      <c r="BN78" s="2315"/>
      <c r="BO78" s="1644" t="str">
        <f>IF(_Calcs!$IW$43=1,"✓","!")</f>
        <v>✓</v>
      </c>
      <c r="BP78" s="82"/>
      <c r="BQ78" s="857"/>
      <c r="BS78" s="1643"/>
      <c r="BT78" s="680"/>
      <c r="BU78" s="3981"/>
      <c r="BV78" s="2315"/>
      <c r="BW78" s="1644" t="str">
        <f>IF(_Calcs!$IW$44=1,"✓","!")</f>
        <v>✓</v>
      </c>
      <c r="BX78" s="82"/>
      <c r="BY78" s="857"/>
      <c r="BZ78" s="21"/>
      <c r="CA78" s="1643"/>
      <c r="CB78" s="680"/>
      <c r="CC78" s="3981"/>
      <c r="CD78" s="2315"/>
      <c r="CE78" s="1644" t="str">
        <f>IF(_Calcs!$IW$45=1,"✓","!")</f>
        <v>✓</v>
      </c>
      <c r="CF78" s="82"/>
      <c r="CG78" s="857"/>
      <c r="CH78" s="70"/>
      <c r="CI78" s="1643"/>
      <c r="CJ78" s="680"/>
      <c r="CK78" s="3981"/>
      <c r="CL78" s="2315"/>
      <c r="CM78" s="1644" t="str">
        <f>IF(_Calcs!$IW$46=1,"✓","!")</f>
        <v>✓</v>
      </c>
      <c r="CN78" s="82"/>
      <c r="CO78" s="857"/>
      <c r="CP78" s="70"/>
      <c r="CQ78" s="16"/>
      <c r="CR78" s="70"/>
      <c r="CS78" s="70"/>
      <c r="CT78" s="70"/>
    </row>
    <row r="79" spans="1:98" ht="15" customHeight="1" thickBot="1" x14ac:dyDescent="0.25">
      <c r="A79" s="25"/>
      <c r="B79" s="25"/>
      <c r="C79" s="1842"/>
      <c r="D79" s="20"/>
      <c r="E79" s="3978"/>
      <c r="F79" s="3984"/>
      <c r="G79" s="3985"/>
      <c r="H79" s="3985"/>
      <c r="I79" s="3978"/>
      <c r="J79" s="3980"/>
      <c r="K79" s="3978"/>
      <c r="L79" s="3978"/>
      <c r="M79" s="3978"/>
      <c r="N79" s="21"/>
      <c r="O79" s="1726"/>
      <c r="P79" s="1727"/>
      <c r="Q79" s="1727"/>
      <c r="R79" s="1727"/>
      <c r="S79" s="1727"/>
      <c r="T79" s="1728"/>
      <c r="U79" s="1729"/>
      <c r="V79" s="21"/>
      <c r="W79" s="1743"/>
      <c r="X79" s="859"/>
      <c r="Y79" s="3854"/>
      <c r="Z79" s="3854"/>
      <c r="AA79" s="3982"/>
      <c r="AB79" s="860"/>
      <c r="AC79" s="861"/>
      <c r="AD79" s="70"/>
      <c r="AE79" s="1743"/>
      <c r="AF79" s="859"/>
      <c r="AG79" s="3854"/>
      <c r="AH79" s="3854"/>
      <c r="AI79" s="3982"/>
      <c r="AJ79" s="860"/>
      <c r="AK79" s="861"/>
      <c r="AL79" s="70"/>
      <c r="AM79" s="1743"/>
      <c r="AN79" s="859"/>
      <c r="AO79" s="3854"/>
      <c r="AP79" s="3854"/>
      <c r="AQ79" s="3982"/>
      <c r="AR79" s="860"/>
      <c r="AS79" s="861"/>
      <c r="AT79" s="21"/>
      <c r="AU79" s="1743"/>
      <c r="AV79" s="859"/>
      <c r="AW79" s="3854"/>
      <c r="AX79" s="3854"/>
      <c r="AY79" s="3982"/>
      <c r="AZ79" s="860"/>
      <c r="BA79" s="861"/>
      <c r="BB79" s="70"/>
      <c r="BC79" s="1743"/>
      <c r="BD79" s="859"/>
      <c r="BE79" s="3854"/>
      <c r="BF79" s="3854"/>
      <c r="BG79" s="3982"/>
      <c r="BH79" s="860"/>
      <c r="BI79" s="861"/>
      <c r="BJ79" s="21"/>
      <c r="BK79" s="1743"/>
      <c r="BL79" s="859"/>
      <c r="BM79" s="3854"/>
      <c r="BN79" s="3854"/>
      <c r="BO79" s="3982"/>
      <c r="BP79" s="860"/>
      <c r="BQ79" s="861"/>
      <c r="BS79" s="1743"/>
      <c r="BT79" s="859"/>
      <c r="BU79" s="3854"/>
      <c r="BV79" s="3854"/>
      <c r="BW79" s="3982"/>
      <c r="BX79" s="860"/>
      <c r="BY79" s="861"/>
      <c r="BZ79" s="21"/>
      <c r="CA79" s="1743"/>
      <c r="CB79" s="859"/>
      <c r="CC79" s="3854"/>
      <c r="CD79" s="3854"/>
      <c r="CE79" s="3982"/>
      <c r="CF79" s="860"/>
      <c r="CG79" s="861"/>
      <c r="CH79" s="70"/>
      <c r="CI79" s="1743"/>
      <c r="CJ79" s="859"/>
      <c r="CK79" s="3854"/>
      <c r="CL79" s="3854"/>
      <c r="CM79" s="3982"/>
      <c r="CN79" s="860"/>
      <c r="CO79" s="861"/>
      <c r="CP79" s="70"/>
      <c r="CQ79" s="16"/>
      <c r="CR79" s="70"/>
      <c r="CS79" s="70"/>
      <c r="CT79" s="70"/>
    </row>
    <row r="80" spans="1:98" ht="24.95" customHeight="1" x14ac:dyDescent="0.2">
      <c r="A80" s="25"/>
      <c r="B80" s="25"/>
      <c r="C80" s="1842"/>
      <c r="D80" s="20"/>
      <c r="E80" s="78"/>
      <c r="F80" s="952"/>
      <c r="G80" s="2499"/>
      <c r="H80" s="2499"/>
      <c r="I80" s="78"/>
      <c r="J80" s="16"/>
      <c r="K80" s="78"/>
      <c r="L80" s="78"/>
      <c r="M80" s="78"/>
      <c r="N80" s="136"/>
      <c r="O80" s="136"/>
      <c r="P80" s="136"/>
      <c r="Q80" s="136"/>
      <c r="R80" s="136"/>
      <c r="S80" s="136"/>
      <c r="T80" s="17"/>
      <c r="U80" s="136"/>
      <c r="V80" s="136"/>
      <c r="W80" s="136"/>
      <c r="X80" s="136"/>
      <c r="Y80" s="17"/>
      <c r="Z80" s="136"/>
      <c r="AA80" s="36"/>
      <c r="AB80" s="16"/>
      <c r="AC80" s="16"/>
      <c r="AD80" s="78"/>
      <c r="AE80" s="136"/>
      <c r="AF80" s="136"/>
      <c r="AG80" s="17"/>
      <c r="AH80" s="136"/>
      <c r="AI80" s="36"/>
      <c r="AJ80" s="16"/>
      <c r="AK80" s="16"/>
      <c r="AL80" s="78"/>
      <c r="AM80" s="136"/>
      <c r="AN80" s="136"/>
      <c r="AO80" s="17"/>
      <c r="AP80" s="136"/>
      <c r="AQ80" s="36"/>
      <c r="AR80" s="16"/>
      <c r="AS80" s="16"/>
      <c r="AT80" s="136"/>
      <c r="AU80" s="136"/>
      <c r="AV80" s="136"/>
      <c r="AW80" s="17"/>
      <c r="AX80" s="136"/>
      <c r="AY80" s="36"/>
      <c r="AZ80" s="16"/>
      <c r="BA80" s="16"/>
      <c r="BB80" s="78"/>
      <c r="BC80" s="136"/>
      <c r="BD80" s="136"/>
      <c r="BE80" s="17"/>
      <c r="BF80" s="136"/>
      <c r="BG80" s="36"/>
      <c r="BH80" s="16"/>
      <c r="BI80" s="16"/>
      <c r="BJ80" s="136"/>
      <c r="BK80" s="136"/>
      <c r="BL80" s="136"/>
      <c r="BM80" s="17"/>
      <c r="BN80" s="136"/>
      <c r="BO80" s="36"/>
      <c r="BP80" s="16"/>
      <c r="BQ80" s="16"/>
      <c r="BR80" s="78"/>
      <c r="BS80" s="136"/>
      <c r="BT80" s="136"/>
      <c r="BU80" s="17"/>
      <c r="BV80" s="136"/>
      <c r="BW80" s="36"/>
      <c r="BX80" s="16"/>
      <c r="BY80" s="16"/>
      <c r="BZ80" s="136"/>
      <c r="CA80" s="136"/>
      <c r="CB80" s="136"/>
      <c r="CC80" s="17"/>
      <c r="CD80" s="136"/>
      <c r="CE80" s="36"/>
      <c r="CF80" s="16"/>
      <c r="CG80" s="16"/>
      <c r="CH80" s="78"/>
      <c r="CI80" s="136"/>
      <c r="CJ80" s="136"/>
      <c r="CK80" s="17"/>
      <c r="CL80" s="136"/>
      <c r="CM80" s="36"/>
      <c r="CN80" s="16"/>
      <c r="CO80" s="16"/>
      <c r="CP80" s="78"/>
      <c r="CQ80" s="16"/>
      <c r="CR80" s="78"/>
      <c r="CS80" s="78"/>
      <c r="CT80" s="78"/>
    </row>
    <row r="81" spans="1:98" ht="15" hidden="1" customHeight="1" thickBot="1" x14ac:dyDescent="0.25">
      <c r="A81" s="25"/>
      <c r="B81" s="25"/>
      <c r="C81" s="1637"/>
      <c r="D81" s="20"/>
      <c r="E81" s="1638"/>
      <c r="F81" s="1840"/>
      <c r="G81" s="1840"/>
      <c r="H81" s="1840"/>
      <c r="I81" s="1639"/>
      <c r="J81" s="850"/>
      <c r="K81" s="1640"/>
      <c r="L81" s="1640"/>
      <c r="M81" s="1641"/>
      <c r="N81" s="129"/>
      <c r="O81" s="1751"/>
      <c r="P81" s="1752"/>
      <c r="Q81" s="1752"/>
      <c r="R81" s="1752"/>
      <c r="S81" s="1752"/>
      <c r="T81" s="1752"/>
      <c r="U81" s="1753"/>
      <c r="V81" s="129"/>
      <c r="W81" s="1647"/>
      <c r="X81" s="1639"/>
      <c r="Y81" s="1640"/>
      <c r="Z81" s="1639"/>
      <c r="AA81" s="1640"/>
      <c r="AB81" s="1640"/>
      <c r="AC81" s="1641"/>
      <c r="AD81" s="17"/>
      <c r="AE81" s="1647"/>
      <c r="AF81" s="1639"/>
      <c r="AG81" s="1640"/>
      <c r="AH81" s="1639"/>
      <c r="AI81" s="1640"/>
      <c r="AJ81" s="1640"/>
      <c r="AK81" s="1641"/>
      <c r="AL81" s="17"/>
      <c r="AM81" s="1647"/>
      <c r="AN81" s="1639"/>
      <c r="AO81" s="1640"/>
      <c r="AP81" s="1639"/>
      <c r="AQ81" s="1640"/>
      <c r="AR81" s="1640"/>
      <c r="AS81" s="1641"/>
      <c r="AT81" s="129"/>
      <c r="AU81" s="1647"/>
      <c r="AV81" s="1639"/>
      <c r="AW81" s="1640"/>
      <c r="AX81" s="1639"/>
      <c r="AY81" s="1640"/>
      <c r="AZ81" s="1640"/>
      <c r="BA81" s="1641"/>
      <c r="BB81" s="17"/>
      <c r="BC81" s="1647"/>
      <c r="BD81" s="1639"/>
      <c r="BE81" s="1640"/>
      <c r="BF81" s="1639"/>
      <c r="BG81" s="1640"/>
      <c r="BH81" s="1640"/>
      <c r="BI81" s="1641"/>
      <c r="BJ81" s="129"/>
      <c r="BK81" s="1647"/>
      <c r="BL81" s="1639"/>
      <c r="BM81" s="1640"/>
      <c r="BN81" s="1639"/>
      <c r="BO81" s="1640"/>
      <c r="BP81" s="1640"/>
      <c r="BQ81" s="1641"/>
      <c r="BR81" s="17"/>
      <c r="BS81" s="1647"/>
      <c r="BT81" s="1639"/>
      <c r="BU81" s="1640"/>
      <c r="BV81" s="1639"/>
      <c r="BW81" s="1640"/>
      <c r="BX81" s="1640"/>
      <c r="BY81" s="1641"/>
      <c r="BZ81" s="129"/>
      <c r="CA81" s="1647"/>
      <c r="CB81" s="1639"/>
      <c r="CC81" s="1640"/>
      <c r="CD81" s="1639"/>
      <c r="CE81" s="1640"/>
      <c r="CF81" s="1640"/>
      <c r="CG81" s="1641"/>
      <c r="CH81" s="17"/>
      <c r="CI81" s="1647"/>
      <c r="CJ81" s="1639"/>
      <c r="CK81" s="1640"/>
      <c r="CL81" s="1639"/>
      <c r="CM81" s="1640"/>
      <c r="CN81" s="1640"/>
      <c r="CO81" s="1641"/>
      <c r="CP81" s="17"/>
      <c r="CQ81" s="20"/>
      <c r="CR81" s="17"/>
      <c r="CS81" s="17"/>
      <c r="CT81" s="17"/>
    </row>
    <row r="82" spans="1:98" ht="8.1" customHeight="1" thickBot="1" x14ac:dyDescent="0.25">
      <c r="A82" s="25"/>
      <c r="B82" s="25"/>
      <c r="C82" s="1637"/>
      <c r="D82" s="20"/>
      <c r="E82" s="14"/>
      <c r="F82" s="996"/>
      <c r="G82" s="996"/>
      <c r="H82" s="996"/>
      <c r="I82" s="129"/>
      <c r="K82" s="14"/>
      <c r="L82" s="14"/>
      <c r="M82" s="14"/>
      <c r="N82" s="129"/>
      <c r="O82" s="129"/>
      <c r="P82" s="5971"/>
      <c r="Q82" s="5971"/>
      <c r="R82" s="5971"/>
      <c r="S82" s="5971"/>
      <c r="T82" s="15"/>
      <c r="U82" s="129"/>
      <c r="V82" s="129"/>
      <c r="W82" s="129"/>
      <c r="X82" s="129"/>
      <c r="Y82" s="14"/>
      <c r="Z82" s="129"/>
      <c r="AA82" s="14"/>
      <c r="AB82" s="14"/>
      <c r="AC82" s="14"/>
      <c r="AD82" s="15"/>
      <c r="AE82" s="129"/>
      <c r="AF82" s="129"/>
      <c r="AG82" s="14"/>
      <c r="AH82" s="129"/>
      <c r="AI82" s="14"/>
      <c r="AJ82" s="14"/>
      <c r="AK82" s="14"/>
      <c r="AL82" s="15"/>
      <c r="AM82" s="129"/>
      <c r="AN82" s="129"/>
      <c r="AO82" s="14"/>
      <c r="AP82" s="129"/>
      <c r="AQ82" s="14"/>
      <c r="AR82" s="14"/>
      <c r="AS82" s="14"/>
      <c r="AT82" s="129"/>
      <c r="AU82" s="129"/>
      <c r="AV82" s="129"/>
      <c r="AW82" s="14"/>
      <c r="AX82" s="129"/>
      <c r="AY82" s="14"/>
      <c r="AZ82" s="14"/>
      <c r="BA82" s="14"/>
      <c r="BB82" s="15"/>
      <c r="BC82" s="129"/>
      <c r="BD82" s="129"/>
      <c r="BE82" s="14"/>
      <c r="BF82" s="129"/>
      <c r="BG82" s="14"/>
      <c r="BH82" s="14"/>
      <c r="BI82" s="14"/>
      <c r="BJ82" s="129"/>
      <c r="BK82" s="129"/>
      <c r="BL82" s="129"/>
      <c r="BM82" s="14"/>
      <c r="BN82" s="129"/>
      <c r="BO82" s="14"/>
      <c r="BP82" s="14"/>
      <c r="BQ82" s="14"/>
      <c r="BR82" s="15"/>
      <c r="BS82" s="129"/>
      <c r="BT82" s="129"/>
      <c r="BU82" s="14"/>
      <c r="BV82" s="129"/>
      <c r="BW82" s="14"/>
      <c r="BX82" s="14"/>
      <c r="BY82" s="14"/>
      <c r="BZ82" s="129"/>
      <c r="CA82" s="129"/>
      <c r="CB82" s="129"/>
      <c r="CC82" s="14"/>
      <c r="CD82" s="129"/>
      <c r="CE82" s="14"/>
      <c r="CF82" s="14"/>
      <c r="CG82" s="14"/>
      <c r="CH82" s="15"/>
      <c r="CI82" s="129"/>
      <c r="CJ82" s="129"/>
      <c r="CK82" s="14"/>
      <c r="CL82" s="129"/>
      <c r="CM82" s="14"/>
      <c r="CN82" s="14"/>
      <c r="CO82" s="14"/>
      <c r="CP82" s="15"/>
      <c r="CQ82" s="20"/>
      <c r="CR82" s="15"/>
      <c r="CS82" s="15"/>
      <c r="CT82" s="15"/>
    </row>
    <row r="83" spans="1:98" ht="15" customHeight="1" thickBot="1" x14ac:dyDescent="0.25">
      <c r="A83" s="25"/>
      <c r="B83" s="25"/>
      <c r="C83" s="1842"/>
      <c r="D83" s="20"/>
      <c r="E83" s="1730"/>
      <c r="F83" s="2060"/>
      <c r="G83" s="1841"/>
      <c r="H83" s="1841"/>
      <c r="I83" s="1731"/>
      <c r="J83" s="6244"/>
      <c r="K83" s="1732"/>
      <c r="L83" s="1732"/>
      <c r="M83" s="1733"/>
      <c r="N83" s="21"/>
      <c r="O83" s="1720"/>
      <c r="P83" s="1721"/>
      <c r="Q83" s="1721"/>
      <c r="R83" s="1721"/>
      <c r="S83" s="1721"/>
      <c r="T83" s="1718"/>
      <c r="U83" s="1722"/>
      <c r="V83" s="21"/>
      <c r="W83" s="1642"/>
      <c r="X83" s="853"/>
      <c r="Y83" s="854"/>
      <c r="Z83" s="853"/>
      <c r="AA83" s="863"/>
      <c r="AB83" s="854"/>
      <c r="AC83" s="855"/>
      <c r="AD83" s="70"/>
      <c r="AE83" s="1642"/>
      <c r="AF83" s="853"/>
      <c r="AG83" s="854"/>
      <c r="AH83" s="853"/>
      <c r="AI83" s="863"/>
      <c r="AJ83" s="854"/>
      <c r="AK83" s="855"/>
      <c r="AL83" s="70"/>
      <c r="AM83" s="1642"/>
      <c r="AN83" s="853"/>
      <c r="AO83" s="854"/>
      <c r="AP83" s="853"/>
      <c r="AQ83" s="863"/>
      <c r="AR83" s="854"/>
      <c r="AS83" s="855"/>
      <c r="AT83" s="21"/>
      <c r="AU83" s="1642"/>
      <c r="AV83" s="853"/>
      <c r="AW83" s="854"/>
      <c r="AX83" s="853"/>
      <c r="AY83" s="863"/>
      <c r="AZ83" s="854"/>
      <c r="BA83" s="855"/>
      <c r="BB83" s="70"/>
      <c r="BC83" s="1642"/>
      <c r="BD83" s="853"/>
      <c r="BE83" s="854"/>
      <c r="BF83" s="853"/>
      <c r="BG83" s="863"/>
      <c r="BH83" s="854"/>
      <c r="BI83" s="855"/>
      <c r="BJ83" s="21"/>
      <c r="BK83" s="1642"/>
      <c r="BL83" s="853"/>
      <c r="BM83" s="854"/>
      <c r="BN83" s="853"/>
      <c r="BO83" s="863"/>
      <c r="BP83" s="854"/>
      <c r="BQ83" s="855"/>
      <c r="BS83" s="1642"/>
      <c r="BT83" s="853"/>
      <c r="BU83" s="854"/>
      <c r="BV83" s="853"/>
      <c r="BW83" s="863"/>
      <c r="BX83" s="854"/>
      <c r="BY83" s="855"/>
      <c r="BZ83" s="21"/>
      <c r="CA83" s="1642"/>
      <c r="CB83" s="853"/>
      <c r="CC83" s="854"/>
      <c r="CD83" s="853"/>
      <c r="CE83" s="863"/>
      <c r="CF83" s="854"/>
      <c r="CG83" s="855"/>
      <c r="CH83" s="70"/>
      <c r="CI83" s="1642"/>
      <c r="CJ83" s="853"/>
      <c r="CK83" s="854"/>
      <c r="CL83" s="853"/>
      <c r="CM83" s="863"/>
      <c r="CN83" s="854"/>
      <c r="CO83" s="855"/>
      <c r="CP83" s="70"/>
      <c r="CQ83" s="82"/>
      <c r="CR83" s="70"/>
      <c r="CS83" s="70"/>
      <c r="CT83" s="70"/>
    </row>
    <row r="84" spans="1:98" ht="24.95" customHeight="1" thickBot="1" x14ac:dyDescent="0.25">
      <c r="A84" s="25"/>
      <c r="B84" s="25"/>
      <c r="C84" s="1842"/>
      <c r="D84" s="20"/>
      <c r="E84" s="1734"/>
      <c r="F84" s="2058" t="str">
        <f>_Calcs!$M$79</f>
        <v>Avvikende arbeidstid</v>
      </c>
      <c r="G84" s="1838"/>
      <c r="H84" s="1838"/>
      <c r="I84" s="1735"/>
      <c r="J84" s="2316" t="s">
        <v>149</v>
      </c>
      <c r="K84" s="2316"/>
      <c r="L84" s="1736"/>
      <c r="M84" s="1737"/>
      <c r="N84" s="21"/>
      <c r="O84" s="1723"/>
      <c r="P84" s="1724" t="str">
        <f>$P$60</f>
        <v>Påvirkning</v>
      </c>
      <c r="Q84" s="1724"/>
      <c r="R84" s="1724"/>
      <c r="S84" s="1724"/>
      <c r="T84" s="3976"/>
      <c r="U84" s="1725"/>
      <c r="V84" s="21"/>
      <c r="W84" s="1643"/>
      <c r="X84" s="680"/>
      <c r="Y84" s="3983"/>
      <c r="Z84" s="2314"/>
      <c r="AA84" s="1644" t="str">
        <f>IF(_Calcs!$IX$38=1,"✓","!")</f>
        <v>✓</v>
      </c>
      <c r="AB84" s="82"/>
      <c r="AC84" s="857"/>
      <c r="AD84" s="70"/>
      <c r="AE84" s="1643"/>
      <c r="AF84" s="680"/>
      <c r="AG84" s="3983"/>
      <c r="AH84" s="2314"/>
      <c r="AI84" s="1644" t="str">
        <f>IF(_Calcs!$IX$39=1,"✓","!")</f>
        <v>✓</v>
      </c>
      <c r="AJ84" s="82"/>
      <c r="AK84" s="857"/>
      <c r="AL84" s="70"/>
      <c r="AM84" s="1643"/>
      <c r="AN84" s="680"/>
      <c r="AO84" s="3983"/>
      <c r="AP84" s="2314"/>
      <c r="AQ84" s="1644" t="str">
        <f>IF(_Calcs!$IX$40=1,"✓","!")</f>
        <v>✓</v>
      </c>
      <c r="AR84" s="82"/>
      <c r="AS84" s="857"/>
      <c r="AT84" s="21"/>
      <c r="AU84" s="1643"/>
      <c r="AV84" s="680"/>
      <c r="AW84" s="3983"/>
      <c r="AX84" s="2314"/>
      <c r="AY84" s="1644" t="str">
        <f>IF(_Calcs!$IX$41=1,"✓","!")</f>
        <v>✓</v>
      </c>
      <c r="AZ84" s="82"/>
      <c r="BA84" s="857"/>
      <c r="BB84" s="70"/>
      <c r="BC84" s="1643"/>
      <c r="BD84" s="680"/>
      <c r="BE84" s="3983"/>
      <c r="BF84" s="2314"/>
      <c r="BG84" s="1644" t="str">
        <f>IF(_Calcs!$IX$42=1,"✓","!")</f>
        <v>✓</v>
      </c>
      <c r="BH84" s="82"/>
      <c r="BI84" s="857"/>
      <c r="BJ84" s="21"/>
      <c r="BK84" s="1643"/>
      <c r="BL84" s="680"/>
      <c r="BM84" s="3983"/>
      <c r="BN84" s="2314"/>
      <c r="BO84" s="1644" t="str">
        <f>IF(_Calcs!$IX$43=1,"✓","!")</f>
        <v>✓</v>
      </c>
      <c r="BP84" s="82"/>
      <c r="BQ84" s="857"/>
      <c r="BS84" s="1643"/>
      <c r="BT84" s="680"/>
      <c r="BU84" s="3983"/>
      <c r="BV84" s="2314"/>
      <c r="BW84" s="1644" t="str">
        <f>IF(_Calcs!$IX$44=1,"✓","!")</f>
        <v>✓</v>
      </c>
      <c r="BX84" s="82"/>
      <c r="BY84" s="857"/>
      <c r="BZ84" s="21"/>
      <c r="CA84" s="1643"/>
      <c r="CB84" s="680"/>
      <c r="CC84" s="3983"/>
      <c r="CD84" s="2314"/>
      <c r="CE84" s="1644" t="str">
        <f>IF(_Calcs!$IX$45=1,"✓","!")</f>
        <v>✓</v>
      </c>
      <c r="CF84" s="82"/>
      <c r="CG84" s="857"/>
      <c r="CH84" s="70"/>
      <c r="CI84" s="1643"/>
      <c r="CJ84" s="680"/>
      <c r="CK84" s="3983"/>
      <c r="CL84" s="2314"/>
      <c r="CM84" s="1644" t="str">
        <f>IF(_Calcs!$IX$46=1,"✓","!")</f>
        <v>✓</v>
      </c>
      <c r="CN84" s="82"/>
      <c r="CO84" s="857"/>
      <c r="CP84" s="70"/>
      <c r="CQ84" s="82"/>
      <c r="CR84" s="70"/>
      <c r="CS84" s="70"/>
      <c r="CT84" s="70"/>
    </row>
    <row r="85" spans="1:98" ht="15" customHeight="1" thickBot="1" x14ac:dyDescent="0.25">
      <c r="A85" s="25"/>
      <c r="B85" s="25"/>
      <c r="C85" s="1842"/>
      <c r="D85" s="20"/>
      <c r="E85" s="1738"/>
      <c r="F85" s="2059"/>
      <c r="G85" s="1839"/>
      <c r="H85" s="1839"/>
      <c r="I85" s="1739"/>
      <c r="J85" s="1740"/>
      <c r="K85" s="1740"/>
      <c r="L85" s="1741"/>
      <c r="M85" s="1742"/>
      <c r="N85" s="21"/>
      <c r="O85" s="1723"/>
      <c r="P85" s="1724"/>
      <c r="Q85" s="1724"/>
      <c r="R85" s="1724"/>
      <c r="S85" s="1724"/>
      <c r="T85" s="5453"/>
      <c r="U85" s="1725"/>
      <c r="V85" s="21"/>
      <c r="W85" s="1743"/>
      <c r="X85" s="859"/>
      <c r="Y85" s="1870"/>
      <c r="Z85" s="859"/>
      <c r="AA85" s="1871"/>
      <c r="AB85" s="860"/>
      <c r="AC85" s="861"/>
      <c r="AD85" s="70"/>
      <c r="AE85" s="1743"/>
      <c r="AF85" s="859"/>
      <c r="AG85" s="1870"/>
      <c r="AH85" s="859"/>
      <c r="AI85" s="1871"/>
      <c r="AJ85" s="860"/>
      <c r="AK85" s="861"/>
      <c r="AL85" s="70"/>
      <c r="AM85" s="1743"/>
      <c r="AN85" s="859"/>
      <c r="AO85" s="1870"/>
      <c r="AP85" s="859"/>
      <c r="AQ85" s="1871"/>
      <c r="AR85" s="860"/>
      <c r="AS85" s="861"/>
      <c r="AT85" s="21"/>
      <c r="AU85" s="1743"/>
      <c r="AV85" s="859"/>
      <c r="AW85" s="1870"/>
      <c r="AX85" s="859"/>
      <c r="AY85" s="1871"/>
      <c r="AZ85" s="860"/>
      <c r="BA85" s="861"/>
      <c r="BB85" s="70"/>
      <c r="BC85" s="1743"/>
      <c r="BD85" s="859"/>
      <c r="BE85" s="1870"/>
      <c r="BF85" s="859"/>
      <c r="BG85" s="1871"/>
      <c r="BH85" s="860"/>
      <c r="BI85" s="861"/>
      <c r="BJ85" s="21"/>
      <c r="BK85" s="1743"/>
      <c r="BL85" s="859"/>
      <c r="BM85" s="1870"/>
      <c r="BN85" s="859"/>
      <c r="BO85" s="1871"/>
      <c r="BP85" s="860"/>
      <c r="BQ85" s="861"/>
      <c r="BS85" s="1743"/>
      <c r="BT85" s="859"/>
      <c r="BU85" s="1870"/>
      <c r="BV85" s="859"/>
      <c r="BW85" s="1871"/>
      <c r="BX85" s="860"/>
      <c r="BY85" s="861"/>
      <c r="BZ85" s="21"/>
      <c r="CA85" s="1743"/>
      <c r="CB85" s="859"/>
      <c r="CC85" s="1870"/>
      <c r="CD85" s="859"/>
      <c r="CE85" s="1871"/>
      <c r="CF85" s="860"/>
      <c r="CG85" s="861"/>
      <c r="CH85" s="70"/>
      <c r="CI85" s="1743"/>
      <c r="CJ85" s="859"/>
      <c r="CK85" s="1870"/>
      <c r="CL85" s="859"/>
      <c r="CM85" s="1871"/>
      <c r="CN85" s="860"/>
      <c r="CO85" s="861"/>
      <c r="CP85" s="70"/>
      <c r="CQ85" s="82"/>
      <c r="CR85" s="70"/>
      <c r="CS85" s="70"/>
      <c r="CT85" s="70"/>
    </row>
    <row r="86" spans="1:98" ht="5.0999999999999996" customHeight="1" thickBot="1" x14ac:dyDescent="0.25">
      <c r="A86" s="25"/>
      <c r="B86" s="25"/>
      <c r="C86" s="1842"/>
      <c r="D86" s="20"/>
      <c r="E86" s="20"/>
      <c r="F86" s="952"/>
      <c r="G86" s="979"/>
      <c r="H86" s="979"/>
      <c r="I86" s="136"/>
      <c r="J86" s="1181"/>
      <c r="K86" s="1181"/>
      <c r="L86" s="35"/>
      <c r="M86" s="35"/>
      <c r="N86" s="21"/>
      <c r="O86" s="1723"/>
      <c r="P86" s="1724"/>
      <c r="Q86" s="1724"/>
      <c r="R86" s="1724"/>
      <c r="S86" s="1724"/>
      <c r="T86" s="5453"/>
      <c r="U86" s="1725"/>
      <c r="V86" s="21"/>
      <c r="W86" s="1643"/>
      <c r="X86" s="680"/>
      <c r="Y86" s="83"/>
      <c r="Z86" s="680"/>
      <c r="AA86" s="81"/>
      <c r="AB86" s="82"/>
      <c r="AC86" s="857"/>
      <c r="AD86" s="70"/>
      <c r="AE86" s="1643"/>
      <c r="AF86" s="680"/>
      <c r="AG86" s="83"/>
      <c r="AH86" s="680"/>
      <c r="AI86" s="81"/>
      <c r="AJ86" s="82"/>
      <c r="AK86" s="857"/>
      <c r="AL86" s="70"/>
      <c r="AM86" s="1643"/>
      <c r="AN86" s="680"/>
      <c r="AO86" s="83"/>
      <c r="AP86" s="680"/>
      <c r="AQ86" s="81"/>
      <c r="AR86" s="82"/>
      <c r="AS86" s="857"/>
      <c r="AT86" s="21"/>
      <c r="AU86" s="1643"/>
      <c r="AV86" s="680"/>
      <c r="AW86" s="83"/>
      <c r="AX86" s="680"/>
      <c r="AY86" s="81"/>
      <c r="AZ86" s="82"/>
      <c r="BA86" s="857"/>
      <c r="BB86" s="70"/>
      <c r="BC86" s="1643"/>
      <c r="BD86" s="680"/>
      <c r="BE86" s="83"/>
      <c r="BF86" s="680"/>
      <c r="BG86" s="81"/>
      <c r="BH86" s="82"/>
      <c r="BI86" s="857"/>
      <c r="BJ86" s="21"/>
      <c r="BK86" s="1643"/>
      <c r="BL86" s="680"/>
      <c r="BM86" s="83"/>
      <c r="BN86" s="680"/>
      <c r="BO86" s="81"/>
      <c r="BP86" s="82"/>
      <c r="BQ86" s="857"/>
      <c r="BS86" s="1643"/>
      <c r="BT86" s="680"/>
      <c r="BU86" s="83"/>
      <c r="BV86" s="680"/>
      <c r="BW86" s="81"/>
      <c r="BX86" s="82"/>
      <c r="BY86" s="857"/>
      <c r="BZ86" s="21"/>
      <c r="CA86" s="1643"/>
      <c r="CB86" s="680"/>
      <c r="CC86" s="83"/>
      <c r="CD86" s="680"/>
      <c r="CE86" s="81"/>
      <c r="CF86" s="82"/>
      <c r="CG86" s="857"/>
      <c r="CH86" s="70"/>
      <c r="CI86" s="1643"/>
      <c r="CJ86" s="680"/>
      <c r="CK86" s="83"/>
      <c r="CL86" s="680"/>
      <c r="CM86" s="81"/>
      <c r="CN86" s="82"/>
      <c r="CO86" s="857"/>
      <c r="CP86" s="70"/>
      <c r="CQ86" s="16"/>
      <c r="CR86" s="70"/>
      <c r="CS86" s="70"/>
      <c r="CT86" s="70"/>
    </row>
    <row r="87" spans="1:98" ht="8.1" customHeight="1" x14ac:dyDescent="0.2">
      <c r="A87" s="25"/>
      <c r="B87" s="25"/>
      <c r="C87" s="1842"/>
      <c r="D87" s="20"/>
      <c r="E87" s="20"/>
      <c r="F87" s="952"/>
      <c r="G87" s="979"/>
      <c r="H87" s="979"/>
      <c r="I87" s="136"/>
      <c r="J87" s="1181"/>
      <c r="K87" s="1181"/>
      <c r="L87" s="35"/>
      <c r="M87" s="35"/>
      <c r="N87" s="21"/>
      <c r="O87" s="1723"/>
      <c r="P87" s="6636" t="str">
        <f>_Calcs!$N$80</f>
        <v>Tidjustering</v>
      </c>
      <c r="Q87" s="1724"/>
      <c r="R87" s="1724"/>
      <c r="S87" s="1724"/>
      <c r="T87" s="6636" t="s">
        <v>146</v>
      </c>
      <c r="U87" s="1725"/>
      <c r="V87" s="21"/>
      <c r="W87" s="1643"/>
      <c r="X87" s="680"/>
      <c r="Y87" s="6629"/>
      <c r="Z87" s="680"/>
      <c r="AA87" s="6631" t="str">
        <f>IF(_Calcs!$IY$38=1,"✓","!")</f>
        <v>✓</v>
      </c>
      <c r="AB87" s="82"/>
      <c r="AC87" s="857"/>
      <c r="AD87" s="70"/>
      <c r="AE87" s="1643"/>
      <c r="AF87" s="680"/>
      <c r="AG87" s="6629"/>
      <c r="AH87" s="680"/>
      <c r="AI87" s="6631" t="str">
        <f>IF(_Calcs!$IY$39=1,"✓","!")</f>
        <v>✓</v>
      </c>
      <c r="AJ87" s="82"/>
      <c r="AK87" s="857"/>
      <c r="AL87" s="70"/>
      <c r="AM87" s="1643"/>
      <c r="AN87" s="680"/>
      <c r="AO87" s="6629"/>
      <c r="AP87" s="680"/>
      <c r="AQ87" s="6631" t="str">
        <f>IF(_Calcs!$IY$40=1,"✓","!")</f>
        <v>✓</v>
      </c>
      <c r="AR87" s="82"/>
      <c r="AS87" s="857"/>
      <c r="AT87" s="21"/>
      <c r="AU87" s="1643"/>
      <c r="AV87" s="680"/>
      <c r="AW87" s="6629"/>
      <c r="AX87" s="680"/>
      <c r="AY87" s="6631" t="str">
        <f>IF(_Calcs!$IY$41=1,"✓","!")</f>
        <v>✓</v>
      </c>
      <c r="AZ87" s="82"/>
      <c r="BA87" s="857"/>
      <c r="BB87" s="70"/>
      <c r="BC87" s="1643"/>
      <c r="BD87" s="680"/>
      <c r="BE87" s="6629"/>
      <c r="BF87" s="680"/>
      <c r="BG87" s="6631" t="str">
        <f>IF(_Calcs!$IY$42=1,"✓","!")</f>
        <v>✓</v>
      </c>
      <c r="BH87" s="82"/>
      <c r="BI87" s="857"/>
      <c r="BJ87" s="21"/>
      <c r="BK87" s="1643"/>
      <c r="BL87" s="680"/>
      <c r="BM87" s="6629"/>
      <c r="BN87" s="680"/>
      <c r="BO87" s="6631" t="str">
        <f>IF(_Calcs!$IY$43=1,"✓","!")</f>
        <v>✓</v>
      </c>
      <c r="BP87" s="82"/>
      <c r="BQ87" s="857"/>
      <c r="BS87" s="1643"/>
      <c r="BT87" s="680"/>
      <c r="BU87" s="6629"/>
      <c r="BV87" s="680"/>
      <c r="BW87" s="6631" t="str">
        <f>IF(_Calcs!$IY$44=1,"✓","!")</f>
        <v>✓</v>
      </c>
      <c r="BX87" s="82"/>
      <c r="BY87" s="857"/>
      <c r="BZ87" s="21"/>
      <c r="CA87" s="1643"/>
      <c r="CB87" s="680"/>
      <c r="CC87" s="6629"/>
      <c r="CD87" s="680"/>
      <c r="CE87" s="6631" t="str">
        <f>IF(_Calcs!$IY$45=1,"✓","!")</f>
        <v>✓</v>
      </c>
      <c r="CF87" s="82"/>
      <c r="CG87" s="857"/>
      <c r="CH87" s="70"/>
      <c r="CI87" s="1643"/>
      <c r="CJ87" s="680"/>
      <c r="CK87" s="6629"/>
      <c r="CL87" s="680"/>
      <c r="CM87" s="6631" t="str">
        <f>IF(_Calcs!$IY$46=1,"✓","!")</f>
        <v>✓</v>
      </c>
      <c r="CN87" s="82"/>
      <c r="CO87" s="857"/>
      <c r="CP87" s="70"/>
      <c r="CQ87" s="16"/>
      <c r="CR87" s="70"/>
      <c r="CS87" s="70"/>
      <c r="CT87" s="70"/>
    </row>
    <row r="88" spans="1:98" ht="12" customHeight="1" thickBot="1" x14ac:dyDescent="0.25">
      <c r="A88" s="25"/>
      <c r="B88" s="25"/>
      <c r="C88" s="1842"/>
      <c r="D88" s="20"/>
      <c r="E88" s="3978"/>
      <c r="F88" s="3984"/>
      <c r="G88" s="3985"/>
      <c r="H88" s="3985"/>
      <c r="I88" s="3978"/>
      <c r="J88" s="3980"/>
      <c r="K88" s="3978"/>
      <c r="L88" s="3978"/>
      <c r="M88" s="3978"/>
      <c r="N88" s="21"/>
      <c r="O88" s="1723"/>
      <c r="P88" s="6636"/>
      <c r="Q88" s="1724"/>
      <c r="R88" s="1724"/>
      <c r="S88" s="1724"/>
      <c r="T88" s="6636"/>
      <c r="U88" s="1725"/>
      <c r="V88" s="21"/>
      <c r="W88" s="1643"/>
      <c r="X88" s="680"/>
      <c r="Y88" s="6630"/>
      <c r="Z88" s="680"/>
      <c r="AA88" s="6632"/>
      <c r="AB88" s="82"/>
      <c r="AC88" s="857"/>
      <c r="AD88" s="70"/>
      <c r="AE88" s="1643"/>
      <c r="AF88" s="680"/>
      <c r="AG88" s="6630"/>
      <c r="AH88" s="680"/>
      <c r="AI88" s="6632"/>
      <c r="AJ88" s="82"/>
      <c r="AK88" s="857"/>
      <c r="AL88" s="70"/>
      <c r="AM88" s="1643"/>
      <c r="AN88" s="680"/>
      <c r="AO88" s="6630"/>
      <c r="AP88" s="680"/>
      <c r="AQ88" s="6632"/>
      <c r="AR88" s="82"/>
      <c r="AS88" s="857"/>
      <c r="AT88" s="21"/>
      <c r="AU88" s="1643"/>
      <c r="AV88" s="680"/>
      <c r="AW88" s="6630"/>
      <c r="AX88" s="680"/>
      <c r="AY88" s="6632"/>
      <c r="AZ88" s="82"/>
      <c r="BA88" s="857"/>
      <c r="BB88" s="70"/>
      <c r="BC88" s="1643"/>
      <c r="BD88" s="680"/>
      <c r="BE88" s="6630"/>
      <c r="BF88" s="680"/>
      <c r="BG88" s="6632"/>
      <c r="BH88" s="82"/>
      <c r="BI88" s="857"/>
      <c r="BJ88" s="21"/>
      <c r="BK88" s="1643"/>
      <c r="BL88" s="680"/>
      <c r="BM88" s="6630"/>
      <c r="BN88" s="680"/>
      <c r="BO88" s="6632"/>
      <c r="BP88" s="82"/>
      <c r="BQ88" s="857"/>
      <c r="BS88" s="1643"/>
      <c r="BT88" s="680"/>
      <c r="BU88" s="6630"/>
      <c r="BV88" s="680"/>
      <c r="BW88" s="6632"/>
      <c r="BX88" s="82"/>
      <c r="BY88" s="857"/>
      <c r="BZ88" s="21"/>
      <c r="CA88" s="1643"/>
      <c r="CB88" s="680"/>
      <c r="CC88" s="6630"/>
      <c r="CD88" s="680"/>
      <c r="CE88" s="6632"/>
      <c r="CF88" s="82"/>
      <c r="CG88" s="857"/>
      <c r="CH88" s="70"/>
      <c r="CI88" s="1643"/>
      <c r="CJ88" s="680"/>
      <c r="CK88" s="6630"/>
      <c r="CL88" s="680"/>
      <c r="CM88" s="6632"/>
      <c r="CN88" s="82"/>
      <c r="CO88" s="857"/>
      <c r="CP88" s="70"/>
      <c r="CQ88" s="16"/>
      <c r="CR88" s="70"/>
      <c r="CS88" s="70"/>
      <c r="CT88" s="70"/>
    </row>
    <row r="89" spans="1:98" ht="15" customHeight="1" thickBot="1" x14ac:dyDescent="0.25">
      <c r="A89" s="25"/>
      <c r="B89" s="25"/>
      <c r="C89" s="1842"/>
      <c r="D89" s="20"/>
      <c r="E89" s="3978"/>
      <c r="F89" s="3984"/>
      <c r="G89" s="3985"/>
      <c r="H89" s="3985"/>
      <c r="I89" s="3978"/>
      <c r="J89" s="3980"/>
      <c r="K89" s="3978"/>
      <c r="L89" s="3978"/>
      <c r="M89" s="3978"/>
      <c r="N89" s="21"/>
      <c r="O89" s="1723"/>
      <c r="P89" s="1724"/>
      <c r="Q89" s="1724"/>
      <c r="R89" s="1724"/>
      <c r="S89" s="1724"/>
      <c r="T89" s="5453"/>
      <c r="U89" s="1725"/>
      <c r="V89" s="21"/>
      <c r="W89" s="1643"/>
      <c r="X89" s="680"/>
      <c r="Y89" s="83"/>
      <c r="Z89" s="680"/>
      <c r="AA89" s="81"/>
      <c r="AB89" s="82"/>
      <c r="AC89" s="857"/>
      <c r="AD89" s="70"/>
      <c r="AE89" s="1643"/>
      <c r="AF89" s="680"/>
      <c r="AG89" s="83"/>
      <c r="AH89" s="680"/>
      <c r="AI89" s="81"/>
      <c r="AJ89" s="82"/>
      <c r="AK89" s="857"/>
      <c r="AL89" s="70"/>
      <c r="AM89" s="1643"/>
      <c r="AN89" s="680"/>
      <c r="AO89" s="83"/>
      <c r="AP89" s="680"/>
      <c r="AQ89" s="81"/>
      <c r="AR89" s="82"/>
      <c r="AS89" s="857"/>
      <c r="AT89" s="21"/>
      <c r="AU89" s="1643"/>
      <c r="AV89" s="680"/>
      <c r="AW89" s="83"/>
      <c r="AX89" s="680"/>
      <c r="AY89" s="81"/>
      <c r="AZ89" s="82"/>
      <c r="BA89" s="857"/>
      <c r="BB89" s="70"/>
      <c r="BC89" s="1643"/>
      <c r="BD89" s="680"/>
      <c r="BE89" s="83"/>
      <c r="BF89" s="680"/>
      <c r="BG89" s="81"/>
      <c r="BH89" s="82"/>
      <c r="BI89" s="857"/>
      <c r="BJ89" s="21"/>
      <c r="BK89" s="1643"/>
      <c r="BL89" s="680"/>
      <c r="BM89" s="83"/>
      <c r="BN89" s="680"/>
      <c r="BO89" s="81"/>
      <c r="BP89" s="82"/>
      <c r="BQ89" s="857"/>
      <c r="BS89" s="1643"/>
      <c r="BT89" s="680"/>
      <c r="BU89" s="83"/>
      <c r="BV89" s="680"/>
      <c r="BW89" s="81"/>
      <c r="BX89" s="82"/>
      <c r="BY89" s="857"/>
      <c r="BZ89" s="21"/>
      <c r="CA89" s="1643"/>
      <c r="CB89" s="680"/>
      <c r="CC89" s="83"/>
      <c r="CD89" s="680"/>
      <c r="CE89" s="81"/>
      <c r="CF89" s="82"/>
      <c r="CG89" s="857"/>
      <c r="CH89" s="70"/>
      <c r="CI89" s="1643"/>
      <c r="CJ89" s="680"/>
      <c r="CK89" s="83"/>
      <c r="CL89" s="680"/>
      <c r="CM89" s="81"/>
      <c r="CN89" s="82"/>
      <c r="CO89" s="857"/>
      <c r="CP89" s="70"/>
      <c r="CQ89" s="16"/>
      <c r="CR89" s="70"/>
      <c r="CS89" s="70"/>
      <c r="CT89" s="70"/>
    </row>
    <row r="90" spans="1:98" ht="20.100000000000001" customHeight="1" thickBot="1" x14ac:dyDescent="0.25">
      <c r="A90" s="25"/>
      <c r="B90" s="25"/>
      <c r="C90" s="1636"/>
      <c r="D90" s="20"/>
      <c r="E90" s="3978"/>
      <c r="F90" s="3984"/>
      <c r="G90" s="3985"/>
      <c r="H90" s="3985"/>
      <c r="I90" s="3978"/>
      <c r="J90" s="3980"/>
      <c r="K90" s="3978"/>
      <c r="L90" s="3978"/>
      <c r="M90" s="3978"/>
      <c r="N90" s="21"/>
      <c r="O90" s="1723"/>
      <c r="P90" s="1724" t="str">
        <f>_Calcs!$N$79</f>
        <v>Begrunnelse</v>
      </c>
      <c r="Q90" s="1724"/>
      <c r="R90" s="1724"/>
      <c r="S90" s="1724"/>
      <c r="T90" s="1719"/>
      <c r="U90" s="1725"/>
      <c r="V90" s="21"/>
      <c r="W90" s="1643"/>
      <c r="X90" s="680"/>
      <c r="Y90" s="3981"/>
      <c r="Z90" s="2315"/>
      <c r="AA90" s="1644" t="str">
        <f>IF(_Calcs!$IZ$38=1,"✓","!")</f>
        <v>✓</v>
      </c>
      <c r="AB90" s="82"/>
      <c r="AC90" s="857"/>
      <c r="AD90" s="70"/>
      <c r="AE90" s="1643"/>
      <c r="AF90" s="680"/>
      <c r="AG90" s="3981"/>
      <c r="AH90" s="2315"/>
      <c r="AI90" s="1644" t="str">
        <f>IF(_Calcs!$IZ$39=1,"✓","!")</f>
        <v>✓</v>
      </c>
      <c r="AJ90" s="82"/>
      <c r="AK90" s="857"/>
      <c r="AL90" s="70"/>
      <c r="AM90" s="1643"/>
      <c r="AN90" s="680"/>
      <c r="AO90" s="3981"/>
      <c r="AP90" s="2315"/>
      <c r="AQ90" s="1644" t="str">
        <f>IF(_Calcs!$IZ$40=1,"✓","!")</f>
        <v>✓</v>
      </c>
      <c r="AR90" s="82"/>
      <c r="AS90" s="857"/>
      <c r="AT90" s="21"/>
      <c r="AU90" s="1643"/>
      <c r="AV90" s="680"/>
      <c r="AW90" s="3981"/>
      <c r="AX90" s="2315"/>
      <c r="AY90" s="1644" t="str">
        <f>IF(_Calcs!$IZ$41=1,"✓","!")</f>
        <v>✓</v>
      </c>
      <c r="AZ90" s="82"/>
      <c r="BA90" s="857"/>
      <c r="BB90" s="70"/>
      <c r="BC90" s="1643"/>
      <c r="BD90" s="680"/>
      <c r="BE90" s="3981"/>
      <c r="BF90" s="2315"/>
      <c r="BG90" s="1644" t="str">
        <f>IF(_Calcs!$IZ$42=1,"✓","!")</f>
        <v>✓</v>
      </c>
      <c r="BH90" s="82"/>
      <c r="BI90" s="857"/>
      <c r="BJ90" s="21"/>
      <c r="BK90" s="1643"/>
      <c r="BL90" s="680"/>
      <c r="BM90" s="3981"/>
      <c r="BN90" s="2315"/>
      <c r="BO90" s="1644" t="str">
        <f>IF(_Calcs!$IZ$43=1,"✓","!")</f>
        <v>✓</v>
      </c>
      <c r="BP90" s="82"/>
      <c r="BQ90" s="857"/>
      <c r="BS90" s="1643"/>
      <c r="BT90" s="680"/>
      <c r="BU90" s="3981"/>
      <c r="BV90" s="2315"/>
      <c r="BW90" s="1644" t="str">
        <f>IF(_Calcs!$IZ$44=1,"✓","!")</f>
        <v>✓</v>
      </c>
      <c r="BX90" s="82"/>
      <c r="BY90" s="857"/>
      <c r="BZ90" s="21"/>
      <c r="CA90" s="1643"/>
      <c r="CB90" s="680"/>
      <c r="CC90" s="3981"/>
      <c r="CD90" s="2315"/>
      <c r="CE90" s="1644" t="str">
        <f>IF(_Calcs!$IZ$45=1,"✓","!")</f>
        <v>✓</v>
      </c>
      <c r="CF90" s="82"/>
      <c r="CG90" s="857"/>
      <c r="CH90" s="70"/>
      <c r="CI90" s="1643"/>
      <c r="CJ90" s="680"/>
      <c r="CK90" s="3981"/>
      <c r="CL90" s="2315"/>
      <c r="CM90" s="1644" t="str">
        <f>IF(_Calcs!$IZ$46=1,"✓","!")</f>
        <v>✓</v>
      </c>
      <c r="CN90" s="82"/>
      <c r="CO90" s="857"/>
      <c r="CP90" s="70"/>
      <c r="CQ90" s="16"/>
      <c r="CR90" s="70"/>
      <c r="CS90" s="70"/>
      <c r="CT90" s="70"/>
    </row>
    <row r="91" spans="1:98" ht="15" customHeight="1" thickBot="1" x14ac:dyDescent="0.25">
      <c r="A91" s="25"/>
      <c r="B91" s="25"/>
      <c r="C91" s="1636"/>
      <c r="D91" s="20"/>
      <c r="E91" s="3978"/>
      <c r="F91" s="3984"/>
      <c r="G91" s="3985"/>
      <c r="H91" s="3985"/>
      <c r="I91" s="3978"/>
      <c r="J91" s="3980"/>
      <c r="K91" s="3978"/>
      <c r="L91" s="3978"/>
      <c r="M91" s="3978"/>
      <c r="N91" s="21"/>
      <c r="O91" s="1726"/>
      <c r="P91" s="1727"/>
      <c r="Q91" s="1727"/>
      <c r="R91" s="1727"/>
      <c r="S91" s="1727"/>
      <c r="T91" s="1728"/>
      <c r="U91" s="1729"/>
      <c r="V91" s="21"/>
      <c r="W91" s="1743"/>
      <c r="X91" s="859"/>
      <c r="Y91" s="3854"/>
      <c r="Z91" s="3854"/>
      <c r="AA91" s="3982"/>
      <c r="AB91" s="860"/>
      <c r="AC91" s="861"/>
      <c r="AD91" s="70"/>
      <c r="AE91" s="1743"/>
      <c r="AF91" s="859"/>
      <c r="AG91" s="3854"/>
      <c r="AH91" s="3854"/>
      <c r="AI91" s="3982"/>
      <c r="AJ91" s="860"/>
      <c r="AK91" s="861"/>
      <c r="AL91" s="70"/>
      <c r="AM91" s="1743"/>
      <c r="AN91" s="859"/>
      <c r="AO91" s="3854"/>
      <c r="AP91" s="3854"/>
      <c r="AQ91" s="3982"/>
      <c r="AR91" s="860"/>
      <c r="AS91" s="861"/>
      <c r="AT91" s="21"/>
      <c r="AU91" s="1743"/>
      <c r="AV91" s="859"/>
      <c r="AW91" s="3854"/>
      <c r="AX91" s="3854"/>
      <c r="AY91" s="3982"/>
      <c r="AZ91" s="860"/>
      <c r="BA91" s="861"/>
      <c r="BB91" s="70"/>
      <c r="BC91" s="1743"/>
      <c r="BD91" s="859"/>
      <c r="BE91" s="3854"/>
      <c r="BF91" s="3854"/>
      <c r="BG91" s="3982"/>
      <c r="BH91" s="860"/>
      <c r="BI91" s="861"/>
      <c r="BJ91" s="21"/>
      <c r="BK91" s="1743"/>
      <c r="BL91" s="859"/>
      <c r="BM91" s="3854"/>
      <c r="BN91" s="3854"/>
      <c r="BO91" s="3982"/>
      <c r="BP91" s="860"/>
      <c r="BQ91" s="861"/>
      <c r="BS91" s="1743"/>
      <c r="BT91" s="859"/>
      <c r="BU91" s="3854"/>
      <c r="BV91" s="3854"/>
      <c r="BW91" s="3982"/>
      <c r="BX91" s="860"/>
      <c r="BY91" s="861"/>
      <c r="BZ91" s="21"/>
      <c r="CA91" s="1743"/>
      <c r="CB91" s="859"/>
      <c r="CC91" s="3854"/>
      <c r="CD91" s="3854"/>
      <c r="CE91" s="3982"/>
      <c r="CF91" s="860"/>
      <c r="CG91" s="861"/>
      <c r="CH91" s="70"/>
      <c r="CI91" s="1743"/>
      <c r="CJ91" s="859"/>
      <c r="CK91" s="3854"/>
      <c r="CL91" s="3854"/>
      <c r="CM91" s="3982"/>
      <c r="CN91" s="860"/>
      <c r="CO91" s="861"/>
      <c r="CP91" s="70"/>
      <c r="CQ91" s="16"/>
      <c r="CR91" s="70"/>
      <c r="CS91" s="70"/>
      <c r="CT91" s="70"/>
    </row>
    <row r="92" spans="1:98" ht="24.95" customHeight="1" x14ac:dyDescent="0.2">
      <c r="A92" s="25"/>
      <c r="B92" s="25"/>
      <c r="C92" s="1636"/>
      <c r="D92" s="20"/>
      <c r="E92" s="20"/>
      <c r="F92" s="952"/>
      <c r="G92" s="2499"/>
      <c r="H92" s="2499"/>
      <c r="I92" s="78"/>
      <c r="J92" s="16"/>
      <c r="K92" s="78"/>
      <c r="L92" s="35"/>
      <c r="M92" s="35"/>
      <c r="N92" s="136"/>
      <c r="O92" s="136"/>
      <c r="P92" s="136"/>
      <c r="Q92" s="136"/>
      <c r="R92" s="136"/>
      <c r="S92" s="136"/>
      <c r="T92" s="215"/>
      <c r="U92" s="136"/>
      <c r="V92" s="136"/>
      <c r="W92" s="136"/>
      <c r="X92" s="136"/>
      <c r="Y92" s="17"/>
      <c r="Z92" s="136"/>
      <c r="AA92" s="36"/>
      <c r="AB92" s="16"/>
      <c r="AC92" s="16"/>
      <c r="AD92" s="78"/>
      <c r="AE92" s="136"/>
      <c r="AF92" s="136"/>
      <c r="AG92" s="17"/>
      <c r="AH92" s="136"/>
      <c r="AI92" s="36"/>
      <c r="AJ92" s="16"/>
      <c r="AK92" s="16"/>
      <c r="AL92" s="78"/>
      <c r="AM92" s="136"/>
      <c r="AN92" s="136"/>
      <c r="AO92" s="17"/>
      <c r="AP92" s="136"/>
      <c r="AQ92" s="36"/>
      <c r="AR92" s="16"/>
      <c r="AS92" s="16"/>
      <c r="AT92" s="136"/>
      <c r="AU92" s="136"/>
      <c r="AV92" s="136"/>
      <c r="AW92" s="17"/>
      <c r="AX92" s="136"/>
      <c r="AY92" s="36"/>
      <c r="AZ92" s="16"/>
      <c r="BA92" s="16"/>
      <c r="BB92" s="78"/>
      <c r="BC92" s="136"/>
      <c r="BD92" s="136"/>
      <c r="BE92" s="17"/>
      <c r="BF92" s="136"/>
      <c r="BG92" s="36"/>
      <c r="BH92" s="16"/>
      <c r="BI92" s="16"/>
      <c r="BJ92" s="136"/>
      <c r="BK92" s="136"/>
      <c r="BL92" s="136"/>
      <c r="BM92" s="17"/>
      <c r="BN92" s="136"/>
      <c r="BO92" s="36"/>
      <c r="BP92" s="16"/>
      <c r="BQ92" s="16"/>
      <c r="BR92" s="78"/>
      <c r="BS92" s="136"/>
      <c r="BT92" s="136"/>
      <c r="BU92" s="17"/>
      <c r="BV92" s="136"/>
      <c r="BW92" s="36"/>
      <c r="BX92" s="16"/>
      <c r="BY92" s="16"/>
      <c r="BZ92" s="136"/>
      <c r="CA92" s="136"/>
      <c r="CB92" s="136"/>
      <c r="CC92" s="17"/>
      <c r="CD92" s="136"/>
      <c r="CE92" s="36"/>
      <c r="CF92" s="16"/>
      <c r="CG92" s="16"/>
      <c r="CH92" s="78"/>
      <c r="CI92" s="136"/>
      <c r="CJ92" s="136"/>
      <c r="CK92" s="17"/>
      <c r="CL92" s="136"/>
      <c r="CM92" s="36"/>
      <c r="CN92" s="16"/>
      <c r="CO92" s="16"/>
      <c r="CP92" s="78"/>
      <c r="CQ92" s="16"/>
      <c r="CR92" s="78"/>
      <c r="CS92" s="78"/>
      <c r="CT92" s="78"/>
    </row>
    <row r="93" spans="1:98" ht="15" hidden="1" customHeight="1" thickBot="1" x14ac:dyDescent="0.25">
      <c r="A93" s="25"/>
      <c r="B93" s="25"/>
      <c r="C93" s="1637"/>
      <c r="D93" s="20"/>
      <c r="E93" s="1638"/>
      <c r="F93" s="1840"/>
      <c r="G93" s="1840"/>
      <c r="H93" s="1840"/>
      <c r="I93" s="1639"/>
      <c r="J93" s="850"/>
      <c r="K93" s="1640"/>
      <c r="L93" s="1640"/>
      <c r="M93" s="1641"/>
      <c r="N93" s="129"/>
      <c r="O93" s="1751"/>
      <c r="P93" s="1752"/>
      <c r="Q93" s="1752"/>
      <c r="R93" s="1752"/>
      <c r="S93" s="1752"/>
      <c r="T93" s="1752"/>
      <c r="U93" s="1753"/>
      <c r="V93" s="129"/>
      <c r="W93" s="1647"/>
      <c r="X93" s="1639"/>
      <c r="Y93" s="1640"/>
      <c r="Z93" s="1639"/>
      <c r="AA93" s="1640"/>
      <c r="AB93" s="1640"/>
      <c r="AC93" s="1641"/>
      <c r="AD93" s="17"/>
      <c r="AE93" s="1647"/>
      <c r="AF93" s="1639"/>
      <c r="AG93" s="1640"/>
      <c r="AH93" s="1639"/>
      <c r="AI93" s="1640"/>
      <c r="AJ93" s="1640"/>
      <c r="AK93" s="1641"/>
      <c r="AL93" s="17"/>
      <c r="AM93" s="1647"/>
      <c r="AN93" s="1639"/>
      <c r="AO93" s="1640"/>
      <c r="AP93" s="1639"/>
      <c r="AQ93" s="1640"/>
      <c r="AR93" s="1640"/>
      <c r="AS93" s="1641"/>
      <c r="AT93" s="129"/>
      <c r="AU93" s="1647"/>
      <c r="AV93" s="1639"/>
      <c r="AW93" s="1640"/>
      <c r="AX93" s="1639"/>
      <c r="AY93" s="1640"/>
      <c r="AZ93" s="1640"/>
      <c r="BA93" s="1641"/>
      <c r="BB93" s="17"/>
      <c r="BC93" s="1647"/>
      <c r="BD93" s="1639"/>
      <c r="BE93" s="1640"/>
      <c r="BF93" s="1639"/>
      <c r="BG93" s="1640"/>
      <c r="BH93" s="1640"/>
      <c r="BI93" s="1641"/>
      <c r="BJ93" s="129"/>
      <c r="BK93" s="1647"/>
      <c r="BL93" s="1639"/>
      <c r="BM93" s="1640"/>
      <c r="BN93" s="1639"/>
      <c r="BO93" s="1640"/>
      <c r="BP93" s="1640"/>
      <c r="BQ93" s="1641"/>
      <c r="BR93" s="17"/>
      <c r="BS93" s="1647"/>
      <c r="BT93" s="1639"/>
      <c r="BU93" s="1640"/>
      <c r="BV93" s="1639"/>
      <c r="BW93" s="1640"/>
      <c r="BX93" s="1640"/>
      <c r="BY93" s="1641"/>
      <c r="BZ93" s="129"/>
      <c r="CA93" s="1647"/>
      <c r="CB93" s="1639"/>
      <c r="CC93" s="1640"/>
      <c r="CD93" s="1639"/>
      <c r="CE93" s="1640"/>
      <c r="CF93" s="1640"/>
      <c r="CG93" s="1641"/>
      <c r="CH93" s="17"/>
      <c r="CI93" s="1647"/>
      <c r="CJ93" s="1639"/>
      <c r="CK93" s="1640"/>
      <c r="CL93" s="1639"/>
      <c r="CM93" s="1640"/>
      <c r="CN93" s="1640"/>
      <c r="CO93" s="1641"/>
      <c r="CP93" s="17"/>
      <c r="CQ93" s="20"/>
      <c r="CR93" s="17"/>
      <c r="CS93" s="17"/>
      <c r="CT93" s="17"/>
    </row>
    <row r="94" spans="1:98" ht="8.1" customHeight="1" thickBot="1" x14ac:dyDescent="0.25">
      <c r="A94" s="25"/>
      <c r="B94" s="25"/>
      <c r="C94" s="1637"/>
      <c r="D94" s="20"/>
      <c r="E94" s="14"/>
      <c r="F94" s="996"/>
      <c r="G94" s="996"/>
      <c r="H94" s="996"/>
      <c r="I94" s="129"/>
      <c r="K94" s="14"/>
      <c r="L94" s="14"/>
      <c r="M94" s="14"/>
      <c r="N94" s="129"/>
      <c r="O94" s="129"/>
      <c r="P94" s="5971"/>
      <c r="Q94" s="5971"/>
      <c r="R94" s="5971"/>
      <c r="S94" s="5971"/>
      <c r="T94" s="15"/>
      <c r="U94" s="129"/>
      <c r="V94" s="129"/>
      <c r="W94" s="129"/>
      <c r="X94" s="129"/>
      <c r="Y94" s="14"/>
      <c r="Z94" s="129"/>
      <c r="AA94" s="14"/>
      <c r="AB94" s="14"/>
      <c r="AC94" s="14"/>
      <c r="AD94" s="15"/>
      <c r="AE94" s="129"/>
      <c r="AF94" s="129"/>
      <c r="AG94" s="14"/>
      <c r="AH94" s="129"/>
      <c r="AI94" s="14"/>
      <c r="AJ94" s="14"/>
      <c r="AK94" s="14"/>
      <c r="AL94" s="15"/>
      <c r="AM94" s="129"/>
      <c r="AN94" s="129"/>
      <c r="AO94" s="14"/>
      <c r="AP94" s="129"/>
      <c r="AQ94" s="14"/>
      <c r="AR94" s="14"/>
      <c r="AS94" s="14"/>
      <c r="AT94" s="129"/>
      <c r="AU94" s="129"/>
      <c r="AV94" s="129"/>
      <c r="AW94" s="14"/>
      <c r="AX94" s="129"/>
      <c r="AY94" s="14"/>
      <c r="AZ94" s="14"/>
      <c r="BA94" s="14"/>
      <c r="BB94" s="15"/>
      <c r="BC94" s="129"/>
      <c r="BD94" s="129"/>
      <c r="BE94" s="14"/>
      <c r="BF94" s="129"/>
      <c r="BG94" s="14"/>
      <c r="BH94" s="14"/>
      <c r="BI94" s="14"/>
      <c r="BJ94" s="129"/>
      <c r="BK94" s="129"/>
      <c r="BL94" s="129"/>
      <c r="BM94" s="14"/>
      <c r="BN94" s="129"/>
      <c r="BO94" s="14"/>
      <c r="BP94" s="14"/>
      <c r="BQ94" s="14"/>
      <c r="BR94" s="15"/>
      <c r="BS94" s="129"/>
      <c r="BT94" s="129"/>
      <c r="BU94" s="14"/>
      <c r="BV94" s="129"/>
      <c r="BW94" s="14"/>
      <c r="BX94" s="14"/>
      <c r="BY94" s="14"/>
      <c r="BZ94" s="129"/>
      <c r="CA94" s="129"/>
      <c r="CB94" s="129"/>
      <c r="CC94" s="14"/>
      <c r="CD94" s="129"/>
      <c r="CE94" s="14"/>
      <c r="CF94" s="14"/>
      <c r="CG94" s="14"/>
      <c r="CH94" s="15"/>
      <c r="CI94" s="129"/>
      <c r="CJ94" s="129"/>
      <c r="CK94" s="14"/>
      <c r="CL94" s="129"/>
      <c r="CM94" s="14"/>
      <c r="CN94" s="14"/>
      <c r="CO94" s="14"/>
      <c r="CP94" s="15"/>
      <c r="CQ94" s="20"/>
      <c r="CR94" s="15"/>
      <c r="CS94" s="15"/>
      <c r="CT94" s="15"/>
    </row>
    <row r="95" spans="1:98" ht="15" customHeight="1" thickBot="1" x14ac:dyDescent="0.25">
      <c r="A95" s="25"/>
      <c r="B95" s="25"/>
      <c r="C95" s="1636"/>
      <c r="D95" s="20"/>
      <c r="E95" s="1730"/>
      <c r="F95" s="2060"/>
      <c r="G95" s="1841"/>
      <c r="H95" s="1841"/>
      <c r="I95" s="1731"/>
      <c r="J95" s="1732"/>
      <c r="K95" s="1732"/>
      <c r="L95" s="1732"/>
      <c r="M95" s="1733"/>
      <c r="N95" s="21"/>
      <c r="O95" s="1720"/>
      <c r="P95" s="1721"/>
      <c r="Q95" s="1721"/>
      <c r="R95" s="1721"/>
      <c r="S95" s="1721"/>
      <c r="T95" s="1718"/>
      <c r="U95" s="1722"/>
      <c r="V95" s="21"/>
      <c r="W95" s="1642"/>
      <c r="X95" s="853"/>
      <c r="Y95" s="854"/>
      <c r="Z95" s="853"/>
      <c r="AA95" s="863"/>
      <c r="AB95" s="854"/>
      <c r="AC95" s="855"/>
      <c r="AD95" s="70"/>
      <c r="AE95" s="1642"/>
      <c r="AF95" s="853"/>
      <c r="AG95" s="854"/>
      <c r="AH95" s="853"/>
      <c r="AI95" s="863"/>
      <c r="AJ95" s="854"/>
      <c r="AK95" s="855"/>
      <c r="AL95" s="70"/>
      <c r="AM95" s="1642"/>
      <c r="AN95" s="853"/>
      <c r="AO95" s="854"/>
      <c r="AP95" s="853"/>
      <c r="AQ95" s="863"/>
      <c r="AR95" s="854"/>
      <c r="AS95" s="855"/>
      <c r="AT95" s="21"/>
      <c r="AU95" s="1642"/>
      <c r="AV95" s="853"/>
      <c r="AW95" s="854"/>
      <c r="AX95" s="853"/>
      <c r="AY95" s="863"/>
      <c r="AZ95" s="854"/>
      <c r="BA95" s="855"/>
      <c r="BB95" s="70"/>
      <c r="BC95" s="1642"/>
      <c r="BD95" s="853"/>
      <c r="BE95" s="854"/>
      <c r="BF95" s="853"/>
      <c r="BG95" s="863"/>
      <c r="BH95" s="854"/>
      <c r="BI95" s="855"/>
      <c r="BJ95" s="21"/>
      <c r="BK95" s="1642"/>
      <c r="BL95" s="853"/>
      <c r="BM95" s="854"/>
      <c r="BN95" s="853"/>
      <c r="BO95" s="863"/>
      <c r="BP95" s="854"/>
      <c r="BQ95" s="855"/>
      <c r="BS95" s="1642"/>
      <c r="BT95" s="853"/>
      <c r="BU95" s="854"/>
      <c r="BV95" s="853"/>
      <c r="BW95" s="863"/>
      <c r="BX95" s="854"/>
      <c r="BY95" s="855"/>
      <c r="BZ95" s="21"/>
      <c r="CA95" s="1642"/>
      <c r="CB95" s="853"/>
      <c r="CC95" s="854"/>
      <c r="CD95" s="853"/>
      <c r="CE95" s="863"/>
      <c r="CF95" s="854"/>
      <c r="CG95" s="855"/>
      <c r="CH95" s="70"/>
      <c r="CI95" s="1642"/>
      <c r="CJ95" s="853"/>
      <c r="CK95" s="854"/>
      <c r="CL95" s="853"/>
      <c r="CM95" s="863"/>
      <c r="CN95" s="854"/>
      <c r="CO95" s="855"/>
      <c r="CP95" s="70"/>
      <c r="CQ95" s="82"/>
      <c r="CR95" s="70"/>
      <c r="CS95" s="70"/>
      <c r="CT95" s="70"/>
    </row>
    <row r="96" spans="1:98" ht="24.95" customHeight="1" thickBot="1" x14ac:dyDescent="0.25">
      <c r="A96" s="25"/>
      <c r="B96" s="25"/>
      <c r="C96" s="1636"/>
      <c r="D96" s="20"/>
      <c r="E96" s="1734"/>
      <c r="F96" s="2058" t="str">
        <f>_Calcs!$L$80</f>
        <v>Sprengingsvibrasjoner</v>
      </c>
      <c r="G96" s="1838"/>
      <c r="H96" s="1838"/>
      <c r="I96" s="1735"/>
      <c r="J96" s="2316" t="s">
        <v>149</v>
      </c>
      <c r="K96" s="2316"/>
      <c r="L96" s="1736"/>
      <c r="M96" s="1737"/>
      <c r="N96" s="21"/>
      <c r="O96" s="1723"/>
      <c r="P96" s="1724" t="str">
        <f>$P$60</f>
        <v>Påvirkning</v>
      </c>
      <c r="Q96" s="1724"/>
      <c r="R96" s="1724"/>
      <c r="S96" s="1724"/>
      <c r="T96" s="3976"/>
      <c r="U96" s="1725"/>
      <c r="V96" s="21"/>
      <c r="W96" s="1643"/>
      <c r="X96" s="680"/>
      <c r="Y96" s="3983"/>
      <c r="Z96" s="2314"/>
      <c r="AA96" s="1644" t="str">
        <f>IF(_Calcs!$JA$38=1,"✓","!")</f>
        <v>✓</v>
      </c>
      <c r="AB96" s="82"/>
      <c r="AC96" s="857"/>
      <c r="AD96" s="70"/>
      <c r="AE96" s="1643"/>
      <c r="AF96" s="680"/>
      <c r="AG96" s="3983"/>
      <c r="AH96" s="2314"/>
      <c r="AI96" s="1644" t="str">
        <f>IF(_Calcs!$JA$39=1,"✓","!")</f>
        <v>✓</v>
      </c>
      <c r="AJ96" s="82"/>
      <c r="AK96" s="857"/>
      <c r="AL96" s="70"/>
      <c r="AM96" s="1643"/>
      <c r="AN96" s="680"/>
      <c r="AO96" s="3983"/>
      <c r="AP96" s="2314"/>
      <c r="AQ96" s="1644" t="str">
        <f>IF(_Calcs!$JA$40=1,"✓","!")</f>
        <v>✓</v>
      </c>
      <c r="AR96" s="82"/>
      <c r="AS96" s="857"/>
      <c r="AT96" s="21"/>
      <c r="AU96" s="1643"/>
      <c r="AV96" s="680"/>
      <c r="AW96" s="3983"/>
      <c r="AX96" s="2314"/>
      <c r="AY96" s="1644" t="str">
        <f>IF(_Calcs!$JA$41=1,"✓","!")</f>
        <v>✓</v>
      </c>
      <c r="AZ96" s="82"/>
      <c r="BA96" s="857"/>
      <c r="BB96" s="70"/>
      <c r="BC96" s="1643"/>
      <c r="BD96" s="680"/>
      <c r="BE96" s="3983"/>
      <c r="BF96" s="2314"/>
      <c r="BG96" s="1644" t="str">
        <f>IF(_Calcs!$JA$42=1,"✓","!")</f>
        <v>✓</v>
      </c>
      <c r="BH96" s="82"/>
      <c r="BI96" s="857"/>
      <c r="BJ96" s="21"/>
      <c r="BK96" s="1643"/>
      <c r="BL96" s="680"/>
      <c r="BM96" s="3983"/>
      <c r="BN96" s="2314"/>
      <c r="BO96" s="1644" t="str">
        <f>IF(_Calcs!$JA$43=1,"✓","!")</f>
        <v>✓</v>
      </c>
      <c r="BP96" s="82"/>
      <c r="BQ96" s="857"/>
      <c r="BS96" s="1643"/>
      <c r="BT96" s="680"/>
      <c r="BU96" s="3983"/>
      <c r="BV96" s="2314"/>
      <c r="BW96" s="1644" t="str">
        <f>IF(_Calcs!$JA$44=1,"✓","!")</f>
        <v>✓</v>
      </c>
      <c r="BX96" s="82"/>
      <c r="BY96" s="857"/>
      <c r="BZ96" s="21"/>
      <c r="CA96" s="1643"/>
      <c r="CB96" s="680"/>
      <c r="CC96" s="3983"/>
      <c r="CD96" s="2314"/>
      <c r="CE96" s="1644" t="str">
        <f>IF(_Calcs!$JA$45=1,"✓","!")</f>
        <v>✓</v>
      </c>
      <c r="CF96" s="82"/>
      <c r="CG96" s="857"/>
      <c r="CH96" s="70"/>
      <c r="CI96" s="1643"/>
      <c r="CJ96" s="680"/>
      <c r="CK96" s="3983"/>
      <c r="CL96" s="2314"/>
      <c r="CM96" s="1644" t="str">
        <f>IF(_Calcs!$JA$46=1,"✓","!")</f>
        <v>✓</v>
      </c>
      <c r="CN96" s="82"/>
      <c r="CO96" s="857"/>
      <c r="CP96" s="70"/>
      <c r="CQ96" s="82"/>
      <c r="CR96" s="70"/>
      <c r="CS96" s="70"/>
      <c r="CT96" s="70"/>
    </row>
    <row r="97" spans="1:98" ht="15" customHeight="1" thickBot="1" x14ac:dyDescent="0.25">
      <c r="A97" s="25"/>
      <c r="B97" s="25"/>
      <c r="C97" s="1636"/>
      <c r="D97" s="20"/>
      <c r="E97" s="1738"/>
      <c r="F97" s="2059"/>
      <c r="G97" s="1839"/>
      <c r="H97" s="1839"/>
      <c r="I97" s="1739"/>
      <c r="J97" s="1740"/>
      <c r="K97" s="1740"/>
      <c r="L97" s="1741"/>
      <c r="M97" s="1742"/>
      <c r="N97" s="21"/>
      <c r="O97" s="1723"/>
      <c r="P97" s="1724"/>
      <c r="Q97" s="1724"/>
      <c r="R97" s="1724"/>
      <c r="S97" s="1724"/>
      <c r="T97" s="5453"/>
      <c r="U97" s="1725"/>
      <c r="V97" s="21"/>
      <c r="W97" s="1743"/>
      <c r="X97" s="859"/>
      <c r="Y97" s="1870"/>
      <c r="Z97" s="859"/>
      <c r="AA97" s="1871"/>
      <c r="AB97" s="860"/>
      <c r="AC97" s="861"/>
      <c r="AD97" s="70"/>
      <c r="AE97" s="1743"/>
      <c r="AF97" s="859"/>
      <c r="AG97" s="1870"/>
      <c r="AH97" s="859"/>
      <c r="AI97" s="1871"/>
      <c r="AJ97" s="860"/>
      <c r="AK97" s="861"/>
      <c r="AL97" s="70"/>
      <c r="AM97" s="1743"/>
      <c r="AN97" s="859"/>
      <c r="AO97" s="1870"/>
      <c r="AP97" s="859"/>
      <c r="AQ97" s="1871"/>
      <c r="AR97" s="860"/>
      <c r="AS97" s="861"/>
      <c r="AT97" s="21"/>
      <c r="AU97" s="1743"/>
      <c r="AV97" s="859"/>
      <c r="AW97" s="1870"/>
      <c r="AX97" s="859"/>
      <c r="AY97" s="1871"/>
      <c r="AZ97" s="860"/>
      <c r="BA97" s="861"/>
      <c r="BB97" s="70"/>
      <c r="BC97" s="1743"/>
      <c r="BD97" s="859"/>
      <c r="BE97" s="1870"/>
      <c r="BF97" s="859"/>
      <c r="BG97" s="1871"/>
      <c r="BH97" s="860"/>
      <c r="BI97" s="861"/>
      <c r="BJ97" s="21"/>
      <c r="BK97" s="1743"/>
      <c r="BL97" s="859"/>
      <c r="BM97" s="1870"/>
      <c r="BN97" s="859"/>
      <c r="BO97" s="1871"/>
      <c r="BP97" s="860"/>
      <c r="BQ97" s="861"/>
      <c r="BS97" s="1743"/>
      <c r="BT97" s="859"/>
      <c r="BU97" s="1870"/>
      <c r="BV97" s="859"/>
      <c r="BW97" s="1871"/>
      <c r="BX97" s="860"/>
      <c r="BY97" s="861"/>
      <c r="BZ97" s="21"/>
      <c r="CA97" s="1743"/>
      <c r="CB97" s="859"/>
      <c r="CC97" s="1870"/>
      <c r="CD97" s="859"/>
      <c r="CE97" s="1871"/>
      <c r="CF97" s="860"/>
      <c r="CG97" s="861"/>
      <c r="CH97" s="70"/>
      <c r="CI97" s="1743"/>
      <c r="CJ97" s="859"/>
      <c r="CK97" s="1870"/>
      <c r="CL97" s="859"/>
      <c r="CM97" s="1871"/>
      <c r="CN97" s="860"/>
      <c r="CO97" s="861"/>
      <c r="CP97" s="70"/>
      <c r="CQ97" s="82"/>
      <c r="CR97" s="70"/>
      <c r="CS97" s="70"/>
      <c r="CT97" s="70"/>
    </row>
    <row r="98" spans="1:98" ht="5.0999999999999996" customHeight="1" thickBot="1" x14ac:dyDescent="0.25">
      <c r="A98" s="25"/>
      <c r="B98" s="25"/>
      <c r="C98" s="1636"/>
      <c r="D98" s="20"/>
      <c r="E98" s="20"/>
      <c r="F98" s="952"/>
      <c r="G98" s="979"/>
      <c r="H98" s="979"/>
      <c r="I98" s="136"/>
      <c r="J98" s="1181"/>
      <c r="K98" s="1181"/>
      <c r="L98" s="35"/>
      <c r="M98" s="35"/>
      <c r="N98" s="21"/>
      <c r="O98" s="1723"/>
      <c r="P98" s="1724"/>
      <c r="Q98" s="1724"/>
      <c r="R98" s="1724"/>
      <c r="S98" s="1724"/>
      <c r="T98" s="5453"/>
      <c r="U98" s="1725"/>
      <c r="V98" s="21"/>
      <c r="W98" s="1643"/>
      <c r="X98" s="680"/>
      <c r="Y98" s="83"/>
      <c r="Z98" s="680"/>
      <c r="AA98" s="81"/>
      <c r="AB98" s="82"/>
      <c r="AC98" s="857"/>
      <c r="AD98" s="70"/>
      <c r="AE98" s="1643"/>
      <c r="AF98" s="680"/>
      <c r="AG98" s="83"/>
      <c r="AH98" s="680"/>
      <c r="AI98" s="81"/>
      <c r="AJ98" s="82"/>
      <c r="AK98" s="857"/>
      <c r="AL98" s="70"/>
      <c r="AM98" s="1643"/>
      <c r="AN98" s="680"/>
      <c r="AO98" s="83"/>
      <c r="AP98" s="680"/>
      <c r="AQ98" s="81"/>
      <c r="AR98" s="82"/>
      <c r="AS98" s="857"/>
      <c r="AT98" s="21"/>
      <c r="AU98" s="1643"/>
      <c r="AV98" s="680"/>
      <c r="AW98" s="83"/>
      <c r="AX98" s="680"/>
      <c r="AY98" s="81"/>
      <c r="AZ98" s="82"/>
      <c r="BA98" s="857"/>
      <c r="BB98" s="70"/>
      <c r="BC98" s="1643"/>
      <c r="BD98" s="680"/>
      <c r="BE98" s="83"/>
      <c r="BF98" s="680"/>
      <c r="BG98" s="81"/>
      <c r="BH98" s="82"/>
      <c r="BI98" s="857"/>
      <c r="BJ98" s="21"/>
      <c r="BK98" s="1643"/>
      <c r="BL98" s="680"/>
      <c r="BM98" s="83"/>
      <c r="BN98" s="680"/>
      <c r="BO98" s="81"/>
      <c r="BP98" s="82"/>
      <c r="BQ98" s="857"/>
      <c r="BS98" s="1643"/>
      <c r="BT98" s="680"/>
      <c r="BU98" s="83"/>
      <c r="BV98" s="680"/>
      <c r="BW98" s="81"/>
      <c r="BX98" s="82"/>
      <c r="BY98" s="857"/>
      <c r="BZ98" s="21"/>
      <c r="CA98" s="1643"/>
      <c r="CB98" s="680"/>
      <c r="CC98" s="83"/>
      <c r="CD98" s="680"/>
      <c r="CE98" s="81"/>
      <c r="CF98" s="82"/>
      <c r="CG98" s="857"/>
      <c r="CH98" s="70"/>
      <c r="CI98" s="1643"/>
      <c r="CJ98" s="680"/>
      <c r="CK98" s="83"/>
      <c r="CL98" s="680"/>
      <c r="CM98" s="81"/>
      <c r="CN98" s="82"/>
      <c r="CO98" s="857"/>
      <c r="CP98" s="70"/>
      <c r="CQ98" s="16"/>
      <c r="CR98" s="70"/>
      <c r="CS98" s="70"/>
      <c r="CT98" s="70"/>
    </row>
    <row r="99" spans="1:98" ht="8.1" customHeight="1" x14ac:dyDescent="0.2">
      <c r="A99" s="25"/>
      <c r="B99" s="25"/>
      <c r="C99" s="1636"/>
      <c r="D99" s="20"/>
      <c r="E99" s="20"/>
      <c r="F99" s="952"/>
      <c r="G99" s="2499"/>
      <c r="H99" s="2499"/>
      <c r="I99" s="78"/>
      <c r="J99" s="16"/>
      <c r="K99" s="78"/>
      <c r="L99" s="35"/>
      <c r="M99" s="35"/>
      <c r="N99" s="21"/>
      <c r="O99" s="1723"/>
      <c r="P99" s="6636" t="str">
        <f>_Calcs!$N$80</f>
        <v>Tidjustering</v>
      </c>
      <c r="Q99" s="1724"/>
      <c r="R99" s="1724"/>
      <c r="S99" s="1724"/>
      <c r="T99" s="6636" t="s">
        <v>146</v>
      </c>
      <c r="U99" s="1725"/>
      <c r="V99" s="21"/>
      <c r="W99" s="1643"/>
      <c r="X99" s="680"/>
      <c r="Y99" s="6629"/>
      <c r="Z99" s="680"/>
      <c r="AA99" s="6631" t="str">
        <f>IF(_Calcs!$JB$38=1,"✓","!")</f>
        <v>✓</v>
      </c>
      <c r="AB99" s="82"/>
      <c r="AC99" s="857"/>
      <c r="AD99" s="70"/>
      <c r="AE99" s="1643"/>
      <c r="AF99" s="680"/>
      <c r="AG99" s="6629"/>
      <c r="AH99" s="680"/>
      <c r="AI99" s="6631" t="str">
        <f>IF(_Calcs!$JB$39=1,"✓","!")</f>
        <v>✓</v>
      </c>
      <c r="AJ99" s="82"/>
      <c r="AK99" s="857"/>
      <c r="AL99" s="70"/>
      <c r="AM99" s="1643"/>
      <c r="AN99" s="680"/>
      <c r="AO99" s="6629"/>
      <c r="AP99" s="680"/>
      <c r="AQ99" s="6631" t="str">
        <f>IF(_Calcs!$JB$40=1,"✓","!")</f>
        <v>✓</v>
      </c>
      <c r="AR99" s="82"/>
      <c r="AS99" s="857"/>
      <c r="AT99" s="21"/>
      <c r="AU99" s="1643"/>
      <c r="AV99" s="680"/>
      <c r="AW99" s="6629"/>
      <c r="AX99" s="680"/>
      <c r="AY99" s="6631" t="str">
        <f>IF(_Calcs!$JB$41=1,"✓","!")</f>
        <v>✓</v>
      </c>
      <c r="AZ99" s="82"/>
      <c r="BA99" s="857"/>
      <c r="BB99" s="70"/>
      <c r="BC99" s="1643"/>
      <c r="BD99" s="680"/>
      <c r="BE99" s="6629"/>
      <c r="BF99" s="680"/>
      <c r="BG99" s="6631" t="str">
        <f>IF(_Calcs!$JB$42=1,"✓","!")</f>
        <v>✓</v>
      </c>
      <c r="BH99" s="82"/>
      <c r="BI99" s="857"/>
      <c r="BJ99" s="21"/>
      <c r="BK99" s="1643"/>
      <c r="BL99" s="680"/>
      <c r="BM99" s="6629"/>
      <c r="BN99" s="680"/>
      <c r="BO99" s="6631" t="str">
        <f>IF(_Calcs!$JB$43=1,"✓","!")</f>
        <v>✓</v>
      </c>
      <c r="BP99" s="82"/>
      <c r="BQ99" s="857"/>
      <c r="BS99" s="1643"/>
      <c r="BT99" s="680"/>
      <c r="BU99" s="6629"/>
      <c r="BV99" s="680"/>
      <c r="BW99" s="6631" t="str">
        <f>IF(_Calcs!$JB$44=1,"✓","!")</f>
        <v>✓</v>
      </c>
      <c r="BX99" s="82"/>
      <c r="BY99" s="857"/>
      <c r="BZ99" s="21"/>
      <c r="CA99" s="1643"/>
      <c r="CB99" s="680"/>
      <c r="CC99" s="6629"/>
      <c r="CD99" s="680"/>
      <c r="CE99" s="6631" t="str">
        <f>IF(_Calcs!$JB$45=1,"✓","!")</f>
        <v>✓</v>
      </c>
      <c r="CF99" s="82"/>
      <c r="CG99" s="857"/>
      <c r="CH99" s="70"/>
      <c r="CI99" s="1643"/>
      <c r="CJ99" s="680"/>
      <c r="CK99" s="6629"/>
      <c r="CL99" s="680"/>
      <c r="CM99" s="6631" t="str">
        <f>IF(_Calcs!$JB$46=1,"✓","!")</f>
        <v>✓</v>
      </c>
      <c r="CN99" s="82"/>
      <c r="CO99" s="857"/>
      <c r="CP99" s="70"/>
      <c r="CQ99" s="16"/>
      <c r="CR99" s="70"/>
      <c r="CS99" s="70"/>
      <c r="CT99" s="70"/>
    </row>
    <row r="100" spans="1:98" ht="12" customHeight="1" thickBot="1" x14ac:dyDescent="0.25">
      <c r="A100" s="25"/>
      <c r="B100" s="25"/>
      <c r="C100" s="1636"/>
      <c r="D100" s="20"/>
      <c r="E100" s="3978"/>
      <c r="F100" s="3984"/>
      <c r="G100" s="3985"/>
      <c r="H100" s="3985"/>
      <c r="I100" s="3978"/>
      <c r="J100" s="3980"/>
      <c r="K100" s="3978"/>
      <c r="L100" s="3978"/>
      <c r="M100" s="3978"/>
      <c r="N100" s="21"/>
      <c r="O100" s="1723"/>
      <c r="P100" s="6636"/>
      <c r="Q100" s="1724"/>
      <c r="R100" s="1724"/>
      <c r="S100" s="1724"/>
      <c r="T100" s="6636"/>
      <c r="U100" s="1725"/>
      <c r="V100" s="21"/>
      <c r="W100" s="1643"/>
      <c r="X100" s="680"/>
      <c r="Y100" s="6630"/>
      <c r="Z100" s="680"/>
      <c r="AA100" s="6632"/>
      <c r="AB100" s="82"/>
      <c r="AC100" s="857"/>
      <c r="AD100" s="70"/>
      <c r="AE100" s="1643"/>
      <c r="AF100" s="680"/>
      <c r="AG100" s="6630"/>
      <c r="AH100" s="680"/>
      <c r="AI100" s="6632"/>
      <c r="AJ100" s="82"/>
      <c r="AK100" s="857"/>
      <c r="AL100" s="70"/>
      <c r="AM100" s="1643"/>
      <c r="AN100" s="680"/>
      <c r="AO100" s="6630"/>
      <c r="AP100" s="680"/>
      <c r="AQ100" s="6632"/>
      <c r="AR100" s="82"/>
      <c r="AS100" s="857"/>
      <c r="AT100" s="21"/>
      <c r="AU100" s="1643"/>
      <c r="AV100" s="680"/>
      <c r="AW100" s="6630"/>
      <c r="AX100" s="680"/>
      <c r="AY100" s="6632"/>
      <c r="AZ100" s="82"/>
      <c r="BA100" s="857"/>
      <c r="BB100" s="70"/>
      <c r="BC100" s="1643"/>
      <c r="BD100" s="680"/>
      <c r="BE100" s="6630"/>
      <c r="BF100" s="680"/>
      <c r="BG100" s="6632"/>
      <c r="BH100" s="82"/>
      <c r="BI100" s="857"/>
      <c r="BJ100" s="21"/>
      <c r="BK100" s="1643"/>
      <c r="BL100" s="680"/>
      <c r="BM100" s="6630"/>
      <c r="BN100" s="680"/>
      <c r="BO100" s="6632"/>
      <c r="BP100" s="82"/>
      <c r="BQ100" s="857"/>
      <c r="BS100" s="1643"/>
      <c r="BT100" s="680"/>
      <c r="BU100" s="6630"/>
      <c r="BV100" s="680"/>
      <c r="BW100" s="6632"/>
      <c r="BX100" s="82"/>
      <c r="BY100" s="857"/>
      <c r="BZ100" s="21"/>
      <c r="CA100" s="1643"/>
      <c r="CB100" s="680"/>
      <c r="CC100" s="6630"/>
      <c r="CD100" s="680"/>
      <c r="CE100" s="6632"/>
      <c r="CF100" s="82"/>
      <c r="CG100" s="857"/>
      <c r="CH100" s="70"/>
      <c r="CI100" s="1643"/>
      <c r="CJ100" s="680"/>
      <c r="CK100" s="6630"/>
      <c r="CL100" s="680"/>
      <c r="CM100" s="6632"/>
      <c r="CN100" s="82"/>
      <c r="CO100" s="857"/>
      <c r="CP100" s="70"/>
      <c r="CQ100" s="16"/>
      <c r="CR100" s="70"/>
      <c r="CS100" s="70"/>
      <c r="CT100" s="70"/>
    </row>
    <row r="101" spans="1:98" ht="15" customHeight="1" thickBot="1" x14ac:dyDescent="0.25">
      <c r="A101" s="25"/>
      <c r="B101" s="25"/>
      <c r="C101" s="1636"/>
      <c r="D101" s="20"/>
      <c r="E101" s="3978"/>
      <c r="F101" s="3984"/>
      <c r="G101" s="3985"/>
      <c r="H101" s="3985"/>
      <c r="I101" s="3978"/>
      <c r="J101" s="3980"/>
      <c r="K101" s="3978"/>
      <c r="L101" s="3978"/>
      <c r="M101" s="3978"/>
      <c r="N101" s="21"/>
      <c r="O101" s="1723"/>
      <c r="P101" s="1724"/>
      <c r="Q101" s="1724"/>
      <c r="R101" s="1724"/>
      <c r="S101" s="1724"/>
      <c r="T101" s="5453"/>
      <c r="U101" s="1725"/>
      <c r="V101" s="21"/>
      <c r="W101" s="1643"/>
      <c r="X101" s="680"/>
      <c r="Y101" s="83"/>
      <c r="Z101" s="680"/>
      <c r="AA101" s="81"/>
      <c r="AB101" s="82"/>
      <c r="AC101" s="857"/>
      <c r="AD101" s="70"/>
      <c r="AE101" s="1643"/>
      <c r="AF101" s="680"/>
      <c r="AG101" s="83"/>
      <c r="AH101" s="680"/>
      <c r="AI101" s="81"/>
      <c r="AJ101" s="82"/>
      <c r="AK101" s="857"/>
      <c r="AL101" s="70"/>
      <c r="AM101" s="1643"/>
      <c r="AN101" s="680"/>
      <c r="AO101" s="83"/>
      <c r="AP101" s="680"/>
      <c r="AQ101" s="81"/>
      <c r="AR101" s="82"/>
      <c r="AS101" s="857"/>
      <c r="AT101" s="21"/>
      <c r="AU101" s="1643"/>
      <c r="AV101" s="680"/>
      <c r="AW101" s="83"/>
      <c r="AX101" s="680"/>
      <c r="AY101" s="81"/>
      <c r="AZ101" s="82"/>
      <c r="BA101" s="857"/>
      <c r="BB101" s="70"/>
      <c r="BC101" s="1643"/>
      <c r="BD101" s="680"/>
      <c r="BE101" s="83"/>
      <c r="BF101" s="680"/>
      <c r="BG101" s="81"/>
      <c r="BH101" s="82"/>
      <c r="BI101" s="857"/>
      <c r="BJ101" s="21"/>
      <c r="BK101" s="1643"/>
      <c r="BL101" s="680"/>
      <c r="BM101" s="83"/>
      <c r="BN101" s="680"/>
      <c r="BO101" s="81"/>
      <c r="BP101" s="82"/>
      <c r="BQ101" s="857"/>
      <c r="BS101" s="1643"/>
      <c r="BT101" s="680"/>
      <c r="BU101" s="83"/>
      <c r="BV101" s="680"/>
      <c r="BW101" s="81"/>
      <c r="BX101" s="82"/>
      <c r="BY101" s="857"/>
      <c r="BZ101" s="21"/>
      <c r="CA101" s="1643"/>
      <c r="CB101" s="680"/>
      <c r="CC101" s="83"/>
      <c r="CD101" s="680"/>
      <c r="CE101" s="81"/>
      <c r="CF101" s="82"/>
      <c r="CG101" s="857"/>
      <c r="CH101" s="70"/>
      <c r="CI101" s="1643"/>
      <c r="CJ101" s="680"/>
      <c r="CK101" s="83"/>
      <c r="CL101" s="680"/>
      <c r="CM101" s="81"/>
      <c r="CN101" s="82"/>
      <c r="CO101" s="857"/>
      <c r="CP101" s="70"/>
      <c r="CQ101" s="16"/>
      <c r="CR101" s="70"/>
      <c r="CS101" s="70"/>
      <c r="CT101" s="70"/>
    </row>
    <row r="102" spans="1:98" ht="20.100000000000001" customHeight="1" thickBot="1" x14ac:dyDescent="0.25">
      <c r="A102" s="25"/>
      <c r="B102" s="25"/>
      <c r="C102" s="1636"/>
      <c r="D102" s="20"/>
      <c r="E102" s="3978"/>
      <c r="F102" s="3984"/>
      <c r="G102" s="3985"/>
      <c r="H102" s="3985"/>
      <c r="I102" s="3978"/>
      <c r="J102" s="3980"/>
      <c r="K102" s="3978"/>
      <c r="L102" s="3978"/>
      <c r="M102" s="3978"/>
      <c r="N102" s="21"/>
      <c r="O102" s="1723"/>
      <c r="P102" s="1724" t="str">
        <f>_Calcs!$N$79</f>
        <v>Begrunnelse</v>
      </c>
      <c r="Q102" s="1724"/>
      <c r="R102" s="1724"/>
      <c r="S102" s="1724"/>
      <c r="T102" s="1719"/>
      <c r="U102" s="1725"/>
      <c r="V102" s="21"/>
      <c r="W102" s="1643"/>
      <c r="X102" s="680"/>
      <c r="Y102" s="3981"/>
      <c r="Z102" s="2315"/>
      <c r="AA102" s="1644" t="str">
        <f>IF(_Calcs!$JC$38=1,"✓","!")</f>
        <v>✓</v>
      </c>
      <c r="AB102" s="82"/>
      <c r="AC102" s="857"/>
      <c r="AD102" s="70"/>
      <c r="AE102" s="1643"/>
      <c r="AF102" s="680"/>
      <c r="AG102" s="3981"/>
      <c r="AH102" s="2315"/>
      <c r="AI102" s="1644" t="str">
        <f>IF(_Calcs!$JC$39=1,"✓","!")</f>
        <v>✓</v>
      </c>
      <c r="AJ102" s="82"/>
      <c r="AK102" s="857"/>
      <c r="AL102" s="70"/>
      <c r="AM102" s="1643"/>
      <c r="AN102" s="680"/>
      <c r="AO102" s="3981"/>
      <c r="AP102" s="2315"/>
      <c r="AQ102" s="1644" t="str">
        <f>IF(_Calcs!$JC$40=1,"✓","!")</f>
        <v>✓</v>
      </c>
      <c r="AR102" s="82"/>
      <c r="AS102" s="857"/>
      <c r="AT102" s="21"/>
      <c r="AU102" s="1643"/>
      <c r="AV102" s="680"/>
      <c r="AW102" s="3981"/>
      <c r="AX102" s="2315"/>
      <c r="AY102" s="1644" t="str">
        <f>IF(_Calcs!$JC$41=1,"✓","!")</f>
        <v>✓</v>
      </c>
      <c r="AZ102" s="82"/>
      <c r="BA102" s="857"/>
      <c r="BB102" s="70"/>
      <c r="BC102" s="1643"/>
      <c r="BD102" s="680"/>
      <c r="BE102" s="3981"/>
      <c r="BF102" s="2315"/>
      <c r="BG102" s="1644" t="str">
        <f>IF(_Calcs!$JC$42=1,"✓","!")</f>
        <v>✓</v>
      </c>
      <c r="BH102" s="82"/>
      <c r="BI102" s="857"/>
      <c r="BJ102" s="21"/>
      <c r="BK102" s="1643"/>
      <c r="BL102" s="680"/>
      <c r="BM102" s="3981"/>
      <c r="BN102" s="2315"/>
      <c r="BO102" s="1644" t="str">
        <f>IF(_Calcs!$JC$43=1,"✓","!")</f>
        <v>✓</v>
      </c>
      <c r="BP102" s="82"/>
      <c r="BQ102" s="857"/>
      <c r="BS102" s="1643"/>
      <c r="BT102" s="680"/>
      <c r="BU102" s="3981"/>
      <c r="BV102" s="2315"/>
      <c r="BW102" s="1644" t="str">
        <f>IF(_Calcs!$JC$44=1,"✓","!")</f>
        <v>✓</v>
      </c>
      <c r="BX102" s="82"/>
      <c r="BY102" s="857"/>
      <c r="BZ102" s="21"/>
      <c r="CA102" s="1643"/>
      <c r="CB102" s="680"/>
      <c r="CC102" s="3981"/>
      <c r="CD102" s="2315"/>
      <c r="CE102" s="1644" t="str">
        <f>IF(_Calcs!$JC$45=1,"✓","!")</f>
        <v>✓</v>
      </c>
      <c r="CF102" s="82"/>
      <c r="CG102" s="857"/>
      <c r="CH102" s="70"/>
      <c r="CI102" s="1643"/>
      <c r="CJ102" s="680"/>
      <c r="CK102" s="3981"/>
      <c r="CL102" s="2315"/>
      <c r="CM102" s="1644" t="str">
        <f>IF(_Calcs!$JC$46=1,"✓","!")</f>
        <v>✓</v>
      </c>
      <c r="CN102" s="82"/>
      <c r="CO102" s="857"/>
      <c r="CP102" s="70"/>
      <c r="CQ102" s="16"/>
      <c r="CR102" s="70"/>
      <c r="CS102" s="70"/>
      <c r="CT102" s="70"/>
    </row>
    <row r="103" spans="1:98" ht="15" customHeight="1" thickBot="1" x14ac:dyDescent="0.25">
      <c r="A103" s="25"/>
      <c r="B103" s="25"/>
      <c r="C103" s="1636"/>
      <c r="D103" s="20"/>
      <c r="E103" s="3978"/>
      <c r="F103" s="3984"/>
      <c r="G103" s="3985"/>
      <c r="H103" s="3985"/>
      <c r="I103" s="3978"/>
      <c r="J103" s="3980"/>
      <c r="K103" s="3978"/>
      <c r="L103" s="3978"/>
      <c r="M103" s="3978"/>
      <c r="N103" s="21"/>
      <c r="O103" s="1726"/>
      <c r="P103" s="1727"/>
      <c r="Q103" s="1727"/>
      <c r="R103" s="1727"/>
      <c r="S103" s="1727"/>
      <c r="T103" s="1728"/>
      <c r="U103" s="1729"/>
      <c r="V103" s="21"/>
      <c r="W103" s="1743"/>
      <c r="X103" s="859"/>
      <c r="Y103" s="3854"/>
      <c r="Z103" s="3854"/>
      <c r="AA103" s="3982"/>
      <c r="AB103" s="860"/>
      <c r="AC103" s="861"/>
      <c r="AD103" s="70"/>
      <c r="AE103" s="1743"/>
      <c r="AF103" s="859"/>
      <c r="AG103" s="3854"/>
      <c r="AH103" s="3854"/>
      <c r="AI103" s="3982"/>
      <c r="AJ103" s="860"/>
      <c r="AK103" s="861"/>
      <c r="AL103" s="70"/>
      <c r="AM103" s="1743"/>
      <c r="AN103" s="859"/>
      <c r="AO103" s="3854"/>
      <c r="AP103" s="3854"/>
      <c r="AQ103" s="3982"/>
      <c r="AR103" s="860"/>
      <c r="AS103" s="861"/>
      <c r="AT103" s="21"/>
      <c r="AU103" s="1743"/>
      <c r="AV103" s="859"/>
      <c r="AW103" s="3854"/>
      <c r="AX103" s="3854"/>
      <c r="AY103" s="3982"/>
      <c r="AZ103" s="860"/>
      <c r="BA103" s="861"/>
      <c r="BB103" s="70"/>
      <c r="BC103" s="1743"/>
      <c r="BD103" s="859"/>
      <c r="BE103" s="3854"/>
      <c r="BF103" s="3854"/>
      <c r="BG103" s="3982"/>
      <c r="BH103" s="860"/>
      <c r="BI103" s="861"/>
      <c r="BJ103" s="21"/>
      <c r="BK103" s="1743"/>
      <c r="BL103" s="859"/>
      <c r="BM103" s="3854"/>
      <c r="BN103" s="3854"/>
      <c r="BO103" s="3982"/>
      <c r="BP103" s="860"/>
      <c r="BQ103" s="861"/>
      <c r="BS103" s="1743"/>
      <c r="BT103" s="859"/>
      <c r="BU103" s="3854"/>
      <c r="BV103" s="3854"/>
      <c r="BW103" s="3982"/>
      <c r="BX103" s="860"/>
      <c r="BY103" s="861"/>
      <c r="BZ103" s="21"/>
      <c r="CA103" s="1743"/>
      <c r="CB103" s="859"/>
      <c r="CC103" s="3854"/>
      <c r="CD103" s="3854"/>
      <c r="CE103" s="3982"/>
      <c r="CF103" s="860"/>
      <c r="CG103" s="861"/>
      <c r="CH103" s="70"/>
      <c r="CI103" s="1743"/>
      <c r="CJ103" s="859"/>
      <c r="CK103" s="3854"/>
      <c r="CL103" s="3854"/>
      <c r="CM103" s="3982"/>
      <c r="CN103" s="860"/>
      <c r="CO103" s="861"/>
      <c r="CP103" s="70"/>
      <c r="CQ103" s="16"/>
      <c r="CR103" s="70"/>
      <c r="CS103" s="70"/>
      <c r="CT103" s="70"/>
    </row>
    <row r="104" spans="1:98" ht="24.95" customHeight="1" x14ac:dyDescent="0.2">
      <c r="A104" s="25"/>
      <c r="B104" s="25"/>
      <c r="C104" s="1636"/>
      <c r="D104" s="20"/>
      <c r="E104" s="20"/>
      <c r="F104" s="952"/>
      <c r="G104" s="979"/>
      <c r="H104" s="979"/>
      <c r="I104" s="136"/>
      <c r="J104" s="1181"/>
      <c r="K104" s="1181"/>
      <c r="L104" s="35"/>
      <c r="M104" s="35"/>
      <c r="N104" s="21"/>
      <c r="O104" s="21"/>
      <c r="P104" s="21"/>
      <c r="Q104" s="21"/>
      <c r="R104" s="21"/>
      <c r="S104" s="21"/>
      <c r="T104" s="17"/>
      <c r="U104" s="21"/>
      <c r="V104" s="136"/>
      <c r="W104" s="136"/>
      <c r="X104" s="136"/>
      <c r="Y104" s="17"/>
      <c r="Z104" s="136"/>
      <c r="AA104" s="36"/>
      <c r="AB104" s="16"/>
      <c r="AC104" s="16"/>
      <c r="AD104" s="70"/>
      <c r="AE104" s="136"/>
      <c r="AF104" s="136"/>
      <c r="AG104" s="17"/>
      <c r="AH104" s="136"/>
      <c r="AI104" s="36"/>
      <c r="AJ104" s="16"/>
      <c r="AK104" s="16"/>
      <c r="AL104" s="70"/>
      <c r="AM104" s="136"/>
      <c r="AN104" s="136"/>
      <c r="AO104" s="17"/>
      <c r="AP104" s="136"/>
      <c r="AQ104" s="36"/>
      <c r="AR104" s="16"/>
      <c r="AS104" s="16"/>
      <c r="AT104" s="136"/>
      <c r="AU104" s="136"/>
      <c r="AV104" s="136"/>
      <c r="AW104" s="17"/>
      <c r="AX104" s="136"/>
      <c r="AY104" s="36"/>
      <c r="AZ104" s="16"/>
      <c r="BA104" s="16"/>
      <c r="BB104" s="70"/>
      <c r="BC104" s="136"/>
      <c r="BD104" s="136"/>
      <c r="BE104" s="17"/>
      <c r="BF104" s="136"/>
      <c r="BG104" s="36"/>
      <c r="BH104" s="16"/>
      <c r="BI104" s="16"/>
      <c r="BJ104" s="136"/>
      <c r="BK104" s="136"/>
      <c r="BL104" s="136"/>
      <c r="BM104" s="17"/>
      <c r="BN104" s="136"/>
      <c r="BO104" s="36"/>
      <c r="BP104" s="16"/>
      <c r="BQ104" s="16"/>
      <c r="BS104" s="136"/>
      <c r="BT104" s="136"/>
      <c r="BU104" s="17"/>
      <c r="BV104" s="136"/>
      <c r="BW104" s="36"/>
      <c r="BX104" s="16"/>
      <c r="BY104" s="16"/>
      <c r="BZ104" s="136"/>
      <c r="CA104" s="136"/>
      <c r="CB104" s="136"/>
      <c r="CC104" s="17"/>
      <c r="CD104" s="136"/>
      <c r="CE104" s="36"/>
      <c r="CF104" s="16"/>
      <c r="CG104" s="16"/>
      <c r="CH104" s="70"/>
      <c r="CI104" s="136"/>
      <c r="CJ104" s="136"/>
      <c r="CK104" s="17"/>
      <c r="CL104" s="136"/>
      <c r="CM104" s="36"/>
      <c r="CN104" s="16"/>
      <c r="CO104" s="16"/>
      <c r="CP104" s="70"/>
      <c r="CQ104" s="16"/>
      <c r="CR104" s="70"/>
      <c r="CS104" s="70"/>
      <c r="CT104" s="70"/>
    </row>
    <row r="105" spans="1:98" ht="15" hidden="1" customHeight="1" thickBot="1" x14ac:dyDescent="0.25">
      <c r="A105" s="25"/>
      <c r="B105" s="25"/>
      <c r="C105" s="1637"/>
      <c r="D105" s="20"/>
      <c r="E105" s="1638"/>
      <c r="F105" s="1840"/>
      <c r="G105" s="1840"/>
      <c r="H105" s="1840"/>
      <c r="I105" s="1639"/>
      <c r="J105" s="850"/>
      <c r="K105" s="1640"/>
      <c r="L105" s="1640"/>
      <c r="M105" s="1641"/>
      <c r="N105" s="129"/>
      <c r="O105" s="1751"/>
      <c r="P105" s="1752"/>
      <c r="Q105" s="1752"/>
      <c r="R105" s="1752"/>
      <c r="S105" s="1752"/>
      <c r="T105" s="1752"/>
      <c r="U105" s="1753"/>
      <c r="V105" s="129"/>
      <c r="W105" s="1647"/>
      <c r="X105" s="1639"/>
      <c r="Y105" s="1640"/>
      <c r="Z105" s="1639"/>
      <c r="AA105" s="1640"/>
      <c r="AB105" s="1640"/>
      <c r="AC105" s="1641"/>
      <c r="AD105" s="17"/>
      <c r="AE105" s="1647"/>
      <c r="AF105" s="1639"/>
      <c r="AG105" s="1640"/>
      <c r="AH105" s="1639"/>
      <c r="AI105" s="1640"/>
      <c r="AJ105" s="1640"/>
      <c r="AK105" s="1641"/>
      <c r="AL105" s="17"/>
      <c r="AM105" s="1647"/>
      <c r="AN105" s="1639"/>
      <c r="AO105" s="1640"/>
      <c r="AP105" s="1639"/>
      <c r="AQ105" s="1640"/>
      <c r="AR105" s="1640"/>
      <c r="AS105" s="1641"/>
      <c r="AT105" s="129"/>
      <c r="AU105" s="1647"/>
      <c r="AV105" s="1639"/>
      <c r="AW105" s="1640"/>
      <c r="AX105" s="1639"/>
      <c r="AY105" s="1640"/>
      <c r="AZ105" s="1640"/>
      <c r="BA105" s="1641"/>
      <c r="BB105" s="17"/>
      <c r="BC105" s="1647"/>
      <c r="BD105" s="1639"/>
      <c r="BE105" s="1640"/>
      <c r="BF105" s="1639"/>
      <c r="BG105" s="1640"/>
      <c r="BH105" s="1640"/>
      <c r="BI105" s="1641"/>
      <c r="BJ105" s="129"/>
      <c r="BK105" s="1647"/>
      <c r="BL105" s="1639"/>
      <c r="BM105" s="1640"/>
      <c r="BN105" s="1639"/>
      <c r="BO105" s="1640"/>
      <c r="BP105" s="1640"/>
      <c r="BQ105" s="1641"/>
      <c r="BR105" s="17"/>
      <c r="BS105" s="1647"/>
      <c r="BT105" s="1639"/>
      <c r="BU105" s="1640"/>
      <c r="BV105" s="1639"/>
      <c r="BW105" s="1640"/>
      <c r="BX105" s="1640"/>
      <c r="BY105" s="1641"/>
      <c r="BZ105" s="129"/>
      <c r="CA105" s="1647"/>
      <c r="CB105" s="1639"/>
      <c r="CC105" s="1640"/>
      <c r="CD105" s="1639"/>
      <c r="CE105" s="1640"/>
      <c r="CF105" s="1640"/>
      <c r="CG105" s="1641"/>
      <c r="CH105" s="17"/>
      <c r="CI105" s="1647"/>
      <c r="CJ105" s="1639"/>
      <c r="CK105" s="1640"/>
      <c r="CL105" s="1639"/>
      <c r="CM105" s="1640"/>
      <c r="CN105" s="1640"/>
      <c r="CO105" s="1641"/>
      <c r="CP105" s="17"/>
      <c r="CQ105" s="20"/>
      <c r="CR105" s="17"/>
      <c r="CS105" s="17"/>
      <c r="CT105" s="17"/>
    </row>
    <row r="106" spans="1:98" ht="8.1" customHeight="1" thickBot="1" x14ac:dyDescent="0.25">
      <c r="A106" s="25"/>
      <c r="B106" s="25"/>
      <c r="C106" s="1637"/>
      <c r="D106" s="20"/>
      <c r="E106" s="14"/>
      <c r="F106" s="996"/>
      <c r="G106" s="996"/>
      <c r="H106" s="996"/>
      <c r="I106" s="129"/>
      <c r="K106" s="14"/>
      <c r="L106" s="14"/>
      <c r="M106" s="14"/>
      <c r="N106" s="129"/>
      <c r="O106" s="129"/>
      <c r="P106" s="5971"/>
      <c r="Q106" s="5971"/>
      <c r="R106" s="5971"/>
      <c r="S106" s="5971"/>
      <c r="T106" s="15"/>
      <c r="U106" s="129"/>
      <c r="V106" s="129"/>
      <c r="W106" s="129"/>
      <c r="X106" s="129"/>
      <c r="Y106" s="14"/>
      <c r="Z106" s="129"/>
      <c r="AA106" s="14"/>
      <c r="AB106" s="14"/>
      <c r="AC106" s="14"/>
      <c r="AD106" s="15"/>
      <c r="AE106" s="129"/>
      <c r="AF106" s="129"/>
      <c r="AG106" s="14"/>
      <c r="AH106" s="129"/>
      <c r="AI106" s="14"/>
      <c r="AJ106" s="14"/>
      <c r="AK106" s="14"/>
      <c r="AL106" s="15"/>
      <c r="AM106" s="129"/>
      <c r="AN106" s="129"/>
      <c r="AO106" s="14"/>
      <c r="AP106" s="129"/>
      <c r="AQ106" s="14"/>
      <c r="AR106" s="14"/>
      <c r="AS106" s="14"/>
      <c r="AT106" s="129"/>
      <c r="AU106" s="129"/>
      <c r="AV106" s="129"/>
      <c r="AW106" s="14"/>
      <c r="AX106" s="129"/>
      <c r="AY106" s="14"/>
      <c r="AZ106" s="14"/>
      <c r="BA106" s="14"/>
      <c r="BB106" s="15"/>
      <c r="BC106" s="129"/>
      <c r="BD106" s="129"/>
      <c r="BE106" s="14"/>
      <c r="BF106" s="129"/>
      <c r="BG106" s="14"/>
      <c r="BH106" s="14"/>
      <c r="BI106" s="14"/>
      <c r="BJ106" s="129"/>
      <c r="BK106" s="129"/>
      <c r="BL106" s="129"/>
      <c r="BM106" s="14"/>
      <c r="BN106" s="129"/>
      <c r="BO106" s="14"/>
      <c r="BP106" s="14"/>
      <c r="BQ106" s="14"/>
      <c r="BR106" s="15"/>
      <c r="BS106" s="129"/>
      <c r="BT106" s="129"/>
      <c r="BU106" s="14"/>
      <c r="BV106" s="129"/>
      <c r="BW106" s="14"/>
      <c r="BX106" s="14"/>
      <c r="BY106" s="14"/>
      <c r="BZ106" s="129"/>
      <c r="CA106" s="129"/>
      <c r="CB106" s="129"/>
      <c r="CC106" s="14"/>
      <c r="CD106" s="129"/>
      <c r="CE106" s="14"/>
      <c r="CF106" s="14"/>
      <c r="CG106" s="14"/>
      <c r="CH106" s="15"/>
      <c r="CI106" s="129"/>
      <c r="CJ106" s="129"/>
      <c r="CK106" s="14"/>
      <c r="CL106" s="129"/>
      <c r="CM106" s="14"/>
      <c r="CN106" s="14"/>
      <c r="CO106" s="14"/>
      <c r="CP106" s="15"/>
      <c r="CQ106" s="20"/>
      <c r="CR106" s="15"/>
      <c r="CS106" s="15"/>
      <c r="CT106" s="15"/>
    </row>
    <row r="107" spans="1:98" ht="15" customHeight="1" thickBot="1" x14ac:dyDescent="0.25">
      <c r="A107" s="25"/>
      <c r="B107" s="25"/>
      <c r="C107" s="1636"/>
      <c r="D107" s="20"/>
      <c r="E107" s="1730"/>
      <c r="F107" s="2060"/>
      <c r="G107" s="1841"/>
      <c r="H107" s="1841"/>
      <c r="I107" s="1731"/>
      <c r="J107" s="1732"/>
      <c r="K107" s="1732"/>
      <c r="L107" s="1732"/>
      <c r="M107" s="1733"/>
      <c r="N107" s="21"/>
      <c r="O107" s="1720"/>
      <c r="P107" s="1721"/>
      <c r="Q107" s="1721"/>
      <c r="R107" s="1721"/>
      <c r="S107" s="1721"/>
      <c r="T107" s="1718"/>
      <c r="U107" s="1722"/>
      <c r="V107" s="21"/>
      <c r="W107" s="1642"/>
      <c r="X107" s="853"/>
      <c r="Y107" s="854"/>
      <c r="Z107" s="853"/>
      <c r="AA107" s="863"/>
      <c r="AB107" s="854"/>
      <c r="AC107" s="855"/>
      <c r="AD107" s="70"/>
      <c r="AE107" s="1642"/>
      <c r="AF107" s="853"/>
      <c r="AG107" s="854"/>
      <c r="AH107" s="853"/>
      <c r="AI107" s="863"/>
      <c r="AJ107" s="854"/>
      <c r="AK107" s="855"/>
      <c r="AL107" s="70"/>
      <c r="AM107" s="1642"/>
      <c r="AN107" s="853"/>
      <c r="AO107" s="854"/>
      <c r="AP107" s="853"/>
      <c r="AQ107" s="863"/>
      <c r="AR107" s="854"/>
      <c r="AS107" s="855"/>
      <c r="AT107" s="21"/>
      <c r="AU107" s="1642"/>
      <c r="AV107" s="853"/>
      <c r="AW107" s="854"/>
      <c r="AX107" s="853"/>
      <c r="AY107" s="863"/>
      <c r="AZ107" s="854"/>
      <c r="BA107" s="855"/>
      <c r="BB107" s="70"/>
      <c r="BC107" s="1642"/>
      <c r="BD107" s="853"/>
      <c r="BE107" s="854"/>
      <c r="BF107" s="853"/>
      <c r="BG107" s="863"/>
      <c r="BH107" s="854"/>
      <c r="BI107" s="855"/>
      <c r="BJ107" s="21"/>
      <c r="BK107" s="1642"/>
      <c r="BL107" s="853"/>
      <c r="BM107" s="854"/>
      <c r="BN107" s="853"/>
      <c r="BO107" s="863"/>
      <c r="BP107" s="854"/>
      <c r="BQ107" s="855"/>
      <c r="BS107" s="1642"/>
      <c r="BT107" s="853"/>
      <c r="BU107" s="854"/>
      <c r="BV107" s="853"/>
      <c r="BW107" s="863"/>
      <c r="BX107" s="854"/>
      <c r="BY107" s="855"/>
      <c r="BZ107" s="21"/>
      <c r="CA107" s="1642"/>
      <c r="CB107" s="853"/>
      <c r="CC107" s="854"/>
      <c r="CD107" s="853"/>
      <c r="CE107" s="863"/>
      <c r="CF107" s="854"/>
      <c r="CG107" s="855"/>
      <c r="CH107" s="70"/>
      <c r="CI107" s="1642"/>
      <c r="CJ107" s="853"/>
      <c r="CK107" s="854"/>
      <c r="CL107" s="853"/>
      <c r="CM107" s="863"/>
      <c r="CN107" s="854"/>
      <c r="CO107" s="855"/>
      <c r="CP107" s="70"/>
      <c r="CQ107" s="82"/>
      <c r="CR107" s="70"/>
      <c r="CS107" s="70"/>
      <c r="CT107" s="70"/>
    </row>
    <row r="108" spans="1:98" ht="24.95" customHeight="1" thickBot="1" x14ac:dyDescent="0.25">
      <c r="A108" s="25"/>
      <c r="B108" s="25"/>
      <c r="C108" s="1636"/>
      <c r="D108" s="20"/>
      <c r="E108" s="1734"/>
      <c r="F108" s="2058" t="str">
        <f>_Calcs!$L$81</f>
        <v>Skytetidspunkt</v>
      </c>
      <c r="G108" s="1838"/>
      <c r="H108" s="1838"/>
      <c r="I108" s="1735"/>
      <c r="J108" s="2316" t="s">
        <v>149</v>
      </c>
      <c r="K108" s="2316"/>
      <c r="L108" s="1736"/>
      <c r="M108" s="1737"/>
      <c r="N108" s="21"/>
      <c r="O108" s="1723"/>
      <c r="P108" s="1724" t="str">
        <f>$P$60</f>
        <v>Påvirkning</v>
      </c>
      <c r="Q108" s="1724"/>
      <c r="R108" s="1724"/>
      <c r="S108" s="1724"/>
      <c r="T108" s="3976"/>
      <c r="U108" s="1725"/>
      <c r="V108" s="21"/>
      <c r="W108" s="1643"/>
      <c r="X108" s="680"/>
      <c r="Y108" s="3983"/>
      <c r="Z108" s="2314"/>
      <c r="AA108" s="1644" t="str">
        <f>IF(_Calcs!$JD$38=1,"✓","!")</f>
        <v>✓</v>
      </c>
      <c r="AB108" s="82"/>
      <c r="AC108" s="857"/>
      <c r="AD108" s="70"/>
      <c r="AE108" s="1643"/>
      <c r="AF108" s="680"/>
      <c r="AG108" s="3983"/>
      <c r="AH108" s="2314"/>
      <c r="AI108" s="1644" t="str">
        <f>IF(_Calcs!$JD$39=1,"✓","!")</f>
        <v>✓</v>
      </c>
      <c r="AJ108" s="82"/>
      <c r="AK108" s="857"/>
      <c r="AL108" s="70"/>
      <c r="AM108" s="1643"/>
      <c r="AN108" s="680"/>
      <c r="AO108" s="3983"/>
      <c r="AP108" s="2314"/>
      <c r="AQ108" s="1644" t="str">
        <f>IF(_Calcs!$JD$40=1,"✓","!")</f>
        <v>✓</v>
      </c>
      <c r="AR108" s="82"/>
      <c r="AS108" s="857"/>
      <c r="AT108" s="21"/>
      <c r="AU108" s="1643"/>
      <c r="AV108" s="680"/>
      <c r="AW108" s="3983"/>
      <c r="AX108" s="2314"/>
      <c r="AY108" s="1644" t="str">
        <f>IF(_Calcs!$JD$41=1,"✓","!")</f>
        <v>✓</v>
      </c>
      <c r="AZ108" s="82"/>
      <c r="BA108" s="857"/>
      <c r="BB108" s="70"/>
      <c r="BC108" s="1643"/>
      <c r="BD108" s="680"/>
      <c r="BE108" s="3983"/>
      <c r="BF108" s="2314"/>
      <c r="BG108" s="1644" t="str">
        <f>IF(_Calcs!$JD$42=1,"✓","!")</f>
        <v>✓</v>
      </c>
      <c r="BH108" s="82"/>
      <c r="BI108" s="857"/>
      <c r="BJ108" s="21"/>
      <c r="BK108" s="1643"/>
      <c r="BL108" s="680"/>
      <c r="BM108" s="3983"/>
      <c r="BN108" s="2314"/>
      <c r="BO108" s="1644" t="str">
        <f>IF(_Calcs!$JD$43=1,"✓","!")</f>
        <v>✓</v>
      </c>
      <c r="BP108" s="82"/>
      <c r="BQ108" s="857"/>
      <c r="BS108" s="1643"/>
      <c r="BT108" s="680"/>
      <c r="BU108" s="3983"/>
      <c r="BV108" s="2314"/>
      <c r="BW108" s="1644" t="str">
        <f>IF(_Calcs!$JD$44=1,"✓","!")</f>
        <v>✓</v>
      </c>
      <c r="BX108" s="82"/>
      <c r="BY108" s="857"/>
      <c r="BZ108" s="21"/>
      <c r="CA108" s="1643"/>
      <c r="CB108" s="680"/>
      <c r="CC108" s="3983"/>
      <c r="CD108" s="2314"/>
      <c r="CE108" s="1644" t="str">
        <f>IF(_Calcs!$JD$45=1,"✓","!")</f>
        <v>✓</v>
      </c>
      <c r="CF108" s="82"/>
      <c r="CG108" s="857"/>
      <c r="CH108" s="70"/>
      <c r="CI108" s="1643"/>
      <c r="CJ108" s="680"/>
      <c r="CK108" s="3983"/>
      <c r="CL108" s="2314"/>
      <c r="CM108" s="1644" t="str">
        <f>IF(_Calcs!$JD$46=1,"✓","!")</f>
        <v>✓</v>
      </c>
      <c r="CN108" s="82"/>
      <c r="CO108" s="857"/>
      <c r="CP108" s="70"/>
      <c r="CQ108" s="82"/>
      <c r="CR108" s="70"/>
      <c r="CS108" s="70"/>
      <c r="CT108" s="70"/>
    </row>
    <row r="109" spans="1:98" ht="15" customHeight="1" thickBot="1" x14ac:dyDescent="0.25">
      <c r="A109" s="25"/>
      <c r="B109" s="25"/>
      <c r="C109" s="1636"/>
      <c r="D109" s="20"/>
      <c r="E109" s="1738"/>
      <c r="F109" s="2059"/>
      <c r="G109" s="1839"/>
      <c r="H109" s="1839"/>
      <c r="I109" s="1739"/>
      <c r="J109" s="1740"/>
      <c r="K109" s="1740"/>
      <c r="L109" s="1741"/>
      <c r="M109" s="1742"/>
      <c r="N109" s="21"/>
      <c r="O109" s="1723"/>
      <c r="P109" s="1724"/>
      <c r="Q109" s="1724"/>
      <c r="R109" s="1724"/>
      <c r="S109" s="1724"/>
      <c r="T109" s="5453"/>
      <c r="U109" s="1725"/>
      <c r="V109" s="21"/>
      <c r="W109" s="1743"/>
      <c r="X109" s="859"/>
      <c r="Y109" s="1870"/>
      <c r="Z109" s="859"/>
      <c r="AA109" s="1871"/>
      <c r="AB109" s="860"/>
      <c r="AC109" s="861"/>
      <c r="AD109" s="70"/>
      <c r="AE109" s="1743"/>
      <c r="AF109" s="859"/>
      <c r="AG109" s="1870"/>
      <c r="AH109" s="859"/>
      <c r="AI109" s="1871"/>
      <c r="AJ109" s="860"/>
      <c r="AK109" s="861"/>
      <c r="AL109" s="70"/>
      <c r="AM109" s="1743"/>
      <c r="AN109" s="859"/>
      <c r="AO109" s="1870"/>
      <c r="AP109" s="859"/>
      <c r="AQ109" s="1871"/>
      <c r="AR109" s="860"/>
      <c r="AS109" s="861"/>
      <c r="AT109" s="21"/>
      <c r="AU109" s="1743"/>
      <c r="AV109" s="859"/>
      <c r="AW109" s="1870"/>
      <c r="AX109" s="859"/>
      <c r="AY109" s="1871"/>
      <c r="AZ109" s="860"/>
      <c r="BA109" s="861"/>
      <c r="BB109" s="70"/>
      <c r="BC109" s="1743"/>
      <c r="BD109" s="859"/>
      <c r="BE109" s="1870"/>
      <c r="BF109" s="859"/>
      <c r="BG109" s="1871"/>
      <c r="BH109" s="860"/>
      <c r="BI109" s="861"/>
      <c r="BJ109" s="21"/>
      <c r="BK109" s="1743"/>
      <c r="BL109" s="859"/>
      <c r="BM109" s="1870"/>
      <c r="BN109" s="859"/>
      <c r="BO109" s="1871"/>
      <c r="BP109" s="860"/>
      <c r="BQ109" s="861"/>
      <c r="BS109" s="1743"/>
      <c r="BT109" s="859"/>
      <c r="BU109" s="1870"/>
      <c r="BV109" s="859"/>
      <c r="BW109" s="1871"/>
      <c r="BX109" s="860"/>
      <c r="BY109" s="861"/>
      <c r="BZ109" s="21"/>
      <c r="CA109" s="1743"/>
      <c r="CB109" s="859"/>
      <c r="CC109" s="1870"/>
      <c r="CD109" s="859"/>
      <c r="CE109" s="1871"/>
      <c r="CF109" s="860"/>
      <c r="CG109" s="861"/>
      <c r="CH109" s="70"/>
      <c r="CI109" s="1743"/>
      <c r="CJ109" s="859"/>
      <c r="CK109" s="1870"/>
      <c r="CL109" s="859"/>
      <c r="CM109" s="1871"/>
      <c r="CN109" s="860"/>
      <c r="CO109" s="861"/>
      <c r="CP109" s="70"/>
      <c r="CQ109" s="82"/>
      <c r="CR109" s="70"/>
      <c r="CS109" s="70"/>
      <c r="CT109" s="70"/>
    </row>
    <row r="110" spans="1:98" ht="5.0999999999999996" customHeight="1" thickBot="1" x14ac:dyDescent="0.25">
      <c r="A110" s="25"/>
      <c r="B110" s="25"/>
      <c r="C110" s="1636"/>
      <c r="D110" s="20"/>
      <c r="E110" s="20"/>
      <c r="F110" s="952"/>
      <c r="G110" s="979"/>
      <c r="H110" s="979"/>
      <c r="I110" s="136"/>
      <c r="J110" s="1181"/>
      <c r="K110" s="1181"/>
      <c r="L110" s="35"/>
      <c r="M110" s="35"/>
      <c r="N110" s="21"/>
      <c r="O110" s="1723"/>
      <c r="P110" s="1724"/>
      <c r="Q110" s="1724"/>
      <c r="R110" s="1724"/>
      <c r="S110" s="1724"/>
      <c r="T110" s="5453"/>
      <c r="U110" s="1725"/>
      <c r="V110" s="21"/>
      <c r="W110" s="1643"/>
      <c r="X110" s="680"/>
      <c r="Y110" s="83"/>
      <c r="Z110" s="680"/>
      <c r="AA110" s="81"/>
      <c r="AB110" s="82"/>
      <c r="AC110" s="857"/>
      <c r="AD110" s="70"/>
      <c r="AE110" s="1643"/>
      <c r="AF110" s="680"/>
      <c r="AG110" s="83"/>
      <c r="AH110" s="680"/>
      <c r="AI110" s="81"/>
      <c r="AJ110" s="82"/>
      <c r="AK110" s="857"/>
      <c r="AL110" s="70"/>
      <c r="AM110" s="1643"/>
      <c r="AN110" s="680"/>
      <c r="AO110" s="83"/>
      <c r="AP110" s="680"/>
      <c r="AQ110" s="81"/>
      <c r="AR110" s="82"/>
      <c r="AS110" s="857"/>
      <c r="AT110" s="21"/>
      <c r="AU110" s="1643"/>
      <c r="AV110" s="680"/>
      <c r="AW110" s="83"/>
      <c r="AX110" s="680"/>
      <c r="AY110" s="81"/>
      <c r="AZ110" s="82"/>
      <c r="BA110" s="857"/>
      <c r="BB110" s="70"/>
      <c r="BC110" s="1643"/>
      <c r="BD110" s="680"/>
      <c r="BE110" s="83"/>
      <c r="BF110" s="680"/>
      <c r="BG110" s="81"/>
      <c r="BH110" s="82"/>
      <c r="BI110" s="857"/>
      <c r="BJ110" s="21"/>
      <c r="BK110" s="1643"/>
      <c r="BL110" s="680"/>
      <c r="BM110" s="83"/>
      <c r="BN110" s="680"/>
      <c r="BO110" s="81"/>
      <c r="BP110" s="82"/>
      <c r="BQ110" s="857"/>
      <c r="BS110" s="1643"/>
      <c r="BT110" s="680"/>
      <c r="BU110" s="83"/>
      <c r="BV110" s="680"/>
      <c r="BW110" s="81"/>
      <c r="BX110" s="82"/>
      <c r="BY110" s="857"/>
      <c r="BZ110" s="21"/>
      <c r="CA110" s="1643"/>
      <c r="CB110" s="680"/>
      <c r="CC110" s="83"/>
      <c r="CD110" s="680"/>
      <c r="CE110" s="81"/>
      <c r="CF110" s="82"/>
      <c r="CG110" s="857"/>
      <c r="CH110" s="70"/>
      <c r="CI110" s="1643"/>
      <c r="CJ110" s="680"/>
      <c r="CK110" s="83"/>
      <c r="CL110" s="680"/>
      <c r="CM110" s="81"/>
      <c r="CN110" s="82"/>
      <c r="CO110" s="857"/>
      <c r="CP110" s="70"/>
      <c r="CQ110" s="16"/>
      <c r="CR110" s="70"/>
      <c r="CS110" s="70"/>
      <c r="CT110" s="70"/>
    </row>
    <row r="111" spans="1:98" ht="8.1" customHeight="1" x14ac:dyDescent="0.2">
      <c r="A111" s="25"/>
      <c r="B111" s="25"/>
      <c r="C111" s="1636"/>
      <c r="D111" s="20"/>
      <c r="E111" s="20"/>
      <c r="F111" s="952"/>
      <c r="G111" s="979"/>
      <c r="H111" s="979"/>
      <c r="I111" s="136"/>
      <c r="J111" s="16"/>
      <c r="K111" s="1181"/>
      <c r="L111" s="35"/>
      <c r="M111" s="35"/>
      <c r="N111" s="21"/>
      <c r="O111" s="1723"/>
      <c r="P111" s="6636" t="str">
        <f>_Calcs!$N$80</f>
        <v>Tidjustering</v>
      </c>
      <c r="Q111" s="1724"/>
      <c r="R111" s="1724"/>
      <c r="S111" s="1724"/>
      <c r="T111" s="6636" t="s">
        <v>146</v>
      </c>
      <c r="U111" s="1725"/>
      <c r="V111" s="21"/>
      <c r="W111" s="1643"/>
      <c r="X111" s="680"/>
      <c r="Y111" s="6629"/>
      <c r="Z111" s="680"/>
      <c r="AA111" s="6631" t="str">
        <f>IF(_Calcs!$JE$38=1,"✓","!")</f>
        <v>✓</v>
      </c>
      <c r="AB111" s="82"/>
      <c r="AC111" s="857"/>
      <c r="AD111" s="70"/>
      <c r="AE111" s="1643"/>
      <c r="AF111" s="680"/>
      <c r="AG111" s="6629"/>
      <c r="AH111" s="680"/>
      <c r="AI111" s="6631" t="str">
        <f>IF(_Calcs!$JE$39=1,"✓","!")</f>
        <v>✓</v>
      </c>
      <c r="AJ111" s="82"/>
      <c r="AK111" s="857"/>
      <c r="AL111" s="70"/>
      <c r="AM111" s="1643"/>
      <c r="AN111" s="680"/>
      <c r="AO111" s="6629"/>
      <c r="AP111" s="680"/>
      <c r="AQ111" s="6631" t="str">
        <f>IF(_Calcs!$JE$40=1,"✓","!")</f>
        <v>✓</v>
      </c>
      <c r="AR111" s="82"/>
      <c r="AS111" s="857"/>
      <c r="AT111" s="21"/>
      <c r="AU111" s="1643"/>
      <c r="AV111" s="680"/>
      <c r="AW111" s="6629"/>
      <c r="AX111" s="680"/>
      <c r="AY111" s="6631" t="str">
        <f>IF(_Calcs!$JE$41=1,"✓","!")</f>
        <v>✓</v>
      </c>
      <c r="AZ111" s="82"/>
      <c r="BA111" s="857"/>
      <c r="BB111" s="70"/>
      <c r="BC111" s="1643"/>
      <c r="BD111" s="680"/>
      <c r="BE111" s="6629"/>
      <c r="BF111" s="680"/>
      <c r="BG111" s="6631" t="str">
        <f>IF(_Calcs!$JE$42=1,"✓","!")</f>
        <v>✓</v>
      </c>
      <c r="BH111" s="82"/>
      <c r="BI111" s="857"/>
      <c r="BJ111" s="21"/>
      <c r="BK111" s="1643"/>
      <c r="BL111" s="680"/>
      <c r="BM111" s="6629"/>
      <c r="BN111" s="680"/>
      <c r="BO111" s="6631" t="str">
        <f>IF(_Calcs!$JE$43=1,"✓","!")</f>
        <v>✓</v>
      </c>
      <c r="BP111" s="82"/>
      <c r="BQ111" s="857"/>
      <c r="BS111" s="1643"/>
      <c r="BT111" s="680"/>
      <c r="BU111" s="6629"/>
      <c r="BV111" s="680"/>
      <c r="BW111" s="6631" t="str">
        <f>IF(_Calcs!$JE$44=1,"✓","!")</f>
        <v>✓</v>
      </c>
      <c r="BX111" s="82"/>
      <c r="BY111" s="857"/>
      <c r="BZ111" s="21"/>
      <c r="CA111" s="1643"/>
      <c r="CB111" s="680"/>
      <c r="CC111" s="6629"/>
      <c r="CD111" s="680"/>
      <c r="CE111" s="6631" t="str">
        <f>IF(_Calcs!$JE$45=1,"✓","!")</f>
        <v>✓</v>
      </c>
      <c r="CF111" s="82"/>
      <c r="CG111" s="857"/>
      <c r="CH111" s="70"/>
      <c r="CI111" s="1643"/>
      <c r="CJ111" s="680"/>
      <c r="CK111" s="6629"/>
      <c r="CL111" s="680"/>
      <c r="CM111" s="6631" t="str">
        <f>IF(_Calcs!$JE$46=1,"✓","!")</f>
        <v>✓</v>
      </c>
      <c r="CN111" s="82"/>
      <c r="CO111" s="857"/>
      <c r="CP111" s="70"/>
      <c r="CQ111" s="16"/>
      <c r="CR111" s="70"/>
      <c r="CS111" s="70"/>
      <c r="CT111" s="70"/>
    </row>
    <row r="112" spans="1:98" ht="12" customHeight="1" thickBot="1" x14ac:dyDescent="0.25">
      <c r="A112" s="25"/>
      <c r="B112" s="25"/>
      <c r="C112" s="1636"/>
      <c r="D112" s="20"/>
      <c r="E112" s="3978"/>
      <c r="F112" s="3984"/>
      <c r="G112" s="3985"/>
      <c r="H112" s="3985"/>
      <c r="I112" s="3978"/>
      <c r="J112" s="3980"/>
      <c r="K112" s="3978"/>
      <c r="L112" s="3978"/>
      <c r="M112" s="3978"/>
      <c r="N112" s="21"/>
      <c r="O112" s="1723"/>
      <c r="P112" s="6636"/>
      <c r="Q112" s="1724"/>
      <c r="R112" s="1724"/>
      <c r="S112" s="1724"/>
      <c r="T112" s="6636"/>
      <c r="U112" s="1725"/>
      <c r="V112" s="21"/>
      <c r="W112" s="1643"/>
      <c r="X112" s="680"/>
      <c r="Y112" s="6630"/>
      <c r="Z112" s="680"/>
      <c r="AA112" s="6632"/>
      <c r="AB112" s="82"/>
      <c r="AC112" s="857"/>
      <c r="AD112" s="70"/>
      <c r="AE112" s="1643"/>
      <c r="AF112" s="680"/>
      <c r="AG112" s="6630"/>
      <c r="AH112" s="680"/>
      <c r="AI112" s="6632"/>
      <c r="AJ112" s="82"/>
      <c r="AK112" s="857"/>
      <c r="AL112" s="70"/>
      <c r="AM112" s="1643"/>
      <c r="AN112" s="680"/>
      <c r="AO112" s="6630"/>
      <c r="AP112" s="680"/>
      <c r="AQ112" s="6632"/>
      <c r="AR112" s="82"/>
      <c r="AS112" s="857"/>
      <c r="AT112" s="21"/>
      <c r="AU112" s="1643"/>
      <c r="AV112" s="680"/>
      <c r="AW112" s="6630"/>
      <c r="AX112" s="680"/>
      <c r="AY112" s="6632"/>
      <c r="AZ112" s="82"/>
      <c r="BA112" s="857"/>
      <c r="BB112" s="70"/>
      <c r="BC112" s="1643"/>
      <c r="BD112" s="680"/>
      <c r="BE112" s="6630"/>
      <c r="BF112" s="680"/>
      <c r="BG112" s="6632"/>
      <c r="BH112" s="82"/>
      <c r="BI112" s="857"/>
      <c r="BJ112" s="21"/>
      <c r="BK112" s="1643"/>
      <c r="BL112" s="680"/>
      <c r="BM112" s="6630"/>
      <c r="BN112" s="680"/>
      <c r="BO112" s="6632"/>
      <c r="BP112" s="82"/>
      <c r="BQ112" s="857"/>
      <c r="BS112" s="1643"/>
      <c r="BT112" s="680"/>
      <c r="BU112" s="6630"/>
      <c r="BV112" s="680"/>
      <c r="BW112" s="6632"/>
      <c r="BX112" s="82"/>
      <c r="BY112" s="857"/>
      <c r="BZ112" s="21"/>
      <c r="CA112" s="1643"/>
      <c r="CB112" s="680"/>
      <c r="CC112" s="6630"/>
      <c r="CD112" s="680"/>
      <c r="CE112" s="6632"/>
      <c r="CF112" s="82"/>
      <c r="CG112" s="857"/>
      <c r="CH112" s="70"/>
      <c r="CI112" s="1643"/>
      <c r="CJ112" s="680"/>
      <c r="CK112" s="6630"/>
      <c r="CL112" s="680"/>
      <c r="CM112" s="6632"/>
      <c r="CN112" s="82"/>
      <c r="CO112" s="857"/>
      <c r="CP112" s="70"/>
      <c r="CQ112" s="16"/>
      <c r="CR112" s="70"/>
      <c r="CS112" s="70"/>
      <c r="CT112" s="70"/>
    </row>
    <row r="113" spans="1:98" ht="15" customHeight="1" thickBot="1" x14ac:dyDescent="0.25">
      <c r="A113" s="25"/>
      <c r="B113" s="25"/>
      <c r="C113" s="1636"/>
      <c r="D113" s="20"/>
      <c r="E113" s="3978"/>
      <c r="F113" s="3984"/>
      <c r="G113" s="3985"/>
      <c r="H113" s="3985"/>
      <c r="I113" s="3978"/>
      <c r="J113" s="3980"/>
      <c r="K113" s="3978"/>
      <c r="L113" s="3978"/>
      <c r="M113" s="3978"/>
      <c r="N113" s="21"/>
      <c r="O113" s="1723"/>
      <c r="P113" s="1724"/>
      <c r="Q113" s="1724"/>
      <c r="R113" s="1724"/>
      <c r="S113" s="1724"/>
      <c r="T113" s="5453"/>
      <c r="U113" s="1725"/>
      <c r="V113" s="21"/>
      <c r="W113" s="1643"/>
      <c r="X113" s="680"/>
      <c r="Y113" s="83"/>
      <c r="Z113" s="680"/>
      <c r="AA113" s="81"/>
      <c r="AB113" s="82"/>
      <c r="AC113" s="857"/>
      <c r="AD113" s="70"/>
      <c r="AE113" s="1643"/>
      <c r="AF113" s="680"/>
      <c r="AG113" s="83"/>
      <c r="AH113" s="680"/>
      <c r="AI113" s="81"/>
      <c r="AJ113" s="82"/>
      <c r="AK113" s="857"/>
      <c r="AL113" s="70"/>
      <c r="AM113" s="1643"/>
      <c r="AN113" s="680"/>
      <c r="AO113" s="83"/>
      <c r="AP113" s="680"/>
      <c r="AQ113" s="81"/>
      <c r="AR113" s="82"/>
      <c r="AS113" s="857"/>
      <c r="AT113" s="21"/>
      <c r="AU113" s="1643"/>
      <c r="AV113" s="680"/>
      <c r="AW113" s="83"/>
      <c r="AX113" s="680"/>
      <c r="AY113" s="81"/>
      <c r="AZ113" s="82"/>
      <c r="BA113" s="857"/>
      <c r="BB113" s="70"/>
      <c r="BC113" s="1643"/>
      <c r="BD113" s="680"/>
      <c r="BE113" s="83"/>
      <c r="BF113" s="680"/>
      <c r="BG113" s="81"/>
      <c r="BH113" s="82"/>
      <c r="BI113" s="857"/>
      <c r="BJ113" s="21"/>
      <c r="BK113" s="1643"/>
      <c r="BL113" s="680"/>
      <c r="BM113" s="83"/>
      <c r="BN113" s="680"/>
      <c r="BO113" s="81"/>
      <c r="BP113" s="82"/>
      <c r="BQ113" s="857"/>
      <c r="BS113" s="1643"/>
      <c r="BT113" s="680"/>
      <c r="BU113" s="83"/>
      <c r="BV113" s="680"/>
      <c r="BW113" s="81"/>
      <c r="BX113" s="82"/>
      <c r="BY113" s="857"/>
      <c r="BZ113" s="21"/>
      <c r="CA113" s="1643"/>
      <c r="CB113" s="680"/>
      <c r="CC113" s="83"/>
      <c r="CD113" s="680"/>
      <c r="CE113" s="81"/>
      <c r="CF113" s="82"/>
      <c r="CG113" s="857"/>
      <c r="CH113" s="70"/>
      <c r="CI113" s="1643"/>
      <c r="CJ113" s="680"/>
      <c r="CK113" s="83"/>
      <c r="CL113" s="680"/>
      <c r="CM113" s="81"/>
      <c r="CN113" s="82"/>
      <c r="CO113" s="857"/>
      <c r="CP113" s="70"/>
      <c r="CQ113" s="16"/>
      <c r="CR113" s="70"/>
      <c r="CS113" s="70"/>
      <c r="CT113" s="70"/>
    </row>
    <row r="114" spans="1:98" ht="20.100000000000001" customHeight="1" thickBot="1" x14ac:dyDescent="0.25">
      <c r="A114" s="25"/>
      <c r="B114" s="25"/>
      <c r="C114" s="1636"/>
      <c r="D114" s="20"/>
      <c r="E114" s="3978"/>
      <c r="F114" s="3984"/>
      <c r="G114" s="3985"/>
      <c r="H114" s="3985"/>
      <c r="I114" s="3978"/>
      <c r="J114" s="3980"/>
      <c r="K114" s="3978"/>
      <c r="L114" s="3978"/>
      <c r="M114" s="3978"/>
      <c r="N114" s="21"/>
      <c r="O114" s="1723"/>
      <c r="P114" s="1724" t="str">
        <f>_Calcs!$N$79</f>
        <v>Begrunnelse</v>
      </c>
      <c r="Q114" s="1724"/>
      <c r="R114" s="1724"/>
      <c r="S114" s="1724"/>
      <c r="T114" s="1719"/>
      <c r="U114" s="1725"/>
      <c r="V114" s="21"/>
      <c r="W114" s="1643"/>
      <c r="X114" s="680"/>
      <c r="Y114" s="3981"/>
      <c r="Z114" s="2315"/>
      <c r="AA114" s="1644" t="str">
        <f>IF(_Calcs!$JF$38=1,"✓","!")</f>
        <v>✓</v>
      </c>
      <c r="AB114" s="82"/>
      <c r="AC114" s="857"/>
      <c r="AD114" s="70"/>
      <c r="AE114" s="1643"/>
      <c r="AF114" s="680"/>
      <c r="AG114" s="3981"/>
      <c r="AH114" s="2315"/>
      <c r="AI114" s="1644" t="str">
        <f>IF(_Calcs!$JF$39=1,"✓","!")</f>
        <v>✓</v>
      </c>
      <c r="AJ114" s="82"/>
      <c r="AK114" s="857"/>
      <c r="AL114" s="70"/>
      <c r="AM114" s="1643"/>
      <c r="AN114" s="680"/>
      <c r="AO114" s="3981"/>
      <c r="AP114" s="2315"/>
      <c r="AQ114" s="1644" t="str">
        <f>IF(_Calcs!$JF$40=1,"✓","!")</f>
        <v>✓</v>
      </c>
      <c r="AR114" s="82"/>
      <c r="AS114" s="857"/>
      <c r="AT114" s="21"/>
      <c r="AU114" s="1643"/>
      <c r="AV114" s="680"/>
      <c r="AW114" s="3981"/>
      <c r="AX114" s="2315"/>
      <c r="AY114" s="1644" t="str">
        <f>IF(_Calcs!$JF$41=1,"✓","!")</f>
        <v>✓</v>
      </c>
      <c r="AZ114" s="82"/>
      <c r="BA114" s="857"/>
      <c r="BB114" s="70"/>
      <c r="BC114" s="1643"/>
      <c r="BD114" s="680"/>
      <c r="BE114" s="3981"/>
      <c r="BF114" s="2315"/>
      <c r="BG114" s="1644" t="str">
        <f>IF(_Calcs!$JF$42=1,"✓","!")</f>
        <v>✓</v>
      </c>
      <c r="BH114" s="82"/>
      <c r="BI114" s="857"/>
      <c r="BJ114" s="21"/>
      <c r="BK114" s="1643"/>
      <c r="BL114" s="680"/>
      <c r="BM114" s="3981"/>
      <c r="BN114" s="2315"/>
      <c r="BO114" s="1644" t="str">
        <f>IF(_Calcs!$JF$43=1,"✓","!")</f>
        <v>✓</v>
      </c>
      <c r="BP114" s="82"/>
      <c r="BQ114" s="857"/>
      <c r="BS114" s="1643"/>
      <c r="BT114" s="680"/>
      <c r="BU114" s="3981"/>
      <c r="BV114" s="2315"/>
      <c r="BW114" s="1644" t="str">
        <f>IF(_Calcs!$JF$44=1,"✓","!")</f>
        <v>✓</v>
      </c>
      <c r="BX114" s="82"/>
      <c r="BY114" s="857"/>
      <c r="BZ114" s="21"/>
      <c r="CA114" s="1643"/>
      <c r="CB114" s="680"/>
      <c r="CC114" s="3981"/>
      <c r="CD114" s="2315"/>
      <c r="CE114" s="1644" t="str">
        <f>IF(_Calcs!$JF$45=1,"✓","!")</f>
        <v>✓</v>
      </c>
      <c r="CF114" s="82"/>
      <c r="CG114" s="857"/>
      <c r="CH114" s="70"/>
      <c r="CI114" s="1643"/>
      <c r="CJ114" s="680"/>
      <c r="CK114" s="3981"/>
      <c r="CL114" s="2315"/>
      <c r="CM114" s="1644" t="str">
        <f>IF(_Calcs!$JF$46=1,"✓","!")</f>
        <v>✓</v>
      </c>
      <c r="CN114" s="82"/>
      <c r="CO114" s="857"/>
      <c r="CP114" s="70"/>
      <c r="CQ114" s="16"/>
      <c r="CR114" s="70"/>
      <c r="CS114" s="70"/>
      <c r="CT114" s="70"/>
    </row>
    <row r="115" spans="1:98" ht="15" customHeight="1" thickBot="1" x14ac:dyDescent="0.25">
      <c r="A115" s="25"/>
      <c r="B115" s="25"/>
      <c r="C115" s="1636"/>
      <c r="D115" s="20"/>
      <c r="E115" s="3978"/>
      <c r="F115" s="3984"/>
      <c r="G115" s="3985"/>
      <c r="H115" s="3985"/>
      <c r="I115" s="3978"/>
      <c r="J115" s="3980"/>
      <c r="K115" s="3978"/>
      <c r="L115" s="3978"/>
      <c r="M115" s="3978"/>
      <c r="N115" s="21"/>
      <c r="O115" s="1726"/>
      <c r="P115" s="1727"/>
      <c r="Q115" s="1727"/>
      <c r="R115" s="1727"/>
      <c r="S115" s="1727"/>
      <c r="T115" s="1728"/>
      <c r="U115" s="1729"/>
      <c r="V115" s="21"/>
      <c r="W115" s="1743"/>
      <c r="X115" s="859"/>
      <c r="Y115" s="3854"/>
      <c r="Z115" s="3854"/>
      <c r="AA115" s="3982"/>
      <c r="AB115" s="860"/>
      <c r="AC115" s="861"/>
      <c r="AD115" s="70"/>
      <c r="AE115" s="1743"/>
      <c r="AF115" s="859"/>
      <c r="AG115" s="3854"/>
      <c r="AH115" s="3854"/>
      <c r="AI115" s="3982"/>
      <c r="AJ115" s="860"/>
      <c r="AK115" s="861"/>
      <c r="AL115" s="70"/>
      <c r="AM115" s="1743"/>
      <c r="AN115" s="859"/>
      <c r="AO115" s="3854"/>
      <c r="AP115" s="3854"/>
      <c r="AQ115" s="3982"/>
      <c r="AR115" s="860"/>
      <c r="AS115" s="861"/>
      <c r="AT115" s="21"/>
      <c r="AU115" s="1743"/>
      <c r="AV115" s="859"/>
      <c r="AW115" s="3854"/>
      <c r="AX115" s="3854"/>
      <c r="AY115" s="3982"/>
      <c r="AZ115" s="860"/>
      <c r="BA115" s="861"/>
      <c r="BB115" s="70"/>
      <c r="BC115" s="1743"/>
      <c r="BD115" s="859"/>
      <c r="BE115" s="3854"/>
      <c r="BF115" s="3854"/>
      <c r="BG115" s="3982"/>
      <c r="BH115" s="860"/>
      <c r="BI115" s="861"/>
      <c r="BJ115" s="21"/>
      <c r="BK115" s="1743"/>
      <c r="BL115" s="859"/>
      <c r="BM115" s="3854"/>
      <c r="BN115" s="3854"/>
      <c r="BO115" s="3982"/>
      <c r="BP115" s="860"/>
      <c r="BQ115" s="861"/>
      <c r="BS115" s="1743"/>
      <c r="BT115" s="859"/>
      <c r="BU115" s="3854"/>
      <c r="BV115" s="3854"/>
      <c r="BW115" s="3982"/>
      <c r="BX115" s="860"/>
      <c r="BY115" s="861"/>
      <c r="BZ115" s="21"/>
      <c r="CA115" s="1743"/>
      <c r="CB115" s="859"/>
      <c r="CC115" s="3854"/>
      <c r="CD115" s="3854"/>
      <c r="CE115" s="3982"/>
      <c r="CF115" s="860"/>
      <c r="CG115" s="861"/>
      <c r="CH115" s="70"/>
      <c r="CI115" s="1743"/>
      <c r="CJ115" s="859"/>
      <c r="CK115" s="3854"/>
      <c r="CL115" s="3854"/>
      <c r="CM115" s="3982"/>
      <c r="CN115" s="860"/>
      <c r="CO115" s="861"/>
      <c r="CP115" s="70"/>
      <c r="CQ115" s="16"/>
      <c r="CR115" s="70"/>
      <c r="CS115" s="70"/>
      <c r="CT115" s="70"/>
    </row>
    <row r="116" spans="1:98" ht="24.95" customHeight="1" x14ac:dyDescent="0.2">
      <c r="A116" s="25"/>
      <c r="B116" s="25"/>
      <c r="C116" s="1636"/>
      <c r="D116" s="20"/>
      <c r="E116" s="20"/>
      <c r="F116" s="952"/>
      <c r="G116" s="979"/>
      <c r="H116" s="979"/>
      <c r="I116" s="136"/>
      <c r="J116" s="16"/>
      <c r="K116" s="1181"/>
      <c r="L116" s="35"/>
      <c r="M116" s="35"/>
      <c r="N116" s="21"/>
      <c r="O116" s="21"/>
      <c r="P116" s="21"/>
      <c r="Q116" s="21"/>
      <c r="R116" s="21"/>
      <c r="S116" s="21"/>
      <c r="T116" s="15"/>
      <c r="U116" s="21"/>
      <c r="V116" s="136"/>
      <c r="W116" s="136"/>
      <c r="X116" s="136"/>
      <c r="Y116" s="17"/>
      <c r="Z116" s="136"/>
      <c r="AA116" s="36"/>
      <c r="AB116" s="16"/>
      <c r="AC116" s="16"/>
      <c r="AD116" s="78"/>
      <c r="AE116" s="136"/>
      <c r="AF116" s="136"/>
      <c r="AG116" s="17"/>
      <c r="AH116" s="136"/>
      <c r="AI116" s="36"/>
      <c r="AJ116" s="16"/>
      <c r="AK116" s="16"/>
      <c r="AL116" s="78"/>
      <c r="AM116" s="136"/>
      <c r="AN116" s="136"/>
      <c r="AO116" s="17"/>
      <c r="AP116" s="136"/>
      <c r="AQ116" s="36"/>
      <c r="AR116" s="16"/>
      <c r="AS116" s="16"/>
      <c r="AT116" s="136"/>
      <c r="AU116" s="136"/>
      <c r="AV116" s="136"/>
      <c r="AW116" s="17"/>
      <c r="AX116" s="136"/>
      <c r="AY116" s="36"/>
      <c r="AZ116" s="16"/>
      <c r="BA116" s="16"/>
      <c r="BB116" s="78"/>
      <c r="BC116" s="136"/>
      <c r="BD116" s="136"/>
      <c r="BE116" s="17"/>
      <c r="BF116" s="136"/>
      <c r="BG116" s="36"/>
      <c r="BH116" s="16"/>
      <c r="BI116" s="16"/>
      <c r="BJ116" s="136"/>
      <c r="BK116" s="136"/>
      <c r="BL116" s="136"/>
      <c r="BM116" s="17"/>
      <c r="BN116" s="136"/>
      <c r="BO116" s="36"/>
      <c r="BP116" s="16"/>
      <c r="BQ116" s="16"/>
      <c r="BR116" s="78"/>
      <c r="BS116" s="136"/>
      <c r="BT116" s="136"/>
      <c r="BU116" s="17"/>
      <c r="BV116" s="136"/>
      <c r="BW116" s="36"/>
      <c r="BX116" s="16"/>
      <c r="BY116" s="16"/>
      <c r="BZ116" s="136"/>
      <c r="CA116" s="136"/>
      <c r="CB116" s="136"/>
      <c r="CC116" s="17"/>
      <c r="CD116" s="136"/>
      <c r="CE116" s="36"/>
      <c r="CF116" s="16"/>
      <c r="CG116" s="16"/>
      <c r="CH116" s="78"/>
      <c r="CI116" s="136"/>
      <c r="CJ116" s="136"/>
      <c r="CK116" s="17"/>
      <c r="CL116" s="136"/>
      <c r="CM116" s="36"/>
      <c r="CN116" s="16"/>
      <c r="CO116" s="16"/>
      <c r="CP116" s="78"/>
      <c r="CQ116" s="16"/>
      <c r="CR116" s="78"/>
      <c r="CS116" s="78"/>
      <c r="CT116" s="78"/>
    </row>
    <row r="117" spans="1:98" ht="15" hidden="1" customHeight="1" thickBot="1" x14ac:dyDescent="0.25">
      <c r="A117" s="25"/>
      <c r="B117" s="25"/>
      <c r="C117" s="1637"/>
      <c r="D117" s="20"/>
      <c r="E117" s="1638"/>
      <c r="F117" s="1840"/>
      <c r="G117" s="1840"/>
      <c r="H117" s="1840"/>
      <c r="I117" s="1639"/>
      <c r="J117" s="850"/>
      <c r="K117" s="1640"/>
      <c r="L117" s="1640"/>
      <c r="M117" s="1641"/>
      <c r="N117" s="129"/>
      <c r="O117" s="1751"/>
      <c r="P117" s="1752"/>
      <c r="Q117" s="1752"/>
      <c r="R117" s="1752"/>
      <c r="S117" s="1752"/>
      <c r="T117" s="1752"/>
      <c r="U117" s="1753"/>
      <c r="V117" s="129"/>
      <c r="W117" s="1647"/>
      <c r="X117" s="1639"/>
      <c r="Y117" s="1640"/>
      <c r="Z117" s="1639"/>
      <c r="AA117" s="1640"/>
      <c r="AB117" s="1640"/>
      <c r="AC117" s="1641"/>
      <c r="AD117" s="17"/>
      <c r="AE117" s="1647"/>
      <c r="AF117" s="1639"/>
      <c r="AG117" s="1640"/>
      <c r="AH117" s="1639"/>
      <c r="AI117" s="1640"/>
      <c r="AJ117" s="1640"/>
      <c r="AK117" s="1641"/>
      <c r="AL117" s="17"/>
      <c r="AM117" s="1647"/>
      <c r="AN117" s="1639"/>
      <c r="AO117" s="1640"/>
      <c r="AP117" s="1639"/>
      <c r="AQ117" s="1640"/>
      <c r="AR117" s="1640"/>
      <c r="AS117" s="1641"/>
      <c r="AT117" s="129"/>
      <c r="AU117" s="1647"/>
      <c r="AV117" s="1639"/>
      <c r="AW117" s="1640"/>
      <c r="AX117" s="1639"/>
      <c r="AY117" s="1640"/>
      <c r="AZ117" s="1640"/>
      <c r="BA117" s="1641"/>
      <c r="BB117" s="17"/>
      <c r="BC117" s="1647"/>
      <c r="BD117" s="1639"/>
      <c r="BE117" s="1640"/>
      <c r="BF117" s="1639"/>
      <c r="BG117" s="1640"/>
      <c r="BH117" s="1640"/>
      <c r="BI117" s="1641"/>
      <c r="BJ117" s="129"/>
      <c r="BK117" s="1647"/>
      <c r="BL117" s="1639"/>
      <c r="BM117" s="1640"/>
      <c r="BN117" s="1639"/>
      <c r="BO117" s="1640"/>
      <c r="BP117" s="1640"/>
      <c r="BQ117" s="1641"/>
      <c r="BR117" s="17"/>
      <c r="BS117" s="1647"/>
      <c r="BT117" s="1639"/>
      <c r="BU117" s="1640"/>
      <c r="BV117" s="1639"/>
      <c r="BW117" s="1640"/>
      <c r="BX117" s="1640"/>
      <c r="BY117" s="1641"/>
      <c r="BZ117" s="129"/>
      <c r="CA117" s="1647"/>
      <c r="CB117" s="1639"/>
      <c r="CC117" s="1640"/>
      <c r="CD117" s="1639"/>
      <c r="CE117" s="1640"/>
      <c r="CF117" s="1640"/>
      <c r="CG117" s="1641"/>
      <c r="CH117" s="17"/>
      <c r="CI117" s="1647"/>
      <c r="CJ117" s="1639"/>
      <c r="CK117" s="1640"/>
      <c r="CL117" s="1639"/>
      <c r="CM117" s="1640"/>
      <c r="CN117" s="1640"/>
      <c r="CO117" s="1641"/>
      <c r="CP117" s="17"/>
      <c r="CQ117" s="20"/>
      <c r="CR117" s="17"/>
      <c r="CS117" s="17"/>
      <c r="CT117" s="17"/>
    </row>
    <row r="118" spans="1:98" ht="8.1" customHeight="1" thickBot="1" x14ac:dyDescent="0.25">
      <c r="A118" s="25"/>
      <c r="B118" s="25"/>
      <c r="C118" s="1637"/>
      <c r="D118" s="20"/>
      <c r="E118" s="14"/>
      <c r="F118" s="996"/>
      <c r="G118" s="996"/>
      <c r="H118" s="996"/>
      <c r="I118" s="129"/>
      <c r="K118" s="14"/>
      <c r="L118" s="14"/>
      <c r="M118" s="14"/>
      <c r="N118" s="129"/>
      <c r="O118" s="129"/>
      <c r="P118" s="5971"/>
      <c r="Q118" s="5971"/>
      <c r="R118" s="5971"/>
      <c r="S118" s="5971"/>
      <c r="T118" s="15"/>
      <c r="U118" s="129"/>
      <c r="V118" s="129"/>
      <c r="W118" s="129"/>
      <c r="X118" s="129"/>
      <c r="Y118" s="14"/>
      <c r="Z118" s="129"/>
      <c r="AA118" s="14"/>
      <c r="AB118" s="14"/>
      <c r="AC118" s="14"/>
      <c r="AD118" s="15"/>
      <c r="AE118" s="129"/>
      <c r="AF118" s="129"/>
      <c r="AG118" s="14"/>
      <c r="AH118" s="129"/>
      <c r="AI118" s="14"/>
      <c r="AJ118" s="14"/>
      <c r="AK118" s="14"/>
      <c r="AL118" s="15"/>
      <c r="AM118" s="129"/>
      <c r="AN118" s="129"/>
      <c r="AO118" s="14"/>
      <c r="AP118" s="129"/>
      <c r="AQ118" s="14"/>
      <c r="AR118" s="14"/>
      <c r="AS118" s="14"/>
      <c r="AT118" s="129"/>
      <c r="AU118" s="129"/>
      <c r="AV118" s="129"/>
      <c r="AW118" s="14"/>
      <c r="AX118" s="129"/>
      <c r="AY118" s="14"/>
      <c r="AZ118" s="14"/>
      <c r="BA118" s="14"/>
      <c r="BB118" s="15"/>
      <c r="BC118" s="129"/>
      <c r="BD118" s="129"/>
      <c r="BE118" s="14"/>
      <c r="BF118" s="129"/>
      <c r="BG118" s="14"/>
      <c r="BH118" s="14"/>
      <c r="BI118" s="14"/>
      <c r="BJ118" s="129"/>
      <c r="BK118" s="129"/>
      <c r="BL118" s="129"/>
      <c r="BM118" s="14"/>
      <c r="BN118" s="129"/>
      <c r="BO118" s="14"/>
      <c r="BP118" s="14"/>
      <c r="BQ118" s="14"/>
      <c r="BR118" s="15"/>
      <c r="BS118" s="129"/>
      <c r="BT118" s="129"/>
      <c r="BU118" s="14"/>
      <c r="BV118" s="129"/>
      <c r="BW118" s="14"/>
      <c r="BX118" s="14"/>
      <c r="BY118" s="14"/>
      <c r="BZ118" s="129"/>
      <c r="CA118" s="129"/>
      <c r="CB118" s="129"/>
      <c r="CC118" s="14"/>
      <c r="CD118" s="129"/>
      <c r="CE118" s="14"/>
      <c r="CF118" s="14"/>
      <c r="CG118" s="14"/>
      <c r="CH118" s="15"/>
      <c r="CI118" s="129"/>
      <c r="CJ118" s="129"/>
      <c r="CK118" s="14"/>
      <c r="CL118" s="129"/>
      <c r="CM118" s="14"/>
      <c r="CN118" s="14"/>
      <c r="CO118" s="14"/>
      <c r="CP118" s="15"/>
      <c r="CQ118" s="20"/>
      <c r="CR118" s="15"/>
      <c r="CS118" s="15"/>
      <c r="CT118" s="15"/>
    </row>
    <row r="119" spans="1:98" ht="15" customHeight="1" thickBot="1" x14ac:dyDescent="0.25">
      <c r="A119" s="25"/>
      <c r="B119" s="25"/>
      <c r="C119" s="1636"/>
      <c r="D119" s="20"/>
      <c r="E119" s="1730"/>
      <c r="F119" s="2060"/>
      <c r="G119" s="1841"/>
      <c r="H119" s="1841"/>
      <c r="I119" s="1731"/>
      <c r="J119" s="1732"/>
      <c r="K119" s="1732"/>
      <c r="L119" s="1732"/>
      <c r="M119" s="1733"/>
      <c r="N119" s="21"/>
      <c r="O119" s="1720"/>
      <c r="P119" s="1721"/>
      <c r="Q119" s="1721"/>
      <c r="R119" s="1721"/>
      <c r="S119" s="1721"/>
      <c r="T119" s="1718"/>
      <c r="U119" s="1722"/>
      <c r="V119" s="21"/>
      <c r="W119" s="1642"/>
      <c r="X119" s="853"/>
      <c r="Y119" s="854"/>
      <c r="Z119" s="853"/>
      <c r="AA119" s="863"/>
      <c r="AB119" s="854"/>
      <c r="AC119" s="855"/>
      <c r="AD119" s="70"/>
      <c r="AE119" s="1642"/>
      <c r="AF119" s="853"/>
      <c r="AG119" s="854"/>
      <c r="AH119" s="853"/>
      <c r="AI119" s="863"/>
      <c r="AJ119" s="854"/>
      <c r="AK119" s="855"/>
      <c r="AL119" s="70"/>
      <c r="AM119" s="1642"/>
      <c r="AN119" s="853"/>
      <c r="AO119" s="854"/>
      <c r="AP119" s="853"/>
      <c r="AQ119" s="863"/>
      <c r="AR119" s="854"/>
      <c r="AS119" s="855"/>
      <c r="AT119" s="21"/>
      <c r="AU119" s="1642"/>
      <c r="AV119" s="853"/>
      <c r="AW119" s="854"/>
      <c r="AX119" s="853"/>
      <c r="AY119" s="863"/>
      <c r="AZ119" s="854"/>
      <c r="BA119" s="855"/>
      <c r="BB119" s="70"/>
      <c r="BC119" s="1642"/>
      <c r="BD119" s="853"/>
      <c r="BE119" s="854"/>
      <c r="BF119" s="853"/>
      <c r="BG119" s="863"/>
      <c r="BH119" s="854"/>
      <c r="BI119" s="855"/>
      <c r="BJ119" s="21"/>
      <c r="BK119" s="1642"/>
      <c r="BL119" s="853"/>
      <c r="BM119" s="854"/>
      <c r="BN119" s="853"/>
      <c r="BO119" s="863"/>
      <c r="BP119" s="854"/>
      <c r="BQ119" s="855"/>
      <c r="BS119" s="1642"/>
      <c r="BT119" s="853"/>
      <c r="BU119" s="854"/>
      <c r="BV119" s="853"/>
      <c r="BW119" s="863"/>
      <c r="BX119" s="854"/>
      <c r="BY119" s="855"/>
      <c r="BZ119" s="21"/>
      <c r="CA119" s="1642"/>
      <c r="CB119" s="853"/>
      <c r="CC119" s="854"/>
      <c r="CD119" s="853"/>
      <c r="CE119" s="863"/>
      <c r="CF119" s="854"/>
      <c r="CG119" s="855"/>
      <c r="CH119" s="70"/>
      <c r="CI119" s="1642"/>
      <c r="CJ119" s="853"/>
      <c r="CK119" s="854"/>
      <c r="CL119" s="853"/>
      <c r="CM119" s="863"/>
      <c r="CN119" s="854"/>
      <c r="CO119" s="855"/>
      <c r="CP119" s="70"/>
      <c r="CQ119" s="82"/>
      <c r="CR119" s="70"/>
      <c r="CS119" s="70"/>
      <c r="CT119" s="70"/>
    </row>
    <row r="120" spans="1:98" ht="24.95" customHeight="1" thickBot="1" x14ac:dyDescent="0.25">
      <c r="A120" s="25"/>
      <c r="B120" s="25"/>
      <c r="C120" s="1636"/>
      <c r="D120" s="20"/>
      <c r="E120" s="1734"/>
      <c r="F120" s="2058" t="str">
        <f>_Calcs!$L$82</f>
        <v>Støyende arbeider</v>
      </c>
      <c r="G120" s="1838"/>
      <c r="H120" s="1838"/>
      <c r="I120" s="1735"/>
      <c r="J120" s="2316" t="s">
        <v>149</v>
      </c>
      <c r="K120" s="2316"/>
      <c r="L120" s="1736"/>
      <c r="M120" s="1737"/>
      <c r="N120" s="21"/>
      <c r="O120" s="1723"/>
      <c r="P120" s="1724" t="str">
        <f>$P$60</f>
        <v>Påvirkning</v>
      </c>
      <c r="Q120" s="1724"/>
      <c r="R120" s="1724"/>
      <c r="S120" s="1724"/>
      <c r="T120" s="3976"/>
      <c r="U120" s="1725"/>
      <c r="V120" s="21"/>
      <c r="W120" s="1643"/>
      <c r="X120" s="680"/>
      <c r="Y120" s="3983"/>
      <c r="Z120" s="2314"/>
      <c r="AA120" s="1644" t="str">
        <f>IF(_Calcs!$JG$38=1,"✓","!")</f>
        <v>✓</v>
      </c>
      <c r="AB120" s="82"/>
      <c r="AC120" s="857"/>
      <c r="AD120" s="70"/>
      <c r="AE120" s="1643"/>
      <c r="AF120" s="680"/>
      <c r="AG120" s="3983"/>
      <c r="AH120" s="2314"/>
      <c r="AI120" s="1644" t="str">
        <f>IF(_Calcs!$JG$39=1,"✓","!")</f>
        <v>✓</v>
      </c>
      <c r="AJ120" s="82"/>
      <c r="AK120" s="857"/>
      <c r="AL120" s="70"/>
      <c r="AM120" s="1643"/>
      <c r="AN120" s="680"/>
      <c r="AO120" s="3983"/>
      <c r="AP120" s="2314"/>
      <c r="AQ120" s="1644" t="str">
        <f>IF(_Calcs!$JG$40=1,"✓","!")</f>
        <v>✓</v>
      </c>
      <c r="AR120" s="82"/>
      <c r="AS120" s="857"/>
      <c r="AT120" s="21"/>
      <c r="AU120" s="1643"/>
      <c r="AV120" s="680"/>
      <c r="AW120" s="3983"/>
      <c r="AX120" s="2314"/>
      <c r="AY120" s="1644" t="str">
        <f>IF(_Calcs!$JG$41=1,"✓","!")</f>
        <v>✓</v>
      </c>
      <c r="AZ120" s="82"/>
      <c r="BA120" s="857"/>
      <c r="BB120" s="70"/>
      <c r="BC120" s="1643"/>
      <c r="BD120" s="680"/>
      <c r="BE120" s="3983"/>
      <c r="BF120" s="2314"/>
      <c r="BG120" s="1644" t="str">
        <f>IF(_Calcs!$JG$42=1,"✓","!")</f>
        <v>✓</v>
      </c>
      <c r="BH120" s="82"/>
      <c r="BI120" s="857"/>
      <c r="BJ120" s="21"/>
      <c r="BK120" s="1643"/>
      <c r="BL120" s="680"/>
      <c r="BM120" s="3983"/>
      <c r="BN120" s="2314"/>
      <c r="BO120" s="1644" t="str">
        <f>IF(_Calcs!$JG$43=1,"✓","!")</f>
        <v>✓</v>
      </c>
      <c r="BP120" s="82"/>
      <c r="BQ120" s="857"/>
      <c r="BS120" s="1643"/>
      <c r="BT120" s="680"/>
      <c r="BU120" s="3983"/>
      <c r="BV120" s="2314"/>
      <c r="BW120" s="1644" t="str">
        <f>IF(_Calcs!$JG$44=1,"✓","!")</f>
        <v>✓</v>
      </c>
      <c r="BX120" s="82"/>
      <c r="BY120" s="857"/>
      <c r="BZ120" s="21"/>
      <c r="CA120" s="1643"/>
      <c r="CB120" s="680"/>
      <c r="CC120" s="3983"/>
      <c r="CD120" s="2314"/>
      <c r="CE120" s="1644" t="str">
        <f>IF(_Calcs!$JG$45=1,"✓","!")</f>
        <v>✓</v>
      </c>
      <c r="CF120" s="82"/>
      <c r="CG120" s="857"/>
      <c r="CH120" s="70"/>
      <c r="CI120" s="1643"/>
      <c r="CJ120" s="680"/>
      <c r="CK120" s="3983"/>
      <c r="CL120" s="2314"/>
      <c r="CM120" s="1644" t="str">
        <f>IF(_Calcs!$JG$46=1,"✓","!")</f>
        <v>✓</v>
      </c>
      <c r="CN120" s="82"/>
      <c r="CO120" s="857"/>
      <c r="CP120" s="70"/>
      <c r="CQ120" s="82"/>
      <c r="CR120" s="70"/>
      <c r="CS120" s="70"/>
      <c r="CT120" s="70"/>
    </row>
    <row r="121" spans="1:98" ht="15" customHeight="1" thickBot="1" x14ac:dyDescent="0.25">
      <c r="A121" s="25"/>
      <c r="B121" s="25"/>
      <c r="C121" s="1636"/>
      <c r="D121" s="20"/>
      <c r="E121" s="1738"/>
      <c r="F121" s="2059"/>
      <c r="G121" s="1839"/>
      <c r="H121" s="1839"/>
      <c r="I121" s="1739"/>
      <c r="J121" s="1740"/>
      <c r="K121" s="1740"/>
      <c r="L121" s="1741"/>
      <c r="M121" s="1742"/>
      <c r="N121" s="21"/>
      <c r="O121" s="1723"/>
      <c r="P121" s="1724"/>
      <c r="Q121" s="1724"/>
      <c r="R121" s="1724"/>
      <c r="S121" s="1724"/>
      <c r="T121" s="5453"/>
      <c r="U121" s="1725"/>
      <c r="V121" s="21"/>
      <c r="W121" s="1743"/>
      <c r="X121" s="859"/>
      <c r="Y121" s="1870"/>
      <c r="Z121" s="859"/>
      <c r="AA121" s="1871"/>
      <c r="AB121" s="860"/>
      <c r="AC121" s="861"/>
      <c r="AD121" s="70"/>
      <c r="AE121" s="1743"/>
      <c r="AF121" s="859"/>
      <c r="AG121" s="1870"/>
      <c r="AH121" s="859"/>
      <c r="AI121" s="1871"/>
      <c r="AJ121" s="860"/>
      <c r="AK121" s="861"/>
      <c r="AL121" s="70"/>
      <c r="AM121" s="1743"/>
      <c r="AN121" s="859"/>
      <c r="AO121" s="1870"/>
      <c r="AP121" s="859"/>
      <c r="AQ121" s="1871"/>
      <c r="AR121" s="860"/>
      <c r="AS121" s="861"/>
      <c r="AT121" s="21"/>
      <c r="AU121" s="1743"/>
      <c r="AV121" s="859"/>
      <c r="AW121" s="1870"/>
      <c r="AX121" s="859"/>
      <c r="AY121" s="1871"/>
      <c r="AZ121" s="860"/>
      <c r="BA121" s="861"/>
      <c r="BB121" s="70"/>
      <c r="BC121" s="1743"/>
      <c r="BD121" s="859"/>
      <c r="BE121" s="1870"/>
      <c r="BF121" s="859"/>
      <c r="BG121" s="1871"/>
      <c r="BH121" s="860"/>
      <c r="BI121" s="861"/>
      <c r="BJ121" s="21"/>
      <c r="BK121" s="1743"/>
      <c r="BL121" s="859"/>
      <c r="BM121" s="1870"/>
      <c r="BN121" s="859"/>
      <c r="BO121" s="1871"/>
      <c r="BP121" s="860"/>
      <c r="BQ121" s="861"/>
      <c r="BS121" s="1743"/>
      <c r="BT121" s="859"/>
      <c r="BU121" s="1870"/>
      <c r="BV121" s="859"/>
      <c r="BW121" s="1871"/>
      <c r="BX121" s="860"/>
      <c r="BY121" s="861"/>
      <c r="BZ121" s="21"/>
      <c r="CA121" s="1743"/>
      <c r="CB121" s="859"/>
      <c r="CC121" s="1870"/>
      <c r="CD121" s="859"/>
      <c r="CE121" s="1871"/>
      <c r="CF121" s="860"/>
      <c r="CG121" s="861"/>
      <c r="CH121" s="70"/>
      <c r="CI121" s="1743"/>
      <c r="CJ121" s="859"/>
      <c r="CK121" s="1870"/>
      <c r="CL121" s="859"/>
      <c r="CM121" s="1871"/>
      <c r="CN121" s="860"/>
      <c r="CO121" s="861"/>
      <c r="CP121" s="70"/>
      <c r="CQ121" s="82"/>
      <c r="CR121" s="70"/>
      <c r="CS121" s="70"/>
      <c r="CT121" s="70"/>
    </row>
    <row r="122" spans="1:98" ht="5.0999999999999996" customHeight="1" thickBot="1" x14ac:dyDescent="0.25">
      <c r="A122" s="25"/>
      <c r="B122" s="25"/>
      <c r="C122" s="1636"/>
      <c r="D122" s="20"/>
      <c r="E122" s="20"/>
      <c r="F122" s="952"/>
      <c r="G122" s="979"/>
      <c r="H122" s="979"/>
      <c r="I122" s="136"/>
      <c r="J122" s="1181"/>
      <c r="K122" s="1181"/>
      <c r="L122" s="35"/>
      <c r="M122" s="35"/>
      <c r="N122" s="21"/>
      <c r="O122" s="1723"/>
      <c r="P122" s="1724"/>
      <c r="Q122" s="1724"/>
      <c r="R122" s="1724"/>
      <c r="S122" s="1724"/>
      <c r="T122" s="5453"/>
      <c r="U122" s="1725"/>
      <c r="V122" s="21"/>
      <c r="W122" s="1643"/>
      <c r="X122" s="680"/>
      <c r="Y122" s="83"/>
      <c r="Z122" s="680"/>
      <c r="AA122" s="81"/>
      <c r="AB122" s="82"/>
      <c r="AC122" s="857"/>
      <c r="AD122" s="70"/>
      <c r="AE122" s="1643"/>
      <c r="AF122" s="680"/>
      <c r="AG122" s="83"/>
      <c r="AH122" s="680"/>
      <c r="AI122" s="81"/>
      <c r="AJ122" s="82"/>
      <c r="AK122" s="857"/>
      <c r="AL122" s="70"/>
      <c r="AM122" s="1643"/>
      <c r="AN122" s="680"/>
      <c r="AO122" s="83"/>
      <c r="AP122" s="680"/>
      <c r="AQ122" s="81"/>
      <c r="AR122" s="82"/>
      <c r="AS122" s="857"/>
      <c r="AT122" s="21"/>
      <c r="AU122" s="1643"/>
      <c r="AV122" s="680"/>
      <c r="AW122" s="83"/>
      <c r="AX122" s="680"/>
      <c r="AY122" s="81"/>
      <c r="AZ122" s="82"/>
      <c r="BA122" s="857"/>
      <c r="BB122" s="70"/>
      <c r="BC122" s="1643"/>
      <c r="BD122" s="680"/>
      <c r="BE122" s="83"/>
      <c r="BF122" s="680"/>
      <c r="BG122" s="81"/>
      <c r="BH122" s="82"/>
      <c r="BI122" s="857"/>
      <c r="BJ122" s="21"/>
      <c r="BK122" s="1643"/>
      <c r="BL122" s="680"/>
      <c r="BM122" s="83"/>
      <c r="BN122" s="680"/>
      <c r="BO122" s="81"/>
      <c r="BP122" s="82"/>
      <c r="BQ122" s="857"/>
      <c r="BS122" s="1643"/>
      <c r="BT122" s="680"/>
      <c r="BU122" s="83"/>
      <c r="BV122" s="680"/>
      <c r="BW122" s="81"/>
      <c r="BX122" s="82"/>
      <c r="BY122" s="857"/>
      <c r="BZ122" s="21"/>
      <c r="CA122" s="1643"/>
      <c r="CB122" s="680"/>
      <c r="CC122" s="83"/>
      <c r="CD122" s="680"/>
      <c r="CE122" s="81"/>
      <c r="CF122" s="82"/>
      <c r="CG122" s="857"/>
      <c r="CH122" s="70"/>
      <c r="CI122" s="1643"/>
      <c r="CJ122" s="680"/>
      <c r="CK122" s="83"/>
      <c r="CL122" s="680"/>
      <c r="CM122" s="81"/>
      <c r="CN122" s="82"/>
      <c r="CO122" s="857"/>
      <c r="CP122" s="70"/>
      <c r="CQ122" s="16"/>
      <c r="CR122" s="70"/>
      <c r="CS122" s="70"/>
      <c r="CT122" s="70"/>
    </row>
    <row r="123" spans="1:98" ht="8.1" customHeight="1" x14ac:dyDescent="0.2">
      <c r="A123" s="25"/>
      <c r="B123" s="25"/>
      <c r="C123" s="1636"/>
      <c r="D123" s="20"/>
      <c r="E123" s="20"/>
      <c r="F123" s="952"/>
      <c r="G123" s="979"/>
      <c r="H123" s="979"/>
      <c r="I123" s="136"/>
      <c r="J123" s="16"/>
      <c r="K123" s="1181"/>
      <c r="L123" s="35"/>
      <c r="M123" s="35"/>
      <c r="N123" s="21"/>
      <c r="O123" s="1723"/>
      <c r="P123" s="6636" t="str">
        <f>_Calcs!$N$80</f>
        <v>Tidjustering</v>
      </c>
      <c r="Q123" s="1724"/>
      <c r="R123" s="1724"/>
      <c r="S123" s="1724"/>
      <c r="T123" s="6636" t="s">
        <v>146</v>
      </c>
      <c r="U123" s="1725"/>
      <c r="V123" s="21"/>
      <c r="W123" s="1643"/>
      <c r="X123" s="680"/>
      <c r="Y123" s="6629"/>
      <c r="Z123" s="680"/>
      <c r="AA123" s="6631" t="str">
        <f>IF(_Calcs!$JH$38=1,"✓","!")</f>
        <v>✓</v>
      </c>
      <c r="AB123" s="82"/>
      <c r="AC123" s="857"/>
      <c r="AD123" s="70"/>
      <c r="AE123" s="1643"/>
      <c r="AF123" s="680"/>
      <c r="AG123" s="6629"/>
      <c r="AH123" s="680"/>
      <c r="AI123" s="6631" t="str">
        <f>IF(_Calcs!$JH$39=1,"✓","!")</f>
        <v>✓</v>
      </c>
      <c r="AJ123" s="82"/>
      <c r="AK123" s="857"/>
      <c r="AL123" s="70"/>
      <c r="AM123" s="1643"/>
      <c r="AN123" s="680"/>
      <c r="AO123" s="6629"/>
      <c r="AP123" s="680"/>
      <c r="AQ123" s="6631" t="str">
        <f>IF(_Calcs!$JH$40=1,"✓","!")</f>
        <v>✓</v>
      </c>
      <c r="AR123" s="82"/>
      <c r="AS123" s="857"/>
      <c r="AT123" s="21"/>
      <c r="AU123" s="1643"/>
      <c r="AV123" s="680"/>
      <c r="AW123" s="6629"/>
      <c r="AX123" s="680"/>
      <c r="AY123" s="6631" t="str">
        <f>IF(_Calcs!$JH$41=1,"✓","!")</f>
        <v>✓</v>
      </c>
      <c r="AZ123" s="82"/>
      <c r="BA123" s="857"/>
      <c r="BB123" s="70"/>
      <c r="BC123" s="1643"/>
      <c r="BD123" s="680"/>
      <c r="BE123" s="6629"/>
      <c r="BF123" s="680"/>
      <c r="BG123" s="6631" t="str">
        <f>IF(_Calcs!$JH$42=1,"✓","!")</f>
        <v>✓</v>
      </c>
      <c r="BH123" s="82"/>
      <c r="BI123" s="857"/>
      <c r="BJ123" s="21"/>
      <c r="BK123" s="1643"/>
      <c r="BL123" s="680"/>
      <c r="BM123" s="6629"/>
      <c r="BN123" s="680"/>
      <c r="BO123" s="6631" t="str">
        <f>IF(_Calcs!$JH$43=1,"✓","!")</f>
        <v>✓</v>
      </c>
      <c r="BP123" s="82"/>
      <c r="BQ123" s="857"/>
      <c r="BS123" s="1643"/>
      <c r="BT123" s="680"/>
      <c r="BU123" s="6629"/>
      <c r="BV123" s="680"/>
      <c r="BW123" s="6631" t="str">
        <f>IF(_Calcs!$JH$44=1,"✓","!")</f>
        <v>✓</v>
      </c>
      <c r="BX123" s="82"/>
      <c r="BY123" s="857"/>
      <c r="BZ123" s="21"/>
      <c r="CA123" s="1643"/>
      <c r="CB123" s="680"/>
      <c r="CC123" s="6629"/>
      <c r="CD123" s="680"/>
      <c r="CE123" s="6631" t="str">
        <f>IF(_Calcs!$JH$45=1,"✓","!")</f>
        <v>✓</v>
      </c>
      <c r="CF123" s="82"/>
      <c r="CG123" s="857"/>
      <c r="CH123" s="70"/>
      <c r="CI123" s="1643"/>
      <c r="CJ123" s="680"/>
      <c r="CK123" s="6629"/>
      <c r="CL123" s="680"/>
      <c r="CM123" s="6631" t="str">
        <f>IF(_Calcs!$JH$46=1,"✓","!")</f>
        <v>✓</v>
      </c>
      <c r="CN123" s="82"/>
      <c r="CO123" s="857"/>
      <c r="CP123" s="70"/>
      <c r="CQ123" s="16"/>
      <c r="CR123" s="70"/>
      <c r="CS123" s="70"/>
      <c r="CT123" s="70"/>
    </row>
    <row r="124" spans="1:98" ht="12" customHeight="1" thickBot="1" x14ac:dyDescent="0.25">
      <c r="A124" s="25"/>
      <c r="B124" s="25"/>
      <c r="C124" s="1636"/>
      <c r="D124" s="20"/>
      <c r="E124" s="3978"/>
      <c r="F124" s="3984"/>
      <c r="G124" s="3985"/>
      <c r="H124" s="3985"/>
      <c r="I124" s="3978"/>
      <c r="J124" s="3980"/>
      <c r="K124" s="3978"/>
      <c r="L124" s="3978"/>
      <c r="M124" s="3978"/>
      <c r="N124" s="21"/>
      <c r="O124" s="1723"/>
      <c r="P124" s="6636"/>
      <c r="Q124" s="1724"/>
      <c r="R124" s="1724"/>
      <c r="S124" s="1724"/>
      <c r="T124" s="6636"/>
      <c r="U124" s="1725"/>
      <c r="V124" s="21"/>
      <c r="W124" s="1643"/>
      <c r="X124" s="680"/>
      <c r="Y124" s="6630"/>
      <c r="Z124" s="680"/>
      <c r="AA124" s="6632"/>
      <c r="AB124" s="82"/>
      <c r="AC124" s="857"/>
      <c r="AD124" s="70"/>
      <c r="AE124" s="1643"/>
      <c r="AF124" s="680"/>
      <c r="AG124" s="6630"/>
      <c r="AH124" s="680"/>
      <c r="AI124" s="6632"/>
      <c r="AJ124" s="82"/>
      <c r="AK124" s="857"/>
      <c r="AL124" s="70"/>
      <c r="AM124" s="1643"/>
      <c r="AN124" s="680"/>
      <c r="AO124" s="6630"/>
      <c r="AP124" s="680"/>
      <c r="AQ124" s="6632"/>
      <c r="AR124" s="82"/>
      <c r="AS124" s="857"/>
      <c r="AT124" s="21"/>
      <c r="AU124" s="1643"/>
      <c r="AV124" s="680"/>
      <c r="AW124" s="6630"/>
      <c r="AX124" s="680"/>
      <c r="AY124" s="6632"/>
      <c r="AZ124" s="82"/>
      <c r="BA124" s="857"/>
      <c r="BB124" s="70"/>
      <c r="BC124" s="1643"/>
      <c r="BD124" s="680"/>
      <c r="BE124" s="6630"/>
      <c r="BF124" s="680"/>
      <c r="BG124" s="6632"/>
      <c r="BH124" s="82"/>
      <c r="BI124" s="857"/>
      <c r="BJ124" s="21"/>
      <c r="BK124" s="1643"/>
      <c r="BL124" s="680"/>
      <c r="BM124" s="6630"/>
      <c r="BN124" s="680"/>
      <c r="BO124" s="6632"/>
      <c r="BP124" s="82"/>
      <c r="BQ124" s="857"/>
      <c r="BS124" s="1643"/>
      <c r="BT124" s="680"/>
      <c r="BU124" s="6630"/>
      <c r="BV124" s="680"/>
      <c r="BW124" s="6632"/>
      <c r="BX124" s="82"/>
      <c r="BY124" s="857"/>
      <c r="BZ124" s="21"/>
      <c r="CA124" s="1643"/>
      <c r="CB124" s="680"/>
      <c r="CC124" s="6630"/>
      <c r="CD124" s="680"/>
      <c r="CE124" s="6632"/>
      <c r="CF124" s="82"/>
      <c r="CG124" s="857"/>
      <c r="CH124" s="70"/>
      <c r="CI124" s="1643"/>
      <c r="CJ124" s="680"/>
      <c r="CK124" s="6630"/>
      <c r="CL124" s="680"/>
      <c r="CM124" s="6632"/>
      <c r="CN124" s="82"/>
      <c r="CO124" s="857"/>
      <c r="CP124" s="70"/>
      <c r="CQ124" s="16"/>
      <c r="CR124" s="70"/>
      <c r="CS124" s="70"/>
      <c r="CT124" s="70"/>
    </row>
    <row r="125" spans="1:98" ht="15" customHeight="1" thickBot="1" x14ac:dyDescent="0.25">
      <c r="A125" s="25"/>
      <c r="B125" s="25"/>
      <c r="C125" s="1636"/>
      <c r="D125" s="20"/>
      <c r="E125" s="3978"/>
      <c r="F125" s="3984"/>
      <c r="G125" s="3985"/>
      <c r="H125" s="3985"/>
      <c r="I125" s="3978"/>
      <c r="J125" s="3980"/>
      <c r="K125" s="3978"/>
      <c r="L125" s="3978"/>
      <c r="M125" s="3978"/>
      <c r="N125" s="21"/>
      <c r="O125" s="1723"/>
      <c r="P125" s="1724"/>
      <c r="Q125" s="1724"/>
      <c r="R125" s="1724"/>
      <c r="S125" s="1724"/>
      <c r="T125" s="5453"/>
      <c r="U125" s="1725"/>
      <c r="V125" s="21"/>
      <c r="W125" s="1643"/>
      <c r="X125" s="680"/>
      <c r="Y125" s="83"/>
      <c r="Z125" s="680"/>
      <c r="AA125" s="81"/>
      <c r="AB125" s="82"/>
      <c r="AC125" s="857"/>
      <c r="AD125" s="70"/>
      <c r="AE125" s="1643"/>
      <c r="AF125" s="680"/>
      <c r="AG125" s="83"/>
      <c r="AH125" s="680"/>
      <c r="AI125" s="81"/>
      <c r="AJ125" s="82"/>
      <c r="AK125" s="857"/>
      <c r="AL125" s="70"/>
      <c r="AM125" s="1643"/>
      <c r="AN125" s="680"/>
      <c r="AO125" s="83"/>
      <c r="AP125" s="680"/>
      <c r="AQ125" s="81"/>
      <c r="AR125" s="82"/>
      <c r="AS125" s="857"/>
      <c r="AT125" s="21"/>
      <c r="AU125" s="1643"/>
      <c r="AV125" s="680"/>
      <c r="AW125" s="83"/>
      <c r="AX125" s="680"/>
      <c r="AY125" s="81"/>
      <c r="AZ125" s="82"/>
      <c r="BA125" s="857"/>
      <c r="BB125" s="70"/>
      <c r="BC125" s="1643"/>
      <c r="BD125" s="680"/>
      <c r="BE125" s="83"/>
      <c r="BF125" s="680"/>
      <c r="BG125" s="81"/>
      <c r="BH125" s="82"/>
      <c r="BI125" s="857"/>
      <c r="BJ125" s="21"/>
      <c r="BK125" s="1643"/>
      <c r="BL125" s="680"/>
      <c r="BM125" s="83"/>
      <c r="BN125" s="680"/>
      <c r="BO125" s="81"/>
      <c r="BP125" s="82"/>
      <c r="BQ125" s="857"/>
      <c r="BS125" s="1643"/>
      <c r="BT125" s="680"/>
      <c r="BU125" s="83"/>
      <c r="BV125" s="680"/>
      <c r="BW125" s="81"/>
      <c r="BX125" s="82"/>
      <c r="BY125" s="857"/>
      <c r="BZ125" s="21"/>
      <c r="CA125" s="1643"/>
      <c r="CB125" s="680"/>
      <c r="CC125" s="83"/>
      <c r="CD125" s="680"/>
      <c r="CE125" s="81"/>
      <c r="CF125" s="82"/>
      <c r="CG125" s="857"/>
      <c r="CH125" s="70"/>
      <c r="CI125" s="1643"/>
      <c r="CJ125" s="680"/>
      <c r="CK125" s="83"/>
      <c r="CL125" s="680"/>
      <c r="CM125" s="81"/>
      <c r="CN125" s="82"/>
      <c r="CO125" s="857"/>
      <c r="CP125" s="70"/>
      <c r="CQ125" s="16"/>
      <c r="CR125" s="70"/>
      <c r="CS125" s="70"/>
      <c r="CT125" s="70"/>
    </row>
    <row r="126" spans="1:98" ht="20.100000000000001" customHeight="1" thickBot="1" x14ac:dyDescent="0.25">
      <c r="A126" s="25"/>
      <c r="B126" s="25"/>
      <c r="C126" s="1636"/>
      <c r="D126" s="20"/>
      <c r="E126" s="3978"/>
      <c r="F126" s="3984"/>
      <c r="G126" s="3985"/>
      <c r="H126" s="3985"/>
      <c r="I126" s="3978"/>
      <c r="J126" s="3980"/>
      <c r="K126" s="3978"/>
      <c r="L126" s="3978"/>
      <c r="M126" s="3978"/>
      <c r="N126" s="21"/>
      <c r="O126" s="1723"/>
      <c r="P126" s="1724" t="str">
        <f>_Calcs!$N$79</f>
        <v>Begrunnelse</v>
      </c>
      <c r="Q126" s="1724"/>
      <c r="R126" s="1724"/>
      <c r="S126" s="1724"/>
      <c r="T126" s="1719"/>
      <c r="U126" s="1725"/>
      <c r="V126" s="21"/>
      <c r="W126" s="1643"/>
      <c r="X126" s="680"/>
      <c r="Y126" s="3981"/>
      <c r="Z126" s="2315"/>
      <c r="AA126" s="1644" t="str">
        <f>IF(_Calcs!$JI$38=1,"✓","!")</f>
        <v>✓</v>
      </c>
      <c r="AB126" s="82"/>
      <c r="AC126" s="857"/>
      <c r="AD126" s="70"/>
      <c r="AE126" s="1643"/>
      <c r="AF126" s="680"/>
      <c r="AG126" s="3981"/>
      <c r="AH126" s="2315"/>
      <c r="AI126" s="1644" t="str">
        <f>IF(_Calcs!$JI$39=1,"✓","!")</f>
        <v>✓</v>
      </c>
      <c r="AJ126" s="82"/>
      <c r="AK126" s="857"/>
      <c r="AL126" s="70"/>
      <c r="AM126" s="1643"/>
      <c r="AN126" s="680"/>
      <c r="AO126" s="3981"/>
      <c r="AP126" s="2315"/>
      <c r="AQ126" s="1644" t="str">
        <f>IF(_Calcs!$JI$40=1,"✓","!")</f>
        <v>✓</v>
      </c>
      <c r="AR126" s="82"/>
      <c r="AS126" s="857"/>
      <c r="AT126" s="21"/>
      <c r="AU126" s="1643"/>
      <c r="AV126" s="680"/>
      <c r="AW126" s="3981"/>
      <c r="AX126" s="2315"/>
      <c r="AY126" s="1644" t="str">
        <f>IF(_Calcs!$JI$41=1,"✓","!")</f>
        <v>✓</v>
      </c>
      <c r="AZ126" s="82"/>
      <c r="BA126" s="857"/>
      <c r="BB126" s="70"/>
      <c r="BC126" s="1643"/>
      <c r="BD126" s="680"/>
      <c r="BE126" s="3981"/>
      <c r="BF126" s="2315"/>
      <c r="BG126" s="1644" t="str">
        <f>IF(_Calcs!$JI$42=1,"✓","!")</f>
        <v>✓</v>
      </c>
      <c r="BH126" s="82"/>
      <c r="BI126" s="857"/>
      <c r="BJ126" s="21"/>
      <c r="BK126" s="1643"/>
      <c r="BL126" s="680"/>
      <c r="BM126" s="3981"/>
      <c r="BN126" s="2315"/>
      <c r="BO126" s="1644" t="str">
        <f>IF(_Calcs!$JI$43=1,"✓","!")</f>
        <v>✓</v>
      </c>
      <c r="BP126" s="82"/>
      <c r="BQ126" s="857"/>
      <c r="BS126" s="1643"/>
      <c r="BT126" s="680"/>
      <c r="BU126" s="3981"/>
      <c r="BV126" s="2315"/>
      <c r="BW126" s="1644" t="str">
        <f>IF(_Calcs!$JI$44=1,"✓","!")</f>
        <v>✓</v>
      </c>
      <c r="BX126" s="82"/>
      <c r="BY126" s="857"/>
      <c r="BZ126" s="21"/>
      <c r="CA126" s="1643"/>
      <c r="CB126" s="680"/>
      <c r="CC126" s="3981"/>
      <c r="CD126" s="2315"/>
      <c r="CE126" s="1644" t="str">
        <f>IF(_Calcs!$JI$45=1,"✓","!")</f>
        <v>✓</v>
      </c>
      <c r="CF126" s="82"/>
      <c r="CG126" s="857"/>
      <c r="CH126" s="70"/>
      <c r="CI126" s="1643"/>
      <c r="CJ126" s="680"/>
      <c r="CK126" s="3981"/>
      <c r="CL126" s="2315"/>
      <c r="CM126" s="1644" t="str">
        <f>IF(_Calcs!$JI$46=1,"✓","!")</f>
        <v>✓</v>
      </c>
      <c r="CN126" s="82"/>
      <c r="CO126" s="857"/>
      <c r="CP126" s="70"/>
      <c r="CQ126" s="16"/>
      <c r="CR126" s="70"/>
      <c r="CS126" s="70"/>
      <c r="CT126" s="70"/>
    </row>
    <row r="127" spans="1:98" ht="15" customHeight="1" thickBot="1" x14ac:dyDescent="0.25">
      <c r="A127" s="25"/>
      <c r="B127" s="25"/>
      <c r="C127" s="1636"/>
      <c r="D127" s="20"/>
      <c r="E127" s="3978"/>
      <c r="F127" s="3984"/>
      <c r="G127" s="3985"/>
      <c r="H127" s="3985"/>
      <c r="I127" s="3978"/>
      <c r="J127" s="3980"/>
      <c r="K127" s="3978"/>
      <c r="L127" s="3978"/>
      <c r="M127" s="3978"/>
      <c r="N127" s="21"/>
      <c r="O127" s="1726"/>
      <c r="P127" s="1727"/>
      <c r="Q127" s="1727"/>
      <c r="R127" s="1727"/>
      <c r="S127" s="1727"/>
      <c r="T127" s="1728"/>
      <c r="U127" s="1729"/>
      <c r="V127" s="21"/>
      <c r="W127" s="1743"/>
      <c r="X127" s="859"/>
      <c r="Y127" s="3854"/>
      <c r="Z127" s="3854"/>
      <c r="AA127" s="3982"/>
      <c r="AB127" s="860"/>
      <c r="AC127" s="861"/>
      <c r="AD127" s="70"/>
      <c r="AE127" s="1743"/>
      <c r="AF127" s="859"/>
      <c r="AG127" s="3854"/>
      <c r="AH127" s="3854"/>
      <c r="AI127" s="3982"/>
      <c r="AJ127" s="860"/>
      <c r="AK127" s="861"/>
      <c r="AL127" s="70"/>
      <c r="AM127" s="1743"/>
      <c r="AN127" s="859"/>
      <c r="AO127" s="3854"/>
      <c r="AP127" s="3854"/>
      <c r="AQ127" s="3982"/>
      <c r="AR127" s="860"/>
      <c r="AS127" s="861"/>
      <c r="AT127" s="21"/>
      <c r="AU127" s="1743"/>
      <c r="AV127" s="859"/>
      <c r="AW127" s="3854"/>
      <c r="AX127" s="3854"/>
      <c r="AY127" s="3982"/>
      <c r="AZ127" s="860"/>
      <c r="BA127" s="861"/>
      <c r="BB127" s="70"/>
      <c r="BC127" s="1743"/>
      <c r="BD127" s="859"/>
      <c r="BE127" s="3854"/>
      <c r="BF127" s="3854"/>
      <c r="BG127" s="3982"/>
      <c r="BH127" s="860"/>
      <c r="BI127" s="861"/>
      <c r="BJ127" s="21"/>
      <c r="BK127" s="1743"/>
      <c r="BL127" s="859"/>
      <c r="BM127" s="3854"/>
      <c r="BN127" s="3854"/>
      <c r="BO127" s="3982"/>
      <c r="BP127" s="860"/>
      <c r="BQ127" s="861"/>
      <c r="BS127" s="1743"/>
      <c r="BT127" s="859"/>
      <c r="BU127" s="3854"/>
      <c r="BV127" s="3854"/>
      <c r="BW127" s="3982"/>
      <c r="BX127" s="860"/>
      <c r="BY127" s="861"/>
      <c r="BZ127" s="21"/>
      <c r="CA127" s="1743"/>
      <c r="CB127" s="859"/>
      <c r="CC127" s="3854"/>
      <c r="CD127" s="3854"/>
      <c r="CE127" s="3982"/>
      <c r="CF127" s="860"/>
      <c r="CG127" s="861"/>
      <c r="CH127" s="70"/>
      <c r="CI127" s="1743"/>
      <c r="CJ127" s="859"/>
      <c r="CK127" s="3854"/>
      <c r="CL127" s="3854"/>
      <c r="CM127" s="3982"/>
      <c r="CN127" s="860"/>
      <c r="CO127" s="861"/>
      <c r="CP127" s="70"/>
      <c r="CQ127" s="16"/>
      <c r="CR127" s="70"/>
      <c r="CS127" s="70"/>
      <c r="CT127" s="70"/>
    </row>
    <row r="128" spans="1:98" ht="24.95" customHeight="1" x14ac:dyDescent="0.2">
      <c r="A128" s="25"/>
      <c r="B128" s="25"/>
      <c r="C128" s="1636"/>
      <c r="D128" s="20"/>
      <c r="E128" s="20"/>
      <c r="F128" s="952"/>
      <c r="G128" s="979"/>
      <c r="H128" s="979"/>
      <c r="I128" s="136"/>
      <c r="J128" s="16"/>
      <c r="K128" s="1181"/>
      <c r="L128" s="35"/>
      <c r="M128" s="35"/>
      <c r="N128" s="21"/>
      <c r="O128" s="21"/>
      <c r="P128" s="21"/>
      <c r="Q128" s="21"/>
      <c r="R128" s="21"/>
      <c r="S128" s="21"/>
      <c r="T128" s="15"/>
      <c r="U128" s="21"/>
      <c r="V128" s="136"/>
      <c r="W128" s="136"/>
      <c r="X128" s="136"/>
      <c r="Y128" s="136"/>
      <c r="Z128" s="136"/>
      <c r="AA128" s="136"/>
      <c r="AB128" s="16"/>
      <c r="AC128" s="16"/>
      <c r="AD128" s="78"/>
      <c r="AE128" s="136"/>
      <c r="AF128" s="136"/>
      <c r="AG128" s="136"/>
      <c r="AH128" s="136"/>
      <c r="AI128" s="136"/>
      <c r="AJ128" s="16"/>
      <c r="AK128" s="16"/>
      <c r="AL128" s="78"/>
      <c r="AM128" s="136"/>
      <c r="AN128" s="136"/>
      <c r="AO128" s="136"/>
      <c r="AP128" s="136"/>
      <c r="AQ128" s="136"/>
      <c r="AR128" s="16"/>
      <c r="AS128" s="16"/>
      <c r="AT128" s="136"/>
      <c r="AU128" s="136"/>
      <c r="AV128" s="136"/>
      <c r="AW128" s="136"/>
      <c r="AX128" s="136"/>
      <c r="AY128" s="136"/>
      <c r="AZ128" s="16"/>
      <c r="BA128" s="16"/>
      <c r="BB128" s="78"/>
      <c r="BC128" s="136"/>
      <c r="BD128" s="136"/>
      <c r="BE128" s="136"/>
      <c r="BF128" s="136"/>
      <c r="BG128" s="136"/>
      <c r="BH128" s="16"/>
      <c r="BI128" s="16"/>
      <c r="BJ128" s="136"/>
      <c r="BK128" s="136"/>
      <c r="BL128" s="136"/>
      <c r="BM128" s="136"/>
      <c r="BN128" s="136"/>
      <c r="BO128" s="136"/>
      <c r="BP128" s="16"/>
      <c r="BQ128" s="16"/>
      <c r="BR128" s="78"/>
      <c r="BS128" s="136"/>
      <c r="BT128" s="136"/>
      <c r="BU128" s="136"/>
      <c r="BV128" s="136"/>
      <c r="BW128" s="136"/>
      <c r="BX128" s="16"/>
      <c r="BY128" s="16"/>
      <c r="BZ128" s="136"/>
      <c r="CA128" s="136"/>
      <c r="CB128" s="136"/>
      <c r="CC128" s="136"/>
      <c r="CD128" s="136"/>
      <c r="CE128" s="136"/>
      <c r="CF128" s="16"/>
      <c r="CG128" s="16"/>
      <c r="CH128" s="78"/>
      <c r="CI128" s="136"/>
      <c r="CJ128" s="136"/>
      <c r="CK128" s="136"/>
      <c r="CL128" s="136"/>
      <c r="CM128" s="136"/>
      <c r="CN128" s="16"/>
      <c r="CO128" s="16"/>
      <c r="CP128" s="78"/>
      <c r="CQ128" s="16"/>
      <c r="CR128" s="78"/>
      <c r="CS128" s="78"/>
      <c r="CT128" s="78"/>
    </row>
    <row r="129" spans="1:98" ht="15" hidden="1" customHeight="1" thickBot="1" x14ac:dyDescent="0.25">
      <c r="A129" s="25"/>
      <c r="B129" s="25"/>
      <c r="C129" s="1637"/>
      <c r="D129" s="20"/>
      <c r="E129" s="1638"/>
      <c r="F129" s="1840"/>
      <c r="G129" s="1840"/>
      <c r="H129" s="1840"/>
      <c r="I129" s="1639"/>
      <c r="J129" s="850"/>
      <c r="K129" s="1640"/>
      <c r="L129" s="1640"/>
      <c r="M129" s="1641"/>
      <c r="N129" s="129"/>
      <c r="O129" s="1751"/>
      <c r="P129" s="1752"/>
      <c r="Q129" s="1752"/>
      <c r="R129" s="1752"/>
      <c r="S129" s="1752"/>
      <c r="T129" s="1752"/>
      <c r="U129" s="1753"/>
      <c r="V129" s="129"/>
      <c r="W129" s="1647"/>
      <c r="X129" s="1639"/>
      <c r="Y129" s="1640"/>
      <c r="Z129" s="1639"/>
      <c r="AA129" s="1640"/>
      <c r="AB129" s="1640"/>
      <c r="AC129" s="1641"/>
      <c r="AD129" s="17"/>
      <c r="AE129" s="1647"/>
      <c r="AF129" s="1639"/>
      <c r="AG129" s="1640"/>
      <c r="AH129" s="1639"/>
      <c r="AI129" s="1640"/>
      <c r="AJ129" s="1640"/>
      <c r="AK129" s="1641"/>
      <c r="AL129" s="17"/>
      <c r="AM129" s="1647"/>
      <c r="AN129" s="1639"/>
      <c r="AO129" s="1640"/>
      <c r="AP129" s="1639"/>
      <c r="AQ129" s="1640"/>
      <c r="AR129" s="1640"/>
      <c r="AS129" s="1641"/>
      <c r="AT129" s="129"/>
      <c r="AU129" s="1647"/>
      <c r="AV129" s="1639"/>
      <c r="AW129" s="1640"/>
      <c r="AX129" s="1639"/>
      <c r="AY129" s="1640"/>
      <c r="AZ129" s="1640"/>
      <c r="BA129" s="1641"/>
      <c r="BB129" s="17"/>
      <c r="BC129" s="1647"/>
      <c r="BD129" s="1639"/>
      <c r="BE129" s="1640"/>
      <c r="BF129" s="1639"/>
      <c r="BG129" s="1640"/>
      <c r="BH129" s="1640"/>
      <c r="BI129" s="1641"/>
      <c r="BJ129" s="129"/>
      <c r="BK129" s="1647"/>
      <c r="BL129" s="1639"/>
      <c r="BM129" s="1640"/>
      <c r="BN129" s="1639"/>
      <c r="BO129" s="1640"/>
      <c r="BP129" s="1640"/>
      <c r="BQ129" s="1641"/>
      <c r="BR129" s="17"/>
      <c r="BS129" s="1647"/>
      <c r="BT129" s="1639"/>
      <c r="BU129" s="1640"/>
      <c r="BV129" s="1639"/>
      <c r="BW129" s="1640"/>
      <c r="BX129" s="1640"/>
      <c r="BY129" s="1641"/>
      <c r="BZ129" s="129"/>
      <c r="CA129" s="1647"/>
      <c r="CB129" s="1639"/>
      <c r="CC129" s="1640"/>
      <c r="CD129" s="1639"/>
      <c r="CE129" s="1640"/>
      <c r="CF129" s="1640"/>
      <c r="CG129" s="1641"/>
      <c r="CH129" s="17"/>
      <c r="CI129" s="1647"/>
      <c r="CJ129" s="1639"/>
      <c r="CK129" s="1640"/>
      <c r="CL129" s="1639"/>
      <c r="CM129" s="1640"/>
      <c r="CN129" s="1640"/>
      <c r="CO129" s="1641"/>
      <c r="CP129" s="17"/>
      <c r="CQ129" s="20"/>
      <c r="CR129" s="17"/>
      <c r="CS129" s="17"/>
      <c r="CT129" s="17"/>
    </row>
    <row r="130" spans="1:98" ht="8.1" customHeight="1" thickBot="1" x14ac:dyDescent="0.25">
      <c r="A130" s="25"/>
      <c r="B130" s="25"/>
      <c r="C130" s="1637"/>
      <c r="D130" s="20"/>
      <c r="E130" s="14"/>
      <c r="F130" s="996"/>
      <c r="G130" s="996"/>
      <c r="H130" s="996"/>
      <c r="I130" s="129"/>
      <c r="K130" s="14"/>
      <c r="L130" s="14"/>
      <c r="M130" s="14"/>
      <c r="N130" s="129"/>
      <c r="O130" s="129"/>
      <c r="P130" s="5971"/>
      <c r="Q130" s="5971"/>
      <c r="R130" s="5971"/>
      <c r="S130" s="5971"/>
      <c r="T130" s="15"/>
      <c r="U130" s="129"/>
      <c r="V130" s="129"/>
      <c r="W130" s="129"/>
      <c r="X130" s="129"/>
      <c r="Y130" s="14"/>
      <c r="Z130" s="129"/>
      <c r="AA130" s="14"/>
      <c r="AB130" s="14"/>
      <c r="AC130" s="14"/>
      <c r="AD130" s="15"/>
      <c r="AE130" s="129"/>
      <c r="AF130" s="129"/>
      <c r="AG130" s="14"/>
      <c r="AH130" s="129"/>
      <c r="AI130" s="14"/>
      <c r="AJ130" s="14"/>
      <c r="AK130" s="14"/>
      <c r="AL130" s="15"/>
      <c r="AM130" s="129"/>
      <c r="AN130" s="129"/>
      <c r="AO130" s="14"/>
      <c r="AP130" s="129"/>
      <c r="AQ130" s="14"/>
      <c r="AR130" s="14"/>
      <c r="AS130" s="14"/>
      <c r="AT130" s="129"/>
      <c r="AU130" s="129"/>
      <c r="AV130" s="129"/>
      <c r="AW130" s="14"/>
      <c r="AX130" s="129"/>
      <c r="AY130" s="14"/>
      <c r="AZ130" s="14"/>
      <c r="BA130" s="14"/>
      <c r="BB130" s="15"/>
      <c r="BC130" s="129"/>
      <c r="BD130" s="129"/>
      <c r="BE130" s="14"/>
      <c r="BF130" s="129"/>
      <c r="BG130" s="14"/>
      <c r="BH130" s="14"/>
      <c r="BI130" s="14"/>
      <c r="BJ130" s="129"/>
      <c r="BK130" s="129"/>
      <c r="BL130" s="129"/>
      <c r="BM130" s="14"/>
      <c r="BN130" s="129"/>
      <c r="BO130" s="14"/>
      <c r="BP130" s="14"/>
      <c r="BQ130" s="14"/>
      <c r="BR130" s="15"/>
      <c r="BS130" s="129"/>
      <c r="BT130" s="129"/>
      <c r="BU130" s="14"/>
      <c r="BV130" s="129"/>
      <c r="BW130" s="14"/>
      <c r="BX130" s="14"/>
      <c r="BY130" s="14"/>
      <c r="BZ130" s="129"/>
      <c r="CA130" s="129"/>
      <c r="CB130" s="129"/>
      <c r="CC130" s="14"/>
      <c r="CD130" s="129"/>
      <c r="CE130" s="14"/>
      <c r="CF130" s="14"/>
      <c r="CG130" s="14"/>
      <c r="CH130" s="15"/>
      <c r="CI130" s="129"/>
      <c r="CJ130" s="129"/>
      <c r="CK130" s="14"/>
      <c r="CL130" s="129"/>
      <c r="CM130" s="14"/>
      <c r="CN130" s="14"/>
      <c r="CO130" s="14"/>
      <c r="CP130" s="15"/>
      <c r="CQ130" s="20"/>
      <c r="CR130" s="15"/>
      <c r="CS130" s="15"/>
      <c r="CT130" s="15"/>
    </row>
    <row r="131" spans="1:98" ht="15" customHeight="1" thickBot="1" x14ac:dyDescent="0.25">
      <c r="A131" s="25"/>
      <c r="B131" s="25"/>
      <c r="C131" s="1636"/>
      <c r="D131" s="20"/>
      <c r="E131" s="1730"/>
      <c r="F131" s="2060"/>
      <c r="G131" s="1841"/>
      <c r="H131" s="1841"/>
      <c r="I131" s="1731"/>
      <c r="J131" s="1732"/>
      <c r="K131" s="1732"/>
      <c r="L131" s="1732"/>
      <c r="M131" s="1733"/>
      <c r="N131" s="21"/>
      <c r="O131" s="1720"/>
      <c r="P131" s="1721"/>
      <c r="Q131" s="1721"/>
      <c r="R131" s="1721"/>
      <c r="S131" s="1721"/>
      <c r="T131" s="1718"/>
      <c r="U131" s="1722"/>
      <c r="V131" s="21"/>
      <c r="W131" s="1642"/>
      <c r="X131" s="853"/>
      <c r="Y131" s="854"/>
      <c r="Z131" s="853"/>
      <c r="AA131" s="863"/>
      <c r="AB131" s="854"/>
      <c r="AC131" s="855"/>
      <c r="AD131" s="70"/>
      <c r="AE131" s="1642"/>
      <c r="AF131" s="853"/>
      <c r="AG131" s="854"/>
      <c r="AH131" s="853"/>
      <c r="AI131" s="863"/>
      <c r="AJ131" s="854"/>
      <c r="AK131" s="855"/>
      <c r="AL131" s="70"/>
      <c r="AM131" s="1642"/>
      <c r="AN131" s="853"/>
      <c r="AO131" s="854"/>
      <c r="AP131" s="853"/>
      <c r="AQ131" s="863"/>
      <c r="AR131" s="854"/>
      <c r="AS131" s="855"/>
      <c r="AT131" s="21"/>
      <c r="AU131" s="1642"/>
      <c r="AV131" s="853"/>
      <c r="AW131" s="854"/>
      <c r="AX131" s="853"/>
      <c r="AY131" s="863"/>
      <c r="AZ131" s="854"/>
      <c r="BA131" s="855"/>
      <c r="BB131" s="70"/>
      <c r="BC131" s="1642"/>
      <c r="BD131" s="853"/>
      <c r="BE131" s="854"/>
      <c r="BF131" s="853"/>
      <c r="BG131" s="863"/>
      <c r="BH131" s="854"/>
      <c r="BI131" s="855"/>
      <c r="BJ131" s="21"/>
      <c r="BK131" s="1642"/>
      <c r="BL131" s="853"/>
      <c r="BM131" s="854"/>
      <c r="BN131" s="853"/>
      <c r="BO131" s="863"/>
      <c r="BP131" s="854"/>
      <c r="BQ131" s="855"/>
      <c r="BS131" s="1642"/>
      <c r="BT131" s="853"/>
      <c r="BU131" s="854"/>
      <c r="BV131" s="853"/>
      <c r="BW131" s="863"/>
      <c r="BX131" s="854"/>
      <c r="BY131" s="855"/>
      <c r="BZ131" s="21"/>
      <c r="CA131" s="1642"/>
      <c r="CB131" s="853"/>
      <c r="CC131" s="854"/>
      <c r="CD131" s="853"/>
      <c r="CE131" s="863"/>
      <c r="CF131" s="854"/>
      <c r="CG131" s="855"/>
      <c r="CH131" s="70"/>
      <c r="CI131" s="1642"/>
      <c r="CJ131" s="853"/>
      <c r="CK131" s="854"/>
      <c r="CL131" s="853"/>
      <c r="CM131" s="863"/>
      <c r="CN131" s="854"/>
      <c r="CO131" s="855"/>
      <c r="CP131" s="70"/>
      <c r="CQ131" s="82"/>
      <c r="CR131" s="70"/>
      <c r="CS131" s="70"/>
      <c r="CT131" s="70"/>
    </row>
    <row r="132" spans="1:98" ht="24.95" customHeight="1" thickBot="1" x14ac:dyDescent="0.25">
      <c r="A132" s="25"/>
      <c r="B132" s="25"/>
      <c r="C132" s="1636"/>
      <c r="D132" s="20"/>
      <c r="E132" s="1734"/>
      <c r="F132" s="2058" t="str">
        <f>_Calcs!$L$83</f>
        <v>Andre faktorer</v>
      </c>
      <c r="G132" s="1838"/>
      <c r="H132" s="1838"/>
      <c r="I132" s="1735"/>
      <c r="J132" s="2316" t="s">
        <v>149</v>
      </c>
      <c r="K132" s="2316"/>
      <c r="L132" s="1736"/>
      <c r="M132" s="1737"/>
      <c r="N132" s="21"/>
      <c r="O132" s="1723"/>
      <c r="P132" s="1724" t="str">
        <f>$P$60</f>
        <v>Påvirkning</v>
      </c>
      <c r="Q132" s="1724"/>
      <c r="R132" s="1724"/>
      <c r="S132" s="1724"/>
      <c r="T132" s="3976"/>
      <c r="U132" s="1725"/>
      <c r="V132" s="21"/>
      <c r="W132" s="1643"/>
      <c r="X132" s="680"/>
      <c r="Y132" s="3983"/>
      <c r="Z132" s="2314"/>
      <c r="AA132" s="1644" t="str">
        <f>IF(_Calcs!$JJ$38=1,"✓","!")</f>
        <v>✓</v>
      </c>
      <c r="AB132" s="82"/>
      <c r="AC132" s="857"/>
      <c r="AD132" s="70"/>
      <c r="AE132" s="1643"/>
      <c r="AF132" s="680"/>
      <c r="AG132" s="3983"/>
      <c r="AH132" s="2314"/>
      <c r="AI132" s="1644" t="str">
        <f>IF(_Calcs!$JJ$39=1,"✓","!")</f>
        <v>✓</v>
      </c>
      <c r="AJ132" s="82"/>
      <c r="AK132" s="857"/>
      <c r="AL132" s="70"/>
      <c r="AM132" s="1643"/>
      <c r="AN132" s="680"/>
      <c r="AO132" s="3983"/>
      <c r="AP132" s="2314"/>
      <c r="AQ132" s="1644" t="str">
        <f>IF(_Calcs!$JJ$40=1,"✓","!")</f>
        <v>✓</v>
      </c>
      <c r="AR132" s="82"/>
      <c r="AS132" s="857"/>
      <c r="AT132" s="21"/>
      <c r="AU132" s="1643"/>
      <c r="AV132" s="680"/>
      <c r="AW132" s="3983"/>
      <c r="AX132" s="2314"/>
      <c r="AY132" s="1644" t="str">
        <f>IF(_Calcs!$JJ$41=1,"✓","!")</f>
        <v>✓</v>
      </c>
      <c r="AZ132" s="82"/>
      <c r="BA132" s="857"/>
      <c r="BB132" s="70"/>
      <c r="BC132" s="1643"/>
      <c r="BD132" s="680"/>
      <c r="BE132" s="3983"/>
      <c r="BF132" s="2314"/>
      <c r="BG132" s="1644" t="str">
        <f>IF(_Calcs!$JJ$42=1,"✓","!")</f>
        <v>✓</v>
      </c>
      <c r="BH132" s="82"/>
      <c r="BI132" s="857"/>
      <c r="BJ132" s="21"/>
      <c r="BK132" s="1643"/>
      <c r="BL132" s="680"/>
      <c r="BM132" s="3983"/>
      <c r="BN132" s="2314"/>
      <c r="BO132" s="1644" t="str">
        <f>IF(_Calcs!$JJ$43=1,"✓","!")</f>
        <v>✓</v>
      </c>
      <c r="BP132" s="82"/>
      <c r="BQ132" s="857"/>
      <c r="BS132" s="1643"/>
      <c r="BT132" s="680"/>
      <c r="BU132" s="3983"/>
      <c r="BV132" s="2314"/>
      <c r="BW132" s="1644" t="str">
        <f>IF(_Calcs!$JJ$44=1,"✓","!")</f>
        <v>✓</v>
      </c>
      <c r="BX132" s="82"/>
      <c r="BY132" s="857"/>
      <c r="BZ132" s="21"/>
      <c r="CA132" s="1643"/>
      <c r="CB132" s="680"/>
      <c r="CC132" s="3983"/>
      <c r="CD132" s="2314"/>
      <c r="CE132" s="1644" t="str">
        <f>IF(_Calcs!$JJ$45=1,"✓","!")</f>
        <v>✓</v>
      </c>
      <c r="CF132" s="82"/>
      <c r="CG132" s="857"/>
      <c r="CH132" s="70"/>
      <c r="CI132" s="1643"/>
      <c r="CJ132" s="680"/>
      <c r="CK132" s="3983"/>
      <c r="CL132" s="2314"/>
      <c r="CM132" s="1644" t="str">
        <f>IF(_Calcs!$JJ$46=1,"✓","!")</f>
        <v>✓</v>
      </c>
      <c r="CN132" s="82"/>
      <c r="CO132" s="857"/>
      <c r="CP132" s="70"/>
      <c r="CQ132" s="82"/>
      <c r="CR132" s="70"/>
      <c r="CS132" s="70"/>
      <c r="CT132" s="70"/>
    </row>
    <row r="133" spans="1:98" ht="15" customHeight="1" thickBot="1" x14ac:dyDescent="0.25">
      <c r="A133" s="25"/>
      <c r="B133" s="25"/>
      <c r="C133" s="1636"/>
      <c r="D133" s="20"/>
      <c r="E133" s="1738"/>
      <c r="F133" s="2061"/>
      <c r="G133" s="1739"/>
      <c r="H133" s="1739"/>
      <c r="I133" s="1739"/>
      <c r="J133" s="1740"/>
      <c r="K133" s="1740"/>
      <c r="L133" s="1741"/>
      <c r="M133" s="1742"/>
      <c r="N133" s="21"/>
      <c r="O133" s="1723"/>
      <c r="P133" s="1724"/>
      <c r="Q133" s="1724"/>
      <c r="R133" s="1724"/>
      <c r="S133" s="1724"/>
      <c r="T133" s="5453"/>
      <c r="U133" s="1725"/>
      <c r="V133" s="21"/>
      <c r="W133" s="1743"/>
      <c r="X133" s="859"/>
      <c r="Y133" s="1870"/>
      <c r="Z133" s="859"/>
      <c r="AA133" s="1871"/>
      <c r="AB133" s="860"/>
      <c r="AC133" s="861"/>
      <c r="AD133" s="70"/>
      <c r="AE133" s="1743"/>
      <c r="AF133" s="859"/>
      <c r="AG133" s="1870"/>
      <c r="AH133" s="859"/>
      <c r="AI133" s="1871"/>
      <c r="AJ133" s="860"/>
      <c r="AK133" s="861"/>
      <c r="AL133" s="70"/>
      <c r="AM133" s="1743"/>
      <c r="AN133" s="859"/>
      <c r="AO133" s="1870"/>
      <c r="AP133" s="859"/>
      <c r="AQ133" s="1871"/>
      <c r="AR133" s="860"/>
      <c r="AS133" s="861"/>
      <c r="AT133" s="21"/>
      <c r="AU133" s="1743"/>
      <c r="AV133" s="859"/>
      <c r="AW133" s="1870"/>
      <c r="AX133" s="859"/>
      <c r="AY133" s="1871"/>
      <c r="AZ133" s="860"/>
      <c r="BA133" s="861"/>
      <c r="BB133" s="70"/>
      <c r="BC133" s="1743"/>
      <c r="BD133" s="859"/>
      <c r="BE133" s="1870"/>
      <c r="BF133" s="859"/>
      <c r="BG133" s="1871"/>
      <c r="BH133" s="860"/>
      <c r="BI133" s="861"/>
      <c r="BJ133" s="21"/>
      <c r="BK133" s="1743"/>
      <c r="BL133" s="859"/>
      <c r="BM133" s="1870"/>
      <c r="BN133" s="859"/>
      <c r="BO133" s="1871"/>
      <c r="BP133" s="860"/>
      <c r="BQ133" s="861"/>
      <c r="BS133" s="1743"/>
      <c r="BT133" s="859"/>
      <c r="BU133" s="1870"/>
      <c r="BV133" s="859"/>
      <c r="BW133" s="1871"/>
      <c r="BX133" s="860"/>
      <c r="BY133" s="861"/>
      <c r="BZ133" s="21"/>
      <c r="CA133" s="1743"/>
      <c r="CB133" s="859"/>
      <c r="CC133" s="1870"/>
      <c r="CD133" s="859"/>
      <c r="CE133" s="1871"/>
      <c r="CF133" s="860"/>
      <c r="CG133" s="861"/>
      <c r="CH133" s="70"/>
      <c r="CI133" s="1743"/>
      <c r="CJ133" s="859"/>
      <c r="CK133" s="1870"/>
      <c r="CL133" s="859"/>
      <c r="CM133" s="1871"/>
      <c r="CN133" s="860"/>
      <c r="CO133" s="861"/>
      <c r="CP133" s="70"/>
      <c r="CQ133" s="82"/>
      <c r="CR133" s="70"/>
      <c r="CS133" s="70"/>
      <c r="CT133" s="70"/>
    </row>
    <row r="134" spans="1:98" ht="5.0999999999999996" customHeight="1" thickBot="1" x14ac:dyDescent="0.25">
      <c r="A134" s="25"/>
      <c r="B134" s="25"/>
      <c r="C134" s="1636"/>
      <c r="D134" s="20"/>
      <c r="E134" s="20"/>
      <c r="F134" s="17"/>
      <c r="G134" s="136"/>
      <c r="H134" s="136"/>
      <c r="I134" s="136"/>
      <c r="J134" s="1181"/>
      <c r="K134" s="1181"/>
      <c r="L134" s="35"/>
      <c r="M134" s="35"/>
      <c r="N134" s="21"/>
      <c r="O134" s="1723"/>
      <c r="P134" s="1724"/>
      <c r="Q134" s="1724"/>
      <c r="R134" s="1724"/>
      <c r="S134" s="1724"/>
      <c r="T134" s="5453"/>
      <c r="U134" s="1725"/>
      <c r="V134" s="21"/>
      <c r="W134" s="1643"/>
      <c r="X134" s="680"/>
      <c r="Y134" s="83"/>
      <c r="Z134" s="680"/>
      <c r="AA134" s="81"/>
      <c r="AB134" s="82"/>
      <c r="AC134" s="857"/>
      <c r="AD134" s="70"/>
      <c r="AE134" s="1643"/>
      <c r="AF134" s="680"/>
      <c r="AG134" s="83"/>
      <c r="AH134" s="680"/>
      <c r="AI134" s="81"/>
      <c r="AJ134" s="82"/>
      <c r="AK134" s="857"/>
      <c r="AL134" s="70"/>
      <c r="AM134" s="1643"/>
      <c r="AN134" s="680"/>
      <c r="AO134" s="83"/>
      <c r="AP134" s="680"/>
      <c r="AQ134" s="81"/>
      <c r="AR134" s="82"/>
      <c r="AS134" s="857"/>
      <c r="AT134" s="21"/>
      <c r="AU134" s="1643"/>
      <c r="AV134" s="680"/>
      <c r="AW134" s="83"/>
      <c r="AX134" s="680"/>
      <c r="AY134" s="81"/>
      <c r="AZ134" s="82"/>
      <c r="BA134" s="857"/>
      <c r="BB134" s="70"/>
      <c r="BC134" s="1643"/>
      <c r="BD134" s="680"/>
      <c r="BE134" s="83"/>
      <c r="BF134" s="680"/>
      <c r="BG134" s="81"/>
      <c r="BH134" s="82"/>
      <c r="BI134" s="857"/>
      <c r="BJ134" s="21"/>
      <c r="BK134" s="1643"/>
      <c r="BL134" s="680"/>
      <c r="BM134" s="83"/>
      <c r="BN134" s="680"/>
      <c r="BO134" s="81"/>
      <c r="BP134" s="82"/>
      <c r="BQ134" s="857"/>
      <c r="BS134" s="1643"/>
      <c r="BT134" s="680"/>
      <c r="BU134" s="83"/>
      <c r="BV134" s="680"/>
      <c r="BW134" s="81"/>
      <c r="BX134" s="82"/>
      <c r="BY134" s="857"/>
      <c r="BZ134" s="21"/>
      <c r="CA134" s="1643"/>
      <c r="CB134" s="680"/>
      <c r="CC134" s="83"/>
      <c r="CD134" s="680"/>
      <c r="CE134" s="81"/>
      <c r="CF134" s="82"/>
      <c r="CG134" s="857"/>
      <c r="CH134" s="70"/>
      <c r="CI134" s="1643"/>
      <c r="CJ134" s="680"/>
      <c r="CK134" s="83"/>
      <c r="CL134" s="680"/>
      <c r="CM134" s="81"/>
      <c r="CN134" s="82"/>
      <c r="CO134" s="857"/>
      <c r="CP134" s="70"/>
      <c r="CQ134" s="16"/>
      <c r="CR134" s="70"/>
      <c r="CS134" s="70"/>
      <c r="CT134" s="70"/>
    </row>
    <row r="135" spans="1:98" ht="8.1" customHeight="1" x14ac:dyDescent="0.2">
      <c r="A135" s="25"/>
      <c r="B135" s="25"/>
      <c r="C135" s="1636"/>
      <c r="D135" s="20"/>
      <c r="E135" s="20"/>
      <c r="F135" s="17"/>
      <c r="G135" s="136"/>
      <c r="H135" s="136"/>
      <c r="I135" s="136"/>
      <c r="J135" s="16"/>
      <c r="K135" s="1181"/>
      <c r="L135" s="35"/>
      <c r="M135" s="35"/>
      <c r="N135" s="21"/>
      <c r="O135" s="1723"/>
      <c r="P135" s="6636" t="str">
        <f>_Calcs!$N$80</f>
        <v>Tidjustering</v>
      </c>
      <c r="Q135" s="1724"/>
      <c r="R135" s="1724"/>
      <c r="S135" s="1724"/>
      <c r="T135" s="6636" t="s">
        <v>146</v>
      </c>
      <c r="U135" s="1725"/>
      <c r="V135" s="21"/>
      <c r="W135" s="1643"/>
      <c r="X135" s="680"/>
      <c r="Y135" s="6629"/>
      <c r="Z135" s="680"/>
      <c r="AA135" s="6631" t="str">
        <f>IF(_Calcs!$JK$38=1,"✓","!")</f>
        <v>✓</v>
      </c>
      <c r="AB135" s="82"/>
      <c r="AC135" s="857"/>
      <c r="AD135" s="70"/>
      <c r="AE135" s="1643"/>
      <c r="AF135" s="680"/>
      <c r="AG135" s="6629"/>
      <c r="AH135" s="680"/>
      <c r="AI135" s="6631" t="str">
        <f>IF(_Calcs!$JK$39=1,"✓","!")</f>
        <v>✓</v>
      </c>
      <c r="AJ135" s="82"/>
      <c r="AK135" s="857"/>
      <c r="AL135" s="70"/>
      <c r="AM135" s="1643"/>
      <c r="AN135" s="680"/>
      <c r="AO135" s="6629"/>
      <c r="AP135" s="680"/>
      <c r="AQ135" s="6631" t="str">
        <f>IF(_Calcs!$JK$40=1,"✓","!")</f>
        <v>✓</v>
      </c>
      <c r="AR135" s="82"/>
      <c r="AS135" s="857"/>
      <c r="AT135" s="21"/>
      <c r="AU135" s="1643"/>
      <c r="AV135" s="680"/>
      <c r="AW135" s="6629"/>
      <c r="AX135" s="680"/>
      <c r="AY135" s="6631" t="str">
        <f>IF(_Calcs!$JK$41=1,"✓","!")</f>
        <v>✓</v>
      </c>
      <c r="AZ135" s="82"/>
      <c r="BA135" s="857"/>
      <c r="BB135" s="70"/>
      <c r="BC135" s="1643"/>
      <c r="BD135" s="680"/>
      <c r="BE135" s="6629"/>
      <c r="BF135" s="680"/>
      <c r="BG135" s="6631" t="str">
        <f>IF(_Calcs!$JK$42=1,"✓","!")</f>
        <v>✓</v>
      </c>
      <c r="BH135" s="82"/>
      <c r="BI135" s="857"/>
      <c r="BJ135" s="21"/>
      <c r="BK135" s="1643"/>
      <c r="BL135" s="680"/>
      <c r="BM135" s="6629"/>
      <c r="BN135" s="680"/>
      <c r="BO135" s="6631" t="str">
        <f>IF(_Calcs!$JK$43=1,"✓","!")</f>
        <v>✓</v>
      </c>
      <c r="BP135" s="82"/>
      <c r="BQ135" s="857"/>
      <c r="BS135" s="1643"/>
      <c r="BT135" s="680"/>
      <c r="BU135" s="6629"/>
      <c r="BV135" s="680"/>
      <c r="BW135" s="6631" t="str">
        <f>IF(_Calcs!$JK$44=1,"✓","!")</f>
        <v>✓</v>
      </c>
      <c r="BX135" s="82"/>
      <c r="BY135" s="857"/>
      <c r="BZ135" s="21"/>
      <c r="CA135" s="1643"/>
      <c r="CB135" s="680"/>
      <c r="CC135" s="6629"/>
      <c r="CD135" s="680"/>
      <c r="CE135" s="6631" t="str">
        <f>IF(_Calcs!$JK$45=1,"✓","!")</f>
        <v>✓</v>
      </c>
      <c r="CF135" s="82"/>
      <c r="CG135" s="857"/>
      <c r="CH135" s="70"/>
      <c r="CI135" s="1643"/>
      <c r="CJ135" s="680"/>
      <c r="CK135" s="6629"/>
      <c r="CL135" s="680"/>
      <c r="CM135" s="6631" t="str">
        <f>IF(_Calcs!$JK$46=1,"✓","!")</f>
        <v>✓</v>
      </c>
      <c r="CN135" s="82"/>
      <c r="CO135" s="857"/>
      <c r="CP135" s="70"/>
      <c r="CQ135" s="16"/>
      <c r="CR135" s="70"/>
      <c r="CS135" s="70"/>
      <c r="CT135" s="70"/>
    </row>
    <row r="136" spans="1:98" ht="12" customHeight="1" thickBot="1" x14ac:dyDescent="0.25">
      <c r="A136" s="25"/>
      <c r="B136" s="25"/>
      <c r="C136" s="1636"/>
      <c r="D136" s="20"/>
      <c r="E136" s="3978"/>
      <c r="F136" s="3979"/>
      <c r="G136" s="3978"/>
      <c r="H136" s="3978"/>
      <c r="I136" s="3978"/>
      <c r="J136" s="3980"/>
      <c r="K136" s="3978"/>
      <c r="L136" s="3978"/>
      <c r="M136" s="3978"/>
      <c r="N136" s="21"/>
      <c r="O136" s="1723"/>
      <c r="P136" s="6636"/>
      <c r="Q136" s="1724"/>
      <c r="R136" s="1724"/>
      <c r="S136" s="1724"/>
      <c r="T136" s="6636"/>
      <c r="U136" s="1725"/>
      <c r="V136" s="21"/>
      <c r="W136" s="1643"/>
      <c r="X136" s="680"/>
      <c r="Y136" s="6630"/>
      <c r="Z136" s="680"/>
      <c r="AA136" s="6632"/>
      <c r="AB136" s="82"/>
      <c r="AC136" s="857"/>
      <c r="AD136" s="70"/>
      <c r="AE136" s="1643"/>
      <c r="AF136" s="680"/>
      <c r="AG136" s="6630"/>
      <c r="AH136" s="680"/>
      <c r="AI136" s="6632"/>
      <c r="AJ136" s="82"/>
      <c r="AK136" s="857"/>
      <c r="AL136" s="70"/>
      <c r="AM136" s="1643"/>
      <c r="AN136" s="680"/>
      <c r="AO136" s="6630"/>
      <c r="AP136" s="680"/>
      <c r="AQ136" s="6632"/>
      <c r="AR136" s="82"/>
      <c r="AS136" s="857"/>
      <c r="AT136" s="21"/>
      <c r="AU136" s="1643"/>
      <c r="AV136" s="680"/>
      <c r="AW136" s="6630"/>
      <c r="AX136" s="680"/>
      <c r="AY136" s="6632"/>
      <c r="AZ136" s="82"/>
      <c r="BA136" s="857"/>
      <c r="BB136" s="70"/>
      <c r="BC136" s="1643"/>
      <c r="BD136" s="680"/>
      <c r="BE136" s="6630"/>
      <c r="BF136" s="680"/>
      <c r="BG136" s="6632"/>
      <c r="BH136" s="82"/>
      <c r="BI136" s="857"/>
      <c r="BJ136" s="21"/>
      <c r="BK136" s="1643"/>
      <c r="BL136" s="680"/>
      <c r="BM136" s="6630"/>
      <c r="BN136" s="680"/>
      <c r="BO136" s="6632"/>
      <c r="BP136" s="82"/>
      <c r="BQ136" s="857"/>
      <c r="BS136" s="1643"/>
      <c r="BT136" s="680"/>
      <c r="BU136" s="6630"/>
      <c r="BV136" s="680"/>
      <c r="BW136" s="6632"/>
      <c r="BX136" s="82"/>
      <c r="BY136" s="857"/>
      <c r="BZ136" s="21"/>
      <c r="CA136" s="1643"/>
      <c r="CB136" s="680"/>
      <c r="CC136" s="6630"/>
      <c r="CD136" s="680"/>
      <c r="CE136" s="6632"/>
      <c r="CF136" s="82"/>
      <c r="CG136" s="857"/>
      <c r="CH136" s="70"/>
      <c r="CI136" s="1643"/>
      <c r="CJ136" s="680"/>
      <c r="CK136" s="6630"/>
      <c r="CL136" s="680"/>
      <c r="CM136" s="6632"/>
      <c r="CN136" s="82"/>
      <c r="CO136" s="857"/>
      <c r="CP136" s="70"/>
      <c r="CQ136" s="16"/>
      <c r="CR136" s="70"/>
      <c r="CS136" s="70"/>
      <c r="CT136" s="70"/>
    </row>
    <row r="137" spans="1:98" ht="15" customHeight="1" thickBot="1" x14ac:dyDescent="0.25">
      <c r="A137" s="25"/>
      <c r="B137" s="25"/>
      <c r="C137" s="1636"/>
      <c r="D137" s="20"/>
      <c r="E137" s="3978"/>
      <c r="F137" s="3979"/>
      <c r="G137" s="3978"/>
      <c r="H137" s="3978"/>
      <c r="I137" s="3978"/>
      <c r="J137" s="3980"/>
      <c r="K137" s="3978"/>
      <c r="L137" s="3978"/>
      <c r="M137" s="3978"/>
      <c r="N137" s="21"/>
      <c r="O137" s="1723"/>
      <c r="P137" s="1724"/>
      <c r="Q137" s="1724"/>
      <c r="R137" s="1724"/>
      <c r="S137" s="1724"/>
      <c r="T137" s="5453"/>
      <c r="U137" s="1725"/>
      <c r="V137" s="21"/>
      <c r="W137" s="1643"/>
      <c r="X137" s="680"/>
      <c r="Y137" s="83"/>
      <c r="Z137" s="680"/>
      <c r="AA137" s="81"/>
      <c r="AB137" s="82"/>
      <c r="AC137" s="857"/>
      <c r="AD137" s="70"/>
      <c r="AE137" s="1643"/>
      <c r="AF137" s="680"/>
      <c r="AG137" s="83"/>
      <c r="AH137" s="680"/>
      <c r="AI137" s="81"/>
      <c r="AJ137" s="82"/>
      <c r="AK137" s="857"/>
      <c r="AL137" s="70"/>
      <c r="AM137" s="1643"/>
      <c r="AN137" s="680"/>
      <c r="AO137" s="83"/>
      <c r="AP137" s="680"/>
      <c r="AQ137" s="81"/>
      <c r="AR137" s="82"/>
      <c r="AS137" s="857"/>
      <c r="AT137" s="21"/>
      <c r="AU137" s="1643"/>
      <c r="AV137" s="680"/>
      <c r="AW137" s="83"/>
      <c r="AX137" s="680"/>
      <c r="AY137" s="81"/>
      <c r="AZ137" s="82"/>
      <c r="BA137" s="857"/>
      <c r="BB137" s="70"/>
      <c r="BC137" s="1643"/>
      <c r="BD137" s="680"/>
      <c r="BE137" s="83"/>
      <c r="BF137" s="680"/>
      <c r="BG137" s="81"/>
      <c r="BH137" s="82"/>
      <c r="BI137" s="857"/>
      <c r="BJ137" s="21"/>
      <c r="BK137" s="1643"/>
      <c r="BL137" s="680"/>
      <c r="BM137" s="83"/>
      <c r="BN137" s="680"/>
      <c r="BO137" s="81"/>
      <c r="BP137" s="82"/>
      <c r="BQ137" s="857"/>
      <c r="BS137" s="1643"/>
      <c r="BT137" s="680"/>
      <c r="BU137" s="83"/>
      <c r="BV137" s="680"/>
      <c r="BW137" s="81"/>
      <c r="BX137" s="82"/>
      <c r="BY137" s="857"/>
      <c r="BZ137" s="21"/>
      <c r="CA137" s="1643"/>
      <c r="CB137" s="680"/>
      <c r="CC137" s="83"/>
      <c r="CD137" s="680"/>
      <c r="CE137" s="81"/>
      <c r="CF137" s="82"/>
      <c r="CG137" s="857"/>
      <c r="CH137" s="70"/>
      <c r="CI137" s="1643"/>
      <c r="CJ137" s="680"/>
      <c r="CK137" s="83"/>
      <c r="CL137" s="680"/>
      <c r="CM137" s="81"/>
      <c r="CN137" s="82"/>
      <c r="CO137" s="857"/>
      <c r="CP137" s="70"/>
      <c r="CQ137" s="16"/>
      <c r="CR137" s="70"/>
      <c r="CS137" s="70"/>
      <c r="CT137" s="70"/>
    </row>
    <row r="138" spans="1:98" ht="20.100000000000001" customHeight="1" thickBot="1" x14ac:dyDescent="0.25">
      <c r="A138" s="25"/>
      <c r="B138" s="25"/>
      <c r="C138" s="1636"/>
      <c r="D138" s="20"/>
      <c r="E138" s="3978"/>
      <c r="F138" s="3979"/>
      <c r="G138" s="3978"/>
      <c r="H138" s="3978"/>
      <c r="I138" s="3978"/>
      <c r="J138" s="3980"/>
      <c r="K138" s="3978"/>
      <c r="L138" s="3978"/>
      <c r="M138" s="3978"/>
      <c r="N138" s="21"/>
      <c r="O138" s="1723"/>
      <c r="P138" s="1724" t="str">
        <f>_Calcs!$N$79</f>
        <v>Begrunnelse</v>
      </c>
      <c r="Q138" s="1724"/>
      <c r="R138" s="1724"/>
      <c r="S138" s="1724"/>
      <c r="T138" s="1719"/>
      <c r="U138" s="1725"/>
      <c r="V138" s="21"/>
      <c r="W138" s="1643"/>
      <c r="X138" s="680"/>
      <c r="Y138" s="3981"/>
      <c r="Z138" s="2315"/>
      <c r="AA138" s="1644" t="str">
        <f>IF(_Calcs!$JL$38=1,"✓","!")</f>
        <v>✓</v>
      </c>
      <c r="AB138" s="82"/>
      <c r="AC138" s="857"/>
      <c r="AD138" s="70"/>
      <c r="AE138" s="1643"/>
      <c r="AF138" s="680"/>
      <c r="AG138" s="3981"/>
      <c r="AH138" s="2315"/>
      <c r="AI138" s="1644" t="str">
        <f>IF(_Calcs!$JL$39=1,"✓","!")</f>
        <v>✓</v>
      </c>
      <c r="AJ138" s="82"/>
      <c r="AK138" s="857"/>
      <c r="AL138" s="70"/>
      <c r="AM138" s="1643"/>
      <c r="AN138" s="680"/>
      <c r="AO138" s="3981"/>
      <c r="AP138" s="2315"/>
      <c r="AQ138" s="1644" t="str">
        <f>IF(_Calcs!$JL$40=1,"✓","!")</f>
        <v>✓</v>
      </c>
      <c r="AR138" s="82"/>
      <c r="AS138" s="857"/>
      <c r="AT138" s="21"/>
      <c r="AU138" s="1643"/>
      <c r="AV138" s="680"/>
      <c r="AW138" s="3981"/>
      <c r="AX138" s="2315"/>
      <c r="AY138" s="1644" t="str">
        <f>IF(_Calcs!$JL$41=1,"✓","!")</f>
        <v>✓</v>
      </c>
      <c r="AZ138" s="82"/>
      <c r="BA138" s="857"/>
      <c r="BB138" s="70"/>
      <c r="BC138" s="1643"/>
      <c r="BD138" s="680"/>
      <c r="BE138" s="3981"/>
      <c r="BF138" s="2315"/>
      <c r="BG138" s="1644" t="str">
        <f>IF(_Calcs!$JL$42=1,"✓","!")</f>
        <v>✓</v>
      </c>
      <c r="BH138" s="82"/>
      <c r="BI138" s="857"/>
      <c r="BJ138" s="21"/>
      <c r="BK138" s="1643"/>
      <c r="BL138" s="680"/>
      <c r="BM138" s="3981"/>
      <c r="BN138" s="2315"/>
      <c r="BO138" s="1644" t="str">
        <f>IF(_Calcs!$JL$43=1,"✓","!")</f>
        <v>✓</v>
      </c>
      <c r="BP138" s="82"/>
      <c r="BQ138" s="857"/>
      <c r="BS138" s="1643"/>
      <c r="BT138" s="680"/>
      <c r="BU138" s="3981"/>
      <c r="BV138" s="2315"/>
      <c r="BW138" s="1644" t="str">
        <f>IF(_Calcs!$JL$44=1,"✓","!")</f>
        <v>✓</v>
      </c>
      <c r="BX138" s="82"/>
      <c r="BY138" s="857"/>
      <c r="BZ138" s="21"/>
      <c r="CA138" s="1643"/>
      <c r="CB138" s="680"/>
      <c r="CC138" s="3981"/>
      <c r="CD138" s="2315"/>
      <c r="CE138" s="1644" t="str">
        <f>IF(_Calcs!$JL$45=1,"✓","!")</f>
        <v>✓</v>
      </c>
      <c r="CF138" s="82"/>
      <c r="CG138" s="857"/>
      <c r="CH138" s="70"/>
      <c r="CI138" s="1643"/>
      <c r="CJ138" s="680"/>
      <c r="CK138" s="3981"/>
      <c r="CL138" s="2315"/>
      <c r="CM138" s="1644" t="str">
        <f>IF(_Calcs!$JL$46=1,"✓","!")</f>
        <v>✓</v>
      </c>
      <c r="CN138" s="82"/>
      <c r="CO138" s="857"/>
      <c r="CP138" s="70"/>
      <c r="CQ138" s="16"/>
      <c r="CR138" s="70"/>
      <c r="CS138" s="70"/>
      <c r="CT138" s="70"/>
    </row>
    <row r="139" spans="1:98" ht="15" customHeight="1" thickBot="1" x14ac:dyDescent="0.25">
      <c r="A139" s="25"/>
      <c r="B139" s="25"/>
      <c r="C139" s="4116"/>
      <c r="D139" s="20"/>
      <c r="E139" s="3978"/>
      <c r="F139" s="3979"/>
      <c r="G139" s="3978"/>
      <c r="H139" s="3978"/>
      <c r="I139" s="3978"/>
      <c r="J139" s="3980"/>
      <c r="K139" s="3978"/>
      <c r="L139" s="3978"/>
      <c r="M139" s="3978"/>
      <c r="N139" s="21"/>
      <c r="O139" s="1726"/>
      <c r="P139" s="1727"/>
      <c r="Q139" s="1727"/>
      <c r="R139" s="1727"/>
      <c r="S139" s="1727"/>
      <c r="T139" s="1728"/>
      <c r="U139" s="1729"/>
      <c r="V139" s="21"/>
      <c r="W139" s="1743"/>
      <c r="X139" s="859"/>
      <c r="Y139" s="3854"/>
      <c r="Z139" s="3854"/>
      <c r="AA139" s="3982"/>
      <c r="AB139" s="860"/>
      <c r="AC139" s="861"/>
      <c r="AD139" s="70"/>
      <c r="AE139" s="1743"/>
      <c r="AF139" s="859"/>
      <c r="AG139" s="3854"/>
      <c r="AH139" s="3854"/>
      <c r="AI139" s="3982"/>
      <c r="AJ139" s="860"/>
      <c r="AK139" s="861"/>
      <c r="AL139" s="70"/>
      <c r="AM139" s="1743"/>
      <c r="AN139" s="859"/>
      <c r="AO139" s="3854"/>
      <c r="AP139" s="3854"/>
      <c r="AQ139" s="3982"/>
      <c r="AR139" s="860"/>
      <c r="AS139" s="861"/>
      <c r="AT139" s="21"/>
      <c r="AU139" s="1743"/>
      <c r="AV139" s="859"/>
      <c r="AW139" s="3854"/>
      <c r="AX139" s="3854"/>
      <c r="AY139" s="3982"/>
      <c r="AZ139" s="860"/>
      <c r="BA139" s="861"/>
      <c r="BB139" s="70"/>
      <c r="BC139" s="1743"/>
      <c r="BD139" s="859"/>
      <c r="BE139" s="3854"/>
      <c r="BF139" s="3854"/>
      <c r="BG139" s="3982"/>
      <c r="BH139" s="860"/>
      <c r="BI139" s="861"/>
      <c r="BJ139" s="21"/>
      <c r="BK139" s="1743"/>
      <c r="BL139" s="859"/>
      <c r="BM139" s="3854"/>
      <c r="BN139" s="3854"/>
      <c r="BO139" s="3982"/>
      <c r="BP139" s="860"/>
      <c r="BQ139" s="861"/>
      <c r="BS139" s="1743"/>
      <c r="BT139" s="859"/>
      <c r="BU139" s="3854"/>
      <c r="BV139" s="3854"/>
      <c r="BW139" s="3982"/>
      <c r="BX139" s="860"/>
      <c r="BY139" s="861"/>
      <c r="BZ139" s="21"/>
      <c r="CA139" s="1743"/>
      <c r="CB139" s="859"/>
      <c r="CC139" s="3854"/>
      <c r="CD139" s="3854"/>
      <c r="CE139" s="3982"/>
      <c r="CF139" s="860"/>
      <c r="CG139" s="861"/>
      <c r="CH139" s="70"/>
      <c r="CI139" s="1743"/>
      <c r="CJ139" s="859"/>
      <c r="CK139" s="3854"/>
      <c r="CL139" s="3854"/>
      <c r="CM139" s="3982"/>
      <c r="CN139" s="860"/>
      <c r="CO139" s="861"/>
      <c r="CP139" s="70"/>
      <c r="CQ139" s="16"/>
      <c r="CR139" s="70"/>
      <c r="CS139" s="70"/>
      <c r="CT139" s="70"/>
    </row>
    <row r="140" spans="1:98" s="78" customFormat="1" ht="30" customHeight="1" x14ac:dyDescent="0.2">
      <c r="F140" s="17"/>
      <c r="J140" s="36"/>
      <c r="N140" s="21"/>
      <c r="O140" s="132"/>
      <c r="P140" s="70"/>
      <c r="T140" s="215"/>
      <c r="W140" s="215"/>
      <c r="Z140" s="21"/>
      <c r="AE140" s="215"/>
      <c r="AH140" s="21"/>
      <c r="AM140" s="215"/>
      <c r="AP140" s="21"/>
      <c r="AU140" s="215"/>
      <c r="AX140" s="21"/>
      <c r="BC140" s="215"/>
      <c r="BF140" s="21"/>
      <c r="BK140" s="215"/>
      <c r="BN140" s="21"/>
      <c r="BS140" s="215"/>
      <c r="BV140" s="21"/>
      <c r="CA140" s="215"/>
      <c r="CD140" s="21"/>
      <c r="CI140" s="215"/>
      <c r="CL140" s="21"/>
      <c r="CM140" s="132"/>
      <c r="CN140" s="70"/>
      <c r="CO140" s="70"/>
      <c r="CP140" s="70"/>
      <c r="CQ140" s="70"/>
      <c r="CR140" s="70"/>
      <c r="CS140" s="70"/>
      <c r="CT140" s="70"/>
    </row>
    <row r="141" spans="1:98" ht="12" customHeight="1" x14ac:dyDescent="0.2">
      <c r="A141" s="25"/>
      <c r="B141" s="25"/>
      <c r="C141" s="1170"/>
      <c r="D141" s="78"/>
      <c r="E141" s="918"/>
      <c r="F141" s="919"/>
      <c r="G141" s="919"/>
      <c r="H141" s="919"/>
      <c r="I141" s="920"/>
      <c r="J141" s="920"/>
      <c r="K141" s="1170"/>
      <c r="L141" s="919"/>
      <c r="M141" s="1170"/>
      <c r="N141" s="78"/>
      <c r="O141" s="921"/>
      <c r="P141" s="921"/>
      <c r="Q141" s="921"/>
      <c r="R141" s="21"/>
      <c r="S141" s="920"/>
      <c r="T141" s="921"/>
      <c r="U141" s="920"/>
      <c r="V141" s="21"/>
      <c r="W141" s="921"/>
      <c r="X141" s="921"/>
      <c r="Y141" s="923"/>
      <c r="Z141" s="924"/>
      <c r="AA141" s="920"/>
      <c r="AB141" s="920"/>
      <c r="AC141" s="920"/>
      <c r="AD141" s="16"/>
      <c r="AE141" s="921"/>
      <c r="AF141" s="921"/>
      <c r="AG141" s="923"/>
      <c r="AH141" s="924"/>
      <c r="AI141" s="920"/>
      <c r="AJ141" s="920"/>
      <c r="AK141" s="920"/>
      <c r="AL141" s="16"/>
      <c r="AM141" s="921"/>
      <c r="AN141" s="921"/>
      <c r="AO141" s="923"/>
      <c r="AP141" s="924"/>
      <c r="AQ141" s="920"/>
      <c r="AR141" s="920"/>
      <c r="AS141" s="920"/>
      <c r="AT141" s="16"/>
      <c r="AU141" s="921"/>
      <c r="AV141" s="921"/>
      <c r="AW141" s="923"/>
      <c r="AX141" s="924"/>
      <c r="AY141" s="920"/>
      <c r="AZ141" s="920"/>
      <c r="BA141" s="920"/>
      <c r="BB141" s="16"/>
      <c r="BC141" s="921"/>
      <c r="BD141" s="921"/>
      <c r="BE141" s="923"/>
      <c r="BF141" s="924"/>
      <c r="BG141" s="920"/>
      <c r="BH141" s="920"/>
      <c r="BI141" s="920"/>
      <c r="BJ141" s="16"/>
      <c r="BK141" s="921"/>
      <c r="BL141" s="921"/>
      <c r="BM141" s="923"/>
      <c r="BN141" s="924"/>
      <c r="BO141" s="920"/>
      <c r="BP141" s="920"/>
      <c r="BQ141" s="920"/>
      <c r="BR141" s="16"/>
      <c r="BS141" s="921"/>
      <c r="BT141" s="921"/>
      <c r="BU141" s="923"/>
      <c r="BV141" s="924"/>
      <c r="BW141" s="920"/>
      <c r="BX141" s="920"/>
      <c r="BY141" s="920"/>
      <c r="BZ141" s="16"/>
      <c r="CA141" s="921"/>
      <c r="CB141" s="921"/>
      <c r="CC141" s="923"/>
      <c r="CD141" s="924"/>
      <c r="CE141" s="920"/>
      <c r="CF141" s="920"/>
      <c r="CG141" s="920"/>
      <c r="CH141" s="16"/>
      <c r="CI141" s="921"/>
      <c r="CJ141" s="921"/>
      <c r="CK141" s="923"/>
      <c r="CL141" s="924"/>
      <c r="CM141" s="920"/>
      <c r="CN141" s="920"/>
      <c r="CO141" s="920"/>
      <c r="CP141" s="16"/>
      <c r="CQ141" s="920"/>
      <c r="CR141" s="21"/>
      <c r="CS141" s="21"/>
      <c r="CT141" s="21"/>
    </row>
    <row r="142" spans="1:98" ht="3.75" customHeight="1" x14ac:dyDescent="0.2">
      <c r="A142" s="25"/>
      <c r="B142" s="25"/>
      <c r="C142" s="13"/>
      <c r="D142" s="78"/>
      <c r="E142" s="14"/>
      <c r="G142" s="15"/>
      <c r="H142" s="15"/>
      <c r="I142" s="16"/>
      <c r="J142" s="16"/>
      <c r="K142" s="13"/>
      <c r="L142" s="15"/>
      <c r="M142" s="13"/>
      <c r="N142" s="78"/>
      <c r="O142" s="17"/>
      <c r="P142" s="17"/>
      <c r="Q142" s="17"/>
      <c r="R142" s="21"/>
      <c r="S142" s="16"/>
      <c r="T142" s="17"/>
      <c r="U142" s="16"/>
      <c r="V142" s="21"/>
      <c r="W142" s="17"/>
      <c r="X142" s="17"/>
      <c r="Y142" s="18"/>
      <c r="Z142" s="19"/>
      <c r="AA142" s="16"/>
      <c r="AB142" s="16"/>
      <c r="AC142" s="16"/>
      <c r="AD142" s="16"/>
      <c r="AE142" s="17"/>
      <c r="AF142" s="17"/>
      <c r="AG142" s="18"/>
      <c r="AH142" s="19"/>
      <c r="AI142" s="16"/>
      <c r="AJ142" s="16"/>
      <c r="AK142" s="16"/>
      <c r="AL142" s="16"/>
      <c r="AM142" s="17"/>
      <c r="AN142" s="17"/>
      <c r="AO142" s="18"/>
      <c r="AP142" s="19"/>
      <c r="AQ142" s="16"/>
      <c r="AR142" s="16"/>
      <c r="AS142" s="16"/>
      <c r="AT142" s="16"/>
      <c r="AU142" s="17"/>
      <c r="AV142" s="17"/>
      <c r="AW142" s="18"/>
      <c r="AX142" s="19"/>
      <c r="AY142" s="16"/>
      <c r="AZ142" s="16"/>
      <c r="BA142" s="16"/>
      <c r="BB142" s="16"/>
      <c r="BC142" s="17"/>
      <c r="BD142" s="17"/>
      <c r="BE142" s="18"/>
      <c r="BF142" s="19"/>
      <c r="BG142" s="16"/>
      <c r="BH142" s="16"/>
      <c r="BI142" s="16"/>
      <c r="BJ142" s="16"/>
      <c r="BK142" s="17"/>
      <c r="BL142" s="17"/>
      <c r="BM142" s="18"/>
      <c r="BN142" s="19"/>
      <c r="BO142" s="16"/>
      <c r="BP142" s="16"/>
      <c r="BQ142" s="16"/>
      <c r="BR142" s="16"/>
      <c r="BS142" s="17"/>
      <c r="BT142" s="17"/>
      <c r="BU142" s="18"/>
      <c r="BV142" s="19"/>
      <c r="BW142" s="16"/>
      <c r="BX142" s="16"/>
      <c r="BY142" s="16"/>
      <c r="BZ142" s="16"/>
      <c r="CA142" s="17"/>
      <c r="CB142" s="17"/>
      <c r="CC142" s="18"/>
      <c r="CD142" s="19"/>
      <c r="CE142" s="16"/>
      <c r="CF142" s="16"/>
      <c r="CG142" s="16"/>
      <c r="CH142" s="16"/>
      <c r="CI142" s="17"/>
      <c r="CJ142" s="17"/>
      <c r="CK142" s="18"/>
      <c r="CL142" s="19"/>
      <c r="CM142" s="16"/>
      <c r="CN142" s="16"/>
      <c r="CO142" s="16"/>
      <c r="CP142" s="16"/>
      <c r="CQ142" s="16"/>
      <c r="CR142" s="21"/>
      <c r="CS142" s="21"/>
      <c r="CT142" s="21"/>
    </row>
    <row r="143" spans="1:98" ht="5.0999999999999996" customHeight="1" x14ac:dyDescent="0.2">
      <c r="A143" s="25"/>
      <c r="B143" s="25"/>
      <c r="C143" s="1170"/>
      <c r="D143" s="78"/>
      <c r="E143" s="918"/>
      <c r="F143" s="919"/>
      <c r="G143" s="919"/>
      <c r="H143" s="919"/>
      <c r="I143" s="920"/>
      <c r="J143" s="920"/>
      <c r="K143" s="1170"/>
      <c r="L143" s="919"/>
      <c r="M143" s="1170"/>
      <c r="N143" s="78"/>
      <c r="O143" s="921"/>
      <c r="P143" s="921"/>
      <c r="Q143" s="921"/>
      <c r="R143" s="21"/>
      <c r="S143" s="920"/>
      <c r="T143" s="921"/>
      <c r="U143" s="920"/>
      <c r="V143" s="21"/>
      <c r="W143" s="921"/>
      <c r="X143" s="921"/>
      <c r="Y143" s="923"/>
      <c r="Z143" s="924"/>
      <c r="AA143" s="920"/>
      <c r="AB143" s="920"/>
      <c r="AC143" s="920"/>
      <c r="AD143" s="16"/>
      <c r="AE143" s="921"/>
      <c r="AF143" s="921"/>
      <c r="AG143" s="923"/>
      <c r="AH143" s="924"/>
      <c r="AI143" s="920"/>
      <c r="AJ143" s="920"/>
      <c r="AK143" s="920"/>
      <c r="AL143" s="16"/>
      <c r="AM143" s="921"/>
      <c r="AN143" s="921"/>
      <c r="AO143" s="923"/>
      <c r="AP143" s="924"/>
      <c r="AQ143" s="920"/>
      <c r="AR143" s="920"/>
      <c r="AS143" s="920"/>
      <c r="AT143" s="16"/>
      <c r="AU143" s="921"/>
      <c r="AV143" s="921"/>
      <c r="AW143" s="923"/>
      <c r="AX143" s="924"/>
      <c r="AY143" s="920"/>
      <c r="AZ143" s="920"/>
      <c r="BA143" s="920"/>
      <c r="BB143" s="16"/>
      <c r="BC143" s="921"/>
      <c r="BD143" s="921"/>
      <c r="BE143" s="923"/>
      <c r="BF143" s="924"/>
      <c r="BG143" s="920"/>
      <c r="BH143" s="920"/>
      <c r="BI143" s="920"/>
      <c r="BJ143" s="16"/>
      <c r="BK143" s="921"/>
      <c r="BL143" s="921"/>
      <c r="BM143" s="923"/>
      <c r="BN143" s="924"/>
      <c r="BO143" s="920"/>
      <c r="BP143" s="920"/>
      <c r="BQ143" s="920"/>
      <c r="BR143" s="16"/>
      <c r="BS143" s="921"/>
      <c r="BT143" s="921"/>
      <c r="BU143" s="923"/>
      <c r="BV143" s="924"/>
      <c r="BW143" s="920"/>
      <c r="BX143" s="920"/>
      <c r="BY143" s="920"/>
      <c r="BZ143" s="16"/>
      <c r="CA143" s="921"/>
      <c r="CB143" s="921"/>
      <c r="CC143" s="923"/>
      <c r="CD143" s="924"/>
      <c r="CE143" s="920"/>
      <c r="CF143" s="920"/>
      <c r="CG143" s="920"/>
      <c r="CH143" s="16"/>
      <c r="CI143" s="921"/>
      <c r="CJ143" s="921"/>
      <c r="CK143" s="923"/>
      <c r="CL143" s="924"/>
      <c r="CM143" s="920"/>
      <c r="CN143" s="920"/>
      <c r="CO143" s="920"/>
      <c r="CP143" s="16"/>
      <c r="CQ143" s="920"/>
      <c r="CR143" s="21"/>
      <c r="CS143" s="21"/>
      <c r="CT143" s="21"/>
    </row>
    <row r="144" spans="1:98" ht="30" customHeight="1" thickBot="1" x14ac:dyDescent="0.25">
      <c r="A144" s="20"/>
      <c r="B144" s="20"/>
      <c r="C144" s="13"/>
      <c r="D144" s="78"/>
      <c r="E144" s="14"/>
      <c r="G144" s="21"/>
      <c r="H144" s="21"/>
      <c r="I144" s="16"/>
      <c r="J144" s="16"/>
      <c r="K144" s="13"/>
      <c r="L144" s="15"/>
      <c r="M144" s="13"/>
      <c r="N144" s="78"/>
      <c r="O144" s="78"/>
      <c r="P144" s="78"/>
      <c r="Q144" s="21"/>
      <c r="R144" s="21"/>
      <c r="S144" s="21"/>
      <c r="T144" s="15"/>
      <c r="U144" s="21"/>
      <c r="W144" s="16"/>
      <c r="X144" s="16"/>
      <c r="Y144" s="22"/>
      <c r="Z144" s="16"/>
      <c r="AA144" s="16"/>
      <c r="AD144" s="70"/>
      <c r="AE144" s="16"/>
      <c r="AF144" s="16"/>
      <c r="AG144" s="22"/>
      <c r="AH144" s="16"/>
      <c r="AI144" s="16"/>
      <c r="AL144" s="70"/>
      <c r="AM144" s="16"/>
      <c r="AN144" s="16"/>
      <c r="AO144" s="22"/>
      <c r="AP144" s="16"/>
      <c r="AQ144" s="16"/>
      <c r="AU144" s="16"/>
      <c r="AV144" s="16"/>
      <c r="AW144" s="22"/>
      <c r="AX144" s="16"/>
      <c r="AY144" s="16"/>
      <c r="BB144" s="70"/>
      <c r="BC144" s="16"/>
      <c r="BD144" s="16"/>
      <c r="BE144" s="22"/>
      <c r="BF144" s="16"/>
      <c r="BG144" s="16"/>
      <c r="BJ144" s="70"/>
      <c r="BK144" s="16"/>
      <c r="BL144" s="16"/>
      <c r="BM144" s="22"/>
      <c r="BN144" s="16"/>
      <c r="BO144" s="16"/>
      <c r="BS144" s="16"/>
      <c r="BT144" s="16"/>
      <c r="BU144" s="22"/>
      <c r="BV144" s="16"/>
      <c r="BW144" s="16"/>
      <c r="BZ144" s="70"/>
      <c r="CA144" s="16"/>
      <c r="CB144" s="16"/>
      <c r="CC144" s="22"/>
      <c r="CD144" s="16"/>
      <c r="CE144" s="16"/>
      <c r="CH144" s="70"/>
      <c r="CI144" s="16"/>
      <c r="CJ144" s="16"/>
      <c r="CK144" s="22"/>
      <c r="CL144" s="16"/>
      <c r="CM144" s="16"/>
      <c r="CP144" s="70"/>
      <c r="CQ144" s="70"/>
      <c r="CR144" s="70"/>
      <c r="CS144" s="70"/>
      <c r="CT144" s="70"/>
    </row>
    <row r="145" spans="1:98" ht="15" customHeight="1" thickBot="1" x14ac:dyDescent="0.25">
      <c r="A145" s="20"/>
      <c r="B145" s="20"/>
      <c r="C145" s="908"/>
      <c r="D145" s="13"/>
      <c r="E145" s="6556"/>
      <c r="F145" s="6557"/>
      <c r="G145" s="6557"/>
      <c r="H145" s="6557"/>
      <c r="I145" s="6557"/>
      <c r="J145" s="6557"/>
      <c r="K145" s="6557"/>
      <c r="L145" s="6557"/>
      <c r="M145" s="6558"/>
      <c r="N145" s="78"/>
      <c r="O145" s="6158"/>
      <c r="P145" s="6158"/>
      <c r="Q145" s="21"/>
      <c r="R145" s="21"/>
      <c r="S145" s="5454"/>
      <c r="T145" s="1770"/>
      <c r="U145" s="5455"/>
      <c r="W145" s="878"/>
      <c r="X145" s="879"/>
      <c r="Y145" s="879"/>
      <c r="Z145" s="879"/>
      <c r="AA145" s="879"/>
      <c r="AB145" s="879"/>
      <c r="AC145" s="1597"/>
      <c r="AD145" s="70"/>
      <c r="AE145" s="878"/>
      <c r="AF145" s="879"/>
      <c r="AG145" s="879"/>
      <c r="AH145" s="879"/>
      <c r="AI145" s="879"/>
      <c r="AJ145" s="879"/>
      <c r="AK145" s="1597"/>
      <c r="AL145" s="70"/>
      <c r="AM145" s="878"/>
      <c r="AN145" s="879"/>
      <c r="AO145" s="879"/>
      <c r="AP145" s="879"/>
      <c r="AQ145" s="879"/>
      <c r="AR145" s="879"/>
      <c r="AS145" s="1597"/>
      <c r="AU145" s="878"/>
      <c r="AV145" s="879"/>
      <c r="AW145" s="879"/>
      <c r="AX145" s="879"/>
      <c r="AY145" s="879"/>
      <c r="AZ145" s="879"/>
      <c r="BA145" s="1597"/>
      <c r="BB145" s="70"/>
      <c r="BC145" s="878"/>
      <c r="BD145" s="879"/>
      <c r="BE145" s="879"/>
      <c r="BF145" s="879"/>
      <c r="BG145" s="879"/>
      <c r="BH145" s="879"/>
      <c r="BI145" s="1597"/>
      <c r="BJ145" s="70"/>
      <c r="BK145" s="878"/>
      <c r="BL145" s="879"/>
      <c r="BM145" s="879"/>
      <c r="BN145" s="879"/>
      <c r="BO145" s="879"/>
      <c r="BP145" s="879"/>
      <c r="BQ145" s="1597"/>
      <c r="BS145" s="878"/>
      <c r="BT145" s="879"/>
      <c r="BU145" s="879"/>
      <c r="BV145" s="879"/>
      <c r="BW145" s="879"/>
      <c r="BX145" s="879"/>
      <c r="BY145" s="1597"/>
      <c r="BZ145" s="70"/>
      <c r="CA145" s="878"/>
      <c r="CB145" s="879"/>
      <c r="CC145" s="879"/>
      <c r="CD145" s="879"/>
      <c r="CE145" s="879"/>
      <c r="CF145" s="879"/>
      <c r="CG145" s="1597"/>
      <c r="CH145" s="70"/>
      <c r="CI145" s="878"/>
      <c r="CJ145" s="879"/>
      <c r="CK145" s="879"/>
      <c r="CL145" s="879"/>
      <c r="CM145" s="879"/>
      <c r="CN145" s="879"/>
      <c r="CO145" s="1597"/>
      <c r="CP145" s="70"/>
      <c r="CQ145" s="92"/>
      <c r="CR145" s="70"/>
      <c r="CS145" s="70"/>
      <c r="CT145" s="70"/>
    </row>
    <row r="146" spans="1:98" s="1058" customFormat="1" ht="8.1" customHeight="1" thickBot="1" x14ac:dyDescent="0.25">
      <c r="A146" s="755"/>
      <c r="B146" s="755"/>
      <c r="C146" s="756"/>
      <c r="D146" s="757"/>
      <c r="E146" s="757"/>
      <c r="F146" s="1760"/>
      <c r="G146" s="757"/>
      <c r="H146" s="757"/>
      <c r="I146" s="757"/>
      <c r="J146" s="757"/>
      <c r="K146" s="758"/>
      <c r="L146" s="758"/>
      <c r="M146" s="758"/>
      <c r="N146" s="78"/>
      <c r="O146" s="17"/>
      <c r="P146" s="17"/>
      <c r="Q146" s="21"/>
      <c r="R146" s="21"/>
      <c r="S146" s="757"/>
      <c r="T146" s="1760"/>
      <c r="U146" s="757"/>
      <c r="V146" s="1056"/>
      <c r="W146" s="757"/>
      <c r="X146" s="757"/>
      <c r="Y146" s="759"/>
      <c r="Z146" s="758"/>
      <c r="AA146" s="758"/>
      <c r="AB146" s="758"/>
      <c r="AC146" s="758"/>
      <c r="AD146" s="1056"/>
      <c r="AE146" s="757"/>
      <c r="AF146" s="757"/>
      <c r="AG146" s="759"/>
      <c r="AH146" s="758"/>
      <c r="AI146" s="758"/>
      <c r="AJ146" s="758"/>
      <c r="AK146" s="758"/>
      <c r="AL146" s="1056"/>
      <c r="AM146" s="757"/>
      <c r="AN146" s="757"/>
      <c r="AO146" s="759"/>
      <c r="AP146" s="758"/>
      <c r="AQ146" s="758"/>
      <c r="AR146" s="758"/>
      <c r="AS146" s="758"/>
      <c r="AT146" s="1056"/>
      <c r="AU146" s="757"/>
      <c r="AV146" s="757"/>
      <c r="AW146" s="759"/>
      <c r="AX146" s="758"/>
      <c r="AY146" s="758"/>
      <c r="AZ146" s="758"/>
      <c r="BA146" s="758"/>
      <c r="BB146" s="1057"/>
      <c r="BC146" s="757"/>
      <c r="BD146" s="757"/>
      <c r="BE146" s="759"/>
      <c r="BF146" s="758"/>
      <c r="BG146" s="758"/>
      <c r="BH146" s="758"/>
      <c r="BI146" s="758"/>
      <c r="BJ146" s="1056"/>
      <c r="BK146" s="757"/>
      <c r="BL146" s="757"/>
      <c r="BM146" s="759"/>
      <c r="BN146" s="758"/>
      <c r="BO146" s="758"/>
      <c r="BP146" s="758"/>
      <c r="BQ146" s="758"/>
      <c r="BR146" s="1056"/>
      <c r="BS146" s="757"/>
      <c r="BT146" s="757"/>
      <c r="BU146" s="759"/>
      <c r="BV146" s="758"/>
      <c r="BW146" s="758"/>
      <c r="BX146" s="758"/>
      <c r="BY146" s="758"/>
      <c r="BZ146" s="1056"/>
      <c r="CA146" s="757"/>
      <c r="CB146" s="757"/>
      <c r="CC146" s="759"/>
      <c r="CD146" s="758"/>
      <c r="CE146" s="758"/>
      <c r="CF146" s="758"/>
      <c r="CG146" s="758"/>
      <c r="CH146" s="1056"/>
      <c r="CI146" s="757"/>
      <c r="CJ146" s="757"/>
      <c r="CK146" s="759"/>
      <c r="CL146" s="758"/>
      <c r="CM146" s="758"/>
      <c r="CN146" s="758"/>
      <c r="CO146" s="758"/>
      <c r="CP146" s="1056"/>
      <c r="CQ146" s="757"/>
      <c r="CR146" s="1056"/>
      <c r="CS146" s="1056"/>
      <c r="CT146" s="1056"/>
    </row>
    <row r="147" spans="1:98" s="1862" customFormat="1" ht="18.75" thickBot="1" x14ac:dyDescent="0.25">
      <c r="B147" s="135"/>
      <c r="C147" s="1868"/>
      <c r="D147" s="135"/>
      <c r="E147" s="885"/>
      <c r="F147" s="890"/>
      <c r="G147" s="886"/>
      <c r="H147" s="886"/>
      <c r="I147" s="886"/>
      <c r="J147" s="1953"/>
      <c r="K147" s="886"/>
      <c r="L147" s="886"/>
      <c r="M147" s="880"/>
      <c r="N147" s="2499"/>
      <c r="O147" s="6157"/>
      <c r="P147" s="6157"/>
      <c r="Q147" s="974"/>
      <c r="R147" s="974"/>
      <c r="S147" s="885"/>
      <c r="T147" s="890"/>
      <c r="U147" s="880"/>
      <c r="W147" s="885"/>
      <c r="X147" s="886"/>
      <c r="Y147" s="886"/>
      <c r="Z147" s="886"/>
      <c r="AA147" s="886"/>
      <c r="AB147" s="886"/>
      <c r="AC147" s="880"/>
      <c r="AE147" s="885"/>
      <c r="AF147" s="886"/>
      <c r="AG147" s="886"/>
      <c r="AH147" s="886"/>
      <c r="AI147" s="886"/>
      <c r="AJ147" s="886"/>
      <c r="AK147" s="880"/>
      <c r="AM147" s="885"/>
      <c r="AN147" s="886"/>
      <c r="AO147" s="886"/>
      <c r="AP147" s="886"/>
      <c r="AQ147" s="886"/>
      <c r="AR147" s="886"/>
      <c r="AS147" s="880"/>
      <c r="AU147" s="885"/>
      <c r="AV147" s="886"/>
      <c r="AW147" s="886"/>
      <c r="AX147" s="886"/>
      <c r="AY147" s="886"/>
      <c r="AZ147" s="886"/>
      <c r="BA147" s="880"/>
      <c r="BC147" s="885"/>
      <c r="BD147" s="886"/>
      <c r="BE147" s="886"/>
      <c r="BF147" s="886"/>
      <c r="BG147" s="886"/>
      <c r="BH147" s="886"/>
      <c r="BI147" s="880"/>
      <c r="BK147" s="885"/>
      <c r="BL147" s="886"/>
      <c r="BM147" s="886"/>
      <c r="BN147" s="886"/>
      <c r="BO147" s="886"/>
      <c r="BP147" s="886"/>
      <c r="BQ147" s="880"/>
      <c r="BS147" s="885"/>
      <c r="BT147" s="886"/>
      <c r="BU147" s="886"/>
      <c r="BV147" s="886"/>
      <c r="BW147" s="886"/>
      <c r="BX147" s="886"/>
      <c r="BY147" s="880"/>
      <c r="CA147" s="885"/>
      <c r="CB147" s="886"/>
      <c r="CC147" s="886"/>
      <c r="CD147" s="886"/>
      <c r="CE147" s="886"/>
      <c r="CF147" s="886"/>
      <c r="CG147" s="880"/>
      <c r="CI147" s="885"/>
      <c r="CJ147" s="886"/>
      <c r="CK147" s="886"/>
      <c r="CL147" s="886"/>
      <c r="CM147" s="886"/>
      <c r="CN147" s="886"/>
      <c r="CO147" s="880"/>
      <c r="CQ147" s="94"/>
    </row>
    <row r="148" spans="1:98" s="1862" customFormat="1" ht="15" customHeight="1" x14ac:dyDescent="0.2">
      <c r="B148" s="1832"/>
      <c r="C148" s="6634" t="s">
        <v>641</v>
      </c>
      <c r="D148" s="1004"/>
      <c r="E148" s="760"/>
      <c r="F148" s="6561" t="s">
        <v>771</v>
      </c>
      <c r="G148" s="6561"/>
      <c r="H148" s="1338"/>
      <c r="I148" s="1338"/>
      <c r="J148" s="6628"/>
      <c r="K148" s="1338"/>
      <c r="L148" s="1338"/>
      <c r="M148" s="1148"/>
      <c r="N148" s="2499"/>
      <c r="O148" s="6157"/>
      <c r="P148" s="6157"/>
      <c r="Q148" s="974"/>
      <c r="R148" s="974"/>
      <c r="S148" s="1866"/>
      <c r="T148" s="6635" t="s">
        <v>146</v>
      </c>
      <c r="U148" s="1869"/>
      <c r="W148" s="1866"/>
      <c r="X148" s="1867"/>
      <c r="Y148" s="6550" t="str">
        <f>_Calcs!$JM$57</f>
        <v>Ingen</v>
      </c>
      <c r="Z148" s="598"/>
      <c r="AA148" s="6552" t="str">
        <f>IF(_Calcs!$JV$38=0,"✓","!")</f>
        <v>!</v>
      </c>
      <c r="AB148" s="598"/>
      <c r="AC148" s="1148"/>
      <c r="AE148" s="1866"/>
      <c r="AF148" s="1867"/>
      <c r="AG148" s="6550" t="str">
        <f>_Calcs!$JM$58</f>
        <v>Ingen</v>
      </c>
      <c r="AH148" s="598"/>
      <c r="AI148" s="6552" t="str">
        <f>IF(_Calcs!$JV$39=0,"✓","!")</f>
        <v>!</v>
      </c>
      <c r="AJ148" s="598"/>
      <c r="AK148" s="1148"/>
      <c r="AM148" s="1866"/>
      <c r="AN148" s="1867"/>
      <c r="AO148" s="6550" t="str">
        <f>_Calcs!$JM$59</f>
        <v>Ingen</v>
      </c>
      <c r="AP148" s="598"/>
      <c r="AQ148" s="6552" t="str">
        <f>IF(_Calcs!$JV$40=0,"✓","!")</f>
        <v>!</v>
      </c>
      <c r="AR148" s="598"/>
      <c r="AS148" s="1148"/>
      <c r="AU148" s="1866"/>
      <c r="AV148" s="1867"/>
      <c r="AW148" s="6550" t="str">
        <f>_Calcs!$JM$60</f>
        <v>Ingen</v>
      </c>
      <c r="AX148" s="598"/>
      <c r="AY148" s="6552" t="str">
        <f>IF(_Calcs!$JV$41=0,"✓","!")</f>
        <v>!</v>
      </c>
      <c r="AZ148" s="598"/>
      <c r="BA148" s="1148"/>
      <c r="BC148" s="1866"/>
      <c r="BD148" s="1867"/>
      <c r="BE148" s="6550" t="str">
        <f>_Calcs!$JM$61</f>
        <v>Ingen</v>
      </c>
      <c r="BF148" s="598"/>
      <c r="BG148" s="6552" t="str">
        <f>IF(_Calcs!$JV$42=0,"✓","!")</f>
        <v>!</v>
      </c>
      <c r="BH148" s="598"/>
      <c r="BI148" s="1148"/>
      <c r="BK148" s="1866"/>
      <c r="BL148" s="1867"/>
      <c r="BM148" s="6550" t="str">
        <f>_Calcs!$JM$62</f>
        <v>Ingen</v>
      </c>
      <c r="BN148" s="598"/>
      <c r="BO148" s="6552" t="str">
        <f>IF(_Calcs!$JV$43=0,"✓","!")</f>
        <v>!</v>
      </c>
      <c r="BP148" s="598"/>
      <c r="BQ148" s="1148"/>
      <c r="BS148" s="1866"/>
      <c r="BT148" s="1867"/>
      <c r="BU148" s="6550" t="str">
        <f>_Calcs!$JM$63</f>
        <v>Ingen</v>
      </c>
      <c r="BV148" s="598"/>
      <c r="BW148" s="6552" t="str">
        <f>IF(_Calcs!$JV$44=0,"✓","!")</f>
        <v>!</v>
      </c>
      <c r="BX148" s="598"/>
      <c r="BY148" s="1148"/>
      <c r="CA148" s="1866"/>
      <c r="CB148" s="1867"/>
      <c r="CC148" s="6550" t="str">
        <f>_Calcs!$JM$64</f>
        <v>Ingen</v>
      </c>
      <c r="CD148" s="598"/>
      <c r="CE148" s="6552" t="str">
        <f>IF(_Calcs!$JV$45=0,"✓","!")</f>
        <v>!</v>
      </c>
      <c r="CF148" s="598"/>
      <c r="CG148" s="1148"/>
      <c r="CI148" s="1866"/>
      <c r="CJ148" s="1867"/>
      <c r="CK148" s="6550" t="str">
        <f>_Calcs!$JM$65</f>
        <v>Ingen</v>
      </c>
      <c r="CL148" s="598"/>
      <c r="CM148" s="6552" t="str">
        <f>IF(_Calcs!$JV$46=0,"✓","!")</f>
        <v>!</v>
      </c>
      <c r="CN148" s="598"/>
      <c r="CO148" s="1148"/>
      <c r="CQ148" s="1865"/>
    </row>
    <row r="149" spans="1:98" s="1862" customFormat="1" ht="15" customHeight="1" thickBot="1" x14ac:dyDescent="0.25">
      <c r="B149" s="1832"/>
      <c r="C149" s="6634"/>
      <c r="D149" s="1004"/>
      <c r="E149" s="760"/>
      <c r="F149" s="6561"/>
      <c r="G149" s="6561"/>
      <c r="H149" s="1338"/>
      <c r="I149" s="1338"/>
      <c r="J149" s="6628"/>
      <c r="K149" s="1338"/>
      <c r="L149" s="1338"/>
      <c r="M149" s="1148"/>
      <c r="N149" s="2499"/>
      <c r="O149" s="6157"/>
      <c r="P149" s="6157"/>
      <c r="Q149" s="974"/>
      <c r="R149" s="974"/>
      <c r="S149" s="1866"/>
      <c r="T149" s="6635"/>
      <c r="U149" s="1869"/>
      <c r="W149" s="1866"/>
      <c r="X149" s="1867"/>
      <c r="Y149" s="6551"/>
      <c r="Z149" s="598"/>
      <c r="AA149" s="6553"/>
      <c r="AB149" s="598"/>
      <c r="AC149" s="1148"/>
      <c r="AE149" s="1866"/>
      <c r="AF149" s="1867"/>
      <c r="AG149" s="6551"/>
      <c r="AH149" s="598"/>
      <c r="AI149" s="6553"/>
      <c r="AJ149" s="598"/>
      <c r="AK149" s="1148"/>
      <c r="AM149" s="1866"/>
      <c r="AN149" s="1867"/>
      <c r="AO149" s="6551"/>
      <c r="AP149" s="598"/>
      <c r="AQ149" s="6553"/>
      <c r="AR149" s="598"/>
      <c r="AS149" s="1148"/>
      <c r="AU149" s="1866"/>
      <c r="AV149" s="1867"/>
      <c r="AW149" s="6551"/>
      <c r="AX149" s="598"/>
      <c r="AY149" s="6553"/>
      <c r="AZ149" s="598"/>
      <c r="BA149" s="1148"/>
      <c r="BC149" s="1866"/>
      <c r="BD149" s="1867"/>
      <c r="BE149" s="6551"/>
      <c r="BF149" s="598"/>
      <c r="BG149" s="6553"/>
      <c r="BH149" s="598"/>
      <c r="BI149" s="1148"/>
      <c r="BK149" s="1866"/>
      <c r="BL149" s="1867"/>
      <c r="BM149" s="6551"/>
      <c r="BN149" s="598"/>
      <c r="BO149" s="6553"/>
      <c r="BP149" s="598"/>
      <c r="BQ149" s="1148"/>
      <c r="BS149" s="1866"/>
      <c r="BT149" s="1867"/>
      <c r="BU149" s="6551"/>
      <c r="BV149" s="598"/>
      <c r="BW149" s="6553"/>
      <c r="BX149" s="598"/>
      <c r="BY149" s="1148"/>
      <c r="CA149" s="1866"/>
      <c r="CB149" s="1867"/>
      <c r="CC149" s="6551"/>
      <c r="CD149" s="598"/>
      <c r="CE149" s="6553"/>
      <c r="CF149" s="598"/>
      <c r="CG149" s="1148"/>
      <c r="CI149" s="1866"/>
      <c r="CJ149" s="1867"/>
      <c r="CK149" s="6551"/>
      <c r="CL149" s="598"/>
      <c r="CM149" s="6553"/>
      <c r="CN149" s="598"/>
      <c r="CO149" s="1148"/>
      <c r="CQ149" s="1865"/>
    </row>
    <row r="150" spans="1:98" s="1862" customFormat="1" ht="15" customHeight="1" thickBot="1" x14ac:dyDescent="0.25">
      <c r="B150" s="1832"/>
      <c r="C150" s="1863"/>
      <c r="D150" s="1004"/>
      <c r="E150" s="761"/>
      <c r="F150" s="1989"/>
      <c r="G150" s="762"/>
      <c r="H150" s="762"/>
      <c r="I150" s="762"/>
      <c r="J150" s="1993"/>
      <c r="K150" s="762"/>
      <c r="L150" s="762"/>
      <c r="M150" s="1864"/>
      <c r="N150" s="2499"/>
      <c r="O150" s="6157"/>
      <c r="P150" s="6157"/>
      <c r="Q150" s="974"/>
      <c r="R150" s="974"/>
      <c r="S150" s="1430"/>
      <c r="T150" s="897"/>
      <c r="U150" s="1864"/>
      <c r="W150" s="761"/>
      <c r="X150" s="762"/>
      <c r="Y150" s="762"/>
      <c r="Z150" s="762"/>
      <c r="AA150" s="762"/>
      <c r="AB150" s="762"/>
      <c r="AC150" s="1864"/>
      <c r="AE150" s="761"/>
      <c r="AF150" s="762"/>
      <c r="AG150" s="762"/>
      <c r="AH150" s="762"/>
      <c r="AI150" s="762"/>
      <c r="AJ150" s="762"/>
      <c r="AK150" s="1864"/>
      <c r="AM150" s="761"/>
      <c r="AN150" s="762"/>
      <c r="AO150" s="762"/>
      <c r="AP150" s="762"/>
      <c r="AQ150" s="762"/>
      <c r="AR150" s="762"/>
      <c r="AS150" s="1864"/>
      <c r="AU150" s="761"/>
      <c r="AV150" s="762"/>
      <c r="AW150" s="762"/>
      <c r="AX150" s="762"/>
      <c r="AY150" s="762"/>
      <c r="AZ150" s="762"/>
      <c r="BA150" s="1864"/>
      <c r="BC150" s="761"/>
      <c r="BD150" s="762"/>
      <c r="BE150" s="762"/>
      <c r="BF150" s="762"/>
      <c r="BG150" s="762"/>
      <c r="BH150" s="762"/>
      <c r="BI150" s="1864"/>
      <c r="BK150" s="761"/>
      <c r="BL150" s="762"/>
      <c r="BM150" s="762"/>
      <c r="BN150" s="762"/>
      <c r="BO150" s="762"/>
      <c r="BP150" s="762"/>
      <c r="BQ150" s="1864"/>
      <c r="BS150" s="761"/>
      <c r="BT150" s="762"/>
      <c r="BU150" s="762"/>
      <c r="BV150" s="762"/>
      <c r="BW150" s="762"/>
      <c r="BX150" s="762"/>
      <c r="BY150" s="1864"/>
      <c r="CA150" s="761"/>
      <c r="CB150" s="762"/>
      <c r="CC150" s="762"/>
      <c r="CD150" s="762"/>
      <c r="CE150" s="762"/>
      <c r="CF150" s="762"/>
      <c r="CG150" s="1864"/>
      <c r="CI150" s="761"/>
      <c r="CJ150" s="762"/>
      <c r="CK150" s="762"/>
      <c r="CL150" s="762"/>
      <c r="CM150" s="762"/>
      <c r="CN150" s="762"/>
      <c r="CO150" s="1864"/>
      <c r="CQ150" s="598"/>
    </row>
    <row r="151" spans="1:98" ht="15" thickBot="1" x14ac:dyDescent="0.25">
      <c r="N151" s="78"/>
      <c r="O151" s="78"/>
      <c r="P151" s="78"/>
      <c r="Q151" s="21"/>
      <c r="R151" s="21"/>
      <c r="S151" s="21"/>
      <c r="T151" s="15"/>
      <c r="U151" s="21"/>
      <c r="X151" s="115"/>
      <c r="AA151" s="70"/>
      <c r="AD151" s="70"/>
      <c r="AE151" s="114"/>
      <c r="AH151" s="115"/>
      <c r="AI151" s="70"/>
      <c r="AL151" s="70"/>
      <c r="AM151" s="114"/>
      <c r="AP151" s="115"/>
      <c r="AQ151" s="70"/>
      <c r="AU151" s="114"/>
      <c r="AY151" s="70"/>
      <c r="BB151" s="70"/>
      <c r="BC151" s="114"/>
      <c r="BF151" s="115"/>
      <c r="BG151" s="70"/>
      <c r="BJ151" s="70"/>
      <c r="BK151" s="114"/>
      <c r="BN151" s="115"/>
      <c r="BO151" s="70"/>
      <c r="BS151" s="114"/>
      <c r="BW151" s="70"/>
      <c r="BZ151" s="70"/>
      <c r="CA151" s="114"/>
      <c r="CD151" s="115"/>
      <c r="CE151" s="70"/>
      <c r="CH151" s="70"/>
      <c r="CI151" s="114"/>
      <c r="CL151" s="115"/>
      <c r="CM151" s="70"/>
      <c r="CP151" s="70"/>
      <c r="CQ151" s="114"/>
      <c r="CR151" s="70"/>
      <c r="CS151" s="70"/>
    </row>
    <row r="152" spans="1:98" ht="39.950000000000003" customHeight="1" thickBot="1" x14ac:dyDescent="0.25">
      <c r="A152" s="25"/>
      <c r="B152" s="25"/>
      <c r="C152" s="1744"/>
      <c r="D152" s="25"/>
      <c r="E152" s="1745"/>
      <c r="F152" s="1746"/>
      <c r="G152" s="1746"/>
      <c r="H152" s="1746"/>
      <c r="I152" s="1746"/>
      <c r="J152" s="2062"/>
      <c r="K152" s="1746"/>
      <c r="L152" s="1746"/>
      <c r="M152" s="1771"/>
      <c r="N152" s="1749"/>
      <c r="O152" s="6169"/>
      <c r="P152" s="6169"/>
      <c r="Q152" s="6170"/>
      <c r="R152" s="6170"/>
      <c r="S152" s="6169"/>
      <c r="T152" s="6169"/>
      <c r="U152" s="6169"/>
      <c r="V152" s="21"/>
      <c r="W152" s="1747"/>
      <c r="X152" s="6633" t="str">
        <f>_Calcs!$NO$36</f>
        <v>Stuff 1-1</v>
      </c>
      <c r="Y152" s="6633"/>
      <c r="Z152" s="6633"/>
      <c r="AA152" s="6633"/>
      <c r="AB152" s="3925"/>
      <c r="AC152" s="1748"/>
      <c r="AD152" s="21"/>
      <c r="AE152" s="1747"/>
      <c r="AF152" s="6633" t="str">
        <f>_Calcs!$NP$36</f>
        <v/>
      </c>
      <c r="AG152" s="6633"/>
      <c r="AH152" s="6633"/>
      <c r="AI152" s="6633"/>
      <c r="AJ152" s="3925"/>
      <c r="AK152" s="1748"/>
      <c r="AL152" s="21"/>
      <c r="AM152" s="1747"/>
      <c r="AN152" s="6633" t="str">
        <f>_Calcs!$NQ$36</f>
        <v/>
      </c>
      <c r="AO152" s="6633"/>
      <c r="AP152" s="6633"/>
      <c r="AQ152" s="6633"/>
      <c r="AR152" s="3925"/>
      <c r="AS152" s="1748"/>
      <c r="AT152" s="21"/>
      <c r="AU152" s="1747"/>
      <c r="AV152" s="6633" t="str">
        <f>_Calcs!$NR$36</f>
        <v/>
      </c>
      <c r="AW152" s="6633"/>
      <c r="AX152" s="6633"/>
      <c r="AY152" s="6633"/>
      <c r="AZ152" s="3925"/>
      <c r="BA152" s="1748"/>
      <c r="BB152" s="21"/>
      <c r="BC152" s="1747"/>
      <c r="BD152" s="6633" t="str">
        <f>_Calcs!$NS$36</f>
        <v/>
      </c>
      <c r="BE152" s="6633"/>
      <c r="BF152" s="6633"/>
      <c r="BG152" s="6633"/>
      <c r="BH152" s="3925"/>
      <c r="BI152" s="1748"/>
      <c r="BJ152" s="21"/>
      <c r="BK152" s="1747"/>
      <c r="BL152" s="6633" t="str">
        <f>_Calcs!$NT$36</f>
        <v/>
      </c>
      <c r="BM152" s="6633"/>
      <c r="BN152" s="6633"/>
      <c r="BO152" s="6633"/>
      <c r="BP152" s="3925"/>
      <c r="BQ152" s="1748"/>
      <c r="BR152" s="21"/>
      <c r="BS152" s="1747"/>
      <c r="BT152" s="6633" t="str">
        <f>_Calcs!$NU$36</f>
        <v/>
      </c>
      <c r="BU152" s="6633"/>
      <c r="BV152" s="6633"/>
      <c r="BW152" s="6633"/>
      <c r="BX152" s="3925"/>
      <c r="BY152" s="1748"/>
      <c r="BZ152" s="21"/>
      <c r="CA152" s="1747"/>
      <c r="CB152" s="6633" t="str">
        <f>_Calcs!$NV$36</f>
        <v/>
      </c>
      <c r="CC152" s="6633"/>
      <c r="CD152" s="6633"/>
      <c r="CE152" s="6633"/>
      <c r="CF152" s="3925"/>
      <c r="CG152" s="1748"/>
      <c r="CH152" s="21"/>
      <c r="CI152" s="1747"/>
      <c r="CJ152" s="6633" t="str">
        <f>_Calcs!$NW$36</f>
        <v/>
      </c>
      <c r="CK152" s="6633"/>
      <c r="CL152" s="6633"/>
      <c r="CM152" s="6633"/>
      <c r="CN152" s="3925"/>
      <c r="CO152" s="1748"/>
      <c r="CP152" s="21"/>
      <c r="CQ152" s="83"/>
      <c r="CR152" s="21"/>
      <c r="CS152" s="21"/>
      <c r="CT152" s="21"/>
    </row>
    <row r="153" spans="1:98" ht="30" customHeight="1" x14ac:dyDescent="0.2"/>
    <row r="154" spans="1:98" ht="5.0999999999999996" customHeight="1" x14ac:dyDescent="0.2">
      <c r="A154" s="25"/>
      <c r="B154" s="25"/>
      <c r="C154" s="2275"/>
      <c r="D154" s="25"/>
      <c r="E154" s="2276"/>
      <c r="F154" s="2277"/>
      <c r="G154" s="2277"/>
      <c r="H154" s="2277"/>
      <c r="I154" s="2277"/>
      <c r="J154" s="2275"/>
      <c r="K154" s="2275"/>
      <c r="L154" s="2275"/>
      <c r="M154" s="2277"/>
      <c r="N154" s="78"/>
      <c r="O154" s="2277"/>
      <c r="P154" s="2277"/>
      <c r="Q154" s="2277"/>
      <c r="R154" s="2277"/>
      <c r="S154" s="2277"/>
      <c r="T154" s="2277"/>
      <c r="U154" s="2277"/>
      <c r="W154" s="2275"/>
      <c r="X154" s="2275"/>
      <c r="Y154" s="2275"/>
      <c r="Z154" s="2275"/>
      <c r="AA154" s="2275"/>
      <c r="AB154" s="2277"/>
      <c r="AC154" s="2277"/>
      <c r="AD154" s="70"/>
      <c r="AE154" s="2275"/>
      <c r="AF154" s="2275"/>
      <c r="AG154" s="2275"/>
      <c r="AH154" s="2275"/>
      <c r="AI154" s="2275"/>
      <c r="AJ154" s="2277"/>
      <c r="AK154" s="2277"/>
      <c r="AL154" s="70"/>
      <c r="AM154" s="2275"/>
      <c r="AN154" s="2275"/>
      <c r="AO154" s="2275"/>
      <c r="AP154" s="2275"/>
      <c r="AQ154" s="2275"/>
      <c r="AR154" s="2277"/>
      <c r="AS154" s="2277"/>
      <c r="AT154" s="78"/>
      <c r="AU154" s="2275"/>
      <c r="AV154" s="2275"/>
      <c r="AW154" s="2275"/>
      <c r="AX154" s="2275"/>
      <c r="AY154" s="2275"/>
      <c r="AZ154" s="2277"/>
      <c r="BA154" s="2277"/>
      <c r="BB154" s="70"/>
      <c r="BC154" s="2275"/>
      <c r="BD154" s="2275"/>
      <c r="BE154" s="2275"/>
      <c r="BF154" s="2275"/>
      <c r="BG154" s="2275"/>
      <c r="BH154" s="2277"/>
      <c r="BI154" s="2277"/>
      <c r="BJ154" s="70"/>
      <c r="BK154" s="2275"/>
      <c r="BL154" s="2275"/>
      <c r="BM154" s="2275"/>
      <c r="BN154" s="2275"/>
      <c r="BO154" s="2275"/>
      <c r="BP154" s="2277"/>
      <c r="BQ154" s="2277"/>
      <c r="BS154" s="2275"/>
      <c r="BT154" s="2275"/>
      <c r="BU154" s="2275"/>
      <c r="BV154" s="2275"/>
      <c r="BW154" s="2275"/>
      <c r="BX154" s="2277"/>
      <c r="BY154" s="2277"/>
      <c r="BZ154" s="70"/>
      <c r="CA154" s="2275"/>
      <c r="CB154" s="2275"/>
      <c r="CC154" s="2275"/>
      <c r="CD154" s="2275"/>
      <c r="CE154" s="2275"/>
      <c r="CF154" s="2277"/>
      <c r="CG154" s="2277"/>
      <c r="CH154" s="78"/>
      <c r="CI154" s="2275"/>
      <c r="CJ154" s="2275"/>
      <c r="CK154" s="2275"/>
      <c r="CL154" s="2275"/>
      <c r="CM154" s="2275"/>
      <c r="CN154" s="2277"/>
      <c r="CO154" s="2277"/>
      <c r="CP154" s="70"/>
      <c r="CQ154" s="2285"/>
      <c r="CR154" s="2279"/>
      <c r="CS154" s="2279"/>
      <c r="CT154" s="2279"/>
    </row>
    <row r="155" spans="1:98" ht="3.75" customHeight="1" x14ac:dyDescent="0.2">
      <c r="A155" s="25"/>
      <c r="B155" s="25"/>
      <c r="C155" s="13"/>
      <c r="D155" s="25"/>
      <c r="E155" s="14"/>
      <c r="G155" s="15"/>
      <c r="H155" s="15"/>
      <c r="I155" s="15"/>
      <c r="J155" s="16"/>
      <c r="K155" s="16"/>
      <c r="L155" s="16"/>
      <c r="M155" s="17"/>
      <c r="N155" s="78"/>
      <c r="O155" s="15"/>
      <c r="P155" s="15"/>
      <c r="Q155" s="15"/>
      <c r="R155" s="15"/>
      <c r="S155" s="15"/>
      <c r="T155" s="15"/>
      <c r="U155" s="15"/>
      <c r="W155" s="16"/>
      <c r="X155" s="16"/>
      <c r="Y155" s="16"/>
      <c r="Z155" s="16"/>
      <c r="AA155" s="16"/>
      <c r="AB155" s="18"/>
      <c r="AC155" s="18"/>
      <c r="AD155" s="70"/>
      <c r="AE155" s="16"/>
      <c r="AF155" s="16"/>
      <c r="AG155" s="16"/>
      <c r="AH155" s="16"/>
      <c r="AI155" s="16"/>
      <c r="AJ155" s="18"/>
      <c r="AK155" s="18"/>
      <c r="AL155" s="70"/>
      <c r="AM155" s="16"/>
      <c r="AN155" s="16"/>
      <c r="AO155" s="16"/>
      <c r="AP155" s="16"/>
      <c r="AQ155" s="16"/>
      <c r="AR155" s="18"/>
      <c r="AS155" s="18"/>
      <c r="AT155" s="78"/>
      <c r="AU155" s="16"/>
      <c r="AV155" s="16"/>
      <c r="AW155" s="16"/>
      <c r="AX155" s="16"/>
      <c r="AY155" s="16"/>
      <c r="AZ155" s="18"/>
      <c r="BA155" s="18"/>
      <c r="BB155" s="70"/>
      <c r="BC155" s="16"/>
      <c r="BD155" s="16"/>
      <c r="BE155" s="16"/>
      <c r="BF155" s="16"/>
      <c r="BG155" s="16"/>
      <c r="BH155" s="18"/>
      <c r="BI155" s="18"/>
      <c r="BJ155" s="70"/>
      <c r="BK155" s="16"/>
      <c r="BL155" s="16"/>
      <c r="BM155" s="16"/>
      <c r="BN155" s="16"/>
      <c r="BO155" s="16"/>
      <c r="BP155" s="18"/>
      <c r="BQ155" s="18"/>
      <c r="BS155" s="16"/>
      <c r="BT155" s="16"/>
      <c r="BU155" s="16"/>
      <c r="BV155" s="16"/>
      <c r="BW155" s="16"/>
      <c r="BX155" s="18"/>
      <c r="BY155" s="18"/>
      <c r="BZ155" s="70"/>
      <c r="CA155" s="16"/>
      <c r="CB155" s="16"/>
      <c r="CC155" s="16"/>
      <c r="CD155" s="16"/>
      <c r="CE155" s="16"/>
      <c r="CF155" s="18"/>
      <c r="CG155" s="18"/>
      <c r="CH155" s="78"/>
      <c r="CI155" s="16"/>
      <c r="CJ155" s="16"/>
      <c r="CK155" s="16"/>
      <c r="CL155" s="16"/>
      <c r="CM155" s="16"/>
      <c r="CN155" s="18"/>
      <c r="CO155" s="18"/>
      <c r="CP155" s="70"/>
      <c r="CQ155" s="16"/>
      <c r="CR155" s="16"/>
      <c r="CS155" s="16"/>
      <c r="CT155" s="16"/>
    </row>
    <row r="156" spans="1:98" ht="12" customHeight="1" x14ac:dyDescent="0.2">
      <c r="A156" s="25"/>
      <c r="B156" s="25"/>
      <c r="C156" s="2275"/>
      <c r="D156" s="25"/>
      <c r="E156" s="2276"/>
      <c r="F156" s="2277"/>
      <c r="G156" s="2277"/>
      <c r="H156" s="2277"/>
      <c r="I156" s="2277"/>
      <c r="J156" s="2275"/>
      <c r="K156" s="2275"/>
      <c r="L156" s="2275"/>
      <c r="M156" s="2277"/>
      <c r="N156" s="78"/>
      <c r="O156" s="2277"/>
      <c r="P156" s="2277"/>
      <c r="Q156" s="2277"/>
      <c r="R156" s="2277"/>
      <c r="S156" s="2277"/>
      <c r="T156" s="2277"/>
      <c r="U156" s="2277"/>
      <c r="W156" s="2275"/>
      <c r="X156" s="2275"/>
      <c r="Y156" s="2275"/>
      <c r="Z156" s="2275"/>
      <c r="AA156" s="2275"/>
      <c r="AB156" s="2277"/>
      <c r="AC156" s="2277"/>
      <c r="AD156" s="70"/>
      <c r="AE156" s="2275"/>
      <c r="AF156" s="2275"/>
      <c r="AG156" s="2275"/>
      <c r="AH156" s="2275"/>
      <c r="AI156" s="2275"/>
      <c r="AJ156" s="2277"/>
      <c r="AK156" s="2277"/>
      <c r="AL156" s="70"/>
      <c r="AM156" s="2275"/>
      <c r="AN156" s="2275"/>
      <c r="AO156" s="2275"/>
      <c r="AP156" s="2275"/>
      <c r="AQ156" s="2275"/>
      <c r="AR156" s="2277"/>
      <c r="AS156" s="2277"/>
      <c r="AT156" s="78"/>
      <c r="AU156" s="2275"/>
      <c r="AV156" s="2275"/>
      <c r="AW156" s="2275"/>
      <c r="AX156" s="2275"/>
      <c r="AY156" s="2275"/>
      <c r="AZ156" s="2277"/>
      <c r="BA156" s="2277"/>
      <c r="BB156" s="70"/>
      <c r="BC156" s="2275"/>
      <c r="BD156" s="2275"/>
      <c r="BE156" s="2275"/>
      <c r="BF156" s="2275"/>
      <c r="BG156" s="2275"/>
      <c r="BH156" s="2277"/>
      <c r="BI156" s="2277"/>
      <c r="BJ156" s="70"/>
      <c r="BK156" s="2275"/>
      <c r="BL156" s="2275"/>
      <c r="BM156" s="2275"/>
      <c r="BN156" s="2275"/>
      <c r="BO156" s="2275"/>
      <c r="BP156" s="2277"/>
      <c r="BQ156" s="2277"/>
      <c r="BS156" s="2275"/>
      <c r="BT156" s="2275"/>
      <c r="BU156" s="2275"/>
      <c r="BV156" s="2275"/>
      <c r="BW156" s="2275"/>
      <c r="BX156" s="2277"/>
      <c r="BY156" s="2277"/>
      <c r="BZ156" s="70"/>
      <c r="CA156" s="2275"/>
      <c r="CB156" s="2275"/>
      <c r="CC156" s="2275"/>
      <c r="CD156" s="2275"/>
      <c r="CE156" s="2275"/>
      <c r="CF156" s="2277"/>
      <c r="CG156" s="2277"/>
      <c r="CH156" s="78"/>
      <c r="CI156" s="2275"/>
      <c r="CJ156" s="2275"/>
      <c r="CK156" s="2275"/>
      <c r="CL156" s="2275"/>
      <c r="CM156" s="2275"/>
      <c r="CN156" s="2277"/>
      <c r="CO156" s="2277"/>
      <c r="CP156" s="70"/>
      <c r="CQ156" s="2285"/>
      <c r="CR156" s="2279"/>
      <c r="CS156" s="2279"/>
      <c r="CT156" s="2279"/>
    </row>
    <row r="157" spans="1:98" ht="50.1" customHeight="1" x14ac:dyDescent="0.2"/>
  </sheetData>
  <sheetProtection algorithmName="SHA-512" hashValue="a0Si3HT3nzPIdpRRm+XubeBemXX6i3M2NMEnthGq+crhUAQrePgaNm+dc1dy7TseGzJJ3078SCFP7UkWvNk6rw==" saltValue="xVZXz3hn/VzDxQnu4Z4FUg==" spinCount="100000" sheet="1" objects="1" scenarios="1"/>
  <mergeCells count="211">
    <mergeCell ref="C42:C46"/>
    <mergeCell ref="E16:M17"/>
    <mergeCell ref="CE48:CE49"/>
    <mergeCell ref="CK48:CK49"/>
    <mergeCell ref="P26:S26"/>
    <mergeCell ref="P30:S30"/>
    <mergeCell ref="CM48:CM49"/>
    <mergeCell ref="E41:M42"/>
    <mergeCell ref="CC48:CC49"/>
    <mergeCell ref="P36:S36"/>
    <mergeCell ref="C17:C20"/>
    <mergeCell ref="E56:M57"/>
    <mergeCell ref="AW48:AW49"/>
    <mergeCell ref="AY48:AY49"/>
    <mergeCell ref="BE48:BE49"/>
    <mergeCell ref="BG48:BG49"/>
    <mergeCell ref="BM48:BM49"/>
    <mergeCell ref="BO48:BO49"/>
    <mergeCell ref="BU48:BU49"/>
    <mergeCell ref="BW48:BW49"/>
    <mergeCell ref="P48:P49"/>
    <mergeCell ref="T48:T49"/>
    <mergeCell ref="Y48:Y49"/>
    <mergeCell ref="AA48:AA49"/>
    <mergeCell ref="AG48:AG49"/>
    <mergeCell ref="AI48:AI49"/>
    <mergeCell ref="AO48:AO49"/>
    <mergeCell ref="AQ48:AQ49"/>
    <mergeCell ref="F11:G11"/>
    <mergeCell ref="P63:P64"/>
    <mergeCell ref="T63:T64"/>
    <mergeCell ref="BL14:BO14"/>
    <mergeCell ref="CJ14:CM14"/>
    <mergeCell ref="AW63:AW64"/>
    <mergeCell ref="BE63:BE64"/>
    <mergeCell ref="BM63:BM64"/>
    <mergeCell ref="CK63:CK64"/>
    <mergeCell ref="CB14:CE14"/>
    <mergeCell ref="CC63:CC64"/>
    <mergeCell ref="BT14:BW14"/>
    <mergeCell ref="BU63:BU64"/>
    <mergeCell ref="AI63:AI64"/>
    <mergeCell ref="AQ63:AQ64"/>
    <mergeCell ref="AY63:AY64"/>
    <mergeCell ref="BG63:BG64"/>
    <mergeCell ref="X14:AA14"/>
    <mergeCell ref="AF14:AI14"/>
    <mergeCell ref="AV14:AY14"/>
    <mergeCell ref="BD14:BG14"/>
    <mergeCell ref="AN14:AQ14"/>
    <mergeCell ref="AO63:AO64"/>
    <mergeCell ref="AG63:AG64"/>
    <mergeCell ref="T99:T100"/>
    <mergeCell ref="Y99:Y100"/>
    <mergeCell ref="P99:P100"/>
    <mergeCell ref="AO99:AO100"/>
    <mergeCell ref="AY75:AY76"/>
    <mergeCell ref="AY87:AY88"/>
    <mergeCell ref="AY99:AY100"/>
    <mergeCell ref="AW75:AW76"/>
    <mergeCell ref="P75:P76"/>
    <mergeCell ref="T75:T76"/>
    <mergeCell ref="Y75:Y76"/>
    <mergeCell ref="P87:P88"/>
    <mergeCell ref="T87:T88"/>
    <mergeCell ref="Y87:Y88"/>
    <mergeCell ref="AO75:AO76"/>
    <mergeCell ref="AO87:AO88"/>
    <mergeCell ref="AQ87:AQ88"/>
    <mergeCell ref="AQ99:AQ100"/>
    <mergeCell ref="BE75:BE76"/>
    <mergeCell ref="BM75:BM76"/>
    <mergeCell ref="BM123:BM124"/>
    <mergeCell ref="AW87:AW88"/>
    <mergeCell ref="BE87:BE88"/>
    <mergeCell ref="BM87:BM88"/>
    <mergeCell ref="AW99:AW100"/>
    <mergeCell ref="BE99:BE100"/>
    <mergeCell ref="BM99:BM100"/>
    <mergeCell ref="BG75:BG76"/>
    <mergeCell ref="BG87:BG88"/>
    <mergeCell ref="AQ135:AQ136"/>
    <mergeCell ref="AO111:AO112"/>
    <mergeCell ref="AO123:AO124"/>
    <mergeCell ref="AO135:AO136"/>
    <mergeCell ref="AG75:AG76"/>
    <mergeCell ref="AG87:AG88"/>
    <mergeCell ref="AG99:AG100"/>
    <mergeCell ref="AG111:AG112"/>
    <mergeCell ref="AI75:AI76"/>
    <mergeCell ref="AQ75:AQ76"/>
    <mergeCell ref="AI87:AI88"/>
    <mergeCell ref="AI99:AI100"/>
    <mergeCell ref="AI111:AI112"/>
    <mergeCell ref="AI123:AI124"/>
    <mergeCell ref="AW135:AW136"/>
    <mergeCell ref="Y148:Y149"/>
    <mergeCell ref="E145:M145"/>
    <mergeCell ref="CC99:CC100"/>
    <mergeCell ref="BU135:BU136"/>
    <mergeCell ref="CC135:CC136"/>
    <mergeCell ref="AW111:AW112"/>
    <mergeCell ref="BE111:BE112"/>
    <mergeCell ref="BM111:BM112"/>
    <mergeCell ref="AW123:AW124"/>
    <mergeCell ref="BE123:BE124"/>
    <mergeCell ref="BU99:BU100"/>
    <mergeCell ref="BO99:BO100"/>
    <mergeCell ref="AY111:AY112"/>
    <mergeCell ref="AY123:AY124"/>
    <mergeCell ref="AY135:AY136"/>
    <mergeCell ref="BG99:BG100"/>
    <mergeCell ref="BG111:BG112"/>
    <mergeCell ref="BG123:BG124"/>
    <mergeCell ref="BG135:BG136"/>
    <mergeCell ref="BE135:BE136"/>
    <mergeCell ref="AI135:AI136"/>
    <mergeCell ref="AQ111:AQ112"/>
    <mergeCell ref="AQ123:AQ124"/>
    <mergeCell ref="BM135:BM136"/>
    <mergeCell ref="C148:C149"/>
    <mergeCell ref="T148:T149"/>
    <mergeCell ref="CK135:CK136"/>
    <mergeCell ref="CK99:CK100"/>
    <mergeCell ref="BU111:BU112"/>
    <mergeCell ref="CC111:CC112"/>
    <mergeCell ref="CK111:CK112"/>
    <mergeCell ref="BU123:BU124"/>
    <mergeCell ref="CC123:CC124"/>
    <mergeCell ref="CK123:CK124"/>
    <mergeCell ref="AG123:AG124"/>
    <mergeCell ref="AG135:AG136"/>
    <mergeCell ref="P135:P136"/>
    <mergeCell ref="T135:T136"/>
    <mergeCell ref="Y135:Y136"/>
    <mergeCell ref="P111:P112"/>
    <mergeCell ref="T111:T112"/>
    <mergeCell ref="Y111:Y112"/>
    <mergeCell ref="P123:P124"/>
    <mergeCell ref="T123:T124"/>
    <mergeCell ref="Y123:Y124"/>
    <mergeCell ref="CE148:CE149"/>
    <mergeCell ref="CK148:CK149"/>
    <mergeCell ref="BO63:BO64"/>
    <mergeCell ref="BO75:BO76"/>
    <mergeCell ref="BO87:BO88"/>
    <mergeCell ref="CM148:CM149"/>
    <mergeCell ref="AA75:AA76"/>
    <mergeCell ref="AA87:AA88"/>
    <mergeCell ref="AA99:AA100"/>
    <mergeCell ref="AA111:AA112"/>
    <mergeCell ref="AA123:AA124"/>
    <mergeCell ref="AA135:AA136"/>
    <mergeCell ref="AA148:AA149"/>
    <mergeCell ref="AI148:AI149"/>
    <mergeCell ref="AQ148:AQ149"/>
    <mergeCell ref="AG148:AG149"/>
    <mergeCell ref="AO148:AO149"/>
    <mergeCell ref="AW148:AW149"/>
    <mergeCell ref="AY148:AY149"/>
    <mergeCell ref="BE148:BE149"/>
    <mergeCell ref="BG148:BG149"/>
    <mergeCell ref="BM148:BM149"/>
    <mergeCell ref="BO148:BO149"/>
    <mergeCell ref="BU148:BU149"/>
    <mergeCell ref="BW148:BW149"/>
    <mergeCell ref="CC148:CC149"/>
    <mergeCell ref="BW63:BW64"/>
    <mergeCell ref="BW75:BW76"/>
    <mergeCell ref="BW87:BW88"/>
    <mergeCell ref="BW99:BW100"/>
    <mergeCell ref="BW111:BW112"/>
    <mergeCell ref="BW123:BW124"/>
    <mergeCell ref="BW135:BW136"/>
    <mergeCell ref="CK87:CK88"/>
    <mergeCell ref="CC75:CC76"/>
    <mergeCell ref="CC87:CC88"/>
    <mergeCell ref="CK75:CK76"/>
    <mergeCell ref="CM99:CM100"/>
    <mergeCell ref="CM111:CM112"/>
    <mergeCell ref="CM123:CM124"/>
    <mergeCell ref="CM135:CM136"/>
    <mergeCell ref="BO111:BO112"/>
    <mergeCell ref="BO123:BO124"/>
    <mergeCell ref="BO135:BO136"/>
    <mergeCell ref="BU75:BU76"/>
    <mergeCell ref="BU87:BU88"/>
    <mergeCell ref="F148:G149"/>
    <mergeCell ref="J148:J149"/>
    <mergeCell ref="Y63:Y64"/>
    <mergeCell ref="AA63:AA64"/>
    <mergeCell ref="BT152:BW152"/>
    <mergeCell ref="CB152:CE152"/>
    <mergeCell ref="CJ152:CM152"/>
    <mergeCell ref="O14:U14"/>
    <mergeCell ref="X152:AA152"/>
    <mergeCell ref="AF152:AI152"/>
    <mergeCell ref="AN152:AQ152"/>
    <mergeCell ref="AV152:AY152"/>
    <mergeCell ref="BD152:BG152"/>
    <mergeCell ref="BL152:BO152"/>
    <mergeCell ref="CE63:CE64"/>
    <mergeCell ref="CE75:CE76"/>
    <mergeCell ref="CE87:CE88"/>
    <mergeCell ref="CE99:CE100"/>
    <mergeCell ref="CE111:CE112"/>
    <mergeCell ref="CE123:CE124"/>
    <mergeCell ref="CE135:CE136"/>
    <mergeCell ref="CM63:CM64"/>
    <mergeCell ref="CM75:CM76"/>
    <mergeCell ref="CM87:CM88"/>
  </mergeCells>
  <conditionalFormatting sqref="AA148:AA149">
    <cfRule type="containsText" dxfId="5196" priority="1493" operator="containsText" text="✓">
      <formula>NOT(ISERROR(SEARCH("✓",AA148)))</formula>
    </cfRule>
  </conditionalFormatting>
  <conditionalFormatting sqref="AI148:AI149">
    <cfRule type="containsText" dxfId="5195" priority="1492" operator="containsText" text="✓">
      <formula>NOT(ISERROR(SEARCH("✓",AI148)))</formula>
    </cfRule>
  </conditionalFormatting>
  <conditionalFormatting sqref="AQ148:AQ149">
    <cfRule type="containsText" dxfId="5194" priority="1491" operator="containsText" text="✓">
      <formula>NOT(ISERROR(SEARCH("✓",AQ148)))</formula>
    </cfRule>
  </conditionalFormatting>
  <conditionalFormatting sqref="AY148:AY149">
    <cfRule type="containsText" dxfId="5193" priority="1490" operator="containsText" text="✓">
      <formula>NOT(ISERROR(SEARCH("✓",AY148)))</formula>
    </cfRule>
  </conditionalFormatting>
  <conditionalFormatting sqref="BG148:BG149">
    <cfRule type="containsText" dxfId="5192" priority="1489" operator="containsText" text="✓">
      <formula>NOT(ISERROR(SEARCH("✓",BG148)))</formula>
    </cfRule>
  </conditionalFormatting>
  <conditionalFormatting sqref="BO148:BO149">
    <cfRule type="containsText" dxfId="5191" priority="1488" operator="containsText" text="✓">
      <formula>NOT(ISERROR(SEARCH("✓",BO148)))</formula>
    </cfRule>
  </conditionalFormatting>
  <conditionalFormatting sqref="BW148:BW149">
    <cfRule type="containsText" dxfId="5190" priority="1487" operator="containsText" text="✓">
      <formula>NOT(ISERROR(SEARCH("✓",BW148)))</formula>
    </cfRule>
  </conditionalFormatting>
  <conditionalFormatting sqref="CE148:CE149">
    <cfRule type="containsText" dxfId="5189" priority="1486" operator="containsText" text="✓">
      <formula>NOT(ISERROR(SEARCH("✓",CE148)))</formula>
    </cfRule>
  </conditionalFormatting>
  <conditionalFormatting sqref="CM148:CM149">
    <cfRule type="containsText" dxfId="5188" priority="1485" operator="containsText" text="✓">
      <formula>NOT(ISERROR(SEARCH("✓",CM148)))</formula>
    </cfRule>
  </conditionalFormatting>
  <conditionalFormatting sqref="BW72">
    <cfRule type="expression" dxfId="5187" priority="12327">
      <formula>BW72="✓"</formula>
    </cfRule>
  </conditionalFormatting>
  <conditionalFormatting sqref="BW75:BW76">
    <cfRule type="expression" dxfId="5186" priority="1168">
      <formula>BW75="✓"</formula>
    </cfRule>
  </conditionalFormatting>
  <conditionalFormatting sqref="BW78">
    <cfRule type="expression" dxfId="5185" priority="1167">
      <formula>BW78="✓"</formula>
    </cfRule>
  </conditionalFormatting>
  <conditionalFormatting sqref="BS73:BY73">
    <cfRule type="expression" dxfId="5184" priority="1165">
      <formula>$BU$72="Ja"</formula>
    </cfRule>
  </conditionalFormatting>
  <conditionalFormatting sqref="BW60">
    <cfRule type="expression" dxfId="5183" priority="12292">
      <formula>BW60="✓"</formula>
    </cfRule>
  </conditionalFormatting>
  <conditionalFormatting sqref="BW63:BW64">
    <cfRule type="expression" dxfId="5182" priority="13476">
      <formula>BW63="✓"</formula>
    </cfRule>
  </conditionalFormatting>
  <conditionalFormatting sqref="BW66">
    <cfRule type="expression" dxfId="5181" priority="13011">
      <formula>BW66="✓"</formula>
    </cfRule>
  </conditionalFormatting>
  <conditionalFormatting sqref="BS61:BY61">
    <cfRule type="expression" dxfId="5180" priority="1160">
      <formula>$BU$60="Ja"</formula>
    </cfRule>
  </conditionalFormatting>
  <conditionalFormatting sqref="BU72">
    <cfRule type="expression" dxfId="5179" priority="1163">
      <formula>$BU$72=""</formula>
    </cfRule>
    <cfRule type="expression" dxfId="5178" priority="13511">
      <formula>$BU$72="Ja"</formula>
    </cfRule>
  </conditionalFormatting>
  <conditionalFormatting sqref="BU60">
    <cfRule type="expression" dxfId="5177" priority="1162">
      <formula>$BU$60=""</formula>
    </cfRule>
    <cfRule type="expression" dxfId="5176" priority="12976">
      <formula>$BU$60="Ja"</formula>
    </cfRule>
  </conditionalFormatting>
  <conditionalFormatting sqref="BW84">
    <cfRule type="expression" dxfId="5175" priority="1169">
      <formula>BW84="✓"</formula>
    </cfRule>
  </conditionalFormatting>
  <conditionalFormatting sqref="BW87:BW88">
    <cfRule type="expression" dxfId="5174" priority="1159">
      <formula>BW87="✓"</formula>
    </cfRule>
  </conditionalFormatting>
  <conditionalFormatting sqref="BW90">
    <cfRule type="expression" dxfId="5173" priority="1156">
      <formula>BW90="✓"</formula>
    </cfRule>
  </conditionalFormatting>
  <conditionalFormatting sqref="BS85:BY85">
    <cfRule type="expression" dxfId="5172" priority="1153">
      <formula>$BU$84="Ja"</formula>
    </cfRule>
  </conditionalFormatting>
  <conditionalFormatting sqref="BU84">
    <cfRule type="expression" dxfId="5171" priority="1138">
      <formula>$BU$84=""</formula>
    </cfRule>
    <cfRule type="expression" dxfId="5170" priority="1166">
      <formula>$BU$84="Ja"</formula>
    </cfRule>
  </conditionalFormatting>
  <conditionalFormatting sqref="BW96">
    <cfRule type="expression" dxfId="5169" priority="1155">
      <formula>BW96="✓"</formula>
    </cfRule>
  </conditionalFormatting>
  <conditionalFormatting sqref="BW99:BW100">
    <cfRule type="expression" dxfId="5168" priority="1152">
      <formula>BW99="✓"</formula>
    </cfRule>
  </conditionalFormatting>
  <conditionalFormatting sqref="BW102">
    <cfRule type="expression" dxfId="5167" priority="1150">
      <formula>BW102="✓"</formula>
    </cfRule>
  </conditionalFormatting>
  <conditionalFormatting sqref="BS97:BY97">
    <cfRule type="expression" dxfId="5166" priority="1147">
      <formula>$BU$96="Ja"</formula>
    </cfRule>
  </conditionalFormatting>
  <conditionalFormatting sqref="BU96">
    <cfRule type="expression" dxfId="5165" priority="1137">
      <formula>$BU$96=""</formula>
    </cfRule>
    <cfRule type="expression" dxfId="5164" priority="1164">
      <formula>$BU$96="Ja"</formula>
    </cfRule>
  </conditionalFormatting>
  <conditionalFormatting sqref="BW108">
    <cfRule type="expression" dxfId="5163" priority="1157">
      <formula>BW108="✓"</formula>
    </cfRule>
  </conditionalFormatting>
  <conditionalFormatting sqref="BW111:BW112">
    <cfRule type="expression" dxfId="5162" priority="1146">
      <formula>BW111="✓"</formula>
    </cfRule>
  </conditionalFormatting>
  <conditionalFormatting sqref="BW114">
    <cfRule type="expression" dxfId="5161" priority="1145">
      <formula>BW114="✓"</formula>
    </cfRule>
  </conditionalFormatting>
  <conditionalFormatting sqref="BS109:BY109">
    <cfRule type="expression" dxfId="5160" priority="1141">
      <formula>$BU$108="Ja"</formula>
    </cfRule>
  </conditionalFormatting>
  <conditionalFormatting sqref="BU108">
    <cfRule type="expression" dxfId="5159" priority="1125">
      <formula>$BU$108=""</formula>
    </cfRule>
    <cfRule type="expression" dxfId="5158" priority="1154">
      <formula>$BU$108="Ja"</formula>
    </cfRule>
  </conditionalFormatting>
  <conditionalFormatting sqref="BW120">
    <cfRule type="expression" dxfId="5157" priority="1158">
      <formula>BW120="✓"</formula>
    </cfRule>
  </conditionalFormatting>
  <conditionalFormatting sqref="BW123:BW124">
    <cfRule type="expression" dxfId="5156" priority="1148">
      <formula>BW123="✓"</formula>
    </cfRule>
  </conditionalFormatting>
  <conditionalFormatting sqref="BW126">
    <cfRule type="expression" dxfId="5155" priority="1140">
      <formula>BW126="✓"</formula>
    </cfRule>
  </conditionalFormatting>
  <conditionalFormatting sqref="BS121:BY121">
    <cfRule type="expression" dxfId="5154" priority="1135">
      <formula>$BU$120="Ja"</formula>
    </cfRule>
  </conditionalFormatting>
  <conditionalFormatting sqref="BU120">
    <cfRule type="expression" dxfId="5153" priority="1124">
      <formula>$BU$120=""</formula>
    </cfRule>
    <cfRule type="expression" dxfId="5152" priority="1151">
      <formula>$BU$120="Ja"</formula>
    </cfRule>
  </conditionalFormatting>
  <conditionalFormatting sqref="BW132">
    <cfRule type="expression" dxfId="5151" priority="1161">
      <formula>BW132="✓"</formula>
    </cfRule>
  </conditionalFormatting>
  <conditionalFormatting sqref="BW135:BW136">
    <cfRule type="expression" dxfId="5150" priority="1144">
      <formula>BW135="✓"</formula>
    </cfRule>
  </conditionalFormatting>
  <conditionalFormatting sqref="BW138">
    <cfRule type="expression" dxfId="5149" priority="1139">
      <formula>BW138="✓"</formula>
    </cfRule>
  </conditionalFormatting>
  <conditionalFormatting sqref="BS133:BY133">
    <cfRule type="expression" dxfId="5148" priority="1129">
      <formula>$BU$132="Ja"</formula>
    </cfRule>
  </conditionalFormatting>
  <conditionalFormatting sqref="BU132">
    <cfRule type="expression" dxfId="5147" priority="1128">
      <formula>$BU$132=""</formula>
    </cfRule>
    <cfRule type="expression" dxfId="5146" priority="1142">
      <formula>$BU$132="Ja"</formula>
    </cfRule>
  </conditionalFormatting>
  <conditionalFormatting sqref="CE72">
    <cfRule type="expression" dxfId="5145" priority="12299">
      <formula>CE72="✓"</formula>
    </cfRule>
  </conditionalFormatting>
  <conditionalFormatting sqref="CE75:CE76">
    <cfRule type="expression" dxfId="5144" priority="13589">
      <formula>CE75="✓"</formula>
    </cfRule>
  </conditionalFormatting>
  <conditionalFormatting sqref="CE78">
    <cfRule type="expression" dxfId="5143" priority="12320">
      <formula>CE78="✓"</formula>
    </cfRule>
  </conditionalFormatting>
  <conditionalFormatting sqref="CA73:CG73">
    <cfRule type="expression" dxfId="5142" priority="1018">
      <formula>$CC$72="Ja"</formula>
    </cfRule>
  </conditionalFormatting>
  <conditionalFormatting sqref="CE60">
    <cfRule type="expression" dxfId="5141" priority="1022">
      <formula>CE60="✓"</formula>
    </cfRule>
  </conditionalFormatting>
  <conditionalFormatting sqref="CE63:CE64">
    <cfRule type="expression" dxfId="5140" priority="13004">
      <formula>CE63="✓"</formula>
    </cfRule>
  </conditionalFormatting>
  <conditionalFormatting sqref="CE66">
    <cfRule type="expression" dxfId="5139" priority="1016">
      <formula>CE66="✓"</formula>
    </cfRule>
  </conditionalFormatting>
  <conditionalFormatting sqref="CA61:CG61">
    <cfRule type="expression" dxfId="5138" priority="1013">
      <formula>$CC$60="Ja"</formula>
    </cfRule>
  </conditionalFormatting>
  <conditionalFormatting sqref="CC72">
    <cfRule type="expression" dxfId="5137" priority="1012">
      <formula>$CC$72=""</formula>
    </cfRule>
    <cfRule type="expression" dxfId="5136" priority="12983">
      <formula>$CC$72="Ja"</formula>
    </cfRule>
  </conditionalFormatting>
  <conditionalFormatting sqref="CC60">
    <cfRule type="expression" dxfId="5135" priority="13483">
      <formula>$CC$60=""</formula>
    </cfRule>
    <cfRule type="expression" dxfId="5134" priority="13504">
      <formula>$CC$60="Ja"</formula>
    </cfRule>
  </conditionalFormatting>
  <conditionalFormatting sqref="CE84">
    <cfRule type="expression" dxfId="5133" priority="1019">
      <formula>CE84="✓"</formula>
    </cfRule>
  </conditionalFormatting>
  <conditionalFormatting sqref="CE87:CE88">
    <cfRule type="expression" dxfId="5132" priority="1009">
      <formula>CE87="✓"</formula>
    </cfRule>
  </conditionalFormatting>
  <conditionalFormatting sqref="CE90">
    <cfRule type="expression" dxfId="5131" priority="1008">
      <formula>CE90="✓"</formula>
    </cfRule>
  </conditionalFormatting>
  <conditionalFormatting sqref="CA85:CG85">
    <cfRule type="expression" dxfId="5130" priority="1006">
      <formula>$CC$84="Ja"</formula>
    </cfRule>
  </conditionalFormatting>
  <conditionalFormatting sqref="CC84">
    <cfRule type="expression" dxfId="5129" priority="997">
      <formula>$CC$84=""</formula>
    </cfRule>
    <cfRule type="expression" dxfId="5128" priority="1014">
      <formula>$CC$84="Ja"</formula>
    </cfRule>
  </conditionalFormatting>
  <conditionalFormatting sqref="CE96">
    <cfRule type="expression" dxfId="5127" priority="1017">
      <formula>CE96="✓"</formula>
    </cfRule>
  </conditionalFormatting>
  <conditionalFormatting sqref="CE99:CE100">
    <cfRule type="expression" dxfId="5126" priority="1003">
      <formula>CE99="✓"</formula>
    </cfRule>
  </conditionalFormatting>
  <conditionalFormatting sqref="CE102">
    <cfRule type="expression" dxfId="5125" priority="1002">
      <formula>CE102="✓"</formula>
    </cfRule>
  </conditionalFormatting>
  <conditionalFormatting sqref="CA97:CG97">
    <cfRule type="expression" dxfId="5124" priority="1000">
      <formula>$CC$96="Ja"</formula>
    </cfRule>
  </conditionalFormatting>
  <conditionalFormatting sqref="CC96">
    <cfRule type="expression" dxfId="5123" priority="989">
      <formula>$CC$96=""</formula>
    </cfRule>
    <cfRule type="expression" dxfId="5122" priority="1011">
      <formula>$CC$96="Ja"</formula>
    </cfRule>
  </conditionalFormatting>
  <conditionalFormatting sqref="CE108">
    <cfRule type="expression" dxfId="5121" priority="1010">
      <formula>CE108="✓"</formula>
    </cfRule>
  </conditionalFormatting>
  <conditionalFormatting sqref="CE111:CE112">
    <cfRule type="expression" dxfId="5120" priority="1015">
      <formula>CE111="✓"</formula>
    </cfRule>
  </conditionalFormatting>
  <conditionalFormatting sqref="CE114">
    <cfRule type="expression" dxfId="5119" priority="13433">
      <formula>CE114="✓"</formula>
    </cfRule>
  </conditionalFormatting>
  <conditionalFormatting sqref="CA109:CG109">
    <cfRule type="expression" dxfId="5118" priority="994">
      <formula>$CC$108="Ja"</formula>
    </cfRule>
  </conditionalFormatting>
  <conditionalFormatting sqref="CC108">
    <cfRule type="expression" dxfId="5117" priority="985">
      <formula>$CC$108=""</formula>
    </cfRule>
    <cfRule type="expression" dxfId="5116" priority="1005">
      <formula>$CC$108="Ja"</formula>
    </cfRule>
  </conditionalFormatting>
  <conditionalFormatting sqref="CE120">
    <cfRule type="expression" dxfId="5115" priority="1004">
      <formula>CE120="✓"</formula>
    </cfRule>
  </conditionalFormatting>
  <conditionalFormatting sqref="CE123:CE124">
    <cfRule type="expression" dxfId="5114" priority="993">
      <formula>CE123="✓"</formula>
    </cfRule>
  </conditionalFormatting>
  <conditionalFormatting sqref="CE126">
    <cfRule type="expression" dxfId="5113" priority="995">
      <formula>CE126="✓"</formula>
    </cfRule>
  </conditionalFormatting>
  <conditionalFormatting sqref="CA121:CG121">
    <cfRule type="expression" dxfId="5112" priority="988">
      <formula>$CC$120="Ja"</formula>
    </cfRule>
  </conditionalFormatting>
  <conditionalFormatting sqref="CC120">
    <cfRule type="expression" dxfId="5111" priority="980">
      <formula>$CC$120=""</formula>
    </cfRule>
    <cfRule type="expression" dxfId="5110" priority="999">
      <formula>$CC$120="Ja"</formula>
    </cfRule>
  </conditionalFormatting>
  <conditionalFormatting sqref="CE132">
    <cfRule type="expression" dxfId="5109" priority="1007">
      <formula>CE132="✓"</formula>
    </cfRule>
  </conditionalFormatting>
  <conditionalFormatting sqref="CE135:CE136">
    <cfRule type="expression" dxfId="5108" priority="991">
      <formula>CE135="✓"</formula>
    </cfRule>
  </conditionalFormatting>
  <conditionalFormatting sqref="CE138">
    <cfRule type="expression" dxfId="5107" priority="990">
      <formula>CE138="✓"</formula>
    </cfRule>
  </conditionalFormatting>
  <conditionalFormatting sqref="CA133:CG133">
    <cfRule type="expression" dxfId="5106" priority="982">
      <formula>$CC$132="Ja"</formula>
    </cfRule>
  </conditionalFormatting>
  <conditionalFormatting sqref="CC132">
    <cfRule type="expression" dxfId="5105" priority="978">
      <formula>$CC$132=""</formula>
    </cfRule>
    <cfRule type="expression" dxfId="5104" priority="998">
      <formula>$CC$132="Ja"</formula>
    </cfRule>
  </conditionalFormatting>
  <conditionalFormatting sqref="CM72">
    <cfRule type="expression" dxfId="5103" priority="12306">
      <formula>CM72="✓"</formula>
    </cfRule>
  </conditionalFormatting>
  <conditionalFormatting sqref="CM75:CM76">
    <cfRule type="expression" dxfId="5102" priority="972">
      <formula>CM75="✓"</formula>
    </cfRule>
  </conditionalFormatting>
  <conditionalFormatting sqref="CM78">
    <cfRule type="expression" dxfId="5101" priority="971">
      <formula>CM78="✓"</formula>
    </cfRule>
  </conditionalFormatting>
  <conditionalFormatting sqref="CI73:CO73">
    <cfRule type="expression" dxfId="5100" priority="969">
      <formula>$CK$72="Ja"</formula>
    </cfRule>
  </conditionalFormatting>
  <conditionalFormatting sqref="CM60">
    <cfRule type="expression" dxfId="5099" priority="13490">
      <formula>CM60="✓"</formula>
    </cfRule>
  </conditionalFormatting>
  <conditionalFormatting sqref="CM63:CM64">
    <cfRule type="expression" dxfId="5098" priority="12997">
      <formula>CM63="✓"</formula>
    </cfRule>
  </conditionalFormatting>
  <conditionalFormatting sqref="CM66">
    <cfRule type="expression" dxfId="5097" priority="12990">
      <formula>CM66="✓"</formula>
    </cfRule>
  </conditionalFormatting>
  <conditionalFormatting sqref="CI61:CO61">
    <cfRule type="expression" dxfId="5096" priority="964">
      <formula>$CK$60="Ja"</formula>
    </cfRule>
  </conditionalFormatting>
  <conditionalFormatting sqref="CK72">
    <cfRule type="expression" dxfId="5095" priority="963">
      <formula>$CK$72=""</formula>
    </cfRule>
    <cfRule type="expression" dxfId="5094" priority="973">
      <formula>$CK$72="Ja"</formula>
    </cfRule>
  </conditionalFormatting>
  <conditionalFormatting sqref="CK60">
    <cfRule type="expression" dxfId="5093" priority="962">
      <formula>$CK$60=""</formula>
    </cfRule>
    <cfRule type="expression" dxfId="5092" priority="13497">
      <formula>$CK$60="Ja"</formula>
    </cfRule>
  </conditionalFormatting>
  <conditionalFormatting sqref="CM84">
    <cfRule type="expression" dxfId="5091" priority="968">
      <formula>CM84="✓"</formula>
    </cfRule>
  </conditionalFormatting>
  <conditionalFormatting sqref="CM87:CM88">
    <cfRule type="expression" dxfId="5090" priority="965">
      <formula>CM87="✓"</formula>
    </cfRule>
  </conditionalFormatting>
  <conditionalFormatting sqref="CM90">
    <cfRule type="expression" dxfId="5089" priority="960">
      <formula>CM90="✓"</formula>
    </cfRule>
  </conditionalFormatting>
  <conditionalFormatting sqref="CI85:CO85">
    <cfRule type="expression" dxfId="5088" priority="957">
      <formula>$CK$84="Ja"</formula>
    </cfRule>
  </conditionalFormatting>
  <conditionalFormatting sqref="CK84">
    <cfRule type="expression" dxfId="5087" priority="938">
      <formula>$CK$84=""</formula>
    </cfRule>
    <cfRule type="expression" dxfId="5086" priority="966">
      <formula>$CK$84="Ja"</formula>
    </cfRule>
  </conditionalFormatting>
  <conditionalFormatting sqref="CM96">
    <cfRule type="expression" dxfId="5085" priority="961">
      <formula>CM96="✓"</formula>
    </cfRule>
  </conditionalFormatting>
  <conditionalFormatting sqref="CM99:CM100">
    <cfRule type="expression" dxfId="5084" priority="956">
      <formula>CM99="✓"</formula>
    </cfRule>
  </conditionalFormatting>
  <conditionalFormatting sqref="CM102">
    <cfRule type="expression" dxfId="5083" priority="954">
      <formula>CM102="✓"</formula>
    </cfRule>
  </conditionalFormatting>
  <conditionalFormatting sqref="CI97:CO97">
    <cfRule type="expression" dxfId="5082" priority="951">
      <formula>$CK$96="Ja"</formula>
    </cfRule>
  </conditionalFormatting>
  <conditionalFormatting sqref="CK96">
    <cfRule type="expression" dxfId="5081" priority="932">
      <formula>$CK$96=""</formula>
    </cfRule>
    <cfRule type="expression" dxfId="5080" priority="958">
      <formula>$CK$96="Ja"</formula>
    </cfRule>
  </conditionalFormatting>
  <conditionalFormatting sqref="CM108">
    <cfRule type="expression" dxfId="5079" priority="955">
      <formula>CM108="✓"</formula>
    </cfRule>
  </conditionalFormatting>
  <conditionalFormatting sqref="CM111:CM112">
    <cfRule type="expression" dxfId="5078" priority="12313">
      <formula>CM111="✓"</formula>
    </cfRule>
  </conditionalFormatting>
  <conditionalFormatting sqref="CM114">
    <cfRule type="expression" dxfId="5077" priority="947">
      <formula>CM114="✓"</formula>
    </cfRule>
  </conditionalFormatting>
  <conditionalFormatting sqref="CI109:CO109">
    <cfRule type="expression" dxfId="5076" priority="945">
      <formula>$CK$108="Ja"</formula>
    </cfRule>
  </conditionalFormatting>
  <conditionalFormatting sqref="CK108">
    <cfRule type="expression" dxfId="5075" priority="929">
      <formula>$CK$108=""</formula>
    </cfRule>
    <cfRule type="expression" dxfId="5074" priority="952">
      <formula>$CK$108="Ja"</formula>
    </cfRule>
  </conditionalFormatting>
  <conditionalFormatting sqref="CM120">
    <cfRule type="expression" dxfId="5073" priority="949">
      <formula>CM120="✓"</formula>
    </cfRule>
  </conditionalFormatting>
  <conditionalFormatting sqref="CM123:CM124">
    <cfRule type="expression" dxfId="5072" priority="942">
      <formula>CM123="✓"</formula>
    </cfRule>
  </conditionalFormatting>
  <conditionalFormatting sqref="CM126">
    <cfRule type="expression" dxfId="5071" priority="941">
      <formula>CM126="✓"</formula>
    </cfRule>
  </conditionalFormatting>
  <conditionalFormatting sqref="CI121:CO121">
    <cfRule type="expression" dxfId="5070" priority="939">
      <formula>$CK$120="Ja"</formula>
    </cfRule>
  </conditionalFormatting>
  <conditionalFormatting sqref="CK120">
    <cfRule type="expression" dxfId="5069" priority="928">
      <formula>$CK$120=""</formula>
    </cfRule>
    <cfRule type="expression" dxfId="5068" priority="950">
      <formula>$CK$120="Ja"</formula>
    </cfRule>
  </conditionalFormatting>
  <conditionalFormatting sqref="CM132">
    <cfRule type="expression" dxfId="5067" priority="946">
      <formula>CM132="✓"</formula>
    </cfRule>
  </conditionalFormatting>
  <conditionalFormatting sqref="CM135:CM136">
    <cfRule type="expression" dxfId="5066" priority="936">
      <formula>CM135="✓"</formula>
    </cfRule>
  </conditionalFormatting>
  <conditionalFormatting sqref="CM138">
    <cfRule type="expression" dxfId="5065" priority="935">
      <formula>CM138="✓"</formula>
    </cfRule>
  </conditionalFormatting>
  <conditionalFormatting sqref="CI133:CO133">
    <cfRule type="expression" dxfId="5064" priority="933">
      <formula>$CK$132="Ja"</formula>
    </cfRule>
  </conditionalFormatting>
  <conditionalFormatting sqref="CK132">
    <cfRule type="expression" dxfId="5063" priority="927">
      <formula>$CK$132=""</formula>
    </cfRule>
    <cfRule type="expression" dxfId="5062" priority="943">
      <formula>$CK$132="Ja"</formula>
    </cfRule>
  </conditionalFormatting>
  <conditionalFormatting sqref="BO72">
    <cfRule type="expression" dxfId="5061" priority="924">
      <formula>BO72="✓"</formula>
    </cfRule>
  </conditionalFormatting>
  <conditionalFormatting sqref="BO75:BO76">
    <cfRule type="expression" dxfId="5060" priority="12334">
      <formula>BO75="✓"</formula>
    </cfRule>
  </conditionalFormatting>
  <conditionalFormatting sqref="BO78">
    <cfRule type="expression" dxfId="5059" priority="922">
      <formula>BO78="✓"</formula>
    </cfRule>
  </conditionalFormatting>
  <conditionalFormatting sqref="BK73:BQ73">
    <cfRule type="expression" dxfId="5058" priority="920">
      <formula>$BM$72="Ja"</formula>
    </cfRule>
  </conditionalFormatting>
  <conditionalFormatting sqref="BO60">
    <cfRule type="expression" dxfId="5057" priority="13018">
      <formula>BO60="✓"</formula>
    </cfRule>
  </conditionalFormatting>
  <conditionalFormatting sqref="BO63:BO64">
    <cfRule type="expression" dxfId="5056" priority="13518">
      <formula>BO63="✓"</formula>
    </cfRule>
  </conditionalFormatting>
  <conditionalFormatting sqref="BO66">
    <cfRule type="expression" dxfId="5055" priority="13153">
      <formula>BO66="✓"</formula>
    </cfRule>
  </conditionalFormatting>
  <conditionalFormatting sqref="BK61:BQ61">
    <cfRule type="expression" dxfId="5054" priority="915">
      <formula>$BM$60="Ja"</formula>
    </cfRule>
  </conditionalFormatting>
  <conditionalFormatting sqref="BM72">
    <cfRule type="expression" dxfId="5053" priority="883">
      <formula>$BM$72=""</formula>
    </cfRule>
    <cfRule type="expression" dxfId="5052" priority="919">
      <formula>$BM$72="Ja"</formula>
    </cfRule>
  </conditionalFormatting>
  <conditionalFormatting sqref="BM60">
    <cfRule type="expression" dxfId="5051" priority="12285">
      <formula>$BM$60=""</formula>
    </cfRule>
    <cfRule type="expression" dxfId="5050" priority="13469">
      <formula>$BM$60="Ja"</formula>
    </cfRule>
  </conditionalFormatting>
  <conditionalFormatting sqref="BO84">
    <cfRule type="expression" dxfId="5049" priority="914">
      <formula>BO84="✓"</formula>
    </cfRule>
  </conditionalFormatting>
  <conditionalFormatting sqref="BO87:BO88">
    <cfRule type="expression" dxfId="5048" priority="917">
      <formula>BO87="✓"</formula>
    </cfRule>
  </conditionalFormatting>
  <conditionalFormatting sqref="BO90">
    <cfRule type="expression" dxfId="5047" priority="913">
      <formula>BO90="✓"</formula>
    </cfRule>
  </conditionalFormatting>
  <conditionalFormatting sqref="BK85:BQ85">
    <cfRule type="expression" dxfId="5046" priority="908">
      <formula>$BM$84="Ja"</formula>
    </cfRule>
  </conditionalFormatting>
  <conditionalFormatting sqref="BM84">
    <cfRule type="expression" dxfId="5045" priority="912">
      <formula>$BM$84=""</formula>
    </cfRule>
    <cfRule type="expression" dxfId="5044" priority="918">
      <formula>$BM$84="Ja"</formula>
    </cfRule>
  </conditionalFormatting>
  <conditionalFormatting sqref="BO96">
    <cfRule type="expression" dxfId="5043" priority="911">
      <formula>BO96="✓"</formula>
    </cfRule>
  </conditionalFormatting>
  <conditionalFormatting sqref="BO99:BO100">
    <cfRule type="expression" dxfId="5042" priority="12969">
      <formula>BO99="✓"</formula>
    </cfRule>
  </conditionalFormatting>
  <conditionalFormatting sqref="BO102">
    <cfRule type="expression" dxfId="5041" priority="910">
      <formula>BO102="✓"</formula>
    </cfRule>
  </conditionalFormatting>
  <conditionalFormatting sqref="BK97:BQ97">
    <cfRule type="expression" dxfId="5040" priority="902">
      <formula>$BM$96="Ja"</formula>
    </cfRule>
  </conditionalFormatting>
  <conditionalFormatting sqref="BM96">
    <cfRule type="expression" dxfId="5039" priority="880">
      <formula>$BM$96=""</formula>
    </cfRule>
    <cfRule type="expression" dxfId="5038" priority="907">
      <formula>$BM$96="Ja"</formula>
    </cfRule>
  </conditionalFormatting>
  <conditionalFormatting sqref="BO108">
    <cfRule type="expression" dxfId="5037" priority="906">
      <formula>BO108="✓"</formula>
    </cfRule>
  </conditionalFormatting>
  <conditionalFormatting sqref="BO111:BO112">
    <cfRule type="expression" dxfId="5036" priority="905">
      <formula>BO111="✓"</formula>
    </cfRule>
  </conditionalFormatting>
  <conditionalFormatting sqref="BO114">
    <cfRule type="expression" dxfId="5035" priority="899">
      <formula>BO114="✓"</formula>
    </cfRule>
  </conditionalFormatting>
  <conditionalFormatting sqref="BK109:BQ109">
    <cfRule type="expression" dxfId="5034" priority="896">
      <formula>$BM$108="Ja"</formula>
    </cfRule>
  </conditionalFormatting>
  <conditionalFormatting sqref="BM108">
    <cfRule type="expression" dxfId="5033" priority="900">
      <formula>$BM$108=""</formula>
    </cfRule>
    <cfRule type="expression" dxfId="5032" priority="901">
      <formula>$BM$108="Ja"</formula>
    </cfRule>
  </conditionalFormatting>
  <conditionalFormatting sqref="BO120">
    <cfRule type="expression" dxfId="5031" priority="895">
      <formula>BO120="✓"</formula>
    </cfRule>
  </conditionalFormatting>
  <conditionalFormatting sqref="BO123:BO124">
    <cfRule type="expression" dxfId="5030" priority="893">
      <formula>BO123="✓"</formula>
    </cfRule>
  </conditionalFormatting>
  <conditionalFormatting sqref="BO126">
    <cfRule type="expression" dxfId="5029" priority="892">
      <formula>BO126="✓"</formula>
    </cfRule>
  </conditionalFormatting>
  <conditionalFormatting sqref="BK121:BQ121">
    <cfRule type="expression" dxfId="5028" priority="890">
      <formula>$BM$120="Ja"</formula>
    </cfRule>
  </conditionalFormatting>
  <conditionalFormatting sqref="BM120">
    <cfRule type="expression" dxfId="5027" priority="894">
      <formula>$BM$120=""</formula>
    </cfRule>
    <cfRule type="expression" dxfId="5026" priority="897">
      <formula>$BM$120="Ja"</formula>
    </cfRule>
  </conditionalFormatting>
  <conditionalFormatting sqref="BO132">
    <cfRule type="expression" dxfId="5025" priority="916">
      <formula>BO132="✓"</formula>
    </cfRule>
  </conditionalFormatting>
  <conditionalFormatting sqref="BO135:BO136">
    <cfRule type="expression" dxfId="5024" priority="887">
      <formula>BO135="✓"</formula>
    </cfRule>
  </conditionalFormatting>
  <conditionalFormatting sqref="BO138">
    <cfRule type="expression" dxfId="5023" priority="886">
      <formula>BO138="✓"</formula>
    </cfRule>
  </conditionalFormatting>
  <conditionalFormatting sqref="BK133:BQ133">
    <cfRule type="expression" dxfId="5022" priority="884">
      <formula>$BM$132="Ja"</formula>
    </cfRule>
  </conditionalFormatting>
  <conditionalFormatting sqref="BM132">
    <cfRule type="expression" dxfId="5021" priority="878">
      <formula>$BM$132=""</formula>
    </cfRule>
    <cfRule type="expression" dxfId="5020" priority="889">
      <formula>$BM$132="Ja"</formula>
    </cfRule>
  </conditionalFormatting>
  <conditionalFormatting sqref="BG72">
    <cfRule type="expression" dxfId="5019" priority="12278">
      <formula>BG72="✓"</formula>
    </cfRule>
  </conditionalFormatting>
  <conditionalFormatting sqref="BG75:BG76">
    <cfRule type="expression" dxfId="5018" priority="874">
      <formula>BG75="✓"</formula>
    </cfRule>
  </conditionalFormatting>
  <conditionalFormatting sqref="BG78">
    <cfRule type="expression" dxfId="5017" priority="873">
      <formula>BG78="✓"</formula>
    </cfRule>
  </conditionalFormatting>
  <conditionalFormatting sqref="BC73:BI73">
    <cfRule type="expression" dxfId="5016" priority="871">
      <formula>$BE$72="Ja"</formula>
    </cfRule>
  </conditionalFormatting>
  <conditionalFormatting sqref="BG60">
    <cfRule type="expression" dxfId="5015" priority="12962">
      <formula>BG60="✓"</formula>
    </cfRule>
  </conditionalFormatting>
  <conditionalFormatting sqref="BG63:BG64">
    <cfRule type="expression" dxfId="5014" priority="13525">
      <formula>BG63="✓"</formula>
    </cfRule>
  </conditionalFormatting>
  <conditionalFormatting sqref="BG66">
    <cfRule type="expression" dxfId="5013" priority="13025">
      <formula>BG66="✓"</formula>
    </cfRule>
  </conditionalFormatting>
  <conditionalFormatting sqref="BC61:BI61">
    <cfRule type="expression" dxfId="5012" priority="866">
      <formula>$BE$60="Ja"</formula>
    </cfRule>
  </conditionalFormatting>
  <conditionalFormatting sqref="BE72">
    <cfRule type="expression" dxfId="5011" priority="867">
      <formula>$BE$72=""</formula>
    </cfRule>
    <cfRule type="expression" dxfId="5010" priority="13462">
      <formula>$BE$72="Ja"</formula>
    </cfRule>
  </conditionalFormatting>
  <conditionalFormatting sqref="BE60">
    <cfRule type="expression" dxfId="5009" priority="864">
      <formula>$BE$60=""</formula>
    </cfRule>
    <cfRule type="expression" dxfId="5008" priority="13103">
      <formula>$BE$60="Ja"</formula>
    </cfRule>
  </conditionalFormatting>
  <conditionalFormatting sqref="BG84">
    <cfRule type="expression" dxfId="5007" priority="875">
      <formula>BG84="✓"</formula>
    </cfRule>
  </conditionalFormatting>
  <conditionalFormatting sqref="BG87:BG88">
    <cfRule type="expression" dxfId="5006" priority="12341">
      <formula>BG87="✓"</formula>
    </cfRule>
  </conditionalFormatting>
  <conditionalFormatting sqref="BG90">
    <cfRule type="expression" dxfId="5005" priority="865">
      <formula>BG90="✓"</formula>
    </cfRule>
  </conditionalFormatting>
  <conditionalFormatting sqref="BC85:BI85">
    <cfRule type="expression" dxfId="5004" priority="859">
      <formula>$BE$84="Ja"</formula>
    </cfRule>
  </conditionalFormatting>
  <conditionalFormatting sqref="BE84">
    <cfRule type="expression" dxfId="5003" priority="858">
      <formula>$BE$84=""</formula>
    </cfRule>
    <cfRule type="expression" dxfId="5002" priority="870">
      <formula>$BE$84="Ja"</formula>
    </cfRule>
  </conditionalFormatting>
  <conditionalFormatting sqref="BG96">
    <cfRule type="expression" dxfId="5001" priority="863">
      <formula>BG96="✓"</formula>
    </cfRule>
  </conditionalFormatting>
  <conditionalFormatting sqref="BG99:BG100">
    <cfRule type="expression" dxfId="5000" priority="856">
      <formula>BG99="✓"</formula>
    </cfRule>
  </conditionalFormatting>
  <conditionalFormatting sqref="BG102">
    <cfRule type="expression" dxfId="4999" priority="855">
      <formula>BG102="✓"</formula>
    </cfRule>
  </conditionalFormatting>
  <conditionalFormatting sqref="BC97:BI97">
    <cfRule type="expression" dxfId="4998" priority="853">
      <formula>$BE$96="Ja"</formula>
    </cfRule>
  </conditionalFormatting>
  <conditionalFormatting sqref="BE96">
    <cfRule type="expression" dxfId="4997" priority="848">
      <formula>$BE$96=""</formula>
    </cfRule>
    <cfRule type="expression" dxfId="4996" priority="862">
      <formula>$BE$96="Ja"</formula>
    </cfRule>
  </conditionalFormatting>
  <conditionalFormatting sqref="BG108">
    <cfRule type="expression" dxfId="4995" priority="861">
      <formula>BG108="✓"</formula>
    </cfRule>
  </conditionalFormatting>
  <conditionalFormatting sqref="BG111:BG112">
    <cfRule type="expression" dxfId="4994" priority="850">
      <formula>BG111="✓"</formula>
    </cfRule>
  </conditionalFormatting>
  <conditionalFormatting sqref="BG114">
    <cfRule type="expression" dxfId="4993" priority="849">
      <formula>BG114="✓"</formula>
    </cfRule>
  </conditionalFormatting>
  <conditionalFormatting sqref="BC109:BI109">
    <cfRule type="expression" dxfId="4992" priority="847">
      <formula>$BE$108="Ja"</formula>
    </cfRule>
  </conditionalFormatting>
  <conditionalFormatting sqref="BE108">
    <cfRule type="expression" dxfId="4991" priority="845">
      <formula>$BE$108=""</formula>
    </cfRule>
    <cfRule type="expression" dxfId="4990" priority="846">
      <formula>$BE$108="Ja"</formula>
    </cfRule>
  </conditionalFormatting>
  <conditionalFormatting sqref="BG120">
    <cfRule type="expression" dxfId="4989" priority="857">
      <formula>BG120="✓"</formula>
    </cfRule>
  </conditionalFormatting>
  <conditionalFormatting sqref="BG123:BG124">
    <cfRule type="expression" dxfId="4988" priority="844">
      <formula>BG123="✓"</formula>
    </cfRule>
  </conditionalFormatting>
  <conditionalFormatting sqref="BG126">
    <cfRule type="expression" dxfId="4987" priority="843">
      <formula>BG126="✓"</formula>
    </cfRule>
  </conditionalFormatting>
  <conditionalFormatting sqref="BC121:BI121">
    <cfRule type="expression" dxfId="4986" priority="841">
      <formula>$BE$120="Ja"</formula>
    </cfRule>
  </conditionalFormatting>
  <conditionalFormatting sqref="BE120">
    <cfRule type="expression" dxfId="4985" priority="830">
      <formula>$BE$120=""</formula>
    </cfRule>
    <cfRule type="expression" dxfId="4984" priority="840">
      <formula>$BE$120="Ja"</formula>
    </cfRule>
  </conditionalFormatting>
  <conditionalFormatting sqref="BG132">
    <cfRule type="expression" dxfId="4983" priority="851">
      <formula>BG132="✓"</formula>
    </cfRule>
  </conditionalFormatting>
  <conditionalFormatting sqref="BG135:BG136">
    <cfRule type="expression" dxfId="4982" priority="838">
      <formula>BG135="✓"</formula>
    </cfRule>
  </conditionalFormatting>
  <conditionalFormatting sqref="BG138">
    <cfRule type="expression" dxfId="4981" priority="837">
      <formula>BG138="✓"</formula>
    </cfRule>
  </conditionalFormatting>
  <conditionalFormatting sqref="BC133:BI133">
    <cfRule type="expression" dxfId="4980" priority="835">
      <formula>$BE$132="Ja"</formula>
    </cfRule>
  </conditionalFormatting>
  <conditionalFormatting sqref="BE132">
    <cfRule type="expression" dxfId="4979" priority="829">
      <formula>$BE$132=""</formula>
    </cfRule>
    <cfRule type="expression" dxfId="4978" priority="834">
      <formula>$BE$132="Ja"</formula>
    </cfRule>
  </conditionalFormatting>
  <conditionalFormatting sqref="AY72">
    <cfRule type="expression" dxfId="4977" priority="12955">
      <formula>AY72="✓"</formula>
    </cfRule>
  </conditionalFormatting>
  <conditionalFormatting sqref="AY75:AY76">
    <cfRule type="expression" dxfId="4976" priority="826">
      <formula>AY75="✓"</formula>
    </cfRule>
  </conditionalFormatting>
  <conditionalFormatting sqref="AY78">
    <cfRule type="expression" dxfId="4975" priority="825">
      <formula>AY78="✓"</formula>
    </cfRule>
  </conditionalFormatting>
  <conditionalFormatting sqref="AU73:BA73">
    <cfRule type="expression" dxfId="4974" priority="823">
      <formula>$AW$72="Ja"</formula>
    </cfRule>
  </conditionalFormatting>
  <conditionalFormatting sqref="AY60">
    <cfRule type="expression" dxfId="4973" priority="13455">
      <formula>AY60="✓"</formula>
    </cfRule>
  </conditionalFormatting>
  <conditionalFormatting sqref="AY63:AY64">
    <cfRule type="expression" dxfId="4972" priority="13117">
      <formula>AY63="✓"</formula>
    </cfRule>
  </conditionalFormatting>
  <conditionalFormatting sqref="AY66">
    <cfRule type="expression" dxfId="4971" priority="13032">
      <formula>AY66="✓"</formula>
    </cfRule>
  </conditionalFormatting>
  <conditionalFormatting sqref="AU61:BA61">
    <cfRule type="expression" dxfId="4970" priority="817">
      <formula>$AW$60="Ja"</formula>
    </cfRule>
  </conditionalFormatting>
  <conditionalFormatting sqref="AW72">
    <cfRule type="expression" dxfId="4969" priority="784">
      <formula>$AW$72=""</formula>
    </cfRule>
    <cfRule type="expression" dxfId="4968" priority="821">
      <formula>$AW$72="Ja"</formula>
    </cfRule>
  </conditionalFormatting>
  <conditionalFormatting sqref="AW60">
    <cfRule type="expression" dxfId="4967" priority="12271">
      <formula>$AW$60="Ja"</formula>
    </cfRule>
    <cfRule type="expression" dxfId="4966" priority="13532">
      <formula>$AW$60=""</formula>
    </cfRule>
  </conditionalFormatting>
  <conditionalFormatting sqref="AY84">
    <cfRule type="expression" dxfId="4965" priority="818">
      <formula>AY84="✓"</formula>
    </cfRule>
  </conditionalFormatting>
  <conditionalFormatting sqref="AY87:AY88">
    <cfRule type="expression" dxfId="4964" priority="813">
      <formula>AY87="✓"</formula>
    </cfRule>
  </conditionalFormatting>
  <conditionalFormatting sqref="AY90">
    <cfRule type="expression" dxfId="4963" priority="812">
      <formula>AY90="✓"</formula>
    </cfRule>
  </conditionalFormatting>
  <conditionalFormatting sqref="AU85:BA85">
    <cfRule type="expression" dxfId="4962" priority="810">
      <formula>$AW$84="Ja"</formula>
    </cfRule>
  </conditionalFormatting>
  <conditionalFormatting sqref="AW84">
    <cfRule type="expression" dxfId="4961" priority="809">
      <formula>$AW$84=""</formula>
    </cfRule>
    <cfRule type="expression" dxfId="4960" priority="819">
      <formula>$AW$84="Ja"</formula>
    </cfRule>
  </conditionalFormatting>
  <conditionalFormatting sqref="AY96">
    <cfRule type="expression" dxfId="4959" priority="815">
      <formula>AY96="✓"</formula>
    </cfRule>
  </conditionalFormatting>
  <conditionalFormatting sqref="AY99:AY100">
    <cfRule type="expression" dxfId="4958" priority="807">
      <formula>AY99="✓"</formula>
    </cfRule>
  </conditionalFormatting>
  <conditionalFormatting sqref="AY102">
    <cfRule type="expression" dxfId="4957" priority="806">
      <formula>AY102="✓"</formula>
    </cfRule>
  </conditionalFormatting>
  <conditionalFormatting sqref="AU97:BA97">
    <cfRule type="expression" dxfId="4956" priority="804">
      <formula>$AW$96="Ja"</formula>
    </cfRule>
  </conditionalFormatting>
  <conditionalFormatting sqref="AW96">
    <cfRule type="expression" dxfId="4955" priority="803">
      <formula>$AW$96="Ja"</formula>
    </cfRule>
    <cfRule type="expression" dxfId="4954" priority="816">
      <formula>$AW$96=""</formula>
    </cfRule>
  </conditionalFormatting>
  <conditionalFormatting sqref="AY108">
    <cfRule type="expression" dxfId="4953" priority="814">
      <formula>AY108="✓"</formula>
    </cfRule>
  </conditionalFormatting>
  <conditionalFormatting sqref="AY111:AY112">
    <cfRule type="expression" dxfId="4952" priority="801">
      <formula>AY111="✓"</formula>
    </cfRule>
  </conditionalFormatting>
  <conditionalFormatting sqref="AY114">
    <cfRule type="expression" dxfId="4951" priority="800">
      <formula>AY114="✓"</formula>
    </cfRule>
  </conditionalFormatting>
  <conditionalFormatting sqref="AU109:BA109">
    <cfRule type="expression" dxfId="4950" priority="798">
      <formula>$AW$108="Ja"</formula>
    </cfRule>
  </conditionalFormatting>
  <conditionalFormatting sqref="AW108">
    <cfRule type="expression" dxfId="4949" priority="795">
      <formula>$AW$108="Ja"</formula>
    </cfRule>
    <cfRule type="expression" dxfId="4948" priority="797">
      <formula>$AW$108=""</formula>
    </cfRule>
  </conditionalFormatting>
  <conditionalFormatting sqref="AY120">
    <cfRule type="expression" dxfId="4947" priority="808">
      <formula>AY120="✓"</formula>
    </cfRule>
  </conditionalFormatting>
  <conditionalFormatting sqref="AY123:AY124">
    <cfRule type="expression" dxfId="4946" priority="13617">
      <formula>AY123="✓"</formula>
    </cfRule>
  </conditionalFormatting>
  <conditionalFormatting sqref="AY126">
    <cfRule type="expression" dxfId="4945" priority="822">
      <formula>AY126="✓"</formula>
    </cfRule>
  </conditionalFormatting>
  <conditionalFormatting sqref="AU121:BA121">
    <cfRule type="expression" dxfId="4944" priority="792">
      <formula>$AW$120="Ja"</formula>
    </cfRule>
  </conditionalFormatting>
  <conditionalFormatting sqref="AW120">
    <cfRule type="expression" dxfId="4943" priority="785">
      <formula>$AW$120=""</formula>
    </cfRule>
    <cfRule type="expression" dxfId="4942" priority="796">
      <formula>$AW$120="Ja"</formula>
    </cfRule>
  </conditionalFormatting>
  <conditionalFormatting sqref="AY132">
    <cfRule type="expression" dxfId="4941" priority="802">
      <formula>AY132="✓"</formula>
    </cfRule>
  </conditionalFormatting>
  <conditionalFormatting sqref="AY135:AY136">
    <cfRule type="expression" dxfId="4940" priority="789">
      <formula>AY135="✓"</formula>
    </cfRule>
  </conditionalFormatting>
  <conditionalFormatting sqref="AY138">
    <cfRule type="expression" dxfId="4939" priority="788">
      <formula>AY138="✓"</formula>
    </cfRule>
  </conditionalFormatting>
  <conditionalFormatting sqref="AU133:BA133">
    <cfRule type="expression" dxfId="4938" priority="786">
      <formula>$AW$132="Ja"</formula>
    </cfRule>
  </conditionalFormatting>
  <conditionalFormatting sqref="AW132">
    <cfRule type="expression" dxfId="4937" priority="790">
      <formula>$AW$132=""</formula>
    </cfRule>
    <cfRule type="expression" dxfId="4936" priority="791">
      <formula>$AW$132="Ja"</formula>
    </cfRule>
  </conditionalFormatting>
  <conditionalFormatting sqref="AQ72">
    <cfRule type="expression" dxfId="4935" priority="13539">
      <formula>AQ72="✓"</formula>
    </cfRule>
  </conditionalFormatting>
  <conditionalFormatting sqref="AQ75:AQ76">
    <cfRule type="expression" dxfId="4934" priority="12264">
      <formula>AQ75="✓"</formula>
    </cfRule>
  </conditionalFormatting>
  <conditionalFormatting sqref="AQ78">
    <cfRule type="expression" dxfId="4933" priority="777">
      <formula>AQ78="✓"</formula>
    </cfRule>
  </conditionalFormatting>
  <conditionalFormatting sqref="AM73:AS73">
    <cfRule type="expression" dxfId="4932" priority="773">
      <formula>$AO$72="Ja"</formula>
    </cfRule>
  </conditionalFormatting>
  <conditionalFormatting sqref="AQ60">
    <cfRule type="expression" dxfId="4931" priority="13448">
      <formula>AQ60="✓"</formula>
    </cfRule>
  </conditionalFormatting>
  <conditionalFormatting sqref="AQ63:AQ64">
    <cfRule type="expression" dxfId="4930" priority="13039">
      <formula>AQ63="✓"</formula>
    </cfRule>
  </conditionalFormatting>
  <conditionalFormatting sqref="AQ66">
    <cfRule type="expression" dxfId="4929" priority="776">
      <formula>AQ66="✓"</formula>
    </cfRule>
  </conditionalFormatting>
  <conditionalFormatting sqref="AM61:AS61">
    <cfRule type="expression" dxfId="4928" priority="768">
      <formula>$AO$60="Ja"</formula>
    </cfRule>
  </conditionalFormatting>
  <conditionalFormatting sqref="AO72">
    <cfRule type="expression" dxfId="4927" priority="771">
      <formula>$AO$72=""</formula>
    </cfRule>
    <cfRule type="expression" dxfId="4926" priority="775">
      <formula>$AO$72="Ja"</formula>
    </cfRule>
  </conditionalFormatting>
  <conditionalFormatting sqref="AO60">
    <cfRule type="expression" dxfId="4925" priority="774">
      <formula>$AO$60=""</formula>
    </cfRule>
    <cfRule type="expression" dxfId="4924" priority="12948">
      <formula>$AO$60="Ja"</formula>
    </cfRule>
  </conditionalFormatting>
  <conditionalFormatting sqref="AQ84">
    <cfRule type="expression" dxfId="4923" priority="13132">
      <formula>AQ84="✓"</formula>
    </cfRule>
  </conditionalFormatting>
  <conditionalFormatting sqref="AQ87:AQ88">
    <cfRule type="expression" dxfId="4922" priority="12355">
      <formula>AQ87="✓"</formula>
    </cfRule>
  </conditionalFormatting>
  <conditionalFormatting sqref="AQ90">
    <cfRule type="expression" dxfId="4921" priority="763">
      <formula>AQ90="✓"</formula>
    </cfRule>
  </conditionalFormatting>
  <conditionalFormatting sqref="AM85:AS85">
    <cfRule type="expression" dxfId="4920" priority="761">
      <formula>$AO$84="Ja"</formula>
    </cfRule>
  </conditionalFormatting>
  <conditionalFormatting sqref="AO84">
    <cfRule type="expression" dxfId="4919" priority="766">
      <formula>$AO$84=""</formula>
    </cfRule>
    <cfRule type="expression" dxfId="4918" priority="767">
      <formula>$AO$84="Ja"</formula>
    </cfRule>
  </conditionalFormatting>
  <conditionalFormatting sqref="AQ96">
    <cfRule type="expression" dxfId="4917" priority="772">
      <formula>AQ96="✓"</formula>
    </cfRule>
  </conditionalFormatting>
  <conditionalFormatting sqref="AQ99:AQ100">
    <cfRule type="expression" dxfId="4916" priority="758">
      <formula>AQ99="✓"</formula>
    </cfRule>
  </conditionalFormatting>
  <conditionalFormatting sqref="AQ102">
    <cfRule type="expression" dxfId="4915" priority="757">
      <formula>AQ102="✓"</formula>
    </cfRule>
  </conditionalFormatting>
  <conditionalFormatting sqref="AM97:AS97">
    <cfRule type="expression" dxfId="4914" priority="755">
      <formula>$AO$96="Ja"</formula>
    </cfRule>
  </conditionalFormatting>
  <conditionalFormatting sqref="AO96">
    <cfRule type="expression" dxfId="4913" priority="754">
      <formula>$AO$96=""</formula>
    </cfRule>
    <cfRule type="expression" dxfId="4912" priority="760">
      <formula>$AO$96="Ja"</formula>
    </cfRule>
  </conditionalFormatting>
  <conditionalFormatting sqref="AQ108">
    <cfRule type="expression" dxfId="4911" priority="756">
      <formula>AQ108="✓"</formula>
    </cfRule>
  </conditionalFormatting>
  <conditionalFormatting sqref="AQ111:AQ112">
    <cfRule type="expression" dxfId="4910" priority="759">
      <formula>AQ111="✓"</formula>
    </cfRule>
  </conditionalFormatting>
  <conditionalFormatting sqref="AQ114">
    <cfRule type="expression" dxfId="4909" priority="753">
      <formula>AQ114="✓"</formula>
    </cfRule>
  </conditionalFormatting>
  <conditionalFormatting sqref="AM109:AS109">
    <cfRule type="expression" dxfId="4908" priority="749">
      <formula>$AO$108="Ja"</formula>
    </cfRule>
  </conditionalFormatting>
  <conditionalFormatting sqref="AO108">
    <cfRule type="expression" dxfId="4907" priority="739">
      <formula>$AO$108="Ja"</formula>
    </cfRule>
    <cfRule type="expression" dxfId="4906" priority="750">
      <formula>$AO$108=""</formula>
    </cfRule>
  </conditionalFormatting>
  <conditionalFormatting sqref="AQ120">
    <cfRule type="expression" dxfId="4905" priority="762">
      <formula>AQ120="✓"</formula>
    </cfRule>
  </conditionalFormatting>
  <conditionalFormatting sqref="AQ123:AQ124">
    <cfRule type="expression" dxfId="4904" priority="921">
      <formula>AQ123="✓"</formula>
    </cfRule>
  </conditionalFormatting>
  <conditionalFormatting sqref="AQ126">
    <cfRule type="expression" dxfId="4903" priority="888">
      <formula>AQ126="✓"</formula>
    </cfRule>
  </conditionalFormatting>
  <conditionalFormatting sqref="AM121:AS121">
    <cfRule type="expression" dxfId="4902" priority="743">
      <formula>$AO$120="Ja"</formula>
    </cfRule>
  </conditionalFormatting>
  <conditionalFormatting sqref="AO120">
    <cfRule type="expression" dxfId="4901" priority="731">
      <formula>$AO$120="Ja"</formula>
    </cfRule>
    <cfRule type="expression" dxfId="4900" priority="748">
      <formula>$AO$120=""</formula>
    </cfRule>
  </conditionalFormatting>
  <conditionalFormatting sqref="AQ132">
    <cfRule type="expression" dxfId="4899" priority="752">
      <formula>AQ132="✓"</formula>
    </cfRule>
  </conditionalFormatting>
  <conditionalFormatting sqref="AQ135:AQ136">
    <cfRule type="expression" dxfId="4898" priority="769">
      <formula>AQ135="✓"</formula>
    </cfRule>
  </conditionalFormatting>
  <conditionalFormatting sqref="AQ138">
    <cfRule type="expression" dxfId="4897" priority="770">
      <formula>AQ138="✓"</formula>
    </cfRule>
  </conditionalFormatting>
  <conditionalFormatting sqref="AM133:AS133">
    <cfRule type="expression" dxfId="4896" priority="736">
      <formula>$AO$132="Ja"</formula>
    </cfRule>
  </conditionalFormatting>
  <conditionalFormatting sqref="AO132">
    <cfRule type="expression" dxfId="4895" priority="744">
      <formula>$AO$132="Ja"</formula>
    </cfRule>
    <cfRule type="expression" dxfId="4894" priority="747">
      <formula>$AO$132=""</formula>
    </cfRule>
  </conditionalFormatting>
  <conditionalFormatting sqref="AI72">
    <cfRule type="expression" dxfId="4893" priority="12941">
      <formula>AI72="✓"</formula>
    </cfRule>
  </conditionalFormatting>
  <conditionalFormatting sqref="AI75:AI76">
    <cfRule type="expression" dxfId="4892" priority="727">
      <formula>AI75="✓"</formula>
    </cfRule>
  </conditionalFormatting>
  <conditionalFormatting sqref="AI78">
    <cfRule type="expression" dxfId="4891" priority="726">
      <formula>AI78="✓"</formula>
    </cfRule>
  </conditionalFormatting>
  <conditionalFormatting sqref="AE73:AK73">
    <cfRule type="expression" dxfId="4890" priority="724">
      <formula>$AG$72="Ja"</formula>
    </cfRule>
  </conditionalFormatting>
  <conditionalFormatting sqref="AI60">
    <cfRule type="expression" dxfId="4889" priority="13146">
      <formula>AI60="✓"</formula>
    </cfRule>
  </conditionalFormatting>
  <conditionalFormatting sqref="AI63:AI64">
    <cfRule type="expression" dxfId="4888" priority="13546">
      <formula>AI63="✓"</formula>
    </cfRule>
  </conditionalFormatting>
  <conditionalFormatting sqref="AI66">
    <cfRule type="expression" dxfId="4887" priority="13046">
      <formula>AI66="✓"</formula>
    </cfRule>
  </conditionalFormatting>
  <conditionalFormatting sqref="AE61:AK61">
    <cfRule type="expression" dxfId="4886" priority="719">
      <formula>$AG$60="Ja"</formula>
    </cfRule>
  </conditionalFormatting>
  <conditionalFormatting sqref="AG72">
    <cfRule type="expression" dxfId="4885" priority="720">
      <formula>$AG$72=""</formula>
    </cfRule>
    <cfRule type="expression" dxfId="4884" priority="13639">
      <formula>$AG$72="Ja"</formula>
    </cfRule>
  </conditionalFormatting>
  <conditionalFormatting sqref="AG60">
    <cfRule type="expression" dxfId="4883" priority="13441">
      <formula>$AG$60=""</formula>
    </cfRule>
    <cfRule type="expression" dxfId="4882" priority="13646">
      <formula>$AG$60="Ja"</formula>
    </cfRule>
  </conditionalFormatting>
  <conditionalFormatting sqref="AI84">
    <cfRule type="expression" dxfId="4881" priority="12362">
      <formula>AI84="✓"</formula>
    </cfRule>
  </conditionalFormatting>
  <conditionalFormatting sqref="AI87:AI88">
    <cfRule type="expression" dxfId="4880" priority="715">
      <formula>AI87="✓"</formula>
    </cfRule>
  </conditionalFormatting>
  <conditionalFormatting sqref="AI90">
    <cfRule type="expression" dxfId="4879" priority="714">
      <formula>AI90="✓"</formula>
    </cfRule>
  </conditionalFormatting>
  <conditionalFormatting sqref="AE85:AK85">
    <cfRule type="expression" dxfId="4878" priority="712">
      <formula>$AG$84="Ja"</formula>
    </cfRule>
  </conditionalFormatting>
  <conditionalFormatting sqref="AG84">
    <cfRule type="expression" dxfId="4877" priority="709">
      <formula>$AG$84=""</formula>
    </cfRule>
    <cfRule type="expression" dxfId="4876" priority="718">
      <formula>$AG$84="Ja"</formula>
    </cfRule>
  </conditionalFormatting>
  <conditionalFormatting sqref="AI96">
    <cfRule type="expression" dxfId="4875" priority="728">
      <formula>AI96="✓"</formula>
    </cfRule>
  </conditionalFormatting>
  <conditionalFormatting sqref="AI99:AI100">
    <cfRule type="expression" dxfId="4874" priority="723">
      <formula>AI99="✓"</formula>
    </cfRule>
  </conditionalFormatting>
  <conditionalFormatting sqref="AI102">
    <cfRule type="expression" dxfId="4873" priority="717">
      <formula>AI102="✓"</formula>
    </cfRule>
  </conditionalFormatting>
  <conditionalFormatting sqref="AE97:AK97">
    <cfRule type="expression" dxfId="4872" priority="706">
      <formula>$AG$96="Ja"</formula>
    </cfRule>
  </conditionalFormatting>
  <conditionalFormatting sqref="AG96">
    <cfRule type="expression" dxfId="4871" priority="707">
      <formula>$AG$96=""</formula>
    </cfRule>
    <cfRule type="expression" dxfId="4870" priority="725">
      <formula>$AG$96="Ja"</formula>
    </cfRule>
  </conditionalFormatting>
  <conditionalFormatting sqref="AI108">
    <cfRule type="expression" dxfId="4869" priority="722">
      <formula>AI108="✓"</formula>
    </cfRule>
  </conditionalFormatting>
  <conditionalFormatting sqref="AI111:AI112">
    <cfRule type="expression" dxfId="4868" priority="704">
      <formula>AI111="✓"</formula>
    </cfRule>
  </conditionalFormatting>
  <conditionalFormatting sqref="AI114">
    <cfRule type="expression" dxfId="4867" priority="703">
      <formula>AI114="✓"</formula>
    </cfRule>
  </conditionalFormatting>
  <conditionalFormatting sqref="AE109:AK109">
    <cfRule type="expression" dxfId="4866" priority="700">
      <formula>$AG$108="Ja"</formula>
    </cfRule>
  </conditionalFormatting>
  <conditionalFormatting sqref="AG108">
    <cfRule type="expression" dxfId="4865" priority="708">
      <formula>$AG$108=""</formula>
    </cfRule>
    <cfRule type="expression" dxfId="4864" priority="711">
      <formula>$AG$108="Ja"</formula>
    </cfRule>
  </conditionalFormatting>
  <conditionalFormatting sqref="AI120">
    <cfRule type="expression" dxfId="4863" priority="716">
      <formula>AI120="✓"</formula>
    </cfRule>
  </conditionalFormatting>
  <conditionalFormatting sqref="AI123:AI124">
    <cfRule type="expression" dxfId="4862" priority="702">
      <formula>AI123="✓"</formula>
    </cfRule>
  </conditionalFormatting>
  <conditionalFormatting sqref="AI126">
    <cfRule type="expression" dxfId="4861" priority="697">
      <formula>AI126="✓"</formula>
    </cfRule>
  </conditionalFormatting>
  <conditionalFormatting sqref="AE121:AK121">
    <cfRule type="expression" dxfId="4860" priority="694">
      <formula>$AG$120="Ja"</formula>
    </cfRule>
  </conditionalFormatting>
  <conditionalFormatting sqref="AG120">
    <cfRule type="expression" dxfId="4859" priority="705">
      <formula>$AG$120=""</formula>
    </cfRule>
    <cfRule type="expression" dxfId="4858" priority="721">
      <formula>$AG$120="Ja"</formula>
    </cfRule>
  </conditionalFormatting>
  <conditionalFormatting sqref="AI132">
    <cfRule type="expression" dxfId="4857" priority="713">
      <formula>AI132="✓"</formula>
    </cfRule>
  </conditionalFormatting>
  <conditionalFormatting sqref="AI135:AI136">
    <cfRule type="expression" dxfId="4856" priority="699">
      <formula>AI135="✓"</formula>
    </cfRule>
  </conditionalFormatting>
  <conditionalFormatting sqref="AI138">
    <cfRule type="expression" dxfId="4855" priority="696">
      <formula>AI138="✓"</formula>
    </cfRule>
  </conditionalFormatting>
  <conditionalFormatting sqref="AE133:AK133">
    <cfRule type="expression" dxfId="4854" priority="688">
      <formula>$AG$132="Ja"</formula>
    </cfRule>
  </conditionalFormatting>
  <conditionalFormatting sqref="AG132">
    <cfRule type="expression" dxfId="4853" priority="701">
      <formula>$AG$132=""</formula>
    </cfRule>
    <cfRule type="expression" dxfId="4852" priority="710">
      <formula>$AG$132="Ja"</formula>
    </cfRule>
  </conditionalFormatting>
  <conditionalFormatting sqref="AA72">
    <cfRule type="expression" dxfId="4851" priority="12934">
      <formula>AA72="✓"</formula>
    </cfRule>
  </conditionalFormatting>
  <conditionalFormatting sqref="AA75:AA76">
    <cfRule type="expression" dxfId="4850" priority="679">
      <formula>AA75="✓"</formula>
    </cfRule>
  </conditionalFormatting>
  <conditionalFormatting sqref="AA78">
    <cfRule type="expression" dxfId="4849" priority="678">
      <formula>AA78="✓"</formula>
    </cfRule>
  </conditionalFormatting>
  <conditionalFormatting sqref="W74:AC79">
    <cfRule type="expression" dxfId="4848" priority="676">
      <formula>$Y$72&lt;&gt;"Ja"</formula>
    </cfRule>
  </conditionalFormatting>
  <conditionalFormatting sqref="W73:AC73">
    <cfRule type="expression" dxfId="4847" priority="675">
      <formula>$Y$72="Ja"</formula>
    </cfRule>
  </conditionalFormatting>
  <conditionalFormatting sqref="AA60">
    <cfRule type="expression" dxfId="4846" priority="12250">
      <formula>AA60="✓"</formula>
    </cfRule>
  </conditionalFormatting>
  <conditionalFormatting sqref="AA63:AA64">
    <cfRule type="expression" dxfId="4845" priority="13053">
      <formula>AA63="✓"</formula>
    </cfRule>
  </conditionalFormatting>
  <conditionalFormatting sqref="AA66">
    <cfRule type="expression" dxfId="4844" priority="12369">
      <formula>AA66="✓"</formula>
    </cfRule>
  </conditionalFormatting>
  <conditionalFormatting sqref="W62:AC67">
    <cfRule type="expression" dxfId="4843" priority="672">
      <formula>$Y$60&lt;&gt;"Ja"</formula>
    </cfRule>
  </conditionalFormatting>
  <conditionalFormatting sqref="W61:AC61">
    <cfRule type="expression" dxfId="4842" priority="670">
      <formula>$Y$60="Ja"</formula>
    </cfRule>
  </conditionalFormatting>
  <conditionalFormatting sqref="Y72">
    <cfRule type="expression" dxfId="4841" priority="649">
      <formula>$Y$72=""</formula>
    </cfRule>
    <cfRule type="expression" dxfId="4840" priority="13434">
      <formula>$Y$72="Ja"</formula>
    </cfRule>
  </conditionalFormatting>
  <conditionalFormatting sqref="Y60">
    <cfRule type="expression" dxfId="4839" priority="668">
      <formula>$Y$60=""</formula>
    </cfRule>
    <cfRule type="expression" dxfId="4838" priority="13553">
      <formula>$Y$60="Ja"</formula>
    </cfRule>
  </conditionalFormatting>
  <conditionalFormatting sqref="AA84">
    <cfRule type="expression" dxfId="4837" priority="674">
      <formula>AA84="✓"</formula>
    </cfRule>
  </conditionalFormatting>
  <conditionalFormatting sqref="AA87:AA88">
    <cfRule type="expression" dxfId="4836" priority="671">
      <formula>AA87="✓"</formula>
    </cfRule>
  </conditionalFormatting>
  <conditionalFormatting sqref="AA90">
    <cfRule type="expression" dxfId="4835" priority="666">
      <formula>AA90="✓"</formula>
    </cfRule>
  </conditionalFormatting>
  <conditionalFormatting sqref="W86:AC91">
    <cfRule type="expression" dxfId="4834" priority="664">
      <formula>$Y$84&lt;&gt;"Ja"</formula>
    </cfRule>
  </conditionalFormatting>
  <conditionalFormatting sqref="W85:AC85">
    <cfRule type="expression" dxfId="4833" priority="663">
      <formula>$Y$84="Ja"</formula>
    </cfRule>
  </conditionalFormatting>
  <conditionalFormatting sqref="Y84">
    <cfRule type="expression" dxfId="4832" priority="662">
      <formula>$Y$84=""</formula>
    </cfRule>
    <cfRule type="expression" dxfId="4831" priority="677">
      <formula>$Y$84="Ja"</formula>
    </cfRule>
  </conditionalFormatting>
  <conditionalFormatting sqref="AA96">
    <cfRule type="expression" dxfId="4830" priority="667">
      <formula>AA96="✓"</formula>
    </cfRule>
  </conditionalFormatting>
  <conditionalFormatting sqref="AA99:AA100">
    <cfRule type="expression" dxfId="4829" priority="660">
      <formula>AA99="✓"</formula>
    </cfRule>
  </conditionalFormatting>
  <conditionalFormatting sqref="AA102">
    <cfRule type="expression" dxfId="4828" priority="659">
      <formula>AA102="✓"</formula>
    </cfRule>
  </conditionalFormatting>
  <conditionalFormatting sqref="W98:AC103">
    <cfRule type="expression" dxfId="4827" priority="658">
      <formula>$Y$96&lt;&gt;"Ja"</formula>
    </cfRule>
  </conditionalFormatting>
  <conditionalFormatting sqref="W97:AC97">
    <cfRule type="expression" dxfId="4826" priority="657">
      <formula>$Y$96="Ja"</formula>
    </cfRule>
  </conditionalFormatting>
  <conditionalFormatting sqref="Y96">
    <cfRule type="expression" dxfId="4825" priority="643">
      <formula>$Y$96=""</formula>
    </cfRule>
    <cfRule type="expression" dxfId="4824" priority="669">
      <formula>$Y$96="Ja"</formula>
    </cfRule>
  </conditionalFormatting>
  <conditionalFormatting sqref="AA108">
    <cfRule type="expression" dxfId="4823" priority="665">
      <formula>AA108="✓"</formula>
    </cfRule>
  </conditionalFormatting>
  <conditionalFormatting sqref="AA111:AA112">
    <cfRule type="expression" dxfId="4822" priority="656">
      <formula>AA111="✓"</formula>
    </cfRule>
  </conditionalFormatting>
  <conditionalFormatting sqref="AA114">
    <cfRule type="expression" dxfId="4821" priority="654">
      <formula>AA114="✓"</formula>
    </cfRule>
  </conditionalFormatting>
  <conditionalFormatting sqref="W110:AC115">
    <cfRule type="expression" dxfId="4820" priority="650">
      <formula>$Y$108&lt;&gt;"Ja"</formula>
    </cfRule>
  </conditionalFormatting>
  <conditionalFormatting sqref="W109:AC109">
    <cfRule type="expression" dxfId="4819" priority="651">
      <formula>$Y$108="Ja"</formula>
    </cfRule>
  </conditionalFormatting>
  <conditionalFormatting sqref="Y108">
    <cfRule type="expression" dxfId="4818" priority="636">
      <formula>$Y$108=""</formula>
    </cfRule>
    <cfRule type="expression" dxfId="4817" priority="661">
      <formula>$Y$108="Ja"</formula>
    </cfRule>
  </conditionalFormatting>
  <conditionalFormatting sqref="AA120">
    <cfRule type="expression" dxfId="4816" priority="655">
      <formula>AA120="✓"</formula>
    </cfRule>
  </conditionalFormatting>
  <conditionalFormatting sqref="AA123:AA124">
    <cfRule type="expression" dxfId="4815" priority="648">
      <formula>AA123="✓"</formula>
    </cfRule>
  </conditionalFormatting>
  <conditionalFormatting sqref="AA126">
    <cfRule type="expression" dxfId="4814" priority="647">
      <formula>AA126="✓"</formula>
    </cfRule>
  </conditionalFormatting>
  <conditionalFormatting sqref="W122:AC127">
    <cfRule type="expression" dxfId="4813" priority="635">
      <formula>$Y$120&lt;&gt;"Ja"</formula>
    </cfRule>
  </conditionalFormatting>
  <conditionalFormatting sqref="W121:AC121">
    <cfRule type="expression" dxfId="4812" priority="645">
      <formula>$Y$120="Ja"</formula>
    </cfRule>
  </conditionalFormatting>
  <conditionalFormatting sqref="Y120">
    <cfRule type="expression" dxfId="4811" priority="634">
      <formula>$Y$120=""</formula>
    </cfRule>
    <cfRule type="expression" dxfId="4810" priority="644">
      <formula>$Y$120="Ja"</formula>
    </cfRule>
  </conditionalFormatting>
  <conditionalFormatting sqref="AA132">
    <cfRule type="expression" dxfId="4809" priority="653">
      <formula>AA132="✓"</formula>
    </cfRule>
  </conditionalFormatting>
  <conditionalFormatting sqref="AA135:AA136">
    <cfRule type="expression" dxfId="4808" priority="642">
      <formula>AA135="✓"</formula>
    </cfRule>
  </conditionalFormatting>
  <conditionalFormatting sqref="AA138">
    <cfRule type="expression" dxfId="4807" priority="641">
      <formula>AA138="✓"</formula>
    </cfRule>
  </conditionalFormatting>
  <conditionalFormatting sqref="W134:AC139">
    <cfRule type="expression" dxfId="4806" priority="640">
      <formula>$Y$132&lt;&gt;"Ja"</formula>
    </cfRule>
  </conditionalFormatting>
  <conditionalFormatting sqref="W133:AC133">
    <cfRule type="expression" dxfId="4805" priority="639">
      <formula>$Y$132="Ja"</formula>
    </cfRule>
  </conditionalFormatting>
  <conditionalFormatting sqref="Y132">
    <cfRule type="expression" dxfId="4804" priority="646">
      <formula>$Y$132=""</formula>
    </cfRule>
    <cfRule type="expression" dxfId="4803" priority="652">
      <formula>$Y$132="Ja"</formula>
    </cfRule>
  </conditionalFormatting>
  <conditionalFormatting sqref="AA45">
    <cfRule type="expression" dxfId="4802" priority="7713">
      <formula>AA45="✓"</formula>
    </cfRule>
  </conditionalFormatting>
  <conditionalFormatting sqref="AA48:AA49">
    <cfRule type="expression" dxfId="4801" priority="14992">
      <formula>$AA$48="✓"</formula>
    </cfRule>
  </conditionalFormatting>
  <conditionalFormatting sqref="AA51">
    <cfRule type="expression" dxfId="4800" priority="13154">
      <formula>$AA$51="✓"</formula>
    </cfRule>
  </conditionalFormatting>
  <conditionalFormatting sqref="Y45">
    <cfRule type="expression" dxfId="4799" priority="397">
      <formula>Y45=""</formula>
    </cfRule>
  </conditionalFormatting>
  <conditionalFormatting sqref="AI45">
    <cfRule type="expression" dxfId="4798" priority="7733">
      <formula>AI45="✓"</formula>
    </cfRule>
  </conditionalFormatting>
  <conditionalFormatting sqref="AI48:AI49">
    <cfRule type="expression" dxfId="4797" priority="15020">
      <formula>$AI$48="✓"</formula>
    </cfRule>
  </conditionalFormatting>
  <conditionalFormatting sqref="AI51">
    <cfRule type="expression" dxfId="4796" priority="13182">
      <formula>$AI$51="✓"</formula>
    </cfRule>
  </conditionalFormatting>
  <conditionalFormatting sqref="AG45">
    <cfRule type="expression" dxfId="4795" priority="294">
      <formula>AG45=""</formula>
    </cfRule>
  </conditionalFormatting>
  <conditionalFormatting sqref="AQ45">
    <cfRule type="expression" dxfId="4794" priority="7735">
      <formula>AQ45="✓"</formula>
    </cfRule>
  </conditionalFormatting>
  <conditionalFormatting sqref="AQ48:AQ49">
    <cfRule type="expression" dxfId="4793" priority="15021">
      <formula>$AQ$48="✓"</formula>
    </cfRule>
  </conditionalFormatting>
  <conditionalFormatting sqref="AQ51">
    <cfRule type="expression" dxfId="4792" priority="13183">
      <formula>$AQ$51="✓"</formula>
    </cfRule>
  </conditionalFormatting>
  <conditionalFormatting sqref="AO45">
    <cfRule type="expression" dxfId="4791" priority="287">
      <formula>AO45=""</formula>
    </cfRule>
  </conditionalFormatting>
  <conditionalFormatting sqref="AY45">
    <cfRule type="expression" dxfId="4790" priority="7972">
      <formula>AY45="✓"</formula>
    </cfRule>
  </conditionalFormatting>
  <conditionalFormatting sqref="AY48:AY49">
    <cfRule type="expression" dxfId="4789" priority="15022">
      <formula>$AY$48="✓"</formula>
    </cfRule>
  </conditionalFormatting>
  <conditionalFormatting sqref="AY51">
    <cfRule type="expression" dxfId="4788" priority="13184">
      <formula>$AY$51="✓"</formula>
    </cfRule>
  </conditionalFormatting>
  <conditionalFormatting sqref="AW45">
    <cfRule type="expression" dxfId="4787" priority="278">
      <formula>AW45=""</formula>
    </cfRule>
  </conditionalFormatting>
  <conditionalFormatting sqref="BG45">
    <cfRule type="expression" dxfId="4786" priority="7739">
      <formula>BG45="✓"</formula>
    </cfRule>
  </conditionalFormatting>
  <conditionalFormatting sqref="BG48:BG49">
    <cfRule type="expression" dxfId="4785" priority="15023">
      <formula>$BG$48="✓"</formula>
    </cfRule>
  </conditionalFormatting>
  <conditionalFormatting sqref="BG51">
    <cfRule type="expression" dxfId="4784" priority="13185">
      <formula>$BG$51="✓"</formula>
    </cfRule>
  </conditionalFormatting>
  <conditionalFormatting sqref="BE45">
    <cfRule type="expression" dxfId="4783" priority="270">
      <formula>BE45=""</formula>
    </cfRule>
  </conditionalFormatting>
  <conditionalFormatting sqref="BO45">
    <cfRule type="expression" dxfId="4782" priority="7741">
      <formula>BO45="✓"</formula>
    </cfRule>
  </conditionalFormatting>
  <conditionalFormatting sqref="BO48:BO49">
    <cfRule type="expression" dxfId="4781" priority="15024">
      <formula>$BO$48="✓"</formula>
    </cfRule>
  </conditionalFormatting>
  <conditionalFormatting sqref="BO51">
    <cfRule type="expression" dxfId="4780" priority="13186">
      <formula>$BO$51="✓"</formula>
    </cfRule>
  </conditionalFormatting>
  <conditionalFormatting sqref="BM45">
    <cfRule type="expression" dxfId="4779" priority="262">
      <formula>BM45=""</formula>
    </cfRule>
  </conditionalFormatting>
  <conditionalFormatting sqref="BW45">
    <cfRule type="expression" dxfId="4778" priority="7743">
      <formula>BW45="✓"</formula>
    </cfRule>
  </conditionalFormatting>
  <conditionalFormatting sqref="BW48:BW49">
    <cfRule type="expression" dxfId="4777" priority="15025">
      <formula>$BW$48="✓"</formula>
    </cfRule>
  </conditionalFormatting>
  <conditionalFormatting sqref="BW51">
    <cfRule type="expression" dxfId="4776" priority="13187">
      <formula>$BW$51="✓"</formula>
    </cfRule>
  </conditionalFormatting>
  <conditionalFormatting sqref="BU45">
    <cfRule type="expression" dxfId="4775" priority="254">
      <formula>BU45=""</formula>
    </cfRule>
  </conditionalFormatting>
  <conditionalFormatting sqref="CE45">
    <cfRule type="expression" dxfId="4774" priority="7745">
      <formula>CE45="✓"</formula>
    </cfRule>
  </conditionalFormatting>
  <conditionalFormatting sqref="CE48:CE49">
    <cfRule type="expression" dxfId="4773" priority="15026">
      <formula>$CE$48="✓"</formula>
    </cfRule>
  </conditionalFormatting>
  <conditionalFormatting sqref="CE51">
    <cfRule type="expression" dxfId="4772" priority="13188">
      <formula>$CE$51="✓"</formula>
    </cfRule>
  </conditionalFormatting>
  <conditionalFormatting sqref="CM45">
    <cfRule type="expression" dxfId="4771" priority="7747">
      <formula>CM45="✓"</formula>
    </cfRule>
  </conditionalFormatting>
  <conditionalFormatting sqref="CM48:CM49">
    <cfRule type="expression" dxfId="4770" priority="15027">
      <formula>$CM$48="✓"</formula>
    </cfRule>
  </conditionalFormatting>
  <conditionalFormatting sqref="CM51">
    <cfRule type="expression" dxfId="4769" priority="13189">
      <formula>$CM$51="✓"</formula>
    </cfRule>
  </conditionalFormatting>
  <conditionalFormatting sqref="CK45">
    <cfRule type="expression" dxfId="4768" priority="238">
      <formula>CK45=""</formula>
    </cfRule>
  </conditionalFormatting>
  <conditionalFormatting sqref="BK83:BK85 BK95:BK97 BK107:BK109 BK119:BK121 BK131:BK133">
    <cfRule type="expression" dxfId="4767" priority="232">
      <formula>A46=1111</formula>
    </cfRule>
  </conditionalFormatting>
  <conditionalFormatting sqref="BK71:BK73 BK59:BK61">
    <cfRule type="expression" dxfId="4766" priority="11785">
      <formula>A1=1111</formula>
    </cfRule>
  </conditionalFormatting>
  <conditionalFormatting sqref="AA26">
    <cfRule type="expression" dxfId="4765" priority="169">
      <formula>AA26="✓"</formula>
    </cfRule>
  </conditionalFormatting>
  <conditionalFormatting sqref="AA20">
    <cfRule type="expression" dxfId="4764" priority="160">
      <formula>AA20="✓"</formula>
    </cfRule>
  </conditionalFormatting>
  <conditionalFormatting sqref="Y24 Y26">
    <cfRule type="expression" dxfId="4763" priority="159">
      <formula>$Y$30&lt;&gt;""</formula>
    </cfRule>
  </conditionalFormatting>
  <conditionalFormatting sqref="Y28">
    <cfRule type="expression" dxfId="4762" priority="114">
      <formula>$Y$30&lt;&gt;""</formula>
    </cfRule>
  </conditionalFormatting>
  <conditionalFormatting sqref="W33:AC37">
    <cfRule type="expression" dxfId="4761" priority="105">
      <formula>$Y$30=""</formula>
    </cfRule>
  </conditionalFormatting>
  <conditionalFormatting sqref="AA36">
    <cfRule type="expression" dxfId="4760" priority="106">
      <formula>AA36="✓"</formula>
    </cfRule>
  </conditionalFormatting>
  <conditionalFormatting sqref="AA30">
    <cfRule type="expression" dxfId="4759" priority="157">
      <formula>AA30="✓"</formula>
    </cfRule>
  </conditionalFormatting>
  <conditionalFormatting sqref="AI26">
    <cfRule type="expression" dxfId="4758" priority="102">
      <formula>AI26="✓"</formula>
    </cfRule>
  </conditionalFormatting>
  <conditionalFormatting sqref="AI20">
    <cfRule type="expression" dxfId="4757" priority="101">
      <formula>AI20="✓"</formula>
    </cfRule>
  </conditionalFormatting>
  <conditionalFormatting sqref="AG24 AG26">
    <cfRule type="expression" dxfId="4756" priority="100">
      <formula>$AG$30&lt;&gt;""</formula>
    </cfRule>
  </conditionalFormatting>
  <conditionalFormatting sqref="AG28">
    <cfRule type="expression" dxfId="4755" priority="97">
      <formula>$AG$30&lt;&gt;""</formula>
    </cfRule>
  </conditionalFormatting>
  <conditionalFormatting sqref="AE33:AK37">
    <cfRule type="expression" dxfId="4754" priority="103">
      <formula>$Y$30=""</formula>
    </cfRule>
  </conditionalFormatting>
  <conditionalFormatting sqref="AI36">
    <cfRule type="expression" dxfId="4753" priority="202">
      <formula>AI36="✓"</formula>
    </cfRule>
  </conditionalFormatting>
  <conditionalFormatting sqref="AI30">
    <cfRule type="expression" dxfId="4752" priority="99">
      <formula>AI30="✓"</formula>
    </cfRule>
  </conditionalFormatting>
  <conditionalFormatting sqref="AQ26">
    <cfRule type="expression" dxfId="4751" priority="92">
      <formula>AQ26="✓"</formula>
    </cfRule>
  </conditionalFormatting>
  <conditionalFormatting sqref="AQ20">
    <cfRule type="expression" dxfId="4750" priority="91">
      <formula>AQ20="✓"</formula>
    </cfRule>
  </conditionalFormatting>
  <conditionalFormatting sqref="AO24 AO26">
    <cfRule type="expression" dxfId="4749" priority="90">
      <formula>$AO$30&lt;&gt;""</formula>
    </cfRule>
  </conditionalFormatting>
  <conditionalFormatting sqref="AO28">
    <cfRule type="expression" dxfId="4748" priority="87">
      <formula>$AO$30&lt;&gt;""</formula>
    </cfRule>
  </conditionalFormatting>
  <conditionalFormatting sqref="AM33:AS37">
    <cfRule type="expression" dxfId="4747" priority="179">
      <formula>$AO$30=""</formula>
    </cfRule>
  </conditionalFormatting>
  <conditionalFormatting sqref="AQ36">
    <cfRule type="expression" dxfId="4746" priority="180">
      <formula>AQ36="✓"</formula>
    </cfRule>
  </conditionalFormatting>
  <conditionalFormatting sqref="AQ30">
    <cfRule type="expression" dxfId="4745" priority="89">
      <formula>AQ30="✓"</formula>
    </cfRule>
  </conditionalFormatting>
  <conditionalFormatting sqref="AY26">
    <cfRule type="expression" dxfId="4744" priority="82">
      <formula>AY26="✓"</formula>
    </cfRule>
  </conditionalFormatting>
  <conditionalFormatting sqref="AY20">
    <cfRule type="expression" dxfId="4743" priority="81">
      <formula>AY20="✓"</formula>
    </cfRule>
  </conditionalFormatting>
  <conditionalFormatting sqref="AW24 AW26">
    <cfRule type="expression" dxfId="4742" priority="80">
      <formula>$AW$30&lt;&gt;""</formula>
    </cfRule>
  </conditionalFormatting>
  <conditionalFormatting sqref="AW28">
    <cfRule type="expression" dxfId="4741" priority="77">
      <formula>$AW$30&lt;&gt;""</formula>
    </cfRule>
  </conditionalFormatting>
  <conditionalFormatting sqref="AU33:BA37">
    <cfRule type="expression" dxfId="4740" priority="176">
      <formula>$AO$30=""</formula>
    </cfRule>
  </conditionalFormatting>
  <conditionalFormatting sqref="AY36">
    <cfRule type="expression" dxfId="4739" priority="205">
      <formula>AY36="✓"</formula>
    </cfRule>
  </conditionalFormatting>
  <conditionalFormatting sqref="AY30">
    <cfRule type="expression" dxfId="4738" priority="79">
      <formula>AY30="✓"</formula>
    </cfRule>
  </conditionalFormatting>
  <conditionalFormatting sqref="BG26">
    <cfRule type="expression" dxfId="4737" priority="71">
      <formula>BG26="✓"</formula>
    </cfRule>
  </conditionalFormatting>
  <conditionalFormatting sqref="BG20">
    <cfRule type="expression" dxfId="4736" priority="70">
      <formula>BG20="✓"</formula>
    </cfRule>
  </conditionalFormatting>
  <conditionalFormatting sqref="BE24 BE26">
    <cfRule type="expression" dxfId="4735" priority="69">
      <formula>$BE$30&lt;&gt;""</formula>
    </cfRule>
  </conditionalFormatting>
  <conditionalFormatting sqref="BE28">
    <cfRule type="expression" dxfId="4734" priority="66">
      <formula>$BE$30&lt;&gt;""</formula>
    </cfRule>
  </conditionalFormatting>
  <conditionalFormatting sqref="BC33:BI37">
    <cfRule type="expression" dxfId="4733" priority="184">
      <formula>$BE$30=""</formula>
    </cfRule>
  </conditionalFormatting>
  <conditionalFormatting sqref="BG36">
    <cfRule type="expression" dxfId="4732" priority="186">
      <formula>BG36="✓"</formula>
    </cfRule>
  </conditionalFormatting>
  <conditionalFormatting sqref="BG30">
    <cfRule type="expression" dxfId="4731" priority="68">
      <formula>BG30="✓"</formula>
    </cfRule>
  </conditionalFormatting>
  <conditionalFormatting sqref="BO26">
    <cfRule type="expression" dxfId="4730" priority="61">
      <formula>BO26="✓"</formula>
    </cfRule>
  </conditionalFormatting>
  <conditionalFormatting sqref="BO20">
    <cfRule type="expression" dxfId="4729" priority="60">
      <formula>BO20="✓"</formula>
    </cfRule>
  </conditionalFormatting>
  <conditionalFormatting sqref="BM24 BM26">
    <cfRule type="expression" dxfId="4728" priority="59">
      <formula>$BM$30&lt;&gt;""</formula>
    </cfRule>
  </conditionalFormatting>
  <conditionalFormatting sqref="BM28">
    <cfRule type="expression" dxfId="4727" priority="56">
      <formula>$BM$30&lt;&gt;""</formula>
    </cfRule>
  </conditionalFormatting>
  <conditionalFormatting sqref="BK33:BQ37">
    <cfRule type="expression" dxfId="4726" priority="174">
      <formula>$BE$30=""</formula>
    </cfRule>
  </conditionalFormatting>
  <conditionalFormatting sqref="BO36">
    <cfRule type="expression" dxfId="4725" priority="185">
      <formula>BO36="✓"</formula>
    </cfRule>
  </conditionalFormatting>
  <conditionalFormatting sqref="BO30">
    <cfRule type="expression" dxfId="4724" priority="58">
      <formula>BO30="✓"</formula>
    </cfRule>
  </conditionalFormatting>
  <conditionalFormatting sqref="BW26">
    <cfRule type="expression" dxfId="4723" priority="51">
      <formula>BW26="✓"</formula>
    </cfRule>
  </conditionalFormatting>
  <conditionalFormatting sqref="BW20">
    <cfRule type="expression" dxfId="4722" priority="50">
      <formula>BW20="✓"</formula>
    </cfRule>
  </conditionalFormatting>
  <conditionalFormatting sqref="BU24 BU26">
    <cfRule type="expression" dxfId="4721" priority="49">
      <formula>$BU$30&lt;&gt;""</formula>
    </cfRule>
  </conditionalFormatting>
  <conditionalFormatting sqref="BU28">
    <cfRule type="expression" dxfId="4720" priority="46">
      <formula>$BU$30&lt;&gt;""</formula>
    </cfRule>
  </conditionalFormatting>
  <conditionalFormatting sqref="BS33:BY37">
    <cfRule type="expression" dxfId="4719" priority="201">
      <formula>$BU$30=""</formula>
    </cfRule>
  </conditionalFormatting>
  <conditionalFormatting sqref="BW36">
    <cfRule type="expression" dxfId="4718" priority="211">
      <formula>BW36="✓"</formula>
    </cfRule>
  </conditionalFormatting>
  <conditionalFormatting sqref="BW30">
    <cfRule type="expression" dxfId="4717" priority="48">
      <formula>BW30="✓"</formula>
    </cfRule>
  </conditionalFormatting>
  <conditionalFormatting sqref="CE26">
    <cfRule type="expression" dxfId="4716" priority="41">
      <formula>CE26="✓"</formula>
    </cfRule>
  </conditionalFormatting>
  <conditionalFormatting sqref="CE20">
    <cfRule type="expression" dxfId="4715" priority="40">
      <formula>CE20="✓"</formula>
    </cfRule>
  </conditionalFormatting>
  <conditionalFormatting sqref="CC24 CC26">
    <cfRule type="expression" dxfId="4714" priority="39">
      <formula>$CC$30&lt;&gt;""</formula>
    </cfRule>
  </conditionalFormatting>
  <conditionalFormatting sqref="CC28">
    <cfRule type="expression" dxfId="4713" priority="36">
      <formula>$CC$30&lt;&gt;""</formula>
    </cfRule>
  </conditionalFormatting>
  <conditionalFormatting sqref="CA33:CG37">
    <cfRule type="expression" dxfId="4712" priority="188">
      <formula>$BU$30=""</formula>
    </cfRule>
  </conditionalFormatting>
  <conditionalFormatting sqref="CE36">
    <cfRule type="expression" dxfId="4711" priority="214">
      <formula>CE36="✓"</formula>
    </cfRule>
  </conditionalFormatting>
  <conditionalFormatting sqref="CE30">
    <cfRule type="expression" dxfId="4710" priority="38">
      <formula>CE30="✓"</formula>
    </cfRule>
  </conditionalFormatting>
  <conditionalFormatting sqref="CM26">
    <cfRule type="expression" dxfId="4709" priority="31">
      <formula>CM26="✓"</formula>
    </cfRule>
  </conditionalFormatting>
  <conditionalFormatting sqref="CM20">
    <cfRule type="expression" dxfId="4708" priority="30">
      <formula>CM20="✓"</formula>
    </cfRule>
  </conditionalFormatting>
  <conditionalFormatting sqref="CK24 CK26">
    <cfRule type="expression" dxfId="4707" priority="29">
      <formula>$CK$30&lt;&gt;""</formula>
    </cfRule>
  </conditionalFormatting>
  <conditionalFormatting sqref="CK28">
    <cfRule type="expression" dxfId="4706" priority="26">
      <formula>$CK$30&lt;&gt;""</formula>
    </cfRule>
  </conditionalFormatting>
  <conditionalFormatting sqref="CI33:CO37">
    <cfRule type="expression" dxfId="4705" priority="215">
      <formula>$CK$30=""</formula>
    </cfRule>
  </conditionalFormatting>
  <conditionalFormatting sqref="CM36">
    <cfRule type="expression" dxfId="4704" priority="216">
      <formula>CM36="✓"</formula>
    </cfRule>
  </conditionalFormatting>
  <conditionalFormatting sqref="CM30">
    <cfRule type="expression" dxfId="4703" priority="28">
      <formula>CM30="✓"</formula>
    </cfRule>
  </conditionalFormatting>
  <conditionalFormatting sqref="Y30">
    <cfRule type="expression" dxfId="4702" priority="104">
      <formula>$Y$30&lt;&gt;""</formula>
    </cfRule>
  </conditionalFormatting>
  <conditionalFormatting sqref="AG30">
    <cfRule type="expression" dxfId="4701" priority="94">
      <formula>$Y$30&lt;&gt;""</formula>
    </cfRule>
  </conditionalFormatting>
  <conditionalFormatting sqref="AO30">
    <cfRule type="expression" dxfId="4700" priority="84">
      <formula>$AO$30&lt;&gt;""</formula>
    </cfRule>
  </conditionalFormatting>
  <conditionalFormatting sqref="AW30">
    <cfRule type="expression" dxfId="4699" priority="74">
      <formula>$AO$30&lt;&gt;""</formula>
    </cfRule>
  </conditionalFormatting>
  <conditionalFormatting sqref="BE30">
    <cfRule type="expression" dxfId="4698" priority="63">
      <formula>$BE$30&lt;&gt;""</formula>
    </cfRule>
  </conditionalFormatting>
  <conditionalFormatting sqref="BM30">
    <cfRule type="expression" dxfId="4697" priority="53">
      <formula>$BE$30&lt;&gt;""</formula>
    </cfRule>
  </conditionalFormatting>
  <conditionalFormatting sqref="BU30">
    <cfRule type="expression" dxfId="4696" priority="43">
      <formula>$BU$30&lt;&gt;""</formula>
    </cfRule>
  </conditionalFormatting>
  <conditionalFormatting sqref="CC30">
    <cfRule type="expression" dxfId="4695" priority="33">
      <formula>$BU$30&lt;&gt;""</formula>
    </cfRule>
  </conditionalFormatting>
  <conditionalFormatting sqref="CK30">
    <cfRule type="expression" dxfId="4694" priority="23">
      <formula>$CK$30&lt;&gt;""</formula>
    </cfRule>
  </conditionalFormatting>
  <dataValidations count="22">
    <dataValidation allowBlank="1" showErrorMessage="1" sqref="AA60 AA108 CM87 CM102 N6:U7 M59:Z59 CM90 Y77:Y78 M60:M62 P89:P91 Y83 AA120 AA111 Q83:S91 T89:T91 AA72 O128:S128 Y73:Y74 P83:P87 Y65:Y66 P60:P63 T60:T63 Z61:Z66 CK85:CK86 O107:O115 T83:T87 P107:P111 Q107:S115 K119:M123 T107:T111 T113:T115 P113:P115 O116:S116 K107:M111 L92:S92 Y71 AA84 Y104 O119:O127 P119:P123 Q119:S127 T125:T127 P125:P127 T119:T123 AA96 N83:O91 K131:M135 N131:O139 Q131:S139 P131:P135 T137:T139 P137:P139 Z131:Z139 T131:T135 CM132 T77:T80 P77:P80 Y80 Z83:Z92 U83:X92 T101:T104 P101:P104 K116:M116 N107:N116 Z107:Z116 U107:X116 U119:X128 K128:M128 N119:N128 Z119:Z128 AE131:AF139 CM148 W14:X14 AC14 AK14 AA135 AA138 AE59:AH59 AG77:AG78 AG83 CU12:DZ12 O13:CT13 CU5:CW5 Y85:Y86 AG65:AG66 AH61:AH66 Y61:Y62 AG71 AG104 AH131:AH139 W68:Z68 AG80 AH83:AH92 AE83:AF92 AH107:AH116 AE107:AF116 AE119:AF128 AH119:AH128 AM131:AN139 AE14:AF14 AS14 AI75 AI78 AM59:AP59 AO77:AO78 AO83 AI87 AI90 AI99 AG85:AG86 AO65:AO66 AP61:AP66 AG61:AG62 AO71 AI102 AO104 AI132 AP131:AP139 AE68:AH68 AO80 AP83:AP92 AM83:AN92 AP107:AP116 AM107:AN116 AM119:AN128 AP119:AP128 AT131:AV139 AM14:AN14 BQ14 AQ75 AQ78 AT59:AX59 AW77:AW78 AW83 AQ87 AQ90 AQ99 AO85:AO86 AW65:AW66 AX61:AX66 AO61:AO62 AW71 AQ102 AW104 AQ132 AX131:AX139 AM68:AP68 AW80 AX83:AX92 AT83:AV92 AX107:AX116 AT107:AV116 AT119:AV128 AX119:AX128 BC131:BD139 AU14:AV14 BA14 BI14 AY75 AY78 BC59:BF59 BE77:BE78 BE83 AY87 AY90 AY99 AW85:AW86 BE65:BE66 BF61:BF66 AW61:AW62 BE71 AY102 BE104 AY132 BF131:BF139 AU68:AX68 BE80 BF83:BF92 BC83:BD92 BF107:BF116 BC107:BD116 BC119:BD128 BF119:BF128 BK131:BL139 BC14:BD14 BG75 BG78 BK14:BL14 BK59:BN59 BM77:BM78 BM83 BG87 BG90 BG99 BE85:BE86 BM65:BM66 BN61:BN66 BE61:BE62 BM71 BG102 BM104 BG132 BN131:BN139 BC68:BF68 BM80 BN83:BN92 BK83:BL92 BN107:BN116 BK107:BL116 BK119:BL128 BN119:BN128 BR131:BT139 C12:J12 CM78 CO14 BO75 BO78 BR59:BV59 BU77:BU78 BU83 BO87 BO90 BO99 BM85:BM86 BU65:BU66 BV61:BV66 BM61:BM62 BU71 BO102 BU104 BO132 BV131:BV139 BK68:BN68 BU80 BV83:BV92 BR83:BT92 BV107:BV116 BR107:BT116 BR119:BT128 BV119:BV128 CA131:CB139 BS14:BT14 BY14 CG14 BW75 BW78 CA59:CD59 CC77:CC78 CC83 BW87 BW90 BW99 BU85:BU86 CC65:CC66 CD61:CD66 BU61:BU62 CC71 BW102 CC104 BW132 CD131:CD139 BS68:BV68 CC80 CD83:CD92 CA83:CB92 CD107:CD116 CA107:CB116 CA119:CB128 CD119:CD128 CI131:CJ139 CA14:CB14 CE75 CE78 CI14:CJ14 CI59:CL59 CK77:CK78 CK83 CE87 CE90 CE99 CC85:CC86 CK65:CK66 CL61:CL66 CC61:CC62 CK71 CE102 CK104 CE132 CL131:CL139 CA68:CD68 CK80 CL83:CL92 CI83:CJ92 CL107:CL116 CI107:CJ116 CI119:CJ128 CL119:CL128 N60:N68 O60:O67 Q60:S67 P65:P67 T65:T67 O68:U68 U60:U67 W60:X67 AE60:AF67 AM60:AN67 AU60:AV67 BC60:BD67 BK60:BL67 BS60:BT67 CA60:CB67 CI60:CJ67 CI68:CL68 BR60:BR68 AT60:AT68 V60:V68 U131:X139 AQ148 AI148 AY148 AA148 CM99 CE148 BW148 BG148 BO148 AA63 AA114 AA66 AA123 AA126 AA75 AA78 AA87 AA90 AA99 AA102 AA132 AI60 AI108 AI120 AI111 AI72 AI84 AI96 AI135 AI138 AI63 AI114 AI66 AI123 AI126 AQ60 AQ108 AQ120 AQ111 AQ72 AQ84 AQ96 AQ135 AQ138 AQ63 AQ114 AQ66 AQ123 AQ126 AY60 AY108 AY120 AY111 AY72 AY84 AY96 AY135 AY138 AY63 AY114 AY66 AY123 AY126 BG60 BG108 BG120 BG111 BG72 BG84 BG96 BG135 BG138 BG63 BG114 BG66 BG123 BG126 BO60 BO108 BO120 BO111 BO72 BO84 BO96 BO135 BO138 BO63 BO114 BO66 BO123 BO126 BW60 BW108 BW120 BW111 BW72 BW84 BW96 BW135 BW138 BW63 BW114 BW66 BW123 BW126 CE60 CE108 CE120 CE111 CE72 CE84 CE96 CE135 CE138 CE63 CE114 CE66 CE123 CE126 CM60 CM108 CM120 CM111 CM72 CM84 CM96 CM135 CM138 CM63 CM114 CM66 CM123 CM126 CM75 CQ14 N154:U156 L153:M156 BS153:CT156 N141:N151 BK153:BQ156 BC153:BI156 AE153:BA156 W153:AC156 P33 L12:U12 L151:M151 W151:AC151 BK151:BQ151 BS151:CT151 AE151:BI151 BB153 W152:X152 AC152 AK152 M152:O152 AE152:AF152 AS152 AM152:AN152 BQ152 AU152:AV152 BA152 BI152 BC152:BD152 BK152:BL152 CO152 BS152:BT152 BY152 CG152 CA152:CB152 CI152:CJ152 CQ152 A151:J156 F104:M104 F68:M68 F108:I108 F96:I96 J73:J74 J85:J87 Q33:S35 A5:M7 F120:I120 J83 J61:J62 CI71:CJ80 CL71:CL80 CK61:CK62 CA71:CB80 CD71:CD80 CK73:CK74 BR71:BT80 BV71:BV80 CC73:CC74 BK71:BL80 BN71:BN80 BU73:BU74 BC71:BD80 BF71:BF80 BM73:BM74 AT71:AV80 AX71:AX80 BE73:BE74 AM71:AN80 AP71:AP80 AW73:AW74 AE71:AF80 AH71:AH80 AO73:AO74 N71:O80 Q71:S80 U71:X80 Z71:Z80 AG73:AG74 T71:T75 P71:P75 CI95:CJ104 CL95:CL104 CA95:CB104 CD95:CD104 BR95:BT104 BV95:BV104 BK95:BL104 BN95:BN104 BC95:BD104 BF95:BF104 AT95:AV104 AX95:AX104 AM95:AN104 AP95:AP104 AE95:AF104 AH95:AH104 U95:X104 Z95:Z104 N95:O104 Q95:S104 T95:T99 P95:P99 L95:M99 K44:M48 N44:O52 Q44:S52 P44:P48 T50:T52 P50:P52 Z44:Z52 T44:T48 CD44:CD52 CD55 AA48 AA51 CI55:CJ55 AH44:AH52 CL55 AI48 AP44:AP52 AI51 AQ48 AT44:AV52 AQ51 AX44:AX52 BF44:BF52 AY48 BG48 BN44:BN52 BG51 BO48 BR44:BT52 BO51 BV44:BV52 CE48 BW48 CE51 U44:X52 AA45 U55:X55 K55:S55 AE44:AF52 AI45 AM44:AN52 AQ45 AY51 AY45 BC44:BD52 BG45 BK44:BL52 BO45 BW51 BW45 CA44:CB52 CE45 F45 Q37:S37 Z55 AE55:AF55 AH55 AM55:AN55 AP55 AT55:AV55 AX55 BC55:BD55 BF55 BK55:BL55 BN55 BR55:BT55 BV55 CA55:CB55 CL44:CL52 CM48 CM51 CI44:CJ52 CM45 F132:I132 O19:U21 O33:O37 O147:P151 P36:P37 O144:P144 T33:U37 F59:I62 K59:L62 J59 F71:I74 K71:M74 J71 F83:I87 K83:M87 A12:B14 O14 C13:N16 D17:N17 C17 C24:C39 D19:N20 D21:N39 D18:N18" xr:uid="{F2158CC0-26D9-427B-A378-2E2770E9C079}"/>
    <dataValidation allowBlank="1" showInputMessage="1" showErrorMessage="1" promptTitle="Sonderboring" prompt="bormeter - Sonderboring inkl. lekkasjemåling, avh. av antall hull, her antas 4" sqref="AA84 AA72 AA60 AA108 CM51 AA120 J73:J74 AA111 J85:J86 AA96 J83 K107:K111 K119:K123 CM78 K116 K128 K131:K135 AA87 AA90 AA99 AA102 AA132 AA135 AA138 AI63 AI114 AI66 AI123 AI126 AI75 AI78 AQ63 AQ114 AQ66 AQ123 AQ126 AQ75 AQ78 AY63 AY114 AY66 AY123 AY126 AY75 AY78 BG63 BG114 BG66 BG123 BG126 BG75 BG78 BO63 BO114 BO66 BO123 BO126 BO75 BO78 BW63 BW114 BW66 BW123 BW126 BW75 BW78 CE63 CE114 CE66 CE123 CE126 CE75 CE78 J68:K68 AA63 AA114 AA66 AA123 AA126 AA75 AA78 AI84 AI72 AI60 AI108 AI120 AI111 AI96 AI87 AI90 AI99 AI102 AI132 AI135 AI138 AQ84 AQ72 AQ60 AQ108 AQ120 AQ111 AQ96 AQ87 AQ90 AQ99 AQ102 AQ132 AQ135 AQ138 AY84 AY72 AY60 AY108 AY120 AY111 AY96 AY87 AY90 AY99 AY102 AY132 AY135 AY138 BG84 BG72 BG60 BG108 BG120 BG111 BG96 BG87 BG90 BG99 BG102 BG132 BG135 BG138 BO84 BO72 BO60 BO108 BO120 BO111 BO96 BO87 BO90 BO99 BO102 BO132 BO135 BO138 BW84 BW72 BW60 BW108 BW120 BW111 BW96 BW87 BW90 BW99 BW102 BW132 BW135 BW138 CE84 CE72 CE60 CE108 CE120 CE111 CE96 CE87 CE90 CE99 CE102 CE132 CE135 CE138 CM84 CM72 CM60 CM108 CM120 CM111 CM96 CM87 CM90 CM99 CM102 CM132 CM135 CM138 CM63 CM114 CM66 CM123 CM126 CM75 J61:J62 K44:K48 AA45 AA48 AA51 CE45 CE48 K55 AI45 AI48 AI51 AQ45 AQ48 AQ51 AY45 AY48 AY51 BG45 BG48 BG51 BO45 BO48 BO51 BW45 BW48 BW51 CE51 CM45 CM48 K60:K62 K71:K74 J71 K83:K86" xr:uid="{892AACA6-9A5A-4280-BFC0-0CF2DDAE04B1}"/>
    <dataValidation operator="greaterThanOrEqual" allowBlank="1" showInputMessage="1" showErrorMessage="1" sqref="Y78 Y90:Y91 Y102:Y103 Y114:Y115 Y66 Y126:Y127 AG138:AG139 AG78 AG90:AG91 AG102:AG103 AG114:AG115 AG66 AG126:AG127 AO138:AO139 AO78 AO90:AO91 AO102:AO103 AO114:AO115 AO66 AO126:AO127 AW138:AW139 AW78 AW90:AW91 AW102:AW103 AW114:AW115 AW66 AW126:AW127 BE138:BE139 BE78 BE90:BE91 BE102:BE103 BE114:BE115 BE66 BE126:BE127 BM138:BM139 BM78 BM90:BM91 BM102:BM103 BM114:BM115 BM66 BM126:BM127 BU138:BU139 BU78 BU90:BU91 BU102:BU103 BU114:BU115 BU66 BU126:BU127 CC138:CC139 CC78 CC90:CC91 CC102:CC103 CC114:CC115 CC66 CC126:CC127 CK138:CK139 CK78 CK90:CK91 CK102:CK103 CK114:CK115 CK66 CK126:CK127 Y138:Y139 Y51:Y52 AG51:AG52 AO51:AO52 AW51:AW52 BE51:BE52 BM51:BM52 BU51:BU52 CC51:CC52 CK51:CK52" xr:uid="{1D07E71C-BEE4-47EF-8469-4736BD6FE394}"/>
    <dataValidation operator="greaterThanOrEqual" allowBlank="1" showInputMessage="1" showErrorMessage="1" errorTitle="Oops!" error="Du må bare skrive inn tall." sqref="BE148 Y148 AG148 AO148 AW148 BM148 BU148 CC148 CK148" xr:uid="{0D5121FE-7521-4A13-BB2A-545103E18675}"/>
    <dataValidation allowBlank="1" showErrorMessage="1" promptTitle="Éi arbeidsuke" prompt="Éi arbeidsuke er satt til: 101 timer" sqref="J148:J149" xr:uid="{25D327B3-18D3-488C-A3F9-00B631BE1210}"/>
    <dataValidation type="decimal" operator="notEqual" allowBlank="1" showInputMessage="1" showErrorMessage="1" errorTitle="Oops!" error="Bare tall (men ikke 0) er tillatt." sqref="Y63:Y64 AG63:AG64 AO63:AO64 AW63:AW64 BE63:BE64 BM63:BM64 BU63:BU64 CC63:CC64 CK63:CK64 Y75:Y76 AG75:AG76 AO75:AO76 AW75:AW76 BE75:BE76 BM75:BM76 BU75:BU76 CC75:CC76 CK75:CK76 CK87:CK88 CC87:CC88 BU87:BU88 BM87:BM88 BE87:BE88 AW87:AW88 AO87:AO88 AG87:AG88 Y87:Y88 Y99:Y100 AG99:AG100 AO99:AO100 AW99:AW100 BE99:BE100 BM99:BM100 BU99:BU100 CC99:CC100 CK99:CK100 CK111:CK112 CC111:CC112 BU111:BU112 BM111:BM112 BE111:BE112 AW111:AW112 AO111:AO112 AG111:AG112 Y111:Y112 Y123:Y124 AG123:AG124 AO123:AO124 AW123:AW124 BE123:BE124 BM123:BM124 BU123:BU124 CC123:CC124 CK123:CK124 CK135:CK136 CC135:CC136 BU135:BU136 BM135:BM136 BE135:BE136 AW135:AW136 AO135:AO136 AG135:AG136 Y135:Y136 Y48:Y49 AG48:AG49 AO48:AO49 AW48:AW49 BE48:BE49 BM48:BM49 BU48:BU49 CC48:CC49 CK48:CK49" xr:uid="{6B79EE5C-67BA-4AE4-BD0F-6EA4E25D3C68}">
      <formula1>0</formula1>
    </dataValidation>
    <dataValidation type="list" allowBlank="1" showInputMessage="1" showErrorMessage="1" errorTitle="Oops!" error="Vennligst svar &quot;Ja&quot; eller &quot;Nei&quot;." sqref="AW84 AO84 AG84 Y84 BE84 BM84 BU84 CC84 CK84 Y72 Y60 AG60 AG72 AO72 AO60 AW60 AW72 BE72 BE60 BM60 BM72 BU72 BU60 CC60 CK60 CK72 CC72 CK96 CC96 BU96 BM96 BE96 AW96 AO96 AG96 Y96 Y108 AG108 AO108 AW108 BE108 BM108 BU108 CC108 CK108 CK120 CC120 BU120 BM120 BE120 AW120 AO120 AG120 Y120 Y132 AG132 AO132 AW132 BE132 BM132 BU132 CC132 CK132" xr:uid="{31732B0F-8AE0-4CCE-87E6-B0AB16BF377C}">
      <formula1>",Ja,Nei"</formula1>
    </dataValidation>
    <dataValidation type="decimal" allowBlank="1" showInputMessage="1" showErrorMessage="1" errorTitle="Oops!" error="Bare tall mellom 1,00 og 2,00 er tillatt." sqref="Y30 AO30 BE30 BU30 CK30" xr:uid="{1D4DE5DD-4305-4592-80AD-F356A919E247}">
      <formula1>1</formula1>
      <formula2>2</formula2>
    </dataValidation>
    <dataValidation allowBlank="1" showInputMessage="1" showErrorMessage="1" promptTitle="Samlet justering" prompt="Angi en samlet og generell justering i stedet for å angi individuelle justeringer nedenfor" sqref="J45" xr:uid="{AD907C14-142C-4B7F-A510-89086144D2F2}"/>
    <dataValidation allowBlank="1" showInputMessage="1" showErrorMessage="1" promptTitle="Seismikk" prompt="Angi totale justeringer i stedet for individuelle justeringer nedenfor." sqref="J45" xr:uid="{967E28AD-1930-4F6F-A707-795E4118DE9F}"/>
    <dataValidation allowBlank="1" showInputMessage="1" showErrorMessage="1" promptTitle="Geologi og svakhetssoner" prompt="Datagrunnlaget for kapasitetene i modellen inneholder en normal variasjon i geologi og svakhetssoner. Kontraktens sikringsmengder tar høyde for kjent geologi._x000a__x000a_Justering for denne faktoren anbefales brukt bare ved spesielt krevende geologiske forhold." sqref="J60" xr:uid="{44CAC87C-2BE1-4F47-97BB-31B9E9D52E90}"/>
    <dataValidation allowBlank="1" showInputMessage="1" showErrorMessage="1" promptTitle="Geologi og svakhetssoner" prompt="bormeter - Sonderboring inkl. lekkasjemåling, avh. av antall hull, her antas 4" sqref="J60" xr:uid="{2A48137B-B58F-4FC0-AC54-D5B75F212AED}"/>
    <dataValidation allowBlank="1" showInputMessage="1" showErrorMessage="1" promptTitle="Stor stigning eller synk" prompt="Datagrunnlaget for kapasitetene i modellen har en viss variasjon i stigning eller synk omkring horisontal tunnel._x000a__x000a_Tunneler med stor stigning eller synk kan gis noe ekstra tid sammenliknet med tilnærmet horisontale tunneler." sqref="J72" xr:uid="{B22B036C-FFF6-4F76-889F-D51C758DE54D}"/>
    <dataValidation allowBlank="1" showInputMessage="1" showErrorMessage="1" promptTitle="Stor stigning eller synk" prompt="bormeter - Sonderboring inkl. lekkasjemåling, avh. av antall hull, her antas 4" sqref="J72" xr:uid="{BD61D447-83B6-454E-AF9F-629C1A9693B4}"/>
    <dataValidation allowBlank="1" showInputMessage="1" showErrorMessage="1" promptTitle="Avvikende arbeidstid" prompt="Modellen forutsetter en ukentlig arbeidstid på 101 h. Avvikende arbeidstid i hele eller deler av prosjektet kan justeres for i denne posten." sqref="J84" xr:uid="{1593040F-7AB0-4B8F-A70B-72C292AB18A6}"/>
    <dataValidation allowBlank="1" showInputMessage="1" showErrorMessage="1" promptTitle="Sonderboring" prompt="Modellen forutsetter en ukentlig arbeidstid på 101 h. Avvikende arbeidstid for hele prosjektet bør korrigeres for i fanen Prosjektinfo._x000a__x000a_Avvikende arbeidstid i deler av prosjektet kan justeres for i denne posten." sqref="J84" xr:uid="{6E314498-C648-424C-8329-45BE0E8766C7}"/>
    <dataValidation allowBlank="1" showInputMessage="1" showErrorMessage="1" promptTitle="Sprengningsvibrasjoner" prompt="Datagrunnlaget for kapsistetene i modellen inneholder prosjekter med noe restriksjoner for sprengningsvibrasjoner._x000a__x000a_Tid for håndtering av ekstra strenge grenser for sprengningsvibrasjoner kan legges inn i denne posten." sqref="J96" xr:uid="{6452A994-65FC-4877-908A-6BDB38E63A64}"/>
    <dataValidation allowBlank="1" showInputMessage="1" showErrorMessage="1" promptTitle="Sprengningsvibrasjoner" prompt="bormeter - Sonderboring inkl. lekkasjemåling, avh. av antall hull, her antas 4" sqref="J96" xr:uid="{DBE2FB26-9186-43B3-9600-2AF9229FBDB8}"/>
    <dataValidation allowBlank="1" showInputMessage="1" showErrorMessage="1" promptTitle="Skytetidspunkt" prompt="Datagrunnlaget inneholder ikke data fra prosjekter med sterke begrensninger til skytetidspunkt._x000a__x000a_Ekstra tidforbruk for ventetid i prosjekter med få tilgjengelige tidspunkt og/eller korte tidsvindu for salveskyting kan settes av her." sqref="J108" xr:uid="{9A39CD89-98CB-4A8C-9BCF-E2C008259F23}"/>
    <dataValidation allowBlank="1" showInputMessage="1" showErrorMessage="1" promptTitle="Støyende arbeider" prompt="Datagrunnlaget for kapasitetene i modellen inneholder noen prosjekter med restriksjoner i forhold til støyende arbeider._x000a__x000a_Dersom betydelige andeler av prosjektet er berørt av slike restriksjoner, kan det justeres for dette i denne posten." sqref="J120" xr:uid="{414B983D-65C0-4BC5-A881-5774A6C22CE9}"/>
    <dataValidation allowBlank="1" showInputMessage="1" showErrorMessage="1" promptTitle="Seismikk" prompt="Datagrunnlaget for kapasitetene i modellen inneholder noen prosjekter med restriksjoner i forhold til støyende arbeider._x000a__x000a_Dersom betydelige andeler av prosjektet er berørt av slike restriksjoner, kan det justeres for dette i denne posten." sqref="J120" xr:uid="{A8B74E98-4F57-426E-ABCB-27C02BB1C019}"/>
    <dataValidation allowBlank="1" showInputMessage="1" showErrorMessage="1" promptTitle="Annen justering av byggetid" prompt="Denne posten kan brukes til å legge inn tidforbruk for spesielle forhold i prosjektet som ikke er nevnt spesifikt i lista over._x000a__x000a_Denne posten må brukes med forsiktighet." sqref="J132" xr:uid="{7A749D16-A5D6-4952-8ABE-5ACF271AA73C}"/>
  </dataValidations>
  <printOptions horizontalCentered="1" verticalCentered="1"/>
  <pageMargins left="0.23622047244094491" right="0.23622047244094491" top="0.74803149606299213" bottom="0.74803149606299213" header="0.31496062992125984" footer="0.31496062992125984"/>
  <pageSetup paperSize="8" scale="32" orientation="landscape" r:id="rId1"/>
  <extLst>
    <ext xmlns:x14="http://schemas.microsoft.com/office/spreadsheetml/2009/9/main" uri="{78C0D931-6437-407d-A8EE-F0AAD7539E65}">
      <x14:conditionalFormattings>
        <x14:conditionalFormatting xmlns:xm="http://schemas.microsoft.com/office/excel/2006/main">
          <x14:cfRule type="expression" priority="246" id="{00000000-000E-0000-0700-00002E000000}">
            <xm:f>AND(_Calcs!$NO$48&gt;7,CC45="")</xm:f>
            <x14:dxf>
              <fill>
                <patternFill>
                  <bgColor theme="0"/>
                </patternFill>
              </fill>
            </x14:dxf>
          </x14:cfRule>
          <xm:sqref>CC45</xm:sqref>
        </x14:conditionalFormatting>
        <x14:conditionalFormatting xmlns:xm="http://schemas.microsoft.com/office/excel/2006/main">
          <x14:cfRule type="expression" priority="1149" id="{00000000-000E-0000-0800-000067020000}">
            <xm:f>OR($BU$72&lt;&gt;"Ja",AND($BM$72&lt;&gt;_List!$DK$5,_Calcs!$NO$48=6))</xm:f>
            <x14:dxf>
              <font>
                <color theme="0"/>
              </font>
              <fill>
                <patternFill>
                  <bgColor theme="0"/>
                </patternFill>
              </fill>
              <border>
                <left/>
                <right/>
                <bottom/>
                <vertical/>
                <horizontal/>
              </border>
            </x14:dxf>
          </x14:cfRule>
          <xm:sqref>BS74:BY79</xm:sqref>
        </x14:conditionalFormatting>
        <x14:conditionalFormatting xmlns:xm="http://schemas.microsoft.com/office/excel/2006/main">
          <x14:cfRule type="expression" priority="1132" id="{00000000-000E-0000-0800-000062020000}">
            <xm:f>OR($BU$60&lt;&gt;"Ja",AND($BM$60&lt;&gt;_List!$DK$5,_Calcs!$NO$48=6))</xm:f>
            <x14:dxf>
              <font>
                <color theme="0"/>
              </font>
              <fill>
                <patternFill>
                  <bgColor theme="0"/>
                </patternFill>
              </fill>
              <border>
                <left/>
                <right/>
                <bottom/>
                <vertical/>
                <horizontal/>
              </border>
            </x14:dxf>
          </x14:cfRule>
          <xm:sqref>BS62:BY67</xm:sqref>
        </x14:conditionalFormatting>
        <x14:conditionalFormatting xmlns:xm="http://schemas.microsoft.com/office/excel/2006/main">
          <x14:cfRule type="expression" priority="1131" id="{00000000-000E-0000-0800-00005B020000}">
            <xm:f>OR($BU$84&lt;&gt;"Ja",AND($BM$84&lt;&gt;_List!$DK$5,_Calcs!$NO$48=6))</xm:f>
            <x14:dxf>
              <font>
                <color theme="0"/>
              </font>
              <fill>
                <patternFill>
                  <bgColor theme="0"/>
                </patternFill>
              </fill>
              <border>
                <left/>
                <right/>
                <bottom/>
                <vertical/>
                <horizontal/>
              </border>
            </x14:dxf>
          </x14:cfRule>
          <xm:sqref>BS86:BY91</xm:sqref>
        </x14:conditionalFormatting>
        <x14:conditionalFormatting xmlns:xm="http://schemas.microsoft.com/office/excel/2006/main">
          <x14:cfRule type="expression" priority="1136" id="{00000000-000E-0000-0800-000055020000}">
            <xm:f>OR($BU$96&lt;&gt;"Ja",AND($BM$96&lt;&gt;_List!$DK$5,_Calcs!$NO$48=6))</xm:f>
            <x14:dxf>
              <font>
                <color theme="0"/>
              </font>
              <fill>
                <patternFill>
                  <bgColor theme="0"/>
                </patternFill>
              </fill>
              <border>
                <left/>
                <right/>
                <bottom/>
                <vertical/>
                <horizontal/>
              </border>
            </x14:dxf>
          </x14:cfRule>
          <xm:sqref>BS98:BY103</xm:sqref>
        </x14:conditionalFormatting>
        <x14:conditionalFormatting xmlns:xm="http://schemas.microsoft.com/office/excel/2006/main">
          <x14:cfRule type="expression" priority="1143" id="{00000000-000E-0000-0800-00004F020000}">
            <xm:f>OR($BU$108&lt;&gt;"Ja",AND($BM$108&lt;&gt;_List!$DK$5,_Calcs!$NO$48=6))</xm:f>
            <x14:dxf>
              <font>
                <color theme="0"/>
              </font>
              <fill>
                <patternFill>
                  <bgColor theme="0"/>
                </patternFill>
              </fill>
              <border>
                <left/>
                <right/>
                <bottom/>
                <vertical/>
                <horizontal/>
              </border>
            </x14:dxf>
          </x14:cfRule>
          <xm:sqref>BS110:BY115</xm:sqref>
        </x14:conditionalFormatting>
        <x14:conditionalFormatting xmlns:xm="http://schemas.microsoft.com/office/excel/2006/main">
          <x14:cfRule type="expression" priority="1134" id="{00000000-000E-0000-0800-000049020000}">
            <xm:f>OR($BU$120&lt;&gt;"Ja",AND($BM$120&lt;&gt;_List!$DK$5,_Calcs!$NO$48=6))</xm:f>
            <x14:dxf>
              <font>
                <color theme="0"/>
              </font>
              <fill>
                <patternFill>
                  <bgColor theme="0"/>
                </patternFill>
              </fill>
              <border>
                <left/>
                <right/>
                <bottom/>
                <vertical/>
                <horizontal/>
              </border>
            </x14:dxf>
          </x14:cfRule>
          <xm:sqref>BS122:BY127</xm:sqref>
        </x14:conditionalFormatting>
        <x14:conditionalFormatting xmlns:xm="http://schemas.microsoft.com/office/excel/2006/main">
          <x14:cfRule type="expression" priority="1133" id="{00000000-000E-0000-0800-000043020000}">
            <xm:f>OR($BU$132&lt;&gt;"Ja",AND($BM$132&lt;&gt;_List!$DK$5,_Calcs!$NO$48=6))</xm:f>
            <x14:dxf>
              <font>
                <color theme="0"/>
              </font>
              <fill>
                <patternFill>
                  <bgColor theme="0"/>
                </patternFill>
              </fill>
              <border>
                <left/>
                <right/>
                <bottom/>
                <vertical/>
                <horizontal/>
              </border>
            </x14:dxf>
          </x14:cfRule>
          <xm:sqref>BS134:BY139</xm:sqref>
        </x14:conditionalFormatting>
        <x14:conditionalFormatting xmlns:xm="http://schemas.microsoft.com/office/excel/2006/main">
          <x14:cfRule type="expression" priority="1020" id="{00000000-000E-0000-0800-0000D4010000}">
            <xm:f>OR($CC$72&lt;&gt;"Ja",AND($BU$72&lt;&gt;_List!$DK$5,_Calcs!$NO$48=7))</xm:f>
            <x14:dxf>
              <font>
                <color theme="0"/>
              </font>
              <fill>
                <patternFill>
                  <bgColor theme="0"/>
                </patternFill>
              </fill>
              <border>
                <left/>
                <right/>
                <bottom/>
                <vertical/>
                <horizontal/>
              </border>
            </x14:dxf>
          </x14:cfRule>
          <xm:sqref>CA74:CG79</xm:sqref>
        </x14:conditionalFormatting>
        <x14:conditionalFormatting xmlns:xm="http://schemas.microsoft.com/office/excel/2006/main">
          <x14:cfRule type="expression" priority="996" id="{00000000-000E-0000-0800-0000CF010000}">
            <xm:f>OR($CC$60&lt;&gt;"Ja",AND($BU$60&lt;&gt;_List!$DK$5,_Calcs!$NO$48=7))</xm:f>
            <x14:dxf>
              <font>
                <color theme="0"/>
              </font>
              <fill>
                <patternFill>
                  <bgColor theme="0"/>
                </patternFill>
              </fill>
              <border>
                <left/>
                <right/>
                <bottom/>
                <vertical/>
                <horizontal/>
              </border>
            </x14:dxf>
          </x14:cfRule>
          <xm:sqref>CA62:CG67</xm:sqref>
        </x14:conditionalFormatting>
        <x14:conditionalFormatting xmlns:xm="http://schemas.microsoft.com/office/excel/2006/main">
          <x14:cfRule type="expression" priority="981" id="{00000000-000E-0000-0800-0000C8010000}">
            <xm:f>OR($CC$84&lt;&gt;"Ja",AND($BU$84&lt;&gt;_List!$DK$5,_Calcs!$NO$48=7))</xm:f>
            <x14:dxf>
              <font>
                <color theme="0"/>
              </font>
              <fill>
                <patternFill>
                  <bgColor theme="0"/>
                </patternFill>
              </fill>
              <border>
                <left/>
                <right/>
                <bottom/>
                <vertical/>
                <horizontal/>
              </border>
            </x14:dxf>
          </x14:cfRule>
          <xm:sqref>CA86:CG91</xm:sqref>
        </x14:conditionalFormatting>
        <x14:conditionalFormatting xmlns:xm="http://schemas.microsoft.com/office/excel/2006/main">
          <x14:cfRule type="expression" priority="987" id="{00000000-000E-0000-0800-0000C2010000}">
            <xm:f>OR($CC$96&lt;&gt;"Ja",AND($BU$96&lt;&gt;_List!$DK$5,_Calcs!$NO$48=7))</xm:f>
            <x14:dxf>
              <font>
                <color theme="0"/>
              </font>
              <fill>
                <patternFill>
                  <bgColor theme="0"/>
                </patternFill>
              </fill>
              <border>
                <left/>
                <right/>
                <bottom/>
                <vertical/>
                <horizontal/>
              </border>
            </x14:dxf>
          </x14:cfRule>
          <xm:sqref>CA98:CG103</xm:sqref>
        </x14:conditionalFormatting>
        <x14:conditionalFormatting xmlns:xm="http://schemas.microsoft.com/office/excel/2006/main">
          <x14:cfRule type="expression" priority="1001" id="{00000000-000E-0000-0800-0000BC010000}">
            <xm:f>OR($CC$108&lt;&gt;"Ja",AND($BU$108&lt;&gt;_List!$DK$5,_Calcs!$NO$48=7))</xm:f>
            <x14:dxf>
              <font>
                <color theme="0"/>
              </font>
              <fill>
                <patternFill>
                  <bgColor theme="0"/>
                </patternFill>
              </fill>
              <border>
                <left/>
                <right/>
                <bottom/>
                <vertical/>
                <horizontal/>
              </border>
            </x14:dxf>
          </x14:cfRule>
          <xm:sqref>CA110:CG115</xm:sqref>
        </x14:conditionalFormatting>
        <x14:conditionalFormatting xmlns:xm="http://schemas.microsoft.com/office/excel/2006/main">
          <x14:cfRule type="expression" priority="598" id="{00000000-000E-0000-0800-0000B6010000}">
            <xm:f>OR($CC$120&lt;&gt;"Ja",AND($BU$120&lt;&gt;_List!$DK$5,_Calcs!$NO$48=7))</xm:f>
            <x14:dxf>
              <font>
                <color theme="0"/>
              </font>
              <fill>
                <patternFill>
                  <bgColor theme="0"/>
                </patternFill>
              </fill>
              <border>
                <left/>
                <right/>
                <bottom/>
                <vertical/>
                <horizontal/>
              </border>
            </x14:dxf>
          </x14:cfRule>
          <xm:sqref>CA122:CG127</xm:sqref>
        </x14:conditionalFormatting>
        <x14:conditionalFormatting xmlns:xm="http://schemas.microsoft.com/office/excel/2006/main">
          <x14:cfRule type="expression" priority="984" id="{00000000-000E-0000-0800-0000B0010000}">
            <xm:f>OR($CC$132&lt;&gt;"Ja",AND($BU$132&lt;&gt;_List!$DK$5,_Calcs!$NO$48=7))</xm:f>
            <x14:dxf>
              <font>
                <color theme="0"/>
              </font>
              <fill>
                <patternFill>
                  <bgColor theme="0"/>
                </patternFill>
              </fill>
              <border>
                <left/>
                <right/>
                <bottom/>
                <vertical/>
                <horizontal/>
              </border>
            </x14:dxf>
          </x14:cfRule>
          <xm:sqref>CA134:CG139</xm:sqref>
        </x14:conditionalFormatting>
        <x14:conditionalFormatting xmlns:xm="http://schemas.microsoft.com/office/excel/2006/main">
          <x14:cfRule type="expression" priority="970" id="{00000000-000E-0000-0800-0000A3010000}">
            <xm:f>OR($CK$72&lt;&gt;"Ja",AND($CC$72&lt;&gt;_List!$DK$5,_Calcs!$NO$48=8))</xm:f>
            <x14:dxf>
              <font>
                <color theme="0"/>
              </font>
              <fill>
                <patternFill>
                  <bgColor theme="0"/>
                </patternFill>
              </fill>
              <border>
                <left/>
                <right/>
                <bottom/>
                <vertical/>
                <horizontal/>
              </border>
            </x14:dxf>
          </x14:cfRule>
          <xm:sqref>CI74:CO79</xm:sqref>
        </x14:conditionalFormatting>
        <x14:conditionalFormatting xmlns:xm="http://schemas.microsoft.com/office/excel/2006/main">
          <x14:cfRule type="expression" priority="967" id="{00000000-000E-0000-0800-00009E010000}">
            <xm:f>OR($CK$60&lt;&gt;"Ja",AND($CC$60&lt;&gt;_List!$DK$5,_Calcs!$NO$48=8))</xm:f>
            <x14:dxf>
              <font>
                <color theme="0"/>
              </font>
              <fill>
                <patternFill>
                  <bgColor theme="0"/>
                </patternFill>
              </fill>
              <border>
                <left/>
                <right/>
                <bottom/>
                <vertical/>
                <horizontal/>
              </border>
            </x14:dxf>
          </x14:cfRule>
          <xm:sqref>CI62:CO67</xm:sqref>
        </x14:conditionalFormatting>
        <x14:conditionalFormatting xmlns:xm="http://schemas.microsoft.com/office/excel/2006/main">
          <x14:cfRule type="expression" priority="959" id="{00000000-000E-0000-0800-000097010000}">
            <xm:f>OR($CK$84&lt;&gt;"Ja",AND($CC$84&lt;&gt;_List!$DK$5,_Calcs!$NO$48=8))</xm:f>
            <x14:dxf>
              <font>
                <color theme="0"/>
              </font>
              <fill>
                <patternFill>
                  <bgColor theme="0"/>
                </patternFill>
              </fill>
              <border>
                <left/>
                <right/>
                <bottom/>
                <vertical/>
                <horizontal/>
              </border>
            </x14:dxf>
          </x14:cfRule>
          <xm:sqref>CI86:CO91</xm:sqref>
        </x14:conditionalFormatting>
        <x14:conditionalFormatting xmlns:xm="http://schemas.microsoft.com/office/excel/2006/main">
          <x14:cfRule type="expression" priority="953" id="{00000000-000E-0000-0800-000091010000}">
            <xm:f>OR($CK$96&lt;&gt;"Ja",AND($CC$96&lt;&gt;_List!$DK$5,_Calcs!$NO$48=8))</xm:f>
            <x14:dxf>
              <font>
                <color theme="0"/>
              </font>
              <fill>
                <patternFill>
                  <bgColor theme="0"/>
                </patternFill>
              </fill>
              <border>
                <left/>
                <right/>
                <bottom/>
                <vertical/>
                <horizontal/>
              </border>
            </x14:dxf>
          </x14:cfRule>
          <xm:sqref>CI98:CO103</xm:sqref>
        </x14:conditionalFormatting>
        <x14:conditionalFormatting xmlns:xm="http://schemas.microsoft.com/office/excel/2006/main">
          <x14:cfRule type="expression" priority="944" id="{00000000-000E-0000-0800-00008B010000}">
            <xm:f>OR($CK$108&lt;&gt;"Ja",AND($CC$108&lt;&gt;_List!$DK$5,_Calcs!$NO$48=8))</xm:f>
            <x14:dxf>
              <font>
                <color theme="0"/>
              </font>
              <fill>
                <patternFill>
                  <bgColor theme="0"/>
                </patternFill>
              </fill>
              <border>
                <left/>
                <right/>
                <bottom/>
                <vertical/>
                <horizontal/>
              </border>
            </x14:dxf>
          </x14:cfRule>
          <xm:sqref>CI110:CO115</xm:sqref>
        </x14:conditionalFormatting>
        <x14:conditionalFormatting xmlns:xm="http://schemas.microsoft.com/office/excel/2006/main">
          <x14:cfRule type="expression" priority="940" id="{00000000-000E-0000-0800-000085010000}">
            <xm:f>OR($CK$120&lt;&gt;"Ja",AND($CC$120&lt;&gt;_List!$DK$5,_Calcs!$NO$48=8))</xm:f>
            <x14:dxf>
              <font>
                <color theme="0"/>
              </font>
              <fill>
                <patternFill>
                  <bgColor theme="0"/>
                </patternFill>
              </fill>
              <border>
                <left/>
                <right/>
                <bottom/>
                <vertical/>
                <horizontal/>
              </border>
            </x14:dxf>
          </x14:cfRule>
          <xm:sqref>CI122:CO127</xm:sqref>
        </x14:conditionalFormatting>
        <x14:conditionalFormatting xmlns:xm="http://schemas.microsoft.com/office/excel/2006/main">
          <x14:cfRule type="expression" priority="934" id="{00000000-000E-0000-0800-00007F010000}">
            <xm:f>OR($CK$132&lt;&gt;"Ja",AND($CC$132&lt;&gt;_List!$DK$5,_Calcs!$NO$48=8))</xm:f>
            <x14:dxf>
              <font>
                <color theme="0"/>
              </font>
              <fill>
                <patternFill>
                  <bgColor theme="0"/>
                </patternFill>
              </fill>
              <border>
                <left/>
                <right/>
                <bottom/>
                <vertical/>
                <horizontal/>
              </border>
            </x14:dxf>
          </x14:cfRule>
          <xm:sqref>CI134:CO139</xm:sqref>
        </x14:conditionalFormatting>
        <x14:conditionalFormatting xmlns:xm="http://schemas.microsoft.com/office/excel/2006/main">
          <x14:cfRule type="expression" priority="882" id="{00000000-000E-0000-0800-000072010000}">
            <xm:f>OR($BM$72&lt;&gt;"Ja",AND($BE$72&lt;&gt;_List!$DK$5,_Calcs!$NO$48=5))</xm:f>
            <x14:dxf>
              <font>
                <color theme="0"/>
              </font>
              <fill>
                <patternFill>
                  <bgColor theme="0"/>
                </patternFill>
              </fill>
              <border>
                <left/>
                <right/>
                <bottom/>
                <vertical/>
                <horizontal/>
              </border>
            </x14:dxf>
          </x14:cfRule>
          <xm:sqref>BK74:BQ79</xm:sqref>
        </x14:conditionalFormatting>
        <x14:conditionalFormatting xmlns:xm="http://schemas.microsoft.com/office/excel/2006/main">
          <x14:cfRule type="expression" priority="879" id="{00000000-000E-0000-0800-00006D010000}">
            <xm:f>OR($BM$60&lt;&gt;"Ja",AND($BE$60&lt;&gt;_List!$DK$5,_Calcs!$NO$48=5))</xm:f>
            <x14:dxf>
              <font>
                <color theme="0"/>
              </font>
              <fill>
                <patternFill>
                  <bgColor theme="0"/>
                </patternFill>
              </fill>
              <border>
                <left/>
                <right/>
                <bottom/>
                <vertical/>
                <horizontal/>
              </border>
            </x14:dxf>
          </x14:cfRule>
          <xm:sqref>BK62:BQ67</xm:sqref>
        </x14:conditionalFormatting>
        <x14:conditionalFormatting xmlns:xm="http://schemas.microsoft.com/office/excel/2006/main">
          <x14:cfRule type="expression" priority="909" id="{00000000-000E-0000-0800-000066010000}">
            <xm:f>OR($BM$84&lt;&gt;"Ja",AND($BE$84&lt;&gt;_List!$DK$5,_Calcs!$NO$48=5))</xm:f>
            <x14:dxf>
              <font>
                <color theme="0"/>
              </font>
              <fill>
                <patternFill>
                  <bgColor theme="0"/>
                </patternFill>
              </fill>
              <border>
                <left/>
                <right/>
                <bottom/>
                <vertical/>
                <horizontal/>
              </border>
            </x14:dxf>
          </x14:cfRule>
          <xm:sqref>BK86:BQ91</xm:sqref>
        </x14:conditionalFormatting>
        <x14:conditionalFormatting xmlns:xm="http://schemas.microsoft.com/office/excel/2006/main">
          <x14:cfRule type="expression" priority="904" id="{00000000-000E-0000-0800-000060010000}">
            <xm:f>OR($BM$96&lt;&gt;"Ja",AND($BE$96&lt;&gt;_List!$DK$5,_Calcs!$NO$48=5))</xm:f>
            <x14:dxf>
              <font>
                <color theme="0"/>
              </font>
              <fill>
                <patternFill>
                  <bgColor theme="0"/>
                </patternFill>
              </fill>
              <border>
                <left/>
                <right/>
                <bottom/>
                <vertical/>
                <horizontal/>
              </border>
            </x14:dxf>
          </x14:cfRule>
          <xm:sqref>BK98:BQ103</xm:sqref>
        </x14:conditionalFormatting>
        <x14:conditionalFormatting xmlns:xm="http://schemas.microsoft.com/office/excel/2006/main">
          <x14:cfRule type="expression" priority="898" id="{00000000-000E-0000-0800-00005A010000}">
            <xm:f>OR($BM$108&lt;&gt;"Ja",AND($BE$108&lt;&gt;_List!$DK$5,_Calcs!$NO$48=5))</xm:f>
            <x14:dxf>
              <font>
                <color theme="0"/>
              </font>
              <fill>
                <patternFill>
                  <bgColor theme="0"/>
                </patternFill>
              </fill>
              <border>
                <left/>
                <right/>
                <bottom/>
                <vertical/>
                <horizontal/>
              </border>
            </x14:dxf>
          </x14:cfRule>
          <xm:sqref>BK110:BQ115</xm:sqref>
        </x14:conditionalFormatting>
        <x14:conditionalFormatting xmlns:xm="http://schemas.microsoft.com/office/excel/2006/main">
          <x14:cfRule type="expression" priority="891" id="{00000000-000E-0000-0800-000054010000}">
            <xm:f>OR($BM$120&lt;&gt;"Ja",AND($BE$120&lt;&gt;_List!$DK$5,_Calcs!$NO$48=5))</xm:f>
            <x14:dxf>
              <font>
                <color theme="0"/>
              </font>
              <fill>
                <patternFill>
                  <bgColor theme="0"/>
                </patternFill>
              </fill>
              <border>
                <left/>
                <right/>
                <bottom/>
                <vertical/>
                <horizontal/>
              </border>
            </x14:dxf>
          </x14:cfRule>
          <xm:sqref>BK122:BQ127</xm:sqref>
        </x14:conditionalFormatting>
        <x14:conditionalFormatting xmlns:xm="http://schemas.microsoft.com/office/excel/2006/main">
          <x14:cfRule type="expression" priority="885" id="{00000000-000E-0000-0800-00004E010000}">
            <xm:f>OR($BM$132&lt;&gt;"Ja",AND($BE$132&lt;&gt;_List!$DK$5,_Calcs!$NO$48=5))</xm:f>
            <x14:dxf>
              <font>
                <color theme="0"/>
              </font>
              <fill>
                <patternFill>
                  <bgColor theme="0"/>
                </patternFill>
              </fill>
              <border>
                <left/>
                <right/>
                <bottom/>
                <vertical/>
                <horizontal/>
              </border>
            </x14:dxf>
          </x14:cfRule>
          <xm:sqref>BK134:BQ139</xm:sqref>
        </x14:conditionalFormatting>
        <x14:conditionalFormatting xmlns:xm="http://schemas.microsoft.com/office/excel/2006/main">
          <x14:cfRule type="expression" priority="872" id="{00000000-000E-0000-0800-000041010000}">
            <xm:f>OR($BE$72&lt;&gt;"Ja",AND($AW$72&lt;&gt;_List!$DK$5,_Calcs!$NO$48=4))</xm:f>
            <x14:dxf>
              <font>
                <color theme="0"/>
              </font>
              <fill>
                <patternFill>
                  <bgColor theme="0"/>
                </patternFill>
              </fill>
              <border>
                <left/>
                <right/>
                <bottom/>
                <vertical/>
                <horizontal/>
              </border>
            </x14:dxf>
          </x14:cfRule>
          <xm:sqref>BC74:BI79</xm:sqref>
        </x14:conditionalFormatting>
        <x14:conditionalFormatting xmlns:xm="http://schemas.microsoft.com/office/excel/2006/main">
          <x14:cfRule type="expression" priority="839" id="{00000000-000E-0000-0800-00003C010000}">
            <xm:f>OR($BE$60&lt;&gt;"Ja",AND($AW$60&lt;&gt;_List!$DK$5,_Calcs!$NO$48=4))</xm:f>
            <x14:dxf>
              <font>
                <color theme="0"/>
              </font>
              <fill>
                <patternFill>
                  <bgColor theme="0"/>
                </patternFill>
              </fill>
              <border>
                <left/>
                <right/>
                <bottom/>
                <vertical/>
                <horizontal/>
              </border>
            </x14:dxf>
          </x14:cfRule>
          <xm:sqref>BC62:BI67</xm:sqref>
        </x14:conditionalFormatting>
        <x14:conditionalFormatting xmlns:xm="http://schemas.microsoft.com/office/excel/2006/main">
          <x14:cfRule type="expression" priority="860" id="{00000000-000E-0000-0800-000035010000}">
            <xm:f>OR($BE$84&lt;&gt;"Ja",AND($AW$84&lt;&gt;_List!$DK$5,_Calcs!$NO$48=4))</xm:f>
            <x14:dxf>
              <font>
                <color theme="0"/>
              </font>
              <fill>
                <patternFill>
                  <bgColor theme="0"/>
                </patternFill>
              </fill>
              <border>
                <left/>
                <right/>
                <bottom/>
                <vertical/>
                <horizontal/>
              </border>
            </x14:dxf>
          </x14:cfRule>
          <xm:sqref>BC86:BI91</xm:sqref>
        </x14:conditionalFormatting>
        <x14:conditionalFormatting xmlns:xm="http://schemas.microsoft.com/office/excel/2006/main">
          <x14:cfRule type="expression" priority="854" id="{00000000-000E-0000-0800-00002F010000}">
            <xm:f>OR($BE$96&lt;&gt;"Ja",AND($AW$96&lt;&gt;_List!$DK$5,_Calcs!$NO$48=4))</xm:f>
            <x14:dxf>
              <font>
                <color theme="0"/>
              </font>
              <fill>
                <patternFill>
                  <bgColor theme="0"/>
                </patternFill>
              </fill>
              <border>
                <left/>
                <right/>
                <bottom/>
                <vertical/>
                <horizontal/>
              </border>
            </x14:dxf>
          </x14:cfRule>
          <xm:sqref>BC98:BI103</xm:sqref>
        </x14:conditionalFormatting>
        <x14:conditionalFormatting xmlns:xm="http://schemas.microsoft.com/office/excel/2006/main">
          <x14:cfRule type="expression" priority="579" id="{00000000-000E-0000-0800-000029010000}">
            <xm:f>OR($BE$108&lt;&gt;"Ja",AND($AW$108&lt;&gt;_List!$DK$5,_Calcs!$NO$48=4))</xm:f>
            <x14:dxf>
              <font>
                <color theme="0"/>
              </font>
              <fill>
                <patternFill>
                  <bgColor theme="0"/>
                </patternFill>
              </fill>
              <border>
                <left/>
                <right/>
                <bottom/>
                <vertical/>
                <horizontal/>
              </border>
            </x14:dxf>
          </x14:cfRule>
          <xm:sqref>BC110:BI115</xm:sqref>
        </x14:conditionalFormatting>
        <x14:conditionalFormatting xmlns:xm="http://schemas.microsoft.com/office/excel/2006/main">
          <x14:cfRule type="expression" priority="842" id="{00000000-000E-0000-0800-000023010000}">
            <xm:f>OR($BE$120&lt;&gt;"Ja",AND($AW$120&lt;&gt;_List!$DK$5,_Calcs!$NO$48=4))</xm:f>
            <x14:dxf>
              <font>
                <color theme="0"/>
              </font>
              <fill>
                <patternFill>
                  <bgColor theme="0"/>
                </patternFill>
              </fill>
              <border>
                <left/>
                <right/>
                <bottom/>
                <vertical/>
                <horizontal/>
              </border>
            </x14:dxf>
          </x14:cfRule>
          <xm:sqref>BC122:BI127</xm:sqref>
        </x14:conditionalFormatting>
        <x14:conditionalFormatting xmlns:xm="http://schemas.microsoft.com/office/excel/2006/main">
          <x14:cfRule type="expression" priority="836" id="{00000000-000E-0000-0800-00001D010000}">
            <xm:f>OR($BE$132&lt;&gt;"Ja",AND($AW$132&lt;&gt;_List!$DK$5,_Calcs!$NO$48=4))</xm:f>
            <x14:dxf>
              <font>
                <color theme="0"/>
              </font>
              <fill>
                <patternFill>
                  <bgColor theme="0"/>
                </patternFill>
              </fill>
              <border>
                <left/>
                <right/>
                <bottom/>
                <vertical/>
                <horizontal/>
              </border>
            </x14:dxf>
          </x14:cfRule>
          <xm:sqref>BC134:BI139</xm:sqref>
        </x14:conditionalFormatting>
        <x14:conditionalFormatting xmlns:xm="http://schemas.microsoft.com/office/excel/2006/main">
          <x14:cfRule type="expression" priority="824" id="{00000000-000E-0000-0800-000010010000}">
            <xm:f>OR($AW$72&lt;&gt;"Ja",AND($AO$72&lt;&gt;_List!$DK$5,_Calcs!$NO$48=3))</xm:f>
            <x14:dxf>
              <font>
                <color theme="0"/>
              </font>
              <fill>
                <patternFill>
                  <bgColor theme="0"/>
                </patternFill>
              </fill>
              <border>
                <left/>
                <right/>
                <bottom/>
                <vertical/>
                <horizontal/>
              </border>
            </x14:dxf>
          </x14:cfRule>
          <xm:sqref>AU74:BA79</xm:sqref>
        </x14:conditionalFormatting>
        <x14:conditionalFormatting xmlns:xm="http://schemas.microsoft.com/office/excel/2006/main">
          <x14:cfRule type="expression" priority="799" id="{00000000-000E-0000-0800-00000B010000}">
            <xm:f>OR($AW$60&lt;&gt;"Ja",AND($AO$60&lt;&gt;_List!$DK$5,_Calcs!$NO$48=3))</xm:f>
            <x14:dxf>
              <font>
                <color theme="0"/>
              </font>
              <fill>
                <patternFill>
                  <bgColor theme="0"/>
                </patternFill>
              </fill>
              <border>
                <left/>
                <right/>
                <bottom/>
                <vertical/>
                <horizontal/>
              </border>
            </x14:dxf>
          </x14:cfRule>
          <xm:sqref>AU62:BA67</xm:sqref>
        </x14:conditionalFormatting>
        <x14:conditionalFormatting xmlns:xm="http://schemas.microsoft.com/office/excel/2006/main">
          <x14:cfRule type="expression" priority="811" id="{00000000-000E-0000-0800-000004010000}">
            <xm:f>OR($AW$84&lt;&gt;"Ja",AND($AO$84&lt;&gt;_List!$DK$5,_Calcs!$NO$48=3))</xm:f>
            <x14:dxf>
              <font>
                <color theme="0"/>
              </font>
              <fill>
                <patternFill>
                  <bgColor theme="0"/>
                </patternFill>
              </fill>
              <border>
                <left/>
                <right/>
                <bottom/>
                <vertical/>
                <horizontal/>
              </border>
            </x14:dxf>
          </x14:cfRule>
          <xm:sqref>AU86:BA91</xm:sqref>
        </x14:conditionalFormatting>
        <x14:conditionalFormatting xmlns:xm="http://schemas.microsoft.com/office/excel/2006/main">
          <x14:cfRule type="expression" priority="805" id="{00000000-000E-0000-0800-0000FE000000}">
            <xm:f>OR($AW$96&lt;&gt;"Ja",AND($AO$96&lt;&gt;_List!$DK$5,_Calcs!$NO$48=3))</xm:f>
            <x14:dxf>
              <font>
                <color theme="0"/>
              </font>
              <fill>
                <patternFill>
                  <bgColor theme="0"/>
                </patternFill>
              </fill>
              <border>
                <left/>
                <right/>
                <bottom/>
                <vertical/>
                <horizontal/>
              </border>
            </x14:dxf>
          </x14:cfRule>
          <xm:sqref>AU98:BA103</xm:sqref>
        </x14:conditionalFormatting>
        <x14:conditionalFormatting xmlns:xm="http://schemas.microsoft.com/office/excel/2006/main">
          <x14:cfRule type="expression" priority="793" id="{00000000-000E-0000-0800-0000F8000000}">
            <xm:f>OR($AW$108&lt;&gt;"Ja",AND($AO$108&lt;&gt;_List!$DK$5,_Calcs!$NO$48=3))</xm:f>
            <x14:dxf>
              <font>
                <color theme="0"/>
              </font>
              <fill>
                <patternFill>
                  <bgColor theme="0"/>
                </patternFill>
              </fill>
              <border>
                <left/>
                <right/>
                <bottom/>
                <vertical/>
                <horizontal/>
              </border>
            </x14:dxf>
          </x14:cfRule>
          <xm:sqref>AU110:BA115</xm:sqref>
        </x14:conditionalFormatting>
        <x14:conditionalFormatting xmlns:xm="http://schemas.microsoft.com/office/excel/2006/main">
          <x14:cfRule type="expression" priority="794" id="{00000000-000E-0000-0800-0000F2000000}">
            <xm:f>OR($AW$120&lt;&gt;"Ja",AND($AO$120&lt;&gt;_List!$DK$5,_Calcs!$NO$48=3))</xm:f>
            <x14:dxf>
              <font>
                <color theme="0"/>
              </font>
              <fill>
                <patternFill>
                  <bgColor theme="0"/>
                </patternFill>
              </fill>
              <border>
                <left/>
                <right/>
                <bottom/>
                <vertical/>
                <horizontal/>
              </border>
            </x14:dxf>
          </x14:cfRule>
          <xm:sqref>AU122:BA127</xm:sqref>
        </x14:conditionalFormatting>
        <x14:conditionalFormatting xmlns:xm="http://schemas.microsoft.com/office/excel/2006/main">
          <x14:cfRule type="expression" priority="787" id="{00000000-000E-0000-0800-0000EC000000}">
            <xm:f>OR($AW$132&lt;&gt;"Ja",AND($AO$132&lt;&gt;_List!$DK$5,_Calcs!$NO$48=3))</xm:f>
            <x14:dxf>
              <font>
                <color theme="0"/>
              </font>
              <fill>
                <patternFill>
                  <bgColor theme="0"/>
                </patternFill>
              </fill>
              <border>
                <left/>
                <right/>
                <bottom/>
                <vertical/>
                <horizontal/>
              </border>
            </x14:dxf>
          </x14:cfRule>
          <xm:sqref>AU134:BA139</xm:sqref>
        </x14:conditionalFormatting>
        <x14:conditionalFormatting xmlns:xm="http://schemas.microsoft.com/office/excel/2006/main">
          <x14:cfRule type="expression" priority="565" id="{00000000-000E-0000-0800-0000DF000000}">
            <xm:f>OR($AO$72&lt;&gt;"Ja",AND($AG$72&lt;&gt;_List!$DK$5,_Calcs!$NO$48=2))</xm:f>
            <x14:dxf>
              <font>
                <color theme="0"/>
              </font>
              <fill>
                <patternFill>
                  <bgColor theme="0"/>
                </patternFill>
              </fill>
              <border>
                <left/>
                <right/>
                <bottom/>
                <vertical/>
                <horizontal/>
              </border>
            </x14:dxf>
          </x14:cfRule>
          <xm:sqref>AM74:AS79</xm:sqref>
        </x14:conditionalFormatting>
        <x14:conditionalFormatting xmlns:xm="http://schemas.microsoft.com/office/excel/2006/main">
          <x14:cfRule type="expression" priority="734" id="{00000000-000E-0000-0800-0000DA000000}">
            <xm:f>OR($AO$60&lt;&gt;"Ja",AND($AG$60&lt;&gt;_List!$DK$5,_Calcs!$NO$48=2))</xm:f>
            <x14:dxf>
              <font>
                <color theme="0"/>
              </font>
              <fill>
                <patternFill>
                  <bgColor theme="0"/>
                </patternFill>
              </fill>
              <border>
                <left/>
                <right/>
                <bottom/>
                <vertical/>
                <horizontal/>
              </border>
            </x14:dxf>
          </x14:cfRule>
          <xm:sqref>AM62:AS67</xm:sqref>
        </x14:conditionalFormatting>
        <x14:conditionalFormatting xmlns:xm="http://schemas.microsoft.com/office/excel/2006/main">
          <x14:cfRule type="expression" priority="742" id="{00000000-000E-0000-0800-0000D3000000}">
            <xm:f>OR($AO$84&lt;&gt;"Ja",AND($AG$84&lt;&gt;_List!$DK$5,_Calcs!$NO$48=2))</xm:f>
            <x14:dxf>
              <font>
                <color theme="0"/>
              </font>
              <fill>
                <patternFill>
                  <bgColor theme="0"/>
                </patternFill>
              </fill>
              <border>
                <left/>
                <right/>
                <bottom/>
                <vertical/>
                <horizontal/>
              </border>
            </x14:dxf>
          </x14:cfRule>
          <xm:sqref>AM86:AS91</xm:sqref>
        </x14:conditionalFormatting>
        <x14:conditionalFormatting xmlns:xm="http://schemas.microsoft.com/office/excel/2006/main">
          <x14:cfRule type="expression" priority="732" id="{00000000-000E-0000-0800-0000CD000000}">
            <xm:f>OR($AO$96&lt;&gt;"Ja",AND($AG$96&lt;&gt;_List!$DK$5,_Calcs!$NO$48=2))</xm:f>
            <x14:dxf>
              <font>
                <color theme="0"/>
              </font>
              <fill>
                <patternFill>
                  <bgColor theme="0"/>
                </patternFill>
              </fill>
              <border>
                <left/>
                <right/>
                <bottom/>
                <vertical/>
                <horizontal/>
              </border>
            </x14:dxf>
          </x14:cfRule>
          <xm:sqref>AM98:AS103</xm:sqref>
        </x14:conditionalFormatting>
        <x14:conditionalFormatting xmlns:xm="http://schemas.microsoft.com/office/excel/2006/main">
          <x14:cfRule type="expression" priority="740" id="{00000000-000E-0000-0800-0000C7000000}">
            <xm:f>OR($AO$108&lt;&gt;"Ja",AND($AG$108&lt;&gt;_List!$DK$5,_Calcs!$NO$48=2))</xm:f>
            <x14:dxf>
              <font>
                <color theme="0"/>
              </font>
              <fill>
                <patternFill>
                  <bgColor theme="0"/>
                </patternFill>
              </fill>
              <border>
                <left/>
                <right/>
                <bottom/>
                <vertical/>
                <horizontal/>
              </border>
            </x14:dxf>
          </x14:cfRule>
          <xm:sqref>AM110:AS115</xm:sqref>
        </x14:conditionalFormatting>
        <x14:conditionalFormatting xmlns:xm="http://schemas.microsoft.com/office/excel/2006/main">
          <x14:cfRule type="expression" priority="745" id="{00000000-000E-0000-0800-0000C1000000}">
            <xm:f>OR($AO$120&lt;&gt;"Ja",AND($AG$120&lt;&gt;_List!$DK$5,_Calcs!$NO$48=2))</xm:f>
            <x14:dxf>
              <font>
                <color theme="0"/>
              </font>
              <fill>
                <patternFill>
                  <bgColor theme="0"/>
                </patternFill>
              </fill>
              <border>
                <left/>
                <right/>
                <bottom/>
                <vertical/>
                <horizontal/>
              </border>
            </x14:dxf>
          </x14:cfRule>
          <xm:sqref>AM122:AS127</xm:sqref>
        </x14:conditionalFormatting>
        <x14:conditionalFormatting xmlns:xm="http://schemas.microsoft.com/office/excel/2006/main">
          <x14:cfRule type="expression" priority="738" id="{00000000-000E-0000-0800-0000BB000000}">
            <xm:f>OR($AO$132&lt;&gt;"Ja",AND($AG$132&lt;&gt;_List!$DK$5,_Calcs!$NO$48=2))</xm:f>
            <x14:dxf>
              <font>
                <color theme="0"/>
              </font>
              <fill>
                <patternFill>
                  <bgColor theme="0"/>
                </patternFill>
              </fill>
              <border>
                <left/>
                <right/>
                <bottom/>
                <vertical/>
                <horizontal/>
              </border>
            </x14:dxf>
          </x14:cfRule>
          <xm:sqref>AM134:AS139</xm:sqref>
        </x14:conditionalFormatting>
        <x14:conditionalFormatting xmlns:xm="http://schemas.microsoft.com/office/excel/2006/main">
          <x14:cfRule type="expression" priority="685" id="{00000000-000E-0000-0800-0000AE000000}">
            <xm:f>OR($AG$72&lt;&gt;"Ja",AND($Y$72&lt;&gt;_List!$DK$5,_Calcs!$NO$48=1))</xm:f>
            <x14:dxf>
              <font>
                <color theme="0"/>
              </font>
              <fill>
                <patternFill>
                  <bgColor theme="0"/>
                </patternFill>
              </fill>
              <border>
                <left/>
                <right/>
                <bottom/>
                <vertical/>
                <horizontal/>
              </border>
            </x14:dxf>
          </x14:cfRule>
          <xm:sqref>AE74:AK79</xm:sqref>
        </x14:conditionalFormatting>
        <x14:conditionalFormatting xmlns:xm="http://schemas.microsoft.com/office/excel/2006/main">
          <x14:cfRule type="expression" priority="690" id="{00000000-000E-0000-0800-0000A9000000}">
            <xm:f>OR($AG$60&lt;&gt;"Ja",AND($Y$60&lt;&gt;_List!$DK$5,_Calcs!$NO$48=1))</xm:f>
            <x14:dxf>
              <font>
                <color theme="0"/>
              </font>
              <fill>
                <patternFill>
                  <bgColor theme="0"/>
                </patternFill>
              </fill>
              <border>
                <left/>
                <right/>
                <bottom/>
                <vertical/>
                <horizontal/>
              </border>
            </x14:dxf>
          </x14:cfRule>
          <xm:sqref>AE62:AK67</xm:sqref>
        </x14:conditionalFormatting>
        <x14:conditionalFormatting xmlns:xm="http://schemas.microsoft.com/office/excel/2006/main">
          <x14:cfRule type="expression" priority="684" id="{00000000-000E-0000-0800-0000A2000000}">
            <xm:f>OR($AG$84&lt;&gt;"Ja",AND($Y$84&lt;&gt;_List!$DK$5,_Calcs!$NO$48=1))</xm:f>
            <x14:dxf>
              <font>
                <color theme="0"/>
              </font>
              <fill>
                <patternFill>
                  <bgColor theme="0"/>
                </patternFill>
              </fill>
              <border>
                <left/>
                <right/>
                <bottom/>
                <vertical/>
                <horizontal/>
              </border>
            </x14:dxf>
          </x14:cfRule>
          <xm:sqref>AE86:AK91</xm:sqref>
        </x14:conditionalFormatting>
        <x14:conditionalFormatting xmlns:xm="http://schemas.microsoft.com/office/excel/2006/main">
          <x14:cfRule type="expression" priority="682" id="{00000000-000E-0000-0800-00009C000000}">
            <xm:f>OR($AG$96&lt;&gt;"Ja",AND($Y$96&lt;&gt;_List!$DK$5,_Calcs!$NO$48=1))</xm:f>
            <x14:dxf>
              <font>
                <color theme="0"/>
              </font>
              <fill>
                <patternFill>
                  <bgColor theme="0"/>
                </patternFill>
              </fill>
              <border>
                <left/>
                <right/>
                <bottom/>
                <vertical/>
                <horizontal/>
              </border>
            </x14:dxf>
          </x14:cfRule>
          <xm:sqref>AE98:AK103</xm:sqref>
        </x14:conditionalFormatting>
        <x14:conditionalFormatting xmlns:xm="http://schemas.microsoft.com/office/excel/2006/main">
          <x14:cfRule type="expression" priority="681" id="{00000000-000E-0000-0800-000096000000}">
            <xm:f>OR($AG$108&lt;&gt;"Ja",AND($Y$108&lt;&gt;_List!$DK$5,_Calcs!$NO$48=1))</xm:f>
            <x14:dxf>
              <font>
                <color theme="0"/>
              </font>
              <fill>
                <patternFill>
                  <bgColor theme="0"/>
                </patternFill>
              </fill>
              <border>
                <left/>
                <right/>
                <bottom/>
                <vertical/>
                <horizontal/>
              </border>
            </x14:dxf>
          </x14:cfRule>
          <xm:sqref>AE110:AK115</xm:sqref>
        </x14:conditionalFormatting>
        <x14:conditionalFormatting xmlns:xm="http://schemas.microsoft.com/office/excel/2006/main">
          <x14:cfRule type="expression" priority="687" id="{00000000-000E-0000-0800-000090000000}">
            <xm:f>OR($AG$120&lt;&gt;"Ja",AND($Y$120&lt;&gt;_List!$DK$5,_Calcs!$NO$48=1))</xm:f>
            <x14:dxf>
              <font>
                <color theme="0"/>
              </font>
              <fill>
                <patternFill>
                  <bgColor theme="0"/>
                </patternFill>
              </fill>
              <border>
                <left/>
                <right/>
                <bottom/>
                <vertical/>
                <horizontal/>
              </border>
            </x14:dxf>
          </x14:cfRule>
          <xm:sqref>AE122:AK127</xm:sqref>
        </x14:conditionalFormatting>
        <x14:conditionalFormatting xmlns:xm="http://schemas.microsoft.com/office/excel/2006/main">
          <x14:cfRule type="expression" priority="691" id="{00000000-000E-0000-0800-00008A000000}">
            <xm:f>OR($AG$132&lt;&gt;"Ja",AND($Y$132&lt;&gt;_List!$DK$5,_Calcs!$NO$48=1))</xm:f>
            <x14:dxf>
              <font>
                <color theme="0"/>
              </font>
              <fill>
                <patternFill>
                  <bgColor theme="0"/>
                </patternFill>
              </fill>
              <border>
                <left/>
                <right/>
                <bottom/>
                <vertical/>
                <horizontal/>
              </border>
            </x14:dxf>
          </x14:cfRule>
          <xm:sqref>AE134:AK139</xm:sqref>
        </x14:conditionalFormatting>
        <x14:conditionalFormatting xmlns:xm="http://schemas.microsoft.com/office/excel/2006/main">
          <x14:cfRule type="expression" priority="13560" id="{72F5F838-5691-483F-A0C4-5894D5A03F84}">
            <xm:f>AND($CK$60="Ja",_Calcs!$NO$48=9,_Calcs!$IO$26=2)</xm:f>
            <x14:dxf>
              <fill>
                <patternFill>
                  <bgColor rgb="FFFCE7D0"/>
                </patternFill>
              </fill>
            </x14:dxf>
          </x14:cfRule>
          <xm:sqref>CQ62:CQ67</xm:sqref>
        </x14:conditionalFormatting>
        <x14:conditionalFormatting xmlns:xm="http://schemas.microsoft.com/office/excel/2006/main">
          <x14:cfRule type="expression" priority="13060" id="{C16E103F-96E4-49D3-B1F0-10C352014437}">
            <xm:f>AND($CK$72="Ja",_Calcs!$NO$48=9,_Calcs!$IO$26=2)</xm:f>
            <x14:dxf>
              <fill>
                <patternFill>
                  <bgColor rgb="FFFCE7D0"/>
                </patternFill>
              </fill>
            </x14:dxf>
          </x14:cfRule>
          <xm:sqref>CQ74:CQ79</xm:sqref>
        </x14:conditionalFormatting>
        <x14:conditionalFormatting xmlns:xm="http://schemas.microsoft.com/office/excel/2006/main">
          <x14:cfRule type="expression" priority="614" id="{4B31BC8C-736C-4A11-84C6-A49FFDC70D9A}">
            <xm:f>AND($CK$84="Ja",_Calcs!$NO$48=9,_Calcs!$IO$26=2)</xm:f>
            <x14:dxf>
              <fill>
                <patternFill>
                  <bgColor rgb="FFFCE7D0"/>
                </patternFill>
              </fill>
            </x14:dxf>
          </x14:cfRule>
          <xm:sqref>CQ86:CQ91</xm:sqref>
        </x14:conditionalFormatting>
        <x14:conditionalFormatting xmlns:xm="http://schemas.microsoft.com/office/excel/2006/main">
          <x14:cfRule type="expression" priority="613" id="{755CC265-E50B-48E1-8E0F-D7F7C5BA256B}">
            <xm:f>AND($CK$96="Ja",_Calcs!$NO$48=9,_Calcs!$IO$26=2)</xm:f>
            <x14:dxf>
              <fill>
                <patternFill>
                  <bgColor rgb="FFFCE7D0"/>
                </patternFill>
              </fill>
            </x14:dxf>
          </x14:cfRule>
          <xm:sqref>CQ98:CQ103</xm:sqref>
        </x14:conditionalFormatting>
        <x14:conditionalFormatting xmlns:xm="http://schemas.microsoft.com/office/excel/2006/main">
          <x14:cfRule type="expression" priority="612" id="{2E01840F-5876-416D-A849-CCC542430EB8}">
            <xm:f>AND($CK$108="Ja",_Calcs!$NO$48=9,_Calcs!$IO$26=2)</xm:f>
            <x14:dxf>
              <fill>
                <patternFill>
                  <bgColor rgb="FFFCE7D0"/>
                </patternFill>
              </fill>
            </x14:dxf>
          </x14:cfRule>
          <xm:sqref>CQ110:CQ115</xm:sqref>
        </x14:conditionalFormatting>
        <x14:conditionalFormatting xmlns:xm="http://schemas.microsoft.com/office/excel/2006/main">
          <x14:cfRule type="expression" priority="611" id="{75548DD4-6262-412D-857B-B46B1CEBE1A2}">
            <xm:f>AND($CK$120="Ja",_Calcs!$NO$48=9,_Calcs!$IO$26=2)</xm:f>
            <x14:dxf>
              <fill>
                <patternFill>
                  <bgColor rgb="FFFCE7D0"/>
                </patternFill>
              </fill>
            </x14:dxf>
          </x14:cfRule>
          <xm:sqref>CQ122:CQ127</xm:sqref>
        </x14:conditionalFormatting>
        <x14:conditionalFormatting xmlns:xm="http://schemas.microsoft.com/office/excel/2006/main">
          <x14:cfRule type="expression" priority="610" id="{8B62F277-5C70-4D84-98C4-106EC0049371}">
            <xm:f>AND($CK$132="Ja",_Calcs!$NO$48=9,_Calcs!$IO$26=2)</xm:f>
            <x14:dxf>
              <fill>
                <patternFill>
                  <bgColor rgb="FFFCE7D0"/>
                </patternFill>
              </fill>
            </x14:dxf>
          </x14:cfRule>
          <xm:sqref>CQ134:CQ139</xm:sqref>
        </x14:conditionalFormatting>
        <x14:conditionalFormatting xmlns:xm="http://schemas.microsoft.com/office/excel/2006/main">
          <x14:cfRule type="expression" priority="607" id="{F1D5BF4E-9100-467C-8FF8-3468ED0F3615}">
            <xm:f>AND($CC$60="Ja",_Calcs!$NO$48=8,_Calcs!$IO$25=2)</xm:f>
            <x14:dxf>
              <fill>
                <patternFill>
                  <bgColor rgb="FFFCE7D0"/>
                </patternFill>
              </fill>
            </x14:dxf>
          </x14:cfRule>
          <xm:sqref>CI62:CI67</xm:sqref>
        </x14:conditionalFormatting>
        <x14:conditionalFormatting xmlns:xm="http://schemas.microsoft.com/office/excel/2006/main">
          <x14:cfRule type="expression" priority="606" id="{127A8631-AD86-4809-96AC-F144C5695552}">
            <xm:f>AND($CC$72="Ja",_Calcs!$NO$48=8,_Calcs!$IO$25=2)</xm:f>
            <x14:dxf>
              <fill>
                <patternFill>
                  <bgColor rgb="FFFCE7D0"/>
                </patternFill>
              </fill>
            </x14:dxf>
          </x14:cfRule>
          <xm:sqref>CI74:CI79</xm:sqref>
        </x14:conditionalFormatting>
        <x14:conditionalFormatting xmlns:xm="http://schemas.microsoft.com/office/excel/2006/main">
          <x14:cfRule type="expression" priority="605" id="{9D96CE7C-D848-4020-8895-A12375CDF45D}">
            <xm:f>AND($CC$84="Ja",_Calcs!$NO$48=8,_Calcs!$IO$25=2)</xm:f>
            <x14:dxf>
              <fill>
                <patternFill>
                  <bgColor rgb="FFFCE7D0"/>
                </patternFill>
              </fill>
            </x14:dxf>
          </x14:cfRule>
          <xm:sqref>CI86:CI91</xm:sqref>
        </x14:conditionalFormatting>
        <x14:conditionalFormatting xmlns:xm="http://schemas.microsoft.com/office/excel/2006/main">
          <x14:cfRule type="expression" priority="604" id="{DF12DFB2-E084-49DB-8702-D6745A22FE6C}">
            <xm:f>AND($CC$96="Ja",_Calcs!$NO$48=8,_Calcs!$IO$25=2)</xm:f>
            <x14:dxf>
              <fill>
                <patternFill>
                  <bgColor rgb="FFFCE7D0"/>
                </patternFill>
              </fill>
            </x14:dxf>
          </x14:cfRule>
          <xm:sqref>CI98:CI103</xm:sqref>
        </x14:conditionalFormatting>
        <x14:conditionalFormatting xmlns:xm="http://schemas.microsoft.com/office/excel/2006/main">
          <x14:cfRule type="expression" priority="603" id="{7973B303-2393-41FC-B838-F3406D82AAB4}">
            <xm:f>AND($CC$108="Ja",_Calcs!$NO$48=8,_Calcs!$IO$25=2)</xm:f>
            <x14:dxf>
              <fill>
                <patternFill>
                  <bgColor rgb="FFFCE7D0"/>
                </patternFill>
              </fill>
            </x14:dxf>
          </x14:cfRule>
          <xm:sqref>CI110:CI115</xm:sqref>
        </x14:conditionalFormatting>
        <x14:conditionalFormatting xmlns:xm="http://schemas.microsoft.com/office/excel/2006/main">
          <x14:cfRule type="expression" priority="602" id="{D624820A-AB5D-4BF8-A7D1-003FD5224F83}">
            <xm:f>AND($CC$120="Ja",_Calcs!$NO$48=8,_Calcs!$IO$25=2)</xm:f>
            <x14:dxf>
              <fill>
                <patternFill>
                  <bgColor rgb="FFFCE7D0"/>
                </patternFill>
              </fill>
            </x14:dxf>
          </x14:cfRule>
          <xm:sqref>CI122:CI127</xm:sqref>
        </x14:conditionalFormatting>
        <x14:conditionalFormatting xmlns:xm="http://schemas.microsoft.com/office/excel/2006/main">
          <x14:cfRule type="expression" priority="601" id="{3414DEC8-B5B8-4043-AF6E-6B73F1406995}">
            <xm:f>AND($CC$132="Ja",_Calcs!$NO$48=8,_Calcs!$IO$25=2)</xm:f>
            <x14:dxf>
              <fill>
                <patternFill>
                  <bgColor rgb="FFFCE7D0"/>
                </patternFill>
              </fill>
            </x14:dxf>
          </x14:cfRule>
          <xm:sqref>CI134:CI139</xm:sqref>
        </x14:conditionalFormatting>
        <x14:conditionalFormatting xmlns:xm="http://schemas.microsoft.com/office/excel/2006/main">
          <x14:cfRule type="expression" priority="975" id="{74934C68-BA36-4F26-8834-2C041BD818E8}">
            <xm:f>AND($BU$60="Ja",_Calcs!$NO$48=7,_Calcs!$IO$24=2)</xm:f>
            <x14:dxf>
              <fill>
                <patternFill>
                  <bgColor rgb="FFFCE7D0"/>
                </patternFill>
              </fill>
            </x14:dxf>
          </x14:cfRule>
          <xm:sqref>CA62:CA67</xm:sqref>
        </x14:conditionalFormatting>
        <x14:conditionalFormatting xmlns:xm="http://schemas.microsoft.com/office/excel/2006/main">
          <x14:cfRule type="expression" priority="979" id="{07EE70DC-8567-4640-BD38-4AC3E09C3686}">
            <xm:f>AND($BU$84="Ja",_Calcs!$NO$48=7,_Calcs!$IO$24=2)</xm:f>
            <x14:dxf>
              <fill>
                <patternFill>
                  <bgColor rgb="FFFCE7D0"/>
                </patternFill>
              </fill>
            </x14:dxf>
          </x14:cfRule>
          <xm:sqref>CA86:CA91</xm:sqref>
        </x14:conditionalFormatting>
        <x14:conditionalFormatting xmlns:xm="http://schemas.microsoft.com/office/excel/2006/main">
          <x14:cfRule type="expression" priority="600" id="{5050B570-FF07-4FA1-A337-C2A1E691C775}">
            <xm:f>AND($BU$96="Ja",_Calcs!$NO$48=7,_Calcs!$IO$24=2)</xm:f>
            <x14:dxf>
              <fill>
                <patternFill>
                  <bgColor rgb="FFFCE7D0"/>
                </patternFill>
              </fill>
            </x14:dxf>
          </x14:cfRule>
          <xm:sqref>CA98:CA103</xm:sqref>
        </x14:conditionalFormatting>
        <x14:conditionalFormatting xmlns:xm="http://schemas.microsoft.com/office/excel/2006/main">
          <x14:cfRule type="expression" priority="974" id="{A0E291FA-412F-4077-9AA7-1B22BF4795D2}">
            <xm:f>AND($BU$108="Ja",_Calcs!$NO$48=7,_Calcs!$IO$24=2)</xm:f>
            <x14:dxf>
              <fill>
                <patternFill>
                  <bgColor rgb="FFFCE7D0"/>
                </patternFill>
              </fill>
            </x14:dxf>
          </x14:cfRule>
          <xm:sqref>CA110:CA115</xm:sqref>
        </x14:conditionalFormatting>
        <x14:conditionalFormatting xmlns:xm="http://schemas.microsoft.com/office/excel/2006/main">
          <x14:cfRule type="expression" priority="597" id="{FA18E5CD-E787-470C-AF52-013880E99F45}">
            <xm:f>AND($BU$120="Ja",_Calcs!$NO$48=7,_Calcs!$IO$24=2)</xm:f>
            <x14:dxf>
              <fill>
                <patternFill>
                  <bgColor rgb="FFFCE7D0"/>
                </patternFill>
              </fill>
            </x14:dxf>
          </x14:cfRule>
          <xm:sqref>CA122:CA127</xm:sqref>
        </x14:conditionalFormatting>
        <x14:conditionalFormatting xmlns:xm="http://schemas.microsoft.com/office/excel/2006/main">
          <x14:cfRule type="expression" priority="596" id="{C57966D8-3181-4D77-83E6-88FA2590EFA7}">
            <xm:f>AND($BU$132="Ja",_Calcs!$NO$48=7,_Calcs!$IO$24=2)</xm:f>
            <x14:dxf>
              <fill>
                <patternFill>
                  <bgColor rgb="FFFCE7D0"/>
                </patternFill>
              </fill>
            </x14:dxf>
          </x14:cfRule>
          <xm:sqref>CA134:CA139</xm:sqref>
        </x14:conditionalFormatting>
        <x14:conditionalFormatting xmlns:xm="http://schemas.microsoft.com/office/excel/2006/main">
          <x14:cfRule type="expression" priority="593" id="{E96766B4-3C9E-454A-BFEA-E2B7D931F91C}">
            <xm:f>AND($BM$60="Ja",_Calcs!$NO$48=6,_Calcs!$IO$23=2)</xm:f>
            <x14:dxf>
              <fill>
                <patternFill>
                  <bgColor rgb="FFFCE7D0"/>
                </patternFill>
              </fill>
            </x14:dxf>
          </x14:cfRule>
          <xm:sqref>BS62:BS67</xm:sqref>
        </x14:conditionalFormatting>
        <x14:conditionalFormatting xmlns:xm="http://schemas.microsoft.com/office/excel/2006/main">
          <x14:cfRule type="expression" priority="592" id="{1ED06B3A-C78D-4D5B-BFA1-365F50BD0FC3}">
            <xm:f>AND($BM$72="Ja",_Calcs!$NO$48=6,_Calcs!$IO$23=2)</xm:f>
            <x14:dxf>
              <fill>
                <patternFill>
                  <bgColor rgb="FFFCE7D0"/>
                </patternFill>
              </fill>
            </x14:dxf>
          </x14:cfRule>
          <xm:sqref>BS74:BS79</xm:sqref>
        </x14:conditionalFormatting>
        <x14:conditionalFormatting xmlns:xm="http://schemas.microsoft.com/office/excel/2006/main">
          <x14:cfRule type="expression" priority="591" id="{3F0E0D3E-EE63-4F72-9903-C21C776B7ABD}">
            <xm:f>AND($BM$84="Ja",_Calcs!$NO$48=6,_Calcs!$IO$23=2)</xm:f>
            <x14:dxf>
              <fill>
                <patternFill>
                  <bgColor rgb="FFFCE7D0"/>
                </patternFill>
              </fill>
            </x14:dxf>
          </x14:cfRule>
          <xm:sqref>BS86:BS91</xm:sqref>
        </x14:conditionalFormatting>
        <x14:conditionalFormatting xmlns:xm="http://schemas.microsoft.com/office/excel/2006/main">
          <x14:cfRule type="expression" priority="590" id="{C89DA95F-8999-49EA-8504-42550691FDB9}">
            <xm:f>AND($BM$96="Ja",_Calcs!$NO$48=6,_Calcs!$IO$23=2)</xm:f>
            <x14:dxf>
              <fill>
                <patternFill>
                  <bgColor rgb="FFFCE7D0"/>
                </patternFill>
              </fill>
            </x14:dxf>
          </x14:cfRule>
          <xm:sqref>BS98:BS103</xm:sqref>
        </x14:conditionalFormatting>
        <x14:conditionalFormatting xmlns:xm="http://schemas.microsoft.com/office/excel/2006/main">
          <x14:cfRule type="expression" priority="589" id="{444D095A-6957-4131-B841-DF43D950234E}">
            <xm:f>AND($BM$108="Ja",_Calcs!$NO$48=6,_Calcs!$IO$23=2)</xm:f>
            <x14:dxf>
              <fill>
                <patternFill>
                  <bgColor rgb="FFFCE7D0"/>
                </patternFill>
              </fill>
            </x14:dxf>
          </x14:cfRule>
          <xm:sqref>BS110:BS115</xm:sqref>
        </x14:conditionalFormatting>
        <x14:conditionalFormatting xmlns:xm="http://schemas.microsoft.com/office/excel/2006/main">
          <x14:cfRule type="expression" priority="588" id="{A1D74616-6902-4FB9-9DEB-4CE09AE32CC1}">
            <xm:f>AND($BM$120="Ja",_Calcs!$NO$48=6,_Calcs!$IO$23=2)</xm:f>
            <x14:dxf>
              <fill>
                <patternFill>
                  <bgColor rgb="FFFCE7D0"/>
                </patternFill>
              </fill>
            </x14:dxf>
          </x14:cfRule>
          <xm:sqref>BS122:BS127</xm:sqref>
        </x14:conditionalFormatting>
        <x14:conditionalFormatting xmlns:xm="http://schemas.microsoft.com/office/excel/2006/main">
          <x14:cfRule type="expression" priority="587" id="{2006C15C-47CB-4149-915B-E3A07CB76A06}">
            <xm:f>AND($BM$132="Ja",_Calcs!$NO$48=6,_Calcs!$IO$23=2)</xm:f>
            <x14:dxf>
              <fill>
                <patternFill>
                  <bgColor rgb="FFFCE7D0"/>
                </patternFill>
              </fill>
            </x14:dxf>
          </x14:cfRule>
          <xm:sqref>BS134:BS139</xm:sqref>
        </x14:conditionalFormatting>
        <x14:conditionalFormatting xmlns:xm="http://schemas.microsoft.com/office/excel/2006/main">
          <x14:cfRule type="expression" priority="746" id="{DDA83A95-0E91-437D-959C-63F31E58D9F0}">
            <xm:f>AND($BE$60="Ja",_Calcs!$NO$48=5,_Calcs!$IO$22=2)</xm:f>
            <x14:dxf>
              <fill>
                <patternFill>
                  <bgColor rgb="FFFCE7D0"/>
                </patternFill>
              </fill>
            </x14:dxf>
          </x14:cfRule>
          <xm:sqref>BK62:BK67</xm:sqref>
        </x14:conditionalFormatting>
        <x14:conditionalFormatting xmlns:xm="http://schemas.microsoft.com/office/excel/2006/main">
          <x14:cfRule type="expression" priority="224" id="{4F59316E-D4E7-4A66-88D4-B8738CE81DE8}">
            <xm:f>AND($BE$72="Ja",_Calcs!$NO$48=5,_Calcs!$IO$22=2)</xm:f>
            <x14:dxf>
              <fill>
                <patternFill>
                  <bgColor rgb="FFFCE7D0"/>
                </patternFill>
              </fill>
            </x14:dxf>
          </x14:cfRule>
          <xm:sqref>BK74:BK79</xm:sqref>
        </x14:conditionalFormatting>
        <x14:conditionalFormatting xmlns:xm="http://schemas.microsoft.com/office/excel/2006/main">
          <x14:cfRule type="expression" priority="584" id="{0A31D647-E748-40DB-9B73-E58ED75EF50D}">
            <xm:f>AND($BE$84="Ja",_Calcs!$NO$48=5,_Calcs!$IO$22=2)</xm:f>
            <x14:dxf>
              <fill>
                <patternFill>
                  <bgColor rgb="FFFCE7D0"/>
                </patternFill>
              </fill>
            </x14:dxf>
          </x14:cfRule>
          <xm:sqref>BK86:BK91</xm:sqref>
        </x14:conditionalFormatting>
        <x14:conditionalFormatting xmlns:xm="http://schemas.microsoft.com/office/excel/2006/main">
          <x14:cfRule type="expression" priority="903" id="{137E6B30-4E91-4CA4-A8DC-C8E60AAAC490}">
            <xm:f>AND($BE$96="Ja",_Calcs!$NO$48=5,_Calcs!$IO$22=2)</xm:f>
            <x14:dxf>
              <fill>
                <patternFill>
                  <bgColor rgb="FFFCE7D0"/>
                </patternFill>
              </fill>
            </x14:dxf>
          </x14:cfRule>
          <xm:sqref>BK98:BK103</xm:sqref>
        </x14:conditionalFormatting>
        <x14:conditionalFormatting xmlns:xm="http://schemas.microsoft.com/office/excel/2006/main">
          <x14:cfRule type="expression" priority="582" id="{D99114EA-1234-4F23-97A7-D4CF4A875ED8}">
            <xm:f>AND($BE$108="Ja",_Calcs!$NO$48=5,_Calcs!$IO$22=2)</xm:f>
            <x14:dxf>
              <fill>
                <patternFill>
                  <bgColor rgb="FFFCE7D0"/>
                </patternFill>
              </fill>
            </x14:dxf>
          </x14:cfRule>
          <xm:sqref>BK110:BK115</xm:sqref>
        </x14:conditionalFormatting>
        <x14:conditionalFormatting xmlns:xm="http://schemas.microsoft.com/office/excel/2006/main">
          <x14:cfRule type="expression" priority="581" id="{B93BB027-7A63-46D6-B88F-6E9E2A0F46AA}">
            <xm:f>AND($BE$120="Ja",_Calcs!$NO$48=5,_Calcs!$IO$22=2)</xm:f>
            <x14:dxf>
              <fill>
                <patternFill>
                  <bgColor rgb="FFFCE7D0"/>
                </patternFill>
              </fill>
            </x14:dxf>
          </x14:cfRule>
          <xm:sqref>BK122:BK127</xm:sqref>
        </x14:conditionalFormatting>
        <x14:conditionalFormatting xmlns:xm="http://schemas.microsoft.com/office/excel/2006/main">
          <x14:cfRule type="expression" priority="580" id="{3EDDF55B-17D2-4559-99EA-F72AD14684D6}">
            <xm:f>AND($BE$132="Ja",_Calcs!$NO$48=5,_Calcs!$IO$22=2)</xm:f>
            <x14:dxf>
              <fill>
                <patternFill>
                  <bgColor rgb="FFFCE7D0"/>
                </patternFill>
              </fill>
            </x14:dxf>
          </x14:cfRule>
          <xm:sqref>BK134:BK139</xm:sqref>
        </x14:conditionalFormatting>
        <x14:conditionalFormatting xmlns:xm="http://schemas.microsoft.com/office/excel/2006/main">
          <x14:cfRule type="expression" priority="833" id="{284DBDBB-2A50-4B5B-8948-7592CB61F708}">
            <xm:f>AND($AW$60="Ja",_Calcs!$NO$48=4,_Calcs!$IO$21=2)</xm:f>
            <x14:dxf>
              <fill>
                <patternFill>
                  <bgColor rgb="FFFCE7D0"/>
                </patternFill>
              </fill>
            </x14:dxf>
          </x14:cfRule>
          <xm:sqref>BC62:BC67</xm:sqref>
        </x14:conditionalFormatting>
        <x14:conditionalFormatting xmlns:xm="http://schemas.microsoft.com/office/excel/2006/main">
          <x14:cfRule type="expression" priority="868" id="{49B4BB24-1BA6-42C0-BF81-F96DB456F04F}">
            <xm:f>AND($AW$72="Ja",_Calcs!$NO$48=4,_Calcs!$IO$21=2)</xm:f>
            <x14:dxf>
              <fill>
                <patternFill>
                  <bgColor rgb="FFFCE7D0"/>
                </patternFill>
              </fill>
            </x14:dxf>
          </x14:cfRule>
          <xm:sqref>BC74:BC79</xm:sqref>
        </x14:conditionalFormatting>
        <x14:conditionalFormatting xmlns:xm="http://schemas.microsoft.com/office/excel/2006/main">
          <x14:cfRule type="expression" priority="831" id="{7D0339A1-3D6F-4196-A51F-9AD9C6EE6486}">
            <xm:f>AND($AW$84="Ja",_Calcs!$NO$48=4,_Calcs!$IO$21=2)</xm:f>
            <x14:dxf>
              <fill>
                <patternFill>
                  <bgColor rgb="FFFCE7D0"/>
                </patternFill>
              </fill>
            </x14:dxf>
          </x14:cfRule>
          <xm:sqref>BC86:BC91</xm:sqref>
        </x14:conditionalFormatting>
        <x14:conditionalFormatting xmlns:xm="http://schemas.microsoft.com/office/excel/2006/main">
          <x14:cfRule type="expression" priority="852" id="{7A020CDE-3451-432E-A1F9-F6BBDBB1EF8D}">
            <xm:f>AND($AW$96="Ja",_Calcs!$NO$48=4,_Calcs!$IO$21=2)</xm:f>
            <x14:dxf>
              <fill>
                <patternFill>
                  <bgColor rgb="FFFCE7D0"/>
                </patternFill>
              </fill>
            </x14:dxf>
          </x14:cfRule>
          <xm:sqref>BC98:BC103</xm:sqref>
        </x14:conditionalFormatting>
        <x14:conditionalFormatting xmlns:xm="http://schemas.microsoft.com/office/excel/2006/main">
          <x14:cfRule type="expression" priority="578" id="{0661FABF-267D-4A7C-B21A-EDB679355D53}">
            <xm:f>AND($AW$108="Ja",_Calcs!$NO$48=4,_Calcs!$IO$21=2)</xm:f>
            <x14:dxf>
              <fill>
                <patternFill>
                  <bgColor rgb="FFFCE7D0"/>
                </patternFill>
              </fill>
            </x14:dxf>
          </x14:cfRule>
          <xm:sqref>BC110:BC115</xm:sqref>
        </x14:conditionalFormatting>
        <x14:conditionalFormatting xmlns:xm="http://schemas.microsoft.com/office/excel/2006/main">
          <x14:cfRule type="expression" priority="575" id="{7611FA1F-153C-4BE7-87C3-2930DF5242DA}">
            <xm:f>AND($AW$132="Ja",_Calcs!$NO$48=4,_Calcs!$IO$21=2)</xm:f>
            <x14:dxf>
              <fill>
                <patternFill>
                  <bgColor rgb="FFFCE7D0"/>
                </patternFill>
              </fill>
            </x14:dxf>
          </x14:cfRule>
          <xm:sqref>BC134:BC139</xm:sqref>
        </x14:conditionalFormatting>
        <x14:conditionalFormatting xmlns:xm="http://schemas.microsoft.com/office/excel/2006/main">
          <x14:cfRule type="expression" priority="576" id="{059FEAB7-770C-45AC-8A19-EC6D395DD5C6}">
            <xm:f>AND($AW$120="Ja",_Calcs!$NO$48=4,_Calcs!$IO$21=2)</xm:f>
            <x14:dxf>
              <fill>
                <patternFill>
                  <bgColor rgb="FFFCE7D0"/>
                </patternFill>
              </fill>
            </x14:dxf>
          </x14:cfRule>
          <xm:sqref>BC122:BC127</xm:sqref>
        </x14:conditionalFormatting>
        <x14:conditionalFormatting xmlns:xm="http://schemas.microsoft.com/office/excel/2006/main">
          <x14:cfRule type="expression" priority="782" id="{50374769-2E24-45A2-A02A-2BD4012D962A}">
            <xm:f>AND($AO$60="Ja",_Calcs!$NO$48=3,_Calcs!$IO$20=2)</xm:f>
            <x14:dxf>
              <fill>
                <patternFill>
                  <bgColor rgb="FFFCE7D0"/>
                </patternFill>
              </fill>
            </x14:dxf>
          </x14:cfRule>
          <xm:sqref>AU62:AU67</xm:sqref>
        </x14:conditionalFormatting>
        <x14:conditionalFormatting xmlns:xm="http://schemas.microsoft.com/office/excel/2006/main">
          <x14:cfRule type="expression" priority="780" id="{12308344-6B29-401C-9D53-83FAB2509E7A}">
            <xm:f>AND($AO$72="Ja",_Calcs!$NO$48=3,_Calcs!$IO$20=2)</xm:f>
            <x14:dxf>
              <fill>
                <patternFill>
                  <bgColor rgb="FFFCE7D0"/>
                </patternFill>
              </fill>
            </x14:dxf>
          </x14:cfRule>
          <xm:sqref>AU74:AU79</xm:sqref>
        </x14:conditionalFormatting>
        <x14:conditionalFormatting xmlns:xm="http://schemas.microsoft.com/office/excel/2006/main">
          <x14:cfRule type="expression" priority="779" id="{22D64221-49D8-4C11-AFAD-28338A466C7A}">
            <xm:f>AND($AO$84="Ja",_Calcs!$NO$48=3,_Calcs!$IO$20=2)</xm:f>
            <x14:dxf>
              <fill>
                <patternFill>
                  <bgColor rgb="FFFCE7D0"/>
                </patternFill>
              </fill>
            </x14:dxf>
          </x14:cfRule>
          <xm:sqref>AU86:AU91</xm:sqref>
        </x14:conditionalFormatting>
        <x14:conditionalFormatting xmlns:xm="http://schemas.microsoft.com/office/excel/2006/main">
          <x14:cfRule type="expression" priority="572" id="{3F878B77-0962-4552-ADD3-7C23AF47EED5}">
            <xm:f>AND($AO$96="Ja",_Calcs!$NO$48=3,_Calcs!$IO$20=2)</xm:f>
            <x14:dxf>
              <fill>
                <patternFill>
                  <bgColor rgb="FFFCE7D0"/>
                </patternFill>
              </fill>
            </x14:dxf>
          </x14:cfRule>
          <xm:sqref>AU98:AU103</xm:sqref>
        </x14:conditionalFormatting>
        <x14:conditionalFormatting xmlns:xm="http://schemas.microsoft.com/office/excel/2006/main">
          <x14:cfRule type="expression" priority="571" id="{1DD2A95B-CDD0-4860-BB2F-CDF8713A1B19}">
            <xm:f>AND($AO$108="Ja",_Calcs!$NO$48=3,_Calcs!$IO$20=2)</xm:f>
            <x14:dxf>
              <fill>
                <patternFill>
                  <bgColor rgb="FFFCE7D0"/>
                </patternFill>
              </fill>
            </x14:dxf>
          </x14:cfRule>
          <xm:sqref>AU110:AU115</xm:sqref>
        </x14:conditionalFormatting>
        <x14:conditionalFormatting xmlns:xm="http://schemas.microsoft.com/office/excel/2006/main">
          <x14:cfRule type="expression" priority="570" id="{1A5A12C0-BF17-4C23-913E-A2EA873BD2B7}">
            <xm:f>AND($AO$120="Ja",_Calcs!$NO$48=3,_Calcs!$IO$20=2)</xm:f>
            <x14:dxf>
              <fill>
                <patternFill>
                  <bgColor rgb="FFFCE7D0"/>
                </patternFill>
              </fill>
            </x14:dxf>
          </x14:cfRule>
          <xm:sqref>AU122:AU127</xm:sqref>
        </x14:conditionalFormatting>
        <x14:conditionalFormatting xmlns:xm="http://schemas.microsoft.com/office/excel/2006/main">
          <x14:cfRule type="expression" priority="569" id="{32F26612-CCE1-4377-AE36-230C0CCD6F7D}">
            <xm:f>AND($AO$132="Ja",_Calcs!$NO$48=3,_Calcs!$IO$20=2)</xm:f>
            <x14:dxf>
              <fill>
                <patternFill>
                  <bgColor rgb="FFFCE7D0"/>
                </patternFill>
              </fill>
            </x14:dxf>
          </x14:cfRule>
          <xm:sqref>AU134:AU139</xm:sqref>
        </x14:conditionalFormatting>
        <x14:conditionalFormatting xmlns:xm="http://schemas.microsoft.com/office/excel/2006/main">
          <x14:cfRule type="expression" priority="733" id="{06705309-0BE3-475C-9CF1-BDCE3BDBAD62}">
            <xm:f>AND($AG$60="Ja",_Calcs!$NO$48=2,_Calcs!$IO$19=2)</xm:f>
            <x14:dxf>
              <fill>
                <patternFill>
                  <bgColor rgb="FFFCE7D0"/>
                </patternFill>
              </fill>
            </x14:dxf>
          </x14:cfRule>
          <xm:sqref>AM62:AM67</xm:sqref>
        </x14:conditionalFormatting>
        <x14:conditionalFormatting xmlns:xm="http://schemas.microsoft.com/office/excel/2006/main">
          <x14:cfRule type="expression" priority="285" id="{5A8A35FD-B21E-4875-9250-430847F3B10F}">
            <xm:f>AND($AG$72="Ja",_Calcs!$NO$48=2,_Calcs!$IO$19=2)</xm:f>
            <x14:dxf>
              <fill>
                <patternFill>
                  <bgColor rgb="FFFCE7D0"/>
                </patternFill>
              </fill>
            </x14:dxf>
          </x14:cfRule>
          <xm:sqref>AM74:AM79</xm:sqref>
        </x14:conditionalFormatting>
        <x14:conditionalFormatting xmlns:xm="http://schemas.microsoft.com/office/excel/2006/main">
          <x14:cfRule type="expression" priority="563" id="{72CD0C8F-196C-4F31-AD6C-A1449D8429A0}">
            <xm:f>AND($AG$84="Ja",_Calcs!$NO$48=2,_Calcs!$IO$19=2)</xm:f>
            <x14:dxf>
              <fill>
                <patternFill>
                  <bgColor rgb="FFFCE7D0"/>
                </patternFill>
              </fill>
            </x14:dxf>
          </x14:cfRule>
          <xm:sqref>AM86:AM91</xm:sqref>
        </x14:conditionalFormatting>
        <x14:conditionalFormatting xmlns:xm="http://schemas.microsoft.com/office/excel/2006/main">
          <x14:cfRule type="expression" priority="562" id="{D122D975-4FCB-4D21-BD2B-499ACE637044}">
            <xm:f>AND($AG$96="Ja",_Calcs!$NO$48=2,_Calcs!$IO$19=2)</xm:f>
            <x14:dxf>
              <fill>
                <patternFill>
                  <bgColor rgb="FFFCE7D0"/>
                </patternFill>
              </fill>
            </x14:dxf>
          </x14:cfRule>
          <xm:sqref>AM98:AM103</xm:sqref>
        </x14:conditionalFormatting>
        <x14:conditionalFormatting xmlns:xm="http://schemas.microsoft.com/office/excel/2006/main">
          <x14:cfRule type="expression" priority="561" id="{7C872DE0-9D45-4044-B85E-054C92B0D891}">
            <xm:f>AND($AG$108="Ja",_Calcs!$NO$48=2,_Calcs!$IO$19=2)</xm:f>
            <x14:dxf>
              <fill>
                <patternFill>
                  <bgColor rgb="FFFCE7D0"/>
                </patternFill>
              </fill>
            </x14:dxf>
          </x14:cfRule>
          <xm:sqref>AM110:AM115</xm:sqref>
        </x14:conditionalFormatting>
        <x14:conditionalFormatting xmlns:xm="http://schemas.microsoft.com/office/excel/2006/main">
          <x14:cfRule type="expression" priority="560" id="{54B6F5AF-EC23-451B-AB79-3B122EA1F19E}">
            <xm:f>AND($AG$120="Ja",_Calcs!$NO$48=2,_Calcs!$IO$19=2)</xm:f>
            <x14:dxf>
              <fill>
                <patternFill>
                  <bgColor rgb="FFFCE7D0"/>
                </patternFill>
              </fill>
            </x14:dxf>
          </x14:cfRule>
          <xm:sqref>AM122:AM127</xm:sqref>
        </x14:conditionalFormatting>
        <x14:conditionalFormatting xmlns:xm="http://schemas.microsoft.com/office/excel/2006/main">
          <x14:cfRule type="expression" priority="559" id="{40520057-FAF1-4C90-BAD3-41466556485B}">
            <xm:f>AND($AG$132="Ja",_Calcs!$NO$48=2,_Calcs!$IO$19=2)</xm:f>
            <x14:dxf>
              <fill>
                <patternFill>
                  <bgColor rgb="FFFCE7D0"/>
                </patternFill>
              </fill>
            </x14:dxf>
          </x14:cfRule>
          <xm:sqref>AM134:AM139</xm:sqref>
        </x14:conditionalFormatting>
        <x14:conditionalFormatting xmlns:xm="http://schemas.microsoft.com/office/excel/2006/main">
          <x14:cfRule type="expression" priority="680" id="{F14BFADF-E5DF-4591-937B-41B43EC18EBD}">
            <xm:f>AND($Y$60="Ja",_Calcs!$NO$48=1,_Calcs!$IO$18=2)</xm:f>
            <x14:dxf>
              <fill>
                <patternFill>
                  <bgColor rgb="FFFCE7D0"/>
                </patternFill>
              </fill>
            </x14:dxf>
          </x14:cfRule>
          <xm:sqref>AE62:AE67</xm:sqref>
        </x14:conditionalFormatting>
        <x14:conditionalFormatting xmlns:xm="http://schemas.microsoft.com/office/excel/2006/main">
          <x14:cfRule type="expression" priority="558" id="{59211A67-B9F9-47A9-BCD2-537C65F28B95}">
            <xm:f>AND($Y$72="Ja",_Calcs!$NO$48=1,_Calcs!$IO$18=2)</xm:f>
            <x14:dxf>
              <fill>
                <patternFill>
                  <bgColor rgb="FFFCE7D0"/>
                </patternFill>
              </fill>
            </x14:dxf>
          </x14:cfRule>
          <xm:sqref>AE74:AE79</xm:sqref>
        </x14:conditionalFormatting>
        <x14:conditionalFormatting xmlns:xm="http://schemas.microsoft.com/office/excel/2006/main">
          <x14:cfRule type="expression" priority="555" id="{2E02948A-F568-4F31-9086-C3A69B14A8F0}">
            <xm:f>AND($Y$84="Ja",_Calcs!$NO$48=1,_Calcs!$IO$18=2)</xm:f>
            <x14:dxf>
              <fill>
                <patternFill>
                  <bgColor rgb="FFFCE7D0"/>
                </patternFill>
              </fill>
            </x14:dxf>
          </x14:cfRule>
          <xm:sqref>AE86:AE91</xm:sqref>
        </x14:conditionalFormatting>
        <x14:conditionalFormatting xmlns:xm="http://schemas.microsoft.com/office/excel/2006/main">
          <x14:cfRule type="expression" priority="556" id="{A5094197-1B22-4DEF-9801-D158B416F2B1}">
            <xm:f>AND($Y$96="Ja",_Calcs!$NO$48=1,_Calcs!$IO$18=2)</xm:f>
            <x14:dxf>
              <fill>
                <patternFill>
                  <bgColor rgb="FFFCE7D0"/>
                </patternFill>
              </fill>
            </x14:dxf>
          </x14:cfRule>
          <xm:sqref>AE98:AE103</xm:sqref>
        </x14:conditionalFormatting>
        <x14:conditionalFormatting xmlns:xm="http://schemas.microsoft.com/office/excel/2006/main">
          <x14:cfRule type="expression" priority="552" id="{3549A1CC-0FEA-4149-8601-AE27147552FB}">
            <xm:f>AND($Y$108="Ja",_Calcs!$NO$48=1,_Calcs!$IO$18=2)</xm:f>
            <x14:dxf>
              <fill>
                <patternFill>
                  <bgColor rgb="FFFCE7D0"/>
                </patternFill>
              </fill>
            </x14:dxf>
          </x14:cfRule>
          <xm:sqref>AE110:AE115</xm:sqref>
        </x14:conditionalFormatting>
        <x14:conditionalFormatting xmlns:xm="http://schemas.microsoft.com/office/excel/2006/main">
          <x14:cfRule type="expression" priority="554" id="{BDA5D0B4-6ABD-4077-AE8B-B1ABFB1E2911}">
            <xm:f>AND($Y$120="Ja",_Calcs!$NO$48=1,_Calcs!$IO$18=2)</xm:f>
            <x14:dxf>
              <fill>
                <patternFill>
                  <bgColor rgb="FFFCE7D0"/>
                </patternFill>
              </fill>
            </x14:dxf>
          </x14:cfRule>
          <xm:sqref>AE122:AE127</xm:sqref>
        </x14:conditionalFormatting>
        <x14:conditionalFormatting xmlns:xm="http://schemas.microsoft.com/office/excel/2006/main">
          <x14:cfRule type="expression" priority="553" id="{2F0C3FD3-BAD5-4D78-A8F4-1B2CCCB68C3E}">
            <xm:f>AND($Y$132="Ja",_Calcs!$NO$48=1,_Calcs!$IO$18=2)</xm:f>
            <x14:dxf>
              <fill>
                <patternFill>
                  <bgColor rgb="FFFCE7D0"/>
                </patternFill>
              </fill>
            </x14:dxf>
          </x14:cfRule>
          <xm:sqref>AE134:AE139</xm:sqref>
        </x14:conditionalFormatting>
        <x14:conditionalFormatting xmlns:xm="http://schemas.microsoft.com/office/excel/2006/main">
          <x14:cfRule type="expression" priority="11" id="{6FAE1476-6E4A-4E6C-9C27-B661AA24E641}">
            <xm:f>_Calcs!$NO$48&lt;9</xm:f>
            <x14:dxf>
              <font>
                <color theme="0"/>
              </font>
              <border>
                <left/>
                <right/>
                <top/>
                <bottom/>
                <vertical/>
                <horizontal/>
              </border>
            </x14:dxf>
          </x14:cfRule>
          <xm:sqref>CI1:CI1048576</xm:sqref>
        </x14:conditionalFormatting>
        <x14:conditionalFormatting xmlns:xm="http://schemas.microsoft.com/office/excel/2006/main">
          <x14:cfRule type="expression" priority="13" id="{6CB90FA5-89D9-4585-817E-2AED5FA73E50}">
            <xm:f>_Calcs!$NO$48&lt;8</xm:f>
            <x14:dxf>
              <font>
                <color theme="0"/>
              </font>
              <fill>
                <patternFill>
                  <bgColor theme="0"/>
                </patternFill>
              </fill>
              <border>
                <left/>
                <right/>
                <top/>
                <bottom/>
                <vertical/>
                <horizontal/>
              </border>
            </x14:dxf>
          </x14:cfRule>
          <xm:sqref>CB1:CI1048576</xm:sqref>
        </x14:conditionalFormatting>
        <x14:conditionalFormatting xmlns:xm="http://schemas.microsoft.com/office/excel/2006/main">
          <x14:cfRule type="expression" priority="14" id="{D8B7FE4C-52D8-456B-B82E-4A2A3DEDF90F}">
            <xm:f>_Calcs!$NO$48&lt;8</xm:f>
            <x14:dxf>
              <font>
                <color theme="0"/>
              </font>
              <border>
                <left/>
                <right/>
                <top/>
                <bottom/>
                <vertical/>
                <horizontal/>
              </border>
            </x14:dxf>
          </x14:cfRule>
          <xm:sqref>CA1:CA1048576</xm:sqref>
        </x14:conditionalFormatting>
        <x14:conditionalFormatting xmlns:xm="http://schemas.microsoft.com/office/excel/2006/main">
          <x14:cfRule type="expression" priority="10" id="{B6C3BB55-CA19-48C9-BB7D-26CB7058422C}">
            <xm:f>_Calcs!$NO$48&lt;7</xm:f>
            <x14:dxf>
              <font>
                <color theme="0"/>
              </font>
              <fill>
                <patternFill>
                  <bgColor theme="0"/>
                </patternFill>
              </fill>
              <border>
                <left/>
                <right/>
                <top/>
                <bottom/>
                <vertical/>
                <horizontal/>
              </border>
            </x14:dxf>
          </x14:cfRule>
          <xm:sqref>BT1:CA1048576</xm:sqref>
        </x14:conditionalFormatting>
        <x14:conditionalFormatting xmlns:xm="http://schemas.microsoft.com/office/excel/2006/main">
          <x14:cfRule type="expression" priority="9" id="{AF65C5CB-AFFD-40EF-8F16-1604BF7B8013}">
            <xm:f>_Calcs!$NO$48&lt;6</xm:f>
            <x14:dxf>
              <font>
                <color theme="0"/>
              </font>
              <fill>
                <patternFill patternType="solid">
                  <bgColor theme="0"/>
                </patternFill>
              </fill>
              <border>
                <left/>
                <right/>
                <top/>
                <bottom/>
                <vertical/>
                <horizontal/>
              </border>
            </x14:dxf>
          </x14:cfRule>
          <xm:sqref>BL1:BS1048576</xm:sqref>
        </x14:conditionalFormatting>
        <x14:conditionalFormatting xmlns:xm="http://schemas.microsoft.com/office/excel/2006/main">
          <x14:cfRule type="expression" priority="16" id="{F1723E36-447B-443B-9163-9AA083928C28}">
            <xm:f>_Calcs!$NO$48&lt;6</xm:f>
            <x14:dxf>
              <font>
                <color theme="0"/>
              </font>
              <border>
                <left/>
                <right/>
                <top/>
                <bottom/>
                <vertical/>
                <horizontal/>
              </border>
            </x14:dxf>
          </x14:cfRule>
          <xm:sqref>BK1:BK1048576</xm:sqref>
        </x14:conditionalFormatting>
        <x14:conditionalFormatting xmlns:xm="http://schemas.microsoft.com/office/excel/2006/main">
          <x14:cfRule type="expression" priority="8" id="{AC77ABB0-8CEF-492D-84C1-AAC40A6AA5D1}">
            <xm:f>_Calcs!$NO$48&lt;5</xm:f>
            <x14:dxf>
              <font>
                <color theme="0"/>
              </font>
              <fill>
                <patternFill>
                  <bgColor theme="0"/>
                </patternFill>
              </fill>
              <border>
                <left/>
                <right/>
                <top/>
                <bottom/>
                <vertical/>
                <horizontal/>
              </border>
            </x14:dxf>
          </x14:cfRule>
          <xm:sqref>BD1:BK1048576</xm:sqref>
        </x14:conditionalFormatting>
        <x14:conditionalFormatting xmlns:xm="http://schemas.microsoft.com/office/excel/2006/main">
          <x14:cfRule type="expression" priority="17" id="{701CAA26-CD60-4262-A5D8-C4F66D4AE263}">
            <xm:f>_Calcs!$NO$48&lt;5</xm:f>
            <x14:dxf>
              <font>
                <color theme="0"/>
              </font>
              <border>
                <left/>
                <right/>
                <top/>
                <bottom/>
                <vertical/>
                <horizontal/>
              </border>
            </x14:dxf>
          </x14:cfRule>
          <xm:sqref>BC1:BC1048576</xm:sqref>
        </x14:conditionalFormatting>
        <x14:conditionalFormatting xmlns:xm="http://schemas.microsoft.com/office/excel/2006/main">
          <x14:cfRule type="expression" priority="7" id="{85B8C749-5BC4-4A73-85BA-963939F746FA}">
            <xm:f>_Calcs!$NO$48&lt;4</xm:f>
            <x14:dxf>
              <font>
                <color theme="0"/>
              </font>
              <fill>
                <patternFill>
                  <bgColor theme="0"/>
                </patternFill>
              </fill>
              <border>
                <left/>
                <right/>
                <top/>
                <bottom/>
                <vertical/>
                <horizontal/>
              </border>
            </x14:dxf>
          </x14:cfRule>
          <xm:sqref>AV1:BC1048576</xm:sqref>
        </x14:conditionalFormatting>
        <x14:conditionalFormatting xmlns:xm="http://schemas.microsoft.com/office/excel/2006/main">
          <x14:cfRule type="expression" priority="18" id="{E1C30830-4C82-494F-9E28-B47FE3799352}">
            <xm:f>_Calcs!$NO$48&lt;4</xm:f>
            <x14:dxf>
              <font>
                <color theme="0"/>
              </font>
              <border>
                <left/>
                <right/>
                <top/>
                <bottom/>
                <vertical/>
                <horizontal/>
              </border>
            </x14:dxf>
          </x14:cfRule>
          <xm:sqref>AU1:AU1048576</xm:sqref>
        </x14:conditionalFormatting>
        <x14:conditionalFormatting xmlns:xm="http://schemas.microsoft.com/office/excel/2006/main">
          <x14:cfRule type="expression" priority="6" id="{55AC235C-3E06-4122-8302-C598B2845BBF}">
            <xm:f>_Calcs!$NO$48&lt;3</xm:f>
            <x14:dxf>
              <font>
                <color theme="0"/>
              </font>
              <fill>
                <patternFill>
                  <bgColor theme="0"/>
                </patternFill>
              </fill>
              <border>
                <left/>
                <right/>
                <top/>
                <bottom/>
                <vertical/>
                <horizontal/>
              </border>
            </x14:dxf>
          </x14:cfRule>
          <xm:sqref>AN1:AU1048576</xm:sqref>
        </x14:conditionalFormatting>
        <x14:conditionalFormatting xmlns:xm="http://schemas.microsoft.com/office/excel/2006/main">
          <x14:cfRule type="expression" priority="5" id="{3213DADD-A548-47C9-A7C2-F0871D91DCFF}">
            <xm:f>_Calcs!$NO$48&lt;2</xm:f>
            <x14:dxf>
              <font>
                <color theme="0"/>
              </font>
              <fill>
                <patternFill>
                  <bgColor theme="0"/>
                </patternFill>
              </fill>
              <border>
                <left/>
                <right/>
                <top/>
                <bottom/>
                <vertical/>
                <horizontal/>
              </border>
            </x14:dxf>
          </x14:cfRule>
          <xm:sqref>AF1:AM1048576</xm:sqref>
        </x14:conditionalFormatting>
        <x14:conditionalFormatting xmlns:xm="http://schemas.microsoft.com/office/excel/2006/main">
          <x14:cfRule type="expression" priority="4" id="{519B44B0-C136-4B7B-AF04-99A170E2FC08}">
            <xm:f>_Calcs!$NO$48&lt;2</xm:f>
            <x14:dxf>
              <font>
                <color theme="0"/>
              </font>
              <border>
                <left/>
                <right/>
                <top/>
                <bottom/>
                <vertical/>
                <horizontal/>
              </border>
            </x14:dxf>
          </x14:cfRule>
          <xm:sqref>AE1:AE1048576</xm:sqref>
        </x14:conditionalFormatting>
        <x14:conditionalFormatting xmlns:xm="http://schemas.microsoft.com/office/excel/2006/main">
          <x14:cfRule type="expression" priority="15" id="{25B7BF0D-7BF8-4B39-9E72-2376BE10C15A}">
            <xm:f>_Calcs!$NO$48&lt;7</xm:f>
            <x14:dxf>
              <font>
                <color theme="0"/>
              </font>
              <border>
                <left/>
                <right/>
                <top/>
                <bottom/>
                <vertical/>
                <horizontal/>
              </border>
            </x14:dxf>
          </x14:cfRule>
          <xm:sqref>BS1:BS1048576</xm:sqref>
        </x14:conditionalFormatting>
        <x14:conditionalFormatting xmlns:xm="http://schemas.microsoft.com/office/excel/2006/main">
          <x14:cfRule type="expression" priority="12" id="{0191E731-05C6-442F-B669-F04F04A2831C}">
            <xm:f>_Calcs!$NO$48&lt;9</xm:f>
            <x14:dxf>
              <font>
                <color theme="0"/>
              </font>
              <fill>
                <patternFill>
                  <bgColor theme="0"/>
                </patternFill>
              </fill>
              <border>
                <left/>
                <right/>
                <top/>
                <bottom/>
                <vertical/>
                <horizontal/>
              </border>
            </x14:dxf>
          </x14:cfRule>
          <xm:sqref>CJ1:CQ1048576</xm:sqref>
        </x14:conditionalFormatting>
        <x14:conditionalFormatting xmlns:xm="http://schemas.microsoft.com/office/excel/2006/main">
          <x14:cfRule type="expression" priority="234" id="{F07DB197-CCBA-434E-96DD-4598461233E7}">
            <xm:f>Y148=_List!$EG$7</xm:f>
            <x14:dxf>
              <font>
                <b/>
                <i/>
              </font>
            </x14:dxf>
          </x14:cfRule>
          <xm:sqref>Y148:Y149 AG148:AG149 AO148:AO149 AW148:AW149 BE148:BE149 BM148:BM149 BU148:BU149 CC148:CC149 CK148:CK149</xm:sqref>
        </x14:conditionalFormatting>
        <x14:conditionalFormatting xmlns:xm="http://schemas.microsoft.com/office/excel/2006/main">
          <x14:cfRule type="expression" priority="19" id="{763EB683-B78E-4B0F-90B6-F4A1DF6C7F68}">
            <xm:f>_Calcs!$NO$48&lt;3</xm:f>
            <x14:dxf>
              <border>
                <left/>
                <right/>
                <top/>
                <bottom/>
                <vertical/>
                <horizontal/>
              </border>
            </x14:dxf>
          </x14:cfRule>
          <xm:sqref>AM1:AM1048576</xm:sqref>
        </x14:conditionalFormatting>
        <x14:conditionalFormatting xmlns:xm="http://schemas.microsoft.com/office/excel/2006/main">
          <x14:cfRule type="expression" priority="96" id="{8707A977-2B4A-408A-8FA3-26D649100406}">
            <xm:f>$Y$20=_List!$AW$7</xm:f>
            <x14:dxf>
              <font>
                <color theme="6" tint="0.79998168889431442"/>
              </font>
              <fill>
                <patternFill>
                  <bgColor theme="6" tint="0.79998168889431442"/>
                </patternFill>
              </fill>
              <border>
                <left/>
                <right/>
                <top/>
                <bottom/>
              </border>
            </x14:dxf>
          </x14:cfRule>
          <xm:sqref>W23:AC31 W33:AC37 AE33:AK37</xm:sqref>
        </x14:conditionalFormatting>
        <x14:conditionalFormatting xmlns:xm="http://schemas.microsoft.com/office/excel/2006/main">
          <x14:cfRule type="expression" priority="115" id="{CC7D9F5B-EAFB-4ED1-810D-FE9964F9C397}">
            <xm:f>Y20=_List!$AW$7</xm:f>
            <x14:dxf>
              <fill>
                <patternFill>
                  <bgColor rgb="FFFCE7D0"/>
                </patternFill>
              </fill>
              <border>
                <left/>
                <right/>
                <top/>
                <bottom/>
                <vertical/>
                <horizontal/>
              </border>
            </x14:dxf>
          </x14:cfRule>
          <xm:sqref>Y20</xm:sqref>
        </x14:conditionalFormatting>
        <x14:conditionalFormatting xmlns:xm="http://schemas.microsoft.com/office/excel/2006/main">
          <x14:cfRule type="expression" priority="21" id="{469C3F07-359E-49AE-8F55-B177D3369850}">
            <xm:f>$Y$20=_List!$AW$7</xm:f>
            <x14:dxf>
              <font>
                <color theme="6" tint="0.79998168889431442"/>
              </font>
              <fill>
                <patternFill>
                  <bgColor theme="6" tint="0.79998168889431442"/>
                </patternFill>
              </fill>
              <border>
                <left/>
                <right/>
                <top/>
                <bottom/>
              </border>
            </x14:dxf>
          </x14:cfRule>
          <xm:sqref>W23:AC31</xm:sqref>
        </x14:conditionalFormatting>
        <x14:conditionalFormatting xmlns:xm="http://schemas.microsoft.com/office/excel/2006/main">
          <x14:cfRule type="expression" priority="95" id="{643028CA-B4A9-4501-B76B-804B88E16C68}">
            <xm:f>$Y$20=_List!$AW$7</xm:f>
            <x14:dxf>
              <font>
                <color theme="6" tint="0.79998168889431442"/>
              </font>
              <fill>
                <patternFill>
                  <bgColor theme="6" tint="0.79998168889431442"/>
                </patternFill>
              </fill>
              <border>
                <left/>
                <right/>
                <top/>
                <bottom/>
              </border>
            </x14:dxf>
          </x14:cfRule>
          <xm:sqref>AE23:AK31</xm:sqref>
        </x14:conditionalFormatting>
        <x14:conditionalFormatting xmlns:xm="http://schemas.microsoft.com/office/excel/2006/main">
          <x14:cfRule type="expression" priority="98" id="{2C1EB75F-CDC7-4776-990F-F0AAC393A957}">
            <xm:f>AG20=_List!$AW$7</xm:f>
            <x14:dxf>
              <fill>
                <patternFill>
                  <bgColor rgb="FFFCE7D0"/>
                </patternFill>
              </fill>
              <border>
                <left/>
                <right/>
                <top/>
                <bottom/>
                <vertical/>
                <horizontal/>
              </border>
            </x14:dxf>
          </x14:cfRule>
          <xm:sqref>AG20</xm:sqref>
        </x14:conditionalFormatting>
        <x14:conditionalFormatting xmlns:xm="http://schemas.microsoft.com/office/excel/2006/main">
          <x14:cfRule type="expression" priority="93" id="{ECC134B6-97CF-4552-A951-9999C0357C2B}">
            <xm:f>$Y$20=_List!$AW$7</xm:f>
            <x14:dxf>
              <font>
                <color theme="6" tint="0.79998168889431442"/>
              </font>
              <fill>
                <patternFill>
                  <bgColor theme="6" tint="0.79998168889431442"/>
                </patternFill>
              </fill>
              <border>
                <left/>
                <right/>
                <top/>
                <bottom/>
              </border>
            </x14:dxf>
          </x14:cfRule>
          <xm:sqref>AE23:AK31</xm:sqref>
        </x14:conditionalFormatting>
        <x14:conditionalFormatting xmlns:xm="http://schemas.microsoft.com/office/excel/2006/main">
          <x14:cfRule type="expression" priority="86" id="{98D046D6-C8CD-4CDD-A89E-82E7D6048E75}">
            <xm:f>$AO$20=_List!$AW$7</xm:f>
            <x14:dxf>
              <font>
                <color theme="6" tint="0.79998168889431442"/>
              </font>
              <fill>
                <patternFill>
                  <bgColor theme="6" tint="0.79998168889431442"/>
                </patternFill>
              </fill>
              <border>
                <left/>
                <right/>
                <top/>
                <bottom/>
              </border>
            </x14:dxf>
          </x14:cfRule>
          <xm:sqref>AM23:AS31 AM33:AS37 AU33:BA37</xm:sqref>
        </x14:conditionalFormatting>
        <x14:conditionalFormatting xmlns:xm="http://schemas.microsoft.com/office/excel/2006/main">
          <x14:cfRule type="expression" priority="88" id="{F7895704-5A51-4A22-8030-9EC0C1547B95}">
            <xm:f>AO20=_List!$AW$7</xm:f>
            <x14:dxf>
              <fill>
                <patternFill>
                  <bgColor rgb="FFFCE7D0"/>
                </patternFill>
              </fill>
              <border>
                <left/>
                <right/>
                <top/>
                <bottom/>
                <vertical/>
                <horizontal/>
              </border>
            </x14:dxf>
          </x14:cfRule>
          <xm:sqref>AO20</xm:sqref>
        </x14:conditionalFormatting>
        <x14:conditionalFormatting xmlns:xm="http://schemas.microsoft.com/office/excel/2006/main">
          <x14:cfRule type="expression" priority="85" id="{1BA10E1C-6CA4-46B0-AFB6-698428480837}">
            <xm:f>$AO$20=_List!$AW$7</xm:f>
            <x14:dxf>
              <font>
                <color theme="6" tint="0.79998168889431442"/>
              </font>
              <fill>
                <patternFill>
                  <bgColor theme="6" tint="0.79998168889431442"/>
                </patternFill>
              </fill>
              <border>
                <left/>
                <right/>
                <top/>
                <bottom/>
              </border>
            </x14:dxf>
          </x14:cfRule>
          <xm:sqref>AM23:AS31</xm:sqref>
        </x14:conditionalFormatting>
        <x14:conditionalFormatting xmlns:xm="http://schemas.microsoft.com/office/excel/2006/main">
          <x14:cfRule type="expression" priority="76" id="{0DC5AAAD-1CC4-4A74-BB99-170F88788760}">
            <xm:f>$AO$20=_List!$AW$7</xm:f>
            <x14:dxf>
              <font>
                <color theme="6" tint="0.79998168889431442"/>
              </font>
              <fill>
                <patternFill>
                  <bgColor theme="6" tint="0.79998168889431442"/>
                </patternFill>
              </fill>
              <border>
                <left/>
                <right/>
                <top/>
                <bottom/>
              </border>
            </x14:dxf>
          </x14:cfRule>
          <xm:sqref>AU23:BA31</xm:sqref>
        </x14:conditionalFormatting>
        <x14:conditionalFormatting xmlns:xm="http://schemas.microsoft.com/office/excel/2006/main">
          <x14:cfRule type="expression" priority="78" id="{F9B1F162-9691-492B-BD83-515A9624D165}">
            <xm:f>AW20=_List!$AW$7</xm:f>
            <x14:dxf>
              <fill>
                <patternFill>
                  <bgColor rgb="FFFCE7D0"/>
                </patternFill>
              </fill>
              <border>
                <left/>
                <right/>
                <top/>
                <bottom/>
                <vertical/>
                <horizontal/>
              </border>
            </x14:dxf>
          </x14:cfRule>
          <xm:sqref>AW20</xm:sqref>
        </x14:conditionalFormatting>
        <x14:conditionalFormatting xmlns:xm="http://schemas.microsoft.com/office/excel/2006/main">
          <x14:cfRule type="expression" priority="75" id="{0F0C9223-7B68-486B-9AA6-442BEAD32221}">
            <xm:f>$AO$20=_List!$AW$7</xm:f>
            <x14:dxf>
              <font>
                <color theme="6" tint="0.79998168889431442"/>
              </font>
              <fill>
                <patternFill>
                  <bgColor theme="6" tint="0.79998168889431442"/>
                </patternFill>
              </fill>
              <border>
                <left/>
                <right/>
                <top/>
                <bottom/>
              </border>
            </x14:dxf>
          </x14:cfRule>
          <xm:sqref>AU23:BA31</xm:sqref>
        </x14:conditionalFormatting>
        <x14:conditionalFormatting xmlns:xm="http://schemas.microsoft.com/office/excel/2006/main">
          <x14:cfRule type="expression" priority="72" id="{D369CE68-9923-4D90-A182-A0487A39AD18}">
            <xm:f>_Calcs!$NO$48&lt;2</xm:f>
            <x14:dxf>
              <font>
                <color theme="0"/>
              </font>
              <fill>
                <patternFill>
                  <bgColor theme="0"/>
                </patternFill>
              </fill>
              <border>
                <left/>
                <right/>
                <top/>
                <bottom/>
                <vertical/>
                <horizontal/>
              </border>
            </x14:dxf>
          </x14:cfRule>
          <xm:sqref>BR19:BR37</xm:sqref>
        </x14:conditionalFormatting>
        <x14:conditionalFormatting xmlns:xm="http://schemas.microsoft.com/office/excel/2006/main">
          <x14:cfRule type="expression" priority="65" id="{4AD6A0DC-AC64-4CFF-B389-005B0A29B5EA}">
            <xm:f>$BE$20=_List!$AW$7</xm:f>
            <x14:dxf>
              <font>
                <color theme="6" tint="0.79998168889431442"/>
              </font>
              <fill>
                <patternFill>
                  <bgColor theme="6" tint="0.79998168889431442"/>
                </patternFill>
              </fill>
              <border>
                <left/>
                <right/>
                <top/>
                <bottom/>
              </border>
            </x14:dxf>
          </x14:cfRule>
          <xm:sqref>BC23:BI31 BC33:BI37 BK33:BQ37</xm:sqref>
        </x14:conditionalFormatting>
        <x14:conditionalFormatting xmlns:xm="http://schemas.microsoft.com/office/excel/2006/main">
          <x14:cfRule type="expression" priority="67" id="{86EC76AC-E6ED-4D0D-85E8-F4452E5631E6}">
            <xm:f>BE20=_List!$AW$7</xm:f>
            <x14:dxf>
              <fill>
                <patternFill>
                  <bgColor rgb="FFFCE7D0"/>
                </patternFill>
              </fill>
              <border>
                <left/>
                <right/>
                <top/>
                <bottom/>
                <vertical/>
                <horizontal/>
              </border>
            </x14:dxf>
          </x14:cfRule>
          <xm:sqref>BE20</xm:sqref>
        </x14:conditionalFormatting>
        <x14:conditionalFormatting xmlns:xm="http://schemas.microsoft.com/office/excel/2006/main">
          <x14:cfRule type="expression" priority="64" id="{6CBB9313-B4B8-499F-B90F-854E1554514B}">
            <xm:f>$BE$20=_List!$AW$7</xm:f>
            <x14:dxf>
              <font>
                <color theme="6" tint="0.79998168889431442"/>
              </font>
              <fill>
                <patternFill>
                  <bgColor theme="6" tint="0.79998168889431442"/>
                </patternFill>
              </fill>
              <border>
                <left/>
                <right/>
                <top/>
                <bottom/>
              </border>
            </x14:dxf>
          </x14:cfRule>
          <xm:sqref>BC23:BI31</xm:sqref>
        </x14:conditionalFormatting>
        <x14:conditionalFormatting xmlns:xm="http://schemas.microsoft.com/office/excel/2006/main">
          <x14:cfRule type="expression" priority="55" id="{51096808-58CA-4E49-870A-785285596793}">
            <xm:f>$BE$20=_List!$AW$7</xm:f>
            <x14:dxf>
              <font>
                <color theme="6" tint="0.79998168889431442"/>
              </font>
              <fill>
                <patternFill>
                  <bgColor theme="6" tint="0.79998168889431442"/>
                </patternFill>
              </fill>
              <border>
                <left/>
                <right/>
                <top/>
                <bottom/>
              </border>
            </x14:dxf>
          </x14:cfRule>
          <xm:sqref>BK23:BQ31</xm:sqref>
        </x14:conditionalFormatting>
        <x14:conditionalFormatting xmlns:xm="http://schemas.microsoft.com/office/excel/2006/main">
          <x14:cfRule type="expression" priority="57" id="{E90B5064-13C2-48BA-B48C-F2DD6B2439F1}">
            <xm:f>BM20=_List!$AW$7</xm:f>
            <x14:dxf>
              <fill>
                <patternFill>
                  <bgColor rgb="FFFCE7D0"/>
                </patternFill>
              </fill>
              <border>
                <left/>
                <right/>
                <top/>
                <bottom/>
                <vertical/>
                <horizontal/>
              </border>
            </x14:dxf>
          </x14:cfRule>
          <xm:sqref>BM20</xm:sqref>
        </x14:conditionalFormatting>
        <x14:conditionalFormatting xmlns:xm="http://schemas.microsoft.com/office/excel/2006/main">
          <x14:cfRule type="expression" priority="54" id="{CA44CE99-6754-477C-9F12-CE8D751DFB06}">
            <xm:f>$BE$20=_List!$AW$7</xm:f>
            <x14:dxf>
              <font>
                <color theme="6" tint="0.79998168889431442"/>
              </font>
              <fill>
                <patternFill>
                  <bgColor theme="6" tint="0.79998168889431442"/>
                </patternFill>
              </fill>
              <border>
                <left/>
                <right/>
                <top/>
                <bottom/>
              </border>
            </x14:dxf>
          </x14:cfRule>
          <xm:sqref>BK23:BQ31</xm:sqref>
        </x14:conditionalFormatting>
        <x14:conditionalFormatting xmlns:xm="http://schemas.microsoft.com/office/excel/2006/main">
          <x14:cfRule type="expression" priority="45" id="{B07C376D-7265-495D-BD77-1B313583A492}">
            <xm:f>$BU$20=_List!$AW$7</xm:f>
            <x14:dxf>
              <font>
                <color theme="6" tint="0.79998168889431442"/>
              </font>
              <fill>
                <patternFill>
                  <bgColor theme="6" tint="0.79998168889431442"/>
                </patternFill>
              </fill>
              <border>
                <left/>
                <right/>
                <top/>
                <bottom/>
              </border>
            </x14:dxf>
          </x14:cfRule>
          <xm:sqref>BS23:BY31 BS33:BY37 CA33:CG37</xm:sqref>
        </x14:conditionalFormatting>
        <x14:conditionalFormatting xmlns:xm="http://schemas.microsoft.com/office/excel/2006/main">
          <x14:cfRule type="expression" priority="47" id="{B26029F4-DF26-40C8-AD3A-FE3AF6861362}">
            <xm:f>BU20=_List!$AW$7</xm:f>
            <x14:dxf>
              <fill>
                <patternFill>
                  <bgColor rgb="FFFCE7D0"/>
                </patternFill>
              </fill>
              <border>
                <left/>
                <right/>
                <top/>
                <bottom/>
                <vertical/>
                <horizontal/>
              </border>
            </x14:dxf>
          </x14:cfRule>
          <xm:sqref>BU20</xm:sqref>
        </x14:conditionalFormatting>
        <x14:conditionalFormatting xmlns:xm="http://schemas.microsoft.com/office/excel/2006/main">
          <x14:cfRule type="expression" priority="44" id="{A2E9E5D6-0613-4868-902B-CEB611928339}">
            <xm:f>$BU$20=_List!$AW$7</xm:f>
            <x14:dxf>
              <font>
                <color theme="6" tint="0.79998168889431442"/>
              </font>
              <fill>
                <patternFill>
                  <bgColor theme="6" tint="0.79998168889431442"/>
                </patternFill>
              </fill>
              <border>
                <left/>
                <right/>
                <top/>
                <bottom/>
              </border>
            </x14:dxf>
          </x14:cfRule>
          <xm:sqref>BS23:BY31</xm:sqref>
        </x14:conditionalFormatting>
        <x14:conditionalFormatting xmlns:xm="http://schemas.microsoft.com/office/excel/2006/main">
          <x14:cfRule type="expression" priority="35" id="{8143B651-5D00-46D0-9288-67F704F72E7D}">
            <xm:f>$BU$20=_List!$AW$7</xm:f>
            <x14:dxf>
              <font>
                <color theme="6" tint="0.79998168889431442"/>
              </font>
              <fill>
                <patternFill>
                  <bgColor theme="6" tint="0.79998168889431442"/>
                </patternFill>
              </fill>
              <border>
                <left/>
                <right/>
                <top/>
                <bottom/>
              </border>
            </x14:dxf>
          </x14:cfRule>
          <xm:sqref>CA23:CG31</xm:sqref>
        </x14:conditionalFormatting>
        <x14:conditionalFormatting xmlns:xm="http://schemas.microsoft.com/office/excel/2006/main">
          <x14:cfRule type="expression" priority="37" id="{C8BB2054-BF11-4482-BD1A-46FC7C6F664D}">
            <xm:f>CC20=_List!$AW$7</xm:f>
            <x14:dxf>
              <fill>
                <patternFill>
                  <bgColor rgb="FFFCE7D0"/>
                </patternFill>
              </fill>
              <border>
                <left/>
                <right/>
                <top/>
                <bottom/>
                <vertical/>
                <horizontal/>
              </border>
            </x14:dxf>
          </x14:cfRule>
          <xm:sqref>CC20</xm:sqref>
        </x14:conditionalFormatting>
        <x14:conditionalFormatting xmlns:xm="http://schemas.microsoft.com/office/excel/2006/main">
          <x14:cfRule type="expression" priority="34" id="{275DFB0B-1EE1-4EC0-B0D0-B95BCBC6CC3A}">
            <xm:f>$BU$20=_List!$AW$7</xm:f>
            <x14:dxf>
              <font>
                <color theme="6" tint="0.79998168889431442"/>
              </font>
              <fill>
                <patternFill>
                  <bgColor theme="6" tint="0.79998168889431442"/>
                </patternFill>
              </fill>
              <border>
                <left/>
                <right/>
                <top/>
                <bottom/>
              </border>
            </x14:dxf>
          </x14:cfRule>
          <xm:sqref>CA23:CG31</xm:sqref>
        </x14:conditionalFormatting>
        <x14:conditionalFormatting xmlns:xm="http://schemas.microsoft.com/office/excel/2006/main">
          <x14:cfRule type="expression" priority="25" id="{7129169E-2742-4642-A439-F2FCB54538E6}">
            <xm:f>$CK$20=_List!$AW$7</xm:f>
            <x14:dxf>
              <font>
                <color theme="6" tint="0.79998168889431442"/>
              </font>
              <fill>
                <patternFill>
                  <bgColor theme="6" tint="0.79998168889431442"/>
                </patternFill>
              </fill>
              <border>
                <left/>
                <right/>
                <top/>
                <bottom/>
              </border>
            </x14:dxf>
          </x14:cfRule>
          <xm:sqref>CI23:CO31 CI33:CO37</xm:sqref>
        </x14:conditionalFormatting>
        <x14:conditionalFormatting xmlns:xm="http://schemas.microsoft.com/office/excel/2006/main">
          <x14:cfRule type="expression" priority="27" id="{A16E20D0-1B06-4E9F-A678-04ADA60A5E79}">
            <xm:f>CK20=_List!$AW$7</xm:f>
            <x14:dxf>
              <fill>
                <patternFill>
                  <bgColor rgb="FFFCE7D0"/>
                </patternFill>
              </fill>
              <border>
                <left/>
                <right/>
                <top/>
                <bottom/>
                <vertical/>
                <horizontal/>
              </border>
            </x14:dxf>
          </x14:cfRule>
          <xm:sqref>CK20</xm:sqref>
        </x14:conditionalFormatting>
        <x14:conditionalFormatting xmlns:xm="http://schemas.microsoft.com/office/excel/2006/main">
          <x14:cfRule type="expression" priority="24" id="{ED57677B-AAEE-49AB-8EF2-8B46D374A20B}">
            <xm:f>$CK$20=_List!$AW$7</xm:f>
            <x14:dxf>
              <font>
                <color theme="6" tint="0.79998168889431442"/>
              </font>
              <fill>
                <patternFill>
                  <bgColor theme="6" tint="0.79998168889431442"/>
                </patternFill>
              </fill>
              <border>
                <left/>
                <right/>
                <top/>
                <bottom/>
              </border>
            </x14:dxf>
          </x14:cfRule>
          <xm:sqref>CI23:CO31</xm:sqref>
        </x14:conditionalFormatting>
        <x14:conditionalFormatting xmlns:xm="http://schemas.microsoft.com/office/excel/2006/main">
          <x14:cfRule type="expression" priority="199" id="{9805C626-8162-484E-B950-E7F1139A8020}">
            <xm:f>AND(_Calcs!$NO$48=9,$CK$20=_List!$AW$7)</xm:f>
            <x14:dxf>
              <fill>
                <patternFill>
                  <bgColor theme="6" tint="0.79998168889431442"/>
                </patternFill>
              </fill>
              <border>
                <left/>
                <right/>
                <top/>
                <bottom/>
                <vertical/>
                <horizontal/>
              </border>
            </x14:dxf>
          </x14:cfRule>
          <xm:sqref>CQ23:CQ31 CQ33:CQ37</xm:sqref>
        </x14:conditionalFormatting>
        <x14:conditionalFormatting xmlns:xm="http://schemas.microsoft.com/office/excel/2006/main">
          <x14:cfRule type="expression" priority="22" id="{ACEF4E03-0BF2-4806-A522-BD31679B6D40}">
            <xm:f>AND(_Calcs!$NO$48=8,$CC$20=_List!$AW$7)</xm:f>
            <x14:dxf>
              <fill>
                <patternFill>
                  <bgColor theme="6" tint="0.79998168889431442"/>
                </patternFill>
              </fill>
              <border>
                <left/>
                <right/>
                <top/>
                <bottom/>
                <vertical/>
                <horizontal/>
              </border>
            </x14:dxf>
          </x14:cfRule>
          <xm:sqref>CI23:CI31 CI33:CI37</xm:sqref>
        </x14:conditionalFormatting>
        <x14:conditionalFormatting xmlns:xm="http://schemas.microsoft.com/office/excel/2006/main">
          <x14:cfRule type="expression" priority="32" id="{D1DA7CF8-012D-41D8-B632-9659DF2305DD}">
            <xm:f>AND(_Calcs!$NO$48=7,$BU$20=_List!$AW$7)</xm:f>
            <x14:dxf>
              <fill>
                <patternFill>
                  <bgColor theme="6" tint="0.79998168889431442"/>
                </patternFill>
              </fill>
              <border>
                <left/>
                <right/>
                <top/>
                <bottom/>
                <vertical/>
                <horizontal/>
              </border>
            </x14:dxf>
          </x14:cfRule>
          <xm:sqref>CA23:CA31 CA33:CA37</xm:sqref>
        </x14:conditionalFormatting>
        <x14:conditionalFormatting xmlns:xm="http://schemas.microsoft.com/office/excel/2006/main">
          <x14:cfRule type="expression" priority="42" id="{BA532A64-52F9-4417-9048-87E8A861290A}">
            <xm:f>AND(_Calcs!$NO$48=6,$BM$20=_List!$AW$7)</xm:f>
            <x14:dxf>
              <fill>
                <patternFill>
                  <bgColor theme="6" tint="0.79998168889431442"/>
                </patternFill>
              </fill>
              <border>
                <left/>
                <right/>
                <top/>
                <bottom/>
                <vertical/>
                <horizontal/>
              </border>
            </x14:dxf>
          </x14:cfRule>
          <xm:sqref>BS23:BS31 BS33:BS37</xm:sqref>
        </x14:conditionalFormatting>
        <x14:conditionalFormatting xmlns:xm="http://schemas.microsoft.com/office/excel/2006/main">
          <x14:cfRule type="expression" priority="52" id="{B0AC474D-72CB-41CE-B624-4B210DDA2D31}">
            <xm:f>AND(_Calcs!$NO$48=5,$BE$20=_List!$AW$7)</xm:f>
            <x14:dxf>
              <fill>
                <patternFill>
                  <bgColor theme="6" tint="0.79998168889431442"/>
                </patternFill>
              </fill>
              <border>
                <left/>
                <right/>
                <top/>
                <bottom/>
                <vertical/>
                <horizontal/>
              </border>
            </x14:dxf>
          </x14:cfRule>
          <xm:sqref>BK23:BK31 BK33:BK37</xm:sqref>
        </x14:conditionalFormatting>
        <x14:conditionalFormatting xmlns:xm="http://schemas.microsoft.com/office/excel/2006/main">
          <x14:cfRule type="expression" priority="62" id="{4BDBE63A-BD4C-435B-B27F-7E3ABDB02E7A}">
            <xm:f>AND(_Calcs!$NO$48=4,$AW$20=_List!$AW$7)</xm:f>
            <x14:dxf>
              <fill>
                <patternFill>
                  <bgColor theme="6" tint="0.79998168889431442"/>
                </patternFill>
              </fill>
              <border>
                <left/>
                <right/>
                <top/>
                <bottom/>
                <vertical/>
                <horizontal/>
              </border>
            </x14:dxf>
          </x14:cfRule>
          <xm:sqref>BC23:BC31 BC33:BC37</xm:sqref>
        </x14:conditionalFormatting>
        <x14:conditionalFormatting xmlns:xm="http://schemas.microsoft.com/office/excel/2006/main">
          <x14:cfRule type="expression" priority="73" id="{4713F934-66B3-44A4-AE46-EA25206AE9D2}">
            <xm:f>AND(_Calcs!$NO$48=3,$AO$20=_List!$AW$7)</xm:f>
            <x14:dxf>
              <fill>
                <patternFill>
                  <bgColor theme="6" tint="0.79998168889431442"/>
                </patternFill>
              </fill>
              <border>
                <left/>
                <right/>
                <top/>
                <bottom/>
                <vertical/>
                <horizontal/>
              </border>
            </x14:dxf>
          </x14:cfRule>
          <xm:sqref>AU23:AU31 AU33:AU37</xm:sqref>
        </x14:conditionalFormatting>
        <x14:conditionalFormatting xmlns:xm="http://schemas.microsoft.com/office/excel/2006/main">
          <x14:cfRule type="expression" priority="83" id="{16A5326B-14A5-4CEB-B5AA-065C166CE898}">
            <xm:f>AND(_Calcs!$NO$48=2,$AG$20=_List!$AW$7)</xm:f>
            <x14:dxf>
              <fill>
                <patternFill>
                  <bgColor theme="6" tint="0.79998168889431442"/>
                </patternFill>
              </fill>
              <border>
                <left/>
                <right/>
                <top/>
                <bottom/>
                <vertical/>
                <horizontal/>
              </border>
            </x14:dxf>
          </x14:cfRule>
          <xm:sqref>AM23:AM31 AM33:AM37</xm:sqref>
        </x14:conditionalFormatting>
        <x14:conditionalFormatting xmlns:xm="http://schemas.microsoft.com/office/excel/2006/main">
          <x14:cfRule type="expression" priority="20" id="{E425291A-1509-4809-828D-47055D996F14}">
            <xm:f>AND(_Calcs!$NO$48=1,$Y$20=_List!$AW$7)</xm:f>
            <x14:dxf>
              <fill>
                <patternFill>
                  <bgColor theme="6" tint="0.79998168889431442"/>
                </patternFill>
              </fill>
              <border>
                <left/>
                <right/>
                <top/>
                <bottom/>
                <vertical/>
                <horizontal/>
              </border>
            </x14:dxf>
          </x14:cfRule>
          <xm:sqref>AE23:AE31 AE33:AE37</xm:sqref>
        </x14:conditionalFormatting>
        <x14:conditionalFormatting xmlns:xm="http://schemas.microsoft.com/office/excel/2006/main">
          <x14:cfRule type="expression" priority="13426" id="{9DDA3ABB-30EF-47B9-9F0F-2885B287A92D}">
            <xm:f>AND(_Calcs!$NO$48&lt;=5,_Calcs!$IO$22&lt;&gt;2)</xm:f>
            <x14:dxf>
              <fill>
                <patternFill>
                  <bgColor theme="6" tint="0.79998168889431442"/>
                </patternFill>
              </fill>
              <border>
                <left/>
                <right/>
                <top/>
                <bottom/>
                <vertical/>
                <horizontal/>
              </border>
            </x14:dxf>
          </x14:cfRule>
          <xm:sqref>BK59:BK61 BK71:BK73 BK83:BK85 BK95:BK97 BK107:BK109 BK119:BK121 BK131:BK133</xm:sqref>
        </x14:conditionalFormatting>
        <x14:conditionalFormatting xmlns:xm="http://schemas.microsoft.com/office/excel/2006/main">
          <x14:cfRule type="expression" priority="992" id="{10D1E8E6-4587-457E-A73D-801F1978A40C}">
            <xm:f>AND(_Calcs!$IO$24=2,$BU$72="Ja",_Calcs!$NO$48=7)</xm:f>
            <x14:dxf>
              <fill>
                <patternFill>
                  <bgColor rgb="FFFCE7D0"/>
                </patternFill>
              </fill>
            </x14:dxf>
          </x14:cfRule>
          <xm:sqref>CA74:CA79</xm:sqref>
        </x14:conditionalFormatting>
        <x14:conditionalFormatting xmlns:xm="http://schemas.microsoft.com/office/excel/2006/main">
          <x14:cfRule type="expression" priority="633" id="{88EC0CAA-A0AB-4FA4-B75A-8D046AD9404E}">
            <xm:f>_Calcs!$IO$18&lt;&gt;2</xm:f>
            <x14:dxf>
              <font>
                <color theme="6" tint="0.79998168889431442"/>
              </font>
              <fill>
                <patternFill patternType="solid">
                  <fgColor theme="0"/>
                  <bgColor theme="6" tint="0.79998168889431442"/>
                </patternFill>
              </fill>
              <border>
                <left/>
                <right/>
                <top/>
                <bottom/>
                <vertical/>
                <horizontal/>
              </border>
            </x14:dxf>
          </x14:cfRule>
          <xm:sqref>W59:AC67 W71:AC79 W83:AC91 W95:AC103 W107:AC115 W119:AC127 W131:AC139</xm:sqref>
        </x14:conditionalFormatting>
        <x14:conditionalFormatting xmlns:xm="http://schemas.microsoft.com/office/excel/2006/main">
          <x14:cfRule type="expression" priority="698" id="{5A5B6A3B-23B4-46A5-B2BC-301363E6EE26}">
            <xm:f>AND(_Calcs!$NO$48&gt;1,_Calcs!$IO$19&lt;&gt;2)</xm:f>
            <x14:dxf>
              <font>
                <color theme="6" tint="0.79998168889431442"/>
              </font>
              <fill>
                <patternFill>
                  <bgColor theme="6" tint="0.79998168889431442"/>
                </patternFill>
              </fill>
              <border>
                <left/>
                <right/>
                <top/>
                <bottom/>
              </border>
            </x14:dxf>
          </x14:cfRule>
          <xm:sqref>AE59:AK67 AE71:AK79 AE83:AK91 AE95:AK103 AE107:AK115 AE119:AK127 AE131:AK139</xm:sqref>
        </x14:conditionalFormatting>
        <x14:conditionalFormatting xmlns:xm="http://schemas.microsoft.com/office/excel/2006/main">
          <x14:cfRule type="expression" priority="730" id="{041A21DC-D9F2-491D-AC04-09E473523DA6}">
            <xm:f>AND(_Calcs!$NO$48&gt;2,_Calcs!$IO$20&lt;&gt;2)</xm:f>
            <x14:dxf>
              <font>
                <color theme="6" tint="0.79998168889431442"/>
              </font>
              <fill>
                <patternFill>
                  <bgColor theme="6" tint="0.79998168889431442"/>
                </patternFill>
              </fill>
              <border>
                <left/>
                <right/>
                <top/>
                <bottom/>
                <vertical/>
                <horizontal/>
              </border>
            </x14:dxf>
          </x14:cfRule>
          <xm:sqref>AM131:AS139 AM119:AS127 AM107:AS115 AM95:AS103 AM83:AS91 AM71:AS79 AM59:AS67</xm:sqref>
        </x14:conditionalFormatting>
        <x14:conditionalFormatting xmlns:xm="http://schemas.microsoft.com/office/excel/2006/main">
          <x14:cfRule type="expression" priority="783" id="{953C7FC3-7D43-4B3A-B316-42C6ECB7A61F}">
            <xm:f>AND(_Calcs!$NO$48&gt;3,_Calcs!$IO$21&lt;&gt;2)</xm:f>
            <x14:dxf>
              <font>
                <color theme="6" tint="0.79998168889431442"/>
              </font>
              <fill>
                <patternFill>
                  <bgColor theme="6" tint="0.79998168889431442"/>
                </patternFill>
              </fill>
              <border>
                <left/>
                <right/>
                <top/>
                <bottom/>
                <vertical/>
                <horizontal/>
              </border>
            </x14:dxf>
          </x14:cfRule>
          <xm:sqref>AU131:BA139 AU119:BA127 AU107:BA115 AU95:BA103 AU83:BA91 AU71:BA79 AU59:BA67</xm:sqref>
        </x14:conditionalFormatting>
        <x14:conditionalFormatting xmlns:xm="http://schemas.microsoft.com/office/excel/2006/main">
          <x14:cfRule type="expression" priority="828" id="{40D2FD3C-805F-4C4E-AA65-1D6D13DE7423}">
            <xm:f>AND(_Calcs!$NO$48&gt;4,_Calcs!$IO$22&lt;&gt;2)</xm:f>
            <x14:dxf>
              <font>
                <color theme="6" tint="0.79998168889431442"/>
              </font>
              <fill>
                <patternFill>
                  <bgColor theme="6" tint="0.79998168889431442"/>
                </patternFill>
              </fill>
              <border>
                <left/>
                <right/>
                <top/>
                <bottom/>
                <vertical/>
                <horizontal/>
              </border>
            </x14:dxf>
          </x14:cfRule>
          <xm:sqref>BC131:BI139 BC119:BI127 BC107:BI115 BC95:BI103 BC83:BI91 BC59:BI67 BC71:BI79</xm:sqref>
        </x14:conditionalFormatting>
        <x14:conditionalFormatting xmlns:xm="http://schemas.microsoft.com/office/excel/2006/main">
          <x14:cfRule type="expression" priority="877" id="{16894211-8BBB-433E-A4CF-5634663C953B}">
            <xm:f>AND(_Calcs!$NO$48&gt;5,_Calcs!$IO$23&lt;&gt;2)</xm:f>
            <x14:dxf>
              <font>
                <color theme="6" tint="0.79998168889431442"/>
              </font>
              <fill>
                <patternFill>
                  <bgColor theme="6" tint="0.79998168889431442"/>
                </patternFill>
              </fill>
              <border>
                <left/>
                <right/>
                <top/>
                <bottom/>
                <vertical/>
                <horizontal/>
              </border>
            </x14:dxf>
          </x14:cfRule>
          <xm:sqref>BK131:BQ139 BK119:BQ127 BK107:BQ115 BK95:BQ103 BK83:BQ91 BK71:BQ79 BK59:BQ67</xm:sqref>
        </x14:conditionalFormatting>
        <x14:conditionalFormatting xmlns:xm="http://schemas.microsoft.com/office/excel/2006/main">
          <x14:cfRule type="expression" priority="1123" id="{BC0464ED-0BC9-4008-B93E-FCCA8C8F0950}">
            <xm:f>AND(_Calcs!$NO$48&gt;6,_Calcs!$IO$24&lt;&gt;2)</xm:f>
            <x14:dxf>
              <font>
                <color theme="6" tint="0.79998168889431442"/>
              </font>
              <fill>
                <patternFill>
                  <bgColor theme="6" tint="0.79998168889431442"/>
                </patternFill>
              </fill>
              <border>
                <left/>
                <right/>
                <top/>
                <bottom/>
                <vertical/>
                <horizontal/>
              </border>
            </x14:dxf>
          </x14:cfRule>
          <xm:sqref>BS131:BY139 BS119:BY127 BS107:BY115 BS95:BY103 BS83:BY91 BS71:BY79 BS59:BY67</xm:sqref>
        </x14:conditionalFormatting>
        <x14:conditionalFormatting xmlns:xm="http://schemas.microsoft.com/office/excel/2006/main">
          <x14:cfRule type="expression" priority="977" id="{E9AD3164-DB93-402E-8C15-A676E30B8372}">
            <xm:f>AND(_Calcs!$NO$48&gt;7,_Calcs!$IO$25&lt;&gt;2)</xm:f>
            <x14:dxf>
              <font>
                <color theme="6" tint="0.79998168889431442"/>
              </font>
              <fill>
                <patternFill>
                  <bgColor theme="6" tint="0.79998168889431442"/>
                </patternFill>
              </fill>
              <border>
                <left/>
                <right/>
                <top/>
                <bottom/>
                <vertical/>
                <horizontal/>
              </border>
            </x14:dxf>
          </x14:cfRule>
          <xm:sqref>CA131:CG139 CA119:CG127 CA107:CG115 CA95:CG103 CA83:CG91 CA71:CG79 CA59:CG67</xm:sqref>
        </x14:conditionalFormatting>
        <x14:conditionalFormatting xmlns:xm="http://schemas.microsoft.com/office/excel/2006/main">
          <x14:cfRule type="expression" priority="926" id="{C724BF02-4E8B-490E-97B1-0203F06376AF}">
            <xm:f>AND(_Calcs!$NO$48&gt;8,_Calcs!$IO$26&lt;&gt;2)</xm:f>
            <x14:dxf>
              <font>
                <color theme="6" tint="0.79998168889431442"/>
              </font>
              <fill>
                <patternFill>
                  <bgColor theme="6" tint="0.79998168889431442"/>
                </patternFill>
              </fill>
              <border>
                <left/>
                <right/>
                <top/>
                <bottom/>
                <vertical/>
                <horizontal/>
              </border>
            </x14:dxf>
          </x14:cfRule>
          <xm:sqref>CI131:CO139 CI119:CO127 CI107:CO115 CI95:CO103 CI83:CO91 CI71:CO79 CI59:CO67</xm:sqref>
        </x14:conditionalFormatting>
        <x14:conditionalFormatting xmlns:xm="http://schemas.microsoft.com/office/excel/2006/main">
          <x14:cfRule type="expression" priority="925" id="{6959A9B6-25E5-43E8-8839-98DFC7A59497}">
            <xm:f>AND(_Calcs!$NO$48&gt;8,_Calcs!$IO$26&lt;&gt;2)</xm:f>
            <x14:dxf>
              <font>
                <color theme="0"/>
              </font>
              <fill>
                <patternFill>
                  <bgColor theme="0"/>
                </patternFill>
              </fill>
              <border>
                <left/>
                <right/>
                <top/>
                <bottom/>
                <vertical/>
                <horizontal/>
              </border>
            </x14:dxf>
          </x14:cfRule>
          <xm:sqref>CI62:CO67 CI74:CO79 CI86:CO91 CI98:CO103 CI110:CO115 CI122:CO127 CI134:CO139</xm:sqref>
        </x14:conditionalFormatting>
        <x14:conditionalFormatting xmlns:xm="http://schemas.microsoft.com/office/excel/2006/main">
          <x14:cfRule type="expression" priority="976" id="{2622933C-9454-4B1D-9638-181F82384B84}">
            <xm:f>AND(_Calcs!$NO$48&gt;7,_Calcs!$IO$25&lt;&gt;2)</xm:f>
            <x14:dxf>
              <font>
                <color theme="0"/>
              </font>
              <fill>
                <patternFill>
                  <bgColor theme="0"/>
                </patternFill>
              </fill>
              <border>
                <left/>
                <right/>
                <top/>
                <bottom/>
                <vertical/>
                <horizontal/>
              </border>
            </x14:dxf>
          </x14:cfRule>
          <xm:sqref>CA62:CG67 CA74:CG79 CA86:CG91 CA98:CG103 CA110:CG115 CA122:CG127 CA134:CG139</xm:sqref>
        </x14:conditionalFormatting>
        <x14:conditionalFormatting xmlns:xm="http://schemas.microsoft.com/office/excel/2006/main">
          <x14:cfRule type="expression" priority="1122" id="{36B75F76-D344-4333-A72B-CA2F78D2E8EF}">
            <xm:f>AND(_Calcs!$NO$48&gt;6,_Calcs!$IO$24&lt;&gt;2)</xm:f>
            <x14:dxf>
              <font>
                <color theme="0"/>
              </font>
              <fill>
                <patternFill>
                  <bgColor theme="0"/>
                </patternFill>
              </fill>
              <border>
                <left/>
                <right/>
                <top/>
                <bottom/>
                <vertical/>
                <horizontal/>
              </border>
            </x14:dxf>
          </x14:cfRule>
          <xm:sqref>BS62:BY67 BS74:BY79 BS86:BY91 BS98:BY103 BS110:BY115 BS122:BY127 BS134:BY139</xm:sqref>
        </x14:conditionalFormatting>
        <x14:conditionalFormatting xmlns:xm="http://schemas.microsoft.com/office/excel/2006/main">
          <x14:cfRule type="expression" priority="751" id="{E243B290-4618-4FE0-8CF9-40DD33FA9A4F}">
            <xm:f>AND(_Calcs!$NO$48&gt;5,_Calcs!$IO$23&lt;&gt;2)</xm:f>
            <x14:dxf>
              <font>
                <color theme="0"/>
              </font>
              <fill>
                <patternFill>
                  <bgColor theme="0"/>
                </patternFill>
              </fill>
              <border>
                <left/>
                <right/>
                <top/>
                <bottom/>
                <vertical/>
                <horizontal/>
              </border>
            </x14:dxf>
          </x14:cfRule>
          <xm:sqref>BK62:BQ67 BK74:BQ79 BK86:BQ91 BK98:BQ103 BK110:BQ115 BK122:BQ127 BK134:BQ139</xm:sqref>
        </x14:conditionalFormatting>
        <x14:conditionalFormatting xmlns:xm="http://schemas.microsoft.com/office/excel/2006/main">
          <x14:cfRule type="expression" priority="827" id="{CDCA9000-AD35-4BAA-843D-DDA8F71F55CE}">
            <xm:f>AND(_Calcs!$NO$48&gt;4,_Calcs!$IO$22&lt;&gt;2)</xm:f>
            <x14:dxf>
              <font>
                <color theme="0"/>
              </font>
              <fill>
                <patternFill>
                  <bgColor theme="0"/>
                </patternFill>
              </fill>
              <border>
                <left/>
                <right/>
                <top/>
                <bottom/>
                <vertical/>
                <horizontal/>
              </border>
            </x14:dxf>
          </x14:cfRule>
          <xm:sqref>BC134:BI139 BC122:BI127 BC110:BI115 BC98:BI103 BC86:BI91 BC74:BI79 BC62:BI67</xm:sqref>
        </x14:conditionalFormatting>
        <x14:conditionalFormatting xmlns:xm="http://schemas.microsoft.com/office/excel/2006/main">
          <x14:cfRule type="expression" priority="781" id="{61F01E78-3B9E-4559-ABA5-97E26382E6E6}">
            <xm:f>AND(_Calcs!$NO$48&gt;3,_Calcs!$IO$21&lt;&gt;2)</xm:f>
            <x14:dxf>
              <font>
                <color theme="0"/>
              </font>
              <fill>
                <patternFill>
                  <bgColor theme="0"/>
                </patternFill>
              </fill>
              <border>
                <left/>
                <right/>
                <top/>
                <bottom/>
                <vertical/>
                <horizontal/>
              </border>
            </x14:dxf>
          </x14:cfRule>
          <xm:sqref>AU62:BA67 AU74:BA79 AU86:BA91 AU98:BA103 AU110:BA115 AU122:BA127 AU134:BA139</xm:sqref>
        </x14:conditionalFormatting>
        <x14:conditionalFormatting xmlns:xm="http://schemas.microsoft.com/office/excel/2006/main">
          <x14:cfRule type="expression" priority="729" id="{6AD39941-AAD8-4021-80B6-AA06107F3295}">
            <xm:f>AND(_Calcs!$NO$48&gt;2,_Calcs!$IO$20&lt;&gt;2)</xm:f>
            <x14:dxf>
              <font>
                <color theme="0"/>
              </font>
              <fill>
                <patternFill>
                  <bgColor theme="0"/>
                </patternFill>
              </fill>
              <border>
                <left/>
                <right/>
                <top/>
                <bottom/>
                <vertical/>
                <horizontal/>
              </border>
            </x14:dxf>
          </x14:cfRule>
          <xm:sqref>AM134:AS139 AM122:AS127 AM110:AS115 AM98:AS103 AM86:AS91 AM74:AS79 AM62:AS67</xm:sqref>
        </x14:conditionalFormatting>
        <x14:conditionalFormatting xmlns:xm="http://schemas.microsoft.com/office/excel/2006/main">
          <x14:cfRule type="expression" priority="695" id="{7DFA30FC-D522-40BF-B012-3A2CECF55915}">
            <xm:f>AND(_Calcs!$NO$48&gt;1,_Calcs!$IO$19&lt;&gt;2)</xm:f>
            <x14:dxf>
              <font>
                <color theme="0"/>
              </font>
              <fill>
                <patternFill>
                  <bgColor theme="0"/>
                </patternFill>
              </fill>
              <border>
                <left/>
                <right/>
                <top/>
                <bottom/>
                <vertical/>
                <horizontal/>
              </border>
            </x14:dxf>
          </x14:cfRule>
          <xm:sqref>AE134:AK139 AE122:AK127 AE110:AK115 AE98:AK103 AE86:AK91 AE74:AK79 AE62:AK67</xm:sqref>
        </x14:conditionalFormatting>
        <x14:conditionalFormatting xmlns:xm="http://schemas.microsoft.com/office/excel/2006/main">
          <x14:cfRule type="expression" priority="632" id="{C725CEEE-F697-4908-B2A7-E265BB9A9795}">
            <xm:f>_Calcs!$IO$18&lt;&gt;2</xm:f>
            <x14:dxf>
              <font>
                <color theme="0"/>
              </font>
              <fill>
                <patternFill>
                  <bgColor theme="0"/>
                </patternFill>
              </fill>
              <border>
                <left/>
                <right/>
                <top/>
                <bottom/>
                <vertical/>
                <horizontal/>
              </border>
            </x14:dxf>
          </x14:cfRule>
          <xm:sqref>W134:AC139 W122:AC127 W110:AC115 W98:AC103 W86:AC91 W74:AC79 W62:AC67</xm:sqref>
        </x14:conditionalFormatting>
        <x14:conditionalFormatting xmlns:xm="http://schemas.microsoft.com/office/excel/2006/main">
          <x14:cfRule type="expression" priority="609" id="{BA2EB1D6-9A0F-4544-A614-623DC73D809A}">
            <xm:f>AND(_Calcs!$NO$48&gt;8,_Calcs!$IO$26&lt;&gt;2)</xm:f>
            <x14:dxf>
              <fill>
                <patternFill>
                  <bgColor theme="0"/>
                </patternFill>
              </fill>
            </x14:dxf>
          </x14:cfRule>
          <xm:sqref>CQ62:CQ67 CQ74:CQ79 CQ86:CQ91 CQ98:CQ103 CQ110:CQ115 CQ122:CQ127 CQ134:CQ139</xm:sqref>
        </x14:conditionalFormatting>
        <x14:conditionalFormatting xmlns:xm="http://schemas.microsoft.com/office/excel/2006/main">
          <x14:cfRule type="expression" priority="13567" id="{0640E289-9019-4281-80D1-F0F41E1DBB51}">
            <xm:f>AND(_Calcs!$NO$48&gt;8,_Calcs!$IO$26&lt;&gt;2)</xm:f>
            <x14:dxf>
              <fill>
                <patternFill>
                  <bgColor theme="6" tint="0.79998168889431442"/>
                </patternFill>
              </fill>
            </x14:dxf>
          </x14:cfRule>
          <xm:sqref>CQ59:CQ61 CQ71:CQ73 CQ83:CQ85 CQ95:CQ97 CQ107:CQ109 CQ119:CQ121 CQ131:CQ133</xm:sqref>
        </x14:conditionalFormatting>
        <x14:conditionalFormatting xmlns:xm="http://schemas.microsoft.com/office/excel/2006/main">
          <x14:cfRule type="expression" priority="13574" id="{5183C83D-32E2-49B2-ACE0-B2704B083C06}">
            <xm:f>AND(_Calcs!$NO$48&gt;8,_Calcs!$IO$26&lt;&gt;1)</xm:f>
            <x14:dxf>
              <font>
                <color theme="0"/>
              </font>
              <fill>
                <patternFill>
                  <bgColor theme="0"/>
                </patternFill>
              </fill>
              <border>
                <left/>
                <right/>
                <top/>
                <bottom/>
                <vertical/>
                <horizontal/>
              </border>
            </x14:dxf>
          </x14:cfRule>
          <xm:sqref>CQ47:CQ52</xm:sqref>
        </x14:conditionalFormatting>
        <x14:conditionalFormatting xmlns:xm="http://schemas.microsoft.com/office/excel/2006/main">
          <x14:cfRule type="expression" priority="13575" id="{25DF6BD2-3352-40EA-B1B8-5AF5918A5E6C}">
            <xm:f>AND(_Calcs!$NO$48&lt;8,_Calcs!$IO$25=2)</xm:f>
            <x14:dxf>
              <fill>
                <patternFill>
                  <bgColor theme="0"/>
                </patternFill>
              </fill>
              <border>
                <left/>
                <right/>
                <top/>
                <bottom/>
              </border>
            </x14:dxf>
          </x14:cfRule>
          <xm:sqref>CI47:CI52</xm:sqref>
        </x14:conditionalFormatting>
        <x14:conditionalFormatting xmlns:xm="http://schemas.microsoft.com/office/excel/2006/main">
          <x14:cfRule type="expression" priority="13576" id="{BC7451EE-AB5C-4688-BB0C-A54CC4E8E9EA}">
            <xm:f>AND(_Calcs!$NO$48&lt;8,_Calcs!$IO$24&lt;&gt;1)</xm:f>
            <x14:dxf>
              <fill>
                <patternFill>
                  <bgColor theme="0"/>
                </patternFill>
              </fill>
              <border>
                <left/>
                <right/>
                <top/>
                <bottom/>
                <vertical/>
                <horizontal/>
              </border>
            </x14:dxf>
          </x14:cfRule>
          <xm:sqref>CA47:CA52</xm:sqref>
        </x14:conditionalFormatting>
        <x14:conditionalFormatting xmlns:xm="http://schemas.microsoft.com/office/excel/2006/main">
          <x14:cfRule type="expression" priority="13577" id="{DC95880F-2B9B-42AD-A403-4859B4CD6BD2}">
            <xm:f>AND(_Calcs!$NO$48&lt;7,_Calcs!$IO$23&lt;&gt;1)</xm:f>
            <x14:dxf>
              <fill>
                <patternFill>
                  <bgColor theme="0"/>
                </patternFill>
              </fill>
              <border>
                <left/>
                <right/>
                <top/>
                <bottom/>
              </border>
            </x14:dxf>
          </x14:cfRule>
          <xm:sqref>BS47:BS52</xm:sqref>
        </x14:conditionalFormatting>
        <x14:conditionalFormatting xmlns:xm="http://schemas.microsoft.com/office/excel/2006/main">
          <x14:cfRule type="expression" priority="13578" id="{4D489867-28BB-4F84-9BCD-C676F5E4782F}">
            <xm:f>AND(_Calcs!$NO$48&lt;6,_Calcs!$IO$22&lt;&gt;1)</xm:f>
            <x14:dxf>
              <fill>
                <patternFill>
                  <bgColor theme="0"/>
                </patternFill>
              </fill>
              <border>
                <left/>
                <right/>
                <top/>
                <bottom/>
                <vertical/>
                <horizontal/>
              </border>
            </x14:dxf>
          </x14:cfRule>
          <xm:sqref>BK47:BK52</xm:sqref>
        </x14:conditionalFormatting>
        <x14:conditionalFormatting xmlns:xm="http://schemas.microsoft.com/office/excel/2006/main">
          <x14:cfRule type="expression" priority="13579" id="{087B7A0B-0523-4706-918F-213085DD38F9}">
            <xm:f>AND(_Calcs!$NO$48&lt;5,_Calcs!$IO$21&lt;&gt;1)</xm:f>
            <x14:dxf>
              <fill>
                <patternFill>
                  <bgColor theme="0"/>
                </patternFill>
              </fill>
              <border>
                <left/>
                <right/>
                <top/>
                <bottom/>
                <vertical/>
                <horizontal/>
              </border>
            </x14:dxf>
          </x14:cfRule>
          <xm:sqref>BC47:BC52</xm:sqref>
        </x14:conditionalFormatting>
        <x14:conditionalFormatting xmlns:xm="http://schemas.microsoft.com/office/excel/2006/main">
          <x14:cfRule type="expression" priority="13580" id="{A2A1D72F-C4BD-4676-829A-96BFDD20A212}">
            <xm:f>AND(_Calcs!$NO$48&lt;4,_Calcs!$IO$20&lt;&gt;1)</xm:f>
            <x14:dxf>
              <fill>
                <patternFill>
                  <bgColor theme="0"/>
                </patternFill>
              </fill>
              <border>
                <left/>
                <right/>
                <top/>
                <bottom/>
                <vertical/>
                <horizontal/>
              </border>
            </x14:dxf>
          </x14:cfRule>
          <xm:sqref>AU47:AU52</xm:sqref>
        </x14:conditionalFormatting>
        <x14:conditionalFormatting xmlns:xm="http://schemas.microsoft.com/office/excel/2006/main">
          <x14:cfRule type="expression" priority="13581" id="{BA7EA152-86B7-4E35-B80F-265C2F9A6783}">
            <xm:f>AND(_Calcs!$NO$48&lt;2,_Calcs!$IO$18&lt;&gt;1)</xm:f>
            <x14:dxf>
              <fill>
                <patternFill>
                  <bgColor theme="0"/>
                </patternFill>
              </fill>
              <border>
                <left/>
                <right/>
                <top/>
                <bottom/>
                <vertical/>
                <horizontal/>
              </border>
            </x14:dxf>
          </x14:cfRule>
          <xm:sqref>AE47:AE52</xm:sqref>
        </x14:conditionalFormatting>
        <x14:conditionalFormatting xmlns:xm="http://schemas.microsoft.com/office/excel/2006/main">
          <x14:cfRule type="expression" priority="13582" id="{D12843C4-3B06-484E-A4A6-9A3155642E23}">
            <xm:f>AND(_Calcs!$NO$48&lt;8,_Calcs!$IO$24&lt;&gt;2)</xm:f>
            <x14:dxf>
              <fill>
                <patternFill>
                  <bgColor theme="6" tint="0.79998168889431442"/>
                </patternFill>
              </fill>
            </x14:dxf>
          </x14:cfRule>
          <xm:sqref>CA59:CA61 CA71:CA73 CA83:CA85 CA95:CA97 CA107:CA109 CA119:CA121 CA131:CA133</xm:sqref>
        </x14:conditionalFormatting>
        <x14:conditionalFormatting xmlns:xm="http://schemas.microsoft.com/office/excel/2006/main">
          <x14:cfRule type="expression" priority="13089" id="{4F10A1AF-3C8F-4D46-99D4-506EE0AE6D0E}">
            <xm:f>AND(_Calcs!$NO$48&lt;8,_Calcs!$IO$24&lt;&gt;2)</xm:f>
            <x14:dxf>
              <fill>
                <patternFill>
                  <bgColor theme="0"/>
                </patternFill>
              </fill>
              <border>
                <left/>
                <right/>
                <top/>
                <bottom/>
                <vertical/>
                <horizontal/>
              </border>
            </x14:dxf>
          </x14:cfRule>
          <xm:sqref>CA62:CA67 CA74:CA79 CA86:CA91 CA98:CA103 CA110:CA115 CA122:CA127 CA134:CA139</xm:sqref>
        </x14:conditionalFormatting>
        <x14:conditionalFormatting xmlns:xm="http://schemas.microsoft.com/office/excel/2006/main">
          <x14:cfRule type="expression" priority="13596" id="{B0EC2AC6-4F96-4219-901C-99EBC661C546}">
            <xm:f>AND(_Calcs!$NO$48&lt;=4,_Calcs!$IO$21&lt;&gt;2)</xm:f>
            <x14:dxf>
              <fill>
                <patternFill>
                  <bgColor theme="6" tint="0.79998168889431442"/>
                </patternFill>
              </fill>
              <border>
                <left/>
                <right/>
                <top/>
                <bottom/>
                <vertical/>
                <horizontal/>
              </border>
            </x14:dxf>
          </x14:cfRule>
          <xm:sqref>BC59:BC61 BC71:BC73 BC83:BC85 BC95:BC97 BC107:BC109 BC119:BC121 BC131:BC133</xm:sqref>
        </x14:conditionalFormatting>
        <x14:conditionalFormatting xmlns:xm="http://schemas.microsoft.com/office/excel/2006/main">
          <x14:cfRule type="expression" priority="13603" id="{8A5ECBE2-656F-4EB9-A379-16A646E853B5}">
            <xm:f>AND(_Calcs!$NO$48&lt;=4,_Calcs!$IO$21&lt;&gt;2)</xm:f>
            <x14:dxf>
              <fill>
                <patternFill>
                  <bgColor theme="0"/>
                </patternFill>
              </fill>
            </x14:dxf>
          </x14:cfRule>
          <xm:sqref>BC62:BC67 BC74:BC79 BC86:BC91 BC98:BC103 BC110:BC115 BC122:BC127 BC134:BC139</xm:sqref>
        </x14:conditionalFormatting>
        <x14:conditionalFormatting xmlns:xm="http://schemas.microsoft.com/office/excel/2006/main">
          <x14:cfRule type="expression" priority="13610" id="{DFAB0E02-C4CF-4410-B3A1-EBA9AA94AA91}">
            <xm:f>AND(_Calcs!$NO$48&lt;=3,_Calcs!$IO$20&lt;&gt;2)</xm:f>
            <x14:dxf>
              <fill>
                <patternFill>
                  <bgColor theme="6" tint="0.79998168889431442"/>
                </patternFill>
              </fill>
            </x14:dxf>
          </x14:cfRule>
          <xm:sqref>AU59:AU61 AU71:AU73 AU83:AU85 AU95:AU97 AU107:AU109 AU119:AU121 AU131:AU133</xm:sqref>
        </x14:conditionalFormatting>
        <x14:conditionalFormatting xmlns:xm="http://schemas.microsoft.com/office/excel/2006/main">
          <x14:cfRule type="expression" priority="12348" id="{4CB825ED-A8A7-42BE-A24F-138C324C4DAA}">
            <xm:f>AND(_Calcs!$NO$48&lt;=3,_Calcs!$IO$20&lt;&gt;2)</xm:f>
            <x14:dxf>
              <fill>
                <patternFill>
                  <bgColor theme="0"/>
                </patternFill>
              </fill>
            </x14:dxf>
          </x14:cfRule>
          <xm:sqref>AU62:AU67 AU74:AU79 AU86:AU91 AU98:AU103 AU110:AU115 AU122:AU127 AU134:AU139</xm:sqref>
        </x14:conditionalFormatting>
        <x14:conditionalFormatting xmlns:xm="http://schemas.microsoft.com/office/excel/2006/main">
          <x14:cfRule type="expression" priority="13624" id="{5A9A62A3-B0E8-4762-9088-3EC8A02E6F91}">
            <xm:f>AND(_Calcs!$NO$48&lt;3,_Calcs!$IO$19&lt;&gt;1)</xm:f>
            <x14:dxf>
              <fill>
                <patternFill>
                  <bgColor theme="0"/>
                </patternFill>
              </fill>
            </x14:dxf>
          </x14:cfRule>
          <xm:sqref>AM47:AM52</xm:sqref>
        </x14:conditionalFormatting>
        <x14:conditionalFormatting xmlns:xm="http://schemas.microsoft.com/office/excel/2006/main">
          <x14:cfRule type="expression" priority="13625" id="{BE734CCA-9627-4734-90C6-F5A8D84C02FC}">
            <xm:f>AND(_Calcs!$NO$48&lt;3,_Calcs!$IO$19&lt;&gt;2)</xm:f>
            <x14:dxf>
              <fill>
                <patternFill>
                  <bgColor theme="6" tint="0.79998168889431442"/>
                </patternFill>
              </fill>
            </x14:dxf>
          </x14:cfRule>
          <xm:sqref>AM59:AM61 AM71:AM73 AM83:AM85 AM95:AM97 AM107:AM109 AM119:AM121 AM131:AM133</xm:sqref>
        </x14:conditionalFormatting>
        <x14:conditionalFormatting xmlns:xm="http://schemas.microsoft.com/office/excel/2006/main">
          <x14:cfRule type="expression" priority="13632" id="{1A860B41-09C5-45E2-99AE-35A77F692DB0}">
            <xm:f>AND(_Calcs!$NO$48&lt;3,_Calcs!$IO$19&lt;&gt;2)</xm:f>
            <x14:dxf>
              <fill>
                <patternFill>
                  <bgColor theme="0"/>
                </patternFill>
              </fill>
            </x14:dxf>
          </x14:cfRule>
          <xm:sqref>AM98:AM103 AM74:AM79 AM62:AM67 AM110:AM115 AM122:AM127 AM134:AM139 AM86:AM91</xm:sqref>
        </x14:conditionalFormatting>
        <x14:conditionalFormatting xmlns:xm="http://schemas.microsoft.com/office/excel/2006/main">
          <x14:cfRule type="expression" priority="12257" id="{230981A0-88A6-4B79-9017-E76296D44E66}">
            <xm:f>AND(_Calcs!$NO$48&lt;2,_Calcs!$IO$18&lt;&gt;2)</xm:f>
            <x14:dxf>
              <fill>
                <patternFill>
                  <bgColor theme="6" tint="0.79998168889431442"/>
                </patternFill>
              </fill>
            </x14:dxf>
          </x14:cfRule>
          <xm:sqref>AE59:AE61 AE71:AE73 AE83:AE85 AE95:AE97 AE107:AE109 AE119:AE121 AE131:AE133</xm:sqref>
        </x14:conditionalFormatting>
        <x14:conditionalFormatting xmlns:xm="http://schemas.microsoft.com/office/excel/2006/main">
          <x14:cfRule type="expression" priority="692" id="{01C52A22-C487-4E87-8781-A34F492062BF}">
            <xm:f>AND(_Calcs!$NO$48&lt;2,_Calcs!$IO$18&lt;&gt;2)</xm:f>
            <x14:dxf>
              <fill>
                <patternFill>
                  <bgColor theme="0"/>
                </patternFill>
              </fill>
            </x14:dxf>
          </x14:cfRule>
          <xm:sqref>AE62:AE67 AE74:AE79 AE86:AE91 AE98:AE103 AE110:AE115 AE122:AE127 AE134:AE139</xm:sqref>
        </x14:conditionalFormatting>
        <x14:conditionalFormatting xmlns:xm="http://schemas.microsoft.com/office/excel/2006/main">
          <x14:cfRule type="expression" priority="13653" id="{8D17E773-A6A7-4959-B8AA-A534085EDBEA}">
            <xm:f>AND(_Calcs!$NO$48&lt;=5,_Calcs!$IO$22&lt;&gt;2)</xm:f>
            <x14:dxf>
              <fill>
                <patternFill>
                  <bgColor theme="0"/>
                </patternFill>
              </fill>
            </x14:dxf>
          </x14:cfRule>
          <xm:sqref>BK62:BK67 BK74:BK79 BK86:BK91 BK98:BK103 BK110:BK115 BK122:BK127 BK134:BK139</xm:sqref>
        </x14:conditionalFormatting>
        <x14:conditionalFormatting xmlns:xm="http://schemas.microsoft.com/office/excel/2006/main">
          <x14:cfRule type="expression" priority="11388" id="{34E62579-69FC-438E-9008-4F5487D0CA05}">
            <xm:f>$Y$45&lt;&gt;_Calcs!$K$76</xm:f>
            <x14:dxf>
              <font>
                <color theme="0"/>
              </font>
              <fill>
                <patternFill>
                  <bgColor theme="0"/>
                </patternFill>
              </fill>
              <border>
                <left/>
                <right/>
                <bottom/>
                <vertical/>
                <horizontal/>
              </border>
            </x14:dxf>
          </x14:cfRule>
          <xm:sqref>W47:AC52</xm:sqref>
        </x14:conditionalFormatting>
        <x14:conditionalFormatting xmlns:xm="http://schemas.microsoft.com/office/excel/2006/main">
          <x14:cfRule type="expression" priority="14993" id="{CD9EB7B8-E764-48D8-BD3D-30D58E5090E5}">
            <xm:f>$Y$45=_Calcs!$K$76</xm:f>
            <x14:dxf>
              <border>
                <bottom/>
                <vertical/>
                <horizontal/>
              </border>
            </x14:dxf>
          </x14:cfRule>
          <xm:sqref>W46:AC46</xm:sqref>
        </x14:conditionalFormatting>
        <x14:conditionalFormatting xmlns:xm="http://schemas.microsoft.com/office/excel/2006/main">
          <x14:cfRule type="expression" priority="14994" id="{9CACBE9C-7A73-47D3-A897-355298933412}">
            <xm:f>Y45=_Calcs!$K$77</xm:f>
            <x14:dxf>
              <fill>
                <patternFill>
                  <bgColor rgb="FFFAF8D2"/>
                </patternFill>
              </fill>
            </x14:dxf>
          </x14:cfRule>
          <x14:cfRule type="expression" priority="14995" id="{380B3439-B114-4E74-B5EB-E1C0B476B097}">
            <xm:f>Y45=_Calcs!$K$76</xm:f>
            <x14:dxf>
              <fill>
                <patternFill>
                  <bgColor rgb="FFC2DBE4"/>
                </patternFill>
              </fill>
            </x14:dxf>
          </x14:cfRule>
          <xm:sqref>Y45 AG45 AO45 AW45 BE45 BM45 BU45 CC45 CK45</xm:sqref>
        </x14:conditionalFormatting>
        <x14:conditionalFormatting xmlns:xm="http://schemas.microsoft.com/office/excel/2006/main">
          <x14:cfRule type="expression" priority="15012" id="{A1A75BF9-24D3-4384-BAAA-E16C817DDBEE}">
            <xm:f>$AG$45=_Calcs!$K$76</xm:f>
            <x14:dxf>
              <border>
                <bottom/>
                <vertical/>
                <horizontal/>
              </border>
            </x14:dxf>
          </x14:cfRule>
          <xm:sqref>AE46:AK46</xm:sqref>
        </x14:conditionalFormatting>
        <x14:conditionalFormatting xmlns:xm="http://schemas.microsoft.com/office/excel/2006/main">
          <x14:cfRule type="expression" priority="15013" id="{62156683-A53A-497F-A7CD-CC7F93F1C7C9}">
            <xm:f>$AO$45=_Calcs!$K$76</xm:f>
            <x14:dxf>
              <border>
                <bottom/>
                <vertical/>
                <horizontal/>
              </border>
            </x14:dxf>
          </x14:cfRule>
          <xm:sqref>AM46:AS46</xm:sqref>
        </x14:conditionalFormatting>
        <x14:conditionalFormatting xmlns:xm="http://schemas.microsoft.com/office/excel/2006/main">
          <x14:cfRule type="expression" priority="15014" id="{B5F564B5-2FA0-4505-92F7-C3D593323AAA}">
            <xm:f>$AW$45=_Calcs!$K$76</xm:f>
            <x14:dxf>
              <border>
                <bottom/>
                <vertical/>
                <horizontal/>
              </border>
            </x14:dxf>
          </x14:cfRule>
          <xm:sqref>AU46:BA46</xm:sqref>
        </x14:conditionalFormatting>
        <x14:conditionalFormatting xmlns:xm="http://schemas.microsoft.com/office/excel/2006/main">
          <x14:cfRule type="expression" priority="15015" id="{2020C0F0-C1FE-4E57-8A68-4AD868DC15E0}">
            <xm:f>$BE$45=_Calcs!$K$76</xm:f>
            <x14:dxf>
              <border>
                <bottom/>
                <vertical/>
                <horizontal/>
              </border>
            </x14:dxf>
          </x14:cfRule>
          <xm:sqref>BC46:BI46</xm:sqref>
        </x14:conditionalFormatting>
        <x14:conditionalFormatting xmlns:xm="http://schemas.microsoft.com/office/excel/2006/main">
          <x14:cfRule type="expression" priority="15016" id="{2AA343C9-2C3B-4A39-9A06-1D2D135227C1}">
            <xm:f>$BM$45=_Calcs!$K$76</xm:f>
            <x14:dxf>
              <border>
                <bottom/>
                <vertical/>
                <horizontal/>
              </border>
            </x14:dxf>
          </x14:cfRule>
          <xm:sqref>BK46:BQ46</xm:sqref>
        </x14:conditionalFormatting>
        <x14:conditionalFormatting xmlns:xm="http://schemas.microsoft.com/office/excel/2006/main">
          <x14:cfRule type="expression" priority="15017" id="{1DD25A93-8C95-4DF2-BD02-7D43718D01DD}">
            <xm:f>$BU$45=_Calcs!$K$76</xm:f>
            <x14:dxf>
              <border>
                <bottom/>
                <vertical/>
                <horizontal/>
              </border>
            </x14:dxf>
          </x14:cfRule>
          <xm:sqref>BS46:BY46</xm:sqref>
        </x14:conditionalFormatting>
        <x14:conditionalFormatting xmlns:xm="http://schemas.microsoft.com/office/excel/2006/main">
          <x14:cfRule type="expression" priority="15018" id="{CB1D644D-FFD5-4F79-A809-6AAE71C3F7C7}">
            <xm:f>$CC$45=_Calcs!$K$76</xm:f>
            <x14:dxf>
              <border>
                <bottom/>
                <vertical/>
                <horizontal/>
              </border>
            </x14:dxf>
          </x14:cfRule>
          <xm:sqref>CA46:CG46</xm:sqref>
        </x14:conditionalFormatting>
        <x14:conditionalFormatting xmlns:xm="http://schemas.microsoft.com/office/excel/2006/main">
          <x14:cfRule type="expression" priority="15019" id="{D4E66CA9-C2B2-45BD-AD63-30F694554C48}">
            <xm:f>$CK$45=_Calcs!$K$76</xm:f>
            <x14:dxf>
              <border>
                <bottom/>
                <vertical/>
                <horizontal/>
              </border>
            </x14:dxf>
          </x14:cfRule>
          <xm:sqref>CI46:CO46</xm:sqref>
        </x14:conditionalFormatting>
        <x14:conditionalFormatting xmlns:xm="http://schemas.microsoft.com/office/excel/2006/main">
          <x14:cfRule type="expression" priority="11416" id="{43600617-E2A2-4AA3-A3CF-F4CDFFF2D18F}">
            <xm:f>AND(_Calcs!$NO$48&gt;1,$AG$45&lt;&gt;_Calcs!$K$76)</xm:f>
            <x14:dxf>
              <font>
                <color theme="0"/>
              </font>
              <fill>
                <patternFill>
                  <bgColor theme="0"/>
                </patternFill>
              </fill>
              <border>
                <left/>
                <right/>
                <bottom/>
                <vertical/>
                <horizontal/>
              </border>
            </x14:dxf>
          </x14:cfRule>
          <xm:sqref>AE47:AK52</xm:sqref>
        </x14:conditionalFormatting>
        <x14:conditionalFormatting xmlns:xm="http://schemas.microsoft.com/office/excel/2006/main">
          <x14:cfRule type="expression" priority="11417" id="{9C54D478-086A-446B-8CDC-86040CC37D6C}">
            <xm:f>AND(_Calcs!$NO$48&gt;2,$AO$45&lt;&gt;_Calcs!$K$76)</xm:f>
            <x14:dxf>
              <font>
                <color theme="0"/>
              </font>
              <fill>
                <patternFill>
                  <bgColor theme="0"/>
                </patternFill>
              </fill>
              <border>
                <left/>
                <right/>
                <bottom/>
                <vertical/>
                <horizontal/>
              </border>
            </x14:dxf>
          </x14:cfRule>
          <xm:sqref>AM47:AS52</xm:sqref>
        </x14:conditionalFormatting>
        <x14:conditionalFormatting xmlns:xm="http://schemas.microsoft.com/office/excel/2006/main">
          <x14:cfRule type="expression" priority="9163" id="{EE929A38-970B-43A3-A40A-DE16201E9C48}">
            <xm:f>AND(_Calcs!$NO$48&gt;3,$AW$45&lt;&gt;_Calcs!$K$76)</xm:f>
            <x14:dxf>
              <font>
                <color theme="0"/>
              </font>
              <fill>
                <patternFill>
                  <bgColor theme="0"/>
                </patternFill>
              </fill>
              <border>
                <left/>
                <right/>
                <bottom/>
                <vertical/>
                <horizontal/>
              </border>
            </x14:dxf>
          </x14:cfRule>
          <xm:sqref>AU47:BA52</xm:sqref>
        </x14:conditionalFormatting>
        <x14:conditionalFormatting xmlns:xm="http://schemas.microsoft.com/office/excel/2006/main">
          <x14:cfRule type="expression" priority="11420" id="{6AA08B89-31DD-4199-BF2C-345B835274C3}">
            <xm:f>AND(_Calcs!$NO$48&gt;4,$BE$45&lt;&gt;_Calcs!$K$76)</xm:f>
            <x14:dxf>
              <font>
                <color theme="0"/>
              </font>
              <fill>
                <patternFill>
                  <bgColor theme="0"/>
                </patternFill>
              </fill>
              <border>
                <left/>
                <right/>
                <bottom/>
                <vertical/>
                <horizontal/>
              </border>
            </x14:dxf>
          </x14:cfRule>
          <xm:sqref>BC47:BI52</xm:sqref>
        </x14:conditionalFormatting>
        <x14:conditionalFormatting xmlns:xm="http://schemas.microsoft.com/office/excel/2006/main">
          <x14:cfRule type="expression" priority="11419" id="{994A4901-E6E0-483C-B480-0E2B6424DDEA}">
            <xm:f>AND(_Calcs!$NO$48&gt;5,$BM$45&lt;&gt;_Calcs!$K$76)</xm:f>
            <x14:dxf>
              <font>
                <color theme="0"/>
              </font>
              <fill>
                <patternFill>
                  <bgColor theme="0"/>
                </patternFill>
              </fill>
              <border>
                <left/>
                <right/>
                <bottom/>
                <vertical/>
                <horizontal/>
              </border>
            </x14:dxf>
          </x14:cfRule>
          <xm:sqref>BK47:BQ52</xm:sqref>
        </x14:conditionalFormatting>
        <x14:conditionalFormatting xmlns:xm="http://schemas.microsoft.com/office/excel/2006/main">
          <x14:cfRule type="expression" priority="11421" id="{EE654A7B-EAE9-48F5-8143-463C38FA8C57}">
            <xm:f>AND(_Calcs!$NO$48&gt;6,$BU$45&lt;&gt;_Calcs!$K$76)</xm:f>
            <x14:dxf>
              <font>
                <color theme="0"/>
              </font>
              <fill>
                <patternFill>
                  <bgColor theme="0"/>
                </patternFill>
              </fill>
              <border>
                <left/>
                <right/>
                <bottom/>
                <vertical/>
                <horizontal/>
              </border>
            </x14:dxf>
          </x14:cfRule>
          <xm:sqref>BS47:BY52</xm:sqref>
        </x14:conditionalFormatting>
        <x14:conditionalFormatting xmlns:xm="http://schemas.microsoft.com/office/excel/2006/main">
          <x14:cfRule type="expression" priority="11422" id="{3EEA6F65-60B9-458B-9CEC-591956372348}">
            <xm:f>AND(_Calcs!$NO$48&gt;7,$CC$45&lt;&gt;_Calcs!$K$76)</xm:f>
            <x14:dxf>
              <font>
                <color theme="0"/>
              </font>
              <fill>
                <patternFill>
                  <bgColor theme="0"/>
                </patternFill>
              </fill>
              <border>
                <left/>
                <right/>
                <bottom/>
                <vertical/>
                <horizontal/>
              </border>
            </x14:dxf>
          </x14:cfRule>
          <xm:sqref>CA47:CG52</xm:sqref>
        </x14:conditionalFormatting>
        <x14:conditionalFormatting xmlns:xm="http://schemas.microsoft.com/office/excel/2006/main">
          <x14:cfRule type="expression" priority="11423" id="{F1A9CD45-03D0-4C7F-9C7A-F1977B6D78D9}">
            <xm:f>AND(_Calcs!$NO$48&gt;8,$CK$45&lt;&gt;_Calcs!$K$76)</xm:f>
            <x14:dxf>
              <font>
                <color theme="0"/>
              </font>
              <fill>
                <patternFill>
                  <bgColor theme="0"/>
                </patternFill>
              </fill>
              <border>
                <left/>
                <right/>
                <bottom/>
                <vertical/>
                <horizontal/>
              </border>
            </x14:dxf>
          </x14:cfRule>
          <xm:sqref>CI47:CO52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ErrorMessage="1" errorTitle="Oops!" error="Velg en verdi fra listen." xr:uid="{100ED112-F289-4275-A27B-9ED8760F1E26}">
          <x14:formula1>
            <xm:f>INDIRECT(_Calcs!$O$77)</xm:f>
          </x14:formula1>
          <xm:sqref>Y45 AG45 AO45 AW45 BE45 BM45 BU45 CC45 CK45</xm:sqref>
        </x14:dataValidation>
        <x14:dataValidation type="list" allowBlank="1" showErrorMessage="1" xr:uid="{58346A4D-F703-4710-A167-DD2382D87BCF}">
          <x14:formula1>
            <xm:f>INDIRECT(_Calcs!DU$45)</xm:f>
          </x14:formula1>
          <xm:sqref>CK45 BM45 BU45 CC45</xm:sqref>
        </x14:dataValidation>
        <x14:dataValidation type="list" allowBlank="1" showErrorMessage="1" xr:uid="{50A10B16-F7F0-460B-9F39-2BC8BB9680AF}">
          <x14:formula1>
            <xm:f>INDIRECT(_Calcs!BC$45)</xm:f>
          </x14:formula1>
          <xm:sqref>BE45 AW45 AO45 AG45</xm:sqref>
        </x14:dataValidation>
        <x14:dataValidation type="list" allowBlank="1" showErrorMessage="1" xr:uid="{2FF63301-06FE-4107-9516-E6E366277042}">
          <x14:formula1>
            <xm:f>INDIRECT(_Calcs!O$77)</xm:f>
          </x14:formula1>
          <xm:sqref>Y45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8BFB-5615-4842-8FC1-3161C77875F9}">
  <sheetPr codeName="Sheet9">
    <tabColor rgb="FFF1EADF"/>
    <pageSetUpPr fitToPage="1"/>
  </sheetPr>
  <dimension ref="A1:EE252"/>
  <sheetViews>
    <sheetView showGridLines="0" showRowColHeaders="0" topLeftCell="E1" zoomScale="70" zoomScaleNormal="70" workbookViewId="0">
      <selection activeCell="E1" sqref="E1"/>
    </sheetView>
  </sheetViews>
  <sheetFormatPr defaultColWidth="0" defaultRowHeight="15" zeroHeight="1" x14ac:dyDescent="0.2"/>
  <cols>
    <col min="1" max="2" width="9" style="21" hidden="1" customWidth="1"/>
    <col min="3" max="4" width="3.625" style="20" hidden="1" customWidth="1"/>
    <col min="5" max="5" width="3.625" style="20" customWidth="1"/>
    <col min="6" max="6" width="4.375" style="16" customWidth="1"/>
    <col min="7" max="7" width="2.625" style="16" customWidth="1"/>
    <col min="8" max="9" width="10.625" style="16" customWidth="1"/>
    <col min="10" max="10" width="10.125" style="16" customWidth="1"/>
    <col min="11" max="11" width="3.625" style="20" customWidth="1"/>
    <col min="12" max="12" width="3.625" style="14" customWidth="1"/>
    <col min="13" max="13" width="24" style="974" customWidth="1"/>
    <col min="14" max="14" width="7.625" style="974" customWidth="1"/>
    <col min="15" max="15" width="5.625" style="974" customWidth="1"/>
    <col min="16" max="16" width="1.625" style="974" customWidth="1"/>
    <col min="17" max="17" width="1.625" style="16" customWidth="1"/>
    <col min="18" max="18" width="5.625" style="15" customWidth="1"/>
    <col min="19" max="19" width="2.625" style="16" customWidth="1"/>
    <col min="20" max="20" width="2.625" style="20" customWidth="1"/>
    <col min="21" max="21" width="1.625" style="16" customWidth="1"/>
    <col min="22" max="22" width="2.625" style="16" customWidth="1"/>
    <col min="23" max="24" width="1.625" style="16" customWidth="1"/>
    <col min="25" max="25" width="21.625" style="22" customWidth="1"/>
    <col min="26" max="26" width="2.625" style="15" customWidth="1"/>
    <col min="27" max="27" width="2.625" style="16" customWidth="1"/>
    <col min="28" max="29" width="1.625" style="16" customWidth="1"/>
    <col min="30" max="30" width="3.625" style="70" customWidth="1"/>
    <col min="31" max="32" width="1.625" style="16" customWidth="1"/>
    <col min="33" max="33" width="21.625" style="22" customWidth="1"/>
    <col min="34" max="34" width="2.625" style="15" customWidth="1"/>
    <col min="35" max="35" width="2.625" style="16" customWidth="1"/>
    <col min="36" max="37" width="1.625" style="16" customWidth="1"/>
    <col min="38" max="38" width="3.625" style="70" customWidth="1"/>
    <col min="39" max="40" width="1.625" style="16" customWidth="1"/>
    <col min="41" max="41" width="21.625" style="22" customWidth="1"/>
    <col min="42" max="42" width="2.625" style="15" customWidth="1"/>
    <col min="43" max="43" width="2.625" style="16" customWidth="1"/>
    <col min="44" max="45" width="1.625" style="16" customWidth="1"/>
    <col min="46" max="46" width="3.625" style="70" customWidth="1"/>
    <col min="47" max="48" width="1.625" style="16" customWidth="1"/>
    <col min="49" max="49" width="21.625" style="22" customWidth="1"/>
    <col min="50" max="50" width="2.625" style="15" customWidth="1"/>
    <col min="51" max="51" width="2.625" style="16" customWidth="1"/>
    <col min="52" max="53" width="1.625" style="16" customWidth="1"/>
    <col min="54" max="54" width="3.625" style="70" customWidth="1"/>
    <col min="55" max="56" width="1.625" style="16" customWidth="1"/>
    <col min="57" max="57" width="21.625" style="22" customWidth="1"/>
    <col min="58" max="58" width="2.625" style="13" customWidth="1"/>
    <col min="59" max="59" width="2.625" style="16" customWidth="1"/>
    <col min="60" max="61" width="1.625" style="16" customWidth="1"/>
    <col min="62" max="62" width="3.625" style="70" customWidth="1"/>
    <col min="63" max="64" width="1.625" style="16" customWidth="1"/>
    <col min="65" max="65" width="21.625" style="22" customWidth="1"/>
    <col min="66" max="66" width="2.625" style="15" customWidth="1"/>
    <col min="67" max="67" width="2.625" style="16" customWidth="1"/>
    <col min="68" max="69" width="1.625" style="16" customWidth="1"/>
    <col min="70" max="70" width="3.625" style="70" customWidth="1"/>
    <col min="71" max="71" width="1.625" style="16" customWidth="1"/>
    <col min="72" max="72" width="1.375" style="16" customWidth="1"/>
    <col min="73" max="73" width="21.625" style="22" customWidth="1"/>
    <col min="74" max="74" width="2.625" style="15" customWidth="1"/>
    <col min="75" max="75" width="2.625" style="16" customWidth="1"/>
    <col min="76" max="77" width="1.625" style="16" customWidth="1"/>
    <col min="78" max="78" width="3.625" style="70" customWidth="1"/>
    <col min="79" max="80" width="1.625" style="16" customWidth="1"/>
    <col min="81" max="81" width="21.625" style="22" customWidth="1"/>
    <col min="82" max="82" width="2.625" style="15" customWidth="1"/>
    <col min="83" max="83" width="2.625" style="16" customWidth="1"/>
    <col min="84" max="85" width="1.625" style="16" customWidth="1"/>
    <col min="86" max="86" width="3.625" style="70" customWidth="1"/>
    <col min="87" max="88" width="1.625" style="16" customWidth="1"/>
    <col min="89" max="89" width="21.625" style="22" customWidth="1"/>
    <col min="90" max="90" width="2.625" style="15" customWidth="1"/>
    <col min="91" max="91" width="2.625" style="16" customWidth="1"/>
    <col min="92" max="92" width="1.625" style="16" customWidth="1"/>
    <col min="93" max="93" width="1.625" style="6283" customWidth="1"/>
    <col min="94" max="94" width="3.625" style="6284" customWidth="1"/>
    <col min="95" max="95" width="1.625" style="6284" customWidth="1"/>
    <col min="96" max="96" width="3.625" style="6284" customWidth="1"/>
    <col min="97" max="97" width="3.625" style="6285" customWidth="1"/>
    <col min="98" max="98" width="3.625" style="6282" hidden="1" customWidth="1"/>
    <col min="99" max="99" width="2.625" style="6282" hidden="1" customWidth="1"/>
    <col min="100" max="101" width="1.625" style="6282" hidden="1" customWidth="1"/>
    <col min="102" max="102" width="3.625" style="6282" hidden="1" customWidth="1"/>
    <col min="103" max="16384" width="9" style="6282" hidden="1"/>
  </cols>
  <sheetData>
    <row r="1" spans="3:135" s="21" customFormat="1" ht="50.1" customHeight="1" x14ac:dyDescent="0.2">
      <c r="C1" s="70"/>
      <c r="D1" s="70"/>
      <c r="E1" s="70"/>
      <c r="F1" s="70"/>
      <c r="G1" s="70"/>
      <c r="H1" s="78"/>
      <c r="I1" s="78"/>
      <c r="J1" s="78"/>
      <c r="K1" s="70"/>
      <c r="L1" s="70"/>
      <c r="M1" s="1862"/>
      <c r="N1" s="1862"/>
      <c r="O1" s="1862"/>
      <c r="P1" s="1862"/>
      <c r="Q1" s="2000"/>
      <c r="R1" s="15"/>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6270"/>
      <c r="CS1" s="6271"/>
    </row>
    <row r="2" spans="3:135" s="21" customFormat="1" ht="12" customHeight="1" x14ac:dyDescent="0.2">
      <c r="C2" s="78"/>
      <c r="D2" s="78"/>
      <c r="E2" s="16"/>
      <c r="F2" s="70"/>
      <c r="G2" s="70"/>
      <c r="H2" s="1880"/>
      <c r="I2" s="1880"/>
      <c r="J2" s="1880"/>
      <c r="K2" s="70"/>
      <c r="L2" s="1880"/>
      <c r="M2" s="3937"/>
      <c r="N2" s="3937"/>
      <c r="O2" s="3937"/>
      <c r="P2" s="3937"/>
      <c r="Q2" s="2069"/>
      <c r="R2" s="919"/>
      <c r="S2" s="1880"/>
      <c r="T2" s="1880"/>
      <c r="U2" s="1880"/>
      <c r="V2" s="1880"/>
      <c r="W2" s="1880"/>
      <c r="X2" s="1880"/>
      <c r="Y2" s="1880"/>
      <c r="Z2" s="1880"/>
      <c r="AA2" s="1880"/>
      <c r="AB2" s="1880"/>
      <c r="AC2" s="188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row>
    <row r="3" spans="3:135" s="21" customFormat="1" ht="5.0999999999999996" customHeight="1" x14ac:dyDescent="0.2">
      <c r="C3" s="78"/>
      <c r="D3" s="78"/>
      <c r="E3" s="16"/>
      <c r="F3" s="70"/>
      <c r="G3" s="70"/>
      <c r="H3" s="70"/>
      <c r="I3" s="70"/>
      <c r="J3" s="70"/>
      <c r="K3" s="70"/>
      <c r="L3" s="70"/>
      <c r="M3" s="1862"/>
      <c r="N3" s="1862"/>
      <c r="O3" s="1862"/>
      <c r="P3" s="1862"/>
      <c r="Q3" s="2000"/>
      <c r="R3" s="15"/>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row>
    <row r="4" spans="3:135" s="21" customFormat="1" ht="5.0999999999999996" customHeight="1" x14ac:dyDescent="0.2">
      <c r="C4" s="78"/>
      <c r="D4" s="78"/>
      <c r="E4" s="16"/>
      <c r="F4" s="70"/>
      <c r="G4" s="70"/>
      <c r="H4" s="1880"/>
      <c r="I4" s="1880"/>
      <c r="J4" s="1880"/>
      <c r="K4" s="70"/>
      <c r="L4" s="1880"/>
      <c r="M4" s="3937"/>
      <c r="N4" s="3937"/>
      <c r="O4" s="3937"/>
      <c r="P4" s="3937"/>
      <c r="Q4" s="2069"/>
      <c r="R4" s="919"/>
      <c r="S4" s="1880"/>
      <c r="T4" s="1880"/>
      <c r="U4" s="1880"/>
      <c r="V4" s="1880"/>
      <c r="W4" s="1880"/>
      <c r="X4" s="1880"/>
      <c r="Y4" s="1880"/>
      <c r="Z4" s="1880"/>
      <c r="AA4" s="1880"/>
      <c r="AB4" s="1880"/>
      <c r="AC4" s="188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row>
    <row r="5" spans="3:135" s="21" customFormat="1" ht="30" customHeight="1" thickBot="1" x14ac:dyDescent="0.25">
      <c r="C5" s="78"/>
      <c r="D5" s="78"/>
      <c r="E5" s="16"/>
      <c r="F5" s="70"/>
      <c r="G5" s="70"/>
      <c r="H5" s="78"/>
      <c r="I5" s="78"/>
      <c r="J5" s="78"/>
      <c r="K5" s="70"/>
      <c r="L5" s="70"/>
      <c r="M5" s="1862"/>
      <c r="N5" s="1862"/>
      <c r="O5" s="1862"/>
      <c r="P5" s="1862"/>
      <c r="Q5" s="2000"/>
      <c r="R5" s="15"/>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row>
    <row r="6" spans="3:135" s="21" customFormat="1" ht="15" customHeight="1" thickBot="1" x14ac:dyDescent="0.25">
      <c r="C6" s="78"/>
      <c r="D6" s="78"/>
      <c r="E6" s="78"/>
      <c r="F6" s="70"/>
      <c r="G6" s="70"/>
      <c r="H6" s="1104"/>
      <c r="I6" s="1105"/>
      <c r="J6" s="1106"/>
      <c r="K6" s="70"/>
      <c r="L6" s="829"/>
      <c r="M6" s="973"/>
      <c r="N6" s="973"/>
      <c r="O6" s="973"/>
      <c r="P6" s="973"/>
      <c r="Q6" s="830"/>
      <c r="R6" s="2020"/>
      <c r="S6" s="830"/>
      <c r="T6" s="830"/>
      <c r="U6" s="830"/>
      <c r="V6" s="830"/>
      <c r="W6" s="830"/>
      <c r="X6" s="830"/>
      <c r="Y6" s="830"/>
      <c r="Z6" s="830"/>
      <c r="AA6" s="830"/>
      <c r="AB6" s="830"/>
      <c r="AC6" s="831"/>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row>
    <row r="7" spans="3:135" s="21" customFormat="1" ht="8.1" customHeight="1" thickBot="1" x14ac:dyDescent="0.25">
      <c r="C7" s="78"/>
      <c r="D7" s="78"/>
      <c r="E7" s="78"/>
      <c r="F7" s="70"/>
      <c r="G7" s="70"/>
      <c r="H7" s="78"/>
      <c r="I7" s="78"/>
      <c r="J7" s="78"/>
      <c r="K7" s="70"/>
      <c r="L7" s="70"/>
      <c r="M7" s="1862"/>
      <c r="N7" s="1862"/>
      <c r="O7" s="1862"/>
      <c r="P7" s="1862"/>
      <c r="Q7" s="2000"/>
      <c r="R7" s="15"/>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row>
    <row r="8" spans="3:135" s="21" customFormat="1" ht="69.95" customHeight="1" thickBot="1" x14ac:dyDescent="0.25">
      <c r="C8" s="20"/>
      <c r="D8" s="20"/>
      <c r="E8" s="20"/>
      <c r="F8" s="70"/>
      <c r="G8" s="70"/>
      <c r="H8" s="1104"/>
      <c r="I8" s="1105"/>
      <c r="J8" s="1106"/>
      <c r="K8" s="70"/>
      <c r="L8" s="1950"/>
      <c r="M8" s="6682" t="s">
        <v>124</v>
      </c>
      <c r="N8" s="6682"/>
      <c r="O8" s="6682"/>
      <c r="P8" s="6682"/>
      <c r="Q8" s="6682"/>
      <c r="R8" s="6682"/>
      <c r="S8" s="6682"/>
      <c r="T8" s="6682"/>
      <c r="U8" s="6682"/>
      <c r="V8" s="6682"/>
      <c r="W8" s="6682"/>
      <c r="X8" s="6682"/>
      <c r="Y8" s="6682"/>
      <c r="Z8" s="6682"/>
      <c r="AA8" s="6682"/>
      <c r="AB8" s="1951"/>
      <c r="AC8" s="1952"/>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t="s">
        <v>831</v>
      </c>
      <c r="CF8" s="460"/>
      <c r="CG8" s="460"/>
      <c r="CH8" s="460"/>
      <c r="CI8" s="460"/>
      <c r="CJ8" s="460"/>
      <c r="CK8" s="460"/>
      <c r="CL8" s="460"/>
      <c r="CM8" s="460"/>
      <c r="CN8" s="460"/>
      <c r="CO8" s="460"/>
      <c r="CP8" s="460"/>
      <c r="CQ8" s="460"/>
      <c r="CR8" s="70"/>
    </row>
    <row r="9" spans="3:135" s="21" customFormat="1" ht="20.100000000000001" customHeight="1" thickBot="1" x14ac:dyDescent="0.25">
      <c r="C9" s="20"/>
      <c r="D9" s="20"/>
      <c r="E9" s="20"/>
      <c r="F9" s="70"/>
      <c r="G9" s="70"/>
      <c r="H9" s="16"/>
      <c r="I9" s="16"/>
      <c r="J9" s="16"/>
      <c r="K9" s="70"/>
      <c r="L9" s="14"/>
      <c r="M9" s="974"/>
      <c r="N9" s="974"/>
      <c r="O9" s="974"/>
      <c r="P9" s="974"/>
      <c r="Q9" s="16"/>
      <c r="R9" s="15"/>
      <c r="S9" s="16"/>
      <c r="T9" s="70"/>
      <c r="U9" s="22"/>
      <c r="V9" s="16"/>
      <c r="W9" s="16"/>
      <c r="X9" s="16"/>
      <c r="Y9" s="22"/>
      <c r="Z9" s="15"/>
      <c r="AA9" s="16"/>
      <c r="AB9" s="16"/>
      <c r="AC9" s="16"/>
      <c r="AD9" s="70"/>
      <c r="AE9" s="16"/>
      <c r="AF9" s="16"/>
      <c r="AG9" s="22"/>
      <c r="AH9" s="15"/>
      <c r="AI9" s="16"/>
      <c r="AJ9" s="16"/>
      <c r="AK9" s="16"/>
      <c r="AL9" s="70"/>
      <c r="AM9" s="16"/>
      <c r="AN9" s="16"/>
      <c r="AO9" s="22"/>
      <c r="AP9" s="15"/>
      <c r="AQ9" s="16"/>
      <c r="AR9" s="16"/>
      <c r="AS9" s="16"/>
      <c r="AT9" s="70"/>
      <c r="AU9" s="16"/>
      <c r="AV9" s="16"/>
      <c r="AW9" s="22"/>
      <c r="AX9" s="15"/>
      <c r="AY9" s="16"/>
      <c r="AZ9" s="16"/>
      <c r="BA9" s="16"/>
      <c r="BB9" s="70"/>
      <c r="BC9" s="16"/>
      <c r="BD9" s="16"/>
      <c r="BE9" s="22"/>
      <c r="BF9" s="13"/>
      <c r="BG9" s="16"/>
      <c r="BH9" s="16"/>
      <c r="BI9" s="16"/>
      <c r="BJ9" s="22"/>
      <c r="BK9" s="22"/>
      <c r="BL9" s="22"/>
      <c r="BM9" s="22"/>
      <c r="BN9" s="15"/>
      <c r="BO9" s="16"/>
      <c r="BP9" s="16"/>
      <c r="BQ9" s="16"/>
      <c r="BR9" s="70"/>
      <c r="BS9" s="16"/>
      <c r="BT9" s="16"/>
      <c r="BU9" s="22"/>
      <c r="BV9" s="15"/>
      <c r="BW9" s="16"/>
      <c r="BX9" s="16"/>
      <c r="BY9" s="16"/>
      <c r="BZ9" s="70"/>
      <c r="CA9" s="16"/>
      <c r="CB9" s="16"/>
      <c r="CC9" s="22"/>
      <c r="CD9" s="15"/>
      <c r="CE9" s="16"/>
      <c r="CF9" s="16"/>
      <c r="CG9" s="16"/>
      <c r="CH9" s="70"/>
      <c r="CI9" s="16"/>
      <c r="CJ9" s="16"/>
      <c r="CK9" s="22"/>
      <c r="CL9" s="15"/>
      <c r="CM9" s="16"/>
      <c r="CN9" s="16"/>
      <c r="CO9" s="16"/>
      <c r="CP9" s="70"/>
      <c r="CQ9" s="70"/>
      <c r="CR9" s="70"/>
    </row>
    <row r="10" spans="3:135" s="21" customFormat="1" ht="15" customHeight="1" thickBot="1" x14ac:dyDescent="0.25">
      <c r="C10" s="25"/>
      <c r="D10" s="25"/>
      <c r="E10" s="25"/>
      <c r="F10" s="70"/>
      <c r="G10" s="70"/>
      <c r="H10" s="681"/>
      <c r="I10" s="626"/>
      <c r="J10" s="682"/>
      <c r="K10" s="20"/>
      <c r="L10" s="625"/>
      <c r="M10" s="975"/>
      <c r="N10" s="975"/>
      <c r="O10" s="975"/>
      <c r="P10" s="975"/>
      <c r="Q10" s="6137"/>
      <c r="R10" s="1988"/>
      <c r="S10" s="3921"/>
      <c r="T10" s="3921"/>
      <c r="U10" s="3921"/>
      <c r="V10" s="3921"/>
      <c r="W10" s="3921"/>
      <c r="X10" s="3921"/>
      <c r="Y10" s="3921"/>
      <c r="Z10" s="3921"/>
      <c r="AA10" s="3921"/>
      <c r="AB10" s="627"/>
      <c r="AC10" s="628"/>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16"/>
      <c r="BK10" s="16"/>
      <c r="BL10" s="16"/>
      <c r="BM10" s="16"/>
      <c r="BN10" s="16"/>
      <c r="BO10" s="16"/>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row>
    <row r="11" spans="3:135" s="21" customFormat="1" ht="8.1" customHeight="1" thickBot="1" x14ac:dyDescent="0.25">
      <c r="C11" s="25"/>
      <c r="D11" s="25"/>
      <c r="E11" s="25"/>
      <c r="F11" s="70"/>
      <c r="G11" s="70"/>
      <c r="H11" s="136"/>
      <c r="I11" s="136"/>
      <c r="J11" s="136"/>
      <c r="K11" s="20"/>
      <c r="L11" s="14"/>
      <c r="M11" s="974"/>
      <c r="N11" s="974"/>
      <c r="O11" s="974"/>
      <c r="P11" s="974"/>
      <c r="Q11" s="13"/>
      <c r="R11" s="15"/>
      <c r="S11" s="16"/>
      <c r="T11" s="20"/>
      <c r="U11" s="16"/>
      <c r="V11" s="16"/>
      <c r="W11" s="16"/>
      <c r="X11" s="16"/>
      <c r="Y11" s="16"/>
      <c r="Z11" s="16"/>
      <c r="AA11" s="16"/>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16"/>
      <c r="BK11" s="16"/>
      <c r="BL11" s="16"/>
      <c r="BM11" s="16"/>
      <c r="BN11" s="16"/>
      <c r="BO11" s="16"/>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row>
    <row r="12" spans="3:135" s="21" customFormat="1" ht="24.95" customHeight="1" thickBot="1" x14ac:dyDescent="0.25">
      <c r="C12" s="25"/>
      <c r="D12" s="25"/>
      <c r="E12" s="25"/>
      <c r="F12" s="70"/>
      <c r="G12" s="70"/>
      <c r="H12" s="1717"/>
      <c r="I12" s="683"/>
      <c r="J12" s="684"/>
      <c r="K12" s="20"/>
      <c r="L12" s="629"/>
      <c r="M12" s="976"/>
      <c r="N12" s="976"/>
      <c r="O12" s="976"/>
      <c r="P12" s="976"/>
      <c r="Q12" s="6134"/>
      <c r="R12" s="3918"/>
      <c r="S12" s="3916"/>
      <c r="T12" s="630"/>
      <c r="U12" s="3916"/>
      <c r="V12" s="3916"/>
      <c r="W12" s="3916"/>
      <c r="X12" s="3916"/>
      <c r="Y12" s="3916"/>
      <c r="Z12" s="3916"/>
      <c r="AA12" s="3916"/>
      <c r="AB12" s="3821"/>
      <c r="AC12" s="3938"/>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70"/>
      <c r="BQ12" s="70"/>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3:135" s="21" customFormat="1" ht="35.1" customHeight="1" thickBot="1" x14ac:dyDescent="0.25">
      <c r="C13" s="25"/>
      <c r="D13" s="25"/>
      <c r="E13" s="25"/>
      <c r="F13" s="70"/>
      <c r="G13" s="70"/>
      <c r="H13" s="6671" t="s">
        <v>1197</v>
      </c>
      <c r="I13" s="6672"/>
      <c r="J13" s="6673"/>
      <c r="K13" s="20"/>
      <c r="L13" s="632"/>
      <c r="M13" s="977" t="s">
        <v>59</v>
      </c>
      <c r="N13" s="6683" t="str">
        <f>IF(Prosjektinfo!$Q$27="","",Prosjektinfo!$Q$27)</f>
        <v/>
      </c>
      <c r="O13" s="6684"/>
      <c r="P13" s="6684"/>
      <c r="Q13" s="6684"/>
      <c r="R13" s="6684"/>
      <c r="S13" s="6684"/>
      <c r="T13" s="6684"/>
      <c r="U13" s="6684"/>
      <c r="V13" s="6684"/>
      <c r="W13" s="6684"/>
      <c r="X13" s="6684"/>
      <c r="Y13" s="6685"/>
      <c r="Z13" s="834"/>
      <c r="AA13" s="30" t="str">
        <f>IF(N13="","!","✓")</f>
        <v>!</v>
      </c>
      <c r="AB13" s="834"/>
      <c r="AC13" s="633"/>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70"/>
      <c r="BQ13" s="70"/>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3:135" s="21" customFormat="1" ht="20.100000000000001" customHeight="1" thickBot="1" x14ac:dyDescent="0.25">
      <c r="C14" s="25"/>
      <c r="D14" s="25"/>
      <c r="E14" s="25"/>
      <c r="F14" s="70"/>
      <c r="G14" s="70"/>
      <c r="H14" s="6671"/>
      <c r="I14" s="6672"/>
      <c r="J14" s="6673"/>
      <c r="K14" s="20"/>
      <c r="L14" s="632"/>
      <c r="M14" s="977"/>
      <c r="N14" s="977"/>
      <c r="O14" s="977"/>
      <c r="P14" s="977"/>
      <c r="Q14" s="834"/>
      <c r="R14" s="33"/>
      <c r="S14" s="834"/>
      <c r="T14" s="834"/>
      <c r="U14" s="834"/>
      <c r="V14" s="834"/>
      <c r="W14" s="834"/>
      <c r="X14" s="834"/>
      <c r="Y14" s="32"/>
      <c r="Z14" s="834"/>
      <c r="AA14" s="33"/>
      <c r="AB14" s="834"/>
      <c r="AC14" s="633"/>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70"/>
      <c r="BQ14" s="70"/>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3:135" s="21" customFormat="1" ht="35.1" customHeight="1" thickBot="1" x14ac:dyDescent="0.25">
      <c r="C15" s="25"/>
      <c r="D15" s="25"/>
      <c r="E15" s="25"/>
      <c r="F15" s="70"/>
      <c r="G15" s="70"/>
      <c r="H15" s="6671"/>
      <c r="I15" s="6672"/>
      <c r="J15" s="6673"/>
      <c r="K15" s="20"/>
      <c r="L15" s="632"/>
      <c r="M15" s="977" t="s">
        <v>60</v>
      </c>
      <c r="N15" s="6683" t="str">
        <f>IF(Prosjektinfo!$Q$29="","",Prosjektinfo!$Q$29)</f>
        <v/>
      </c>
      <c r="O15" s="6684"/>
      <c r="P15" s="6684"/>
      <c r="Q15" s="6684"/>
      <c r="R15" s="6684"/>
      <c r="S15" s="6684"/>
      <c r="T15" s="6684"/>
      <c r="U15" s="6684"/>
      <c r="V15" s="6684"/>
      <c r="W15" s="6684"/>
      <c r="X15" s="6684"/>
      <c r="Y15" s="6685"/>
      <c r="Z15" s="834"/>
      <c r="AA15" s="30" t="str">
        <f>IF(N15="","!","✓")</f>
        <v>!</v>
      </c>
      <c r="AB15" s="834"/>
      <c r="AC15" s="633"/>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35"/>
      <c r="BK15" s="35"/>
      <c r="BL15" s="35"/>
      <c r="BM15" s="35"/>
      <c r="BN15" s="35"/>
      <c r="BO15" s="35"/>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X15" s="17"/>
      <c r="CY15" s="16"/>
      <c r="CZ15" s="16"/>
      <c r="DA15" s="16"/>
      <c r="DB15" s="16"/>
      <c r="DC15" s="16"/>
      <c r="DD15" s="16"/>
      <c r="DE15" s="16"/>
      <c r="DF15" s="16"/>
      <c r="DG15" s="16"/>
      <c r="DH15" s="16"/>
      <c r="DI15" s="16"/>
      <c r="DJ15" s="16"/>
    </row>
    <row r="16" spans="3:135" s="21" customFormat="1" ht="24.95" customHeight="1" thickBot="1" x14ac:dyDescent="0.25">
      <c r="C16" s="25"/>
      <c r="D16" s="25"/>
      <c r="E16" s="25"/>
      <c r="F16" s="70"/>
      <c r="G16" s="70"/>
      <c r="H16" s="3939"/>
      <c r="I16" s="3940"/>
      <c r="J16" s="3941"/>
      <c r="K16" s="20"/>
      <c r="L16" s="634"/>
      <c r="M16" s="978"/>
      <c r="N16" s="978"/>
      <c r="O16" s="978"/>
      <c r="P16" s="978"/>
      <c r="Q16" s="6135"/>
      <c r="R16" s="3919"/>
      <c r="S16" s="635"/>
      <c r="T16" s="635"/>
      <c r="U16" s="635"/>
      <c r="V16" s="3917"/>
      <c r="W16" s="635"/>
      <c r="X16" s="635"/>
      <c r="Y16" s="3917"/>
      <c r="Z16" s="3917"/>
      <c r="AA16" s="3917"/>
      <c r="AB16" s="3917"/>
      <c r="AC16" s="637"/>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35"/>
      <c r="BK16" s="35"/>
      <c r="BL16" s="35"/>
      <c r="BM16" s="35"/>
      <c r="BN16" s="35"/>
      <c r="BO16" s="35"/>
      <c r="BP16" s="70"/>
      <c r="BQ16" s="70"/>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row>
    <row r="17" spans="3:135" s="21" customFormat="1" ht="24.95" customHeight="1" thickBot="1" x14ac:dyDescent="0.25">
      <c r="C17" s="25"/>
      <c r="D17" s="25"/>
      <c r="E17" s="25"/>
      <c r="F17" s="70"/>
      <c r="G17" s="70"/>
      <c r="H17" s="78"/>
      <c r="I17" s="78"/>
      <c r="J17" s="78"/>
      <c r="K17" s="20"/>
      <c r="L17" s="14"/>
      <c r="M17" s="974"/>
      <c r="N17" s="974"/>
      <c r="O17" s="974"/>
      <c r="P17" s="974"/>
      <c r="Q17" s="13"/>
      <c r="R17" s="17"/>
      <c r="S17" s="35"/>
      <c r="T17" s="20"/>
      <c r="U17" s="35"/>
      <c r="V17" s="16"/>
      <c r="W17" s="35"/>
      <c r="X17" s="35"/>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35"/>
      <c r="BK17" s="35"/>
      <c r="BL17" s="35"/>
      <c r="BM17" s="35"/>
      <c r="BN17" s="35"/>
      <c r="BO17" s="35"/>
      <c r="BP17" s="70"/>
      <c r="BQ17" s="70"/>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row>
    <row r="18" spans="3:135" s="3945" customFormat="1" ht="39.950000000000003" customHeight="1" thickBot="1" x14ac:dyDescent="0.4">
      <c r="C18" s="487"/>
      <c r="D18" s="487"/>
      <c r="E18" s="487"/>
      <c r="F18" s="2000"/>
      <c r="G18" s="2000"/>
      <c r="H18" s="3942"/>
      <c r="I18" s="3943"/>
      <c r="J18" s="3944"/>
      <c r="K18" s="487"/>
      <c r="L18" s="2286"/>
      <c r="M18" s="2287"/>
      <c r="N18" s="2287"/>
      <c r="O18" s="2287"/>
      <c r="P18" s="2287"/>
      <c r="Q18" s="1530"/>
      <c r="R18" s="1530"/>
      <c r="S18" s="1531"/>
      <c r="T18" s="487"/>
      <c r="U18" s="2288"/>
      <c r="V18" s="487"/>
      <c r="W18" s="2289"/>
      <c r="X18" s="3926"/>
      <c r="Y18" s="6660" t="str">
        <f>_Calcs!$NO$36</f>
        <v>Stuff 1-1</v>
      </c>
      <c r="Z18" s="6660"/>
      <c r="AA18" s="6660"/>
      <c r="AB18" s="3926"/>
      <c r="AC18" s="2290"/>
      <c r="AE18" s="2289"/>
      <c r="AF18" s="3926"/>
      <c r="AG18" s="6660" t="str">
        <f>_Calcs!$NP$36</f>
        <v/>
      </c>
      <c r="AH18" s="6660"/>
      <c r="AI18" s="6660"/>
      <c r="AJ18" s="3926"/>
      <c r="AK18" s="2290"/>
      <c r="AM18" s="2289"/>
      <c r="AN18" s="3926"/>
      <c r="AO18" s="6660" t="str">
        <f>_Calcs!$NQ$36</f>
        <v/>
      </c>
      <c r="AP18" s="6660"/>
      <c r="AQ18" s="6660"/>
      <c r="AR18" s="3926"/>
      <c r="AS18" s="2290"/>
      <c r="AU18" s="2289"/>
      <c r="AV18" s="3926"/>
      <c r="AW18" s="6660" t="str">
        <f>_Calcs!$NR$36</f>
        <v/>
      </c>
      <c r="AX18" s="6660"/>
      <c r="AY18" s="6660"/>
      <c r="AZ18" s="3926"/>
      <c r="BA18" s="2290"/>
      <c r="BC18" s="2289"/>
      <c r="BD18" s="3926"/>
      <c r="BE18" s="6660" t="str">
        <f>_Calcs!$NS$36</f>
        <v/>
      </c>
      <c r="BF18" s="6660"/>
      <c r="BG18" s="6660"/>
      <c r="BH18" s="3926"/>
      <c r="BI18" s="2290"/>
      <c r="BK18" s="2289"/>
      <c r="BL18" s="3926"/>
      <c r="BM18" s="6660" t="str">
        <f>_Calcs!$NT$36</f>
        <v/>
      </c>
      <c r="BN18" s="6660"/>
      <c r="BO18" s="6660"/>
      <c r="BP18" s="3926"/>
      <c r="BQ18" s="2290"/>
      <c r="BS18" s="2289"/>
      <c r="BT18" s="3926"/>
      <c r="BU18" s="6660" t="str">
        <f>_Calcs!$NU$36</f>
        <v/>
      </c>
      <c r="BV18" s="6660"/>
      <c r="BW18" s="6660"/>
      <c r="BX18" s="3926"/>
      <c r="BY18" s="2290"/>
      <c r="CA18" s="2289"/>
      <c r="CB18" s="3926"/>
      <c r="CC18" s="6660" t="str">
        <f>_Calcs!$NV$36</f>
        <v/>
      </c>
      <c r="CD18" s="6660"/>
      <c r="CE18" s="6660"/>
      <c r="CF18" s="3926"/>
      <c r="CG18" s="2290"/>
      <c r="CI18" s="2289"/>
      <c r="CJ18" s="3926"/>
      <c r="CK18" s="6660" t="str">
        <f>_Calcs!$NW$36</f>
        <v/>
      </c>
      <c r="CL18" s="6660"/>
      <c r="CM18" s="6660"/>
      <c r="CN18" s="3926"/>
      <c r="CO18" s="2290"/>
      <c r="CQ18" s="3946"/>
      <c r="CR18" s="3947"/>
      <c r="CS18" s="3947"/>
      <c r="CT18" s="3947"/>
      <c r="CU18" s="3947"/>
      <c r="CV18" s="3947"/>
      <c r="CW18" s="3947"/>
      <c r="CX18" s="3947"/>
      <c r="CY18" s="3947"/>
      <c r="CZ18" s="3947"/>
      <c r="DD18" s="3947"/>
      <c r="DE18" s="3947"/>
      <c r="DF18" s="3947"/>
      <c r="DG18" s="3947"/>
      <c r="DH18" s="3947"/>
      <c r="DI18" s="3947"/>
      <c r="DJ18" s="3947"/>
      <c r="DK18" s="3947"/>
      <c r="DL18" s="3947"/>
      <c r="DM18" s="3947"/>
      <c r="DN18" s="3947"/>
      <c r="DO18" s="3947"/>
      <c r="DP18" s="3947"/>
      <c r="DQ18" s="3947"/>
      <c r="DR18" s="3947"/>
      <c r="DS18" s="3947"/>
      <c r="DT18" s="3947"/>
      <c r="DU18" s="3947"/>
      <c r="DV18" s="3947"/>
      <c r="DW18" s="3947"/>
      <c r="DX18" s="3947"/>
      <c r="DY18" s="3947"/>
      <c r="DZ18" s="3947"/>
      <c r="EA18" s="3947"/>
      <c r="EB18" s="3947"/>
      <c r="EC18" s="3947"/>
      <c r="ED18" s="3947"/>
      <c r="EE18" s="3947"/>
    </row>
    <row r="19" spans="3:135" s="21" customFormat="1" ht="24.95" customHeight="1" thickBot="1" x14ac:dyDescent="0.25">
      <c r="C19" s="20"/>
      <c r="D19" s="20"/>
      <c r="E19" s="20"/>
      <c r="F19" s="70"/>
      <c r="G19" s="70"/>
      <c r="H19" s="78"/>
      <c r="I19" s="78"/>
      <c r="J19" s="78"/>
      <c r="K19" s="20"/>
      <c r="L19" s="14"/>
      <c r="M19" s="974"/>
      <c r="N19" s="974"/>
      <c r="O19" s="974"/>
      <c r="P19" s="974"/>
      <c r="Q19" s="16"/>
      <c r="R19" s="15"/>
      <c r="S19" s="16"/>
      <c r="T19" s="20"/>
      <c r="U19" s="16"/>
      <c r="V19" s="16"/>
      <c r="W19" s="16"/>
      <c r="X19" s="16"/>
      <c r="Y19" s="22"/>
      <c r="Z19" s="15"/>
      <c r="AA19" s="16"/>
      <c r="AB19" s="16"/>
      <c r="AC19" s="16"/>
      <c r="AE19" s="16"/>
      <c r="AF19" s="16"/>
      <c r="AG19" s="22"/>
      <c r="AH19" s="15"/>
      <c r="AI19" s="16"/>
      <c r="AJ19" s="16"/>
      <c r="AK19" s="16"/>
      <c r="AM19" s="16"/>
      <c r="AN19" s="16"/>
      <c r="AO19" s="22"/>
      <c r="AP19" s="15"/>
      <c r="AQ19" s="16"/>
      <c r="AR19" s="16"/>
      <c r="AS19" s="16"/>
      <c r="AU19" s="16"/>
      <c r="AV19" s="16"/>
      <c r="AW19" s="22"/>
      <c r="AX19" s="15"/>
      <c r="AY19" s="16"/>
      <c r="AZ19" s="16"/>
      <c r="BA19" s="16"/>
      <c r="BC19" s="16"/>
      <c r="BD19" s="16"/>
      <c r="BE19" s="22"/>
      <c r="BF19" s="13"/>
      <c r="BG19" s="16"/>
      <c r="BH19" s="16"/>
      <c r="BI19" s="16"/>
      <c r="BK19" s="16"/>
      <c r="BL19" s="16"/>
      <c r="BM19" s="22"/>
      <c r="BN19" s="15"/>
      <c r="BO19" s="16"/>
      <c r="BP19" s="16"/>
      <c r="BQ19" s="16"/>
      <c r="BS19" s="16"/>
      <c r="BT19" s="16"/>
      <c r="BU19" s="22"/>
      <c r="BV19" s="15"/>
      <c r="BW19" s="16"/>
      <c r="BX19" s="16"/>
      <c r="BY19" s="16"/>
      <c r="CA19" s="16"/>
      <c r="CB19" s="16"/>
      <c r="CC19" s="22"/>
      <c r="CD19" s="15"/>
      <c r="CE19" s="16"/>
      <c r="CF19" s="16"/>
      <c r="CG19" s="16"/>
      <c r="CI19" s="16"/>
      <c r="CJ19" s="16"/>
      <c r="CK19" s="22"/>
      <c r="CL19" s="15"/>
      <c r="CM19" s="16"/>
      <c r="CN19" s="16"/>
      <c r="CO19" s="16"/>
      <c r="CQ19" s="70"/>
      <c r="CR19" s="70"/>
      <c r="CS19" s="70"/>
      <c r="CT19" s="70"/>
      <c r="CU19" s="70"/>
      <c r="CV19" s="70"/>
      <c r="CW19" s="70"/>
      <c r="CX19" s="70"/>
      <c r="CY19" s="70"/>
      <c r="CZ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row>
    <row r="20" spans="3:135" s="13" customFormat="1" ht="20.100000000000001" customHeight="1" thickBot="1" x14ac:dyDescent="0.25">
      <c r="C20" s="38"/>
      <c r="D20" s="38"/>
      <c r="E20" s="38"/>
      <c r="F20" s="70"/>
      <c r="G20" s="70"/>
      <c r="H20" s="3948"/>
      <c r="I20" s="3949"/>
      <c r="J20" s="3950"/>
      <c r="K20" s="20"/>
      <c r="L20" s="3930"/>
      <c r="M20" s="5991"/>
      <c r="N20" s="1019"/>
      <c r="O20" s="1019"/>
      <c r="P20" s="1019"/>
      <c r="Q20" s="6139"/>
      <c r="R20" s="1019"/>
      <c r="S20" s="3932"/>
      <c r="T20" s="20"/>
      <c r="U20" s="834"/>
      <c r="V20" s="16"/>
      <c r="W20" s="3930"/>
      <c r="X20" s="3931"/>
      <c r="Y20" s="3912"/>
      <c r="Z20" s="1019"/>
      <c r="AA20" s="1964"/>
      <c r="AB20" s="3931"/>
      <c r="AC20" s="3932"/>
      <c r="AD20" s="16"/>
      <c r="AE20" s="3930"/>
      <c r="AF20" s="3931"/>
      <c r="AG20" s="3912"/>
      <c r="AH20" s="1019"/>
      <c r="AI20" s="1964"/>
      <c r="AJ20" s="3931"/>
      <c r="AK20" s="3932"/>
      <c r="AL20" s="21"/>
      <c r="AM20" s="3930"/>
      <c r="AN20" s="3931"/>
      <c r="AO20" s="3912"/>
      <c r="AP20" s="1019"/>
      <c r="AQ20" s="1964"/>
      <c r="AR20" s="3931"/>
      <c r="AS20" s="3932"/>
      <c r="AT20" s="16"/>
      <c r="AU20" s="3930"/>
      <c r="AV20" s="3931"/>
      <c r="AW20" s="3912"/>
      <c r="AX20" s="1019"/>
      <c r="AY20" s="1964"/>
      <c r="AZ20" s="3931"/>
      <c r="BA20" s="3932"/>
      <c r="BB20" s="21"/>
      <c r="BC20" s="3930"/>
      <c r="BD20" s="3931"/>
      <c r="BE20" s="3912"/>
      <c r="BF20" s="1019"/>
      <c r="BG20" s="1964"/>
      <c r="BH20" s="3931"/>
      <c r="BI20" s="3932"/>
      <c r="BJ20" s="16"/>
      <c r="BK20" s="3930"/>
      <c r="BL20" s="3931"/>
      <c r="BM20" s="3912"/>
      <c r="BN20" s="1019"/>
      <c r="BO20" s="1964"/>
      <c r="BP20" s="3931"/>
      <c r="BQ20" s="3932"/>
      <c r="BR20" s="21"/>
      <c r="BS20" s="3930"/>
      <c r="BT20" s="3931"/>
      <c r="BU20" s="3912"/>
      <c r="BV20" s="1019"/>
      <c r="BW20" s="1964"/>
      <c r="BX20" s="3931"/>
      <c r="BY20" s="3932"/>
      <c r="BZ20" s="16"/>
      <c r="CA20" s="3930"/>
      <c r="CB20" s="3931"/>
      <c r="CC20" s="3912"/>
      <c r="CD20" s="1019"/>
      <c r="CE20" s="1964"/>
      <c r="CF20" s="3931"/>
      <c r="CG20" s="3932"/>
      <c r="CH20" s="21"/>
      <c r="CI20" s="3930"/>
      <c r="CJ20" s="3931"/>
      <c r="CK20" s="3912"/>
      <c r="CL20" s="1019"/>
      <c r="CM20" s="1964"/>
      <c r="CN20" s="3931"/>
      <c r="CO20" s="3932"/>
      <c r="CP20" s="21"/>
      <c r="CQ20" s="834"/>
      <c r="CR20" s="70"/>
      <c r="CS20" s="70"/>
      <c r="CT20" s="70"/>
      <c r="CU20" s="70"/>
      <c r="CV20" s="70"/>
      <c r="CW20" s="70"/>
      <c r="CX20" s="70"/>
      <c r="CY20" s="70"/>
      <c r="CZ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row>
    <row r="21" spans="3:135" s="21" customFormat="1" ht="30" customHeight="1" thickBot="1" x14ac:dyDescent="0.25">
      <c r="C21" s="20"/>
      <c r="D21" s="20"/>
      <c r="E21" s="20"/>
      <c r="F21" s="70"/>
      <c r="G21" s="70"/>
      <c r="H21" s="78"/>
      <c r="I21" s="78"/>
      <c r="J21" s="78"/>
      <c r="K21" s="20"/>
      <c r="L21" s="14"/>
      <c r="M21" s="974"/>
      <c r="N21" s="974"/>
      <c r="O21" s="974"/>
      <c r="P21" s="974"/>
      <c r="Q21" s="16"/>
      <c r="R21" s="15"/>
      <c r="S21" s="16"/>
      <c r="T21" s="20"/>
      <c r="U21" s="16"/>
      <c r="V21" s="16"/>
      <c r="W21" s="16"/>
      <c r="X21" s="16"/>
      <c r="Y21" s="22"/>
      <c r="Z21" s="15"/>
      <c r="AA21" s="16"/>
      <c r="AB21" s="16"/>
      <c r="AC21" s="16"/>
      <c r="AE21" s="16"/>
      <c r="AF21" s="16"/>
      <c r="AG21" s="22"/>
      <c r="AH21" s="15"/>
      <c r="AI21" s="16"/>
      <c r="AJ21" s="16"/>
      <c r="AK21" s="16"/>
      <c r="AM21" s="16"/>
      <c r="AN21" s="16"/>
      <c r="AO21" s="22"/>
      <c r="AP21" s="15"/>
      <c r="AQ21" s="16"/>
      <c r="AR21" s="16"/>
      <c r="AS21" s="16"/>
      <c r="AU21" s="16"/>
      <c r="AV21" s="16"/>
      <c r="AW21" s="22"/>
      <c r="AX21" s="15"/>
      <c r="AY21" s="16"/>
      <c r="AZ21" s="16"/>
      <c r="BA21" s="16"/>
      <c r="BC21" s="16"/>
      <c r="BD21" s="16"/>
      <c r="BE21" s="22"/>
      <c r="BF21" s="13"/>
      <c r="BG21" s="16"/>
      <c r="BH21" s="16"/>
      <c r="BI21" s="16"/>
      <c r="BK21" s="16"/>
      <c r="BL21" s="16"/>
      <c r="BM21" s="22"/>
      <c r="BN21" s="15"/>
      <c r="BO21" s="16"/>
      <c r="BP21" s="16"/>
      <c r="BQ21" s="16"/>
      <c r="BS21" s="16"/>
      <c r="BT21" s="16"/>
      <c r="BU21" s="22"/>
      <c r="BV21" s="15"/>
      <c r="BW21" s="16"/>
      <c r="BX21" s="16"/>
      <c r="BY21" s="16"/>
      <c r="CA21" s="16"/>
      <c r="CB21" s="16"/>
      <c r="CC21" s="22"/>
      <c r="CD21" s="15"/>
      <c r="CE21" s="16"/>
      <c r="CF21" s="16"/>
      <c r="CG21" s="16"/>
      <c r="CI21" s="16"/>
      <c r="CJ21" s="16"/>
      <c r="CK21" s="22"/>
      <c r="CL21" s="13"/>
      <c r="CM21" s="16"/>
      <c r="CN21" s="16"/>
      <c r="CO21" s="16"/>
      <c r="CQ21" s="70"/>
      <c r="CR21" s="70"/>
      <c r="CS21" s="70"/>
      <c r="CT21" s="70"/>
      <c r="CU21" s="70"/>
      <c r="CV21" s="70"/>
      <c r="CW21" s="70"/>
      <c r="CX21" s="70"/>
      <c r="CY21" s="70"/>
      <c r="CZ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row>
    <row r="22" spans="3:135" s="21" customFormat="1" ht="15" customHeight="1" thickBot="1" x14ac:dyDescent="0.25">
      <c r="C22" s="25"/>
      <c r="D22" s="25"/>
      <c r="E22" s="25"/>
      <c r="F22" s="70"/>
      <c r="G22" s="70"/>
      <c r="H22" s="1061"/>
      <c r="I22" s="678"/>
      <c r="J22" s="1062"/>
      <c r="K22" s="20"/>
      <c r="L22" s="617"/>
      <c r="M22" s="995"/>
      <c r="N22" s="995"/>
      <c r="O22" s="995"/>
      <c r="P22" s="995"/>
      <c r="Q22" s="551"/>
      <c r="R22" s="604"/>
      <c r="S22" s="619"/>
      <c r="T22" s="20"/>
      <c r="U22" s="43"/>
      <c r="V22" s="16"/>
      <c r="W22" s="617"/>
      <c r="X22" s="604"/>
      <c r="Y22" s="618"/>
      <c r="Z22" s="604"/>
      <c r="AA22" s="3951"/>
      <c r="AB22" s="3951"/>
      <c r="AC22" s="3952"/>
      <c r="AE22" s="617"/>
      <c r="AF22" s="604"/>
      <c r="AG22" s="618"/>
      <c r="AH22" s="604"/>
      <c r="AI22" s="3951"/>
      <c r="AJ22" s="3951"/>
      <c r="AK22" s="3952"/>
      <c r="AM22" s="617"/>
      <c r="AN22" s="604"/>
      <c r="AO22" s="618"/>
      <c r="AP22" s="604"/>
      <c r="AQ22" s="3951"/>
      <c r="AR22" s="3951"/>
      <c r="AS22" s="3952"/>
      <c r="AU22" s="617"/>
      <c r="AV22" s="604"/>
      <c r="AW22" s="618"/>
      <c r="AX22" s="604"/>
      <c r="AY22" s="3951"/>
      <c r="AZ22" s="3951"/>
      <c r="BA22" s="3952"/>
      <c r="BC22" s="617"/>
      <c r="BD22" s="604"/>
      <c r="BE22" s="618"/>
      <c r="BF22" s="551"/>
      <c r="BG22" s="3951"/>
      <c r="BH22" s="3951"/>
      <c r="BI22" s="3952"/>
      <c r="BK22" s="617"/>
      <c r="BL22" s="604"/>
      <c r="BM22" s="618"/>
      <c r="BN22" s="551"/>
      <c r="BO22" s="3951"/>
      <c r="BP22" s="3951"/>
      <c r="BQ22" s="3952"/>
      <c r="BS22" s="617"/>
      <c r="BT22" s="604"/>
      <c r="BU22" s="618"/>
      <c r="BV22" s="551"/>
      <c r="BW22" s="3951"/>
      <c r="BX22" s="3951"/>
      <c r="BY22" s="3952"/>
      <c r="CA22" s="617"/>
      <c r="CB22" s="604"/>
      <c r="CC22" s="618"/>
      <c r="CD22" s="551"/>
      <c r="CE22" s="3951"/>
      <c r="CF22" s="3951"/>
      <c r="CG22" s="3952"/>
      <c r="CI22" s="617"/>
      <c r="CJ22" s="604"/>
      <c r="CK22" s="618"/>
      <c r="CL22" s="551"/>
      <c r="CM22" s="3951"/>
      <c r="CN22" s="3951"/>
      <c r="CO22" s="3952"/>
      <c r="CQ22" s="43"/>
      <c r="CR22" s="70"/>
      <c r="CS22" s="70"/>
      <c r="CT22" s="70"/>
      <c r="CU22" s="70"/>
      <c r="CV22" s="70"/>
      <c r="CW22" s="70"/>
      <c r="CX22" s="70"/>
      <c r="CY22" s="70"/>
      <c r="CZ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row>
    <row r="23" spans="3:135" s="21" customFormat="1" ht="8.1" customHeight="1" thickBot="1" x14ac:dyDescent="0.25">
      <c r="C23" s="70"/>
      <c r="D23" s="25"/>
      <c r="E23" s="25"/>
      <c r="F23" s="70"/>
      <c r="G23" s="70"/>
      <c r="H23" s="16"/>
      <c r="I23" s="16"/>
      <c r="J23" s="16"/>
      <c r="K23" s="20"/>
      <c r="L23" s="17"/>
      <c r="M23" s="996"/>
      <c r="N23" s="996"/>
      <c r="O23" s="996"/>
      <c r="P23" s="996"/>
      <c r="Q23" s="13"/>
      <c r="R23" s="17"/>
      <c r="S23" s="17"/>
      <c r="T23" s="20"/>
      <c r="U23" s="17"/>
      <c r="V23" s="16"/>
      <c r="W23" s="17"/>
      <c r="X23" s="17"/>
      <c r="Y23" s="36"/>
      <c r="Z23" s="17"/>
      <c r="AA23" s="70"/>
      <c r="AB23" s="70"/>
      <c r="AC23" s="70"/>
      <c r="AE23" s="17"/>
      <c r="AF23" s="17"/>
      <c r="AG23" s="36"/>
      <c r="AH23" s="17"/>
      <c r="AI23" s="70"/>
      <c r="AJ23" s="70"/>
      <c r="AK23" s="70"/>
      <c r="AM23" s="17"/>
      <c r="AN23" s="17"/>
      <c r="AO23" s="36"/>
      <c r="AP23" s="17"/>
      <c r="AQ23" s="70"/>
      <c r="AR23" s="70"/>
      <c r="AS23" s="70"/>
      <c r="AU23" s="17"/>
      <c r="AV23" s="17"/>
      <c r="AW23" s="36"/>
      <c r="AX23" s="17"/>
      <c r="AY23" s="70"/>
      <c r="AZ23" s="70"/>
      <c r="BA23" s="70"/>
      <c r="BC23" s="17"/>
      <c r="BD23" s="17"/>
      <c r="BE23" s="36"/>
      <c r="BF23" s="16"/>
      <c r="BG23" s="70"/>
      <c r="BH23" s="70"/>
      <c r="BI23" s="70"/>
      <c r="BK23" s="17"/>
      <c r="BL23" s="17"/>
      <c r="BM23" s="36"/>
      <c r="BN23" s="16"/>
      <c r="BO23" s="70"/>
      <c r="BP23" s="70"/>
      <c r="BQ23" s="70"/>
      <c r="BS23" s="17"/>
      <c r="BT23" s="17"/>
      <c r="BU23" s="36"/>
      <c r="BV23" s="16"/>
      <c r="BW23" s="70"/>
      <c r="BX23" s="70"/>
      <c r="BY23" s="70"/>
      <c r="CA23" s="17"/>
      <c r="CB23" s="17"/>
      <c r="CC23" s="36"/>
      <c r="CD23" s="16"/>
      <c r="CE23" s="70"/>
      <c r="CF23" s="70"/>
      <c r="CG23" s="70"/>
      <c r="CI23" s="17"/>
      <c r="CJ23" s="17"/>
      <c r="CK23" s="36"/>
      <c r="CL23" s="16"/>
      <c r="CM23" s="70"/>
      <c r="CN23" s="70"/>
      <c r="CO23" s="70"/>
      <c r="CQ23" s="17"/>
      <c r="CR23" s="70"/>
      <c r="CS23" s="70"/>
      <c r="CT23" s="70"/>
      <c r="CU23" s="70"/>
      <c r="CV23" s="70"/>
      <c r="CW23" s="70"/>
      <c r="CX23" s="70"/>
      <c r="CY23" s="70"/>
      <c r="CZ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row>
    <row r="24" spans="3:135" s="21" customFormat="1" ht="15" customHeight="1" thickBot="1" x14ac:dyDescent="0.25">
      <c r="C24" s="70"/>
      <c r="D24" s="25"/>
      <c r="E24" s="25"/>
      <c r="F24" s="70"/>
      <c r="G24" s="70"/>
      <c r="H24" s="6662" t="s">
        <v>153</v>
      </c>
      <c r="I24" s="6663"/>
      <c r="J24" s="6664"/>
      <c r="K24" s="20"/>
      <c r="L24" s="620"/>
      <c r="M24" s="997"/>
      <c r="N24" s="997"/>
      <c r="O24" s="997"/>
      <c r="P24" s="997"/>
      <c r="Q24" s="546"/>
      <c r="R24" s="612"/>
      <c r="S24" s="547"/>
      <c r="T24" s="20"/>
      <c r="U24" s="44"/>
      <c r="V24" s="16"/>
      <c r="W24" s="611"/>
      <c r="X24" s="546"/>
      <c r="Y24" s="546"/>
      <c r="Z24" s="612"/>
      <c r="AA24" s="1052"/>
      <c r="AB24" s="1052"/>
      <c r="AC24" s="1053"/>
      <c r="AE24" s="611"/>
      <c r="AF24" s="546"/>
      <c r="AG24" s="546"/>
      <c r="AH24" s="612"/>
      <c r="AI24" s="1052"/>
      <c r="AJ24" s="1052"/>
      <c r="AK24" s="1053"/>
      <c r="AM24" s="611"/>
      <c r="AN24" s="546"/>
      <c r="AO24" s="546"/>
      <c r="AP24" s="612"/>
      <c r="AQ24" s="1052"/>
      <c r="AR24" s="1052"/>
      <c r="AS24" s="1053"/>
      <c r="AU24" s="611"/>
      <c r="AV24" s="546"/>
      <c r="AW24" s="546"/>
      <c r="AX24" s="612"/>
      <c r="AY24" s="1052"/>
      <c r="AZ24" s="1052"/>
      <c r="BA24" s="1053"/>
      <c r="BC24" s="611"/>
      <c r="BD24" s="546"/>
      <c r="BE24" s="546"/>
      <c r="BF24" s="546"/>
      <c r="BG24" s="1052"/>
      <c r="BH24" s="1052"/>
      <c r="BI24" s="1053"/>
      <c r="BK24" s="611"/>
      <c r="BL24" s="546"/>
      <c r="BM24" s="546"/>
      <c r="BN24" s="546"/>
      <c r="BO24" s="1052"/>
      <c r="BP24" s="1052"/>
      <c r="BQ24" s="1053"/>
      <c r="BS24" s="611"/>
      <c r="BT24" s="546"/>
      <c r="BU24" s="546"/>
      <c r="BV24" s="546"/>
      <c r="BW24" s="1052"/>
      <c r="BX24" s="1052"/>
      <c r="BY24" s="1053"/>
      <c r="CA24" s="611"/>
      <c r="CB24" s="546"/>
      <c r="CC24" s="546"/>
      <c r="CD24" s="546"/>
      <c r="CE24" s="1052"/>
      <c r="CF24" s="1052"/>
      <c r="CG24" s="1053"/>
      <c r="CI24" s="611"/>
      <c r="CJ24" s="546"/>
      <c r="CK24" s="546"/>
      <c r="CL24" s="546"/>
      <c r="CM24" s="1052"/>
      <c r="CN24" s="1052"/>
      <c r="CO24" s="1053"/>
      <c r="CQ24" s="45"/>
      <c r="CR24" s="70"/>
      <c r="CS24" s="70"/>
      <c r="CT24" s="70"/>
      <c r="CU24" s="70"/>
      <c r="CV24" s="70"/>
      <c r="CW24" s="70"/>
      <c r="CX24" s="70"/>
      <c r="CY24" s="70"/>
      <c r="CZ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row>
    <row r="25" spans="3:135" s="21" customFormat="1" ht="20.100000000000001" customHeight="1" thickBot="1" x14ac:dyDescent="0.25">
      <c r="C25" s="70"/>
      <c r="D25" s="25"/>
      <c r="E25" s="25"/>
      <c r="F25" s="70"/>
      <c r="G25" s="70"/>
      <c r="H25" s="6665"/>
      <c r="I25" s="6666"/>
      <c r="J25" s="6667"/>
      <c r="K25" s="20"/>
      <c r="L25" s="621"/>
      <c r="M25" s="3522" t="str">
        <f>_Calcs!$K$23</f>
        <v>For prosjektet</v>
      </c>
      <c r="N25" s="3457"/>
      <c r="O25" s="3457"/>
      <c r="P25" s="3457"/>
      <c r="Q25" s="917"/>
      <c r="R25" s="2021" t="s">
        <v>146</v>
      </c>
      <c r="S25" s="548"/>
      <c r="T25" s="20"/>
      <c r="U25" s="44"/>
      <c r="V25" s="16"/>
      <c r="W25" s="613"/>
      <c r="X25" s="44"/>
      <c r="Y25" s="46" t="str">
        <f>INDEX(outputs_oppsum[prosjekt_forbe],MATCH(_Calcs!$NO$41,outputs_oppsum[stuff_id],0))</f>
        <v>Ikke relevant</v>
      </c>
      <c r="Z25" s="49"/>
      <c r="AA25" s="30" t="str">
        <f>IF(_Calcs!$NO278&gt;0,"!","✓")</f>
        <v>!</v>
      </c>
      <c r="AB25" s="1050"/>
      <c r="AC25" s="1055"/>
      <c r="AE25" s="613"/>
      <c r="AF25" s="44"/>
      <c r="AG25" s="46" t="e">
        <f>INDEX(outputs_oppsum[prosjekt_forbe],MATCH(_Calcs!$NP$41,outputs_oppsum[stuff_id],0))</f>
        <v>#N/A</v>
      </c>
      <c r="AH25" s="49"/>
      <c r="AI25" s="30" t="e">
        <f>IF(_Calcs!$NP278&gt;0,"!","✓")</f>
        <v>#N/A</v>
      </c>
      <c r="AJ25" s="1050"/>
      <c r="AK25" s="1055"/>
      <c r="AM25" s="613"/>
      <c r="AN25" s="44"/>
      <c r="AO25" s="46" t="e">
        <f>INDEX(outputs_oppsum[prosjekt_forbe],MATCH(_Calcs!$NQ$41,outputs_oppsum[stuff_id],0))</f>
        <v>#N/A</v>
      </c>
      <c r="AP25" s="49"/>
      <c r="AQ25" s="30" t="e">
        <f>IF(_Calcs!$NQ278&gt;0,"!","✓")</f>
        <v>#N/A</v>
      </c>
      <c r="AR25" s="1050"/>
      <c r="AS25" s="1055"/>
      <c r="AU25" s="613"/>
      <c r="AV25" s="44"/>
      <c r="AW25" s="46" t="e">
        <f>INDEX(outputs_oppsum[prosjekt_forbe],MATCH(_Calcs!$NR$41,outputs_oppsum[stuff_id],0))</f>
        <v>#N/A</v>
      </c>
      <c r="AX25" s="49"/>
      <c r="AY25" s="30" t="e">
        <f>IF(_Calcs!$NR278&gt;0,"!","✓")</f>
        <v>#N/A</v>
      </c>
      <c r="AZ25" s="1050"/>
      <c r="BA25" s="1055"/>
      <c r="BC25" s="613"/>
      <c r="BD25" s="44"/>
      <c r="BE25" s="46" t="e">
        <f>INDEX(outputs_oppsum[prosjekt_forbe],MATCH(_Calcs!$NS$41,outputs_oppsum[stuff_id],0))</f>
        <v>#N/A</v>
      </c>
      <c r="BF25" s="44"/>
      <c r="BG25" s="30" t="e">
        <f>IF(_Calcs!$NS278&gt;0,"!","✓")</f>
        <v>#N/A</v>
      </c>
      <c r="BH25" s="1050"/>
      <c r="BI25" s="1055"/>
      <c r="BK25" s="613"/>
      <c r="BL25" s="44"/>
      <c r="BM25" s="46" t="e">
        <f>INDEX(outputs_oppsum[prosjekt_forbe],MATCH(_Calcs!$NT$41,outputs_oppsum[stuff_id],0))</f>
        <v>#N/A</v>
      </c>
      <c r="BN25" s="44"/>
      <c r="BO25" s="30" t="e">
        <f>IF(_Calcs!$NT278&gt;0,"!","✓")</f>
        <v>#N/A</v>
      </c>
      <c r="BP25" s="1050"/>
      <c r="BQ25" s="1055"/>
      <c r="BS25" s="613"/>
      <c r="BT25" s="44"/>
      <c r="BU25" s="46" t="e">
        <f>INDEX(outputs_oppsum[prosjekt_forbe],MATCH(_Calcs!$NU$41,outputs_oppsum[stuff_id],0))</f>
        <v>#N/A</v>
      </c>
      <c r="BV25" s="44"/>
      <c r="BW25" s="30" t="e">
        <f>IF(_Calcs!$NU278&gt;0,"!","✓")</f>
        <v>#N/A</v>
      </c>
      <c r="BX25" s="1050"/>
      <c r="BY25" s="1055"/>
      <c r="CA25" s="613"/>
      <c r="CB25" s="44"/>
      <c r="CC25" s="46" t="e">
        <f>INDEX(outputs_oppsum[prosjekt_forbe],MATCH(_Calcs!$NV$41,outputs_oppsum[stuff_id],0))</f>
        <v>#N/A</v>
      </c>
      <c r="CD25" s="44"/>
      <c r="CE25" s="30" t="e">
        <f>IF(_Calcs!$NV278&gt;0,"!","✓")</f>
        <v>#N/A</v>
      </c>
      <c r="CF25" s="1050"/>
      <c r="CG25" s="1055"/>
      <c r="CI25" s="613"/>
      <c r="CJ25" s="44"/>
      <c r="CK25" s="46" t="e">
        <f>INDEX(outputs_oppsum[prosjekt_forbe],MATCH(_Calcs!$NW$41,outputs_oppsum[stuff_id],0))</f>
        <v>#N/A</v>
      </c>
      <c r="CL25" s="44"/>
      <c r="CM25" s="30" t="e">
        <f>IF(_Calcs!$NW278&gt;0,"!","✓")</f>
        <v>#N/A</v>
      </c>
      <c r="CN25" s="1050"/>
      <c r="CO25" s="1055"/>
      <c r="CQ25" s="45"/>
      <c r="CR25" s="70"/>
      <c r="CS25" s="70"/>
      <c r="CT25" s="70"/>
      <c r="CU25" s="70"/>
      <c r="CV25" s="70"/>
      <c r="CW25" s="70"/>
      <c r="CX25" s="70"/>
      <c r="CY25" s="70"/>
      <c r="CZ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row>
    <row r="26" spans="3:135" s="21" customFormat="1" ht="15" customHeight="1" thickBot="1" x14ac:dyDescent="0.25">
      <c r="C26" s="70"/>
      <c r="D26" s="25"/>
      <c r="E26" s="25"/>
      <c r="F26" s="70"/>
      <c r="G26" s="70"/>
      <c r="H26" s="6665"/>
      <c r="I26" s="6666"/>
      <c r="J26" s="6667"/>
      <c r="K26" s="20"/>
      <c r="L26" s="621"/>
      <c r="M26" s="3457"/>
      <c r="N26" s="3457"/>
      <c r="O26" s="3457"/>
      <c r="P26" s="3457"/>
      <c r="Q26" s="44"/>
      <c r="R26" s="49"/>
      <c r="S26" s="548"/>
      <c r="T26" s="20"/>
      <c r="U26" s="44"/>
      <c r="V26" s="16"/>
      <c r="W26" s="613"/>
      <c r="X26" s="44"/>
      <c r="Y26" s="546"/>
      <c r="Z26" s="49"/>
      <c r="AA26" s="1050"/>
      <c r="AB26" s="1050"/>
      <c r="AC26" s="1055"/>
      <c r="AE26" s="613"/>
      <c r="AF26" s="44"/>
      <c r="AG26" s="546"/>
      <c r="AH26" s="49"/>
      <c r="AI26" s="1050"/>
      <c r="AJ26" s="1050"/>
      <c r="AK26" s="1055"/>
      <c r="AM26" s="613"/>
      <c r="AN26" s="44"/>
      <c r="AO26" s="546"/>
      <c r="AP26" s="49"/>
      <c r="AQ26" s="1050"/>
      <c r="AR26" s="1050"/>
      <c r="AS26" s="1055"/>
      <c r="AU26" s="613"/>
      <c r="AV26" s="44"/>
      <c r="AW26" s="546"/>
      <c r="AX26" s="49"/>
      <c r="AY26" s="1050"/>
      <c r="AZ26" s="1050"/>
      <c r="BA26" s="1055"/>
      <c r="BC26" s="613"/>
      <c r="BD26" s="44"/>
      <c r="BE26" s="546"/>
      <c r="BF26" s="44"/>
      <c r="BG26" s="1050"/>
      <c r="BH26" s="1050"/>
      <c r="BI26" s="1055"/>
      <c r="BK26" s="613"/>
      <c r="BL26" s="44"/>
      <c r="BM26" s="546"/>
      <c r="BN26" s="44"/>
      <c r="BO26" s="1050"/>
      <c r="BP26" s="1050"/>
      <c r="BQ26" s="1055"/>
      <c r="BS26" s="613"/>
      <c r="BT26" s="44"/>
      <c r="BU26" s="546"/>
      <c r="BV26" s="44"/>
      <c r="BW26" s="1050"/>
      <c r="BX26" s="1050"/>
      <c r="BY26" s="1055"/>
      <c r="CA26" s="613"/>
      <c r="CB26" s="44"/>
      <c r="CC26" s="546"/>
      <c r="CD26" s="44"/>
      <c r="CE26" s="1050"/>
      <c r="CF26" s="1050"/>
      <c r="CG26" s="1055"/>
      <c r="CI26" s="613"/>
      <c r="CJ26" s="44"/>
      <c r="CK26" s="546"/>
      <c r="CL26" s="44"/>
      <c r="CM26" s="1050"/>
      <c r="CN26" s="1050"/>
      <c r="CO26" s="1055"/>
      <c r="CQ26" s="45"/>
      <c r="CR26" s="70"/>
      <c r="CS26" s="70"/>
      <c r="CT26" s="70"/>
      <c r="CU26" s="70"/>
      <c r="CV26" s="70"/>
      <c r="CW26" s="70"/>
      <c r="CX26" s="70"/>
      <c r="CY26" s="70"/>
      <c r="CZ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row>
    <row r="27" spans="3:135" s="21" customFormat="1" ht="20.100000000000001" customHeight="1" thickBot="1" x14ac:dyDescent="0.25">
      <c r="C27" s="70"/>
      <c r="D27" s="25"/>
      <c r="E27" s="25"/>
      <c r="F27" s="70"/>
      <c r="G27" s="70"/>
      <c r="H27" s="6665"/>
      <c r="I27" s="6666"/>
      <c r="J27" s="6667"/>
      <c r="K27" s="20"/>
      <c r="L27" s="621"/>
      <c r="M27" s="980" t="str">
        <f>_Calcs!$K$24</f>
        <v>For hver stuff</v>
      </c>
      <c r="N27" s="980"/>
      <c r="O27" s="980"/>
      <c r="P27" s="980"/>
      <c r="Q27" s="917"/>
      <c r="R27" s="2021" t="s">
        <v>146</v>
      </c>
      <c r="S27" s="548"/>
      <c r="T27" s="20"/>
      <c r="U27" s="44"/>
      <c r="V27" s="16"/>
      <c r="W27" s="613"/>
      <c r="X27" s="44"/>
      <c r="Y27" s="46" t="str">
        <f>INDEX(outputs_oppsum[total_forbe],MATCH(_Calcs!$NO$41,outputs_oppsum[stuff_id],0))</f>
        <v>Ikke relevant</v>
      </c>
      <c r="Z27" s="49"/>
      <c r="AA27" s="30" t="str">
        <f>IF(_Calcs!$NO279&gt;0,"!","✓")</f>
        <v>!</v>
      </c>
      <c r="AB27" s="1050"/>
      <c r="AC27" s="1055"/>
      <c r="AE27" s="613"/>
      <c r="AF27" s="44"/>
      <c r="AG27" s="46" t="e">
        <f>INDEX(outputs_oppsum[total_forbe],MATCH(_Calcs!$NP$41,outputs_oppsum[stuff_id],0))</f>
        <v>#N/A</v>
      </c>
      <c r="AH27" s="49"/>
      <c r="AI27" s="30" t="e">
        <f>IF(_Calcs!$NP279&gt;0,"!","✓")</f>
        <v>#N/A</v>
      </c>
      <c r="AJ27" s="1050"/>
      <c r="AK27" s="1055"/>
      <c r="AM27" s="613"/>
      <c r="AN27" s="44"/>
      <c r="AO27" s="46" t="e">
        <f>INDEX(outputs_oppsum[total_forbe],MATCH(_Calcs!$NQ$41,outputs_oppsum[stuff_id],0))</f>
        <v>#N/A</v>
      </c>
      <c r="AP27" s="49"/>
      <c r="AQ27" s="30" t="e">
        <f>IF(_Calcs!$NQ279&gt;0,"!","✓")</f>
        <v>#N/A</v>
      </c>
      <c r="AR27" s="1050"/>
      <c r="AS27" s="1055"/>
      <c r="AU27" s="613"/>
      <c r="AV27" s="44"/>
      <c r="AW27" s="46" t="e">
        <f>INDEX(outputs_oppsum[total_forbe],MATCH(_Calcs!$NR$41,outputs_oppsum[stuff_id],0))</f>
        <v>#N/A</v>
      </c>
      <c r="AX27" s="49"/>
      <c r="AY27" s="30" t="e">
        <f>IF(_Calcs!$NR279&gt;0,"!","✓")</f>
        <v>#N/A</v>
      </c>
      <c r="AZ27" s="1050"/>
      <c r="BA27" s="1055"/>
      <c r="BC27" s="613"/>
      <c r="BD27" s="44"/>
      <c r="BE27" s="46" t="e">
        <f>INDEX(outputs_oppsum[total_forbe],MATCH(_Calcs!$NS$41,outputs_oppsum[stuff_id],0))</f>
        <v>#N/A</v>
      </c>
      <c r="BF27" s="44"/>
      <c r="BG27" s="30" t="e">
        <f>IF(_Calcs!$NS279&gt;0,"!","✓")</f>
        <v>#N/A</v>
      </c>
      <c r="BH27" s="1050"/>
      <c r="BI27" s="1055"/>
      <c r="BK27" s="613"/>
      <c r="BL27" s="44"/>
      <c r="BM27" s="46" t="e">
        <f>INDEX(outputs_oppsum[total_forbe],MATCH(_Calcs!$NT$41,outputs_oppsum[stuff_id],0))</f>
        <v>#N/A</v>
      </c>
      <c r="BN27" s="44"/>
      <c r="BO27" s="30" t="e">
        <f>IF(_Calcs!$NT279&gt;0,"!","✓")</f>
        <v>#N/A</v>
      </c>
      <c r="BP27" s="1050"/>
      <c r="BQ27" s="1055"/>
      <c r="BS27" s="613"/>
      <c r="BT27" s="44"/>
      <c r="BU27" s="46" t="e">
        <f>INDEX(outputs_oppsum[total_forbe],MATCH(_Calcs!$NU$41,outputs_oppsum[stuff_id],0))</f>
        <v>#N/A</v>
      </c>
      <c r="BV27" s="44"/>
      <c r="BW27" s="30" t="e">
        <f>IF(_Calcs!$NU279&gt;0,"!","✓")</f>
        <v>#N/A</v>
      </c>
      <c r="BX27" s="1050"/>
      <c r="BY27" s="1055"/>
      <c r="CA27" s="613"/>
      <c r="CB27" s="44"/>
      <c r="CC27" s="46" t="e">
        <f>INDEX(outputs_oppsum[total_forbe],MATCH(_Calcs!$NV$41,outputs_oppsum[stuff_id],0))</f>
        <v>#N/A</v>
      </c>
      <c r="CD27" s="44"/>
      <c r="CE27" s="30" t="e">
        <f>IF(_Calcs!$NV279&gt;0,"!","✓")</f>
        <v>#N/A</v>
      </c>
      <c r="CF27" s="1050"/>
      <c r="CG27" s="1055"/>
      <c r="CI27" s="613"/>
      <c r="CJ27" s="44"/>
      <c r="CK27" s="46" t="e">
        <f>INDEX(outputs_oppsum[total_forbe],MATCH(_Calcs!$NW$41,outputs_oppsum[stuff_id],0))</f>
        <v>#N/A</v>
      </c>
      <c r="CL27" s="44"/>
      <c r="CM27" s="30" t="e">
        <f>IF(_Calcs!$NW279&gt;0,"!","✓")</f>
        <v>#N/A</v>
      </c>
      <c r="CN27" s="1050"/>
      <c r="CO27" s="1055"/>
      <c r="CQ27" s="45"/>
      <c r="CR27" s="70"/>
      <c r="CS27" s="70"/>
      <c r="CT27" s="70"/>
      <c r="CU27" s="70"/>
      <c r="CV27" s="70"/>
      <c r="CW27" s="70"/>
      <c r="CX27" s="70"/>
      <c r="CY27" s="70"/>
      <c r="CZ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row>
    <row r="28" spans="3:135" s="21" customFormat="1" ht="15" customHeight="1" thickBot="1" x14ac:dyDescent="0.25">
      <c r="C28" s="70"/>
      <c r="D28" s="25"/>
      <c r="E28" s="25"/>
      <c r="F28" s="70"/>
      <c r="G28" s="70"/>
      <c r="H28" s="6668"/>
      <c r="I28" s="6669"/>
      <c r="J28" s="6670"/>
      <c r="K28" s="20"/>
      <c r="L28" s="622"/>
      <c r="M28" s="998"/>
      <c r="N28" s="998"/>
      <c r="O28" s="998"/>
      <c r="P28" s="998"/>
      <c r="Q28" s="615"/>
      <c r="R28" s="2022"/>
      <c r="S28" s="623"/>
      <c r="T28" s="20"/>
      <c r="U28" s="44"/>
      <c r="V28" s="16"/>
      <c r="W28" s="614"/>
      <c r="X28" s="615"/>
      <c r="Y28" s="615"/>
      <c r="Z28" s="616"/>
      <c r="AA28" s="2147"/>
      <c r="AB28" s="2147"/>
      <c r="AC28" s="2149"/>
      <c r="AE28" s="614"/>
      <c r="AF28" s="615"/>
      <c r="AG28" s="615"/>
      <c r="AH28" s="616"/>
      <c r="AI28" s="2147"/>
      <c r="AJ28" s="2147"/>
      <c r="AK28" s="2149"/>
      <c r="AM28" s="614"/>
      <c r="AN28" s="615"/>
      <c r="AO28" s="615"/>
      <c r="AP28" s="616"/>
      <c r="AQ28" s="2147"/>
      <c r="AR28" s="2147"/>
      <c r="AS28" s="2149"/>
      <c r="AU28" s="614"/>
      <c r="AV28" s="615"/>
      <c r="AW28" s="615"/>
      <c r="AX28" s="616"/>
      <c r="AY28" s="2147"/>
      <c r="AZ28" s="2147"/>
      <c r="BA28" s="2149"/>
      <c r="BC28" s="614"/>
      <c r="BD28" s="615"/>
      <c r="BE28" s="615"/>
      <c r="BF28" s="615"/>
      <c r="BG28" s="2147"/>
      <c r="BH28" s="2147"/>
      <c r="BI28" s="2149"/>
      <c r="BK28" s="614"/>
      <c r="BL28" s="615"/>
      <c r="BM28" s="615"/>
      <c r="BN28" s="615"/>
      <c r="BO28" s="2147"/>
      <c r="BP28" s="2147"/>
      <c r="BQ28" s="2149"/>
      <c r="BS28" s="614"/>
      <c r="BT28" s="615"/>
      <c r="BU28" s="615"/>
      <c r="BV28" s="615"/>
      <c r="BW28" s="2147"/>
      <c r="BX28" s="2147"/>
      <c r="BY28" s="2149"/>
      <c r="CA28" s="614"/>
      <c r="CB28" s="615"/>
      <c r="CC28" s="615"/>
      <c r="CD28" s="615"/>
      <c r="CE28" s="2147"/>
      <c r="CF28" s="2147"/>
      <c r="CG28" s="2149"/>
      <c r="CI28" s="614"/>
      <c r="CJ28" s="615"/>
      <c r="CK28" s="615"/>
      <c r="CL28" s="615"/>
      <c r="CM28" s="2147"/>
      <c r="CN28" s="2147"/>
      <c r="CO28" s="2149"/>
      <c r="CQ28" s="45"/>
      <c r="CR28" s="70"/>
      <c r="CS28" s="70"/>
      <c r="CT28" s="70"/>
      <c r="CU28" s="70"/>
      <c r="CV28" s="70"/>
      <c r="CW28" s="70"/>
      <c r="CX28" s="70"/>
      <c r="CY28" s="70"/>
      <c r="CZ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row>
    <row r="29" spans="3:135" s="21" customFormat="1" ht="30" customHeight="1" thickBot="1" x14ac:dyDescent="0.25">
      <c r="C29" s="70"/>
      <c r="D29" s="638"/>
      <c r="E29" s="638"/>
      <c r="F29" s="638"/>
      <c r="G29" s="638"/>
      <c r="H29" s="638"/>
      <c r="I29" s="638"/>
      <c r="J29" s="638"/>
      <c r="K29" s="20"/>
      <c r="L29" s="20"/>
      <c r="M29" s="999"/>
      <c r="N29" s="999"/>
      <c r="O29" s="999"/>
      <c r="P29" s="999"/>
      <c r="Q29" s="16"/>
      <c r="R29" s="2023"/>
      <c r="S29" s="16"/>
      <c r="T29" s="20"/>
      <c r="U29" s="16"/>
      <c r="V29" s="16"/>
      <c r="W29" s="16"/>
      <c r="X29" s="16"/>
      <c r="Y29" s="16"/>
      <c r="Z29" s="17"/>
      <c r="AA29" s="78"/>
      <c r="AB29" s="78"/>
      <c r="AC29" s="78"/>
      <c r="AE29" s="16"/>
      <c r="AF29" s="16"/>
      <c r="AG29" s="16"/>
      <c r="AH29" s="17"/>
      <c r="AI29" s="78"/>
      <c r="AJ29" s="78"/>
      <c r="AK29" s="78"/>
      <c r="AM29" s="16"/>
      <c r="AN29" s="16"/>
      <c r="AO29" s="16"/>
      <c r="AP29" s="17"/>
      <c r="AQ29" s="78"/>
      <c r="AR29" s="78"/>
      <c r="AS29" s="78"/>
      <c r="AU29" s="16"/>
      <c r="AV29" s="16"/>
      <c r="AW29" s="16"/>
      <c r="AX29" s="17"/>
      <c r="AY29" s="78"/>
      <c r="AZ29" s="78"/>
      <c r="BA29" s="78"/>
      <c r="BC29" s="16"/>
      <c r="BD29" s="16"/>
      <c r="BE29" s="16"/>
      <c r="BF29" s="16"/>
      <c r="BG29" s="78"/>
      <c r="BH29" s="78"/>
      <c r="BI29" s="78"/>
      <c r="BK29" s="16"/>
      <c r="BL29" s="16"/>
      <c r="BM29" s="16"/>
      <c r="BN29" s="17"/>
      <c r="BO29" s="78"/>
      <c r="BP29" s="70"/>
      <c r="BQ29" s="70"/>
      <c r="BS29" s="16"/>
      <c r="BT29" s="16"/>
      <c r="BU29" s="16"/>
      <c r="BV29" s="17"/>
      <c r="BW29" s="78"/>
      <c r="BX29" s="70"/>
      <c r="BY29" s="70"/>
      <c r="CA29" s="16"/>
      <c r="CB29" s="16"/>
      <c r="CC29" s="16"/>
      <c r="CD29" s="17"/>
      <c r="CE29" s="78"/>
      <c r="CF29" s="70"/>
      <c r="CG29" s="70"/>
      <c r="CI29" s="16"/>
      <c r="CJ29" s="16"/>
      <c r="CK29" s="16"/>
      <c r="CL29" s="17"/>
      <c r="CM29" s="78"/>
      <c r="CN29" s="70"/>
      <c r="CO29" s="70"/>
      <c r="CQ29" s="70"/>
      <c r="CR29" s="70"/>
      <c r="CS29" s="70"/>
      <c r="CT29" s="70"/>
      <c r="CU29" s="70"/>
      <c r="CV29" s="70"/>
      <c r="CW29" s="70"/>
      <c r="CX29" s="70"/>
      <c r="CY29" s="70"/>
      <c r="CZ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row>
    <row r="30" spans="3:135" s="21" customFormat="1" ht="15" customHeight="1" thickBot="1" x14ac:dyDescent="0.25">
      <c r="C30" s="25"/>
      <c r="D30" s="25"/>
      <c r="E30" s="25"/>
      <c r="F30" s="70"/>
      <c r="G30" s="70"/>
      <c r="H30" s="1800"/>
      <c r="I30" s="1801"/>
      <c r="J30" s="1802"/>
      <c r="K30" s="20"/>
      <c r="L30" s="1800"/>
      <c r="M30" s="1803"/>
      <c r="N30" s="1803"/>
      <c r="O30" s="1803"/>
      <c r="P30" s="1803"/>
      <c r="Q30" s="1801"/>
      <c r="R30" s="2050"/>
      <c r="S30" s="1802"/>
      <c r="T30" s="20"/>
      <c r="U30" s="1778"/>
      <c r="V30" s="16"/>
      <c r="W30" s="1800"/>
      <c r="X30" s="1801"/>
      <c r="Y30" s="1801"/>
      <c r="Z30" s="1801"/>
      <c r="AA30" s="1801"/>
      <c r="AB30" s="1801"/>
      <c r="AC30" s="1802"/>
      <c r="AD30" s="70"/>
      <c r="AE30" s="1800"/>
      <c r="AF30" s="1801"/>
      <c r="AG30" s="1801"/>
      <c r="AH30" s="1801"/>
      <c r="AI30" s="1801"/>
      <c r="AJ30" s="1801"/>
      <c r="AK30" s="1802"/>
      <c r="AL30" s="70"/>
      <c r="AM30" s="1800"/>
      <c r="AN30" s="1801"/>
      <c r="AO30" s="1801"/>
      <c r="AP30" s="1801"/>
      <c r="AQ30" s="1801"/>
      <c r="AR30" s="1801"/>
      <c r="AS30" s="1802"/>
      <c r="AT30" s="70"/>
      <c r="AU30" s="1800"/>
      <c r="AV30" s="1801"/>
      <c r="AW30" s="1801"/>
      <c r="AX30" s="1801"/>
      <c r="AY30" s="1801"/>
      <c r="AZ30" s="1801"/>
      <c r="BA30" s="1802"/>
      <c r="BB30" s="70"/>
      <c r="BC30" s="1800"/>
      <c r="BD30" s="1801"/>
      <c r="BE30" s="1801"/>
      <c r="BF30" s="1801"/>
      <c r="BG30" s="1801"/>
      <c r="BH30" s="1801"/>
      <c r="BI30" s="1802"/>
      <c r="BJ30" s="70"/>
      <c r="BK30" s="1800"/>
      <c r="BL30" s="1801"/>
      <c r="BM30" s="1801"/>
      <c r="BN30" s="1801"/>
      <c r="BO30" s="1801"/>
      <c r="BP30" s="1801"/>
      <c r="BQ30" s="1802"/>
      <c r="BR30" s="70"/>
      <c r="BS30" s="1800"/>
      <c r="BT30" s="1801"/>
      <c r="BU30" s="1801"/>
      <c r="BV30" s="1801"/>
      <c r="BW30" s="1801"/>
      <c r="BX30" s="1801"/>
      <c r="BY30" s="1802"/>
      <c r="BZ30" s="70"/>
      <c r="CA30" s="1800"/>
      <c r="CB30" s="1801"/>
      <c r="CC30" s="1801"/>
      <c r="CD30" s="1801"/>
      <c r="CE30" s="1801"/>
      <c r="CF30" s="1801"/>
      <c r="CG30" s="1802"/>
      <c r="CH30" s="70"/>
      <c r="CI30" s="1800"/>
      <c r="CJ30" s="1801"/>
      <c r="CK30" s="1801"/>
      <c r="CL30" s="1801"/>
      <c r="CM30" s="1801"/>
      <c r="CN30" s="1801"/>
      <c r="CO30" s="1802"/>
      <c r="CP30" s="70"/>
      <c r="CQ30" s="1777"/>
      <c r="CR30" s="70"/>
      <c r="CS30" s="70"/>
      <c r="CT30" s="70"/>
      <c r="CU30" s="70"/>
      <c r="CV30" s="70"/>
    </row>
    <row r="31" spans="3:135" s="21" customFormat="1" ht="8.1" customHeight="1" thickBot="1" x14ac:dyDescent="0.25">
      <c r="C31" s="25"/>
      <c r="D31" s="25"/>
      <c r="E31" s="25"/>
      <c r="F31" s="70"/>
      <c r="G31" s="70"/>
      <c r="H31" s="672"/>
      <c r="I31" s="672"/>
      <c r="J31" s="672"/>
      <c r="K31" s="20"/>
      <c r="L31" s="20"/>
      <c r="M31" s="979"/>
      <c r="N31" s="979"/>
      <c r="O31" s="979"/>
      <c r="P31" s="979"/>
      <c r="Q31" s="16"/>
      <c r="R31" s="17"/>
      <c r="S31" s="16"/>
      <c r="T31" s="20"/>
      <c r="U31" s="13"/>
      <c r="V31" s="16"/>
      <c r="W31" s="16"/>
      <c r="X31" s="16"/>
      <c r="Y31" s="136"/>
      <c r="Z31" s="136"/>
      <c r="AA31" s="136"/>
      <c r="AB31" s="136"/>
      <c r="AC31" s="136"/>
      <c r="AD31" s="70"/>
      <c r="AE31" s="16"/>
      <c r="AF31" s="16"/>
      <c r="AG31" s="136"/>
      <c r="AH31" s="136"/>
      <c r="AI31" s="136"/>
      <c r="AJ31" s="136"/>
      <c r="AK31" s="136"/>
      <c r="AL31" s="70"/>
      <c r="AM31" s="16"/>
      <c r="AN31" s="16"/>
      <c r="AO31" s="136"/>
      <c r="AP31" s="136"/>
      <c r="AQ31" s="136"/>
      <c r="AR31" s="136"/>
      <c r="AS31" s="136"/>
      <c r="AT31" s="70"/>
      <c r="AU31" s="16"/>
      <c r="AV31" s="16"/>
      <c r="AW31" s="136"/>
      <c r="AX31" s="136"/>
      <c r="AY31" s="136"/>
      <c r="AZ31" s="136"/>
      <c r="BA31" s="136"/>
      <c r="BB31" s="70"/>
      <c r="BC31" s="16"/>
      <c r="BD31" s="16"/>
      <c r="BE31" s="136"/>
      <c r="BF31" s="136"/>
      <c r="BG31" s="136"/>
      <c r="BH31" s="136"/>
      <c r="BI31" s="136"/>
      <c r="BJ31" s="70"/>
      <c r="BK31" s="16"/>
      <c r="BL31" s="16"/>
      <c r="BM31" s="136"/>
      <c r="BN31" s="136"/>
      <c r="BO31" s="136"/>
      <c r="BP31" s="136"/>
      <c r="BQ31" s="136"/>
      <c r="BR31" s="70"/>
      <c r="BS31" s="16"/>
      <c r="BT31" s="16"/>
      <c r="BU31" s="136"/>
      <c r="BV31" s="136"/>
      <c r="BW31" s="136"/>
      <c r="BX31" s="136"/>
      <c r="BY31" s="136"/>
      <c r="BZ31" s="70"/>
      <c r="CA31" s="16"/>
      <c r="CB31" s="16"/>
      <c r="CC31" s="136"/>
      <c r="CD31" s="136"/>
      <c r="CE31" s="136"/>
      <c r="CF31" s="136"/>
      <c r="CG31" s="136"/>
      <c r="CH31" s="70"/>
      <c r="CI31" s="16"/>
      <c r="CJ31" s="16"/>
      <c r="CK31" s="136"/>
      <c r="CL31" s="136"/>
      <c r="CM31" s="136"/>
      <c r="CN31" s="136"/>
      <c r="CO31" s="136"/>
      <c r="CP31" s="70"/>
      <c r="CQ31" s="136"/>
      <c r="CR31" s="70"/>
      <c r="CS31" s="70"/>
      <c r="CT31" s="70"/>
      <c r="CU31" s="70"/>
      <c r="CV31" s="70"/>
    </row>
    <row r="32" spans="3:135" s="21" customFormat="1" ht="15" customHeight="1" thickBot="1" x14ac:dyDescent="0.25">
      <c r="C32" s="25"/>
      <c r="D32" s="25"/>
      <c r="E32" s="25"/>
      <c r="F32" s="70"/>
      <c r="G32" s="70"/>
      <c r="H32" s="6705" t="s">
        <v>2699</v>
      </c>
      <c r="I32" s="6706"/>
      <c r="J32" s="6707"/>
      <c r="K32" s="20"/>
      <c r="L32" s="1795"/>
      <c r="M32" s="1796"/>
      <c r="N32" s="1796"/>
      <c r="O32" s="1796"/>
      <c r="P32" s="1796"/>
      <c r="Q32" s="1783"/>
      <c r="R32" s="2051"/>
      <c r="S32" s="1792"/>
      <c r="T32" s="20"/>
      <c r="U32" s="1780"/>
      <c r="V32" s="16"/>
      <c r="W32" s="1782"/>
      <c r="X32" s="1783"/>
      <c r="Y32" s="1784"/>
      <c r="Z32" s="1784"/>
      <c r="AA32" s="1784"/>
      <c r="AB32" s="1784"/>
      <c r="AC32" s="1785"/>
      <c r="AD32" s="70"/>
      <c r="AE32" s="1782"/>
      <c r="AF32" s="1783"/>
      <c r="AG32" s="1784"/>
      <c r="AH32" s="1784"/>
      <c r="AI32" s="1784"/>
      <c r="AJ32" s="1784"/>
      <c r="AK32" s="1785"/>
      <c r="AL32" s="70"/>
      <c r="AM32" s="1782"/>
      <c r="AN32" s="1783"/>
      <c r="AO32" s="1784"/>
      <c r="AP32" s="1784"/>
      <c r="AQ32" s="1784"/>
      <c r="AR32" s="1784"/>
      <c r="AS32" s="1785"/>
      <c r="AT32" s="70"/>
      <c r="AU32" s="1782"/>
      <c r="AV32" s="1783"/>
      <c r="AW32" s="1784"/>
      <c r="AX32" s="1784"/>
      <c r="AY32" s="1784"/>
      <c r="AZ32" s="1784"/>
      <c r="BA32" s="1785"/>
      <c r="BB32" s="70"/>
      <c r="BC32" s="1782"/>
      <c r="BD32" s="1783"/>
      <c r="BE32" s="1784"/>
      <c r="BF32" s="1784"/>
      <c r="BG32" s="1784"/>
      <c r="BH32" s="1784"/>
      <c r="BI32" s="1785"/>
      <c r="BJ32" s="70"/>
      <c r="BK32" s="1782"/>
      <c r="BL32" s="1783"/>
      <c r="BM32" s="1784"/>
      <c r="BN32" s="1784"/>
      <c r="BO32" s="1784"/>
      <c r="BP32" s="1784"/>
      <c r="BQ32" s="1785"/>
      <c r="BR32" s="70"/>
      <c r="BS32" s="1782"/>
      <c r="BT32" s="1783"/>
      <c r="BU32" s="1784"/>
      <c r="BV32" s="1784"/>
      <c r="BW32" s="1784"/>
      <c r="BX32" s="1784"/>
      <c r="BY32" s="1785"/>
      <c r="BZ32" s="70"/>
      <c r="CA32" s="1782"/>
      <c r="CB32" s="1783"/>
      <c r="CC32" s="1784"/>
      <c r="CD32" s="1784"/>
      <c r="CE32" s="1784"/>
      <c r="CF32" s="1784"/>
      <c r="CG32" s="1785"/>
      <c r="CH32" s="70"/>
      <c r="CI32" s="1782"/>
      <c r="CJ32" s="1783"/>
      <c r="CK32" s="1784"/>
      <c r="CL32" s="1784"/>
      <c r="CM32" s="1784"/>
      <c r="CN32" s="1784"/>
      <c r="CO32" s="1785"/>
      <c r="CP32" s="70"/>
      <c r="CQ32" s="1779"/>
      <c r="CR32" s="70"/>
      <c r="CS32" s="70"/>
      <c r="CT32" s="70"/>
      <c r="CU32" s="70"/>
      <c r="CV32" s="70"/>
    </row>
    <row r="33" spans="3:135" s="21" customFormat="1" ht="20.100000000000001" customHeight="1" thickBot="1" x14ac:dyDescent="0.25">
      <c r="C33" s="25"/>
      <c r="D33" s="25"/>
      <c r="E33" s="25"/>
      <c r="F33" s="70"/>
      <c r="G33" s="70"/>
      <c r="H33" s="6708"/>
      <c r="I33" s="6709"/>
      <c r="J33" s="6710"/>
      <c r="K33" s="20"/>
      <c r="L33" s="1797"/>
      <c r="M33" s="1781" t="str">
        <f>Tunneldrift!$M$100</f>
        <v>Forskjøvet oppstart</v>
      </c>
      <c r="N33" s="1781"/>
      <c r="O33" s="1781"/>
      <c r="P33" s="1781"/>
      <c r="Q33" s="1780"/>
      <c r="R33" s="1943" t="s">
        <v>146</v>
      </c>
      <c r="S33" s="1793"/>
      <c r="T33" s="20"/>
      <c r="U33" s="1780"/>
      <c r="V33" s="16"/>
      <c r="W33" s="1786"/>
      <c r="X33" s="1780"/>
      <c r="Y33" s="4225">
        <f>INDEX(outputs_oppsum[forsinket_uke],MATCH(_Calcs!$NO$41,outputs_oppsum[stuff_id],0))</f>
        <v>0</v>
      </c>
      <c r="Z33" s="1779"/>
      <c r="AA33" s="30" t="str">
        <f>IF(_Calcs!$NO$308&gt;0,"!","✓")</f>
        <v>!</v>
      </c>
      <c r="AB33" s="1779"/>
      <c r="AC33" s="1787"/>
      <c r="AD33" s="70"/>
      <c r="AE33" s="1786"/>
      <c r="AF33" s="1780"/>
      <c r="AG33" s="4225" t="e">
        <f>INDEX(outputs_oppsum[forsinket_uke],MATCH(_Calcs!$NP$41,outputs_oppsum[stuff_id],0))</f>
        <v>#N/A</v>
      </c>
      <c r="AH33" s="1779"/>
      <c r="AI33" s="30" t="e">
        <f>IF(_Calcs!$NP$308&gt;0,"!","✓")</f>
        <v>#N/A</v>
      </c>
      <c r="AJ33" s="1779"/>
      <c r="AK33" s="1787"/>
      <c r="AL33" s="70"/>
      <c r="AM33" s="1786"/>
      <c r="AN33" s="1780"/>
      <c r="AO33" s="4225" t="e">
        <f>INDEX(outputs_oppsum[forsinket_uke],MATCH(_Calcs!$NQ$41,outputs_oppsum[stuff_id],0))</f>
        <v>#N/A</v>
      </c>
      <c r="AP33" s="1779"/>
      <c r="AQ33" s="30" t="e">
        <f>IF(_Calcs!$NQ$308&gt;0,"!","✓")</f>
        <v>#N/A</v>
      </c>
      <c r="AR33" s="1779"/>
      <c r="AS33" s="1787"/>
      <c r="AT33" s="70"/>
      <c r="AU33" s="1786"/>
      <c r="AV33" s="1780"/>
      <c r="AW33" s="4225" t="e">
        <f>INDEX(outputs_oppsum[forsinket_uke],MATCH(_Calcs!$NR$41,outputs_oppsum[stuff_id],0))</f>
        <v>#N/A</v>
      </c>
      <c r="AX33" s="1779"/>
      <c r="AY33" s="30" t="e">
        <f>IF(_Calcs!$NR$308&gt;0,"!","✓")</f>
        <v>#N/A</v>
      </c>
      <c r="AZ33" s="1779"/>
      <c r="BA33" s="1787"/>
      <c r="BB33" s="70"/>
      <c r="BC33" s="1786"/>
      <c r="BD33" s="1780"/>
      <c r="BE33" s="4225" t="e">
        <f>INDEX(outputs_oppsum[forsinket_uke],MATCH(_Calcs!$NS$41,outputs_oppsum[stuff_id],0))</f>
        <v>#N/A</v>
      </c>
      <c r="BF33" s="1779"/>
      <c r="BG33" s="30" t="e">
        <f>IF(_Calcs!$NS$308&gt;0,"!","✓")</f>
        <v>#N/A</v>
      </c>
      <c r="BH33" s="1779"/>
      <c r="BI33" s="1787"/>
      <c r="BJ33" s="70"/>
      <c r="BK33" s="1786"/>
      <c r="BL33" s="1780"/>
      <c r="BM33" s="3340" t="e">
        <f>INDEX(outputs_oppsum[forsinket_uke],MATCH(_Calcs!$NT$41,outputs_oppsum[stuff_id],0))</f>
        <v>#N/A</v>
      </c>
      <c r="BN33" s="1779"/>
      <c r="BO33" s="30" t="e">
        <f>IF(_Calcs!$NT$308&gt;0,"!","✓")</f>
        <v>#N/A</v>
      </c>
      <c r="BP33" s="1779"/>
      <c r="BQ33" s="1787"/>
      <c r="BR33" s="70"/>
      <c r="BS33" s="1786"/>
      <c r="BT33" s="1780"/>
      <c r="BU33" s="3340" t="e">
        <f>INDEX(outputs_oppsum[forsinket_uke],MATCH(_Calcs!$NU$41,outputs_oppsum[stuff_id],0))</f>
        <v>#N/A</v>
      </c>
      <c r="BV33" s="1779"/>
      <c r="BW33" s="30" t="e">
        <f>IF(_Calcs!$NU$308&gt;0,"!","✓")</f>
        <v>#N/A</v>
      </c>
      <c r="BX33" s="1779"/>
      <c r="BY33" s="1787"/>
      <c r="BZ33" s="70"/>
      <c r="CA33" s="1786"/>
      <c r="CB33" s="1780"/>
      <c r="CC33" s="3340" t="e">
        <f>INDEX(outputs_oppsum[forsinket_uke],MATCH(_Calcs!$NV$41,outputs_oppsum[stuff_id],0))</f>
        <v>#N/A</v>
      </c>
      <c r="CD33" s="1779"/>
      <c r="CE33" s="30" t="e">
        <f>IF(_Calcs!$NV$308&gt;0,"!","✓")</f>
        <v>#N/A</v>
      </c>
      <c r="CF33" s="1779"/>
      <c r="CG33" s="1787"/>
      <c r="CH33" s="70"/>
      <c r="CI33" s="1786"/>
      <c r="CJ33" s="1780"/>
      <c r="CK33" s="3340" t="e">
        <f>INDEX(outputs_oppsum[forsinket_uke],MATCH(_Calcs!$NW$41,outputs_oppsum[stuff_id],0))</f>
        <v>#N/A</v>
      </c>
      <c r="CL33" s="1779"/>
      <c r="CM33" s="30" t="e">
        <f>IF(_Calcs!$NW$308&gt;0,"!","✓")</f>
        <v>#N/A</v>
      </c>
      <c r="CN33" s="1779"/>
      <c r="CO33" s="1787"/>
      <c r="CP33" s="70"/>
      <c r="CQ33" s="1779"/>
      <c r="CR33" s="70"/>
      <c r="CS33" s="70"/>
      <c r="CT33" s="70"/>
      <c r="CU33" s="70"/>
      <c r="CV33" s="70"/>
    </row>
    <row r="34" spans="3:135" s="21" customFormat="1" ht="15" customHeight="1" thickBot="1" x14ac:dyDescent="0.25">
      <c r="C34" s="25"/>
      <c r="D34" s="25"/>
      <c r="E34" s="25"/>
      <c r="F34" s="70"/>
      <c r="G34" s="70"/>
      <c r="H34" s="6711"/>
      <c r="I34" s="6712"/>
      <c r="J34" s="6713"/>
      <c r="K34" s="20"/>
      <c r="L34" s="1798"/>
      <c r="M34" s="1799"/>
      <c r="N34" s="1799"/>
      <c r="O34" s="1799"/>
      <c r="P34" s="1799"/>
      <c r="Q34" s="1789"/>
      <c r="R34" s="2052"/>
      <c r="S34" s="1794"/>
      <c r="T34" s="20"/>
      <c r="U34" s="1780"/>
      <c r="V34" s="16"/>
      <c r="W34" s="1788"/>
      <c r="X34" s="1789"/>
      <c r="Y34" s="1790"/>
      <c r="Z34" s="1790"/>
      <c r="AA34" s="1790"/>
      <c r="AB34" s="1790"/>
      <c r="AC34" s="1791"/>
      <c r="AD34" s="70"/>
      <c r="AE34" s="1788"/>
      <c r="AF34" s="1789"/>
      <c r="AG34" s="1790"/>
      <c r="AH34" s="1790"/>
      <c r="AI34" s="1790"/>
      <c r="AJ34" s="1790"/>
      <c r="AK34" s="1791"/>
      <c r="AL34" s="70"/>
      <c r="AM34" s="1788"/>
      <c r="AN34" s="1789"/>
      <c r="AO34" s="1790"/>
      <c r="AP34" s="1790"/>
      <c r="AQ34" s="1790"/>
      <c r="AR34" s="1790"/>
      <c r="AS34" s="1791"/>
      <c r="AT34" s="70"/>
      <c r="AU34" s="1788"/>
      <c r="AV34" s="1789"/>
      <c r="AW34" s="1790"/>
      <c r="AX34" s="1790"/>
      <c r="AY34" s="1790"/>
      <c r="AZ34" s="1790"/>
      <c r="BA34" s="1791"/>
      <c r="BB34" s="70"/>
      <c r="BC34" s="1788"/>
      <c r="BD34" s="1789"/>
      <c r="BE34" s="1790"/>
      <c r="BF34" s="1790"/>
      <c r="BG34" s="1790"/>
      <c r="BH34" s="1790"/>
      <c r="BI34" s="1791"/>
      <c r="BJ34" s="70"/>
      <c r="BK34" s="1788"/>
      <c r="BL34" s="1789"/>
      <c r="BM34" s="1790"/>
      <c r="BN34" s="1790"/>
      <c r="BO34" s="1790"/>
      <c r="BP34" s="1790"/>
      <c r="BQ34" s="1791"/>
      <c r="BR34" s="70"/>
      <c r="BS34" s="1788"/>
      <c r="BT34" s="1789"/>
      <c r="BU34" s="1790"/>
      <c r="BV34" s="1790"/>
      <c r="BW34" s="1790"/>
      <c r="BX34" s="1790"/>
      <c r="BY34" s="1791"/>
      <c r="BZ34" s="70"/>
      <c r="CA34" s="1788"/>
      <c r="CB34" s="1789"/>
      <c r="CC34" s="1790"/>
      <c r="CD34" s="1790"/>
      <c r="CE34" s="1790"/>
      <c r="CF34" s="1790"/>
      <c r="CG34" s="1791"/>
      <c r="CH34" s="70"/>
      <c r="CI34" s="1788"/>
      <c r="CJ34" s="1789"/>
      <c r="CK34" s="1790"/>
      <c r="CL34" s="1790"/>
      <c r="CM34" s="1790"/>
      <c r="CN34" s="1790"/>
      <c r="CO34" s="1791"/>
      <c r="CP34" s="70"/>
      <c r="CQ34" s="1779"/>
      <c r="CR34" s="70"/>
      <c r="CS34" s="70"/>
      <c r="CT34" s="70"/>
      <c r="CU34" s="70"/>
      <c r="CV34" s="70"/>
    </row>
    <row r="35" spans="3:135" s="21" customFormat="1" ht="30" customHeight="1" x14ac:dyDescent="0.2">
      <c r="C35" s="70"/>
      <c r="D35" s="638"/>
      <c r="E35" s="638"/>
      <c r="F35" s="638"/>
      <c r="G35" s="638"/>
      <c r="H35" s="638"/>
      <c r="I35" s="638"/>
      <c r="J35" s="638"/>
      <c r="K35" s="20"/>
      <c r="L35" s="20"/>
      <c r="M35" s="999"/>
      <c r="N35" s="999"/>
      <c r="O35" s="999"/>
      <c r="P35" s="999"/>
      <c r="Q35" s="16"/>
      <c r="R35" s="2023"/>
      <c r="S35" s="16"/>
      <c r="T35" s="20"/>
      <c r="U35" s="16"/>
      <c r="V35" s="16"/>
      <c r="W35" s="16"/>
      <c r="X35" s="16"/>
      <c r="Y35" s="16"/>
      <c r="Z35" s="17"/>
      <c r="AA35" s="78"/>
      <c r="AB35" s="78"/>
      <c r="AC35" s="78"/>
      <c r="AE35" s="16"/>
      <c r="AF35" s="16"/>
      <c r="AG35" s="16"/>
      <c r="AH35" s="17"/>
      <c r="AI35" s="78"/>
      <c r="AJ35" s="78"/>
      <c r="AK35" s="78"/>
      <c r="AM35" s="16"/>
      <c r="AN35" s="16"/>
      <c r="AO35" s="16"/>
      <c r="AP35" s="17"/>
      <c r="AQ35" s="78"/>
      <c r="AR35" s="78"/>
      <c r="AS35" s="78"/>
      <c r="AU35" s="16"/>
      <c r="AV35" s="16"/>
      <c r="AW35" s="16"/>
      <c r="AX35" s="17"/>
      <c r="AY35" s="78"/>
      <c r="AZ35" s="78"/>
      <c r="BA35" s="78"/>
      <c r="BC35" s="16"/>
      <c r="BD35" s="16"/>
      <c r="BE35" s="16"/>
      <c r="BF35" s="16"/>
      <c r="BG35" s="78"/>
      <c r="BH35" s="78"/>
      <c r="BI35" s="78"/>
      <c r="BK35" s="16"/>
      <c r="BL35" s="16"/>
      <c r="BM35" s="16"/>
      <c r="BN35" s="17"/>
      <c r="BO35" s="78"/>
      <c r="BP35" s="70"/>
      <c r="BQ35" s="70"/>
      <c r="BS35" s="16"/>
      <c r="BT35" s="16"/>
      <c r="BU35" s="16"/>
      <c r="BV35" s="17"/>
      <c r="BW35" s="78"/>
      <c r="BX35" s="70"/>
      <c r="BY35" s="70"/>
      <c r="CA35" s="16"/>
      <c r="CB35" s="16"/>
      <c r="CC35" s="16"/>
      <c r="CD35" s="17"/>
      <c r="CE35" s="78"/>
      <c r="CF35" s="70"/>
      <c r="CG35" s="70"/>
      <c r="CI35" s="16"/>
      <c r="CJ35" s="16"/>
      <c r="CK35" s="16"/>
      <c r="CL35" s="17"/>
      <c r="CM35" s="78"/>
      <c r="CN35" s="70"/>
      <c r="CO35" s="70"/>
      <c r="CQ35" s="70"/>
      <c r="CR35" s="70"/>
      <c r="CS35" s="70"/>
      <c r="CT35" s="70"/>
      <c r="CU35" s="70"/>
      <c r="CV35" s="70"/>
      <c r="CW35" s="70"/>
      <c r="CX35" s="70"/>
      <c r="CY35" s="70"/>
      <c r="CZ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row>
    <row r="36" spans="3:135" s="21" customFormat="1" ht="15" customHeight="1" x14ac:dyDescent="0.2">
      <c r="C36" s="70"/>
      <c r="D36" s="638"/>
      <c r="E36" s="638"/>
      <c r="F36" s="70"/>
      <c r="G36" s="70"/>
      <c r="H36" s="1694"/>
      <c r="I36" s="1694"/>
      <c r="J36" s="1694"/>
      <c r="K36" s="1695"/>
      <c r="L36" s="1695"/>
      <c r="M36" s="1696"/>
      <c r="N36" s="1696"/>
      <c r="O36" s="1696"/>
      <c r="P36" s="1696"/>
      <c r="Q36" s="1697"/>
      <c r="R36" s="2024"/>
      <c r="S36" s="1697"/>
      <c r="T36" s="1695"/>
      <c r="U36" s="1697"/>
      <c r="V36" s="1697"/>
      <c r="W36" s="1697"/>
      <c r="X36" s="1697"/>
      <c r="Y36" s="1697"/>
      <c r="Z36" s="1698"/>
      <c r="AA36" s="3953"/>
      <c r="AB36" s="3953"/>
      <c r="AC36" s="3953"/>
      <c r="AD36" s="3954"/>
      <c r="AE36" s="1697"/>
      <c r="AF36" s="1697"/>
      <c r="AG36" s="1697"/>
      <c r="AH36" s="1698"/>
      <c r="AI36" s="3953"/>
      <c r="AJ36" s="3953"/>
      <c r="AK36" s="3953"/>
      <c r="AL36" s="3954"/>
      <c r="AM36" s="1697"/>
      <c r="AN36" s="1697"/>
      <c r="AO36" s="1697"/>
      <c r="AP36" s="1698"/>
      <c r="AQ36" s="3953"/>
      <c r="AR36" s="3953"/>
      <c r="AS36" s="3953"/>
      <c r="AT36" s="3954"/>
      <c r="AU36" s="1697"/>
      <c r="AV36" s="1697"/>
      <c r="AW36" s="1697"/>
      <c r="AX36" s="1698"/>
      <c r="AY36" s="3953"/>
      <c r="AZ36" s="3953"/>
      <c r="BA36" s="3953"/>
      <c r="BB36" s="3954"/>
      <c r="BC36" s="1697"/>
      <c r="BD36" s="1697"/>
      <c r="BE36" s="1697"/>
      <c r="BF36" s="1697"/>
      <c r="BG36" s="3953"/>
      <c r="BH36" s="3953"/>
      <c r="BI36" s="3953"/>
      <c r="BJ36" s="3954"/>
      <c r="BK36" s="1697"/>
      <c r="BL36" s="1697"/>
      <c r="BM36" s="1697"/>
      <c r="BN36" s="1698"/>
      <c r="BO36" s="3953"/>
      <c r="BP36" s="1705"/>
      <c r="BQ36" s="1705"/>
      <c r="BR36" s="3954"/>
      <c r="BS36" s="1697"/>
      <c r="BT36" s="1697"/>
      <c r="BU36" s="1697"/>
      <c r="BV36" s="1698"/>
      <c r="BW36" s="3953"/>
      <c r="BX36" s="1705"/>
      <c r="BY36" s="1705"/>
      <c r="BZ36" s="3954"/>
      <c r="CA36" s="1697"/>
      <c r="CB36" s="1697"/>
      <c r="CC36" s="1697"/>
      <c r="CD36" s="1698"/>
      <c r="CE36" s="3953"/>
      <c r="CF36" s="1705"/>
      <c r="CG36" s="1705"/>
      <c r="CH36" s="3954"/>
      <c r="CI36" s="1697"/>
      <c r="CJ36" s="1697"/>
      <c r="CK36" s="1697"/>
      <c r="CL36" s="1698"/>
      <c r="CM36" s="3953"/>
      <c r="CN36" s="1705"/>
      <c r="CO36" s="1705"/>
      <c r="CP36" s="3954"/>
      <c r="CQ36" s="1705"/>
      <c r="CR36" s="70"/>
      <c r="CS36" s="70"/>
      <c r="CT36" s="70"/>
      <c r="CU36" s="70"/>
      <c r="CV36" s="70"/>
      <c r="CW36" s="70"/>
      <c r="CX36" s="70"/>
      <c r="CY36" s="70"/>
      <c r="CZ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row>
    <row r="37" spans="3:135" s="21" customFormat="1" ht="30" customHeight="1" thickBot="1" x14ac:dyDescent="0.25">
      <c r="C37" s="70"/>
      <c r="D37" s="638"/>
      <c r="E37" s="638"/>
      <c r="F37" s="638"/>
      <c r="G37" s="638"/>
      <c r="H37" s="638"/>
      <c r="I37" s="638"/>
      <c r="J37" s="638"/>
      <c r="K37" s="20"/>
      <c r="L37" s="20"/>
      <c r="M37" s="999"/>
      <c r="N37" s="999"/>
      <c r="O37" s="999"/>
      <c r="P37" s="999"/>
      <c r="Q37" s="16"/>
      <c r="R37" s="2023"/>
      <c r="S37" s="16"/>
      <c r="T37" s="20"/>
      <c r="U37" s="16"/>
      <c r="V37" s="16"/>
      <c r="W37" s="16"/>
      <c r="X37" s="16"/>
      <c r="Y37" s="16"/>
      <c r="Z37" s="17"/>
      <c r="AA37" s="78"/>
      <c r="AB37" s="78"/>
      <c r="AC37" s="78"/>
      <c r="AE37" s="16"/>
      <c r="AF37" s="16"/>
      <c r="AG37" s="16"/>
      <c r="AH37" s="17"/>
      <c r="AI37" s="78"/>
      <c r="AJ37" s="78"/>
      <c r="AK37" s="78"/>
      <c r="AM37" s="16"/>
      <c r="AN37" s="16"/>
      <c r="AO37" s="16"/>
      <c r="AP37" s="17"/>
      <c r="AQ37" s="78"/>
      <c r="AR37" s="78"/>
      <c r="AS37" s="78"/>
      <c r="AU37" s="16"/>
      <c r="AV37" s="16"/>
      <c r="AW37" s="16"/>
      <c r="AX37" s="17"/>
      <c r="AY37" s="78"/>
      <c r="AZ37" s="78"/>
      <c r="BA37" s="78"/>
      <c r="BC37" s="16"/>
      <c r="BD37" s="16"/>
      <c r="BE37" s="16"/>
      <c r="BF37" s="16"/>
      <c r="BG37" s="78"/>
      <c r="BH37" s="78"/>
      <c r="BI37" s="78"/>
      <c r="BK37" s="16"/>
      <c r="BL37" s="16"/>
      <c r="BM37" s="16"/>
      <c r="BN37" s="17"/>
      <c r="BO37" s="78"/>
      <c r="BP37" s="70"/>
      <c r="BQ37" s="70"/>
      <c r="BS37" s="16"/>
      <c r="BT37" s="16"/>
      <c r="BU37" s="16"/>
      <c r="BV37" s="17"/>
      <c r="BW37" s="78"/>
      <c r="BX37" s="70"/>
      <c r="BY37" s="70"/>
      <c r="CA37" s="16"/>
      <c r="CB37" s="16"/>
      <c r="CC37" s="16"/>
      <c r="CD37" s="17"/>
      <c r="CE37" s="78"/>
      <c r="CF37" s="70"/>
      <c r="CG37" s="70"/>
      <c r="CI37" s="16"/>
      <c r="CJ37" s="16"/>
      <c r="CK37" s="16"/>
      <c r="CL37" s="17"/>
      <c r="CM37" s="78"/>
      <c r="CN37" s="70"/>
      <c r="CO37" s="70"/>
      <c r="CQ37" s="70"/>
      <c r="CR37" s="70"/>
      <c r="CS37" s="70"/>
      <c r="CT37" s="70"/>
      <c r="CU37" s="70"/>
      <c r="CV37" s="70"/>
      <c r="CW37" s="70"/>
      <c r="CX37" s="70"/>
      <c r="CY37" s="70"/>
      <c r="CZ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row>
    <row r="38" spans="3:135" s="21" customFormat="1" ht="15" customHeight="1" thickBot="1" x14ac:dyDescent="0.25">
      <c r="C38" s="70"/>
      <c r="D38" s="25"/>
      <c r="E38" s="25"/>
      <c r="F38" s="6690" t="s">
        <v>139</v>
      </c>
      <c r="G38" s="70"/>
      <c r="H38" s="687"/>
      <c r="I38" s="688"/>
      <c r="J38" s="689"/>
      <c r="K38" s="20"/>
      <c r="L38" s="492"/>
      <c r="M38" s="1001"/>
      <c r="N38" s="1001"/>
      <c r="O38" s="1001"/>
      <c r="P38" s="1001"/>
      <c r="Q38" s="690"/>
      <c r="R38" s="2025"/>
      <c r="S38" s="493"/>
      <c r="T38" s="20"/>
      <c r="U38" s="53"/>
      <c r="V38" s="16"/>
      <c r="W38" s="492"/>
      <c r="X38" s="582"/>
      <c r="Y38" s="735"/>
      <c r="Z38" s="582"/>
      <c r="AA38" s="736"/>
      <c r="AB38" s="582"/>
      <c r="AC38" s="493"/>
      <c r="AE38" s="492"/>
      <c r="AF38" s="582"/>
      <c r="AG38" s="735"/>
      <c r="AH38" s="582"/>
      <c r="AI38" s="736"/>
      <c r="AJ38" s="582"/>
      <c r="AK38" s="493"/>
      <c r="AM38" s="492"/>
      <c r="AN38" s="582"/>
      <c r="AO38" s="735"/>
      <c r="AP38" s="582"/>
      <c r="AQ38" s="736"/>
      <c r="AR38" s="582"/>
      <c r="AS38" s="493"/>
      <c r="AU38" s="492"/>
      <c r="AV38" s="582"/>
      <c r="AW38" s="735"/>
      <c r="AX38" s="582"/>
      <c r="AY38" s="736"/>
      <c r="AZ38" s="582"/>
      <c r="BA38" s="493"/>
      <c r="BC38" s="492"/>
      <c r="BD38" s="582"/>
      <c r="BE38" s="735"/>
      <c r="BF38" s="582"/>
      <c r="BG38" s="736"/>
      <c r="BH38" s="582"/>
      <c r="BI38" s="493"/>
      <c r="BK38" s="492"/>
      <c r="BL38" s="582"/>
      <c r="BM38" s="735"/>
      <c r="BN38" s="582"/>
      <c r="BO38" s="736"/>
      <c r="BP38" s="582"/>
      <c r="BQ38" s="493"/>
      <c r="BS38" s="492"/>
      <c r="BT38" s="582"/>
      <c r="BU38" s="735"/>
      <c r="BV38" s="582"/>
      <c r="BW38" s="736"/>
      <c r="BX38" s="582"/>
      <c r="BY38" s="493"/>
      <c r="CA38" s="492"/>
      <c r="CB38" s="582"/>
      <c r="CC38" s="735"/>
      <c r="CD38" s="582"/>
      <c r="CE38" s="736"/>
      <c r="CF38" s="582"/>
      <c r="CG38" s="493"/>
      <c r="CI38" s="492"/>
      <c r="CJ38" s="582"/>
      <c r="CK38" s="735"/>
      <c r="CL38" s="582"/>
      <c r="CM38" s="736"/>
      <c r="CN38" s="582"/>
      <c r="CO38" s="493"/>
      <c r="CQ38" s="53"/>
      <c r="CR38" s="70"/>
      <c r="CS38" s="70"/>
      <c r="CT38" s="70"/>
      <c r="CU38" s="70"/>
      <c r="CV38" s="70"/>
      <c r="CW38" s="70"/>
      <c r="CX38" s="70"/>
      <c r="CY38" s="70"/>
      <c r="CZ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row>
    <row r="39" spans="3:135" s="21" customFormat="1" ht="8.1" customHeight="1" thickBot="1" x14ac:dyDescent="0.25">
      <c r="C39" s="70"/>
      <c r="D39" s="25"/>
      <c r="E39" s="25"/>
      <c r="F39" s="6691"/>
      <c r="G39" s="70"/>
      <c r="H39" s="16"/>
      <c r="I39" s="16"/>
      <c r="J39" s="16"/>
      <c r="K39" s="20"/>
      <c r="L39" s="17"/>
      <c r="M39" s="996"/>
      <c r="N39" s="996"/>
      <c r="O39" s="996"/>
      <c r="P39" s="996"/>
      <c r="Q39" s="624"/>
      <c r="R39" s="2023"/>
      <c r="S39" s="17"/>
      <c r="T39" s="20"/>
      <c r="U39" s="17"/>
      <c r="V39" s="16"/>
      <c r="W39" s="17"/>
      <c r="X39" s="17"/>
      <c r="Y39" s="36"/>
      <c r="Z39" s="17"/>
      <c r="AA39" s="138"/>
      <c r="AB39" s="17"/>
      <c r="AC39" s="17"/>
      <c r="AE39" s="17"/>
      <c r="AF39" s="17"/>
      <c r="AG39" s="36"/>
      <c r="AH39" s="17"/>
      <c r="AI39" s="138"/>
      <c r="AJ39" s="17"/>
      <c r="AK39" s="17"/>
      <c r="AM39" s="17"/>
      <c r="AN39" s="17"/>
      <c r="AO39" s="36"/>
      <c r="AP39" s="17"/>
      <c r="AQ39" s="138"/>
      <c r="AR39" s="17"/>
      <c r="AS39" s="17"/>
      <c r="AU39" s="17"/>
      <c r="AV39" s="17"/>
      <c r="AW39" s="36"/>
      <c r="AX39" s="17"/>
      <c r="AY39" s="138"/>
      <c r="AZ39" s="17"/>
      <c r="BA39" s="17"/>
      <c r="BC39" s="17"/>
      <c r="BD39" s="17"/>
      <c r="BE39" s="36"/>
      <c r="BF39" s="17"/>
      <c r="BG39" s="138"/>
      <c r="BH39" s="17"/>
      <c r="BI39" s="17"/>
      <c r="BK39" s="17"/>
      <c r="BL39" s="17"/>
      <c r="BM39" s="36"/>
      <c r="BN39" s="17"/>
      <c r="BO39" s="138"/>
      <c r="BP39" s="17"/>
      <c r="BQ39" s="17"/>
      <c r="BS39" s="17"/>
      <c r="BT39" s="17"/>
      <c r="BU39" s="36"/>
      <c r="BV39" s="17"/>
      <c r="BW39" s="138"/>
      <c r="BX39" s="17"/>
      <c r="BY39" s="17"/>
      <c r="CA39" s="17"/>
      <c r="CB39" s="17"/>
      <c r="CC39" s="36"/>
      <c r="CD39" s="17"/>
      <c r="CE39" s="138"/>
      <c r="CF39" s="17"/>
      <c r="CG39" s="17"/>
      <c r="CI39" s="17"/>
      <c r="CJ39" s="17"/>
      <c r="CK39" s="36"/>
      <c r="CL39" s="17"/>
      <c r="CM39" s="138"/>
      <c r="CN39" s="17"/>
      <c r="CO39" s="17"/>
      <c r="CQ39" s="17"/>
      <c r="CR39" s="70"/>
      <c r="CS39" s="70"/>
      <c r="CT39" s="70"/>
      <c r="CU39" s="70"/>
      <c r="CV39" s="70"/>
      <c r="CW39" s="70"/>
      <c r="CX39" s="70"/>
      <c r="CY39" s="70"/>
      <c r="CZ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row>
    <row r="40" spans="3:135" s="21" customFormat="1" ht="15" customHeight="1" thickBot="1" x14ac:dyDescent="0.25">
      <c r="C40" s="70"/>
      <c r="D40" s="25"/>
      <c r="E40" s="25"/>
      <c r="F40" s="6691"/>
      <c r="G40" s="70"/>
      <c r="H40" s="1081"/>
      <c r="I40" s="1082"/>
      <c r="J40" s="1083"/>
      <c r="K40" s="20"/>
      <c r="L40" s="574"/>
      <c r="M40" s="981"/>
      <c r="N40" s="981"/>
      <c r="O40" s="981"/>
      <c r="P40" s="981"/>
      <c r="Q40" s="727"/>
      <c r="R40" s="2026"/>
      <c r="S40" s="729"/>
      <c r="T40" s="20"/>
      <c r="U40" s="56"/>
      <c r="V40" s="16"/>
      <c r="W40" s="737"/>
      <c r="X40" s="728"/>
      <c r="Y40" s="738"/>
      <c r="Z40" s="576"/>
      <c r="AA40" s="739"/>
      <c r="AB40" s="728"/>
      <c r="AC40" s="729"/>
      <c r="AE40" s="737"/>
      <c r="AF40" s="728"/>
      <c r="AG40" s="738"/>
      <c r="AH40" s="576"/>
      <c r="AI40" s="739"/>
      <c r="AJ40" s="728"/>
      <c r="AK40" s="729"/>
      <c r="AM40" s="737"/>
      <c r="AN40" s="728"/>
      <c r="AO40" s="738"/>
      <c r="AP40" s="576"/>
      <c r="AQ40" s="739"/>
      <c r="AR40" s="728"/>
      <c r="AS40" s="729"/>
      <c r="AU40" s="737"/>
      <c r="AV40" s="728"/>
      <c r="AW40" s="738"/>
      <c r="AX40" s="576"/>
      <c r="AY40" s="739"/>
      <c r="AZ40" s="728"/>
      <c r="BA40" s="729"/>
      <c r="BC40" s="737"/>
      <c r="BD40" s="728"/>
      <c r="BE40" s="738"/>
      <c r="BF40" s="576"/>
      <c r="BG40" s="739"/>
      <c r="BH40" s="728"/>
      <c r="BI40" s="729"/>
      <c r="BK40" s="737"/>
      <c r="BL40" s="728"/>
      <c r="BM40" s="738"/>
      <c r="BN40" s="576"/>
      <c r="BO40" s="739"/>
      <c r="BP40" s="728"/>
      <c r="BQ40" s="729"/>
      <c r="BS40" s="737"/>
      <c r="BT40" s="728"/>
      <c r="BU40" s="738"/>
      <c r="BV40" s="576"/>
      <c r="BW40" s="739"/>
      <c r="BX40" s="728"/>
      <c r="BY40" s="729"/>
      <c r="CA40" s="737"/>
      <c r="CB40" s="728"/>
      <c r="CC40" s="738"/>
      <c r="CD40" s="576"/>
      <c r="CE40" s="739"/>
      <c r="CF40" s="728"/>
      <c r="CG40" s="729"/>
      <c r="CI40" s="737"/>
      <c r="CJ40" s="728"/>
      <c r="CK40" s="738"/>
      <c r="CL40" s="576"/>
      <c r="CM40" s="739"/>
      <c r="CN40" s="728"/>
      <c r="CO40" s="729"/>
      <c r="CQ40" s="56"/>
      <c r="CR40" s="70"/>
      <c r="CS40" s="70"/>
      <c r="CT40" s="70"/>
      <c r="CU40" s="70"/>
      <c r="CV40" s="70"/>
      <c r="CW40" s="70"/>
      <c r="CX40" s="70"/>
      <c r="CY40" s="70"/>
      <c r="CZ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row>
    <row r="41" spans="3:135" s="21" customFormat="1" ht="20.100000000000001" customHeight="1" thickBot="1" x14ac:dyDescent="0.25">
      <c r="C41" s="70"/>
      <c r="D41" s="25"/>
      <c r="E41" s="25"/>
      <c r="F41" s="6691"/>
      <c r="G41" s="70"/>
      <c r="H41" s="6674" t="s">
        <v>83</v>
      </c>
      <c r="I41" s="6675"/>
      <c r="J41" s="6676"/>
      <c r="K41" s="20"/>
      <c r="L41" s="577"/>
      <c r="M41" s="982" t="str">
        <f>_Calcs!$M$43</f>
        <v>Sondérboring</v>
      </c>
      <c r="N41" s="982"/>
      <c r="O41" s="982"/>
      <c r="P41" s="982"/>
      <c r="Q41" s="55"/>
      <c r="R41" s="2027" t="s">
        <v>46</v>
      </c>
      <c r="S41" s="730"/>
      <c r="T41" s="20"/>
      <c r="U41" s="56"/>
      <c r="V41" s="16"/>
      <c r="W41" s="740"/>
      <c r="X41" s="56"/>
      <c r="Y41" s="46">
        <f>INDEX(outputs_oppsum[total_sonder],MATCH(_Calcs!$NO$41,outputs_oppsum[stuff_id],0))</f>
        <v>0</v>
      </c>
      <c r="Z41" s="59"/>
      <c r="AA41" s="30" t="str">
        <f>IF(_Calcs!$NO282&gt;0,"!","✓")</f>
        <v>!</v>
      </c>
      <c r="AB41" s="56"/>
      <c r="AC41" s="730"/>
      <c r="AE41" s="740"/>
      <c r="AF41" s="56"/>
      <c r="AG41" s="46" t="e">
        <f>INDEX(outputs_oppsum[total_sonder],MATCH(_Calcs!$NP$41,outputs_oppsum[stuff_id],0))</f>
        <v>#N/A</v>
      </c>
      <c r="AH41" s="59"/>
      <c r="AI41" s="30" t="e">
        <f>IF(_Calcs!$NP282&gt;0,"!","✓")</f>
        <v>#N/A</v>
      </c>
      <c r="AJ41" s="56"/>
      <c r="AK41" s="730"/>
      <c r="AM41" s="740"/>
      <c r="AN41" s="56"/>
      <c r="AO41" s="46" t="e">
        <f>INDEX(outputs_oppsum[total_sonder],MATCH(_Calcs!$NQ$41,outputs_oppsum[stuff_id],0))</f>
        <v>#N/A</v>
      </c>
      <c r="AP41" s="59"/>
      <c r="AQ41" s="30" t="e">
        <f>IF(_Calcs!$NQ282&gt;0,"!","✓")</f>
        <v>#N/A</v>
      </c>
      <c r="AR41" s="56"/>
      <c r="AS41" s="730"/>
      <c r="AU41" s="740"/>
      <c r="AV41" s="56"/>
      <c r="AW41" s="46" t="e">
        <f>INDEX(outputs_oppsum[total_sonder],MATCH(_Calcs!$NR$41,outputs_oppsum[stuff_id],0))</f>
        <v>#N/A</v>
      </c>
      <c r="AX41" s="59"/>
      <c r="AY41" s="30" t="e">
        <f>IF(_Calcs!$NR282&gt;0,"!","✓")</f>
        <v>#N/A</v>
      </c>
      <c r="AZ41" s="56"/>
      <c r="BA41" s="730"/>
      <c r="BC41" s="740"/>
      <c r="BD41" s="56"/>
      <c r="BE41" s="46" t="e">
        <f>INDEX(outputs_oppsum[total_sonder],MATCH(_Calcs!$NS$41,outputs_oppsum[stuff_id],0))</f>
        <v>#N/A</v>
      </c>
      <c r="BF41" s="59"/>
      <c r="BG41" s="30" t="e">
        <f>IF(_Calcs!$NS282&gt;0,"!","✓")</f>
        <v>#N/A</v>
      </c>
      <c r="BH41" s="56"/>
      <c r="BI41" s="730"/>
      <c r="BK41" s="740"/>
      <c r="BL41" s="56"/>
      <c r="BM41" s="46" t="e">
        <f>INDEX(outputs_oppsum[total_sonder],MATCH(_Calcs!$NT$41,outputs_oppsum[stuff_id],0))</f>
        <v>#N/A</v>
      </c>
      <c r="BN41" s="59"/>
      <c r="BO41" s="30" t="e">
        <f>IF(_Calcs!$NT282&gt;0,"!","✓")</f>
        <v>#N/A</v>
      </c>
      <c r="BP41" s="56"/>
      <c r="BQ41" s="730"/>
      <c r="BS41" s="740"/>
      <c r="BT41" s="56"/>
      <c r="BU41" s="46" t="e">
        <f>INDEX(outputs_oppsum[total_sonder],MATCH(_Calcs!$NU$41,outputs_oppsum[stuff_id],0))</f>
        <v>#N/A</v>
      </c>
      <c r="BV41" s="59"/>
      <c r="BW41" s="30" t="e">
        <f>IF(_Calcs!$NU282&gt;0,"!","✓")</f>
        <v>#N/A</v>
      </c>
      <c r="BX41" s="56"/>
      <c r="BY41" s="730"/>
      <c r="CA41" s="740"/>
      <c r="CB41" s="56"/>
      <c r="CC41" s="46" t="e">
        <f>INDEX(outputs_oppsum[total_sonder],MATCH(_Calcs!$NV$41,outputs_oppsum[stuff_id],0))</f>
        <v>#N/A</v>
      </c>
      <c r="CD41" s="59"/>
      <c r="CE41" s="30" t="e">
        <f>IF(_Calcs!$NV282&gt;0,"!","✓")</f>
        <v>#N/A</v>
      </c>
      <c r="CF41" s="56"/>
      <c r="CG41" s="730"/>
      <c r="CI41" s="740"/>
      <c r="CJ41" s="56"/>
      <c r="CK41" s="46" t="e">
        <f>INDEX(outputs_oppsum[total_sonder],MATCH(_Calcs!$NW$41,outputs_oppsum[stuff_id],0))</f>
        <v>#N/A</v>
      </c>
      <c r="CL41" s="59"/>
      <c r="CM41" s="30" t="e">
        <f>IF(_Calcs!$NW282&gt;0,"!","✓")</f>
        <v>#N/A</v>
      </c>
      <c r="CN41" s="56"/>
      <c r="CO41" s="730"/>
      <c r="CQ41" s="56"/>
      <c r="CR41" s="70"/>
      <c r="CS41" s="70"/>
      <c r="CT41" s="70"/>
      <c r="CU41" s="70"/>
      <c r="CV41" s="70"/>
      <c r="CW41" s="70"/>
      <c r="CX41" s="70"/>
      <c r="CY41" s="70"/>
      <c r="CZ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row>
    <row r="42" spans="3:135" s="21" customFormat="1" ht="15.75" thickBot="1" x14ac:dyDescent="0.25">
      <c r="C42" s="70"/>
      <c r="D42" s="25"/>
      <c r="E42" s="25"/>
      <c r="F42" s="6691"/>
      <c r="G42" s="70"/>
      <c r="H42" s="6674"/>
      <c r="I42" s="6675"/>
      <c r="J42" s="6676"/>
      <c r="K42" s="20"/>
      <c r="L42" s="577"/>
      <c r="M42" s="982"/>
      <c r="N42" s="982"/>
      <c r="O42" s="982"/>
      <c r="P42" s="982"/>
      <c r="Q42" s="55"/>
      <c r="R42" s="2027"/>
      <c r="S42" s="730"/>
      <c r="T42" s="20"/>
      <c r="U42" s="56"/>
      <c r="V42" s="16"/>
      <c r="W42" s="740"/>
      <c r="X42" s="56"/>
      <c r="Y42" s="58"/>
      <c r="Z42" s="59"/>
      <c r="AA42" s="741"/>
      <c r="AB42" s="56"/>
      <c r="AC42" s="730"/>
      <c r="AE42" s="740"/>
      <c r="AF42" s="56"/>
      <c r="AG42" s="58"/>
      <c r="AH42" s="59"/>
      <c r="AI42" s="741"/>
      <c r="AJ42" s="56"/>
      <c r="AK42" s="730"/>
      <c r="AM42" s="740"/>
      <c r="AN42" s="56"/>
      <c r="AO42" s="58"/>
      <c r="AP42" s="59"/>
      <c r="AQ42" s="741"/>
      <c r="AR42" s="56"/>
      <c r="AS42" s="730"/>
      <c r="AU42" s="740"/>
      <c r="AV42" s="56"/>
      <c r="AW42" s="58"/>
      <c r="AX42" s="59"/>
      <c r="AY42" s="741"/>
      <c r="AZ42" s="56"/>
      <c r="BA42" s="730"/>
      <c r="BC42" s="740"/>
      <c r="BD42" s="56"/>
      <c r="BE42" s="58"/>
      <c r="BF42" s="59"/>
      <c r="BG42" s="741"/>
      <c r="BH42" s="56"/>
      <c r="BI42" s="730"/>
      <c r="BK42" s="740"/>
      <c r="BL42" s="56"/>
      <c r="BM42" s="58"/>
      <c r="BN42" s="59"/>
      <c r="BO42" s="741"/>
      <c r="BP42" s="56"/>
      <c r="BQ42" s="730"/>
      <c r="BS42" s="740"/>
      <c r="BT42" s="56"/>
      <c r="BU42" s="58"/>
      <c r="BV42" s="59"/>
      <c r="BW42" s="741"/>
      <c r="BX42" s="56"/>
      <c r="BY42" s="730"/>
      <c r="CA42" s="740"/>
      <c r="CB42" s="56"/>
      <c r="CC42" s="58"/>
      <c r="CD42" s="59"/>
      <c r="CE42" s="741"/>
      <c r="CF42" s="56"/>
      <c r="CG42" s="730"/>
      <c r="CI42" s="740"/>
      <c r="CJ42" s="56"/>
      <c r="CK42" s="58"/>
      <c r="CL42" s="59"/>
      <c r="CM42" s="741"/>
      <c r="CN42" s="56"/>
      <c r="CO42" s="730"/>
      <c r="CQ42" s="60"/>
      <c r="CR42" s="70"/>
      <c r="CS42" s="70"/>
      <c r="CT42" s="70"/>
      <c r="CU42" s="70"/>
      <c r="CV42" s="114" t="e">
        <f>BE41+BM41+BU41+CC41+CC43+BU43+BM43+BE43</f>
        <v>#N/A</v>
      </c>
      <c r="CW42" s="70"/>
      <c r="CX42" s="70"/>
      <c r="CY42" s="70"/>
      <c r="CZ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row>
    <row r="43" spans="3:135" s="21" customFormat="1" ht="20.100000000000001" customHeight="1" thickBot="1" x14ac:dyDescent="0.25">
      <c r="C43" s="70"/>
      <c r="D43" s="25"/>
      <c r="E43" s="25"/>
      <c r="F43" s="6691"/>
      <c r="G43" s="70"/>
      <c r="H43" s="6674"/>
      <c r="I43" s="6675"/>
      <c r="J43" s="6676"/>
      <c r="K43" s="20"/>
      <c r="L43" s="577"/>
      <c r="M43" s="982" t="s">
        <v>5</v>
      </c>
      <c r="N43" s="982"/>
      <c r="O43" s="982"/>
      <c r="P43" s="982"/>
      <c r="Q43" s="55"/>
      <c r="R43" s="2027" t="s">
        <v>46</v>
      </c>
      <c r="S43" s="730"/>
      <c r="T43" s="20"/>
      <c r="U43" s="56"/>
      <c r="V43" s="16"/>
      <c r="W43" s="740"/>
      <c r="X43" s="56"/>
      <c r="Y43" s="46">
        <f>INDEX(outputs_oppsum[total_inj],MATCH(_Calcs!$NO$41,outputs_oppsum[stuff_id],0))</f>
        <v>0</v>
      </c>
      <c r="Z43" s="59"/>
      <c r="AA43" s="30" t="str">
        <f>IF(_Calcs!$NO283&gt;0,"!","✓")</f>
        <v>!</v>
      </c>
      <c r="AB43" s="56"/>
      <c r="AC43" s="730"/>
      <c r="AD43" s="70"/>
      <c r="AE43" s="740"/>
      <c r="AF43" s="56"/>
      <c r="AG43" s="46" t="e">
        <f>INDEX(outputs_oppsum[total_inj],MATCH(_Calcs!$NP$41,outputs_oppsum[stuff_id],0))</f>
        <v>#N/A</v>
      </c>
      <c r="AH43" s="59"/>
      <c r="AI43" s="30" t="e">
        <f>IF(_Calcs!$NP283&gt;0,"!","✓")</f>
        <v>#N/A</v>
      </c>
      <c r="AJ43" s="56"/>
      <c r="AK43" s="730"/>
      <c r="AL43" s="70"/>
      <c r="AM43" s="740"/>
      <c r="AN43" s="56"/>
      <c r="AO43" s="46" t="e">
        <f>INDEX(outputs_oppsum[total_inj],MATCH(_Calcs!$NQ$41,outputs_oppsum[stuff_id],0))</f>
        <v>#N/A</v>
      </c>
      <c r="AP43" s="59"/>
      <c r="AQ43" s="30" t="e">
        <f>IF(_Calcs!$NQ283&gt;0,"!","✓")</f>
        <v>#N/A</v>
      </c>
      <c r="AR43" s="56"/>
      <c r="AS43" s="730"/>
      <c r="AT43" s="70"/>
      <c r="AU43" s="740"/>
      <c r="AV43" s="56"/>
      <c r="AW43" s="46" t="e">
        <f>INDEX(outputs_oppsum[total_inj],MATCH(_Calcs!$NR$41,outputs_oppsum[stuff_id],0))</f>
        <v>#N/A</v>
      </c>
      <c r="AX43" s="59"/>
      <c r="AY43" s="30" t="e">
        <f>IF(_Calcs!$NR283&gt;0,"!","✓")</f>
        <v>#N/A</v>
      </c>
      <c r="AZ43" s="56"/>
      <c r="BA43" s="730"/>
      <c r="BB43" s="70"/>
      <c r="BC43" s="740"/>
      <c r="BD43" s="56"/>
      <c r="BE43" s="46" t="e">
        <f>INDEX(outputs_oppsum[total_inj],MATCH(_Calcs!$NS$41,outputs_oppsum[stuff_id],0))</f>
        <v>#N/A</v>
      </c>
      <c r="BF43" s="59"/>
      <c r="BG43" s="30" t="e">
        <f>IF(_Calcs!$NS283&gt;0,"!","✓")</f>
        <v>#N/A</v>
      </c>
      <c r="BH43" s="56"/>
      <c r="BI43" s="730"/>
      <c r="BJ43" s="70"/>
      <c r="BK43" s="740"/>
      <c r="BL43" s="56"/>
      <c r="BM43" s="46" t="e">
        <f>INDEX(outputs_oppsum[total_inj],MATCH(_Calcs!$NT$41,outputs_oppsum[stuff_id],0))</f>
        <v>#N/A</v>
      </c>
      <c r="BN43" s="59"/>
      <c r="BO43" s="30" t="e">
        <f>IF(_Calcs!$NT283&gt;0,"!","✓")</f>
        <v>#N/A</v>
      </c>
      <c r="BP43" s="56"/>
      <c r="BQ43" s="730"/>
      <c r="BR43" s="70"/>
      <c r="BS43" s="740"/>
      <c r="BT43" s="56"/>
      <c r="BU43" s="46" t="e">
        <f>INDEX(outputs_oppsum[total_inj],MATCH(_Calcs!$NU$41,outputs_oppsum[stuff_id],0))</f>
        <v>#N/A</v>
      </c>
      <c r="BV43" s="59"/>
      <c r="BW43" s="30" t="e">
        <f>IF(_Calcs!$NU283&gt;0,"!","✓")</f>
        <v>#N/A</v>
      </c>
      <c r="BX43" s="56"/>
      <c r="BY43" s="730"/>
      <c r="BZ43" s="70"/>
      <c r="CA43" s="740"/>
      <c r="CB43" s="56"/>
      <c r="CC43" s="46" t="e">
        <f>INDEX(outputs_oppsum[total_inj],MATCH(_Calcs!$NV$41,outputs_oppsum[stuff_id],0))</f>
        <v>#N/A</v>
      </c>
      <c r="CD43" s="59"/>
      <c r="CE43" s="30" t="e">
        <f>IF(_Calcs!$NV283&gt;0,"!","✓")</f>
        <v>#N/A</v>
      </c>
      <c r="CF43" s="56"/>
      <c r="CG43" s="730"/>
      <c r="CH43" s="70"/>
      <c r="CI43" s="740"/>
      <c r="CJ43" s="56"/>
      <c r="CK43" s="46" t="e">
        <f>INDEX(outputs_oppsum[total_inj],MATCH(_Calcs!$NW$41,outputs_oppsum[stuff_id],0))</f>
        <v>#N/A</v>
      </c>
      <c r="CL43" s="59"/>
      <c r="CM43" s="30" t="e">
        <f>IF(_Calcs!$NW283&gt;0,"!","✓")</f>
        <v>#N/A</v>
      </c>
      <c r="CN43" s="56"/>
      <c r="CO43" s="730"/>
      <c r="CP43" s="70"/>
      <c r="CQ43" s="61"/>
      <c r="CR43" s="70"/>
      <c r="CS43" s="70"/>
      <c r="CT43" s="70"/>
      <c r="CU43" s="70"/>
      <c r="CV43" s="70"/>
      <c r="CW43" s="70"/>
      <c r="CX43" s="70"/>
      <c r="CY43" s="70"/>
      <c r="CZ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row>
    <row r="44" spans="3:135" s="21" customFormat="1" ht="15" customHeight="1" thickBot="1" x14ac:dyDescent="0.25">
      <c r="C44" s="70"/>
      <c r="D44" s="25"/>
      <c r="E44" s="25"/>
      <c r="F44" s="6691"/>
      <c r="G44" s="70"/>
      <c r="H44" s="1084"/>
      <c r="I44" s="1085"/>
      <c r="J44" s="1086"/>
      <c r="K44" s="20"/>
      <c r="L44" s="731"/>
      <c r="M44" s="983"/>
      <c r="N44" s="983"/>
      <c r="O44" s="983"/>
      <c r="P44" s="983"/>
      <c r="Q44" s="732"/>
      <c r="R44" s="2028"/>
      <c r="S44" s="734"/>
      <c r="T44" s="20"/>
      <c r="U44" s="56"/>
      <c r="V44" s="16"/>
      <c r="W44" s="742"/>
      <c r="X44" s="743"/>
      <c r="Y44" s="744"/>
      <c r="Z44" s="745"/>
      <c r="AA44" s="746"/>
      <c r="AB44" s="743"/>
      <c r="AC44" s="734"/>
      <c r="AE44" s="742"/>
      <c r="AF44" s="743"/>
      <c r="AG44" s="744"/>
      <c r="AH44" s="745"/>
      <c r="AI44" s="746"/>
      <c r="AJ44" s="743"/>
      <c r="AK44" s="734"/>
      <c r="AM44" s="742"/>
      <c r="AN44" s="743"/>
      <c r="AO44" s="744"/>
      <c r="AP44" s="745"/>
      <c r="AQ44" s="746"/>
      <c r="AR44" s="743"/>
      <c r="AS44" s="734"/>
      <c r="AU44" s="742"/>
      <c r="AV44" s="743"/>
      <c r="AW44" s="744"/>
      <c r="AX44" s="745"/>
      <c r="AY44" s="746"/>
      <c r="AZ44" s="743"/>
      <c r="BA44" s="734"/>
      <c r="BC44" s="742"/>
      <c r="BD44" s="743"/>
      <c r="BE44" s="744"/>
      <c r="BF44" s="745"/>
      <c r="BG44" s="746"/>
      <c r="BH44" s="743"/>
      <c r="BI44" s="734"/>
      <c r="BK44" s="742"/>
      <c r="BL44" s="743"/>
      <c r="BM44" s="744"/>
      <c r="BN44" s="745"/>
      <c r="BO44" s="746"/>
      <c r="BP44" s="743"/>
      <c r="BQ44" s="734"/>
      <c r="BS44" s="742"/>
      <c r="BT44" s="743"/>
      <c r="BU44" s="744"/>
      <c r="BV44" s="745"/>
      <c r="BW44" s="746"/>
      <c r="BX44" s="743"/>
      <c r="BY44" s="734"/>
      <c r="CA44" s="742"/>
      <c r="CB44" s="743"/>
      <c r="CC44" s="744"/>
      <c r="CD44" s="745"/>
      <c r="CE44" s="746"/>
      <c r="CF44" s="743"/>
      <c r="CG44" s="734"/>
      <c r="CI44" s="742"/>
      <c r="CJ44" s="743"/>
      <c r="CK44" s="744"/>
      <c r="CL44" s="745"/>
      <c r="CM44" s="746"/>
      <c r="CN44" s="743"/>
      <c r="CO44" s="734"/>
      <c r="CQ44" s="60"/>
      <c r="CR44" s="70"/>
      <c r="CS44" s="70"/>
      <c r="CT44" s="70"/>
      <c r="CU44" s="70"/>
      <c r="CV44" s="70"/>
      <c r="CW44" s="70"/>
      <c r="CX44" s="70"/>
      <c r="CY44" s="70"/>
      <c r="CZ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row>
    <row r="45" spans="3:135" s="21" customFormat="1" ht="15" customHeight="1" thickBot="1" x14ac:dyDescent="0.25">
      <c r="C45" s="70"/>
      <c r="D45" s="25"/>
      <c r="E45" s="25"/>
      <c r="F45" s="6691"/>
      <c r="G45" s="70"/>
      <c r="H45" s="16"/>
      <c r="I45" s="16"/>
      <c r="J45" s="16"/>
      <c r="K45" s="20"/>
      <c r="L45" s="14"/>
      <c r="M45" s="974"/>
      <c r="N45" s="974"/>
      <c r="O45" s="974"/>
      <c r="P45" s="974"/>
      <c r="Q45" s="69"/>
      <c r="R45" s="2023"/>
      <c r="S45" s="35"/>
      <c r="T45" s="20"/>
      <c r="U45" s="35"/>
      <c r="V45" s="16"/>
      <c r="W45" s="35"/>
      <c r="X45" s="35"/>
      <c r="Y45" s="36"/>
      <c r="Z45" s="17"/>
      <c r="AA45" s="70"/>
      <c r="AB45" s="70"/>
      <c r="AC45" s="70"/>
      <c r="AE45" s="35"/>
      <c r="AF45" s="35"/>
      <c r="AG45" s="36"/>
      <c r="AH45" s="17"/>
      <c r="AI45" s="70"/>
      <c r="AJ45" s="70"/>
      <c r="AK45" s="70"/>
      <c r="AM45" s="35"/>
      <c r="AN45" s="35"/>
      <c r="AO45" s="36"/>
      <c r="AP45" s="17"/>
      <c r="AQ45" s="70"/>
      <c r="AR45" s="70"/>
      <c r="AS45" s="70"/>
      <c r="AU45" s="35"/>
      <c r="AV45" s="35"/>
      <c r="AW45" s="36"/>
      <c r="AX45" s="17"/>
      <c r="AY45" s="70"/>
      <c r="AZ45" s="70"/>
      <c r="BA45" s="70"/>
      <c r="BC45" s="35"/>
      <c r="BD45" s="35"/>
      <c r="BE45" s="36"/>
      <c r="BF45" s="17"/>
      <c r="BG45" s="70"/>
      <c r="BH45" s="70"/>
      <c r="BI45" s="70"/>
      <c r="BK45" s="35"/>
      <c r="BL45" s="35"/>
      <c r="BM45" s="36"/>
      <c r="BN45" s="17"/>
      <c r="BO45" s="70"/>
      <c r="BP45" s="70"/>
      <c r="BQ45" s="70"/>
      <c r="BS45" s="35"/>
      <c r="BT45" s="35"/>
      <c r="BU45" s="36"/>
      <c r="BV45" s="17"/>
      <c r="BW45" s="70"/>
      <c r="BX45" s="70"/>
      <c r="BY45" s="70"/>
      <c r="CA45" s="35"/>
      <c r="CB45" s="35"/>
      <c r="CC45" s="36"/>
      <c r="CD45" s="17"/>
      <c r="CE45" s="70"/>
      <c r="CF45" s="70"/>
      <c r="CG45" s="70"/>
      <c r="CI45" s="35"/>
      <c r="CJ45" s="35"/>
      <c r="CK45" s="36"/>
      <c r="CL45" s="17"/>
      <c r="CM45" s="70"/>
      <c r="CN45" s="70"/>
      <c r="CO45" s="70"/>
      <c r="CQ45" s="50"/>
      <c r="CR45" s="70"/>
      <c r="CS45" s="70"/>
      <c r="CT45" s="70"/>
      <c r="CU45" s="70"/>
      <c r="CV45" s="70"/>
      <c r="CW45" s="70"/>
      <c r="CX45" s="70"/>
      <c r="CY45" s="70"/>
      <c r="CZ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row>
    <row r="46" spans="3:135" s="21" customFormat="1" ht="15" customHeight="1" thickBot="1" x14ac:dyDescent="0.25">
      <c r="C46" s="70"/>
      <c r="D46" s="25"/>
      <c r="E46" s="25"/>
      <c r="F46" s="6691"/>
      <c r="G46" s="70"/>
      <c r="H46" s="969"/>
      <c r="I46" s="970"/>
      <c r="J46" s="691"/>
      <c r="K46" s="20"/>
      <c r="L46" s="720"/>
      <c r="M46" s="1002"/>
      <c r="N46" s="1002"/>
      <c r="O46" s="1002"/>
      <c r="P46" s="1002"/>
      <c r="Q46" s="3955"/>
      <c r="R46" s="2029"/>
      <c r="S46" s="722"/>
      <c r="T46" s="20"/>
      <c r="U46" s="62"/>
      <c r="V46" s="16"/>
      <c r="W46" s="723"/>
      <c r="X46" s="724"/>
      <c r="Y46" s="725"/>
      <c r="Z46" s="726"/>
      <c r="AA46" s="3956"/>
      <c r="AB46" s="3956"/>
      <c r="AC46" s="3957"/>
      <c r="AE46" s="723"/>
      <c r="AF46" s="724"/>
      <c r="AG46" s="725"/>
      <c r="AH46" s="726"/>
      <c r="AI46" s="3956"/>
      <c r="AJ46" s="3956"/>
      <c r="AK46" s="3957"/>
      <c r="AM46" s="723"/>
      <c r="AN46" s="724"/>
      <c r="AO46" s="725"/>
      <c r="AP46" s="726"/>
      <c r="AQ46" s="3956"/>
      <c r="AR46" s="3956"/>
      <c r="AS46" s="3957"/>
      <c r="AU46" s="723"/>
      <c r="AV46" s="724"/>
      <c r="AW46" s="725"/>
      <c r="AX46" s="726"/>
      <c r="AY46" s="3956"/>
      <c r="AZ46" s="3956"/>
      <c r="BA46" s="3957"/>
      <c r="BC46" s="723"/>
      <c r="BD46" s="724"/>
      <c r="BE46" s="725"/>
      <c r="BF46" s="726"/>
      <c r="BG46" s="3956"/>
      <c r="BH46" s="3956"/>
      <c r="BI46" s="3957"/>
      <c r="BK46" s="723"/>
      <c r="BL46" s="724"/>
      <c r="BM46" s="725"/>
      <c r="BN46" s="726"/>
      <c r="BO46" s="3956"/>
      <c r="BP46" s="3956"/>
      <c r="BQ46" s="3957"/>
      <c r="BS46" s="723"/>
      <c r="BT46" s="724"/>
      <c r="BU46" s="725"/>
      <c r="BV46" s="726"/>
      <c r="BW46" s="3956"/>
      <c r="BX46" s="3956"/>
      <c r="BY46" s="3957"/>
      <c r="CA46" s="723"/>
      <c r="CB46" s="724"/>
      <c r="CC46" s="725"/>
      <c r="CD46" s="726"/>
      <c r="CE46" s="3956"/>
      <c r="CF46" s="3956"/>
      <c r="CG46" s="3957"/>
      <c r="CI46" s="723"/>
      <c r="CJ46" s="724"/>
      <c r="CK46" s="725"/>
      <c r="CL46" s="726"/>
      <c r="CM46" s="3956"/>
      <c r="CN46" s="3956"/>
      <c r="CO46" s="3957"/>
      <c r="CQ46" s="3958"/>
      <c r="CR46" s="70"/>
      <c r="CS46" s="70"/>
      <c r="CT46" s="70"/>
      <c r="CU46" s="70"/>
      <c r="CV46" s="70"/>
      <c r="CW46" s="70"/>
      <c r="CX46" s="70"/>
      <c r="CY46" s="70"/>
      <c r="CZ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row>
    <row r="47" spans="3:135" s="21" customFormat="1" ht="8.1" customHeight="1" thickBot="1" x14ac:dyDescent="0.25">
      <c r="C47" s="70"/>
      <c r="D47" s="25"/>
      <c r="E47" s="25"/>
      <c r="F47" s="6691"/>
      <c r="G47" s="70"/>
      <c r="H47" s="16"/>
      <c r="I47" s="16"/>
      <c r="J47" s="16"/>
      <c r="K47" s="20"/>
      <c r="L47" s="14"/>
      <c r="M47" s="996"/>
      <c r="N47" s="996"/>
      <c r="O47" s="996"/>
      <c r="P47" s="996"/>
      <c r="Q47" s="69"/>
      <c r="R47" s="2023"/>
      <c r="S47" s="35"/>
      <c r="T47" s="20"/>
      <c r="U47" s="35"/>
      <c r="V47" s="16"/>
      <c r="W47" s="35"/>
      <c r="X47" s="35"/>
      <c r="Y47" s="36"/>
      <c r="Z47" s="17"/>
      <c r="AA47" s="70"/>
      <c r="AB47" s="70"/>
      <c r="AC47" s="70"/>
      <c r="AE47" s="35"/>
      <c r="AF47" s="35"/>
      <c r="AG47" s="36"/>
      <c r="AH47" s="17"/>
      <c r="AI47" s="70"/>
      <c r="AJ47" s="70"/>
      <c r="AK47" s="70"/>
      <c r="AM47" s="35"/>
      <c r="AN47" s="35"/>
      <c r="AO47" s="36"/>
      <c r="AP47" s="17"/>
      <c r="AQ47" s="70"/>
      <c r="AR47" s="70"/>
      <c r="AS47" s="70"/>
      <c r="AU47" s="35"/>
      <c r="AV47" s="35"/>
      <c r="AW47" s="36"/>
      <c r="AX47" s="17"/>
      <c r="AY47" s="70"/>
      <c r="AZ47" s="70"/>
      <c r="BA47" s="70"/>
      <c r="BC47" s="35"/>
      <c r="BD47" s="35"/>
      <c r="BE47" s="36"/>
      <c r="BF47" s="17"/>
      <c r="BG47" s="70"/>
      <c r="BH47" s="70"/>
      <c r="BI47" s="70"/>
      <c r="BK47" s="35"/>
      <c r="BL47" s="35"/>
      <c r="BM47" s="36"/>
      <c r="BN47" s="17"/>
      <c r="BO47" s="70"/>
      <c r="BP47" s="70"/>
      <c r="BQ47" s="70"/>
      <c r="BS47" s="35"/>
      <c r="BT47" s="35"/>
      <c r="BU47" s="36"/>
      <c r="BV47" s="17"/>
      <c r="BW47" s="70"/>
      <c r="BX47" s="70"/>
      <c r="BY47" s="70"/>
      <c r="CA47" s="35"/>
      <c r="CB47" s="35"/>
      <c r="CC47" s="36"/>
      <c r="CD47" s="17"/>
      <c r="CE47" s="70"/>
      <c r="CF47" s="70"/>
      <c r="CG47" s="70"/>
      <c r="CI47" s="35"/>
      <c r="CJ47" s="35"/>
      <c r="CK47" s="36"/>
      <c r="CL47" s="17"/>
      <c r="CM47" s="70"/>
      <c r="CN47" s="70"/>
      <c r="CO47" s="70"/>
      <c r="CQ47" s="70"/>
      <c r="CR47" s="70"/>
      <c r="CS47" s="70"/>
      <c r="CT47" s="70"/>
      <c r="CU47" s="70"/>
      <c r="CV47" s="70"/>
      <c r="CW47" s="70"/>
      <c r="CX47" s="70"/>
      <c r="CY47" s="70"/>
      <c r="CZ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row>
    <row r="48" spans="3:135" s="21" customFormat="1" ht="15" customHeight="1" thickBot="1" x14ac:dyDescent="0.25">
      <c r="C48" s="70"/>
      <c r="D48" s="25"/>
      <c r="E48" s="25"/>
      <c r="F48" s="6691"/>
      <c r="G48" s="70"/>
      <c r="H48" s="1063"/>
      <c r="I48" s="1064"/>
      <c r="J48" s="1065"/>
      <c r="K48" s="20"/>
      <c r="L48" s="695"/>
      <c r="M48" s="984"/>
      <c r="N48" s="984"/>
      <c r="O48" s="984"/>
      <c r="P48" s="984"/>
      <c r="Q48" s="697"/>
      <c r="R48" s="2030"/>
      <c r="S48" s="699"/>
      <c r="T48" s="20"/>
      <c r="U48" s="65"/>
      <c r="V48" s="16"/>
      <c r="W48" s="707"/>
      <c r="X48" s="708"/>
      <c r="Y48" s="708"/>
      <c r="Z48" s="709"/>
      <c r="AA48" s="710"/>
      <c r="AB48" s="710"/>
      <c r="AC48" s="711"/>
      <c r="AE48" s="707"/>
      <c r="AF48" s="708"/>
      <c r="AG48" s="708"/>
      <c r="AH48" s="709"/>
      <c r="AI48" s="710"/>
      <c r="AJ48" s="710"/>
      <c r="AK48" s="711"/>
      <c r="AM48" s="707"/>
      <c r="AN48" s="708"/>
      <c r="AO48" s="708"/>
      <c r="AP48" s="709"/>
      <c r="AQ48" s="710"/>
      <c r="AR48" s="710"/>
      <c r="AS48" s="711"/>
      <c r="AU48" s="707"/>
      <c r="AV48" s="708"/>
      <c r="AW48" s="708"/>
      <c r="AX48" s="709"/>
      <c r="AY48" s="710"/>
      <c r="AZ48" s="710"/>
      <c r="BA48" s="711"/>
      <c r="BC48" s="707"/>
      <c r="BD48" s="708"/>
      <c r="BE48" s="708"/>
      <c r="BF48" s="709"/>
      <c r="BG48" s="710"/>
      <c r="BH48" s="710"/>
      <c r="BI48" s="711"/>
      <c r="BK48" s="707"/>
      <c r="BL48" s="708"/>
      <c r="BM48" s="708"/>
      <c r="BN48" s="709"/>
      <c r="BO48" s="710"/>
      <c r="BP48" s="710"/>
      <c r="BQ48" s="711"/>
      <c r="BS48" s="707"/>
      <c r="BT48" s="708"/>
      <c r="BU48" s="708"/>
      <c r="BV48" s="709"/>
      <c r="BW48" s="710"/>
      <c r="BX48" s="710"/>
      <c r="BY48" s="711"/>
      <c r="CA48" s="707"/>
      <c r="CB48" s="708"/>
      <c r="CC48" s="708"/>
      <c r="CD48" s="709"/>
      <c r="CE48" s="710"/>
      <c r="CF48" s="710"/>
      <c r="CG48" s="711"/>
      <c r="CI48" s="707"/>
      <c r="CJ48" s="708"/>
      <c r="CK48" s="708"/>
      <c r="CL48" s="709"/>
      <c r="CM48" s="710"/>
      <c r="CN48" s="710"/>
      <c r="CO48" s="711"/>
      <c r="CQ48" s="67"/>
      <c r="CR48" s="70"/>
      <c r="CS48" s="70"/>
      <c r="CT48" s="70"/>
      <c r="CU48" s="70"/>
      <c r="CV48" s="70"/>
      <c r="CW48" s="70"/>
      <c r="CX48" s="70"/>
      <c r="CY48" s="70"/>
      <c r="CZ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row>
    <row r="49" spans="3:135" s="21" customFormat="1" ht="20.100000000000001" customHeight="1" thickBot="1" x14ac:dyDescent="0.25">
      <c r="C49" s="70"/>
      <c r="D49" s="25"/>
      <c r="E49" s="25"/>
      <c r="F49" s="6691"/>
      <c r="G49" s="70"/>
      <c r="H49" s="6677" t="s">
        <v>81</v>
      </c>
      <c r="I49" s="6678"/>
      <c r="J49" s="6679"/>
      <c r="K49" s="20"/>
      <c r="L49" s="700"/>
      <c r="M49" s="985" t="str">
        <f>_Calcs!$L$28</f>
        <v>Berguttak</v>
      </c>
      <c r="N49" s="985"/>
      <c r="O49" s="985"/>
      <c r="P49" s="985"/>
      <c r="Q49" s="142"/>
      <c r="R49" s="1306" t="s">
        <v>46</v>
      </c>
      <c r="S49" s="701"/>
      <c r="T49" s="20"/>
      <c r="U49" s="65"/>
      <c r="V49" s="16"/>
      <c r="W49" s="712"/>
      <c r="X49" s="65"/>
      <c r="Y49" s="46">
        <f>INDEX(outputs_oppsum[total_lop],MATCH(_Calcs!$NO$41,outputs_oppsum[stuff_id],0))</f>
        <v>0</v>
      </c>
      <c r="Z49" s="3934"/>
      <c r="AA49" s="30" t="str">
        <f>IF(_Calcs!$NO280&gt;0,"!","✓")</f>
        <v>!</v>
      </c>
      <c r="AB49" s="713"/>
      <c r="AC49" s="714"/>
      <c r="AD49" s="136"/>
      <c r="AE49" s="712"/>
      <c r="AF49" s="65"/>
      <c r="AG49" s="46" t="e">
        <f>INDEX(outputs_oppsum[total_lop],MATCH(_Calcs!$NP$41,outputs_oppsum[stuff_id],0))</f>
        <v>#N/A</v>
      </c>
      <c r="AH49" s="3934"/>
      <c r="AI49" s="30" t="e">
        <f>IF(_Calcs!$NP280&gt;0,"!","✓")</f>
        <v>#N/A</v>
      </c>
      <c r="AJ49" s="713"/>
      <c r="AK49" s="714"/>
      <c r="AL49" s="136"/>
      <c r="AM49" s="712"/>
      <c r="AN49" s="65"/>
      <c r="AO49" s="46" t="e">
        <f>INDEX(outputs_oppsum[total_lop],MATCH(_Calcs!$NQ$41,outputs_oppsum[stuff_id],0))</f>
        <v>#N/A</v>
      </c>
      <c r="AP49" s="3934"/>
      <c r="AQ49" s="30" t="e">
        <f>IF(_Calcs!$NQ280&gt;0,"!","✓")</f>
        <v>#N/A</v>
      </c>
      <c r="AR49" s="713"/>
      <c r="AS49" s="714"/>
      <c r="AT49" s="136"/>
      <c r="AU49" s="712"/>
      <c r="AV49" s="65"/>
      <c r="AW49" s="46" t="e">
        <f>INDEX(outputs_oppsum[total_lop],MATCH(_Calcs!$NR$41,outputs_oppsum[stuff_id],0))</f>
        <v>#N/A</v>
      </c>
      <c r="AX49" s="3934"/>
      <c r="AY49" s="30" t="e">
        <f>IF(_Calcs!$NR280&gt;0,"!","✓")</f>
        <v>#N/A</v>
      </c>
      <c r="AZ49" s="713"/>
      <c r="BA49" s="714"/>
      <c r="BB49" s="136"/>
      <c r="BC49" s="712"/>
      <c r="BD49" s="65"/>
      <c r="BE49" s="46" t="e">
        <f>INDEX(outputs_oppsum[total_lop],MATCH(_Calcs!$NS$41,outputs_oppsum[stuff_id],0))</f>
        <v>#N/A</v>
      </c>
      <c r="BF49" s="3934"/>
      <c r="BG49" s="30" t="e">
        <f>IF(_Calcs!$NS280&gt;0,"!","✓")</f>
        <v>#N/A</v>
      </c>
      <c r="BH49" s="713"/>
      <c r="BI49" s="714"/>
      <c r="BJ49" s="136"/>
      <c r="BK49" s="712"/>
      <c r="BL49" s="65"/>
      <c r="BM49" s="46" t="e">
        <f>INDEX(outputs_oppsum[total_lop],MATCH(_Calcs!$NT$41,outputs_oppsum[stuff_id],0))</f>
        <v>#N/A</v>
      </c>
      <c r="BN49" s="3934"/>
      <c r="BO49" s="30" t="e">
        <f>IF(_Calcs!$NT280&gt;0,"!","✓")</f>
        <v>#N/A</v>
      </c>
      <c r="BP49" s="713"/>
      <c r="BQ49" s="714"/>
      <c r="BR49" s="136"/>
      <c r="BS49" s="712"/>
      <c r="BT49" s="65"/>
      <c r="BU49" s="46" t="e">
        <f>INDEX(outputs_oppsum[total_lop],MATCH(_Calcs!$NU$41,outputs_oppsum[stuff_id],0))</f>
        <v>#N/A</v>
      </c>
      <c r="BV49" s="3934"/>
      <c r="BW49" s="30" t="e">
        <f>IF(_Calcs!$NU280&gt;0,"!","✓")</f>
        <v>#N/A</v>
      </c>
      <c r="BX49" s="713"/>
      <c r="BY49" s="714"/>
      <c r="BZ49" s="136"/>
      <c r="CA49" s="712"/>
      <c r="CB49" s="65"/>
      <c r="CC49" s="46" t="e">
        <f>INDEX(outputs_oppsum[total_lop],MATCH(_Calcs!$NV$41,outputs_oppsum[stuff_id],0))</f>
        <v>#N/A</v>
      </c>
      <c r="CD49" s="3934"/>
      <c r="CE49" s="30" t="e">
        <f>IF(_Calcs!$NV280&gt;0,"!","✓")</f>
        <v>#N/A</v>
      </c>
      <c r="CF49" s="713"/>
      <c r="CG49" s="714"/>
      <c r="CH49" s="136"/>
      <c r="CI49" s="712"/>
      <c r="CJ49" s="65"/>
      <c r="CK49" s="46" t="e">
        <f>INDEX(outputs_oppsum[total_lop],MATCH(_Calcs!$NW$41,outputs_oppsum[stuff_id],0))</f>
        <v>#N/A</v>
      </c>
      <c r="CL49" s="3934"/>
      <c r="CM49" s="30" t="e">
        <f>IF(_Calcs!$NW280&gt;0,"!","✓")</f>
        <v>#N/A</v>
      </c>
      <c r="CN49" s="713"/>
      <c r="CO49" s="714"/>
      <c r="CP49" s="136"/>
      <c r="CQ49" s="67"/>
      <c r="CR49" s="70"/>
      <c r="CS49" s="70"/>
      <c r="CT49" s="70"/>
      <c r="CU49" s="70"/>
      <c r="CV49" s="70"/>
      <c r="CW49" s="70"/>
      <c r="CX49" s="70"/>
      <c r="CY49" s="70"/>
      <c r="CZ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row>
    <row r="50" spans="3:135" s="21" customFormat="1" ht="15" customHeight="1" thickBot="1" x14ac:dyDescent="0.25">
      <c r="C50" s="70"/>
      <c r="D50" s="25"/>
      <c r="E50" s="25"/>
      <c r="F50" s="6691"/>
      <c r="G50" s="70"/>
      <c r="H50" s="6677"/>
      <c r="I50" s="6678"/>
      <c r="J50" s="6679"/>
      <c r="K50" s="20"/>
      <c r="L50" s="700"/>
      <c r="M50" s="985"/>
      <c r="N50" s="985"/>
      <c r="O50" s="985"/>
      <c r="P50" s="985"/>
      <c r="Q50" s="142"/>
      <c r="R50" s="1306"/>
      <c r="S50" s="701"/>
      <c r="T50" s="20"/>
      <c r="U50" s="65"/>
      <c r="V50" s="16"/>
      <c r="W50" s="712"/>
      <c r="X50" s="65"/>
      <c r="Y50" s="65"/>
      <c r="Z50" s="3934"/>
      <c r="AA50" s="713"/>
      <c r="AB50" s="713"/>
      <c r="AC50" s="714"/>
      <c r="AD50" s="70"/>
      <c r="AE50" s="712"/>
      <c r="AF50" s="65"/>
      <c r="AG50" s="65"/>
      <c r="AH50" s="3934"/>
      <c r="AI50" s="713"/>
      <c r="AJ50" s="713"/>
      <c r="AK50" s="714"/>
      <c r="AL50" s="70"/>
      <c r="AM50" s="712"/>
      <c r="AN50" s="65"/>
      <c r="AO50" s="65"/>
      <c r="AP50" s="3934"/>
      <c r="AQ50" s="713"/>
      <c r="AR50" s="713"/>
      <c r="AS50" s="714"/>
      <c r="AT50" s="70"/>
      <c r="AU50" s="712"/>
      <c r="AV50" s="65"/>
      <c r="AW50" s="65"/>
      <c r="AX50" s="3934"/>
      <c r="AY50" s="713"/>
      <c r="AZ50" s="713"/>
      <c r="BA50" s="714"/>
      <c r="BB50" s="70"/>
      <c r="BC50" s="712"/>
      <c r="BD50" s="65"/>
      <c r="BE50" s="65"/>
      <c r="BF50" s="3934"/>
      <c r="BG50" s="713"/>
      <c r="BH50" s="713"/>
      <c r="BI50" s="714"/>
      <c r="BJ50" s="70"/>
      <c r="BK50" s="712"/>
      <c r="BL50" s="65"/>
      <c r="BM50" s="65"/>
      <c r="BN50" s="3934"/>
      <c r="BO50" s="713"/>
      <c r="BP50" s="713"/>
      <c r="BQ50" s="714"/>
      <c r="BR50" s="70"/>
      <c r="BS50" s="712"/>
      <c r="BT50" s="65"/>
      <c r="BU50" s="65"/>
      <c r="BV50" s="3934"/>
      <c r="BW50" s="713"/>
      <c r="BX50" s="713"/>
      <c r="BY50" s="714"/>
      <c r="BZ50" s="70"/>
      <c r="CA50" s="712"/>
      <c r="CB50" s="65"/>
      <c r="CC50" s="65"/>
      <c r="CD50" s="3934"/>
      <c r="CE50" s="713"/>
      <c r="CF50" s="713"/>
      <c r="CG50" s="714"/>
      <c r="CH50" s="70"/>
      <c r="CI50" s="712"/>
      <c r="CJ50" s="65"/>
      <c r="CK50" s="65"/>
      <c r="CL50" s="3934"/>
      <c r="CM50" s="713"/>
      <c r="CN50" s="713"/>
      <c r="CO50" s="714"/>
      <c r="CP50" s="70"/>
      <c r="CQ50" s="67"/>
      <c r="CR50" s="70"/>
      <c r="CS50" s="70"/>
      <c r="CT50" s="70"/>
      <c r="CU50" s="70"/>
      <c r="CV50" s="114" t="e">
        <f>BE49+BM49+BU49+CC49+CC51+BU51+BM51+BE51</f>
        <v>#N/A</v>
      </c>
      <c r="CW50" s="70"/>
      <c r="CX50" s="70"/>
      <c r="CY50" s="70"/>
      <c r="CZ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row>
    <row r="51" spans="3:135" s="21" customFormat="1" ht="20.100000000000001" customHeight="1" thickBot="1" x14ac:dyDescent="0.25">
      <c r="C51" s="70"/>
      <c r="D51" s="25"/>
      <c r="E51" s="25"/>
      <c r="F51" s="6691"/>
      <c r="G51" s="70"/>
      <c r="H51" s="6677"/>
      <c r="I51" s="6678"/>
      <c r="J51" s="6679"/>
      <c r="K51" s="20"/>
      <c r="L51" s="700"/>
      <c r="M51" s="985" t="str">
        <f>_Calcs!$J$34</f>
        <v>Grøfter, nisjer og andre bergrom</v>
      </c>
      <c r="N51" s="985"/>
      <c r="O51" s="985"/>
      <c r="P51" s="985"/>
      <c r="Q51" s="142"/>
      <c r="R51" s="1306" t="s">
        <v>46</v>
      </c>
      <c r="S51" s="701"/>
      <c r="T51" s="20"/>
      <c r="U51" s="65"/>
      <c r="V51" s="16"/>
      <c r="W51" s="712"/>
      <c r="X51" s="65"/>
      <c r="Y51" s="46">
        <f>INDEX(outputs_oppsum[total_nisj],MATCH(_Calcs!$NO$41,outputs_oppsum[stuff_id],0))</f>
        <v>0</v>
      </c>
      <c r="Z51" s="3934"/>
      <c r="AA51" s="30" t="str">
        <f>IF(_Calcs!$NO281&gt;0,"!","✓")</f>
        <v>!</v>
      </c>
      <c r="AB51" s="713"/>
      <c r="AC51" s="714"/>
      <c r="AD51" s="70"/>
      <c r="AE51" s="712"/>
      <c r="AF51" s="65"/>
      <c r="AG51" s="46" t="e">
        <f>INDEX(outputs_oppsum[total_nisj],MATCH(_Calcs!$NP$41,outputs_oppsum[stuff_id],0))</f>
        <v>#N/A</v>
      </c>
      <c r="AH51" s="3934"/>
      <c r="AI51" s="30" t="e">
        <f>IF(_Calcs!$NP281&gt;0,"!","✓")</f>
        <v>#N/A</v>
      </c>
      <c r="AJ51" s="713"/>
      <c r="AK51" s="714"/>
      <c r="AL51" s="70"/>
      <c r="AM51" s="712"/>
      <c r="AN51" s="65"/>
      <c r="AO51" s="46" t="e">
        <f>INDEX(outputs_oppsum[total_nisj],MATCH(_Calcs!$NQ$41,outputs_oppsum[stuff_id],0))</f>
        <v>#N/A</v>
      </c>
      <c r="AP51" s="3934"/>
      <c r="AQ51" s="30" t="e">
        <f>IF(_Calcs!$NQ281&gt;0,"!","✓")</f>
        <v>#N/A</v>
      </c>
      <c r="AR51" s="713"/>
      <c r="AS51" s="714"/>
      <c r="AT51" s="70"/>
      <c r="AU51" s="712"/>
      <c r="AV51" s="65"/>
      <c r="AW51" s="46" t="e">
        <f>INDEX(outputs_oppsum[total_nisj],MATCH(_Calcs!$NR$41,outputs_oppsum[stuff_id],0))</f>
        <v>#N/A</v>
      </c>
      <c r="AX51" s="3934"/>
      <c r="AY51" s="30" t="e">
        <f>IF(_Calcs!$NR281&gt;0,"!","✓")</f>
        <v>#N/A</v>
      </c>
      <c r="AZ51" s="713"/>
      <c r="BA51" s="714"/>
      <c r="BB51" s="70"/>
      <c r="BC51" s="712"/>
      <c r="BD51" s="65"/>
      <c r="BE51" s="46" t="e">
        <f>INDEX(outputs_oppsum[total_nisj],MATCH(_Calcs!$NS$41,outputs_oppsum[stuff_id],0))</f>
        <v>#N/A</v>
      </c>
      <c r="BF51" s="3934"/>
      <c r="BG51" s="30" t="e">
        <f>IF(_Calcs!$NS281&gt;0,"!","✓")</f>
        <v>#N/A</v>
      </c>
      <c r="BH51" s="713"/>
      <c r="BI51" s="714"/>
      <c r="BJ51" s="70"/>
      <c r="BK51" s="712"/>
      <c r="BL51" s="65"/>
      <c r="BM51" s="46" t="e">
        <f>INDEX(outputs_oppsum[total_nisj],MATCH(_Calcs!$NT$41,outputs_oppsum[stuff_id],0))</f>
        <v>#N/A</v>
      </c>
      <c r="BN51" s="3934"/>
      <c r="BO51" s="30" t="e">
        <f>IF(_Calcs!$NT281&gt;0,"!","✓")</f>
        <v>#N/A</v>
      </c>
      <c r="BP51" s="713"/>
      <c r="BQ51" s="714"/>
      <c r="BR51" s="70"/>
      <c r="BS51" s="712"/>
      <c r="BT51" s="65"/>
      <c r="BU51" s="46" t="e">
        <f>INDEX(outputs_oppsum[total_nisj],MATCH(_Calcs!$NU$41,outputs_oppsum[stuff_id],0))</f>
        <v>#N/A</v>
      </c>
      <c r="BV51" s="3934"/>
      <c r="BW51" s="30" t="e">
        <f>IF(_Calcs!$NU281&gt;0,"!","✓")</f>
        <v>#N/A</v>
      </c>
      <c r="BX51" s="713"/>
      <c r="BY51" s="714"/>
      <c r="BZ51" s="70"/>
      <c r="CA51" s="712"/>
      <c r="CB51" s="65"/>
      <c r="CC51" s="46" t="e">
        <f>INDEX(outputs_oppsum[total_nisj],MATCH(_Calcs!$NV$41,outputs_oppsum[stuff_id],0))</f>
        <v>#N/A</v>
      </c>
      <c r="CD51" s="3934"/>
      <c r="CE51" s="30" t="e">
        <f>IF(_Calcs!$NV281&gt;0,"!","✓")</f>
        <v>#N/A</v>
      </c>
      <c r="CF51" s="713"/>
      <c r="CG51" s="714"/>
      <c r="CH51" s="70"/>
      <c r="CI51" s="712"/>
      <c r="CJ51" s="65"/>
      <c r="CK51" s="46" t="e">
        <f>INDEX(outputs_oppsum[total_nisj],MATCH(_Calcs!$NW$41,outputs_oppsum[stuff_id],0))</f>
        <v>#N/A</v>
      </c>
      <c r="CL51" s="3934"/>
      <c r="CM51" s="30" t="e">
        <f>IF(_Calcs!$NW281&gt;0,"!","✓")</f>
        <v>#N/A</v>
      </c>
      <c r="CN51" s="713"/>
      <c r="CO51" s="714"/>
      <c r="CP51" s="70"/>
      <c r="CQ51" s="67"/>
      <c r="CR51" s="70"/>
      <c r="CS51" s="70"/>
      <c r="CT51" s="70"/>
      <c r="CU51" s="70"/>
      <c r="CV51" s="70"/>
      <c r="CW51" s="70"/>
      <c r="CX51" s="70"/>
      <c r="CY51" s="70"/>
      <c r="CZ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row>
    <row r="52" spans="3:135" s="21" customFormat="1" ht="15" customHeight="1" thickBot="1" x14ac:dyDescent="0.25">
      <c r="C52" s="25"/>
      <c r="D52" s="25"/>
      <c r="E52" s="25"/>
      <c r="F52" s="6691"/>
      <c r="G52" s="70"/>
      <c r="H52" s="1066"/>
      <c r="I52" s="1067"/>
      <c r="J52" s="1068"/>
      <c r="K52" s="20"/>
      <c r="L52" s="702"/>
      <c r="M52" s="986"/>
      <c r="N52" s="986"/>
      <c r="O52" s="986"/>
      <c r="P52" s="986"/>
      <c r="Q52" s="704"/>
      <c r="R52" s="2031"/>
      <c r="S52" s="706"/>
      <c r="T52" s="20"/>
      <c r="U52" s="65"/>
      <c r="V52" s="16"/>
      <c r="W52" s="715"/>
      <c r="X52" s="716"/>
      <c r="Y52" s="716"/>
      <c r="Z52" s="717"/>
      <c r="AA52" s="718"/>
      <c r="AB52" s="718"/>
      <c r="AC52" s="719"/>
      <c r="AD52" s="70"/>
      <c r="AE52" s="715"/>
      <c r="AF52" s="716"/>
      <c r="AG52" s="716"/>
      <c r="AH52" s="717"/>
      <c r="AI52" s="718"/>
      <c r="AJ52" s="718"/>
      <c r="AK52" s="719"/>
      <c r="AL52" s="70"/>
      <c r="AM52" s="715"/>
      <c r="AN52" s="716"/>
      <c r="AO52" s="716"/>
      <c r="AP52" s="717"/>
      <c r="AQ52" s="718"/>
      <c r="AR52" s="718"/>
      <c r="AS52" s="719"/>
      <c r="AT52" s="70"/>
      <c r="AU52" s="715"/>
      <c r="AV52" s="716"/>
      <c r="AW52" s="716"/>
      <c r="AX52" s="717"/>
      <c r="AY52" s="718"/>
      <c r="AZ52" s="718"/>
      <c r="BA52" s="719"/>
      <c r="BB52" s="70"/>
      <c r="BC52" s="715"/>
      <c r="BD52" s="716"/>
      <c r="BE52" s="716"/>
      <c r="BF52" s="717"/>
      <c r="BG52" s="718"/>
      <c r="BH52" s="718"/>
      <c r="BI52" s="719"/>
      <c r="BJ52" s="70"/>
      <c r="BK52" s="715"/>
      <c r="BL52" s="716"/>
      <c r="BM52" s="716"/>
      <c r="BN52" s="717"/>
      <c r="BO52" s="718"/>
      <c r="BP52" s="718"/>
      <c r="BQ52" s="719"/>
      <c r="BR52" s="70"/>
      <c r="BS52" s="715"/>
      <c r="BT52" s="716"/>
      <c r="BU52" s="716"/>
      <c r="BV52" s="717"/>
      <c r="BW52" s="718"/>
      <c r="BX52" s="718"/>
      <c r="BY52" s="719"/>
      <c r="BZ52" s="70"/>
      <c r="CA52" s="715"/>
      <c r="CB52" s="716"/>
      <c r="CC52" s="716"/>
      <c r="CD52" s="717"/>
      <c r="CE52" s="718"/>
      <c r="CF52" s="718"/>
      <c r="CG52" s="719"/>
      <c r="CH52" s="70"/>
      <c r="CI52" s="715"/>
      <c r="CJ52" s="716"/>
      <c r="CK52" s="716"/>
      <c r="CL52" s="717"/>
      <c r="CM52" s="718"/>
      <c r="CN52" s="718"/>
      <c r="CO52" s="719"/>
      <c r="CP52" s="70"/>
      <c r="CQ52" s="67"/>
      <c r="CR52" s="70"/>
      <c r="CS52" s="70"/>
      <c r="CT52" s="70"/>
      <c r="CU52" s="70"/>
      <c r="CV52" s="70"/>
      <c r="CW52" s="70"/>
      <c r="CX52" s="70"/>
      <c r="CY52" s="70"/>
      <c r="CZ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row>
    <row r="53" spans="3:135" s="21" customFormat="1" ht="15" customHeight="1" thickBot="1" x14ac:dyDescent="0.25">
      <c r="C53" s="25"/>
      <c r="D53" s="25"/>
      <c r="E53" s="25"/>
      <c r="F53" s="6691"/>
      <c r="G53" s="70"/>
      <c r="H53" s="638"/>
      <c r="I53" s="638"/>
      <c r="J53" s="638"/>
      <c r="K53" s="20"/>
      <c r="L53" s="14"/>
      <c r="M53" s="974"/>
      <c r="N53" s="974"/>
      <c r="O53" s="974"/>
      <c r="P53" s="974"/>
      <c r="Q53" s="69"/>
      <c r="R53" s="2023"/>
      <c r="S53" s="35"/>
      <c r="T53" s="20"/>
      <c r="U53" s="35"/>
      <c r="V53" s="16"/>
      <c r="W53" s="35"/>
      <c r="X53" s="35"/>
      <c r="Y53" s="36"/>
      <c r="Z53" s="17"/>
      <c r="AA53" s="70"/>
      <c r="AB53" s="70"/>
      <c r="AC53" s="70"/>
      <c r="AD53" s="70"/>
      <c r="AE53" s="35"/>
      <c r="AF53" s="35"/>
      <c r="AG53" s="36"/>
      <c r="AH53" s="17"/>
      <c r="AI53" s="70"/>
      <c r="AJ53" s="70"/>
      <c r="AK53" s="70"/>
      <c r="AL53" s="70"/>
      <c r="AM53" s="35"/>
      <c r="AN53" s="35"/>
      <c r="AO53" s="36"/>
      <c r="AP53" s="17"/>
      <c r="AQ53" s="70"/>
      <c r="AR53" s="70"/>
      <c r="AS53" s="70"/>
      <c r="AT53" s="70"/>
      <c r="AU53" s="35"/>
      <c r="AV53" s="35"/>
      <c r="AW53" s="36"/>
      <c r="AX53" s="17"/>
      <c r="AY53" s="70"/>
      <c r="AZ53" s="70"/>
      <c r="BA53" s="70"/>
      <c r="BB53" s="70"/>
      <c r="BC53" s="35"/>
      <c r="BD53" s="35"/>
      <c r="BE53" s="36"/>
      <c r="BF53" s="17"/>
      <c r="BG53" s="70"/>
      <c r="BH53" s="70"/>
      <c r="BI53" s="70"/>
      <c r="BJ53" s="70"/>
      <c r="BK53" s="35"/>
      <c r="BL53" s="35"/>
      <c r="BM53" s="36"/>
      <c r="BN53" s="17"/>
      <c r="BO53" s="70"/>
      <c r="BP53" s="70"/>
      <c r="BQ53" s="70"/>
      <c r="BR53" s="70"/>
      <c r="BS53" s="35"/>
      <c r="BT53" s="35"/>
      <c r="BU53" s="36"/>
      <c r="BV53" s="17"/>
      <c r="BW53" s="70"/>
      <c r="BX53" s="70"/>
      <c r="BY53" s="70"/>
      <c r="BZ53" s="70"/>
      <c r="CA53" s="35"/>
      <c r="CB53" s="35"/>
      <c r="CC53" s="36"/>
      <c r="CD53" s="17"/>
      <c r="CE53" s="70"/>
      <c r="CF53" s="70"/>
      <c r="CG53" s="70"/>
      <c r="CH53" s="70"/>
      <c r="CI53" s="35"/>
      <c r="CJ53" s="35"/>
      <c r="CK53" s="36"/>
      <c r="CL53" s="17"/>
      <c r="CM53" s="70"/>
      <c r="CN53" s="70"/>
      <c r="CO53" s="70"/>
      <c r="CP53" s="70"/>
      <c r="CQ53" s="50"/>
      <c r="CR53" s="70"/>
      <c r="CS53" s="70"/>
      <c r="CT53" s="70"/>
      <c r="CU53" s="70"/>
      <c r="CV53" s="70"/>
      <c r="CW53" s="70"/>
      <c r="CX53" s="70"/>
      <c r="CY53" s="70"/>
      <c r="CZ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row>
    <row r="54" spans="3:135" s="21" customFormat="1" ht="15" customHeight="1" thickBot="1" x14ac:dyDescent="0.25">
      <c r="C54" s="25"/>
      <c r="D54" s="25"/>
      <c r="E54" s="25"/>
      <c r="F54" s="6691"/>
      <c r="G54" s="70"/>
      <c r="H54" s="692"/>
      <c r="I54" s="693"/>
      <c r="J54" s="694"/>
      <c r="K54" s="20"/>
      <c r="L54" s="692"/>
      <c r="M54" s="1003"/>
      <c r="N54" s="1003"/>
      <c r="O54" s="1003"/>
      <c r="P54" s="1003"/>
      <c r="Q54" s="747"/>
      <c r="R54" s="2032"/>
      <c r="S54" s="694"/>
      <c r="T54" s="20"/>
      <c r="U54" s="71"/>
      <c r="V54" s="16"/>
      <c r="W54" s="692"/>
      <c r="X54" s="693"/>
      <c r="Y54" s="693"/>
      <c r="Z54" s="693"/>
      <c r="AA54" s="693"/>
      <c r="AB54" s="693"/>
      <c r="AC54" s="694"/>
      <c r="AD54" s="70"/>
      <c r="AE54" s="692"/>
      <c r="AF54" s="693"/>
      <c r="AG54" s="693"/>
      <c r="AH54" s="693"/>
      <c r="AI54" s="693"/>
      <c r="AJ54" s="693"/>
      <c r="AK54" s="694"/>
      <c r="AL54" s="70"/>
      <c r="AM54" s="692"/>
      <c r="AN54" s="693"/>
      <c r="AO54" s="693"/>
      <c r="AP54" s="693"/>
      <c r="AQ54" s="693"/>
      <c r="AR54" s="693"/>
      <c r="AS54" s="694"/>
      <c r="AT54" s="70"/>
      <c r="AU54" s="692"/>
      <c r="AV54" s="693"/>
      <c r="AW54" s="693"/>
      <c r="AX54" s="693"/>
      <c r="AY54" s="693"/>
      <c r="AZ54" s="693"/>
      <c r="BA54" s="694"/>
      <c r="BB54" s="70"/>
      <c r="BC54" s="692"/>
      <c r="BD54" s="693"/>
      <c r="BE54" s="693"/>
      <c r="BF54" s="693"/>
      <c r="BG54" s="693"/>
      <c r="BH54" s="693"/>
      <c r="BI54" s="694"/>
      <c r="BJ54" s="70"/>
      <c r="BK54" s="692"/>
      <c r="BL54" s="693"/>
      <c r="BM54" s="693"/>
      <c r="BN54" s="693"/>
      <c r="BO54" s="693"/>
      <c r="BP54" s="693"/>
      <c r="BQ54" s="694"/>
      <c r="BR54" s="70"/>
      <c r="BS54" s="692"/>
      <c r="BT54" s="693"/>
      <c r="BU54" s="693"/>
      <c r="BV54" s="693"/>
      <c r="BW54" s="693"/>
      <c r="BX54" s="693"/>
      <c r="BY54" s="694"/>
      <c r="BZ54" s="70"/>
      <c r="CA54" s="692"/>
      <c r="CB54" s="693"/>
      <c r="CC54" s="693"/>
      <c r="CD54" s="693"/>
      <c r="CE54" s="693"/>
      <c r="CF54" s="693"/>
      <c r="CG54" s="694"/>
      <c r="CH54" s="70"/>
      <c r="CI54" s="692"/>
      <c r="CJ54" s="693"/>
      <c r="CK54" s="693"/>
      <c r="CL54" s="693"/>
      <c r="CM54" s="693"/>
      <c r="CN54" s="693"/>
      <c r="CO54" s="694"/>
      <c r="CP54" s="70"/>
      <c r="CQ54" s="71"/>
      <c r="CR54" s="70"/>
      <c r="CS54" s="70"/>
      <c r="CT54" s="70"/>
      <c r="CU54" s="70"/>
      <c r="CV54" s="70"/>
      <c r="CW54" s="70"/>
      <c r="CX54" s="70"/>
      <c r="CY54" s="70"/>
      <c r="CZ54" s="70"/>
    </row>
    <row r="55" spans="3:135" s="21" customFormat="1" ht="8.1" customHeight="1" thickBot="1" x14ac:dyDescent="0.25">
      <c r="C55" s="25"/>
      <c r="D55" s="25"/>
      <c r="E55" s="25"/>
      <c r="F55" s="6691"/>
      <c r="G55" s="70"/>
      <c r="H55" s="16"/>
      <c r="I55" s="16"/>
      <c r="J55" s="16"/>
      <c r="K55" s="20"/>
      <c r="L55" s="13"/>
      <c r="M55" s="1004"/>
      <c r="N55" s="1004"/>
      <c r="O55" s="1004"/>
      <c r="P55" s="1004"/>
      <c r="Q55" s="69"/>
      <c r="R55" s="111"/>
      <c r="S55" s="13"/>
      <c r="T55" s="20"/>
      <c r="U55" s="13"/>
      <c r="V55" s="16"/>
      <c r="W55" s="13"/>
      <c r="X55" s="13"/>
      <c r="Y55" s="13"/>
      <c r="Z55" s="13"/>
      <c r="AA55" s="13"/>
      <c r="AB55" s="13"/>
      <c r="AC55" s="13"/>
      <c r="AD55" s="70"/>
      <c r="AE55" s="13"/>
      <c r="AF55" s="13"/>
      <c r="AG55" s="13"/>
      <c r="AH55" s="13"/>
      <c r="AI55" s="13"/>
      <c r="AJ55" s="13"/>
      <c r="AK55" s="13"/>
      <c r="AL55" s="70"/>
      <c r="AM55" s="13"/>
      <c r="AN55" s="13"/>
      <c r="AO55" s="13"/>
      <c r="AP55" s="13"/>
      <c r="AQ55" s="13"/>
      <c r="AR55" s="13"/>
      <c r="AS55" s="13"/>
      <c r="AT55" s="70"/>
      <c r="AU55" s="13"/>
      <c r="AV55" s="13"/>
      <c r="AW55" s="13"/>
      <c r="AX55" s="13"/>
      <c r="AY55" s="13"/>
      <c r="AZ55" s="13"/>
      <c r="BA55" s="13"/>
      <c r="BB55" s="70"/>
      <c r="BC55" s="13"/>
      <c r="BD55" s="13"/>
      <c r="BE55" s="13"/>
      <c r="BF55" s="13"/>
      <c r="BG55" s="13"/>
      <c r="BH55" s="13"/>
      <c r="BI55" s="13"/>
      <c r="BJ55" s="70"/>
      <c r="BK55" s="13"/>
      <c r="BL55" s="13"/>
      <c r="BM55" s="13"/>
      <c r="BN55" s="13"/>
      <c r="BO55" s="13"/>
      <c r="BP55" s="13"/>
      <c r="BQ55" s="13"/>
      <c r="BR55" s="70"/>
      <c r="BS55" s="13"/>
      <c r="BT55" s="13"/>
      <c r="BU55" s="13"/>
      <c r="BV55" s="13"/>
      <c r="BW55" s="13"/>
      <c r="BX55" s="13"/>
      <c r="BY55" s="13"/>
      <c r="BZ55" s="70"/>
      <c r="CA55" s="13"/>
      <c r="CB55" s="13"/>
      <c r="CC55" s="13"/>
      <c r="CD55" s="13"/>
      <c r="CE55" s="13"/>
      <c r="CF55" s="13"/>
      <c r="CG55" s="13"/>
      <c r="CH55" s="70"/>
      <c r="CI55" s="13"/>
      <c r="CJ55" s="13"/>
      <c r="CK55" s="13"/>
      <c r="CL55" s="13"/>
      <c r="CM55" s="13"/>
      <c r="CN55" s="13"/>
      <c r="CO55" s="13"/>
      <c r="CP55" s="70"/>
      <c r="CQ55" s="13"/>
      <c r="CR55" s="70"/>
      <c r="CS55" s="70"/>
      <c r="CT55" s="70"/>
      <c r="CU55" s="70"/>
      <c r="CV55" s="70"/>
      <c r="CW55" s="70"/>
      <c r="CX55" s="70"/>
      <c r="CY55" s="70"/>
      <c r="CZ55" s="70"/>
    </row>
    <row r="56" spans="3:135" s="21" customFormat="1" ht="15" customHeight="1" thickBot="1" x14ac:dyDescent="0.25">
      <c r="C56" s="25"/>
      <c r="D56" s="25"/>
      <c r="E56" s="25"/>
      <c r="F56" s="6691"/>
      <c r="G56" s="70"/>
      <c r="H56" s="1069"/>
      <c r="I56" s="1070"/>
      <c r="J56" s="1071"/>
      <c r="K56" s="20"/>
      <c r="L56" s="1237"/>
      <c r="M56" s="5526"/>
      <c r="N56" s="5526"/>
      <c r="O56" s="5526"/>
      <c r="P56" s="5526"/>
      <c r="Q56" s="662"/>
      <c r="R56" s="2033"/>
      <c r="S56" s="5527"/>
      <c r="T56" s="20"/>
      <c r="U56" s="5525"/>
      <c r="V56" s="16"/>
      <c r="W56" s="1237"/>
      <c r="X56" s="643"/>
      <c r="Y56" s="643"/>
      <c r="Z56" s="643"/>
      <c r="AA56" s="643"/>
      <c r="AB56" s="643"/>
      <c r="AC56" s="5527"/>
      <c r="AD56" s="70"/>
      <c r="AE56" s="1237"/>
      <c r="AF56" s="643"/>
      <c r="AG56" s="643"/>
      <c r="AH56" s="643"/>
      <c r="AI56" s="643"/>
      <c r="AJ56" s="643"/>
      <c r="AK56" s="5527"/>
      <c r="AL56" s="70"/>
      <c r="AM56" s="1237"/>
      <c r="AN56" s="643"/>
      <c r="AO56" s="643"/>
      <c r="AP56" s="643"/>
      <c r="AQ56" s="643"/>
      <c r="AR56" s="643"/>
      <c r="AS56" s="5527"/>
      <c r="AT56" s="70"/>
      <c r="AU56" s="1237"/>
      <c r="AV56" s="643"/>
      <c r="AW56" s="643"/>
      <c r="AX56" s="643"/>
      <c r="AY56" s="643"/>
      <c r="AZ56" s="643"/>
      <c r="BA56" s="5527"/>
      <c r="BB56" s="70"/>
      <c r="BC56" s="1237"/>
      <c r="BD56" s="643"/>
      <c r="BE56" s="643"/>
      <c r="BF56" s="643"/>
      <c r="BG56" s="643"/>
      <c r="BH56" s="643"/>
      <c r="BI56" s="5527"/>
      <c r="BJ56" s="70"/>
      <c r="BK56" s="1237"/>
      <c r="BL56" s="643"/>
      <c r="BM56" s="643"/>
      <c r="BN56" s="643"/>
      <c r="BO56" s="643"/>
      <c r="BP56" s="643"/>
      <c r="BQ56" s="5527"/>
      <c r="BR56" s="70"/>
      <c r="BS56" s="1237"/>
      <c r="BT56" s="643"/>
      <c r="BU56" s="643"/>
      <c r="BV56" s="643"/>
      <c r="BW56" s="643"/>
      <c r="BX56" s="643"/>
      <c r="BY56" s="5527"/>
      <c r="BZ56" s="70"/>
      <c r="CA56" s="1237"/>
      <c r="CB56" s="643"/>
      <c r="CC56" s="643"/>
      <c r="CD56" s="643"/>
      <c r="CE56" s="643"/>
      <c r="CF56" s="643"/>
      <c r="CG56" s="5527"/>
      <c r="CH56" s="70"/>
      <c r="CI56" s="1237"/>
      <c r="CJ56" s="643"/>
      <c r="CK56" s="643"/>
      <c r="CL56" s="643"/>
      <c r="CM56" s="643"/>
      <c r="CN56" s="643"/>
      <c r="CO56" s="5527"/>
      <c r="CP56" s="70"/>
      <c r="CQ56" s="5525"/>
      <c r="CR56" s="70"/>
      <c r="CS56" s="70"/>
      <c r="CT56" s="70"/>
      <c r="CU56" s="70"/>
      <c r="CV56" s="70"/>
      <c r="CW56" s="70"/>
      <c r="CX56" s="70"/>
      <c r="CY56" s="70"/>
      <c r="CZ56" s="70"/>
    </row>
    <row r="57" spans="3:135" s="21" customFormat="1" ht="24.95" customHeight="1" thickBot="1" x14ac:dyDescent="0.25">
      <c r="C57" s="25"/>
      <c r="D57" s="25"/>
      <c r="E57" s="25"/>
      <c r="F57" s="6691"/>
      <c r="G57" s="70"/>
      <c r="H57" s="6721" t="s">
        <v>98</v>
      </c>
      <c r="I57" s="6722"/>
      <c r="J57" s="6723"/>
      <c r="K57" s="20"/>
      <c r="L57" s="1240"/>
      <c r="M57" s="5535" t="str">
        <f>_Calcs!$M$22</f>
        <v>Beregning av tid for sikring</v>
      </c>
      <c r="N57" s="5528"/>
      <c r="O57" s="5528"/>
      <c r="P57" s="5528"/>
      <c r="Q57" s="6142"/>
      <c r="R57" s="2034"/>
      <c r="S57" s="5529"/>
      <c r="T57" s="20"/>
      <c r="U57" s="5525"/>
      <c r="V57" s="16"/>
      <c r="W57" s="1240"/>
      <c r="X57" s="75"/>
      <c r="Y57" s="5536" t="str">
        <f>_Calcs_Klasse!$AH$28</f>
        <v>Mengdebasert</v>
      </c>
      <c r="Z57" s="75"/>
      <c r="AA57" s="30" t="str">
        <f>IF(Tunneldrift!$AD$121="","!","✓")</f>
        <v>✓</v>
      </c>
      <c r="AB57" s="75"/>
      <c r="AC57" s="5529"/>
      <c r="AD57" s="70"/>
      <c r="AE57" s="1240"/>
      <c r="AF57" s="75"/>
      <c r="AG57" s="5536" t="str">
        <f>_Calcs_Klasse!$AH$28</f>
        <v>Mengdebasert</v>
      </c>
      <c r="AH57" s="75"/>
      <c r="AI57" s="30" t="str">
        <f>IF(Tunneldrift!$AD$121="","!","✓")</f>
        <v>✓</v>
      </c>
      <c r="AJ57" s="75"/>
      <c r="AK57" s="5529"/>
      <c r="AL57" s="70"/>
      <c r="AM57" s="1240"/>
      <c r="AN57" s="75"/>
      <c r="AO57" s="5536" t="str">
        <f>_Calcs_Klasse!$AH$28</f>
        <v>Mengdebasert</v>
      </c>
      <c r="AP57" s="75"/>
      <c r="AQ57" s="30" t="str">
        <f>IF(Tunneldrift!$AD$121="","!","✓")</f>
        <v>✓</v>
      </c>
      <c r="AR57" s="75"/>
      <c r="AS57" s="5529"/>
      <c r="AT57" s="70"/>
      <c r="AU57" s="1240"/>
      <c r="AV57" s="75"/>
      <c r="AW57" s="5536" t="str">
        <f>_Calcs_Klasse!$AH$28</f>
        <v>Mengdebasert</v>
      </c>
      <c r="AX57" s="75"/>
      <c r="AY57" s="30" t="str">
        <f>IF(Tunneldrift!$AD$121="","!","✓")</f>
        <v>✓</v>
      </c>
      <c r="AZ57" s="75"/>
      <c r="BA57" s="5529"/>
      <c r="BB57" s="70"/>
      <c r="BC57" s="1240"/>
      <c r="BD57" s="75"/>
      <c r="BE57" s="5536" t="str">
        <f>_Calcs_Klasse!$AH$28</f>
        <v>Mengdebasert</v>
      </c>
      <c r="BF57" s="75"/>
      <c r="BG57" s="30" t="str">
        <f>IF(Tunneldrift!$AD$121="","!","✓")</f>
        <v>✓</v>
      </c>
      <c r="BH57" s="75"/>
      <c r="BI57" s="5529"/>
      <c r="BJ57" s="70"/>
      <c r="BK57" s="1240"/>
      <c r="BL57" s="75"/>
      <c r="BM57" s="5536" t="str">
        <f>_Calcs_Klasse!$AH$28</f>
        <v>Mengdebasert</v>
      </c>
      <c r="BN57" s="75"/>
      <c r="BO57" s="30" t="str">
        <f>IF(Tunneldrift!$AD$121="","!","✓")</f>
        <v>✓</v>
      </c>
      <c r="BP57" s="75"/>
      <c r="BQ57" s="5529"/>
      <c r="BR57" s="70"/>
      <c r="BS57" s="1240"/>
      <c r="BT57" s="75"/>
      <c r="BU57" s="5536" t="str">
        <f>_Calcs_Klasse!$AH$28</f>
        <v>Mengdebasert</v>
      </c>
      <c r="BV57" s="75"/>
      <c r="BW57" s="30" t="str">
        <f>IF(Tunneldrift!$AD$121="","!","✓")</f>
        <v>✓</v>
      </c>
      <c r="BX57" s="75"/>
      <c r="BY57" s="5529"/>
      <c r="BZ57" s="70"/>
      <c r="CA57" s="1240"/>
      <c r="CB57" s="75"/>
      <c r="CC57" s="5536" t="str">
        <f>_Calcs_Klasse!$AH$28</f>
        <v>Mengdebasert</v>
      </c>
      <c r="CD57" s="75"/>
      <c r="CE57" s="30" t="str">
        <f>IF(Tunneldrift!$AD$121="","!","✓")</f>
        <v>✓</v>
      </c>
      <c r="CF57" s="75"/>
      <c r="CG57" s="5529"/>
      <c r="CH57" s="70"/>
      <c r="CI57" s="1240"/>
      <c r="CJ57" s="75"/>
      <c r="CK57" s="5536" t="str">
        <f>_Calcs_Klasse!$AH$28</f>
        <v>Mengdebasert</v>
      </c>
      <c r="CL57" s="75"/>
      <c r="CM57" s="30" t="str">
        <f>IF(Tunneldrift!$AD$121="","!","✓")</f>
        <v>✓</v>
      </c>
      <c r="CN57" s="75"/>
      <c r="CO57" s="5529"/>
      <c r="CP57" s="70"/>
      <c r="CQ57" s="5525"/>
      <c r="CR57" s="70"/>
      <c r="CS57" s="70"/>
      <c r="CT57" s="70"/>
      <c r="CU57" s="70"/>
      <c r="CV57" s="70"/>
      <c r="CW57" s="70"/>
      <c r="CX57" s="70"/>
      <c r="CY57" s="70"/>
      <c r="CZ57" s="70"/>
    </row>
    <row r="58" spans="3:135" s="21" customFormat="1" ht="15" customHeight="1" thickBot="1" x14ac:dyDescent="0.25">
      <c r="C58" s="25"/>
      <c r="D58" s="25"/>
      <c r="E58" s="25"/>
      <c r="F58" s="6691"/>
      <c r="G58" s="70"/>
      <c r="H58" s="6721"/>
      <c r="I58" s="6722"/>
      <c r="J58" s="6723"/>
      <c r="K58" s="20"/>
      <c r="L58" s="5530"/>
      <c r="M58" s="5531"/>
      <c r="N58" s="5531"/>
      <c r="O58" s="5531"/>
      <c r="P58" s="5531"/>
      <c r="Q58" s="5532"/>
      <c r="R58" s="5533"/>
      <c r="S58" s="5534"/>
      <c r="T58" s="20"/>
      <c r="U58" s="5525"/>
      <c r="V58" s="16"/>
      <c r="W58" s="5530"/>
      <c r="X58" s="655"/>
      <c r="Y58" s="655"/>
      <c r="Z58" s="655"/>
      <c r="AA58" s="655"/>
      <c r="AB58" s="655"/>
      <c r="AC58" s="5534"/>
      <c r="AD58" s="70"/>
      <c r="AE58" s="5530"/>
      <c r="AF58" s="655"/>
      <c r="AG58" s="655"/>
      <c r="AH58" s="655"/>
      <c r="AI58" s="655"/>
      <c r="AJ58" s="655"/>
      <c r="AK58" s="5534"/>
      <c r="AL58" s="70"/>
      <c r="AM58" s="5530"/>
      <c r="AN58" s="655"/>
      <c r="AO58" s="655"/>
      <c r="AP58" s="655"/>
      <c r="AQ58" s="655"/>
      <c r="AR58" s="655"/>
      <c r="AS58" s="5534"/>
      <c r="AT58" s="70"/>
      <c r="AU58" s="5530"/>
      <c r="AV58" s="655"/>
      <c r="AW58" s="655"/>
      <c r="AX58" s="655"/>
      <c r="AY58" s="655"/>
      <c r="AZ58" s="655"/>
      <c r="BA58" s="5534"/>
      <c r="BB58" s="70"/>
      <c r="BC58" s="5530"/>
      <c r="BD58" s="655"/>
      <c r="BE58" s="655"/>
      <c r="BF58" s="655"/>
      <c r="BG58" s="655"/>
      <c r="BH58" s="655"/>
      <c r="BI58" s="5534"/>
      <c r="BJ58" s="70"/>
      <c r="BK58" s="5530"/>
      <c r="BL58" s="655"/>
      <c r="BM58" s="655"/>
      <c r="BN58" s="655"/>
      <c r="BO58" s="655"/>
      <c r="BP58" s="655"/>
      <c r="BQ58" s="5534"/>
      <c r="BR58" s="70"/>
      <c r="BS58" s="5530"/>
      <c r="BT58" s="655"/>
      <c r="BU58" s="655"/>
      <c r="BV58" s="655"/>
      <c r="BW58" s="655"/>
      <c r="BX58" s="655"/>
      <c r="BY58" s="5534"/>
      <c r="BZ58" s="70"/>
      <c r="CA58" s="5530"/>
      <c r="CB58" s="655"/>
      <c r="CC58" s="655"/>
      <c r="CD58" s="655"/>
      <c r="CE58" s="655"/>
      <c r="CF58" s="655"/>
      <c r="CG58" s="5534"/>
      <c r="CH58" s="70"/>
      <c r="CI58" s="5530"/>
      <c r="CJ58" s="655"/>
      <c r="CK58" s="655"/>
      <c r="CL58" s="655"/>
      <c r="CM58" s="655"/>
      <c r="CN58" s="655"/>
      <c r="CO58" s="5534"/>
      <c r="CP58" s="70"/>
      <c r="CQ58" s="5525"/>
      <c r="CR58" s="70"/>
      <c r="CS58" s="70"/>
      <c r="CT58" s="70"/>
      <c r="CU58" s="70"/>
      <c r="CV58" s="70"/>
      <c r="CW58" s="70"/>
      <c r="CX58" s="70"/>
      <c r="CY58" s="70"/>
      <c r="CZ58" s="70"/>
    </row>
    <row r="59" spans="3:135" s="21" customFormat="1" ht="8.1" customHeight="1" thickBot="1" x14ac:dyDescent="0.25">
      <c r="C59" s="25"/>
      <c r="D59" s="25"/>
      <c r="E59" s="25"/>
      <c r="F59" s="6691"/>
      <c r="G59" s="70"/>
      <c r="H59" s="6721"/>
      <c r="I59" s="6722"/>
      <c r="J59" s="6723"/>
      <c r="K59" s="20"/>
      <c r="L59" s="13"/>
      <c r="M59" s="1004"/>
      <c r="N59" s="1004"/>
      <c r="O59" s="1004"/>
      <c r="P59" s="1004"/>
      <c r="Q59" s="69"/>
      <c r="R59" s="111"/>
      <c r="S59" s="13"/>
      <c r="T59" s="20"/>
      <c r="U59" s="5525"/>
      <c r="V59" s="16"/>
      <c r="W59" s="13"/>
      <c r="X59" s="13"/>
      <c r="Y59" s="13"/>
      <c r="Z59" s="13"/>
      <c r="AA59" s="13"/>
      <c r="AB59" s="13"/>
      <c r="AC59" s="13"/>
      <c r="AD59" s="70"/>
      <c r="AE59" s="13"/>
      <c r="AF59" s="13"/>
      <c r="AG59" s="13"/>
      <c r="AH59" s="13"/>
      <c r="AI59" s="13"/>
      <c r="AJ59" s="13"/>
      <c r="AK59" s="13"/>
      <c r="AL59" s="70"/>
      <c r="AM59" s="13"/>
      <c r="AN59" s="13"/>
      <c r="AO59" s="13"/>
      <c r="AP59" s="13"/>
      <c r="AQ59" s="13"/>
      <c r="AR59" s="13"/>
      <c r="AS59" s="13"/>
      <c r="AT59" s="70"/>
      <c r="AU59" s="13"/>
      <c r="AV59" s="13"/>
      <c r="AW59" s="13"/>
      <c r="AX59" s="13"/>
      <c r="AY59" s="13"/>
      <c r="AZ59" s="13"/>
      <c r="BA59" s="13"/>
      <c r="BB59" s="70"/>
      <c r="BC59" s="13"/>
      <c r="BD59" s="13"/>
      <c r="BE59" s="13"/>
      <c r="BF59" s="13"/>
      <c r="BG59" s="13"/>
      <c r="BH59" s="13"/>
      <c r="BI59" s="13"/>
      <c r="BJ59" s="70"/>
      <c r="BK59" s="13"/>
      <c r="BL59" s="13"/>
      <c r="BM59" s="13"/>
      <c r="BN59" s="13"/>
      <c r="BO59" s="13"/>
      <c r="BP59" s="13"/>
      <c r="BQ59" s="13"/>
      <c r="BR59" s="70"/>
      <c r="BS59" s="13"/>
      <c r="BT59" s="13"/>
      <c r="BU59" s="13"/>
      <c r="BV59" s="13"/>
      <c r="BW59" s="13"/>
      <c r="BX59" s="13"/>
      <c r="BY59" s="13"/>
      <c r="BZ59" s="70"/>
      <c r="CA59" s="13"/>
      <c r="CB59" s="13"/>
      <c r="CC59" s="13"/>
      <c r="CD59" s="13"/>
      <c r="CE59" s="13"/>
      <c r="CF59" s="13"/>
      <c r="CG59" s="13"/>
      <c r="CH59" s="70"/>
      <c r="CI59" s="13"/>
      <c r="CJ59" s="13"/>
      <c r="CK59" s="13"/>
      <c r="CL59" s="13"/>
      <c r="CM59" s="13"/>
      <c r="CN59" s="13"/>
      <c r="CO59" s="13"/>
      <c r="CP59" s="70"/>
      <c r="CQ59" s="13"/>
      <c r="CR59" s="70"/>
      <c r="CS59" s="70"/>
      <c r="CT59" s="70"/>
      <c r="CU59" s="70"/>
      <c r="CV59" s="70"/>
      <c r="CW59" s="70"/>
      <c r="CX59" s="70"/>
      <c r="CY59" s="70"/>
      <c r="CZ59" s="70"/>
    </row>
    <row r="60" spans="3:135" s="21" customFormat="1" ht="15" customHeight="1" thickBot="1" x14ac:dyDescent="0.25">
      <c r="C60" s="25"/>
      <c r="D60" s="25"/>
      <c r="E60" s="6275"/>
      <c r="F60" s="6691"/>
      <c r="G60" s="70"/>
      <c r="H60" s="6721"/>
      <c r="I60" s="6722"/>
      <c r="J60" s="6723"/>
      <c r="K60" s="20"/>
      <c r="L60" s="660"/>
      <c r="M60" s="987"/>
      <c r="N60" s="987"/>
      <c r="O60" s="987"/>
      <c r="P60" s="987"/>
      <c r="Q60" s="662"/>
      <c r="R60" s="2033"/>
      <c r="S60" s="666"/>
      <c r="T60" s="20"/>
      <c r="U60" s="73"/>
      <c r="V60" s="16"/>
      <c r="W60" s="640"/>
      <c r="X60" s="641"/>
      <c r="Y60" s="642"/>
      <c r="Z60" s="658"/>
      <c r="AA60" s="644"/>
      <c r="AB60" s="644"/>
      <c r="AC60" s="645"/>
      <c r="AD60" s="136"/>
      <c r="AE60" s="640"/>
      <c r="AF60" s="641"/>
      <c r="AG60" s="642"/>
      <c r="AH60" s="658"/>
      <c r="AI60" s="644"/>
      <c r="AJ60" s="644"/>
      <c r="AK60" s="645"/>
      <c r="AL60" s="136"/>
      <c r="AM60" s="640"/>
      <c r="AN60" s="641"/>
      <c r="AO60" s="642"/>
      <c r="AP60" s="658"/>
      <c r="AQ60" s="644"/>
      <c r="AR60" s="644"/>
      <c r="AS60" s="645"/>
      <c r="AT60" s="136"/>
      <c r="AU60" s="640"/>
      <c r="AV60" s="641"/>
      <c r="AW60" s="642"/>
      <c r="AX60" s="658"/>
      <c r="AY60" s="644"/>
      <c r="AZ60" s="644"/>
      <c r="BA60" s="645"/>
      <c r="BB60" s="136"/>
      <c r="BC60" s="640"/>
      <c r="BD60" s="641"/>
      <c r="BE60" s="642"/>
      <c r="BF60" s="658"/>
      <c r="BG60" s="644"/>
      <c r="BH60" s="644"/>
      <c r="BI60" s="645"/>
      <c r="BJ60" s="136"/>
      <c r="BK60" s="640"/>
      <c r="BL60" s="641"/>
      <c r="BM60" s="642"/>
      <c r="BN60" s="658"/>
      <c r="BO60" s="644"/>
      <c r="BP60" s="644"/>
      <c r="BQ60" s="645"/>
      <c r="BR60" s="136"/>
      <c r="BS60" s="640"/>
      <c r="BT60" s="641"/>
      <c r="BU60" s="642"/>
      <c r="BV60" s="658"/>
      <c r="BW60" s="644"/>
      <c r="BX60" s="644"/>
      <c r="BY60" s="645"/>
      <c r="BZ60" s="136"/>
      <c r="CA60" s="640"/>
      <c r="CB60" s="641"/>
      <c r="CC60" s="642"/>
      <c r="CD60" s="658"/>
      <c r="CE60" s="644"/>
      <c r="CF60" s="644"/>
      <c r="CG60" s="645"/>
      <c r="CH60" s="136"/>
      <c r="CI60" s="640"/>
      <c r="CJ60" s="641"/>
      <c r="CK60" s="642"/>
      <c r="CL60" s="658"/>
      <c r="CM60" s="644"/>
      <c r="CN60" s="644"/>
      <c r="CO60" s="645"/>
      <c r="CP60" s="136"/>
      <c r="CQ60" s="77"/>
      <c r="CR60" s="70"/>
      <c r="CS60" s="70"/>
      <c r="CT60" s="70"/>
      <c r="CU60" s="70"/>
      <c r="CV60" s="70"/>
      <c r="CW60" s="70"/>
      <c r="CX60" s="70"/>
      <c r="CY60" s="70"/>
      <c r="CZ60" s="70"/>
    </row>
    <row r="61" spans="3:135" s="21" customFormat="1" ht="20.100000000000001" customHeight="1" thickBot="1" x14ac:dyDescent="0.25">
      <c r="C61" s="25"/>
      <c r="D61" s="25"/>
      <c r="E61" s="25"/>
      <c r="F61" s="6691"/>
      <c r="G61" s="70"/>
      <c r="H61" s="901"/>
      <c r="I61" s="902"/>
      <c r="J61" s="903"/>
      <c r="K61" s="20"/>
      <c r="L61" s="663"/>
      <c r="M61" s="988" t="str">
        <f>_Calcs!$K$54</f>
        <v>Rensk og kartlegging</v>
      </c>
      <c r="N61" s="988"/>
      <c r="O61" s="988"/>
      <c r="P61" s="988"/>
      <c r="Q61" s="6142"/>
      <c r="R61" s="2034" t="s">
        <v>46</v>
      </c>
      <c r="S61" s="667"/>
      <c r="T61" s="20"/>
      <c r="U61" s="73"/>
      <c r="V61" s="16"/>
      <c r="W61" s="646"/>
      <c r="X61" s="73"/>
      <c r="Y61" s="46">
        <f>INDEX(outputs_oppsum[total_man],MATCH(_Calcs!$NO$41,outputs_oppsum[stuff_id],0))</f>
        <v>0</v>
      </c>
      <c r="Z61" s="76"/>
      <c r="AA61" s="30" t="str">
        <f>IF(_Calcs!$NO284&gt;0,"!","✓")</f>
        <v>!</v>
      </c>
      <c r="AB61" s="647"/>
      <c r="AC61" s="648"/>
      <c r="AE61" s="646"/>
      <c r="AF61" s="73"/>
      <c r="AG61" s="46" t="e">
        <f>INDEX(outputs_oppsum[total_man],MATCH(_Calcs!$NP$41,outputs_oppsum[stuff_id],0))</f>
        <v>#N/A</v>
      </c>
      <c r="AH61" s="76"/>
      <c r="AI61" s="30" t="e">
        <f>IF(_Calcs!$NP284&gt;0,"!","✓")</f>
        <v>#N/A</v>
      </c>
      <c r="AJ61" s="647"/>
      <c r="AK61" s="648"/>
      <c r="AM61" s="646"/>
      <c r="AN61" s="73"/>
      <c r="AO61" s="46" t="e">
        <f>INDEX(outputs_oppsum[total_man],MATCH(_Calcs!$NQ$41,outputs_oppsum[stuff_id],0))</f>
        <v>#N/A</v>
      </c>
      <c r="AP61" s="76"/>
      <c r="AQ61" s="30" t="e">
        <f>IF(_Calcs!$NQ284&gt;0,"!","✓")</f>
        <v>#N/A</v>
      </c>
      <c r="AR61" s="647"/>
      <c r="AS61" s="648"/>
      <c r="AU61" s="646"/>
      <c r="AV61" s="73"/>
      <c r="AW61" s="46" t="e">
        <f>INDEX(outputs_oppsum[total_man],MATCH(_Calcs!$NR$41,outputs_oppsum[stuff_id],0))</f>
        <v>#N/A</v>
      </c>
      <c r="AX61" s="76"/>
      <c r="AY61" s="30" t="e">
        <f>IF(_Calcs!$NR284&gt;0,"!","✓")</f>
        <v>#N/A</v>
      </c>
      <c r="AZ61" s="647"/>
      <c r="BA61" s="648"/>
      <c r="BC61" s="646"/>
      <c r="BD61" s="73"/>
      <c r="BE61" s="46" t="e">
        <f>INDEX(outputs_oppsum[total_man],MATCH(_Calcs!$NS$41,outputs_oppsum[stuff_id],0))</f>
        <v>#N/A</v>
      </c>
      <c r="BF61" s="76"/>
      <c r="BG61" s="30" t="e">
        <f>IF(_Calcs!$NS284&gt;0,"!","✓")</f>
        <v>#N/A</v>
      </c>
      <c r="BH61" s="647"/>
      <c r="BI61" s="648"/>
      <c r="BK61" s="646"/>
      <c r="BL61" s="73"/>
      <c r="BM61" s="46" t="e">
        <f>INDEX(outputs_oppsum[total_man],MATCH(_Calcs!$NT$41,outputs_oppsum[stuff_id],0))</f>
        <v>#N/A</v>
      </c>
      <c r="BN61" s="76"/>
      <c r="BO61" s="30" t="e">
        <f>IF(_Calcs!$NT284&gt;0,"!","✓")</f>
        <v>#N/A</v>
      </c>
      <c r="BP61" s="647"/>
      <c r="BQ61" s="648"/>
      <c r="BS61" s="646"/>
      <c r="BT61" s="73"/>
      <c r="BU61" s="46" t="e">
        <f>INDEX(outputs_oppsum[total_man],MATCH(_Calcs!$NU$41,outputs_oppsum[stuff_id],0))</f>
        <v>#N/A</v>
      </c>
      <c r="BV61" s="76"/>
      <c r="BW61" s="30" t="e">
        <f>IF(_Calcs!$NU284&gt;0,"!","✓")</f>
        <v>#N/A</v>
      </c>
      <c r="BX61" s="647"/>
      <c r="BY61" s="648"/>
      <c r="CA61" s="646"/>
      <c r="CB61" s="73"/>
      <c r="CC61" s="46" t="e">
        <f>INDEX(outputs_oppsum[total_man],MATCH(_Calcs!$NV$41,outputs_oppsum[stuff_id],0))</f>
        <v>#N/A</v>
      </c>
      <c r="CD61" s="76"/>
      <c r="CE61" s="30" t="e">
        <f>IF(_Calcs!$NV284&gt;0,"!","✓")</f>
        <v>#N/A</v>
      </c>
      <c r="CF61" s="647"/>
      <c r="CG61" s="648"/>
      <c r="CI61" s="646"/>
      <c r="CJ61" s="73"/>
      <c r="CK61" s="46" t="e">
        <f>INDEX(outputs_oppsum[total_man],MATCH(_Calcs!$NW$41,outputs_oppsum[stuff_id],0))</f>
        <v>#N/A</v>
      </c>
      <c r="CL61" s="76"/>
      <c r="CM61" s="30" t="e">
        <f>IF(_Calcs!$NW284&gt;0,"!","✓")</f>
        <v>#N/A</v>
      </c>
      <c r="CN61" s="647"/>
      <c r="CO61" s="648"/>
      <c r="CQ61" s="77"/>
      <c r="CR61" s="70"/>
      <c r="CS61" s="70"/>
      <c r="CT61" s="70"/>
      <c r="CU61" s="70"/>
      <c r="CV61" s="70"/>
      <c r="CW61" s="70"/>
      <c r="CX61" s="70"/>
      <c r="CY61" s="70"/>
      <c r="CZ61" s="70"/>
    </row>
    <row r="62" spans="3:135" s="21" customFormat="1" ht="15" customHeight="1" thickBot="1" x14ac:dyDescent="0.25">
      <c r="C62" s="25"/>
      <c r="D62" s="25"/>
      <c r="E62" s="25"/>
      <c r="F62" s="6691"/>
      <c r="G62" s="70"/>
      <c r="H62" s="901"/>
      <c r="I62" s="902"/>
      <c r="J62" s="903"/>
      <c r="K62" s="20"/>
      <c r="L62" s="663"/>
      <c r="M62" s="988"/>
      <c r="N62" s="988"/>
      <c r="O62" s="988"/>
      <c r="P62" s="988"/>
      <c r="Q62" s="6142"/>
      <c r="R62" s="2034"/>
      <c r="S62" s="667"/>
      <c r="T62" s="20"/>
      <c r="U62" s="73"/>
      <c r="V62" s="16"/>
      <c r="W62" s="646"/>
      <c r="X62" s="73"/>
      <c r="Y62" s="74"/>
      <c r="Z62" s="76"/>
      <c r="AA62" s="647"/>
      <c r="AB62" s="647"/>
      <c r="AC62" s="648"/>
      <c r="AD62" s="136"/>
      <c r="AE62" s="646"/>
      <c r="AF62" s="73"/>
      <c r="AG62" s="74"/>
      <c r="AH62" s="76"/>
      <c r="AI62" s="647"/>
      <c r="AJ62" s="647"/>
      <c r="AK62" s="648"/>
      <c r="AL62" s="136"/>
      <c r="AM62" s="646"/>
      <c r="AN62" s="73"/>
      <c r="AO62" s="74"/>
      <c r="AP62" s="76"/>
      <c r="AQ62" s="647"/>
      <c r="AR62" s="647"/>
      <c r="AS62" s="648"/>
      <c r="AT62" s="136"/>
      <c r="AU62" s="646"/>
      <c r="AV62" s="73"/>
      <c r="AW62" s="74"/>
      <c r="AX62" s="76"/>
      <c r="AY62" s="647"/>
      <c r="AZ62" s="647"/>
      <c r="BA62" s="648"/>
      <c r="BB62" s="136"/>
      <c r="BC62" s="646"/>
      <c r="BD62" s="73"/>
      <c r="BE62" s="74"/>
      <c r="BF62" s="76"/>
      <c r="BG62" s="647"/>
      <c r="BH62" s="647"/>
      <c r="BI62" s="648"/>
      <c r="BJ62" s="136"/>
      <c r="BK62" s="646"/>
      <c r="BL62" s="73"/>
      <c r="BM62" s="74"/>
      <c r="BN62" s="76"/>
      <c r="BO62" s="647"/>
      <c r="BP62" s="647"/>
      <c r="BQ62" s="648"/>
      <c r="BR62" s="136"/>
      <c r="BS62" s="646"/>
      <c r="BT62" s="73"/>
      <c r="BU62" s="74"/>
      <c r="BV62" s="76"/>
      <c r="BW62" s="647"/>
      <c r="BX62" s="647"/>
      <c r="BY62" s="648"/>
      <c r="BZ62" s="136"/>
      <c r="CA62" s="646"/>
      <c r="CB62" s="73"/>
      <c r="CC62" s="74"/>
      <c r="CD62" s="76"/>
      <c r="CE62" s="647"/>
      <c r="CF62" s="647"/>
      <c r="CG62" s="648"/>
      <c r="CH62" s="136"/>
      <c r="CI62" s="646"/>
      <c r="CJ62" s="73"/>
      <c r="CK62" s="74"/>
      <c r="CL62" s="76"/>
      <c r="CM62" s="647"/>
      <c r="CN62" s="647"/>
      <c r="CO62" s="648"/>
      <c r="CP62" s="136"/>
      <c r="CQ62" s="77"/>
      <c r="CR62" s="70"/>
      <c r="CS62" s="70"/>
      <c r="CT62" s="70"/>
      <c r="CU62" s="70"/>
      <c r="CV62" s="70"/>
      <c r="CW62" s="70"/>
      <c r="CX62" s="70"/>
      <c r="CY62" s="70"/>
      <c r="CZ62" s="70"/>
    </row>
    <row r="63" spans="3:135" s="21" customFormat="1" ht="20.100000000000001" customHeight="1" thickBot="1" x14ac:dyDescent="0.25">
      <c r="C63" s="25"/>
      <c r="D63" s="25"/>
      <c r="E63" s="25"/>
      <c r="F63" s="6691"/>
      <c r="G63" s="70"/>
      <c r="H63" s="901"/>
      <c r="I63" s="902"/>
      <c r="J63" s="903"/>
      <c r="K63" s="20"/>
      <c r="L63" s="663"/>
      <c r="M63" s="988" t="str">
        <f>_Calcs!$K$56</f>
        <v>Sikringsbolter</v>
      </c>
      <c r="N63" s="988"/>
      <c r="O63" s="988"/>
      <c r="P63" s="988"/>
      <c r="Q63" s="6142"/>
      <c r="R63" s="2034" t="s">
        <v>46</v>
      </c>
      <c r="S63" s="667"/>
      <c r="T63" s="20"/>
      <c r="U63" s="73"/>
      <c r="V63" s="16"/>
      <c r="W63" s="646"/>
      <c r="X63" s="73"/>
      <c r="Y63" s="46">
        <f>INDEX(outputs_oppsum[total_bolt],MATCH(_Calcs!$NO$41,outputs_oppsum[stuff_id],0))</f>
        <v>0</v>
      </c>
      <c r="Z63" s="76"/>
      <c r="AA63" s="30" t="str">
        <f>IF(_Calcs!$NO285&gt;0,"!","✓")</f>
        <v>!</v>
      </c>
      <c r="AB63" s="647"/>
      <c r="AC63" s="648"/>
      <c r="AD63" s="136"/>
      <c r="AE63" s="646"/>
      <c r="AF63" s="73"/>
      <c r="AG63" s="46" t="e">
        <f>INDEX(outputs_oppsum[total_bolt],MATCH(_Calcs!$NP$41,outputs_oppsum[stuff_id],0))</f>
        <v>#N/A</v>
      </c>
      <c r="AH63" s="76"/>
      <c r="AI63" s="30" t="e">
        <f>IF(_Calcs!$NP285&gt;0,"!","✓")</f>
        <v>#N/A</v>
      </c>
      <c r="AJ63" s="647"/>
      <c r="AK63" s="648"/>
      <c r="AL63" s="136"/>
      <c r="AM63" s="646"/>
      <c r="AN63" s="73"/>
      <c r="AO63" s="46" t="e">
        <f>INDEX(outputs_oppsum[total_bolt],MATCH(_Calcs!$NQ$41,outputs_oppsum[stuff_id],0))</f>
        <v>#N/A</v>
      </c>
      <c r="AP63" s="76"/>
      <c r="AQ63" s="30" t="e">
        <f>IF(_Calcs!$NQ285&gt;0,"!","✓")</f>
        <v>#N/A</v>
      </c>
      <c r="AR63" s="647"/>
      <c r="AS63" s="648"/>
      <c r="AT63" s="136"/>
      <c r="AU63" s="646"/>
      <c r="AV63" s="73"/>
      <c r="AW63" s="46" t="e">
        <f>INDEX(outputs_oppsum[total_bolt],MATCH(_Calcs!$NR$41,outputs_oppsum[stuff_id],0))</f>
        <v>#N/A</v>
      </c>
      <c r="AX63" s="76"/>
      <c r="AY63" s="30" t="e">
        <f>IF(_Calcs!$NR285&gt;0,"!","✓")</f>
        <v>#N/A</v>
      </c>
      <c r="AZ63" s="647"/>
      <c r="BA63" s="648"/>
      <c r="BB63" s="136"/>
      <c r="BC63" s="646"/>
      <c r="BD63" s="73"/>
      <c r="BE63" s="46" t="e">
        <f>INDEX(outputs_oppsum[total_bolt],MATCH(_Calcs!$NS$41,outputs_oppsum[stuff_id],0))</f>
        <v>#N/A</v>
      </c>
      <c r="BF63" s="76"/>
      <c r="BG63" s="30" t="e">
        <f>IF(_Calcs!$NS285&gt;0,"!","✓")</f>
        <v>#N/A</v>
      </c>
      <c r="BH63" s="647"/>
      <c r="BI63" s="648"/>
      <c r="BJ63" s="136"/>
      <c r="BK63" s="646"/>
      <c r="BL63" s="73"/>
      <c r="BM63" s="46" t="e">
        <f>INDEX(outputs_oppsum[total_bolt],MATCH(_Calcs!$NT$41,outputs_oppsum[stuff_id],0))</f>
        <v>#N/A</v>
      </c>
      <c r="BN63" s="76"/>
      <c r="BO63" s="30" t="e">
        <f>IF(_Calcs!$NT285&gt;0,"!","✓")</f>
        <v>#N/A</v>
      </c>
      <c r="BP63" s="647"/>
      <c r="BQ63" s="648"/>
      <c r="BR63" s="136"/>
      <c r="BS63" s="646"/>
      <c r="BT63" s="73"/>
      <c r="BU63" s="46" t="e">
        <f>INDEX(outputs_oppsum[total_bolt],MATCH(_Calcs!$NU$41,outputs_oppsum[stuff_id],0))</f>
        <v>#N/A</v>
      </c>
      <c r="BV63" s="76"/>
      <c r="BW63" s="30" t="e">
        <f>IF(_Calcs!$NU285&gt;0,"!","✓")</f>
        <v>#N/A</v>
      </c>
      <c r="BX63" s="647"/>
      <c r="BY63" s="648"/>
      <c r="BZ63" s="136"/>
      <c r="CA63" s="646"/>
      <c r="CB63" s="73"/>
      <c r="CC63" s="46" t="e">
        <f>INDEX(outputs_oppsum[total_bolt],MATCH(_Calcs!$NV$41,outputs_oppsum[stuff_id],0))</f>
        <v>#N/A</v>
      </c>
      <c r="CD63" s="76"/>
      <c r="CE63" s="30" t="e">
        <f>IF(_Calcs!$NV285&gt;0,"!","✓")</f>
        <v>#N/A</v>
      </c>
      <c r="CF63" s="647"/>
      <c r="CG63" s="648"/>
      <c r="CH63" s="136"/>
      <c r="CI63" s="646"/>
      <c r="CJ63" s="73"/>
      <c r="CK63" s="46" t="e">
        <f>INDEX(outputs_oppsum[total_bolt],MATCH(_Calcs!$NW$41,outputs_oppsum[stuff_id],0))</f>
        <v>#N/A</v>
      </c>
      <c r="CL63" s="76"/>
      <c r="CM63" s="30" t="e">
        <f>IF(_Calcs!$NW285&gt;0,"!","✓")</f>
        <v>#N/A</v>
      </c>
      <c r="CN63" s="647"/>
      <c r="CO63" s="648"/>
      <c r="CP63" s="136"/>
      <c r="CQ63" s="77"/>
      <c r="CR63" s="70"/>
      <c r="CS63" s="70"/>
      <c r="CT63" s="70"/>
      <c r="CU63" s="70"/>
      <c r="CV63" s="70"/>
      <c r="CW63" s="70"/>
      <c r="CX63" s="70"/>
      <c r="CY63" s="70"/>
      <c r="CZ63" s="70"/>
    </row>
    <row r="64" spans="3:135" s="21" customFormat="1" ht="15" customHeight="1" thickBot="1" x14ac:dyDescent="0.25">
      <c r="C64" s="25"/>
      <c r="D64" s="25"/>
      <c r="E64" s="25"/>
      <c r="F64" s="6691"/>
      <c r="G64" s="70"/>
      <c r="H64" s="901"/>
      <c r="I64" s="902"/>
      <c r="J64" s="903"/>
      <c r="K64" s="20"/>
      <c r="L64" s="663"/>
      <c r="M64" s="988"/>
      <c r="N64" s="988"/>
      <c r="O64" s="988"/>
      <c r="P64" s="988"/>
      <c r="Q64" s="6142"/>
      <c r="R64" s="2034"/>
      <c r="S64" s="651"/>
      <c r="T64" s="20"/>
      <c r="U64" s="72"/>
      <c r="V64" s="16"/>
      <c r="W64" s="649"/>
      <c r="X64" s="650"/>
      <c r="Y64" s="650"/>
      <c r="Z64" s="650"/>
      <c r="AA64" s="650"/>
      <c r="AB64" s="650"/>
      <c r="AC64" s="651"/>
      <c r="AD64" s="136"/>
      <c r="AE64" s="649"/>
      <c r="AF64" s="650"/>
      <c r="AG64" s="650"/>
      <c r="AH64" s="650"/>
      <c r="AI64" s="650"/>
      <c r="AJ64" s="650"/>
      <c r="AK64" s="651"/>
      <c r="AL64" s="136"/>
      <c r="AM64" s="649"/>
      <c r="AN64" s="650"/>
      <c r="AO64" s="650"/>
      <c r="AP64" s="650"/>
      <c r="AQ64" s="650"/>
      <c r="AR64" s="650"/>
      <c r="AS64" s="651"/>
      <c r="AT64" s="136"/>
      <c r="AU64" s="649"/>
      <c r="AV64" s="650"/>
      <c r="AW64" s="650"/>
      <c r="AX64" s="650"/>
      <c r="AY64" s="650"/>
      <c r="AZ64" s="650"/>
      <c r="BA64" s="651"/>
      <c r="BB64" s="136"/>
      <c r="BC64" s="649"/>
      <c r="BD64" s="650"/>
      <c r="BE64" s="650"/>
      <c r="BF64" s="650"/>
      <c r="BG64" s="650"/>
      <c r="BH64" s="650"/>
      <c r="BI64" s="651"/>
      <c r="BJ64" s="136"/>
      <c r="BK64" s="649"/>
      <c r="BL64" s="650"/>
      <c r="BM64" s="650"/>
      <c r="BN64" s="650"/>
      <c r="BO64" s="650"/>
      <c r="BP64" s="650"/>
      <c r="BQ64" s="651"/>
      <c r="BR64" s="136"/>
      <c r="BS64" s="649"/>
      <c r="BT64" s="650"/>
      <c r="BU64" s="650"/>
      <c r="BV64" s="650"/>
      <c r="BW64" s="650"/>
      <c r="BX64" s="650"/>
      <c r="BY64" s="651"/>
      <c r="BZ64" s="136"/>
      <c r="CA64" s="649"/>
      <c r="CB64" s="650"/>
      <c r="CC64" s="650"/>
      <c r="CD64" s="650"/>
      <c r="CE64" s="650"/>
      <c r="CF64" s="650"/>
      <c r="CG64" s="651"/>
      <c r="CH64" s="136"/>
      <c r="CI64" s="649"/>
      <c r="CJ64" s="650"/>
      <c r="CK64" s="650"/>
      <c r="CL64" s="650"/>
      <c r="CM64" s="650"/>
      <c r="CN64" s="650"/>
      <c r="CO64" s="651"/>
      <c r="CP64" s="136"/>
      <c r="CQ64" s="72"/>
      <c r="CR64" s="70"/>
      <c r="CS64" s="70"/>
      <c r="CT64" s="70"/>
      <c r="CU64" s="70"/>
      <c r="CV64" s="70"/>
      <c r="CW64" s="70"/>
      <c r="CX64" s="70"/>
      <c r="CY64" s="70"/>
      <c r="CZ64" s="70"/>
    </row>
    <row r="65" spans="3:100" s="21" customFormat="1" ht="20.100000000000001" customHeight="1" thickBot="1" x14ac:dyDescent="0.25">
      <c r="C65" s="25"/>
      <c r="D65" s="25"/>
      <c r="E65" s="25"/>
      <c r="F65" s="6691"/>
      <c r="G65" s="70"/>
      <c r="H65" s="1072"/>
      <c r="I65" s="1073"/>
      <c r="J65" s="1074"/>
      <c r="K65" s="20"/>
      <c r="L65" s="663"/>
      <c r="M65" s="988" t="str">
        <f>_Calcs!$K$59</f>
        <v>Bergbånd og nett</v>
      </c>
      <c r="N65" s="988"/>
      <c r="O65" s="988"/>
      <c r="P65" s="988"/>
      <c r="Q65" s="6142"/>
      <c r="R65" s="2034" t="s">
        <v>46</v>
      </c>
      <c r="S65" s="667"/>
      <c r="T65" s="20"/>
      <c r="U65" s="73"/>
      <c r="V65" s="16"/>
      <c r="W65" s="646"/>
      <c r="X65" s="73"/>
      <c r="Y65" s="46">
        <f>INDEX(outputs_oppsum[total_bånd_og_nett],MATCH(_Calcs!$NO$41,outputs_oppsum[stuff_id],0))</f>
        <v>0</v>
      </c>
      <c r="Z65" s="76"/>
      <c r="AA65" s="30" t="str">
        <f>IF(_Calcs!$NO286&gt;0,"!","✓")</f>
        <v>!</v>
      </c>
      <c r="AB65" s="647"/>
      <c r="AC65" s="648"/>
      <c r="AD65" s="78"/>
      <c r="AE65" s="646"/>
      <c r="AF65" s="73"/>
      <c r="AG65" s="46" t="e">
        <f>INDEX(outputs_oppsum[total_bånd_og_nett],MATCH(_Calcs!$NP$41,outputs_oppsum[stuff_id],0))</f>
        <v>#N/A</v>
      </c>
      <c r="AH65" s="76"/>
      <c r="AI65" s="30" t="e">
        <f>IF(_Calcs!$NP286&gt;0,"!","✓")</f>
        <v>#N/A</v>
      </c>
      <c r="AJ65" s="647"/>
      <c r="AK65" s="648"/>
      <c r="AL65" s="78"/>
      <c r="AM65" s="646"/>
      <c r="AN65" s="73"/>
      <c r="AO65" s="46" t="e">
        <f>INDEX(outputs_oppsum[total_bånd_og_nett],MATCH(_Calcs!$NQ$41,outputs_oppsum[stuff_id],0))</f>
        <v>#N/A</v>
      </c>
      <c r="AP65" s="76"/>
      <c r="AQ65" s="30" t="e">
        <f>IF(_Calcs!$NQ286&gt;0,"!","✓")</f>
        <v>#N/A</v>
      </c>
      <c r="AR65" s="647"/>
      <c r="AS65" s="648"/>
      <c r="AT65" s="78"/>
      <c r="AU65" s="646"/>
      <c r="AV65" s="73"/>
      <c r="AW65" s="46" t="e">
        <f>INDEX(outputs_oppsum[total_bånd_og_nett],MATCH(_Calcs!$NR$41,outputs_oppsum[stuff_id],0))</f>
        <v>#N/A</v>
      </c>
      <c r="AX65" s="76"/>
      <c r="AY65" s="30" t="e">
        <f>IF(_Calcs!$NR286&gt;0,"!","✓")</f>
        <v>#N/A</v>
      </c>
      <c r="AZ65" s="647"/>
      <c r="BA65" s="648"/>
      <c r="BB65" s="78"/>
      <c r="BC65" s="646"/>
      <c r="BD65" s="73"/>
      <c r="BE65" s="46" t="e">
        <f>INDEX(outputs_oppsum[total_bånd_og_nett],MATCH(_Calcs!$NS$41,outputs_oppsum[stuff_id],0))</f>
        <v>#N/A</v>
      </c>
      <c r="BF65" s="76"/>
      <c r="BG65" s="30" t="e">
        <f>IF(_Calcs!$NS286&gt;0,"!","✓")</f>
        <v>#N/A</v>
      </c>
      <c r="BH65" s="647"/>
      <c r="BI65" s="648"/>
      <c r="BJ65" s="78"/>
      <c r="BK65" s="646"/>
      <c r="BL65" s="73"/>
      <c r="BM65" s="46" t="e">
        <f>INDEX(outputs_oppsum[total_bånd_og_nett],MATCH(_Calcs!$NT$41,outputs_oppsum[stuff_id],0))</f>
        <v>#N/A</v>
      </c>
      <c r="BN65" s="76"/>
      <c r="BO65" s="30" t="e">
        <f>IF(_Calcs!$NT286&gt;0,"!","✓")</f>
        <v>#N/A</v>
      </c>
      <c r="BP65" s="647"/>
      <c r="BQ65" s="648"/>
      <c r="BR65" s="78"/>
      <c r="BS65" s="646"/>
      <c r="BT65" s="73"/>
      <c r="BU65" s="46" t="e">
        <f>INDEX(outputs_oppsum[total_bånd_og_nett],MATCH(_Calcs!$NU$41,outputs_oppsum[stuff_id],0))</f>
        <v>#N/A</v>
      </c>
      <c r="BV65" s="76"/>
      <c r="BW65" s="30" t="e">
        <f>IF(_Calcs!$NU286&gt;0,"!","✓")</f>
        <v>#N/A</v>
      </c>
      <c r="BX65" s="647"/>
      <c r="BY65" s="648"/>
      <c r="BZ65" s="78"/>
      <c r="CA65" s="646"/>
      <c r="CB65" s="73"/>
      <c r="CC65" s="46" t="e">
        <f>INDEX(outputs_oppsum[total_bånd_og_nett],MATCH(_Calcs!$NV$41,outputs_oppsum[stuff_id],0))</f>
        <v>#N/A</v>
      </c>
      <c r="CD65" s="76"/>
      <c r="CE65" s="30" t="e">
        <f>IF(_Calcs!$NV286&gt;0,"!","✓")</f>
        <v>#N/A</v>
      </c>
      <c r="CF65" s="647"/>
      <c r="CG65" s="648"/>
      <c r="CH65" s="78"/>
      <c r="CI65" s="646"/>
      <c r="CJ65" s="73"/>
      <c r="CK65" s="46" t="e">
        <f>INDEX(outputs_oppsum[total_bånd_og_nett],MATCH(_Calcs!$NW$41,outputs_oppsum[stuff_id],0))</f>
        <v>#N/A</v>
      </c>
      <c r="CL65" s="76"/>
      <c r="CM65" s="30" t="e">
        <f>IF(_Calcs!$NW286&gt;0,"!","✓")</f>
        <v>#N/A</v>
      </c>
      <c r="CN65" s="647"/>
      <c r="CO65" s="648"/>
      <c r="CP65" s="78"/>
      <c r="CQ65" s="77"/>
      <c r="CR65" s="70"/>
      <c r="CS65" s="70"/>
      <c r="CT65" s="70"/>
      <c r="CU65" s="70"/>
      <c r="CV65" s="70"/>
    </row>
    <row r="66" spans="3:100" s="21" customFormat="1" ht="15" customHeight="1" thickBot="1" x14ac:dyDescent="0.25">
      <c r="C66" s="25"/>
      <c r="D66" s="25"/>
      <c r="E66" s="25"/>
      <c r="F66" s="6691"/>
      <c r="G66" s="70"/>
      <c r="H66" s="1072"/>
      <c r="I66" s="1073"/>
      <c r="J66" s="1074"/>
      <c r="K66" s="20"/>
      <c r="L66" s="663"/>
      <c r="M66" s="988"/>
      <c r="N66" s="988"/>
      <c r="O66" s="988"/>
      <c r="P66" s="988"/>
      <c r="Q66" s="6142"/>
      <c r="R66" s="2034"/>
      <c r="S66" s="667"/>
      <c r="T66" s="20"/>
      <c r="U66" s="73"/>
      <c r="V66" s="16"/>
      <c r="W66" s="646"/>
      <c r="X66" s="73"/>
      <c r="Y66" s="74"/>
      <c r="Z66" s="76"/>
      <c r="AA66" s="647"/>
      <c r="AB66" s="647"/>
      <c r="AC66" s="648"/>
      <c r="AD66" s="78"/>
      <c r="AE66" s="646"/>
      <c r="AF66" s="73"/>
      <c r="AG66" s="74"/>
      <c r="AH66" s="76"/>
      <c r="AI66" s="647"/>
      <c r="AJ66" s="647"/>
      <c r="AK66" s="648"/>
      <c r="AL66" s="78"/>
      <c r="AM66" s="646"/>
      <c r="AN66" s="73"/>
      <c r="AO66" s="74"/>
      <c r="AP66" s="76"/>
      <c r="AQ66" s="647"/>
      <c r="AR66" s="647"/>
      <c r="AS66" s="648"/>
      <c r="AT66" s="78"/>
      <c r="AU66" s="646"/>
      <c r="AV66" s="73"/>
      <c r="AW66" s="74"/>
      <c r="AX66" s="76"/>
      <c r="AY66" s="647"/>
      <c r="AZ66" s="647"/>
      <c r="BA66" s="648"/>
      <c r="BB66" s="78"/>
      <c r="BC66" s="646"/>
      <c r="BD66" s="73"/>
      <c r="BE66" s="74"/>
      <c r="BF66" s="76"/>
      <c r="BG66" s="647"/>
      <c r="BH66" s="647"/>
      <c r="BI66" s="648"/>
      <c r="BJ66" s="78"/>
      <c r="BK66" s="646"/>
      <c r="BL66" s="73"/>
      <c r="BM66" s="74"/>
      <c r="BN66" s="76"/>
      <c r="BO66" s="647"/>
      <c r="BP66" s="647"/>
      <c r="BQ66" s="648"/>
      <c r="BR66" s="78"/>
      <c r="BS66" s="646"/>
      <c r="BT66" s="73"/>
      <c r="BU66" s="74"/>
      <c r="BV66" s="76"/>
      <c r="BW66" s="647"/>
      <c r="BX66" s="647"/>
      <c r="BY66" s="648"/>
      <c r="BZ66" s="78"/>
      <c r="CA66" s="646"/>
      <c r="CB66" s="73"/>
      <c r="CC66" s="74"/>
      <c r="CD66" s="76"/>
      <c r="CE66" s="647"/>
      <c r="CF66" s="647"/>
      <c r="CG66" s="648"/>
      <c r="CH66" s="78"/>
      <c r="CI66" s="646"/>
      <c r="CJ66" s="73"/>
      <c r="CK66" s="74"/>
      <c r="CL66" s="76"/>
      <c r="CM66" s="647"/>
      <c r="CN66" s="647"/>
      <c r="CO66" s="648"/>
      <c r="CP66" s="78"/>
      <c r="CQ66" s="77"/>
      <c r="CR66" s="70"/>
      <c r="CS66" s="70"/>
      <c r="CT66" s="70"/>
      <c r="CU66" s="70"/>
      <c r="CV66" s="70"/>
    </row>
    <row r="67" spans="3:100" s="21" customFormat="1" ht="20.100000000000001" customHeight="1" thickBot="1" x14ac:dyDescent="0.25">
      <c r="C67" s="25"/>
      <c r="D67" s="25"/>
      <c r="E67" s="25"/>
      <c r="F67" s="6691"/>
      <c r="G67" s="70"/>
      <c r="H67" s="1072"/>
      <c r="I67" s="1073"/>
      <c r="J67" s="1074"/>
      <c r="K67" s="20"/>
      <c r="L67" s="663"/>
      <c r="M67" s="988" t="str">
        <f>_Calcs!$K$65</f>
        <v>Sprøytebetong</v>
      </c>
      <c r="N67" s="988"/>
      <c r="O67" s="988"/>
      <c r="P67" s="988"/>
      <c r="Q67" s="6142"/>
      <c r="R67" s="2034" t="s">
        <v>46</v>
      </c>
      <c r="S67" s="667"/>
      <c r="T67" s="20"/>
      <c r="U67" s="73"/>
      <c r="V67" s="16"/>
      <c r="W67" s="646"/>
      <c r="X67" s="73"/>
      <c r="Y67" s="46">
        <f>INDEX(outputs_oppsum[total_shot],MATCH(_Calcs!$NO$41,outputs_oppsum[stuff_id],0))</f>
        <v>0</v>
      </c>
      <c r="Z67" s="76"/>
      <c r="AA67" s="30" t="str">
        <f>IF(_Calcs!$NO287&gt;0,"!","✓")</f>
        <v>!</v>
      </c>
      <c r="AB67" s="647"/>
      <c r="AC67" s="648"/>
      <c r="AD67" s="78"/>
      <c r="AE67" s="646"/>
      <c r="AF67" s="73"/>
      <c r="AG67" s="46" t="e">
        <f>INDEX(outputs_oppsum[total_shot],MATCH(_Calcs!$NP$41,outputs_oppsum[stuff_id],0))</f>
        <v>#N/A</v>
      </c>
      <c r="AH67" s="76"/>
      <c r="AI67" s="30" t="e">
        <f>IF(_Calcs!$NP287&gt;0,"!","✓")</f>
        <v>#N/A</v>
      </c>
      <c r="AJ67" s="647"/>
      <c r="AK67" s="648"/>
      <c r="AL67" s="78"/>
      <c r="AM67" s="646"/>
      <c r="AN67" s="73"/>
      <c r="AO67" s="46" t="e">
        <f>INDEX(outputs_oppsum[total_shot],MATCH(_Calcs!$NQ$41,outputs_oppsum[stuff_id],0))</f>
        <v>#N/A</v>
      </c>
      <c r="AP67" s="76"/>
      <c r="AQ67" s="30" t="e">
        <f>IF(_Calcs!$NQ287&gt;0,"!","✓")</f>
        <v>#N/A</v>
      </c>
      <c r="AR67" s="647"/>
      <c r="AS67" s="648"/>
      <c r="AT67" s="78"/>
      <c r="AU67" s="646"/>
      <c r="AV67" s="73"/>
      <c r="AW67" s="46" t="e">
        <f>INDEX(outputs_oppsum[total_shot],MATCH(_Calcs!$NR$41,outputs_oppsum[stuff_id],0))</f>
        <v>#N/A</v>
      </c>
      <c r="AX67" s="76"/>
      <c r="AY67" s="30" t="e">
        <f>IF(_Calcs!$NR287&gt;0,"!","✓")</f>
        <v>#N/A</v>
      </c>
      <c r="AZ67" s="647"/>
      <c r="BA67" s="648"/>
      <c r="BB67" s="78"/>
      <c r="BC67" s="646"/>
      <c r="BD67" s="73"/>
      <c r="BE67" s="46" t="e">
        <f>INDEX(outputs_oppsum[total_shot],MATCH(_Calcs!$NS$41,outputs_oppsum[stuff_id],0))</f>
        <v>#N/A</v>
      </c>
      <c r="BF67" s="76"/>
      <c r="BG67" s="30" t="e">
        <f>IF(_Calcs!$NS287&gt;0,"!","✓")</f>
        <v>#N/A</v>
      </c>
      <c r="BH67" s="647"/>
      <c r="BI67" s="648"/>
      <c r="BJ67" s="78"/>
      <c r="BK67" s="646"/>
      <c r="BL67" s="73"/>
      <c r="BM67" s="46" t="e">
        <f>INDEX(outputs_oppsum[total_shot],MATCH(_Calcs!$NT$41,outputs_oppsum[stuff_id],0))</f>
        <v>#N/A</v>
      </c>
      <c r="BN67" s="76"/>
      <c r="BO67" s="30" t="e">
        <f>IF(_Calcs!$NT287&gt;0,"!","✓")</f>
        <v>#N/A</v>
      </c>
      <c r="BP67" s="647"/>
      <c r="BQ67" s="648"/>
      <c r="BR67" s="78"/>
      <c r="BS67" s="646"/>
      <c r="BT67" s="73"/>
      <c r="BU67" s="46" t="e">
        <f>INDEX(outputs_oppsum[total_shot],MATCH(_Calcs!$NU$41,outputs_oppsum[stuff_id],0))</f>
        <v>#N/A</v>
      </c>
      <c r="BV67" s="76"/>
      <c r="BW67" s="30" t="e">
        <f>IF(_Calcs!$NU287&gt;0,"!","✓")</f>
        <v>#N/A</v>
      </c>
      <c r="BX67" s="647"/>
      <c r="BY67" s="648"/>
      <c r="BZ67" s="78"/>
      <c r="CA67" s="646"/>
      <c r="CB67" s="73"/>
      <c r="CC67" s="46" t="e">
        <f>INDEX(outputs_oppsum[total_shot],MATCH(_Calcs!$NV$41,outputs_oppsum[stuff_id],0))</f>
        <v>#N/A</v>
      </c>
      <c r="CD67" s="76"/>
      <c r="CE67" s="30" t="e">
        <f>IF(_Calcs!$NV287&gt;0,"!","✓")</f>
        <v>#N/A</v>
      </c>
      <c r="CF67" s="647"/>
      <c r="CG67" s="648"/>
      <c r="CH67" s="78"/>
      <c r="CI67" s="646"/>
      <c r="CJ67" s="73"/>
      <c r="CK67" s="46" t="e">
        <f>INDEX(outputs_oppsum[total_shot],MATCH(_Calcs!$NW$41,outputs_oppsum[stuff_id],0))</f>
        <v>#N/A</v>
      </c>
      <c r="CL67" s="76"/>
      <c r="CM67" s="30" t="e">
        <f>IF(_Calcs!$NW287&gt;0,"!","✓")</f>
        <v>#N/A</v>
      </c>
      <c r="CN67" s="647"/>
      <c r="CO67" s="648"/>
      <c r="CP67" s="78"/>
      <c r="CQ67" s="77"/>
      <c r="CR67" s="70"/>
      <c r="CS67" s="70"/>
      <c r="CT67" s="70"/>
      <c r="CU67" s="70"/>
      <c r="CV67" s="70"/>
    </row>
    <row r="68" spans="3:100" s="21" customFormat="1" ht="15" customHeight="1" thickBot="1" x14ac:dyDescent="0.25">
      <c r="C68" s="25"/>
      <c r="D68" s="25"/>
      <c r="E68" s="25"/>
      <c r="F68" s="6691"/>
      <c r="G68" s="70"/>
      <c r="H68" s="1072"/>
      <c r="I68" s="1073"/>
      <c r="J68" s="1074"/>
      <c r="K68" s="20"/>
      <c r="L68" s="663"/>
      <c r="M68" s="988"/>
      <c r="N68" s="988"/>
      <c r="O68" s="988"/>
      <c r="P68" s="988"/>
      <c r="Q68" s="6142"/>
      <c r="R68" s="2034"/>
      <c r="S68" s="651"/>
      <c r="T68" s="20"/>
      <c r="U68" s="72"/>
      <c r="V68" s="16"/>
      <c r="W68" s="649"/>
      <c r="X68" s="650"/>
      <c r="Y68" s="650"/>
      <c r="Z68" s="650"/>
      <c r="AA68" s="650"/>
      <c r="AB68" s="650"/>
      <c r="AC68" s="651"/>
      <c r="AE68" s="649"/>
      <c r="AF68" s="650"/>
      <c r="AG68" s="650"/>
      <c r="AH68" s="650"/>
      <c r="AI68" s="650"/>
      <c r="AJ68" s="650"/>
      <c r="AK68" s="651"/>
      <c r="AM68" s="649"/>
      <c r="AN68" s="650"/>
      <c r="AO68" s="650"/>
      <c r="AP68" s="650"/>
      <c r="AQ68" s="650"/>
      <c r="AR68" s="650"/>
      <c r="AS68" s="651"/>
      <c r="AU68" s="649"/>
      <c r="AV68" s="650"/>
      <c r="AW68" s="650"/>
      <c r="AX68" s="650"/>
      <c r="AY68" s="650"/>
      <c r="AZ68" s="650"/>
      <c r="BA68" s="651"/>
      <c r="BC68" s="649"/>
      <c r="BD68" s="650"/>
      <c r="BE68" s="650"/>
      <c r="BF68" s="650"/>
      <c r="BG68" s="650"/>
      <c r="BH68" s="650"/>
      <c r="BI68" s="651"/>
      <c r="BK68" s="649"/>
      <c r="BL68" s="650"/>
      <c r="BM68" s="650"/>
      <c r="BN68" s="650"/>
      <c r="BO68" s="650"/>
      <c r="BP68" s="650"/>
      <c r="BQ68" s="651"/>
      <c r="BS68" s="649"/>
      <c r="BT68" s="650"/>
      <c r="BU68" s="650"/>
      <c r="BV68" s="650"/>
      <c r="BW68" s="650"/>
      <c r="BX68" s="650"/>
      <c r="BY68" s="651"/>
      <c r="CA68" s="649"/>
      <c r="CB68" s="650"/>
      <c r="CC68" s="650"/>
      <c r="CD68" s="650"/>
      <c r="CE68" s="650"/>
      <c r="CF68" s="650"/>
      <c r="CG68" s="651"/>
      <c r="CI68" s="649"/>
      <c r="CJ68" s="650"/>
      <c r="CK68" s="650"/>
      <c r="CL68" s="650"/>
      <c r="CM68" s="650"/>
      <c r="CN68" s="650"/>
      <c r="CO68" s="651"/>
      <c r="CQ68" s="72"/>
      <c r="CR68" s="70"/>
      <c r="CS68" s="70"/>
      <c r="CT68" s="70"/>
      <c r="CU68" s="70"/>
      <c r="CV68" s="70"/>
    </row>
    <row r="69" spans="3:100" s="21" customFormat="1" ht="20.100000000000001" customHeight="1" thickBot="1" x14ac:dyDescent="0.25">
      <c r="C69" s="25"/>
      <c r="D69" s="25"/>
      <c r="E69" s="25"/>
      <c r="F69" s="6691"/>
      <c r="G69" s="70"/>
      <c r="H69" s="1075"/>
      <c r="I69" s="1076"/>
      <c r="J69" s="1077"/>
      <c r="K69" s="20"/>
      <c r="L69" s="663"/>
      <c r="M69" s="988" t="str">
        <f>_Calcs!$K$66</f>
        <v>Sikringsbuer</v>
      </c>
      <c r="N69" s="988"/>
      <c r="O69" s="988"/>
      <c r="P69" s="988"/>
      <c r="Q69" s="6142"/>
      <c r="R69" s="2034" t="s">
        <v>46</v>
      </c>
      <c r="S69" s="667"/>
      <c r="T69" s="20"/>
      <c r="U69" s="73"/>
      <c r="V69" s="16"/>
      <c r="W69" s="646"/>
      <c r="X69" s="73"/>
      <c r="Y69" s="46">
        <f>INDEX(outputs_oppsum[total_buer],MATCH(_Calcs!$NO$41,outputs_oppsum[stuff_id],0))</f>
        <v>0</v>
      </c>
      <c r="Z69" s="76"/>
      <c r="AA69" s="30" t="str">
        <f>IF(_Calcs!$NO288&gt;0,"!","✓")</f>
        <v>!</v>
      </c>
      <c r="AB69" s="647"/>
      <c r="AC69" s="648"/>
      <c r="AD69" s="70"/>
      <c r="AE69" s="646"/>
      <c r="AF69" s="73"/>
      <c r="AG69" s="46" t="e">
        <f>INDEX(outputs_oppsum[total_buer],MATCH(_Calcs!$NP$41,outputs_oppsum[stuff_id],0))</f>
        <v>#N/A</v>
      </c>
      <c r="AH69" s="76"/>
      <c r="AI69" s="30" t="e">
        <f>IF(_Calcs!$NP288&gt;0,"!","✓")</f>
        <v>#N/A</v>
      </c>
      <c r="AJ69" s="647"/>
      <c r="AK69" s="648"/>
      <c r="AL69" s="70"/>
      <c r="AM69" s="646"/>
      <c r="AN69" s="73"/>
      <c r="AO69" s="46" t="e">
        <f>INDEX(outputs_oppsum[total_buer],MATCH(_Calcs!$NQ$41,outputs_oppsum[stuff_id],0))</f>
        <v>#N/A</v>
      </c>
      <c r="AP69" s="76"/>
      <c r="AQ69" s="30" t="e">
        <f>IF(_Calcs!$NQ288&gt;0,"!","✓")</f>
        <v>#N/A</v>
      </c>
      <c r="AR69" s="647"/>
      <c r="AS69" s="648"/>
      <c r="AT69" s="70"/>
      <c r="AU69" s="646"/>
      <c r="AV69" s="73"/>
      <c r="AW69" s="46" t="e">
        <f>INDEX(outputs_oppsum[total_buer],MATCH(_Calcs!$NR$41,outputs_oppsum[stuff_id],0))</f>
        <v>#N/A</v>
      </c>
      <c r="AX69" s="76"/>
      <c r="AY69" s="30" t="e">
        <f>IF(_Calcs!$NR288&gt;0,"!","✓")</f>
        <v>#N/A</v>
      </c>
      <c r="AZ69" s="647"/>
      <c r="BA69" s="648"/>
      <c r="BB69" s="70"/>
      <c r="BC69" s="646"/>
      <c r="BD69" s="73"/>
      <c r="BE69" s="46" t="e">
        <f>INDEX(outputs_oppsum[total_buer],MATCH(_Calcs!$NS$41,outputs_oppsum[stuff_id],0))</f>
        <v>#N/A</v>
      </c>
      <c r="BF69" s="76"/>
      <c r="BG69" s="30" t="e">
        <f>IF(_Calcs!$NS288&gt;0,"!","✓")</f>
        <v>#N/A</v>
      </c>
      <c r="BH69" s="647"/>
      <c r="BI69" s="648"/>
      <c r="BJ69" s="70"/>
      <c r="BK69" s="646"/>
      <c r="BL69" s="73"/>
      <c r="BM69" s="46" t="e">
        <f>INDEX(outputs_oppsum[total_buer],MATCH(_Calcs!$NT$41,outputs_oppsum[stuff_id],0))</f>
        <v>#N/A</v>
      </c>
      <c r="BN69" s="76"/>
      <c r="BO69" s="30" t="e">
        <f>IF(_Calcs!$NT288&gt;0,"!","✓")</f>
        <v>#N/A</v>
      </c>
      <c r="BP69" s="647"/>
      <c r="BQ69" s="648"/>
      <c r="BR69" s="70"/>
      <c r="BS69" s="646"/>
      <c r="BT69" s="73"/>
      <c r="BU69" s="46" t="e">
        <f>INDEX(outputs_oppsum[total_buer],MATCH(_Calcs!$NU$41,outputs_oppsum[stuff_id],0))</f>
        <v>#N/A</v>
      </c>
      <c r="BV69" s="76"/>
      <c r="BW69" s="30" t="e">
        <f>IF(_Calcs!$NU288&gt;0,"!","✓")</f>
        <v>#N/A</v>
      </c>
      <c r="BX69" s="647"/>
      <c r="BY69" s="648"/>
      <c r="BZ69" s="70"/>
      <c r="CA69" s="646"/>
      <c r="CB69" s="73"/>
      <c r="CC69" s="46" t="e">
        <f>INDEX(outputs_oppsum[total_buer],MATCH(_Calcs!$NV$41,outputs_oppsum[stuff_id],0))</f>
        <v>#N/A</v>
      </c>
      <c r="CD69" s="76"/>
      <c r="CE69" s="30" t="e">
        <f>IF(_Calcs!$NV288&gt;0,"!","✓")</f>
        <v>#N/A</v>
      </c>
      <c r="CF69" s="647"/>
      <c r="CG69" s="648"/>
      <c r="CH69" s="70"/>
      <c r="CI69" s="646"/>
      <c r="CJ69" s="73"/>
      <c r="CK69" s="46" t="e">
        <f>INDEX(outputs_oppsum[total_buer],MATCH(_Calcs!$NW$41,outputs_oppsum[stuff_id],0))</f>
        <v>#N/A</v>
      </c>
      <c r="CL69" s="76"/>
      <c r="CM69" s="30" t="e">
        <f>IF(_Calcs!$NW288&gt;0,"!","✓")</f>
        <v>#N/A</v>
      </c>
      <c r="CN69" s="647"/>
      <c r="CO69" s="648"/>
      <c r="CP69" s="70"/>
      <c r="CQ69" s="77"/>
      <c r="CR69" s="70"/>
      <c r="CS69" s="70"/>
      <c r="CT69" s="70"/>
      <c r="CU69" s="70"/>
      <c r="CV69" s="70"/>
    </row>
    <row r="70" spans="3:100" s="21" customFormat="1" ht="15" customHeight="1" thickBot="1" x14ac:dyDescent="0.25">
      <c r="C70" s="25"/>
      <c r="D70" s="25"/>
      <c r="E70" s="25"/>
      <c r="F70" s="6691"/>
      <c r="G70" s="70"/>
      <c r="H70" s="1075"/>
      <c r="I70" s="1076"/>
      <c r="J70" s="1077"/>
      <c r="K70" s="20"/>
      <c r="L70" s="663"/>
      <c r="M70" s="988"/>
      <c r="N70" s="988"/>
      <c r="O70" s="988"/>
      <c r="P70" s="988"/>
      <c r="Q70" s="6142"/>
      <c r="R70" s="2034"/>
      <c r="S70" s="667"/>
      <c r="T70" s="20"/>
      <c r="U70" s="73"/>
      <c r="V70" s="16"/>
      <c r="W70" s="646"/>
      <c r="X70" s="73"/>
      <c r="Y70" s="74"/>
      <c r="Z70" s="76"/>
      <c r="AA70" s="647"/>
      <c r="AB70" s="647"/>
      <c r="AC70" s="648"/>
      <c r="AD70" s="70"/>
      <c r="AE70" s="646"/>
      <c r="AF70" s="73"/>
      <c r="AG70" s="74"/>
      <c r="AH70" s="76"/>
      <c r="AI70" s="647"/>
      <c r="AJ70" s="647"/>
      <c r="AK70" s="648"/>
      <c r="AL70" s="70"/>
      <c r="AM70" s="646"/>
      <c r="AN70" s="73"/>
      <c r="AO70" s="74"/>
      <c r="AP70" s="76"/>
      <c r="AQ70" s="647"/>
      <c r="AR70" s="647"/>
      <c r="AS70" s="648"/>
      <c r="AT70" s="70"/>
      <c r="AU70" s="646"/>
      <c r="AV70" s="73"/>
      <c r="AW70" s="74"/>
      <c r="AX70" s="76"/>
      <c r="AY70" s="647"/>
      <c r="AZ70" s="647"/>
      <c r="BA70" s="648"/>
      <c r="BB70" s="70"/>
      <c r="BC70" s="646"/>
      <c r="BD70" s="73"/>
      <c r="BE70" s="74"/>
      <c r="BF70" s="76"/>
      <c r="BG70" s="647"/>
      <c r="BH70" s="647"/>
      <c r="BI70" s="648"/>
      <c r="BJ70" s="70"/>
      <c r="BK70" s="646"/>
      <c r="BL70" s="73"/>
      <c r="BM70" s="74"/>
      <c r="BN70" s="76"/>
      <c r="BO70" s="647"/>
      <c r="BP70" s="647"/>
      <c r="BQ70" s="648"/>
      <c r="BR70" s="70"/>
      <c r="BS70" s="646"/>
      <c r="BT70" s="73"/>
      <c r="BU70" s="74"/>
      <c r="BV70" s="76"/>
      <c r="BW70" s="647"/>
      <c r="BX70" s="647"/>
      <c r="BY70" s="648"/>
      <c r="BZ70" s="70"/>
      <c r="CA70" s="646"/>
      <c r="CB70" s="73"/>
      <c r="CC70" s="74"/>
      <c r="CD70" s="76"/>
      <c r="CE70" s="647"/>
      <c r="CF70" s="647"/>
      <c r="CG70" s="648"/>
      <c r="CH70" s="70"/>
      <c r="CI70" s="646"/>
      <c r="CJ70" s="73"/>
      <c r="CK70" s="74"/>
      <c r="CL70" s="76"/>
      <c r="CM70" s="647"/>
      <c r="CN70" s="647"/>
      <c r="CO70" s="648"/>
      <c r="CP70" s="70"/>
      <c r="CQ70" s="77"/>
      <c r="CR70" s="70"/>
      <c r="CS70" s="70"/>
      <c r="CT70" s="70"/>
      <c r="CU70" s="70"/>
      <c r="CV70" s="70"/>
    </row>
    <row r="71" spans="3:100" s="21" customFormat="1" ht="20.100000000000001" customHeight="1" thickBot="1" x14ac:dyDescent="0.25">
      <c r="C71" s="25"/>
      <c r="D71" s="25"/>
      <c r="E71" s="25"/>
      <c r="F71" s="6691"/>
      <c r="G71" s="70"/>
      <c r="H71" s="1075"/>
      <c r="I71" s="1076"/>
      <c r="J71" s="1077"/>
      <c r="K71" s="20"/>
      <c r="L71" s="663"/>
      <c r="M71" s="988" t="str">
        <f>_Calcs!$K$70</f>
        <v>Sikringsstøp</v>
      </c>
      <c r="N71" s="988"/>
      <c r="O71" s="988"/>
      <c r="P71" s="988"/>
      <c r="Q71" s="6142"/>
      <c r="R71" s="2034" t="s">
        <v>46</v>
      </c>
      <c r="S71" s="667"/>
      <c r="T71" s="20"/>
      <c r="U71" s="73"/>
      <c r="V71" s="16"/>
      <c r="W71" s="646"/>
      <c r="X71" s="73"/>
      <c r="Y71" s="46">
        <f>INDEX(outputs_oppsum[total_sik],MATCH(_Calcs!$NO$41,outputs_oppsum[stuff_id],0))</f>
        <v>0</v>
      </c>
      <c r="Z71" s="76"/>
      <c r="AA71" s="30" t="str">
        <f>IF(_Calcs!$NO289&gt;0,"!","✓")</f>
        <v>!</v>
      </c>
      <c r="AB71" s="647"/>
      <c r="AC71" s="648"/>
      <c r="AD71" s="70"/>
      <c r="AE71" s="646"/>
      <c r="AF71" s="73"/>
      <c r="AG71" s="46" t="e">
        <f>INDEX(outputs_oppsum[total_sik],MATCH(_Calcs!$NP$41,outputs_oppsum[stuff_id],0))</f>
        <v>#N/A</v>
      </c>
      <c r="AH71" s="76"/>
      <c r="AI71" s="30" t="e">
        <f>IF(_Calcs!$NP289&gt;0,"!","✓")</f>
        <v>#N/A</v>
      </c>
      <c r="AJ71" s="647"/>
      <c r="AK71" s="648"/>
      <c r="AL71" s="70"/>
      <c r="AM71" s="646"/>
      <c r="AN71" s="73"/>
      <c r="AO71" s="46" t="e">
        <f>INDEX(outputs_oppsum[total_sik],MATCH(_Calcs!$NQ$41,outputs_oppsum[stuff_id],0))</f>
        <v>#N/A</v>
      </c>
      <c r="AP71" s="76"/>
      <c r="AQ71" s="30" t="e">
        <f>IF(_Calcs!$NQ289&gt;0,"!","✓")</f>
        <v>#N/A</v>
      </c>
      <c r="AR71" s="647"/>
      <c r="AS71" s="648"/>
      <c r="AT71" s="70"/>
      <c r="AU71" s="646"/>
      <c r="AV71" s="73"/>
      <c r="AW71" s="46" t="e">
        <f>INDEX(outputs_oppsum[total_sik],MATCH(_Calcs!$NR$41,outputs_oppsum[stuff_id],0))</f>
        <v>#N/A</v>
      </c>
      <c r="AX71" s="76"/>
      <c r="AY71" s="30" t="e">
        <f>IF(_Calcs!$NR289&gt;0,"!","✓")</f>
        <v>#N/A</v>
      </c>
      <c r="AZ71" s="647"/>
      <c r="BA71" s="648"/>
      <c r="BB71" s="70"/>
      <c r="BC71" s="646"/>
      <c r="BD71" s="73"/>
      <c r="BE71" s="46" t="e">
        <f>INDEX(outputs_oppsum[total_sik],MATCH(_Calcs!$NS$41,outputs_oppsum[stuff_id],0))</f>
        <v>#N/A</v>
      </c>
      <c r="BF71" s="76"/>
      <c r="BG71" s="30" t="e">
        <f>IF(_Calcs!$NS289&gt;0,"!","✓")</f>
        <v>#N/A</v>
      </c>
      <c r="BH71" s="647"/>
      <c r="BI71" s="648"/>
      <c r="BJ71" s="70"/>
      <c r="BK71" s="646"/>
      <c r="BL71" s="73"/>
      <c r="BM71" s="46" t="e">
        <f>INDEX(outputs_oppsum[total_sik],MATCH(_Calcs!$NT$41,outputs_oppsum[stuff_id],0))</f>
        <v>#N/A</v>
      </c>
      <c r="BN71" s="76"/>
      <c r="BO71" s="30" t="e">
        <f>IF(_Calcs!$NT289&gt;0,"!","✓")</f>
        <v>#N/A</v>
      </c>
      <c r="BP71" s="647"/>
      <c r="BQ71" s="648"/>
      <c r="BR71" s="70"/>
      <c r="BS71" s="646"/>
      <c r="BT71" s="73"/>
      <c r="BU71" s="46" t="e">
        <f>INDEX(outputs_oppsum[total_sik],MATCH(_Calcs!$NU$41,outputs_oppsum[stuff_id],0))</f>
        <v>#N/A</v>
      </c>
      <c r="BV71" s="76"/>
      <c r="BW71" s="30" t="e">
        <f>IF(_Calcs!$NU289&gt;0,"!","✓")</f>
        <v>#N/A</v>
      </c>
      <c r="BX71" s="647"/>
      <c r="BY71" s="648"/>
      <c r="BZ71" s="70"/>
      <c r="CA71" s="646"/>
      <c r="CB71" s="73"/>
      <c r="CC71" s="46" t="e">
        <f>INDEX(outputs_oppsum[total_sik],MATCH(_Calcs!$NV$41,outputs_oppsum[stuff_id],0))</f>
        <v>#N/A</v>
      </c>
      <c r="CD71" s="76"/>
      <c r="CE71" s="30" t="e">
        <f>IF(_Calcs!$NV289&gt;0,"!","✓")</f>
        <v>#N/A</v>
      </c>
      <c r="CF71" s="647"/>
      <c r="CG71" s="648"/>
      <c r="CH71" s="70"/>
      <c r="CI71" s="646"/>
      <c r="CJ71" s="73"/>
      <c r="CK71" s="46" t="e">
        <f>INDEX(outputs_oppsum[total_sik],MATCH(_Calcs!$NW$41,outputs_oppsum[stuff_id],0))</f>
        <v>#N/A</v>
      </c>
      <c r="CL71" s="76"/>
      <c r="CM71" s="30" t="e">
        <f>IF(_Calcs!$NW289&gt;0,"!","✓")</f>
        <v>#N/A</v>
      </c>
      <c r="CN71" s="647"/>
      <c r="CO71" s="648"/>
      <c r="CP71" s="70"/>
      <c r="CQ71" s="77"/>
      <c r="CR71" s="70"/>
      <c r="CS71" s="70"/>
      <c r="CT71" s="70"/>
      <c r="CU71" s="70"/>
      <c r="CV71" s="70"/>
    </row>
    <row r="72" spans="3:100" s="21" customFormat="1" ht="15" customHeight="1" thickBot="1" x14ac:dyDescent="0.25">
      <c r="C72" s="25"/>
      <c r="D72" s="25"/>
      <c r="E72" s="25"/>
      <c r="F72" s="6691"/>
      <c r="G72" s="70"/>
      <c r="H72" s="1078"/>
      <c r="I72" s="1079"/>
      <c r="J72" s="1080"/>
      <c r="K72" s="20"/>
      <c r="L72" s="665"/>
      <c r="M72" s="989"/>
      <c r="N72" s="989"/>
      <c r="O72" s="989"/>
      <c r="P72" s="989"/>
      <c r="Q72" s="655"/>
      <c r="R72" s="659"/>
      <c r="S72" s="668"/>
      <c r="T72" s="20"/>
      <c r="U72" s="73"/>
      <c r="V72" s="16"/>
      <c r="W72" s="652"/>
      <c r="X72" s="653"/>
      <c r="Y72" s="654"/>
      <c r="Z72" s="659"/>
      <c r="AA72" s="656"/>
      <c r="AB72" s="656"/>
      <c r="AC72" s="657"/>
      <c r="AD72" s="70"/>
      <c r="AE72" s="652"/>
      <c r="AF72" s="653"/>
      <c r="AG72" s="654"/>
      <c r="AH72" s="659"/>
      <c r="AI72" s="656"/>
      <c r="AJ72" s="656"/>
      <c r="AK72" s="657"/>
      <c r="AL72" s="70"/>
      <c r="AM72" s="652"/>
      <c r="AN72" s="653"/>
      <c r="AO72" s="654"/>
      <c r="AP72" s="659"/>
      <c r="AQ72" s="656"/>
      <c r="AR72" s="656"/>
      <c r="AS72" s="657"/>
      <c r="AT72" s="70"/>
      <c r="AU72" s="652"/>
      <c r="AV72" s="653"/>
      <c r="AW72" s="654"/>
      <c r="AX72" s="659"/>
      <c r="AY72" s="656"/>
      <c r="AZ72" s="656"/>
      <c r="BA72" s="657"/>
      <c r="BB72" s="70"/>
      <c r="BC72" s="652"/>
      <c r="BD72" s="653"/>
      <c r="BE72" s="654"/>
      <c r="BF72" s="659"/>
      <c r="BG72" s="656"/>
      <c r="BH72" s="656"/>
      <c r="BI72" s="657"/>
      <c r="BJ72" s="70"/>
      <c r="BK72" s="652"/>
      <c r="BL72" s="653"/>
      <c r="BM72" s="654"/>
      <c r="BN72" s="659"/>
      <c r="BO72" s="656"/>
      <c r="BP72" s="656"/>
      <c r="BQ72" s="657"/>
      <c r="BR72" s="70"/>
      <c r="BS72" s="652"/>
      <c r="BT72" s="653"/>
      <c r="BU72" s="654"/>
      <c r="BV72" s="659"/>
      <c r="BW72" s="656"/>
      <c r="BX72" s="656"/>
      <c r="BY72" s="657"/>
      <c r="BZ72" s="70"/>
      <c r="CA72" s="652"/>
      <c r="CB72" s="653"/>
      <c r="CC72" s="654"/>
      <c r="CD72" s="659"/>
      <c r="CE72" s="656"/>
      <c r="CF72" s="656"/>
      <c r="CG72" s="657"/>
      <c r="CH72" s="70"/>
      <c r="CI72" s="652"/>
      <c r="CJ72" s="653"/>
      <c r="CK72" s="654"/>
      <c r="CL72" s="659"/>
      <c r="CM72" s="656"/>
      <c r="CN72" s="656"/>
      <c r="CO72" s="657"/>
      <c r="CP72" s="70"/>
      <c r="CQ72" s="77"/>
      <c r="CR72" s="70"/>
      <c r="CS72" s="70"/>
      <c r="CT72" s="70"/>
      <c r="CU72" s="70"/>
      <c r="CV72" s="70"/>
    </row>
    <row r="73" spans="3:100" s="21" customFormat="1" ht="15" customHeight="1" thickBot="1" x14ac:dyDescent="0.25">
      <c r="C73" s="25"/>
      <c r="D73" s="25"/>
      <c r="E73" s="25"/>
      <c r="F73" s="6691"/>
      <c r="G73" s="70"/>
      <c r="H73" s="39"/>
      <c r="I73" s="39"/>
      <c r="J73" s="39"/>
      <c r="K73" s="20"/>
      <c r="L73" s="14"/>
      <c r="M73" s="974"/>
      <c r="N73" s="974"/>
      <c r="O73" s="974"/>
      <c r="P73" s="974"/>
      <c r="Q73" s="13"/>
      <c r="R73" s="17"/>
      <c r="S73" s="35"/>
      <c r="T73" s="20"/>
      <c r="U73" s="35"/>
      <c r="V73" s="17"/>
      <c r="W73" s="35"/>
      <c r="X73" s="35"/>
      <c r="Y73" s="36"/>
      <c r="Z73" s="17"/>
      <c r="AA73" s="70"/>
      <c r="AB73" s="70"/>
      <c r="AC73" s="70"/>
      <c r="AD73" s="70"/>
      <c r="AE73" s="35"/>
      <c r="AF73" s="35"/>
      <c r="AG73" s="36"/>
      <c r="AH73" s="17"/>
      <c r="AI73" s="70"/>
      <c r="AJ73" s="70"/>
      <c r="AK73" s="70"/>
      <c r="AL73" s="70"/>
      <c r="AM73" s="35"/>
      <c r="AN73" s="35"/>
      <c r="AO73" s="36"/>
      <c r="AP73" s="17"/>
      <c r="AQ73" s="70"/>
      <c r="AR73" s="70"/>
      <c r="AS73" s="70"/>
      <c r="AT73" s="70"/>
      <c r="AU73" s="35"/>
      <c r="AV73" s="35"/>
      <c r="AW73" s="36"/>
      <c r="AX73" s="17"/>
      <c r="AY73" s="70"/>
      <c r="AZ73" s="70"/>
      <c r="BA73" s="70"/>
      <c r="BB73" s="70"/>
      <c r="BC73" s="35"/>
      <c r="BD73" s="35"/>
      <c r="BE73" s="36"/>
      <c r="BF73" s="17"/>
      <c r="BG73" s="70"/>
      <c r="BH73" s="70"/>
      <c r="BI73" s="70"/>
      <c r="BJ73" s="70"/>
      <c r="BK73" s="35"/>
      <c r="BL73" s="35"/>
      <c r="BM73" s="36"/>
      <c r="BN73" s="17"/>
      <c r="BO73" s="70"/>
      <c r="BP73" s="70"/>
      <c r="BQ73" s="70"/>
      <c r="BR73" s="70"/>
      <c r="BS73" s="35"/>
      <c r="BT73" s="35"/>
      <c r="BU73" s="36"/>
      <c r="BV73" s="17"/>
      <c r="BW73" s="70"/>
      <c r="BX73" s="70"/>
      <c r="BY73" s="70"/>
      <c r="BZ73" s="70"/>
      <c r="CA73" s="35"/>
      <c r="CB73" s="35"/>
      <c r="CC73" s="36"/>
      <c r="CD73" s="17"/>
      <c r="CE73" s="70"/>
      <c r="CF73" s="70"/>
      <c r="CG73" s="70"/>
      <c r="CH73" s="70"/>
      <c r="CI73" s="35"/>
      <c r="CJ73" s="35"/>
      <c r="CK73" s="36"/>
      <c r="CL73" s="17"/>
      <c r="CM73" s="70"/>
      <c r="CN73" s="70"/>
      <c r="CO73" s="70"/>
      <c r="CP73" s="70"/>
      <c r="CQ73" s="70"/>
      <c r="CR73" s="70"/>
    </row>
    <row r="74" spans="3:100" s="21" customFormat="1" ht="5.0999999999999996" customHeight="1" x14ac:dyDescent="0.3">
      <c r="C74" s="25"/>
      <c r="D74" s="25"/>
      <c r="E74" s="25"/>
      <c r="F74" s="6691"/>
      <c r="G74" s="70"/>
      <c r="H74" s="1625"/>
      <c r="I74" s="1626"/>
      <c r="J74" s="1627"/>
      <c r="K74" s="20"/>
      <c r="L74" s="788"/>
      <c r="M74" s="1005"/>
      <c r="N74" s="1005"/>
      <c r="O74" s="1005"/>
      <c r="P74" s="1005"/>
      <c r="Q74" s="790"/>
      <c r="R74" s="2035"/>
      <c r="S74" s="791"/>
      <c r="T74" s="20"/>
      <c r="U74" s="1629"/>
      <c r="V74" s="17"/>
      <c r="W74" s="788"/>
      <c r="X74" s="789"/>
      <c r="Y74" s="789"/>
      <c r="Z74" s="789"/>
      <c r="AA74" s="789"/>
      <c r="AB74" s="789"/>
      <c r="AC74" s="791"/>
      <c r="AD74" s="78"/>
      <c r="AE74" s="788"/>
      <c r="AF74" s="789"/>
      <c r="AG74" s="789"/>
      <c r="AH74" s="789"/>
      <c r="AI74" s="789"/>
      <c r="AJ74" s="789"/>
      <c r="AK74" s="791"/>
      <c r="AL74" s="78"/>
      <c r="AM74" s="788"/>
      <c r="AN74" s="789"/>
      <c r="AO74" s="789"/>
      <c r="AP74" s="789"/>
      <c r="AQ74" s="789"/>
      <c r="AR74" s="789"/>
      <c r="AS74" s="791"/>
      <c r="AT74" s="78"/>
      <c r="AU74" s="788"/>
      <c r="AV74" s="789"/>
      <c r="AW74" s="789"/>
      <c r="AX74" s="789"/>
      <c r="AY74" s="789"/>
      <c r="AZ74" s="789"/>
      <c r="BA74" s="791"/>
      <c r="BB74" s="78"/>
      <c r="BC74" s="788"/>
      <c r="BD74" s="789"/>
      <c r="BE74" s="789"/>
      <c r="BF74" s="789"/>
      <c r="BG74" s="789"/>
      <c r="BH74" s="789"/>
      <c r="BI74" s="791"/>
      <c r="BJ74" s="78"/>
      <c r="BK74" s="788"/>
      <c r="BL74" s="789"/>
      <c r="BM74" s="789"/>
      <c r="BN74" s="789"/>
      <c r="BO74" s="789"/>
      <c r="BP74" s="789"/>
      <c r="BQ74" s="791"/>
      <c r="BR74" s="78"/>
      <c r="BS74" s="788"/>
      <c r="BT74" s="789"/>
      <c r="BU74" s="789"/>
      <c r="BV74" s="789"/>
      <c r="BW74" s="789"/>
      <c r="BX74" s="789"/>
      <c r="BY74" s="791"/>
      <c r="BZ74" s="78"/>
      <c r="CA74" s="788"/>
      <c r="CB74" s="789"/>
      <c r="CC74" s="789"/>
      <c r="CD74" s="789"/>
      <c r="CE74" s="789"/>
      <c r="CF74" s="789"/>
      <c r="CG74" s="791"/>
      <c r="CH74" s="70"/>
      <c r="CI74" s="788"/>
      <c r="CJ74" s="789"/>
      <c r="CK74" s="789"/>
      <c r="CL74" s="789"/>
      <c r="CM74" s="789"/>
      <c r="CN74" s="789"/>
      <c r="CO74" s="791"/>
      <c r="CP74" s="70"/>
      <c r="CQ74" s="85"/>
      <c r="CR74" s="70"/>
    </row>
    <row r="75" spans="3:100" s="21" customFormat="1" ht="5.0999999999999996" customHeight="1" x14ac:dyDescent="0.3">
      <c r="C75" s="25"/>
      <c r="D75" s="25"/>
      <c r="E75" s="25"/>
      <c r="F75" s="6691"/>
      <c r="G75" s="70"/>
      <c r="H75" s="1628"/>
      <c r="I75" s="1629"/>
      <c r="J75" s="1630"/>
      <c r="K75" s="20"/>
      <c r="L75" s="792"/>
      <c r="M75" s="1006"/>
      <c r="N75" s="1006"/>
      <c r="O75" s="1006"/>
      <c r="P75" s="1006"/>
      <c r="Q75" s="84"/>
      <c r="R75" s="88"/>
      <c r="S75" s="793"/>
      <c r="T75" s="20"/>
      <c r="U75" s="1629"/>
      <c r="V75" s="17"/>
      <c r="W75" s="792"/>
      <c r="X75" s="787"/>
      <c r="Y75" s="787"/>
      <c r="Z75" s="787"/>
      <c r="AA75" s="787"/>
      <c r="AB75" s="787"/>
      <c r="AC75" s="793"/>
      <c r="AD75" s="78"/>
      <c r="AE75" s="792"/>
      <c r="AF75" s="787"/>
      <c r="AG75" s="787"/>
      <c r="AH75" s="787"/>
      <c r="AI75" s="787"/>
      <c r="AJ75" s="787"/>
      <c r="AK75" s="793"/>
      <c r="AL75" s="78"/>
      <c r="AM75" s="792"/>
      <c r="AN75" s="787"/>
      <c r="AO75" s="787"/>
      <c r="AP75" s="787"/>
      <c r="AQ75" s="787"/>
      <c r="AR75" s="787"/>
      <c r="AS75" s="793"/>
      <c r="AT75" s="78"/>
      <c r="AU75" s="792"/>
      <c r="AV75" s="787"/>
      <c r="AW75" s="787"/>
      <c r="AX75" s="787"/>
      <c r="AY75" s="787"/>
      <c r="AZ75" s="787"/>
      <c r="BA75" s="793"/>
      <c r="BB75" s="78"/>
      <c r="BC75" s="792"/>
      <c r="BD75" s="787"/>
      <c r="BE75" s="787"/>
      <c r="BF75" s="787"/>
      <c r="BG75" s="787"/>
      <c r="BH75" s="787"/>
      <c r="BI75" s="793"/>
      <c r="BJ75" s="78"/>
      <c r="BK75" s="792"/>
      <c r="BL75" s="787"/>
      <c r="BM75" s="787"/>
      <c r="BN75" s="787"/>
      <c r="BO75" s="787"/>
      <c r="BP75" s="787"/>
      <c r="BQ75" s="793"/>
      <c r="BR75" s="78"/>
      <c r="BS75" s="792"/>
      <c r="BT75" s="787"/>
      <c r="BU75" s="787"/>
      <c r="BV75" s="787"/>
      <c r="BW75" s="787"/>
      <c r="BX75" s="787"/>
      <c r="BY75" s="793"/>
      <c r="BZ75" s="78"/>
      <c r="CA75" s="792"/>
      <c r="CB75" s="787"/>
      <c r="CC75" s="787"/>
      <c r="CD75" s="787"/>
      <c r="CE75" s="787"/>
      <c r="CF75" s="787"/>
      <c r="CG75" s="793"/>
      <c r="CH75" s="70"/>
      <c r="CI75" s="792"/>
      <c r="CJ75" s="787"/>
      <c r="CK75" s="787"/>
      <c r="CL75" s="787"/>
      <c r="CM75" s="787"/>
      <c r="CN75" s="787"/>
      <c r="CO75" s="793"/>
      <c r="CP75" s="70"/>
      <c r="CQ75" s="85"/>
      <c r="CR75" s="70"/>
    </row>
    <row r="76" spans="3:100" s="21" customFormat="1" ht="5.0999999999999996" customHeight="1" thickBot="1" x14ac:dyDescent="0.35">
      <c r="C76" s="25"/>
      <c r="D76" s="25"/>
      <c r="E76" s="25"/>
      <c r="F76" s="6691"/>
      <c r="G76" s="70"/>
      <c r="H76" s="1631"/>
      <c r="I76" s="1632"/>
      <c r="J76" s="1633"/>
      <c r="K76" s="20"/>
      <c r="L76" s="794"/>
      <c r="M76" s="1007"/>
      <c r="N76" s="1007"/>
      <c r="O76" s="1007"/>
      <c r="P76" s="1007"/>
      <c r="Q76" s="796"/>
      <c r="R76" s="2036"/>
      <c r="S76" s="797"/>
      <c r="T76" s="20"/>
      <c r="U76" s="1629"/>
      <c r="V76" s="17"/>
      <c r="W76" s="794"/>
      <c r="X76" s="795"/>
      <c r="Y76" s="795"/>
      <c r="Z76" s="795"/>
      <c r="AA76" s="795"/>
      <c r="AB76" s="795"/>
      <c r="AC76" s="797"/>
      <c r="AD76" s="78"/>
      <c r="AE76" s="794"/>
      <c r="AF76" s="795"/>
      <c r="AG76" s="795"/>
      <c r="AH76" s="795"/>
      <c r="AI76" s="795"/>
      <c r="AJ76" s="795"/>
      <c r="AK76" s="797"/>
      <c r="AL76" s="78"/>
      <c r="AM76" s="794"/>
      <c r="AN76" s="795"/>
      <c r="AO76" s="795"/>
      <c r="AP76" s="795"/>
      <c r="AQ76" s="795"/>
      <c r="AR76" s="795"/>
      <c r="AS76" s="797"/>
      <c r="AT76" s="78"/>
      <c r="AU76" s="794"/>
      <c r="AV76" s="795"/>
      <c r="AW76" s="795"/>
      <c r="AX76" s="795"/>
      <c r="AY76" s="795"/>
      <c r="AZ76" s="795"/>
      <c r="BA76" s="797"/>
      <c r="BB76" s="78"/>
      <c r="BC76" s="794"/>
      <c r="BD76" s="795"/>
      <c r="BE76" s="795"/>
      <c r="BF76" s="795"/>
      <c r="BG76" s="795"/>
      <c r="BH76" s="795"/>
      <c r="BI76" s="797"/>
      <c r="BJ76" s="78"/>
      <c r="BK76" s="794"/>
      <c r="BL76" s="795"/>
      <c r="BM76" s="795"/>
      <c r="BN76" s="795"/>
      <c r="BO76" s="795"/>
      <c r="BP76" s="795"/>
      <c r="BQ76" s="797"/>
      <c r="BR76" s="78"/>
      <c r="BS76" s="794"/>
      <c r="BT76" s="795"/>
      <c r="BU76" s="795"/>
      <c r="BV76" s="795"/>
      <c r="BW76" s="795"/>
      <c r="BX76" s="795"/>
      <c r="BY76" s="797"/>
      <c r="BZ76" s="78"/>
      <c r="CA76" s="794"/>
      <c r="CB76" s="795"/>
      <c r="CC76" s="795"/>
      <c r="CD76" s="795"/>
      <c r="CE76" s="795"/>
      <c r="CF76" s="795"/>
      <c r="CG76" s="797"/>
      <c r="CH76" s="70"/>
      <c r="CI76" s="794"/>
      <c r="CJ76" s="795"/>
      <c r="CK76" s="795"/>
      <c r="CL76" s="795"/>
      <c r="CM76" s="795"/>
      <c r="CN76" s="795"/>
      <c r="CO76" s="797"/>
      <c r="CP76" s="70"/>
      <c r="CQ76" s="85"/>
      <c r="CR76" s="70"/>
    </row>
    <row r="77" spans="3:100" s="21" customFormat="1" ht="8.1" customHeight="1" thickBot="1" x14ac:dyDescent="0.35">
      <c r="C77" s="25"/>
      <c r="D77" s="25"/>
      <c r="E77" s="25"/>
      <c r="F77" s="6691"/>
      <c r="G77" s="70"/>
      <c r="H77" s="669"/>
      <c r="I77" s="669"/>
      <c r="J77" s="669"/>
      <c r="K77" s="20"/>
      <c r="L77" s="14"/>
      <c r="M77" s="135"/>
      <c r="N77" s="135"/>
      <c r="O77" s="135"/>
      <c r="P77" s="135"/>
      <c r="Q77" s="13"/>
      <c r="R77" s="15"/>
      <c r="S77" s="14"/>
      <c r="T77" s="20"/>
      <c r="U77" s="14"/>
      <c r="V77" s="17"/>
      <c r="W77" s="14"/>
      <c r="X77" s="14"/>
      <c r="Y77" s="14"/>
      <c r="Z77" s="14"/>
      <c r="AA77" s="14"/>
      <c r="AB77" s="14"/>
      <c r="AC77" s="14"/>
      <c r="AD77" s="70"/>
      <c r="AE77" s="14"/>
      <c r="AF77" s="14"/>
      <c r="AG77" s="14"/>
      <c r="AH77" s="14"/>
      <c r="AI77" s="14"/>
      <c r="AJ77" s="14"/>
      <c r="AK77" s="14"/>
      <c r="AL77" s="70"/>
      <c r="AM77" s="14"/>
      <c r="AN77" s="14"/>
      <c r="AO77" s="14"/>
      <c r="AP77" s="14"/>
      <c r="AQ77" s="14"/>
      <c r="AR77" s="14"/>
      <c r="AS77" s="14"/>
      <c r="AT77" s="70"/>
      <c r="AU77" s="14"/>
      <c r="AV77" s="14"/>
      <c r="AW77" s="14"/>
      <c r="AX77" s="14"/>
      <c r="AY77" s="14"/>
      <c r="AZ77" s="14"/>
      <c r="BA77" s="14"/>
      <c r="BB77" s="70"/>
      <c r="BC77" s="14"/>
      <c r="BD77" s="14"/>
      <c r="BE77" s="14"/>
      <c r="BF77" s="14"/>
      <c r="BG77" s="14"/>
      <c r="BH77" s="14"/>
      <c r="BI77" s="14"/>
      <c r="BJ77" s="70"/>
      <c r="BK77" s="14"/>
      <c r="BL77" s="14"/>
      <c r="BM77" s="14"/>
      <c r="BN77" s="14"/>
      <c r="BO77" s="14"/>
      <c r="BP77" s="14"/>
      <c r="BQ77" s="14"/>
      <c r="BR77" s="70"/>
      <c r="BS77" s="14"/>
      <c r="BT77" s="14"/>
      <c r="BU77" s="14"/>
      <c r="BV77" s="14"/>
      <c r="BW77" s="14"/>
      <c r="BX77" s="14"/>
      <c r="BY77" s="14"/>
      <c r="BZ77" s="70"/>
      <c r="CA77" s="14"/>
      <c r="CB77" s="14"/>
      <c r="CC77" s="14"/>
      <c r="CD77" s="14"/>
      <c r="CE77" s="14"/>
      <c r="CF77" s="14"/>
      <c r="CG77" s="14"/>
      <c r="CH77" s="70"/>
      <c r="CI77" s="14"/>
      <c r="CJ77" s="14"/>
      <c r="CK77" s="14"/>
      <c r="CL77" s="14"/>
      <c r="CM77" s="14"/>
      <c r="CN77" s="14"/>
      <c r="CO77" s="14"/>
      <c r="CP77" s="70"/>
      <c r="CQ77" s="14"/>
      <c r="CR77" s="70"/>
    </row>
    <row r="78" spans="3:100" s="21" customFormat="1" ht="15" customHeight="1" thickBot="1" x14ac:dyDescent="0.35">
      <c r="C78" s="25"/>
      <c r="D78" s="25"/>
      <c r="E78" s="25"/>
      <c r="F78" s="6691"/>
      <c r="G78" s="70"/>
      <c r="H78" s="1619"/>
      <c r="I78" s="1620"/>
      <c r="J78" s="1621"/>
      <c r="K78" s="20"/>
      <c r="L78" s="629"/>
      <c r="M78" s="1008"/>
      <c r="N78" s="1008"/>
      <c r="O78" s="6230"/>
      <c r="P78" s="676"/>
      <c r="Q78" s="1678"/>
      <c r="R78" s="6207"/>
      <c r="S78" s="750"/>
      <c r="T78" s="20"/>
      <c r="U78" s="1634"/>
      <c r="V78" s="17"/>
      <c r="W78" s="629"/>
      <c r="X78" s="749"/>
      <c r="Y78" s="749"/>
      <c r="Z78" s="749"/>
      <c r="AA78" s="749"/>
      <c r="AB78" s="749"/>
      <c r="AC78" s="750"/>
      <c r="AD78" s="70"/>
      <c r="AE78" s="629"/>
      <c r="AF78" s="749"/>
      <c r="AG78" s="749"/>
      <c r="AH78" s="749"/>
      <c r="AI78" s="749"/>
      <c r="AJ78" s="749"/>
      <c r="AK78" s="750"/>
      <c r="AL78" s="70"/>
      <c r="AM78" s="629"/>
      <c r="AN78" s="749"/>
      <c r="AO78" s="749"/>
      <c r="AP78" s="749"/>
      <c r="AQ78" s="749"/>
      <c r="AR78" s="749"/>
      <c r="AS78" s="750"/>
      <c r="AT78" s="70"/>
      <c r="AU78" s="629"/>
      <c r="AV78" s="749"/>
      <c r="AW78" s="749"/>
      <c r="AX78" s="749"/>
      <c r="AY78" s="749"/>
      <c r="AZ78" s="749"/>
      <c r="BA78" s="750"/>
      <c r="BB78" s="70"/>
      <c r="BC78" s="629"/>
      <c r="BD78" s="749"/>
      <c r="BE78" s="749"/>
      <c r="BF78" s="749"/>
      <c r="BG78" s="749"/>
      <c r="BH78" s="749"/>
      <c r="BI78" s="750"/>
      <c r="BJ78" s="70"/>
      <c r="BK78" s="629"/>
      <c r="BL78" s="749"/>
      <c r="BM78" s="749"/>
      <c r="BN78" s="749"/>
      <c r="BO78" s="749"/>
      <c r="BP78" s="749"/>
      <c r="BQ78" s="750"/>
      <c r="BR78" s="70"/>
      <c r="BS78" s="629"/>
      <c r="BT78" s="749"/>
      <c r="BU78" s="749"/>
      <c r="BV78" s="749"/>
      <c r="BW78" s="749"/>
      <c r="BX78" s="749"/>
      <c r="BY78" s="750"/>
      <c r="BZ78" s="70"/>
      <c r="CA78" s="629"/>
      <c r="CB78" s="749"/>
      <c r="CC78" s="749"/>
      <c r="CD78" s="749"/>
      <c r="CE78" s="749"/>
      <c r="CF78" s="749"/>
      <c r="CG78" s="750"/>
      <c r="CH78" s="70"/>
      <c r="CI78" s="629"/>
      <c r="CJ78" s="749"/>
      <c r="CK78" s="749"/>
      <c r="CL78" s="749"/>
      <c r="CM78" s="749"/>
      <c r="CN78" s="749"/>
      <c r="CO78" s="750"/>
      <c r="CP78" s="70"/>
      <c r="CQ78" s="27"/>
      <c r="CR78" s="70"/>
    </row>
    <row r="79" spans="3:100" s="21" customFormat="1" ht="12.6" customHeight="1" x14ac:dyDescent="0.3">
      <c r="C79" s="25"/>
      <c r="D79" s="25"/>
      <c r="E79" s="25"/>
      <c r="F79" s="6691"/>
      <c r="G79" s="70"/>
      <c r="H79" s="6693" t="s">
        <v>134</v>
      </c>
      <c r="I79" s="6694"/>
      <c r="J79" s="6695"/>
      <c r="K79" s="20"/>
      <c r="L79" s="632"/>
      <c r="M79" s="6650" t="s">
        <v>2700</v>
      </c>
      <c r="N79" s="6650"/>
      <c r="O79" s="6651"/>
      <c r="P79" s="6228"/>
      <c r="Q79" s="6232"/>
      <c r="R79" s="6703" t="s">
        <v>46</v>
      </c>
      <c r="S79" s="752"/>
      <c r="T79" s="20"/>
      <c r="U79" s="1634"/>
      <c r="V79" s="17"/>
      <c r="W79" s="632"/>
      <c r="X79" s="751"/>
      <c r="Y79" s="6680">
        <f>INDEX(outputs_oppsum[oppsum_drivetid_hr],MATCH(_Calcs!$NO$41,outputs_oppsum[stuff_id],0))</f>
        <v>0</v>
      </c>
      <c r="Z79" s="972"/>
      <c r="AA79" s="6645" t="str">
        <f>IF(_Calcs!$NO290&gt;0,"!","✓")</f>
        <v>!</v>
      </c>
      <c r="AB79" s="972"/>
      <c r="AC79" s="1100"/>
      <c r="AD79" s="1101"/>
      <c r="AE79" s="1102"/>
      <c r="AF79" s="972"/>
      <c r="AG79" s="6653" t="e">
        <f>INDEX(outputs_oppsum[oppsum_drivetid_hr],MATCH(_Calcs!$NP$41,outputs_oppsum[stuff_id],0))</f>
        <v>#N/A</v>
      </c>
      <c r="AH79" s="972"/>
      <c r="AI79" s="6645" t="e">
        <f>IF(_Calcs!$NP290&gt;0,"!","✓")</f>
        <v>#N/A</v>
      </c>
      <c r="AJ79" s="972"/>
      <c r="AK79" s="1100"/>
      <c r="AL79" s="1101"/>
      <c r="AM79" s="1102"/>
      <c r="AN79" s="972"/>
      <c r="AO79" s="6653" t="e">
        <f>INDEX(outputs_oppsum[oppsum_drivetid_hr],MATCH(_Calcs!$NQ$41,outputs_oppsum[stuff_id],0))</f>
        <v>#N/A</v>
      </c>
      <c r="AP79" s="972"/>
      <c r="AQ79" s="6645" t="e">
        <f>IF(_Calcs!$NQ290&gt;0,"!","✓")</f>
        <v>#N/A</v>
      </c>
      <c r="AR79" s="972"/>
      <c r="AS79" s="1100"/>
      <c r="AT79" s="1101"/>
      <c r="AU79" s="1102"/>
      <c r="AV79" s="972"/>
      <c r="AW79" s="6653" t="e">
        <f>INDEX(outputs_oppsum[oppsum_drivetid_hr],MATCH(_Calcs!$NR$41,outputs_oppsum[stuff_id],0))</f>
        <v>#N/A</v>
      </c>
      <c r="AX79" s="972"/>
      <c r="AY79" s="6645" t="e">
        <f>IF(_Calcs!$NR290&gt;0,"!","✓")</f>
        <v>#N/A</v>
      </c>
      <c r="AZ79" s="972"/>
      <c r="BA79" s="1100"/>
      <c r="BB79" s="1101"/>
      <c r="BC79" s="1102"/>
      <c r="BD79" s="972"/>
      <c r="BE79" s="6680" t="e">
        <f>INDEX(outputs_oppsum[oppsum_drivetid_hr],MATCH(_Calcs!$NS$41,outputs_oppsum[stuff_id],0))</f>
        <v>#N/A</v>
      </c>
      <c r="BF79" s="972"/>
      <c r="BG79" s="6645" t="e">
        <f>IF(_Calcs!$NS290&gt;0,"!","✓")</f>
        <v>#N/A</v>
      </c>
      <c r="BH79" s="972"/>
      <c r="BI79" s="1100"/>
      <c r="BJ79" s="1101"/>
      <c r="BK79" s="1102"/>
      <c r="BL79" s="972"/>
      <c r="BM79" s="6653" t="e">
        <f>INDEX(outputs_oppsum[oppsum_drivetid_hr],MATCH(_Calcs!$NT$41,outputs_oppsum[stuff_id],0))</f>
        <v>#N/A</v>
      </c>
      <c r="BN79" s="972"/>
      <c r="BO79" s="6645" t="e">
        <f>IF(_Calcs!$NT290&gt;0,"!","✓")</f>
        <v>#N/A</v>
      </c>
      <c r="BP79" s="972"/>
      <c r="BQ79" s="1100"/>
      <c r="BR79" s="1101"/>
      <c r="BS79" s="1102"/>
      <c r="BT79" s="972"/>
      <c r="BU79" s="6653" t="e">
        <f>INDEX(outputs_oppsum[oppsum_drivetid_hr],MATCH(_Calcs!$NU$41,outputs_oppsum[stuff_id],0))</f>
        <v>#N/A</v>
      </c>
      <c r="BV79" s="972"/>
      <c r="BW79" s="6645" t="e">
        <f>IF(_Calcs!$NU290&gt;0,"!","✓")</f>
        <v>#N/A</v>
      </c>
      <c r="BX79" s="972"/>
      <c r="BY79" s="1100"/>
      <c r="BZ79" s="1101"/>
      <c r="CA79" s="1102"/>
      <c r="CB79" s="972"/>
      <c r="CC79" s="6653" t="e">
        <f>INDEX(outputs_oppsum[oppsum_drivetid_hr],MATCH(_Calcs!$NV$41,outputs_oppsum[stuff_id],0))</f>
        <v>#N/A</v>
      </c>
      <c r="CD79" s="972"/>
      <c r="CE79" s="6645" t="e">
        <f>IF(_Calcs!$NV290&gt;0,"!","✓")</f>
        <v>#N/A</v>
      </c>
      <c r="CF79" s="972"/>
      <c r="CG79" s="1100"/>
      <c r="CH79" s="1101"/>
      <c r="CI79" s="1102"/>
      <c r="CJ79" s="972"/>
      <c r="CK79" s="6653" t="e">
        <f>INDEX(outputs_oppsum[oppsum_drivetid_hr],MATCH(_Calcs!$NW$41,outputs_oppsum[stuff_id],0))</f>
        <v>#N/A</v>
      </c>
      <c r="CL79" s="751"/>
      <c r="CM79" s="6645" t="e">
        <f>IF(_Calcs!$NW290&gt;0,"!","✓")</f>
        <v>#N/A</v>
      </c>
      <c r="CN79" s="751"/>
      <c r="CO79" s="752"/>
      <c r="CP79" s="70"/>
      <c r="CQ79" s="27"/>
      <c r="CR79" s="70"/>
    </row>
    <row r="80" spans="3:100" s="21" customFormat="1" ht="7.5" customHeight="1" thickBot="1" x14ac:dyDescent="0.25">
      <c r="C80" s="25"/>
      <c r="D80" s="25"/>
      <c r="E80" s="25"/>
      <c r="F80" s="6691"/>
      <c r="G80" s="70"/>
      <c r="H80" s="6693"/>
      <c r="I80" s="6694"/>
      <c r="J80" s="6695"/>
      <c r="K80" s="20"/>
      <c r="L80" s="632"/>
      <c r="M80" s="6650"/>
      <c r="N80" s="6650"/>
      <c r="O80" s="6651"/>
      <c r="P80" s="6228"/>
      <c r="Q80" s="6232"/>
      <c r="R80" s="6703"/>
      <c r="S80" s="752"/>
      <c r="T80" s="20"/>
      <c r="U80" s="27"/>
      <c r="V80" s="17"/>
      <c r="W80" s="632"/>
      <c r="X80" s="751"/>
      <c r="Y80" s="6681"/>
      <c r="Z80" s="972"/>
      <c r="AA80" s="6646"/>
      <c r="AB80" s="972"/>
      <c r="AC80" s="1100"/>
      <c r="AD80" s="1101"/>
      <c r="AE80" s="1102"/>
      <c r="AF80" s="972"/>
      <c r="AG80" s="6654"/>
      <c r="AH80" s="972"/>
      <c r="AI80" s="6646"/>
      <c r="AJ80" s="972"/>
      <c r="AK80" s="1100"/>
      <c r="AL80" s="1101"/>
      <c r="AM80" s="1102"/>
      <c r="AN80" s="972"/>
      <c r="AO80" s="6654"/>
      <c r="AP80" s="972"/>
      <c r="AQ80" s="6646"/>
      <c r="AR80" s="972"/>
      <c r="AS80" s="1100"/>
      <c r="AT80" s="1101"/>
      <c r="AU80" s="1102"/>
      <c r="AV80" s="972"/>
      <c r="AW80" s="6654"/>
      <c r="AX80" s="972"/>
      <c r="AY80" s="6646"/>
      <c r="AZ80" s="972"/>
      <c r="BA80" s="1100"/>
      <c r="BB80" s="1101"/>
      <c r="BC80" s="1102"/>
      <c r="BD80" s="972"/>
      <c r="BE80" s="6681"/>
      <c r="BF80" s="972"/>
      <c r="BG80" s="6646"/>
      <c r="BH80" s="972"/>
      <c r="BI80" s="1100"/>
      <c r="BJ80" s="1101"/>
      <c r="BK80" s="1102"/>
      <c r="BL80" s="972"/>
      <c r="BM80" s="6654"/>
      <c r="BN80" s="972"/>
      <c r="BO80" s="6646"/>
      <c r="BP80" s="972"/>
      <c r="BQ80" s="1100"/>
      <c r="BR80" s="1101"/>
      <c r="BS80" s="1102"/>
      <c r="BT80" s="972"/>
      <c r="BU80" s="6654"/>
      <c r="BV80" s="972"/>
      <c r="BW80" s="6646"/>
      <c r="BX80" s="972"/>
      <c r="BY80" s="1100"/>
      <c r="BZ80" s="1101"/>
      <c r="CA80" s="1102"/>
      <c r="CB80" s="972"/>
      <c r="CC80" s="6654"/>
      <c r="CD80" s="972"/>
      <c r="CE80" s="6646"/>
      <c r="CF80" s="972"/>
      <c r="CG80" s="1100"/>
      <c r="CH80" s="1101"/>
      <c r="CI80" s="1102"/>
      <c r="CJ80" s="972"/>
      <c r="CK80" s="6654"/>
      <c r="CL80" s="751"/>
      <c r="CM80" s="6646"/>
      <c r="CN80" s="751"/>
      <c r="CO80" s="752"/>
      <c r="CP80" s="70"/>
      <c r="CQ80" s="27"/>
      <c r="CR80" s="70"/>
    </row>
    <row r="81" spans="3:100" s="21" customFormat="1" ht="15" customHeight="1" thickBot="1" x14ac:dyDescent="0.25">
      <c r="C81" s="25"/>
      <c r="D81" s="25"/>
      <c r="E81" s="25"/>
      <c r="F81" s="6691"/>
      <c r="G81" s="70"/>
      <c r="H81" s="6693"/>
      <c r="I81" s="6694"/>
      <c r="J81" s="6695"/>
      <c r="K81" s="20"/>
      <c r="L81" s="634"/>
      <c r="M81" s="6225"/>
      <c r="N81" s="6226"/>
      <c r="O81" s="6231"/>
      <c r="P81" s="6229"/>
      <c r="Q81" s="6232"/>
      <c r="R81" s="6209"/>
      <c r="S81" s="752"/>
      <c r="T81" s="20"/>
      <c r="U81" s="27"/>
      <c r="V81" s="17"/>
      <c r="W81" s="632"/>
      <c r="X81" s="751"/>
      <c r="Y81" s="1103"/>
      <c r="Z81" s="972"/>
      <c r="AA81" s="972"/>
      <c r="AB81" s="972"/>
      <c r="AC81" s="1100"/>
      <c r="AD81" s="1101"/>
      <c r="AE81" s="1102"/>
      <c r="AF81" s="972"/>
      <c r="AG81" s="2075"/>
      <c r="AH81" s="972"/>
      <c r="AI81" s="972"/>
      <c r="AJ81" s="972"/>
      <c r="AK81" s="1100"/>
      <c r="AL81" s="1101"/>
      <c r="AM81" s="1102"/>
      <c r="AN81" s="972"/>
      <c r="AO81" s="2075"/>
      <c r="AP81" s="972"/>
      <c r="AQ81" s="972"/>
      <c r="AR81" s="972"/>
      <c r="AS81" s="1100"/>
      <c r="AT81" s="1101"/>
      <c r="AU81" s="1102"/>
      <c r="AV81" s="972"/>
      <c r="AW81" s="2075"/>
      <c r="AX81" s="972"/>
      <c r="AY81" s="972"/>
      <c r="AZ81" s="972"/>
      <c r="BA81" s="1100"/>
      <c r="BB81" s="1101"/>
      <c r="BC81" s="1102"/>
      <c r="BD81" s="972"/>
      <c r="BE81" s="1103"/>
      <c r="BF81" s="972"/>
      <c r="BG81" s="972"/>
      <c r="BH81" s="972"/>
      <c r="BI81" s="1100"/>
      <c r="BJ81" s="1101"/>
      <c r="BK81" s="1102"/>
      <c r="BL81" s="972"/>
      <c r="BM81" s="2075"/>
      <c r="BN81" s="972"/>
      <c r="BO81" s="972"/>
      <c r="BP81" s="972"/>
      <c r="BQ81" s="1100"/>
      <c r="BR81" s="1101"/>
      <c r="BS81" s="1102"/>
      <c r="BT81" s="972"/>
      <c r="BU81" s="2075"/>
      <c r="BV81" s="972"/>
      <c r="BW81" s="972"/>
      <c r="BX81" s="972"/>
      <c r="BY81" s="1100"/>
      <c r="BZ81" s="1101"/>
      <c r="CA81" s="1102"/>
      <c r="CB81" s="972"/>
      <c r="CC81" s="2075"/>
      <c r="CD81" s="972"/>
      <c r="CE81" s="972"/>
      <c r="CF81" s="972"/>
      <c r="CG81" s="1100"/>
      <c r="CH81" s="1101"/>
      <c r="CI81" s="1102"/>
      <c r="CJ81" s="972"/>
      <c r="CK81" s="2075"/>
      <c r="CL81" s="751"/>
      <c r="CM81" s="972"/>
      <c r="CN81" s="751"/>
      <c r="CO81" s="752"/>
      <c r="CP81" s="70"/>
      <c r="CQ81" s="27"/>
      <c r="CR81" s="70"/>
    </row>
    <row r="82" spans="3:100" s="21" customFormat="1" ht="8.1" customHeight="1" x14ac:dyDescent="0.2">
      <c r="C82" s="25"/>
      <c r="D82" s="25"/>
      <c r="E82" s="25"/>
      <c r="F82" s="6691"/>
      <c r="G82" s="70"/>
      <c r="H82" s="6693"/>
      <c r="I82" s="6694"/>
      <c r="J82" s="6695"/>
      <c r="K82" s="20"/>
      <c r="L82" s="20"/>
      <c r="M82" s="6165"/>
      <c r="N82" s="6227"/>
      <c r="O82" s="6227"/>
      <c r="P82" s="6227"/>
      <c r="Q82" s="6232"/>
      <c r="R82" s="6714" t="s">
        <v>146</v>
      </c>
      <c r="S82" s="752"/>
      <c r="T82" s="20"/>
      <c r="U82" s="27"/>
      <c r="V82" s="17"/>
      <c r="W82" s="632"/>
      <c r="X82" s="751"/>
      <c r="Y82" s="6653">
        <f>INDEX(outputs_oppsum[oppsum_drivetid_uke],MATCH(_Calcs!$NO$41,outputs_oppsum[stuff_id],0))</f>
        <v>0</v>
      </c>
      <c r="Z82" s="972"/>
      <c r="AA82" s="6645" t="str">
        <f>IF(_Calcs!$NO291&gt;0,"!","✓")</f>
        <v>!</v>
      </c>
      <c r="AB82" s="972"/>
      <c r="AC82" s="1100"/>
      <c r="AD82" s="3959"/>
      <c r="AE82" s="1102"/>
      <c r="AF82" s="972"/>
      <c r="AG82" s="6653" t="e">
        <f>INDEX(outputs_oppsum[oppsum_drivetid_uke],MATCH(_Calcs!$NP$41,outputs_oppsum[stuff_id],0))</f>
        <v>#N/A</v>
      </c>
      <c r="AH82" s="972"/>
      <c r="AI82" s="6645" t="e">
        <f>IF(_Calcs!$NP291&gt;0,"!","✓")</f>
        <v>#N/A</v>
      </c>
      <c r="AJ82" s="972"/>
      <c r="AK82" s="1100"/>
      <c r="AL82" s="3959"/>
      <c r="AM82" s="1102"/>
      <c r="AN82" s="972"/>
      <c r="AO82" s="6653" t="e">
        <f>INDEX(outputs_oppsum[oppsum_drivetid_uke],MATCH(_Calcs!$NQ$41,outputs_oppsum[stuff_id],0))</f>
        <v>#N/A</v>
      </c>
      <c r="AP82" s="972"/>
      <c r="AQ82" s="6645" t="e">
        <f>IF(_Calcs!$NQ291&gt;0,"!","✓")</f>
        <v>#N/A</v>
      </c>
      <c r="AR82" s="972"/>
      <c r="AS82" s="1100"/>
      <c r="AT82" s="3959"/>
      <c r="AU82" s="1102"/>
      <c r="AV82" s="972"/>
      <c r="AW82" s="6653" t="e">
        <f>INDEX(outputs_oppsum[oppsum_drivetid_uke],MATCH(_Calcs!$NR$41,outputs_oppsum[stuff_id],0))</f>
        <v>#N/A</v>
      </c>
      <c r="AX82" s="972"/>
      <c r="AY82" s="6645" t="e">
        <f>IF(_Calcs!$NR291&gt;0,"!","✓")</f>
        <v>#N/A</v>
      </c>
      <c r="AZ82" s="972"/>
      <c r="BA82" s="1100"/>
      <c r="BB82" s="3959"/>
      <c r="BC82" s="1102"/>
      <c r="BD82" s="972"/>
      <c r="BE82" s="6653" t="e">
        <f>INDEX(outputs_oppsum[oppsum_drivetid_uke],MATCH(_Calcs!$NS$41,outputs_oppsum[stuff_id],0))</f>
        <v>#N/A</v>
      </c>
      <c r="BF82" s="972"/>
      <c r="BG82" s="6645" t="e">
        <f>IF(_Calcs!$NS291&gt;0,"!","✓")</f>
        <v>#N/A</v>
      </c>
      <c r="BH82" s="972"/>
      <c r="BI82" s="1100"/>
      <c r="BJ82" s="3959"/>
      <c r="BK82" s="1102"/>
      <c r="BL82" s="972"/>
      <c r="BM82" s="6653" t="e">
        <f>INDEX(outputs_oppsum[oppsum_drivetid_uke],MATCH(_Calcs!$NT$41,outputs_oppsum[stuff_id],0))</f>
        <v>#N/A</v>
      </c>
      <c r="BN82" s="972"/>
      <c r="BO82" s="6645" t="e">
        <f>IF(_Calcs!$NT291&gt;0,"!","✓")</f>
        <v>#N/A</v>
      </c>
      <c r="BP82" s="972"/>
      <c r="BQ82" s="1100"/>
      <c r="BR82" s="3959"/>
      <c r="BS82" s="1102"/>
      <c r="BT82" s="972"/>
      <c r="BU82" s="6653" t="e">
        <f>INDEX(outputs_oppsum[oppsum_drivetid_uke],MATCH(_Calcs!$NU$41,outputs_oppsum[stuff_id],0))</f>
        <v>#N/A</v>
      </c>
      <c r="BV82" s="972"/>
      <c r="BW82" s="6645" t="e">
        <f>IF(_Calcs!$NU291&gt;0,"!","✓")</f>
        <v>#N/A</v>
      </c>
      <c r="BX82" s="972"/>
      <c r="BY82" s="1100"/>
      <c r="BZ82" s="3959"/>
      <c r="CA82" s="1102"/>
      <c r="CB82" s="972"/>
      <c r="CC82" s="6653" t="e">
        <f>INDEX(outputs_oppsum[oppsum_drivetid_uke],MATCH(_Calcs!$NV$41,outputs_oppsum[stuff_id],0))</f>
        <v>#N/A</v>
      </c>
      <c r="CD82" s="972"/>
      <c r="CE82" s="6645" t="e">
        <f>IF(_Calcs!$NV291&gt;0,"!","✓")</f>
        <v>#N/A</v>
      </c>
      <c r="CF82" s="972"/>
      <c r="CG82" s="1100"/>
      <c r="CH82" s="3959"/>
      <c r="CI82" s="1102"/>
      <c r="CJ82" s="972"/>
      <c r="CK82" s="6653" t="e">
        <f>INDEX(outputs_oppsum[oppsum_drivetid_uke],MATCH(_Calcs!$NW$41,outputs_oppsum[stuff_id],0))</f>
        <v>#N/A</v>
      </c>
      <c r="CL82" s="751"/>
      <c r="CM82" s="6645" t="e">
        <f>IF(_Calcs!$NW291&gt;0,"!","✓")</f>
        <v>#N/A</v>
      </c>
      <c r="CN82" s="751"/>
      <c r="CO82" s="752"/>
      <c r="CP82" s="70"/>
      <c r="CQ82" s="27"/>
      <c r="CR82" s="70"/>
    </row>
    <row r="83" spans="3:100" s="21" customFormat="1" ht="5.0999999999999996" customHeight="1" x14ac:dyDescent="0.2">
      <c r="C83" s="25"/>
      <c r="D83" s="25"/>
      <c r="E83" s="25"/>
      <c r="F83" s="6691"/>
      <c r="G83" s="70"/>
      <c r="H83" s="6693"/>
      <c r="I83" s="6694"/>
      <c r="J83" s="6695"/>
      <c r="K83" s="20"/>
      <c r="L83" s="6233"/>
      <c r="M83" s="6234"/>
      <c r="N83" s="6235"/>
      <c r="O83" s="6235"/>
      <c r="P83" s="6227"/>
      <c r="Q83" s="6232"/>
      <c r="R83" s="6703"/>
      <c r="S83" s="752"/>
      <c r="T83" s="20"/>
      <c r="U83" s="27"/>
      <c r="V83" s="17"/>
      <c r="W83" s="632"/>
      <c r="X83" s="751"/>
      <c r="Y83" s="6657"/>
      <c r="Z83" s="972"/>
      <c r="AA83" s="6652"/>
      <c r="AB83" s="972"/>
      <c r="AC83" s="1100"/>
      <c r="AD83" s="3959"/>
      <c r="AE83" s="1102"/>
      <c r="AF83" s="972"/>
      <c r="AG83" s="6657"/>
      <c r="AH83" s="972"/>
      <c r="AI83" s="6652"/>
      <c r="AJ83" s="972"/>
      <c r="AK83" s="1100"/>
      <c r="AL83" s="3959"/>
      <c r="AM83" s="1102"/>
      <c r="AN83" s="972"/>
      <c r="AO83" s="6657"/>
      <c r="AP83" s="972"/>
      <c r="AQ83" s="6652"/>
      <c r="AR83" s="972"/>
      <c r="AS83" s="1100"/>
      <c r="AT83" s="3959"/>
      <c r="AU83" s="1102"/>
      <c r="AV83" s="972"/>
      <c r="AW83" s="6657"/>
      <c r="AX83" s="972"/>
      <c r="AY83" s="6652"/>
      <c r="AZ83" s="972"/>
      <c r="BA83" s="1100"/>
      <c r="BB83" s="3959"/>
      <c r="BC83" s="1102"/>
      <c r="BD83" s="972"/>
      <c r="BE83" s="6657"/>
      <c r="BF83" s="972"/>
      <c r="BG83" s="6652"/>
      <c r="BH83" s="972"/>
      <c r="BI83" s="1100"/>
      <c r="BJ83" s="3959"/>
      <c r="BK83" s="1102"/>
      <c r="BL83" s="972"/>
      <c r="BM83" s="6657"/>
      <c r="BN83" s="972"/>
      <c r="BO83" s="6652"/>
      <c r="BP83" s="972"/>
      <c r="BQ83" s="1100"/>
      <c r="BR83" s="3959"/>
      <c r="BS83" s="1102"/>
      <c r="BT83" s="972"/>
      <c r="BU83" s="6657"/>
      <c r="BV83" s="972"/>
      <c r="BW83" s="6652"/>
      <c r="BX83" s="972"/>
      <c r="BY83" s="1100"/>
      <c r="BZ83" s="3959"/>
      <c r="CA83" s="1102"/>
      <c r="CB83" s="972"/>
      <c r="CC83" s="6657"/>
      <c r="CD83" s="972"/>
      <c r="CE83" s="6652"/>
      <c r="CF83" s="972"/>
      <c r="CG83" s="1100"/>
      <c r="CH83" s="3959"/>
      <c r="CI83" s="1102"/>
      <c r="CJ83" s="972"/>
      <c r="CK83" s="6657"/>
      <c r="CL83" s="751"/>
      <c r="CM83" s="6652"/>
      <c r="CN83" s="751"/>
      <c r="CO83" s="752"/>
      <c r="CP83" s="70"/>
      <c r="CQ83" s="27"/>
      <c r="CR83" s="70"/>
    </row>
    <row r="84" spans="3:100" s="21" customFormat="1" ht="6.95" customHeight="1" thickBot="1" x14ac:dyDescent="0.25">
      <c r="C84" s="25"/>
      <c r="D84" s="25"/>
      <c r="E84" s="25"/>
      <c r="F84" s="6691"/>
      <c r="G84" s="70"/>
      <c r="H84" s="6693"/>
      <c r="I84" s="6694"/>
      <c r="J84" s="6695"/>
      <c r="K84" s="20"/>
      <c r="L84" s="6233"/>
      <c r="M84" s="6234"/>
      <c r="N84" s="6235"/>
      <c r="O84" s="6235"/>
      <c r="P84" s="6227"/>
      <c r="Q84" s="6232"/>
      <c r="R84" s="6703"/>
      <c r="S84" s="752"/>
      <c r="T84" s="20"/>
      <c r="U84" s="27"/>
      <c r="V84" s="17"/>
      <c r="W84" s="632"/>
      <c r="X84" s="751"/>
      <c r="Y84" s="6654"/>
      <c r="Z84" s="972"/>
      <c r="AA84" s="6646"/>
      <c r="AB84" s="972"/>
      <c r="AC84" s="1100"/>
      <c r="AD84" s="3959"/>
      <c r="AE84" s="1102"/>
      <c r="AF84" s="972"/>
      <c r="AG84" s="6654"/>
      <c r="AH84" s="972"/>
      <c r="AI84" s="6646"/>
      <c r="AJ84" s="972"/>
      <c r="AK84" s="1100"/>
      <c r="AL84" s="3959"/>
      <c r="AM84" s="1102"/>
      <c r="AN84" s="972"/>
      <c r="AO84" s="6654"/>
      <c r="AP84" s="972"/>
      <c r="AQ84" s="6646"/>
      <c r="AR84" s="972"/>
      <c r="AS84" s="1100"/>
      <c r="AT84" s="3959"/>
      <c r="AU84" s="1102"/>
      <c r="AV84" s="972"/>
      <c r="AW84" s="6654"/>
      <c r="AX84" s="972"/>
      <c r="AY84" s="6646"/>
      <c r="AZ84" s="972"/>
      <c r="BA84" s="1100"/>
      <c r="BB84" s="3959"/>
      <c r="BC84" s="1102"/>
      <c r="BD84" s="972"/>
      <c r="BE84" s="6654"/>
      <c r="BF84" s="972"/>
      <c r="BG84" s="6646"/>
      <c r="BH84" s="972"/>
      <c r="BI84" s="1100"/>
      <c r="BJ84" s="3959"/>
      <c r="BK84" s="1102"/>
      <c r="BL84" s="972"/>
      <c r="BM84" s="6654"/>
      <c r="BN84" s="972"/>
      <c r="BO84" s="6646"/>
      <c r="BP84" s="972"/>
      <c r="BQ84" s="1100"/>
      <c r="BR84" s="3959"/>
      <c r="BS84" s="1102"/>
      <c r="BT84" s="972"/>
      <c r="BU84" s="6654"/>
      <c r="BV84" s="972"/>
      <c r="BW84" s="6646"/>
      <c r="BX84" s="972"/>
      <c r="BY84" s="1100"/>
      <c r="BZ84" s="3959"/>
      <c r="CA84" s="1102"/>
      <c r="CB84" s="972"/>
      <c r="CC84" s="6654"/>
      <c r="CD84" s="972"/>
      <c r="CE84" s="6646"/>
      <c r="CF84" s="972"/>
      <c r="CG84" s="1100"/>
      <c r="CH84" s="3959"/>
      <c r="CI84" s="1102"/>
      <c r="CJ84" s="972"/>
      <c r="CK84" s="6654"/>
      <c r="CL84" s="751"/>
      <c r="CM84" s="6646"/>
      <c r="CN84" s="751"/>
      <c r="CO84" s="752"/>
      <c r="CP84" s="70"/>
      <c r="CQ84" s="27"/>
      <c r="CR84" s="70"/>
    </row>
    <row r="85" spans="3:100" s="21" customFormat="1" ht="15" customHeight="1" thickBot="1" x14ac:dyDescent="0.25">
      <c r="C85" s="25"/>
      <c r="D85" s="25"/>
      <c r="E85" s="25"/>
      <c r="F85" s="6692"/>
      <c r="G85" s="70"/>
      <c r="H85" s="1622"/>
      <c r="I85" s="1623"/>
      <c r="J85" s="1624"/>
      <c r="K85" s="20"/>
      <c r="L85" s="6233"/>
      <c r="M85" s="6236"/>
      <c r="N85" s="6236"/>
      <c r="O85" s="6236"/>
      <c r="P85" s="676"/>
      <c r="Q85" s="1684"/>
      <c r="R85" s="6208"/>
      <c r="S85" s="754"/>
      <c r="T85" s="20"/>
      <c r="U85" s="27"/>
      <c r="V85" s="17"/>
      <c r="W85" s="634"/>
      <c r="X85" s="753"/>
      <c r="Y85" s="753"/>
      <c r="Z85" s="753"/>
      <c r="AA85" s="753"/>
      <c r="AB85" s="753"/>
      <c r="AC85" s="754"/>
      <c r="AD85" s="70"/>
      <c r="AE85" s="634"/>
      <c r="AF85" s="753"/>
      <c r="AG85" s="753"/>
      <c r="AH85" s="753"/>
      <c r="AI85" s="753"/>
      <c r="AJ85" s="753"/>
      <c r="AK85" s="754"/>
      <c r="AL85" s="70"/>
      <c r="AM85" s="634"/>
      <c r="AN85" s="753"/>
      <c r="AO85" s="753"/>
      <c r="AP85" s="753"/>
      <c r="AQ85" s="753"/>
      <c r="AR85" s="753"/>
      <c r="AS85" s="754"/>
      <c r="AT85" s="70"/>
      <c r="AU85" s="634"/>
      <c r="AV85" s="753"/>
      <c r="AW85" s="753"/>
      <c r="AX85" s="753"/>
      <c r="AY85" s="753"/>
      <c r="AZ85" s="753"/>
      <c r="BA85" s="754"/>
      <c r="BB85" s="70"/>
      <c r="BC85" s="634"/>
      <c r="BD85" s="753"/>
      <c r="BE85" s="753"/>
      <c r="BF85" s="753"/>
      <c r="BG85" s="753"/>
      <c r="BH85" s="753"/>
      <c r="BI85" s="754"/>
      <c r="BJ85" s="70"/>
      <c r="BK85" s="634"/>
      <c r="BL85" s="753"/>
      <c r="BM85" s="753"/>
      <c r="BN85" s="753"/>
      <c r="BO85" s="753"/>
      <c r="BP85" s="753"/>
      <c r="BQ85" s="754"/>
      <c r="BR85" s="70"/>
      <c r="BS85" s="634"/>
      <c r="BT85" s="753"/>
      <c r="BU85" s="753"/>
      <c r="BV85" s="753"/>
      <c r="BW85" s="753"/>
      <c r="BX85" s="753"/>
      <c r="BY85" s="754"/>
      <c r="BZ85" s="70"/>
      <c r="CA85" s="634"/>
      <c r="CB85" s="753"/>
      <c r="CC85" s="753"/>
      <c r="CD85" s="753"/>
      <c r="CE85" s="753"/>
      <c r="CF85" s="753"/>
      <c r="CG85" s="754"/>
      <c r="CH85" s="70"/>
      <c r="CI85" s="634"/>
      <c r="CJ85" s="753"/>
      <c r="CK85" s="753"/>
      <c r="CL85" s="753"/>
      <c r="CM85" s="753"/>
      <c r="CN85" s="753"/>
      <c r="CO85" s="754"/>
      <c r="CP85" s="70"/>
      <c r="CQ85" s="27"/>
      <c r="CR85" s="70"/>
    </row>
    <row r="86" spans="3:100" s="21" customFormat="1" ht="30" customHeight="1" x14ac:dyDescent="0.2">
      <c r="C86" s="25"/>
      <c r="D86" s="25"/>
      <c r="E86" s="25"/>
      <c r="F86" s="39"/>
      <c r="G86" s="39"/>
      <c r="H86" s="39"/>
      <c r="I86" s="39"/>
      <c r="J86" s="39"/>
      <c r="K86" s="20"/>
      <c r="L86" s="14"/>
      <c r="M86" s="974"/>
      <c r="N86" s="974"/>
      <c r="O86" s="974"/>
      <c r="P86" s="974"/>
      <c r="Q86" s="13"/>
      <c r="R86" s="17"/>
      <c r="S86" s="35"/>
      <c r="T86" s="20"/>
      <c r="U86" s="35"/>
      <c r="V86" s="16"/>
      <c r="W86" s="35"/>
      <c r="X86" s="35"/>
      <c r="Y86" s="36"/>
      <c r="Z86" s="17"/>
      <c r="AA86" s="70"/>
      <c r="AB86" s="70"/>
      <c r="AC86" s="70"/>
      <c r="AD86" s="70"/>
      <c r="AE86" s="35"/>
      <c r="AF86" s="35"/>
      <c r="AG86" s="36"/>
      <c r="AH86" s="17"/>
      <c r="AI86" s="70"/>
      <c r="AJ86" s="70"/>
      <c r="AK86" s="70"/>
      <c r="AL86" s="70"/>
      <c r="AM86" s="35"/>
      <c r="AN86" s="35"/>
      <c r="AO86" s="36"/>
      <c r="AP86" s="17"/>
      <c r="AQ86" s="70"/>
      <c r="AR86" s="70"/>
      <c r="AS86" s="70"/>
      <c r="AT86" s="70"/>
      <c r="AU86" s="35"/>
      <c r="AV86" s="35"/>
      <c r="AW86" s="36"/>
      <c r="AX86" s="17"/>
      <c r="AY86" s="70"/>
      <c r="AZ86" s="70"/>
      <c r="BA86" s="70"/>
      <c r="BB86" s="70"/>
      <c r="BC86" s="35"/>
      <c r="BD86" s="35"/>
      <c r="BE86" s="36"/>
      <c r="BF86" s="17"/>
      <c r="BG86" s="70"/>
      <c r="BH86" s="70"/>
      <c r="BI86" s="70"/>
      <c r="BJ86" s="70"/>
      <c r="BK86" s="35"/>
      <c r="BL86" s="35"/>
      <c r="BM86" s="36"/>
      <c r="BN86" s="17"/>
      <c r="BO86" s="70"/>
      <c r="BP86" s="70"/>
      <c r="BQ86" s="70"/>
      <c r="BR86" s="70"/>
      <c r="BS86" s="35"/>
      <c r="BT86" s="35"/>
      <c r="BU86" s="36"/>
      <c r="BV86" s="17"/>
      <c r="BW86" s="70"/>
      <c r="BX86" s="70"/>
      <c r="BY86" s="70"/>
      <c r="BZ86" s="70"/>
      <c r="CA86" s="35"/>
      <c r="CB86" s="35"/>
      <c r="CC86" s="36"/>
      <c r="CD86" s="17"/>
      <c r="CE86" s="70"/>
      <c r="CF86" s="70"/>
      <c r="CG86" s="70"/>
      <c r="CH86" s="70"/>
      <c r="CI86" s="35"/>
      <c r="CJ86" s="35"/>
      <c r="CK86" s="36"/>
      <c r="CL86" s="17"/>
      <c r="CM86" s="70"/>
      <c r="CN86" s="70"/>
      <c r="CO86" s="70"/>
      <c r="CP86" s="70"/>
      <c r="CQ86" s="70"/>
      <c r="CR86" s="70"/>
      <c r="CS86" s="70"/>
      <c r="CT86" s="70"/>
      <c r="CU86" s="70"/>
      <c r="CV86" s="70"/>
    </row>
    <row r="87" spans="3:100" s="21" customFormat="1" ht="15" customHeight="1" x14ac:dyDescent="0.2">
      <c r="C87" s="25"/>
      <c r="D87" s="25"/>
      <c r="E87" s="70"/>
      <c r="F87" s="70"/>
      <c r="G87" s="70"/>
      <c r="H87" s="5326"/>
      <c r="I87" s="1699"/>
      <c r="J87" s="1699"/>
      <c r="K87" s="1695"/>
      <c r="L87" s="1700"/>
      <c r="M87" s="6278"/>
      <c r="N87" s="1701"/>
      <c r="O87" s="1701"/>
      <c r="P87" s="1701"/>
      <c r="Q87" s="1702"/>
      <c r="R87" s="1698"/>
      <c r="S87" s="1703"/>
      <c r="T87" s="1695"/>
      <c r="U87" s="1703"/>
      <c r="V87" s="1697"/>
      <c r="W87" s="1703"/>
      <c r="X87" s="1703"/>
      <c r="Y87" s="1704"/>
      <c r="Z87" s="1698"/>
      <c r="AA87" s="1705"/>
      <c r="AB87" s="1705"/>
      <c r="AC87" s="1705"/>
      <c r="AD87" s="1705"/>
      <c r="AE87" s="1703"/>
      <c r="AF87" s="1703"/>
      <c r="AG87" s="1704"/>
      <c r="AH87" s="1698"/>
      <c r="AI87" s="1705"/>
      <c r="AJ87" s="1705"/>
      <c r="AK87" s="1705"/>
      <c r="AL87" s="1705"/>
      <c r="AM87" s="1703"/>
      <c r="AN87" s="1703"/>
      <c r="AO87" s="1704"/>
      <c r="AP87" s="1698"/>
      <c r="AQ87" s="1705"/>
      <c r="AR87" s="1705"/>
      <c r="AS87" s="1705"/>
      <c r="AT87" s="1705"/>
      <c r="AU87" s="1703"/>
      <c r="AV87" s="1703"/>
      <c r="AW87" s="1704"/>
      <c r="AX87" s="1698"/>
      <c r="AY87" s="1705"/>
      <c r="AZ87" s="1705"/>
      <c r="BA87" s="1705"/>
      <c r="BB87" s="1705"/>
      <c r="BC87" s="1703"/>
      <c r="BD87" s="1703"/>
      <c r="BE87" s="1704"/>
      <c r="BF87" s="1698"/>
      <c r="BG87" s="1705"/>
      <c r="BH87" s="1705"/>
      <c r="BI87" s="1705"/>
      <c r="BJ87" s="1705"/>
      <c r="BK87" s="1703"/>
      <c r="BL87" s="1703"/>
      <c r="BM87" s="1704"/>
      <c r="BN87" s="1698"/>
      <c r="BO87" s="1705"/>
      <c r="BP87" s="1705"/>
      <c r="BQ87" s="1705"/>
      <c r="BR87" s="1705"/>
      <c r="BS87" s="1703"/>
      <c r="BT87" s="1703"/>
      <c r="BU87" s="1704"/>
      <c r="BV87" s="1698"/>
      <c r="BW87" s="1705"/>
      <c r="BX87" s="1705"/>
      <c r="BY87" s="1705"/>
      <c r="BZ87" s="1705"/>
      <c r="CA87" s="1703"/>
      <c r="CB87" s="1703"/>
      <c r="CC87" s="1704"/>
      <c r="CD87" s="1698"/>
      <c r="CE87" s="1705"/>
      <c r="CF87" s="1705"/>
      <c r="CG87" s="1705"/>
      <c r="CH87" s="1705"/>
      <c r="CI87" s="1703"/>
      <c r="CJ87" s="1703"/>
      <c r="CK87" s="1704"/>
      <c r="CL87" s="1698"/>
      <c r="CM87" s="1705"/>
      <c r="CN87" s="1705"/>
      <c r="CO87" s="1705"/>
      <c r="CP87" s="1705"/>
      <c r="CQ87" s="1705"/>
      <c r="CR87" s="70"/>
      <c r="CS87" s="70"/>
      <c r="CT87" s="70"/>
      <c r="CU87" s="70"/>
      <c r="CV87" s="70"/>
    </row>
    <row r="88" spans="3:100" s="21" customFormat="1" ht="30" customHeight="1" thickBot="1" x14ac:dyDescent="0.25">
      <c r="C88" s="25"/>
      <c r="D88" s="25"/>
      <c r="E88" s="70"/>
      <c r="F88" s="70"/>
      <c r="G88" s="70"/>
      <c r="H88" s="672"/>
      <c r="I88" s="672"/>
      <c r="J88" s="672"/>
      <c r="K88" s="25"/>
      <c r="L88" s="14"/>
      <c r="M88" s="974"/>
      <c r="N88" s="974"/>
      <c r="O88" s="974"/>
      <c r="P88" s="974"/>
      <c r="Q88" s="13"/>
      <c r="R88" s="17"/>
      <c r="S88" s="35"/>
      <c r="T88" s="25"/>
      <c r="U88" s="35"/>
      <c r="V88" s="17"/>
      <c r="W88" s="35"/>
      <c r="X88" s="35"/>
      <c r="Y88" s="432"/>
      <c r="Z88" s="17"/>
      <c r="AA88" s="70"/>
      <c r="AB88" s="70"/>
      <c r="AC88" s="70"/>
      <c r="AD88" s="70"/>
      <c r="AE88" s="35"/>
      <c r="AF88" s="35"/>
      <c r="AG88" s="36"/>
      <c r="AH88" s="17"/>
      <c r="AI88" s="70"/>
      <c r="AJ88" s="70"/>
      <c r="AK88" s="70"/>
      <c r="AL88" s="70"/>
      <c r="AM88" s="35"/>
      <c r="AN88" s="35"/>
      <c r="AO88" s="36"/>
      <c r="AP88" s="17"/>
      <c r="AQ88" s="70"/>
      <c r="AR88" s="70"/>
      <c r="AS88" s="70"/>
      <c r="AT88" s="70"/>
      <c r="AU88" s="35"/>
      <c r="AV88" s="35"/>
      <c r="AW88" s="36"/>
      <c r="AX88" s="17"/>
      <c r="AY88" s="70"/>
      <c r="AZ88" s="70"/>
      <c r="BA88" s="70"/>
      <c r="BB88" s="70"/>
      <c r="BC88" s="35"/>
      <c r="BD88" s="35"/>
      <c r="BE88" s="432"/>
      <c r="BF88" s="17"/>
      <c r="BG88" s="70"/>
      <c r="BH88" s="70"/>
      <c r="BI88" s="70"/>
      <c r="BJ88" s="70"/>
      <c r="BK88" s="35"/>
      <c r="BL88" s="35"/>
      <c r="BM88" s="36"/>
      <c r="BN88" s="17"/>
      <c r="BO88" s="70"/>
      <c r="BP88" s="70"/>
      <c r="BQ88" s="70"/>
      <c r="BR88" s="70"/>
      <c r="BS88" s="35"/>
      <c r="BT88" s="35"/>
      <c r="BU88" s="36"/>
      <c r="BV88" s="17"/>
      <c r="BW88" s="70"/>
      <c r="BX88" s="70"/>
      <c r="BY88" s="70"/>
      <c r="BZ88" s="70"/>
      <c r="CA88" s="35"/>
      <c r="CB88" s="35"/>
      <c r="CC88" s="36"/>
      <c r="CD88" s="17"/>
      <c r="CE88" s="70"/>
      <c r="CF88" s="70"/>
      <c r="CG88" s="70"/>
      <c r="CH88" s="70"/>
      <c r="CI88" s="35"/>
      <c r="CJ88" s="35"/>
      <c r="CK88" s="36"/>
      <c r="CL88" s="17"/>
      <c r="CM88" s="70"/>
      <c r="CN88" s="70"/>
      <c r="CO88" s="70"/>
      <c r="CP88" s="70"/>
      <c r="CQ88" s="70"/>
      <c r="CR88" s="70"/>
    </row>
    <row r="89" spans="3:100" s="21" customFormat="1" ht="15" customHeight="1" thickBot="1" x14ac:dyDescent="0.25">
      <c r="C89" s="25"/>
      <c r="D89" s="25"/>
      <c r="E89" s="70"/>
      <c r="F89" s="70"/>
      <c r="G89" s="70"/>
      <c r="H89" s="1707"/>
      <c r="I89" s="1708"/>
      <c r="J89" s="1709"/>
      <c r="K89" s="20"/>
      <c r="L89" s="1044"/>
      <c r="M89" s="1045"/>
      <c r="N89" s="1045"/>
      <c r="O89" s="1045"/>
      <c r="P89" s="1045"/>
      <c r="Q89" s="1046"/>
      <c r="R89" s="2037"/>
      <c r="S89" s="1048"/>
      <c r="T89" s="20"/>
      <c r="U89" s="1049"/>
      <c r="V89" s="17"/>
      <c r="W89" s="1044"/>
      <c r="X89" s="1047"/>
      <c r="Y89" s="1047"/>
      <c r="Z89" s="1047"/>
      <c r="AA89" s="1047"/>
      <c r="AB89" s="1047"/>
      <c r="AC89" s="1048"/>
      <c r="AD89" s="70"/>
      <c r="AE89" s="1044"/>
      <c r="AF89" s="1047"/>
      <c r="AG89" s="1047"/>
      <c r="AH89" s="1047"/>
      <c r="AI89" s="1047"/>
      <c r="AJ89" s="1047"/>
      <c r="AK89" s="1048"/>
      <c r="AL89" s="17"/>
      <c r="AM89" s="1044"/>
      <c r="AN89" s="1047"/>
      <c r="AO89" s="1047"/>
      <c r="AP89" s="1047"/>
      <c r="AQ89" s="1047"/>
      <c r="AR89" s="1047"/>
      <c r="AS89" s="1048"/>
      <c r="AT89" s="70"/>
      <c r="AU89" s="1044"/>
      <c r="AV89" s="1047"/>
      <c r="AW89" s="1047"/>
      <c r="AX89" s="1047"/>
      <c r="AY89" s="1047"/>
      <c r="AZ89" s="1047"/>
      <c r="BA89" s="1048"/>
      <c r="BB89" s="70"/>
      <c r="BC89" s="1044"/>
      <c r="BD89" s="1047"/>
      <c r="BE89" s="1047"/>
      <c r="BF89" s="1047"/>
      <c r="BG89" s="1047"/>
      <c r="BH89" s="1047"/>
      <c r="BI89" s="1048"/>
      <c r="BJ89" s="70"/>
      <c r="BK89" s="1044"/>
      <c r="BL89" s="1047"/>
      <c r="BM89" s="1047"/>
      <c r="BN89" s="1047"/>
      <c r="BO89" s="1047"/>
      <c r="BP89" s="1047"/>
      <c r="BQ89" s="1048"/>
      <c r="BR89" s="17"/>
      <c r="BS89" s="1044"/>
      <c r="BT89" s="1047"/>
      <c r="BU89" s="1047"/>
      <c r="BV89" s="1047"/>
      <c r="BW89" s="1047"/>
      <c r="BX89" s="1047"/>
      <c r="BY89" s="1048"/>
      <c r="BZ89" s="17"/>
      <c r="CA89" s="1044"/>
      <c r="CB89" s="1047"/>
      <c r="CC89" s="1047"/>
      <c r="CD89" s="1047"/>
      <c r="CE89" s="1047"/>
      <c r="CF89" s="1047"/>
      <c r="CG89" s="1048"/>
      <c r="CH89" s="70"/>
      <c r="CI89" s="1044"/>
      <c r="CJ89" s="1047"/>
      <c r="CK89" s="1047"/>
      <c r="CL89" s="1047"/>
      <c r="CM89" s="1047"/>
      <c r="CN89" s="1047"/>
      <c r="CO89" s="1048"/>
      <c r="CP89" s="70"/>
      <c r="CQ89" s="1049"/>
      <c r="CR89" s="70"/>
    </row>
    <row r="90" spans="3:100" s="21" customFormat="1" ht="8.1" customHeight="1" thickBot="1" x14ac:dyDescent="0.25">
      <c r="C90" s="25"/>
      <c r="D90" s="25"/>
      <c r="E90" s="70"/>
      <c r="F90" s="70"/>
      <c r="G90" s="70"/>
      <c r="I90" s="672"/>
      <c r="J90" s="672"/>
      <c r="K90" s="20"/>
      <c r="L90" s="14"/>
      <c r="M90" s="135"/>
      <c r="N90" s="135"/>
      <c r="O90" s="135"/>
      <c r="P90" s="135"/>
      <c r="Q90" s="13"/>
      <c r="R90" s="111"/>
      <c r="S90" s="14"/>
      <c r="T90" s="20"/>
      <c r="U90" s="14"/>
      <c r="V90" s="17"/>
      <c r="W90" s="14"/>
      <c r="X90" s="14"/>
      <c r="Y90" s="14"/>
      <c r="Z90" s="14"/>
      <c r="AA90" s="14"/>
      <c r="AB90" s="14"/>
      <c r="AC90" s="14"/>
      <c r="AD90" s="70"/>
      <c r="AE90" s="14"/>
      <c r="AF90" s="14"/>
      <c r="AG90" s="14"/>
      <c r="AH90" s="14"/>
      <c r="AI90" s="14"/>
      <c r="AJ90" s="14"/>
      <c r="AK90" s="14"/>
      <c r="AL90" s="17"/>
      <c r="AM90" s="14"/>
      <c r="AN90" s="14"/>
      <c r="AO90" s="14"/>
      <c r="AP90" s="14"/>
      <c r="AQ90" s="14"/>
      <c r="AR90" s="14"/>
      <c r="AS90" s="14"/>
      <c r="AT90" s="70"/>
      <c r="AU90" s="14"/>
      <c r="AV90" s="14"/>
      <c r="AW90" s="14"/>
      <c r="AX90" s="14"/>
      <c r="AY90" s="14"/>
      <c r="AZ90" s="14"/>
      <c r="BA90" s="14"/>
      <c r="BB90" s="70"/>
      <c r="BC90" s="14"/>
      <c r="BD90" s="14"/>
      <c r="BE90" s="14"/>
      <c r="BF90" s="14"/>
      <c r="BG90" s="14"/>
      <c r="BH90" s="14"/>
      <c r="BI90" s="14"/>
      <c r="BJ90" s="70"/>
      <c r="BK90" s="14"/>
      <c r="BL90" s="14"/>
      <c r="BM90" s="14"/>
      <c r="BN90" s="14"/>
      <c r="BO90" s="14"/>
      <c r="BP90" s="14"/>
      <c r="BQ90" s="14"/>
      <c r="BR90" s="17"/>
      <c r="BS90" s="14"/>
      <c r="BT90" s="14"/>
      <c r="BU90" s="14"/>
      <c r="BV90" s="14"/>
      <c r="BW90" s="14"/>
      <c r="BX90" s="14"/>
      <c r="BY90" s="14"/>
      <c r="BZ90" s="17"/>
      <c r="CA90" s="14"/>
      <c r="CB90" s="14"/>
      <c r="CC90" s="14"/>
      <c r="CD90" s="14"/>
      <c r="CE90" s="14"/>
      <c r="CF90" s="14"/>
      <c r="CG90" s="14"/>
      <c r="CH90" s="70"/>
      <c r="CI90" s="14"/>
      <c r="CJ90" s="14"/>
      <c r="CK90" s="14"/>
      <c r="CL90" s="14"/>
      <c r="CM90" s="14"/>
      <c r="CN90" s="14"/>
      <c r="CO90" s="14"/>
      <c r="CP90" s="70"/>
      <c r="CQ90" s="14"/>
      <c r="CR90" s="70"/>
    </row>
    <row r="91" spans="3:100" s="21" customFormat="1" ht="15" customHeight="1" thickBot="1" x14ac:dyDescent="0.25">
      <c r="C91" s="25"/>
      <c r="D91" s="25"/>
      <c r="E91" s="70"/>
      <c r="F91" s="70"/>
      <c r="G91" s="70"/>
      <c r="H91" s="3960"/>
      <c r="I91" s="1022"/>
      <c r="J91" s="1023"/>
      <c r="K91" s="20"/>
      <c r="L91" s="1026"/>
      <c r="M91" s="1027"/>
      <c r="N91" s="1027"/>
      <c r="O91" s="1027"/>
      <c r="P91" s="1027"/>
      <c r="Q91" s="1028"/>
      <c r="R91" s="2038"/>
      <c r="S91" s="1030"/>
      <c r="T91" s="20"/>
      <c r="U91" s="1041"/>
      <c r="V91" s="17"/>
      <c r="W91" s="1026"/>
      <c r="X91" s="1029"/>
      <c r="Y91" s="1029"/>
      <c r="Z91" s="1029"/>
      <c r="AA91" s="1029"/>
      <c r="AB91" s="1029"/>
      <c r="AC91" s="1030"/>
      <c r="AD91" s="70"/>
      <c r="AE91" s="1026"/>
      <c r="AF91" s="1029"/>
      <c r="AG91" s="1029"/>
      <c r="AH91" s="1029"/>
      <c r="AI91" s="1029"/>
      <c r="AJ91" s="1029"/>
      <c r="AK91" s="1030"/>
      <c r="AL91" s="17"/>
      <c r="AM91" s="1026"/>
      <c r="AN91" s="1029"/>
      <c r="AO91" s="1029"/>
      <c r="AP91" s="1029"/>
      <c r="AQ91" s="1029"/>
      <c r="AR91" s="1029"/>
      <c r="AS91" s="1030"/>
      <c r="AT91" s="70"/>
      <c r="AU91" s="1026"/>
      <c r="AV91" s="1029"/>
      <c r="AW91" s="1029"/>
      <c r="AX91" s="1029"/>
      <c r="AY91" s="1029"/>
      <c r="AZ91" s="1029"/>
      <c r="BA91" s="1030"/>
      <c r="BB91" s="70"/>
      <c r="BC91" s="1026"/>
      <c r="BD91" s="1029"/>
      <c r="BE91" s="1029"/>
      <c r="BF91" s="1029"/>
      <c r="BG91" s="1029"/>
      <c r="BH91" s="1029"/>
      <c r="BI91" s="1030"/>
      <c r="BJ91" s="70"/>
      <c r="BK91" s="1026"/>
      <c r="BL91" s="1029"/>
      <c r="BM91" s="1029"/>
      <c r="BN91" s="1029"/>
      <c r="BO91" s="1029"/>
      <c r="BP91" s="1029"/>
      <c r="BQ91" s="1030"/>
      <c r="BR91" s="17"/>
      <c r="BS91" s="1026"/>
      <c r="BT91" s="1029"/>
      <c r="BU91" s="1029"/>
      <c r="BV91" s="1029"/>
      <c r="BW91" s="1029"/>
      <c r="BX91" s="1029"/>
      <c r="BY91" s="1030"/>
      <c r="BZ91" s="17"/>
      <c r="CA91" s="1026"/>
      <c r="CB91" s="1029"/>
      <c r="CC91" s="1029"/>
      <c r="CD91" s="1029"/>
      <c r="CE91" s="1029"/>
      <c r="CF91" s="1029"/>
      <c r="CG91" s="1030"/>
      <c r="CH91" s="70"/>
      <c r="CI91" s="1026"/>
      <c r="CJ91" s="1029"/>
      <c r="CK91" s="1029"/>
      <c r="CL91" s="1029"/>
      <c r="CM91" s="1029"/>
      <c r="CN91" s="1029"/>
      <c r="CO91" s="1030"/>
      <c r="CP91" s="70"/>
      <c r="CQ91" s="1041"/>
      <c r="CR91" s="70"/>
    </row>
    <row r="92" spans="3:100" s="21" customFormat="1" ht="24.95" customHeight="1" thickBot="1" x14ac:dyDescent="0.25">
      <c r="C92" s="25"/>
      <c r="D92" s="25"/>
      <c r="E92" s="70"/>
      <c r="F92" s="70"/>
      <c r="G92" s="70"/>
      <c r="H92" s="6718" t="s">
        <v>2692</v>
      </c>
      <c r="I92" s="6719"/>
      <c r="J92" s="6720"/>
      <c r="K92" s="20"/>
      <c r="L92" s="1031"/>
      <c r="M92" s="1032" t="str">
        <f>Tunneldrift!$M$150</f>
        <v>Driftsform</v>
      </c>
      <c r="N92" s="1032"/>
      <c r="O92" s="1032"/>
      <c r="P92" s="1032"/>
      <c r="Q92" s="1033"/>
      <c r="R92" s="2039"/>
      <c r="S92" s="1035"/>
      <c r="T92" s="20"/>
      <c r="U92" s="1041"/>
      <c r="V92" s="17"/>
      <c r="W92" s="1031"/>
      <c r="X92" s="1034"/>
      <c r="Y92" s="3961" t="str">
        <f>INDEX(outputs_oppsum[kon_metod],MATCH(_Calcs!$NO$41,outputs_oppsum[stuff_id],0))</f>
        <v>Enstuffs drift</v>
      </c>
      <c r="Z92" s="3962"/>
      <c r="AA92" s="30" t="str">
        <f>IF(_Calcs!$NO$314&gt;0,"!","✓")</f>
        <v>!</v>
      </c>
      <c r="AB92" s="3962"/>
      <c r="AC92" s="3963"/>
      <c r="AE92" s="1031"/>
      <c r="AF92" s="1034"/>
      <c r="AG92" s="3961" t="e">
        <f>INDEX(outputs_oppsum[kon_metod],MATCH(_Calcs!$NP$41,outputs_oppsum[stuff_id],0))</f>
        <v>#N/A</v>
      </c>
      <c r="AH92" s="3962"/>
      <c r="AI92" s="30" t="e">
        <f>IF(_Calcs!$NP$314&gt;0,"!","✓")</f>
        <v>#N/A</v>
      </c>
      <c r="AJ92" s="3962"/>
      <c r="AK92" s="3963"/>
      <c r="AL92" s="17"/>
      <c r="AM92" s="1031"/>
      <c r="AN92" s="1034"/>
      <c r="AO92" s="3961" t="e">
        <f>INDEX(outputs_oppsum[kon_metod],MATCH(_Calcs!$NQ$41,outputs_oppsum[stuff_id],0))</f>
        <v>#N/A</v>
      </c>
      <c r="AP92" s="3962"/>
      <c r="AQ92" s="30" t="e">
        <f>IF(_Calcs!$NQ$314&gt;0,"!","✓")</f>
        <v>#N/A</v>
      </c>
      <c r="AR92" s="3962"/>
      <c r="AS92" s="3963"/>
      <c r="AU92" s="1031"/>
      <c r="AV92" s="1034"/>
      <c r="AW92" s="3961" t="e">
        <f>INDEX(outputs_oppsum[kon_metod],MATCH(_Calcs!$NR$41,outputs_oppsum[stuff_id],0))</f>
        <v>#N/A</v>
      </c>
      <c r="AX92" s="3962"/>
      <c r="AY92" s="30" t="e">
        <f>IF(_Calcs!$NR$314&gt;0,"!","✓")</f>
        <v>#N/A</v>
      </c>
      <c r="AZ92" s="3962"/>
      <c r="BA92" s="3963"/>
      <c r="BC92" s="1031"/>
      <c r="BD92" s="1034"/>
      <c r="BE92" s="3961" t="e">
        <f>INDEX(outputs_oppsum[kon_metod],MATCH(_Calcs!$NS$41,outputs_oppsum[stuff_id],0))</f>
        <v>#N/A</v>
      </c>
      <c r="BF92" s="3962"/>
      <c r="BG92" s="30" t="e">
        <f>IF(_Calcs!$NS$314&gt;0,"!","✓")</f>
        <v>#N/A</v>
      </c>
      <c r="BH92" s="3962"/>
      <c r="BI92" s="3963"/>
      <c r="BK92" s="1031"/>
      <c r="BL92" s="1034"/>
      <c r="BM92" s="3961" t="e">
        <f>INDEX(outputs_oppsum[kon_metod],MATCH(_Calcs!$NT$41,outputs_oppsum[stuff_id],0))</f>
        <v>#N/A</v>
      </c>
      <c r="BN92" s="3962"/>
      <c r="BO92" s="30" t="e">
        <f>IF(_Calcs!$NT$314&gt;0,"!","✓")</f>
        <v>#N/A</v>
      </c>
      <c r="BP92" s="3962"/>
      <c r="BQ92" s="3963"/>
      <c r="BR92" s="17"/>
      <c r="BS92" s="1031"/>
      <c r="BT92" s="1034"/>
      <c r="BU92" s="3961" t="e">
        <f>INDEX(outputs_oppsum[kon_metod],MATCH(_Calcs!$NU$41,outputs_oppsum[stuff_id],0))</f>
        <v>#N/A</v>
      </c>
      <c r="BV92" s="3962"/>
      <c r="BW92" s="30" t="e">
        <f>IF(_Calcs!$NU$314&gt;0,"!","✓")</f>
        <v>#N/A</v>
      </c>
      <c r="BX92" s="3962"/>
      <c r="BY92" s="3963"/>
      <c r="BZ92" s="17"/>
      <c r="CA92" s="1031"/>
      <c r="CB92" s="1034"/>
      <c r="CC92" s="3961" t="e">
        <f>INDEX(outputs_oppsum[kon_metod],MATCH(_Calcs!$NV$41,outputs_oppsum[stuff_id],0))</f>
        <v>#N/A</v>
      </c>
      <c r="CD92" s="3962"/>
      <c r="CE92" s="30" t="e">
        <f>IF(_Calcs!$NV$314&gt;0,"!","✓")</f>
        <v>#N/A</v>
      </c>
      <c r="CF92" s="3962"/>
      <c r="CG92" s="3963"/>
      <c r="CI92" s="1031"/>
      <c r="CJ92" s="1034"/>
      <c r="CK92" s="3961" t="e">
        <f>INDEX(outputs_oppsum[kon_metod],MATCH(_Calcs!$NW$41,outputs_oppsum[stuff_id],0))</f>
        <v>#N/A</v>
      </c>
      <c r="CL92" s="3962"/>
      <c r="CM92" s="30" t="e">
        <f>IF(_Calcs!$NW$314&gt;0,"!","✓")</f>
        <v>#N/A</v>
      </c>
      <c r="CN92" s="3962"/>
      <c r="CO92" s="3963"/>
      <c r="CQ92" s="3964"/>
      <c r="CR92" s="70"/>
    </row>
    <row r="93" spans="3:100" s="21" customFormat="1" ht="15" customHeight="1" thickBot="1" x14ac:dyDescent="0.25">
      <c r="C93" s="25"/>
      <c r="D93" s="25"/>
      <c r="E93" s="70"/>
      <c r="F93" s="70"/>
      <c r="G93" s="70"/>
      <c r="H93" s="6718"/>
      <c r="I93" s="6719"/>
      <c r="J93" s="6720"/>
      <c r="K93" s="20"/>
      <c r="L93" s="1036"/>
      <c r="M93" s="5296"/>
      <c r="N93" s="5296"/>
      <c r="O93" s="5296"/>
      <c r="P93" s="5296"/>
      <c r="Q93" s="5297"/>
      <c r="R93" s="2041"/>
      <c r="S93" s="1040"/>
      <c r="T93" s="20"/>
      <c r="U93" s="1041"/>
      <c r="V93" s="17"/>
      <c r="W93" s="1036"/>
      <c r="X93" s="1039"/>
      <c r="Y93" s="5294"/>
      <c r="Z93" s="1039"/>
      <c r="AA93" s="5295"/>
      <c r="AB93" s="1039"/>
      <c r="AC93" s="1040"/>
      <c r="AD93" s="70"/>
      <c r="AE93" s="1036"/>
      <c r="AF93" s="1039"/>
      <c r="AG93" s="5294"/>
      <c r="AH93" s="1039"/>
      <c r="AI93" s="5295"/>
      <c r="AJ93" s="1039"/>
      <c r="AK93" s="1040"/>
      <c r="AL93" s="17"/>
      <c r="AM93" s="1036"/>
      <c r="AN93" s="1039"/>
      <c r="AO93" s="5294"/>
      <c r="AP93" s="1039"/>
      <c r="AQ93" s="5295"/>
      <c r="AR93" s="1039"/>
      <c r="AS93" s="1040"/>
      <c r="AT93" s="70"/>
      <c r="AU93" s="1036"/>
      <c r="AV93" s="1039"/>
      <c r="AW93" s="5294"/>
      <c r="AX93" s="1039"/>
      <c r="AY93" s="5295"/>
      <c r="AZ93" s="1039"/>
      <c r="BA93" s="1040"/>
      <c r="BB93" s="70"/>
      <c r="BC93" s="1036"/>
      <c r="BD93" s="1039"/>
      <c r="BE93" s="5294"/>
      <c r="BF93" s="1039"/>
      <c r="BG93" s="5295"/>
      <c r="BH93" s="1039"/>
      <c r="BI93" s="1040"/>
      <c r="BJ93" s="70"/>
      <c r="BK93" s="1036"/>
      <c r="BL93" s="1039"/>
      <c r="BM93" s="5294"/>
      <c r="BN93" s="1039"/>
      <c r="BO93" s="5295"/>
      <c r="BP93" s="1039"/>
      <c r="BQ93" s="1040"/>
      <c r="BR93" s="17"/>
      <c r="BS93" s="1036"/>
      <c r="BT93" s="1039"/>
      <c r="BU93" s="5294"/>
      <c r="BV93" s="1039"/>
      <c r="BW93" s="5295"/>
      <c r="BX93" s="1039"/>
      <c r="BY93" s="1040"/>
      <c r="BZ93" s="17"/>
      <c r="CA93" s="1036"/>
      <c r="CB93" s="1039"/>
      <c r="CC93" s="5294"/>
      <c r="CD93" s="1039"/>
      <c r="CE93" s="5295"/>
      <c r="CF93" s="1039"/>
      <c r="CG93" s="1040"/>
      <c r="CH93" s="70"/>
      <c r="CI93" s="1036"/>
      <c r="CJ93" s="1039"/>
      <c r="CK93" s="5294"/>
      <c r="CL93" s="1039"/>
      <c r="CM93" s="5295"/>
      <c r="CN93" s="1039"/>
      <c r="CO93" s="1040"/>
      <c r="CP93" s="70"/>
      <c r="CQ93" s="1041"/>
      <c r="CR93" s="70"/>
    </row>
    <row r="94" spans="3:100" s="21" customFormat="1" ht="8.1" customHeight="1" thickBot="1" x14ac:dyDescent="0.25">
      <c r="C94" s="25"/>
      <c r="D94" s="25"/>
      <c r="E94" s="70"/>
      <c r="F94" s="70"/>
      <c r="G94" s="70"/>
      <c r="H94" s="6718"/>
      <c r="I94" s="6719"/>
      <c r="J94" s="6720"/>
      <c r="K94" s="20"/>
      <c r="L94" s="14"/>
      <c r="M94" s="135"/>
      <c r="N94" s="135"/>
      <c r="O94" s="135"/>
      <c r="P94" s="135"/>
      <c r="Q94" s="13"/>
      <c r="R94" s="111"/>
      <c r="S94" s="14"/>
      <c r="T94" s="20"/>
      <c r="U94" s="1041"/>
      <c r="V94" s="17"/>
      <c r="W94" s="14"/>
      <c r="X94" s="14"/>
      <c r="Y94" s="14"/>
      <c r="Z94" s="14"/>
      <c r="AA94" s="14"/>
      <c r="AB94" s="14"/>
      <c r="AC94" s="14"/>
      <c r="AD94" s="70"/>
      <c r="AE94" s="14"/>
      <c r="AF94" s="14"/>
      <c r="AG94" s="14"/>
      <c r="AH94" s="14"/>
      <c r="AI94" s="14"/>
      <c r="AJ94" s="14"/>
      <c r="AK94" s="14"/>
      <c r="AL94" s="17"/>
      <c r="AM94" s="14"/>
      <c r="AN94" s="14"/>
      <c r="AO94" s="14"/>
      <c r="AP94" s="14"/>
      <c r="AQ94" s="14"/>
      <c r="AR94" s="14"/>
      <c r="AS94" s="14"/>
      <c r="AT94" s="70"/>
      <c r="AU94" s="14"/>
      <c r="AV94" s="14"/>
      <c r="AW94" s="14"/>
      <c r="AX94" s="14"/>
      <c r="AY94" s="14"/>
      <c r="AZ94" s="14"/>
      <c r="BA94" s="14"/>
      <c r="BB94" s="70"/>
      <c r="BC94" s="14"/>
      <c r="BD94" s="14"/>
      <c r="BE94" s="14"/>
      <c r="BF94" s="14"/>
      <c r="BG94" s="14"/>
      <c r="BH94" s="14"/>
      <c r="BI94" s="14"/>
      <c r="BJ94" s="70"/>
      <c r="BK94" s="14"/>
      <c r="BL94" s="14"/>
      <c r="BM94" s="14"/>
      <c r="BN94" s="14"/>
      <c r="BO94" s="14"/>
      <c r="BP94" s="14"/>
      <c r="BQ94" s="14"/>
      <c r="BR94" s="17"/>
      <c r="BS94" s="14"/>
      <c r="BT94" s="14"/>
      <c r="BU94" s="14"/>
      <c r="BV94" s="14"/>
      <c r="BW94" s="14"/>
      <c r="BX94" s="14"/>
      <c r="BY94" s="14"/>
      <c r="BZ94" s="17"/>
      <c r="CA94" s="14"/>
      <c r="CB94" s="14"/>
      <c r="CC94" s="14"/>
      <c r="CD94" s="14"/>
      <c r="CE94" s="14"/>
      <c r="CF94" s="14"/>
      <c r="CG94" s="14"/>
      <c r="CH94" s="70"/>
      <c r="CI94" s="14"/>
      <c r="CJ94" s="14"/>
      <c r="CK94" s="14"/>
      <c r="CL94" s="14"/>
      <c r="CM94" s="14"/>
      <c r="CN94" s="14"/>
      <c r="CO94" s="14"/>
      <c r="CP94" s="70"/>
      <c r="CQ94" s="14"/>
      <c r="CR94" s="70"/>
    </row>
    <row r="95" spans="3:100" s="21" customFormat="1" ht="15" customHeight="1" x14ac:dyDescent="0.2">
      <c r="C95" s="25"/>
      <c r="D95" s="25"/>
      <c r="E95" s="70"/>
      <c r="F95" s="70"/>
      <c r="G95" s="70"/>
      <c r="H95" s="6718"/>
      <c r="I95" s="6719"/>
      <c r="J95" s="6720"/>
      <c r="K95" s="20"/>
      <c r="L95" s="1026"/>
      <c r="M95" s="1027"/>
      <c r="N95" s="1027"/>
      <c r="O95" s="1027"/>
      <c r="P95" s="1027"/>
      <c r="Q95" s="1028"/>
      <c r="R95" s="2038"/>
      <c r="S95" s="1030"/>
      <c r="T95" s="20"/>
      <c r="U95" s="1041"/>
      <c r="V95" s="17"/>
      <c r="W95" s="5302"/>
      <c r="X95" s="5302"/>
      <c r="Y95" s="5303"/>
      <c r="Z95" s="5304"/>
      <c r="AA95" s="5302"/>
      <c r="AB95" s="5302"/>
      <c r="AC95" s="5302"/>
      <c r="AD95" s="78"/>
      <c r="AE95" s="5302"/>
      <c r="AF95" s="5302"/>
      <c r="AG95" s="5303"/>
      <c r="AH95" s="5304"/>
      <c r="AI95" s="5302"/>
      <c r="AJ95" s="5302"/>
      <c r="AK95" s="5302"/>
      <c r="AL95" s="78"/>
      <c r="AM95" s="5302"/>
      <c r="AN95" s="5302"/>
      <c r="AO95" s="5303"/>
      <c r="AP95" s="5304"/>
      <c r="AQ95" s="5302"/>
      <c r="AR95" s="5302"/>
      <c r="AS95" s="5302"/>
      <c r="AT95" s="78"/>
      <c r="AU95" s="5302"/>
      <c r="AV95" s="5302"/>
      <c r="AW95" s="5303"/>
      <c r="AX95" s="5304"/>
      <c r="AY95" s="5302"/>
      <c r="AZ95" s="5302"/>
      <c r="BA95" s="5302"/>
      <c r="BB95" s="78"/>
      <c r="BC95" s="5302"/>
      <c r="BD95" s="5302"/>
      <c r="BE95" s="5303"/>
      <c r="BF95" s="5302"/>
      <c r="BG95" s="5302"/>
      <c r="BH95" s="5302"/>
      <c r="BI95" s="5302"/>
      <c r="BJ95" s="78"/>
      <c r="BK95" s="5302"/>
      <c r="BL95" s="5302"/>
      <c r="BM95" s="5303"/>
      <c r="BN95" s="5304"/>
      <c r="BO95" s="5302"/>
      <c r="BP95" s="5302"/>
      <c r="BQ95" s="5302"/>
      <c r="BR95" s="78"/>
      <c r="BS95" s="5302"/>
      <c r="BT95" s="5302"/>
      <c r="BU95" s="5303"/>
      <c r="BV95" s="5304"/>
      <c r="BW95" s="5302"/>
      <c r="BX95" s="5302"/>
      <c r="BY95" s="5302"/>
      <c r="BZ95" s="78"/>
      <c r="CA95" s="5302"/>
      <c r="CB95" s="5302"/>
      <c r="CC95" s="5303"/>
      <c r="CD95" s="5304"/>
      <c r="CE95" s="5302"/>
      <c r="CF95" s="5302"/>
      <c r="CG95" s="5302"/>
      <c r="CH95" s="78"/>
      <c r="CI95" s="5302"/>
      <c r="CJ95" s="5302"/>
      <c r="CK95" s="5303"/>
      <c r="CL95" s="5304"/>
      <c r="CM95" s="5302"/>
      <c r="CN95" s="5302"/>
      <c r="CO95" s="5302"/>
      <c r="CP95" s="70"/>
      <c r="CQ95" s="5301"/>
      <c r="CR95" s="70"/>
    </row>
    <row r="96" spans="3:100" s="21" customFormat="1" ht="9.9499999999999993" customHeight="1" x14ac:dyDescent="0.2">
      <c r="C96" s="25"/>
      <c r="D96" s="25"/>
      <c r="E96" s="70"/>
      <c r="F96" s="70"/>
      <c r="G96" s="70"/>
      <c r="H96" s="6718"/>
      <c r="I96" s="6719"/>
      <c r="J96" s="6720"/>
      <c r="K96" s="20"/>
      <c r="L96" s="1031"/>
      <c r="M96" s="6686" t="s">
        <v>2315</v>
      </c>
      <c r="N96" s="6686"/>
      <c r="O96" s="6686"/>
      <c r="P96" s="6686"/>
      <c r="Q96" s="6686"/>
      <c r="R96" s="6686"/>
      <c r="S96" s="1035"/>
      <c r="T96" s="20"/>
      <c r="U96" s="1041"/>
      <c r="V96" s="17"/>
      <c r="W96" s="5305"/>
      <c r="X96" s="5305"/>
      <c r="Y96" s="5305"/>
      <c r="Z96" s="5305"/>
      <c r="AA96" s="5305"/>
      <c r="AB96" s="5305"/>
      <c r="AC96" s="5305"/>
      <c r="AD96" s="78"/>
      <c r="AE96" s="5305"/>
      <c r="AF96" s="5305"/>
      <c r="AG96" s="5305"/>
      <c r="AH96" s="5305"/>
      <c r="AI96" s="5305"/>
      <c r="AJ96" s="5305"/>
      <c r="AK96" s="5305"/>
      <c r="AL96" s="17"/>
      <c r="AM96" s="5305"/>
      <c r="AN96" s="5305"/>
      <c r="AO96" s="5305"/>
      <c r="AP96" s="5305"/>
      <c r="AQ96" s="5305"/>
      <c r="AR96" s="5305"/>
      <c r="AS96" s="5305"/>
      <c r="AT96" s="78"/>
      <c r="AU96" s="5305"/>
      <c r="AV96" s="5305"/>
      <c r="AW96" s="5305"/>
      <c r="AX96" s="5305"/>
      <c r="AY96" s="5305"/>
      <c r="AZ96" s="5305"/>
      <c r="BA96" s="5305"/>
      <c r="BB96" s="78"/>
      <c r="BC96" s="5305"/>
      <c r="BD96" s="5305"/>
      <c r="BE96" s="5305"/>
      <c r="BF96" s="5305"/>
      <c r="BG96" s="5305"/>
      <c r="BH96" s="5305"/>
      <c r="BI96" s="5305"/>
      <c r="BJ96" s="78"/>
      <c r="BK96" s="5305"/>
      <c r="BL96" s="5305"/>
      <c r="BM96" s="5305"/>
      <c r="BN96" s="5305"/>
      <c r="BO96" s="5305"/>
      <c r="BP96" s="5305"/>
      <c r="BQ96" s="5305"/>
      <c r="BR96" s="17"/>
      <c r="BS96" s="5305"/>
      <c r="BT96" s="5305"/>
      <c r="BU96" s="5305"/>
      <c r="BV96" s="5305"/>
      <c r="BW96" s="5305"/>
      <c r="BX96" s="5305"/>
      <c r="BY96" s="5305"/>
      <c r="BZ96" s="17"/>
      <c r="CA96" s="5305"/>
      <c r="CB96" s="5305"/>
      <c r="CC96" s="5305"/>
      <c r="CD96" s="5305"/>
      <c r="CE96" s="5305"/>
      <c r="CF96" s="5305"/>
      <c r="CG96" s="5305"/>
      <c r="CH96" s="78"/>
      <c r="CI96" s="5305"/>
      <c r="CJ96" s="5305"/>
      <c r="CK96" s="5305"/>
      <c r="CL96" s="5305"/>
      <c r="CM96" s="5305"/>
      <c r="CN96" s="5305"/>
      <c r="CO96" s="5305"/>
      <c r="CP96" s="70"/>
      <c r="CQ96" s="5301"/>
      <c r="CR96" s="70"/>
    </row>
    <row r="97" spans="3:96" s="21" customFormat="1" ht="8.1" customHeight="1" thickBot="1" x14ac:dyDescent="0.25">
      <c r="C97" s="25"/>
      <c r="D97" s="25"/>
      <c r="E97" s="70"/>
      <c r="F97" s="70"/>
      <c r="G97" s="70"/>
      <c r="H97" s="6718"/>
      <c r="I97" s="6719"/>
      <c r="J97" s="6720"/>
      <c r="K97" s="20"/>
      <c r="L97" s="1031"/>
      <c r="M97" s="6686"/>
      <c r="N97" s="6686"/>
      <c r="O97" s="6686"/>
      <c r="P97" s="6686"/>
      <c r="Q97" s="6686"/>
      <c r="R97" s="6686"/>
      <c r="S97" s="1035"/>
      <c r="T97" s="20"/>
      <c r="U97" s="1041"/>
      <c r="V97" s="17"/>
      <c r="W97" s="20"/>
      <c r="X97" s="20"/>
      <c r="Y97" s="20"/>
      <c r="Z97" s="20"/>
      <c r="AA97" s="20"/>
      <c r="AB97" s="20"/>
      <c r="AC97" s="20"/>
      <c r="AD97" s="78"/>
      <c r="AE97" s="20"/>
      <c r="AF97" s="20"/>
      <c r="AG97" s="20"/>
      <c r="AH97" s="20"/>
      <c r="AI97" s="20"/>
      <c r="AJ97" s="20"/>
      <c r="AK97" s="20"/>
      <c r="AL97" s="17"/>
      <c r="AM97" s="20"/>
      <c r="AN97" s="20"/>
      <c r="AO97" s="20"/>
      <c r="AP97" s="20"/>
      <c r="AQ97" s="20"/>
      <c r="AR97" s="20"/>
      <c r="AS97" s="20"/>
      <c r="AT97" s="78"/>
      <c r="AU97" s="20"/>
      <c r="AV97" s="20"/>
      <c r="AW97" s="20"/>
      <c r="AX97" s="20"/>
      <c r="AY97" s="20"/>
      <c r="AZ97" s="20"/>
      <c r="BA97" s="20"/>
      <c r="BB97" s="78"/>
      <c r="BC97" s="20"/>
      <c r="BD97" s="20"/>
      <c r="BE97" s="20"/>
      <c r="BF97" s="20"/>
      <c r="BG97" s="20"/>
      <c r="BH97" s="20"/>
      <c r="BI97" s="20"/>
      <c r="BJ97" s="78"/>
      <c r="BK97" s="20"/>
      <c r="BL97" s="20"/>
      <c r="BM97" s="20"/>
      <c r="BN97" s="20"/>
      <c r="BO97" s="20"/>
      <c r="BP97" s="20"/>
      <c r="BQ97" s="20"/>
      <c r="BR97" s="17"/>
      <c r="BS97" s="20"/>
      <c r="BT97" s="20"/>
      <c r="BU97" s="20"/>
      <c r="BV97" s="20"/>
      <c r="BW97" s="20"/>
      <c r="BX97" s="20"/>
      <c r="BY97" s="20"/>
      <c r="BZ97" s="17"/>
      <c r="CA97" s="20"/>
      <c r="CB97" s="20"/>
      <c r="CC97" s="20"/>
      <c r="CD97" s="20"/>
      <c r="CE97" s="20"/>
      <c r="CF97" s="20"/>
      <c r="CG97" s="20"/>
      <c r="CH97" s="78"/>
      <c r="CI97" s="20"/>
      <c r="CJ97" s="20"/>
      <c r="CK97" s="20"/>
      <c r="CL97" s="20"/>
      <c r="CM97" s="20"/>
      <c r="CN97" s="20"/>
      <c r="CO97" s="20"/>
      <c r="CP97" s="70"/>
      <c r="CQ97" s="14"/>
      <c r="CR97" s="70"/>
    </row>
    <row r="98" spans="3:96" s="21" customFormat="1" ht="15" customHeight="1" thickBot="1" x14ac:dyDescent="0.25">
      <c r="C98" s="25"/>
      <c r="D98" s="25"/>
      <c r="E98" s="70"/>
      <c r="F98" s="70"/>
      <c r="G98" s="70"/>
      <c r="H98" s="6718"/>
      <c r="I98" s="6719"/>
      <c r="J98" s="6720"/>
      <c r="K98" s="20"/>
      <c r="L98" s="1031"/>
      <c r="M98" s="6686"/>
      <c r="N98" s="6686"/>
      <c r="O98" s="6686"/>
      <c r="P98" s="6686"/>
      <c r="Q98" s="6686"/>
      <c r="R98" s="6686"/>
      <c r="S98" s="1035"/>
      <c r="T98" s="20"/>
      <c r="U98" s="1041"/>
      <c r="V98" s="17"/>
      <c r="W98" s="1026"/>
      <c r="X98" s="1029"/>
      <c r="Y98" s="1029"/>
      <c r="Z98" s="1029"/>
      <c r="AA98" s="1029"/>
      <c r="AB98" s="1029"/>
      <c r="AC98" s="1030"/>
      <c r="AD98" s="70"/>
      <c r="AE98" s="1026"/>
      <c r="AF98" s="1029"/>
      <c r="AG98" s="1029"/>
      <c r="AH98" s="1029"/>
      <c r="AI98" s="1029"/>
      <c r="AJ98" s="1029"/>
      <c r="AK98" s="1030"/>
      <c r="AL98" s="17"/>
      <c r="AM98" s="1026"/>
      <c r="AN98" s="1029"/>
      <c r="AO98" s="1029"/>
      <c r="AP98" s="1029"/>
      <c r="AQ98" s="1029"/>
      <c r="AR98" s="1029"/>
      <c r="AS98" s="1030"/>
      <c r="AT98" s="70"/>
      <c r="AU98" s="1026"/>
      <c r="AV98" s="1029"/>
      <c r="AW98" s="1029"/>
      <c r="AX98" s="1029"/>
      <c r="AY98" s="1029"/>
      <c r="AZ98" s="1029"/>
      <c r="BA98" s="1030"/>
      <c r="BB98" s="70"/>
      <c r="BC98" s="1026"/>
      <c r="BD98" s="1029"/>
      <c r="BE98" s="1029"/>
      <c r="BF98" s="1029"/>
      <c r="BG98" s="1029"/>
      <c r="BH98" s="1029"/>
      <c r="BI98" s="1030"/>
      <c r="BJ98" s="70"/>
      <c r="BK98" s="1026"/>
      <c r="BL98" s="1029"/>
      <c r="BM98" s="1029"/>
      <c r="BN98" s="1029"/>
      <c r="BO98" s="1029"/>
      <c r="BP98" s="1029"/>
      <c r="BQ98" s="1030"/>
      <c r="BR98" s="17"/>
      <c r="BS98" s="1026"/>
      <c r="BT98" s="1029"/>
      <c r="BU98" s="1029"/>
      <c r="BV98" s="1029"/>
      <c r="BW98" s="1029"/>
      <c r="BX98" s="1029"/>
      <c r="BY98" s="1030"/>
      <c r="BZ98" s="17"/>
      <c r="CA98" s="1026"/>
      <c r="CB98" s="1029"/>
      <c r="CC98" s="1029"/>
      <c r="CD98" s="1029"/>
      <c r="CE98" s="1029"/>
      <c r="CF98" s="1029"/>
      <c r="CG98" s="1030"/>
      <c r="CH98" s="70"/>
      <c r="CI98" s="1026"/>
      <c r="CJ98" s="1029"/>
      <c r="CK98" s="1029"/>
      <c r="CL98" s="1029"/>
      <c r="CM98" s="1029"/>
      <c r="CN98" s="1029"/>
      <c r="CO98" s="1030"/>
      <c r="CP98" s="70"/>
      <c r="CQ98" s="1041"/>
      <c r="CR98" s="70"/>
    </row>
    <row r="99" spans="3:96" s="5313" customFormat="1" ht="15" hidden="1" customHeight="1" x14ac:dyDescent="0.2">
      <c r="C99" s="5312"/>
      <c r="D99" s="5312"/>
      <c r="H99" s="5314"/>
      <c r="I99" s="5315"/>
      <c r="J99" s="5316"/>
      <c r="L99" s="5314"/>
      <c r="M99" s="5317"/>
      <c r="N99" s="5318"/>
      <c r="O99" s="5318"/>
      <c r="P99" s="5318"/>
      <c r="Q99" s="5318"/>
      <c r="R99" s="5319"/>
      <c r="S99" s="5320"/>
      <c r="U99" s="5318"/>
      <c r="W99" s="5314"/>
      <c r="X99" s="5318"/>
      <c r="Y99" s="5318" t="str">
        <f>_List!$AW$7</f>
        <v>Enstuffs drift</v>
      </c>
      <c r="Z99" s="5318"/>
      <c r="AA99" s="5318"/>
      <c r="AB99" s="5318"/>
      <c r="AC99" s="5320"/>
      <c r="AE99" s="5314"/>
      <c r="AF99" s="5318"/>
      <c r="AG99" s="5318" t="str">
        <f>_List!$AW$7</f>
        <v>Enstuffs drift</v>
      </c>
      <c r="AH99" s="5318"/>
      <c r="AI99" s="5318"/>
      <c r="AJ99" s="5318"/>
      <c r="AK99" s="5320"/>
      <c r="AM99" s="5314"/>
      <c r="AN99" s="5318"/>
      <c r="AO99" s="5318" t="str">
        <f>_List!$AW$7</f>
        <v>Enstuffs drift</v>
      </c>
      <c r="AP99" s="5318"/>
      <c r="AQ99" s="5318"/>
      <c r="AR99" s="5318"/>
      <c r="AS99" s="5320"/>
      <c r="AU99" s="5314"/>
      <c r="AV99" s="5318"/>
      <c r="AW99" s="5318" t="str">
        <f>_List!$AW$7</f>
        <v>Enstuffs drift</v>
      </c>
      <c r="AX99" s="5318"/>
      <c r="AY99" s="5318"/>
      <c r="AZ99" s="5318"/>
      <c r="BA99" s="5320"/>
      <c r="BC99" s="5314"/>
      <c r="BD99" s="5318"/>
      <c r="BE99" s="5318" t="str">
        <f>_List!$AW$7</f>
        <v>Enstuffs drift</v>
      </c>
      <c r="BF99" s="5318"/>
      <c r="BG99" s="5318"/>
      <c r="BH99" s="5318"/>
      <c r="BI99" s="5320"/>
      <c r="BK99" s="5314"/>
      <c r="BL99" s="5318"/>
      <c r="BM99" s="5318" t="str">
        <f>_List!$AW$7</f>
        <v>Enstuffs drift</v>
      </c>
      <c r="BN99" s="5318"/>
      <c r="BO99" s="5318"/>
      <c r="BP99" s="5318"/>
      <c r="BQ99" s="5320"/>
      <c r="BS99" s="5314"/>
      <c r="BT99" s="5318"/>
      <c r="BU99" s="5318" t="str">
        <f>_List!$AW$7</f>
        <v>Enstuffs drift</v>
      </c>
      <c r="BV99" s="5318"/>
      <c r="BW99" s="5318"/>
      <c r="BX99" s="5318"/>
      <c r="BY99" s="5320"/>
      <c r="CA99" s="5314"/>
      <c r="CB99" s="5318"/>
      <c r="CC99" s="5318" t="str">
        <f>_List!$AW$7</f>
        <v>Enstuffs drift</v>
      </c>
      <c r="CD99" s="5318"/>
      <c r="CE99" s="5318"/>
      <c r="CF99" s="5318"/>
      <c r="CG99" s="5320"/>
      <c r="CI99" s="5314"/>
      <c r="CJ99" s="5318"/>
      <c r="CK99" s="5318" t="str">
        <f>_List!$AW$7</f>
        <v>Enstuffs drift</v>
      </c>
      <c r="CL99" s="5318"/>
      <c r="CM99" s="5318"/>
      <c r="CN99" s="5318"/>
      <c r="CO99" s="5320"/>
      <c r="CQ99" s="5318"/>
    </row>
    <row r="100" spans="3:96" s="21" customFormat="1" ht="5.0999999999999996" hidden="1" customHeight="1" thickBot="1" x14ac:dyDescent="0.25">
      <c r="C100" s="25"/>
      <c r="D100" s="25"/>
      <c r="E100" s="70"/>
      <c r="F100" s="70"/>
      <c r="G100" s="70"/>
      <c r="H100" s="5270"/>
      <c r="I100" s="5271"/>
      <c r="J100" s="5272"/>
      <c r="K100" s="20"/>
      <c r="L100" s="1031"/>
      <c r="M100" s="5273"/>
      <c r="N100" s="5273"/>
      <c r="O100" s="5273"/>
      <c r="P100" s="5273"/>
      <c r="Q100" s="5274"/>
      <c r="R100" s="2040"/>
      <c r="S100" s="1035"/>
      <c r="T100" s="20"/>
      <c r="U100" s="1041"/>
      <c r="V100" s="17"/>
      <c r="W100" s="1031"/>
      <c r="X100" s="1034"/>
      <c r="Y100" s="1034"/>
      <c r="Z100" s="1034"/>
      <c r="AA100" s="1034"/>
      <c r="AB100" s="1034"/>
      <c r="AC100" s="1035"/>
      <c r="AD100" s="70"/>
      <c r="AE100" s="1031"/>
      <c r="AF100" s="1034"/>
      <c r="AG100" s="1034"/>
      <c r="AH100" s="1034"/>
      <c r="AI100" s="1034"/>
      <c r="AJ100" s="1034"/>
      <c r="AK100" s="1035"/>
      <c r="AL100" s="17"/>
      <c r="AM100" s="1031"/>
      <c r="AN100" s="1034"/>
      <c r="AO100" s="1034"/>
      <c r="AP100" s="1034"/>
      <c r="AQ100" s="1034"/>
      <c r="AR100" s="1034"/>
      <c r="AS100" s="1035"/>
      <c r="AT100" s="70"/>
      <c r="AU100" s="1031"/>
      <c r="AV100" s="1034"/>
      <c r="AW100" s="1034"/>
      <c r="AX100" s="1034"/>
      <c r="AY100" s="1034"/>
      <c r="AZ100" s="1034"/>
      <c r="BA100" s="1035"/>
      <c r="BB100" s="70"/>
      <c r="BC100" s="1031"/>
      <c r="BD100" s="1034"/>
      <c r="BE100" s="1034"/>
      <c r="BF100" s="1034"/>
      <c r="BG100" s="1034"/>
      <c r="BH100" s="1034"/>
      <c r="BI100" s="1035"/>
      <c r="BJ100" s="70"/>
      <c r="BK100" s="1031"/>
      <c r="BL100" s="1034"/>
      <c r="BM100" s="1034"/>
      <c r="BN100" s="1034"/>
      <c r="BO100" s="1034"/>
      <c r="BP100" s="1034"/>
      <c r="BQ100" s="1035"/>
      <c r="BR100" s="17"/>
      <c r="BS100" s="1031"/>
      <c r="BT100" s="1034"/>
      <c r="BU100" s="1034"/>
      <c r="BV100" s="1034"/>
      <c r="BW100" s="1034"/>
      <c r="BX100" s="1034"/>
      <c r="BY100" s="1035"/>
      <c r="BZ100" s="17"/>
      <c r="CA100" s="1031"/>
      <c r="CB100" s="1034"/>
      <c r="CC100" s="1034"/>
      <c r="CD100" s="1034"/>
      <c r="CE100" s="1034"/>
      <c r="CF100" s="1034"/>
      <c r="CG100" s="1035"/>
      <c r="CH100" s="70"/>
      <c r="CI100" s="1031"/>
      <c r="CJ100" s="1034"/>
      <c r="CK100" s="1034"/>
      <c r="CL100" s="1034"/>
      <c r="CM100" s="1034"/>
      <c r="CN100" s="1034"/>
      <c r="CO100" s="1035"/>
      <c r="CP100" s="70"/>
      <c r="CQ100" s="1041"/>
      <c r="CR100" s="70"/>
    </row>
    <row r="101" spans="3:96" s="21" customFormat="1" ht="20.100000000000001" customHeight="1" thickBot="1" x14ac:dyDescent="0.25">
      <c r="C101" s="25"/>
      <c r="D101" s="25"/>
      <c r="E101" s="70"/>
      <c r="F101" s="70"/>
      <c r="G101" s="70"/>
      <c r="H101" s="5270"/>
      <c r="I101" s="5271"/>
      <c r="J101" s="5272"/>
      <c r="K101" s="20"/>
      <c r="L101" s="1031"/>
      <c r="M101" s="1032" t="str">
        <f>_List!$AW$7</f>
        <v>Enstuffs drift</v>
      </c>
      <c r="N101" s="1032"/>
      <c r="O101" s="1032"/>
      <c r="P101" s="1032"/>
      <c r="Q101" s="1033"/>
      <c r="R101" s="2039" t="s">
        <v>78</v>
      </c>
      <c r="S101" s="1035"/>
      <c r="T101" s="20"/>
      <c r="U101" s="1041"/>
      <c r="V101" s="17"/>
      <c r="W101" s="1031"/>
      <c r="X101" s="1034"/>
      <c r="Y101" s="3961">
        <f>INDEX(tunneldrift_vekseldrift[en_stuff_oppsum],MATCH(_Calcs!$NO$36,tunneldrift_vekseldrift[Stuff_navn],0))</f>
        <v>0</v>
      </c>
      <c r="Z101" s="3962"/>
      <c r="AA101" s="30" t="str">
        <f>IF(Oppsummering!$Y$92=_List!$AW$7,"✓",IF(_Calcs!$NO$315&gt;0,"!","✓"))</f>
        <v>✓</v>
      </c>
      <c r="AB101" s="3962"/>
      <c r="AC101" s="3963"/>
      <c r="AE101" s="1031"/>
      <c r="AF101" s="1034"/>
      <c r="AG101" s="3961" t="e">
        <f>INDEX(tunneldrift_vekseldrift[en_stuff_oppsum],MATCH(_Calcs!$NP$36,tunneldrift_vekseldrift[Stuff_navn],0))</f>
        <v>#N/A</v>
      </c>
      <c r="AH101" s="3962"/>
      <c r="AI101" s="30" t="e">
        <f>IF(Oppsummering!$AG$92=_List!$AW$7,"✓",IF(_Calcs!$NP$315&gt;0,"!","✓"))</f>
        <v>#N/A</v>
      </c>
      <c r="AJ101" s="3962"/>
      <c r="AK101" s="3963"/>
      <c r="AL101" s="17"/>
      <c r="AM101" s="1031"/>
      <c r="AN101" s="1034"/>
      <c r="AO101" s="3961" t="e">
        <f>INDEX(tunneldrift_vekseldrift[en_stuff_oppsum],MATCH(_Calcs!$NQ$36,tunneldrift_vekseldrift[Stuff_navn],0))</f>
        <v>#N/A</v>
      </c>
      <c r="AP101" s="3962"/>
      <c r="AQ101" s="30" t="e">
        <f>IF(Oppsummering!$AO$92=_List!$AW$7,"✓",IF(_Calcs!$NQ$315&gt;0,"!","✓"))</f>
        <v>#N/A</v>
      </c>
      <c r="AR101" s="3962"/>
      <c r="AS101" s="3963"/>
      <c r="AU101" s="1031"/>
      <c r="AV101" s="1034"/>
      <c r="AW101" s="3961" t="e">
        <f>INDEX(tunneldrift_vekseldrift[en_stuff_oppsum],MATCH(_Calcs!$NR$36,tunneldrift_vekseldrift[Stuff_navn],0))</f>
        <v>#N/A</v>
      </c>
      <c r="AX101" s="3962"/>
      <c r="AY101" s="30" t="e">
        <f>IF(Oppsummering!$AW$92=_List!$AW$7,"✓",IF(_Calcs!$NR$315&gt;0,"!","✓"))</f>
        <v>#N/A</v>
      </c>
      <c r="AZ101" s="3962"/>
      <c r="BA101" s="3963"/>
      <c r="BC101" s="1031"/>
      <c r="BD101" s="1034"/>
      <c r="BE101" s="3961" t="e">
        <f>INDEX(tunneldrift_vekseldrift[en_stuff_oppsum],MATCH(_Calcs!$NS$36,tunneldrift_vekseldrift[Stuff_navn],0))</f>
        <v>#N/A</v>
      </c>
      <c r="BF101" s="3962"/>
      <c r="BG101" s="30" t="e">
        <f>IF(Oppsummering!$BE$92=_List!$AW$7,"✓",IF(_Calcs!$NS$315&gt;0,"!","✓"))</f>
        <v>#N/A</v>
      </c>
      <c r="BH101" s="3962"/>
      <c r="BI101" s="3963"/>
      <c r="BK101" s="1031"/>
      <c r="BL101" s="1034"/>
      <c r="BM101" s="3961" t="e">
        <f>INDEX(tunneldrift_vekseldrift[en_stuff_oppsum],MATCH(_Calcs!$NT$36,tunneldrift_vekseldrift[Stuff_navn],0))</f>
        <v>#N/A</v>
      </c>
      <c r="BN101" s="3962"/>
      <c r="BO101" s="30" t="e">
        <f>IF(Oppsummering!$BM$92=_List!$AW$7,"✓",IF(_Calcs!$NT$315&gt;0,"!","✓"))</f>
        <v>#N/A</v>
      </c>
      <c r="BP101" s="3962"/>
      <c r="BQ101" s="3963"/>
      <c r="BR101" s="17"/>
      <c r="BS101" s="1031"/>
      <c r="BT101" s="1034"/>
      <c r="BU101" s="3961" t="e">
        <f>INDEX(tunneldrift_vekseldrift[en_stuff_oppsum],MATCH(_Calcs!$NU$36,tunneldrift_vekseldrift[Stuff_navn],0))</f>
        <v>#N/A</v>
      </c>
      <c r="BV101" s="3962"/>
      <c r="BW101" s="30" t="e">
        <f>IF(Oppsummering!$BU$92=_List!$AW$7,"✓",IF(_Calcs!$NU$315&gt;0,"!","✓"))</f>
        <v>#N/A</v>
      </c>
      <c r="BX101" s="3962"/>
      <c r="BY101" s="3963"/>
      <c r="BZ101" s="17"/>
      <c r="CA101" s="1031"/>
      <c r="CB101" s="1034"/>
      <c r="CC101" s="3961" t="e">
        <f>INDEX(tunneldrift_vekseldrift[en_stuff_oppsum],MATCH(_Calcs!$NV$36,tunneldrift_vekseldrift[Stuff_navn],0))</f>
        <v>#N/A</v>
      </c>
      <c r="CD101" s="3962"/>
      <c r="CE101" s="30" t="e">
        <f>IF(Oppsummering!$CC$92=_List!$AW$7,"✓",IF(_Calcs!$NV$315&gt;0,"!","✓"))</f>
        <v>#N/A</v>
      </c>
      <c r="CF101" s="3962"/>
      <c r="CG101" s="3963"/>
      <c r="CI101" s="1031"/>
      <c r="CJ101" s="1034"/>
      <c r="CK101" s="3961" t="e">
        <f>INDEX(tunneldrift_vekseldrift[en_stuff_oppsum],MATCH(_Calcs!$NW$36,tunneldrift_vekseldrift[Stuff_navn],0))</f>
        <v>#N/A</v>
      </c>
      <c r="CL101" s="3962"/>
      <c r="CM101" s="30" t="e">
        <f>IF(Oppsummering!$CK$92=_List!$AW$7,"✓",IF(_Calcs!$NW$315&gt;0,"!","✓"))</f>
        <v>#N/A</v>
      </c>
      <c r="CN101" s="3962"/>
      <c r="CO101" s="3963"/>
      <c r="CQ101" s="3964"/>
      <c r="CR101" s="70"/>
    </row>
    <row r="102" spans="3:96" s="21" customFormat="1" ht="15" customHeight="1" thickBot="1" x14ac:dyDescent="0.25">
      <c r="C102" s="25"/>
      <c r="D102" s="25"/>
      <c r="E102" s="70"/>
      <c r="F102" s="70"/>
      <c r="G102" s="70"/>
      <c r="H102" s="5270"/>
      <c r="I102" s="5271"/>
      <c r="J102" s="5272"/>
      <c r="K102" s="20"/>
      <c r="L102" s="1031"/>
      <c r="M102" s="1032"/>
      <c r="N102" s="1032"/>
      <c r="O102" s="1032"/>
      <c r="P102" s="1032"/>
      <c r="Q102" s="1033"/>
      <c r="R102" s="2040"/>
      <c r="S102" s="1035"/>
      <c r="T102" s="20"/>
      <c r="U102" s="1034"/>
      <c r="V102" s="17"/>
      <c r="W102" s="1031"/>
      <c r="X102" s="1034"/>
      <c r="Y102" s="5306"/>
      <c r="Z102" s="1034"/>
      <c r="AA102" s="1043"/>
      <c r="AB102" s="1034"/>
      <c r="AC102" s="1035"/>
      <c r="AD102" s="70"/>
      <c r="AE102" s="1031"/>
      <c r="AF102" s="1034"/>
      <c r="AG102" s="5306"/>
      <c r="AH102" s="1034"/>
      <c r="AI102" s="1043"/>
      <c r="AJ102" s="1034"/>
      <c r="AK102" s="1035"/>
      <c r="AL102" s="17"/>
      <c r="AM102" s="1031"/>
      <c r="AN102" s="1034"/>
      <c r="AO102" s="5306"/>
      <c r="AP102" s="1034"/>
      <c r="AQ102" s="1043"/>
      <c r="AR102" s="1034"/>
      <c r="AS102" s="1035"/>
      <c r="AT102" s="78"/>
      <c r="AU102" s="1031"/>
      <c r="AV102" s="1034"/>
      <c r="AW102" s="5306"/>
      <c r="AX102" s="1034"/>
      <c r="AY102" s="1043"/>
      <c r="AZ102" s="1034"/>
      <c r="BA102" s="1035"/>
      <c r="BB102" s="78"/>
      <c r="BC102" s="1031"/>
      <c r="BD102" s="1034"/>
      <c r="BE102" s="5306"/>
      <c r="BF102" s="1034"/>
      <c r="BG102" s="1043"/>
      <c r="BH102" s="1034"/>
      <c r="BI102" s="1035"/>
      <c r="BJ102" s="78"/>
      <c r="BK102" s="1031"/>
      <c r="BL102" s="1034"/>
      <c r="BM102" s="5306"/>
      <c r="BN102" s="1034"/>
      <c r="BO102" s="1043"/>
      <c r="BP102" s="1034"/>
      <c r="BQ102" s="1035"/>
      <c r="BR102" s="17"/>
      <c r="BS102" s="1031"/>
      <c r="BT102" s="1034"/>
      <c r="BU102" s="5306"/>
      <c r="BV102" s="1034"/>
      <c r="BW102" s="1043"/>
      <c r="BX102" s="1034"/>
      <c r="BY102" s="1035"/>
      <c r="BZ102" s="17"/>
      <c r="CA102" s="1031"/>
      <c r="CB102" s="1034"/>
      <c r="CC102" s="5306"/>
      <c r="CD102" s="1034"/>
      <c r="CE102" s="1043"/>
      <c r="CF102" s="1034"/>
      <c r="CG102" s="1035"/>
      <c r="CH102" s="70"/>
      <c r="CI102" s="1031"/>
      <c r="CJ102" s="1034"/>
      <c r="CK102" s="5306"/>
      <c r="CL102" s="1034"/>
      <c r="CM102" s="1043"/>
      <c r="CN102" s="1034"/>
      <c r="CO102" s="1035"/>
      <c r="CP102" s="70"/>
      <c r="CQ102" s="1041"/>
      <c r="CR102" s="70"/>
    </row>
    <row r="103" spans="3:96" s="5212" customFormat="1" ht="15" hidden="1" customHeight="1" x14ac:dyDescent="0.2">
      <c r="C103" s="5312"/>
      <c r="D103" s="5312"/>
      <c r="E103" s="5321"/>
      <c r="H103" s="5314"/>
      <c r="I103" s="5315"/>
      <c r="J103" s="5316"/>
      <c r="K103" s="5313"/>
      <c r="L103" s="5314"/>
      <c r="M103" s="5317"/>
      <c r="N103" s="5318"/>
      <c r="O103" s="5318"/>
      <c r="P103" s="5318"/>
      <c r="Q103" s="5322"/>
      <c r="R103" s="5319"/>
      <c r="S103" s="5320"/>
      <c r="T103" s="5313"/>
      <c r="U103" s="5323"/>
      <c r="V103" s="5313"/>
      <c r="W103" s="5314"/>
      <c r="X103" s="5318"/>
      <c r="Y103" s="5324" t="str">
        <f>_List!$AW$8</f>
        <v>Vekseldrift</v>
      </c>
      <c r="Z103" s="5318"/>
      <c r="AA103" s="5325"/>
      <c r="AB103" s="5318"/>
      <c r="AC103" s="5320"/>
      <c r="AE103" s="5314"/>
      <c r="AF103" s="5318"/>
      <c r="AG103" s="5324" t="str">
        <f>_List!$AW$8</f>
        <v>Vekseldrift</v>
      </c>
      <c r="AH103" s="5318"/>
      <c r="AI103" s="5325"/>
      <c r="AJ103" s="5318"/>
      <c r="AK103" s="5320"/>
      <c r="AL103" s="5313"/>
      <c r="AM103" s="5314"/>
      <c r="AN103" s="5318"/>
      <c r="AO103" s="5324" t="str">
        <f>_List!$AW$8</f>
        <v>Vekseldrift</v>
      </c>
      <c r="AP103" s="5318"/>
      <c r="AQ103" s="5325"/>
      <c r="AR103" s="5318"/>
      <c r="AS103" s="5320"/>
      <c r="AU103" s="5314"/>
      <c r="AV103" s="5318"/>
      <c r="AW103" s="5324" t="str">
        <f>_List!$AW$8</f>
        <v>Vekseldrift</v>
      </c>
      <c r="AX103" s="5318"/>
      <c r="AY103" s="5325"/>
      <c r="AZ103" s="5318"/>
      <c r="BA103" s="5320"/>
      <c r="BC103" s="5314"/>
      <c r="BD103" s="5318"/>
      <c r="BE103" s="5324" t="str">
        <f>_List!$AW$8</f>
        <v>Vekseldrift</v>
      </c>
      <c r="BF103" s="5318"/>
      <c r="BG103" s="5325"/>
      <c r="BH103" s="5318"/>
      <c r="BI103" s="5320"/>
      <c r="BK103" s="5314"/>
      <c r="BL103" s="5318"/>
      <c r="BM103" s="5324" t="str">
        <f>_List!$AW$8</f>
        <v>Vekseldrift</v>
      </c>
      <c r="BN103" s="5318"/>
      <c r="BO103" s="5325"/>
      <c r="BP103" s="5318"/>
      <c r="BQ103" s="5320"/>
      <c r="BR103" s="5313"/>
      <c r="BS103" s="5314"/>
      <c r="BT103" s="5318"/>
      <c r="BU103" s="5324" t="str">
        <f>_List!$AW$8</f>
        <v>Vekseldrift</v>
      </c>
      <c r="BV103" s="5318"/>
      <c r="BW103" s="5325"/>
      <c r="BX103" s="5318"/>
      <c r="BY103" s="5320"/>
      <c r="BZ103" s="5313"/>
      <c r="CA103" s="5314"/>
      <c r="CB103" s="5318"/>
      <c r="CC103" s="5324" t="str">
        <f>_List!$AW$8</f>
        <v>Vekseldrift</v>
      </c>
      <c r="CD103" s="5318"/>
      <c r="CE103" s="5325"/>
      <c r="CF103" s="5318"/>
      <c r="CG103" s="5320"/>
      <c r="CI103" s="5314"/>
      <c r="CJ103" s="5318"/>
      <c r="CK103" s="5324" t="str">
        <f>_List!$AW$8</f>
        <v>Vekseldrift</v>
      </c>
      <c r="CL103" s="5318"/>
      <c r="CM103" s="5325"/>
      <c r="CN103" s="5318"/>
      <c r="CO103" s="5320"/>
      <c r="CQ103" s="5323"/>
    </row>
    <row r="104" spans="3:96" s="21" customFormat="1" ht="5.0999999999999996" hidden="1" customHeight="1" thickBot="1" x14ac:dyDescent="0.25">
      <c r="C104" s="25"/>
      <c r="D104" s="25"/>
      <c r="E104" s="70"/>
      <c r="F104" s="70"/>
      <c r="G104" s="70"/>
      <c r="H104" s="5270"/>
      <c r="I104" s="5271"/>
      <c r="J104" s="5272"/>
      <c r="K104" s="20"/>
      <c r="L104" s="1031"/>
      <c r="M104" s="1032"/>
      <c r="N104" s="1032"/>
      <c r="O104" s="1032"/>
      <c r="P104" s="1032"/>
      <c r="Q104" s="1033"/>
      <c r="R104" s="2040"/>
      <c r="S104" s="1035"/>
      <c r="T104" s="20"/>
      <c r="U104" s="1041"/>
      <c r="V104" s="17"/>
      <c r="W104" s="1031"/>
      <c r="X104" s="1034"/>
      <c r="Y104" s="1042"/>
      <c r="Z104" s="1034"/>
      <c r="AA104" s="1043"/>
      <c r="AB104" s="1034"/>
      <c r="AC104" s="1035"/>
      <c r="AD104" s="70"/>
      <c r="AE104" s="1031"/>
      <c r="AF104" s="1034"/>
      <c r="AG104" s="1042"/>
      <c r="AH104" s="1034"/>
      <c r="AI104" s="1043"/>
      <c r="AJ104" s="1034"/>
      <c r="AK104" s="1035"/>
      <c r="AL104" s="17"/>
      <c r="AM104" s="1031"/>
      <c r="AN104" s="1034"/>
      <c r="AO104" s="1042"/>
      <c r="AP104" s="1034"/>
      <c r="AQ104" s="1043"/>
      <c r="AR104" s="1034"/>
      <c r="AS104" s="1035"/>
      <c r="AT104" s="70"/>
      <c r="AU104" s="1031"/>
      <c r="AV104" s="1034"/>
      <c r="AW104" s="1042"/>
      <c r="AX104" s="1034"/>
      <c r="AY104" s="1043"/>
      <c r="AZ104" s="1034"/>
      <c r="BA104" s="1035"/>
      <c r="BB104" s="70"/>
      <c r="BC104" s="1031"/>
      <c r="BD104" s="1034"/>
      <c r="BE104" s="1042"/>
      <c r="BF104" s="1034"/>
      <c r="BG104" s="1043"/>
      <c r="BH104" s="1034"/>
      <c r="BI104" s="1035"/>
      <c r="BJ104" s="70"/>
      <c r="BK104" s="1031"/>
      <c r="BL104" s="1034"/>
      <c r="BM104" s="1042"/>
      <c r="BN104" s="1034"/>
      <c r="BO104" s="1043"/>
      <c r="BP104" s="1034"/>
      <c r="BQ104" s="1035"/>
      <c r="BR104" s="17"/>
      <c r="BS104" s="1031"/>
      <c r="BT104" s="1034"/>
      <c r="BU104" s="1042"/>
      <c r="BV104" s="1034"/>
      <c r="BW104" s="1043"/>
      <c r="BX104" s="1034"/>
      <c r="BY104" s="1035"/>
      <c r="BZ104" s="17"/>
      <c r="CA104" s="1031"/>
      <c r="CB104" s="1034"/>
      <c r="CC104" s="1042"/>
      <c r="CD104" s="1034"/>
      <c r="CE104" s="1043"/>
      <c r="CF104" s="1034"/>
      <c r="CG104" s="1035"/>
      <c r="CH104" s="70"/>
      <c r="CI104" s="1031"/>
      <c r="CJ104" s="1034"/>
      <c r="CK104" s="1042"/>
      <c r="CL104" s="1034"/>
      <c r="CM104" s="1043"/>
      <c r="CN104" s="1034"/>
      <c r="CO104" s="1035"/>
      <c r="CP104" s="70"/>
      <c r="CQ104" s="1041"/>
      <c r="CR104" s="70"/>
    </row>
    <row r="105" spans="3:96" s="21" customFormat="1" ht="20.100000000000001" customHeight="1" thickBot="1" x14ac:dyDescent="0.25">
      <c r="C105" s="25"/>
      <c r="D105" s="25"/>
      <c r="E105" s="70"/>
      <c r="F105" s="70"/>
      <c r="G105" s="70"/>
      <c r="H105" s="5270"/>
      <c r="I105" s="5299"/>
      <c r="J105" s="5300"/>
      <c r="K105" s="20"/>
      <c r="L105" s="1031"/>
      <c r="M105" s="1032" t="str">
        <f>_List!$AW$8</f>
        <v>Vekseldrift</v>
      </c>
      <c r="N105" s="1032"/>
      <c r="O105" s="1032"/>
      <c r="P105" s="1032"/>
      <c r="Q105" s="1033"/>
      <c r="R105" s="2039" t="s">
        <v>78</v>
      </c>
      <c r="S105" s="1035"/>
      <c r="T105" s="20"/>
      <c r="U105" s="1041"/>
      <c r="V105" s="17"/>
      <c r="W105" s="1031"/>
      <c r="X105" s="1034"/>
      <c r="Y105" s="3961" t="str">
        <f>INDEX(tunneldrift_vekseldrift[vekseldrift_lengde_final],MATCH(_Calcs!$NO$36,tunneldrift_vekseldrift[Stuff_navn],0))</f>
        <v>-</v>
      </c>
      <c r="Z105" s="3962"/>
      <c r="AA105" s="30" t="str">
        <f>IF(Oppsummering!$Y$92=_List!$AW$7,"✓",IF(_Calcs!$NO$315&gt;0,"!","✓"))</f>
        <v>✓</v>
      </c>
      <c r="AB105" s="3962"/>
      <c r="AC105" s="3963"/>
      <c r="AE105" s="1031"/>
      <c r="AF105" s="1034"/>
      <c r="AG105" s="3961" t="e">
        <f>INDEX(tunneldrift_vekseldrift[vekseldrift_lengde_final],MATCH(_Calcs!$NP$36,tunneldrift_vekseldrift[Stuff_navn],0))</f>
        <v>#N/A</v>
      </c>
      <c r="AH105" s="3962"/>
      <c r="AI105" s="30" t="e">
        <f>IF(Oppsummering!$AG$92=_List!$AW$7,"✓",IF(_Calcs!$NP$315&gt;0,"!","✓"))</f>
        <v>#N/A</v>
      </c>
      <c r="AJ105" s="3962"/>
      <c r="AK105" s="3963"/>
      <c r="AL105" s="17"/>
      <c r="AM105" s="1031"/>
      <c r="AN105" s="1034"/>
      <c r="AO105" s="3961" t="e">
        <f>INDEX(tunneldrift_vekseldrift[vekseldrift_lengde_final],MATCH(_Calcs!$NQ$36,tunneldrift_vekseldrift[Stuff_navn],0))</f>
        <v>#N/A</v>
      </c>
      <c r="AP105" s="3962"/>
      <c r="AQ105" s="30" t="e">
        <f>IF(Oppsummering!$AO$92=_List!$AW$7,"✓",IF(_Calcs!$NQ$315&gt;0,"!","✓"))</f>
        <v>#N/A</v>
      </c>
      <c r="AR105" s="3962"/>
      <c r="AS105" s="3963"/>
      <c r="AU105" s="1031"/>
      <c r="AV105" s="1034"/>
      <c r="AW105" s="3961" t="e">
        <f>INDEX(tunneldrift_vekseldrift[vekseldrift_lengde_final],MATCH(_Calcs!$NR$36,tunneldrift_vekseldrift[Stuff_navn],0))</f>
        <v>#N/A</v>
      </c>
      <c r="AX105" s="3962"/>
      <c r="AY105" s="30" t="e">
        <f>IF(Oppsummering!$AW$92=_List!$AW$7,"✓",IF(_Calcs!$NR$315&gt;0,"!","✓"))</f>
        <v>#N/A</v>
      </c>
      <c r="AZ105" s="3962"/>
      <c r="BA105" s="3963"/>
      <c r="BC105" s="1031"/>
      <c r="BD105" s="1034"/>
      <c r="BE105" s="3961" t="e">
        <f>INDEX(tunneldrift_vekseldrift[vekseldrift_lengde_final],MATCH(_Calcs!$NS$36,tunneldrift_vekseldrift[Stuff_navn],0))</f>
        <v>#N/A</v>
      </c>
      <c r="BF105" s="3962"/>
      <c r="BG105" s="30" t="e">
        <f>IF(Oppsummering!$BE$92=_List!$AW$7,"✓",IF(_Calcs!$NS$315&gt;0,"!","✓"))</f>
        <v>#N/A</v>
      </c>
      <c r="BH105" s="3962"/>
      <c r="BI105" s="3963"/>
      <c r="BK105" s="1031"/>
      <c r="BL105" s="1034"/>
      <c r="BM105" s="3961" t="e">
        <f>INDEX(tunneldrift_vekseldrift[vekseldrift_lengde_final],MATCH(_Calcs!$NT$36,tunneldrift_vekseldrift[Stuff_navn],0))</f>
        <v>#N/A</v>
      </c>
      <c r="BN105" s="3962"/>
      <c r="BO105" s="30" t="e">
        <f>IF(Oppsummering!$BM$92=_List!$AW$7,"✓",IF(_Calcs!$NT$315&gt;0,"!","✓"))</f>
        <v>#N/A</v>
      </c>
      <c r="BP105" s="3962"/>
      <c r="BQ105" s="3963"/>
      <c r="BR105" s="17"/>
      <c r="BS105" s="1031"/>
      <c r="BT105" s="1034"/>
      <c r="BU105" s="3961" t="e">
        <f>INDEX(tunneldrift_vekseldrift[vekseldrift_lengde_final],MATCH(_Calcs!$NU$36,tunneldrift_vekseldrift[Stuff_navn],0))</f>
        <v>#N/A</v>
      </c>
      <c r="BV105" s="3962"/>
      <c r="BW105" s="30" t="e">
        <f>IF(Oppsummering!$BU$92=_List!$AW$7,"✓",IF(_Calcs!$NU$315&gt;0,"!","✓"))</f>
        <v>#N/A</v>
      </c>
      <c r="BX105" s="3962"/>
      <c r="BY105" s="3963"/>
      <c r="BZ105" s="17"/>
      <c r="CA105" s="1031"/>
      <c r="CB105" s="1034"/>
      <c r="CC105" s="3961" t="e">
        <f>INDEX(tunneldrift_vekseldrift[vekseldrift_lengde_final],MATCH(_Calcs!$NV$36,tunneldrift_vekseldrift[Stuff_navn],0))</f>
        <v>#N/A</v>
      </c>
      <c r="CD105" s="3962"/>
      <c r="CE105" s="30" t="e">
        <f>IF(Oppsummering!$CC$92=_List!$AW$7,"✓",IF(_Calcs!$NV$315&gt;0,"!","✓"))</f>
        <v>#N/A</v>
      </c>
      <c r="CF105" s="3962"/>
      <c r="CG105" s="3963"/>
      <c r="CI105" s="1031"/>
      <c r="CJ105" s="1034"/>
      <c r="CK105" s="3961" t="e">
        <f>INDEX(tunneldrift_vekseldrift[vekseldrift_lengde_final],MATCH(_Calcs!$NW$36,tunneldrift_vekseldrift[Stuff_navn],0))</f>
        <v>#N/A</v>
      </c>
      <c r="CL105" s="3962"/>
      <c r="CM105" s="30" t="e">
        <f>IF(Oppsummering!$CK$92=_List!$AW$7,"✓",IF(_Calcs!$NW$315&gt;0,"!","✓"))</f>
        <v>#N/A</v>
      </c>
      <c r="CN105" s="3962"/>
      <c r="CO105" s="3963"/>
      <c r="CQ105" s="3964"/>
      <c r="CR105" s="70"/>
    </row>
    <row r="106" spans="3:96" s="21" customFormat="1" ht="15" customHeight="1" thickBot="1" x14ac:dyDescent="0.25">
      <c r="C106" s="25"/>
      <c r="D106" s="25"/>
      <c r="E106" s="70"/>
      <c r="F106" s="70"/>
      <c r="G106" s="70"/>
      <c r="H106" s="5298"/>
      <c r="I106" s="5299"/>
      <c r="J106" s="5300"/>
      <c r="K106" s="20"/>
      <c r="L106" s="1036"/>
      <c r="M106" s="5296"/>
      <c r="N106" s="5296"/>
      <c r="O106" s="5296"/>
      <c r="P106" s="5296"/>
      <c r="Q106" s="5297"/>
      <c r="R106" s="2041"/>
      <c r="S106" s="1040"/>
      <c r="T106" s="20"/>
      <c r="U106" s="1041"/>
      <c r="V106" s="17"/>
      <c r="W106" s="1036"/>
      <c r="X106" s="1039"/>
      <c r="Y106" s="5294"/>
      <c r="Z106" s="1039"/>
      <c r="AA106" s="5295"/>
      <c r="AB106" s="1039"/>
      <c r="AC106" s="1040"/>
      <c r="AD106" s="70"/>
      <c r="AE106" s="1036"/>
      <c r="AF106" s="1039"/>
      <c r="AG106" s="5294"/>
      <c r="AH106" s="1039"/>
      <c r="AI106" s="5295"/>
      <c r="AJ106" s="1039"/>
      <c r="AK106" s="1040"/>
      <c r="AL106" s="17"/>
      <c r="AM106" s="1036"/>
      <c r="AN106" s="1039"/>
      <c r="AO106" s="5294"/>
      <c r="AP106" s="1039"/>
      <c r="AQ106" s="5295"/>
      <c r="AR106" s="1039"/>
      <c r="AS106" s="1040"/>
      <c r="AT106" s="70"/>
      <c r="AU106" s="1036"/>
      <c r="AV106" s="1039"/>
      <c r="AW106" s="5294"/>
      <c r="AX106" s="1039"/>
      <c r="AY106" s="5295"/>
      <c r="AZ106" s="1039"/>
      <c r="BA106" s="1040"/>
      <c r="BB106" s="70"/>
      <c r="BC106" s="1036"/>
      <c r="BD106" s="1039"/>
      <c r="BE106" s="5294"/>
      <c r="BF106" s="1039"/>
      <c r="BG106" s="5295"/>
      <c r="BH106" s="1039"/>
      <c r="BI106" s="1040"/>
      <c r="BJ106" s="70"/>
      <c r="BK106" s="1036"/>
      <c r="BL106" s="1039"/>
      <c r="BM106" s="5294"/>
      <c r="BN106" s="1039"/>
      <c r="BO106" s="5295"/>
      <c r="BP106" s="1039"/>
      <c r="BQ106" s="1040"/>
      <c r="BR106" s="17"/>
      <c r="BS106" s="1036"/>
      <c r="BT106" s="1039"/>
      <c r="BU106" s="5294"/>
      <c r="BV106" s="1039"/>
      <c r="BW106" s="5295"/>
      <c r="BX106" s="1039"/>
      <c r="BY106" s="1040"/>
      <c r="BZ106" s="17"/>
      <c r="CA106" s="1036"/>
      <c r="CB106" s="1039"/>
      <c r="CC106" s="5294"/>
      <c r="CD106" s="1039"/>
      <c r="CE106" s="5295"/>
      <c r="CF106" s="1039"/>
      <c r="CG106" s="1040"/>
      <c r="CH106" s="70"/>
      <c r="CI106" s="1036"/>
      <c r="CJ106" s="1039"/>
      <c r="CK106" s="5294"/>
      <c r="CL106" s="1039"/>
      <c r="CM106" s="5295"/>
      <c r="CN106" s="1039"/>
      <c r="CO106" s="1040"/>
      <c r="CP106" s="70"/>
      <c r="CQ106" s="1041"/>
      <c r="CR106" s="70"/>
    </row>
    <row r="107" spans="3:96" s="21" customFormat="1" ht="8.1" customHeight="1" thickBot="1" x14ac:dyDescent="0.25">
      <c r="C107" s="25"/>
      <c r="D107" s="25"/>
      <c r="E107" s="70"/>
      <c r="F107" s="70"/>
      <c r="G107" s="70"/>
      <c r="H107" s="5298"/>
      <c r="I107" s="5299"/>
      <c r="J107" s="5300"/>
      <c r="K107" s="5358"/>
      <c r="L107" s="20"/>
      <c r="M107" s="952"/>
      <c r="N107" s="952"/>
      <c r="O107" s="952"/>
      <c r="P107" s="952"/>
      <c r="Q107" s="624"/>
      <c r="R107" s="2023"/>
      <c r="S107" s="20"/>
      <c r="T107" s="20"/>
      <c r="U107" s="1041"/>
      <c r="V107" s="17"/>
      <c r="W107" s="20"/>
      <c r="X107" s="20"/>
      <c r="Y107" s="36"/>
      <c r="Z107" s="20"/>
      <c r="AA107" s="954"/>
      <c r="AB107" s="20"/>
      <c r="AC107" s="20"/>
      <c r="AD107" s="78"/>
      <c r="AE107" s="20"/>
      <c r="AF107" s="20"/>
      <c r="AG107" s="36"/>
      <c r="AH107" s="20"/>
      <c r="AI107" s="954"/>
      <c r="AJ107" s="20"/>
      <c r="AK107" s="20"/>
      <c r="AL107" s="17"/>
      <c r="AM107" s="20"/>
      <c r="AN107" s="20"/>
      <c r="AO107" s="36"/>
      <c r="AP107" s="20"/>
      <c r="AQ107" s="954"/>
      <c r="AR107" s="20"/>
      <c r="AS107" s="20"/>
      <c r="AT107" s="78"/>
      <c r="AU107" s="20"/>
      <c r="AV107" s="20"/>
      <c r="AW107" s="36"/>
      <c r="AX107" s="20"/>
      <c r="AY107" s="954"/>
      <c r="AZ107" s="20"/>
      <c r="BA107" s="20"/>
      <c r="BB107" s="78"/>
      <c r="BC107" s="20"/>
      <c r="BD107" s="20"/>
      <c r="BE107" s="36"/>
      <c r="BF107" s="20"/>
      <c r="BG107" s="954"/>
      <c r="BH107" s="20"/>
      <c r="BI107" s="20"/>
      <c r="BJ107" s="78"/>
      <c r="BK107" s="20"/>
      <c r="BL107" s="20"/>
      <c r="BM107" s="36"/>
      <c r="BN107" s="20"/>
      <c r="BO107" s="954"/>
      <c r="BP107" s="20"/>
      <c r="BQ107" s="20"/>
      <c r="BR107" s="17"/>
      <c r="BS107" s="20"/>
      <c r="BT107" s="20"/>
      <c r="BU107" s="36"/>
      <c r="BV107" s="20"/>
      <c r="BW107" s="954"/>
      <c r="BX107" s="20"/>
      <c r="BY107" s="20"/>
      <c r="BZ107" s="17"/>
      <c r="CA107" s="20"/>
      <c r="CB107" s="20"/>
      <c r="CC107" s="36"/>
      <c r="CD107" s="20"/>
      <c r="CE107" s="954"/>
      <c r="CF107" s="20"/>
      <c r="CG107" s="20"/>
      <c r="CH107" s="78"/>
      <c r="CI107" s="20"/>
      <c r="CJ107" s="20"/>
      <c r="CK107" s="36"/>
      <c r="CL107" s="20"/>
      <c r="CM107" s="954"/>
      <c r="CN107" s="20"/>
      <c r="CO107" s="20"/>
      <c r="CP107" s="78"/>
      <c r="CQ107" s="20"/>
      <c r="CR107" s="70"/>
    </row>
    <row r="108" spans="3:96" s="21" customFormat="1" ht="9.9499999999999993" hidden="1" customHeight="1" x14ac:dyDescent="0.2">
      <c r="C108" s="25"/>
      <c r="D108" s="25"/>
      <c r="E108" s="70"/>
      <c r="F108" s="70"/>
      <c r="G108" s="70"/>
      <c r="H108" s="5270"/>
      <c r="I108" s="5271"/>
      <c r="J108" s="5272"/>
      <c r="K108" s="20"/>
      <c r="L108" s="1026"/>
      <c r="M108" s="5308"/>
      <c r="N108" s="5308"/>
      <c r="O108" s="5308"/>
      <c r="P108" s="5308"/>
      <c r="Q108" s="5309"/>
      <c r="R108" s="2038"/>
      <c r="S108" s="1030"/>
      <c r="T108" s="20"/>
      <c r="U108" s="1041"/>
      <c r="V108" s="17"/>
      <c r="W108" s="5302"/>
      <c r="X108" s="5302"/>
      <c r="Y108" s="5303"/>
      <c r="Z108" s="5304"/>
      <c r="AA108" s="5302"/>
      <c r="AB108" s="5302"/>
      <c r="AC108" s="5302"/>
      <c r="AD108" s="78"/>
      <c r="AE108" s="5302"/>
      <c r="AF108" s="5302"/>
      <c r="AG108" s="5303"/>
      <c r="AH108" s="5304"/>
      <c r="AI108" s="5302"/>
      <c r="AJ108" s="5302"/>
      <c r="AK108" s="5302"/>
      <c r="AL108" s="78"/>
      <c r="AM108" s="5302"/>
      <c r="AN108" s="5302"/>
      <c r="AO108" s="5303"/>
      <c r="AP108" s="5304"/>
      <c r="AQ108" s="5302"/>
      <c r="AR108" s="5302"/>
      <c r="AS108" s="5302"/>
      <c r="AT108" s="78"/>
      <c r="AU108" s="5302"/>
      <c r="AV108" s="5302"/>
      <c r="AW108" s="5303"/>
      <c r="AX108" s="5304"/>
      <c r="AY108" s="5302"/>
      <c r="AZ108" s="5302"/>
      <c r="BA108" s="5302"/>
      <c r="BB108" s="78"/>
      <c r="BC108" s="5302"/>
      <c r="BD108" s="5302"/>
      <c r="BE108" s="5303"/>
      <c r="BF108" s="5302"/>
      <c r="BG108" s="5302"/>
      <c r="BH108" s="5302"/>
      <c r="BI108" s="5302"/>
      <c r="BJ108" s="78"/>
      <c r="BK108" s="5302"/>
      <c r="BL108" s="5302"/>
      <c r="BM108" s="5303"/>
      <c r="BN108" s="5304"/>
      <c r="BO108" s="5302"/>
      <c r="BP108" s="5302"/>
      <c r="BQ108" s="5302"/>
      <c r="BR108" s="78"/>
      <c r="BS108" s="5302"/>
      <c r="BT108" s="5302"/>
      <c r="BU108" s="5303"/>
      <c r="BV108" s="5304"/>
      <c r="BW108" s="5302"/>
      <c r="BX108" s="5302"/>
      <c r="BY108" s="5302"/>
      <c r="BZ108" s="78"/>
      <c r="CA108" s="5302"/>
      <c r="CB108" s="5302"/>
      <c r="CC108" s="5303"/>
      <c r="CD108" s="5304"/>
      <c r="CE108" s="5302"/>
      <c r="CF108" s="5302"/>
      <c r="CG108" s="5302"/>
      <c r="CH108" s="78"/>
      <c r="CI108" s="5302"/>
      <c r="CJ108" s="5302"/>
      <c r="CK108" s="5303"/>
      <c r="CL108" s="5304"/>
      <c r="CM108" s="5302"/>
      <c r="CN108" s="5302"/>
      <c r="CO108" s="5302"/>
      <c r="CP108" s="70"/>
      <c r="CQ108" s="5301"/>
      <c r="CR108" s="70"/>
    </row>
    <row r="109" spans="3:96" s="21" customFormat="1" ht="5.0999999999999996" hidden="1" customHeight="1" x14ac:dyDescent="0.2">
      <c r="C109" s="25"/>
      <c r="D109" s="25"/>
      <c r="E109" s="70"/>
      <c r="F109" s="70"/>
      <c r="G109" s="70"/>
      <c r="H109" s="5270"/>
      <c r="I109" s="5271"/>
      <c r="J109" s="5272"/>
      <c r="K109" s="20"/>
      <c r="L109" s="1031"/>
      <c r="M109" s="974"/>
      <c r="N109" s="5470"/>
      <c r="O109" s="5470"/>
      <c r="P109" s="5470"/>
      <c r="Q109" s="1033"/>
      <c r="R109" s="2040"/>
      <c r="S109" s="1035"/>
      <c r="T109" s="20"/>
      <c r="U109" s="1041"/>
      <c r="V109" s="17"/>
      <c r="W109" s="5305"/>
      <c r="X109" s="5305"/>
      <c r="Y109" s="5305"/>
      <c r="Z109" s="5305"/>
      <c r="AA109" s="5305"/>
      <c r="AB109" s="5305"/>
      <c r="AC109" s="5305"/>
      <c r="AD109" s="78"/>
      <c r="AE109" s="5305"/>
      <c r="AF109" s="5305"/>
      <c r="AG109" s="5305"/>
      <c r="AH109" s="5305"/>
      <c r="AI109" s="5305"/>
      <c r="AJ109" s="5305"/>
      <c r="AK109" s="5305"/>
      <c r="AL109" s="17"/>
      <c r="AM109" s="5305"/>
      <c r="AN109" s="5305"/>
      <c r="AO109" s="5305"/>
      <c r="AP109" s="5305"/>
      <c r="AQ109" s="5305"/>
      <c r="AR109" s="5305"/>
      <c r="AS109" s="5305"/>
      <c r="AT109" s="78"/>
      <c r="AU109" s="5305"/>
      <c r="AV109" s="5305"/>
      <c r="AW109" s="5305"/>
      <c r="AX109" s="5305"/>
      <c r="AY109" s="5305"/>
      <c r="AZ109" s="5305"/>
      <c r="BA109" s="5305"/>
      <c r="BB109" s="78"/>
      <c r="BC109" s="5305"/>
      <c r="BD109" s="5305"/>
      <c r="BE109" s="5305"/>
      <c r="BF109" s="5305"/>
      <c r="BG109" s="5305"/>
      <c r="BH109" s="5305"/>
      <c r="BI109" s="5305"/>
      <c r="BJ109" s="78"/>
      <c r="BK109" s="5305"/>
      <c r="BL109" s="5305"/>
      <c r="BM109" s="5305"/>
      <c r="BN109" s="5305"/>
      <c r="BO109" s="5305"/>
      <c r="BP109" s="5305"/>
      <c r="BQ109" s="5305"/>
      <c r="BR109" s="17"/>
      <c r="BS109" s="5305"/>
      <c r="BT109" s="5305"/>
      <c r="BU109" s="5305"/>
      <c r="BV109" s="5305"/>
      <c r="BW109" s="5305"/>
      <c r="BX109" s="5305"/>
      <c r="BY109" s="5305"/>
      <c r="BZ109" s="17"/>
      <c r="CA109" s="5305"/>
      <c r="CB109" s="5305"/>
      <c r="CC109" s="5305"/>
      <c r="CD109" s="5305"/>
      <c r="CE109" s="5305"/>
      <c r="CF109" s="5305"/>
      <c r="CG109" s="5305"/>
      <c r="CH109" s="78"/>
      <c r="CI109" s="5305"/>
      <c r="CJ109" s="5305"/>
      <c r="CK109" s="5305"/>
      <c r="CL109" s="5305"/>
      <c r="CM109" s="5305"/>
      <c r="CN109" s="5305"/>
      <c r="CO109" s="5305"/>
      <c r="CP109" s="70"/>
      <c r="CQ109" s="5301"/>
      <c r="CR109" s="70"/>
    </row>
    <row r="110" spans="3:96" s="21" customFormat="1" ht="8.1" hidden="1" customHeight="1" thickBot="1" x14ac:dyDescent="0.25">
      <c r="C110" s="25"/>
      <c r="D110" s="25"/>
      <c r="E110" s="70"/>
      <c r="F110" s="70"/>
      <c r="G110" s="70"/>
      <c r="H110" s="5270"/>
      <c r="I110" s="5271"/>
      <c r="J110" s="5272"/>
      <c r="K110" s="20"/>
      <c r="L110" s="1031"/>
      <c r="M110" s="5470"/>
      <c r="N110" s="5470"/>
      <c r="O110" s="5470"/>
      <c r="P110" s="5470"/>
      <c r="Q110" s="1033"/>
      <c r="R110" s="2040"/>
      <c r="S110" s="1035"/>
      <c r="T110" s="20"/>
      <c r="U110" s="1041"/>
      <c r="V110" s="17"/>
      <c r="W110" s="20"/>
      <c r="X110" s="20"/>
      <c r="Y110" s="36"/>
      <c r="Z110" s="20"/>
      <c r="AA110" s="954"/>
      <c r="AB110" s="20"/>
      <c r="AC110" s="20"/>
      <c r="AD110" s="78"/>
      <c r="AE110" s="20"/>
      <c r="AF110" s="20"/>
      <c r="AG110" s="36"/>
      <c r="AH110" s="20"/>
      <c r="AI110" s="954"/>
      <c r="AJ110" s="20"/>
      <c r="AK110" s="20"/>
      <c r="AL110" s="17"/>
      <c r="AM110" s="20"/>
      <c r="AN110" s="20"/>
      <c r="AO110" s="36"/>
      <c r="AP110" s="20"/>
      <c r="AQ110" s="954"/>
      <c r="AR110" s="20"/>
      <c r="AS110" s="20"/>
      <c r="AT110" s="78"/>
      <c r="AU110" s="20"/>
      <c r="AV110" s="20"/>
      <c r="AW110" s="36"/>
      <c r="AX110" s="20"/>
      <c r="AY110" s="954"/>
      <c r="AZ110" s="20"/>
      <c r="BA110" s="20"/>
      <c r="BB110" s="78"/>
      <c r="BC110" s="20"/>
      <c r="BD110" s="20"/>
      <c r="BE110" s="36"/>
      <c r="BF110" s="20"/>
      <c r="BG110" s="954"/>
      <c r="BH110" s="20"/>
      <c r="BI110" s="20"/>
      <c r="BJ110" s="78"/>
      <c r="BK110" s="20"/>
      <c r="BL110" s="20"/>
      <c r="BM110" s="36"/>
      <c r="BN110" s="20"/>
      <c r="BO110" s="954"/>
      <c r="BP110" s="20"/>
      <c r="BQ110" s="20"/>
      <c r="BR110" s="17"/>
      <c r="BS110" s="20"/>
      <c r="BT110" s="20"/>
      <c r="BU110" s="36"/>
      <c r="BV110" s="20"/>
      <c r="BW110" s="954"/>
      <c r="BX110" s="20"/>
      <c r="BY110" s="20"/>
      <c r="BZ110" s="17"/>
      <c r="CA110" s="20"/>
      <c r="CB110" s="20"/>
      <c r="CC110" s="36"/>
      <c r="CD110" s="20"/>
      <c r="CE110" s="954"/>
      <c r="CF110" s="20"/>
      <c r="CG110" s="20"/>
      <c r="CH110" s="78"/>
      <c r="CI110" s="20"/>
      <c r="CJ110" s="20"/>
      <c r="CK110" s="36"/>
      <c r="CL110" s="20"/>
      <c r="CM110" s="954"/>
      <c r="CN110" s="20"/>
      <c r="CO110" s="20"/>
      <c r="CP110" s="78"/>
      <c r="CQ110" s="20"/>
      <c r="CR110" s="70"/>
    </row>
    <row r="111" spans="3:96" s="21" customFormat="1" ht="15" customHeight="1" thickBot="1" x14ac:dyDescent="0.25">
      <c r="C111" s="25"/>
      <c r="D111" s="25"/>
      <c r="E111" s="70"/>
      <c r="F111" s="70"/>
      <c r="G111" s="70"/>
      <c r="H111" s="5298"/>
      <c r="I111" s="5299"/>
      <c r="J111" s="5300"/>
      <c r="K111" s="20"/>
      <c r="L111" s="1026"/>
      <c r="M111" s="5981"/>
      <c r="N111" s="5981"/>
      <c r="O111" s="5981"/>
      <c r="P111" s="5981"/>
      <c r="Q111" s="5309"/>
      <c r="R111" s="2038"/>
      <c r="S111" s="1030"/>
      <c r="T111" s="20"/>
      <c r="U111" s="1041"/>
      <c r="V111" s="17"/>
      <c r="W111" s="1026"/>
      <c r="X111" s="1029"/>
      <c r="Y111" s="5306"/>
      <c r="Z111" s="1029"/>
      <c r="AA111" s="5307"/>
      <c r="AB111" s="1029"/>
      <c r="AC111" s="1030"/>
      <c r="AD111" s="70"/>
      <c r="AE111" s="1026"/>
      <c r="AF111" s="1029"/>
      <c r="AG111" s="5306"/>
      <c r="AH111" s="1029"/>
      <c r="AI111" s="5307"/>
      <c r="AJ111" s="1029"/>
      <c r="AK111" s="1030"/>
      <c r="AL111" s="17"/>
      <c r="AM111" s="1026"/>
      <c r="AN111" s="1029"/>
      <c r="AO111" s="5306"/>
      <c r="AP111" s="1029"/>
      <c r="AQ111" s="5307"/>
      <c r="AR111" s="1029"/>
      <c r="AS111" s="1030"/>
      <c r="AT111" s="70"/>
      <c r="AU111" s="1026"/>
      <c r="AV111" s="1029"/>
      <c r="AW111" s="5306"/>
      <c r="AX111" s="1029"/>
      <c r="AY111" s="5307"/>
      <c r="AZ111" s="1029"/>
      <c r="BA111" s="1030"/>
      <c r="BB111" s="70"/>
      <c r="BC111" s="1026"/>
      <c r="BD111" s="1029"/>
      <c r="BE111" s="5306"/>
      <c r="BF111" s="1029"/>
      <c r="BG111" s="5307"/>
      <c r="BH111" s="1029"/>
      <c r="BI111" s="1030"/>
      <c r="BJ111" s="70"/>
      <c r="BK111" s="1026"/>
      <c r="BL111" s="1029"/>
      <c r="BM111" s="5306"/>
      <c r="BN111" s="1029"/>
      <c r="BO111" s="5307"/>
      <c r="BP111" s="1029"/>
      <c r="BQ111" s="1030"/>
      <c r="BR111" s="17"/>
      <c r="BS111" s="1026"/>
      <c r="BT111" s="1029"/>
      <c r="BU111" s="5306"/>
      <c r="BV111" s="1029"/>
      <c r="BW111" s="5307"/>
      <c r="BX111" s="1029"/>
      <c r="BY111" s="1030"/>
      <c r="BZ111" s="17"/>
      <c r="CA111" s="1026"/>
      <c r="CB111" s="1029"/>
      <c r="CC111" s="5306"/>
      <c r="CD111" s="1029"/>
      <c r="CE111" s="5307"/>
      <c r="CF111" s="1029"/>
      <c r="CG111" s="1030"/>
      <c r="CH111" s="70"/>
      <c r="CI111" s="1026"/>
      <c r="CJ111" s="1029"/>
      <c r="CK111" s="5306"/>
      <c r="CL111" s="1029"/>
      <c r="CM111" s="5307"/>
      <c r="CN111" s="1029"/>
      <c r="CO111" s="1030"/>
      <c r="CP111" s="70"/>
      <c r="CQ111" s="1041"/>
      <c r="CR111" s="70"/>
    </row>
    <row r="112" spans="3:96" s="21" customFormat="1" ht="20.100000000000001" customHeight="1" thickBot="1" x14ac:dyDescent="0.25">
      <c r="C112" s="25"/>
      <c r="D112" s="25"/>
      <c r="E112" s="70"/>
      <c r="F112" s="70"/>
      <c r="G112" s="70"/>
      <c r="H112" s="5298"/>
      <c r="I112" s="5299"/>
      <c r="J112" s="5300"/>
      <c r="K112" s="20"/>
      <c r="L112" s="1031"/>
      <c r="M112" s="6724" t="s">
        <v>2773</v>
      </c>
      <c r="N112" s="6724"/>
      <c r="O112" s="6724"/>
      <c r="P112" s="5351"/>
      <c r="Q112" s="1033"/>
      <c r="R112" s="2039"/>
      <c r="S112" s="1035"/>
      <c r="T112" s="20"/>
      <c r="U112" s="1041"/>
      <c r="V112" s="17"/>
      <c r="W112" s="1031"/>
      <c r="X112" s="1034"/>
      <c r="Y112" s="5350" t="str">
        <f>INDEX(outputs_oppsum[stab-foran_sprengning_ratio],MATCH(_Calcs!$NO$41,outputs_oppsum[stuff_id],0))</f>
        <v>-</v>
      </c>
      <c r="Z112" s="1034"/>
      <c r="AA112" s="30" t="str">
        <f>IF(Oppsummering!$Y$92=_List!$AW$7,"✓",IF(_Calcs!$NO$304&gt;0,"!","✓"))</f>
        <v>✓</v>
      </c>
      <c r="AB112" s="1034"/>
      <c r="AC112" s="1035"/>
      <c r="AD112" s="70"/>
      <c r="AE112" s="1031"/>
      <c r="AF112" s="1034"/>
      <c r="AG112" s="5350" t="e">
        <f>INDEX(outputs_oppsum[stab-foran_sprengning_ratio],MATCH(_Calcs!$NP$41,outputs_oppsum[stuff_id],0))</f>
        <v>#N/A</v>
      </c>
      <c r="AH112" s="1034"/>
      <c r="AI112" s="30" t="e">
        <f>IF(Oppsummering!$AG$92=_List!$AW$7,"✓",IF(_Calcs!$NP$304&gt;0,"!","✓"))</f>
        <v>#N/A</v>
      </c>
      <c r="AJ112" s="1034"/>
      <c r="AK112" s="1035"/>
      <c r="AL112" s="17"/>
      <c r="AM112" s="1031"/>
      <c r="AN112" s="1034"/>
      <c r="AO112" s="5350" t="e">
        <f>INDEX(outputs_oppsum[stab-foran_sprengning_ratio],MATCH(_Calcs!$NQ$41,outputs_oppsum[stuff_id],0))</f>
        <v>#N/A</v>
      </c>
      <c r="AP112" s="1034"/>
      <c r="AQ112" s="30" t="e">
        <f>IF(Oppsummering!$AO$92=_List!$AW$7,"✓",IF(_Calcs!$NQ$304&gt;0,"!","✓"))</f>
        <v>#N/A</v>
      </c>
      <c r="AR112" s="1034"/>
      <c r="AS112" s="1035"/>
      <c r="AT112" s="70"/>
      <c r="AU112" s="1031"/>
      <c r="AV112" s="1034"/>
      <c r="AW112" s="5350" t="e">
        <f>INDEX(outputs_oppsum[stab-foran_sprengning_ratio],MATCH(_Calcs!$NR$41,outputs_oppsum[stuff_id],0))</f>
        <v>#N/A</v>
      </c>
      <c r="AX112" s="1034"/>
      <c r="AY112" s="30" t="e">
        <f>IF(Oppsummering!$AW$92=_List!$AW$7,"✓",IF(_Calcs!$NR$304&gt;0,"!","✓"))</f>
        <v>#N/A</v>
      </c>
      <c r="AZ112" s="1034"/>
      <c r="BA112" s="1035"/>
      <c r="BB112" s="70"/>
      <c r="BC112" s="1031"/>
      <c r="BD112" s="1034"/>
      <c r="BE112" s="5350" t="e">
        <f>INDEX(outputs_oppsum[stab-foran_sprengning_ratio],MATCH(_Calcs!$NS$41,outputs_oppsum[stuff_id],0))</f>
        <v>#N/A</v>
      </c>
      <c r="BF112" s="1034"/>
      <c r="BG112" s="30" t="e">
        <f>IF(Oppsummering!$BE$92=_List!$AW$7,"✓",IF(_Calcs!$NS$304&gt;0,"!","✓"))</f>
        <v>#N/A</v>
      </c>
      <c r="BH112" s="1034"/>
      <c r="BI112" s="1035"/>
      <c r="BJ112" s="70"/>
      <c r="BK112" s="1031"/>
      <c r="BL112" s="1034"/>
      <c r="BM112" s="5350" t="e">
        <f>INDEX(outputs_oppsum[stab-foran_sprengning_ratio],MATCH(_Calcs!$NT$41,outputs_oppsum[stuff_id],0))</f>
        <v>#N/A</v>
      </c>
      <c r="BN112" s="1034"/>
      <c r="BO112" s="30" t="e">
        <f>IF(Oppsummering!$BM$92=_List!$AW$7,"✓",IF(_Calcs!$NT$304&gt;0,"!","✓"))</f>
        <v>#N/A</v>
      </c>
      <c r="BP112" s="1034"/>
      <c r="BQ112" s="1035"/>
      <c r="BR112" s="17"/>
      <c r="BS112" s="1031"/>
      <c r="BT112" s="1034"/>
      <c r="BU112" s="5350" t="e">
        <f>INDEX(outputs_oppsum[stab-foran_sprengning_ratio],MATCH(_Calcs!$NU$41,outputs_oppsum[stuff_id],0))</f>
        <v>#N/A</v>
      </c>
      <c r="BV112" s="1034"/>
      <c r="BW112" s="30" t="e">
        <f>IF(Oppsummering!$BU$92=_List!$AW$7,"✓",IF(_Calcs!$NU$304&gt;0,"!","✓"))</f>
        <v>#N/A</v>
      </c>
      <c r="BX112" s="1034"/>
      <c r="BY112" s="1035"/>
      <c r="BZ112" s="17"/>
      <c r="CA112" s="1031"/>
      <c r="CB112" s="1034"/>
      <c r="CC112" s="5350" t="e">
        <f>INDEX(outputs_oppsum[stab-foran_sprengning_ratio],MATCH(_Calcs!$NV$41,outputs_oppsum[stuff_id],0))</f>
        <v>#N/A</v>
      </c>
      <c r="CD112" s="1034"/>
      <c r="CE112" s="30" t="e">
        <f>IF(Oppsummering!$CC$92=_List!$AW$7,"✓",IF(_Calcs!$NV$304&gt;0,"!","✓"))</f>
        <v>#N/A</v>
      </c>
      <c r="CF112" s="1034"/>
      <c r="CG112" s="1035"/>
      <c r="CH112" s="70"/>
      <c r="CI112" s="1031"/>
      <c r="CJ112" s="1034"/>
      <c r="CK112" s="5350" t="e">
        <f>INDEX(outputs_oppsum[stab-foran_sprengning_ratio],MATCH(_Calcs!$NW$41,outputs_oppsum[stuff_id],0))</f>
        <v>#N/A</v>
      </c>
      <c r="CL112" s="1034"/>
      <c r="CM112" s="30" t="e">
        <f>IF(Oppsummering!$CK$92=_List!$AW$7,"✓",IF(_Calcs!$NW$304&gt;0,"!","✓"))</f>
        <v>#N/A</v>
      </c>
      <c r="CN112" s="1034"/>
      <c r="CO112" s="1035"/>
      <c r="CP112" s="70"/>
      <c r="CQ112" s="1041"/>
      <c r="CR112" s="70"/>
    </row>
    <row r="113" spans="3:96" s="21" customFormat="1" ht="15" customHeight="1" thickBot="1" x14ac:dyDescent="0.25">
      <c r="C113" s="25"/>
      <c r="D113" s="25"/>
      <c r="E113" s="70"/>
      <c r="F113" s="70"/>
      <c r="G113" s="70"/>
      <c r="H113" s="5352"/>
      <c r="I113" s="5353"/>
      <c r="J113" s="5354"/>
      <c r="K113" s="20"/>
      <c r="L113" s="1036"/>
      <c r="M113" s="5982"/>
      <c r="N113" s="5982"/>
      <c r="O113" s="5982"/>
      <c r="P113" s="5982"/>
      <c r="Q113" s="5297"/>
      <c r="R113" s="2041"/>
      <c r="S113" s="1040"/>
      <c r="T113" s="20"/>
      <c r="U113" s="1041"/>
      <c r="V113" s="17"/>
      <c r="W113" s="1036"/>
      <c r="X113" s="1039"/>
      <c r="Y113" s="5294"/>
      <c r="Z113" s="1039"/>
      <c r="AA113" s="5295"/>
      <c r="AB113" s="1039"/>
      <c r="AC113" s="1040"/>
      <c r="AD113" s="70"/>
      <c r="AE113" s="1036"/>
      <c r="AF113" s="1039"/>
      <c r="AG113" s="5294"/>
      <c r="AH113" s="1039"/>
      <c r="AI113" s="5295"/>
      <c r="AJ113" s="1039"/>
      <c r="AK113" s="1040"/>
      <c r="AL113" s="17"/>
      <c r="AM113" s="1036"/>
      <c r="AN113" s="1039"/>
      <c r="AO113" s="5294"/>
      <c r="AP113" s="1039"/>
      <c r="AQ113" s="5295"/>
      <c r="AR113" s="1039"/>
      <c r="AS113" s="1040"/>
      <c r="AT113" s="70"/>
      <c r="AU113" s="1036"/>
      <c r="AV113" s="1039"/>
      <c r="AW113" s="5294"/>
      <c r="AX113" s="1039"/>
      <c r="AY113" s="5295"/>
      <c r="AZ113" s="1039"/>
      <c r="BA113" s="1040"/>
      <c r="BB113" s="70"/>
      <c r="BC113" s="1036"/>
      <c r="BD113" s="1039"/>
      <c r="BE113" s="5294"/>
      <c r="BF113" s="1039"/>
      <c r="BG113" s="5295"/>
      <c r="BH113" s="1039"/>
      <c r="BI113" s="1040"/>
      <c r="BJ113" s="70"/>
      <c r="BK113" s="1036"/>
      <c r="BL113" s="1039"/>
      <c r="BM113" s="5294"/>
      <c r="BN113" s="1039"/>
      <c r="BO113" s="5295"/>
      <c r="BP113" s="1039"/>
      <c r="BQ113" s="1040"/>
      <c r="BR113" s="17"/>
      <c r="BS113" s="1036"/>
      <c r="BT113" s="1039"/>
      <c r="BU113" s="5294"/>
      <c r="BV113" s="1039"/>
      <c r="BW113" s="5295"/>
      <c r="BX113" s="1039"/>
      <c r="BY113" s="1040"/>
      <c r="BZ113" s="17"/>
      <c r="CA113" s="1036"/>
      <c r="CB113" s="1039"/>
      <c r="CC113" s="5294"/>
      <c r="CD113" s="1039"/>
      <c r="CE113" s="5295"/>
      <c r="CF113" s="1039"/>
      <c r="CG113" s="1040"/>
      <c r="CH113" s="70"/>
      <c r="CI113" s="1036"/>
      <c r="CJ113" s="1039"/>
      <c r="CK113" s="5294"/>
      <c r="CL113" s="1039"/>
      <c r="CM113" s="5295"/>
      <c r="CN113" s="1039"/>
      <c r="CO113" s="1040"/>
      <c r="CP113" s="70"/>
      <c r="CQ113" s="1041"/>
      <c r="CR113" s="70"/>
    </row>
    <row r="114" spans="3:96" s="21" customFormat="1" ht="9.9499999999999993" hidden="1" customHeight="1" x14ac:dyDescent="0.2">
      <c r="C114" s="25"/>
      <c r="D114" s="25"/>
      <c r="E114" s="70"/>
      <c r="F114" s="70"/>
      <c r="G114" s="70"/>
      <c r="H114" s="5355"/>
      <c r="I114" s="5356"/>
      <c r="J114" s="5357"/>
      <c r="K114" s="20"/>
      <c r="L114" s="1031"/>
      <c r="M114" s="5359"/>
      <c r="N114" s="5359"/>
      <c r="O114" s="5359"/>
      <c r="P114" s="5359"/>
      <c r="Q114" s="1033"/>
      <c r="R114" s="2040"/>
      <c r="S114" s="1035"/>
      <c r="T114" s="20"/>
      <c r="U114" s="1041"/>
      <c r="V114" s="17"/>
      <c r="W114" s="20"/>
      <c r="X114" s="20"/>
      <c r="Y114" s="36"/>
      <c r="Z114" s="20"/>
      <c r="AA114" s="954"/>
      <c r="AB114" s="20"/>
      <c r="AC114" s="20"/>
      <c r="AD114" s="78"/>
      <c r="AE114" s="20"/>
      <c r="AF114" s="20"/>
      <c r="AG114" s="36"/>
      <c r="AH114" s="20"/>
      <c r="AI114" s="954"/>
      <c r="AJ114" s="20"/>
      <c r="AK114" s="20"/>
      <c r="AL114" s="17"/>
      <c r="AM114" s="20"/>
      <c r="AN114" s="20"/>
      <c r="AO114" s="36"/>
      <c r="AP114" s="20"/>
      <c r="AQ114" s="954"/>
      <c r="AR114" s="20"/>
      <c r="AS114" s="20"/>
      <c r="AT114" s="78"/>
      <c r="AU114" s="20"/>
      <c r="AV114" s="20"/>
      <c r="AW114" s="36"/>
      <c r="AX114" s="20"/>
      <c r="AY114" s="954"/>
      <c r="AZ114" s="20"/>
      <c r="BA114" s="20"/>
      <c r="BB114" s="78"/>
      <c r="BC114" s="20"/>
      <c r="BD114" s="20"/>
      <c r="BE114" s="36"/>
      <c r="BF114" s="20"/>
      <c r="BG114" s="954"/>
      <c r="BH114" s="20"/>
      <c r="BI114" s="20"/>
      <c r="BJ114" s="78"/>
      <c r="BK114" s="20"/>
      <c r="BL114" s="20"/>
      <c r="BM114" s="36"/>
      <c r="BN114" s="20"/>
      <c r="BO114" s="954"/>
      <c r="BP114" s="20"/>
      <c r="BQ114" s="20"/>
      <c r="BR114" s="17"/>
      <c r="BS114" s="20"/>
      <c r="BT114" s="20"/>
      <c r="BU114" s="36"/>
      <c r="BV114" s="20"/>
      <c r="BW114" s="954"/>
      <c r="BX114" s="20"/>
      <c r="BY114" s="20"/>
      <c r="BZ114" s="17"/>
      <c r="CA114" s="20"/>
      <c r="CB114" s="20"/>
      <c r="CC114" s="36"/>
      <c r="CD114" s="20"/>
      <c r="CE114" s="954"/>
      <c r="CF114" s="20"/>
      <c r="CG114" s="20"/>
      <c r="CH114" s="78"/>
      <c r="CI114" s="20"/>
      <c r="CJ114" s="20"/>
      <c r="CK114" s="36"/>
      <c r="CL114" s="20"/>
      <c r="CM114" s="954"/>
      <c r="CN114" s="20"/>
      <c r="CO114" s="20"/>
      <c r="CP114" s="70"/>
      <c r="CQ114" s="20"/>
      <c r="CR114" s="70"/>
    </row>
    <row r="115" spans="3:96" s="21" customFormat="1" ht="8.1" hidden="1" customHeight="1" thickBot="1" x14ac:dyDescent="0.25">
      <c r="C115" s="25"/>
      <c r="D115" s="25"/>
      <c r="E115" s="70"/>
      <c r="F115" s="70"/>
      <c r="G115" s="70"/>
      <c r="H115" s="5270"/>
      <c r="I115" s="5271"/>
      <c r="J115" s="5272"/>
      <c r="K115" s="20"/>
      <c r="L115" s="1036"/>
      <c r="M115" s="1037"/>
      <c r="N115" s="1037"/>
      <c r="O115" s="1037"/>
      <c r="P115" s="1037"/>
      <c r="Q115" s="1038"/>
      <c r="R115" s="2041"/>
      <c r="S115" s="1040"/>
      <c r="T115" s="20"/>
      <c r="U115" s="1041"/>
      <c r="V115" s="17"/>
      <c r="W115" s="5305"/>
      <c r="X115" s="5305"/>
      <c r="Y115" s="5305"/>
      <c r="Z115" s="5305"/>
      <c r="AA115" s="5305"/>
      <c r="AB115" s="5305"/>
      <c r="AC115" s="5305"/>
      <c r="AD115" s="70"/>
      <c r="AE115" s="5305"/>
      <c r="AF115" s="5305"/>
      <c r="AG115" s="5305"/>
      <c r="AH115" s="5305"/>
      <c r="AI115" s="5305"/>
      <c r="AJ115" s="5305"/>
      <c r="AK115" s="5305"/>
      <c r="AL115" s="17"/>
      <c r="AM115" s="5305"/>
      <c r="AN115" s="5305"/>
      <c r="AO115" s="5305"/>
      <c r="AP115" s="5305"/>
      <c r="AQ115" s="5305"/>
      <c r="AR115" s="5305"/>
      <c r="AS115" s="5305"/>
      <c r="AT115" s="70"/>
      <c r="AU115" s="5305"/>
      <c r="AV115" s="5305"/>
      <c r="AW115" s="5305"/>
      <c r="AX115" s="5305"/>
      <c r="AY115" s="5305"/>
      <c r="AZ115" s="5305"/>
      <c r="BA115" s="5305"/>
      <c r="BB115" s="70"/>
      <c r="BC115" s="5305"/>
      <c r="BD115" s="5305"/>
      <c r="BE115" s="5305"/>
      <c r="BF115" s="5305"/>
      <c r="BG115" s="5305"/>
      <c r="BH115" s="5305"/>
      <c r="BI115" s="5305"/>
      <c r="BJ115" s="70"/>
      <c r="BK115" s="5305"/>
      <c r="BL115" s="5305"/>
      <c r="BM115" s="5305"/>
      <c r="BN115" s="5305"/>
      <c r="BO115" s="5305"/>
      <c r="BP115" s="5305"/>
      <c r="BQ115" s="5305"/>
      <c r="BR115" s="17"/>
      <c r="BS115" s="5305"/>
      <c r="BT115" s="5305"/>
      <c r="BU115" s="5305"/>
      <c r="BV115" s="5305"/>
      <c r="BW115" s="5305"/>
      <c r="BX115" s="5305"/>
      <c r="BY115" s="5305"/>
      <c r="BZ115" s="17"/>
      <c r="CA115" s="5305"/>
      <c r="CB115" s="5305"/>
      <c r="CC115" s="5305"/>
      <c r="CD115" s="5305"/>
      <c r="CE115" s="5305"/>
      <c r="CF115" s="5305"/>
      <c r="CG115" s="5305"/>
      <c r="CH115" s="70"/>
      <c r="CI115" s="5305"/>
      <c r="CJ115" s="5305"/>
      <c r="CK115" s="5305"/>
      <c r="CL115" s="5305"/>
      <c r="CM115" s="5305"/>
      <c r="CN115" s="5305"/>
      <c r="CO115" s="5305"/>
      <c r="CP115" s="70"/>
      <c r="CQ115" s="5305"/>
    </row>
    <row r="116" spans="3:96" s="21" customFormat="1" ht="8.1" customHeight="1" thickBot="1" x14ac:dyDescent="0.25">
      <c r="C116" s="25"/>
      <c r="D116" s="25"/>
      <c r="E116" s="70"/>
      <c r="F116" s="70"/>
      <c r="G116" s="70"/>
      <c r="H116" s="5298"/>
      <c r="I116" s="5299"/>
      <c r="J116" s="5300"/>
      <c r="K116" s="5358"/>
      <c r="L116" s="20"/>
      <c r="M116" s="952"/>
      <c r="N116" s="952"/>
      <c r="O116" s="952"/>
      <c r="P116" s="952"/>
      <c r="Q116" s="624"/>
      <c r="R116" s="2023"/>
      <c r="S116" s="20"/>
      <c r="T116" s="20"/>
      <c r="U116" s="1041"/>
      <c r="V116" s="17"/>
      <c r="W116" s="20"/>
      <c r="X116" s="20"/>
      <c r="Y116" s="36"/>
      <c r="Z116" s="20"/>
      <c r="AA116" s="954"/>
      <c r="AB116" s="20"/>
      <c r="AC116" s="20"/>
      <c r="AD116" s="78"/>
      <c r="AE116" s="20"/>
      <c r="AF116" s="20"/>
      <c r="AG116" s="36"/>
      <c r="AH116" s="20"/>
      <c r="AI116" s="954"/>
      <c r="AJ116" s="20"/>
      <c r="AK116" s="20"/>
      <c r="AL116" s="17"/>
      <c r="AM116" s="20"/>
      <c r="AN116" s="20"/>
      <c r="AO116" s="36"/>
      <c r="AP116" s="20"/>
      <c r="AQ116" s="954"/>
      <c r="AR116" s="20"/>
      <c r="AS116" s="20"/>
      <c r="AT116" s="78"/>
      <c r="AU116" s="20"/>
      <c r="AV116" s="20"/>
      <c r="AW116" s="36"/>
      <c r="AX116" s="20"/>
      <c r="AY116" s="954"/>
      <c r="AZ116" s="20"/>
      <c r="BA116" s="20"/>
      <c r="BB116" s="78"/>
      <c r="BC116" s="20"/>
      <c r="BD116" s="20"/>
      <c r="BE116" s="36"/>
      <c r="BF116" s="20"/>
      <c r="BG116" s="954"/>
      <c r="BH116" s="20"/>
      <c r="BI116" s="20"/>
      <c r="BJ116" s="78"/>
      <c r="BK116" s="20"/>
      <c r="BL116" s="20"/>
      <c r="BM116" s="36"/>
      <c r="BN116" s="20"/>
      <c r="BO116" s="954"/>
      <c r="BP116" s="20"/>
      <c r="BQ116" s="20"/>
      <c r="BR116" s="17"/>
      <c r="BS116" s="20"/>
      <c r="BT116" s="20"/>
      <c r="BU116" s="36"/>
      <c r="BV116" s="20"/>
      <c r="BW116" s="954"/>
      <c r="BX116" s="20"/>
      <c r="BY116" s="20"/>
      <c r="BZ116" s="17"/>
      <c r="CA116" s="20"/>
      <c r="CB116" s="20"/>
      <c r="CC116" s="36"/>
      <c r="CD116" s="20"/>
      <c r="CE116" s="954"/>
      <c r="CF116" s="20"/>
      <c r="CG116" s="20"/>
      <c r="CH116" s="78"/>
      <c r="CI116" s="20"/>
      <c r="CJ116" s="20"/>
      <c r="CK116" s="36"/>
      <c r="CL116" s="20"/>
      <c r="CM116" s="954"/>
      <c r="CN116" s="20"/>
      <c r="CO116" s="20"/>
      <c r="CP116" s="78"/>
      <c r="CQ116" s="20"/>
      <c r="CR116" s="70"/>
    </row>
    <row r="117" spans="3:96" s="21" customFormat="1" ht="15" customHeight="1" x14ac:dyDescent="0.2">
      <c r="C117" s="25"/>
      <c r="D117" s="25"/>
      <c r="E117" s="70"/>
      <c r="F117" s="70"/>
      <c r="G117" s="70"/>
      <c r="H117" s="5270"/>
      <c r="I117" s="5271"/>
      <c r="J117" s="5272"/>
      <c r="K117" s="20"/>
      <c r="L117" s="1026"/>
      <c r="M117" s="5308"/>
      <c r="N117" s="5308"/>
      <c r="O117" s="5308"/>
      <c r="P117" s="5308"/>
      <c r="Q117" s="5309"/>
      <c r="R117" s="2038"/>
      <c r="S117" s="1030"/>
      <c r="T117" s="20"/>
      <c r="U117" s="1041"/>
      <c r="V117" s="17"/>
      <c r="W117" s="5302"/>
      <c r="X117" s="5302"/>
      <c r="Y117" s="5303"/>
      <c r="Z117" s="5304"/>
      <c r="AA117" s="5302"/>
      <c r="AB117" s="5302"/>
      <c r="AC117" s="5302"/>
      <c r="AD117" s="78"/>
      <c r="AE117" s="5302"/>
      <c r="AF117" s="5302"/>
      <c r="AG117" s="5303"/>
      <c r="AH117" s="5304"/>
      <c r="AI117" s="5302"/>
      <c r="AJ117" s="5302"/>
      <c r="AK117" s="5302"/>
      <c r="AL117" s="78"/>
      <c r="AM117" s="5302"/>
      <c r="AN117" s="5302"/>
      <c r="AO117" s="5303"/>
      <c r="AP117" s="5304"/>
      <c r="AQ117" s="5302"/>
      <c r="AR117" s="5302"/>
      <c r="AS117" s="5302"/>
      <c r="AT117" s="78"/>
      <c r="AU117" s="5302"/>
      <c r="AV117" s="5302"/>
      <c r="AW117" s="5303"/>
      <c r="AX117" s="5304"/>
      <c r="AY117" s="5302"/>
      <c r="AZ117" s="5302"/>
      <c r="BA117" s="5302"/>
      <c r="BB117" s="78"/>
      <c r="BC117" s="5302"/>
      <c r="BD117" s="5302"/>
      <c r="BE117" s="5303"/>
      <c r="BF117" s="5302"/>
      <c r="BG117" s="5302"/>
      <c r="BH117" s="5302"/>
      <c r="BI117" s="5302"/>
      <c r="BJ117" s="78"/>
      <c r="BK117" s="5302"/>
      <c r="BL117" s="5302"/>
      <c r="BM117" s="5303"/>
      <c r="BN117" s="5304"/>
      <c r="BO117" s="5302"/>
      <c r="BP117" s="5302"/>
      <c r="BQ117" s="5302"/>
      <c r="BR117" s="78"/>
      <c r="BS117" s="5302"/>
      <c r="BT117" s="5302"/>
      <c r="BU117" s="5303"/>
      <c r="BV117" s="5304"/>
      <c r="BW117" s="5302"/>
      <c r="BX117" s="5302"/>
      <c r="BY117" s="5302"/>
      <c r="BZ117" s="78"/>
      <c r="CA117" s="5302"/>
      <c r="CB117" s="5302"/>
      <c r="CC117" s="5303"/>
      <c r="CD117" s="5304"/>
      <c r="CE117" s="5302"/>
      <c r="CF117" s="5302"/>
      <c r="CG117" s="5302"/>
      <c r="CH117" s="78"/>
      <c r="CI117" s="5302"/>
      <c r="CJ117" s="5302"/>
      <c r="CK117" s="5303"/>
      <c r="CL117" s="5304"/>
      <c r="CM117" s="5302"/>
      <c r="CN117" s="5302"/>
      <c r="CO117" s="5302"/>
      <c r="CP117" s="70"/>
      <c r="CQ117" s="5301"/>
      <c r="CR117" s="70"/>
    </row>
    <row r="118" spans="3:96" s="21" customFormat="1" ht="9.9499999999999993" customHeight="1" x14ac:dyDescent="0.2">
      <c r="C118" s="25"/>
      <c r="D118" s="25"/>
      <c r="E118" s="70"/>
      <c r="F118" s="70"/>
      <c r="G118" s="70"/>
      <c r="H118" s="5270"/>
      <c r="I118" s="5271"/>
      <c r="J118" s="5272"/>
      <c r="K118" s="20"/>
      <c r="L118" s="1031"/>
      <c r="M118" s="6687" t="s">
        <v>2398</v>
      </c>
      <c r="N118" s="6687"/>
      <c r="O118" s="6687"/>
      <c r="P118" s="6687"/>
      <c r="Q118" s="6687"/>
      <c r="R118" s="6687"/>
      <c r="S118" s="1035"/>
      <c r="T118" s="20"/>
      <c r="U118" s="1041"/>
      <c r="V118" s="17"/>
      <c r="W118" s="5305"/>
      <c r="X118" s="5305"/>
      <c r="Y118" s="5305"/>
      <c r="Z118" s="5305"/>
      <c r="AA118" s="5305"/>
      <c r="AB118" s="5305"/>
      <c r="AC118" s="5305"/>
      <c r="AD118" s="78"/>
      <c r="AE118" s="5305"/>
      <c r="AF118" s="5305"/>
      <c r="AG118" s="5305"/>
      <c r="AH118" s="5305"/>
      <c r="AI118" s="5305"/>
      <c r="AJ118" s="5305"/>
      <c r="AK118" s="5305"/>
      <c r="AL118" s="17"/>
      <c r="AM118" s="5305"/>
      <c r="AN118" s="5305"/>
      <c r="AO118" s="5305"/>
      <c r="AP118" s="5305"/>
      <c r="AQ118" s="5305"/>
      <c r="AR118" s="5305"/>
      <c r="AS118" s="5305"/>
      <c r="AT118" s="78"/>
      <c r="AU118" s="5305"/>
      <c r="AV118" s="5305"/>
      <c r="AW118" s="5305"/>
      <c r="AX118" s="5305"/>
      <c r="AY118" s="5305"/>
      <c r="AZ118" s="5305"/>
      <c r="BA118" s="5305"/>
      <c r="BB118" s="78"/>
      <c r="BC118" s="5305"/>
      <c r="BD118" s="5305"/>
      <c r="BE118" s="5305"/>
      <c r="BF118" s="5305"/>
      <c r="BG118" s="5305"/>
      <c r="BH118" s="5305"/>
      <c r="BI118" s="5305"/>
      <c r="BJ118" s="78"/>
      <c r="BK118" s="5305"/>
      <c r="BL118" s="5305"/>
      <c r="BM118" s="5305"/>
      <c r="BN118" s="5305"/>
      <c r="BO118" s="5305"/>
      <c r="BP118" s="5305"/>
      <c r="BQ118" s="5305"/>
      <c r="BR118" s="17"/>
      <c r="BS118" s="5305"/>
      <c r="BT118" s="5305"/>
      <c r="BU118" s="5305"/>
      <c r="BV118" s="5305"/>
      <c r="BW118" s="5305"/>
      <c r="BX118" s="5305"/>
      <c r="BY118" s="5305"/>
      <c r="BZ118" s="17"/>
      <c r="CA118" s="5305"/>
      <c r="CB118" s="5305"/>
      <c r="CC118" s="5305"/>
      <c r="CD118" s="5305"/>
      <c r="CE118" s="5305"/>
      <c r="CF118" s="5305"/>
      <c r="CG118" s="5305"/>
      <c r="CH118" s="78"/>
      <c r="CI118" s="5305"/>
      <c r="CJ118" s="5305"/>
      <c r="CK118" s="5305"/>
      <c r="CL118" s="5305"/>
      <c r="CM118" s="5305"/>
      <c r="CN118" s="5305"/>
      <c r="CO118" s="5305"/>
      <c r="CP118" s="70"/>
      <c r="CQ118" s="5301"/>
      <c r="CR118" s="70"/>
    </row>
    <row r="119" spans="3:96" s="21" customFormat="1" ht="8.1" customHeight="1" thickBot="1" x14ac:dyDescent="0.25">
      <c r="C119" s="25"/>
      <c r="D119" s="25"/>
      <c r="E119" s="70"/>
      <c r="F119" s="70"/>
      <c r="G119" s="70"/>
      <c r="H119" s="5270"/>
      <c r="I119" s="5271"/>
      <c r="J119" s="5272"/>
      <c r="K119" s="20"/>
      <c r="L119" s="1031"/>
      <c r="M119" s="6687"/>
      <c r="N119" s="6687"/>
      <c r="O119" s="6687"/>
      <c r="P119" s="6687"/>
      <c r="Q119" s="6687"/>
      <c r="R119" s="6687"/>
      <c r="S119" s="1035"/>
      <c r="T119" s="20"/>
      <c r="U119" s="1041"/>
      <c r="V119" s="17"/>
      <c r="W119" s="20"/>
      <c r="X119" s="20"/>
      <c r="Y119" s="36"/>
      <c r="Z119" s="20"/>
      <c r="AA119" s="954"/>
      <c r="AB119" s="20"/>
      <c r="AC119" s="20"/>
      <c r="AD119" s="78"/>
      <c r="AE119" s="20"/>
      <c r="AF119" s="20"/>
      <c r="AG119" s="36"/>
      <c r="AH119" s="20"/>
      <c r="AI119" s="954"/>
      <c r="AJ119" s="20"/>
      <c r="AK119" s="20"/>
      <c r="AL119" s="17"/>
      <c r="AM119" s="20"/>
      <c r="AN119" s="20"/>
      <c r="AO119" s="36"/>
      <c r="AP119" s="20"/>
      <c r="AQ119" s="954"/>
      <c r="AR119" s="20"/>
      <c r="AS119" s="20"/>
      <c r="AT119" s="78"/>
      <c r="AU119" s="20"/>
      <c r="AV119" s="20"/>
      <c r="AW119" s="36"/>
      <c r="AX119" s="20"/>
      <c r="AY119" s="954"/>
      <c r="AZ119" s="20"/>
      <c r="BA119" s="20"/>
      <c r="BB119" s="78"/>
      <c r="BC119" s="20"/>
      <c r="BD119" s="20"/>
      <c r="BE119" s="36"/>
      <c r="BF119" s="20"/>
      <c r="BG119" s="954"/>
      <c r="BH119" s="20"/>
      <c r="BI119" s="20"/>
      <c r="BJ119" s="78"/>
      <c r="BK119" s="20"/>
      <c r="BL119" s="20"/>
      <c r="BM119" s="36"/>
      <c r="BN119" s="20"/>
      <c r="BO119" s="954"/>
      <c r="BP119" s="20"/>
      <c r="BQ119" s="20"/>
      <c r="BR119" s="17"/>
      <c r="BS119" s="20"/>
      <c r="BT119" s="20"/>
      <c r="BU119" s="36"/>
      <c r="BV119" s="20"/>
      <c r="BW119" s="954"/>
      <c r="BX119" s="20"/>
      <c r="BY119" s="20"/>
      <c r="BZ119" s="17"/>
      <c r="CA119" s="20"/>
      <c r="CB119" s="20"/>
      <c r="CC119" s="36"/>
      <c r="CD119" s="20"/>
      <c r="CE119" s="954"/>
      <c r="CF119" s="20"/>
      <c r="CG119" s="20"/>
      <c r="CH119" s="78"/>
      <c r="CI119" s="20"/>
      <c r="CJ119" s="20"/>
      <c r="CK119" s="36"/>
      <c r="CL119" s="20"/>
      <c r="CM119" s="954"/>
      <c r="CN119" s="20"/>
      <c r="CO119" s="20"/>
      <c r="CP119" s="78"/>
      <c r="CQ119" s="20"/>
      <c r="CR119" s="70"/>
    </row>
    <row r="120" spans="3:96" s="21" customFormat="1" ht="15" customHeight="1" thickBot="1" x14ac:dyDescent="0.25">
      <c r="C120" s="25"/>
      <c r="D120" s="25"/>
      <c r="E120" s="70"/>
      <c r="F120" s="70"/>
      <c r="G120" s="70"/>
      <c r="H120" s="5298"/>
      <c r="I120" s="5299"/>
      <c r="J120" s="5300"/>
      <c r="K120" s="20"/>
      <c r="L120" s="1031"/>
      <c r="M120" s="6687"/>
      <c r="N120" s="6687"/>
      <c r="O120" s="6687"/>
      <c r="P120" s="6687"/>
      <c r="Q120" s="6687"/>
      <c r="R120" s="6687"/>
      <c r="S120" s="1035"/>
      <c r="T120" s="20"/>
      <c r="U120" s="1041"/>
      <c r="V120" s="17"/>
      <c r="W120" s="1026"/>
      <c r="X120" s="1029"/>
      <c r="Y120" s="5306"/>
      <c r="Z120" s="1029"/>
      <c r="AA120" s="5307"/>
      <c r="AB120" s="1029"/>
      <c r="AC120" s="1030"/>
      <c r="AD120" s="70"/>
      <c r="AE120" s="1026"/>
      <c r="AF120" s="1029"/>
      <c r="AG120" s="5306"/>
      <c r="AH120" s="1029"/>
      <c r="AI120" s="5307"/>
      <c r="AJ120" s="1029"/>
      <c r="AK120" s="1030"/>
      <c r="AL120" s="17"/>
      <c r="AM120" s="1026"/>
      <c r="AN120" s="1029"/>
      <c r="AO120" s="5306"/>
      <c r="AP120" s="1029"/>
      <c r="AQ120" s="5307"/>
      <c r="AR120" s="1029"/>
      <c r="AS120" s="1030"/>
      <c r="AT120" s="70"/>
      <c r="AU120" s="1026"/>
      <c r="AV120" s="1029"/>
      <c r="AW120" s="5306"/>
      <c r="AX120" s="1029"/>
      <c r="AY120" s="5307"/>
      <c r="AZ120" s="1029"/>
      <c r="BA120" s="1030"/>
      <c r="BB120" s="70"/>
      <c r="BC120" s="1026"/>
      <c r="BD120" s="1029"/>
      <c r="BE120" s="5306"/>
      <c r="BF120" s="1029"/>
      <c r="BG120" s="5307"/>
      <c r="BH120" s="1029"/>
      <c r="BI120" s="1030"/>
      <c r="BJ120" s="70"/>
      <c r="BK120" s="1026"/>
      <c r="BL120" s="1029"/>
      <c r="BM120" s="5306"/>
      <c r="BN120" s="1029"/>
      <c r="BO120" s="5307"/>
      <c r="BP120" s="1029"/>
      <c r="BQ120" s="1030"/>
      <c r="BR120" s="17"/>
      <c r="BS120" s="1026"/>
      <c r="BT120" s="1029"/>
      <c r="BU120" s="5306"/>
      <c r="BV120" s="1029"/>
      <c r="BW120" s="5307"/>
      <c r="BX120" s="1029"/>
      <c r="BY120" s="1030"/>
      <c r="BZ120" s="17"/>
      <c r="CA120" s="1026"/>
      <c r="CB120" s="1029"/>
      <c r="CC120" s="5306"/>
      <c r="CD120" s="1029"/>
      <c r="CE120" s="5307"/>
      <c r="CF120" s="1029"/>
      <c r="CG120" s="1030"/>
      <c r="CH120" s="70"/>
      <c r="CI120" s="1026"/>
      <c r="CJ120" s="1029"/>
      <c r="CK120" s="5306"/>
      <c r="CL120" s="1029"/>
      <c r="CM120" s="5307"/>
      <c r="CN120" s="1029"/>
      <c r="CO120" s="1030"/>
      <c r="CP120" s="70"/>
      <c r="CQ120" s="1041"/>
    </row>
    <row r="121" spans="3:96" s="21" customFormat="1" ht="20.100000000000001" customHeight="1" thickBot="1" x14ac:dyDescent="0.25">
      <c r="C121" s="25"/>
      <c r="D121" s="25"/>
      <c r="E121" s="70"/>
      <c r="F121" s="70"/>
      <c r="G121" s="70"/>
      <c r="H121" s="5298"/>
      <c r="I121" s="5299"/>
      <c r="J121" s="5300"/>
      <c r="K121" s="20"/>
      <c r="L121" s="1031"/>
      <c r="M121" s="1032" t="s">
        <v>2693</v>
      </c>
      <c r="N121" s="1032"/>
      <c r="O121" s="1032"/>
      <c r="P121" s="1032"/>
      <c r="Q121" s="1033"/>
      <c r="R121" s="2039"/>
      <c r="S121" s="1035"/>
      <c r="T121" s="20"/>
      <c r="U121" s="1041"/>
      <c r="V121" s="17"/>
      <c r="W121" s="1031"/>
      <c r="X121" s="1034"/>
      <c r="Y121" s="5350">
        <f>INDEX(outputs_oppsum[faktor_beregnet],MATCH(_Calcs!$NO$41,outputs_oppsum[stuff_id],0))</f>
        <v>1</v>
      </c>
      <c r="Z121" s="1034"/>
      <c r="AA121" s="30" t="str">
        <f>IF(Oppsummering!$Y$92=_List!$AW$7,"✓",IF(_Calcs!$NO$304&gt;0,"!","✓"))</f>
        <v>✓</v>
      </c>
      <c r="AB121" s="1034"/>
      <c r="AC121" s="1035"/>
      <c r="AD121" s="70"/>
      <c r="AE121" s="1031"/>
      <c r="AF121" s="1034"/>
      <c r="AG121" s="5350" t="e">
        <f>INDEX(outputs_oppsum[faktor_beregnet],MATCH(_Calcs!$NP$41,outputs_oppsum[stuff_id],0))</f>
        <v>#N/A</v>
      </c>
      <c r="AH121" s="1034"/>
      <c r="AI121" s="30" t="e">
        <f>IF(Oppsummering!$AG$92=_List!$AW$7,"✓",IF(_Calcs!$NP$304&gt;0,"!","✓"))</f>
        <v>#N/A</v>
      </c>
      <c r="AJ121" s="1034"/>
      <c r="AK121" s="1035"/>
      <c r="AL121" s="17"/>
      <c r="AM121" s="1031"/>
      <c r="AN121" s="1034"/>
      <c r="AO121" s="5350" t="e">
        <f>INDEX(outputs_oppsum[faktor_beregnet],MATCH(_Calcs!$NQ$41,outputs_oppsum[stuff_id],0))</f>
        <v>#N/A</v>
      </c>
      <c r="AP121" s="1034"/>
      <c r="AQ121" s="30" t="e">
        <f>IF(Oppsummering!$AO$92=_List!$AW$7,"✓",IF(_Calcs!$NQ$304&gt;0,"!","✓"))</f>
        <v>#N/A</v>
      </c>
      <c r="AR121" s="1034"/>
      <c r="AS121" s="1035"/>
      <c r="AT121" s="70"/>
      <c r="AU121" s="1031"/>
      <c r="AV121" s="1034"/>
      <c r="AW121" s="5350" t="e">
        <f>INDEX(outputs_oppsum[faktor_beregnet],MATCH(_Calcs!$NR$41,outputs_oppsum[stuff_id],0))</f>
        <v>#N/A</v>
      </c>
      <c r="AX121" s="1034"/>
      <c r="AY121" s="30" t="e">
        <f>IF(Oppsummering!$AW$92=_List!$AW$7,"✓",IF(_Calcs!$NR$304&gt;0,"!","✓"))</f>
        <v>#N/A</v>
      </c>
      <c r="AZ121" s="1034"/>
      <c r="BA121" s="1035"/>
      <c r="BB121" s="70"/>
      <c r="BC121" s="1031"/>
      <c r="BD121" s="1034"/>
      <c r="BE121" s="5350" t="e">
        <f>INDEX(outputs_oppsum[faktor_beregnet],MATCH(_Calcs!$NS$41,outputs_oppsum[stuff_id],0))</f>
        <v>#N/A</v>
      </c>
      <c r="BF121" s="1034"/>
      <c r="BG121" s="30" t="e">
        <f>IF(Oppsummering!$BE$92=_List!$AW$7,"✓",IF(_Calcs!$NS$304&gt;0,"!","✓"))</f>
        <v>#N/A</v>
      </c>
      <c r="BH121" s="1034"/>
      <c r="BI121" s="1035"/>
      <c r="BJ121" s="70"/>
      <c r="BK121" s="1031"/>
      <c r="BL121" s="1034"/>
      <c r="BM121" s="5350" t="e">
        <f>INDEX(outputs_oppsum[faktor_beregnet],MATCH(_Calcs!$NT$41,outputs_oppsum[stuff_id],0))</f>
        <v>#N/A</v>
      </c>
      <c r="BN121" s="1034"/>
      <c r="BO121" s="30" t="e">
        <f>IF(Oppsummering!$BM$92=_List!$AW$7,"✓",IF(_Calcs!$NT$304&gt;0,"!","✓"))</f>
        <v>#N/A</v>
      </c>
      <c r="BP121" s="1034"/>
      <c r="BQ121" s="1035"/>
      <c r="BR121" s="17"/>
      <c r="BS121" s="1031"/>
      <c r="BT121" s="1034"/>
      <c r="BU121" s="5350" t="e">
        <f>INDEX(outputs_oppsum[faktor_beregnet],MATCH(_Calcs!$NU$41,outputs_oppsum[stuff_id],0))</f>
        <v>#N/A</v>
      </c>
      <c r="BV121" s="1034"/>
      <c r="BW121" s="30" t="e">
        <f>IF(Oppsummering!$BU$92=_List!$AW$7,"✓",IF(_Calcs!$NU$304&gt;0,"!","✓"))</f>
        <v>#N/A</v>
      </c>
      <c r="BX121" s="1034"/>
      <c r="BY121" s="1035"/>
      <c r="BZ121" s="17"/>
      <c r="CA121" s="1031"/>
      <c r="CB121" s="1034"/>
      <c r="CC121" s="5350" t="e">
        <f>INDEX(outputs_oppsum[faktor_beregnet],MATCH(_Calcs!$NV$41,outputs_oppsum[stuff_id],0))</f>
        <v>#N/A</v>
      </c>
      <c r="CD121" s="1034"/>
      <c r="CE121" s="30" t="e">
        <f>IF(Oppsummering!$CC$92=_List!$AW$7,"✓",IF(_Calcs!$NV$304&gt;0,"!","✓"))</f>
        <v>#N/A</v>
      </c>
      <c r="CF121" s="1034"/>
      <c r="CG121" s="1035"/>
      <c r="CH121" s="70"/>
      <c r="CI121" s="1031"/>
      <c r="CJ121" s="1034"/>
      <c r="CK121" s="5350" t="e">
        <f>INDEX(outputs_oppsum[faktor_beregnet],MATCH(_Calcs!$NW$41,outputs_oppsum[stuff_id],0))</f>
        <v>#N/A</v>
      </c>
      <c r="CL121" s="1034"/>
      <c r="CM121" s="30" t="e">
        <f>IF(Oppsummering!$CK$92=_List!$AW$7,"✓",IF(_Calcs!$NW$304&gt;0,"!","✓"))</f>
        <v>#N/A</v>
      </c>
      <c r="CN121" s="1034"/>
      <c r="CO121" s="1035"/>
      <c r="CP121" s="70"/>
      <c r="CQ121" s="1041"/>
    </row>
    <row r="122" spans="3:96" s="21" customFormat="1" ht="15" customHeight="1" thickBot="1" x14ac:dyDescent="0.25">
      <c r="C122" s="25"/>
      <c r="D122" s="25"/>
      <c r="E122" s="70"/>
      <c r="F122" s="70"/>
      <c r="G122" s="70"/>
      <c r="H122" s="5339"/>
      <c r="I122" s="5340"/>
      <c r="J122" s="5341"/>
      <c r="K122" s="20"/>
      <c r="L122" s="1031"/>
      <c r="M122" s="1032"/>
      <c r="N122" s="1032"/>
      <c r="O122" s="1032"/>
      <c r="P122" s="1032"/>
      <c r="Q122" s="1033"/>
      <c r="R122" s="2040"/>
      <c r="S122" s="1035"/>
      <c r="T122" s="20"/>
      <c r="U122" s="1041"/>
      <c r="V122" s="17"/>
      <c r="W122" s="1031"/>
      <c r="X122" s="1034"/>
      <c r="Y122" s="1042"/>
      <c r="Z122" s="1034"/>
      <c r="AA122" s="1043"/>
      <c r="AB122" s="1034"/>
      <c r="AC122" s="1035"/>
      <c r="AD122" s="70"/>
      <c r="AE122" s="1031"/>
      <c r="AF122" s="1034"/>
      <c r="AG122" s="1042"/>
      <c r="AH122" s="1034"/>
      <c r="AI122" s="1043"/>
      <c r="AJ122" s="1034"/>
      <c r="AK122" s="1035"/>
      <c r="AL122" s="17"/>
      <c r="AM122" s="1031"/>
      <c r="AN122" s="1034"/>
      <c r="AO122" s="1042"/>
      <c r="AP122" s="1034"/>
      <c r="AQ122" s="1043"/>
      <c r="AR122" s="1034"/>
      <c r="AS122" s="1035"/>
      <c r="AT122" s="70"/>
      <c r="AU122" s="1031"/>
      <c r="AV122" s="1034"/>
      <c r="AW122" s="1042"/>
      <c r="AX122" s="1034"/>
      <c r="AY122" s="1043"/>
      <c r="AZ122" s="1034"/>
      <c r="BA122" s="1035"/>
      <c r="BB122" s="70"/>
      <c r="BC122" s="1031"/>
      <c r="BD122" s="1034"/>
      <c r="BE122" s="1042"/>
      <c r="BF122" s="1034"/>
      <c r="BG122" s="1043"/>
      <c r="BH122" s="1034"/>
      <c r="BI122" s="1035"/>
      <c r="BJ122" s="70"/>
      <c r="BK122" s="1031"/>
      <c r="BL122" s="1034"/>
      <c r="BM122" s="1042"/>
      <c r="BN122" s="1034"/>
      <c r="BO122" s="1043"/>
      <c r="BP122" s="1034"/>
      <c r="BQ122" s="1035"/>
      <c r="BR122" s="17"/>
      <c r="BS122" s="1031"/>
      <c r="BT122" s="1034"/>
      <c r="BU122" s="1042"/>
      <c r="BV122" s="1034"/>
      <c r="BW122" s="1043"/>
      <c r="BX122" s="1034"/>
      <c r="BY122" s="1035"/>
      <c r="BZ122" s="17"/>
      <c r="CA122" s="1031"/>
      <c r="CB122" s="1034"/>
      <c r="CC122" s="1042"/>
      <c r="CD122" s="1034"/>
      <c r="CE122" s="1043"/>
      <c r="CF122" s="1034"/>
      <c r="CG122" s="1035"/>
      <c r="CH122" s="70"/>
      <c r="CI122" s="1031"/>
      <c r="CJ122" s="1034"/>
      <c r="CK122" s="1042"/>
      <c r="CL122" s="1034"/>
      <c r="CM122" s="1043"/>
      <c r="CN122" s="1034"/>
      <c r="CO122" s="1035"/>
      <c r="CP122" s="70"/>
      <c r="CQ122" s="1041"/>
    </row>
    <row r="123" spans="3:96" s="21" customFormat="1" ht="20.100000000000001" customHeight="1" thickBot="1" x14ac:dyDescent="0.25">
      <c r="C123" s="25"/>
      <c r="D123" s="25"/>
      <c r="E123" s="70"/>
      <c r="F123" s="70"/>
      <c r="G123" s="70"/>
      <c r="H123" s="5339"/>
      <c r="I123" s="5340"/>
      <c r="J123" s="5341"/>
      <c r="K123" s="20"/>
      <c r="L123" s="1031"/>
      <c r="M123" s="1032" t="s">
        <v>2694</v>
      </c>
      <c r="N123" s="1032"/>
      <c r="O123" s="1032"/>
      <c r="P123" s="1032"/>
      <c r="Q123" s="1033"/>
      <c r="R123" s="2039"/>
      <c r="S123" s="1035"/>
      <c r="T123" s="20"/>
      <c r="U123" s="1041"/>
      <c r="V123" s="17"/>
      <c r="W123" s="1031"/>
      <c r="X123" s="1034"/>
      <c r="Y123" s="5350" t="str">
        <f>INDEX(outputs_oppsum[faktor_user],MATCH(_Calcs!$NO$40,outputs_oppsum[stuff_id],0))</f>
        <v>-</v>
      </c>
      <c r="Z123" s="1034"/>
      <c r="AA123" s="30" t="str">
        <f>IF(_Calcs!$NO$303=1,"!","✓")</f>
        <v>✓</v>
      </c>
      <c r="AB123" s="1034"/>
      <c r="AC123" s="1035"/>
      <c r="AD123" s="70"/>
      <c r="AE123" s="1031"/>
      <c r="AF123" s="1034"/>
      <c r="AG123" s="5350" t="e">
        <f>INDEX(outputs_oppsum[faktor_user],MATCH(_Calcs!$NP$40,outputs_oppsum[stuff_id],0))</f>
        <v>#N/A</v>
      </c>
      <c r="AH123" s="1034"/>
      <c r="AI123" s="30" t="str">
        <f>IF(_Calcs!$NP$303=1,"!","✓")</f>
        <v>✓</v>
      </c>
      <c r="AJ123" s="1034"/>
      <c r="AK123" s="1035"/>
      <c r="AL123" s="17"/>
      <c r="AM123" s="1031"/>
      <c r="AN123" s="1034"/>
      <c r="AO123" s="5350" t="e">
        <f>INDEX(outputs_oppsum[faktor_user],MATCH(_Calcs!$NQ$40,outputs_oppsum[stuff_id],0))</f>
        <v>#N/A</v>
      </c>
      <c r="AP123" s="1034"/>
      <c r="AQ123" s="30" t="str">
        <f>IF(_Calcs!$NQ$303=1,"!","✓")</f>
        <v>✓</v>
      </c>
      <c r="AR123" s="1034"/>
      <c r="AS123" s="1035"/>
      <c r="AT123" s="70"/>
      <c r="AU123" s="1031"/>
      <c r="AV123" s="1034"/>
      <c r="AW123" s="5350" t="e">
        <f>INDEX(outputs_oppsum[faktor_user],MATCH(_Calcs!$NR$40,outputs_oppsum[stuff_id],0))</f>
        <v>#N/A</v>
      </c>
      <c r="AX123" s="1034"/>
      <c r="AY123" s="30" t="str">
        <f>IF(_Calcs!$NR$303=1,"!","✓")</f>
        <v>✓</v>
      </c>
      <c r="AZ123" s="1034"/>
      <c r="BA123" s="1035"/>
      <c r="BB123" s="70"/>
      <c r="BC123" s="1031"/>
      <c r="BD123" s="1034"/>
      <c r="BE123" s="5350" t="e">
        <f>INDEX(outputs_oppsum[faktor_user],MATCH(_Calcs!$NS$40,outputs_oppsum[stuff_id],0))</f>
        <v>#N/A</v>
      </c>
      <c r="BF123" s="1034"/>
      <c r="BG123" s="30" t="str">
        <f>IF(_Calcs!$NS$303=1,"!","✓")</f>
        <v>✓</v>
      </c>
      <c r="BH123" s="1034"/>
      <c r="BI123" s="1035"/>
      <c r="BJ123" s="70"/>
      <c r="BK123" s="1031"/>
      <c r="BL123" s="1034"/>
      <c r="BM123" s="5350" t="e">
        <f>INDEX(outputs_oppsum[faktor_user],MATCH(_Calcs!$NT$40,outputs_oppsum[stuff_id],0))</f>
        <v>#N/A</v>
      </c>
      <c r="BN123" s="1034"/>
      <c r="BO123" s="30" t="str">
        <f>IF(_Calcs!$NT$303=1,"!","✓")</f>
        <v>✓</v>
      </c>
      <c r="BP123" s="1034"/>
      <c r="BQ123" s="1035"/>
      <c r="BR123" s="17"/>
      <c r="BS123" s="1031"/>
      <c r="BT123" s="1034"/>
      <c r="BU123" s="5350" t="e">
        <f>INDEX(outputs_oppsum[faktor_user],MATCH(_Calcs!$NU$40,outputs_oppsum[stuff_id],0))</f>
        <v>#N/A</v>
      </c>
      <c r="BV123" s="1034"/>
      <c r="BW123" s="30" t="str">
        <f>IF(_Calcs!$NU$303=1,"!","✓")</f>
        <v>✓</v>
      </c>
      <c r="BX123" s="1034"/>
      <c r="BY123" s="1035"/>
      <c r="BZ123" s="17"/>
      <c r="CA123" s="1031"/>
      <c r="CB123" s="1034"/>
      <c r="CC123" s="5350" t="e">
        <f>INDEX(outputs_oppsum[faktor_user],MATCH(_Calcs!$NV$40,outputs_oppsum[stuff_id],0))</f>
        <v>#N/A</v>
      </c>
      <c r="CD123" s="1034"/>
      <c r="CE123" s="30" t="str">
        <f>IF(_Calcs!$NV$303=1,"!","✓")</f>
        <v>✓</v>
      </c>
      <c r="CF123" s="1034"/>
      <c r="CG123" s="1035"/>
      <c r="CH123" s="70"/>
      <c r="CI123" s="1031"/>
      <c r="CJ123" s="1034"/>
      <c r="CK123" s="5350" t="e">
        <f>INDEX(outputs_oppsum[faktor_user],MATCH(_Calcs!$NW$40,outputs_oppsum[stuff_id],0))</f>
        <v>#N/A</v>
      </c>
      <c r="CL123" s="1034"/>
      <c r="CM123" s="30" t="str">
        <f>IF(_Calcs!$NW$303=1,"!","✓")</f>
        <v>✓</v>
      </c>
      <c r="CN123" s="1034"/>
      <c r="CO123" s="1035"/>
      <c r="CP123" s="70"/>
      <c r="CQ123" s="1041"/>
    </row>
    <row r="124" spans="3:96" s="21" customFormat="1" ht="15" customHeight="1" thickBot="1" x14ac:dyDescent="0.25">
      <c r="C124" s="25"/>
      <c r="D124" s="25"/>
      <c r="E124" s="70"/>
      <c r="F124" s="70"/>
      <c r="G124" s="70"/>
      <c r="H124" s="5270"/>
      <c r="I124" s="5271"/>
      <c r="J124" s="5272"/>
      <c r="K124" s="20"/>
      <c r="L124" s="1036"/>
      <c r="M124" s="1037"/>
      <c r="N124" s="1037"/>
      <c r="O124" s="1037"/>
      <c r="P124" s="1037"/>
      <c r="Q124" s="1038"/>
      <c r="R124" s="2041"/>
      <c r="S124" s="1040"/>
      <c r="T124" s="20"/>
      <c r="U124" s="1041"/>
      <c r="V124" s="17"/>
      <c r="W124" s="1036"/>
      <c r="X124" s="1039"/>
      <c r="Y124" s="1039"/>
      <c r="Z124" s="1039"/>
      <c r="AA124" s="1039"/>
      <c r="AB124" s="1039"/>
      <c r="AC124" s="1040"/>
      <c r="AD124" s="70"/>
      <c r="AE124" s="1036"/>
      <c r="AF124" s="1039"/>
      <c r="AG124" s="1039"/>
      <c r="AH124" s="1039"/>
      <c r="AI124" s="1039"/>
      <c r="AJ124" s="1039"/>
      <c r="AK124" s="1040"/>
      <c r="AL124" s="17"/>
      <c r="AM124" s="1036"/>
      <c r="AN124" s="1039"/>
      <c r="AO124" s="1039"/>
      <c r="AP124" s="1039"/>
      <c r="AQ124" s="1039"/>
      <c r="AR124" s="1039"/>
      <c r="AS124" s="1040"/>
      <c r="AT124" s="70"/>
      <c r="AU124" s="1036"/>
      <c r="AV124" s="1039"/>
      <c r="AW124" s="1039"/>
      <c r="AX124" s="1039"/>
      <c r="AY124" s="1039"/>
      <c r="AZ124" s="1039"/>
      <c r="BA124" s="1040"/>
      <c r="BB124" s="70"/>
      <c r="BC124" s="1036"/>
      <c r="BD124" s="1039"/>
      <c r="BE124" s="1039"/>
      <c r="BF124" s="1039"/>
      <c r="BG124" s="1039"/>
      <c r="BH124" s="1039"/>
      <c r="BI124" s="1040"/>
      <c r="BJ124" s="70"/>
      <c r="BK124" s="1036"/>
      <c r="BL124" s="1039"/>
      <c r="BM124" s="1039"/>
      <c r="BN124" s="1039"/>
      <c r="BO124" s="1039"/>
      <c r="BP124" s="1039"/>
      <c r="BQ124" s="1040"/>
      <c r="BR124" s="17"/>
      <c r="BS124" s="1036"/>
      <c r="BT124" s="1039"/>
      <c r="BU124" s="1039"/>
      <c r="BV124" s="1039"/>
      <c r="BW124" s="1039"/>
      <c r="BX124" s="1039"/>
      <c r="BY124" s="1040"/>
      <c r="BZ124" s="17"/>
      <c r="CA124" s="1036"/>
      <c r="CB124" s="1039"/>
      <c r="CC124" s="1039"/>
      <c r="CD124" s="1039"/>
      <c r="CE124" s="1039"/>
      <c r="CF124" s="1039"/>
      <c r="CG124" s="1040"/>
      <c r="CH124" s="70"/>
      <c r="CI124" s="1036"/>
      <c r="CJ124" s="1039"/>
      <c r="CK124" s="1039"/>
      <c r="CL124" s="1039"/>
      <c r="CM124" s="1039"/>
      <c r="CN124" s="1039"/>
      <c r="CO124" s="1040"/>
      <c r="CP124" s="70"/>
      <c r="CQ124" s="1041"/>
    </row>
    <row r="125" spans="3:96" s="21" customFormat="1" ht="8.1" customHeight="1" thickBot="1" x14ac:dyDescent="0.25">
      <c r="C125" s="25"/>
      <c r="D125" s="25"/>
      <c r="E125" s="70"/>
      <c r="F125" s="70"/>
      <c r="G125" s="70"/>
      <c r="H125" s="5270"/>
      <c r="I125" s="5271"/>
      <c r="J125" s="5272"/>
      <c r="K125" s="20"/>
      <c r="L125" s="14"/>
      <c r="M125" s="135"/>
      <c r="N125" s="135"/>
      <c r="O125" s="135"/>
      <c r="P125" s="135"/>
      <c r="Q125" s="13"/>
      <c r="R125" s="111"/>
      <c r="S125" s="14"/>
      <c r="T125" s="20"/>
      <c r="U125" s="1041"/>
      <c r="V125" s="17"/>
      <c r="W125" s="14"/>
      <c r="X125" s="14"/>
      <c r="Y125" s="14"/>
      <c r="Z125" s="14"/>
      <c r="AA125" s="14"/>
      <c r="AB125" s="14"/>
      <c r="AC125" s="14"/>
      <c r="AD125" s="70"/>
      <c r="AE125" s="14"/>
      <c r="AF125" s="14"/>
      <c r="AG125" s="14"/>
      <c r="AH125" s="14"/>
      <c r="AI125" s="14"/>
      <c r="AJ125" s="14"/>
      <c r="AK125" s="14"/>
      <c r="AL125" s="17"/>
      <c r="AM125" s="14"/>
      <c r="AN125" s="14"/>
      <c r="AO125" s="14"/>
      <c r="AP125" s="14"/>
      <c r="AQ125" s="14"/>
      <c r="AR125" s="14"/>
      <c r="AS125" s="14"/>
      <c r="AT125" s="70"/>
      <c r="AU125" s="14"/>
      <c r="AV125" s="14"/>
      <c r="AW125" s="14"/>
      <c r="AX125" s="14"/>
      <c r="AY125" s="14"/>
      <c r="AZ125" s="14"/>
      <c r="BA125" s="14"/>
      <c r="BB125" s="70"/>
      <c r="BC125" s="14"/>
      <c r="BD125" s="14"/>
      <c r="BE125" s="14"/>
      <c r="BF125" s="14"/>
      <c r="BG125" s="14"/>
      <c r="BH125" s="14"/>
      <c r="BI125" s="14"/>
      <c r="BJ125" s="70"/>
      <c r="BK125" s="14"/>
      <c r="BL125" s="14"/>
      <c r="BM125" s="14"/>
      <c r="BN125" s="14"/>
      <c r="BO125" s="14"/>
      <c r="BP125" s="14"/>
      <c r="BQ125" s="14"/>
      <c r="BR125" s="17"/>
      <c r="BS125" s="14"/>
      <c r="BT125" s="14"/>
      <c r="BU125" s="14"/>
      <c r="BV125" s="14"/>
      <c r="BW125" s="14"/>
      <c r="BX125" s="14"/>
      <c r="BY125" s="14"/>
      <c r="BZ125" s="17"/>
      <c r="CA125" s="14"/>
      <c r="CB125" s="14"/>
      <c r="CC125" s="14"/>
      <c r="CD125" s="14"/>
      <c r="CE125" s="14"/>
      <c r="CF125" s="14"/>
      <c r="CG125" s="14"/>
      <c r="CH125" s="70"/>
      <c r="CI125" s="14"/>
      <c r="CJ125" s="14"/>
      <c r="CK125" s="14"/>
      <c r="CL125" s="14"/>
      <c r="CM125" s="14"/>
      <c r="CN125" s="14"/>
      <c r="CO125" s="14"/>
      <c r="CP125" s="70"/>
      <c r="CQ125" s="14"/>
    </row>
    <row r="126" spans="3:96" s="21" customFormat="1" ht="15" customHeight="1" thickBot="1" x14ac:dyDescent="0.25">
      <c r="C126" s="25"/>
      <c r="D126" s="25"/>
      <c r="E126" s="70"/>
      <c r="F126" s="70"/>
      <c r="G126" s="70"/>
      <c r="H126" s="5270"/>
      <c r="I126" s="5271"/>
      <c r="J126" s="5272"/>
      <c r="K126" s="20"/>
      <c r="L126" s="1026"/>
      <c r="M126" s="1027"/>
      <c r="N126" s="1027"/>
      <c r="O126" s="6216"/>
      <c r="P126" s="6218"/>
      <c r="Q126" s="6219"/>
      <c r="R126" s="2038"/>
      <c r="S126" s="1030"/>
      <c r="T126" s="20"/>
      <c r="U126" s="1041"/>
      <c r="V126" s="17"/>
      <c r="W126" s="1026"/>
      <c r="X126" s="1029"/>
      <c r="Y126" s="1029"/>
      <c r="Z126" s="1029"/>
      <c r="AA126" s="1029"/>
      <c r="AB126" s="1029"/>
      <c r="AC126" s="1030"/>
      <c r="AD126" s="70"/>
      <c r="AE126" s="1026"/>
      <c r="AF126" s="1029"/>
      <c r="AG126" s="1029"/>
      <c r="AH126" s="1029"/>
      <c r="AI126" s="1029"/>
      <c r="AJ126" s="1029"/>
      <c r="AK126" s="1030"/>
      <c r="AL126" s="17"/>
      <c r="AM126" s="1026"/>
      <c r="AN126" s="1029"/>
      <c r="AO126" s="1029"/>
      <c r="AP126" s="1029"/>
      <c r="AQ126" s="1029"/>
      <c r="AR126" s="1029"/>
      <c r="AS126" s="1030"/>
      <c r="AT126" s="70"/>
      <c r="AU126" s="1026"/>
      <c r="AV126" s="1029"/>
      <c r="AW126" s="1029"/>
      <c r="AX126" s="1029"/>
      <c r="AY126" s="1029"/>
      <c r="AZ126" s="1029"/>
      <c r="BA126" s="1030"/>
      <c r="BB126" s="70"/>
      <c r="BC126" s="1026"/>
      <c r="BD126" s="1029"/>
      <c r="BE126" s="1029"/>
      <c r="BF126" s="1029"/>
      <c r="BG126" s="1029"/>
      <c r="BH126" s="1029"/>
      <c r="BI126" s="1030"/>
      <c r="BJ126" s="70"/>
      <c r="BK126" s="1026"/>
      <c r="BL126" s="1029"/>
      <c r="BM126" s="1029"/>
      <c r="BN126" s="1029"/>
      <c r="BO126" s="1029"/>
      <c r="BP126" s="1029"/>
      <c r="BQ126" s="1030"/>
      <c r="BR126" s="17"/>
      <c r="BS126" s="1026"/>
      <c r="BT126" s="1029"/>
      <c r="BU126" s="1029"/>
      <c r="BV126" s="1029"/>
      <c r="BW126" s="1029"/>
      <c r="BX126" s="1029"/>
      <c r="BY126" s="1030"/>
      <c r="BZ126" s="17"/>
      <c r="CA126" s="1026"/>
      <c r="CB126" s="1029"/>
      <c r="CC126" s="1029"/>
      <c r="CD126" s="1029"/>
      <c r="CE126" s="1029"/>
      <c r="CF126" s="1029"/>
      <c r="CG126" s="1030"/>
      <c r="CH126" s="70"/>
      <c r="CI126" s="1026"/>
      <c r="CJ126" s="1029"/>
      <c r="CK126" s="1029"/>
      <c r="CL126" s="1029"/>
      <c r="CM126" s="1029"/>
      <c r="CN126" s="1029"/>
      <c r="CO126" s="1030"/>
      <c r="CP126" s="70"/>
      <c r="CQ126" s="1041"/>
    </row>
    <row r="127" spans="3:96" s="21" customFormat="1" ht="20.100000000000001" customHeight="1" thickBot="1" x14ac:dyDescent="0.25">
      <c r="C127" s="25"/>
      <c r="D127" s="25"/>
      <c r="E127" s="70"/>
      <c r="F127" s="70"/>
      <c r="G127" s="70"/>
      <c r="H127" s="5270"/>
      <c r="I127" s="5271"/>
      <c r="J127" s="5272"/>
      <c r="K127" s="20"/>
      <c r="L127" s="1031"/>
      <c r="M127" s="6655" t="str">
        <f>_Calcs!$L$27</f>
        <v>Tilleggstid vekseldrift</v>
      </c>
      <c r="N127" s="6655"/>
      <c r="O127" s="6656"/>
      <c r="P127" s="2105"/>
      <c r="Q127" s="6220"/>
      <c r="R127" s="2039" t="s">
        <v>46</v>
      </c>
      <c r="S127" s="1035"/>
      <c r="T127" s="20"/>
      <c r="U127" s="1041"/>
      <c r="V127" s="17"/>
      <c r="W127" s="1031"/>
      <c r="X127" s="1034"/>
      <c r="Y127" s="5311" t="str">
        <f>INDEX(outputs_oppsum[ekstra_framdrift_tid_oppsum_hr],MATCH(_Calcs!$NO$41,outputs_oppsum[stuff_id],0))</f>
        <v>-</v>
      </c>
      <c r="Z127" s="3962"/>
      <c r="AA127" s="5543" t="str">
        <f>IF(Oppsummering!$Y$92=_List!$AW$7,"✓",IF(_Calcs!$NO$305&gt;0,"!","✓"))</f>
        <v>✓</v>
      </c>
      <c r="AB127" s="3962"/>
      <c r="AC127" s="3963"/>
      <c r="AE127" s="1031"/>
      <c r="AF127" s="1034"/>
      <c r="AG127" s="5311" t="e">
        <f>INDEX(outputs_oppsum[ekstra_framdrift_tid_oppsum_hr],MATCH(_Calcs!$NP$41,outputs_oppsum[stuff_id],0))</f>
        <v>#N/A</v>
      </c>
      <c r="AH127" s="3962"/>
      <c r="AI127" s="30" t="e">
        <f>IF(Oppsummering!$AG$92=_List!$AW$7,"✓",IF(_Calcs!$NP$305&gt;0,"!","✓"))</f>
        <v>#N/A</v>
      </c>
      <c r="AJ127" s="3962"/>
      <c r="AK127" s="3963"/>
      <c r="AL127" s="17"/>
      <c r="AM127" s="1031"/>
      <c r="AN127" s="1034"/>
      <c r="AO127" s="5311" t="e">
        <f>INDEX(outputs_oppsum[ekstra_framdrift_tid_oppsum_hr],MATCH(_Calcs!$NQ$41,outputs_oppsum[stuff_id],0))</f>
        <v>#N/A</v>
      </c>
      <c r="AP127" s="3962"/>
      <c r="AQ127" s="30" t="e">
        <f>IF(Oppsummering!$AO$92=_List!$AW$7,"✓",IF(_Calcs!$NQ$305&gt;0,"!","✓"))</f>
        <v>#N/A</v>
      </c>
      <c r="AR127" s="3962"/>
      <c r="AS127" s="3963"/>
      <c r="AU127" s="1031"/>
      <c r="AV127" s="1034"/>
      <c r="AW127" s="5311" t="e">
        <f>INDEX(outputs_oppsum[ekstra_framdrift_tid_oppsum_hr],MATCH(_Calcs!$NR$41,outputs_oppsum[stuff_id],0))</f>
        <v>#N/A</v>
      </c>
      <c r="AX127" s="3962"/>
      <c r="AY127" s="30" t="e">
        <f>IF(Oppsummering!$AW$92=_List!$AW$7,"✓",IF(_Calcs!$NR$305&gt;0,"!","✓"))</f>
        <v>#N/A</v>
      </c>
      <c r="AZ127" s="3962"/>
      <c r="BA127" s="3963"/>
      <c r="BC127" s="1031"/>
      <c r="BD127" s="1034"/>
      <c r="BE127" s="5311" t="e">
        <f>INDEX(outputs_oppsum[ekstra_framdrift_tid_oppsum_hr],MATCH(_Calcs!$NS$41,outputs_oppsum[stuff_id],0))</f>
        <v>#N/A</v>
      </c>
      <c r="BF127" s="3962"/>
      <c r="BG127" s="30" t="e">
        <f>IF(Oppsummering!$BE$92=_List!$AW$7,"✓",IF(_Calcs!$NS$305&gt;0,"!","✓"))</f>
        <v>#N/A</v>
      </c>
      <c r="BH127" s="3962"/>
      <c r="BI127" s="3963"/>
      <c r="BK127" s="1031"/>
      <c r="BL127" s="1034"/>
      <c r="BM127" s="5311" t="e">
        <f>INDEX(outputs_oppsum[ekstra_framdrift_tid_oppsum_hr],MATCH(_Calcs!$NT$41,outputs_oppsum[stuff_id],0))</f>
        <v>#N/A</v>
      </c>
      <c r="BN127" s="3962"/>
      <c r="BO127" s="30" t="e">
        <f>IF(Oppsummering!$BM$92=_List!$AW$7,"✓",IF(_Calcs!$NT$305&gt;0,"!","✓"))</f>
        <v>#N/A</v>
      </c>
      <c r="BP127" s="3962"/>
      <c r="BQ127" s="3963"/>
      <c r="BR127" s="17"/>
      <c r="BS127" s="1031"/>
      <c r="BT127" s="1034"/>
      <c r="BU127" s="5311" t="e">
        <f>INDEX(outputs_oppsum[ekstra_framdrift_tid_oppsum_hr],MATCH(_Calcs!$NU$41,outputs_oppsum[stuff_id],0))</f>
        <v>#N/A</v>
      </c>
      <c r="BV127" s="3962"/>
      <c r="BW127" s="30" t="e">
        <f>IF(Oppsummering!$BU$92=_List!$AW$7,"✓",IF(_Calcs!$NU$305&gt;0,"!","✓"))</f>
        <v>#N/A</v>
      </c>
      <c r="BX127" s="3962"/>
      <c r="BY127" s="3963"/>
      <c r="BZ127" s="17"/>
      <c r="CA127" s="1031"/>
      <c r="CB127" s="1034"/>
      <c r="CC127" s="5311" t="e">
        <f>INDEX(outputs_oppsum[ekstra_framdrift_tid_oppsum_hr],MATCH(_Calcs!$NV$41,outputs_oppsum[stuff_id],0))</f>
        <v>#N/A</v>
      </c>
      <c r="CD127" s="3962"/>
      <c r="CE127" s="30" t="e">
        <f>IF(Oppsummering!$CC$92=_List!$AW$7,"✓",IF(_Calcs!$NV$305&gt;0,"!","✓"))</f>
        <v>#N/A</v>
      </c>
      <c r="CF127" s="3962"/>
      <c r="CG127" s="3963"/>
      <c r="CI127" s="1031"/>
      <c r="CJ127" s="1034"/>
      <c r="CK127" s="5311" t="e">
        <f>INDEX(outputs_oppsum[ekstra_framdrift_tid_oppsum_hr],MATCH(_Calcs!$NW$41,outputs_oppsum[stuff_id],0))</f>
        <v>#N/A</v>
      </c>
      <c r="CL127" s="3962"/>
      <c r="CM127" s="30" t="e">
        <f>IF(Oppsummering!$CK$92=_List!$AW$7,"✓",IF(_Calcs!$NW$305&gt;0,"!","✓"))</f>
        <v>#N/A</v>
      </c>
      <c r="CN127" s="3962"/>
      <c r="CO127" s="3963"/>
      <c r="CQ127" s="3964"/>
    </row>
    <row r="128" spans="3:96" s="21" customFormat="1" ht="15" customHeight="1" thickBot="1" x14ac:dyDescent="0.25">
      <c r="C128" s="25"/>
      <c r="D128" s="25"/>
      <c r="E128" s="70"/>
      <c r="F128" s="70"/>
      <c r="G128" s="70"/>
      <c r="H128" s="5270"/>
      <c r="I128" s="5271"/>
      <c r="J128" s="5272"/>
      <c r="K128" s="20"/>
      <c r="L128" s="1036"/>
      <c r="M128" s="6215"/>
      <c r="N128" s="6215"/>
      <c r="O128" s="6217"/>
      <c r="P128" s="2105"/>
      <c r="Q128" s="6220"/>
      <c r="R128" s="2039"/>
      <c r="S128" s="1035"/>
      <c r="T128" s="20"/>
      <c r="U128" s="1041"/>
      <c r="V128" s="17"/>
      <c r="W128" s="1031"/>
      <c r="X128" s="1034"/>
      <c r="Y128" s="5349"/>
      <c r="Z128" s="3962"/>
      <c r="AA128" s="1043"/>
      <c r="AB128" s="3962"/>
      <c r="AC128" s="3963"/>
      <c r="AE128" s="1031"/>
      <c r="AF128" s="1034"/>
      <c r="AG128" s="5349"/>
      <c r="AH128" s="3962"/>
      <c r="AI128" s="1043"/>
      <c r="AJ128" s="3962"/>
      <c r="AK128" s="3963"/>
      <c r="AL128" s="17"/>
      <c r="AM128" s="1031"/>
      <c r="AN128" s="1034"/>
      <c r="AO128" s="5349"/>
      <c r="AP128" s="3962"/>
      <c r="AQ128" s="1043"/>
      <c r="AR128" s="3962"/>
      <c r="AS128" s="3963"/>
      <c r="AU128" s="1031"/>
      <c r="AV128" s="1034"/>
      <c r="AW128" s="5349"/>
      <c r="AX128" s="3962"/>
      <c r="AY128" s="1043"/>
      <c r="AZ128" s="3962"/>
      <c r="BA128" s="3963"/>
      <c r="BC128" s="1031"/>
      <c r="BD128" s="1034"/>
      <c r="BE128" s="5349"/>
      <c r="BF128" s="3962"/>
      <c r="BG128" s="1043"/>
      <c r="BH128" s="3962"/>
      <c r="BI128" s="3963"/>
      <c r="BK128" s="1031"/>
      <c r="BL128" s="1034"/>
      <c r="BM128" s="5349"/>
      <c r="BN128" s="3962"/>
      <c r="BO128" s="1043"/>
      <c r="BP128" s="3962"/>
      <c r="BQ128" s="3963"/>
      <c r="BR128" s="17"/>
      <c r="BS128" s="1031"/>
      <c r="BT128" s="1034"/>
      <c r="BU128" s="5349"/>
      <c r="BV128" s="3962"/>
      <c r="BW128" s="1043"/>
      <c r="BX128" s="3962"/>
      <c r="BY128" s="3963"/>
      <c r="BZ128" s="17"/>
      <c r="CA128" s="1031"/>
      <c r="CB128" s="1034"/>
      <c r="CC128" s="5349"/>
      <c r="CD128" s="3962"/>
      <c r="CE128" s="1043"/>
      <c r="CF128" s="3962"/>
      <c r="CG128" s="3963"/>
      <c r="CI128" s="1031"/>
      <c r="CJ128" s="1034"/>
      <c r="CK128" s="5349"/>
      <c r="CL128" s="3962"/>
      <c r="CM128" s="1043"/>
      <c r="CN128" s="3962"/>
      <c r="CO128" s="3963"/>
      <c r="CQ128" s="3964"/>
    </row>
    <row r="129" spans="3:97" s="21" customFormat="1" ht="8.1" customHeight="1" x14ac:dyDescent="0.2">
      <c r="C129" s="25"/>
      <c r="D129" s="25"/>
      <c r="E129" s="70"/>
      <c r="F129" s="70"/>
      <c r="G129" s="70"/>
      <c r="H129" s="5270"/>
      <c r="I129" s="5271"/>
      <c r="J129" s="5272"/>
      <c r="K129" s="20"/>
      <c r="L129" s="20"/>
      <c r="M129" s="2105"/>
      <c r="N129" s="2099"/>
      <c r="O129" s="2099"/>
      <c r="P129" s="2099"/>
      <c r="Q129" s="6220"/>
      <c r="R129" s="6649" t="s">
        <v>146</v>
      </c>
      <c r="S129" s="1035"/>
      <c r="T129" s="20"/>
      <c r="U129" s="1041"/>
      <c r="V129" s="17"/>
      <c r="W129" s="1031"/>
      <c r="X129" s="1034"/>
      <c r="Y129" s="6647" t="str">
        <f>INDEX(outputs_oppsum[ekstra_framdrift_tid_oppsum_uke],MATCH(_Calcs!$NO$41,outputs_oppsum[stuff_id],0))</f>
        <v>-</v>
      </c>
      <c r="Z129" s="3962"/>
      <c r="AA129" s="6645" t="str">
        <f>IF(Oppsummering!$Y$92=_List!$AW$7,"✓",IF(_Calcs!$NO$305&gt;0,"!","✓"))</f>
        <v>✓</v>
      </c>
      <c r="AB129" s="3962"/>
      <c r="AC129" s="3963"/>
      <c r="AE129" s="1031"/>
      <c r="AF129" s="1034"/>
      <c r="AG129" s="6647" t="e">
        <f>INDEX(outputs_oppsum[ekstra_framdrift_tid_oppsum_uke],MATCH(_Calcs!$NP$41,outputs_oppsum[stuff_id],0))</f>
        <v>#N/A</v>
      </c>
      <c r="AH129" s="3962"/>
      <c r="AI129" s="6645" t="e">
        <f>IF(Oppsummering!$AG$92=_List!$AW$7,"✓",IF(_Calcs!$NP$305&gt;0,"!","✓"))</f>
        <v>#N/A</v>
      </c>
      <c r="AJ129" s="3962"/>
      <c r="AK129" s="3963"/>
      <c r="AL129" s="17"/>
      <c r="AM129" s="1031"/>
      <c r="AN129" s="1034"/>
      <c r="AO129" s="6647" t="e">
        <f>INDEX(outputs_oppsum[ekstra_framdrift_tid_oppsum_uke],MATCH(_Calcs!$NQ$41,outputs_oppsum[stuff_id],0))</f>
        <v>#N/A</v>
      </c>
      <c r="AP129" s="3962"/>
      <c r="AQ129" s="6645" t="e">
        <f>IF(Oppsummering!$AO$92=_List!$AW$7,"✓",IF(_Calcs!$NQ$305&gt;0,"!","✓"))</f>
        <v>#N/A</v>
      </c>
      <c r="AR129" s="3962"/>
      <c r="AS129" s="3963"/>
      <c r="AU129" s="1031"/>
      <c r="AV129" s="1034"/>
      <c r="AW129" s="6647" t="e">
        <f>INDEX(outputs_oppsum[ekstra_framdrift_tid_oppsum_uke],MATCH(_Calcs!$NR$41,outputs_oppsum[stuff_id],0))</f>
        <v>#N/A</v>
      </c>
      <c r="AX129" s="3962"/>
      <c r="AY129" s="6645" t="e">
        <f>IF(Oppsummering!$AW$92=_List!$AW$7,"✓",IF(_Calcs!$NR$305&gt;0,"!","✓"))</f>
        <v>#N/A</v>
      </c>
      <c r="AZ129" s="3962"/>
      <c r="BA129" s="3963"/>
      <c r="BC129" s="1031"/>
      <c r="BD129" s="1034"/>
      <c r="BE129" s="6647" t="e">
        <f>INDEX(outputs_oppsum[ekstra_framdrift_tid_oppsum_uke],MATCH(_Calcs!$NS$41,outputs_oppsum[stuff_id],0))</f>
        <v>#N/A</v>
      </c>
      <c r="BF129" s="3962"/>
      <c r="BG129" s="6645" t="e">
        <f>IF(Oppsummering!$BE$92=_List!$AW$7,"✓",IF(_Calcs!$NS$305&gt;0,"!","✓"))</f>
        <v>#N/A</v>
      </c>
      <c r="BH129" s="3962"/>
      <c r="BI129" s="3963"/>
      <c r="BK129" s="1031"/>
      <c r="BL129" s="1034"/>
      <c r="BM129" s="6647" t="e">
        <f>INDEX(outputs_oppsum[ekstra_framdrift_tid_oppsum_uke],MATCH(_Calcs!$NT$41,outputs_oppsum[stuff_id],0))</f>
        <v>#N/A</v>
      </c>
      <c r="BN129" s="3962"/>
      <c r="BO129" s="6645" t="e">
        <f>IF(Oppsummering!$BM$92=_List!$AW$7,"✓",IF(_Calcs!$NT$305&gt;0,"!","✓"))</f>
        <v>#N/A</v>
      </c>
      <c r="BP129" s="3962"/>
      <c r="BQ129" s="3963"/>
      <c r="BR129" s="17"/>
      <c r="BS129" s="1031"/>
      <c r="BT129" s="1034"/>
      <c r="BU129" s="6647" t="e">
        <f>INDEX(outputs_oppsum[ekstra_framdrift_tid_oppsum_uke],MATCH(_Calcs!$NU$41,outputs_oppsum[stuff_id],0))</f>
        <v>#N/A</v>
      </c>
      <c r="BV129" s="3962"/>
      <c r="BW129" s="6645" t="e">
        <f>IF(Oppsummering!$BU$92=_List!$AW$7,"✓",IF(_Calcs!$NU$305&gt;0,"!","✓"))</f>
        <v>#N/A</v>
      </c>
      <c r="BX129" s="3962"/>
      <c r="BY129" s="3963"/>
      <c r="BZ129" s="17"/>
      <c r="CA129" s="1031"/>
      <c r="CB129" s="1034"/>
      <c r="CC129" s="6647" t="e">
        <f>INDEX(outputs_oppsum[ekstra_framdrift_tid_oppsum_uke],MATCH(_Calcs!$NV$41,outputs_oppsum[stuff_id],0))</f>
        <v>#N/A</v>
      </c>
      <c r="CD129" s="3962"/>
      <c r="CE129" s="6645" t="e">
        <f>IF(Oppsummering!$CC$92=_List!$AW$7,"✓",IF(_Calcs!$NV$305&gt;0,"!","✓"))</f>
        <v>#N/A</v>
      </c>
      <c r="CF129" s="3962"/>
      <c r="CG129" s="3963"/>
      <c r="CI129" s="1031"/>
      <c r="CJ129" s="1034"/>
      <c r="CK129" s="6647" t="e">
        <f>INDEX(outputs_oppsum[ekstra_framdrift_tid_oppsum_uke],MATCH(_Calcs!$NW$41,outputs_oppsum[stuff_id],0))</f>
        <v>#N/A</v>
      </c>
      <c r="CL129" s="3962"/>
      <c r="CM129" s="6645" t="e">
        <f>IF(Oppsummering!$CK$92=_List!$AW$7,"✓",IF(_Calcs!$NW$305&gt;0,"!","✓"))</f>
        <v>#N/A</v>
      </c>
      <c r="CN129" s="3962"/>
      <c r="CO129" s="3963"/>
      <c r="CQ129" s="3964"/>
    </row>
    <row r="130" spans="3:97" s="21" customFormat="1" ht="12" customHeight="1" thickBot="1" x14ac:dyDescent="0.25">
      <c r="C130" s="25"/>
      <c r="D130" s="25"/>
      <c r="E130" s="70"/>
      <c r="F130" s="70"/>
      <c r="G130" s="70"/>
      <c r="H130" s="5270"/>
      <c r="I130" s="5271"/>
      <c r="J130" s="5272"/>
      <c r="K130" s="20"/>
      <c r="L130" s="5305"/>
      <c r="M130" s="6222"/>
      <c r="N130" s="6223"/>
      <c r="O130" s="6223"/>
      <c r="P130" s="2099"/>
      <c r="Q130" s="6220"/>
      <c r="R130" s="6649"/>
      <c r="S130" s="1035"/>
      <c r="T130" s="20"/>
      <c r="U130" s="1041"/>
      <c r="V130" s="17"/>
      <c r="W130" s="1031"/>
      <c r="X130" s="1034"/>
      <c r="Y130" s="6648"/>
      <c r="Z130" s="3962"/>
      <c r="AA130" s="6646"/>
      <c r="AB130" s="3962"/>
      <c r="AC130" s="3963"/>
      <c r="AE130" s="1031"/>
      <c r="AF130" s="1034"/>
      <c r="AG130" s="6648"/>
      <c r="AH130" s="3962"/>
      <c r="AI130" s="6646"/>
      <c r="AJ130" s="3962"/>
      <c r="AK130" s="3963"/>
      <c r="AL130" s="17"/>
      <c r="AM130" s="1031"/>
      <c r="AN130" s="1034"/>
      <c r="AO130" s="6648"/>
      <c r="AP130" s="3962"/>
      <c r="AQ130" s="6646"/>
      <c r="AR130" s="3962"/>
      <c r="AS130" s="3963"/>
      <c r="AU130" s="1031"/>
      <c r="AV130" s="1034"/>
      <c r="AW130" s="6648"/>
      <c r="AX130" s="3962"/>
      <c r="AY130" s="6646"/>
      <c r="AZ130" s="3962"/>
      <c r="BA130" s="3963"/>
      <c r="BC130" s="1031"/>
      <c r="BD130" s="1034"/>
      <c r="BE130" s="6648"/>
      <c r="BF130" s="3962"/>
      <c r="BG130" s="6646"/>
      <c r="BH130" s="3962"/>
      <c r="BI130" s="3963"/>
      <c r="BK130" s="1031"/>
      <c r="BL130" s="1034"/>
      <c r="BM130" s="6648"/>
      <c r="BN130" s="3962"/>
      <c r="BO130" s="6646"/>
      <c r="BP130" s="3962"/>
      <c r="BQ130" s="3963"/>
      <c r="BR130" s="17"/>
      <c r="BS130" s="1031"/>
      <c r="BT130" s="1034"/>
      <c r="BU130" s="6648"/>
      <c r="BV130" s="3962"/>
      <c r="BW130" s="6646"/>
      <c r="BX130" s="3962"/>
      <c r="BY130" s="3963"/>
      <c r="BZ130" s="17"/>
      <c r="CA130" s="1031"/>
      <c r="CB130" s="1034"/>
      <c r="CC130" s="6648"/>
      <c r="CD130" s="3962"/>
      <c r="CE130" s="6646"/>
      <c r="CF130" s="3962"/>
      <c r="CG130" s="3963"/>
      <c r="CI130" s="1031"/>
      <c r="CJ130" s="1034"/>
      <c r="CK130" s="6648"/>
      <c r="CL130" s="3962"/>
      <c r="CM130" s="6646"/>
      <c r="CN130" s="3962"/>
      <c r="CO130" s="3963"/>
      <c r="CQ130" s="3964"/>
    </row>
    <row r="131" spans="3:97" s="21" customFormat="1" ht="15" customHeight="1" thickBot="1" x14ac:dyDescent="0.25">
      <c r="C131" s="25"/>
      <c r="D131" s="25"/>
      <c r="E131" s="70"/>
      <c r="F131" s="70"/>
      <c r="G131" s="70"/>
      <c r="H131" s="3965"/>
      <c r="I131" s="1024"/>
      <c r="J131" s="1025"/>
      <c r="K131" s="20"/>
      <c r="L131" s="5305"/>
      <c r="M131" s="6224"/>
      <c r="N131" s="6224"/>
      <c r="O131" s="6224"/>
      <c r="P131" s="952"/>
      <c r="Q131" s="6221"/>
      <c r="R131" s="2041"/>
      <c r="S131" s="1040"/>
      <c r="T131" s="20"/>
      <c r="U131" s="1041"/>
      <c r="V131" s="17"/>
      <c r="W131" s="1036"/>
      <c r="X131" s="1039"/>
      <c r="Y131" s="5294"/>
      <c r="Z131" s="1039"/>
      <c r="AA131" s="5295"/>
      <c r="AB131" s="1039"/>
      <c r="AC131" s="1040"/>
      <c r="AD131" s="70"/>
      <c r="AE131" s="1036"/>
      <c r="AF131" s="1039"/>
      <c r="AG131" s="5294"/>
      <c r="AH131" s="1039"/>
      <c r="AI131" s="5295"/>
      <c r="AJ131" s="1039"/>
      <c r="AK131" s="1040"/>
      <c r="AL131" s="17"/>
      <c r="AM131" s="1036"/>
      <c r="AN131" s="1039"/>
      <c r="AO131" s="5294"/>
      <c r="AP131" s="1039"/>
      <c r="AQ131" s="5295"/>
      <c r="AR131" s="1039"/>
      <c r="AS131" s="1040"/>
      <c r="AT131" s="70"/>
      <c r="AU131" s="1036"/>
      <c r="AV131" s="1039"/>
      <c r="AW131" s="5294"/>
      <c r="AX131" s="1039"/>
      <c r="AY131" s="5295"/>
      <c r="AZ131" s="1039"/>
      <c r="BA131" s="1040"/>
      <c r="BB131" s="70"/>
      <c r="BC131" s="1036"/>
      <c r="BD131" s="1039"/>
      <c r="BE131" s="5294"/>
      <c r="BF131" s="1039"/>
      <c r="BG131" s="5295"/>
      <c r="BH131" s="1039"/>
      <c r="BI131" s="1040"/>
      <c r="BJ131" s="70"/>
      <c r="BK131" s="1036"/>
      <c r="BL131" s="1039"/>
      <c r="BM131" s="5294"/>
      <c r="BN131" s="1039"/>
      <c r="BO131" s="5295"/>
      <c r="BP131" s="1039"/>
      <c r="BQ131" s="1040"/>
      <c r="BR131" s="17"/>
      <c r="BS131" s="1036"/>
      <c r="BT131" s="1039"/>
      <c r="BU131" s="5294"/>
      <c r="BV131" s="1039"/>
      <c r="BW131" s="5295"/>
      <c r="BX131" s="1039"/>
      <c r="BY131" s="1040"/>
      <c r="BZ131" s="17"/>
      <c r="CA131" s="1036"/>
      <c r="CB131" s="1039"/>
      <c r="CC131" s="5294"/>
      <c r="CD131" s="1039"/>
      <c r="CE131" s="5295"/>
      <c r="CF131" s="1039"/>
      <c r="CG131" s="1040"/>
      <c r="CH131" s="70"/>
      <c r="CI131" s="1036"/>
      <c r="CJ131" s="1039"/>
      <c r="CK131" s="5294"/>
      <c r="CL131" s="1039"/>
      <c r="CM131" s="5295"/>
      <c r="CN131" s="1039"/>
      <c r="CO131" s="1040"/>
      <c r="CP131" s="70"/>
      <c r="CQ131" s="1041"/>
    </row>
    <row r="132" spans="3:97" s="21" customFormat="1" ht="7.5" hidden="1" customHeight="1" x14ac:dyDescent="0.2">
      <c r="C132" s="25"/>
      <c r="D132" s="25"/>
      <c r="E132" s="70"/>
      <c r="F132" s="70"/>
      <c r="G132" s="70"/>
      <c r="H132" s="136"/>
      <c r="I132" s="672"/>
      <c r="J132" s="672"/>
      <c r="K132" s="20"/>
      <c r="L132" s="14"/>
      <c r="M132" s="135"/>
      <c r="N132" s="135"/>
      <c r="O132" s="135"/>
      <c r="P132" s="135"/>
      <c r="Q132" s="13"/>
      <c r="R132" s="111"/>
      <c r="S132" s="14"/>
      <c r="T132" s="20"/>
      <c r="U132" s="14"/>
      <c r="V132" s="17"/>
      <c r="W132" s="14"/>
      <c r="X132" s="14"/>
      <c r="Y132" s="14"/>
      <c r="Z132" s="14"/>
      <c r="AA132" s="14"/>
      <c r="AB132" s="14"/>
      <c r="AC132" s="14"/>
      <c r="AD132" s="70"/>
      <c r="AE132" s="14"/>
      <c r="AF132" s="14"/>
      <c r="AG132" s="14"/>
      <c r="AH132" s="14"/>
      <c r="AI132" s="14"/>
      <c r="AJ132" s="14"/>
      <c r="AK132" s="14"/>
      <c r="AL132" s="17"/>
      <c r="AM132" s="14"/>
      <c r="AN132" s="14"/>
      <c r="AO132" s="14"/>
      <c r="AP132" s="14"/>
      <c r="AQ132" s="14"/>
      <c r="AR132" s="14"/>
      <c r="AS132" s="14"/>
      <c r="AT132" s="70"/>
      <c r="AU132" s="14"/>
      <c r="AV132" s="14"/>
      <c r="AW132" s="14"/>
      <c r="AX132" s="14"/>
      <c r="AY132" s="14"/>
      <c r="AZ132" s="14"/>
      <c r="BA132" s="14"/>
      <c r="BB132" s="70"/>
      <c r="BC132" s="14"/>
      <c r="BD132" s="14"/>
      <c r="BE132" s="14"/>
      <c r="BF132" s="14"/>
      <c r="BG132" s="14"/>
      <c r="BH132" s="14"/>
      <c r="BI132" s="14"/>
      <c r="BJ132" s="70"/>
      <c r="BK132" s="14"/>
      <c r="BL132" s="14"/>
      <c r="BM132" s="14"/>
      <c r="BN132" s="14"/>
      <c r="BO132" s="14"/>
      <c r="BP132" s="14"/>
      <c r="BQ132" s="14"/>
      <c r="BR132" s="17"/>
      <c r="BS132" s="14"/>
      <c r="BT132" s="14"/>
      <c r="BU132" s="14"/>
      <c r="BV132" s="14"/>
      <c r="BW132" s="14"/>
      <c r="BX132" s="14"/>
      <c r="BY132" s="14"/>
      <c r="BZ132" s="17"/>
      <c r="CA132" s="14"/>
      <c r="CB132" s="14"/>
      <c r="CC132" s="14"/>
      <c r="CD132" s="14"/>
      <c r="CE132" s="14"/>
      <c r="CF132" s="14"/>
      <c r="CG132" s="14"/>
      <c r="CH132" s="70"/>
      <c r="CI132" s="14"/>
      <c r="CJ132" s="14"/>
      <c r="CK132" s="14"/>
      <c r="CL132" s="14"/>
      <c r="CM132" s="14"/>
      <c r="CN132" s="14"/>
      <c r="CO132" s="14"/>
      <c r="CP132" s="70"/>
      <c r="CQ132" s="14"/>
    </row>
    <row r="133" spans="3:97" s="21" customFormat="1" ht="30" customHeight="1" x14ac:dyDescent="0.2">
      <c r="C133" s="25"/>
      <c r="D133" s="25"/>
      <c r="E133" s="70"/>
      <c r="F133" s="70"/>
      <c r="G133" s="70"/>
      <c r="H133" s="136"/>
      <c r="I133" s="672"/>
      <c r="J133" s="672"/>
      <c r="K133" s="20"/>
      <c r="L133" s="20"/>
      <c r="M133" s="676"/>
      <c r="N133" s="676"/>
      <c r="O133" s="676"/>
      <c r="P133" s="676"/>
      <c r="Q133" s="16"/>
      <c r="R133" s="2023"/>
      <c r="S133" s="20"/>
      <c r="T133" s="20"/>
      <c r="U133" s="14"/>
      <c r="V133" s="17"/>
      <c r="W133" s="20"/>
      <c r="X133" s="20"/>
      <c r="Y133" s="20"/>
      <c r="Z133" s="20"/>
      <c r="AA133" s="20"/>
      <c r="AB133" s="20"/>
      <c r="AC133" s="20"/>
      <c r="AD133" s="70"/>
      <c r="AE133" s="20"/>
      <c r="AF133" s="20"/>
      <c r="AG133" s="20"/>
      <c r="AH133" s="20"/>
      <c r="AI133" s="20"/>
      <c r="AJ133" s="20"/>
      <c r="AK133" s="20"/>
      <c r="AL133" s="17"/>
      <c r="AM133" s="20"/>
      <c r="AN133" s="20"/>
      <c r="AO133" s="20"/>
      <c r="AP133" s="20"/>
      <c r="AQ133" s="20"/>
      <c r="AR133" s="20"/>
      <c r="AS133" s="20"/>
      <c r="AT133" s="70"/>
      <c r="AU133" s="20"/>
      <c r="AV133" s="20"/>
      <c r="AW133" s="20"/>
      <c r="AX133" s="20"/>
      <c r="AY133" s="20"/>
      <c r="AZ133" s="20"/>
      <c r="BA133" s="20"/>
      <c r="BB133" s="70"/>
      <c r="BC133" s="20"/>
      <c r="BD133" s="20"/>
      <c r="BE133" s="20"/>
      <c r="BF133" s="20"/>
      <c r="BG133" s="20"/>
      <c r="BH133" s="20"/>
      <c r="BI133" s="20"/>
      <c r="BJ133" s="70"/>
      <c r="BK133" s="20"/>
      <c r="BL133" s="20"/>
      <c r="BM133" s="20"/>
      <c r="BN133" s="20"/>
      <c r="BO133" s="20"/>
      <c r="BP133" s="20"/>
      <c r="BQ133" s="20"/>
      <c r="BR133" s="17"/>
      <c r="BS133" s="20"/>
      <c r="BT133" s="20"/>
      <c r="BU133" s="20"/>
      <c r="BV133" s="20"/>
      <c r="BW133" s="20"/>
      <c r="BX133" s="20"/>
      <c r="BY133" s="20"/>
      <c r="BZ133" s="17"/>
      <c r="CA133" s="20"/>
      <c r="CB133" s="20"/>
      <c r="CC133" s="20"/>
      <c r="CD133" s="20"/>
      <c r="CE133" s="20"/>
      <c r="CF133" s="20"/>
      <c r="CG133" s="20"/>
      <c r="CH133" s="70"/>
      <c r="CI133" s="20"/>
      <c r="CJ133" s="20"/>
      <c r="CK133" s="20"/>
      <c r="CL133" s="20"/>
      <c r="CM133" s="20"/>
      <c r="CN133" s="20"/>
      <c r="CO133" s="20"/>
      <c r="CP133" s="70"/>
      <c r="CQ133" s="6280"/>
    </row>
    <row r="134" spans="3:97" s="21" customFormat="1" ht="15" customHeight="1" x14ac:dyDescent="0.2">
      <c r="C134" s="25"/>
      <c r="D134" s="25"/>
      <c r="E134" s="70"/>
      <c r="F134" s="70"/>
      <c r="G134" s="70"/>
      <c r="H134" s="5327"/>
      <c r="I134" s="5328"/>
      <c r="J134" s="5328"/>
      <c r="K134" s="5193"/>
      <c r="L134" s="5193"/>
      <c r="M134" s="5329"/>
      <c r="N134" s="5329"/>
      <c r="O134" s="5329"/>
      <c r="P134" s="5329"/>
      <c r="Q134" s="5330"/>
      <c r="R134" s="5331"/>
      <c r="S134" s="5193"/>
      <c r="T134" s="5193"/>
      <c r="U134" s="5332"/>
      <c r="V134" s="5333"/>
      <c r="W134" s="5193"/>
      <c r="X134" s="5193"/>
      <c r="Y134" s="5193"/>
      <c r="Z134" s="5193"/>
      <c r="AA134" s="5193"/>
      <c r="AB134" s="5193"/>
      <c r="AC134" s="5193"/>
      <c r="AD134" s="5334"/>
      <c r="AE134" s="5193"/>
      <c r="AF134" s="5193"/>
      <c r="AG134" s="5193"/>
      <c r="AH134" s="5193"/>
      <c r="AI134" s="5193"/>
      <c r="AJ134" s="5193"/>
      <c r="AK134" s="5193"/>
      <c r="AL134" s="5333"/>
      <c r="AM134" s="5193"/>
      <c r="AN134" s="5193"/>
      <c r="AO134" s="5193"/>
      <c r="AP134" s="5193"/>
      <c r="AQ134" s="5193"/>
      <c r="AR134" s="5193"/>
      <c r="AS134" s="5193"/>
      <c r="AT134" s="5334"/>
      <c r="AU134" s="5193"/>
      <c r="AV134" s="5193"/>
      <c r="AW134" s="5193"/>
      <c r="AX134" s="5193"/>
      <c r="AY134" s="5193"/>
      <c r="AZ134" s="5193"/>
      <c r="BA134" s="5193"/>
      <c r="BB134" s="5334"/>
      <c r="BC134" s="5193"/>
      <c r="BD134" s="5193"/>
      <c r="BE134" s="5193"/>
      <c r="BF134" s="5193"/>
      <c r="BG134" s="5193"/>
      <c r="BH134" s="5193"/>
      <c r="BI134" s="5193"/>
      <c r="BJ134" s="5334"/>
      <c r="BK134" s="5193"/>
      <c r="BL134" s="5193"/>
      <c r="BM134" s="5193"/>
      <c r="BN134" s="5193"/>
      <c r="BO134" s="5193"/>
      <c r="BP134" s="5193"/>
      <c r="BQ134" s="5193"/>
      <c r="BR134" s="5333"/>
      <c r="BS134" s="5193"/>
      <c r="BT134" s="5193"/>
      <c r="BU134" s="5193"/>
      <c r="BV134" s="5193"/>
      <c r="BW134" s="5193"/>
      <c r="BX134" s="5193"/>
      <c r="BY134" s="5193"/>
      <c r="BZ134" s="5333"/>
      <c r="CA134" s="5193"/>
      <c r="CB134" s="5193"/>
      <c r="CC134" s="5193"/>
      <c r="CD134" s="5193"/>
      <c r="CE134" s="5193"/>
      <c r="CF134" s="5193"/>
      <c r="CG134" s="5193"/>
      <c r="CH134" s="5334"/>
      <c r="CI134" s="5193"/>
      <c r="CJ134" s="5193"/>
      <c r="CK134" s="5193"/>
      <c r="CL134" s="5193"/>
      <c r="CM134" s="5193"/>
      <c r="CN134" s="5193"/>
      <c r="CO134" s="5193"/>
      <c r="CP134" s="5334"/>
      <c r="CQ134" s="5332"/>
      <c r="CS134" s="6279"/>
    </row>
    <row r="135" spans="3:97" s="21" customFormat="1" ht="30" customHeight="1" thickBot="1" x14ac:dyDescent="0.25">
      <c r="C135" s="25"/>
      <c r="D135" s="25"/>
      <c r="E135" s="25"/>
      <c r="F135" s="70"/>
      <c r="G135" s="70"/>
      <c r="H135" s="638"/>
      <c r="I135" s="638"/>
      <c r="J135" s="638"/>
      <c r="K135" s="20"/>
      <c r="L135" s="14"/>
      <c r="M135" s="135"/>
      <c r="N135" s="135"/>
      <c r="O135" s="135"/>
      <c r="P135" s="135"/>
      <c r="Q135" s="13"/>
      <c r="R135" s="111"/>
      <c r="S135" s="14"/>
      <c r="T135" s="20"/>
      <c r="U135" s="14"/>
      <c r="V135" s="17"/>
      <c r="W135" s="14"/>
      <c r="X135" s="14"/>
      <c r="Y135" s="14"/>
      <c r="Z135" s="14"/>
      <c r="AA135" s="14"/>
      <c r="AB135" s="14"/>
      <c r="AC135" s="14"/>
      <c r="AD135" s="70"/>
      <c r="AE135" s="14"/>
      <c r="AF135" s="14"/>
      <c r="AG135" s="14"/>
      <c r="AH135" s="14"/>
      <c r="AI135" s="14"/>
      <c r="AJ135" s="14"/>
      <c r="AK135" s="14"/>
      <c r="AL135" s="70"/>
      <c r="AM135" s="14"/>
      <c r="AN135" s="14"/>
      <c r="AO135" s="14"/>
      <c r="AP135" s="14"/>
      <c r="AQ135" s="14"/>
      <c r="AR135" s="14"/>
      <c r="AS135" s="14"/>
      <c r="AT135" s="70"/>
      <c r="AU135" s="14"/>
      <c r="AV135" s="14"/>
      <c r="AW135" s="14"/>
      <c r="AX135" s="14"/>
      <c r="AY135" s="14"/>
      <c r="AZ135" s="14"/>
      <c r="BA135" s="14"/>
      <c r="BB135" s="70"/>
      <c r="BC135" s="14"/>
      <c r="BD135" s="14"/>
      <c r="BE135" s="14"/>
      <c r="BF135" s="14"/>
      <c r="BG135" s="14"/>
      <c r="BH135" s="14"/>
      <c r="BI135" s="14"/>
      <c r="BJ135" s="70"/>
      <c r="BK135" s="14"/>
      <c r="BL135" s="14"/>
      <c r="BM135" s="14"/>
      <c r="BN135" s="14"/>
      <c r="BO135" s="14"/>
      <c r="BP135" s="14"/>
      <c r="BQ135" s="14"/>
      <c r="BR135" s="70"/>
      <c r="BS135" s="14"/>
      <c r="BT135" s="14"/>
      <c r="BU135" s="14"/>
      <c r="BV135" s="14"/>
      <c r="BW135" s="14"/>
      <c r="BX135" s="14"/>
      <c r="BY135" s="14"/>
      <c r="BZ135" s="70"/>
      <c r="CA135" s="14"/>
      <c r="CB135" s="14"/>
      <c r="CC135" s="14"/>
      <c r="CD135" s="14"/>
      <c r="CE135" s="14"/>
      <c r="CF135" s="14"/>
      <c r="CG135" s="14"/>
      <c r="CH135" s="70"/>
      <c r="CI135" s="14"/>
      <c r="CJ135" s="14"/>
      <c r="CK135" s="14"/>
      <c r="CL135" s="14"/>
      <c r="CM135" s="14"/>
      <c r="CN135" s="14"/>
      <c r="CO135" s="14"/>
      <c r="CP135" s="70"/>
      <c r="CQ135" s="14"/>
    </row>
    <row r="136" spans="3:97" s="21" customFormat="1" ht="15" customHeight="1" thickBot="1" x14ac:dyDescent="0.25">
      <c r="C136" s="25"/>
      <c r="D136" s="25"/>
      <c r="E136" s="25"/>
      <c r="F136" s="70"/>
      <c r="G136" s="70"/>
      <c r="H136" s="3966"/>
      <c r="I136" s="3967"/>
      <c r="J136" s="3968"/>
      <c r="K136" s="20"/>
      <c r="L136" s="798"/>
      <c r="M136" s="1010"/>
      <c r="N136" s="1010"/>
      <c r="O136" s="1010"/>
      <c r="P136" s="1010"/>
      <c r="Q136" s="801"/>
      <c r="R136" s="2042"/>
      <c r="S136" s="800"/>
      <c r="T136" s="20"/>
      <c r="U136" s="802"/>
      <c r="V136" s="17"/>
      <c r="W136" s="798"/>
      <c r="X136" s="799"/>
      <c r="Y136" s="799"/>
      <c r="Z136" s="799"/>
      <c r="AA136" s="799"/>
      <c r="AB136" s="799"/>
      <c r="AC136" s="800"/>
      <c r="AD136" s="70"/>
      <c r="AE136" s="798"/>
      <c r="AF136" s="799"/>
      <c r="AG136" s="799"/>
      <c r="AH136" s="799"/>
      <c r="AI136" s="799"/>
      <c r="AJ136" s="799"/>
      <c r="AK136" s="800"/>
      <c r="AL136" s="70"/>
      <c r="AM136" s="798"/>
      <c r="AN136" s="799"/>
      <c r="AO136" s="799"/>
      <c r="AP136" s="799"/>
      <c r="AQ136" s="799"/>
      <c r="AR136" s="799"/>
      <c r="AS136" s="800"/>
      <c r="AT136" s="70"/>
      <c r="AU136" s="798"/>
      <c r="AV136" s="799"/>
      <c r="AW136" s="799"/>
      <c r="AX136" s="799"/>
      <c r="AY136" s="799"/>
      <c r="AZ136" s="799"/>
      <c r="BA136" s="800"/>
      <c r="BB136" s="70"/>
      <c r="BC136" s="798"/>
      <c r="BD136" s="799"/>
      <c r="BE136" s="799"/>
      <c r="BF136" s="799"/>
      <c r="BG136" s="799"/>
      <c r="BH136" s="799"/>
      <c r="BI136" s="800"/>
      <c r="BJ136" s="70"/>
      <c r="BK136" s="798"/>
      <c r="BL136" s="799"/>
      <c r="BM136" s="799"/>
      <c r="BN136" s="799"/>
      <c r="BO136" s="799"/>
      <c r="BP136" s="799"/>
      <c r="BQ136" s="800"/>
      <c r="BR136" s="70"/>
      <c r="BS136" s="798"/>
      <c r="BT136" s="799"/>
      <c r="BU136" s="799"/>
      <c r="BV136" s="799"/>
      <c r="BW136" s="799"/>
      <c r="BX136" s="799"/>
      <c r="BY136" s="800"/>
      <c r="BZ136" s="70"/>
      <c r="CA136" s="798"/>
      <c r="CB136" s="799"/>
      <c r="CC136" s="799"/>
      <c r="CD136" s="799"/>
      <c r="CE136" s="799"/>
      <c r="CF136" s="799"/>
      <c r="CG136" s="800"/>
      <c r="CH136" s="70"/>
      <c r="CI136" s="798"/>
      <c r="CJ136" s="799"/>
      <c r="CK136" s="799"/>
      <c r="CL136" s="799"/>
      <c r="CM136" s="799"/>
      <c r="CN136" s="799"/>
      <c r="CO136" s="800"/>
      <c r="CP136" s="70"/>
      <c r="CQ136" s="536"/>
    </row>
    <row r="137" spans="3:97" s="21" customFormat="1" ht="8.1" customHeight="1" thickBot="1" x14ac:dyDescent="0.25">
      <c r="C137" s="25"/>
      <c r="D137" s="25"/>
      <c r="E137" s="25"/>
      <c r="F137" s="70"/>
      <c r="G137" s="70"/>
      <c r="H137" s="672"/>
      <c r="I137" s="672"/>
      <c r="J137" s="672"/>
      <c r="K137" s="20"/>
      <c r="L137" s="14"/>
      <c r="M137" s="135"/>
      <c r="N137" s="135"/>
      <c r="O137" s="135"/>
      <c r="P137" s="135"/>
      <c r="Q137" s="13"/>
      <c r="R137" s="111"/>
      <c r="S137" s="14"/>
      <c r="T137" s="20"/>
      <c r="U137" s="14"/>
      <c r="V137" s="17"/>
      <c r="W137" s="14"/>
      <c r="X137" s="14"/>
      <c r="Y137" s="14"/>
      <c r="Z137" s="14"/>
      <c r="AA137" s="14"/>
      <c r="AB137" s="14"/>
      <c r="AC137" s="14"/>
      <c r="AD137" s="70"/>
      <c r="AE137" s="14"/>
      <c r="AF137" s="14"/>
      <c r="AG137" s="14"/>
      <c r="AH137" s="14"/>
      <c r="AI137" s="14"/>
      <c r="AJ137" s="14"/>
      <c r="AK137" s="14"/>
      <c r="AL137" s="70"/>
      <c r="AM137" s="14"/>
      <c r="AN137" s="14"/>
      <c r="AO137" s="14"/>
      <c r="AP137" s="14"/>
      <c r="AQ137" s="14"/>
      <c r="AR137" s="14"/>
      <c r="AS137" s="14"/>
      <c r="AT137" s="70"/>
      <c r="AU137" s="14"/>
      <c r="AV137" s="14"/>
      <c r="AW137" s="14"/>
      <c r="AX137" s="14"/>
      <c r="AY137" s="14"/>
      <c r="AZ137" s="14"/>
      <c r="BA137" s="14"/>
      <c r="BB137" s="70"/>
      <c r="BC137" s="14"/>
      <c r="BD137" s="14"/>
      <c r="BE137" s="14"/>
      <c r="BF137" s="14"/>
      <c r="BG137" s="14"/>
      <c r="BH137" s="14"/>
      <c r="BI137" s="14"/>
      <c r="BJ137" s="70"/>
      <c r="BK137" s="14"/>
      <c r="BL137" s="14"/>
      <c r="BM137" s="14"/>
      <c r="BN137" s="14"/>
      <c r="BO137" s="14"/>
      <c r="BP137" s="14"/>
      <c r="BQ137" s="14"/>
      <c r="BR137" s="70"/>
      <c r="BS137" s="14"/>
      <c r="BT137" s="14"/>
      <c r="BU137" s="14"/>
      <c r="BV137" s="14"/>
      <c r="BW137" s="14"/>
      <c r="BX137" s="14"/>
      <c r="BY137" s="14"/>
      <c r="BZ137" s="70"/>
      <c r="CA137" s="14"/>
      <c r="CB137" s="14"/>
      <c r="CC137" s="14"/>
      <c r="CD137" s="14"/>
      <c r="CE137" s="14"/>
      <c r="CF137" s="14"/>
      <c r="CG137" s="14"/>
      <c r="CH137" s="70"/>
      <c r="CI137" s="14"/>
      <c r="CJ137" s="14"/>
      <c r="CK137" s="14"/>
      <c r="CL137" s="14"/>
      <c r="CM137" s="14"/>
      <c r="CN137" s="14"/>
      <c r="CO137" s="14"/>
      <c r="CP137" s="70"/>
      <c r="CQ137" s="14"/>
    </row>
    <row r="138" spans="3:97" s="21" customFormat="1" ht="15" customHeight="1" thickBot="1" x14ac:dyDescent="0.25">
      <c r="C138" s="25"/>
      <c r="D138" s="25"/>
      <c r="E138" s="25"/>
      <c r="F138" s="70"/>
      <c r="G138" s="70"/>
      <c r="H138" s="1710"/>
      <c r="I138" s="904"/>
      <c r="J138" s="905"/>
      <c r="K138" s="20"/>
      <c r="L138" s="813"/>
      <c r="M138" s="1011"/>
      <c r="N138" s="1011"/>
      <c r="O138" s="1011"/>
      <c r="P138" s="1011"/>
      <c r="Q138" s="815"/>
      <c r="R138" s="2043"/>
      <c r="S138" s="816"/>
      <c r="T138" s="20"/>
      <c r="U138" s="537"/>
      <c r="V138" s="17"/>
      <c r="W138" s="813"/>
      <c r="X138" s="814"/>
      <c r="Y138" s="814"/>
      <c r="Z138" s="814"/>
      <c r="AA138" s="814"/>
      <c r="AB138" s="814"/>
      <c r="AC138" s="816"/>
      <c r="AD138" s="70"/>
      <c r="AE138" s="813"/>
      <c r="AF138" s="814"/>
      <c r="AG138" s="814"/>
      <c r="AH138" s="814"/>
      <c r="AI138" s="814"/>
      <c r="AJ138" s="814"/>
      <c r="AK138" s="816"/>
      <c r="AL138" s="70"/>
      <c r="AM138" s="813"/>
      <c r="AN138" s="814"/>
      <c r="AO138" s="814"/>
      <c r="AP138" s="814"/>
      <c r="AQ138" s="814"/>
      <c r="AR138" s="814"/>
      <c r="AS138" s="816"/>
      <c r="AT138" s="70"/>
      <c r="AU138" s="813"/>
      <c r="AV138" s="814"/>
      <c r="AW138" s="814"/>
      <c r="AX138" s="814"/>
      <c r="AY138" s="814"/>
      <c r="AZ138" s="814"/>
      <c r="BA138" s="816"/>
      <c r="BB138" s="70"/>
      <c r="BC138" s="813"/>
      <c r="BD138" s="814"/>
      <c r="BE138" s="814"/>
      <c r="BF138" s="814"/>
      <c r="BG138" s="814"/>
      <c r="BH138" s="814"/>
      <c r="BI138" s="816"/>
      <c r="BJ138" s="70"/>
      <c r="BK138" s="813"/>
      <c r="BL138" s="814"/>
      <c r="BM138" s="814"/>
      <c r="BN138" s="814"/>
      <c r="BO138" s="814"/>
      <c r="BP138" s="814"/>
      <c r="BQ138" s="816"/>
      <c r="BR138" s="70"/>
      <c r="BS138" s="813"/>
      <c r="BT138" s="814"/>
      <c r="BU138" s="814"/>
      <c r="BV138" s="814"/>
      <c r="BW138" s="814"/>
      <c r="BX138" s="814"/>
      <c r="BY138" s="816"/>
      <c r="BZ138" s="70"/>
      <c r="CA138" s="813"/>
      <c r="CB138" s="814"/>
      <c r="CC138" s="814"/>
      <c r="CD138" s="814"/>
      <c r="CE138" s="814"/>
      <c r="CF138" s="814"/>
      <c r="CG138" s="816"/>
      <c r="CH138" s="70"/>
      <c r="CI138" s="813"/>
      <c r="CJ138" s="814"/>
      <c r="CK138" s="814"/>
      <c r="CL138" s="814"/>
      <c r="CM138" s="814"/>
      <c r="CN138" s="814"/>
      <c r="CO138" s="816"/>
      <c r="CP138" s="70"/>
      <c r="CQ138" s="537"/>
    </row>
    <row r="139" spans="3:97" s="21" customFormat="1" ht="24.95" customHeight="1" thickBot="1" x14ac:dyDescent="0.25">
      <c r="C139" s="25"/>
      <c r="D139" s="25"/>
      <c r="E139" s="25"/>
      <c r="F139" s="70"/>
      <c r="G139" s="70"/>
      <c r="H139" s="6696" t="s">
        <v>258</v>
      </c>
      <c r="I139" s="6697"/>
      <c r="J139" s="6698"/>
      <c r="K139" s="20"/>
      <c r="L139" s="817"/>
      <c r="M139" s="1012" t="str">
        <f>_Calcs!$N$81</f>
        <v>Påvirkning</v>
      </c>
      <c r="N139" s="1012"/>
      <c r="O139" s="1012"/>
      <c r="P139" s="1012"/>
      <c r="Q139" s="818"/>
      <c r="R139" s="2044"/>
      <c r="S139" s="820"/>
      <c r="T139" s="20"/>
      <c r="U139" s="537"/>
      <c r="V139" s="17"/>
      <c r="W139" s="817"/>
      <c r="X139" s="819"/>
      <c r="Y139" s="3969" t="str">
        <f>INDEX(outputs_oppsum[tverrslag_status_oppsum],MATCH(_Calcs!$NO$41,outputs_oppsum[stuff_id],0))</f>
        <v>Ikke påvirket</v>
      </c>
      <c r="Z139" s="819"/>
      <c r="AA139" s="30" t="str">
        <f>IF(OR(Y139=_Calcs!$HI$54,Y139="---"),"✓",IF(_Calcs!$NO$313&lt;&gt;0,"!","✓"))</f>
        <v>✓</v>
      </c>
      <c r="AB139" s="819"/>
      <c r="AC139" s="820"/>
      <c r="AD139" s="14"/>
      <c r="AE139" s="817"/>
      <c r="AF139" s="819"/>
      <c r="AG139" s="3969" t="e">
        <f>INDEX(outputs_oppsum[tverrslag_status_oppsum],MATCH(_Calcs!$NP$41,outputs_oppsum[stuff_id],0))</f>
        <v>#N/A</v>
      </c>
      <c r="AH139" s="819"/>
      <c r="AI139" s="30" t="e">
        <f>IF(OR(AG139=_Calcs!$HI$54,AG139="---"),"✓",IF(_Calcs!$NP$313&lt;&gt;0,"!","✓"))</f>
        <v>#N/A</v>
      </c>
      <c r="AJ139" s="819"/>
      <c r="AK139" s="820"/>
      <c r="AL139" s="14"/>
      <c r="AM139" s="817"/>
      <c r="AN139" s="819"/>
      <c r="AO139" s="3969" t="e">
        <f>INDEX(outputs_oppsum[tverrslag_status_oppsum],MATCH(_Calcs!$NQ$41,outputs_oppsum[stuff_id],0))</f>
        <v>#N/A</v>
      </c>
      <c r="AP139" s="819"/>
      <c r="AQ139" s="30" t="e">
        <f>IF(OR(AO139=_Calcs!$HI$54,AO139="---"),"✓",IF(_Calcs!$NQ$313&lt;&gt;0,"!","✓"))</f>
        <v>#N/A</v>
      </c>
      <c r="AR139" s="819"/>
      <c r="AS139" s="820"/>
      <c r="AT139" s="14"/>
      <c r="AU139" s="817"/>
      <c r="AV139" s="819"/>
      <c r="AW139" s="3969" t="e">
        <f>INDEX(outputs_oppsum[tverrslag_status_oppsum],MATCH(_Calcs!$NR$41,outputs_oppsum[stuff_id],0))</f>
        <v>#N/A</v>
      </c>
      <c r="AX139" s="819"/>
      <c r="AY139" s="30" t="e">
        <f>IF(OR(AW139=_Calcs!$HI$54,AW139="---"),"✓",IF(_Calcs!$NR$313&lt;&gt;0,"!","✓"))</f>
        <v>#N/A</v>
      </c>
      <c r="AZ139" s="819"/>
      <c r="BA139" s="820"/>
      <c r="BB139" s="14"/>
      <c r="BC139" s="817"/>
      <c r="BD139" s="819"/>
      <c r="BE139" s="3969" t="e">
        <f>INDEX(outputs_oppsum[tverrslag_status_oppsum],MATCH(_Calcs!$NS$41,outputs_oppsum[stuff_id],0))</f>
        <v>#N/A</v>
      </c>
      <c r="BF139" s="819"/>
      <c r="BG139" s="30" t="e">
        <f>IF(OR(BE139=_Calcs!$HI$54,BE139="---"),"✓",IF(_Calcs!$NS$313&lt;&gt;0,"!","✓"))</f>
        <v>#N/A</v>
      </c>
      <c r="BH139" s="819"/>
      <c r="BI139" s="820"/>
      <c r="BJ139" s="14"/>
      <c r="BK139" s="817"/>
      <c r="BL139" s="819"/>
      <c r="BM139" s="3969" t="e">
        <f>INDEX(outputs_oppsum[tverrslag_status_oppsum],MATCH(_Calcs!$NT$41,outputs_oppsum[stuff_id],0))</f>
        <v>#N/A</v>
      </c>
      <c r="BN139" s="819"/>
      <c r="BO139" s="30" t="e">
        <f>IF(OR(BM139=_Calcs!$HI$54,BM139="---"),"✓",IF(_Calcs!$NT$313&lt;&gt;0,"!","✓"))</f>
        <v>#N/A</v>
      </c>
      <c r="BP139" s="819"/>
      <c r="BQ139" s="820"/>
      <c r="BR139" s="14"/>
      <c r="BS139" s="817"/>
      <c r="BT139" s="819"/>
      <c r="BU139" s="3969" t="e">
        <f>INDEX(outputs_oppsum[tverrslag_status_oppsum],MATCH(_Calcs!$NU$41,outputs_oppsum[stuff_id],0))</f>
        <v>#N/A</v>
      </c>
      <c r="BV139" s="819"/>
      <c r="BW139" s="30" t="e">
        <f>IF(OR(BU139=_Calcs!$HI$54,BU139="---"),"✓",IF(_Calcs!$NU$313&lt;&gt;0,"!","✓"))</f>
        <v>#N/A</v>
      </c>
      <c r="BX139" s="819"/>
      <c r="BY139" s="820"/>
      <c r="BZ139" s="14"/>
      <c r="CA139" s="817"/>
      <c r="CB139" s="819"/>
      <c r="CC139" s="3969" t="e">
        <f>INDEX(outputs_oppsum[tverrslag_status_oppsum],MATCH(_Calcs!$NV$41,outputs_oppsum[stuff_id],0))</f>
        <v>#N/A</v>
      </c>
      <c r="CD139" s="819"/>
      <c r="CE139" s="30" t="e">
        <f>IF(OR(CC139=_Calcs!$HI$54,CC139="---"),"✓",IF(_Calcs!$NV$313&lt;&gt;0,"!","✓"))</f>
        <v>#N/A</v>
      </c>
      <c r="CF139" s="819"/>
      <c r="CG139" s="820"/>
      <c r="CH139" s="14"/>
      <c r="CI139" s="817"/>
      <c r="CJ139" s="819"/>
      <c r="CK139" s="3969" t="e">
        <f>INDEX(outputs_oppsum[tverrslag_status_oppsum],MATCH(_Calcs!$NW$41,outputs_oppsum[stuff_id],0))</f>
        <v>#N/A</v>
      </c>
      <c r="CL139" s="819"/>
      <c r="CM139" s="30" t="e">
        <f>IF(OR(CK139=_Calcs!$HI$54,CK139="---"),"✓",IF(_Calcs!$NW$313&lt;&gt;0,"!","✓"))</f>
        <v>#N/A</v>
      </c>
      <c r="CN139" s="819"/>
      <c r="CO139" s="820"/>
      <c r="CP139" s="70"/>
      <c r="CQ139" s="537"/>
    </row>
    <row r="140" spans="3:97" s="21" customFormat="1" ht="15" customHeight="1" thickBot="1" x14ac:dyDescent="0.25">
      <c r="C140" s="25"/>
      <c r="D140" s="25"/>
      <c r="E140" s="25"/>
      <c r="F140" s="70"/>
      <c r="G140" s="70"/>
      <c r="H140" s="6696"/>
      <c r="I140" s="6697"/>
      <c r="J140" s="6698"/>
      <c r="K140" s="20"/>
      <c r="L140" s="822"/>
      <c r="M140" s="3889"/>
      <c r="N140" s="3889"/>
      <c r="O140" s="3889"/>
      <c r="P140" s="3889"/>
      <c r="Q140" s="824"/>
      <c r="R140" s="2046"/>
      <c r="S140" s="825"/>
      <c r="T140" s="20"/>
      <c r="U140" s="537"/>
      <c r="V140" s="17"/>
      <c r="W140" s="822"/>
      <c r="X140" s="823"/>
      <c r="Y140" s="823"/>
      <c r="Z140" s="823"/>
      <c r="AA140" s="823"/>
      <c r="AB140" s="823"/>
      <c r="AC140" s="825"/>
      <c r="AD140" s="70"/>
      <c r="AE140" s="822"/>
      <c r="AF140" s="823"/>
      <c r="AG140" s="823"/>
      <c r="AH140" s="823"/>
      <c r="AI140" s="823"/>
      <c r="AJ140" s="823"/>
      <c r="AK140" s="825"/>
      <c r="AL140" s="70"/>
      <c r="AM140" s="822"/>
      <c r="AN140" s="823"/>
      <c r="AO140" s="823"/>
      <c r="AP140" s="823"/>
      <c r="AQ140" s="823"/>
      <c r="AR140" s="823"/>
      <c r="AS140" s="825"/>
      <c r="AT140" s="70"/>
      <c r="AU140" s="822"/>
      <c r="AV140" s="823"/>
      <c r="AW140" s="823"/>
      <c r="AX140" s="823"/>
      <c r="AY140" s="823"/>
      <c r="AZ140" s="823"/>
      <c r="BA140" s="825"/>
      <c r="BB140" s="70"/>
      <c r="BC140" s="822"/>
      <c r="BD140" s="823"/>
      <c r="BE140" s="823"/>
      <c r="BF140" s="823"/>
      <c r="BG140" s="823"/>
      <c r="BH140" s="823"/>
      <c r="BI140" s="825"/>
      <c r="BJ140" s="70"/>
      <c r="BK140" s="822"/>
      <c r="BL140" s="823"/>
      <c r="BM140" s="823"/>
      <c r="BN140" s="823"/>
      <c r="BO140" s="823"/>
      <c r="BP140" s="823"/>
      <c r="BQ140" s="825"/>
      <c r="BR140" s="70"/>
      <c r="BS140" s="822"/>
      <c r="BT140" s="823"/>
      <c r="BU140" s="823"/>
      <c r="BV140" s="823"/>
      <c r="BW140" s="823"/>
      <c r="BX140" s="823"/>
      <c r="BY140" s="825"/>
      <c r="BZ140" s="70"/>
      <c r="CA140" s="822"/>
      <c r="CB140" s="823"/>
      <c r="CC140" s="823"/>
      <c r="CD140" s="823"/>
      <c r="CE140" s="823"/>
      <c r="CF140" s="823"/>
      <c r="CG140" s="825"/>
      <c r="CH140" s="70"/>
      <c r="CI140" s="822"/>
      <c r="CJ140" s="823"/>
      <c r="CK140" s="823"/>
      <c r="CL140" s="823"/>
      <c r="CM140" s="823"/>
      <c r="CN140" s="823"/>
      <c r="CO140" s="825"/>
      <c r="CP140" s="70"/>
      <c r="CQ140" s="537"/>
      <c r="CR140" s="70"/>
    </row>
    <row r="141" spans="3:97" s="21" customFormat="1" ht="8.1" customHeight="1" thickBot="1" x14ac:dyDescent="0.25">
      <c r="C141" s="25"/>
      <c r="D141" s="25"/>
      <c r="E141" s="25"/>
      <c r="F141" s="70"/>
      <c r="G141" s="70"/>
      <c r="H141" s="3927"/>
      <c r="I141" s="3928"/>
      <c r="J141" s="3929"/>
      <c r="K141" s="20"/>
      <c r="L141" s="20"/>
      <c r="M141" s="952"/>
      <c r="N141" s="952"/>
      <c r="O141" s="952"/>
      <c r="P141" s="952"/>
      <c r="Q141" s="16"/>
      <c r="R141" s="2023"/>
      <c r="S141" s="20"/>
      <c r="T141" s="20"/>
      <c r="U141" s="537"/>
      <c r="V141" s="17"/>
      <c r="W141" s="20"/>
      <c r="X141" s="20"/>
      <c r="Y141" s="20"/>
      <c r="Z141" s="20"/>
      <c r="AA141" s="20"/>
      <c r="AB141" s="20"/>
      <c r="AC141" s="20"/>
      <c r="AD141" s="78"/>
      <c r="AE141" s="20"/>
      <c r="AF141" s="20"/>
      <c r="AG141" s="20"/>
      <c r="AH141" s="20"/>
      <c r="AI141" s="20"/>
      <c r="AJ141" s="20"/>
      <c r="AK141" s="20"/>
      <c r="AL141" s="78"/>
      <c r="AM141" s="20"/>
      <c r="AN141" s="20"/>
      <c r="AO141" s="20"/>
      <c r="AP141" s="20"/>
      <c r="AQ141" s="20"/>
      <c r="AR141" s="20"/>
      <c r="AS141" s="20"/>
      <c r="AT141" s="78"/>
      <c r="AU141" s="20"/>
      <c r="AV141" s="20"/>
      <c r="AW141" s="20"/>
      <c r="AX141" s="20"/>
      <c r="AY141" s="20"/>
      <c r="AZ141" s="20"/>
      <c r="BA141" s="20"/>
      <c r="BB141" s="78"/>
      <c r="BC141" s="20"/>
      <c r="BD141" s="20"/>
      <c r="BE141" s="20"/>
      <c r="BF141" s="20"/>
      <c r="BG141" s="20"/>
      <c r="BH141" s="20"/>
      <c r="BI141" s="20"/>
      <c r="BJ141" s="78"/>
      <c r="BK141" s="20"/>
      <c r="BL141" s="20"/>
      <c r="BM141" s="20"/>
      <c r="BN141" s="20"/>
      <c r="BO141" s="20"/>
      <c r="BP141" s="20"/>
      <c r="BQ141" s="20"/>
      <c r="BR141" s="78"/>
      <c r="BS141" s="20"/>
      <c r="BT141" s="20"/>
      <c r="BU141" s="20"/>
      <c r="BV141" s="20"/>
      <c r="BW141" s="20"/>
      <c r="BX141" s="20"/>
      <c r="BY141" s="20"/>
      <c r="BZ141" s="78"/>
      <c r="CA141" s="20"/>
      <c r="CB141" s="20"/>
      <c r="CC141" s="20"/>
      <c r="CD141" s="20"/>
      <c r="CE141" s="20"/>
      <c r="CF141" s="20"/>
      <c r="CG141" s="20"/>
      <c r="CH141" s="78"/>
      <c r="CI141" s="20"/>
      <c r="CJ141" s="20"/>
      <c r="CK141" s="20"/>
      <c r="CL141" s="20"/>
      <c r="CM141" s="20"/>
      <c r="CN141" s="20"/>
      <c r="CO141" s="20"/>
      <c r="CP141" s="78"/>
      <c r="CQ141" s="20"/>
      <c r="CR141" s="70"/>
    </row>
    <row r="142" spans="3:97" s="21" customFormat="1" ht="15" customHeight="1" thickBot="1" x14ac:dyDescent="0.25">
      <c r="C142" s="25"/>
      <c r="D142" s="25"/>
      <c r="E142" s="25"/>
      <c r="F142" s="70"/>
      <c r="G142" s="70"/>
      <c r="H142" s="1691"/>
      <c r="I142" s="1692"/>
      <c r="J142" s="1693"/>
      <c r="K142" s="20"/>
      <c r="L142" s="813"/>
      <c r="M142" s="3888"/>
      <c r="N142" s="3888"/>
      <c r="O142" s="3888"/>
      <c r="P142" s="3888"/>
      <c r="Q142" s="815"/>
      <c r="R142" s="2043"/>
      <c r="S142" s="816"/>
      <c r="T142" s="20"/>
      <c r="U142" s="537"/>
      <c r="V142" s="17"/>
      <c r="W142" s="813"/>
      <c r="X142" s="814"/>
      <c r="Y142" s="814"/>
      <c r="Z142" s="814"/>
      <c r="AA142" s="814"/>
      <c r="AB142" s="814"/>
      <c r="AC142" s="816"/>
      <c r="AD142" s="70"/>
      <c r="AE142" s="813"/>
      <c r="AF142" s="814"/>
      <c r="AG142" s="814"/>
      <c r="AH142" s="814"/>
      <c r="AI142" s="814"/>
      <c r="AJ142" s="814"/>
      <c r="AK142" s="816"/>
      <c r="AL142" s="70"/>
      <c r="AM142" s="813"/>
      <c r="AN142" s="814"/>
      <c r="AO142" s="814"/>
      <c r="AP142" s="814"/>
      <c r="AQ142" s="814"/>
      <c r="AR142" s="814"/>
      <c r="AS142" s="816"/>
      <c r="AT142" s="70"/>
      <c r="AU142" s="813"/>
      <c r="AV142" s="814"/>
      <c r="AW142" s="814"/>
      <c r="AX142" s="814"/>
      <c r="AY142" s="814"/>
      <c r="AZ142" s="814"/>
      <c r="BA142" s="816"/>
      <c r="BB142" s="70"/>
      <c r="BC142" s="813"/>
      <c r="BD142" s="814"/>
      <c r="BE142" s="814"/>
      <c r="BF142" s="814"/>
      <c r="BG142" s="814"/>
      <c r="BH142" s="814"/>
      <c r="BI142" s="816"/>
      <c r="BJ142" s="70"/>
      <c r="BK142" s="813"/>
      <c r="BL142" s="814"/>
      <c r="BM142" s="814"/>
      <c r="BN142" s="814"/>
      <c r="BO142" s="814"/>
      <c r="BP142" s="814"/>
      <c r="BQ142" s="816"/>
      <c r="BR142" s="70"/>
      <c r="BS142" s="813"/>
      <c r="BT142" s="814"/>
      <c r="BU142" s="814"/>
      <c r="BV142" s="814"/>
      <c r="BW142" s="814"/>
      <c r="BX142" s="814"/>
      <c r="BY142" s="816"/>
      <c r="BZ142" s="70"/>
      <c r="CA142" s="813"/>
      <c r="CB142" s="814"/>
      <c r="CC142" s="814"/>
      <c r="CD142" s="814"/>
      <c r="CE142" s="814"/>
      <c r="CF142" s="814"/>
      <c r="CG142" s="816"/>
      <c r="CH142" s="70"/>
      <c r="CI142" s="813"/>
      <c r="CJ142" s="814"/>
      <c r="CK142" s="814"/>
      <c r="CL142" s="814"/>
      <c r="CM142" s="814"/>
      <c r="CN142" s="814"/>
      <c r="CO142" s="816"/>
      <c r="CP142" s="70"/>
      <c r="CQ142" s="537"/>
      <c r="CR142" s="70"/>
    </row>
    <row r="143" spans="3:97" s="21" customFormat="1" ht="20.100000000000001" customHeight="1" thickBot="1" x14ac:dyDescent="0.25">
      <c r="C143" s="25"/>
      <c r="D143" s="25"/>
      <c r="E143" s="25"/>
      <c r="F143" s="70"/>
      <c r="G143" s="70"/>
      <c r="H143" s="1711"/>
      <c r="I143" s="832"/>
      <c r="J143" s="833"/>
      <c r="K143" s="20"/>
      <c r="L143" s="817"/>
      <c r="M143" s="1012" t="s">
        <v>2695</v>
      </c>
      <c r="N143" s="1012"/>
      <c r="O143" s="1012"/>
      <c r="P143" s="1012"/>
      <c r="Q143" s="821"/>
      <c r="R143" s="2045" t="s">
        <v>146</v>
      </c>
      <c r="S143" s="820"/>
      <c r="T143" s="20"/>
      <c r="U143" s="537"/>
      <c r="V143" s="17"/>
      <c r="W143" s="817"/>
      <c r="X143" s="819"/>
      <c r="Y143" s="3969" t="str">
        <f>INDEX(outputs_oppsum[extra_tverrslag_prosjekt_forarb_uke],MATCH(_Calcs!$NO$41,outputs_oppsum[stuff_id],0))</f>
        <v>-</v>
      </c>
      <c r="Z143" s="826"/>
      <c r="AA143" s="30" t="str">
        <f>IF(OR(Y139=_Calcs!$HI$54,Y139="---"),"✓",IF(_Calcs!$NN$253&lt;&gt;0,"!","✓"))</f>
        <v>✓</v>
      </c>
      <c r="AB143" s="826"/>
      <c r="AC143" s="827"/>
      <c r="AD143" s="3970"/>
      <c r="AE143" s="828"/>
      <c r="AF143" s="826"/>
      <c r="AG143" s="3969" t="e">
        <f>INDEX(outputs_oppsum[extra_tverrslag_prosjekt_forarb_uke],MATCH(_Calcs!$NP$41,outputs_oppsum[stuff_id],0))</f>
        <v>#N/A</v>
      </c>
      <c r="AH143" s="826"/>
      <c r="AI143" s="30" t="e">
        <f>IF(OR(AG139=_Calcs!$HI$54,AG139="---"),"✓",IF(_Calcs!$NN$253&lt;&gt;0,"!","✓"))</f>
        <v>#N/A</v>
      </c>
      <c r="AJ143" s="826"/>
      <c r="AK143" s="827"/>
      <c r="AL143" s="3970"/>
      <c r="AM143" s="828"/>
      <c r="AN143" s="826"/>
      <c r="AO143" s="3969" t="e">
        <f>INDEX(outputs_oppsum[extra_tverrslag_prosjekt_forarb_uke],MATCH(_Calcs!$NQ$41,outputs_oppsum[stuff_id],0))</f>
        <v>#N/A</v>
      </c>
      <c r="AP143" s="826"/>
      <c r="AQ143" s="30" t="e">
        <f>IF(OR(AO139=_Calcs!$HI$54,AO139="---"),"✓",IF(_Calcs!$NN$253&lt;&gt;0,"!","✓"))</f>
        <v>#N/A</v>
      </c>
      <c r="AR143" s="826"/>
      <c r="AS143" s="827"/>
      <c r="AT143" s="3970"/>
      <c r="AU143" s="828"/>
      <c r="AV143" s="826"/>
      <c r="AW143" s="3969" t="e">
        <f>INDEX(outputs_oppsum[extra_tverrslag_prosjekt_forarb_uke],MATCH(_Calcs!$NR$41,outputs_oppsum[stuff_id],0))</f>
        <v>#N/A</v>
      </c>
      <c r="AX143" s="826"/>
      <c r="AY143" s="30" t="e">
        <f>IF(OR(AW139=_Calcs!$HI$54,AW139="---"),"✓",IF(_Calcs!$NN$253&lt;&gt;0,"!","✓"))</f>
        <v>#N/A</v>
      </c>
      <c r="AZ143" s="826"/>
      <c r="BA143" s="827"/>
      <c r="BB143" s="3970"/>
      <c r="BC143" s="817"/>
      <c r="BD143" s="819"/>
      <c r="BE143" s="3969" t="e">
        <f>INDEX(outputs_oppsum[extra_tverrslag_prosjekt_forarb_uke],MATCH(_Calcs!$NS$41,outputs_oppsum[stuff_id],0))</f>
        <v>#N/A</v>
      </c>
      <c r="BF143" s="826"/>
      <c r="BG143" s="30" t="e">
        <f>IF(OR(BE139=_Calcs!$HI$54,BE139="---"),"✓",IF(_Calcs!$NN$253&lt;&gt;0,"!","✓"))</f>
        <v>#N/A</v>
      </c>
      <c r="BH143" s="826"/>
      <c r="BI143" s="827"/>
      <c r="BJ143" s="3970"/>
      <c r="BK143" s="828"/>
      <c r="BL143" s="826"/>
      <c r="BM143" s="3969" t="e">
        <f>INDEX(outputs_oppsum[extra_tverrslag_prosjekt_forarb_uke],MATCH(_Calcs!$NT$41,outputs_oppsum[stuff_id],0))</f>
        <v>#N/A</v>
      </c>
      <c r="BN143" s="826"/>
      <c r="BO143" s="30" t="e">
        <f>IF(OR(BM139=_Calcs!$HI$54,BM139="---"),"✓",IF(_Calcs!$NN$253&lt;&gt;0,"!","✓"))</f>
        <v>#N/A</v>
      </c>
      <c r="BP143" s="826"/>
      <c r="BQ143" s="827"/>
      <c r="BR143" s="3970"/>
      <c r="BS143" s="828"/>
      <c r="BT143" s="826"/>
      <c r="BU143" s="3969" t="e">
        <f>INDEX(outputs_oppsum[extra_tverrslag_prosjekt_forarb_uke],MATCH(_Calcs!$NU$41,outputs_oppsum[stuff_id],0))</f>
        <v>#N/A</v>
      </c>
      <c r="BV143" s="826"/>
      <c r="BW143" s="30" t="e">
        <f>IF(OR(BU139=_Calcs!$HI$54,BU139="---"),"✓",IF(_Calcs!$NN$253&lt;&gt;0,"!","✓"))</f>
        <v>#N/A</v>
      </c>
      <c r="BX143" s="826"/>
      <c r="BY143" s="827"/>
      <c r="BZ143" s="3970"/>
      <c r="CA143" s="828"/>
      <c r="CB143" s="826"/>
      <c r="CC143" s="3969" t="e">
        <f>INDEX(outputs_oppsum[extra_tverrslag_prosjekt_forarb_uke],MATCH(_Calcs!$NV$41,outputs_oppsum[stuff_id],0))</f>
        <v>#N/A</v>
      </c>
      <c r="CD143" s="826"/>
      <c r="CE143" s="30" t="e">
        <f>IF(OR(CC139=_Calcs!$HI$54,CC139="---"),"✓",IF(_Calcs!$NN$253&lt;&gt;0,"!","✓"))</f>
        <v>#N/A</v>
      </c>
      <c r="CF143" s="826"/>
      <c r="CG143" s="827"/>
      <c r="CH143" s="70"/>
      <c r="CI143" s="828"/>
      <c r="CJ143" s="826"/>
      <c r="CK143" s="3969" t="e">
        <f>INDEX(outputs_oppsum[extra_tverrslag_prosjekt_forarb_uke],MATCH(_Calcs!$NW$41,outputs_oppsum[stuff_id],0))</f>
        <v>#N/A</v>
      </c>
      <c r="CL143" s="826"/>
      <c r="CM143" s="30" t="e">
        <f>IF(OR(CK139=_Calcs!$HI$54,CK139="---"),"✓",IF(_Calcs!$NN$253&lt;&gt;0,"!","✓"))</f>
        <v>#N/A</v>
      </c>
      <c r="CN143" s="819"/>
      <c r="CO143" s="820"/>
      <c r="CP143" s="70"/>
      <c r="CQ143" s="537"/>
      <c r="CR143" s="70"/>
    </row>
    <row r="144" spans="3:97" s="21" customFormat="1" ht="15" customHeight="1" thickBot="1" x14ac:dyDescent="0.25">
      <c r="C144" s="25"/>
      <c r="D144" s="25"/>
      <c r="E144" s="25"/>
      <c r="F144" s="70"/>
      <c r="G144" s="70"/>
      <c r="H144" s="1711"/>
      <c r="I144" s="832"/>
      <c r="J144" s="833"/>
      <c r="K144" s="20"/>
      <c r="L144" s="817"/>
      <c r="M144" s="1012"/>
      <c r="N144" s="1012"/>
      <c r="O144" s="1012"/>
      <c r="P144" s="1012"/>
      <c r="Q144" s="821"/>
      <c r="R144" s="2045"/>
      <c r="S144" s="820"/>
      <c r="T144" s="20"/>
      <c r="U144" s="537"/>
      <c r="V144" s="17"/>
      <c r="W144" s="817"/>
      <c r="X144" s="819"/>
      <c r="Y144" s="819"/>
      <c r="Z144" s="819"/>
      <c r="AA144" s="819"/>
      <c r="AB144" s="819"/>
      <c r="AC144" s="820"/>
      <c r="AD144" s="70"/>
      <c r="AE144" s="817"/>
      <c r="AF144" s="819"/>
      <c r="AG144" s="819"/>
      <c r="AH144" s="819"/>
      <c r="AI144" s="819"/>
      <c r="AJ144" s="819"/>
      <c r="AK144" s="820"/>
      <c r="AL144" s="70"/>
      <c r="AM144" s="817"/>
      <c r="AN144" s="819"/>
      <c r="AO144" s="819"/>
      <c r="AP144" s="819"/>
      <c r="AQ144" s="819"/>
      <c r="AR144" s="819"/>
      <c r="AS144" s="820"/>
      <c r="AT144" s="70"/>
      <c r="AU144" s="817"/>
      <c r="AV144" s="819"/>
      <c r="AW144" s="819"/>
      <c r="AX144" s="819"/>
      <c r="AY144" s="819"/>
      <c r="AZ144" s="819"/>
      <c r="BA144" s="820"/>
      <c r="BB144" s="70"/>
      <c r="BC144" s="817"/>
      <c r="BD144" s="819"/>
      <c r="BE144" s="819"/>
      <c r="BF144" s="819"/>
      <c r="BG144" s="819"/>
      <c r="BH144" s="819"/>
      <c r="BI144" s="820"/>
      <c r="BJ144" s="70"/>
      <c r="BK144" s="817"/>
      <c r="BL144" s="819"/>
      <c r="BM144" s="819"/>
      <c r="BN144" s="819"/>
      <c r="BO144" s="819"/>
      <c r="BP144" s="819"/>
      <c r="BQ144" s="820"/>
      <c r="BR144" s="70"/>
      <c r="BS144" s="817"/>
      <c r="BT144" s="819"/>
      <c r="BU144" s="819"/>
      <c r="BV144" s="819"/>
      <c r="BW144" s="819"/>
      <c r="BX144" s="819"/>
      <c r="BY144" s="820"/>
      <c r="BZ144" s="70"/>
      <c r="CA144" s="817"/>
      <c r="CB144" s="819"/>
      <c r="CC144" s="819"/>
      <c r="CD144" s="819"/>
      <c r="CE144" s="819"/>
      <c r="CF144" s="819"/>
      <c r="CG144" s="820"/>
      <c r="CH144" s="70"/>
      <c r="CI144" s="817"/>
      <c r="CJ144" s="819"/>
      <c r="CK144" s="819"/>
      <c r="CL144" s="819"/>
      <c r="CM144" s="819"/>
      <c r="CN144" s="819"/>
      <c r="CO144" s="820"/>
      <c r="CP144" s="70"/>
      <c r="CQ144" s="537"/>
      <c r="CR144" s="70"/>
    </row>
    <row r="145" spans="3:135" s="21" customFormat="1" ht="20.100000000000001" customHeight="1" thickBot="1" x14ac:dyDescent="0.25">
      <c r="C145" s="25"/>
      <c r="D145" s="25"/>
      <c r="E145" s="25"/>
      <c r="F145" s="70"/>
      <c r="G145" s="70"/>
      <c r="H145" s="1711"/>
      <c r="I145" s="832"/>
      <c r="J145" s="833"/>
      <c r="K145" s="20"/>
      <c r="L145" s="817"/>
      <c r="M145" s="1012" t="s">
        <v>2698</v>
      </c>
      <c r="N145" s="1012"/>
      <c r="O145" s="1012"/>
      <c r="P145" s="1012"/>
      <c r="Q145" s="818"/>
      <c r="R145" s="2045" t="s">
        <v>146</v>
      </c>
      <c r="S145" s="820"/>
      <c r="T145" s="20"/>
      <c r="U145" s="537"/>
      <c r="V145" s="17"/>
      <c r="W145" s="817"/>
      <c r="X145" s="819"/>
      <c r="Y145" s="3969" t="str">
        <f>INDEX(outputs_oppsum[tverrslag_forsinkt_uke],MATCH(_Calcs!$NO$41,outputs_oppsum[stuff_id],0))</f>
        <v>-</v>
      </c>
      <c r="Z145" s="819"/>
      <c r="AA145" s="30" t="str">
        <f>IF(OR(Y139=_Calcs!$HI$54,Y139="---"),"✓",IF(_Calcs!$NO$300&lt;&gt;0,"!","✓"))</f>
        <v>✓</v>
      </c>
      <c r="AB145" s="819"/>
      <c r="AC145" s="820"/>
      <c r="AD145" s="70"/>
      <c r="AE145" s="817"/>
      <c r="AF145" s="819"/>
      <c r="AG145" s="3969" t="e">
        <f>INDEX(outputs_oppsum[tverrslag_forsinkt_uke],MATCH(_Calcs!$NP$41,outputs_oppsum[stuff_id],0))</f>
        <v>#N/A</v>
      </c>
      <c r="AH145" s="819"/>
      <c r="AI145" s="30" t="e">
        <f>IF(OR(AG139=_Calcs!$HI$54,AG139="---"),"✓",IF(_Calcs!$NP$300&lt;&gt;0,"!","✓"))</f>
        <v>#N/A</v>
      </c>
      <c r="AJ145" s="819"/>
      <c r="AK145" s="820"/>
      <c r="AL145" s="70"/>
      <c r="AM145" s="817"/>
      <c r="AN145" s="819"/>
      <c r="AO145" s="3969" t="e">
        <f>INDEX(outputs_oppsum[tverrslag_forsinkt_uke],MATCH(_Calcs!$NQ$41,outputs_oppsum[stuff_id],0))</f>
        <v>#N/A</v>
      </c>
      <c r="AP145" s="819"/>
      <c r="AQ145" s="30" t="e">
        <f>IF(OR(AO139=_Calcs!$HI$54,AO139="---"),"✓",IF(_Calcs!$NQ$300&lt;&gt;0,"!","✓"))</f>
        <v>#N/A</v>
      </c>
      <c r="AR145" s="819"/>
      <c r="AS145" s="820"/>
      <c r="AT145" s="70"/>
      <c r="AU145" s="817"/>
      <c r="AV145" s="819"/>
      <c r="AW145" s="3969" t="e">
        <f>INDEX(outputs_oppsum[tverrslag_forsinkt_uke],MATCH(_Calcs!$NR$41,outputs_oppsum[stuff_id],0))</f>
        <v>#N/A</v>
      </c>
      <c r="AX145" s="819"/>
      <c r="AY145" s="30" t="e">
        <f>IF(OR(AW139=_Calcs!$HI$54,AW139="---"),"✓",IF(_Calcs!$NR$300&lt;&gt;0,"!","✓"))</f>
        <v>#N/A</v>
      </c>
      <c r="AZ145" s="819"/>
      <c r="BA145" s="820"/>
      <c r="BB145" s="70"/>
      <c r="BC145" s="817"/>
      <c r="BD145" s="819"/>
      <c r="BE145" s="3969" t="e">
        <f>INDEX(outputs_oppsum[tverrslag_forsinkt_uke],MATCH(_Calcs!$NS$41,outputs_oppsum[stuff_id],0))</f>
        <v>#N/A</v>
      </c>
      <c r="BF145" s="819"/>
      <c r="BG145" s="30" t="e">
        <f>IF(OR(BE139=_Calcs!$HI$54,BE139="---"),"✓",IF(_Calcs!$NS$300&lt;&gt;0,"!","✓"))</f>
        <v>#N/A</v>
      </c>
      <c r="BH145" s="819"/>
      <c r="BI145" s="820"/>
      <c r="BJ145" s="70"/>
      <c r="BK145" s="817"/>
      <c r="BL145" s="819"/>
      <c r="BM145" s="3969" t="e">
        <f>INDEX(outputs_oppsum[tverrslag_forsinkt_uke],MATCH(_Calcs!$NT$41,outputs_oppsum[stuff_id],0))</f>
        <v>#N/A</v>
      </c>
      <c r="BN145" s="819"/>
      <c r="BO145" s="30" t="e">
        <f>IF(OR(BM139=_Calcs!$HI$54,BM139="---"),"✓",IF(_Calcs!$NT$300&lt;&gt;0,"!","✓"))</f>
        <v>#N/A</v>
      </c>
      <c r="BP145" s="819"/>
      <c r="BQ145" s="820"/>
      <c r="BR145" s="70"/>
      <c r="BS145" s="817"/>
      <c r="BT145" s="819"/>
      <c r="BU145" s="3969" t="e">
        <f>INDEX(outputs_oppsum[tverrslag_forsinkt_uke],MATCH(_Calcs!$NU$41,outputs_oppsum[stuff_id],0))</f>
        <v>#N/A</v>
      </c>
      <c r="BV145" s="819"/>
      <c r="BW145" s="30" t="e">
        <f>IF(OR(BU139=_Calcs!$HI$54,BU139="---"),"✓",IF(_Calcs!$NU$300&lt;&gt;0,"!","✓"))</f>
        <v>#N/A</v>
      </c>
      <c r="BX145" s="819"/>
      <c r="BY145" s="820"/>
      <c r="BZ145" s="70"/>
      <c r="CA145" s="817"/>
      <c r="CB145" s="819"/>
      <c r="CC145" s="3969" t="e">
        <f>INDEX(outputs_oppsum[tverrslag_forsinkt_uke],MATCH(_Calcs!$NV$41,outputs_oppsum[stuff_id],0))</f>
        <v>#N/A</v>
      </c>
      <c r="CD145" s="819"/>
      <c r="CE145" s="30" t="e">
        <f>IF(OR(CC139=_Calcs!$HI$54,CC139="---"),"✓",IF(_Calcs!$NV$300&lt;&gt;0,"!","✓"))</f>
        <v>#N/A</v>
      </c>
      <c r="CF145" s="819"/>
      <c r="CG145" s="820"/>
      <c r="CH145" s="70"/>
      <c r="CI145" s="817"/>
      <c r="CJ145" s="819"/>
      <c r="CK145" s="3969" t="e">
        <f>INDEX(outputs_oppsum[tverrslag_forsinkt_uke],MATCH(_Calcs!$NW$41,outputs_oppsum[stuff_id],0))</f>
        <v>#N/A</v>
      </c>
      <c r="CL145" s="819"/>
      <c r="CM145" s="30" t="e">
        <f>IF(OR(CK139=_Calcs!$HI$54,CK139="---"),"✓",IF(_Calcs!$NW$300&lt;&gt;0,"!","✓"))</f>
        <v>#N/A</v>
      </c>
      <c r="CN145" s="819"/>
      <c r="CO145" s="820"/>
      <c r="CP145" s="70"/>
      <c r="CQ145" s="537"/>
      <c r="CR145" s="70"/>
    </row>
    <row r="146" spans="3:135" s="21" customFormat="1" ht="15" customHeight="1" thickBot="1" x14ac:dyDescent="0.25">
      <c r="C146" s="25"/>
      <c r="D146" s="25"/>
      <c r="E146" s="25"/>
      <c r="F146" s="70"/>
      <c r="G146" s="70"/>
      <c r="H146" s="1691"/>
      <c r="I146" s="1692"/>
      <c r="J146" s="1693"/>
      <c r="K146" s="20"/>
      <c r="L146" s="817"/>
      <c r="M146" s="1012"/>
      <c r="N146" s="1012"/>
      <c r="O146" s="1012"/>
      <c r="P146" s="1012"/>
      <c r="Q146" s="821"/>
      <c r="R146" s="2045"/>
      <c r="S146" s="820"/>
      <c r="T146" s="20"/>
      <c r="U146" s="537"/>
      <c r="V146" s="17"/>
      <c r="W146" s="817"/>
      <c r="X146" s="819"/>
      <c r="Y146" s="819"/>
      <c r="Z146" s="819"/>
      <c r="AA146" s="819"/>
      <c r="AB146" s="819"/>
      <c r="AC146" s="820"/>
      <c r="AD146" s="70"/>
      <c r="AE146" s="817"/>
      <c r="AF146" s="819"/>
      <c r="AG146" s="819"/>
      <c r="AH146" s="819"/>
      <c r="AI146" s="819"/>
      <c r="AJ146" s="819"/>
      <c r="AK146" s="820"/>
      <c r="AL146" s="70"/>
      <c r="AM146" s="817"/>
      <c r="AN146" s="819"/>
      <c r="AO146" s="819"/>
      <c r="AP146" s="819"/>
      <c r="AQ146" s="819"/>
      <c r="AR146" s="819"/>
      <c r="AS146" s="820"/>
      <c r="AT146" s="70"/>
      <c r="AU146" s="817"/>
      <c r="AV146" s="819"/>
      <c r="AW146" s="819"/>
      <c r="AX146" s="819"/>
      <c r="AY146" s="819"/>
      <c r="AZ146" s="819"/>
      <c r="BA146" s="820"/>
      <c r="BB146" s="70"/>
      <c r="BC146" s="817"/>
      <c r="BD146" s="819"/>
      <c r="BE146" s="819"/>
      <c r="BF146" s="819"/>
      <c r="BG146" s="819"/>
      <c r="BH146" s="819"/>
      <c r="BI146" s="820"/>
      <c r="BJ146" s="70"/>
      <c r="BK146" s="817"/>
      <c r="BL146" s="819"/>
      <c r="BM146" s="819"/>
      <c r="BN146" s="819"/>
      <c r="BO146" s="819"/>
      <c r="BP146" s="819"/>
      <c r="BQ146" s="820"/>
      <c r="BR146" s="70"/>
      <c r="BS146" s="817"/>
      <c r="BT146" s="819"/>
      <c r="BU146" s="819"/>
      <c r="BV146" s="819"/>
      <c r="BW146" s="819"/>
      <c r="BX146" s="819"/>
      <c r="BY146" s="820"/>
      <c r="BZ146" s="70"/>
      <c r="CA146" s="817"/>
      <c r="CB146" s="819"/>
      <c r="CC146" s="819"/>
      <c r="CD146" s="819"/>
      <c r="CE146" s="819"/>
      <c r="CF146" s="819"/>
      <c r="CG146" s="820"/>
      <c r="CH146" s="70"/>
      <c r="CI146" s="817"/>
      <c r="CJ146" s="819"/>
      <c r="CK146" s="819"/>
      <c r="CL146" s="819"/>
      <c r="CM146" s="819"/>
      <c r="CN146" s="819"/>
      <c r="CO146" s="820"/>
      <c r="CP146" s="70"/>
      <c r="CQ146" s="537"/>
      <c r="CR146" s="70"/>
    </row>
    <row r="147" spans="3:135" s="21" customFormat="1" ht="20.100000000000001" customHeight="1" thickBot="1" x14ac:dyDescent="0.25">
      <c r="C147" s="25"/>
      <c r="D147" s="25"/>
      <c r="E147" s="25"/>
      <c r="F147" s="70"/>
      <c r="G147" s="70"/>
      <c r="H147" s="1711"/>
      <c r="I147" s="832"/>
      <c r="J147" s="833"/>
      <c r="K147" s="20"/>
      <c r="L147" s="817"/>
      <c r="M147" s="1012" t="s">
        <v>2696</v>
      </c>
      <c r="N147" s="1012"/>
      <c r="O147" s="1012"/>
      <c r="P147" s="1012"/>
      <c r="Q147" s="821"/>
      <c r="R147" s="2045" t="s">
        <v>146</v>
      </c>
      <c r="S147" s="820"/>
      <c r="T147" s="20"/>
      <c r="U147" s="537"/>
      <c r="V147" s="17"/>
      <c r="W147" s="817"/>
      <c r="X147" s="819"/>
      <c r="Y147" s="3969" t="str">
        <f>INDEX(outputs_oppsum[extra_tverrslag_forarb_uke],MATCH(_Calcs!$NO$41,outputs_oppsum[stuff_id],0))</f>
        <v>-</v>
      </c>
      <c r="Z147" s="826"/>
      <c r="AA147" s="30" t="str">
        <f>IF(OR(Y139=_Calcs!$HI$54,Y139="---"),"✓",IF(_Calcs!$NN$253&lt;&gt;0,"!","✓"))</f>
        <v>✓</v>
      </c>
      <c r="AB147" s="826"/>
      <c r="AC147" s="827"/>
      <c r="AD147" s="3970"/>
      <c r="AE147" s="828"/>
      <c r="AF147" s="826"/>
      <c r="AG147" s="3969" t="e">
        <f>INDEX(outputs_oppsum[extra_tverrslag_forarb_uke],MATCH(_Calcs!$NP$41,outputs_oppsum[stuff_id],0))</f>
        <v>#N/A</v>
      </c>
      <c r="AH147" s="826"/>
      <c r="AI147" s="30" t="e">
        <f>IF(OR(AG139=_Calcs!$HI$54,AG139="---"),"✓",IF(_Calcs!$NN$253&lt;&gt;0,"!","✓"))</f>
        <v>#N/A</v>
      </c>
      <c r="AJ147" s="826"/>
      <c r="AK147" s="827"/>
      <c r="AL147" s="3970"/>
      <c r="AM147" s="828"/>
      <c r="AN147" s="826"/>
      <c r="AO147" s="3969" t="e">
        <f>INDEX(outputs_oppsum[extra_tverrslag_forarb_uke],MATCH(_Calcs!$NQ$41,outputs_oppsum[stuff_id],0))</f>
        <v>#N/A</v>
      </c>
      <c r="AP147" s="826"/>
      <c r="AQ147" s="30" t="e">
        <f>IF(OR(AO139=_Calcs!$HI$54,AO139="---"),"✓",IF(_Calcs!$NN$253&lt;&gt;0,"!","✓"))</f>
        <v>#N/A</v>
      </c>
      <c r="AR147" s="826"/>
      <c r="AS147" s="827"/>
      <c r="AT147" s="3970"/>
      <c r="AU147" s="828"/>
      <c r="AV147" s="826"/>
      <c r="AW147" s="3969" t="e">
        <f>INDEX(outputs_oppsum[extra_tverrslag_forarb_uke],MATCH(_Calcs!$NR$41,outputs_oppsum[stuff_id],0))</f>
        <v>#N/A</v>
      </c>
      <c r="AX147" s="826"/>
      <c r="AY147" s="30" t="e">
        <f>IF(OR(AW139=_Calcs!$HI$54,AW139="---"),"✓",IF(_Calcs!$NN$253&lt;&gt;0,"!","✓"))</f>
        <v>#N/A</v>
      </c>
      <c r="AZ147" s="826"/>
      <c r="BA147" s="827"/>
      <c r="BB147" s="3970"/>
      <c r="BC147" s="817"/>
      <c r="BD147" s="819"/>
      <c r="BE147" s="3969" t="e">
        <f>INDEX(outputs_oppsum[extra_tverrslag_forarb_uke],MATCH(_Calcs!$NS$41,outputs_oppsum[stuff_id],0))</f>
        <v>#N/A</v>
      </c>
      <c r="BF147" s="826"/>
      <c r="BG147" s="30" t="e">
        <f>IF(OR(BE139=_Calcs!$HI$54,BE139="---"),"✓",IF(_Calcs!$NN$253&lt;&gt;0,"!","✓"))</f>
        <v>#N/A</v>
      </c>
      <c r="BH147" s="826"/>
      <c r="BI147" s="827"/>
      <c r="BJ147" s="3970"/>
      <c r="BK147" s="828"/>
      <c r="BL147" s="826"/>
      <c r="BM147" s="3969" t="e">
        <f>INDEX(outputs_oppsum[extra_tverrslag_forarb_uke],MATCH(_Calcs!$NT$41,outputs_oppsum[stuff_id],0))</f>
        <v>#N/A</v>
      </c>
      <c r="BN147" s="826"/>
      <c r="BO147" s="30" t="e">
        <f>IF(OR(BM139=_Calcs!$HI$54,BM139="---"),"✓",IF(_Calcs!$NN$253&lt;&gt;0,"!","✓"))</f>
        <v>#N/A</v>
      </c>
      <c r="BP147" s="826"/>
      <c r="BQ147" s="827"/>
      <c r="BR147" s="3970"/>
      <c r="BS147" s="828"/>
      <c r="BT147" s="826"/>
      <c r="BU147" s="3969" t="e">
        <f>INDEX(outputs_oppsum[extra_tverrslag_forarb_uke],MATCH(_Calcs!$NU$41,outputs_oppsum[stuff_id],0))</f>
        <v>#N/A</v>
      </c>
      <c r="BV147" s="826"/>
      <c r="BW147" s="30" t="e">
        <f>IF(OR(BU139=_Calcs!$HI$54,BU139="---"),"✓",IF(_Calcs!$NN$253&lt;&gt;0,"!","✓"))</f>
        <v>#N/A</v>
      </c>
      <c r="BX147" s="826"/>
      <c r="BY147" s="827"/>
      <c r="BZ147" s="3970"/>
      <c r="CA147" s="828"/>
      <c r="CB147" s="826"/>
      <c r="CC147" s="3969" t="e">
        <f>INDEX(outputs_oppsum[extra_tverrslag_forarb_uke],MATCH(_Calcs!$NV$41,outputs_oppsum[stuff_id],0))</f>
        <v>#N/A</v>
      </c>
      <c r="CD147" s="826"/>
      <c r="CE147" s="30" t="e">
        <f>IF(OR(CC139=_Calcs!$HI$54,CC139="---"),"✓",IF(_Calcs!$NN$253&lt;&gt;0,"!","✓"))</f>
        <v>#N/A</v>
      </c>
      <c r="CF147" s="826"/>
      <c r="CG147" s="827"/>
      <c r="CH147" s="70"/>
      <c r="CI147" s="828"/>
      <c r="CJ147" s="826"/>
      <c r="CK147" s="3969" t="e">
        <f>INDEX(outputs_oppsum[extra_tverrslag_forarb_uke],MATCH(_Calcs!$NW$41,outputs_oppsum[stuff_id],0))</f>
        <v>#N/A</v>
      </c>
      <c r="CL147" s="826"/>
      <c r="CM147" s="30" t="e">
        <f>IF(OR(CK139=_Calcs!$HI$54,CK139="---"),"✓",IF(_Calcs!$NN$253&lt;&gt;0,"!","✓"))</f>
        <v>#N/A</v>
      </c>
      <c r="CN147" s="819"/>
      <c r="CO147" s="820"/>
      <c r="CP147" s="70"/>
      <c r="CQ147" s="537"/>
      <c r="CR147" s="70"/>
    </row>
    <row r="148" spans="3:135" s="21" customFormat="1" ht="15" customHeight="1" thickBot="1" x14ac:dyDescent="0.25">
      <c r="C148" s="25"/>
      <c r="D148" s="25"/>
      <c r="E148" s="25"/>
      <c r="F148" s="70"/>
      <c r="G148" s="70"/>
      <c r="H148" s="1711"/>
      <c r="I148" s="832"/>
      <c r="J148" s="833"/>
      <c r="K148" s="20"/>
      <c r="L148" s="817"/>
      <c r="M148" s="1012"/>
      <c r="N148" s="1012"/>
      <c r="O148" s="1012"/>
      <c r="P148" s="1012"/>
      <c r="Q148" s="821"/>
      <c r="R148" s="2045"/>
      <c r="S148" s="820"/>
      <c r="T148" s="20"/>
      <c r="U148" s="537"/>
      <c r="V148" s="17"/>
      <c r="W148" s="817"/>
      <c r="X148" s="819"/>
      <c r="Y148" s="819"/>
      <c r="Z148" s="819"/>
      <c r="AA148" s="819"/>
      <c r="AB148" s="819"/>
      <c r="AC148" s="820"/>
      <c r="AD148" s="70"/>
      <c r="AE148" s="817"/>
      <c r="AF148" s="819"/>
      <c r="AG148" s="819"/>
      <c r="AH148" s="819"/>
      <c r="AI148" s="819"/>
      <c r="AJ148" s="819"/>
      <c r="AK148" s="820"/>
      <c r="AL148" s="70"/>
      <c r="AM148" s="817"/>
      <c r="AN148" s="819"/>
      <c r="AO148" s="819"/>
      <c r="AP148" s="819"/>
      <c r="AQ148" s="819"/>
      <c r="AR148" s="819"/>
      <c r="AS148" s="820"/>
      <c r="AT148" s="70"/>
      <c r="AU148" s="817"/>
      <c r="AV148" s="819"/>
      <c r="AW148" s="819"/>
      <c r="AX148" s="819"/>
      <c r="AY148" s="819"/>
      <c r="AZ148" s="819"/>
      <c r="BA148" s="820"/>
      <c r="BB148" s="70"/>
      <c r="BC148" s="817"/>
      <c r="BD148" s="819"/>
      <c r="BE148" s="819"/>
      <c r="BF148" s="819"/>
      <c r="BG148" s="819"/>
      <c r="BH148" s="819"/>
      <c r="BI148" s="820"/>
      <c r="BJ148" s="70"/>
      <c r="BK148" s="817"/>
      <c r="BL148" s="819"/>
      <c r="BM148" s="819"/>
      <c r="BN148" s="819"/>
      <c r="BO148" s="819"/>
      <c r="BP148" s="819"/>
      <c r="BQ148" s="820"/>
      <c r="BR148" s="70"/>
      <c r="BS148" s="817"/>
      <c r="BT148" s="819"/>
      <c r="BU148" s="819"/>
      <c r="BV148" s="819"/>
      <c r="BW148" s="819"/>
      <c r="BX148" s="819"/>
      <c r="BY148" s="820"/>
      <c r="BZ148" s="70"/>
      <c r="CA148" s="817"/>
      <c r="CB148" s="819"/>
      <c r="CC148" s="819"/>
      <c r="CD148" s="819"/>
      <c r="CE148" s="819"/>
      <c r="CF148" s="819"/>
      <c r="CG148" s="820"/>
      <c r="CH148" s="70"/>
      <c r="CI148" s="817"/>
      <c r="CJ148" s="819"/>
      <c r="CK148" s="819"/>
      <c r="CL148" s="819"/>
      <c r="CM148" s="819"/>
      <c r="CN148" s="819"/>
      <c r="CO148" s="820"/>
      <c r="CP148" s="70"/>
      <c r="CQ148" s="537"/>
      <c r="CR148" s="70"/>
    </row>
    <row r="149" spans="3:135" s="21" customFormat="1" ht="20.100000000000001" customHeight="1" thickBot="1" x14ac:dyDescent="0.25">
      <c r="C149" s="25"/>
      <c r="D149" s="25"/>
      <c r="E149" s="25"/>
      <c r="F149" s="70"/>
      <c r="G149" s="70"/>
      <c r="H149" s="1691"/>
      <c r="I149" s="1692"/>
      <c r="J149" s="1693"/>
      <c r="K149" s="20"/>
      <c r="L149" s="817"/>
      <c r="M149" s="1012" t="s">
        <v>569</v>
      </c>
      <c r="N149" s="1012"/>
      <c r="O149" s="1012"/>
      <c r="P149" s="1012"/>
      <c r="Q149" s="818"/>
      <c r="R149" s="2045" t="s">
        <v>46</v>
      </c>
      <c r="S149" s="820"/>
      <c r="T149" s="20"/>
      <c r="U149" s="537"/>
      <c r="V149" s="17"/>
      <c r="W149" s="817"/>
      <c r="X149" s="819"/>
      <c r="Y149" s="3969" t="str">
        <f>INDEX(outputs_oppsum[tverrslag_tid_new],MATCH(_Calcs!$NO$41,outputs_oppsum[stuff_id],0))</f>
        <v>-</v>
      </c>
      <c r="Z149" s="826"/>
      <c r="AA149" s="30" t="str">
        <f>IF(OR(Y139=_Calcs!$HI$54,Y139="---"),"✓",IF(_Calcs!$NN$258&gt;0,"!","✓"))</f>
        <v>✓</v>
      </c>
      <c r="AB149" s="826"/>
      <c r="AC149" s="827"/>
      <c r="AD149" s="3970"/>
      <c r="AE149" s="828"/>
      <c r="AF149" s="826"/>
      <c r="AG149" s="3969" t="e">
        <f>INDEX(outputs_oppsum[tverrslag_tid_new],MATCH(_Calcs!$NP$41,outputs_oppsum[stuff_id],0))</f>
        <v>#N/A</v>
      </c>
      <c r="AH149" s="826"/>
      <c r="AI149" s="30" t="e">
        <f>IF(OR(AG139=_Calcs!$HI$54,AG139="---"),"✓",IF(_Calcs!$NN$258&gt;0,"!","✓"))</f>
        <v>#N/A</v>
      </c>
      <c r="AJ149" s="826"/>
      <c r="AK149" s="827"/>
      <c r="AL149" s="3970"/>
      <c r="AM149" s="828"/>
      <c r="AN149" s="826"/>
      <c r="AO149" s="3969" t="e">
        <f>INDEX(outputs_oppsum[tverrslag_tid_new],MATCH(_Calcs!$NQ$41,outputs_oppsum[stuff_id],0))</f>
        <v>#N/A</v>
      </c>
      <c r="AP149" s="826"/>
      <c r="AQ149" s="30" t="e">
        <f>IF(OR(AO139=_Calcs!$HI$54,AO139="---"),"✓",IF(_Calcs!$NN$258&gt;0,"!","✓"))</f>
        <v>#N/A</v>
      </c>
      <c r="AR149" s="826"/>
      <c r="AS149" s="827"/>
      <c r="AT149" s="3970"/>
      <c r="AU149" s="828"/>
      <c r="AV149" s="826"/>
      <c r="AW149" s="3969" t="e">
        <f>INDEX(outputs_oppsum[tverrslag_tid_new],MATCH(_Calcs!$NR$41,outputs_oppsum[stuff_id],0))</f>
        <v>#N/A</v>
      </c>
      <c r="AX149" s="826"/>
      <c r="AY149" s="30" t="e">
        <f>IF(OR(AW139=_Calcs!$HI$54,AW139="---"),"✓",IF(_Calcs!$NN$258&gt;0,"!","✓"))</f>
        <v>#N/A</v>
      </c>
      <c r="AZ149" s="826"/>
      <c r="BA149" s="827"/>
      <c r="BB149" s="3970"/>
      <c r="BC149" s="817"/>
      <c r="BD149" s="819"/>
      <c r="BE149" s="3969" t="e">
        <f>INDEX(outputs_oppsum[tverrslag_tid_new],MATCH(_Calcs!$NS$41,outputs_oppsum[stuff_id],0))</f>
        <v>#N/A</v>
      </c>
      <c r="BF149" s="826"/>
      <c r="BG149" s="30" t="e">
        <f>IF(OR(BE139=_Calcs!$HI$54,BE139="---"),"✓",IF(_Calcs!$NN$258&gt;0,"!","✓"))</f>
        <v>#N/A</v>
      </c>
      <c r="BH149" s="826"/>
      <c r="BI149" s="827"/>
      <c r="BJ149" s="3970"/>
      <c r="BK149" s="828"/>
      <c r="BL149" s="826"/>
      <c r="BM149" s="3969" t="e">
        <f>INDEX(outputs_oppsum[tverrslag_tid_new],MATCH(_Calcs!$NT$41,outputs_oppsum[stuff_id],0))</f>
        <v>#N/A</v>
      </c>
      <c r="BN149" s="826"/>
      <c r="BO149" s="30" t="e">
        <f>IF(OR(BM139=_Calcs!$HI$54,BM139="---"),"✓",IF(_Calcs!$NN$258&gt;0,"!","✓"))</f>
        <v>#N/A</v>
      </c>
      <c r="BP149" s="826"/>
      <c r="BQ149" s="827"/>
      <c r="BR149" s="3970"/>
      <c r="BS149" s="828"/>
      <c r="BT149" s="826"/>
      <c r="BU149" s="3969" t="e">
        <f>INDEX(outputs_oppsum[tverrslag_tid_new],MATCH(_Calcs!$NU$41,outputs_oppsum[stuff_id],0))</f>
        <v>#N/A</v>
      </c>
      <c r="BV149" s="826"/>
      <c r="BW149" s="30" t="e">
        <f>IF(OR(BU139=_Calcs!$HI$54,BU139="---"),"✓",IF(_Calcs!$NN$258&gt;0,"!","✓"))</f>
        <v>#N/A</v>
      </c>
      <c r="BX149" s="826"/>
      <c r="BY149" s="827"/>
      <c r="BZ149" s="3970"/>
      <c r="CA149" s="828"/>
      <c r="CB149" s="826"/>
      <c r="CC149" s="3969" t="e">
        <f>INDEX(outputs_oppsum[tverrslag_tid_new],MATCH(_Calcs!$NV$41,outputs_oppsum[stuff_id],0))</f>
        <v>#N/A</v>
      </c>
      <c r="CD149" s="826"/>
      <c r="CE149" s="30" t="e">
        <f>IF(OR(CC139=_Calcs!$HI$54,CC139="---"),"✓",IF(_Calcs!$NN$258&gt;0,"!","✓"))</f>
        <v>#N/A</v>
      </c>
      <c r="CF149" s="826"/>
      <c r="CG149" s="827"/>
      <c r="CH149" s="70"/>
      <c r="CI149" s="828"/>
      <c r="CJ149" s="826"/>
      <c r="CK149" s="3969" t="e">
        <f>INDEX(outputs_oppsum[tverrslag_tid_new],MATCH(_Calcs!$NW$41,outputs_oppsum[stuff_id],0))</f>
        <v>#N/A</v>
      </c>
      <c r="CL149" s="826"/>
      <c r="CM149" s="30" t="e">
        <f>IF(OR(CK139=_Calcs!$HI$54,CK139="---"),"✓",IF(_Calcs!$NN$258&gt;0,"!","✓"))</f>
        <v>#N/A</v>
      </c>
      <c r="CN149" s="826"/>
      <c r="CO149" s="827"/>
      <c r="CP149" s="70"/>
      <c r="CQ149" s="537"/>
      <c r="CR149" s="70"/>
    </row>
    <row r="150" spans="3:135" s="21" customFormat="1" ht="15" customHeight="1" thickBot="1" x14ac:dyDescent="0.25">
      <c r="C150" s="25"/>
      <c r="D150" s="25"/>
      <c r="E150" s="25"/>
      <c r="F150" s="70"/>
      <c r="G150" s="70"/>
      <c r="H150" s="1711"/>
      <c r="I150" s="832"/>
      <c r="J150" s="833"/>
      <c r="K150" s="20"/>
      <c r="L150" s="817"/>
      <c r="M150" s="1012"/>
      <c r="N150" s="1012"/>
      <c r="O150" s="1012"/>
      <c r="P150" s="1012"/>
      <c r="Q150" s="821"/>
      <c r="R150" s="2045"/>
      <c r="S150" s="820"/>
      <c r="T150" s="20"/>
      <c r="U150" s="537"/>
      <c r="V150" s="17"/>
      <c r="W150" s="817"/>
      <c r="X150" s="819"/>
      <c r="Y150" s="819"/>
      <c r="Z150" s="819"/>
      <c r="AA150" s="819"/>
      <c r="AB150" s="819"/>
      <c r="AC150" s="820"/>
      <c r="AD150" s="70"/>
      <c r="AE150" s="817"/>
      <c r="AF150" s="819"/>
      <c r="AG150" s="819"/>
      <c r="AH150" s="819"/>
      <c r="AI150" s="819"/>
      <c r="AJ150" s="819"/>
      <c r="AK150" s="820"/>
      <c r="AL150" s="70"/>
      <c r="AM150" s="817"/>
      <c r="AN150" s="819"/>
      <c r="AO150" s="819"/>
      <c r="AP150" s="819"/>
      <c r="AQ150" s="819"/>
      <c r="AR150" s="819"/>
      <c r="AS150" s="820"/>
      <c r="AT150" s="70"/>
      <c r="AU150" s="817"/>
      <c r="AV150" s="819"/>
      <c r="AW150" s="819"/>
      <c r="AX150" s="819"/>
      <c r="AY150" s="819"/>
      <c r="AZ150" s="819"/>
      <c r="BA150" s="820"/>
      <c r="BB150" s="70"/>
      <c r="BC150" s="817"/>
      <c r="BD150" s="819"/>
      <c r="BE150" s="819"/>
      <c r="BF150" s="819"/>
      <c r="BG150" s="819"/>
      <c r="BH150" s="819"/>
      <c r="BI150" s="820"/>
      <c r="BJ150" s="70"/>
      <c r="BK150" s="817"/>
      <c r="BL150" s="819"/>
      <c r="BM150" s="819"/>
      <c r="BN150" s="819"/>
      <c r="BO150" s="819"/>
      <c r="BP150" s="819"/>
      <c r="BQ150" s="820"/>
      <c r="BR150" s="70"/>
      <c r="BS150" s="817"/>
      <c r="BT150" s="819"/>
      <c r="BU150" s="819"/>
      <c r="BV150" s="819"/>
      <c r="BW150" s="819"/>
      <c r="BX150" s="819"/>
      <c r="BY150" s="820"/>
      <c r="BZ150" s="70"/>
      <c r="CA150" s="817"/>
      <c r="CB150" s="819"/>
      <c r="CC150" s="819"/>
      <c r="CD150" s="819"/>
      <c r="CE150" s="819"/>
      <c r="CF150" s="819"/>
      <c r="CG150" s="820"/>
      <c r="CH150" s="70"/>
      <c r="CI150" s="817"/>
      <c r="CJ150" s="819"/>
      <c r="CK150" s="819"/>
      <c r="CL150" s="819"/>
      <c r="CM150" s="819"/>
      <c r="CN150" s="819"/>
      <c r="CO150" s="820"/>
      <c r="CP150" s="70"/>
      <c r="CQ150" s="537"/>
      <c r="CR150" s="70"/>
    </row>
    <row r="151" spans="3:135" s="21" customFormat="1" ht="20.100000000000001" customHeight="1" thickBot="1" x14ac:dyDescent="0.25">
      <c r="C151" s="25"/>
      <c r="D151" s="25"/>
      <c r="E151" s="25"/>
      <c r="F151" s="70"/>
      <c r="G151" s="70"/>
      <c r="H151" s="1711"/>
      <c r="I151" s="832"/>
      <c r="J151" s="833"/>
      <c r="K151" s="20"/>
      <c r="L151" s="817"/>
      <c r="M151" s="1012" t="s">
        <v>2697</v>
      </c>
      <c r="N151" s="1012"/>
      <c r="O151" s="1012"/>
      <c r="P151" s="1012"/>
      <c r="Q151" s="818"/>
      <c r="R151" s="2045" t="s">
        <v>146</v>
      </c>
      <c r="S151" s="820"/>
      <c r="T151" s="20"/>
      <c r="U151" s="537"/>
      <c r="V151" s="17"/>
      <c r="W151" s="817"/>
      <c r="X151" s="819"/>
      <c r="Y151" s="3969" t="str">
        <f>INDEX(outputs_oppsum[kryssområdet_forberedende_uke],MATCH(_Calcs!$NO$41,outputs_oppsum[stuff_id],0))</f>
        <v>-</v>
      </c>
      <c r="Z151" s="819"/>
      <c r="AA151" s="30" t="str">
        <f>IF(OR(Y139=_Calcs!$HI$54,Y139="---"),"✓",Tunneldrift!$AJ$112)</f>
        <v>✓</v>
      </c>
      <c r="AB151" s="819"/>
      <c r="AC151" s="820"/>
      <c r="AD151" s="70"/>
      <c r="AE151" s="817"/>
      <c r="AF151" s="819"/>
      <c r="AG151" s="3969" t="e">
        <f>INDEX(outputs_oppsum[kryssområdet_forberedende_uke],MATCH(_Calcs!$NP$41,outputs_oppsum[stuff_id],0))</f>
        <v>#N/A</v>
      </c>
      <c r="AH151" s="819"/>
      <c r="AI151" s="30" t="e">
        <f>IF(OR(AG139=_Calcs!$HI$54,AG139="---"),"✓",Tunneldrift!$AJ$112)</f>
        <v>#N/A</v>
      </c>
      <c r="AJ151" s="819"/>
      <c r="AK151" s="820"/>
      <c r="AL151" s="70"/>
      <c r="AM151" s="817"/>
      <c r="AN151" s="819"/>
      <c r="AO151" s="3969" t="e">
        <f>INDEX(outputs_oppsum[kryssområdet_forberedende_uke],MATCH(_Calcs!$NQ$41,outputs_oppsum[stuff_id],0))</f>
        <v>#N/A</v>
      </c>
      <c r="AP151" s="819"/>
      <c r="AQ151" s="30" t="e">
        <f>IF(OR(AO139=_Calcs!$HI$54,AO139="---"),"✓",Tunneldrift!$AJ$112)</f>
        <v>#N/A</v>
      </c>
      <c r="AR151" s="819"/>
      <c r="AS151" s="820"/>
      <c r="AT151" s="70"/>
      <c r="AU151" s="817"/>
      <c r="AV151" s="819"/>
      <c r="AW151" s="3969" t="e">
        <f>INDEX(outputs_oppsum[kryssområdet_forberedende_uke],MATCH(_Calcs!$NR$41,outputs_oppsum[stuff_id],0))</f>
        <v>#N/A</v>
      </c>
      <c r="AX151" s="819"/>
      <c r="AY151" s="30" t="e">
        <f>IF(OR(AW139=_Calcs!$HI$54,AW139="---"),"✓",Tunneldrift!$AJ$112)</f>
        <v>#N/A</v>
      </c>
      <c r="AZ151" s="819"/>
      <c r="BA151" s="820"/>
      <c r="BB151" s="70"/>
      <c r="BC151" s="817"/>
      <c r="BD151" s="819"/>
      <c r="BE151" s="3969" t="e">
        <f>INDEX(outputs_oppsum[kryssområdet_forberedende_uke],MATCH(_Calcs!$NS$41,outputs_oppsum[stuff_id],0))</f>
        <v>#N/A</v>
      </c>
      <c r="BF151" s="819"/>
      <c r="BG151" s="30" t="e">
        <f>IF(OR(BE139=_Calcs!$HI$54,BE139="---"),"✓",Tunneldrift!$AJ$112)</f>
        <v>#N/A</v>
      </c>
      <c r="BH151" s="819"/>
      <c r="BI151" s="820"/>
      <c r="BJ151" s="70"/>
      <c r="BK151" s="817"/>
      <c r="BL151" s="819"/>
      <c r="BM151" s="3969" t="e">
        <f>INDEX(outputs_oppsum[kryssområdet_forberedende_uke],MATCH(_Calcs!$NT$41,outputs_oppsum[stuff_id],0))</f>
        <v>#N/A</v>
      </c>
      <c r="BN151" s="819"/>
      <c r="BO151" s="30" t="e">
        <f>IF(OR(BM139=_Calcs!$HI$54,BM139="---"),"✓",Tunneldrift!$AJ$112)</f>
        <v>#N/A</v>
      </c>
      <c r="BP151" s="819"/>
      <c r="BQ151" s="820"/>
      <c r="BR151" s="70"/>
      <c r="BS151" s="817"/>
      <c r="BT151" s="819"/>
      <c r="BU151" s="3969" t="e">
        <f>INDEX(outputs_oppsum[kryssområdet_forberedende_uke],MATCH(_Calcs!$NU$41,outputs_oppsum[stuff_id],0))</f>
        <v>#N/A</v>
      </c>
      <c r="BV151" s="819"/>
      <c r="BW151" s="30" t="e">
        <f>IF(OR(BU139=_Calcs!$HI$54,BU139="---"),"✓",Tunneldrift!$AJ$112)</f>
        <v>#N/A</v>
      </c>
      <c r="BX151" s="819"/>
      <c r="BY151" s="820"/>
      <c r="BZ151" s="70"/>
      <c r="CA151" s="817"/>
      <c r="CB151" s="819"/>
      <c r="CC151" s="3969" t="e">
        <f>INDEX(outputs_oppsum[kryssområdet_forberedende_uke],MATCH(_Calcs!$NV$41,outputs_oppsum[stuff_id],0))</f>
        <v>#N/A</v>
      </c>
      <c r="CD151" s="819"/>
      <c r="CE151" s="30" t="e">
        <f>IF(OR(CC139=_Calcs!$HI$54,CC139="---"),"✓",Tunneldrift!$AJ$112)</f>
        <v>#N/A</v>
      </c>
      <c r="CF151" s="819"/>
      <c r="CG151" s="820"/>
      <c r="CH151" s="70"/>
      <c r="CI151" s="817"/>
      <c r="CJ151" s="819"/>
      <c r="CK151" s="3969" t="e">
        <f>INDEX(outputs_oppsum[kryssområdet_forberedende_uke],MATCH(_Calcs!$NW$41,outputs_oppsum[stuff_id],0))</f>
        <v>#N/A</v>
      </c>
      <c r="CL151" s="819"/>
      <c r="CM151" s="30" t="e">
        <f>IF(OR(CK139=_Calcs!$HI$54,CK139="---"),"✓",Tunneldrift!$AJ$112)</f>
        <v>#N/A</v>
      </c>
      <c r="CN151" s="819"/>
      <c r="CO151" s="820"/>
      <c r="CP151" s="70"/>
      <c r="CQ151" s="537"/>
      <c r="CR151" s="70"/>
    </row>
    <row r="152" spans="3:135" s="21" customFormat="1" ht="15" customHeight="1" thickBot="1" x14ac:dyDescent="0.25">
      <c r="C152" s="25"/>
      <c r="D152" s="25"/>
      <c r="E152" s="25"/>
      <c r="F152" s="70"/>
      <c r="G152" s="70"/>
      <c r="H152" s="1711"/>
      <c r="I152" s="832"/>
      <c r="J152" s="833"/>
      <c r="K152" s="20"/>
      <c r="L152" s="817"/>
      <c r="M152" s="1012"/>
      <c r="N152" s="1012"/>
      <c r="O152" s="1012"/>
      <c r="P152" s="1012"/>
      <c r="Q152" s="821"/>
      <c r="R152" s="2045"/>
      <c r="S152" s="820"/>
      <c r="T152" s="20"/>
      <c r="U152" s="537"/>
      <c r="V152" s="17"/>
      <c r="W152" s="817"/>
      <c r="X152" s="819"/>
      <c r="Y152" s="819"/>
      <c r="Z152" s="819"/>
      <c r="AA152" s="819"/>
      <c r="AB152" s="819"/>
      <c r="AC152" s="820"/>
      <c r="AD152" s="70"/>
      <c r="AE152" s="817"/>
      <c r="AF152" s="819"/>
      <c r="AG152" s="819"/>
      <c r="AH152" s="819"/>
      <c r="AI152" s="819"/>
      <c r="AJ152" s="819"/>
      <c r="AK152" s="820"/>
      <c r="AL152" s="70"/>
      <c r="AM152" s="817"/>
      <c r="AN152" s="819"/>
      <c r="AO152" s="819"/>
      <c r="AP152" s="819"/>
      <c r="AQ152" s="819"/>
      <c r="AR152" s="819"/>
      <c r="AS152" s="820"/>
      <c r="AT152" s="70"/>
      <c r="AU152" s="817"/>
      <c r="AV152" s="819"/>
      <c r="AW152" s="819"/>
      <c r="AX152" s="819"/>
      <c r="AY152" s="819"/>
      <c r="AZ152" s="819"/>
      <c r="BA152" s="820"/>
      <c r="BB152" s="70"/>
      <c r="BC152" s="817"/>
      <c r="BD152" s="819"/>
      <c r="BE152" s="819"/>
      <c r="BF152" s="819"/>
      <c r="BG152" s="819"/>
      <c r="BH152" s="819"/>
      <c r="BI152" s="820"/>
      <c r="BJ152" s="70"/>
      <c r="BK152" s="817"/>
      <c r="BL152" s="819"/>
      <c r="BM152" s="819"/>
      <c r="BN152" s="819"/>
      <c r="BO152" s="819"/>
      <c r="BP152" s="819"/>
      <c r="BQ152" s="820"/>
      <c r="BR152" s="70"/>
      <c r="BS152" s="817"/>
      <c r="BT152" s="819"/>
      <c r="BU152" s="819"/>
      <c r="BV152" s="819"/>
      <c r="BW152" s="819"/>
      <c r="BX152" s="819"/>
      <c r="BY152" s="820"/>
      <c r="BZ152" s="70"/>
      <c r="CA152" s="817"/>
      <c r="CB152" s="819"/>
      <c r="CC152" s="819"/>
      <c r="CD152" s="819"/>
      <c r="CE152" s="819"/>
      <c r="CF152" s="819"/>
      <c r="CG152" s="820"/>
      <c r="CH152" s="70"/>
      <c r="CI152" s="817"/>
      <c r="CJ152" s="819"/>
      <c r="CK152" s="819"/>
      <c r="CL152" s="819"/>
      <c r="CM152" s="819"/>
      <c r="CN152" s="819"/>
      <c r="CO152" s="820"/>
      <c r="CP152" s="70"/>
      <c r="CQ152" s="537"/>
      <c r="CR152" s="70"/>
    </row>
    <row r="153" spans="3:135" s="21" customFormat="1" ht="20.100000000000001" customHeight="1" thickBot="1" x14ac:dyDescent="0.25">
      <c r="C153" s="25"/>
      <c r="D153" s="25"/>
      <c r="E153" s="25"/>
      <c r="F153" s="70"/>
      <c r="G153" s="70"/>
      <c r="H153" s="1711"/>
      <c r="I153" s="832"/>
      <c r="J153" s="833"/>
      <c r="K153" s="20"/>
      <c r="L153" s="817"/>
      <c r="M153" s="1012" t="s">
        <v>115</v>
      </c>
      <c r="N153" s="1012"/>
      <c r="O153" s="1012"/>
      <c r="P153" s="1012"/>
      <c r="Q153" s="821"/>
      <c r="R153" s="2045" t="s">
        <v>146</v>
      </c>
      <c r="S153" s="820"/>
      <c r="T153" s="20"/>
      <c r="U153" s="537"/>
      <c r="V153" s="17"/>
      <c r="W153" s="817"/>
      <c r="X153" s="819"/>
      <c r="Y153" s="3969" t="str">
        <f>INDEX(outputs_oppsum[extra_tverrslag_just_uke],MATCH(_Calcs!$NO$41,outputs_oppsum[stuff_id],0))</f>
        <v>-</v>
      </c>
      <c r="Z153" s="819"/>
      <c r="AA153" s="30" t="str">
        <f>IF(OR(Y139=_Calcs!$HI$54,Y139="---"),"✓",IF(_Calcs!$NN$254&lt;&gt;0,"!","✓"))</f>
        <v>✓</v>
      </c>
      <c r="AB153" s="819"/>
      <c r="AC153" s="820"/>
      <c r="AD153" s="70"/>
      <c r="AE153" s="817"/>
      <c r="AF153" s="819"/>
      <c r="AG153" s="3969" t="e">
        <f>INDEX(outputs_oppsum[extra_tverrslag_just_uke],MATCH(_Calcs!$NP$41,outputs_oppsum[stuff_id],0))</f>
        <v>#N/A</v>
      </c>
      <c r="AH153" s="819"/>
      <c r="AI153" s="30" t="e">
        <f>IF(OR(AG139=_Calcs!$HI$54,AG139="---"),"✓",IF(_Calcs!$NN$254&lt;&gt;0,"!","✓"))</f>
        <v>#N/A</v>
      </c>
      <c r="AJ153" s="819"/>
      <c r="AK153" s="820"/>
      <c r="AL153" s="70"/>
      <c r="AM153" s="817"/>
      <c r="AN153" s="819"/>
      <c r="AO153" s="3969" t="e">
        <f>INDEX(outputs_oppsum[extra_tverrslag_just_uke],MATCH(_Calcs!$NQ$41,outputs_oppsum[stuff_id],0))</f>
        <v>#N/A</v>
      </c>
      <c r="AP153" s="819"/>
      <c r="AQ153" s="30" t="e">
        <f>IF(OR(AO139=_Calcs!$HI$54,AO139="---"),"✓",IF(_Calcs!$NN$254&lt;&gt;0,"!","✓"))</f>
        <v>#N/A</v>
      </c>
      <c r="AR153" s="819"/>
      <c r="AS153" s="820"/>
      <c r="AT153" s="70"/>
      <c r="AU153" s="817"/>
      <c r="AV153" s="819"/>
      <c r="AW153" s="3969" t="e">
        <f>INDEX(outputs_oppsum[extra_tverrslag_just_uke],MATCH(_Calcs!$NR$41,outputs_oppsum[stuff_id],0))</f>
        <v>#N/A</v>
      </c>
      <c r="AX153" s="819"/>
      <c r="AY153" s="30" t="e">
        <f>IF(OR(AW139=_Calcs!$HI$54,AW139="---"),"✓",IF(_Calcs!$NN$254&lt;&gt;0,"!","✓"))</f>
        <v>#N/A</v>
      </c>
      <c r="AZ153" s="819"/>
      <c r="BA153" s="820"/>
      <c r="BB153" s="70"/>
      <c r="BC153" s="817"/>
      <c r="BD153" s="819"/>
      <c r="BE153" s="3969" t="e">
        <f>INDEX(outputs_oppsum[extra_tverrslag_just_uke],MATCH(_Calcs!$NS$41,outputs_oppsum[stuff_id],0))</f>
        <v>#N/A</v>
      </c>
      <c r="BF153" s="819"/>
      <c r="BG153" s="30" t="e">
        <f>IF(OR(BE139=_Calcs!$HI$54,BE139="---"),"✓",IF(_Calcs!$NN$254&lt;&gt;0,"!","✓"))</f>
        <v>#N/A</v>
      </c>
      <c r="BH153" s="819"/>
      <c r="BI153" s="820"/>
      <c r="BJ153" s="70"/>
      <c r="BK153" s="817"/>
      <c r="BL153" s="819"/>
      <c r="BM153" s="3969" t="e">
        <f>INDEX(outputs_oppsum[extra_tverrslag_just_uke],MATCH(_Calcs!$NT$41,outputs_oppsum[stuff_id],0))</f>
        <v>#N/A</v>
      </c>
      <c r="BN153" s="819"/>
      <c r="BO153" s="30" t="e">
        <f>IF(OR(BM139=_Calcs!$HI$54,BM139="---"),"✓",IF(_Calcs!$NN$254&lt;&gt;0,"!","✓"))</f>
        <v>#N/A</v>
      </c>
      <c r="BP153" s="819"/>
      <c r="BQ153" s="820"/>
      <c r="BR153" s="70"/>
      <c r="BS153" s="817"/>
      <c r="BT153" s="819"/>
      <c r="BU153" s="3969" t="e">
        <f>INDEX(outputs_oppsum[extra_tverrslag_just_uke],MATCH(_Calcs!$NU$41,outputs_oppsum[stuff_id],0))</f>
        <v>#N/A</v>
      </c>
      <c r="BV153" s="819"/>
      <c r="BW153" s="30" t="e">
        <f>IF(OR(BU139=_Calcs!$HI$54,BU139="---"),"✓",IF(_Calcs!$NN$254&lt;&gt;0,"!","✓"))</f>
        <v>#N/A</v>
      </c>
      <c r="BX153" s="819"/>
      <c r="BY153" s="820"/>
      <c r="BZ153" s="70"/>
      <c r="CA153" s="817"/>
      <c r="CB153" s="819"/>
      <c r="CC153" s="3969" t="e">
        <f>INDEX(outputs_oppsum[extra_tverrslag_just_uke],MATCH(_Calcs!$NV$41,outputs_oppsum[stuff_id],0))</f>
        <v>#N/A</v>
      </c>
      <c r="CD153" s="819"/>
      <c r="CE153" s="30" t="e">
        <f>IF(OR(CC139=_Calcs!$HI$54,CC139="---"),"✓",IF(_Calcs!$NN$254&lt;&gt;0,"!","✓"))</f>
        <v>#N/A</v>
      </c>
      <c r="CF153" s="819"/>
      <c r="CG153" s="820"/>
      <c r="CH153" s="70"/>
      <c r="CI153" s="817"/>
      <c r="CJ153" s="819"/>
      <c r="CK153" s="3969" t="e">
        <f>INDEX(outputs_oppsum[extra_tverrslag_just_uke],MATCH(_Calcs!$NW$41,outputs_oppsum[stuff_id],0))</f>
        <v>#N/A</v>
      </c>
      <c r="CL153" s="819"/>
      <c r="CM153" s="30" t="e">
        <f>IF(OR(CK139=_Calcs!$HI$54,CK139="---"),"✓",IF(_Calcs!$NN$254&lt;&gt;0,"!","✓"))</f>
        <v>#N/A</v>
      </c>
      <c r="CN153" s="819"/>
      <c r="CO153" s="820"/>
      <c r="CP153" s="70"/>
      <c r="CQ153" s="537"/>
      <c r="CR153" s="70"/>
    </row>
    <row r="154" spans="3:135" s="21" customFormat="1" ht="15" customHeight="1" thickBot="1" x14ac:dyDescent="0.25">
      <c r="C154" s="25"/>
      <c r="D154" s="25"/>
      <c r="E154" s="25"/>
      <c r="F154" s="70"/>
      <c r="G154" s="70"/>
      <c r="H154" s="1712"/>
      <c r="I154" s="811"/>
      <c r="J154" s="812"/>
      <c r="K154" s="20"/>
      <c r="L154" s="822"/>
      <c r="M154" s="1013"/>
      <c r="N154" s="1013"/>
      <c r="O154" s="1013"/>
      <c r="P154" s="1013"/>
      <c r="Q154" s="824"/>
      <c r="R154" s="2046"/>
      <c r="S154" s="825"/>
      <c r="T154" s="20"/>
      <c r="U154" s="537"/>
      <c r="V154" s="17"/>
      <c r="W154" s="822"/>
      <c r="X154" s="823"/>
      <c r="Y154" s="823"/>
      <c r="Z154" s="823"/>
      <c r="AA154" s="823"/>
      <c r="AB154" s="823"/>
      <c r="AC154" s="825"/>
      <c r="AD154" s="70"/>
      <c r="AE154" s="822"/>
      <c r="AF154" s="823"/>
      <c r="AG154" s="823"/>
      <c r="AH154" s="823"/>
      <c r="AI154" s="823"/>
      <c r="AJ154" s="823"/>
      <c r="AK154" s="825"/>
      <c r="AL154" s="70"/>
      <c r="AM154" s="822"/>
      <c r="AN154" s="823"/>
      <c r="AO154" s="823"/>
      <c r="AP154" s="823"/>
      <c r="AQ154" s="823"/>
      <c r="AR154" s="823"/>
      <c r="AS154" s="825"/>
      <c r="AT154" s="70"/>
      <c r="AU154" s="822"/>
      <c r="AV154" s="823"/>
      <c r="AW154" s="823"/>
      <c r="AX154" s="823"/>
      <c r="AY154" s="823"/>
      <c r="AZ154" s="823"/>
      <c r="BA154" s="825"/>
      <c r="BB154" s="70"/>
      <c r="BC154" s="822"/>
      <c r="BD154" s="823"/>
      <c r="BE154" s="823"/>
      <c r="BF154" s="823"/>
      <c r="BG154" s="823"/>
      <c r="BH154" s="823"/>
      <c r="BI154" s="825"/>
      <c r="BJ154" s="70"/>
      <c r="BK154" s="822"/>
      <c r="BL154" s="823"/>
      <c r="BM154" s="823"/>
      <c r="BN154" s="823"/>
      <c r="BO154" s="823"/>
      <c r="BP154" s="823"/>
      <c r="BQ154" s="825"/>
      <c r="BR154" s="70"/>
      <c r="BS154" s="822"/>
      <c r="BT154" s="823"/>
      <c r="BU154" s="823"/>
      <c r="BV154" s="823"/>
      <c r="BW154" s="823"/>
      <c r="BX154" s="823"/>
      <c r="BY154" s="825"/>
      <c r="BZ154" s="70"/>
      <c r="CA154" s="822"/>
      <c r="CB154" s="823"/>
      <c r="CC154" s="823"/>
      <c r="CD154" s="823"/>
      <c r="CE154" s="823"/>
      <c r="CF154" s="823"/>
      <c r="CG154" s="825"/>
      <c r="CH154" s="70"/>
      <c r="CI154" s="822"/>
      <c r="CJ154" s="823"/>
      <c r="CK154" s="823"/>
      <c r="CL154" s="823"/>
      <c r="CM154" s="823"/>
      <c r="CN154" s="823"/>
      <c r="CO154" s="825"/>
      <c r="CP154" s="70"/>
      <c r="CQ154" s="537"/>
      <c r="CR154" s="70"/>
    </row>
    <row r="155" spans="3:135" s="21" customFormat="1" ht="30" customHeight="1" thickBot="1" x14ac:dyDescent="0.25">
      <c r="C155" s="25"/>
      <c r="D155" s="25"/>
      <c r="E155" s="25"/>
      <c r="F155" s="70"/>
      <c r="G155" s="70"/>
      <c r="H155" s="16"/>
      <c r="I155" s="16"/>
      <c r="J155" s="16"/>
      <c r="K155" s="20"/>
      <c r="L155" s="14"/>
      <c r="M155" s="974"/>
      <c r="N155" s="974"/>
      <c r="O155" s="974"/>
      <c r="P155" s="974"/>
      <c r="Q155" s="69"/>
      <c r="R155" s="2023"/>
      <c r="S155" s="35"/>
      <c r="T155" s="20"/>
      <c r="U155" s="35"/>
      <c r="V155" s="16"/>
      <c r="W155" s="35"/>
      <c r="X155" s="35"/>
      <c r="Y155" s="36"/>
      <c r="Z155" s="17"/>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row>
    <row r="156" spans="3:135" s="21" customFormat="1" ht="15" customHeight="1" thickBot="1" x14ac:dyDescent="0.25">
      <c r="C156" s="25"/>
      <c r="D156" s="25"/>
      <c r="E156" s="25"/>
      <c r="F156" s="70"/>
      <c r="G156" s="70"/>
      <c r="H156" s="849"/>
      <c r="I156" s="850"/>
      <c r="J156" s="851"/>
      <c r="K156" s="20"/>
      <c r="L156" s="849"/>
      <c r="M156" s="1014"/>
      <c r="N156" s="1014"/>
      <c r="O156" s="1014"/>
      <c r="P156" s="1014"/>
      <c r="Q156" s="850"/>
      <c r="R156" s="2047"/>
      <c r="S156" s="851"/>
      <c r="T156" s="20"/>
      <c r="U156" s="79"/>
      <c r="V156" s="16"/>
      <c r="W156" s="849"/>
      <c r="X156" s="850"/>
      <c r="Y156" s="850"/>
      <c r="Z156" s="850"/>
      <c r="AA156" s="850"/>
      <c r="AB156" s="850"/>
      <c r="AC156" s="851"/>
      <c r="AD156" s="70"/>
      <c r="AE156" s="849"/>
      <c r="AF156" s="850"/>
      <c r="AG156" s="850"/>
      <c r="AH156" s="850"/>
      <c r="AI156" s="850"/>
      <c r="AJ156" s="850"/>
      <c r="AK156" s="851"/>
      <c r="AL156" s="70"/>
      <c r="AM156" s="849"/>
      <c r="AN156" s="850"/>
      <c r="AO156" s="850"/>
      <c r="AP156" s="850"/>
      <c r="AQ156" s="850"/>
      <c r="AR156" s="850"/>
      <c r="AS156" s="851"/>
      <c r="AT156" s="70"/>
      <c r="AU156" s="849"/>
      <c r="AV156" s="850"/>
      <c r="AW156" s="850"/>
      <c r="AX156" s="850"/>
      <c r="AY156" s="850"/>
      <c r="AZ156" s="850"/>
      <c r="BA156" s="851"/>
      <c r="BB156" s="70"/>
      <c r="BC156" s="849"/>
      <c r="BD156" s="850"/>
      <c r="BE156" s="850"/>
      <c r="BF156" s="850"/>
      <c r="BG156" s="850"/>
      <c r="BH156" s="850"/>
      <c r="BI156" s="851"/>
      <c r="BJ156" s="70"/>
      <c r="BK156" s="849"/>
      <c r="BL156" s="850"/>
      <c r="BM156" s="850"/>
      <c r="BN156" s="850"/>
      <c r="BO156" s="850"/>
      <c r="BP156" s="850"/>
      <c r="BQ156" s="851"/>
      <c r="BR156" s="70"/>
      <c r="BS156" s="849"/>
      <c r="BT156" s="850"/>
      <c r="BU156" s="850"/>
      <c r="BV156" s="850"/>
      <c r="BW156" s="850"/>
      <c r="BX156" s="850"/>
      <c r="BY156" s="851"/>
      <c r="BZ156" s="70"/>
      <c r="CA156" s="849"/>
      <c r="CB156" s="850"/>
      <c r="CC156" s="850"/>
      <c r="CD156" s="850"/>
      <c r="CE156" s="850"/>
      <c r="CF156" s="850"/>
      <c r="CG156" s="851"/>
      <c r="CH156" s="70"/>
      <c r="CI156" s="849"/>
      <c r="CJ156" s="850"/>
      <c r="CK156" s="850"/>
      <c r="CL156" s="850"/>
      <c r="CM156" s="850"/>
      <c r="CN156" s="850"/>
      <c r="CO156" s="851"/>
      <c r="CP156" s="70"/>
      <c r="CQ156" s="1769"/>
      <c r="CR156" s="70"/>
      <c r="CS156" s="70"/>
      <c r="CT156" s="70"/>
      <c r="CU156" s="70"/>
      <c r="CV156" s="70"/>
    </row>
    <row r="157" spans="3:135" s="21" customFormat="1" ht="8.1" customHeight="1" thickBot="1" x14ac:dyDescent="0.25">
      <c r="C157" s="25"/>
      <c r="D157" s="25"/>
      <c r="E157" s="25"/>
      <c r="F157" s="70"/>
      <c r="G157" s="70"/>
      <c r="H157" s="16"/>
      <c r="I157" s="16"/>
      <c r="J157" s="16"/>
      <c r="K157" s="20"/>
      <c r="L157" s="13"/>
      <c r="M157" s="1004"/>
      <c r="N157" s="1004"/>
      <c r="O157" s="1004"/>
      <c r="P157" s="1004"/>
      <c r="Q157" s="13"/>
      <c r="R157" s="111"/>
      <c r="S157" s="13"/>
      <c r="T157" s="20"/>
      <c r="U157" s="13"/>
      <c r="V157" s="16"/>
      <c r="W157" s="13"/>
      <c r="X157" s="13"/>
      <c r="Y157" s="13"/>
      <c r="Z157" s="13"/>
      <c r="AA157" s="13"/>
      <c r="AB157" s="13"/>
      <c r="AC157" s="13"/>
      <c r="AD157" s="70"/>
      <c r="AE157" s="13"/>
      <c r="AF157" s="13"/>
      <c r="AG157" s="13"/>
      <c r="AH157" s="13"/>
      <c r="AI157" s="13"/>
      <c r="AJ157" s="13"/>
      <c r="AK157" s="13"/>
      <c r="AL157" s="70"/>
      <c r="AM157" s="13"/>
      <c r="AN157" s="13"/>
      <c r="AO157" s="13"/>
      <c r="AP157" s="13"/>
      <c r="AQ157" s="13"/>
      <c r="AR157" s="13"/>
      <c r="AS157" s="13"/>
      <c r="AT157" s="70"/>
      <c r="AU157" s="13"/>
      <c r="AV157" s="13"/>
      <c r="AW157" s="13"/>
      <c r="AX157" s="13"/>
      <c r="AY157" s="13"/>
      <c r="AZ157" s="13"/>
      <c r="BA157" s="13"/>
      <c r="BB157" s="70"/>
      <c r="BC157" s="13"/>
      <c r="BD157" s="13"/>
      <c r="BE157" s="13"/>
      <c r="BF157" s="13"/>
      <c r="BG157" s="13"/>
      <c r="BH157" s="13"/>
      <c r="BI157" s="13"/>
      <c r="BJ157" s="70"/>
      <c r="BK157" s="13"/>
      <c r="BL157" s="13"/>
      <c r="BM157" s="13"/>
      <c r="BN157" s="13"/>
      <c r="BO157" s="13"/>
      <c r="BP157" s="13"/>
      <c r="BQ157" s="13"/>
      <c r="BR157" s="70"/>
      <c r="BS157" s="13"/>
      <c r="BT157" s="13"/>
      <c r="BU157" s="13"/>
      <c r="BV157" s="13"/>
      <c r="BW157" s="13"/>
      <c r="BX157" s="13"/>
      <c r="BY157" s="13"/>
      <c r="BZ157" s="70"/>
      <c r="CA157" s="13"/>
      <c r="CB157" s="13"/>
      <c r="CC157" s="13"/>
      <c r="CD157" s="13"/>
      <c r="CE157" s="13"/>
      <c r="CF157" s="13"/>
      <c r="CG157" s="13"/>
      <c r="CH157" s="70"/>
      <c r="CI157" s="13"/>
      <c r="CJ157" s="13"/>
      <c r="CK157" s="13"/>
      <c r="CL157" s="13"/>
      <c r="CM157" s="13"/>
      <c r="CN157" s="13"/>
      <c r="CO157" s="13"/>
      <c r="CP157" s="70"/>
      <c r="CQ157" s="16"/>
      <c r="CR157" s="70"/>
      <c r="CS157" s="70"/>
      <c r="CT157" s="70"/>
      <c r="CU157" s="70"/>
      <c r="CV157" s="70"/>
    </row>
    <row r="158" spans="3:135" s="21" customFormat="1" ht="15" customHeight="1" thickBot="1" x14ac:dyDescent="0.25">
      <c r="C158" s="25"/>
      <c r="D158" s="25"/>
      <c r="E158" s="25"/>
      <c r="F158" s="70"/>
      <c r="G158" s="70"/>
      <c r="H158" s="1713"/>
      <c r="I158" s="906"/>
      <c r="J158" s="907"/>
      <c r="K158" s="20"/>
      <c r="L158" s="852"/>
      <c r="M158" s="990"/>
      <c r="N158" s="990"/>
      <c r="O158" s="990"/>
      <c r="P158" s="990"/>
      <c r="Q158" s="854"/>
      <c r="R158" s="2048"/>
      <c r="S158" s="855"/>
      <c r="T158" s="20"/>
      <c r="U158" s="80"/>
      <c r="V158" s="16"/>
      <c r="W158" s="862"/>
      <c r="X158" s="854"/>
      <c r="Y158" s="863"/>
      <c r="Z158" s="864"/>
      <c r="AA158" s="865"/>
      <c r="AB158" s="865"/>
      <c r="AC158" s="866"/>
      <c r="AD158" s="70"/>
      <c r="AE158" s="862"/>
      <c r="AF158" s="854"/>
      <c r="AG158" s="863"/>
      <c r="AH158" s="864"/>
      <c r="AI158" s="865"/>
      <c r="AJ158" s="865"/>
      <c r="AK158" s="866"/>
      <c r="AL158" s="70"/>
      <c r="AM158" s="862"/>
      <c r="AN158" s="854"/>
      <c r="AO158" s="863"/>
      <c r="AP158" s="864"/>
      <c r="AQ158" s="865"/>
      <c r="AR158" s="865"/>
      <c r="AS158" s="866"/>
      <c r="AT158" s="70"/>
      <c r="AU158" s="862"/>
      <c r="AV158" s="854"/>
      <c r="AW158" s="863"/>
      <c r="AX158" s="864"/>
      <c r="AY158" s="865"/>
      <c r="AZ158" s="865"/>
      <c r="BA158" s="866"/>
      <c r="BB158" s="70"/>
      <c r="BC158" s="862"/>
      <c r="BD158" s="854"/>
      <c r="BE158" s="863"/>
      <c r="BF158" s="864"/>
      <c r="BG158" s="865"/>
      <c r="BH158" s="865"/>
      <c r="BI158" s="866"/>
      <c r="BJ158" s="70"/>
      <c r="BK158" s="862"/>
      <c r="BL158" s="854"/>
      <c r="BM158" s="863"/>
      <c r="BN158" s="864"/>
      <c r="BO158" s="865"/>
      <c r="BP158" s="865"/>
      <c r="BQ158" s="866"/>
      <c r="BR158" s="70"/>
      <c r="BS158" s="862"/>
      <c r="BT158" s="854"/>
      <c r="BU158" s="863"/>
      <c r="BV158" s="864"/>
      <c r="BW158" s="865"/>
      <c r="BX158" s="865"/>
      <c r="BY158" s="866"/>
      <c r="BZ158" s="70"/>
      <c r="CA158" s="862"/>
      <c r="CB158" s="854"/>
      <c r="CC158" s="863"/>
      <c r="CD158" s="864"/>
      <c r="CE158" s="865"/>
      <c r="CF158" s="865"/>
      <c r="CG158" s="866"/>
      <c r="CH158" s="70"/>
      <c r="CI158" s="862"/>
      <c r="CJ158" s="854"/>
      <c r="CK158" s="863"/>
      <c r="CL158" s="864"/>
      <c r="CM158" s="865"/>
      <c r="CN158" s="865"/>
      <c r="CO158" s="866"/>
      <c r="CP158" s="70"/>
      <c r="CQ158" s="868"/>
      <c r="CR158" s="70"/>
      <c r="CS158" s="70"/>
      <c r="CT158" s="70"/>
      <c r="CU158" s="70"/>
      <c r="CV158" s="70"/>
    </row>
    <row r="159" spans="3:135" s="21" customFormat="1" ht="20.100000000000001" customHeight="1" thickBot="1" x14ac:dyDescent="0.25">
      <c r="C159" s="25"/>
      <c r="D159" s="25"/>
      <c r="E159" s="25"/>
      <c r="F159" s="70"/>
      <c r="G159" s="70"/>
      <c r="H159" s="6715" t="s">
        <v>115</v>
      </c>
      <c r="I159" s="6716"/>
      <c r="J159" s="6717"/>
      <c r="K159" s="20"/>
      <c r="L159" s="856"/>
      <c r="M159" s="991" t="str">
        <f>_Calcs!$K$76</f>
        <v>Samlet justering</v>
      </c>
      <c r="N159" s="991"/>
      <c r="O159" s="991"/>
      <c r="P159" s="991"/>
      <c r="Q159" s="82"/>
      <c r="R159" s="2049" t="s">
        <v>146</v>
      </c>
      <c r="S159" s="857"/>
      <c r="T159" s="20"/>
      <c r="U159" s="80"/>
      <c r="V159" s="16"/>
      <c r="W159" s="867"/>
      <c r="X159" s="82"/>
      <c r="Y159" s="46" t="str">
        <f>IF(_Calcs!$IP$57=FALSE,_Calcs!$II$29,_Calcs!$IP$57)</f>
        <v>-</v>
      </c>
      <c r="Z159" s="83"/>
      <c r="AA159" s="30" t="str">
        <f>IF(_Calcs!$JN$38=1,"✓","!")</f>
        <v>!</v>
      </c>
      <c r="AB159" s="868"/>
      <c r="AC159" s="869"/>
      <c r="AD159" s="70"/>
      <c r="AE159" s="867"/>
      <c r="AF159" s="82"/>
      <c r="AG159" s="46" t="str">
        <f>IF(_Calcs!$IP$58=FALSE,_Calcs!$II$29,_Calcs!$IP$58)</f>
        <v>-</v>
      </c>
      <c r="AH159" s="83"/>
      <c r="AI159" s="30" t="str">
        <f>IF(_Calcs!$JN$39=1,"✓","!")</f>
        <v>!</v>
      </c>
      <c r="AJ159" s="868"/>
      <c r="AK159" s="869"/>
      <c r="AL159" s="70"/>
      <c r="AM159" s="867"/>
      <c r="AN159" s="82"/>
      <c r="AO159" s="46" t="str">
        <f>IF(_Calcs!$IP$59=FALSE,_Calcs!$II$29,_Calcs!$IP$59)</f>
        <v>-</v>
      </c>
      <c r="AP159" s="83"/>
      <c r="AQ159" s="30" t="str">
        <f>IF(_Calcs!$JN$40=1,"✓","!")</f>
        <v>!</v>
      </c>
      <c r="AR159" s="868"/>
      <c r="AS159" s="869"/>
      <c r="AT159" s="70"/>
      <c r="AU159" s="867"/>
      <c r="AV159" s="82"/>
      <c r="AW159" s="46" t="str">
        <f>IF(_Calcs!$IP$60=FALSE,_Calcs!$II$29,_Calcs!$IP$60)</f>
        <v>-</v>
      </c>
      <c r="AX159" s="83"/>
      <c r="AY159" s="30" t="str">
        <f>IF(_Calcs!$JN$41=1,"✓","!")</f>
        <v>!</v>
      </c>
      <c r="AZ159" s="868"/>
      <c r="BA159" s="869"/>
      <c r="BB159" s="70"/>
      <c r="BC159" s="867"/>
      <c r="BD159" s="82"/>
      <c r="BE159" s="46" t="str">
        <f>IF(_Calcs!$IP$61=FALSE,_Calcs!$II$29,_Calcs!$IP$61)</f>
        <v>-</v>
      </c>
      <c r="BF159" s="83"/>
      <c r="BG159" s="30" t="str">
        <f>IF(_Calcs!$JN$42=1,"✓","!")</f>
        <v>!</v>
      </c>
      <c r="BH159" s="868"/>
      <c r="BI159" s="869"/>
      <c r="BJ159" s="70"/>
      <c r="BK159" s="867"/>
      <c r="BL159" s="82"/>
      <c r="BM159" s="46" t="str">
        <f>IF(_Calcs!$IP$62=FALSE,_Calcs!$II$29,_Calcs!$IP$62)</f>
        <v>-</v>
      </c>
      <c r="BN159" s="83"/>
      <c r="BO159" s="30" t="str">
        <f>IF(_Calcs!$JN$43=1,"✓","!")</f>
        <v>!</v>
      </c>
      <c r="BP159" s="868"/>
      <c r="BQ159" s="869"/>
      <c r="BR159" s="70"/>
      <c r="BS159" s="867"/>
      <c r="BT159" s="82"/>
      <c r="BU159" s="46" t="str">
        <f>IF(_Calcs!$IP$63=FALSE,_Calcs!$II$29,_Calcs!$IP$63)</f>
        <v>-</v>
      </c>
      <c r="BV159" s="83"/>
      <c r="BW159" s="30" t="str">
        <f>IF(_Calcs!$JN$44=1,"✓","!")</f>
        <v>!</v>
      </c>
      <c r="BX159" s="868"/>
      <c r="BY159" s="869"/>
      <c r="BZ159" s="70"/>
      <c r="CA159" s="867"/>
      <c r="CB159" s="82"/>
      <c r="CC159" s="46" t="str">
        <f>IF(_Calcs!$IP$64=FALSE,_Calcs!$II$29,_Calcs!$IP$64)</f>
        <v>-</v>
      </c>
      <c r="CD159" s="83"/>
      <c r="CE159" s="30" t="str">
        <f>IF(_Calcs!$JN$45=1,"✓","!")</f>
        <v>!</v>
      </c>
      <c r="CF159" s="868"/>
      <c r="CG159" s="869"/>
      <c r="CH159" s="70"/>
      <c r="CI159" s="867"/>
      <c r="CJ159" s="82"/>
      <c r="CK159" s="46" t="str">
        <f>IF(_Calcs!$IP$65=FALSE,_Calcs!$II$29,_Calcs!$IP$65)</f>
        <v>-</v>
      </c>
      <c r="CL159" s="83"/>
      <c r="CM159" s="30" t="str">
        <f>IF(_Calcs!$JN$46=1,"✓","!")</f>
        <v>!</v>
      </c>
      <c r="CN159" s="868"/>
      <c r="CO159" s="869"/>
      <c r="CP159" s="70"/>
      <c r="CQ159" s="868"/>
      <c r="CR159" s="70"/>
      <c r="CS159" s="70"/>
      <c r="CT159" s="70"/>
      <c r="CU159" s="70"/>
      <c r="CV159" s="70"/>
    </row>
    <row r="160" spans="3:135" s="21" customFormat="1" ht="15" customHeight="1" thickBot="1" x14ac:dyDescent="0.25">
      <c r="C160" s="25"/>
      <c r="D160" s="25"/>
      <c r="E160" s="25"/>
      <c r="F160" s="70"/>
      <c r="G160" s="70"/>
      <c r="H160" s="6715"/>
      <c r="I160" s="6716"/>
      <c r="J160" s="6717"/>
      <c r="K160" s="20"/>
      <c r="L160" s="858"/>
      <c r="M160" s="992"/>
      <c r="N160" s="992"/>
      <c r="O160" s="992"/>
      <c r="P160" s="992"/>
      <c r="Q160" s="860"/>
      <c r="R160" s="3856"/>
      <c r="S160" s="861"/>
      <c r="T160" s="20"/>
      <c r="U160" s="80"/>
      <c r="V160" s="16"/>
      <c r="W160" s="870"/>
      <c r="X160" s="860"/>
      <c r="Y160" s="1871"/>
      <c r="Z160" s="1870"/>
      <c r="AA160" s="3854"/>
      <c r="AB160" s="3854"/>
      <c r="AC160" s="3855"/>
      <c r="AD160" s="70"/>
      <c r="AE160" s="870"/>
      <c r="AF160" s="860"/>
      <c r="AG160" s="1871"/>
      <c r="AH160" s="1870"/>
      <c r="AI160" s="3854"/>
      <c r="AJ160" s="3854"/>
      <c r="AK160" s="3855"/>
      <c r="AL160" s="70"/>
      <c r="AM160" s="870"/>
      <c r="AN160" s="860"/>
      <c r="AO160" s="1871"/>
      <c r="AP160" s="1870"/>
      <c r="AQ160" s="3854"/>
      <c r="AR160" s="3854"/>
      <c r="AS160" s="3855"/>
      <c r="AT160" s="70"/>
      <c r="AU160" s="870"/>
      <c r="AV160" s="860"/>
      <c r="AW160" s="1871"/>
      <c r="AX160" s="1870"/>
      <c r="AY160" s="3854"/>
      <c r="AZ160" s="3854"/>
      <c r="BA160" s="3855"/>
      <c r="BB160" s="70"/>
      <c r="BC160" s="870"/>
      <c r="BD160" s="860"/>
      <c r="BE160" s="1871"/>
      <c r="BF160" s="1870"/>
      <c r="BG160" s="3854"/>
      <c r="BH160" s="3854"/>
      <c r="BI160" s="3855"/>
      <c r="BJ160" s="70"/>
      <c r="BK160" s="870"/>
      <c r="BL160" s="860"/>
      <c r="BM160" s="1871"/>
      <c r="BN160" s="1870"/>
      <c r="BO160" s="3854"/>
      <c r="BP160" s="3854"/>
      <c r="BQ160" s="3855"/>
      <c r="BR160" s="70"/>
      <c r="BS160" s="870"/>
      <c r="BT160" s="860"/>
      <c r="BU160" s="1871"/>
      <c r="BV160" s="1870"/>
      <c r="BW160" s="3854"/>
      <c r="BX160" s="3854"/>
      <c r="BY160" s="3855"/>
      <c r="BZ160" s="70"/>
      <c r="CA160" s="870"/>
      <c r="CB160" s="860"/>
      <c r="CC160" s="1871"/>
      <c r="CD160" s="1870"/>
      <c r="CE160" s="3854"/>
      <c r="CF160" s="3854"/>
      <c r="CG160" s="3855"/>
      <c r="CH160" s="70"/>
      <c r="CI160" s="870"/>
      <c r="CJ160" s="860"/>
      <c r="CK160" s="1871"/>
      <c r="CL160" s="1870"/>
      <c r="CM160" s="3854"/>
      <c r="CN160" s="3854"/>
      <c r="CO160" s="3855"/>
      <c r="CP160" s="70"/>
      <c r="CQ160" s="868"/>
      <c r="CR160" s="70"/>
      <c r="CS160" s="70"/>
      <c r="CT160" s="70"/>
      <c r="CU160" s="70"/>
      <c r="CV160" s="70"/>
    </row>
    <row r="161" spans="3:100" s="21" customFormat="1" ht="8.1" customHeight="1" thickBot="1" x14ac:dyDescent="0.25">
      <c r="C161" s="25"/>
      <c r="D161" s="25"/>
      <c r="E161" s="25"/>
      <c r="F161" s="70"/>
      <c r="G161" s="70"/>
      <c r="H161" s="867"/>
      <c r="I161" s="82"/>
      <c r="J161" s="857"/>
      <c r="K161" s="20"/>
      <c r="L161" s="13"/>
      <c r="M161" s="1004"/>
      <c r="N161" s="1004"/>
      <c r="O161" s="1004"/>
      <c r="P161" s="1004"/>
      <c r="Q161" s="13"/>
      <c r="R161" s="111"/>
      <c r="S161" s="13"/>
      <c r="T161" s="20"/>
      <c r="U161" s="80"/>
      <c r="V161" s="16"/>
      <c r="W161" s="13"/>
      <c r="X161" s="13"/>
      <c r="Y161" s="13"/>
      <c r="Z161" s="13"/>
      <c r="AA161" s="13"/>
      <c r="AB161" s="13"/>
      <c r="AC161" s="13"/>
      <c r="AD161" s="70"/>
      <c r="AE161" s="13"/>
      <c r="AF161" s="13"/>
      <c r="AG161" s="13"/>
      <c r="AH161" s="13"/>
      <c r="AI161" s="13"/>
      <c r="AJ161" s="13"/>
      <c r="AK161" s="13"/>
      <c r="AL161" s="70"/>
      <c r="AM161" s="13"/>
      <c r="AN161" s="13"/>
      <c r="AO161" s="13"/>
      <c r="AP161" s="13"/>
      <c r="AQ161" s="13"/>
      <c r="AR161" s="13"/>
      <c r="AS161" s="13"/>
      <c r="AT161" s="70"/>
      <c r="AU161" s="13"/>
      <c r="AV161" s="13"/>
      <c r="AW161" s="13"/>
      <c r="AX161" s="13"/>
      <c r="AY161" s="13"/>
      <c r="AZ161" s="13"/>
      <c r="BA161" s="13"/>
      <c r="BB161" s="70"/>
      <c r="BC161" s="13"/>
      <c r="BD161" s="13"/>
      <c r="BE161" s="13"/>
      <c r="BF161" s="13"/>
      <c r="BG161" s="13"/>
      <c r="BH161" s="13"/>
      <c r="BI161" s="13"/>
      <c r="BJ161" s="70"/>
      <c r="BK161" s="13"/>
      <c r="BL161" s="13"/>
      <c r="BM161" s="13"/>
      <c r="BN161" s="13"/>
      <c r="BO161" s="13"/>
      <c r="BP161" s="13"/>
      <c r="BQ161" s="13"/>
      <c r="BR161" s="70"/>
      <c r="BS161" s="13"/>
      <c r="BT161" s="13"/>
      <c r="BU161" s="13"/>
      <c r="BV161" s="13"/>
      <c r="BW161" s="13"/>
      <c r="BX161" s="13"/>
      <c r="BY161" s="13"/>
      <c r="BZ161" s="70"/>
      <c r="CA161" s="13"/>
      <c r="CB161" s="13"/>
      <c r="CC161" s="13"/>
      <c r="CD161" s="13"/>
      <c r="CE161" s="13"/>
      <c r="CF161" s="13"/>
      <c r="CG161" s="13"/>
      <c r="CH161" s="70"/>
      <c r="CI161" s="13"/>
      <c r="CJ161" s="13"/>
      <c r="CK161" s="13"/>
      <c r="CL161" s="13"/>
      <c r="CM161" s="13"/>
      <c r="CN161" s="13"/>
      <c r="CO161" s="13"/>
      <c r="CP161" s="70"/>
      <c r="CQ161" s="16"/>
      <c r="CR161" s="70"/>
      <c r="CS161" s="70"/>
      <c r="CT161" s="70"/>
      <c r="CU161" s="70"/>
      <c r="CV161" s="70"/>
    </row>
    <row r="162" spans="3:100" s="21" customFormat="1" ht="15" customHeight="1" thickBot="1" x14ac:dyDescent="0.25">
      <c r="C162" s="25"/>
      <c r="D162" s="25"/>
      <c r="E162" s="25"/>
      <c r="F162" s="70"/>
      <c r="G162" s="70"/>
      <c r="H162" s="1714"/>
      <c r="I162" s="673"/>
      <c r="J162" s="846"/>
      <c r="K162" s="20"/>
      <c r="L162" s="852"/>
      <c r="M162" s="990"/>
      <c r="N162" s="990"/>
      <c r="O162" s="990"/>
      <c r="P162" s="990"/>
      <c r="Q162" s="854"/>
      <c r="R162" s="2048"/>
      <c r="S162" s="855"/>
      <c r="T162" s="20"/>
      <c r="U162" s="80"/>
      <c r="V162" s="16"/>
      <c r="W162" s="862"/>
      <c r="X162" s="854"/>
      <c r="Y162" s="863"/>
      <c r="Z162" s="864"/>
      <c r="AA162" s="865"/>
      <c r="AB162" s="865"/>
      <c r="AC162" s="866"/>
      <c r="AD162" s="70"/>
      <c r="AE162" s="862"/>
      <c r="AF162" s="854"/>
      <c r="AG162" s="863"/>
      <c r="AH162" s="864"/>
      <c r="AI162" s="865"/>
      <c r="AJ162" s="865"/>
      <c r="AK162" s="866"/>
      <c r="AL162" s="70"/>
      <c r="AM162" s="862"/>
      <c r="AN162" s="854"/>
      <c r="AO162" s="863"/>
      <c r="AP162" s="864"/>
      <c r="AQ162" s="865"/>
      <c r="AR162" s="865"/>
      <c r="AS162" s="866"/>
      <c r="AT162" s="70"/>
      <c r="AU162" s="862"/>
      <c r="AV162" s="854"/>
      <c r="AW162" s="863"/>
      <c r="AX162" s="864"/>
      <c r="AY162" s="865"/>
      <c r="AZ162" s="865"/>
      <c r="BA162" s="866"/>
      <c r="BB162" s="70"/>
      <c r="BC162" s="862"/>
      <c r="BD162" s="854"/>
      <c r="BE162" s="863"/>
      <c r="BF162" s="864"/>
      <c r="BG162" s="865"/>
      <c r="BH162" s="865"/>
      <c r="BI162" s="866"/>
      <c r="BJ162" s="70"/>
      <c r="BK162" s="862"/>
      <c r="BL162" s="854"/>
      <c r="BM162" s="863"/>
      <c r="BN162" s="864"/>
      <c r="BO162" s="865"/>
      <c r="BP162" s="865"/>
      <c r="BQ162" s="866"/>
      <c r="BR162" s="70"/>
      <c r="BS162" s="862"/>
      <c r="BT162" s="854"/>
      <c r="BU162" s="863"/>
      <c r="BV162" s="864"/>
      <c r="BW162" s="865"/>
      <c r="BX162" s="865"/>
      <c r="BY162" s="866"/>
      <c r="BZ162" s="70"/>
      <c r="CA162" s="862"/>
      <c r="CB162" s="854"/>
      <c r="CC162" s="863"/>
      <c r="CD162" s="864"/>
      <c r="CE162" s="865"/>
      <c r="CF162" s="865"/>
      <c r="CG162" s="866"/>
      <c r="CH162" s="70"/>
      <c r="CI162" s="862"/>
      <c r="CJ162" s="854"/>
      <c r="CK162" s="863"/>
      <c r="CL162" s="864"/>
      <c r="CM162" s="865"/>
      <c r="CN162" s="865"/>
      <c r="CO162" s="866"/>
      <c r="CP162" s="70"/>
      <c r="CQ162" s="868"/>
      <c r="CR162" s="70"/>
      <c r="CS162" s="70"/>
      <c r="CT162" s="70"/>
      <c r="CU162" s="70"/>
      <c r="CV162" s="70"/>
    </row>
    <row r="163" spans="3:100" s="21" customFormat="1" ht="20.100000000000001" customHeight="1" thickBot="1" x14ac:dyDescent="0.25">
      <c r="C163" s="25"/>
      <c r="D163" s="25"/>
      <c r="E163" s="25"/>
      <c r="F163" s="70"/>
      <c r="G163" s="70"/>
      <c r="H163" s="1643"/>
      <c r="I163" s="3858"/>
      <c r="J163" s="3859"/>
      <c r="K163" s="20"/>
      <c r="L163" s="856"/>
      <c r="M163" s="991" t="str">
        <f>_Calcs!$M$77</f>
        <v>Krevende geologi / svakhetssoner</v>
      </c>
      <c r="N163" s="991"/>
      <c r="O163" s="991"/>
      <c r="P163" s="991"/>
      <c r="Q163" s="82"/>
      <c r="R163" s="2049" t="s">
        <v>146</v>
      </c>
      <c r="S163" s="857"/>
      <c r="T163" s="20"/>
      <c r="U163" s="80"/>
      <c r="V163" s="16"/>
      <c r="W163" s="867"/>
      <c r="X163" s="82"/>
      <c r="Y163" s="46" t="str">
        <f>IF(_Calcs!$IS$57=FALSE,"-",_Calcs!$IS$57)</f>
        <v>-</v>
      </c>
      <c r="Z163" s="83"/>
      <c r="AA163" s="30" t="str">
        <f>IF(_Calcs!$JO$38=1,"✓","!")</f>
        <v>✓</v>
      </c>
      <c r="AB163" s="868"/>
      <c r="AC163" s="869"/>
      <c r="AD163" s="70"/>
      <c r="AE163" s="867"/>
      <c r="AF163" s="82"/>
      <c r="AG163" s="46" t="str">
        <f>IF(_Calcs!$IS$58=FALSE,"-",_Calcs!$IS$58)</f>
        <v>-</v>
      </c>
      <c r="AH163" s="83"/>
      <c r="AI163" s="30" t="str">
        <f>IF(_Calcs!$JO$39=1,"✓","!")</f>
        <v>✓</v>
      </c>
      <c r="AJ163" s="868"/>
      <c r="AK163" s="869"/>
      <c r="AL163" s="70"/>
      <c r="AM163" s="867"/>
      <c r="AN163" s="82"/>
      <c r="AO163" s="46" t="str">
        <f>IF(_Calcs!$IS$59=FALSE,"-",_Calcs!$IS$59)</f>
        <v>-</v>
      </c>
      <c r="AP163" s="83"/>
      <c r="AQ163" s="30" t="str">
        <f>IF(_Calcs!$JO$40=1,"✓","!")</f>
        <v>✓</v>
      </c>
      <c r="AR163" s="868"/>
      <c r="AS163" s="869"/>
      <c r="AT163" s="70"/>
      <c r="AU163" s="867"/>
      <c r="AV163" s="82"/>
      <c r="AW163" s="46" t="str">
        <f>IF(_Calcs!$IS$60=FALSE,"-",_Calcs!$IS$60)</f>
        <v>-</v>
      </c>
      <c r="AX163" s="83"/>
      <c r="AY163" s="30" t="str">
        <f>IF(_Calcs!$JO$41=1,"✓","!")</f>
        <v>✓</v>
      </c>
      <c r="AZ163" s="868"/>
      <c r="BA163" s="869"/>
      <c r="BB163" s="70"/>
      <c r="BC163" s="867"/>
      <c r="BD163" s="82"/>
      <c r="BE163" s="46" t="str">
        <f>IF(_Calcs!$IS$61=FALSE,"-",_Calcs!$IS$61)</f>
        <v>-</v>
      </c>
      <c r="BF163" s="83"/>
      <c r="BG163" s="30" t="str">
        <f>IF(_Calcs!$JO$42=1,"✓","!")</f>
        <v>✓</v>
      </c>
      <c r="BH163" s="868"/>
      <c r="BI163" s="869"/>
      <c r="BJ163" s="70"/>
      <c r="BK163" s="867"/>
      <c r="BL163" s="82"/>
      <c r="BM163" s="46" t="str">
        <f>IF(_Calcs!$IS$62=FALSE,"-",_Calcs!$IS$62)</f>
        <v>-</v>
      </c>
      <c r="BN163" s="83"/>
      <c r="BO163" s="30" t="str">
        <f>IF(_Calcs!$JO$43=1,"✓","!")</f>
        <v>✓</v>
      </c>
      <c r="BP163" s="868"/>
      <c r="BQ163" s="869"/>
      <c r="BR163" s="70"/>
      <c r="BS163" s="867"/>
      <c r="BT163" s="82"/>
      <c r="BU163" s="46" t="str">
        <f>IF(_Calcs!$IS$63=FALSE,"-",_Calcs!$IS$63)</f>
        <v>-</v>
      </c>
      <c r="BV163" s="83"/>
      <c r="BW163" s="30" t="str">
        <f>IF(_Calcs!$JO$44=1,"✓","!")</f>
        <v>✓</v>
      </c>
      <c r="BX163" s="868"/>
      <c r="BY163" s="869"/>
      <c r="BZ163" s="70"/>
      <c r="CA163" s="867"/>
      <c r="CB163" s="82"/>
      <c r="CC163" s="46" t="str">
        <f>IF(_Calcs!$IS$64=FALSE,"-",_Calcs!$IS$64)</f>
        <v>-</v>
      </c>
      <c r="CD163" s="83"/>
      <c r="CE163" s="30" t="str">
        <f>IF(_Calcs!$JO$45=1,"✓","!")</f>
        <v>✓</v>
      </c>
      <c r="CF163" s="868"/>
      <c r="CG163" s="869"/>
      <c r="CH163" s="70"/>
      <c r="CI163" s="867"/>
      <c r="CJ163" s="82"/>
      <c r="CK163" s="46" t="str">
        <f>IF(_Calcs!$IS$65=FALSE,"-",_Calcs!$IS$65)</f>
        <v>-</v>
      </c>
      <c r="CL163" s="83"/>
      <c r="CM163" s="30" t="str">
        <f>IF(_Calcs!$JO$46=1,"✓","!")</f>
        <v>✓</v>
      </c>
      <c r="CN163" s="868"/>
      <c r="CO163" s="869"/>
      <c r="CP163" s="70"/>
      <c r="CQ163" s="868"/>
      <c r="CR163" s="70"/>
      <c r="CS163" s="70"/>
      <c r="CT163" s="70"/>
      <c r="CU163" s="70"/>
      <c r="CV163" s="70"/>
    </row>
    <row r="164" spans="3:100" s="21" customFormat="1" ht="15" customHeight="1" thickBot="1" x14ac:dyDescent="0.25">
      <c r="C164" s="25"/>
      <c r="D164" s="25"/>
      <c r="E164" s="25"/>
      <c r="F164" s="70"/>
      <c r="G164" s="70"/>
      <c r="H164" s="3857"/>
      <c r="I164" s="3858"/>
      <c r="J164" s="3859"/>
      <c r="K164" s="20"/>
      <c r="L164" s="856"/>
      <c r="M164" s="991"/>
      <c r="N164" s="991"/>
      <c r="O164" s="991"/>
      <c r="P164" s="991"/>
      <c r="Q164" s="82"/>
      <c r="R164" s="2049"/>
      <c r="S164" s="857"/>
      <c r="T164" s="20"/>
      <c r="U164" s="80"/>
      <c r="V164" s="16"/>
      <c r="W164" s="867"/>
      <c r="X164" s="82"/>
      <c r="Y164" s="81"/>
      <c r="Z164" s="83"/>
      <c r="AA164" s="868"/>
      <c r="AB164" s="868"/>
      <c r="AC164" s="869"/>
      <c r="AD164" s="70"/>
      <c r="AE164" s="867"/>
      <c r="AF164" s="82"/>
      <c r="AG164" s="81"/>
      <c r="AH164" s="83"/>
      <c r="AI164" s="868"/>
      <c r="AJ164" s="868"/>
      <c r="AK164" s="869"/>
      <c r="AL164" s="70"/>
      <c r="AM164" s="867"/>
      <c r="AN164" s="82"/>
      <c r="AO164" s="81"/>
      <c r="AP164" s="83"/>
      <c r="AQ164" s="868"/>
      <c r="AR164" s="868"/>
      <c r="AS164" s="869"/>
      <c r="AT164" s="70"/>
      <c r="AU164" s="867"/>
      <c r="AV164" s="82"/>
      <c r="AW164" s="81"/>
      <c r="AX164" s="83"/>
      <c r="AY164" s="868"/>
      <c r="AZ164" s="868"/>
      <c r="BA164" s="869"/>
      <c r="BB164" s="70"/>
      <c r="BC164" s="867"/>
      <c r="BD164" s="82"/>
      <c r="BE164" s="81"/>
      <c r="BF164" s="83"/>
      <c r="BG164" s="868"/>
      <c r="BH164" s="868"/>
      <c r="BI164" s="869"/>
      <c r="BJ164" s="70"/>
      <c r="BK164" s="867"/>
      <c r="BL164" s="82"/>
      <c r="BM164" s="81"/>
      <c r="BN164" s="83"/>
      <c r="BO164" s="868"/>
      <c r="BP164" s="868"/>
      <c r="BQ164" s="869"/>
      <c r="BR164" s="70"/>
      <c r="BS164" s="867"/>
      <c r="BT164" s="82"/>
      <c r="BU164" s="81"/>
      <c r="BV164" s="83"/>
      <c r="BW164" s="868"/>
      <c r="BX164" s="868"/>
      <c r="BY164" s="869"/>
      <c r="BZ164" s="70"/>
      <c r="CA164" s="867"/>
      <c r="CB164" s="82"/>
      <c r="CC164" s="81"/>
      <c r="CD164" s="83"/>
      <c r="CE164" s="868"/>
      <c r="CF164" s="868"/>
      <c r="CG164" s="869"/>
      <c r="CH164" s="70"/>
      <c r="CI164" s="867"/>
      <c r="CJ164" s="82"/>
      <c r="CK164" s="81"/>
      <c r="CL164" s="83"/>
      <c r="CM164" s="868"/>
      <c r="CN164" s="868"/>
      <c r="CO164" s="869"/>
      <c r="CP164" s="70"/>
      <c r="CQ164" s="868"/>
      <c r="CR164" s="70"/>
      <c r="CS164" s="70"/>
      <c r="CT164" s="70"/>
      <c r="CU164" s="70"/>
      <c r="CV164" s="70"/>
    </row>
    <row r="165" spans="3:100" s="21" customFormat="1" ht="20.100000000000001" customHeight="1" thickBot="1" x14ac:dyDescent="0.25">
      <c r="C165" s="25"/>
      <c r="D165" s="25"/>
      <c r="E165" s="25"/>
      <c r="F165" s="70"/>
      <c r="G165" s="70"/>
      <c r="H165" s="3857"/>
      <c r="I165" s="3858"/>
      <c r="J165" s="3859"/>
      <c r="K165" s="20"/>
      <c r="L165" s="856"/>
      <c r="M165" s="991" t="str">
        <f>'Inn justeringer'!$F$72</f>
        <v>Stor stigning eller synk</v>
      </c>
      <c r="N165" s="991"/>
      <c r="O165" s="991"/>
      <c r="P165" s="991"/>
      <c r="Q165" s="82"/>
      <c r="R165" s="2049" t="s">
        <v>146</v>
      </c>
      <c r="S165" s="857"/>
      <c r="T165" s="20"/>
      <c r="U165" s="80"/>
      <c r="V165" s="16"/>
      <c r="W165" s="867"/>
      <c r="X165" s="82"/>
      <c r="Y165" s="46" t="str">
        <f>IF(_Calcs!$IV$57=FALSE,"-",_Calcs!$IV$57)</f>
        <v>-</v>
      </c>
      <c r="Z165" s="83"/>
      <c r="AA165" s="30" t="str">
        <f>IF(_Calcs!$JP$38=1,"✓","!")</f>
        <v>✓</v>
      </c>
      <c r="AB165" s="868"/>
      <c r="AC165" s="869"/>
      <c r="AD165" s="70"/>
      <c r="AE165" s="867"/>
      <c r="AF165" s="82"/>
      <c r="AG165" s="46" t="str">
        <f>IF(_Calcs!$IV$58=FALSE,"-",_Calcs!$IV$58)</f>
        <v>-</v>
      </c>
      <c r="AH165" s="83"/>
      <c r="AI165" s="30" t="str">
        <f>IF(_Calcs!$JP$39=1,"✓","!")</f>
        <v>✓</v>
      </c>
      <c r="AJ165" s="868"/>
      <c r="AK165" s="869"/>
      <c r="AL165" s="70"/>
      <c r="AM165" s="867"/>
      <c r="AN165" s="82"/>
      <c r="AO165" s="46" t="str">
        <f>IF(_Calcs!$IV$59=FALSE,"-",_Calcs!$IV$59)</f>
        <v>-</v>
      </c>
      <c r="AP165" s="83"/>
      <c r="AQ165" s="30" t="str">
        <f>IF(_Calcs!$JP$40=1,"✓","!")</f>
        <v>✓</v>
      </c>
      <c r="AR165" s="868"/>
      <c r="AS165" s="869"/>
      <c r="AT165" s="70"/>
      <c r="AU165" s="867"/>
      <c r="AV165" s="82"/>
      <c r="AW165" s="46" t="str">
        <f>IF(_Calcs!$IV$60=FALSE,"-",_Calcs!$IV$60)</f>
        <v>-</v>
      </c>
      <c r="AX165" s="83"/>
      <c r="AY165" s="30" t="str">
        <f>IF(_Calcs!$JP$41=1,"✓","!")</f>
        <v>✓</v>
      </c>
      <c r="AZ165" s="868"/>
      <c r="BA165" s="869"/>
      <c r="BB165" s="70"/>
      <c r="BC165" s="867"/>
      <c r="BD165" s="82"/>
      <c r="BE165" s="46" t="str">
        <f>IF(_Calcs!$IV$61=FALSE,"-",_Calcs!$IV$61)</f>
        <v>-</v>
      </c>
      <c r="BF165" s="83"/>
      <c r="BG165" s="30" t="str">
        <f>IF(_Calcs!$JP$42=1,"✓","!")</f>
        <v>✓</v>
      </c>
      <c r="BH165" s="868"/>
      <c r="BI165" s="869"/>
      <c r="BJ165" s="70"/>
      <c r="BK165" s="867"/>
      <c r="BL165" s="82"/>
      <c r="BM165" s="46" t="str">
        <f>IF(_Calcs!$IV$62=FALSE,"-",_Calcs!$IV$62)</f>
        <v>-</v>
      </c>
      <c r="BN165" s="83"/>
      <c r="BO165" s="30" t="str">
        <f>IF(_Calcs!$JP$43=1,"✓","!")</f>
        <v>✓</v>
      </c>
      <c r="BP165" s="868"/>
      <c r="BQ165" s="869"/>
      <c r="BR165" s="70"/>
      <c r="BS165" s="867"/>
      <c r="BT165" s="82"/>
      <c r="BU165" s="46" t="str">
        <f>IF(_Calcs!$IV$63=FALSE,"-",_Calcs!$IV$63)</f>
        <v>-</v>
      </c>
      <c r="BV165" s="83"/>
      <c r="BW165" s="30" t="str">
        <f>IF(_Calcs!$JP$44=1,"✓","!")</f>
        <v>✓</v>
      </c>
      <c r="BX165" s="868"/>
      <c r="BY165" s="869"/>
      <c r="BZ165" s="70"/>
      <c r="CA165" s="867"/>
      <c r="CB165" s="82"/>
      <c r="CC165" s="46" t="str">
        <f>IF(_Calcs!$IV$64=FALSE,"-",_Calcs!$IV$64)</f>
        <v>-</v>
      </c>
      <c r="CD165" s="83"/>
      <c r="CE165" s="30" t="str">
        <f>IF(_Calcs!$JP$45=1,"✓","!")</f>
        <v>✓</v>
      </c>
      <c r="CF165" s="868"/>
      <c r="CG165" s="869"/>
      <c r="CH165" s="70"/>
      <c r="CI165" s="867"/>
      <c r="CJ165" s="82"/>
      <c r="CK165" s="46" t="str">
        <f>IF(_Calcs!$IV$65=FALSE,"-",_Calcs!$IV$65)</f>
        <v>-</v>
      </c>
      <c r="CL165" s="83"/>
      <c r="CM165" s="30" t="str">
        <f>IF(_Calcs!$JP$46=1,"✓","!")</f>
        <v>✓</v>
      </c>
      <c r="CN165" s="868"/>
      <c r="CO165" s="869"/>
      <c r="CP165" s="70"/>
      <c r="CQ165" s="868"/>
      <c r="CR165" s="70"/>
      <c r="CS165" s="70"/>
      <c r="CT165" s="70"/>
      <c r="CU165" s="70"/>
      <c r="CV165" s="70"/>
    </row>
    <row r="166" spans="3:100" s="21" customFormat="1" ht="15" customHeight="1" thickBot="1" x14ac:dyDescent="0.25">
      <c r="C166" s="25"/>
      <c r="D166" s="25"/>
      <c r="E166" s="25"/>
      <c r="F166" s="70"/>
      <c r="G166" s="70"/>
      <c r="H166" s="1714"/>
      <c r="I166" s="673"/>
      <c r="J166" s="846"/>
      <c r="K166" s="20"/>
      <c r="L166" s="856"/>
      <c r="M166" s="991"/>
      <c r="N166" s="991"/>
      <c r="O166" s="991"/>
      <c r="P166" s="991"/>
      <c r="Q166" s="82"/>
      <c r="R166" s="2049"/>
      <c r="S166" s="857"/>
      <c r="T166" s="20"/>
      <c r="U166" s="80"/>
      <c r="V166" s="16"/>
      <c r="W166" s="867"/>
      <c r="X166" s="82"/>
      <c r="Y166" s="81"/>
      <c r="Z166" s="83"/>
      <c r="AA166" s="868"/>
      <c r="AB166" s="868"/>
      <c r="AC166" s="869"/>
      <c r="AD166" s="70"/>
      <c r="AE166" s="867"/>
      <c r="AF166" s="82"/>
      <c r="AG166" s="81"/>
      <c r="AH166" s="83"/>
      <c r="AI166" s="868"/>
      <c r="AJ166" s="868"/>
      <c r="AK166" s="869"/>
      <c r="AL166" s="70"/>
      <c r="AM166" s="867"/>
      <c r="AN166" s="82"/>
      <c r="AO166" s="81"/>
      <c r="AP166" s="83"/>
      <c r="AQ166" s="868"/>
      <c r="AR166" s="868"/>
      <c r="AS166" s="869"/>
      <c r="AT166" s="70"/>
      <c r="AU166" s="867"/>
      <c r="AV166" s="82"/>
      <c r="AW166" s="81"/>
      <c r="AX166" s="83"/>
      <c r="AY166" s="868"/>
      <c r="AZ166" s="868"/>
      <c r="BA166" s="869"/>
      <c r="BB166" s="70"/>
      <c r="BC166" s="867"/>
      <c r="BD166" s="82"/>
      <c r="BE166" s="81"/>
      <c r="BF166" s="83"/>
      <c r="BG166" s="868"/>
      <c r="BH166" s="868"/>
      <c r="BI166" s="869"/>
      <c r="BJ166" s="70"/>
      <c r="BK166" s="867"/>
      <c r="BL166" s="82"/>
      <c r="BM166" s="81"/>
      <c r="BN166" s="83"/>
      <c r="BO166" s="868"/>
      <c r="BP166" s="868"/>
      <c r="BQ166" s="869"/>
      <c r="BR166" s="70"/>
      <c r="BS166" s="867"/>
      <c r="BT166" s="82"/>
      <c r="BU166" s="81"/>
      <c r="BV166" s="83"/>
      <c r="BW166" s="868"/>
      <c r="BX166" s="868"/>
      <c r="BY166" s="869"/>
      <c r="BZ166" s="70"/>
      <c r="CA166" s="867"/>
      <c r="CB166" s="82"/>
      <c r="CC166" s="81"/>
      <c r="CD166" s="83"/>
      <c r="CE166" s="868"/>
      <c r="CF166" s="868"/>
      <c r="CG166" s="869"/>
      <c r="CH166" s="70"/>
      <c r="CI166" s="867"/>
      <c r="CJ166" s="82"/>
      <c r="CK166" s="81"/>
      <c r="CL166" s="83"/>
      <c r="CM166" s="868"/>
      <c r="CN166" s="868"/>
      <c r="CO166" s="869"/>
      <c r="CP166" s="70"/>
      <c r="CQ166" s="868"/>
      <c r="CR166" s="70"/>
      <c r="CS166" s="70"/>
      <c r="CT166" s="70"/>
      <c r="CU166" s="70"/>
      <c r="CV166" s="70"/>
    </row>
    <row r="167" spans="3:100" s="21" customFormat="1" ht="20.100000000000001" customHeight="1" thickBot="1" x14ac:dyDescent="0.25">
      <c r="C167" s="25"/>
      <c r="D167" s="25"/>
      <c r="E167" s="25"/>
      <c r="F167" s="70"/>
      <c r="G167" s="70"/>
      <c r="H167" s="1714"/>
      <c r="I167" s="673"/>
      <c r="J167" s="846"/>
      <c r="K167" s="20"/>
      <c r="L167" s="856"/>
      <c r="M167" s="991" t="str">
        <f>_Calcs!$M$79</f>
        <v>Avvikende arbeidstid</v>
      </c>
      <c r="N167" s="991"/>
      <c r="O167" s="991"/>
      <c r="P167" s="991"/>
      <c r="Q167" s="82"/>
      <c r="R167" s="2049" t="s">
        <v>146</v>
      </c>
      <c r="S167" s="857"/>
      <c r="T167" s="20"/>
      <c r="U167" s="80"/>
      <c r="V167" s="16"/>
      <c r="W167" s="867"/>
      <c r="X167" s="82"/>
      <c r="Y167" s="46" t="str">
        <f>IF(_Calcs!$IY$57=FALSE,"-",_Calcs!$IY$57)</f>
        <v>-</v>
      </c>
      <c r="Z167" s="83"/>
      <c r="AA167" s="30" t="str">
        <f>IF(_Calcs!$JQ$38=1,"✓","!")</f>
        <v>✓</v>
      </c>
      <c r="AB167" s="868"/>
      <c r="AC167" s="869"/>
      <c r="AD167" s="70"/>
      <c r="AE167" s="867"/>
      <c r="AF167" s="82"/>
      <c r="AG167" s="46" t="str">
        <f>IF(_Calcs!$IY$58=FALSE,"-",_Calcs!$IY$58)</f>
        <v>-</v>
      </c>
      <c r="AH167" s="83"/>
      <c r="AI167" s="30" t="str">
        <f>IF(_Calcs!$JQ$39=1,"✓","!")</f>
        <v>✓</v>
      </c>
      <c r="AJ167" s="868"/>
      <c r="AK167" s="869"/>
      <c r="AL167" s="70"/>
      <c r="AM167" s="867"/>
      <c r="AN167" s="82"/>
      <c r="AO167" s="46" t="str">
        <f>IF(_Calcs!$IY$59=FALSE,"-",_Calcs!$IY$59)</f>
        <v>-</v>
      </c>
      <c r="AP167" s="83"/>
      <c r="AQ167" s="30" t="str">
        <f>IF(_Calcs!$JQ$40=1,"✓","!")</f>
        <v>✓</v>
      </c>
      <c r="AR167" s="868"/>
      <c r="AS167" s="869"/>
      <c r="AT167" s="70"/>
      <c r="AU167" s="867"/>
      <c r="AV167" s="82"/>
      <c r="AW167" s="46" t="str">
        <f>IF(_Calcs!$IY$60=FALSE,"-",_Calcs!$IY$60)</f>
        <v>-</v>
      </c>
      <c r="AX167" s="83"/>
      <c r="AY167" s="30" t="str">
        <f>IF(_Calcs!$JQ$41=1,"✓","!")</f>
        <v>✓</v>
      </c>
      <c r="AZ167" s="868"/>
      <c r="BA167" s="869"/>
      <c r="BB167" s="70"/>
      <c r="BC167" s="867"/>
      <c r="BD167" s="82"/>
      <c r="BE167" s="46" t="str">
        <f>IF(_Calcs!$IY$61=FALSE,"-",_Calcs!$IY$61)</f>
        <v>-</v>
      </c>
      <c r="BF167" s="83"/>
      <c r="BG167" s="30" t="str">
        <f>IF(_Calcs!$JQ$42=1,"✓","!")</f>
        <v>✓</v>
      </c>
      <c r="BH167" s="868"/>
      <c r="BI167" s="869"/>
      <c r="BJ167" s="70"/>
      <c r="BK167" s="867"/>
      <c r="BL167" s="82"/>
      <c r="BM167" s="46" t="str">
        <f>IF(_Calcs!$IY$62=FALSE,"-",_Calcs!$IY$62)</f>
        <v>-</v>
      </c>
      <c r="BN167" s="83"/>
      <c r="BO167" s="30" t="str">
        <f>IF(_Calcs!$JQ$43=1,"✓","!")</f>
        <v>✓</v>
      </c>
      <c r="BP167" s="868"/>
      <c r="BQ167" s="869"/>
      <c r="BR167" s="70"/>
      <c r="BS167" s="867"/>
      <c r="BT167" s="82"/>
      <c r="BU167" s="46" t="str">
        <f>IF(_Calcs!$IY$63=FALSE,"-",_Calcs!$IY$63)</f>
        <v>-</v>
      </c>
      <c r="BV167" s="83"/>
      <c r="BW167" s="30" t="str">
        <f>IF(_Calcs!$JQ$44=1,"✓","!")</f>
        <v>✓</v>
      </c>
      <c r="BX167" s="868"/>
      <c r="BY167" s="869"/>
      <c r="BZ167" s="70"/>
      <c r="CA167" s="867"/>
      <c r="CB167" s="82"/>
      <c r="CC167" s="46" t="str">
        <f>IF(_Calcs!$IY$64=FALSE,"-",_Calcs!$IY$64)</f>
        <v>-</v>
      </c>
      <c r="CD167" s="83"/>
      <c r="CE167" s="30" t="str">
        <f>IF(_Calcs!$JQ$45=1,"✓","!")</f>
        <v>✓</v>
      </c>
      <c r="CF167" s="868"/>
      <c r="CG167" s="869"/>
      <c r="CH167" s="70"/>
      <c r="CI167" s="867"/>
      <c r="CJ167" s="82"/>
      <c r="CK167" s="46" t="str">
        <f>IF(_Calcs!$IY$65=FALSE,"-",_Calcs!$IY$65)</f>
        <v>-</v>
      </c>
      <c r="CL167" s="83"/>
      <c r="CM167" s="30" t="str">
        <f>IF(_Calcs!$JQ$46=1,"✓","!")</f>
        <v>✓</v>
      </c>
      <c r="CN167" s="868"/>
      <c r="CO167" s="869"/>
      <c r="CP167" s="70"/>
      <c r="CQ167" s="868"/>
      <c r="CR167" s="70"/>
      <c r="CS167" s="70"/>
      <c r="CT167" s="70"/>
      <c r="CU167" s="70"/>
      <c r="CV167" s="70"/>
    </row>
    <row r="168" spans="3:100" s="21" customFormat="1" ht="15" customHeight="1" thickBot="1" x14ac:dyDescent="0.25">
      <c r="C168" s="25"/>
      <c r="D168" s="25"/>
      <c r="E168" s="25"/>
      <c r="F168" s="70"/>
      <c r="G168" s="70"/>
      <c r="H168" s="1714"/>
      <c r="I168" s="673"/>
      <c r="J168" s="846"/>
      <c r="K168" s="20"/>
      <c r="L168" s="856"/>
      <c r="M168" s="991"/>
      <c r="N168" s="991"/>
      <c r="O168" s="991"/>
      <c r="P168" s="991"/>
      <c r="Q168" s="82"/>
      <c r="R168" s="2049"/>
      <c r="S168" s="857"/>
      <c r="T168" s="20"/>
      <c r="U168" s="80"/>
      <c r="V168" s="16"/>
      <c r="W168" s="867"/>
      <c r="X168" s="82"/>
      <c r="Y168" s="81"/>
      <c r="Z168" s="83"/>
      <c r="AA168" s="868"/>
      <c r="AB168" s="868"/>
      <c r="AC168" s="869"/>
      <c r="AD168" s="70"/>
      <c r="AE168" s="867"/>
      <c r="AF168" s="82"/>
      <c r="AG168" s="81"/>
      <c r="AH168" s="83"/>
      <c r="AI168" s="868"/>
      <c r="AJ168" s="868"/>
      <c r="AK168" s="869"/>
      <c r="AL168" s="70"/>
      <c r="AM168" s="867"/>
      <c r="AN168" s="82"/>
      <c r="AO168" s="81"/>
      <c r="AP168" s="83"/>
      <c r="AQ168" s="868"/>
      <c r="AR168" s="868"/>
      <c r="AS168" s="869"/>
      <c r="AT168" s="70"/>
      <c r="AU168" s="867"/>
      <c r="AV168" s="82"/>
      <c r="AW168" s="81"/>
      <c r="AX168" s="83"/>
      <c r="AY168" s="868"/>
      <c r="AZ168" s="868"/>
      <c r="BA168" s="869"/>
      <c r="BB168" s="70"/>
      <c r="BC168" s="867"/>
      <c r="BD168" s="82"/>
      <c r="BE168" s="81"/>
      <c r="BF168" s="83"/>
      <c r="BG168" s="868"/>
      <c r="BH168" s="868"/>
      <c r="BI168" s="869"/>
      <c r="BJ168" s="70"/>
      <c r="BK168" s="867"/>
      <c r="BL168" s="82"/>
      <c r="BM168" s="81"/>
      <c r="BN168" s="83"/>
      <c r="BO168" s="868"/>
      <c r="BP168" s="868"/>
      <c r="BQ168" s="869"/>
      <c r="BR168" s="70"/>
      <c r="BS168" s="867"/>
      <c r="BT168" s="82"/>
      <c r="BU168" s="81"/>
      <c r="BV168" s="83"/>
      <c r="BW168" s="868"/>
      <c r="BX168" s="868"/>
      <c r="BY168" s="869"/>
      <c r="BZ168" s="70"/>
      <c r="CA168" s="867"/>
      <c r="CB168" s="82"/>
      <c r="CC168" s="81"/>
      <c r="CD168" s="83"/>
      <c r="CE168" s="868"/>
      <c r="CF168" s="868"/>
      <c r="CG168" s="869"/>
      <c r="CH168" s="70"/>
      <c r="CI168" s="867"/>
      <c r="CJ168" s="82"/>
      <c r="CK168" s="81"/>
      <c r="CL168" s="83"/>
      <c r="CM168" s="868"/>
      <c r="CN168" s="868"/>
      <c r="CO168" s="869"/>
      <c r="CP168" s="70"/>
      <c r="CQ168" s="868"/>
      <c r="CR168" s="70"/>
      <c r="CS168" s="70"/>
      <c r="CT168" s="70"/>
      <c r="CU168" s="70"/>
      <c r="CV168" s="70"/>
    </row>
    <row r="169" spans="3:100" s="21" customFormat="1" ht="20.100000000000001" customHeight="1" thickBot="1" x14ac:dyDescent="0.25">
      <c r="C169" s="25"/>
      <c r="D169" s="25"/>
      <c r="E169" s="25"/>
      <c r="F169" s="70"/>
      <c r="G169" s="70"/>
      <c r="H169" s="1714"/>
      <c r="I169" s="673"/>
      <c r="J169" s="846"/>
      <c r="K169" s="20"/>
      <c r="L169" s="856"/>
      <c r="M169" s="991" t="str">
        <f>'Inn justeringer'!$F$96</f>
        <v>Sprengingsvibrasjoner</v>
      </c>
      <c r="N169" s="991"/>
      <c r="O169" s="991"/>
      <c r="P169" s="991"/>
      <c r="Q169" s="82"/>
      <c r="R169" s="2049" t="s">
        <v>146</v>
      </c>
      <c r="S169" s="857"/>
      <c r="T169" s="20"/>
      <c r="U169" s="80"/>
      <c r="V169" s="16"/>
      <c r="W169" s="867"/>
      <c r="X169" s="82"/>
      <c r="Y169" s="46" t="str">
        <f>IF(_Calcs!$JB$57=FALSE,"-",_Calcs!$JB$57)</f>
        <v>-</v>
      </c>
      <c r="Z169" s="83"/>
      <c r="AA169" s="30" t="str">
        <f>IF(_Calcs!$JR$38=1,"✓","!")</f>
        <v>✓</v>
      </c>
      <c r="AB169" s="868"/>
      <c r="AC169" s="869"/>
      <c r="AD169" s="70"/>
      <c r="AE169" s="867"/>
      <c r="AF169" s="82"/>
      <c r="AG169" s="46" t="str">
        <f>IF(_Calcs!$JB$58=FALSE,"-",_Calcs!$JB$58)</f>
        <v>-</v>
      </c>
      <c r="AH169" s="83"/>
      <c r="AI169" s="30" t="str">
        <f>IF(_Calcs!$JR$39=1,"✓","!")</f>
        <v>✓</v>
      </c>
      <c r="AJ169" s="868"/>
      <c r="AK169" s="869"/>
      <c r="AL169" s="70"/>
      <c r="AM169" s="867"/>
      <c r="AN169" s="82"/>
      <c r="AO169" s="46" t="str">
        <f>IF(_Calcs!$JB$59=FALSE,"-",_Calcs!$JB$59)</f>
        <v>-</v>
      </c>
      <c r="AP169" s="83"/>
      <c r="AQ169" s="30" t="str">
        <f>IF(_Calcs!$JR$40=1,"✓","!")</f>
        <v>✓</v>
      </c>
      <c r="AR169" s="868"/>
      <c r="AS169" s="869"/>
      <c r="AT169" s="70"/>
      <c r="AU169" s="867"/>
      <c r="AV169" s="82"/>
      <c r="AW169" s="46" t="str">
        <f>IF(_Calcs!$JB$60=FALSE,"-",_Calcs!$JB$60)</f>
        <v>-</v>
      </c>
      <c r="AX169" s="83"/>
      <c r="AY169" s="30" t="str">
        <f>IF(_Calcs!$JR$41=1,"✓","!")</f>
        <v>✓</v>
      </c>
      <c r="AZ169" s="868"/>
      <c r="BA169" s="869"/>
      <c r="BB169" s="70"/>
      <c r="BC169" s="867"/>
      <c r="BD169" s="82"/>
      <c r="BE169" s="46" t="str">
        <f>IF(_Calcs!$JB$61=FALSE,"-",_Calcs!$JB$61)</f>
        <v>-</v>
      </c>
      <c r="BF169" s="83"/>
      <c r="BG169" s="30" t="str">
        <f>IF(_Calcs!$JR$42=1,"✓","!")</f>
        <v>✓</v>
      </c>
      <c r="BH169" s="868"/>
      <c r="BI169" s="869"/>
      <c r="BJ169" s="70"/>
      <c r="BK169" s="867"/>
      <c r="BL169" s="82"/>
      <c r="BM169" s="46" t="str">
        <f>IF(_Calcs!$JB$62=FALSE,"-",_Calcs!$JB$62)</f>
        <v>-</v>
      </c>
      <c r="BN169" s="83"/>
      <c r="BO169" s="30" t="str">
        <f>IF(_Calcs!$JR$43=1,"✓","!")</f>
        <v>✓</v>
      </c>
      <c r="BP169" s="868"/>
      <c r="BQ169" s="869"/>
      <c r="BR169" s="70"/>
      <c r="BS169" s="867"/>
      <c r="BT169" s="82"/>
      <c r="BU169" s="46" t="str">
        <f>IF(_Calcs!$JB$63=FALSE,"-",_Calcs!$JB$63)</f>
        <v>-</v>
      </c>
      <c r="BV169" s="83"/>
      <c r="BW169" s="30" t="str">
        <f>IF(_Calcs!$JR$44=1,"✓","!")</f>
        <v>✓</v>
      </c>
      <c r="BX169" s="868"/>
      <c r="BY169" s="869"/>
      <c r="BZ169" s="70"/>
      <c r="CA169" s="867"/>
      <c r="CB169" s="82"/>
      <c r="CC169" s="46" t="str">
        <f>IF(_Calcs!$JB$64=FALSE,"-",_Calcs!$JB$64)</f>
        <v>-</v>
      </c>
      <c r="CD169" s="83"/>
      <c r="CE169" s="30" t="str">
        <f>IF(_Calcs!$JR$45=1,"✓","!")</f>
        <v>✓</v>
      </c>
      <c r="CF169" s="868"/>
      <c r="CG169" s="869"/>
      <c r="CH169" s="70"/>
      <c r="CI169" s="867"/>
      <c r="CJ169" s="82"/>
      <c r="CK169" s="46" t="str">
        <f>IF(_Calcs!$JB$65=FALSE,"-",_Calcs!$JB$65)</f>
        <v>-</v>
      </c>
      <c r="CL169" s="83"/>
      <c r="CM169" s="30" t="str">
        <f>IF(_Calcs!$JR$46=1,"✓","!")</f>
        <v>✓</v>
      </c>
      <c r="CN169" s="868"/>
      <c r="CO169" s="869"/>
      <c r="CP169" s="70"/>
      <c r="CQ169" s="868"/>
      <c r="CR169" s="70"/>
      <c r="CS169" s="70"/>
      <c r="CT169" s="70"/>
      <c r="CU169" s="70"/>
      <c r="CV169" s="70"/>
    </row>
    <row r="170" spans="3:100" s="21" customFormat="1" ht="15" customHeight="1" thickBot="1" x14ac:dyDescent="0.25">
      <c r="C170" s="25"/>
      <c r="D170" s="25"/>
      <c r="E170" s="25"/>
      <c r="F170" s="70"/>
      <c r="G170" s="70"/>
      <c r="H170" s="1714"/>
      <c r="I170" s="673"/>
      <c r="J170" s="846"/>
      <c r="K170" s="20"/>
      <c r="L170" s="856"/>
      <c r="M170" s="991"/>
      <c r="N170" s="991"/>
      <c r="O170" s="991"/>
      <c r="P170" s="991"/>
      <c r="Q170" s="82"/>
      <c r="R170" s="2049"/>
      <c r="S170" s="857"/>
      <c r="T170" s="20"/>
      <c r="U170" s="80"/>
      <c r="V170" s="16"/>
      <c r="W170" s="867"/>
      <c r="X170" s="82"/>
      <c r="Y170" s="81"/>
      <c r="Z170" s="83"/>
      <c r="AA170" s="868"/>
      <c r="AB170" s="868"/>
      <c r="AC170" s="869"/>
      <c r="AD170" s="70"/>
      <c r="AE170" s="867"/>
      <c r="AF170" s="82"/>
      <c r="AG170" s="81"/>
      <c r="AH170" s="83"/>
      <c r="AI170" s="868"/>
      <c r="AJ170" s="868"/>
      <c r="AK170" s="869"/>
      <c r="AL170" s="70"/>
      <c r="AM170" s="867"/>
      <c r="AN170" s="82"/>
      <c r="AO170" s="81"/>
      <c r="AP170" s="83"/>
      <c r="AQ170" s="868"/>
      <c r="AR170" s="868"/>
      <c r="AS170" s="869"/>
      <c r="AT170" s="70"/>
      <c r="AU170" s="867"/>
      <c r="AV170" s="82"/>
      <c r="AW170" s="81"/>
      <c r="AX170" s="83"/>
      <c r="AY170" s="868"/>
      <c r="AZ170" s="868"/>
      <c r="BA170" s="869"/>
      <c r="BB170" s="70"/>
      <c r="BC170" s="867"/>
      <c r="BD170" s="82"/>
      <c r="BE170" s="81"/>
      <c r="BF170" s="83"/>
      <c r="BG170" s="868"/>
      <c r="BH170" s="868"/>
      <c r="BI170" s="869"/>
      <c r="BJ170" s="70"/>
      <c r="BK170" s="867"/>
      <c r="BL170" s="82"/>
      <c r="BM170" s="81"/>
      <c r="BN170" s="83"/>
      <c r="BO170" s="868"/>
      <c r="BP170" s="868"/>
      <c r="BQ170" s="869"/>
      <c r="BR170" s="70"/>
      <c r="BS170" s="867"/>
      <c r="BT170" s="82"/>
      <c r="BU170" s="81"/>
      <c r="BV170" s="83"/>
      <c r="BW170" s="868"/>
      <c r="BX170" s="868"/>
      <c r="BY170" s="869"/>
      <c r="BZ170" s="70"/>
      <c r="CA170" s="867"/>
      <c r="CB170" s="82"/>
      <c r="CC170" s="81"/>
      <c r="CD170" s="83"/>
      <c r="CE170" s="868"/>
      <c r="CF170" s="868"/>
      <c r="CG170" s="869"/>
      <c r="CH170" s="70"/>
      <c r="CI170" s="867"/>
      <c r="CJ170" s="82"/>
      <c r="CK170" s="81"/>
      <c r="CL170" s="83"/>
      <c r="CM170" s="868"/>
      <c r="CN170" s="868"/>
      <c r="CO170" s="869"/>
      <c r="CP170" s="70"/>
      <c r="CQ170" s="868"/>
      <c r="CR170" s="70"/>
      <c r="CS170" s="70"/>
      <c r="CT170" s="70"/>
      <c r="CU170" s="70"/>
      <c r="CV170" s="70"/>
    </row>
    <row r="171" spans="3:100" s="21" customFormat="1" ht="20.100000000000001" customHeight="1" thickBot="1" x14ac:dyDescent="0.25">
      <c r="C171" s="25"/>
      <c r="D171" s="25"/>
      <c r="E171" s="25"/>
      <c r="F171" s="70"/>
      <c r="G171" s="70"/>
      <c r="H171" s="1714"/>
      <c r="I171" s="673"/>
      <c r="J171" s="846"/>
      <c r="K171" s="20"/>
      <c r="L171" s="856"/>
      <c r="M171" s="991" t="str">
        <f>'Inn justeringer'!$F$108</f>
        <v>Skytetidspunkt</v>
      </c>
      <c r="N171" s="991"/>
      <c r="O171" s="991"/>
      <c r="P171" s="991"/>
      <c r="Q171" s="82"/>
      <c r="R171" s="2049" t="s">
        <v>146</v>
      </c>
      <c r="S171" s="857"/>
      <c r="T171" s="20"/>
      <c r="U171" s="80"/>
      <c r="V171" s="16"/>
      <c r="W171" s="867"/>
      <c r="X171" s="82"/>
      <c r="Y171" s="46" t="str">
        <f>IF(_Calcs!$JE$57=FALSE,"-",_Calcs!$JE$57)</f>
        <v>-</v>
      </c>
      <c r="Z171" s="83"/>
      <c r="AA171" s="30" t="str">
        <f>IF(_Calcs!$JS$38=1,"✓","!")</f>
        <v>✓</v>
      </c>
      <c r="AB171" s="868"/>
      <c r="AC171" s="869"/>
      <c r="AD171" s="70"/>
      <c r="AE171" s="867"/>
      <c r="AF171" s="82"/>
      <c r="AG171" s="46" t="str">
        <f>IF(_Calcs!$JE$58=FALSE,"-",_Calcs!$JE$58)</f>
        <v>-</v>
      </c>
      <c r="AH171" s="83"/>
      <c r="AI171" s="30" t="str">
        <f>IF(_Calcs!$JS$39=1,"✓","!")</f>
        <v>✓</v>
      </c>
      <c r="AJ171" s="868"/>
      <c r="AK171" s="869"/>
      <c r="AL171" s="70"/>
      <c r="AM171" s="867"/>
      <c r="AN171" s="82"/>
      <c r="AO171" s="46" t="str">
        <f>IF(_Calcs!$JE$59=FALSE,"-",_Calcs!$JE$59)</f>
        <v>-</v>
      </c>
      <c r="AP171" s="83"/>
      <c r="AQ171" s="30" t="str">
        <f>IF(_Calcs!$JS$40=1,"✓","!")</f>
        <v>✓</v>
      </c>
      <c r="AR171" s="868"/>
      <c r="AS171" s="869"/>
      <c r="AT171" s="70"/>
      <c r="AU171" s="867"/>
      <c r="AV171" s="82"/>
      <c r="AW171" s="46" t="str">
        <f>IF(_Calcs!$JE$60=FALSE,"-",_Calcs!$JE$60)</f>
        <v>-</v>
      </c>
      <c r="AX171" s="83"/>
      <c r="AY171" s="30" t="str">
        <f>IF(_Calcs!$JS$41=1,"✓","!")</f>
        <v>✓</v>
      </c>
      <c r="AZ171" s="868"/>
      <c r="BA171" s="869"/>
      <c r="BB171" s="70"/>
      <c r="BC171" s="867"/>
      <c r="BD171" s="82"/>
      <c r="BE171" s="46" t="str">
        <f>IF(_Calcs!$JE$61=FALSE,"-",_Calcs!$JE$61)</f>
        <v>-</v>
      </c>
      <c r="BF171" s="83"/>
      <c r="BG171" s="30" t="str">
        <f>IF(_Calcs!$JS$42=1,"✓","!")</f>
        <v>✓</v>
      </c>
      <c r="BH171" s="868"/>
      <c r="BI171" s="869"/>
      <c r="BJ171" s="70"/>
      <c r="BK171" s="867"/>
      <c r="BL171" s="82"/>
      <c r="BM171" s="46" t="str">
        <f>IF(_Calcs!$JE$62=FALSE,"-",_Calcs!$JE$62)</f>
        <v>-</v>
      </c>
      <c r="BN171" s="83"/>
      <c r="BO171" s="30" t="str">
        <f>IF(_Calcs!$JS$43=1,"✓","!")</f>
        <v>✓</v>
      </c>
      <c r="BP171" s="868"/>
      <c r="BQ171" s="869"/>
      <c r="BR171" s="70"/>
      <c r="BS171" s="867"/>
      <c r="BT171" s="82"/>
      <c r="BU171" s="46" t="str">
        <f>IF(_Calcs!$JE$63=FALSE,"-",_Calcs!$JE$63)</f>
        <v>-</v>
      </c>
      <c r="BV171" s="83"/>
      <c r="BW171" s="30" t="str">
        <f>IF(_Calcs!$JS$44=1,"✓","!")</f>
        <v>✓</v>
      </c>
      <c r="BX171" s="868"/>
      <c r="BY171" s="869"/>
      <c r="BZ171" s="70"/>
      <c r="CA171" s="867"/>
      <c r="CB171" s="82"/>
      <c r="CC171" s="46" t="str">
        <f>IF(_Calcs!$JE$64=FALSE,"-",_Calcs!$JE$64)</f>
        <v>-</v>
      </c>
      <c r="CD171" s="83"/>
      <c r="CE171" s="30" t="str">
        <f>IF(_Calcs!$JS$45=1,"✓","!")</f>
        <v>✓</v>
      </c>
      <c r="CF171" s="868"/>
      <c r="CG171" s="869"/>
      <c r="CH171" s="70"/>
      <c r="CI171" s="867"/>
      <c r="CJ171" s="82"/>
      <c r="CK171" s="46" t="str">
        <f>IF(_Calcs!$JE$65=FALSE,"-",_Calcs!$JE$65)</f>
        <v>-</v>
      </c>
      <c r="CL171" s="83"/>
      <c r="CM171" s="30" t="str">
        <f>IF(_Calcs!$JS$46=1,"✓","!")</f>
        <v>✓</v>
      </c>
      <c r="CN171" s="868"/>
      <c r="CO171" s="869"/>
      <c r="CP171" s="70"/>
      <c r="CQ171" s="868"/>
      <c r="CR171" s="70"/>
      <c r="CS171" s="70"/>
      <c r="CT171" s="70"/>
      <c r="CU171" s="70"/>
      <c r="CV171" s="70"/>
    </row>
    <row r="172" spans="3:100" s="21" customFormat="1" ht="15" customHeight="1" thickBot="1" x14ac:dyDescent="0.25">
      <c r="C172" s="25"/>
      <c r="D172" s="25"/>
      <c r="E172" s="25"/>
      <c r="F172" s="70"/>
      <c r="G172" s="70"/>
      <c r="H172" s="1714"/>
      <c r="I172" s="673"/>
      <c r="J172" s="846"/>
      <c r="K172" s="20"/>
      <c r="L172" s="856"/>
      <c r="M172" s="991"/>
      <c r="N172" s="991"/>
      <c r="O172" s="991"/>
      <c r="P172" s="991"/>
      <c r="Q172" s="82"/>
      <c r="R172" s="2049"/>
      <c r="S172" s="857"/>
      <c r="T172" s="20"/>
      <c r="U172" s="80"/>
      <c r="V172" s="16"/>
      <c r="W172" s="867"/>
      <c r="X172" s="82"/>
      <c r="Y172" s="680"/>
      <c r="Z172" s="680"/>
      <c r="AA172" s="680"/>
      <c r="AB172" s="868"/>
      <c r="AC172" s="869"/>
      <c r="AD172" s="70"/>
      <c r="AE172" s="867"/>
      <c r="AF172" s="82"/>
      <c r="AG172" s="680"/>
      <c r="AH172" s="680"/>
      <c r="AI172" s="680"/>
      <c r="AJ172" s="868"/>
      <c r="AK172" s="869"/>
      <c r="AL172" s="70"/>
      <c r="AM172" s="867"/>
      <c r="AN172" s="82"/>
      <c r="AO172" s="680"/>
      <c r="AP172" s="680"/>
      <c r="AQ172" s="680"/>
      <c r="AR172" s="868"/>
      <c r="AS172" s="869"/>
      <c r="AT172" s="70"/>
      <c r="AU172" s="867"/>
      <c r="AV172" s="82"/>
      <c r="AW172" s="680"/>
      <c r="AX172" s="680"/>
      <c r="AY172" s="680"/>
      <c r="AZ172" s="868"/>
      <c r="BA172" s="869"/>
      <c r="BB172" s="70"/>
      <c r="BC172" s="867"/>
      <c r="BD172" s="82"/>
      <c r="BE172" s="680"/>
      <c r="BF172" s="680"/>
      <c r="BG172" s="680"/>
      <c r="BH172" s="868"/>
      <c r="BI172" s="869"/>
      <c r="BJ172" s="70"/>
      <c r="BK172" s="867"/>
      <c r="BL172" s="82"/>
      <c r="BM172" s="680"/>
      <c r="BN172" s="680"/>
      <c r="BO172" s="680"/>
      <c r="BP172" s="868"/>
      <c r="BQ172" s="869"/>
      <c r="BR172" s="70"/>
      <c r="BS172" s="867"/>
      <c r="BT172" s="82"/>
      <c r="BU172" s="680"/>
      <c r="BV172" s="680"/>
      <c r="BW172" s="680"/>
      <c r="BX172" s="868"/>
      <c r="BY172" s="869"/>
      <c r="BZ172" s="70"/>
      <c r="CA172" s="867"/>
      <c r="CB172" s="82"/>
      <c r="CC172" s="680"/>
      <c r="CD172" s="680"/>
      <c r="CE172" s="680"/>
      <c r="CF172" s="868"/>
      <c r="CG172" s="869"/>
      <c r="CH172" s="70"/>
      <c r="CI172" s="867"/>
      <c r="CJ172" s="82"/>
      <c r="CK172" s="680"/>
      <c r="CL172" s="680"/>
      <c r="CM172" s="680"/>
      <c r="CN172" s="868"/>
      <c r="CO172" s="869"/>
      <c r="CP172" s="70"/>
      <c r="CQ172" s="868"/>
      <c r="CR172" s="70"/>
      <c r="CS172" s="70"/>
      <c r="CT172" s="70"/>
      <c r="CU172" s="70"/>
      <c r="CV172" s="70"/>
    </row>
    <row r="173" spans="3:100" s="21" customFormat="1" ht="20.100000000000001" customHeight="1" thickBot="1" x14ac:dyDescent="0.25">
      <c r="C173" s="25"/>
      <c r="D173" s="25"/>
      <c r="E173" s="25"/>
      <c r="F173" s="70"/>
      <c r="G173" s="70"/>
      <c r="H173" s="1714"/>
      <c r="I173" s="673"/>
      <c r="J173" s="846"/>
      <c r="K173" s="20"/>
      <c r="L173" s="856"/>
      <c r="M173" s="991" t="str">
        <f>'Inn justeringer'!$F$120</f>
        <v>Støyende arbeider</v>
      </c>
      <c r="N173" s="991"/>
      <c r="O173" s="991"/>
      <c r="P173" s="991"/>
      <c r="Q173" s="82"/>
      <c r="R173" s="2049" t="s">
        <v>146</v>
      </c>
      <c r="S173" s="857"/>
      <c r="T173" s="20"/>
      <c r="U173" s="80"/>
      <c r="V173" s="16"/>
      <c r="W173" s="867"/>
      <c r="X173" s="82"/>
      <c r="Y173" s="46" t="str">
        <f>IF(_Calcs!$JH$57=FALSE,"-",_Calcs!$JH$57)</f>
        <v>-</v>
      </c>
      <c r="Z173" s="83"/>
      <c r="AA173" s="30" t="str">
        <f>IF(_Calcs!$JT$38=1,"✓","!")</f>
        <v>✓</v>
      </c>
      <c r="AB173" s="868"/>
      <c r="AC173" s="869"/>
      <c r="AD173" s="70"/>
      <c r="AE173" s="867"/>
      <c r="AF173" s="82"/>
      <c r="AG173" s="46" t="str">
        <f>IF(_Calcs!$JH$58=FALSE,"-",_Calcs!$JH$58)</f>
        <v>-</v>
      </c>
      <c r="AH173" s="83"/>
      <c r="AI173" s="30" t="str">
        <f>IF(_Calcs!$JT$39=1,"✓","!")</f>
        <v>✓</v>
      </c>
      <c r="AJ173" s="868"/>
      <c r="AK173" s="869"/>
      <c r="AL173" s="70"/>
      <c r="AM173" s="867"/>
      <c r="AN173" s="82"/>
      <c r="AO173" s="46" t="str">
        <f>IF(_Calcs!$JH$59=FALSE,"-",_Calcs!$JH$59)</f>
        <v>-</v>
      </c>
      <c r="AP173" s="83"/>
      <c r="AQ173" s="30" t="str">
        <f>IF(_Calcs!$JT$40=1,"✓","!")</f>
        <v>✓</v>
      </c>
      <c r="AR173" s="868"/>
      <c r="AS173" s="869"/>
      <c r="AT173" s="70"/>
      <c r="AU173" s="867"/>
      <c r="AV173" s="82"/>
      <c r="AW173" s="46" t="str">
        <f>IF(_Calcs!$JH$60=FALSE,"-",_Calcs!$JH$60)</f>
        <v>-</v>
      </c>
      <c r="AX173" s="83"/>
      <c r="AY173" s="30" t="str">
        <f>IF(_Calcs!$JT$41=1,"✓","!")</f>
        <v>✓</v>
      </c>
      <c r="AZ173" s="868"/>
      <c r="BA173" s="869"/>
      <c r="BB173" s="70"/>
      <c r="BC173" s="867"/>
      <c r="BD173" s="82"/>
      <c r="BE173" s="46" t="str">
        <f>IF(_Calcs!$JH$61=FALSE,"-",_Calcs!$JH$61)</f>
        <v>-</v>
      </c>
      <c r="BF173" s="83"/>
      <c r="BG173" s="30" t="str">
        <f>IF(_Calcs!$JT$42=1,"✓","!")</f>
        <v>✓</v>
      </c>
      <c r="BH173" s="868"/>
      <c r="BI173" s="869"/>
      <c r="BJ173" s="70"/>
      <c r="BK173" s="867"/>
      <c r="BL173" s="82"/>
      <c r="BM173" s="46" t="str">
        <f>IF(_Calcs!$JH$62=FALSE,"-",_Calcs!$JH$62)</f>
        <v>-</v>
      </c>
      <c r="BN173" s="83"/>
      <c r="BO173" s="30" t="str">
        <f>IF(_Calcs!$JT$43=1,"✓","!")</f>
        <v>✓</v>
      </c>
      <c r="BP173" s="868"/>
      <c r="BQ173" s="869"/>
      <c r="BR173" s="70"/>
      <c r="BS173" s="867"/>
      <c r="BT173" s="82"/>
      <c r="BU173" s="46" t="str">
        <f>IF(_Calcs!$JH$63=FALSE,"-",_Calcs!$JH$63)</f>
        <v>-</v>
      </c>
      <c r="BV173" s="83"/>
      <c r="BW173" s="30" t="str">
        <f>IF(_Calcs!$JT$44=1,"✓","!")</f>
        <v>✓</v>
      </c>
      <c r="BX173" s="868"/>
      <c r="BY173" s="869"/>
      <c r="BZ173" s="70"/>
      <c r="CA173" s="867"/>
      <c r="CB173" s="82"/>
      <c r="CC173" s="46" t="str">
        <f>IF(_Calcs!$JH$64=FALSE,"-",_Calcs!$JH$64)</f>
        <v>-</v>
      </c>
      <c r="CD173" s="83"/>
      <c r="CE173" s="30" t="str">
        <f>IF(_Calcs!$JT$45=1,"✓","!")</f>
        <v>✓</v>
      </c>
      <c r="CF173" s="868"/>
      <c r="CG173" s="869"/>
      <c r="CH173" s="70"/>
      <c r="CI173" s="867"/>
      <c r="CJ173" s="82"/>
      <c r="CK173" s="46" t="str">
        <f>IF(_Calcs!$JH$65=FALSE,"-",_Calcs!$JH$65)</f>
        <v>-</v>
      </c>
      <c r="CL173" s="83"/>
      <c r="CM173" s="30" t="str">
        <f>IF(_Calcs!$JT$46=1,"✓","!")</f>
        <v>✓</v>
      </c>
      <c r="CN173" s="868"/>
      <c r="CO173" s="869"/>
      <c r="CP173" s="70"/>
      <c r="CQ173" s="868"/>
      <c r="CR173" s="70"/>
      <c r="CS173" s="70"/>
      <c r="CT173" s="70"/>
      <c r="CU173" s="70"/>
      <c r="CV173" s="70"/>
    </row>
    <row r="174" spans="3:100" s="21" customFormat="1" ht="15" customHeight="1" thickBot="1" x14ac:dyDescent="0.25">
      <c r="C174" s="25"/>
      <c r="D174" s="25"/>
      <c r="E174" s="25"/>
      <c r="F174" s="70"/>
      <c r="G174" s="70"/>
      <c r="H174" s="1714"/>
      <c r="I174" s="673"/>
      <c r="J174" s="846"/>
      <c r="K174" s="20"/>
      <c r="L174" s="856"/>
      <c r="M174" s="991"/>
      <c r="N174" s="991"/>
      <c r="O174" s="991"/>
      <c r="P174" s="991"/>
      <c r="Q174" s="82"/>
      <c r="R174" s="2049"/>
      <c r="S174" s="857"/>
      <c r="T174" s="20"/>
      <c r="U174" s="80"/>
      <c r="V174" s="16"/>
      <c r="W174" s="867"/>
      <c r="X174" s="82"/>
      <c r="Y174" s="680"/>
      <c r="Z174" s="680"/>
      <c r="AA174" s="680"/>
      <c r="AB174" s="868"/>
      <c r="AC174" s="869"/>
      <c r="AD174" s="70"/>
      <c r="AE174" s="867"/>
      <c r="AF174" s="82"/>
      <c r="AG174" s="680"/>
      <c r="AH174" s="680"/>
      <c r="AI174" s="680"/>
      <c r="AJ174" s="868"/>
      <c r="AK174" s="869"/>
      <c r="AL174" s="70"/>
      <c r="AM174" s="867"/>
      <c r="AN174" s="82"/>
      <c r="AO174" s="680"/>
      <c r="AP174" s="680"/>
      <c r="AQ174" s="680"/>
      <c r="AR174" s="868"/>
      <c r="AS174" s="869"/>
      <c r="AT174" s="70"/>
      <c r="AU174" s="867"/>
      <c r="AV174" s="82"/>
      <c r="AW174" s="680"/>
      <c r="AX174" s="680"/>
      <c r="AY174" s="680"/>
      <c r="AZ174" s="868"/>
      <c r="BA174" s="869"/>
      <c r="BB174" s="70"/>
      <c r="BC174" s="867"/>
      <c r="BD174" s="82"/>
      <c r="BE174" s="680"/>
      <c r="BF174" s="680"/>
      <c r="BG174" s="680"/>
      <c r="BH174" s="868"/>
      <c r="BI174" s="869"/>
      <c r="BJ174" s="70"/>
      <c r="BK174" s="867"/>
      <c r="BL174" s="82"/>
      <c r="BM174" s="680"/>
      <c r="BN174" s="680"/>
      <c r="BO174" s="680"/>
      <c r="BP174" s="868"/>
      <c r="BQ174" s="869"/>
      <c r="BR174" s="70"/>
      <c r="BS174" s="867"/>
      <c r="BT174" s="82"/>
      <c r="BU174" s="680"/>
      <c r="BV174" s="680"/>
      <c r="BW174" s="680"/>
      <c r="BX174" s="868"/>
      <c r="BY174" s="869"/>
      <c r="BZ174" s="70"/>
      <c r="CA174" s="867"/>
      <c r="CB174" s="82"/>
      <c r="CC174" s="680"/>
      <c r="CD174" s="680"/>
      <c r="CE174" s="680"/>
      <c r="CF174" s="868"/>
      <c r="CG174" s="869"/>
      <c r="CH174" s="70"/>
      <c r="CI174" s="867"/>
      <c r="CJ174" s="82"/>
      <c r="CK174" s="680"/>
      <c r="CL174" s="680"/>
      <c r="CM174" s="680"/>
      <c r="CN174" s="868"/>
      <c r="CO174" s="869"/>
      <c r="CP174" s="70"/>
      <c r="CQ174" s="868"/>
      <c r="CR174" s="70"/>
      <c r="CS174" s="70"/>
      <c r="CT174" s="70"/>
      <c r="CU174" s="70"/>
      <c r="CV174" s="70"/>
    </row>
    <row r="175" spans="3:100" s="21" customFormat="1" ht="20.100000000000001" customHeight="1" thickBot="1" x14ac:dyDescent="0.25">
      <c r="C175" s="25"/>
      <c r="D175" s="25"/>
      <c r="E175" s="25"/>
      <c r="F175" s="70"/>
      <c r="G175" s="70"/>
      <c r="H175" s="1714"/>
      <c r="I175" s="673"/>
      <c r="J175" s="846"/>
      <c r="K175" s="20"/>
      <c r="L175" s="856"/>
      <c r="M175" s="991" t="str">
        <f>'Inn justeringer'!$F$132</f>
        <v>Andre faktorer</v>
      </c>
      <c r="N175" s="991"/>
      <c r="O175" s="991"/>
      <c r="P175" s="991"/>
      <c r="Q175" s="82"/>
      <c r="R175" s="2049" t="s">
        <v>146</v>
      </c>
      <c r="S175" s="857"/>
      <c r="T175" s="20"/>
      <c r="U175" s="80"/>
      <c r="V175" s="16"/>
      <c r="W175" s="867"/>
      <c r="X175" s="82"/>
      <c r="Y175" s="46" t="str">
        <f>IF(_Calcs!$JK$57=FALSE,"-",_Calcs!$JK$57)</f>
        <v>-</v>
      </c>
      <c r="Z175" s="83"/>
      <c r="AA175" s="30" t="str">
        <f>IF(_Calcs!$JU$38=1,"✓","!")</f>
        <v>✓</v>
      </c>
      <c r="AB175" s="868"/>
      <c r="AC175" s="869"/>
      <c r="AD175" s="70"/>
      <c r="AE175" s="867"/>
      <c r="AF175" s="82"/>
      <c r="AG175" s="46" t="str">
        <f>IF(_Calcs!$JK$58=FALSE,"-",_Calcs!$JK$58)</f>
        <v>-</v>
      </c>
      <c r="AH175" s="83"/>
      <c r="AI175" s="30" t="str">
        <f>IF(_Calcs!$JU$39=1,"✓","!")</f>
        <v>✓</v>
      </c>
      <c r="AJ175" s="868"/>
      <c r="AK175" s="869"/>
      <c r="AL175" s="70"/>
      <c r="AM175" s="867"/>
      <c r="AN175" s="82"/>
      <c r="AO175" s="46" t="str">
        <f>IF(_Calcs!$JK$59=FALSE,"-",_Calcs!$JK$59)</f>
        <v>-</v>
      </c>
      <c r="AP175" s="83"/>
      <c r="AQ175" s="30" t="str">
        <f>IF(_Calcs!$JU$40=1,"✓","!")</f>
        <v>✓</v>
      </c>
      <c r="AR175" s="868"/>
      <c r="AS175" s="869"/>
      <c r="AT175" s="70"/>
      <c r="AU175" s="867"/>
      <c r="AV175" s="82"/>
      <c r="AW175" s="46" t="str">
        <f>IF(_Calcs!$JK$60=FALSE,"-",_Calcs!$JK$60)</f>
        <v>-</v>
      </c>
      <c r="AX175" s="83"/>
      <c r="AY175" s="30" t="str">
        <f>IF(_Calcs!$JU$41=1,"✓","!")</f>
        <v>✓</v>
      </c>
      <c r="AZ175" s="868"/>
      <c r="BA175" s="869"/>
      <c r="BB175" s="70"/>
      <c r="BC175" s="867"/>
      <c r="BD175" s="82"/>
      <c r="BE175" s="46" t="str">
        <f>IF(_Calcs!$JK$61=FALSE,"-",_Calcs!$JK$61)</f>
        <v>-</v>
      </c>
      <c r="BF175" s="83"/>
      <c r="BG175" s="30" t="str">
        <f>IF(_Calcs!$JU$42=1,"✓","!")</f>
        <v>✓</v>
      </c>
      <c r="BH175" s="868"/>
      <c r="BI175" s="869"/>
      <c r="BJ175" s="70"/>
      <c r="BK175" s="867"/>
      <c r="BL175" s="82"/>
      <c r="BM175" s="46" t="str">
        <f>IF(_Calcs!$JK$62=FALSE,"-",_Calcs!$JK$62)</f>
        <v>-</v>
      </c>
      <c r="BN175" s="83"/>
      <c r="BO175" s="30" t="str">
        <f>IF(_Calcs!$JU$43=1,"✓","!")</f>
        <v>✓</v>
      </c>
      <c r="BP175" s="868"/>
      <c r="BQ175" s="869"/>
      <c r="BR175" s="70"/>
      <c r="BS175" s="867"/>
      <c r="BT175" s="82"/>
      <c r="BU175" s="46" t="str">
        <f>IF(_Calcs!$JK$63=FALSE,"-",_Calcs!$JK$63)</f>
        <v>-</v>
      </c>
      <c r="BV175" s="83"/>
      <c r="BW175" s="30" t="str">
        <f>IF(_Calcs!$JU$44=1,"✓","!")</f>
        <v>✓</v>
      </c>
      <c r="BX175" s="868"/>
      <c r="BY175" s="869"/>
      <c r="BZ175" s="70"/>
      <c r="CA175" s="867"/>
      <c r="CB175" s="82"/>
      <c r="CC175" s="46" t="str">
        <f>IF(_Calcs!$JK$64=FALSE,"-",_Calcs!$JK$64)</f>
        <v>-</v>
      </c>
      <c r="CD175" s="83"/>
      <c r="CE175" s="30" t="str">
        <f>IF(_Calcs!$JU$45=1,"✓","!")</f>
        <v>✓</v>
      </c>
      <c r="CF175" s="868"/>
      <c r="CG175" s="869"/>
      <c r="CH175" s="70"/>
      <c r="CI175" s="867"/>
      <c r="CJ175" s="82"/>
      <c r="CK175" s="46" t="str">
        <f>IF(_Calcs!$JK$65=FALSE,"-",_Calcs!$JK$65)</f>
        <v>-</v>
      </c>
      <c r="CL175" s="83"/>
      <c r="CM175" s="30" t="str">
        <f>IF(_Calcs!$JU$46=1,"✓","!")</f>
        <v>✓</v>
      </c>
      <c r="CN175" s="868"/>
      <c r="CO175" s="869"/>
      <c r="CP175" s="70"/>
      <c r="CQ175" s="868"/>
      <c r="CR175" s="70"/>
      <c r="CS175" s="70"/>
      <c r="CT175" s="70"/>
      <c r="CU175" s="70"/>
      <c r="CV175" s="70"/>
    </row>
    <row r="176" spans="3:100" s="21" customFormat="1" ht="15" customHeight="1" thickBot="1" x14ac:dyDescent="0.25">
      <c r="C176" s="25"/>
      <c r="D176" s="25"/>
      <c r="E176" s="25"/>
      <c r="F176" s="70"/>
      <c r="G176" s="70"/>
      <c r="H176" s="1715"/>
      <c r="I176" s="847"/>
      <c r="J176" s="848"/>
      <c r="K176" s="20"/>
      <c r="L176" s="858"/>
      <c r="M176" s="992"/>
      <c r="N176" s="992"/>
      <c r="O176" s="992"/>
      <c r="P176" s="992"/>
      <c r="Q176" s="860"/>
      <c r="R176" s="1870"/>
      <c r="S176" s="861"/>
      <c r="T176" s="20"/>
      <c r="U176" s="80"/>
      <c r="V176" s="16"/>
      <c r="W176" s="870"/>
      <c r="X176" s="860"/>
      <c r="Y176" s="859"/>
      <c r="Z176" s="859"/>
      <c r="AA176" s="859"/>
      <c r="AB176" s="859"/>
      <c r="AC176" s="871"/>
      <c r="AD176" s="70"/>
      <c r="AE176" s="870"/>
      <c r="AF176" s="860"/>
      <c r="AG176" s="859"/>
      <c r="AH176" s="859"/>
      <c r="AI176" s="859"/>
      <c r="AJ176" s="859"/>
      <c r="AK176" s="871"/>
      <c r="AL176" s="70"/>
      <c r="AM176" s="870"/>
      <c r="AN176" s="860"/>
      <c r="AO176" s="859"/>
      <c r="AP176" s="859"/>
      <c r="AQ176" s="859"/>
      <c r="AR176" s="859"/>
      <c r="AS176" s="871"/>
      <c r="AT176" s="70"/>
      <c r="AU176" s="870"/>
      <c r="AV176" s="860"/>
      <c r="AW176" s="859"/>
      <c r="AX176" s="859"/>
      <c r="AY176" s="859"/>
      <c r="AZ176" s="859"/>
      <c r="BA176" s="871"/>
      <c r="BB176" s="70"/>
      <c r="BC176" s="870"/>
      <c r="BD176" s="860"/>
      <c r="BE176" s="859"/>
      <c r="BF176" s="859"/>
      <c r="BG176" s="859"/>
      <c r="BH176" s="859"/>
      <c r="BI176" s="871"/>
      <c r="BJ176" s="70"/>
      <c r="BK176" s="870"/>
      <c r="BL176" s="860"/>
      <c r="BM176" s="859"/>
      <c r="BN176" s="859"/>
      <c r="BO176" s="859"/>
      <c r="BP176" s="859"/>
      <c r="BQ176" s="871"/>
      <c r="BR176" s="70"/>
      <c r="BS176" s="870"/>
      <c r="BT176" s="860"/>
      <c r="BU176" s="859"/>
      <c r="BV176" s="859"/>
      <c r="BW176" s="859"/>
      <c r="BX176" s="859"/>
      <c r="BY176" s="871"/>
      <c r="BZ176" s="70"/>
      <c r="CA176" s="870"/>
      <c r="CB176" s="860"/>
      <c r="CC176" s="859"/>
      <c r="CD176" s="859"/>
      <c r="CE176" s="859"/>
      <c r="CF176" s="859"/>
      <c r="CG176" s="871"/>
      <c r="CH176" s="70"/>
      <c r="CI176" s="870"/>
      <c r="CJ176" s="860"/>
      <c r="CK176" s="859"/>
      <c r="CL176" s="859"/>
      <c r="CM176" s="859"/>
      <c r="CN176" s="859"/>
      <c r="CO176" s="871"/>
      <c r="CP176" s="70"/>
      <c r="CQ176" s="680"/>
      <c r="CR176" s="70"/>
      <c r="CS176" s="70"/>
      <c r="CT176" s="70"/>
      <c r="CU176" s="70"/>
      <c r="CV176" s="70"/>
    </row>
    <row r="177" spans="3:100" s="21" customFormat="1" ht="30" customHeight="1" x14ac:dyDescent="0.2">
      <c r="C177" s="25"/>
      <c r="D177" s="25"/>
      <c r="E177" s="25"/>
      <c r="F177" s="70"/>
      <c r="G177" s="70"/>
      <c r="H177" s="672"/>
      <c r="I177" s="672"/>
      <c r="J177" s="672"/>
      <c r="K177" s="20"/>
      <c r="L177" s="14"/>
      <c r="M177" s="974"/>
      <c r="N177" s="974"/>
      <c r="O177" s="974"/>
      <c r="P177" s="974"/>
      <c r="Q177" s="13"/>
      <c r="R177" s="15"/>
      <c r="S177" s="13"/>
      <c r="T177" s="20"/>
      <c r="U177" s="13"/>
      <c r="V177" s="16"/>
      <c r="W177" s="13"/>
      <c r="X177" s="13"/>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row>
    <row r="178" spans="3:100" s="21" customFormat="1" ht="21.95" hidden="1" customHeight="1" x14ac:dyDescent="0.2">
      <c r="C178" s="25"/>
      <c r="D178" s="25"/>
      <c r="E178" s="25"/>
      <c r="F178" s="70"/>
      <c r="G178" s="70"/>
      <c r="H178" s="84"/>
      <c r="I178" s="84"/>
      <c r="J178" s="84"/>
      <c r="K178" s="922"/>
      <c r="L178" s="85"/>
      <c r="M178" s="1015" t="s">
        <v>126</v>
      </c>
      <c r="N178" s="1015"/>
      <c r="O178" s="1015"/>
      <c r="P178" s="1015"/>
      <c r="Q178" s="3971"/>
      <c r="R178" s="88"/>
      <c r="S178" s="86"/>
      <c r="T178" s="42"/>
      <c r="U178" s="86"/>
      <c r="V178" s="16"/>
      <c r="W178" s="86"/>
      <c r="X178" s="86"/>
      <c r="Y178" s="87"/>
      <c r="Z178" s="88"/>
      <c r="AA178" s="3972"/>
      <c r="AB178" s="3972"/>
      <c r="AC178" s="3972"/>
      <c r="AD178" s="70"/>
      <c r="AE178" s="86"/>
      <c r="AF178" s="86"/>
      <c r="AG178" s="87"/>
      <c r="AH178" s="88"/>
      <c r="AI178" s="3972"/>
      <c r="AJ178" s="3972"/>
      <c r="AK178" s="3972"/>
      <c r="AL178" s="70"/>
      <c r="AM178" s="86"/>
      <c r="AN178" s="86"/>
      <c r="AO178" s="87"/>
      <c r="AP178" s="88"/>
      <c r="AQ178" s="3972"/>
      <c r="AR178" s="3972"/>
      <c r="AS178" s="3972"/>
      <c r="AT178" s="70"/>
      <c r="AU178" s="86"/>
      <c r="AV178" s="86"/>
      <c r="AW178" s="87"/>
      <c r="AX178" s="88"/>
      <c r="AY178" s="3972"/>
      <c r="AZ178" s="3972"/>
      <c r="BA178" s="3972"/>
      <c r="BB178" s="70"/>
      <c r="BC178" s="86"/>
      <c r="BD178" s="86"/>
      <c r="BE178" s="87"/>
      <c r="BF178" s="84"/>
      <c r="BG178" s="3972"/>
      <c r="BH178" s="3972"/>
      <c r="BI178" s="3972"/>
      <c r="BJ178" s="70"/>
      <c r="BK178" s="86"/>
      <c r="BL178" s="86"/>
      <c r="BM178" s="87"/>
      <c r="BN178" s="88"/>
      <c r="BO178" s="3972"/>
      <c r="BP178" s="3972"/>
      <c r="BQ178" s="3972"/>
      <c r="BR178" s="70"/>
      <c r="BS178" s="86"/>
      <c r="BT178" s="86"/>
      <c r="BU178" s="87"/>
      <c r="BV178" s="88"/>
      <c r="BW178" s="3972"/>
      <c r="BX178" s="3972"/>
      <c r="BY178" s="3972"/>
      <c r="BZ178" s="70"/>
      <c r="CA178" s="86"/>
      <c r="CB178" s="86"/>
      <c r="CC178" s="87"/>
      <c r="CD178" s="88"/>
      <c r="CE178" s="3972"/>
      <c r="CF178" s="3972"/>
      <c r="CG178" s="3972"/>
      <c r="CH178" s="70"/>
      <c r="CI178" s="86"/>
      <c r="CJ178" s="86"/>
      <c r="CK178" s="87"/>
      <c r="CL178" s="88"/>
      <c r="CM178" s="3972"/>
      <c r="CN178" s="3972"/>
      <c r="CO178" s="3972"/>
      <c r="CP178" s="70"/>
      <c r="CQ178" s="70"/>
      <c r="CR178" s="70"/>
    </row>
    <row r="179" spans="3:100" s="21" customFormat="1" ht="15" hidden="1" customHeight="1" thickBot="1" x14ac:dyDescent="0.25">
      <c r="C179" s="25"/>
      <c r="D179" s="25"/>
      <c r="E179" s="25"/>
      <c r="F179" s="70"/>
      <c r="G179" s="70"/>
      <c r="H179" s="674"/>
      <c r="I179" s="674"/>
      <c r="J179" s="674"/>
      <c r="K179" s="922"/>
      <c r="L179" s="27"/>
      <c r="M179" s="1000"/>
      <c r="N179" s="1000"/>
      <c r="O179" s="1000"/>
      <c r="P179" s="1000"/>
      <c r="Q179" s="28"/>
      <c r="R179" s="33"/>
      <c r="S179" s="31"/>
      <c r="T179" s="42"/>
      <c r="U179" s="31"/>
      <c r="V179" s="16"/>
      <c r="W179" s="31"/>
      <c r="X179" s="31"/>
      <c r="Y179" s="32"/>
      <c r="Z179" s="33"/>
      <c r="AA179" s="89"/>
      <c r="AB179" s="89"/>
      <c r="AC179" s="89"/>
      <c r="AD179" s="70"/>
      <c r="AE179" s="31"/>
      <c r="AF179" s="31"/>
      <c r="AG179" s="32"/>
      <c r="AH179" s="33"/>
      <c r="AI179" s="89"/>
      <c r="AJ179" s="89"/>
      <c r="AK179" s="89"/>
      <c r="AL179" s="70"/>
      <c r="AM179" s="31"/>
      <c r="AN179" s="31"/>
      <c r="AO179" s="32"/>
      <c r="AP179" s="33"/>
      <c r="AQ179" s="89"/>
      <c r="AR179" s="89"/>
      <c r="AS179" s="89"/>
      <c r="AT179" s="70"/>
      <c r="AU179" s="31"/>
      <c r="AV179" s="31"/>
      <c r="AW179" s="32"/>
      <c r="AX179" s="33"/>
      <c r="AY179" s="89"/>
      <c r="AZ179" s="89"/>
      <c r="BA179" s="89"/>
      <c r="BB179" s="70"/>
      <c r="BC179" s="31"/>
      <c r="BD179" s="31"/>
      <c r="BE179" s="32"/>
      <c r="BF179" s="834"/>
      <c r="BG179" s="89"/>
      <c r="BH179" s="89"/>
      <c r="BI179" s="89"/>
      <c r="BJ179" s="70"/>
      <c r="BK179" s="31"/>
      <c r="BL179" s="31"/>
      <c r="BM179" s="32"/>
      <c r="BN179" s="33"/>
      <c r="BO179" s="89"/>
      <c r="BP179" s="89"/>
      <c r="BQ179" s="89"/>
      <c r="BR179" s="70"/>
      <c r="BS179" s="31"/>
      <c r="BT179" s="31"/>
      <c r="BU179" s="32"/>
      <c r="BV179" s="33"/>
      <c r="BW179" s="89"/>
      <c r="BX179" s="89"/>
      <c r="BY179" s="89"/>
      <c r="BZ179" s="70"/>
      <c r="CA179" s="31"/>
      <c r="CB179" s="31"/>
      <c r="CC179" s="32"/>
      <c r="CD179" s="33"/>
      <c r="CE179" s="89"/>
      <c r="CF179" s="89"/>
      <c r="CG179" s="89"/>
      <c r="CH179" s="70"/>
      <c r="CI179" s="31"/>
      <c r="CJ179" s="31"/>
      <c r="CK179" s="32"/>
      <c r="CL179" s="33"/>
      <c r="CM179" s="89"/>
      <c r="CN179" s="89"/>
      <c r="CO179" s="89"/>
      <c r="CP179" s="70"/>
      <c r="CQ179" s="70"/>
      <c r="CR179" s="70"/>
    </row>
    <row r="180" spans="3:100" s="21" customFormat="1" ht="15" hidden="1" customHeight="1" thickBot="1" x14ac:dyDescent="0.25">
      <c r="C180" s="25"/>
      <c r="D180" s="25"/>
      <c r="E180" s="25"/>
      <c r="F180" s="70"/>
      <c r="G180" s="70"/>
      <c r="H180" s="674"/>
      <c r="I180" s="674"/>
      <c r="J180" s="674"/>
      <c r="K180" s="922"/>
      <c r="L180" s="27"/>
      <c r="M180" s="1000" t="s">
        <v>127</v>
      </c>
      <c r="N180" s="1000"/>
      <c r="O180" s="1000"/>
      <c r="P180" s="1000"/>
      <c r="Q180" s="28"/>
      <c r="R180" s="33" t="s">
        <v>46</v>
      </c>
      <c r="S180" s="31"/>
      <c r="T180" s="42"/>
      <c r="U180" s="31"/>
      <c r="V180" s="16"/>
      <c r="W180" s="31"/>
      <c r="X180" s="31"/>
      <c r="Y180" s="46"/>
      <c r="Z180" s="33"/>
      <c r="AA180" s="30" t="str">
        <f>IF(Y180="","!","✓")</f>
        <v>!</v>
      </c>
      <c r="AB180" s="89"/>
      <c r="AC180" s="89"/>
      <c r="AD180" s="70"/>
      <c r="AE180" s="31"/>
      <c r="AF180" s="31"/>
      <c r="AG180" s="46"/>
      <c r="AH180" s="33"/>
      <c r="AI180" s="30" t="str">
        <f>IF(AG180="","!","✓")</f>
        <v>!</v>
      </c>
      <c r="AJ180" s="89"/>
      <c r="AK180" s="89"/>
      <c r="AL180" s="70"/>
      <c r="AM180" s="31"/>
      <c r="AN180" s="31"/>
      <c r="AO180" s="46"/>
      <c r="AP180" s="33"/>
      <c r="AQ180" s="30" t="str">
        <f>IF(AO180="","!","✓")</f>
        <v>!</v>
      </c>
      <c r="AR180" s="89"/>
      <c r="AS180" s="89"/>
      <c r="AT180" s="70"/>
      <c r="AU180" s="31"/>
      <c r="AV180" s="31"/>
      <c r="AW180" s="46"/>
      <c r="AX180" s="33"/>
      <c r="AY180" s="30" t="str">
        <f>IF(AW180="","!","✓")</f>
        <v>!</v>
      </c>
      <c r="AZ180" s="89"/>
      <c r="BA180" s="89"/>
      <c r="BB180" s="70"/>
      <c r="BC180" s="31"/>
      <c r="BD180" s="31"/>
      <c r="BE180" s="46"/>
      <c r="BF180" s="834"/>
      <c r="BG180" s="30" t="str">
        <f>IF(BE180="","!","✓")</f>
        <v>!</v>
      </c>
      <c r="BH180" s="89"/>
      <c r="BI180" s="89"/>
      <c r="BJ180" s="70"/>
      <c r="BK180" s="31"/>
      <c r="BL180" s="31"/>
      <c r="BM180" s="46"/>
      <c r="BN180" s="33"/>
      <c r="BO180" s="30" t="str">
        <f>IF(BM180="","!","✓")</f>
        <v>!</v>
      </c>
      <c r="BP180" s="89"/>
      <c r="BQ180" s="89"/>
      <c r="BR180" s="70"/>
      <c r="BS180" s="31"/>
      <c r="BT180" s="31"/>
      <c r="BU180" s="46"/>
      <c r="BV180" s="33"/>
      <c r="BW180" s="30" t="str">
        <f>IF(BU180="","!","✓")</f>
        <v>!</v>
      </c>
      <c r="BX180" s="89"/>
      <c r="BY180" s="89"/>
      <c r="BZ180" s="70"/>
      <c r="CA180" s="31"/>
      <c r="CB180" s="31"/>
      <c r="CC180" s="46"/>
      <c r="CD180" s="33"/>
      <c r="CE180" s="30" t="str">
        <f>IF(CC180="","!","✓")</f>
        <v>!</v>
      </c>
      <c r="CF180" s="89"/>
      <c r="CG180" s="89"/>
      <c r="CH180" s="70"/>
      <c r="CI180" s="31"/>
      <c r="CJ180" s="31"/>
      <c r="CK180" s="46"/>
      <c r="CL180" s="33"/>
      <c r="CM180" s="30" t="str">
        <f>IF(CK180="","!","✓")</f>
        <v>!</v>
      </c>
      <c r="CN180" s="89"/>
      <c r="CO180" s="89"/>
      <c r="CP180" s="70"/>
      <c r="CQ180" s="70"/>
      <c r="CR180" s="70"/>
    </row>
    <row r="181" spans="3:100" s="21" customFormat="1" ht="15" hidden="1" customHeight="1" thickBot="1" x14ac:dyDescent="0.25">
      <c r="C181" s="25"/>
      <c r="D181" s="25"/>
      <c r="E181" s="25"/>
      <c r="F181" s="70"/>
      <c r="G181" s="70"/>
      <c r="H181" s="674"/>
      <c r="I181" s="674"/>
      <c r="J181" s="674"/>
      <c r="K181" s="922"/>
      <c r="L181" s="27"/>
      <c r="M181" s="1000"/>
      <c r="N181" s="1000"/>
      <c r="O181" s="1000"/>
      <c r="P181" s="1000"/>
      <c r="Q181" s="28"/>
      <c r="R181" s="33"/>
      <c r="S181" s="31"/>
      <c r="T181" s="42"/>
      <c r="U181" s="31"/>
      <c r="V181" s="16"/>
      <c r="W181" s="31"/>
      <c r="X181" s="31"/>
      <c r="Y181" s="32"/>
      <c r="Z181" s="33"/>
      <c r="AA181" s="89"/>
      <c r="AB181" s="89"/>
      <c r="AC181" s="89"/>
      <c r="AD181" s="70"/>
      <c r="AE181" s="31"/>
      <c r="AF181" s="31"/>
      <c r="AG181" s="32"/>
      <c r="AH181" s="33"/>
      <c r="AI181" s="89"/>
      <c r="AJ181" s="89"/>
      <c r="AK181" s="89"/>
      <c r="AL181" s="70"/>
      <c r="AM181" s="31"/>
      <c r="AN181" s="31"/>
      <c r="AO181" s="32"/>
      <c r="AP181" s="33"/>
      <c r="AQ181" s="89"/>
      <c r="AR181" s="89"/>
      <c r="AS181" s="89"/>
      <c r="AT181" s="70"/>
      <c r="AU181" s="31"/>
      <c r="AV181" s="31"/>
      <c r="AW181" s="32"/>
      <c r="AX181" s="33"/>
      <c r="AY181" s="89"/>
      <c r="AZ181" s="89"/>
      <c r="BA181" s="89"/>
      <c r="BB181" s="70"/>
      <c r="BC181" s="31"/>
      <c r="BD181" s="31"/>
      <c r="BE181" s="32"/>
      <c r="BF181" s="834"/>
      <c r="BG181" s="89"/>
      <c r="BH181" s="89"/>
      <c r="BI181" s="89"/>
      <c r="BJ181" s="70"/>
      <c r="BK181" s="31"/>
      <c r="BL181" s="31"/>
      <c r="BM181" s="32"/>
      <c r="BN181" s="33"/>
      <c r="BO181" s="89"/>
      <c r="BP181" s="89"/>
      <c r="BQ181" s="89"/>
      <c r="BR181" s="70"/>
      <c r="BS181" s="31"/>
      <c r="BT181" s="31"/>
      <c r="BU181" s="32"/>
      <c r="BV181" s="33"/>
      <c r="BW181" s="89"/>
      <c r="BX181" s="89"/>
      <c r="BY181" s="89"/>
      <c r="BZ181" s="70"/>
      <c r="CA181" s="31"/>
      <c r="CB181" s="31"/>
      <c r="CC181" s="32"/>
      <c r="CD181" s="33"/>
      <c r="CE181" s="89"/>
      <c r="CF181" s="89"/>
      <c r="CG181" s="89"/>
      <c r="CH181" s="70"/>
      <c r="CI181" s="31"/>
      <c r="CJ181" s="31"/>
      <c r="CK181" s="32"/>
      <c r="CL181" s="33"/>
      <c r="CM181" s="89"/>
      <c r="CN181" s="89"/>
      <c r="CO181" s="89"/>
      <c r="CP181" s="70"/>
      <c r="CQ181" s="70"/>
      <c r="CR181" s="70"/>
    </row>
    <row r="182" spans="3:100" s="21" customFormat="1" ht="15" hidden="1" customHeight="1" thickBot="1" x14ac:dyDescent="0.25">
      <c r="C182" s="25"/>
      <c r="D182" s="25"/>
      <c r="E182" s="25"/>
      <c r="F182" s="70"/>
      <c r="G182" s="70"/>
      <c r="H182" s="674"/>
      <c r="I182" s="674"/>
      <c r="J182" s="674"/>
      <c r="K182" s="922"/>
      <c r="L182" s="27"/>
      <c r="M182" s="1000" t="s">
        <v>127</v>
      </c>
      <c r="N182" s="1000"/>
      <c r="O182" s="1000"/>
      <c r="P182" s="1000"/>
      <c r="Q182" s="28"/>
      <c r="R182" s="33" t="s">
        <v>46</v>
      </c>
      <c r="S182" s="31"/>
      <c r="T182" s="42"/>
      <c r="U182" s="31"/>
      <c r="V182" s="16"/>
      <c r="W182" s="31"/>
      <c r="X182" s="31"/>
      <c r="Y182" s="46"/>
      <c r="Z182" s="33"/>
      <c r="AA182" s="30" t="str">
        <f>IF(Y182="","!","✓")</f>
        <v>!</v>
      </c>
      <c r="AB182" s="89"/>
      <c r="AC182" s="89"/>
      <c r="AD182" s="70"/>
      <c r="AE182" s="31"/>
      <c r="AF182" s="31"/>
      <c r="AG182" s="46"/>
      <c r="AH182" s="33"/>
      <c r="AI182" s="30" t="str">
        <f>IF(AG182="","!","✓")</f>
        <v>!</v>
      </c>
      <c r="AJ182" s="89"/>
      <c r="AK182" s="89"/>
      <c r="AL182" s="70"/>
      <c r="AM182" s="31"/>
      <c r="AN182" s="31"/>
      <c r="AO182" s="46"/>
      <c r="AP182" s="33"/>
      <c r="AQ182" s="30" t="str">
        <f>IF(AO182="","!","✓")</f>
        <v>!</v>
      </c>
      <c r="AR182" s="89"/>
      <c r="AS182" s="89"/>
      <c r="AT182" s="70"/>
      <c r="AU182" s="31"/>
      <c r="AV182" s="31"/>
      <c r="AW182" s="46"/>
      <c r="AX182" s="33"/>
      <c r="AY182" s="30" t="str">
        <f>IF(AW182="","!","✓")</f>
        <v>!</v>
      </c>
      <c r="AZ182" s="89"/>
      <c r="BA182" s="89"/>
      <c r="BB182" s="70"/>
      <c r="BC182" s="31"/>
      <c r="BD182" s="31"/>
      <c r="BE182" s="46"/>
      <c r="BF182" s="834"/>
      <c r="BG182" s="30" t="str">
        <f>IF(BE182="","!","✓")</f>
        <v>!</v>
      </c>
      <c r="BH182" s="89"/>
      <c r="BI182" s="89"/>
      <c r="BJ182" s="70"/>
      <c r="BK182" s="31"/>
      <c r="BL182" s="31"/>
      <c r="BM182" s="46"/>
      <c r="BN182" s="33"/>
      <c r="BO182" s="30" t="str">
        <f>IF(BM182="","!","✓")</f>
        <v>!</v>
      </c>
      <c r="BP182" s="89"/>
      <c r="BQ182" s="89"/>
      <c r="BR182" s="70"/>
      <c r="BS182" s="31"/>
      <c r="BT182" s="31"/>
      <c r="BU182" s="46"/>
      <c r="BV182" s="33"/>
      <c r="BW182" s="30" t="str">
        <f>IF(BU182="","!","✓")</f>
        <v>!</v>
      </c>
      <c r="BX182" s="89"/>
      <c r="BY182" s="89"/>
      <c r="BZ182" s="70"/>
      <c r="CA182" s="31"/>
      <c r="CB182" s="31"/>
      <c r="CC182" s="46"/>
      <c r="CD182" s="33"/>
      <c r="CE182" s="30" t="str">
        <f>IF(CC182="","!","✓")</f>
        <v>!</v>
      </c>
      <c r="CF182" s="89"/>
      <c r="CG182" s="89"/>
      <c r="CH182" s="70"/>
      <c r="CI182" s="31"/>
      <c r="CJ182" s="31"/>
      <c r="CK182" s="46"/>
      <c r="CL182" s="33"/>
      <c r="CM182" s="30" t="str">
        <f>IF(CK182="","!","✓")</f>
        <v>!</v>
      </c>
      <c r="CN182" s="89"/>
      <c r="CO182" s="89"/>
    </row>
    <row r="183" spans="3:100" s="21" customFormat="1" ht="15" hidden="1" customHeight="1" x14ac:dyDescent="0.2">
      <c r="C183" s="25"/>
      <c r="D183" s="25"/>
      <c r="E183" s="25"/>
      <c r="F183" s="70"/>
      <c r="G183" s="70"/>
      <c r="H183" s="675"/>
      <c r="I183" s="675"/>
      <c r="J183" s="675"/>
      <c r="K183" s="922"/>
      <c r="L183" s="27"/>
      <c r="M183" s="1000"/>
      <c r="N183" s="1000"/>
      <c r="O183" s="1000"/>
      <c r="P183" s="1000"/>
      <c r="Q183" s="28"/>
      <c r="R183" s="33"/>
      <c r="S183" s="31"/>
      <c r="T183" s="42"/>
      <c r="U183" s="31"/>
      <c r="V183" s="16"/>
      <c r="W183" s="31"/>
      <c r="X183" s="31"/>
      <c r="Y183" s="32"/>
      <c r="Z183" s="33"/>
      <c r="AA183" s="89"/>
      <c r="AB183" s="89"/>
      <c r="AC183" s="89"/>
      <c r="AD183" s="70"/>
      <c r="AE183" s="31"/>
      <c r="AF183" s="31"/>
      <c r="AG183" s="32"/>
      <c r="AH183" s="33"/>
      <c r="AI183" s="89"/>
      <c r="AJ183" s="89"/>
      <c r="AK183" s="89"/>
      <c r="AL183" s="70"/>
      <c r="AM183" s="31"/>
      <c r="AN183" s="31"/>
      <c r="AO183" s="32"/>
      <c r="AP183" s="33"/>
      <c r="AQ183" s="89"/>
      <c r="AR183" s="89"/>
      <c r="AS183" s="89"/>
      <c r="AT183" s="70"/>
      <c r="AU183" s="31"/>
      <c r="AV183" s="31"/>
      <c r="AW183" s="32"/>
      <c r="AX183" s="33"/>
      <c r="AY183" s="89"/>
      <c r="AZ183" s="89"/>
      <c r="BA183" s="89"/>
      <c r="BB183" s="70"/>
      <c r="BC183" s="31"/>
      <c r="BD183" s="31"/>
      <c r="BE183" s="32"/>
      <c r="BF183" s="834"/>
      <c r="BG183" s="89"/>
      <c r="BH183" s="89"/>
      <c r="BI183" s="89"/>
      <c r="BJ183" s="70"/>
      <c r="BK183" s="31"/>
      <c r="BL183" s="31"/>
      <c r="BM183" s="32"/>
      <c r="BN183" s="33"/>
      <c r="BO183" s="89"/>
      <c r="BP183" s="89"/>
      <c r="BQ183" s="89"/>
      <c r="BR183" s="70"/>
      <c r="BS183" s="31"/>
      <c r="BT183" s="31"/>
      <c r="BU183" s="32"/>
      <c r="BV183" s="33"/>
      <c r="BW183" s="89"/>
      <c r="BX183" s="89"/>
      <c r="BY183" s="89"/>
      <c r="BZ183" s="70"/>
      <c r="CA183" s="31"/>
      <c r="CB183" s="31"/>
      <c r="CC183" s="32"/>
      <c r="CD183" s="33"/>
      <c r="CE183" s="89"/>
      <c r="CF183" s="89"/>
      <c r="CG183" s="89"/>
      <c r="CH183" s="70"/>
      <c r="CI183" s="31"/>
      <c r="CJ183" s="31"/>
      <c r="CK183" s="32"/>
      <c r="CL183" s="33"/>
      <c r="CM183" s="89"/>
      <c r="CN183" s="89"/>
      <c r="CO183" s="89"/>
    </row>
    <row r="184" spans="3:100" s="21" customFormat="1" ht="15" hidden="1" customHeight="1" x14ac:dyDescent="0.2">
      <c r="C184" s="25"/>
      <c r="D184" s="25"/>
      <c r="E184" s="25"/>
      <c r="F184" s="70"/>
      <c r="G184" s="70"/>
      <c r="H184" s="672"/>
      <c r="I184" s="672"/>
      <c r="J184" s="672"/>
      <c r="K184" s="922"/>
      <c r="L184" s="14"/>
      <c r="M184" s="974"/>
      <c r="N184" s="974"/>
      <c r="O184" s="974"/>
      <c r="P184" s="974"/>
      <c r="Q184" s="13"/>
      <c r="R184" s="17"/>
      <c r="S184" s="35"/>
      <c r="T184" s="25"/>
      <c r="U184" s="35"/>
      <c r="V184" s="16"/>
      <c r="W184" s="35"/>
      <c r="X184" s="35"/>
      <c r="Y184" s="36"/>
      <c r="Z184" s="17"/>
      <c r="AA184" s="70"/>
      <c r="AB184" s="70"/>
      <c r="AC184" s="70"/>
      <c r="AD184" s="70"/>
      <c r="AE184" s="35"/>
      <c r="AF184" s="35"/>
      <c r="AG184" s="36"/>
      <c r="AH184" s="17"/>
      <c r="AI184" s="70"/>
      <c r="AJ184" s="70"/>
      <c r="AK184" s="70"/>
      <c r="AL184" s="70"/>
      <c r="AM184" s="35"/>
      <c r="AN184" s="35"/>
      <c r="AO184" s="36"/>
      <c r="AP184" s="17"/>
      <c r="AQ184" s="70"/>
      <c r="AR184" s="70"/>
      <c r="AS184" s="70"/>
      <c r="AT184" s="70"/>
      <c r="AU184" s="35"/>
      <c r="AV184" s="35"/>
      <c r="AW184" s="36"/>
      <c r="AX184" s="17"/>
      <c r="AY184" s="70"/>
      <c r="AZ184" s="70"/>
      <c r="BA184" s="70"/>
      <c r="BB184" s="70"/>
      <c r="BC184" s="35"/>
      <c r="BD184" s="35"/>
      <c r="BE184" s="36"/>
      <c r="BF184" s="16"/>
      <c r="BG184" s="70"/>
      <c r="BH184" s="70"/>
      <c r="BI184" s="70"/>
      <c r="BJ184" s="70"/>
      <c r="BK184" s="35"/>
      <c r="BL184" s="35"/>
      <c r="BM184" s="36"/>
      <c r="BN184" s="17"/>
      <c r="BO184" s="70"/>
      <c r="BP184" s="70"/>
      <c r="BQ184" s="70"/>
      <c r="BR184" s="70"/>
      <c r="BS184" s="35"/>
      <c r="BT184" s="35"/>
      <c r="BU184" s="36"/>
      <c r="BV184" s="17"/>
      <c r="BW184" s="70"/>
      <c r="BX184" s="70"/>
      <c r="BY184" s="70"/>
      <c r="BZ184" s="70"/>
      <c r="CA184" s="35"/>
      <c r="CB184" s="35"/>
      <c r="CC184" s="36"/>
      <c r="CD184" s="17"/>
      <c r="CE184" s="70"/>
      <c r="CF184" s="70"/>
      <c r="CG184" s="70"/>
      <c r="CH184" s="70"/>
      <c r="CI184" s="35"/>
      <c r="CJ184" s="35"/>
      <c r="CK184" s="36"/>
      <c r="CL184" s="17"/>
      <c r="CM184" s="70"/>
      <c r="CN184" s="70"/>
      <c r="CO184" s="70"/>
    </row>
    <row r="185" spans="3:100" s="21" customFormat="1" ht="21.95" hidden="1" customHeight="1" x14ac:dyDescent="0.2">
      <c r="C185" s="25"/>
      <c r="D185" s="25"/>
      <c r="E185" s="25"/>
      <c r="F185" s="70"/>
      <c r="G185" s="70"/>
      <c r="H185" s="84"/>
      <c r="I185" s="84"/>
      <c r="J185" s="84"/>
      <c r="K185" s="922"/>
      <c r="L185" s="85"/>
      <c r="M185" s="1015" t="s">
        <v>112</v>
      </c>
      <c r="N185" s="1015"/>
      <c r="O185" s="1015"/>
      <c r="P185" s="1015"/>
      <c r="Q185" s="3971"/>
      <c r="R185" s="88"/>
      <c r="S185" s="86"/>
      <c r="T185" s="42"/>
      <c r="U185" s="86"/>
      <c r="V185" s="16"/>
      <c r="W185" s="86"/>
      <c r="X185" s="86"/>
      <c r="Y185" s="87"/>
      <c r="Z185" s="88"/>
      <c r="AA185" s="3972"/>
      <c r="AB185" s="3972"/>
      <c r="AC185" s="3972"/>
      <c r="AD185" s="70"/>
      <c r="AE185" s="86"/>
      <c r="AF185" s="86"/>
      <c r="AG185" s="87"/>
      <c r="AH185" s="88"/>
      <c r="AI185" s="3972"/>
      <c r="AJ185" s="3972"/>
      <c r="AK185" s="3972"/>
      <c r="AL185" s="70"/>
      <c r="AM185" s="86"/>
      <c r="AN185" s="86"/>
      <c r="AO185" s="87"/>
      <c r="AP185" s="88"/>
      <c r="AQ185" s="3972"/>
      <c r="AR185" s="3972"/>
      <c r="AS185" s="3972"/>
      <c r="AT185" s="70"/>
      <c r="AU185" s="86"/>
      <c r="AV185" s="86"/>
      <c r="AW185" s="87"/>
      <c r="AX185" s="88"/>
      <c r="AY185" s="3972"/>
      <c r="AZ185" s="3972"/>
      <c r="BA185" s="3972"/>
      <c r="BB185" s="70"/>
      <c r="BC185" s="86"/>
      <c r="BD185" s="86"/>
      <c r="BE185" s="87"/>
      <c r="BF185" s="84"/>
      <c r="BG185" s="3972"/>
      <c r="BH185" s="3972"/>
      <c r="BI185" s="3972"/>
      <c r="BJ185" s="70"/>
      <c r="BK185" s="86"/>
      <c r="BL185" s="86"/>
      <c r="BM185" s="87"/>
      <c r="BN185" s="88"/>
      <c r="BO185" s="3972"/>
      <c r="BP185" s="3972"/>
      <c r="BQ185" s="3972"/>
      <c r="BR185" s="70"/>
      <c r="BS185" s="86"/>
      <c r="BT185" s="86"/>
      <c r="BU185" s="87"/>
      <c r="BV185" s="88"/>
      <c r="BW185" s="3972"/>
      <c r="BX185" s="3972"/>
      <c r="BY185" s="3972"/>
      <c r="BZ185" s="70"/>
      <c r="CA185" s="86"/>
      <c r="CB185" s="86"/>
      <c r="CC185" s="87"/>
      <c r="CD185" s="88"/>
      <c r="CE185" s="3972"/>
      <c r="CF185" s="3972"/>
      <c r="CG185" s="3972"/>
      <c r="CH185" s="70"/>
      <c r="CI185" s="86"/>
      <c r="CJ185" s="86"/>
      <c r="CK185" s="87"/>
      <c r="CL185" s="88"/>
      <c r="CM185" s="3972"/>
      <c r="CN185" s="3972"/>
      <c r="CO185" s="3972"/>
    </row>
    <row r="186" spans="3:100" s="21" customFormat="1" ht="15" hidden="1" customHeight="1" thickBot="1" x14ac:dyDescent="0.25">
      <c r="C186" s="25"/>
      <c r="D186" s="25"/>
      <c r="E186" s="25"/>
      <c r="F186" s="70"/>
      <c r="G186" s="70"/>
      <c r="H186" s="674"/>
      <c r="I186" s="674"/>
      <c r="J186" s="674"/>
      <c r="K186" s="922"/>
      <c r="L186" s="27"/>
      <c r="M186" s="1000"/>
      <c r="N186" s="1000"/>
      <c r="O186" s="1000"/>
      <c r="P186" s="1000"/>
      <c r="Q186" s="28"/>
      <c r="R186" s="33"/>
      <c r="S186" s="31"/>
      <c r="T186" s="42"/>
      <c r="U186" s="31"/>
      <c r="V186" s="16"/>
      <c r="W186" s="31"/>
      <c r="X186" s="31"/>
      <c r="Y186" s="32"/>
      <c r="Z186" s="33"/>
      <c r="AA186" s="89"/>
      <c r="AB186" s="89"/>
      <c r="AC186" s="89"/>
      <c r="AD186" s="70"/>
      <c r="AE186" s="31"/>
      <c r="AF186" s="31"/>
      <c r="AG186" s="32"/>
      <c r="AH186" s="33"/>
      <c r="AI186" s="89"/>
      <c r="AJ186" s="89"/>
      <c r="AK186" s="89"/>
      <c r="AL186" s="70"/>
      <c r="AM186" s="31"/>
      <c r="AN186" s="31"/>
      <c r="AO186" s="32"/>
      <c r="AP186" s="33"/>
      <c r="AQ186" s="89"/>
      <c r="AR186" s="89"/>
      <c r="AS186" s="89"/>
      <c r="AT186" s="70"/>
      <c r="AU186" s="31"/>
      <c r="AV186" s="31"/>
      <c r="AW186" s="32"/>
      <c r="AX186" s="33"/>
      <c r="AY186" s="89"/>
      <c r="AZ186" s="89"/>
      <c r="BA186" s="89"/>
      <c r="BB186" s="70"/>
      <c r="BC186" s="31"/>
      <c r="BD186" s="31"/>
      <c r="BE186" s="32"/>
      <c r="BF186" s="834"/>
      <c r="BG186" s="89"/>
      <c r="BH186" s="89"/>
      <c r="BI186" s="89"/>
      <c r="BJ186" s="70"/>
      <c r="BK186" s="31"/>
      <c r="BL186" s="31"/>
      <c r="BM186" s="32"/>
      <c r="BN186" s="33"/>
      <c r="BO186" s="89"/>
      <c r="BP186" s="89"/>
      <c r="BQ186" s="89"/>
      <c r="BR186" s="70"/>
      <c r="BS186" s="31"/>
      <c r="BT186" s="31"/>
      <c r="BU186" s="32"/>
      <c r="BV186" s="33"/>
      <c r="BW186" s="89"/>
      <c r="BX186" s="89"/>
      <c r="BY186" s="89"/>
      <c r="BZ186" s="70"/>
      <c r="CA186" s="31"/>
      <c r="CB186" s="31"/>
      <c r="CC186" s="32"/>
      <c r="CD186" s="33"/>
      <c r="CE186" s="89"/>
      <c r="CF186" s="89"/>
      <c r="CG186" s="89"/>
      <c r="CH186" s="70"/>
      <c r="CI186" s="31"/>
      <c r="CJ186" s="31"/>
      <c r="CK186" s="32"/>
      <c r="CL186" s="33"/>
      <c r="CM186" s="89"/>
      <c r="CN186" s="89"/>
      <c r="CO186" s="89"/>
    </row>
    <row r="187" spans="3:100" s="21" customFormat="1" ht="15" hidden="1" customHeight="1" thickBot="1" x14ac:dyDescent="0.25">
      <c r="C187" s="25"/>
      <c r="D187" s="25"/>
      <c r="E187" s="25"/>
      <c r="F187" s="70"/>
      <c r="G187" s="70"/>
      <c r="H187" s="674"/>
      <c r="I187" s="674"/>
      <c r="J187" s="674"/>
      <c r="K187" s="922"/>
      <c r="L187" s="27"/>
      <c r="M187" s="1000" t="s">
        <v>130</v>
      </c>
      <c r="N187" s="1000"/>
      <c r="O187" s="1000"/>
      <c r="P187" s="1000"/>
      <c r="Q187" s="28"/>
      <c r="R187" s="33" t="s">
        <v>46</v>
      </c>
      <c r="S187" s="31"/>
      <c r="T187" s="42"/>
      <c r="U187" s="31"/>
      <c r="V187" s="16"/>
      <c r="W187" s="31"/>
      <c r="X187" s="31"/>
      <c r="Y187" s="46"/>
      <c r="Z187" s="33"/>
      <c r="AA187" s="30" t="str">
        <f>IF(Y187="","!","✓")</f>
        <v>!</v>
      </c>
      <c r="AB187" s="89"/>
      <c r="AC187" s="89"/>
      <c r="AD187" s="70"/>
      <c r="AE187" s="31"/>
      <c r="AF187" s="31"/>
      <c r="AG187" s="46"/>
      <c r="AH187" s="33"/>
      <c r="AI187" s="30" t="str">
        <f>IF(AG187="","!","✓")</f>
        <v>!</v>
      </c>
      <c r="AJ187" s="89"/>
      <c r="AK187" s="89"/>
      <c r="AL187" s="70"/>
      <c r="AM187" s="31"/>
      <c r="AN187" s="31"/>
      <c r="AO187" s="46"/>
      <c r="AP187" s="33"/>
      <c r="AQ187" s="30" t="str">
        <f>IF(AO187="","!","✓")</f>
        <v>!</v>
      </c>
      <c r="AR187" s="89"/>
      <c r="AS187" s="89"/>
      <c r="AT187" s="70"/>
      <c r="AU187" s="31"/>
      <c r="AV187" s="31"/>
      <c r="AW187" s="46"/>
      <c r="AX187" s="33"/>
      <c r="AY187" s="30" t="str">
        <f>IF(AW187="","!","✓")</f>
        <v>!</v>
      </c>
      <c r="AZ187" s="89"/>
      <c r="BA187" s="89"/>
      <c r="BB187" s="70"/>
      <c r="BC187" s="31"/>
      <c r="BD187" s="31"/>
      <c r="BE187" s="46"/>
      <c r="BF187" s="834"/>
      <c r="BG187" s="30" t="str">
        <f>IF(BE187="","!","✓")</f>
        <v>!</v>
      </c>
      <c r="BH187" s="89"/>
      <c r="BI187" s="89"/>
      <c r="BJ187" s="70"/>
      <c r="BK187" s="31"/>
      <c r="BL187" s="31"/>
      <c r="BM187" s="46"/>
      <c r="BN187" s="33"/>
      <c r="BO187" s="30" t="str">
        <f>IF(BM187="","!","✓")</f>
        <v>!</v>
      </c>
      <c r="BP187" s="89"/>
      <c r="BQ187" s="89"/>
      <c r="BR187" s="70"/>
      <c r="BS187" s="31"/>
      <c r="BT187" s="31"/>
      <c r="BU187" s="46"/>
      <c r="BV187" s="33"/>
      <c r="BW187" s="30" t="str">
        <f>IF(BU187="","!","✓")</f>
        <v>!</v>
      </c>
      <c r="BX187" s="89"/>
      <c r="BY187" s="89"/>
      <c r="BZ187" s="70"/>
      <c r="CA187" s="31"/>
      <c r="CB187" s="31"/>
      <c r="CC187" s="46"/>
      <c r="CD187" s="33"/>
      <c r="CE187" s="30" t="str">
        <f>IF(CC187="","!","✓")</f>
        <v>!</v>
      </c>
      <c r="CF187" s="89"/>
      <c r="CG187" s="89"/>
      <c r="CH187" s="70"/>
      <c r="CI187" s="31"/>
      <c r="CJ187" s="31"/>
      <c r="CK187" s="46"/>
      <c r="CL187" s="33"/>
      <c r="CM187" s="30" t="str">
        <f>IF(CK187="","!","✓")</f>
        <v>!</v>
      </c>
      <c r="CN187" s="89"/>
      <c r="CO187" s="89"/>
    </row>
    <row r="188" spans="3:100" s="21" customFormat="1" ht="15" hidden="1" customHeight="1" thickBot="1" x14ac:dyDescent="0.25">
      <c r="C188" s="25"/>
      <c r="D188" s="25"/>
      <c r="E188" s="25"/>
      <c r="F188" s="70"/>
      <c r="G188" s="70"/>
      <c r="H188" s="674"/>
      <c r="I188" s="674"/>
      <c r="J188" s="674"/>
      <c r="K188" s="922"/>
      <c r="L188" s="27"/>
      <c r="M188" s="1000"/>
      <c r="N188" s="1000"/>
      <c r="O188" s="1000"/>
      <c r="P188" s="1000"/>
      <c r="Q188" s="28"/>
      <c r="R188" s="33"/>
      <c r="S188" s="31"/>
      <c r="T188" s="42"/>
      <c r="U188" s="31"/>
      <c r="V188" s="16"/>
      <c r="W188" s="31"/>
      <c r="X188" s="31"/>
      <c r="Y188" s="32"/>
      <c r="Z188" s="33"/>
      <c r="AA188" s="89"/>
      <c r="AB188" s="89"/>
      <c r="AC188" s="89"/>
      <c r="AD188" s="70"/>
      <c r="AE188" s="31"/>
      <c r="AF188" s="31"/>
      <c r="AG188" s="32"/>
      <c r="AH188" s="33"/>
      <c r="AI188" s="89"/>
      <c r="AJ188" s="89"/>
      <c r="AK188" s="89"/>
      <c r="AL188" s="70"/>
      <c r="AM188" s="31"/>
      <c r="AN188" s="31"/>
      <c r="AO188" s="32"/>
      <c r="AP188" s="33"/>
      <c r="AQ188" s="89"/>
      <c r="AR188" s="89"/>
      <c r="AS188" s="89"/>
      <c r="AT188" s="70"/>
      <c r="AU188" s="31"/>
      <c r="AV188" s="31"/>
      <c r="AW188" s="32"/>
      <c r="AX188" s="33"/>
      <c r="AY188" s="89"/>
      <c r="AZ188" s="89"/>
      <c r="BA188" s="89"/>
      <c r="BB188" s="70"/>
      <c r="BC188" s="31"/>
      <c r="BD188" s="31"/>
      <c r="BE188" s="32"/>
      <c r="BF188" s="834"/>
      <c r="BG188" s="89"/>
      <c r="BH188" s="89"/>
      <c r="BI188" s="89"/>
      <c r="BJ188" s="70"/>
      <c r="BK188" s="31"/>
      <c r="BL188" s="31"/>
      <c r="BM188" s="32"/>
      <c r="BN188" s="33"/>
      <c r="BO188" s="89"/>
      <c r="BP188" s="89"/>
      <c r="BQ188" s="89"/>
      <c r="BR188" s="70"/>
      <c r="BS188" s="31"/>
      <c r="BT188" s="31"/>
      <c r="BU188" s="32"/>
      <c r="BV188" s="33"/>
      <c r="BW188" s="89"/>
      <c r="BX188" s="89"/>
      <c r="BY188" s="89"/>
      <c r="BZ188" s="70"/>
      <c r="CA188" s="31"/>
      <c r="CB188" s="31"/>
      <c r="CC188" s="32"/>
      <c r="CD188" s="33"/>
      <c r="CE188" s="89"/>
      <c r="CF188" s="89"/>
      <c r="CG188" s="89"/>
      <c r="CH188" s="70"/>
      <c r="CI188" s="31"/>
      <c r="CJ188" s="31"/>
      <c r="CK188" s="32"/>
      <c r="CL188" s="33"/>
      <c r="CM188" s="89"/>
      <c r="CN188" s="89"/>
      <c r="CO188" s="89"/>
    </row>
    <row r="189" spans="3:100" s="21" customFormat="1" ht="15" hidden="1" customHeight="1" thickBot="1" x14ac:dyDescent="0.25">
      <c r="C189" s="25"/>
      <c r="D189" s="25"/>
      <c r="E189" s="25"/>
      <c r="F189" s="70"/>
      <c r="G189" s="70"/>
      <c r="H189" s="674"/>
      <c r="I189" s="674"/>
      <c r="J189" s="674"/>
      <c r="K189" s="922"/>
      <c r="L189" s="27"/>
      <c r="M189" s="1000" t="s">
        <v>130</v>
      </c>
      <c r="N189" s="1000"/>
      <c r="O189" s="1000"/>
      <c r="P189" s="1000"/>
      <c r="Q189" s="28"/>
      <c r="R189" s="33" t="s">
        <v>46</v>
      </c>
      <c r="S189" s="31"/>
      <c r="T189" s="42"/>
      <c r="U189" s="31"/>
      <c r="V189" s="16"/>
      <c r="W189" s="31"/>
      <c r="X189" s="31"/>
      <c r="Y189" s="46"/>
      <c r="Z189" s="33"/>
      <c r="AA189" s="30" t="str">
        <f>IF(Y189="","!","✓")</f>
        <v>!</v>
      </c>
      <c r="AB189" s="89"/>
      <c r="AC189" s="89"/>
      <c r="AD189" s="70"/>
      <c r="AE189" s="31"/>
      <c r="AF189" s="31"/>
      <c r="AG189" s="46"/>
      <c r="AH189" s="33"/>
      <c r="AI189" s="30" t="str">
        <f>IF(AG189="","!","✓")</f>
        <v>!</v>
      </c>
      <c r="AJ189" s="89"/>
      <c r="AK189" s="89"/>
      <c r="AL189" s="70"/>
      <c r="AM189" s="31"/>
      <c r="AN189" s="31"/>
      <c r="AO189" s="46"/>
      <c r="AP189" s="33"/>
      <c r="AQ189" s="30" t="str">
        <f>IF(AO189="","!","✓")</f>
        <v>!</v>
      </c>
      <c r="AR189" s="89"/>
      <c r="AS189" s="89"/>
      <c r="AT189" s="70"/>
      <c r="AU189" s="31"/>
      <c r="AV189" s="31"/>
      <c r="AW189" s="46"/>
      <c r="AX189" s="33"/>
      <c r="AY189" s="30" t="str">
        <f>IF(AW189="","!","✓")</f>
        <v>!</v>
      </c>
      <c r="AZ189" s="89"/>
      <c r="BA189" s="89"/>
      <c r="BB189" s="70"/>
      <c r="BC189" s="31"/>
      <c r="BD189" s="31"/>
      <c r="BE189" s="46"/>
      <c r="BF189" s="834"/>
      <c r="BG189" s="30" t="str">
        <f>IF(BE189="","!","✓")</f>
        <v>!</v>
      </c>
      <c r="BH189" s="89"/>
      <c r="BI189" s="89"/>
      <c r="BJ189" s="70"/>
      <c r="BK189" s="31"/>
      <c r="BL189" s="31"/>
      <c r="BM189" s="46"/>
      <c r="BN189" s="33"/>
      <c r="BO189" s="30" t="str">
        <f>IF(BM189="","!","✓")</f>
        <v>!</v>
      </c>
      <c r="BP189" s="89"/>
      <c r="BQ189" s="89"/>
      <c r="BR189" s="70"/>
      <c r="BS189" s="31"/>
      <c r="BT189" s="31"/>
      <c r="BU189" s="46"/>
      <c r="BV189" s="33"/>
      <c r="BW189" s="30" t="str">
        <f>IF(BU189="","!","✓")</f>
        <v>!</v>
      </c>
      <c r="BX189" s="89"/>
      <c r="BY189" s="89"/>
      <c r="BZ189" s="70"/>
      <c r="CA189" s="31"/>
      <c r="CB189" s="31"/>
      <c r="CC189" s="46"/>
      <c r="CD189" s="33"/>
      <c r="CE189" s="30" t="str">
        <f>IF(CC189="","!","✓")</f>
        <v>!</v>
      </c>
      <c r="CF189" s="89"/>
      <c r="CG189" s="89"/>
      <c r="CH189" s="70"/>
      <c r="CI189" s="31"/>
      <c r="CJ189" s="31"/>
      <c r="CK189" s="46"/>
      <c r="CL189" s="33"/>
      <c r="CM189" s="30" t="str">
        <f>IF(CK189="","!","✓")</f>
        <v>!</v>
      </c>
      <c r="CN189" s="89"/>
      <c r="CO189" s="89"/>
    </row>
    <row r="190" spans="3:100" s="21" customFormat="1" ht="15" hidden="1" customHeight="1" x14ac:dyDescent="0.2">
      <c r="C190" s="25"/>
      <c r="D190" s="25"/>
      <c r="E190" s="25"/>
      <c r="F190" s="70"/>
      <c r="G190" s="70"/>
      <c r="H190" s="675"/>
      <c r="I190" s="675"/>
      <c r="J190" s="675"/>
      <c r="K190" s="922"/>
      <c r="L190" s="27"/>
      <c r="M190" s="1000"/>
      <c r="N190" s="1000"/>
      <c r="O190" s="1000"/>
      <c r="P190" s="1000"/>
      <c r="Q190" s="28"/>
      <c r="R190" s="33"/>
      <c r="S190" s="31"/>
      <c r="T190" s="42"/>
      <c r="U190" s="31"/>
      <c r="V190" s="16"/>
      <c r="W190" s="31"/>
      <c r="X190" s="31"/>
      <c r="Y190" s="32"/>
      <c r="Z190" s="33"/>
      <c r="AA190" s="89"/>
      <c r="AB190" s="89"/>
      <c r="AC190" s="89"/>
      <c r="AD190" s="70"/>
      <c r="AE190" s="31"/>
      <c r="AF190" s="31"/>
      <c r="AG190" s="32"/>
      <c r="AH190" s="33"/>
      <c r="AI190" s="89"/>
      <c r="AJ190" s="89"/>
      <c r="AK190" s="89"/>
      <c r="AL190" s="70"/>
      <c r="AM190" s="31"/>
      <c r="AN190" s="31"/>
      <c r="AO190" s="32"/>
      <c r="AP190" s="33"/>
      <c r="AQ190" s="89"/>
      <c r="AR190" s="89"/>
      <c r="AS190" s="89"/>
      <c r="AT190" s="70"/>
      <c r="AU190" s="31"/>
      <c r="AV190" s="31"/>
      <c r="AW190" s="32"/>
      <c r="AX190" s="33"/>
      <c r="AY190" s="89"/>
      <c r="AZ190" s="89"/>
      <c r="BA190" s="89"/>
      <c r="BB190" s="70"/>
      <c r="BC190" s="31"/>
      <c r="BD190" s="31"/>
      <c r="BE190" s="32"/>
      <c r="BF190" s="834"/>
      <c r="BG190" s="89"/>
      <c r="BH190" s="89"/>
      <c r="BI190" s="89"/>
      <c r="BJ190" s="70"/>
      <c r="BK190" s="31"/>
      <c r="BL190" s="31"/>
      <c r="BM190" s="32"/>
      <c r="BN190" s="33"/>
      <c r="BO190" s="89"/>
      <c r="BP190" s="89"/>
      <c r="BQ190" s="89"/>
      <c r="BR190" s="70"/>
      <c r="BS190" s="31"/>
      <c r="BT190" s="31"/>
      <c r="BU190" s="32"/>
      <c r="BV190" s="33"/>
      <c r="BW190" s="89"/>
      <c r="BX190" s="89"/>
      <c r="BY190" s="89"/>
      <c r="BZ190" s="70"/>
      <c r="CA190" s="31"/>
      <c r="CB190" s="31"/>
      <c r="CC190" s="32"/>
      <c r="CD190" s="33"/>
      <c r="CE190" s="89"/>
      <c r="CF190" s="89"/>
      <c r="CG190" s="89"/>
      <c r="CH190" s="70"/>
      <c r="CI190" s="31"/>
      <c r="CJ190" s="31"/>
      <c r="CK190" s="32"/>
      <c r="CL190" s="33"/>
      <c r="CM190" s="89"/>
      <c r="CN190" s="89"/>
      <c r="CO190" s="89"/>
    </row>
    <row r="191" spans="3:100" s="21" customFormat="1" ht="15" hidden="1" customHeight="1" x14ac:dyDescent="0.2">
      <c r="C191" s="25"/>
      <c r="D191" s="25"/>
      <c r="E191" s="25"/>
      <c r="F191" s="70"/>
      <c r="G191" s="70"/>
      <c r="H191" s="672"/>
      <c r="I191" s="672"/>
      <c r="J191" s="672"/>
      <c r="K191" s="922"/>
      <c r="L191" s="14"/>
      <c r="M191" s="974"/>
      <c r="N191" s="974"/>
      <c r="O191" s="974"/>
      <c r="P191" s="974"/>
      <c r="Q191" s="13"/>
      <c r="R191" s="17"/>
      <c r="S191" s="35"/>
      <c r="T191" s="25"/>
      <c r="U191" s="35"/>
      <c r="V191" s="16"/>
      <c r="W191" s="35"/>
      <c r="X191" s="35"/>
      <c r="Y191" s="36"/>
      <c r="Z191" s="17"/>
      <c r="AA191" s="70"/>
      <c r="AB191" s="70"/>
      <c r="AC191" s="70"/>
      <c r="AD191" s="70"/>
      <c r="AE191" s="35"/>
      <c r="AF191" s="35"/>
      <c r="AG191" s="36"/>
      <c r="AH191" s="17"/>
      <c r="AI191" s="70"/>
      <c r="AJ191" s="70"/>
      <c r="AK191" s="70"/>
      <c r="AL191" s="70"/>
      <c r="AM191" s="35"/>
      <c r="AN191" s="35"/>
      <c r="AO191" s="36"/>
      <c r="AP191" s="17"/>
      <c r="AQ191" s="70"/>
      <c r="AR191" s="70"/>
      <c r="AS191" s="70"/>
      <c r="AT191" s="70"/>
      <c r="AU191" s="35"/>
      <c r="AV191" s="35"/>
      <c r="AW191" s="36"/>
      <c r="AX191" s="17"/>
      <c r="AY191" s="70"/>
      <c r="AZ191" s="70"/>
      <c r="BA191" s="70"/>
      <c r="BB191" s="70"/>
      <c r="BC191" s="35"/>
      <c r="BD191" s="35"/>
      <c r="BE191" s="36"/>
      <c r="BF191" s="16"/>
      <c r="BG191" s="70"/>
      <c r="BH191" s="70"/>
      <c r="BI191" s="70"/>
      <c r="BJ191" s="70"/>
      <c r="BK191" s="35"/>
      <c r="BL191" s="35"/>
      <c r="BM191" s="36"/>
      <c r="BN191" s="17"/>
      <c r="BO191" s="70"/>
      <c r="BP191" s="70"/>
      <c r="BQ191" s="70"/>
      <c r="BR191" s="70"/>
      <c r="BS191" s="35"/>
      <c r="BT191" s="35"/>
      <c r="BU191" s="36"/>
      <c r="BV191" s="17"/>
      <c r="BW191" s="70"/>
      <c r="BX191" s="70"/>
      <c r="BY191" s="70"/>
      <c r="BZ191" s="70"/>
      <c r="CA191" s="35"/>
      <c r="CB191" s="35"/>
      <c r="CC191" s="36"/>
      <c r="CD191" s="17"/>
      <c r="CE191" s="70"/>
      <c r="CF191" s="70"/>
      <c r="CG191" s="70"/>
      <c r="CH191" s="70"/>
      <c r="CI191" s="35"/>
      <c r="CJ191" s="35"/>
      <c r="CK191" s="36"/>
      <c r="CL191" s="17"/>
      <c r="CM191" s="70"/>
      <c r="CN191" s="70"/>
      <c r="CO191" s="70"/>
    </row>
    <row r="192" spans="3:100" s="21" customFormat="1" ht="21.95" hidden="1" customHeight="1" x14ac:dyDescent="0.2">
      <c r="C192" s="25"/>
      <c r="D192" s="25"/>
      <c r="E192" s="25"/>
      <c r="F192" s="70"/>
      <c r="G192" s="70"/>
      <c r="H192" s="84"/>
      <c r="I192" s="84"/>
      <c r="J192" s="84"/>
      <c r="K192" s="922"/>
      <c r="L192" s="85"/>
      <c r="M192" s="1015" t="s">
        <v>113</v>
      </c>
      <c r="N192" s="1015"/>
      <c r="O192" s="1015"/>
      <c r="P192" s="1015"/>
      <c r="Q192" s="3971"/>
      <c r="R192" s="88"/>
      <c r="S192" s="86"/>
      <c r="T192" s="42"/>
      <c r="U192" s="86"/>
      <c r="V192" s="16"/>
      <c r="W192" s="86"/>
      <c r="X192" s="86"/>
      <c r="Y192" s="87"/>
      <c r="Z192" s="88"/>
      <c r="AA192" s="3972"/>
      <c r="AB192" s="3972"/>
      <c r="AC192" s="3972"/>
      <c r="AD192" s="70"/>
      <c r="AE192" s="86"/>
      <c r="AF192" s="86"/>
      <c r="AG192" s="87"/>
      <c r="AH192" s="88"/>
      <c r="AI192" s="3972"/>
      <c r="AJ192" s="3972"/>
      <c r="AK192" s="3972"/>
      <c r="AL192" s="70"/>
      <c r="AM192" s="86"/>
      <c r="AN192" s="86"/>
      <c r="AO192" s="87"/>
      <c r="AP192" s="88"/>
      <c r="AQ192" s="3972"/>
      <c r="AR192" s="3972"/>
      <c r="AS192" s="3972"/>
      <c r="AT192" s="70"/>
      <c r="AU192" s="86"/>
      <c r="AV192" s="86"/>
      <c r="AW192" s="87"/>
      <c r="AX192" s="88"/>
      <c r="AY192" s="3972"/>
      <c r="AZ192" s="3972"/>
      <c r="BA192" s="3972"/>
      <c r="BB192" s="70"/>
      <c r="BC192" s="86"/>
      <c r="BD192" s="86"/>
      <c r="BE192" s="87"/>
      <c r="BF192" s="84"/>
      <c r="BG192" s="3972"/>
      <c r="BH192" s="3972"/>
      <c r="BI192" s="3972"/>
      <c r="BJ192" s="70"/>
      <c r="BK192" s="86"/>
      <c r="BL192" s="86"/>
      <c r="BM192" s="87"/>
      <c r="BN192" s="88"/>
      <c r="BO192" s="3972"/>
      <c r="BP192" s="3972"/>
      <c r="BQ192" s="3972"/>
      <c r="BR192" s="70"/>
      <c r="BS192" s="86"/>
      <c r="BT192" s="86"/>
      <c r="BU192" s="87"/>
      <c r="BV192" s="88"/>
      <c r="BW192" s="3972"/>
      <c r="BX192" s="3972"/>
      <c r="BY192" s="3972"/>
      <c r="BZ192" s="70"/>
      <c r="CA192" s="86"/>
      <c r="CB192" s="86"/>
      <c r="CC192" s="87"/>
      <c r="CD192" s="88"/>
      <c r="CE192" s="3972"/>
      <c r="CF192" s="3972"/>
      <c r="CG192" s="3972"/>
      <c r="CH192" s="70"/>
      <c r="CI192" s="86"/>
      <c r="CJ192" s="86"/>
      <c r="CK192" s="87"/>
      <c r="CL192" s="88"/>
      <c r="CM192" s="3972"/>
      <c r="CN192" s="3972"/>
      <c r="CO192" s="3972"/>
    </row>
    <row r="193" spans="3:95" s="21" customFormat="1" ht="15" hidden="1" customHeight="1" thickBot="1" x14ac:dyDescent="0.25">
      <c r="C193" s="25"/>
      <c r="D193" s="25"/>
      <c r="E193" s="25"/>
      <c r="F193" s="70"/>
      <c r="G193" s="70"/>
      <c r="H193" s="674"/>
      <c r="I193" s="674"/>
      <c r="J193" s="674"/>
      <c r="K193" s="922"/>
      <c r="L193" s="27"/>
      <c r="M193" s="1000"/>
      <c r="N193" s="1000"/>
      <c r="O193" s="1000"/>
      <c r="P193" s="1000"/>
      <c r="Q193" s="28"/>
      <c r="R193" s="33"/>
      <c r="S193" s="31"/>
      <c r="T193" s="42"/>
      <c r="U193" s="31"/>
      <c r="V193" s="16"/>
      <c r="W193" s="31"/>
      <c r="X193" s="31"/>
      <c r="Y193" s="32"/>
      <c r="Z193" s="33"/>
      <c r="AA193" s="89"/>
      <c r="AB193" s="89"/>
      <c r="AC193" s="89"/>
      <c r="AD193" s="70"/>
      <c r="AE193" s="31"/>
      <c r="AF193" s="31"/>
      <c r="AG193" s="32"/>
      <c r="AH193" s="33"/>
      <c r="AI193" s="89"/>
      <c r="AJ193" s="89"/>
      <c r="AK193" s="89"/>
      <c r="AL193" s="70"/>
      <c r="AM193" s="31"/>
      <c r="AN193" s="31"/>
      <c r="AO193" s="32"/>
      <c r="AP193" s="33"/>
      <c r="AQ193" s="89"/>
      <c r="AR193" s="89"/>
      <c r="AS193" s="89"/>
      <c r="AT193" s="70"/>
      <c r="AU193" s="31"/>
      <c r="AV193" s="31"/>
      <c r="AW193" s="32"/>
      <c r="AX193" s="33"/>
      <c r="AY193" s="89"/>
      <c r="AZ193" s="89"/>
      <c r="BA193" s="89"/>
      <c r="BB193" s="70"/>
      <c r="BC193" s="31"/>
      <c r="BD193" s="31"/>
      <c r="BE193" s="32"/>
      <c r="BF193" s="834"/>
      <c r="BG193" s="89"/>
      <c r="BH193" s="89"/>
      <c r="BI193" s="89"/>
      <c r="BJ193" s="70"/>
      <c r="BK193" s="31"/>
      <c r="BL193" s="31"/>
      <c r="BM193" s="32"/>
      <c r="BN193" s="33"/>
      <c r="BO193" s="89"/>
      <c r="BP193" s="89"/>
      <c r="BQ193" s="89"/>
      <c r="BR193" s="70"/>
      <c r="BS193" s="31"/>
      <c r="BT193" s="31"/>
      <c r="BU193" s="32"/>
      <c r="BV193" s="33"/>
      <c r="BW193" s="89"/>
      <c r="BX193" s="89"/>
      <c r="BY193" s="89"/>
      <c r="BZ193" s="70"/>
      <c r="CA193" s="31"/>
      <c r="CB193" s="31"/>
      <c r="CC193" s="32"/>
      <c r="CD193" s="33"/>
      <c r="CE193" s="89"/>
      <c r="CF193" s="89"/>
      <c r="CG193" s="89"/>
      <c r="CH193" s="70"/>
      <c r="CI193" s="31"/>
      <c r="CJ193" s="31"/>
      <c r="CK193" s="32"/>
      <c r="CL193" s="33"/>
      <c r="CM193" s="89"/>
      <c r="CN193" s="89"/>
      <c r="CO193" s="89"/>
    </row>
    <row r="194" spans="3:95" s="21" customFormat="1" ht="15" hidden="1" customHeight="1" thickBot="1" x14ac:dyDescent="0.25">
      <c r="C194" s="25"/>
      <c r="D194" s="25"/>
      <c r="E194" s="25"/>
      <c r="F194" s="70"/>
      <c r="G194" s="70"/>
      <c r="H194" s="674"/>
      <c r="I194" s="674"/>
      <c r="J194" s="674"/>
      <c r="K194" s="922"/>
      <c r="L194" s="27"/>
      <c r="M194" s="1000" t="s">
        <v>129</v>
      </c>
      <c r="N194" s="1000"/>
      <c r="O194" s="1000"/>
      <c r="P194" s="1000"/>
      <c r="Q194" s="28"/>
      <c r="R194" s="33" t="s">
        <v>46</v>
      </c>
      <c r="S194" s="31"/>
      <c r="T194" s="42"/>
      <c r="U194" s="31"/>
      <c r="V194" s="16"/>
      <c r="W194" s="31"/>
      <c r="X194" s="31"/>
      <c r="Y194" s="46"/>
      <c r="Z194" s="33"/>
      <c r="AA194" s="30" t="str">
        <f>IF(Y194="","!","✓")</f>
        <v>!</v>
      </c>
      <c r="AB194" s="89"/>
      <c r="AC194" s="89"/>
      <c r="AD194" s="70"/>
      <c r="AE194" s="31"/>
      <c r="AF194" s="31"/>
      <c r="AG194" s="46"/>
      <c r="AH194" s="33"/>
      <c r="AI194" s="30" t="str">
        <f>IF(AG194="","!","✓")</f>
        <v>!</v>
      </c>
      <c r="AJ194" s="89"/>
      <c r="AK194" s="89"/>
      <c r="AL194" s="70"/>
      <c r="AM194" s="31"/>
      <c r="AN194" s="31"/>
      <c r="AO194" s="46"/>
      <c r="AP194" s="33"/>
      <c r="AQ194" s="30" t="str">
        <f>IF(AO194="","!","✓")</f>
        <v>!</v>
      </c>
      <c r="AR194" s="89"/>
      <c r="AS194" s="89"/>
      <c r="AT194" s="70"/>
      <c r="AU194" s="31"/>
      <c r="AV194" s="31"/>
      <c r="AW194" s="46"/>
      <c r="AX194" s="33"/>
      <c r="AY194" s="30" t="str">
        <f>IF(AW194="","!","✓")</f>
        <v>!</v>
      </c>
      <c r="AZ194" s="89"/>
      <c r="BA194" s="89"/>
      <c r="BB194" s="70"/>
      <c r="BC194" s="31"/>
      <c r="BD194" s="31"/>
      <c r="BE194" s="46"/>
      <c r="BF194" s="834"/>
      <c r="BG194" s="30" t="str">
        <f>IF(BE194="","!","✓")</f>
        <v>!</v>
      </c>
      <c r="BH194" s="89"/>
      <c r="BI194" s="89"/>
      <c r="BJ194" s="70"/>
      <c r="BK194" s="31"/>
      <c r="BL194" s="31"/>
      <c r="BM194" s="46"/>
      <c r="BN194" s="33"/>
      <c r="BO194" s="30" t="str">
        <f>IF(BM194="","!","✓")</f>
        <v>!</v>
      </c>
      <c r="BP194" s="89"/>
      <c r="BQ194" s="89"/>
      <c r="BR194" s="70"/>
      <c r="BS194" s="31"/>
      <c r="BT194" s="31"/>
      <c r="BU194" s="46"/>
      <c r="BV194" s="33"/>
      <c r="BW194" s="30" t="str">
        <f>IF(BU194="","!","✓")</f>
        <v>!</v>
      </c>
      <c r="BX194" s="89"/>
      <c r="BY194" s="89"/>
      <c r="BZ194" s="70"/>
      <c r="CA194" s="31"/>
      <c r="CB194" s="31"/>
      <c r="CC194" s="46"/>
      <c r="CD194" s="33"/>
      <c r="CE194" s="30" t="str">
        <f>IF(CC194="","!","✓")</f>
        <v>!</v>
      </c>
      <c r="CF194" s="89"/>
      <c r="CG194" s="89"/>
      <c r="CH194" s="70"/>
      <c r="CI194" s="31"/>
      <c r="CJ194" s="31"/>
      <c r="CK194" s="46"/>
      <c r="CL194" s="33"/>
      <c r="CM194" s="30" t="str">
        <f>IF(CK194="","!","✓")</f>
        <v>!</v>
      </c>
      <c r="CN194" s="89"/>
      <c r="CO194" s="89"/>
    </row>
    <row r="195" spans="3:95" s="21" customFormat="1" ht="15" hidden="1" customHeight="1" thickBot="1" x14ac:dyDescent="0.25">
      <c r="C195" s="25"/>
      <c r="D195" s="25"/>
      <c r="E195" s="25"/>
      <c r="F195" s="70"/>
      <c r="G195" s="70"/>
      <c r="H195" s="674"/>
      <c r="I195" s="674"/>
      <c r="J195" s="674"/>
      <c r="K195" s="922"/>
      <c r="L195" s="27"/>
      <c r="M195" s="1000"/>
      <c r="N195" s="1000"/>
      <c r="O195" s="1000"/>
      <c r="P195" s="1000"/>
      <c r="Q195" s="28"/>
      <c r="R195" s="33"/>
      <c r="S195" s="31"/>
      <c r="T195" s="42"/>
      <c r="U195" s="31"/>
      <c r="V195" s="16"/>
      <c r="W195" s="31"/>
      <c r="X195" s="31"/>
      <c r="Y195" s="32"/>
      <c r="Z195" s="33"/>
      <c r="AA195" s="89"/>
      <c r="AB195" s="89"/>
      <c r="AC195" s="89"/>
      <c r="AD195" s="70"/>
      <c r="AE195" s="31"/>
      <c r="AF195" s="31"/>
      <c r="AG195" s="32"/>
      <c r="AH195" s="33"/>
      <c r="AI195" s="89"/>
      <c r="AJ195" s="89"/>
      <c r="AK195" s="89"/>
      <c r="AL195" s="70"/>
      <c r="AM195" s="31"/>
      <c r="AN195" s="31"/>
      <c r="AO195" s="32"/>
      <c r="AP195" s="33"/>
      <c r="AQ195" s="89"/>
      <c r="AR195" s="89"/>
      <c r="AS195" s="89"/>
      <c r="AT195" s="70"/>
      <c r="AU195" s="31"/>
      <c r="AV195" s="31"/>
      <c r="AW195" s="32"/>
      <c r="AX195" s="33"/>
      <c r="AY195" s="89"/>
      <c r="AZ195" s="89"/>
      <c r="BA195" s="89"/>
      <c r="BB195" s="70"/>
      <c r="BC195" s="31"/>
      <c r="BD195" s="31"/>
      <c r="BE195" s="32"/>
      <c r="BF195" s="834"/>
      <c r="BG195" s="89"/>
      <c r="BH195" s="89"/>
      <c r="BI195" s="89"/>
      <c r="BJ195" s="70"/>
      <c r="BK195" s="31"/>
      <c r="BL195" s="31"/>
      <c r="BM195" s="32"/>
      <c r="BN195" s="33"/>
      <c r="BO195" s="89"/>
      <c r="BP195" s="89"/>
      <c r="BQ195" s="89"/>
      <c r="BR195" s="70"/>
      <c r="BS195" s="31"/>
      <c r="BT195" s="31"/>
      <c r="BU195" s="32"/>
      <c r="BV195" s="33"/>
      <c r="BW195" s="89"/>
      <c r="BX195" s="89"/>
      <c r="BY195" s="89"/>
      <c r="BZ195" s="70"/>
      <c r="CA195" s="31"/>
      <c r="CB195" s="31"/>
      <c r="CC195" s="32"/>
      <c r="CD195" s="33"/>
      <c r="CE195" s="89"/>
      <c r="CF195" s="89"/>
      <c r="CG195" s="89"/>
      <c r="CH195" s="70"/>
      <c r="CI195" s="31"/>
      <c r="CJ195" s="31"/>
      <c r="CK195" s="32"/>
      <c r="CL195" s="33"/>
      <c r="CM195" s="89"/>
      <c r="CN195" s="89"/>
      <c r="CO195" s="89"/>
    </row>
    <row r="196" spans="3:95" s="21" customFormat="1" ht="15" hidden="1" customHeight="1" thickBot="1" x14ac:dyDescent="0.25">
      <c r="C196" s="25"/>
      <c r="D196" s="25"/>
      <c r="E196" s="25"/>
      <c r="F196" s="70"/>
      <c r="G196" s="70"/>
      <c r="H196" s="674"/>
      <c r="I196" s="674"/>
      <c r="J196" s="674"/>
      <c r="K196" s="922"/>
      <c r="L196" s="27"/>
      <c r="M196" s="1000" t="s">
        <v>129</v>
      </c>
      <c r="N196" s="1000"/>
      <c r="O196" s="1000"/>
      <c r="P196" s="1000"/>
      <c r="Q196" s="28"/>
      <c r="R196" s="33" t="s">
        <v>46</v>
      </c>
      <c r="S196" s="31"/>
      <c r="T196" s="42"/>
      <c r="U196" s="31"/>
      <c r="V196" s="16"/>
      <c r="W196" s="31"/>
      <c r="X196" s="31"/>
      <c r="Y196" s="46"/>
      <c r="Z196" s="33"/>
      <c r="AA196" s="30" t="str">
        <f>IF(Y196="","!","✓")</f>
        <v>!</v>
      </c>
      <c r="AB196" s="89"/>
      <c r="AC196" s="89"/>
      <c r="AD196" s="70"/>
      <c r="AE196" s="31"/>
      <c r="AF196" s="31"/>
      <c r="AG196" s="46"/>
      <c r="AH196" s="33"/>
      <c r="AI196" s="30" t="str">
        <f>IF(AG196="","!","✓")</f>
        <v>!</v>
      </c>
      <c r="AJ196" s="89"/>
      <c r="AK196" s="89"/>
      <c r="AL196" s="70"/>
      <c r="AM196" s="31"/>
      <c r="AN196" s="31"/>
      <c r="AO196" s="46"/>
      <c r="AP196" s="33"/>
      <c r="AQ196" s="30" t="str">
        <f>IF(AO196="","!","✓")</f>
        <v>!</v>
      </c>
      <c r="AR196" s="89"/>
      <c r="AS196" s="89"/>
      <c r="AT196" s="70"/>
      <c r="AU196" s="31"/>
      <c r="AV196" s="31"/>
      <c r="AW196" s="46"/>
      <c r="AX196" s="33"/>
      <c r="AY196" s="30" t="str">
        <f>IF(AW196="","!","✓")</f>
        <v>!</v>
      </c>
      <c r="AZ196" s="89"/>
      <c r="BA196" s="89"/>
      <c r="BB196" s="70"/>
      <c r="BC196" s="31"/>
      <c r="BD196" s="31"/>
      <c r="BE196" s="46"/>
      <c r="BF196" s="834"/>
      <c r="BG196" s="30" t="str">
        <f>IF(BE196="","!","✓")</f>
        <v>!</v>
      </c>
      <c r="BH196" s="89"/>
      <c r="BI196" s="89"/>
      <c r="BJ196" s="70"/>
      <c r="BK196" s="31"/>
      <c r="BL196" s="31"/>
      <c r="BM196" s="46"/>
      <c r="BN196" s="33"/>
      <c r="BO196" s="30" t="str">
        <f>IF(BM196="","!","✓")</f>
        <v>!</v>
      </c>
      <c r="BP196" s="89"/>
      <c r="BQ196" s="89"/>
      <c r="BR196" s="70"/>
      <c r="BS196" s="31"/>
      <c r="BT196" s="31"/>
      <c r="BU196" s="46"/>
      <c r="BV196" s="33"/>
      <c r="BW196" s="30" t="str">
        <f>IF(BU196="","!","✓")</f>
        <v>!</v>
      </c>
      <c r="BX196" s="89"/>
      <c r="BY196" s="89"/>
      <c r="BZ196" s="70"/>
      <c r="CA196" s="31"/>
      <c r="CB196" s="31"/>
      <c r="CC196" s="46"/>
      <c r="CD196" s="33"/>
      <c r="CE196" s="30" t="str">
        <f>IF(CC196="","!","✓")</f>
        <v>!</v>
      </c>
      <c r="CF196" s="89"/>
      <c r="CG196" s="89"/>
      <c r="CH196" s="70"/>
      <c r="CI196" s="31"/>
      <c r="CJ196" s="31"/>
      <c r="CK196" s="46"/>
      <c r="CL196" s="33"/>
      <c r="CM196" s="30" t="str">
        <f>IF(CK196="","!","✓")</f>
        <v>!</v>
      </c>
      <c r="CN196" s="89"/>
      <c r="CO196" s="89"/>
    </row>
    <row r="197" spans="3:95" s="21" customFormat="1" ht="15" hidden="1" customHeight="1" x14ac:dyDescent="0.2">
      <c r="C197" s="25"/>
      <c r="D197" s="25"/>
      <c r="E197" s="25"/>
      <c r="F197" s="70"/>
      <c r="G197" s="70"/>
      <c r="H197" s="675"/>
      <c r="I197" s="675"/>
      <c r="J197" s="675"/>
      <c r="K197" s="922"/>
      <c r="L197" s="27"/>
      <c r="M197" s="1000"/>
      <c r="N197" s="1000"/>
      <c r="O197" s="1000"/>
      <c r="P197" s="1000"/>
      <c r="Q197" s="28"/>
      <c r="R197" s="33"/>
      <c r="S197" s="31"/>
      <c r="T197" s="42"/>
      <c r="U197" s="31"/>
      <c r="V197" s="16"/>
      <c r="W197" s="31"/>
      <c r="X197" s="31"/>
      <c r="Y197" s="32"/>
      <c r="Z197" s="33"/>
      <c r="AA197" s="89"/>
      <c r="AB197" s="89"/>
      <c r="AC197" s="89"/>
      <c r="AD197" s="70"/>
      <c r="AE197" s="31"/>
      <c r="AF197" s="31"/>
      <c r="AG197" s="32"/>
      <c r="AH197" s="33"/>
      <c r="AI197" s="89"/>
      <c r="AJ197" s="89"/>
      <c r="AK197" s="89"/>
      <c r="AL197" s="70"/>
      <c r="AM197" s="31"/>
      <c r="AN197" s="31"/>
      <c r="AO197" s="32"/>
      <c r="AP197" s="33"/>
      <c r="AQ197" s="89"/>
      <c r="AR197" s="89"/>
      <c r="AS197" s="89"/>
      <c r="AT197" s="70"/>
      <c r="AU197" s="31"/>
      <c r="AV197" s="31"/>
      <c r="AW197" s="32"/>
      <c r="AX197" s="33"/>
      <c r="AY197" s="89"/>
      <c r="AZ197" s="89"/>
      <c r="BA197" s="89"/>
      <c r="BB197" s="70"/>
      <c r="BC197" s="31"/>
      <c r="BD197" s="31"/>
      <c r="BE197" s="32"/>
      <c r="BF197" s="834"/>
      <c r="BG197" s="89"/>
      <c r="BH197" s="89"/>
      <c r="BI197" s="89"/>
      <c r="BJ197" s="70"/>
      <c r="BK197" s="31"/>
      <c r="BL197" s="31"/>
      <c r="BM197" s="32"/>
      <c r="BN197" s="33"/>
      <c r="BO197" s="89"/>
      <c r="BP197" s="89"/>
      <c r="BQ197" s="89"/>
      <c r="BR197" s="70"/>
      <c r="BS197" s="31"/>
      <c r="BT197" s="31"/>
      <c r="BU197" s="32"/>
      <c r="BV197" s="33"/>
      <c r="BW197" s="89"/>
      <c r="BX197" s="89"/>
      <c r="BY197" s="89"/>
      <c r="BZ197" s="70"/>
      <c r="CA197" s="31"/>
      <c r="CB197" s="31"/>
      <c r="CC197" s="32"/>
      <c r="CD197" s="33"/>
      <c r="CE197" s="89"/>
      <c r="CF197" s="89"/>
      <c r="CG197" s="89"/>
      <c r="CH197" s="70"/>
      <c r="CI197" s="31"/>
      <c r="CJ197" s="31"/>
      <c r="CK197" s="32"/>
      <c r="CL197" s="33"/>
      <c r="CM197" s="89"/>
      <c r="CN197" s="89"/>
      <c r="CO197" s="89"/>
    </row>
    <row r="198" spans="3:95" s="21" customFormat="1" ht="15" hidden="1" customHeight="1" x14ac:dyDescent="0.2">
      <c r="C198" s="25"/>
      <c r="D198" s="25"/>
      <c r="E198" s="25"/>
      <c r="F198" s="70"/>
      <c r="G198" s="70"/>
      <c r="H198" s="672"/>
      <c r="I198" s="672"/>
      <c r="J198" s="672"/>
      <c r="K198" s="922"/>
      <c r="L198" s="14"/>
      <c r="M198" s="974"/>
      <c r="N198" s="974"/>
      <c r="O198" s="974"/>
      <c r="P198" s="974"/>
      <c r="Q198" s="13"/>
      <c r="R198" s="17"/>
      <c r="S198" s="35"/>
      <c r="T198" s="25"/>
      <c r="U198" s="35"/>
      <c r="V198" s="16"/>
      <c r="W198" s="35"/>
      <c r="X198" s="35"/>
      <c r="Y198" s="36"/>
      <c r="Z198" s="17"/>
      <c r="AA198" s="70"/>
      <c r="AB198" s="70"/>
      <c r="AC198" s="70"/>
      <c r="AD198" s="70"/>
      <c r="AE198" s="35"/>
      <c r="AF198" s="35"/>
      <c r="AG198" s="36"/>
      <c r="AH198" s="17"/>
      <c r="AI198" s="70"/>
      <c r="AJ198" s="70"/>
      <c r="AK198" s="70"/>
      <c r="AL198" s="70"/>
      <c r="AM198" s="35"/>
      <c r="AN198" s="35"/>
      <c r="AO198" s="36"/>
      <c r="AP198" s="17"/>
      <c r="AQ198" s="70"/>
      <c r="AR198" s="70"/>
      <c r="AS198" s="70"/>
      <c r="AT198" s="70"/>
      <c r="AU198" s="35"/>
      <c r="AV198" s="35"/>
      <c r="AW198" s="36"/>
      <c r="AX198" s="17"/>
      <c r="AY198" s="70"/>
      <c r="AZ198" s="70"/>
      <c r="BA198" s="70"/>
      <c r="BB198" s="70"/>
      <c r="BC198" s="35"/>
      <c r="BD198" s="35"/>
      <c r="BE198" s="36"/>
      <c r="BF198" s="16"/>
      <c r="BG198" s="70"/>
      <c r="BH198" s="70"/>
      <c r="BI198" s="70"/>
      <c r="BJ198" s="70"/>
      <c r="BK198" s="35"/>
      <c r="BL198" s="35"/>
      <c r="BM198" s="36"/>
      <c r="BN198" s="17"/>
      <c r="BO198" s="70"/>
      <c r="BP198" s="70"/>
      <c r="BQ198" s="70"/>
      <c r="BR198" s="70"/>
      <c r="BS198" s="35"/>
      <c r="BT198" s="35"/>
      <c r="BU198" s="36"/>
      <c r="BV198" s="17"/>
      <c r="BW198" s="70"/>
      <c r="BX198" s="70"/>
      <c r="BY198" s="70"/>
      <c r="BZ198" s="70"/>
      <c r="CA198" s="35"/>
      <c r="CB198" s="35"/>
      <c r="CC198" s="36"/>
      <c r="CD198" s="17"/>
      <c r="CE198" s="70"/>
      <c r="CF198" s="70"/>
      <c r="CG198" s="70"/>
      <c r="CH198" s="70"/>
      <c r="CI198" s="35"/>
      <c r="CJ198" s="35"/>
      <c r="CK198" s="36"/>
      <c r="CL198" s="17"/>
      <c r="CM198" s="70"/>
      <c r="CN198" s="70"/>
      <c r="CO198" s="70"/>
      <c r="CP198" s="70"/>
      <c r="CQ198" s="70"/>
    </row>
    <row r="199" spans="3:95" s="21" customFormat="1" ht="21.95" hidden="1" customHeight="1" x14ac:dyDescent="0.2">
      <c r="C199" s="25"/>
      <c r="D199" s="25"/>
      <c r="E199" s="25"/>
      <c r="F199" s="70"/>
      <c r="G199" s="70"/>
      <c r="H199" s="84"/>
      <c r="I199" s="84"/>
      <c r="J199" s="84"/>
      <c r="K199" s="922"/>
      <c r="L199" s="85"/>
      <c r="M199" s="1015" t="s">
        <v>114</v>
      </c>
      <c r="N199" s="1015"/>
      <c r="O199" s="1015"/>
      <c r="P199" s="1015"/>
      <c r="Q199" s="3971"/>
      <c r="R199" s="88"/>
      <c r="S199" s="86"/>
      <c r="T199" s="42"/>
      <c r="U199" s="86"/>
      <c r="V199" s="16"/>
      <c r="W199" s="86"/>
      <c r="X199" s="86"/>
      <c r="Y199" s="87"/>
      <c r="Z199" s="88"/>
      <c r="AA199" s="3972"/>
      <c r="AB199" s="3972"/>
      <c r="AC199" s="3972"/>
      <c r="AD199" s="70"/>
      <c r="AE199" s="86"/>
      <c r="AF199" s="86"/>
      <c r="AG199" s="87"/>
      <c r="AH199" s="88"/>
      <c r="AI199" s="3972"/>
      <c r="AJ199" s="3972"/>
      <c r="AK199" s="3972"/>
      <c r="AL199" s="70"/>
      <c r="AM199" s="86"/>
      <c r="AN199" s="86"/>
      <c r="AO199" s="87"/>
      <c r="AP199" s="88"/>
      <c r="AQ199" s="3972"/>
      <c r="AR199" s="3972"/>
      <c r="AS199" s="3972"/>
      <c r="AT199" s="70"/>
      <c r="AU199" s="86"/>
      <c r="AV199" s="86"/>
      <c r="AW199" s="87"/>
      <c r="AX199" s="88"/>
      <c r="AY199" s="3972"/>
      <c r="AZ199" s="3972"/>
      <c r="BA199" s="3972"/>
      <c r="BB199" s="70"/>
      <c r="BC199" s="86"/>
      <c r="BD199" s="86"/>
      <c r="BE199" s="87"/>
      <c r="BF199" s="84"/>
      <c r="BG199" s="3972"/>
      <c r="BH199" s="3972"/>
      <c r="BI199" s="3972"/>
      <c r="BJ199" s="70"/>
      <c r="BK199" s="86"/>
      <c r="BL199" s="86"/>
      <c r="BM199" s="87"/>
      <c r="BN199" s="88"/>
      <c r="BO199" s="3972"/>
      <c r="BP199" s="3972"/>
      <c r="BQ199" s="3972"/>
      <c r="BR199" s="70"/>
      <c r="BS199" s="86"/>
      <c r="BT199" s="86"/>
      <c r="BU199" s="87"/>
      <c r="BV199" s="88"/>
      <c r="BW199" s="3972"/>
      <c r="BX199" s="3972"/>
      <c r="BY199" s="3972"/>
      <c r="BZ199" s="70"/>
      <c r="CA199" s="86"/>
      <c r="CB199" s="86"/>
      <c r="CC199" s="87"/>
      <c r="CD199" s="88"/>
      <c r="CE199" s="3972"/>
      <c r="CF199" s="3972"/>
      <c r="CG199" s="3972"/>
      <c r="CH199" s="70"/>
      <c r="CI199" s="86"/>
      <c r="CJ199" s="86"/>
      <c r="CK199" s="87"/>
      <c r="CL199" s="88"/>
      <c r="CM199" s="3972"/>
      <c r="CN199" s="3972"/>
      <c r="CO199" s="3972"/>
      <c r="CP199" s="70"/>
      <c r="CQ199" s="70"/>
    </row>
    <row r="200" spans="3:95" s="21" customFormat="1" ht="15" hidden="1" customHeight="1" thickBot="1" x14ac:dyDescent="0.25">
      <c r="C200" s="25"/>
      <c r="D200" s="25"/>
      <c r="E200" s="25"/>
      <c r="F200" s="70"/>
      <c r="G200" s="70"/>
      <c r="H200" s="674"/>
      <c r="I200" s="674"/>
      <c r="J200" s="674"/>
      <c r="K200" s="922"/>
      <c r="L200" s="27"/>
      <c r="M200" s="1000"/>
      <c r="N200" s="1000"/>
      <c r="O200" s="1000"/>
      <c r="P200" s="1000"/>
      <c r="Q200" s="28"/>
      <c r="R200" s="33"/>
      <c r="S200" s="31"/>
      <c r="T200" s="42"/>
      <c r="U200" s="31"/>
      <c r="V200" s="16"/>
      <c r="W200" s="31"/>
      <c r="X200" s="31"/>
      <c r="Y200" s="32"/>
      <c r="Z200" s="33"/>
      <c r="AA200" s="89"/>
      <c r="AB200" s="89"/>
      <c r="AC200" s="89"/>
      <c r="AD200" s="70"/>
      <c r="AE200" s="31"/>
      <c r="AF200" s="31"/>
      <c r="AG200" s="32"/>
      <c r="AH200" s="33"/>
      <c r="AI200" s="89"/>
      <c r="AJ200" s="89"/>
      <c r="AK200" s="89"/>
      <c r="AL200" s="70"/>
      <c r="AM200" s="31"/>
      <c r="AN200" s="31"/>
      <c r="AO200" s="32"/>
      <c r="AP200" s="33"/>
      <c r="AQ200" s="89"/>
      <c r="AR200" s="89"/>
      <c r="AS200" s="89"/>
      <c r="AT200" s="70"/>
      <c r="AU200" s="31"/>
      <c r="AV200" s="31"/>
      <c r="AW200" s="32"/>
      <c r="AX200" s="33"/>
      <c r="AY200" s="89"/>
      <c r="AZ200" s="89"/>
      <c r="BA200" s="89"/>
      <c r="BB200" s="70"/>
      <c r="BC200" s="31"/>
      <c r="BD200" s="31"/>
      <c r="BE200" s="32"/>
      <c r="BF200" s="834"/>
      <c r="BG200" s="89"/>
      <c r="BH200" s="89"/>
      <c r="BI200" s="89"/>
      <c r="BJ200" s="70"/>
      <c r="BK200" s="31"/>
      <c r="BL200" s="31"/>
      <c r="BM200" s="32"/>
      <c r="BN200" s="33"/>
      <c r="BO200" s="89"/>
      <c r="BP200" s="89"/>
      <c r="BQ200" s="89"/>
      <c r="BR200" s="70"/>
      <c r="BS200" s="31"/>
      <c r="BT200" s="31"/>
      <c r="BU200" s="32"/>
      <c r="BV200" s="33"/>
      <c r="BW200" s="89"/>
      <c r="BX200" s="89"/>
      <c r="BY200" s="89"/>
      <c r="BZ200" s="70"/>
      <c r="CA200" s="31"/>
      <c r="CB200" s="31"/>
      <c r="CC200" s="32"/>
      <c r="CD200" s="33"/>
      <c r="CE200" s="89"/>
      <c r="CF200" s="89"/>
      <c r="CG200" s="89"/>
      <c r="CH200" s="70"/>
      <c r="CI200" s="31"/>
      <c r="CJ200" s="31"/>
      <c r="CK200" s="32"/>
      <c r="CL200" s="33"/>
      <c r="CM200" s="89"/>
      <c r="CN200" s="89"/>
      <c r="CO200" s="89"/>
      <c r="CP200" s="70"/>
      <c r="CQ200" s="70"/>
    </row>
    <row r="201" spans="3:95" s="21" customFormat="1" ht="15" hidden="1" customHeight="1" thickBot="1" x14ac:dyDescent="0.25">
      <c r="C201" s="25"/>
      <c r="D201" s="25"/>
      <c r="E201" s="25"/>
      <c r="F201" s="70"/>
      <c r="G201" s="70"/>
      <c r="H201" s="674"/>
      <c r="I201" s="674"/>
      <c r="J201" s="674"/>
      <c r="K201" s="922"/>
      <c r="L201" s="27"/>
      <c r="M201" s="1000" t="s">
        <v>128</v>
      </c>
      <c r="N201" s="1000"/>
      <c r="O201" s="1000"/>
      <c r="P201" s="1000"/>
      <c r="Q201" s="28"/>
      <c r="R201" s="33" t="s">
        <v>46</v>
      </c>
      <c r="S201" s="31"/>
      <c r="T201" s="42"/>
      <c r="U201" s="31"/>
      <c r="V201" s="16"/>
      <c r="W201" s="31"/>
      <c r="X201" s="31"/>
      <c r="Y201" s="46"/>
      <c r="Z201" s="33"/>
      <c r="AA201" s="30" t="str">
        <f>IF(Y201="","!","✓")</f>
        <v>!</v>
      </c>
      <c r="AB201" s="89"/>
      <c r="AC201" s="89"/>
      <c r="AD201" s="70"/>
      <c r="AE201" s="31"/>
      <c r="AF201" s="31"/>
      <c r="AG201" s="46"/>
      <c r="AH201" s="33"/>
      <c r="AI201" s="30" t="str">
        <f>IF(AG201="","!","✓")</f>
        <v>!</v>
      </c>
      <c r="AJ201" s="89"/>
      <c r="AK201" s="89"/>
      <c r="AL201" s="70"/>
      <c r="AM201" s="31"/>
      <c r="AN201" s="31"/>
      <c r="AO201" s="46"/>
      <c r="AP201" s="33"/>
      <c r="AQ201" s="30" t="str">
        <f>IF(AO201="","!","✓")</f>
        <v>!</v>
      </c>
      <c r="AR201" s="89"/>
      <c r="AS201" s="89"/>
      <c r="AT201" s="70"/>
      <c r="AU201" s="31"/>
      <c r="AV201" s="31"/>
      <c r="AW201" s="46"/>
      <c r="AX201" s="33"/>
      <c r="AY201" s="30" t="str">
        <f>IF(AW201="","!","✓")</f>
        <v>!</v>
      </c>
      <c r="AZ201" s="89"/>
      <c r="BA201" s="89"/>
      <c r="BB201" s="70"/>
      <c r="BC201" s="31"/>
      <c r="BD201" s="31"/>
      <c r="BE201" s="46"/>
      <c r="BF201" s="834"/>
      <c r="BG201" s="30" t="str">
        <f>IF(BE201="","!","✓")</f>
        <v>!</v>
      </c>
      <c r="BH201" s="89"/>
      <c r="BI201" s="89"/>
      <c r="BJ201" s="70"/>
      <c r="BK201" s="31"/>
      <c r="BL201" s="31"/>
      <c r="BM201" s="46"/>
      <c r="BN201" s="33"/>
      <c r="BO201" s="30" t="str">
        <f>IF(BM201="","!","✓")</f>
        <v>!</v>
      </c>
      <c r="BP201" s="89"/>
      <c r="BQ201" s="89"/>
      <c r="BR201" s="70"/>
      <c r="BS201" s="31"/>
      <c r="BT201" s="31"/>
      <c r="BU201" s="46"/>
      <c r="BV201" s="33"/>
      <c r="BW201" s="30" t="str">
        <f>IF(BU201="","!","✓")</f>
        <v>!</v>
      </c>
      <c r="BX201" s="89"/>
      <c r="BY201" s="89"/>
      <c r="BZ201" s="70"/>
      <c r="CA201" s="31"/>
      <c r="CB201" s="31"/>
      <c r="CC201" s="46"/>
      <c r="CD201" s="33"/>
      <c r="CE201" s="30" t="str">
        <f>IF(CC201="","!","✓")</f>
        <v>!</v>
      </c>
      <c r="CF201" s="89"/>
      <c r="CG201" s="89"/>
      <c r="CH201" s="70"/>
      <c r="CI201" s="31"/>
      <c r="CJ201" s="31"/>
      <c r="CK201" s="46"/>
      <c r="CL201" s="33"/>
      <c r="CM201" s="30" t="str">
        <f>IF(CK201="","!","✓")</f>
        <v>!</v>
      </c>
      <c r="CN201" s="89"/>
      <c r="CO201" s="89"/>
      <c r="CP201" s="70"/>
      <c r="CQ201" s="70"/>
    </row>
    <row r="202" spans="3:95" s="21" customFormat="1" ht="15" hidden="1" customHeight="1" thickBot="1" x14ac:dyDescent="0.25">
      <c r="C202" s="25"/>
      <c r="D202" s="25"/>
      <c r="E202" s="25"/>
      <c r="F202" s="70"/>
      <c r="G202" s="70"/>
      <c r="H202" s="674"/>
      <c r="I202" s="674"/>
      <c r="J202" s="674"/>
      <c r="K202" s="922"/>
      <c r="L202" s="27"/>
      <c r="M202" s="1000"/>
      <c r="N202" s="1000"/>
      <c r="O202" s="1000"/>
      <c r="P202" s="1000"/>
      <c r="Q202" s="28"/>
      <c r="R202" s="33"/>
      <c r="S202" s="31"/>
      <c r="T202" s="42"/>
      <c r="U202" s="31"/>
      <c r="V202" s="16"/>
      <c r="W202" s="31"/>
      <c r="X202" s="31"/>
      <c r="Y202" s="32"/>
      <c r="Z202" s="33"/>
      <c r="AA202" s="89"/>
      <c r="AB202" s="89"/>
      <c r="AC202" s="89"/>
      <c r="AD202" s="70"/>
      <c r="AE202" s="31"/>
      <c r="AF202" s="31"/>
      <c r="AG202" s="32"/>
      <c r="AH202" s="33"/>
      <c r="AI202" s="89"/>
      <c r="AJ202" s="89"/>
      <c r="AK202" s="89"/>
      <c r="AL202" s="70"/>
      <c r="AM202" s="31"/>
      <c r="AN202" s="31"/>
      <c r="AO202" s="32"/>
      <c r="AP202" s="33"/>
      <c r="AQ202" s="89"/>
      <c r="AR202" s="89"/>
      <c r="AS202" s="89"/>
      <c r="AT202" s="70"/>
      <c r="AU202" s="31"/>
      <c r="AV202" s="31"/>
      <c r="AW202" s="32"/>
      <c r="AX202" s="33"/>
      <c r="AY202" s="89"/>
      <c r="AZ202" s="89"/>
      <c r="BA202" s="89"/>
      <c r="BB202" s="70"/>
      <c r="BC202" s="31"/>
      <c r="BD202" s="31"/>
      <c r="BE202" s="32"/>
      <c r="BF202" s="834"/>
      <c r="BG202" s="89"/>
      <c r="BH202" s="89"/>
      <c r="BI202" s="89"/>
      <c r="BJ202" s="70"/>
      <c r="BK202" s="31"/>
      <c r="BL202" s="31"/>
      <c r="BM202" s="32"/>
      <c r="BN202" s="33"/>
      <c r="BO202" s="89"/>
      <c r="BP202" s="89"/>
      <c r="BQ202" s="89"/>
      <c r="BR202" s="70"/>
      <c r="BS202" s="31"/>
      <c r="BT202" s="31"/>
      <c r="BU202" s="32"/>
      <c r="BV202" s="33"/>
      <c r="BW202" s="89"/>
      <c r="BX202" s="89"/>
      <c r="BY202" s="89"/>
      <c r="BZ202" s="70"/>
      <c r="CA202" s="31"/>
      <c r="CB202" s="31"/>
      <c r="CC202" s="32"/>
      <c r="CD202" s="33"/>
      <c r="CE202" s="89"/>
      <c r="CF202" s="89"/>
      <c r="CG202" s="89"/>
      <c r="CH202" s="70"/>
      <c r="CI202" s="31"/>
      <c r="CJ202" s="31"/>
      <c r="CK202" s="32"/>
      <c r="CL202" s="33"/>
      <c r="CM202" s="89"/>
      <c r="CN202" s="89"/>
      <c r="CO202" s="89"/>
      <c r="CP202" s="70"/>
      <c r="CQ202" s="70"/>
    </row>
    <row r="203" spans="3:95" s="21" customFormat="1" ht="15" hidden="1" customHeight="1" thickBot="1" x14ac:dyDescent="0.25">
      <c r="C203" s="25"/>
      <c r="D203" s="25"/>
      <c r="E203" s="25"/>
      <c r="F203" s="70"/>
      <c r="G203" s="70"/>
      <c r="H203" s="674"/>
      <c r="I203" s="674"/>
      <c r="J203" s="674"/>
      <c r="K203" s="922"/>
      <c r="L203" s="27"/>
      <c r="M203" s="1000" t="s">
        <v>128</v>
      </c>
      <c r="N203" s="1000"/>
      <c r="O203" s="1000"/>
      <c r="P203" s="1000"/>
      <c r="Q203" s="28"/>
      <c r="R203" s="33" t="s">
        <v>46</v>
      </c>
      <c r="S203" s="31"/>
      <c r="T203" s="42"/>
      <c r="U203" s="31"/>
      <c r="V203" s="16"/>
      <c r="W203" s="31"/>
      <c r="X203" s="31"/>
      <c r="Y203" s="46"/>
      <c r="Z203" s="33"/>
      <c r="AA203" s="30" t="str">
        <f>IF(Y203="","!","✓")</f>
        <v>!</v>
      </c>
      <c r="AB203" s="89"/>
      <c r="AC203" s="89"/>
      <c r="AD203" s="70"/>
      <c r="AE203" s="31"/>
      <c r="AF203" s="31"/>
      <c r="AG203" s="46"/>
      <c r="AH203" s="33"/>
      <c r="AI203" s="30" t="str">
        <f>IF(AG203="","!","✓")</f>
        <v>!</v>
      </c>
      <c r="AJ203" s="89"/>
      <c r="AK203" s="89"/>
      <c r="AL203" s="70"/>
      <c r="AM203" s="31"/>
      <c r="AN203" s="31"/>
      <c r="AO203" s="46"/>
      <c r="AP203" s="33"/>
      <c r="AQ203" s="30" t="str">
        <f>IF(AO203="","!","✓")</f>
        <v>!</v>
      </c>
      <c r="AR203" s="89"/>
      <c r="AS203" s="89"/>
      <c r="AT203" s="70"/>
      <c r="AU203" s="31"/>
      <c r="AV203" s="31"/>
      <c r="AW203" s="46"/>
      <c r="AX203" s="33"/>
      <c r="AY203" s="30" t="str">
        <f>IF(AW203="","!","✓")</f>
        <v>!</v>
      </c>
      <c r="AZ203" s="89"/>
      <c r="BA203" s="89"/>
      <c r="BB203" s="70"/>
      <c r="BC203" s="31"/>
      <c r="BD203" s="31"/>
      <c r="BE203" s="46"/>
      <c r="BF203" s="834"/>
      <c r="BG203" s="30" t="str">
        <f>IF(BE203="","!","✓")</f>
        <v>!</v>
      </c>
      <c r="BH203" s="89"/>
      <c r="BI203" s="89"/>
      <c r="BJ203" s="70"/>
      <c r="BK203" s="31"/>
      <c r="BL203" s="31"/>
      <c r="BM203" s="46"/>
      <c r="BN203" s="33"/>
      <c r="BO203" s="30" t="str">
        <f>IF(BM203="","!","✓")</f>
        <v>!</v>
      </c>
      <c r="BP203" s="89"/>
      <c r="BQ203" s="89"/>
      <c r="BR203" s="70"/>
      <c r="BS203" s="31"/>
      <c r="BT203" s="31"/>
      <c r="BU203" s="46"/>
      <c r="BV203" s="33"/>
      <c r="BW203" s="30" t="str">
        <f>IF(BU203="","!","✓")</f>
        <v>!</v>
      </c>
      <c r="BX203" s="89"/>
      <c r="BY203" s="89"/>
      <c r="BZ203" s="70"/>
      <c r="CA203" s="31"/>
      <c r="CB203" s="31"/>
      <c r="CC203" s="46"/>
      <c r="CD203" s="33"/>
      <c r="CE203" s="30" t="str">
        <f>IF(CC203="","!","✓")</f>
        <v>!</v>
      </c>
      <c r="CF203" s="89"/>
      <c r="CG203" s="89"/>
      <c r="CH203" s="70"/>
      <c r="CI203" s="31"/>
      <c r="CJ203" s="31"/>
      <c r="CK203" s="46"/>
      <c r="CL203" s="33"/>
      <c r="CM203" s="30" t="str">
        <f>IF(CK203="","!","✓")</f>
        <v>!</v>
      </c>
      <c r="CN203" s="89"/>
      <c r="CO203" s="89"/>
      <c r="CP203" s="70"/>
      <c r="CQ203" s="70"/>
    </row>
    <row r="204" spans="3:95" s="21" customFormat="1" ht="15" hidden="1" customHeight="1" x14ac:dyDescent="0.2">
      <c r="C204" s="25"/>
      <c r="D204" s="25"/>
      <c r="E204" s="25"/>
      <c r="F204" s="70"/>
      <c r="G204" s="70"/>
      <c r="H204" s="675"/>
      <c r="I204" s="675"/>
      <c r="J204" s="675"/>
      <c r="K204" s="922"/>
      <c r="L204" s="27"/>
      <c r="M204" s="1000"/>
      <c r="N204" s="1000"/>
      <c r="O204" s="1000"/>
      <c r="P204" s="1000"/>
      <c r="Q204" s="28"/>
      <c r="R204" s="33"/>
      <c r="S204" s="31"/>
      <c r="T204" s="42"/>
      <c r="U204" s="31"/>
      <c r="V204" s="16"/>
      <c r="W204" s="31"/>
      <c r="X204" s="31"/>
      <c r="Y204" s="32"/>
      <c r="Z204" s="33"/>
      <c r="AA204" s="89"/>
      <c r="AB204" s="89"/>
      <c r="AC204" s="89"/>
      <c r="AD204" s="70"/>
      <c r="AE204" s="31"/>
      <c r="AF204" s="31"/>
      <c r="AG204" s="32"/>
      <c r="AH204" s="33"/>
      <c r="AI204" s="89"/>
      <c r="AJ204" s="89"/>
      <c r="AK204" s="89"/>
      <c r="AL204" s="70"/>
      <c r="AM204" s="31"/>
      <c r="AN204" s="31"/>
      <c r="AO204" s="32"/>
      <c r="AP204" s="33"/>
      <c r="AQ204" s="89"/>
      <c r="AR204" s="89"/>
      <c r="AS204" s="89"/>
      <c r="AT204" s="70"/>
      <c r="AU204" s="31"/>
      <c r="AV204" s="31"/>
      <c r="AW204" s="32"/>
      <c r="AX204" s="33"/>
      <c r="AY204" s="89"/>
      <c r="AZ204" s="89"/>
      <c r="BA204" s="89"/>
      <c r="BB204" s="70"/>
      <c r="BC204" s="31"/>
      <c r="BD204" s="31"/>
      <c r="BE204" s="32"/>
      <c r="BF204" s="834"/>
      <c r="BG204" s="89"/>
      <c r="BH204" s="89"/>
      <c r="BI204" s="89"/>
      <c r="BJ204" s="70"/>
      <c r="BK204" s="31"/>
      <c r="BL204" s="31"/>
      <c r="BM204" s="32"/>
      <c r="BN204" s="33"/>
      <c r="BO204" s="89"/>
      <c r="BP204" s="89"/>
      <c r="BQ204" s="89"/>
      <c r="BR204" s="70"/>
      <c r="BS204" s="31"/>
      <c r="BT204" s="31"/>
      <c r="BU204" s="32"/>
      <c r="BV204" s="33"/>
      <c r="BW204" s="89"/>
      <c r="BX204" s="89"/>
      <c r="BY204" s="89"/>
      <c r="BZ204" s="70"/>
      <c r="CA204" s="31"/>
      <c r="CB204" s="31"/>
      <c r="CC204" s="32"/>
      <c r="CD204" s="33"/>
      <c r="CE204" s="89"/>
      <c r="CF204" s="89"/>
      <c r="CG204" s="89"/>
      <c r="CH204" s="70"/>
      <c r="CI204" s="31"/>
      <c r="CJ204" s="31"/>
      <c r="CK204" s="32"/>
      <c r="CL204" s="33"/>
      <c r="CM204" s="89"/>
      <c r="CN204" s="89"/>
      <c r="CO204" s="89"/>
      <c r="CP204" s="70"/>
      <c r="CQ204" s="70"/>
    </row>
    <row r="205" spans="3:95" s="21" customFormat="1" ht="5.0999999999999996" customHeight="1" x14ac:dyDescent="0.2">
      <c r="C205" s="25"/>
      <c r="D205" s="25"/>
      <c r="E205" s="25"/>
      <c r="F205" s="70"/>
      <c r="G205" s="70"/>
      <c r="H205" s="672"/>
      <c r="I205" s="672"/>
      <c r="J205" s="672"/>
      <c r="K205" s="25"/>
      <c r="L205" s="14"/>
      <c r="M205" s="974"/>
      <c r="N205" s="974"/>
      <c r="O205" s="974"/>
      <c r="P205" s="974"/>
      <c r="Q205" s="13"/>
      <c r="R205" s="17"/>
      <c r="S205" s="35"/>
      <c r="T205" s="20"/>
      <c r="U205" s="35"/>
      <c r="V205" s="16"/>
      <c r="W205" s="35"/>
      <c r="X205" s="35"/>
      <c r="Y205" s="36"/>
      <c r="Z205" s="17"/>
      <c r="AA205" s="70"/>
      <c r="AB205" s="70"/>
      <c r="AC205" s="70"/>
      <c r="AD205" s="70"/>
      <c r="AE205" s="35"/>
      <c r="AF205" s="35"/>
      <c r="AG205" s="36"/>
      <c r="AH205" s="17"/>
      <c r="AI205" s="70"/>
      <c r="AJ205" s="70"/>
      <c r="AK205" s="70"/>
      <c r="AL205" s="70"/>
      <c r="AM205" s="35"/>
      <c r="AN205" s="35"/>
      <c r="AO205" s="36"/>
      <c r="AP205" s="17"/>
      <c r="AQ205" s="70"/>
      <c r="AR205" s="70"/>
      <c r="AS205" s="70"/>
      <c r="AT205" s="70"/>
      <c r="AU205" s="35"/>
      <c r="AV205" s="35"/>
      <c r="AW205" s="36"/>
      <c r="AX205" s="17"/>
      <c r="AY205" s="70"/>
      <c r="AZ205" s="70"/>
      <c r="BA205" s="70"/>
      <c r="BB205" s="70"/>
      <c r="BC205" s="35"/>
      <c r="BD205" s="35"/>
      <c r="BE205" s="36"/>
      <c r="BF205" s="16"/>
      <c r="BG205" s="70"/>
      <c r="BH205" s="70"/>
      <c r="BI205" s="70"/>
      <c r="BJ205" s="70"/>
      <c r="BK205" s="35"/>
      <c r="BL205" s="35"/>
      <c r="BM205" s="36"/>
      <c r="BN205" s="17"/>
      <c r="BO205" s="70"/>
      <c r="BP205" s="70"/>
      <c r="BQ205" s="70"/>
      <c r="BR205" s="70"/>
      <c r="BS205" s="35"/>
      <c r="BT205" s="35"/>
      <c r="BU205" s="36"/>
      <c r="BV205" s="17"/>
      <c r="BW205" s="70"/>
      <c r="BX205" s="70"/>
      <c r="BY205" s="70"/>
      <c r="BZ205" s="70"/>
      <c r="CA205" s="35"/>
      <c r="CB205" s="35"/>
      <c r="CC205" s="36"/>
      <c r="CD205" s="17"/>
      <c r="CE205" s="70"/>
      <c r="CF205" s="70"/>
      <c r="CG205" s="70"/>
      <c r="CH205" s="70"/>
      <c r="CI205" s="35"/>
      <c r="CJ205" s="35"/>
      <c r="CK205" s="36"/>
      <c r="CL205" s="17"/>
      <c r="CM205" s="70"/>
      <c r="CN205" s="70"/>
      <c r="CO205" s="70"/>
      <c r="CP205" s="70"/>
      <c r="CQ205" s="70"/>
    </row>
    <row r="206" spans="3:95" s="21" customFormat="1" ht="12" customHeight="1" x14ac:dyDescent="0.2">
      <c r="C206" s="25"/>
      <c r="D206" s="25"/>
      <c r="E206" s="25"/>
      <c r="F206" s="70"/>
      <c r="G206" s="70"/>
      <c r="H206" s="920"/>
      <c r="I206" s="920"/>
      <c r="J206" s="920"/>
      <c r="K206" s="25"/>
      <c r="L206" s="918"/>
      <c r="M206" s="1016"/>
      <c r="N206" s="1016"/>
      <c r="O206" s="1016"/>
      <c r="P206" s="1016"/>
      <c r="Q206" s="920"/>
      <c r="R206" s="919"/>
      <c r="S206" s="921"/>
      <c r="T206" s="25"/>
      <c r="U206" s="921"/>
      <c r="V206" s="16"/>
      <c r="W206" s="921"/>
      <c r="X206" s="921"/>
      <c r="Y206" s="923"/>
      <c r="Z206" s="919"/>
      <c r="AA206" s="924"/>
      <c r="AB206" s="920"/>
      <c r="AC206" s="920"/>
      <c r="AD206" s="70"/>
      <c r="AE206" s="921"/>
      <c r="AF206" s="921"/>
      <c r="AG206" s="923"/>
      <c r="AH206" s="919"/>
      <c r="AI206" s="924"/>
      <c r="AJ206" s="920"/>
      <c r="AK206" s="920"/>
      <c r="AL206" s="70"/>
      <c r="AM206" s="921"/>
      <c r="AN206" s="921"/>
      <c r="AO206" s="923"/>
      <c r="AP206" s="919"/>
      <c r="AQ206" s="924"/>
      <c r="AR206" s="920"/>
      <c r="AS206" s="920"/>
      <c r="AT206" s="70"/>
      <c r="AU206" s="921"/>
      <c r="AV206" s="921"/>
      <c r="AW206" s="923"/>
      <c r="AX206" s="919"/>
      <c r="AY206" s="924"/>
      <c r="AZ206" s="920"/>
      <c r="BA206" s="920"/>
      <c r="BB206" s="70"/>
      <c r="BC206" s="921"/>
      <c r="BD206" s="921"/>
      <c r="BE206" s="923"/>
      <c r="BF206" s="919"/>
      <c r="BG206" s="924"/>
      <c r="BH206" s="920"/>
      <c r="BI206" s="920"/>
      <c r="BJ206" s="70"/>
      <c r="BK206" s="921"/>
      <c r="BL206" s="921"/>
      <c r="BM206" s="923"/>
      <c r="BN206" s="919"/>
      <c r="BO206" s="924"/>
      <c r="BP206" s="920"/>
      <c r="BQ206" s="920"/>
      <c r="BR206" s="70"/>
      <c r="BS206" s="921"/>
      <c r="BT206" s="921"/>
      <c r="BU206" s="923"/>
      <c r="BV206" s="919"/>
      <c r="BW206" s="924"/>
      <c r="BX206" s="920"/>
      <c r="BY206" s="920"/>
      <c r="BZ206" s="70"/>
      <c r="CA206" s="921"/>
      <c r="CB206" s="921"/>
      <c r="CC206" s="923"/>
      <c r="CD206" s="919"/>
      <c r="CE206" s="924"/>
      <c r="CF206" s="920"/>
      <c r="CG206" s="920"/>
      <c r="CH206" s="70"/>
      <c r="CI206" s="921"/>
      <c r="CJ206" s="921"/>
      <c r="CK206" s="923"/>
      <c r="CL206" s="919"/>
      <c r="CM206" s="924"/>
      <c r="CN206" s="920"/>
      <c r="CO206" s="920"/>
      <c r="CP206" s="70"/>
      <c r="CQ206" s="920"/>
    </row>
    <row r="207" spans="3:95" s="21" customFormat="1" ht="3.75" customHeight="1" x14ac:dyDescent="0.2">
      <c r="C207" s="25"/>
      <c r="D207" s="25"/>
      <c r="E207" s="25"/>
      <c r="F207" s="70"/>
      <c r="G207" s="70"/>
      <c r="H207" s="672"/>
      <c r="I207" s="672"/>
      <c r="J207" s="672"/>
      <c r="K207" s="20"/>
      <c r="L207" s="14"/>
      <c r="M207" s="974"/>
      <c r="N207" s="974"/>
      <c r="O207" s="974"/>
      <c r="P207" s="974"/>
      <c r="Q207" s="13"/>
      <c r="R207" s="17"/>
      <c r="S207" s="35"/>
      <c r="T207" s="20"/>
      <c r="U207" s="35"/>
      <c r="V207" s="16"/>
      <c r="W207" s="35"/>
      <c r="X207" s="35"/>
      <c r="Y207" s="36"/>
      <c r="Z207" s="17"/>
      <c r="AA207" s="70"/>
      <c r="AB207" s="70"/>
      <c r="AC207" s="70"/>
      <c r="AD207" s="70"/>
      <c r="AE207" s="35"/>
      <c r="AF207" s="35"/>
      <c r="AG207" s="36"/>
      <c r="AH207" s="17"/>
      <c r="AI207" s="70"/>
      <c r="AJ207" s="70"/>
      <c r="AK207" s="70"/>
      <c r="AL207" s="70"/>
      <c r="AM207" s="35"/>
      <c r="AN207" s="35"/>
      <c r="AO207" s="36"/>
      <c r="AP207" s="17"/>
      <c r="AQ207" s="70"/>
      <c r="AR207" s="70"/>
      <c r="AS207" s="70"/>
      <c r="AT207" s="70"/>
      <c r="AU207" s="35"/>
      <c r="AV207" s="35"/>
      <c r="AW207" s="36"/>
      <c r="AX207" s="17"/>
      <c r="AY207" s="70"/>
      <c r="AZ207" s="70"/>
      <c r="BA207" s="70"/>
      <c r="BB207" s="70"/>
      <c r="BC207" s="35"/>
      <c r="BD207" s="35"/>
      <c r="BE207" s="36"/>
      <c r="BF207" s="17"/>
      <c r="BG207" s="70"/>
      <c r="BH207" s="70"/>
      <c r="BI207" s="70"/>
      <c r="BJ207" s="70"/>
      <c r="BK207" s="35"/>
      <c r="BL207" s="35"/>
      <c r="BM207" s="36"/>
      <c r="BN207" s="17"/>
      <c r="BO207" s="70"/>
      <c r="BP207" s="70"/>
      <c r="BQ207" s="70"/>
      <c r="BR207" s="70"/>
      <c r="BS207" s="35"/>
      <c r="BT207" s="35"/>
      <c r="BU207" s="36"/>
      <c r="BV207" s="17"/>
      <c r="BW207" s="70"/>
      <c r="BX207" s="70"/>
      <c r="BY207" s="70"/>
      <c r="BZ207" s="70"/>
      <c r="CA207" s="35"/>
      <c r="CB207" s="35"/>
      <c r="CC207" s="36"/>
      <c r="CD207" s="17"/>
      <c r="CE207" s="70"/>
      <c r="CF207" s="70"/>
      <c r="CG207" s="70"/>
      <c r="CH207" s="70"/>
      <c r="CI207" s="35"/>
      <c r="CJ207" s="35"/>
      <c r="CK207" s="36"/>
      <c r="CL207" s="17"/>
      <c r="CM207" s="70"/>
      <c r="CN207" s="70"/>
      <c r="CO207" s="70"/>
      <c r="CP207" s="70"/>
      <c r="CQ207" s="70"/>
    </row>
    <row r="208" spans="3:95" s="21" customFormat="1" ht="5.0999999999999996" customHeight="1" x14ac:dyDescent="0.2">
      <c r="C208" s="25"/>
      <c r="D208" s="25"/>
      <c r="E208" s="25"/>
      <c r="F208" s="70"/>
      <c r="G208" s="70"/>
      <c r="H208" s="920"/>
      <c r="I208" s="920"/>
      <c r="J208" s="920"/>
      <c r="K208" s="25"/>
      <c r="L208" s="918"/>
      <c r="M208" s="1016"/>
      <c r="N208" s="1016"/>
      <c r="O208" s="1016"/>
      <c r="P208" s="1016"/>
      <c r="Q208" s="920"/>
      <c r="R208" s="919"/>
      <c r="S208" s="921"/>
      <c r="T208" s="25"/>
      <c r="U208" s="921"/>
      <c r="V208" s="16"/>
      <c r="W208" s="921"/>
      <c r="X208" s="921"/>
      <c r="Y208" s="923"/>
      <c r="Z208" s="919"/>
      <c r="AA208" s="924"/>
      <c r="AB208" s="920"/>
      <c r="AC208" s="920"/>
      <c r="AD208" s="70"/>
      <c r="AE208" s="921"/>
      <c r="AF208" s="921"/>
      <c r="AG208" s="923"/>
      <c r="AH208" s="919"/>
      <c r="AI208" s="924"/>
      <c r="AJ208" s="920"/>
      <c r="AK208" s="920"/>
      <c r="AL208" s="70"/>
      <c r="AM208" s="921"/>
      <c r="AN208" s="921"/>
      <c r="AO208" s="923"/>
      <c r="AP208" s="919"/>
      <c r="AQ208" s="924"/>
      <c r="AR208" s="920"/>
      <c r="AS208" s="920"/>
      <c r="AT208" s="70"/>
      <c r="AU208" s="921"/>
      <c r="AV208" s="921"/>
      <c r="AW208" s="923"/>
      <c r="AX208" s="919"/>
      <c r="AY208" s="924"/>
      <c r="AZ208" s="920"/>
      <c r="BA208" s="920"/>
      <c r="BB208" s="70"/>
      <c r="BC208" s="921"/>
      <c r="BD208" s="921"/>
      <c r="BE208" s="923"/>
      <c r="BF208" s="919"/>
      <c r="BG208" s="924"/>
      <c r="BH208" s="920"/>
      <c r="BI208" s="920"/>
      <c r="BJ208" s="70"/>
      <c r="BK208" s="921"/>
      <c r="BL208" s="921"/>
      <c r="BM208" s="923"/>
      <c r="BN208" s="919"/>
      <c r="BO208" s="924"/>
      <c r="BP208" s="920"/>
      <c r="BQ208" s="920"/>
      <c r="BR208" s="70"/>
      <c r="BS208" s="921"/>
      <c r="BT208" s="921"/>
      <c r="BU208" s="923"/>
      <c r="BV208" s="919"/>
      <c r="BW208" s="924"/>
      <c r="BX208" s="920"/>
      <c r="BY208" s="920"/>
      <c r="BZ208" s="70"/>
      <c r="CA208" s="921"/>
      <c r="CB208" s="921"/>
      <c r="CC208" s="923"/>
      <c r="CD208" s="919"/>
      <c r="CE208" s="924"/>
      <c r="CF208" s="920"/>
      <c r="CG208" s="920"/>
      <c r="CH208" s="70"/>
      <c r="CI208" s="921"/>
      <c r="CJ208" s="921"/>
      <c r="CK208" s="923"/>
      <c r="CL208" s="919"/>
      <c r="CM208" s="924"/>
      <c r="CN208" s="920"/>
      <c r="CO208" s="920"/>
      <c r="CP208" s="70"/>
      <c r="CQ208" s="920"/>
    </row>
    <row r="209" spans="3:96" s="21" customFormat="1" ht="30" customHeight="1" thickBot="1" x14ac:dyDescent="0.25">
      <c r="C209" s="25"/>
      <c r="D209" s="25"/>
      <c r="E209" s="25"/>
      <c r="F209" s="70"/>
      <c r="G209" s="70"/>
      <c r="H209" s="672"/>
      <c r="I209" s="672"/>
      <c r="J209" s="672"/>
      <c r="K209" s="20"/>
      <c r="L209" s="14"/>
      <c r="M209" s="974"/>
      <c r="N209" s="974"/>
      <c r="O209" s="974"/>
      <c r="P209" s="974"/>
      <c r="Q209" s="13"/>
      <c r="R209" s="17"/>
      <c r="S209" s="35"/>
      <c r="T209" s="20"/>
      <c r="U209" s="35"/>
      <c r="V209" s="17"/>
      <c r="W209" s="35"/>
      <c r="X209" s="35"/>
      <c r="Y209" s="432"/>
      <c r="Z209" s="17"/>
      <c r="AA209" s="70"/>
      <c r="AB209" s="70"/>
      <c r="AC209" s="70"/>
      <c r="AD209" s="70"/>
      <c r="AE209" s="35"/>
      <c r="AF209" s="35"/>
      <c r="AG209" s="36"/>
      <c r="AH209" s="17"/>
      <c r="AI209" s="70"/>
      <c r="AJ209" s="70"/>
      <c r="AK209" s="70"/>
      <c r="AL209" s="70"/>
      <c r="AM209" s="35"/>
      <c r="AN209" s="35"/>
      <c r="AO209" s="36"/>
      <c r="AP209" s="17"/>
      <c r="AQ209" s="70"/>
      <c r="AR209" s="70"/>
      <c r="AS209" s="70"/>
      <c r="AT209" s="70"/>
      <c r="AU209" s="35"/>
      <c r="AV209" s="35"/>
      <c r="AW209" s="36"/>
      <c r="AX209" s="17"/>
      <c r="AY209" s="70"/>
      <c r="AZ209" s="70"/>
      <c r="BA209" s="70"/>
      <c r="BB209" s="70"/>
      <c r="BC209" s="35"/>
      <c r="BD209" s="35"/>
      <c r="BE209" s="36"/>
      <c r="BF209" s="16"/>
      <c r="BG209" s="70"/>
      <c r="BH209" s="70"/>
      <c r="BI209" s="70"/>
      <c r="BJ209" s="70"/>
      <c r="BK209" s="35"/>
      <c r="BL209" s="35"/>
      <c r="BM209" s="36"/>
      <c r="BN209" s="17"/>
      <c r="BO209" s="70"/>
      <c r="BP209" s="70"/>
      <c r="BQ209" s="70"/>
      <c r="BR209" s="70"/>
      <c r="BS209" s="35"/>
      <c r="BT209" s="35"/>
      <c r="BU209" s="36"/>
      <c r="BV209" s="17"/>
      <c r="BW209" s="70"/>
      <c r="BX209" s="70"/>
      <c r="BY209" s="70"/>
      <c r="BZ209" s="70"/>
      <c r="CA209" s="35"/>
      <c r="CB209" s="35"/>
      <c r="CC209" s="36"/>
      <c r="CD209" s="17"/>
      <c r="CE209" s="70"/>
      <c r="CF209" s="70"/>
      <c r="CG209" s="70"/>
      <c r="CH209" s="70"/>
      <c r="CI209" s="35"/>
      <c r="CJ209" s="35"/>
      <c r="CK209" s="36"/>
      <c r="CL209" s="17"/>
      <c r="CM209" s="70"/>
      <c r="CN209" s="70"/>
      <c r="CO209" s="70"/>
      <c r="CP209" s="70"/>
      <c r="CQ209" s="70"/>
    </row>
    <row r="210" spans="3:96" s="21" customFormat="1" ht="15" customHeight="1" thickBot="1" x14ac:dyDescent="0.25">
      <c r="C210" s="20"/>
      <c r="D210" s="20"/>
      <c r="E210" s="20"/>
      <c r="F210" s="70"/>
      <c r="G210" s="70"/>
      <c r="H210" s="1654"/>
      <c r="I210" s="1655"/>
      <c r="J210" s="1706"/>
      <c r="K210" s="13"/>
      <c r="L210" s="878"/>
      <c r="M210" s="993"/>
      <c r="N210" s="993"/>
      <c r="O210" s="993"/>
      <c r="P210" s="993"/>
      <c r="Q210" s="6136"/>
      <c r="R210" s="2053"/>
      <c r="S210" s="3922"/>
      <c r="T210" s="13"/>
      <c r="U210" s="532"/>
      <c r="V210" s="16"/>
      <c r="W210" s="1654"/>
      <c r="X210" s="1655"/>
      <c r="Y210" s="1655"/>
      <c r="Z210" s="1655"/>
      <c r="AA210" s="1655"/>
      <c r="AB210" s="899"/>
      <c r="AC210" s="900"/>
      <c r="AD210" s="70"/>
      <c r="AE210" s="1654"/>
      <c r="AF210" s="1655"/>
      <c r="AG210" s="1655"/>
      <c r="AH210" s="1655"/>
      <c r="AI210" s="1655"/>
      <c r="AJ210" s="899"/>
      <c r="AK210" s="900"/>
      <c r="AL210" s="70"/>
      <c r="AM210" s="1654"/>
      <c r="AN210" s="1655"/>
      <c r="AO210" s="1655"/>
      <c r="AP210" s="1655"/>
      <c r="AQ210" s="1655"/>
      <c r="AR210" s="899"/>
      <c r="AS210" s="900"/>
      <c r="AT210" s="70"/>
      <c r="AU210" s="1654"/>
      <c r="AV210" s="1655"/>
      <c r="AW210" s="1655"/>
      <c r="AX210" s="1655"/>
      <c r="AY210" s="1655"/>
      <c r="AZ210" s="899"/>
      <c r="BA210" s="900"/>
      <c r="BB210" s="70"/>
      <c r="BC210" s="1654"/>
      <c r="BD210" s="1655"/>
      <c r="BE210" s="1655"/>
      <c r="BF210" s="1655"/>
      <c r="BG210" s="1655"/>
      <c r="BH210" s="899"/>
      <c r="BI210" s="900"/>
      <c r="BJ210" s="70"/>
      <c r="BK210" s="1654"/>
      <c r="BL210" s="1655"/>
      <c r="BM210" s="1655"/>
      <c r="BN210" s="1655"/>
      <c r="BO210" s="1655"/>
      <c r="BP210" s="899"/>
      <c r="BQ210" s="900"/>
      <c r="BR210" s="70"/>
      <c r="BS210" s="1654"/>
      <c r="BT210" s="1655"/>
      <c r="BU210" s="1655"/>
      <c r="BV210" s="1655"/>
      <c r="BW210" s="1655"/>
      <c r="BX210" s="899"/>
      <c r="BY210" s="900"/>
      <c r="BZ210" s="70"/>
      <c r="CA210" s="1654"/>
      <c r="CB210" s="1655"/>
      <c r="CC210" s="1655"/>
      <c r="CD210" s="1655"/>
      <c r="CE210" s="1655"/>
      <c r="CF210" s="899"/>
      <c r="CG210" s="900"/>
      <c r="CH210" s="70"/>
      <c r="CI210" s="1654"/>
      <c r="CJ210" s="1655"/>
      <c r="CK210" s="1655"/>
      <c r="CL210" s="1655"/>
      <c r="CM210" s="1655"/>
      <c r="CN210" s="899"/>
      <c r="CO210" s="900"/>
      <c r="CP210" s="70"/>
      <c r="CQ210" s="91"/>
    </row>
    <row r="211" spans="3:96" s="21" customFormat="1" ht="8.1" customHeight="1" thickBot="1" x14ac:dyDescent="0.25">
      <c r="C211" s="20"/>
      <c r="D211" s="20"/>
      <c r="E211" s="20"/>
      <c r="F211" s="70"/>
      <c r="G211" s="70"/>
      <c r="H211" s="872"/>
      <c r="I211" s="872"/>
      <c r="J211" s="872"/>
      <c r="K211" s="13"/>
      <c r="L211" s="874"/>
      <c r="M211" s="994"/>
      <c r="N211" s="994"/>
      <c r="O211" s="994"/>
      <c r="P211" s="994"/>
      <c r="Q211" s="875"/>
      <c r="R211" s="2054"/>
      <c r="S211" s="876"/>
      <c r="T211" s="13"/>
      <c r="U211" s="873"/>
      <c r="V211" s="16"/>
      <c r="W211" s="876"/>
      <c r="X211" s="876"/>
      <c r="Y211" s="876"/>
      <c r="Z211" s="876"/>
      <c r="AA211" s="876"/>
      <c r="AB211" s="877"/>
      <c r="AC211" s="877"/>
      <c r="AD211" s="70"/>
      <c r="AE211" s="876"/>
      <c r="AF211" s="876"/>
      <c r="AG211" s="876"/>
      <c r="AH211" s="876"/>
      <c r="AI211" s="876"/>
      <c r="AJ211" s="877"/>
      <c r="AK211" s="877"/>
      <c r="AL211" s="70"/>
      <c r="AM211" s="876"/>
      <c r="AN211" s="876"/>
      <c r="AO211" s="876"/>
      <c r="AP211" s="876"/>
      <c r="AQ211" s="876"/>
      <c r="AR211" s="877"/>
      <c r="AS211" s="877"/>
      <c r="AT211" s="70"/>
      <c r="AU211" s="876"/>
      <c r="AV211" s="876"/>
      <c r="AW211" s="876"/>
      <c r="AX211" s="876"/>
      <c r="AY211" s="876"/>
      <c r="AZ211" s="877"/>
      <c r="BA211" s="877"/>
      <c r="BB211" s="70"/>
      <c r="BC211" s="876"/>
      <c r="BD211" s="876"/>
      <c r="BE211" s="876"/>
      <c r="BF211" s="876"/>
      <c r="BG211" s="876"/>
      <c r="BH211" s="877"/>
      <c r="BI211" s="877"/>
      <c r="BJ211" s="70"/>
      <c r="BK211" s="876"/>
      <c r="BL211" s="876"/>
      <c r="BM211" s="876"/>
      <c r="BN211" s="876"/>
      <c r="BO211" s="876"/>
      <c r="BP211" s="877"/>
      <c r="BQ211" s="877"/>
      <c r="BR211" s="70"/>
      <c r="BS211" s="876"/>
      <c r="BT211" s="876"/>
      <c r="BU211" s="876"/>
      <c r="BV211" s="876"/>
      <c r="BW211" s="876"/>
      <c r="BX211" s="877"/>
      <c r="BY211" s="877"/>
      <c r="BZ211" s="70"/>
      <c r="CA211" s="876"/>
      <c r="CB211" s="876"/>
      <c r="CC211" s="876"/>
      <c r="CD211" s="876"/>
      <c r="CE211" s="876"/>
      <c r="CF211" s="877"/>
      <c r="CG211" s="877"/>
      <c r="CH211" s="70"/>
      <c r="CI211" s="876"/>
      <c r="CJ211" s="876"/>
      <c r="CK211" s="876"/>
      <c r="CL211" s="876"/>
      <c r="CM211" s="876"/>
      <c r="CN211" s="877"/>
      <c r="CO211" s="877"/>
      <c r="CP211" s="70"/>
      <c r="CQ211" s="877"/>
    </row>
    <row r="212" spans="3:96" s="21" customFormat="1" ht="15.75" thickBot="1" x14ac:dyDescent="0.25">
      <c r="C212" s="20"/>
      <c r="D212" s="20"/>
      <c r="E212" s="20"/>
      <c r="F212" s="70"/>
      <c r="G212" s="70"/>
      <c r="H212" s="885"/>
      <c r="I212" s="886"/>
      <c r="J212" s="880"/>
      <c r="K212" s="14"/>
      <c r="L212" s="670"/>
      <c r="M212" s="886"/>
      <c r="N212" s="886"/>
      <c r="O212" s="880"/>
      <c r="P212" s="676"/>
      <c r="Q212" s="6213"/>
      <c r="R212" s="1330"/>
      <c r="S212" s="880"/>
      <c r="T212" s="14"/>
      <c r="U212" s="94"/>
      <c r="V212" s="16"/>
      <c r="W212" s="885"/>
      <c r="X212" s="886"/>
      <c r="Y212" s="889"/>
      <c r="Z212" s="890"/>
      <c r="AA212" s="639"/>
      <c r="AB212" s="890"/>
      <c r="AC212" s="891"/>
      <c r="AD212" s="1862"/>
      <c r="AE212" s="885"/>
      <c r="AF212" s="886"/>
      <c r="AG212" s="889"/>
      <c r="AH212" s="890"/>
      <c r="AI212" s="639"/>
      <c r="AJ212" s="890"/>
      <c r="AK212" s="891"/>
      <c r="AL212" s="1862"/>
      <c r="AM212" s="885"/>
      <c r="AN212" s="886"/>
      <c r="AO212" s="889"/>
      <c r="AP212" s="890"/>
      <c r="AQ212" s="639"/>
      <c r="AR212" s="890"/>
      <c r="AS212" s="891"/>
      <c r="AT212" s="1862"/>
      <c r="AU212" s="885"/>
      <c r="AV212" s="886"/>
      <c r="AW212" s="889"/>
      <c r="AX212" s="890"/>
      <c r="AY212" s="639"/>
      <c r="AZ212" s="890"/>
      <c r="BA212" s="891"/>
      <c r="BB212" s="1862"/>
      <c r="BC212" s="885"/>
      <c r="BD212" s="886"/>
      <c r="BE212" s="889"/>
      <c r="BF212" s="890"/>
      <c r="BG212" s="639"/>
      <c r="BH212" s="890"/>
      <c r="BI212" s="891"/>
      <c r="BJ212" s="1862"/>
      <c r="BK212" s="885"/>
      <c r="BL212" s="886"/>
      <c r="BM212" s="889"/>
      <c r="BN212" s="890"/>
      <c r="BO212" s="639"/>
      <c r="BP212" s="890"/>
      <c r="BQ212" s="891"/>
      <c r="BR212" s="1862"/>
      <c r="BS212" s="885"/>
      <c r="BT212" s="886"/>
      <c r="BU212" s="889"/>
      <c r="BV212" s="890"/>
      <c r="BW212" s="639"/>
      <c r="BX212" s="890"/>
      <c r="BY212" s="891"/>
      <c r="BZ212" s="1862"/>
      <c r="CA212" s="885"/>
      <c r="CB212" s="886"/>
      <c r="CC212" s="889"/>
      <c r="CD212" s="890"/>
      <c r="CE212" s="639"/>
      <c r="CF212" s="890"/>
      <c r="CG212" s="891"/>
      <c r="CH212" s="1862"/>
      <c r="CI212" s="885"/>
      <c r="CJ212" s="886"/>
      <c r="CK212" s="889"/>
      <c r="CL212" s="890"/>
      <c r="CM212" s="639"/>
      <c r="CN212" s="890"/>
      <c r="CO212" s="891"/>
      <c r="CP212" s="1862"/>
      <c r="CQ212" s="95"/>
    </row>
    <row r="213" spans="3:96" s="21" customFormat="1" ht="12" customHeight="1" thickBot="1" x14ac:dyDescent="0.3">
      <c r="C213" s="20"/>
      <c r="D213" s="20"/>
      <c r="E213" s="20"/>
      <c r="F213" s="70"/>
      <c r="G213" s="70"/>
      <c r="H213" s="6699" t="s">
        <v>659</v>
      </c>
      <c r="I213" s="6700"/>
      <c r="J213" s="6701"/>
      <c r="K213" s="96"/>
      <c r="L213" s="881"/>
      <c r="M213" s="6688" t="s">
        <v>2774</v>
      </c>
      <c r="N213" s="6688"/>
      <c r="O213" s="6689"/>
      <c r="P213" s="6212"/>
      <c r="Q213" s="6214"/>
      <c r="R213" s="6635" t="s">
        <v>46</v>
      </c>
      <c r="S213" s="1021"/>
      <c r="T213" s="96"/>
      <c r="U213" s="179"/>
      <c r="V213" s="16"/>
      <c r="W213" s="892"/>
      <c r="X213" s="893"/>
      <c r="Y213" s="6661">
        <f>INDEX(outputs_oppsum[oppsum_total_hr],MATCH(_Calcs!$NO$41,outputs_oppsum[stuff_id],0))</f>
        <v>0</v>
      </c>
      <c r="Z213" s="3933"/>
      <c r="AA213" s="6658" t="str">
        <f>IF(_Calcs!$NO$318&gt;0,"!","✓")</f>
        <v>!</v>
      </c>
      <c r="AB213" s="3933"/>
      <c r="AC213" s="882"/>
      <c r="AD213" s="3973"/>
      <c r="AE213" s="892"/>
      <c r="AF213" s="893"/>
      <c r="AG213" s="6661" t="e">
        <f>INDEX(outputs_oppsum[oppsum_total_hr],MATCH(_Calcs!$NP$41,outputs_oppsum[stuff_id],0))</f>
        <v>#N/A</v>
      </c>
      <c r="AH213" s="3933"/>
      <c r="AI213" s="6658" t="str">
        <f>IF(_Calcs!$NP$318&gt;0,"!","✓")</f>
        <v>✓</v>
      </c>
      <c r="AJ213" s="3933"/>
      <c r="AK213" s="882"/>
      <c r="AL213" s="3973"/>
      <c r="AM213" s="892"/>
      <c r="AN213" s="893"/>
      <c r="AO213" s="6661" t="e">
        <f>INDEX(outputs_oppsum[oppsum_total_hr],MATCH(_Calcs!$NQ$41,outputs_oppsum[stuff_id],0))</f>
        <v>#N/A</v>
      </c>
      <c r="AP213" s="3933"/>
      <c r="AQ213" s="6658" t="str">
        <f>IF(_Calcs!$NQ$318&gt;0,"!","✓")</f>
        <v>✓</v>
      </c>
      <c r="AR213" s="3933"/>
      <c r="AS213" s="882"/>
      <c r="AT213" s="3973"/>
      <c r="AU213" s="892"/>
      <c r="AV213" s="893"/>
      <c r="AW213" s="6661" t="e">
        <f>INDEX(outputs_oppsum[oppsum_total_hr],MATCH(_Calcs!$NR$41,outputs_oppsum[stuff_id],0))</f>
        <v>#N/A</v>
      </c>
      <c r="AX213" s="3933"/>
      <c r="AY213" s="6658" t="str">
        <f>IF(_Calcs!$NR$318&gt;0,"!","✓")</f>
        <v>✓</v>
      </c>
      <c r="AZ213" s="3933"/>
      <c r="BA213" s="882"/>
      <c r="BB213" s="3973"/>
      <c r="BC213" s="892"/>
      <c r="BD213" s="893"/>
      <c r="BE213" s="6661" t="e">
        <f>INDEX(outputs_oppsum[oppsum_total_hr],MATCH(_Calcs!$NS$41,outputs_oppsum[stuff_id],0))</f>
        <v>#N/A</v>
      </c>
      <c r="BF213" s="3933"/>
      <c r="BG213" s="6658" t="str">
        <f>IF(_Calcs!$NS$318&gt;0,"!","✓")</f>
        <v>✓</v>
      </c>
      <c r="BH213" s="3933"/>
      <c r="BI213" s="882"/>
      <c r="BJ213" s="3973"/>
      <c r="BK213" s="892"/>
      <c r="BL213" s="893"/>
      <c r="BM213" s="6661" t="e">
        <f>INDEX(outputs_oppsum[oppsum_total_hr],MATCH(_Calcs!$NT$41,outputs_oppsum[stuff_id],0))</f>
        <v>#N/A</v>
      </c>
      <c r="BN213" s="3933"/>
      <c r="BO213" s="6658" t="str">
        <f>IF(_Calcs!$NT$318&gt;0,"!","✓")</f>
        <v>✓</v>
      </c>
      <c r="BP213" s="3933"/>
      <c r="BQ213" s="882"/>
      <c r="BR213" s="3973"/>
      <c r="BS213" s="892"/>
      <c r="BT213" s="893"/>
      <c r="BU213" s="6661" t="e">
        <f>INDEX(outputs_oppsum[oppsum_total_hr],MATCH(_Calcs!$NU$41,outputs_oppsum[stuff_id],0))</f>
        <v>#N/A</v>
      </c>
      <c r="BV213" s="3933"/>
      <c r="BW213" s="6658" t="str">
        <f>IF(_Calcs!$NU$318&gt;0,"!","✓")</f>
        <v>✓</v>
      </c>
      <c r="BX213" s="3933"/>
      <c r="BY213" s="882"/>
      <c r="BZ213" s="3973"/>
      <c r="CA213" s="892"/>
      <c r="CB213" s="893"/>
      <c r="CC213" s="6661" t="e">
        <f>INDEX(outputs_oppsum[oppsum_total_hr],MATCH(_Calcs!$NV$41,outputs_oppsum[stuff_id],0))</f>
        <v>#N/A</v>
      </c>
      <c r="CD213" s="3933"/>
      <c r="CE213" s="6658" t="str">
        <f>IF(_Calcs!$NV$318&gt;0,"!","✓")</f>
        <v>✓</v>
      </c>
      <c r="CF213" s="3933"/>
      <c r="CG213" s="882"/>
      <c r="CH213" s="3973"/>
      <c r="CI213" s="892"/>
      <c r="CJ213" s="893"/>
      <c r="CK213" s="6661" t="e">
        <f>INDEX(outputs_oppsum[oppsum_total_hr],MATCH(_Calcs!$NW$41,outputs_oppsum[stuff_id],0))</f>
        <v>#N/A</v>
      </c>
      <c r="CL213" s="3933"/>
      <c r="CM213" s="6658" t="str">
        <f>IF(_Calcs!$NW$318&gt;0,"!","✓")</f>
        <v>✓</v>
      </c>
      <c r="CN213" s="3933"/>
      <c r="CO213" s="882"/>
      <c r="CP213" s="3973"/>
      <c r="CQ213" s="95"/>
    </row>
    <row r="214" spans="3:96" s="21" customFormat="1" ht="12" customHeight="1" thickBot="1" x14ac:dyDescent="0.3">
      <c r="C214" s="20"/>
      <c r="D214" s="20"/>
      <c r="E214" s="20"/>
      <c r="F214" s="70"/>
      <c r="G214" s="70"/>
      <c r="H214" s="6702"/>
      <c r="I214" s="6700"/>
      <c r="J214" s="6701"/>
      <c r="K214" s="96"/>
      <c r="L214" s="881"/>
      <c r="M214" s="6688"/>
      <c r="N214" s="6688"/>
      <c r="O214" s="6689"/>
      <c r="P214" s="6212"/>
      <c r="Q214" s="6214"/>
      <c r="R214" s="6635"/>
      <c r="S214" s="1021"/>
      <c r="T214" s="96"/>
      <c r="U214" s="179"/>
      <c r="V214" s="16"/>
      <c r="W214" s="892"/>
      <c r="X214" s="893"/>
      <c r="Y214" s="6661">
        <f>INDEX(outputs_oppsum[total_sik],MATCH(_Calcs!$NO$40,outputs_oppsum[stuff_id],0))</f>
        <v>0</v>
      </c>
      <c r="Z214" s="3933"/>
      <c r="AA214" s="6659"/>
      <c r="AB214" s="3933"/>
      <c r="AC214" s="882"/>
      <c r="AD214" s="3973"/>
      <c r="AE214" s="892"/>
      <c r="AF214" s="893"/>
      <c r="AG214" s="6661"/>
      <c r="AH214" s="3933"/>
      <c r="AI214" s="6659"/>
      <c r="AJ214" s="3933"/>
      <c r="AK214" s="882"/>
      <c r="AL214" s="3973"/>
      <c r="AM214" s="892"/>
      <c r="AN214" s="893"/>
      <c r="AO214" s="6661"/>
      <c r="AP214" s="3933"/>
      <c r="AQ214" s="6659"/>
      <c r="AR214" s="3933"/>
      <c r="AS214" s="882"/>
      <c r="AT214" s="3973"/>
      <c r="AU214" s="892"/>
      <c r="AV214" s="893"/>
      <c r="AW214" s="6661"/>
      <c r="AX214" s="3933"/>
      <c r="AY214" s="6659"/>
      <c r="AZ214" s="3933"/>
      <c r="BA214" s="882"/>
      <c r="BB214" s="3973"/>
      <c r="BC214" s="892"/>
      <c r="BD214" s="893"/>
      <c r="BE214" s="6661"/>
      <c r="BF214" s="3933"/>
      <c r="BG214" s="6659"/>
      <c r="BH214" s="3933"/>
      <c r="BI214" s="882"/>
      <c r="BJ214" s="3973"/>
      <c r="BK214" s="892"/>
      <c r="BL214" s="893"/>
      <c r="BM214" s="6661"/>
      <c r="BN214" s="3933"/>
      <c r="BO214" s="6659"/>
      <c r="BP214" s="3933"/>
      <c r="BQ214" s="882"/>
      <c r="BR214" s="3973"/>
      <c r="BS214" s="892"/>
      <c r="BT214" s="893"/>
      <c r="BU214" s="6661"/>
      <c r="BV214" s="3933"/>
      <c r="BW214" s="6659"/>
      <c r="BX214" s="3933"/>
      <c r="BY214" s="882"/>
      <c r="BZ214" s="3973"/>
      <c r="CA214" s="892"/>
      <c r="CB214" s="893"/>
      <c r="CC214" s="6661"/>
      <c r="CD214" s="3933"/>
      <c r="CE214" s="6659"/>
      <c r="CF214" s="3933"/>
      <c r="CG214" s="882"/>
      <c r="CH214" s="3973"/>
      <c r="CI214" s="892"/>
      <c r="CJ214" s="893"/>
      <c r="CK214" s="6661"/>
      <c r="CL214" s="3933"/>
      <c r="CM214" s="6659"/>
      <c r="CN214" s="3933"/>
      <c r="CO214" s="882"/>
      <c r="CP214" s="3973"/>
      <c r="CQ214" s="95"/>
      <c r="CR214" s="70"/>
    </row>
    <row r="215" spans="3:96" s="21" customFormat="1" ht="9.9499999999999993" customHeight="1" thickBot="1" x14ac:dyDescent="0.3">
      <c r="C215" s="20"/>
      <c r="D215" s="20"/>
      <c r="E215" s="20"/>
      <c r="F215" s="70"/>
      <c r="G215" s="70"/>
      <c r="H215" s="6702"/>
      <c r="I215" s="6700"/>
      <c r="J215" s="6701"/>
      <c r="K215" s="98"/>
      <c r="L215" s="1149"/>
      <c r="M215" s="6164"/>
      <c r="N215" s="6164"/>
      <c r="O215" s="6211"/>
      <c r="P215" s="6165"/>
      <c r="Q215" s="6214"/>
      <c r="R215" s="6107"/>
      <c r="S215" s="1021"/>
      <c r="T215" s="98"/>
      <c r="U215" s="179"/>
      <c r="V215" s="16"/>
      <c r="W215" s="892"/>
      <c r="X215" s="893"/>
      <c r="Y215" s="180"/>
      <c r="Z215" s="3933"/>
      <c r="AA215" s="97"/>
      <c r="AB215" s="3933"/>
      <c r="AC215" s="882"/>
      <c r="AD215" s="3973"/>
      <c r="AE215" s="892"/>
      <c r="AF215" s="893"/>
      <c r="AG215" s="180"/>
      <c r="AH215" s="3933"/>
      <c r="AI215" s="97"/>
      <c r="AJ215" s="3933"/>
      <c r="AK215" s="882"/>
      <c r="AL215" s="3973"/>
      <c r="AM215" s="892"/>
      <c r="AN215" s="893"/>
      <c r="AO215" s="180"/>
      <c r="AP215" s="3933"/>
      <c r="AQ215" s="97"/>
      <c r="AR215" s="3933"/>
      <c r="AS215" s="882"/>
      <c r="AT215" s="3973"/>
      <c r="AU215" s="892"/>
      <c r="AV215" s="893"/>
      <c r="AW215" s="180"/>
      <c r="AX215" s="3933"/>
      <c r="AY215" s="97"/>
      <c r="AZ215" s="3933"/>
      <c r="BA215" s="882"/>
      <c r="BB215" s="3973"/>
      <c r="BC215" s="892"/>
      <c r="BD215" s="893"/>
      <c r="BE215" s="180"/>
      <c r="BF215" s="3933"/>
      <c r="BG215" s="97"/>
      <c r="BH215" s="3933"/>
      <c r="BI215" s="882"/>
      <c r="BJ215" s="3973"/>
      <c r="BK215" s="892"/>
      <c r="BL215" s="893"/>
      <c r="BM215" s="180"/>
      <c r="BN215" s="3933"/>
      <c r="BO215" s="97"/>
      <c r="BP215" s="3933"/>
      <c r="BQ215" s="882"/>
      <c r="BR215" s="3973"/>
      <c r="BS215" s="892"/>
      <c r="BT215" s="893"/>
      <c r="BU215" s="180"/>
      <c r="BV215" s="3933"/>
      <c r="BW215" s="97"/>
      <c r="BX215" s="3933"/>
      <c r="BY215" s="882"/>
      <c r="BZ215" s="3973"/>
      <c r="CA215" s="892"/>
      <c r="CB215" s="893"/>
      <c r="CC215" s="180"/>
      <c r="CD215" s="3933"/>
      <c r="CE215" s="97"/>
      <c r="CF215" s="3933"/>
      <c r="CG215" s="882"/>
      <c r="CH215" s="3973"/>
      <c r="CI215" s="892"/>
      <c r="CJ215" s="893"/>
      <c r="CK215" s="180"/>
      <c r="CL215" s="3933"/>
      <c r="CM215" s="97"/>
      <c r="CN215" s="3933"/>
      <c r="CO215" s="882"/>
      <c r="CP215" s="3973"/>
      <c r="CQ215" s="95"/>
      <c r="CR215" s="70"/>
    </row>
    <row r="216" spans="3:96" s="21" customFormat="1" ht="8.1" customHeight="1" thickBot="1" x14ac:dyDescent="0.3">
      <c r="C216" s="20"/>
      <c r="D216" s="20"/>
      <c r="E216" s="20"/>
      <c r="F216" s="70"/>
      <c r="G216" s="70"/>
      <c r="H216" s="6702"/>
      <c r="I216" s="6700"/>
      <c r="J216" s="6701"/>
      <c r="K216" s="98"/>
      <c r="L216" s="20"/>
      <c r="M216" s="6165"/>
      <c r="N216" s="6165"/>
      <c r="O216" s="6165"/>
      <c r="P216" s="6165"/>
      <c r="Q216" s="6214"/>
      <c r="R216" s="6107"/>
      <c r="S216" s="1021"/>
      <c r="T216" s="98"/>
      <c r="U216" s="179"/>
      <c r="V216" s="16"/>
      <c r="W216" s="892"/>
      <c r="X216" s="893"/>
      <c r="Y216" s="180"/>
      <c r="Z216" s="6138"/>
      <c r="AA216" s="97"/>
      <c r="AB216" s="6138"/>
      <c r="AC216" s="882"/>
      <c r="AD216" s="3973"/>
      <c r="AE216" s="892"/>
      <c r="AF216" s="893"/>
      <c r="AG216" s="180"/>
      <c r="AH216" s="6138"/>
      <c r="AI216" s="97"/>
      <c r="AJ216" s="6138"/>
      <c r="AK216" s="882"/>
      <c r="AL216" s="3973"/>
      <c r="AM216" s="892"/>
      <c r="AN216" s="893"/>
      <c r="AO216" s="180"/>
      <c r="AP216" s="6138"/>
      <c r="AQ216" s="97"/>
      <c r="AR216" s="6138"/>
      <c r="AS216" s="882"/>
      <c r="AT216" s="3973"/>
      <c r="AU216" s="892"/>
      <c r="AV216" s="893"/>
      <c r="AW216" s="180"/>
      <c r="AX216" s="6138"/>
      <c r="AY216" s="97"/>
      <c r="AZ216" s="6138"/>
      <c r="BA216" s="882"/>
      <c r="BB216" s="3973"/>
      <c r="BC216" s="892"/>
      <c r="BD216" s="893"/>
      <c r="BE216" s="180"/>
      <c r="BF216" s="6138"/>
      <c r="BG216" s="97"/>
      <c r="BH216" s="6138"/>
      <c r="BI216" s="882"/>
      <c r="BJ216" s="3973"/>
      <c r="BK216" s="892"/>
      <c r="BL216" s="893"/>
      <c r="BM216" s="180"/>
      <c r="BN216" s="6138"/>
      <c r="BO216" s="97"/>
      <c r="BP216" s="6138"/>
      <c r="BQ216" s="882"/>
      <c r="BR216" s="3973"/>
      <c r="BS216" s="892"/>
      <c r="BT216" s="893"/>
      <c r="BU216" s="180"/>
      <c r="BV216" s="6138"/>
      <c r="BW216" s="97"/>
      <c r="BX216" s="6138"/>
      <c r="BY216" s="882"/>
      <c r="BZ216" s="3973"/>
      <c r="CA216" s="892"/>
      <c r="CB216" s="893"/>
      <c r="CC216" s="180"/>
      <c r="CD216" s="6138"/>
      <c r="CE216" s="97"/>
      <c r="CF216" s="6138"/>
      <c r="CG216" s="882"/>
      <c r="CH216" s="3973"/>
      <c r="CI216" s="892"/>
      <c r="CJ216" s="893"/>
      <c r="CK216" s="180"/>
      <c r="CL216" s="6138"/>
      <c r="CM216" s="97"/>
      <c r="CN216" s="6138"/>
      <c r="CO216" s="882"/>
      <c r="CP216" s="3973"/>
      <c r="CQ216" s="95"/>
      <c r="CR216" s="70"/>
    </row>
    <row r="217" spans="3:96" s="21" customFormat="1" ht="12" customHeight="1" thickBot="1" x14ac:dyDescent="0.3">
      <c r="C217" s="20"/>
      <c r="D217" s="20"/>
      <c r="E217" s="20"/>
      <c r="F217" s="70"/>
      <c r="G217" s="70"/>
      <c r="H217" s="6702"/>
      <c r="I217" s="6700"/>
      <c r="J217" s="6701"/>
      <c r="K217" s="96"/>
      <c r="L217" s="6162"/>
      <c r="M217" s="6162"/>
      <c r="N217" s="6162"/>
      <c r="O217" s="6162"/>
      <c r="P217" s="6163"/>
      <c r="Q217" s="6214"/>
      <c r="R217" s="6635" t="s">
        <v>146</v>
      </c>
      <c r="S217" s="6704"/>
      <c r="T217" s="96"/>
      <c r="U217" s="179"/>
      <c r="V217" s="16"/>
      <c r="W217" s="892"/>
      <c r="X217" s="893"/>
      <c r="Y217" s="6661">
        <f>INDEX(outputs_oppsum[oppsum_total_uke],MATCH(_Calcs!$NO$41,outputs_oppsum[stuff_id],0))</f>
        <v>0</v>
      </c>
      <c r="Z217" s="3933"/>
      <c r="AA217" s="6658" t="str">
        <f>IF(_Calcs!$NO$318&gt;0,"!","✓")</f>
        <v>!</v>
      </c>
      <c r="AB217" s="3933"/>
      <c r="AC217" s="894"/>
      <c r="AD217" s="3973"/>
      <c r="AE217" s="892"/>
      <c r="AF217" s="893"/>
      <c r="AG217" s="6661" t="e">
        <f>INDEX(outputs_oppsum[oppsum_total_uke],MATCH(_Calcs!$NP$41,outputs_oppsum[stuff_id],0))</f>
        <v>#N/A</v>
      </c>
      <c r="AH217" s="3933"/>
      <c r="AI217" s="6658" t="str">
        <f>IF(_Calcs!$NP$318&gt;0,"!","✓")</f>
        <v>✓</v>
      </c>
      <c r="AJ217" s="3933"/>
      <c r="AK217" s="894"/>
      <c r="AL217" s="3973"/>
      <c r="AM217" s="892"/>
      <c r="AN217" s="893"/>
      <c r="AO217" s="6661" t="e">
        <f>INDEX(outputs_oppsum[oppsum_total_uke],MATCH(_Calcs!$NQ$41,outputs_oppsum[stuff_id],0))</f>
        <v>#N/A</v>
      </c>
      <c r="AP217" s="3933"/>
      <c r="AQ217" s="6658" t="str">
        <f>IF(_Calcs!$NQ$318&gt;0,"!","✓")</f>
        <v>✓</v>
      </c>
      <c r="AR217" s="3933"/>
      <c r="AS217" s="894"/>
      <c r="AT217" s="3973"/>
      <c r="AU217" s="892"/>
      <c r="AV217" s="893"/>
      <c r="AW217" s="6661" t="e">
        <f>INDEX(outputs_oppsum[oppsum_total_uke],MATCH(_Calcs!$NR$41,outputs_oppsum[stuff_id],0))</f>
        <v>#N/A</v>
      </c>
      <c r="AX217" s="3933"/>
      <c r="AY217" s="6658" t="str">
        <f>IF(_Calcs!$NR$318&gt;0,"!","✓")</f>
        <v>✓</v>
      </c>
      <c r="AZ217" s="3933"/>
      <c r="BA217" s="894"/>
      <c r="BB217" s="3973"/>
      <c r="BC217" s="892"/>
      <c r="BD217" s="893"/>
      <c r="BE217" s="6661" t="e">
        <f>INDEX(outputs_oppsum[oppsum_total_uke],MATCH(_Calcs!$NS$41,outputs_oppsum[stuff_id],0))</f>
        <v>#N/A</v>
      </c>
      <c r="BF217" s="3933"/>
      <c r="BG217" s="6658" t="str">
        <f>IF(_Calcs!$NS$318&gt;0,"!","✓")</f>
        <v>✓</v>
      </c>
      <c r="BH217" s="3933"/>
      <c r="BI217" s="894"/>
      <c r="BJ217" s="3973"/>
      <c r="BK217" s="892"/>
      <c r="BL217" s="893"/>
      <c r="BM217" s="6661" t="e">
        <f>INDEX(outputs_oppsum[oppsum_total_uke],MATCH(_Calcs!$NT$41,outputs_oppsum[stuff_id],0))</f>
        <v>#N/A</v>
      </c>
      <c r="BN217" s="3933"/>
      <c r="BO217" s="6658" t="str">
        <f>IF(_Calcs!$NT$318&gt;0,"!","✓")</f>
        <v>✓</v>
      </c>
      <c r="BP217" s="3933"/>
      <c r="BQ217" s="894"/>
      <c r="BR217" s="3973"/>
      <c r="BS217" s="892"/>
      <c r="BT217" s="893"/>
      <c r="BU217" s="6661" t="e">
        <f>INDEX(outputs_oppsum[oppsum_total_uke],MATCH(_Calcs!$NU$41,outputs_oppsum[stuff_id],0))</f>
        <v>#N/A</v>
      </c>
      <c r="BV217" s="3933"/>
      <c r="BW217" s="6658" t="str">
        <f>IF(_Calcs!$NU$318&gt;0,"!","✓")</f>
        <v>✓</v>
      </c>
      <c r="BX217" s="3933"/>
      <c r="BY217" s="894"/>
      <c r="BZ217" s="3973"/>
      <c r="CA217" s="892"/>
      <c r="CB217" s="893"/>
      <c r="CC217" s="6661" t="e">
        <f>INDEX(outputs_oppsum[oppsum_total_uke],MATCH(_Calcs!$NV$41,outputs_oppsum[stuff_id],0))</f>
        <v>#N/A</v>
      </c>
      <c r="CD217" s="3933"/>
      <c r="CE217" s="6658" t="str">
        <f>IF(_Calcs!$NV$318&gt;0,"!","✓")</f>
        <v>✓</v>
      </c>
      <c r="CF217" s="3933"/>
      <c r="CG217" s="894"/>
      <c r="CH217" s="3973"/>
      <c r="CI217" s="892"/>
      <c r="CJ217" s="893"/>
      <c r="CK217" s="6661" t="e">
        <f>INDEX(outputs_oppsum[oppsum_total_uke],MATCH(_Calcs!$NW$41,outputs_oppsum[stuff_id],0))</f>
        <v>#N/A</v>
      </c>
      <c r="CL217" s="3933"/>
      <c r="CM217" s="6658" t="str">
        <f>IF(_Calcs!$NW$318&gt;0,"!","✓")</f>
        <v>✓</v>
      </c>
      <c r="CN217" s="3933"/>
      <c r="CO217" s="894"/>
      <c r="CP217" s="3973"/>
      <c r="CQ217" s="95"/>
      <c r="CR217" s="70"/>
    </row>
    <row r="218" spans="3:96" s="21" customFormat="1" ht="12" customHeight="1" thickBot="1" x14ac:dyDescent="0.3">
      <c r="C218" s="20"/>
      <c r="D218" s="20"/>
      <c r="E218" s="20"/>
      <c r="F218" s="70"/>
      <c r="G218" s="70"/>
      <c r="H218" s="6702"/>
      <c r="I218" s="6700"/>
      <c r="J218" s="6701"/>
      <c r="K218" s="96"/>
      <c r="L218" s="6162"/>
      <c r="M218" s="6162"/>
      <c r="N218" s="6162"/>
      <c r="O218" s="6162"/>
      <c r="P218" s="6163"/>
      <c r="Q218" s="6214"/>
      <c r="R218" s="6635"/>
      <c r="S218" s="6704"/>
      <c r="T218" s="96"/>
      <c r="U218" s="179"/>
      <c r="V218" s="16"/>
      <c r="W218" s="892"/>
      <c r="X218" s="893"/>
      <c r="Y218" s="6661">
        <f>INDEX(outputs_oppsum[total_sik],MATCH(_Calcs!$NO$40,outputs_oppsum[stuff_id],0))</f>
        <v>0</v>
      </c>
      <c r="Z218" s="3933"/>
      <c r="AA218" s="6659"/>
      <c r="AB218" s="3933"/>
      <c r="AC218" s="894"/>
      <c r="AD218" s="3973"/>
      <c r="AE218" s="892"/>
      <c r="AF218" s="893"/>
      <c r="AG218" s="6661"/>
      <c r="AH218" s="3933"/>
      <c r="AI218" s="6659"/>
      <c r="AJ218" s="3933"/>
      <c r="AK218" s="894"/>
      <c r="AL218" s="3973"/>
      <c r="AM218" s="892"/>
      <c r="AN218" s="893"/>
      <c r="AO218" s="6661"/>
      <c r="AP218" s="3933"/>
      <c r="AQ218" s="6659"/>
      <c r="AR218" s="3933"/>
      <c r="AS218" s="894"/>
      <c r="AT218" s="3973"/>
      <c r="AU218" s="892"/>
      <c r="AV218" s="893"/>
      <c r="AW218" s="6661"/>
      <c r="AX218" s="3933"/>
      <c r="AY218" s="6659"/>
      <c r="AZ218" s="3933"/>
      <c r="BA218" s="894"/>
      <c r="BB218" s="3973"/>
      <c r="BC218" s="892"/>
      <c r="BD218" s="893"/>
      <c r="BE218" s="6661"/>
      <c r="BF218" s="3933"/>
      <c r="BG218" s="6659"/>
      <c r="BH218" s="3933"/>
      <c r="BI218" s="894"/>
      <c r="BJ218" s="3973"/>
      <c r="BK218" s="892"/>
      <c r="BL218" s="893"/>
      <c r="BM218" s="6661"/>
      <c r="BN218" s="3933"/>
      <c r="BO218" s="6659"/>
      <c r="BP218" s="3933"/>
      <c r="BQ218" s="894"/>
      <c r="BR218" s="3973"/>
      <c r="BS218" s="892"/>
      <c r="BT218" s="893"/>
      <c r="BU218" s="6661"/>
      <c r="BV218" s="3933"/>
      <c r="BW218" s="6659"/>
      <c r="BX218" s="3933"/>
      <c r="BY218" s="894"/>
      <c r="BZ218" s="3973"/>
      <c r="CA218" s="892"/>
      <c r="CB218" s="893"/>
      <c r="CC218" s="6661"/>
      <c r="CD218" s="3933"/>
      <c r="CE218" s="6659"/>
      <c r="CF218" s="3933"/>
      <c r="CG218" s="894"/>
      <c r="CH218" s="3973"/>
      <c r="CI218" s="892"/>
      <c r="CJ218" s="893"/>
      <c r="CK218" s="6661"/>
      <c r="CL218" s="3933"/>
      <c r="CM218" s="6659"/>
      <c r="CN218" s="3933"/>
      <c r="CO218" s="894"/>
      <c r="CP218" s="3973"/>
      <c r="CQ218" s="95"/>
      <c r="CR218" s="70"/>
    </row>
    <row r="219" spans="3:96" s="21" customFormat="1" ht="15" customHeight="1" thickBot="1" x14ac:dyDescent="0.25">
      <c r="C219" s="20"/>
      <c r="D219" s="20"/>
      <c r="E219" s="20"/>
      <c r="F219" s="70"/>
      <c r="G219" s="70"/>
      <c r="H219" s="1716"/>
      <c r="I219" s="887"/>
      <c r="J219" s="888"/>
      <c r="K219" s="100"/>
      <c r="L219" s="6162"/>
      <c r="M219" s="6162"/>
      <c r="N219" s="6162"/>
      <c r="O219" s="6162"/>
      <c r="P219" s="6163"/>
      <c r="Q219" s="883"/>
      <c r="R219" s="1335"/>
      <c r="S219" s="1456"/>
      <c r="T219" s="100"/>
      <c r="U219" s="47"/>
      <c r="V219" s="16"/>
      <c r="W219" s="895"/>
      <c r="X219" s="884"/>
      <c r="Y219" s="896"/>
      <c r="Z219" s="897"/>
      <c r="AA219" s="884"/>
      <c r="AB219" s="897"/>
      <c r="AC219" s="898"/>
      <c r="AD219" s="70"/>
      <c r="AE219" s="895"/>
      <c r="AF219" s="884"/>
      <c r="AG219" s="896"/>
      <c r="AH219" s="897"/>
      <c r="AI219" s="884"/>
      <c r="AJ219" s="897"/>
      <c r="AK219" s="898"/>
      <c r="AL219" s="70"/>
      <c r="AM219" s="895"/>
      <c r="AN219" s="884"/>
      <c r="AO219" s="896"/>
      <c r="AP219" s="897"/>
      <c r="AQ219" s="884"/>
      <c r="AR219" s="897"/>
      <c r="AS219" s="898"/>
      <c r="AT219" s="70"/>
      <c r="AU219" s="895"/>
      <c r="AV219" s="884"/>
      <c r="AW219" s="896"/>
      <c r="AX219" s="897"/>
      <c r="AY219" s="884"/>
      <c r="AZ219" s="897"/>
      <c r="BA219" s="898"/>
      <c r="BB219" s="70"/>
      <c r="BC219" s="895"/>
      <c r="BD219" s="884"/>
      <c r="BE219" s="896"/>
      <c r="BF219" s="897"/>
      <c r="BG219" s="884"/>
      <c r="BH219" s="897"/>
      <c r="BI219" s="898"/>
      <c r="BJ219" s="70"/>
      <c r="BK219" s="895"/>
      <c r="BL219" s="884"/>
      <c r="BM219" s="896"/>
      <c r="BN219" s="897"/>
      <c r="BO219" s="884"/>
      <c r="BP219" s="897"/>
      <c r="BQ219" s="898"/>
      <c r="BR219" s="70"/>
      <c r="BS219" s="895"/>
      <c r="BT219" s="884"/>
      <c r="BU219" s="896"/>
      <c r="BV219" s="897"/>
      <c r="BW219" s="884"/>
      <c r="BX219" s="897"/>
      <c r="BY219" s="898"/>
      <c r="BZ219" s="70"/>
      <c r="CA219" s="895"/>
      <c r="CB219" s="884"/>
      <c r="CC219" s="896"/>
      <c r="CD219" s="897"/>
      <c r="CE219" s="884"/>
      <c r="CF219" s="897"/>
      <c r="CG219" s="898"/>
      <c r="CH219" s="70"/>
      <c r="CI219" s="895"/>
      <c r="CJ219" s="884"/>
      <c r="CK219" s="896"/>
      <c r="CL219" s="897"/>
      <c r="CM219" s="884"/>
      <c r="CN219" s="897"/>
      <c r="CO219" s="898"/>
      <c r="CP219" s="70"/>
      <c r="CQ219" s="95"/>
      <c r="CR219" s="70"/>
    </row>
    <row r="220" spans="3:96" s="21" customFormat="1" ht="20.100000000000001" customHeight="1" thickBot="1" x14ac:dyDescent="0.25">
      <c r="C220" s="20"/>
      <c r="D220" s="20"/>
      <c r="E220" s="70"/>
      <c r="F220" s="70"/>
      <c r="G220" s="70"/>
      <c r="H220" s="676"/>
      <c r="I220" s="676"/>
      <c r="J220" s="676"/>
      <c r="K220" s="103"/>
      <c r="L220" s="13"/>
      <c r="M220" s="1004"/>
      <c r="N220" s="1004"/>
      <c r="O220" s="1004"/>
      <c r="P220" s="1004"/>
      <c r="Q220" s="13"/>
      <c r="R220" s="15"/>
      <c r="S220" s="13"/>
      <c r="T220" s="103"/>
      <c r="V220" s="16"/>
      <c r="Y220" s="22"/>
      <c r="Z220" s="15"/>
      <c r="AB220" s="535"/>
      <c r="AC220" s="535"/>
      <c r="AD220" s="70"/>
      <c r="AG220" s="22"/>
      <c r="AH220" s="15"/>
      <c r="AJ220" s="535"/>
      <c r="AK220" s="535"/>
      <c r="AL220" s="70"/>
      <c r="AO220" s="22"/>
      <c r="AP220" s="15"/>
      <c r="AR220" s="535"/>
      <c r="AS220" s="535"/>
      <c r="AT220" s="70"/>
      <c r="AW220" s="22"/>
      <c r="AX220" s="15"/>
      <c r="AZ220" s="535"/>
      <c r="BA220" s="535"/>
      <c r="BB220" s="70"/>
      <c r="BE220" s="22"/>
      <c r="BF220" s="15"/>
      <c r="BH220" s="535"/>
      <c r="BI220" s="535"/>
      <c r="BJ220" s="70"/>
      <c r="BM220" s="22"/>
      <c r="BN220" s="15"/>
      <c r="BP220" s="535"/>
      <c r="BQ220" s="535"/>
      <c r="BR220" s="70"/>
      <c r="BU220" s="22"/>
      <c r="BV220" s="15"/>
      <c r="BX220" s="535"/>
      <c r="BY220" s="535"/>
      <c r="BZ220" s="70"/>
      <c r="CC220" s="22"/>
      <c r="CD220" s="15"/>
      <c r="CF220" s="535"/>
      <c r="CG220" s="535"/>
      <c r="CH220" s="70"/>
      <c r="CK220" s="22"/>
      <c r="CL220" s="15"/>
      <c r="CN220" s="535"/>
      <c r="CO220" s="535"/>
      <c r="CP220" s="70"/>
      <c r="CQ220" s="535"/>
      <c r="CR220" s="70"/>
    </row>
    <row r="221" spans="3:96" s="3945" customFormat="1" ht="39.950000000000003" customHeight="1" thickBot="1" x14ac:dyDescent="0.25">
      <c r="C221" s="487"/>
      <c r="D221" s="487"/>
      <c r="E221" s="13"/>
      <c r="F221" s="13"/>
      <c r="G221" s="13"/>
      <c r="H221" s="2307"/>
      <c r="I221" s="3974"/>
      <c r="J221" s="911"/>
      <c r="K221" s="487"/>
      <c r="L221" s="2307"/>
      <c r="M221" s="2308"/>
      <c r="N221" s="2308"/>
      <c r="O221" s="2308"/>
      <c r="P221" s="2308"/>
      <c r="Q221" s="910"/>
      <c r="R221" s="910"/>
      <c r="S221" s="911"/>
      <c r="T221" s="487"/>
      <c r="U221" s="2288"/>
      <c r="V221" s="487"/>
      <c r="W221" s="2289"/>
      <c r="X221" s="3926"/>
      <c r="Y221" s="6660" t="str">
        <f>_Calcs!$NO$36</f>
        <v>Stuff 1-1</v>
      </c>
      <c r="Z221" s="6660"/>
      <c r="AA221" s="6660"/>
      <c r="AB221" s="3926"/>
      <c r="AC221" s="2290"/>
      <c r="AE221" s="2289"/>
      <c r="AF221" s="3926"/>
      <c r="AG221" s="6660" t="str">
        <f>_Calcs!$NP$36</f>
        <v/>
      </c>
      <c r="AH221" s="6660"/>
      <c r="AI221" s="6660"/>
      <c r="AJ221" s="3926"/>
      <c r="AK221" s="2290"/>
      <c r="AM221" s="2289"/>
      <c r="AN221" s="3926"/>
      <c r="AO221" s="6660" t="str">
        <f>_Calcs!$NQ$36</f>
        <v/>
      </c>
      <c r="AP221" s="6660"/>
      <c r="AQ221" s="6660"/>
      <c r="AR221" s="3926"/>
      <c r="AS221" s="2290"/>
      <c r="AU221" s="2289"/>
      <c r="AV221" s="3926"/>
      <c r="AW221" s="6660" t="str">
        <f>_Calcs!$NR$36</f>
        <v/>
      </c>
      <c r="AX221" s="6660"/>
      <c r="AY221" s="6660"/>
      <c r="AZ221" s="3926"/>
      <c r="BA221" s="2290"/>
      <c r="BC221" s="2289"/>
      <c r="BD221" s="3926"/>
      <c r="BE221" s="6660" t="str">
        <f>_Calcs!$NS$36</f>
        <v/>
      </c>
      <c r="BF221" s="6660"/>
      <c r="BG221" s="6660"/>
      <c r="BH221" s="3926"/>
      <c r="BI221" s="2290"/>
      <c r="BK221" s="2289"/>
      <c r="BL221" s="3926"/>
      <c r="BM221" s="6660" t="str">
        <f>_Calcs!$NT$36</f>
        <v/>
      </c>
      <c r="BN221" s="6660"/>
      <c r="BO221" s="6660"/>
      <c r="BP221" s="3926"/>
      <c r="BQ221" s="2290"/>
      <c r="BS221" s="2289"/>
      <c r="BT221" s="3926"/>
      <c r="BU221" s="6660" t="str">
        <f>_Calcs!$NU$36</f>
        <v/>
      </c>
      <c r="BV221" s="6660"/>
      <c r="BW221" s="6660"/>
      <c r="BX221" s="3926"/>
      <c r="BY221" s="2290"/>
      <c r="CA221" s="2289"/>
      <c r="CB221" s="3926"/>
      <c r="CC221" s="6660" t="str">
        <f>_Calcs!$NV$36</f>
        <v/>
      </c>
      <c r="CD221" s="6660"/>
      <c r="CE221" s="6660"/>
      <c r="CF221" s="3926"/>
      <c r="CG221" s="2290"/>
      <c r="CI221" s="2289"/>
      <c r="CJ221" s="3926"/>
      <c r="CK221" s="6660" t="str">
        <f>_Calcs!$NW$36</f>
        <v/>
      </c>
      <c r="CL221" s="6660"/>
      <c r="CM221" s="6660"/>
      <c r="CN221" s="3926"/>
      <c r="CO221" s="2290"/>
      <c r="CQ221" s="3975"/>
    </row>
    <row r="222" spans="3:96" s="21" customFormat="1" ht="20.100000000000001" customHeight="1" thickBot="1" x14ac:dyDescent="0.25">
      <c r="C222" s="20"/>
      <c r="D222" s="20"/>
      <c r="E222" s="70"/>
      <c r="F222" s="70"/>
      <c r="G222" s="70"/>
      <c r="H222" s="16"/>
      <c r="I222" s="16"/>
      <c r="J222" s="16"/>
      <c r="K222" s="20"/>
      <c r="L222" s="14"/>
      <c r="M222" s="974"/>
      <c r="N222" s="974"/>
      <c r="O222" s="974"/>
      <c r="P222" s="974"/>
      <c r="Q222" s="16"/>
      <c r="R222" s="15"/>
      <c r="S222" s="16"/>
      <c r="T222" s="20"/>
      <c r="U222" s="16"/>
      <c r="V222" s="16"/>
      <c r="W222" s="16"/>
      <c r="X222" s="16"/>
      <c r="Y222" s="22"/>
      <c r="Z222" s="15"/>
      <c r="AA222" s="16"/>
      <c r="AB222" s="16"/>
      <c r="AC222" s="16"/>
      <c r="AD222" s="70"/>
      <c r="AE222" s="16"/>
      <c r="AF222" s="16"/>
      <c r="AG222" s="22"/>
      <c r="AH222" s="15"/>
      <c r="AI222" s="16"/>
      <c r="AJ222" s="16"/>
      <c r="AK222" s="16"/>
      <c r="AL222" s="70"/>
      <c r="AM222" s="16"/>
      <c r="AN222" s="16"/>
      <c r="AO222" s="22"/>
      <c r="AP222" s="15"/>
      <c r="AQ222" s="16"/>
      <c r="AR222" s="16"/>
      <c r="AS222" s="16"/>
      <c r="AT222" s="70"/>
      <c r="AU222" s="16"/>
      <c r="AV222" s="16"/>
      <c r="AW222" s="22"/>
      <c r="AX222" s="15"/>
      <c r="AY222" s="16"/>
      <c r="AZ222" s="16"/>
      <c r="BA222" s="16"/>
      <c r="BB222" s="70"/>
      <c r="BC222" s="16"/>
      <c r="BD222" s="16"/>
      <c r="BE222" s="22"/>
      <c r="BF222" s="13"/>
      <c r="BG222" s="16"/>
      <c r="BH222" s="16"/>
      <c r="BI222" s="16"/>
      <c r="BJ222" s="70"/>
      <c r="BK222" s="16"/>
      <c r="BL222" s="16"/>
      <c r="BM222" s="22"/>
      <c r="BN222" s="15"/>
      <c r="BO222" s="16"/>
      <c r="BP222" s="16"/>
      <c r="BQ222" s="16"/>
      <c r="BR222" s="70"/>
      <c r="BS222" s="16"/>
      <c r="BT222" s="16"/>
      <c r="BU222" s="22"/>
      <c r="BV222" s="15"/>
      <c r="BW222" s="16"/>
      <c r="BX222" s="16"/>
      <c r="BY222" s="16"/>
      <c r="BZ222" s="70"/>
      <c r="CA222" s="16"/>
      <c r="CB222" s="16"/>
      <c r="CC222" s="22"/>
      <c r="CD222" s="15"/>
      <c r="CE222" s="16"/>
      <c r="CF222" s="16"/>
      <c r="CG222" s="16"/>
      <c r="CH222" s="70"/>
      <c r="CI222" s="16"/>
      <c r="CJ222" s="16"/>
      <c r="CK222" s="22"/>
      <c r="CL222" s="15"/>
      <c r="CM222" s="16"/>
      <c r="CN222" s="16"/>
      <c r="CO222" s="16"/>
      <c r="CP222" s="70"/>
      <c r="CQ222" s="70"/>
      <c r="CR222" s="70"/>
    </row>
    <row r="223" spans="3:96" s="2328" customFormat="1" ht="30" customHeight="1" thickBot="1" x14ac:dyDescent="0.35">
      <c r="C223" s="2128"/>
      <c r="D223" s="2128"/>
      <c r="E223" s="2323"/>
      <c r="F223" s="2323"/>
      <c r="G223" s="2323"/>
      <c r="H223" s="2324"/>
      <c r="I223" s="6286"/>
      <c r="J223" s="2324"/>
      <c r="K223" s="2128"/>
      <c r="L223" s="2325"/>
      <c r="M223" s="2326"/>
      <c r="N223" s="2326"/>
      <c r="O223" s="2326"/>
      <c r="P223" s="2326"/>
      <c r="Q223" s="2324"/>
      <c r="R223" s="2329"/>
      <c r="S223" s="2324"/>
      <c r="T223" s="2128"/>
      <c r="U223" s="2324"/>
      <c r="V223" s="2327"/>
      <c r="W223" s="2330"/>
      <c r="X223" s="2327"/>
      <c r="Y223" s="6725" t="str">
        <f>IF(_Calcs!$NX$318=0,INDEX(outputs_oppsum[Crit_message],MATCH(_Calcs!NO40,outputs_oppsum[stuff_id],0)),"")</f>
        <v/>
      </c>
      <c r="Z223" s="6726"/>
      <c r="AA223" s="6727"/>
      <c r="AB223" s="2327"/>
      <c r="AC223" s="2330"/>
      <c r="AD223" s="2323"/>
      <c r="AE223" s="2330"/>
      <c r="AF223" s="2327"/>
      <c r="AG223" s="6725" t="str">
        <f>IF(_Calcs!$NX$318=0,INDEX(outputs_oppsum[Crit_message],MATCH(_Calcs!NP40,outputs_oppsum[stuff_id],0)),"")</f>
        <v/>
      </c>
      <c r="AH223" s="6726"/>
      <c r="AI223" s="6727"/>
      <c r="AJ223" s="2327"/>
      <c r="AK223" s="2330"/>
      <c r="AL223" s="2323"/>
      <c r="AM223" s="2330"/>
      <c r="AN223" s="2327"/>
      <c r="AO223" s="6725" t="str">
        <f>IF(_Calcs!$NX$318=0,INDEX(outputs_oppsum[Crit_message],MATCH(_Calcs!NQ40,outputs_oppsum[stuff_id],0)),"")</f>
        <v/>
      </c>
      <c r="AP223" s="6726"/>
      <c r="AQ223" s="6727"/>
      <c r="AR223" s="2327"/>
      <c r="AS223" s="2330"/>
      <c r="AT223" s="2323"/>
      <c r="AU223" s="2330"/>
      <c r="AV223" s="2327"/>
      <c r="AW223" s="6725" t="str">
        <f>IF(_Calcs!$NX$318=0,INDEX(outputs_oppsum[Crit_message],MATCH(_Calcs!NR40,outputs_oppsum[stuff_id],0)),"")</f>
        <v/>
      </c>
      <c r="AX223" s="6726"/>
      <c r="AY223" s="6727"/>
      <c r="AZ223" s="2327"/>
      <c r="BA223" s="2331"/>
      <c r="BB223" s="2323"/>
      <c r="BC223" s="2331"/>
      <c r="BD223" s="2327"/>
      <c r="BE223" s="6725" t="str">
        <f>IF(_Calcs!$NX$318=0,INDEX(outputs_oppsum[Crit_message],MATCH(_Calcs!NS40,outputs_oppsum[stuff_id],0)),"")</f>
        <v/>
      </c>
      <c r="BF223" s="6726"/>
      <c r="BG223" s="6727"/>
      <c r="BH223" s="2327"/>
      <c r="BI223" s="2331"/>
      <c r="BJ223" s="2323"/>
      <c r="BK223" s="2331"/>
      <c r="BL223" s="2327"/>
      <c r="BM223" s="6725" t="str">
        <f>IF(_Calcs!$NX$318=0,INDEX(outputs_oppsum[Crit_message],MATCH(_Calcs!NT40,outputs_oppsum[stuff_id],0)),"")</f>
        <v/>
      </c>
      <c r="BN223" s="6726"/>
      <c r="BO223" s="6727"/>
      <c r="BP223" s="2327"/>
      <c r="BQ223" s="2331"/>
      <c r="BR223" s="2323"/>
      <c r="BS223" s="2331"/>
      <c r="BT223" s="2327"/>
      <c r="BU223" s="6725" t="str">
        <f>IF(_Calcs!$NX$318=0,INDEX(outputs_oppsum[Crit_message],MATCH(_Calcs!NU40,outputs_oppsum[stuff_id],0)),"")</f>
        <v/>
      </c>
      <c r="BV223" s="6726"/>
      <c r="BW223" s="6727"/>
      <c r="BX223" s="2327"/>
      <c r="BY223" s="2331"/>
      <c r="BZ223" s="2323"/>
      <c r="CA223" s="2331"/>
      <c r="CB223" s="2327"/>
      <c r="CC223" s="6725" t="str">
        <f>IF(_Calcs!$NX$318=0,INDEX(outputs_oppsum[Crit_message],MATCH(_Calcs!NV40,outputs_oppsum[stuff_id],0)),"")</f>
        <v/>
      </c>
      <c r="CD223" s="6726"/>
      <c r="CE223" s="6727"/>
      <c r="CF223" s="2327"/>
      <c r="CG223" s="2331"/>
      <c r="CH223" s="2323"/>
      <c r="CI223" s="2331"/>
      <c r="CJ223" s="2327"/>
      <c r="CK223" s="6725" t="str">
        <f>IF(_Calcs!$NX$318=0,INDEX(outputs_oppsum[Crit_message],MATCH(_Calcs!NW40,outputs_oppsum[stuff_id],0)),"")</f>
        <v/>
      </c>
      <c r="CL223" s="6726"/>
      <c r="CM223" s="6727"/>
      <c r="CN223" s="2327"/>
      <c r="CO223" s="2331"/>
      <c r="CP223" s="2323"/>
      <c r="CQ223" s="2332"/>
      <c r="CR223" s="2323"/>
    </row>
    <row r="224" spans="3:96" s="21" customFormat="1" ht="30" customHeight="1" x14ac:dyDescent="0.2">
      <c r="C224" s="20"/>
      <c r="D224" s="20"/>
      <c r="E224" s="70"/>
      <c r="F224" s="70"/>
      <c r="G224" s="70"/>
      <c r="H224" s="16"/>
      <c r="I224" s="16"/>
      <c r="J224" s="16"/>
      <c r="K224" s="20"/>
      <c r="L224" s="14"/>
      <c r="M224" s="974"/>
      <c r="N224" s="974"/>
      <c r="O224" s="974"/>
      <c r="P224" s="974"/>
      <c r="Q224" s="16"/>
      <c r="R224" s="15"/>
      <c r="S224" s="16"/>
      <c r="T224" s="20"/>
      <c r="U224" s="16"/>
      <c r="V224" s="16"/>
      <c r="W224" s="16"/>
      <c r="X224" s="16"/>
      <c r="Y224" s="22"/>
      <c r="Z224" s="15"/>
      <c r="AA224" s="16"/>
      <c r="AB224" s="16"/>
      <c r="AC224" s="16"/>
      <c r="AD224" s="70"/>
      <c r="AE224" s="16"/>
      <c r="AF224" s="16"/>
      <c r="AG224" s="22"/>
      <c r="AH224" s="15"/>
      <c r="AI224" s="16"/>
      <c r="AJ224" s="16"/>
      <c r="AK224" s="16"/>
      <c r="AL224" s="70"/>
      <c r="AM224" s="16"/>
      <c r="AN224" s="16"/>
      <c r="AO224" s="22"/>
      <c r="AP224" s="15"/>
      <c r="AQ224" s="16"/>
      <c r="AR224" s="16"/>
      <c r="AS224" s="16"/>
      <c r="AT224" s="70"/>
      <c r="AU224" s="16"/>
      <c r="AV224" s="16"/>
      <c r="AW224" s="22"/>
      <c r="AX224" s="15"/>
      <c r="AY224" s="16"/>
      <c r="AZ224" s="16"/>
      <c r="BA224" s="16"/>
      <c r="BB224" s="70"/>
      <c r="BC224" s="16"/>
      <c r="BD224" s="16"/>
      <c r="BE224" s="22"/>
      <c r="BF224" s="13"/>
      <c r="BG224" s="16"/>
      <c r="BH224" s="16"/>
      <c r="BI224" s="16"/>
      <c r="BJ224" s="70"/>
      <c r="BK224" s="16"/>
      <c r="BL224" s="16"/>
      <c r="BM224" s="22"/>
      <c r="BN224" s="15"/>
      <c r="BO224" s="16"/>
      <c r="BP224" s="16"/>
      <c r="BQ224" s="16"/>
      <c r="BR224" s="70"/>
      <c r="BS224" s="16"/>
      <c r="BT224" s="16"/>
      <c r="BU224" s="22"/>
      <c r="BV224" s="15"/>
      <c r="BW224" s="16"/>
      <c r="BX224" s="16"/>
      <c r="BY224" s="16"/>
      <c r="BZ224" s="70"/>
      <c r="CA224" s="16"/>
      <c r="CB224" s="16"/>
      <c r="CC224" s="22"/>
      <c r="CD224" s="15"/>
      <c r="CE224" s="16"/>
      <c r="CF224" s="16"/>
      <c r="CG224" s="16"/>
      <c r="CH224" s="70"/>
      <c r="CI224" s="16"/>
      <c r="CJ224" s="16"/>
      <c r="CK224" s="22"/>
      <c r="CL224" s="15"/>
      <c r="CM224" s="16"/>
      <c r="CN224" s="16"/>
      <c r="CO224" s="16"/>
      <c r="CP224" s="70"/>
      <c r="CQ224" s="70"/>
      <c r="CR224" s="70"/>
    </row>
    <row r="225" spans="1:97" s="21" customFormat="1" ht="5.0999999999999996" customHeight="1" x14ac:dyDescent="0.2">
      <c r="C225" s="25"/>
      <c r="D225" s="25"/>
      <c r="E225" s="70"/>
      <c r="F225" s="70"/>
      <c r="G225" s="70"/>
      <c r="H225" s="920"/>
      <c r="I225" s="920"/>
      <c r="J225" s="920"/>
      <c r="K225" s="25"/>
      <c r="L225" s="918"/>
      <c r="M225" s="1016"/>
      <c r="N225" s="1016"/>
      <c r="O225" s="1016"/>
      <c r="P225" s="1016"/>
      <c r="Q225" s="920"/>
      <c r="R225" s="919"/>
      <c r="S225" s="921"/>
      <c r="T225" s="25"/>
      <c r="U225" s="921"/>
      <c r="V225" s="16"/>
      <c r="W225" s="921"/>
      <c r="X225" s="921"/>
      <c r="Y225" s="923"/>
      <c r="Z225" s="919"/>
      <c r="AA225" s="924"/>
      <c r="AB225" s="920"/>
      <c r="AC225" s="920"/>
      <c r="AD225" s="70"/>
      <c r="AE225" s="921"/>
      <c r="AF225" s="921"/>
      <c r="AG225" s="923"/>
      <c r="AH225" s="919"/>
      <c r="AI225" s="924"/>
      <c r="AJ225" s="920"/>
      <c r="AK225" s="920"/>
      <c r="AL225" s="70"/>
      <c r="AM225" s="921"/>
      <c r="AN225" s="921"/>
      <c r="AO225" s="923"/>
      <c r="AP225" s="919"/>
      <c r="AQ225" s="924"/>
      <c r="AR225" s="920"/>
      <c r="AS225" s="920"/>
      <c r="AT225" s="70"/>
      <c r="AU225" s="921"/>
      <c r="AV225" s="921"/>
      <c r="AW225" s="923"/>
      <c r="AX225" s="919"/>
      <c r="AY225" s="924"/>
      <c r="AZ225" s="920"/>
      <c r="BA225" s="920"/>
      <c r="BB225" s="70"/>
      <c r="BC225" s="921"/>
      <c r="BD225" s="921"/>
      <c r="BE225" s="923"/>
      <c r="BF225" s="919"/>
      <c r="BG225" s="924"/>
      <c r="BH225" s="920"/>
      <c r="BI225" s="920"/>
      <c r="BJ225" s="70"/>
      <c r="BK225" s="921"/>
      <c r="BL225" s="921"/>
      <c r="BM225" s="923"/>
      <c r="BN225" s="919"/>
      <c r="BO225" s="924"/>
      <c r="BP225" s="920"/>
      <c r="BQ225" s="920"/>
      <c r="BR225" s="70"/>
      <c r="BS225" s="921"/>
      <c r="BT225" s="921"/>
      <c r="BU225" s="923"/>
      <c r="BV225" s="919"/>
      <c r="BW225" s="924"/>
      <c r="BX225" s="920"/>
      <c r="BY225" s="920"/>
      <c r="BZ225" s="70"/>
      <c r="CA225" s="921"/>
      <c r="CB225" s="921"/>
      <c r="CC225" s="923"/>
      <c r="CD225" s="919"/>
      <c r="CE225" s="924"/>
      <c r="CF225" s="920"/>
      <c r="CG225" s="920"/>
      <c r="CH225" s="70"/>
      <c r="CI225" s="921"/>
      <c r="CJ225" s="921"/>
      <c r="CK225" s="923"/>
      <c r="CL225" s="919"/>
      <c r="CM225" s="924"/>
      <c r="CN225" s="920"/>
      <c r="CO225" s="920"/>
      <c r="CP225" s="70"/>
      <c r="CQ225" s="920"/>
      <c r="CR225" s="70"/>
    </row>
    <row r="226" spans="1:97" s="21" customFormat="1" ht="3.75" customHeight="1" x14ac:dyDescent="0.2">
      <c r="C226" s="25"/>
      <c r="D226" s="25"/>
      <c r="E226" s="70"/>
      <c r="F226" s="70"/>
      <c r="G226" s="70"/>
      <c r="H226" s="16"/>
      <c r="I226" s="16"/>
      <c r="J226" s="16"/>
      <c r="K226" s="25"/>
      <c r="L226" s="14"/>
      <c r="M226" s="535"/>
      <c r="N226" s="535"/>
      <c r="O226" s="535"/>
      <c r="P226" s="535"/>
      <c r="Q226" s="16"/>
      <c r="R226" s="15"/>
      <c r="S226" s="17"/>
      <c r="T226" s="25"/>
      <c r="U226" s="17"/>
      <c r="V226" s="16"/>
      <c r="W226" s="17"/>
      <c r="X226" s="17"/>
      <c r="Y226" s="18"/>
      <c r="Z226" s="15"/>
      <c r="AA226" s="19"/>
      <c r="AB226" s="16"/>
      <c r="AC226" s="16"/>
      <c r="AD226" s="70"/>
      <c r="AE226" s="17"/>
      <c r="AF226" s="17"/>
      <c r="AG226" s="18"/>
      <c r="AH226" s="15"/>
      <c r="AI226" s="19"/>
      <c r="AJ226" s="16"/>
      <c r="AK226" s="16"/>
      <c r="AL226" s="70"/>
      <c r="AM226" s="17"/>
      <c r="AN226" s="17"/>
      <c r="AO226" s="18"/>
      <c r="AP226" s="15"/>
      <c r="AQ226" s="19"/>
      <c r="AR226" s="16"/>
      <c r="AS226" s="16"/>
      <c r="AT226" s="70"/>
      <c r="AU226" s="17"/>
      <c r="AV226" s="17"/>
      <c r="AW226" s="18"/>
      <c r="AX226" s="15"/>
      <c r="AY226" s="19"/>
      <c r="AZ226" s="16"/>
      <c r="BA226" s="16"/>
      <c r="BB226" s="70"/>
      <c r="BC226" s="17"/>
      <c r="BD226" s="17"/>
      <c r="BE226" s="18"/>
      <c r="BF226" s="15"/>
      <c r="BG226" s="19"/>
      <c r="BH226" s="16"/>
      <c r="BI226" s="16"/>
      <c r="BJ226" s="70"/>
      <c r="BK226" s="17"/>
      <c r="BL226" s="17"/>
      <c r="BM226" s="18"/>
      <c r="BN226" s="15"/>
      <c r="BO226" s="19"/>
      <c r="BP226" s="16"/>
      <c r="BQ226" s="16"/>
      <c r="BR226" s="70"/>
      <c r="BS226" s="17"/>
      <c r="BT226" s="17"/>
      <c r="BU226" s="18"/>
      <c r="BV226" s="15"/>
      <c r="BW226" s="19"/>
      <c r="BX226" s="16"/>
      <c r="BY226" s="16"/>
      <c r="BZ226" s="70"/>
      <c r="CA226" s="17"/>
      <c r="CB226" s="17"/>
      <c r="CC226" s="18"/>
      <c r="CD226" s="15"/>
      <c r="CE226" s="19"/>
      <c r="CF226" s="16"/>
      <c r="CG226" s="16"/>
      <c r="CH226" s="70"/>
      <c r="CI226" s="17"/>
      <c r="CJ226" s="17"/>
      <c r="CK226" s="18"/>
      <c r="CL226" s="15"/>
      <c r="CM226" s="19"/>
      <c r="CN226" s="16"/>
      <c r="CO226" s="16"/>
      <c r="CP226" s="70"/>
      <c r="CQ226" s="16"/>
      <c r="CR226" s="70"/>
    </row>
    <row r="227" spans="1:97" s="21" customFormat="1" ht="12" customHeight="1" x14ac:dyDescent="0.2">
      <c r="C227" s="25"/>
      <c r="D227" s="25"/>
      <c r="E227" s="70"/>
      <c r="F227" s="70"/>
      <c r="G227" s="70"/>
      <c r="H227" s="920"/>
      <c r="I227" s="920"/>
      <c r="J227" s="920"/>
      <c r="K227" s="25"/>
      <c r="L227" s="918"/>
      <c r="M227" s="1016"/>
      <c r="N227" s="1016"/>
      <c r="O227" s="1016"/>
      <c r="P227" s="1016"/>
      <c r="Q227" s="920"/>
      <c r="R227" s="919"/>
      <c r="S227" s="921"/>
      <c r="T227" s="25"/>
      <c r="U227" s="921"/>
      <c r="V227" s="16"/>
      <c r="W227" s="921"/>
      <c r="X227" s="921"/>
      <c r="Y227" s="923"/>
      <c r="Z227" s="919"/>
      <c r="AA227" s="924"/>
      <c r="AB227" s="920"/>
      <c r="AC227" s="920"/>
      <c r="AD227" s="70"/>
      <c r="AE227" s="921"/>
      <c r="AF227" s="921"/>
      <c r="AG227" s="923"/>
      <c r="AH227" s="919"/>
      <c r="AI227" s="924"/>
      <c r="AJ227" s="920"/>
      <c r="AK227" s="920"/>
      <c r="AL227" s="70"/>
      <c r="AM227" s="921"/>
      <c r="AN227" s="921"/>
      <c r="AO227" s="923"/>
      <c r="AP227" s="919"/>
      <c r="AQ227" s="924"/>
      <c r="AR227" s="920"/>
      <c r="AS227" s="920"/>
      <c r="AT227" s="70"/>
      <c r="AU227" s="921"/>
      <c r="AV227" s="921"/>
      <c r="AW227" s="923"/>
      <c r="AX227" s="919"/>
      <c r="AY227" s="924"/>
      <c r="AZ227" s="920"/>
      <c r="BA227" s="920"/>
      <c r="BB227" s="70"/>
      <c r="BC227" s="921"/>
      <c r="BD227" s="921"/>
      <c r="BE227" s="923"/>
      <c r="BF227" s="919"/>
      <c r="BG227" s="924"/>
      <c r="BH227" s="920"/>
      <c r="BI227" s="920"/>
      <c r="BJ227" s="70"/>
      <c r="BK227" s="921"/>
      <c r="BL227" s="921"/>
      <c r="BM227" s="923"/>
      <c r="BN227" s="919"/>
      <c r="BO227" s="924"/>
      <c r="BP227" s="920"/>
      <c r="BQ227" s="920"/>
      <c r="BR227" s="70"/>
      <c r="BS227" s="921"/>
      <c r="BT227" s="921"/>
      <c r="BU227" s="923"/>
      <c r="BV227" s="919"/>
      <c r="BW227" s="924"/>
      <c r="BX227" s="920"/>
      <c r="BY227" s="920"/>
      <c r="BZ227" s="70"/>
      <c r="CA227" s="921"/>
      <c r="CB227" s="921"/>
      <c r="CC227" s="923"/>
      <c r="CD227" s="919"/>
      <c r="CE227" s="924"/>
      <c r="CF227" s="920"/>
      <c r="CG227" s="920"/>
      <c r="CH227" s="70"/>
      <c r="CI227" s="921"/>
      <c r="CJ227" s="921"/>
      <c r="CK227" s="923"/>
      <c r="CL227" s="919"/>
      <c r="CM227" s="924"/>
      <c r="CN227" s="920"/>
      <c r="CO227" s="920"/>
      <c r="CP227" s="70"/>
      <c r="CQ227" s="920"/>
      <c r="CR227" s="70"/>
    </row>
    <row r="228" spans="1:97" s="6281" customFormat="1" ht="50.1" customHeight="1" x14ac:dyDescent="0.2">
      <c r="A228" s="21"/>
      <c r="B228" s="21"/>
      <c r="C228" s="25"/>
      <c r="D228" s="25"/>
      <c r="E228" s="70"/>
      <c r="F228" s="70"/>
      <c r="G228" s="70"/>
      <c r="H228" s="16"/>
      <c r="I228" s="16"/>
      <c r="J228" s="16"/>
      <c r="K228" s="25"/>
      <c r="L228" s="14"/>
      <c r="M228" s="535"/>
      <c r="N228" s="535"/>
      <c r="O228" s="535"/>
      <c r="P228" s="535"/>
      <c r="Q228" s="16"/>
      <c r="R228" s="15"/>
      <c r="S228" s="17"/>
      <c r="T228" s="25"/>
      <c r="U228" s="17"/>
      <c r="V228" s="16"/>
      <c r="W228" s="17"/>
      <c r="X228" s="17"/>
      <c r="Y228" s="18"/>
      <c r="Z228" s="15"/>
      <c r="AA228" s="19"/>
      <c r="AB228" s="16"/>
      <c r="AC228" s="16"/>
      <c r="AD228" s="70"/>
      <c r="AE228" s="17"/>
      <c r="AF228" s="17"/>
      <c r="AG228" s="18"/>
      <c r="AH228" s="15"/>
      <c r="AI228" s="19"/>
      <c r="AJ228" s="16"/>
      <c r="AK228" s="16"/>
      <c r="AL228" s="70"/>
      <c r="AM228" s="17"/>
      <c r="AN228" s="17"/>
      <c r="AO228" s="18"/>
      <c r="AP228" s="15"/>
      <c r="AQ228" s="19"/>
      <c r="AR228" s="16"/>
      <c r="AS228" s="16"/>
      <c r="AT228" s="70"/>
      <c r="AU228" s="17"/>
      <c r="AV228" s="17"/>
      <c r="AW228" s="18"/>
      <c r="AX228" s="15"/>
      <c r="AY228" s="19"/>
      <c r="AZ228" s="16"/>
      <c r="BA228" s="16"/>
      <c r="BB228" s="70"/>
      <c r="BC228" s="17"/>
      <c r="BD228" s="17"/>
      <c r="BE228" s="18"/>
      <c r="BF228" s="15"/>
      <c r="BG228" s="19"/>
      <c r="BH228" s="16"/>
      <c r="BI228" s="16"/>
      <c r="BJ228" s="70"/>
      <c r="BK228" s="17"/>
      <c r="BL228" s="17"/>
      <c r="BM228" s="18"/>
      <c r="BN228" s="15"/>
      <c r="BO228" s="19"/>
      <c r="BP228" s="16"/>
      <c r="BQ228" s="16"/>
      <c r="BR228" s="70"/>
      <c r="BS228" s="17"/>
      <c r="BT228" s="17"/>
      <c r="BU228" s="18"/>
      <c r="BV228" s="15"/>
      <c r="BW228" s="19"/>
      <c r="BX228" s="16"/>
      <c r="BY228" s="16"/>
      <c r="BZ228" s="70"/>
      <c r="CA228" s="17"/>
      <c r="CB228" s="17"/>
      <c r="CC228" s="18"/>
      <c r="CD228" s="15"/>
      <c r="CE228" s="19"/>
      <c r="CF228" s="16"/>
      <c r="CG228" s="16"/>
      <c r="CH228" s="70"/>
      <c r="CI228" s="17"/>
      <c r="CJ228" s="17"/>
      <c r="CK228" s="18"/>
      <c r="CL228" s="15"/>
      <c r="CM228" s="19"/>
      <c r="CN228" s="16"/>
      <c r="CO228" s="16"/>
      <c r="CP228" s="70"/>
      <c r="CQ228" s="16"/>
      <c r="CR228" s="70"/>
    </row>
    <row r="229" spans="1:97" ht="5.0999999999999996" customHeight="1" x14ac:dyDescent="0.2">
      <c r="D229" s="70"/>
      <c r="E229" s="70"/>
      <c r="F229" s="70"/>
      <c r="G229" s="70"/>
      <c r="H229" s="78"/>
      <c r="I229" s="78"/>
      <c r="J229" s="78"/>
      <c r="K229" s="70"/>
      <c r="L229" s="70"/>
      <c r="M229" s="1862"/>
      <c r="N229" s="1862"/>
      <c r="O229" s="1862"/>
      <c r="P229" s="1862"/>
      <c r="Q229" s="2000"/>
      <c r="S229" s="70"/>
      <c r="T229" s="70"/>
      <c r="V229" s="70"/>
      <c r="W229" s="70"/>
      <c r="X229" s="70"/>
      <c r="Y229" s="70"/>
      <c r="CR229" s="6317" t="s">
        <v>2793</v>
      </c>
      <c r="CS229" s="6320" t="s">
        <v>2792</v>
      </c>
    </row>
    <row r="230" spans="1:97" ht="14.25" hidden="1" x14ac:dyDescent="0.2">
      <c r="D230" s="70"/>
      <c r="E230" s="70"/>
      <c r="F230" s="78"/>
      <c r="G230" s="70"/>
      <c r="H230" s="78"/>
      <c r="I230" s="78"/>
      <c r="J230" s="78"/>
      <c r="K230" s="70"/>
      <c r="L230" s="70"/>
      <c r="M230" s="70"/>
      <c r="N230" s="70"/>
      <c r="O230" s="70"/>
      <c r="P230" s="70"/>
      <c r="Q230" s="2000"/>
      <c r="S230" s="70"/>
      <c r="T230" s="70"/>
      <c r="U230" s="70"/>
      <c r="V230" s="70"/>
      <c r="W230" s="70"/>
      <c r="X230" s="70"/>
      <c r="Y230" s="70"/>
    </row>
    <row r="231" spans="1:97" ht="15" hidden="1" customHeight="1" x14ac:dyDescent="0.2">
      <c r="D231" s="70"/>
      <c r="E231" s="70"/>
      <c r="F231" s="78"/>
      <c r="G231" s="78"/>
      <c r="H231" s="78"/>
      <c r="I231" s="78"/>
      <c r="J231" s="78"/>
      <c r="K231" s="70"/>
      <c r="L231" s="70"/>
      <c r="M231" s="70"/>
      <c r="N231" s="70"/>
      <c r="O231" s="70"/>
      <c r="P231" s="70"/>
      <c r="Q231" s="2000"/>
      <c r="S231" s="70"/>
      <c r="T231" s="70"/>
      <c r="U231" s="70"/>
      <c r="V231" s="70"/>
      <c r="W231" s="70"/>
      <c r="X231" s="70"/>
      <c r="Y231" s="70"/>
      <c r="AA231" s="70"/>
      <c r="AB231" s="70"/>
      <c r="AC231" s="70"/>
      <c r="AE231" s="70"/>
      <c r="AF231" s="70"/>
      <c r="AG231" s="70"/>
    </row>
    <row r="232" spans="1:97" ht="15" hidden="1" customHeight="1" x14ac:dyDescent="0.2">
      <c r="D232" s="70"/>
      <c r="E232" s="70"/>
      <c r="F232" s="78"/>
      <c r="G232" s="78"/>
      <c r="H232" s="78"/>
      <c r="I232" s="78"/>
      <c r="J232" s="78"/>
      <c r="K232" s="70"/>
      <c r="L232" s="70"/>
      <c r="M232" s="70"/>
      <c r="N232" s="70"/>
      <c r="O232" s="70"/>
      <c r="P232" s="70"/>
      <c r="Q232" s="2000"/>
      <c r="S232" s="70"/>
      <c r="T232" s="70"/>
      <c r="U232" s="70"/>
      <c r="V232" s="70"/>
      <c r="W232" s="70"/>
      <c r="X232" s="70"/>
      <c r="Y232" s="70"/>
      <c r="AA232" s="70"/>
      <c r="AB232" s="70"/>
      <c r="AC232" s="70"/>
      <c r="AE232" s="70"/>
      <c r="AF232" s="70"/>
      <c r="AG232" s="70"/>
    </row>
    <row r="233" spans="1:97" ht="14.25" hidden="1" x14ac:dyDescent="0.2">
      <c r="D233" s="70"/>
      <c r="E233" s="70"/>
      <c r="F233" s="78"/>
      <c r="G233" s="78"/>
      <c r="H233" s="78"/>
      <c r="I233" s="78"/>
      <c r="J233" s="78"/>
      <c r="K233" s="70"/>
      <c r="L233" s="70"/>
      <c r="M233" s="70"/>
      <c r="N233" s="70"/>
      <c r="O233" s="70"/>
      <c r="P233" s="70"/>
      <c r="Q233" s="2000"/>
      <c r="S233" s="70"/>
      <c r="T233" s="70"/>
      <c r="U233" s="70"/>
      <c r="V233" s="70"/>
      <c r="W233" s="70"/>
      <c r="X233" s="70"/>
      <c r="Y233" s="70"/>
    </row>
    <row r="234" spans="1:97" ht="14.25" hidden="1" x14ac:dyDescent="0.2">
      <c r="D234" s="70"/>
      <c r="E234" s="70"/>
      <c r="F234" s="78"/>
      <c r="G234" s="78"/>
      <c r="H234" s="78"/>
      <c r="I234" s="78"/>
      <c r="J234" s="78"/>
      <c r="K234" s="70"/>
      <c r="L234" s="70"/>
      <c r="M234" s="70"/>
      <c r="N234" s="70"/>
      <c r="O234" s="70"/>
      <c r="P234" s="70"/>
      <c r="Q234" s="2000"/>
      <c r="S234" s="70"/>
      <c r="T234" s="70"/>
      <c r="U234" s="70"/>
      <c r="V234" s="70"/>
      <c r="W234" s="70"/>
      <c r="X234" s="70"/>
      <c r="Y234" s="70"/>
    </row>
    <row r="235" spans="1:97" ht="14.25" hidden="1" x14ac:dyDescent="0.2">
      <c r="D235" s="70"/>
      <c r="E235" s="70"/>
      <c r="F235" s="78"/>
      <c r="G235" s="78"/>
      <c r="H235" s="78"/>
      <c r="I235" s="78"/>
      <c r="J235" s="78"/>
      <c r="K235" s="70"/>
      <c r="L235" s="70"/>
      <c r="M235" s="70"/>
      <c r="N235" s="70"/>
      <c r="O235" s="70"/>
      <c r="P235" s="70"/>
      <c r="Q235" s="2000"/>
      <c r="S235" s="70"/>
      <c r="T235" s="70"/>
      <c r="U235" s="70"/>
      <c r="V235" s="70"/>
      <c r="W235" s="70"/>
      <c r="X235" s="70"/>
      <c r="Y235" s="70"/>
    </row>
    <row r="236" spans="1:97" hidden="1" x14ac:dyDescent="0.2">
      <c r="D236" s="70"/>
      <c r="E236" s="70"/>
      <c r="F236" s="78"/>
      <c r="G236" s="78"/>
      <c r="H236" s="78"/>
      <c r="I236" s="78"/>
      <c r="J236" s="78"/>
      <c r="K236" s="70"/>
      <c r="L236" s="70"/>
      <c r="M236" s="1862"/>
      <c r="N236" s="1862"/>
      <c r="O236" s="1862"/>
      <c r="P236" s="1862"/>
      <c r="Q236" s="2000"/>
      <c r="S236" s="70"/>
      <c r="T236" s="70"/>
      <c r="V236" s="70"/>
      <c r="W236" s="70"/>
      <c r="X236" s="70"/>
      <c r="Y236" s="70"/>
    </row>
    <row r="237" spans="1:97" hidden="1" x14ac:dyDescent="0.2">
      <c r="D237" s="70"/>
      <c r="E237" s="70"/>
      <c r="F237" s="78"/>
      <c r="G237" s="78"/>
      <c r="H237" s="78"/>
      <c r="I237" s="78"/>
      <c r="J237" s="78"/>
      <c r="K237" s="70"/>
      <c r="L237" s="70"/>
      <c r="M237" s="1862"/>
      <c r="N237" s="1862"/>
      <c r="O237" s="1862"/>
      <c r="P237" s="1862"/>
      <c r="Q237" s="2000"/>
      <c r="S237" s="70"/>
      <c r="T237" s="70"/>
      <c r="V237" s="70"/>
      <c r="W237" s="70"/>
      <c r="X237" s="70"/>
      <c r="Y237" s="70"/>
    </row>
    <row r="238" spans="1:97" hidden="1" x14ac:dyDescent="0.2">
      <c r="D238" s="70"/>
      <c r="E238" s="70"/>
      <c r="F238" s="78"/>
      <c r="G238" s="78"/>
      <c r="H238" s="78"/>
      <c r="I238" s="78"/>
      <c r="J238" s="78"/>
      <c r="K238" s="70"/>
      <c r="L238" s="70"/>
      <c r="M238" s="1862"/>
      <c r="N238" s="1862"/>
      <c r="O238" s="1862"/>
      <c r="P238" s="1862"/>
      <c r="Q238" s="2000"/>
      <c r="S238" s="70"/>
      <c r="T238" s="70"/>
      <c r="V238" s="70"/>
      <c r="W238" s="70"/>
      <c r="X238" s="70"/>
      <c r="Y238" s="70"/>
    </row>
    <row r="239" spans="1:97" hidden="1" x14ac:dyDescent="0.2">
      <c r="D239" s="70"/>
      <c r="E239" s="70"/>
      <c r="F239" s="78"/>
      <c r="G239" s="78"/>
      <c r="H239" s="78"/>
      <c r="I239" s="78"/>
      <c r="J239" s="78"/>
      <c r="K239" s="70"/>
      <c r="L239" s="70"/>
      <c r="M239" s="1862"/>
      <c r="N239" s="1862"/>
      <c r="O239" s="1862"/>
      <c r="P239" s="1862"/>
      <c r="Q239" s="2000"/>
      <c r="S239" s="70"/>
      <c r="T239" s="70"/>
      <c r="V239" s="70"/>
      <c r="W239" s="70"/>
      <c r="X239" s="70"/>
      <c r="Y239" s="70"/>
    </row>
    <row r="240" spans="1:97" hidden="1" x14ac:dyDescent="0.2">
      <c r="C240" s="21"/>
      <c r="D240" s="21"/>
      <c r="CL240" s="21"/>
      <c r="CM240" s="21"/>
      <c r="CN240" s="21"/>
      <c r="CO240" s="6285"/>
      <c r="CP240" s="6285"/>
      <c r="CQ240" s="6285"/>
      <c r="CR240" s="6285"/>
    </row>
    <row r="241" spans="3:96" hidden="1" x14ac:dyDescent="0.2">
      <c r="C241" s="21"/>
      <c r="D241" s="21"/>
      <c r="CL241" s="21"/>
      <c r="CM241" s="21"/>
      <c r="CN241" s="21"/>
      <c r="CO241" s="6285"/>
      <c r="CP241" s="6285"/>
      <c r="CQ241" s="6285"/>
      <c r="CR241" s="6285"/>
    </row>
    <row r="242" spans="3:96" hidden="1" x14ac:dyDescent="0.2">
      <c r="C242" s="21"/>
      <c r="D242" s="21"/>
      <c r="CL242" s="21"/>
      <c r="CM242" s="21"/>
      <c r="CN242" s="21"/>
      <c r="CO242" s="6285"/>
      <c r="CP242" s="6285"/>
      <c r="CQ242" s="6285"/>
      <c r="CR242" s="6285"/>
    </row>
    <row r="243" spans="3:96" hidden="1" x14ac:dyDescent="0.2">
      <c r="C243" s="21"/>
      <c r="D243" s="21"/>
      <c r="CL243" s="21"/>
      <c r="CM243" s="21"/>
      <c r="CN243" s="21"/>
      <c r="CO243" s="6285"/>
      <c r="CP243" s="6285"/>
      <c r="CQ243" s="6285"/>
      <c r="CR243" s="6285"/>
    </row>
    <row r="244" spans="3:96" hidden="1" x14ac:dyDescent="0.2">
      <c r="C244" s="21"/>
      <c r="D244" s="21"/>
      <c r="CL244" s="21"/>
      <c r="CM244" s="21"/>
      <c r="CN244" s="21"/>
      <c r="CO244" s="6285"/>
      <c r="CP244" s="6285"/>
      <c r="CQ244" s="6285"/>
      <c r="CR244" s="6285"/>
    </row>
    <row r="245" spans="3:96" hidden="1" x14ac:dyDescent="0.2">
      <c r="C245" s="21"/>
      <c r="D245" s="21"/>
      <c r="CL245" s="21"/>
      <c r="CM245" s="21"/>
      <c r="CN245" s="21"/>
      <c r="CO245" s="6285"/>
      <c r="CP245" s="6285"/>
      <c r="CQ245" s="6285"/>
      <c r="CR245" s="6285"/>
    </row>
    <row r="246" spans="3:96" hidden="1" x14ac:dyDescent="0.2">
      <c r="C246" s="21"/>
      <c r="D246" s="21"/>
      <c r="CL246" s="21"/>
      <c r="CM246" s="21"/>
      <c r="CN246" s="21"/>
      <c r="CO246" s="6285"/>
      <c r="CP246" s="6285"/>
      <c r="CQ246" s="6285"/>
      <c r="CR246" s="6285"/>
    </row>
    <row r="247" spans="3:96" hidden="1" x14ac:dyDescent="0.2">
      <c r="C247" s="21"/>
      <c r="D247" s="21"/>
      <c r="CL247" s="21"/>
      <c r="CM247" s="21"/>
      <c r="CN247" s="21"/>
      <c r="CO247" s="6285"/>
      <c r="CP247" s="6285"/>
      <c r="CQ247" s="6285"/>
      <c r="CR247" s="6285"/>
    </row>
    <row r="248" spans="3:96" ht="30" hidden="1" customHeight="1" x14ac:dyDescent="0.2">
      <c r="C248" s="21"/>
      <c r="D248" s="21"/>
      <c r="E248" s="70"/>
      <c r="F248" s="70"/>
      <c r="G248" s="70"/>
      <c r="Y248" s="22">
        <f>INDEX(outputs_oppsum[Criticalstuff],MATCH(_Calcs!NO40,outputs_oppsum[stuff_id],0))</f>
        <v>0</v>
      </c>
      <c r="AG248" s="22" t="e">
        <f>INDEX(outputs_oppsum[Criticalstuff],MATCH(_Calcs!NP40,outputs_oppsum[stuff_id],0))</f>
        <v>#N/A</v>
      </c>
      <c r="AO248" s="22" t="e">
        <f>INDEX(outputs_oppsum[Criticalstuff],MATCH(_Calcs!NQ40,outputs_oppsum[stuff_id],0))</f>
        <v>#N/A</v>
      </c>
      <c r="AW248" s="22" t="e">
        <f>INDEX(outputs_oppsum[Criticalstuff],MATCH(_Calcs!NR40,outputs_oppsum[stuff_id],0))</f>
        <v>#N/A</v>
      </c>
      <c r="BE248" s="22" t="e">
        <f>INDEX(outputs_oppsum[Criticalstuff],MATCH(_Calcs!NS40,outputs_oppsum[stuff_id],0))</f>
        <v>#N/A</v>
      </c>
      <c r="BM248" s="22" t="e">
        <f>INDEX(outputs_oppsum[Criticalstuff],MATCH(_Calcs!NT40,outputs_oppsum[stuff_id],0))</f>
        <v>#N/A</v>
      </c>
      <c r="BU248" s="22" t="e">
        <f>INDEX(outputs_oppsum[Criticalstuff],MATCH(_Calcs!NU40,outputs_oppsum[stuff_id],0))</f>
        <v>#N/A</v>
      </c>
      <c r="CC248" s="22" t="e">
        <f>INDEX(outputs_oppsum[Criticalstuff],MATCH(_Calcs!NV40,outputs_oppsum[stuff_id],0))</f>
        <v>#N/A</v>
      </c>
      <c r="CK248" s="22" t="e">
        <f>INDEX(outputs_oppsum[Criticalstuff],MATCH(_Calcs!NW40,outputs_oppsum[stuff_id],0))</f>
        <v>#N/A</v>
      </c>
      <c r="CL248" s="21"/>
      <c r="CM248" s="21"/>
      <c r="CN248" s="21"/>
      <c r="CO248" s="6285"/>
      <c r="CP248" s="6285"/>
      <c r="CQ248" s="6285"/>
      <c r="CR248" s="6285"/>
    </row>
    <row r="249" spans="3:96" hidden="1" x14ac:dyDescent="0.2">
      <c r="C249" s="21"/>
      <c r="D249" s="21"/>
      <c r="CL249" s="21"/>
      <c r="CM249" s="21"/>
      <c r="CN249" s="21"/>
      <c r="CO249" s="6285"/>
      <c r="CP249" s="6285"/>
      <c r="CQ249" s="6285"/>
      <c r="CR249" s="6285"/>
    </row>
    <row r="250" spans="3:96" hidden="1" x14ac:dyDescent="0.2">
      <c r="C250" s="21"/>
      <c r="D250" s="21"/>
      <c r="CL250" s="21"/>
      <c r="CM250" s="21"/>
      <c r="CN250" s="21"/>
      <c r="CO250" s="6285"/>
      <c r="CP250" s="6285"/>
      <c r="CQ250" s="6285"/>
      <c r="CR250" s="6285"/>
    </row>
    <row r="251" spans="3:96" hidden="1" x14ac:dyDescent="0.2">
      <c r="C251" s="21"/>
      <c r="D251" s="21"/>
      <c r="CL251" s="21"/>
      <c r="CM251" s="21"/>
      <c r="CN251" s="21"/>
      <c r="CO251" s="6285"/>
      <c r="CP251" s="6285"/>
      <c r="CQ251" s="6285"/>
      <c r="CR251" s="6285"/>
    </row>
    <row r="252" spans="3:96" hidden="1" x14ac:dyDescent="0.2">
      <c r="C252" s="21"/>
      <c r="D252" s="21"/>
      <c r="CL252" s="21"/>
      <c r="CM252" s="21"/>
      <c r="CN252" s="21"/>
      <c r="CO252" s="6285"/>
      <c r="CP252" s="6285"/>
      <c r="CQ252" s="6285"/>
      <c r="CR252" s="6285"/>
    </row>
  </sheetData>
  <sheetProtection algorithmName="SHA-512" hashValue="Sv0pxn1Abvokk5wHbj0F9kIXJUoaNWW/GhhQtZX6svaeTVDgrPs7VD9mleY7bqmhhAnPD1V+uZY0ovSWsnNN4w==" saltValue="dS3PWXgMBV49SzxarPUD9g==" spinCount="100000" sheet="1" objects="1" scenarios="1"/>
  <mergeCells count="143">
    <mergeCell ref="BU223:BW223"/>
    <mergeCell ref="Y223:AA223"/>
    <mergeCell ref="AG223:AI223"/>
    <mergeCell ref="AO223:AQ223"/>
    <mergeCell ref="AW223:AY223"/>
    <mergeCell ref="BE223:BG223"/>
    <mergeCell ref="BM223:BO223"/>
    <mergeCell ref="CC223:CE223"/>
    <mergeCell ref="CK223:CM223"/>
    <mergeCell ref="F38:F85"/>
    <mergeCell ref="H79:J84"/>
    <mergeCell ref="H139:J140"/>
    <mergeCell ref="H213:J218"/>
    <mergeCell ref="R79:R80"/>
    <mergeCell ref="R217:S218"/>
    <mergeCell ref="AG82:AG84"/>
    <mergeCell ref="H32:J34"/>
    <mergeCell ref="R82:R84"/>
    <mergeCell ref="AG79:AG80"/>
    <mergeCell ref="H159:J160"/>
    <mergeCell ref="H92:J98"/>
    <mergeCell ref="H57:J60"/>
    <mergeCell ref="M112:O112"/>
    <mergeCell ref="M8:AA8"/>
    <mergeCell ref="R213:R214"/>
    <mergeCell ref="AA213:AA214"/>
    <mergeCell ref="AA217:AA218"/>
    <mergeCell ref="Y82:Y84"/>
    <mergeCell ref="Y18:AA18"/>
    <mergeCell ref="Y79:Y80"/>
    <mergeCell ref="N13:Y13"/>
    <mergeCell ref="N15:Y15"/>
    <mergeCell ref="M96:R98"/>
    <mergeCell ref="M118:R120"/>
    <mergeCell ref="M213:O214"/>
    <mergeCell ref="H24:J28"/>
    <mergeCell ref="H13:J15"/>
    <mergeCell ref="H41:J43"/>
    <mergeCell ref="H49:J51"/>
    <mergeCell ref="CK18:CM18"/>
    <mergeCell ref="CC18:CE18"/>
    <mergeCell ref="BM213:BM214"/>
    <mergeCell ref="BM217:BM218"/>
    <mergeCell ref="AG18:AI18"/>
    <mergeCell ref="AO18:AQ18"/>
    <mergeCell ref="AW18:AY18"/>
    <mergeCell ref="BE18:BG18"/>
    <mergeCell ref="BM18:BO18"/>
    <mergeCell ref="AG213:AG214"/>
    <mergeCell ref="AO213:AO214"/>
    <mergeCell ref="AW213:AW214"/>
    <mergeCell ref="AW217:AW218"/>
    <mergeCell ref="BE79:BE80"/>
    <mergeCell ref="AG217:AG218"/>
    <mergeCell ref="CM79:CM80"/>
    <mergeCell ref="BO82:BO84"/>
    <mergeCell ref="CK82:CK84"/>
    <mergeCell ref="CM82:CM84"/>
    <mergeCell ref="CK79:CK80"/>
    <mergeCell ref="Y221:AA221"/>
    <mergeCell ref="AG221:AI221"/>
    <mergeCell ref="CK213:CK214"/>
    <mergeCell ref="CK217:CK218"/>
    <mergeCell ref="Y213:Y214"/>
    <mergeCell ref="Y217:Y218"/>
    <mergeCell ref="CK221:CM221"/>
    <mergeCell ref="BO213:BO214"/>
    <mergeCell ref="BU213:BU214"/>
    <mergeCell ref="BU217:BU218"/>
    <mergeCell ref="AY217:AY218"/>
    <mergeCell ref="BG217:BG218"/>
    <mergeCell ref="BO217:BO218"/>
    <mergeCell ref="BW213:BW214"/>
    <mergeCell ref="CE213:CE214"/>
    <mergeCell ref="CM213:CM214"/>
    <mergeCell ref="BW217:BW218"/>
    <mergeCell ref="CE217:CE218"/>
    <mergeCell ref="CM217:CM218"/>
    <mergeCell ref="CC213:CC214"/>
    <mergeCell ref="AQ213:AQ214"/>
    <mergeCell ref="AI213:AI214"/>
    <mergeCell ref="BM221:BO221"/>
    <mergeCell ref="AO221:AQ221"/>
    <mergeCell ref="AW221:AY221"/>
    <mergeCell ref="BE221:BG221"/>
    <mergeCell ref="BU221:BW221"/>
    <mergeCell ref="CC221:CE221"/>
    <mergeCell ref="AQ217:AQ218"/>
    <mergeCell ref="BU18:BW18"/>
    <mergeCell ref="BE213:BE214"/>
    <mergeCell ref="AO79:AO80"/>
    <mergeCell ref="AW79:AW80"/>
    <mergeCell ref="AO82:AO84"/>
    <mergeCell ref="AW82:AW84"/>
    <mergeCell ref="AY213:AY214"/>
    <mergeCell ref="BG213:BG214"/>
    <mergeCell ref="BE217:BE218"/>
    <mergeCell ref="AO217:AO218"/>
    <mergeCell ref="CE79:CE80"/>
    <mergeCell ref="CE82:CE84"/>
    <mergeCell ref="BG129:BG130"/>
    <mergeCell ref="BM129:BM130"/>
    <mergeCell ref="BU79:BU80"/>
    <mergeCell ref="BW79:BW80"/>
    <mergeCell ref="CC82:CC84"/>
    <mergeCell ref="BG79:BG80"/>
    <mergeCell ref="CC217:CC218"/>
    <mergeCell ref="AI217:AI218"/>
    <mergeCell ref="BE82:BE84"/>
    <mergeCell ref="AA79:AA80"/>
    <mergeCell ref="AA82:AA84"/>
    <mergeCell ref="AI79:AI80"/>
    <mergeCell ref="AI82:AI84"/>
    <mergeCell ref="AQ79:AQ80"/>
    <mergeCell ref="AQ82:AQ84"/>
    <mergeCell ref="AY79:AY80"/>
    <mergeCell ref="AY82:AY84"/>
    <mergeCell ref="AA129:AA130"/>
    <mergeCell ref="AG129:AG130"/>
    <mergeCell ref="AI129:AI130"/>
    <mergeCell ref="AO129:AO130"/>
    <mergeCell ref="AQ129:AQ130"/>
    <mergeCell ref="AW129:AW130"/>
    <mergeCell ref="AY129:AY130"/>
    <mergeCell ref="BE129:BE130"/>
    <mergeCell ref="CE129:CE130"/>
    <mergeCell ref="CK129:CK130"/>
    <mergeCell ref="CM129:CM130"/>
    <mergeCell ref="R129:R130"/>
    <mergeCell ref="M79:O80"/>
    <mergeCell ref="Y129:Y130"/>
    <mergeCell ref="BW82:BW84"/>
    <mergeCell ref="CC79:CC80"/>
    <mergeCell ref="M127:O127"/>
    <mergeCell ref="BG82:BG84"/>
    <mergeCell ref="BM79:BM80"/>
    <mergeCell ref="BO79:BO80"/>
    <mergeCell ref="BM82:BM84"/>
    <mergeCell ref="BU82:BU84"/>
    <mergeCell ref="BO129:BO130"/>
    <mergeCell ref="BU129:BU130"/>
    <mergeCell ref="BW129:BW130"/>
    <mergeCell ref="CC129:CC130"/>
  </mergeCells>
  <conditionalFormatting sqref="AA27">
    <cfRule type="containsText" dxfId="4458" priority="2441" operator="containsText" text="✓">
      <formula>NOT(ISERROR(SEARCH("✓",AA27)))</formula>
    </cfRule>
  </conditionalFormatting>
  <conditionalFormatting sqref="AA41">
    <cfRule type="containsText" dxfId="4457" priority="2440" operator="containsText" text="✓">
      <formula>NOT(ISERROR(SEARCH("✓",AA41)))</formula>
    </cfRule>
  </conditionalFormatting>
  <conditionalFormatting sqref="AA203 AA201">
    <cfRule type="containsText" dxfId="4456" priority="2439" operator="containsText" text="✓">
      <formula>NOT(ISERROR(SEARCH("✓",AA201)))</formula>
    </cfRule>
  </conditionalFormatting>
  <conditionalFormatting sqref="AA43">
    <cfRule type="containsText" dxfId="4455" priority="2438" operator="containsText" text="✓">
      <formula>NOT(ISERROR(SEARCH("✓",AA43)))</formula>
    </cfRule>
  </conditionalFormatting>
  <conditionalFormatting sqref="AA49">
    <cfRule type="containsText" dxfId="4454" priority="2437" operator="containsText" text="✓">
      <formula>NOT(ISERROR(SEARCH("✓",AA49)))</formula>
    </cfRule>
  </conditionalFormatting>
  <conditionalFormatting sqref="AA61">
    <cfRule type="containsText" dxfId="4453" priority="2434" operator="containsText" text="✓">
      <formula>NOT(ISERROR(SEARCH("✓",AA61)))</formula>
    </cfRule>
  </conditionalFormatting>
  <conditionalFormatting sqref="AA163">
    <cfRule type="containsText" dxfId="4452" priority="2431" operator="containsText" text="✓">
      <formula>NOT(ISERROR(SEARCH("✓",AA163)))</formula>
    </cfRule>
  </conditionalFormatting>
  <conditionalFormatting sqref="AA13">
    <cfRule type="containsText" dxfId="4451" priority="2430" operator="containsText" text="✓">
      <formula>NOT(ISERROR(SEARCH("✓",AA13)))</formula>
    </cfRule>
  </conditionalFormatting>
  <conditionalFormatting sqref="AA165">
    <cfRule type="containsText" dxfId="4450" priority="2426" operator="containsText" text="✓">
      <formula>NOT(ISERROR(SEARCH("✓",AA165)))</formula>
    </cfRule>
  </conditionalFormatting>
  <conditionalFormatting sqref="AA169">
    <cfRule type="containsText" dxfId="4449" priority="2424" operator="containsText" text="✓">
      <formula>NOT(ISERROR(SEARCH("✓",AA169)))</formula>
    </cfRule>
  </conditionalFormatting>
  <conditionalFormatting sqref="AA167">
    <cfRule type="containsText" dxfId="4448" priority="2425" operator="containsText" text="✓">
      <formula>NOT(ISERROR(SEARCH("✓",AA167)))</formula>
    </cfRule>
  </conditionalFormatting>
  <conditionalFormatting sqref="AA171">
    <cfRule type="containsText" dxfId="4447" priority="2423" operator="containsText" text="✓">
      <formula>NOT(ISERROR(SEARCH("✓",AA171)))</formula>
    </cfRule>
  </conditionalFormatting>
  <conditionalFormatting sqref="AA173">
    <cfRule type="containsText" dxfId="4446" priority="2422" operator="containsText" text="✓">
      <formula>NOT(ISERROR(SEARCH("✓",AA173)))</formula>
    </cfRule>
  </conditionalFormatting>
  <conditionalFormatting sqref="AA79:AA80">
    <cfRule type="containsText" dxfId="4445" priority="2023" operator="containsText" text="✓">
      <formula>NOT(ISERROR(SEARCH("✓",AA79)))</formula>
    </cfRule>
  </conditionalFormatting>
  <conditionalFormatting sqref="AA82:AA84">
    <cfRule type="containsText" dxfId="4444" priority="2021" operator="containsText" text="✓">
      <formula>NOT(ISERROR(SEARCH("✓",AA82)))</formula>
    </cfRule>
  </conditionalFormatting>
  <conditionalFormatting sqref="AA139 AA145">
    <cfRule type="expression" dxfId="4443" priority="1889">
      <formula>AA139="✓"</formula>
    </cfRule>
  </conditionalFormatting>
  <conditionalFormatting sqref="AA149">
    <cfRule type="expression" dxfId="4442" priority="1886">
      <formula>AA149="✓"</formula>
    </cfRule>
  </conditionalFormatting>
  <conditionalFormatting sqref="AA145">
    <cfRule type="expression" dxfId="4441" priority="1884">
      <formula>AA145="✓"</formula>
    </cfRule>
  </conditionalFormatting>
  <conditionalFormatting sqref="AA151">
    <cfRule type="expression" dxfId="4440" priority="1786">
      <formula>AA151="✓"</formula>
    </cfRule>
  </conditionalFormatting>
  <conditionalFormatting sqref="AA105">
    <cfRule type="containsText" dxfId="4439" priority="1499" operator="containsText" text="✓">
      <formula>NOT(ISERROR(SEARCH("✓",AA105)))</formula>
    </cfRule>
  </conditionalFormatting>
  <conditionalFormatting sqref="AA121">
    <cfRule type="containsText" dxfId="4438" priority="1383" operator="containsText" text="✓">
      <formula>NOT(ISERROR(SEARCH("✓",AA121)))</formula>
    </cfRule>
  </conditionalFormatting>
  <conditionalFormatting sqref="AA51">
    <cfRule type="containsText" dxfId="4437" priority="1355" operator="containsText" text="✓">
      <formula>NOT(ISERROR(SEARCH("✓",AA51)))</formula>
    </cfRule>
  </conditionalFormatting>
  <conditionalFormatting sqref="AA63">
    <cfRule type="containsText" dxfId="4436" priority="1354" operator="containsText" text="✓">
      <formula>NOT(ISERROR(SEARCH("✓",AA63)))</formula>
    </cfRule>
  </conditionalFormatting>
  <conditionalFormatting sqref="AA65">
    <cfRule type="containsText" dxfId="4435" priority="1353" operator="containsText" text="✓">
      <formula>NOT(ISERROR(SEARCH("✓",AA65)))</formula>
    </cfRule>
  </conditionalFormatting>
  <conditionalFormatting sqref="AA67">
    <cfRule type="containsText" dxfId="4434" priority="1352" operator="containsText" text="✓">
      <formula>NOT(ISERROR(SEARCH("✓",AA67)))</formula>
    </cfRule>
  </conditionalFormatting>
  <conditionalFormatting sqref="AA69">
    <cfRule type="containsText" dxfId="4433" priority="1351" operator="containsText" text="✓">
      <formula>NOT(ISERROR(SEARCH("✓",AA69)))</formula>
    </cfRule>
  </conditionalFormatting>
  <conditionalFormatting sqref="AA71">
    <cfRule type="containsText" dxfId="4432" priority="1350" operator="containsText" text="✓">
      <formula>NOT(ISERROR(SEARCH("✓",AA71)))</formula>
    </cfRule>
  </conditionalFormatting>
  <conditionalFormatting sqref="AI139 AI145">
    <cfRule type="expression" dxfId="4431" priority="1349">
      <formula>AI139="✓"</formula>
    </cfRule>
  </conditionalFormatting>
  <conditionalFormatting sqref="AI149">
    <cfRule type="expression" dxfId="4430" priority="1348">
      <formula>AI149="✓"</formula>
    </cfRule>
  </conditionalFormatting>
  <conditionalFormatting sqref="AI145">
    <cfRule type="expression" dxfId="4429" priority="1347">
      <formula>AI145="✓"</formula>
    </cfRule>
  </conditionalFormatting>
  <conditionalFormatting sqref="AI151">
    <cfRule type="expression" dxfId="4428" priority="1346">
      <formula>AI151="✓"</formula>
    </cfRule>
  </conditionalFormatting>
  <conditionalFormatting sqref="AQ139 AQ145">
    <cfRule type="expression" dxfId="4427" priority="1345">
      <formula>AQ139="✓"</formula>
    </cfRule>
  </conditionalFormatting>
  <conditionalFormatting sqref="AQ149">
    <cfRule type="expression" dxfId="4426" priority="1344">
      <formula>AQ149="✓"</formula>
    </cfRule>
  </conditionalFormatting>
  <conditionalFormatting sqref="AQ145">
    <cfRule type="expression" dxfId="4425" priority="1343">
      <formula>AQ145="✓"</formula>
    </cfRule>
  </conditionalFormatting>
  <conditionalFormatting sqref="AQ151">
    <cfRule type="expression" dxfId="4424" priority="1342">
      <formula>AQ151="✓"</formula>
    </cfRule>
  </conditionalFormatting>
  <conditionalFormatting sqref="AY139 AY145">
    <cfRule type="expression" dxfId="4423" priority="1341">
      <formula>AY139="✓"</formula>
    </cfRule>
  </conditionalFormatting>
  <conditionalFormatting sqref="AY149">
    <cfRule type="expression" dxfId="4422" priority="1340">
      <formula>AY149="✓"</formula>
    </cfRule>
  </conditionalFormatting>
  <conditionalFormatting sqref="AY145">
    <cfRule type="expression" dxfId="4421" priority="1339">
      <formula>AY145="✓"</formula>
    </cfRule>
  </conditionalFormatting>
  <conditionalFormatting sqref="AY151">
    <cfRule type="expression" dxfId="4420" priority="1338">
      <formula>AY151="✓"</formula>
    </cfRule>
  </conditionalFormatting>
  <conditionalFormatting sqref="BG139 BG145">
    <cfRule type="expression" dxfId="4419" priority="1337">
      <formula>BG139="✓"</formula>
    </cfRule>
  </conditionalFormatting>
  <conditionalFormatting sqref="BG149">
    <cfRule type="expression" dxfId="4418" priority="1336">
      <formula>BG149="✓"</formula>
    </cfRule>
  </conditionalFormatting>
  <conditionalFormatting sqref="BG145">
    <cfRule type="expression" dxfId="4417" priority="1335">
      <formula>BG145="✓"</formula>
    </cfRule>
  </conditionalFormatting>
  <conditionalFormatting sqref="BG151">
    <cfRule type="expression" dxfId="4416" priority="1334">
      <formula>BG151="✓"</formula>
    </cfRule>
  </conditionalFormatting>
  <conditionalFormatting sqref="BO139 BO145">
    <cfRule type="expression" dxfId="4415" priority="1333">
      <formula>BO139="✓"</formula>
    </cfRule>
  </conditionalFormatting>
  <conditionalFormatting sqref="BO149">
    <cfRule type="expression" dxfId="4414" priority="1332">
      <formula>BO149="✓"</formula>
    </cfRule>
  </conditionalFormatting>
  <conditionalFormatting sqref="BO145">
    <cfRule type="expression" dxfId="4413" priority="1331">
      <formula>BO145="✓"</formula>
    </cfRule>
  </conditionalFormatting>
  <conditionalFormatting sqref="BO151">
    <cfRule type="expression" dxfId="4412" priority="1330">
      <formula>BO151="✓"</formula>
    </cfRule>
  </conditionalFormatting>
  <conditionalFormatting sqref="BW139 BW145">
    <cfRule type="expression" dxfId="4411" priority="1329">
      <formula>BW139="✓"</formula>
    </cfRule>
  </conditionalFormatting>
  <conditionalFormatting sqref="BW149">
    <cfRule type="expression" dxfId="4410" priority="1328">
      <formula>BW149="✓"</formula>
    </cfRule>
  </conditionalFormatting>
  <conditionalFormatting sqref="BW145">
    <cfRule type="expression" dxfId="4409" priority="1327">
      <formula>BW145="✓"</formula>
    </cfRule>
  </conditionalFormatting>
  <conditionalFormatting sqref="BW151">
    <cfRule type="expression" dxfId="4408" priority="1326">
      <formula>BW151="✓"</formula>
    </cfRule>
  </conditionalFormatting>
  <conditionalFormatting sqref="CE139 CE145">
    <cfRule type="expression" dxfId="4407" priority="1325">
      <formula>CE139="✓"</formula>
    </cfRule>
  </conditionalFormatting>
  <conditionalFormatting sqref="CE149">
    <cfRule type="expression" dxfId="4406" priority="1324">
      <formula>CE149="✓"</formula>
    </cfRule>
  </conditionalFormatting>
  <conditionalFormatting sqref="CE145">
    <cfRule type="expression" dxfId="4405" priority="1323">
      <formula>CE145="✓"</formula>
    </cfRule>
  </conditionalFormatting>
  <conditionalFormatting sqref="CE151">
    <cfRule type="expression" dxfId="4404" priority="1322">
      <formula>CE151="✓"</formula>
    </cfRule>
  </conditionalFormatting>
  <conditionalFormatting sqref="CM139 CM145">
    <cfRule type="expression" dxfId="4403" priority="1321">
      <formula>CM139="✓"</formula>
    </cfRule>
  </conditionalFormatting>
  <conditionalFormatting sqref="CM149">
    <cfRule type="expression" dxfId="4402" priority="1320">
      <formula>CM149="✓"</formula>
    </cfRule>
  </conditionalFormatting>
  <conditionalFormatting sqref="CM145">
    <cfRule type="expression" dxfId="4401" priority="1319">
      <formula>CM145="✓"</formula>
    </cfRule>
  </conditionalFormatting>
  <conditionalFormatting sqref="CM151">
    <cfRule type="expression" dxfId="4400" priority="1318">
      <formula>CM151="✓"</formula>
    </cfRule>
  </conditionalFormatting>
  <conditionalFormatting sqref="AI105">
    <cfRule type="containsText" dxfId="4399" priority="1316" operator="containsText" text="✓">
      <formula>NOT(ISERROR(SEARCH("✓",AI105)))</formula>
    </cfRule>
  </conditionalFormatting>
  <conditionalFormatting sqref="AI121">
    <cfRule type="containsText" dxfId="4398" priority="1315" operator="containsText" text="✓">
      <formula>NOT(ISERROR(SEARCH("✓",AI121)))</formula>
    </cfRule>
  </conditionalFormatting>
  <conditionalFormatting sqref="AQ105">
    <cfRule type="containsText" dxfId="4397" priority="1313" operator="containsText" text="✓">
      <formula>NOT(ISERROR(SEARCH("✓",AQ105)))</formula>
    </cfRule>
  </conditionalFormatting>
  <conditionalFormatting sqref="AQ121">
    <cfRule type="containsText" dxfId="4396" priority="1312" operator="containsText" text="✓">
      <formula>NOT(ISERROR(SEARCH("✓",AQ121)))</formula>
    </cfRule>
  </conditionalFormatting>
  <conditionalFormatting sqref="AY105">
    <cfRule type="containsText" dxfId="4395" priority="1310" operator="containsText" text="✓">
      <formula>NOT(ISERROR(SEARCH("✓",AY105)))</formula>
    </cfRule>
  </conditionalFormatting>
  <conditionalFormatting sqref="AY121">
    <cfRule type="containsText" dxfId="4394" priority="1309" operator="containsText" text="✓">
      <formula>NOT(ISERROR(SEARCH("✓",AY121)))</formula>
    </cfRule>
  </conditionalFormatting>
  <conditionalFormatting sqref="BG105">
    <cfRule type="containsText" dxfId="4393" priority="1307" operator="containsText" text="✓">
      <formula>NOT(ISERROR(SEARCH("✓",BG105)))</formula>
    </cfRule>
  </conditionalFormatting>
  <conditionalFormatting sqref="BG121">
    <cfRule type="containsText" dxfId="4392" priority="1306" operator="containsText" text="✓">
      <formula>NOT(ISERROR(SEARCH("✓",BG121)))</formula>
    </cfRule>
  </conditionalFormatting>
  <conditionalFormatting sqref="BO105">
    <cfRule type="containsText" dxfId="4391" priority="1304" operator="containsText" text="✓">
      <formula>NOT(ISERROR(SEARCH("✓",BO105)))</formula>
    </cfRule>
  </conditionalFormatting>
  <conditionalFormatting sqref="BO121">
    <cfRule type="containsText" dxfId="4390" priority="1303" operator="containsText" text="✓">
      <formula>NOT(ISERROR(SEARCH("✓",BO121)))</formula>
    </cfRule>
  </conditionalFormatting>
  <conditionalFormatting sqref="BW105">
    <cfRule type="containsText" dxfId="4389" priority="1301" operator="containsText" text="✓">
      <formula>NOT(ISERROR(SEARCH("✓",BW105)))</formula>
    </cfRule>
  </conditionalFormatting>
  <conditionalFormatting sqref="BW121">
    <cfRule type="containsText" dxfId="4388" priority="1300" operator="containsText" text="✓">
      <formula>NOT(ISERROR(SEARCH("✓",BW121)))</formula>
    </cfRule>
  </conditionalFormatting>
  <conditionalFormatting sqref="CE105">
    <cfRule type="containsText" dxfId="4387" priority="1298" operator="containsText" text="✓">
      <formula>NOT(ISERROR(SEARCH("✓",CE105)))</formula>
    </cfRule>
  </conditionalFormatting>
  <conditionalFormatting sqref="CE121">
    <cfRule type="containsText" dxfId="4386" priority="1297" operator="containsText" text="✓">
      <formula>NOT(ISERROR(SEARCH("✓",CE121)))</formula>
    </cfRule>
  </conditionalFormatting>
  <conditionalFormatting sqref="CM105">
    <cfRule type="containsText" dxfId="4385" priority="1295" operator="containsText" text="✓">
      <formula>NOT(ISERROR(SEARCH("✓",CM105)))</formula>
    </cfRule>
  </conditionalFormatting>
  <conditionalFormatting sqref="CM121">
    <cfRule type="containsText" dxfId="4384" priority="1294" operator="containsText" text="✓">
      <formula>NOT(ISERROR(SEARCH("✓",CM121)))</formula>
    </cfRule>
  </conditionalFormatting>
  <conditionalFormatting sqref="AI27">
    <cfRule type="containsText" dxfId="4383" priority="1293" operator="containsText" text="✓">
      <formula>NOT(ISERROR(SEARCH("✓",AI27)))</formula>
    </cfRule>
  </conditionalFormatting>
  <conditionalFormatting sqref="AI41">
    <cfRule type="containsText" dxfId="4382" priority="1292" operator="containsText" text="✓">
      <formula>NOT(ISERROR(SEARCH("✓",AI41)))</formula>
    </cfRule>
  </conditionalFormatting>
  <conditionalFormatting sqref="AI43">
    <cfRule type="containsText" dxfId="4381" priority="1291" operator="containsText" text="✓">
      <formula>NOT(ISERROR(SEARCH("✓",AI43)))</formula>
    </cfRule>
  </conditionalFormatting>
  <conditionalFormatting sqref="AI49">
    <cfRule type="containsText" dxfId="4380" priority="1290" operator="containsText" text="✓">
      <formula>NOT(ISERROR(SEARCH("✓",AI49)))</formula>
    </cfRule>
  </conditionalFormatting>
  <conditionalFormatting sqref="AI61">
    <cfRule type="containsText" dxfId="4379" priority="1289" operator="containsText" text="✓">
      <formula>NOT(ISERROR(SEARCH("✓",AI61)))</formula>
    </cfRule>
  </conditionalFormatting>
  <conditionalFormatting sqref="AI79:AI80">
    <cfRule type="containsText" dxfId="4378" priority="1288" operator="containsText" text="✓">
      <formula>NOT(ISERROR(SEARCH("✓",AI79)))</formula>
    </cfRule>
  </conditionalFormatting>
  <conditionalFormatting sqref="AI82:AI84">
    <cfRule type="containsText" dxfId="4377" priority="1287" operator="containsText" text="✓">
      <formula>NOT(ISERROR(SEARCH("✓",AI82)))</formula>
    </cfRule>
  </conditionalFormatting>
  <conditionalFormatting sqref="AI51">
    <cfRule type="containsText" dxfId="4376" priority="1286" operator="containsText" text="✓">
      <formula>NOT(ISERROR(SEARCH("✓",AI51)))</formula>
    </cfRule>
  </conditionalFormatting>
  <conditionalFormatting sqref="AI63">
    <cfRule type="containsText" dxfId="4375" priority="1285" operator="containsText" text="✓">
      <formula>NOT(ISERROR(SEARCH("✓",AI63)))</formula>
    </cfRule>
  </conditionalFormatting>
  <conditionalFormatting sqref="AI65">
    <cfRule type="containsText" dxfId="4374" priority="1284" operator="containsText" text="✓">
      <formula>NOT(ISERROR(SEARCH("✓",AI65)))</formula>
    </cfRule>
  </conditionalFormatting>
  <conditionalFormatting sqref="AI67">
    <cfRule type="containsText" dxfId="4373" priority="1283" operator="containsText" text="✓">
      <formula>NOT(ISERROR(SEARCH("✓",AI67)))</formula>
    </cfRule>
  </conditionalFormatting>
  <conditionalFormatting sqref="AI69">
    <cfRule type="containsText" dxfId="4372" priority="1282" operator="containsText" text="✓">
      <formula>NOT(ISERROR(SEARCH("✓",AI69)))</formula>
    </cfRule>
  </conditionalFormatting>
  <conditionalFormatting sqref="AI71">
    <cfRule type="containsText" dxfId="4371" priority="1281" operator="containsText" text="✓">
      <formula>NOT(ISERROR(SEARCH("✓",AI71)))</formula>
    </cfRule>
  </conditionalFormatting>
  <conditionalFormatting sqref="AQ27">
    <cfRule type="containsText" dxfId="4370" priority="1280" operator="containsText" text="✓">
      <formula>NOT(ISERROR(SEARCH("✓",AQ27)))</formula>
    </cfRule>
  </conditionalFormatting>
  <conditionalFormatting sqref="AQ41">
    <cfRule type="containsText" dxfId="4369" priority="1279" operator="containsText" text="✓">
      <formula>NOT(ISERROR(SEARCH("✓",AQ41)))</formula>
    </cfRule>
  </conditionalFormatting>
  <conditionalFormatting sqref="AQ43">
    <cfRule type="containsText" dxfId="4368" priority="1278" operator="containsText" text="✓">
      <formula>NOT(ISERROR(SEARCH("✓",AQ43)))</formula>
    </cfRule>
  </conditionalFormatting>
  <conditionalFormatting sqref="AQ49">
    <cfRule type="containsText" dxfId="4367" priority="1277" operator="containsText" text="✓">
      <formula>NOT(ISERROR(SEARCH("✓",AQ49)))</formula>
    </cfRule>
  </conditionalFormatting>
  <conditionalFormatting sqref="AQ61">
    <cfRule type="containsText" dxfId="4366" priority="1276" operator="containsText" text="✓">
      <formula>NOT(ISERROR(SEARCH("✓",AQ61)))</formula>
    </cfRule>
  </conditionalFormatting>
  <conditionalFormatting sqref="AQ79:AQ80">
    <cfRule type="containsText" dxfId="4365" priority="1275" operator="containsText" text="✓">
      <formula>NOT(ISERROR(SEARCH("✓",AQ79)))</formula>
    </cfRule>
  </conditionalFormatting>
  <conditionalFormatting sqref="AQ82:AQ84">
    <cfRule type="containsText" dxfId="4364" priority="1274" operator="containsText" text="✓">
      <formula>NOT(ISERROR(SEARCH("✓",AQ82)))</formula>
    </cfRule>
  </conditionalFormatting>
  <conditionalFormatting sqref="AQ51">
    <cfRule type="containsText" dxfId="4363" priority="1273" operator="containsText" text="✓">
      <formula>NOT(ISERROR(SEARCH("✓",AQ51)))</formula>
    </cfRule>
  </conditionalFormatting>
  <conditionalFormatting sqref="AQ63">
    <cfRule type="containsText" dxfId="4362" priority="1272" operator="containsText" text="✓">
      <formula>NOT(ISERROR(SEARCH("✓",AQ63)))</formula>
    </cfRule>
  </conditionalFormatting>
  <conditionalFormatting sqref="AQ65">
    <cfRule type="containsText" dxfId="4361" priority="1271" operator="containsText" text="✓">
      <formula>NOT(ISERROR(SEARCH("✓",AQ65)))</formula>
    </cfRule>
  </conditionalFormatting>
  <conditionalFormatting sqref="AQ67">
    <cfRule type="containsText" dxfId="4360" priority="1270" operator="containsText" text="✓">
      <formula>NOT(ISERROR(SEARCH("✓",AQ67)))</formula>
    </cfRule>
  </conditionalFormatting>
  <conditionalFormatting sqref="AQ69">
    <cfRule type="containsText" dxfId="4359" priority="1269" operator="containsText" text="✓">
      <formula>NOT(ISERROR(SEARCH("✓",AQ69)))</formula>
    </cfRule>
  </conditionalFormatting>
  <conditionalFormatting sqref="AQ71">
    <cfRule type="containsText" dxfId="4358" priority="1268" operator="containsText" text="✓">
      <formula>NOT(ISERROR(SEARCH("✓",AQ71)))</formula>
    </cfRule>
  </conditionalFormatting>
  <conditionalFormatting sqref="AY27">
    <cfRule type="containsText" dxfId="4357" priority="1267" operator="containsText" text="✓">
      <formula>NOT(ISERROR(SEARCH("✓",AY27)))</formula>
    </cfRule>
  </conditionalFormatting>
  <conditionalFormatting sqref="AY41">
    <cfRule type="containsText" dxfId="4356" priority="1266" operator="containsText" text="✓">
      <formula>NOT(ISERROR(SEARCH("✓",AY41)))</formula>
    </cfRule>
  </conditionalFormatting>
  <conditionalFormatting sqref="AY43">
    <cfRule type="containsText" dxfId="4355" priority="1265" operator="containsText" text="✓">
      <formula>NOT(ISERROR(SEARCH("✓",AY43)))</formula>
    </cfRule>
  </conditionalFormatting>
  <conditionalFormatting sqref="AY49">
    <cfRule type="containsText" dxfId="4354" priority="1264" operator="containsText" text="✓">
      <formula>NOT(ISERROR(SEARCH("✓",AY49)))</formula>
    </cfRule>
  </conditionalFormatting>
  <conditionalFormatting sqref="AY61">
    <cfRule type="containsText" dxfId="4353" priority="1263" operator="containsText" text="✓">
      <formula>NOT(ISERROR(SEARCH("✓",AY61)))</formula>
    </cfRule>
  </conditionalFormatting>
  <conditionalFormatting sqref="AY79:AY80">
    <cfRule type="containsText" dxfId="4352" priority="1262" operator="containsText" text="✓">
      <formula>NOT(ISERROR(SEARCH("✓",AY79)))</formula>
    </cfRule>
  </conditionalFormatting>
  <conditionalFormatting sqref="AY82:AY84">
    <cfRule type="containsText" dxfId="4351" priority="1261" operator="containsText" text="✓">
      <formula>NOT(ISERROR(SEARCH("✓",AY82)))</formula>
    </cfRule>
  </conditionalFormatting>
  <conditionalFormatting sqref="AY51">
    <cfRule type="containsText" dxfId="4350" priority="1260" operator="containsText" text="✓">
      <formula>NOT(ISERROR(SEARCH("✓",AY51)))</formula>
    </cfRule>
  </conditionalFormatting>
  <conditionalFormatting sqref="AY63">
    <cfRule type="containsText" dxfId="4349" priority="1259" operator="containsText" text="✓">
      <formula>NOT(ISERROR(SEARCH("✓",AY63)))</formula>
    </cfRule>
  </conditionalFormatting>
  <conditionalFormatting sqref="AY65">
    <cfRule type="containsText" dxfId="4348" priority="1258" operator="containsText" text="✓">
      <formula>NOT(ISERROR(SEARCH("✓",AY65)))</formula>
    </cfRule>
  </conditionalFormatting>
  <conditionalFormatting sqref="AY67">
    <cfRule type="containsText" dxfId="4347" priority="1257" operator="containsText" text="✓">
      <formula>NOT(ISERROR(SEARCH("✓",AY67)))</formula>
    </cfRule>
  </conditionalFormatting>
  <conditionalFormatting sqref="AY69">
    <cfRule type="containsText" dxfId="4346" priority="1256" operator="containsText" text="✓">
      <formula>NOT(ISERROR(SEARCH("✓",AY69)))</formula>
    </cfRule>
  </conditionalFormatting>
  <conditionalFormatting sqref="AY71">
    <cfRule type="containsText" dxfId="4345" priority="1255" operator="containsText" text="✓">
      <formula>NOT(ISERROR(SEARCH("✓",AY71)))</formula>
    </cfRule>
  </conditionalFormatting>
  <conditionalFormatting sqref="BG27">
    <cfRule type="containsText" dxfId="4344" priority="1254" operator="containsText" text="✓">
      <formula>NOT(ISERROR(SEARCH("✓",BG27)))</formula>
    </cfRule>
  </conditionalFormatting>
  <conditionalFormatting sqref="BG41">
    <cfRule type="containsText" dxfId="4343" priority="1253" operator="containsText" text="✓">
      <formula>NOT(ISERROR(SEARCH("✓",BG41)))</formula>
    </cfRule>
  </conditionalFormatting>
  <conditionalFormatting sqref="BG43">
    <cfRule type="containsText" dxfId="4342" priority="1252" operator="containsText" text="✓">
      <formula>NOT(ISERROR(SEARCH("✓",BG43)))</formula>
    </cfRule>
  </conditionalFormatting>
  <conditionalFormatting sqref="BG49">
    <cfRule type="containsText" dxfId="4341" priority="1251" operator="containsText" text="✓">
      <formula>NOT(ISERROR(SEARCH("✓",BG49)))</formula>
    </cfRule>
  </conditionalFormatting>
  <conditionalFormatting sqref="BG61">
    <cfRule type="containsText" dxfId="4340" priority="1250" operator="containsText" text="✓">
      <formula>NOT(ISERROR(SEARCH("✓",BG61)))</formula>
    </cfRule>
  </conditionalFormatting>
  <conditionalFormatting sqref="BG79:BG80">
    <cfRule type="containsText" dxfId="4339" priority="1249" operator="containsText" text="✓">
      <formula>NOT(ISERROR(SEARCH("✓",BG79)))</formula>
    </cfRule>
  </conditionalFormatting>
  <conditionalFormatting sqref="BG82:BG84">
    <cfRule type="containsText" dxfId="4338" priority="1248" operator="containsText" text="✓">
      <formula>NOT(ISERROR(SEARCH("✓",BG82)))</formula>
    </cfRule>
  </conditionalFormatting>
  <conditionalFormatting sqref="BG51">
    <cfRule type="containsText" dxfId="4337" priority="1247" operator="containsText" text="✓">
      <formula>NOT(ISERROR(SEARCH("✓",BG51)))</formula>
    </cfRule>
  </conditionalFormatting>
  <conditionalFormatting sqref="BG63">
    <cfRule type="containsText" dxfId="4336" priority="1246" operator="containsText" text="✓">
      <formula>NOT(ISERROR(SEARCH("✓",BG63)))</formula>
    </cfRule>
  </conditionalFormatting>
  <conditionalFormatting sqref="BG65">
    <cfRule type="containsText" dxfId="4335" priority="1245" operator="containsText" text="✓">
      <formula>NOT(ISERROR(SEARCH("✓",BG65)))</formula>
    </cfRule>
  </conditionalFormatting>
  <conditionalFormatting sqref="BG67">
    <cfRule type="containsText" dxfId="4334" priority="1244" operator="containsText" text="✓">
      <formula>NOT(ISERROR(SEARCH("✓",BG67)))</formula>
    </cfRule>
  </conditionalFormatting>
  <conditionalFormatting sqref="BG69">
    <cfRule type="containsText" dxfId="4333" priority="1243" operator="containsText" text="✓">
      <formula>NOT(ISERROR(SEARCH("✓",BG69)))</formula>
    </cfRule>
  </conditionalFormatting>
  <conditionalFormatting sqref="BG71">
    <cfRule type="containsText" dxfId="4332" priority="1242" operator="containsText" text="✓">
      <formula>NOT(ISERROR(SEARCH("✓",BG71)))</formula>
    </cfRule>
  </conditionalFormatting>
  <conditionalFormatting sqref="BO27">
    <cfRule type="containsText" dxfId="4331" priority="1241" operator="containsText" text="✓">
      <formula>NOT(ISERROR(SEARCH("✓",BO27)))</formula>
    </cfRule>
  </conditionalFormatting>
  <conditionalFormatting sqref="BO41">
    <cfRule type="containsText" dxfId="4330" priority="1240" operator="containsText" text="✓">
      <formula>NOT(ISERROR(SEARCH("✓",BO41)))</formula>
    </cfRule>
  </conditionalFormatting>
  <conditionalFormatting sqref="BO43">
    <cfRule type="containsText" dxfId="4329" priority="1239" operator="containsText" text="✓">
      <formula>NOT(ISERROR(SEARCH("✓",BO43)))</formula>
    </cfRule>
  </conditionalFormatting>
  <conditionalFormatting sqref="BO49">
    <cfRule type="containsText" dxfId="4328" priority="1238" operator="containsText" text="✓">
      <formula>NOT(ISERROR(SEARCH("✓",BO49)))</formula>
    </cfRule>
  </conditionalFormatting>
  <conditionalFormatting sqref="BO61">
    <cfRule type="containsText" dxfId="4327" priority="1237" operator="containsText" text="✓">
      <formula>NOT(ISERROR(SEARCH("✓",BO61)))</formula>
    </cfRule>
  </conditionalFormatting>
  <conditionalFormatting sqref="BO79:BO80">
    <cfRule type="containsText" dxfId="4326" priority="1236" operator="containsText" text="✓">
      <formula>NOT(ISERROR(SEARCH("✓",BO79)))</formula>
    </cfRule>
  </conditionalFormatting>
  <conditionalFormatting sqref="BO82:BO84">
    <cfRule type="containsText" dxfId="4325" priority="1235" operator="containsText" text="✓">
      <formula>NOT(ISERROR(SEARCH("✓",BO82)))</formula>
    </cfRule>
  </conditionalFormatting>
  <conditionalFormatting sqref="BO51">
    <cfRule type="containsText" dxfId="4324" priority="1234" operator="containsText" text="✓">
      <formula>NOT(ISERROR(SEARCH("✓",BO51)))</formula>
    </cfRule>
  </conditionalFormatting>
  <conditionalFormatting sqref="BO63">
    <cfRule type="containsText" dxfId="4323" priority="1233" operator="containsText" text="✓">
      <formula>NOT(ISERROR(SEARCH("✓",BO63)))</formula>
    </cfRule>
  </conditionalFormatting>
  <conditionalFormatting sqref="BO65">
    <cfRule type="containsText" dxfId="4322" priority="1232" operator="containsText" text="✓">
      <formula>NOT(ISERROR(SEARCH("✓",BO65)))</formula>
    </cfRule>
  </conditionalFormatting>
  <conditionalFormatting sqref="BO67">
    <cfRule type="containsText" dxfId="4321" priority="1231" operator="containsText" text="✓">
      <formula>NOT(ISERROR(SEARCH("✓",BO67)))</formula>
    </cfRule>
  </conditionalFormatting>
  <conditionalFormatting sqref="BO69">
    <cfRule type="containsText" dxfId="4320" priority="1230" operator="containsText" text="✓">
      <formula>NOT(ISERROR(SEARCH("✓",BO69)))</formula>
    </cfRule>
  </conditionalFormatting>
  <conditionalFormatting sqref="BO71">
    <cfRule type="containsText" dxfId="4319" priority="1229" operator="containsText" text="✓">
      <formula>NOT(ISERROR(SEARCH("✓",BO71)))</formula>
    </cfRule>
  </conditionalFormatting>
  <conditionalFormatting sqref="BW27">
    <cfRule type="containsText" dxfId="4318" priority="1228" operator="containsText" text="✓">
      <formula>NOT(ISERROR(SEARCH("✓",BW27)))</formula>
    </cfRule>
  </conditionalFormatting>
  <conditionalFormatting sqref="BW41">
    <cfRule type="containsText" dxfId="4317" priority="1227" operator="containsText" text="✓">
      <formula>NOT(ISERROR(SEARCH("✓",BW41)))</formula>
    </cfRule>
  </conditionalFormatting>
  <conditionalFormatting sqref="BW43">
    <cfRule type="containsText" dxfId="4316" priority="1226" operator="containsText" text="✓">
      <formula>NOT(ISERROR(SEARCH("✓",BW43)))</formula>
    </cfRule>
  </conditionalFormatting>
  <conditionalFormatting sqref="BW49">
    <cfRule type="containsText" dxfId="4315" priority="1225" operator="containsText" text="✓">
      <formula>NOT(ISERROR(SEARCH("✓",BW49)))</formula>
    </cfRule>
  </conditionalFormatting>
  <conditionalFormatting sqref="BW61">
    <cfRule type="containsText" dxfId="4314" priority="1224" operator="containsText" text="✓">
      <formula>NOT(ISERROR(SEARCH("✓",BW61)))</formula>
    </cfRule>
  </conditionalFormatting>
  <conditionalFormatting sqref="BW79:BW80">
    <cfRule type="containsText" dxfId="4313" priority="1223" operator="containsText" text="✓">
      <formula>NOT(ISERROR(SEARCH("✓",BW79)))</formula>
    </cfRule>
  </conditionalFormatting>
  <conditionalFormatting sqref="BW82:BW84">
    <cfRule type="containsText" dxfId="4312" priority="1222" operator="containsText" text="✓">
      <formula>NOT(ISERROR(SEARCH("✓",BW82)))</formula>
    </cfRule>
  </conditionalFormatting>
  <conditionalFormatting sqref="BW51">
    <cfRule type="containsText" dxfId="4311" priority="1221" operator="containsText" text="✓">
      <formula>NOT(ISERROR(SEARCH("✓",BW51)))</formula>
    </cfRule>
  </conditionalFormatting>
  <conditionalFormatting sqref="BW63">
    <cfRule type="containsText" dxfId="4310" priority="1220" operator="containsText" text="✓">
      <formula>NOT(ISERROR(SEARCH("✓",BW63)))</formula>
    </cfRule>
  </conditionalFormatting>
  <conditionalFormatting sqref="BW65">
    <cfRule type="containsText" dxfId="4309" priority="1219" operator="containsText" text="✓">
      <formula>NOT(ISERROR(SEARCH("✓",BW65)))</formula>
    </cfRule>
  </conditionalFormatting>
  <conditionalFormatting sqref="BW67">
    <cfRule type="containsText" dxfId="4308" priority="1218" operator="containsText" text="✓">
      <formula>NOT(ISERROR(SEARCH("✓",BW67)))</formula>
    </cfRule>
  </conditionalFormatting>
  <conditionalFormatting sqref="BW69">
    <cfRule type="containsText" dxfId="4307" priority="1217" operator="containsText" text="✓">
      <formula>NOT(ISERROR(SEARCH("✓",BW69)))</formula>
    </cfRule>
  </conditionalFormatting>
  <conditionalFormatting sqref="BW71">
    <cfRule type="containsText" dxfId="4306" priority="1216" operator="containsText" text="✓">
      <formula>NOT(ISERROR(SEARCH("✓",BW71)))</formula>
    </cfRule>
  </conditionalFormatting>
  <conditionalFormatting sqref="CE27">
    <cfRule type="containsText" dxfId="4305" priority="1215" operator="containsText" text="✓">
      <formula>NOT(ISERROR(SEARCH("✓",CE27)))</formula>
    </cfRule>
  </conditionalFormatting>
  <conditionalFormatting sqref="CE41">
    <cfRule type="containsText" dxfId="4304" priority="1214" operator="containsText" text="✓">
      <formula>NOT(ISERROR(SEARCH("✓",CE41)))</formula>
    </cfRule>
  </conditionalFormatting>
  <conditionalFormatting sqref="CE43">
    <cfRule type="containsText" dxfId="4303" priority="1213" operator="containsText" text="✓">
      <formula>NOT(ISERROR(SEARCH("✓",CE43)))</formula>
    </cfRule>
  </conditionalFormatting>
  <conditionalFormatting sqref="CE49">
    <cfRule type="containsText" dxfId="4302" priority="1212" operator="containsText" text="✓">
      <formula>NOT(ISERROR(SEARCH("✓",CE49)))</formula>
    </cfRule>
  </conditionalFormatting>
  <conditionalFormatting sqref="CE61">
    <cfRule type="containsText" dxfId="4301" priority="1211" operator="containsText" text="✓">
      <formula>NOT(ISERROR(SEARCH("✓",CE61)))</formula>
    </cfRule>
  </conditionalFormatting>
  <conditionalFormatting sqref="CE79:CE80">
    <cfRule type="containsText" dxfId="4300" priority="1210" operator="containsText" text="✓">
      <formula>NOT(ISERROR(SEARCH("✓",CE79)))</formula>
    </cfRule>
  </conditionalFormatting>
  <conditionalFormatting sqref="CE82:CE84">
    <cfRule type="containsText" dxfId="4299" priority="1209" operator="containsText" text="✓">
      <formula>NOT(ISERROR(SEARCH("✓",CE82)))</formula>
    </cfRule>
  </conditionalFormatting>
  <conditionalFormatting sqref="CE51">
    <cfRule type="containsText" dxfId="4298" priority="1208" operator="containsText" text="✓">
      <formula>NOT(ISERROR(SEARCH("✓",CE51)))</formula>
    </cfRule>
  </conditionalFormatting>
  <conditionalFormatting sqref="CE63">
    <cfRule type="containsText" dxfId="4297" priority="1207" operator="containsText" text="✓">
      <formula>NOT(ISERROR(SEARCH("✓",CE63)))</formula>
    </cfRule>
  </conditionalFormatting>
  <conditionalFormatting sqref="CE65">
    <cfRule type="containsText" dxfId="4296" priority="1206" operator="containsText" text="✓">
      <formula>NOT(ISERROR(SEARCH("✓",CE65)))</formula>
    </cfRule>
  </conditionalFormatting>
  <conditionalFormatting sqref="CE67">
    <cfRule type="containsText" dxfId="4295" priority="1205" operator="containsText" text="✓">
      <formula>NOT(ISERROR(SEARCH("✓",CE67)))</formula>
    </cfRule>
  </conditionalFormatting>
  <conditionalFormatting sqref="CE69">
    <cfRule type="containsText" dxfId="4294" priority="1204" operator="containsText" text="✓">
      <formula>NOT(ISERROR(SEARCH("✓",CE69)))</formula>
    </cfRule>
  </conditionalFormatting>
  <conditionalFormatting sqref="CE71">
    <cfRule type="containsText" dxfId="4293" priority="1203" operator="containsText" text="✓">
      <formula>NOT(ISERROR(SEARCH("✓",CE71)))</formula>
    </cfRule>
  </conditionalFormatting>
  <conditionalFormatting sqref="CM27">
    <cfRule type="containsText" dxfId="4292" priority="1202" operator="containsText" text="✓">
      <formula>NOT(ISERROR(SEARCH("✓",CM27)))</formula>
    </cfRule>
  </conditionalFormatting>
  <conditionalFormatting sqref="CM41">
    <cfRule type="containsText" dxfId="4291" priority="1201" operator="containsText" text="✓">
      <formula>NOT(ISERROR(SEARCH("✓",CM41)))</formula>
    </cfRule>
  </conditionalFormatting>
  <conditionalFormatting sqref="CM43">
    <cfRule type="containsText" dxfId="4290" priority="1200" operator="containsText" text="✓">
      <formula>NOT(ISERROR(SEARCH("✓",CM43)))</formula>
    </cfRule>
  </conditionalFormatting>
  <conditionalFormatting sqref="CM49">
    <cfRule type="containsText" dxfId="4289" priority="1199" operator="containsText" text="✓">
      <formula>NOT(ISERROR(SEARCH("✓",CM49)))</formula>
    </cfRule>
  </conditionalFormatting>
  <conditionalFormatting sqref="CM61">
    <cfRule type="containsText" dxfId="4288" priority="1198" operator="containsText" text="✓">
      <formula>NOT(ISERROR(SEARCH("✓",CM61)))</formula>
    </cfRule>
  </conditionalFormatting>
  <conditionalFormatting sqref="CM79:CM80">
    <cfRule type="containsText" dxfId="4287" priority="1197" operator="containsText" text="✓">
      <formula>NOT(ISERROR(SEARCH("✓",CM79)))</formula>
    </cfRule>
  </conditionalFormatting>
  <conditionalFormatting sqref="CM82:CM84">
    <cfRule type="containsText" dxfId="4286" priority="1196" operator="containsText" text="✓">
      <formula>NOT(ISERROR(SEARCH("✓",CM82)))</formula>
    </cfRule>
  </conditionalFormatting>
  <conditionalFormatting sqref="CM51">
    <cfRule type="containsText" dxfId="4285" priority="1195" operator="containsText" text="✓">
      <formula>NOT(ISERROR(SEARCH("✓",CM51)))</formula>
    </cfRule>
  </conditionalFormatting>
  <conditionalFormatting sqref="CM63">
    <cfRule type="containsText" dxfId="4284" priority="1194" operator="containsText" text="✓">
      <formula>NOT(ISERROR(SEARCH("✓",CM63)))</formula>
    </cfRule>
  </conditionalFormatting>
  <conditionalFormatting sqref="CM65">
    <cfRule type="containsText" dxfId="4283" priority="1193" operator="containsText" text="✓">
      <formula>NOT(ISERROR(SEARCH("✓",CM65)))</formula>
    </cfRule>
  </conditionalFormatting>
  <conditionalFormatting sqref="CM67">
    <cfRule type="containsText" dxfId="4282" priority="1192" operator="containsText" text="✓">
      <formula>NOT(ISERROR(SEARCH("✓",CM67)))</formula>
    </cfRule>
  </conditionalFormatting>
  <conditionalFormatting sqref="CM69">
    <cfRule type="containsText" dxfId="4281" priority="1191" operator="containsText" text="✓">
      <formula>NOT(ISERROR(SEARCH("✓",CM69)))</formula>
    </cfRule>
  </conditionalFormatting>
  <conditionalFormatting sqref="CM71">
    <cfRule type="containsText" dxfId="4280" priority="1190" operator="containsText" text="✓">
      <formula>NOT(ISERROR(SEARCH("✓",CM71)))</formula>
    </cfRule>
  </conditionalFormatting>
  <conditionalFormatting sqref="AA213:AA214">
    <cfRule type="containsText" dxfId="4279" priority="1187" operator="containsText" text="✓">
      <formula>NOT(ISERROR(SEARCH("✓",AA213)))</formula>
    </cfRule>
  </conditionalFormatting>
  <conditionalFormatting sqref="AA217:AA218">
    <cfRule type="containsText" dxfId="4278" priority="1186" operator="containsText" text="✓">
      <formula>NOT(ISERROR(SEARCH("✓",AA217)))</formula>
    </cfRule>
  </conditionalFormatting>
  <conditionalFormatting sqref="CE213:CE214">
    <cfRule type="containsText" dxfId="4277" priority="1134" operator="containsText" text="✓">
      <formula>NOT(ISERROR(SEARCH("✓",CE213)))</formula>
    </cfRule>
  </conditionalFormatting>
  <conditionalFormatting sqref="CE217:CE218">
    <cfRule type="containsText" dxfId="4276" priority="1133" operator="containsText" text="✓">
      <formula>NOT(ISERROR(SEARCH("✓",CE217)))</formula>
    </cfRule>
  </conditionalFormatting>
  <conditionalFormatting sqref="CM213:CM214">
    <cfRule type="containsText" dxfId="4275" priority="1132" operator="containsText" text="✓">
      <formula>NOT(ISERROR(SEARCH("✓",CM213)))</formula>
    </cfRule>
  </conditionalFormatting>
  <conditionalFormatting sqref="CM217:CM218">
    <cfRule type="containsText" dxfId="4274" priority="1131" operator="containsText" text="✓">
      <formula>NOT(ISERROR(SEARCH("✓",CM217)))</formula>
    </cfRule>
  </conditionalFormatting>
  <conditionalFormatting sqref="AI213:AI214">
    <cfRule type="containsText" dxfId="4273" priority="1146" operator="containsText" text="✓">
      <formula>NOT(ISERROR(SEARCH("✓",AI213)))</formula>
    </cfRule>
  </conditionalFormatting>
  <conditionalFormatting sqref="AI217:AI218">
    <cfRule type="containsText" dxfId="4272" priority="1145" operator="containsText" text="✓">
      <formula>NOT(ISERROR(SEARCH("✓",AI217)))</formula>
    </cfRule>
  </conditionalFormatting>
  <conditionalFormatting sqref="AQ213:AQ214">
    <cfRule type="containsText" dxfId="4271" priority="1144" operator="containsText" text="✓">
      <formula>NOT(ISERROR(SEARCH("✓",AQ213)))</formula>
    </cfRule>
  </conditionalFormatting>
  <conditionalFormatting sqref="AQ217:AQ218">
    <cfRule type="containsText" dxfId="4270" priority="1143" operator="containsText" text="✓">
      <formula>NOT(ISERROR(SEARCH("✓",AQ217)))</formula>
    </cfRule>
  </conditionalFormatting>
  <conditionalFormatting sqref="AY213:AY214">
    <cfRule type="containsText" dxfId="4269" priority="1142" operator="containsText" text="✓">
      <formula>NOT(ISERROR(SEARCH("✓",AY213)))</formula>
    </cfRule>
  </conditionalFormatting>
  <conditionalFormatting sqref="AY217:AY218">
    <cfRule type="containsText" dxfId="4268" priority="1141" operator="containsText" text="✓">
      <formula>NOT(ISERROR(SEARCH("✓",AY217)))</formula>
    </cfRule>
  </conditionalFormatting>
  <conditionalFormatting sqref="BG213:BG214">
    <cfRule type="containsText" dxfId="4267" priority="1140" operator="containsText" text="✓">
      <formula>NOT(ISERROR(SEARCH("✓",BG213)))</formula>
    </cfRule>
  </conditionalFormatting>
  <conditionalFormatting sqref="BG217:BG218">
    <cfRule type="containsText" dxfId="4266" priority="1139" operator="containsText" text="✓">
      <formula>NOT(ISERROR(SEARCH("✓",BG217)))</formula>
    </cfRule>
  </conditionalFormatting>
  <conditionalFormatting sqref="BO213:BO214">
    <cfRule type="containsText" dxfId="4265" priority="1138" operator="containsText" text="✓">
      <formula>NOT(ISERROR(SEARCH("✓",BO213)))</formula>
    </cfRule>
  </conditionalFormatting>
  <conditionalFormatting sqref="BO217:BO218">
    <cfRule type="containsText" dxfId="4264" priority="1137" operator="containsText" text="✓">
      <formula>NOT(ISERROR(SEARCH("✓",BO217)))</formula>
    </cfRule>
  </conditionalFormatting>
  <conditionalFormatting sqref="BW213:BW214">
    <cfRule type="containsText" dxfId="4263" priority="1136" operator="containsText" text="✓">
      <formula>NOT(ISERROR(SEARCH("✓",BW213)))</formula>
    </cfRule>
  </conditionalFormatting>
  <conditionalFormatting sqref="BW217:BW218">
    <cfRule type="containsText" dxfId="4262" priority="1135" operator="containsText" text="✓">
      <formula>NOT(ISERROR(SEARCH("✓",BW217)))</formula>
    </cfRule>
  </conditionalFormatting>
  <conditionalFormatting sqref="AA175">
    <cfRule type="containsText" dxfId="4261" priority="1064" operator="containsText" text="✓">
      <formula>NOT(ISERROR(SEARCH("✓",AA175)))</formula>
    </cfRule>
  </conditionalFormatting>
  <conditionalFormatting sqref="AI163">
    <cfRule type="containsText" dxfId="4260" priority="1059" operator="containsText" text="✓">
      <formula>NOT(ISERROR(SEARCH("✓",AI163)))</formula>
    </cfRule>
  </conditionalFormatting>
  <conditionalFormatting sqref="AI165">
    <cfRule type="containsText" dxfId="4259" priority="1048" operator="containsText" text="✓">
      <formula>NOT(ISERROR(SEARCH("✓",AI165)))</formula>
    </cfRule>
  </conditionalFormatting>
  <conditionalFormatting sqref="AI169">
    <cfRule type="containsText" dxfId="4258" priority="1046" operator="containsText" text="✓">
      <formula>NOT(ISERROR(SEARCH("✓",AI169)))</formula>
    </cfRule>
  </conditionalFormatting>
  <conditionalFormatting sqref="AI167">
    <cfRule type="containsText" dxfId="4257" priority="1047" operator="containsText" text="✓">
      <formula>NOT(ISERROR(SEARCH("✓",AI167)))</formula>
    </cfRule>
  </conditionalFormatting>
  <conditionalFormatting sqref="AI171">
    <cfRule type="containsText" dxfId="4256" priority="1045" operator="containsText" text="✓">
      <formula>NOT(ISERROR(SEARCH("✓",AI171)))</formula>
    </cfRule>
  </conditionalFormatting>
  <conditionalFormatting sqref="AI173">
    <cfRule type="containsText" dxfId="4255" priority="1044" operator="containsText" text="✓">
      <formula>NOT(ISERROR(SEARCH("✓",AI173)))</formula>
    </cfRule>
  </conditionalFormatting>
  <conditionalFormatting sqref="AI175">
    <cfRule type="containsText" dxfId="4254" priority="1043" operator="containsText" text="✓">
      <formula>NOT(ISERROR(SEARCH("✓",AI175)))</formula>
    </cfRule>
  </conditionalFormatting>
  <conditionalFormatting sqref="AQ163">
    <cfRule type="containsText" dxfId="4253" priority="1060" operator="containsText" text="✓">
      <formula>NOT(ISERROR(SEARCH("✓",AQ163)))</formula>
    </cfRule>
  </conditionalFormatting>
  <conditionalFormatting sqref="AQ165">
    <cfRule type="containsText" dxfId="4252" priority="1041" operator="containsText" text="✓">
      <formula>NOT(ISERROR(SEARCH("✓",AQ165)))</formula>
    </cfRule>
  </conditionalFormatting>
  <conditionalFormatting sqref="AQ169">
    <cfRule type="containsText" dxfId="4251" priority="1039" operator="containsText" text="✓">
      <formula>NOT(ISERROR(SEARCH("✓",AQ169)))</formula>
    </cfRule>
  </conditionalFormatting>
  <conditionalFormatting sqref="AQ167">
    <cfRule type="containsText" dxfId="4250" priority="1040" operator="containsText" text="✓">
      <formula>NOT(ISERROR(SEARCH("✓",AQ167)))</formula>
    </cfRule>
  </conditionalFormatting>
  <conditionalFormatting sqref="AQ171">
    <cfRule type="containsText" dxfId="4249" priority="1038" operator="containsText" text="✓">
      <formula>NOT(ISERROR(SEARCH("✓",AQ171)))</formula>
    </cfRule>
  </conditionalFormatting>
  <conditionalFormatting sqref="AQ173">
    <cfRule type="containsText" dxfId="4248" priority="1037" operator="containsText" text="✓">
      <formula>NOT(ISERROR(SEARCH("✓",AQ173)))</formula>
    </cfRule>
  </conditionalFormatting>
  <conditionalFormatting sqref="AQ175">
    <cfRule type="containsText" dxfId="4247" priority="1036" operator="containsText" text="✓">
      <formula>NOT(ISERROR(SEARCH("✓",AQ175)))</formula>
    </cfRule>
  </conditionalFormatting>
  <conditionalFormatting sqref="AY163">
    <cfRule type="containsText" dxfId="4246" priority="1061" operator="containsText" text="✓">
      <formula>NOT(ISERROR(SEARCH("✓",AY163)))</formula>
    </cfRule>
  </conditionalFormatting>
  <conditionalFormatting sqref="AY165">
    <cfRule type="containsText" dxfId="4245" priority="1034" operator="containsText" text="✓">
      <formula>NOT(ISERROR(SEARCH("✓",AY165)))</formula>
    </cfRule>
  </conditionalFormatting>
  <conditionalFormatting sqref="AY169">
    <cfRule type="containsText" dxfId="4244" priority="1032" operator="containsText" text="✓">
      <formula>NOT(ISERROR(SEARCH("✓",AY169)))</formula>
    </cfRule>
  </conditionalFormatting>
  <conditionalFormatting sqref="AY167">
    <cfRule type="containsText" dxfId="4243" priority="1033" operator="containsText" text="✓">
      <formula>NOT(ISERROR(SEARCH("✓",AY167)))</formula>
    </cfRule>
  </conditionalFormatting>
  <conditionalFormatting sqref="AY171">
    <cfRule type="containsText" dxfId="4242" priority="1031" operator="containsText" text="✓">
      <formula>NOT(ISERROR(SEARCH("✓",AY171)))</formula>
    </cfRule>
  </conditionalFormatting>
  <conditionalFormatting sqref="AY173">
    <cfRule type="containsText" dxfId="4241" priority="1030" operator="containsText" text="✓">
      <formula>NOT(ISERROR(SEARCH("✓",AY173)))</formula>
    </cfRule>
  </conditionalFormatting>
  <conditionalFormatting sqref="AY175">
    <cfRule type="containsText" dxfId="4240" priority="1029" operator="containsText" text="✓">
      <formula>NOT(ISERROR(SEARCH("✓",AY175)))</formula>
    </cfRule>
  </conditionalFormatting>
  <conditionalFormatting sqref="BG163">
    <cfRule type="containsText" dxfId="4239" priority="1062" operator="containsText" text="✓">
      <formula>NOT(ISERROR(SEARCH("✓",BG163)))</formula>
    </cfRule>
  </conditionalFormatting>
  <conditionalFormatting sqref="BG165">
    <cfRule type="containsText" dxfId="4238" priority="1027" operator="containsText" text="✓">
      <formula>NOT(ISERROR(SEARCH("✓",BG165)))</formula>
    </cfRule>
  </conditionalFormatting>
  <conditionalFormatting sqref="BG169">
    <cfRule type="containsText" dxfId="4237" priority="1025" operator="containsText" text="✓">
      <formula>NOT(ISERROR(SEARCH("✓",BG169)))</formula>
    </cfRule>
  </conditionalFormatting>
  <conditionalFormatting sqref="BG167">
    <cfRule type="containsText" dxfId="4236" priority="1026" operator="containsText" text="✓">
      <formula>NOT(ISERROR(SEARCH("✓",BG167)))</formula>
    </cfRule>
  </conditionalFormatting>
  <conditionalFormatting sqref="BG171">
    <cfRule type="containsText" dxfId="4235" priority="1024" operator="containsText" text="✓">
      <formula>NOT(ISERROR(SEARCH("✓",BG171)))</formula>
    </cfRule>
  </conditionalFormatting>
  <conditionalFormatting sqref="BG173">
    <cfRule type="containsText" dxfId="4234" priority="1023" operator="containsText" text="✓">
      <formula>NOT(ISERROR(SEARCH("✓",BG173)))</formula>
    </cfRule>
  </conditionalFormatting>
  <conditionalFormatting sqref="BG175">
    <cfRule type="containsText" dxfId="4233" priority="1022" operator="containsText" text="✓">
      <formula>NOT(ISERROR(SEARCH("✓",BG175)))</formula>
    </cfRule>
  </conditionalFormatting>
  <conditionalFormatting sqref="BO163">
    <cfRule type="containsText" dxfId="4232" priority="1124" operator="containsText" text="✓">
      <formula>NOT(ISERROR(SEARCH("✓",BO163)))</formula>
    </cfRule>
  </conditionalFormatting>
  <conditionalFormatting sqref="BO165">
    <cfRule type="containsText" dxfId="4231" priority="1020" operator="containsText" text="✓">
      <formula>NOT(ISERROR(SEARCH("✓",BO165)))</formula>
    </cfRule>
  </conditionalFormatting>
  <conditionalFormatting sqref="BO169">
    <cfRule type="containsText" dxfId="4230" priority="1018" operator="containsText" text="✓">
      <formula>NOT(ISERROR(SEARCH("✓",BO169)))</formula>
    </cfRule>
  </conditionalFormatting>
  <conditionalFormatting sqref="BO167">
    <cfRule type="containsText" dxfId="4229" priority="1019" operator="containsText" text="✓">
      <formula>NOT(ISERROR(SEARCH("✓",BO167)))</formula>
    </cfRule>
  </conditionalFormatting>
  <conditionalFormatting sqref="BO171">
    <cfRule type="containsText" dxfId="4228" priority="1017" operator="containsText" text="✓">
      <formula>NOT(ISERROR(SEARCH("✓",BO171)))</formula>
    </cfRule>
  </conditionalFormatting>
  <conditionalFormatting sqref="BO173">
    <cfRule type="containsText" dxfId="4227" priority="1016" operator="containsText" text="✓">
      <formula>NOT(ISERROR(SEARCH("✓",BO173)))</formula>
    </cfRule>
  </conditionalFormatting>
  <conditionalFormatting sqref="BO175">
    <cfRule type="containsText" dxfId="4226" priority="1015" operator="containsText" text="✓">
      <formula>NOT(ISERROR(SEARCH("✓",BO175)))</formula>
    </cfRule>
  </conditionalFormatting>
  <conditionalFormatting sqref="BW163">
    <cfRule type="containsText" dxfId="4225" priority="1127" operator="containsText" text="✓">
      <formula>NOT(ISERROR(SEARCH("✓",BW163)))</formula>
    </cfRule>
  </conditionalFormatting>
  <conditionalFormatting sqref="BW165">
    <cfRule type="containsText" dxfId="4224" priority="1052" operator="containsText" text="✓">
      <formula>NOT(ISERROR(SEARCH("✓",BW165)))</formula>
    </cfRule>
  </conditionalFormatting>
  <conditionalFormatting sqref="BW169">
    <cfRule type="containsText" dxfId="4223" priority="1012" operator="containsText" text="✓">
      <formula>NOT(ISERROR(SEARCH("✓",BW169)))</formula>
    </cfRule>
  </conditionalFormatting>
  <conditionalFormatting sqref="BW167">
    <cfRule type="containsText" dxfId="4222" priority="1013" operator="containsText" text="✓">
      <formula>NOT(ISERROR(SEARCH("✓",BW167)))</formula>
    </cfRule>
  </conditionalFormatting>
  <conditionalFormatting sqref="BW171">
    <cfRule type="containsText" dxfId="4221" priority="1011" operator="containsText" text="✓">
      <formula>NOT(ISERROR(SEARCH("✓",BW171)))</formula>
    </cfRule>
  </conditionalFormatting>
  <conditionalFormatting sqref="BW173">
    <cfRule type="containsText" dxfId="4220" priority="1010" operator="containsText" text="✓">
      <formula>NOT(ISERROR(SEARCH("✓",BW173)))</formula>
    </cfRule>
  </conditionalFormatting>
  <conditionalFormatting sqref="BW175">
    <cfRule type="containsText" dxfId="4219" priority="1009" operator="containsText" text="✓">
      <formula>NOT(ISERROR(SEARCH("✓",BW175)))</formula>
    </cfRule>
  </conditionalFormatting>
  <conditionalFormatting sqref="CE163">
    <cfRule type="containsText" dxfId="4218" priority="1053" operator="containsText" text="✓">
      <formula>NOT(ISERROR(SEARCH("✓",CE163)))</formula>
    </cfRule>
  </conditionalFormatting>
  <conditionalFormatting sqref="CE165">
    <cfRule type="containsText" dxfId="4217" priority="1006" operator="containsText" text="✓">
      <formula>NOT(ISERROR(SEARCH("✓",CE165)))</formula>
    </cfRule>
  </conditionalFormatting>
  <conditionalFormatting sqref="CE169">
    <cfRule type="containsText" dxfId="4216" priority="1004" operator="containsText" text="✓">
      <formula>NOT(ISERROR(SEARCH("✓",CE169)))</formula>
    </cfRule>
  </conditionalFormatting>
  <conditionalFormatting sqref="CE167">
    <cfRule type="containsText" dxfId="4215" priority="1005" operator="containsText" text="✓">
      <formula>NOT(ISERROR(SEARCH("✓",CE167)))</formula>
    </cfRule>
  </conditionalFormatting>
  <conditionalFormatting sqref="CE171">
    <cfRule type="containsText" dxfId="4214" priority="1003" operator="containsText" text="✓">
      <formula>NOT(ISERROR(SEARCH("✓",CE171)))</formula>
    </cfRule>
  </conditionalFormatting>
  <conditionalFormatting sqref="CE173">
    <cfRule type="containsText" dxfId="4213" priority="1002" operator="containsText" text="✓">
      <formula>NOT(ISERROR(SEARCH("✓",CE173)))</formula>
    </cfRule>
  </conditionalFormatting>
  <conditionalFormatting sqref="CE175">
    <cfRule type="containsText" dxfId="4212" priority="1001" operator="containsText" text="✓">
      <formula>NOT(ISERROR(SEARCH("✓",CE175)))</formula>
    </cfRule>
  </conditionalFormatting>
  <conditionalFormatting sqref="CM163">
    <cfRule type="containsText" dxfId="4211" priority="1063" operator="containsText" text="✓">
      <formula>NOT(ISERROR(SEARCH("✓",CM163)))</formula>
    </cfRule>
  </conditionalFormatting>
  <conditionalFormatting sqref="CM165">
    <cfRule type="containsText" dxfId="4210" priority="999" operator="containsText" text="✓">
      <formula>NOT(ISERROR(SEARCH("✓",CM165)))</formula>
    </cfRule>
  </conditionalFormatting>
  <conditionalFormatting sqref="CM169">
    <cfRule type="containsText" dxfId="4209" priority="997" operator="containsText" text="✓">
      <formula>NOT(ISERROR(SEARCH("✓",CM169)))</formula>
    </cfRule>
  </conditionalFormatting>
  <conditionalFormatting sqref="CM167">
    <cfRule type="containsText" dxfId="4208" priority="998" operator="containsText" text="✓">
      <formula>NOT(ISERROR(SEARCH("✓",CM167)))</formula>
    </cfRule>
  </conditionalFormatting>
  <conditionalFormatting sqref="CM171">
    <cfRule type="containsText" dxfId="4207" priority="996" operator="containsText" text="✓">
      <formula>NOT(ISERROR(SEARCH("✓",CM171)))</formula>
    </cfRule>
  </conditionalFormatting>
  <conditionalFormatting sqref="CM173">
    <cfRule type="containsText" dxfId="4206" priority="995" operator="containsText" text="✓">
      <formula>NOT(ISERROR(SEARCH("✓",CM173)))</formula>
    </cfRule>
  </conditionalFormatting>
  <conditionalFormatting sqref="CM175">
    <cfRule type="containsText" dxfId="4205" priority="994" operator="containsText" text="✓">
      <formula>NOT(ISERROR(SEARCH("✓",CM175)))</formula>
    </cfRule>
  </conditionalFormatting>
  <conditionalFormatting sqref="AA33">
    <cfRule type="containsText" dxfId="4204" priority="974" operator="containsText" text="✓">
      <formula>NOT(ISERROR(SEARCH("✓",AA33)))</formula>
    </cfRule>
  </conditionalFormatting>
  <conditionalFormatting sqref="AI33">
    <cfRule type="containsText" dxfId="4203" priority="1042" operator="containsText" text="✓">
      <formula>NOT(ISERROR(SEARCH("✓",AI33)))</formula>
    </cfRule>
  </conditionalFormatting>
  <conditionalFormatting sqref="AQ33">
    <cfRule type="containsText" dxfId="4202" priority="972" operator="containsText" text="✓">
      <formula>NOT(ISERROR(SEARCH("✓",AQ33)))</formula>
    </cfRule>
  </conditionalFormatting>
  <conditionalFormatting sqref="AY33">
    <cfRule type="containsText" dxfId="4201" priority="981" operator="containsText" text="✓">
      <formula>NOT(ISERROR(SEARCH("✓",AY33)))</formula>
    </cfRule>
  </conditionalFormatting>
  <conditionalFormatting sqref="BG33">
    <cfRule type="containsText" dxfId="4200" priority="980" operator="containsText" text="✓">
      <formula>NOT(ISERROR(SEARCH("✓",BG33)))</formula>
    </cfRule>
  </conditionalFormatting>
  <conditionalFormatting sqref="BO33">
    <cfRule type="containsText" dxfId="4199" priority="979" operator="containsText" text="✓">
      <formula>NOT(ISERROR(SEARCH("✓",BO33)))</formula>
    </cfRule>
  </conditionalFormatting>
  <conditionalFormatting sqref="BW33">
    <cfRule type="containsText" dxfId="4198" priority="989" operator="containsText" text="✓">
      <formula>NOT(ISERROR(SEARCH("✓",BW33)))</formula>
    </cfRule>
  </conditionalFormatting>
  <conditionalFormatting sqref="CE33">
    <cfRule type="containsText" dxfId="4197" priority="977" operator="containsText" text="✓">
      <formula>NOT(ISERROR(SEARCH("✓",CE33)))</formula>
    </cfRule>
  </conditionalFormatting>
  <conditionalFormatting sqref="CM33">
    <cfRule type="containsText" dxfId="4196" priority="976" operator="containsText" text="✓">
      <formula>NOT(ISERROR(SEARCH("✓",CM33)))</formula>
    </cfRule>
  </conditionalFormatting>
  <conditionalFormatting sqref="AA147:AA151">
    <cfRule type="expression" dxfId="4195" priority="964">
      <formula>AA147="✓"</formula>
    </cfRule>
  </conditionalFormatting>
  <conditionalFormatting sqref="AA153">
    <cfRule type="expression" dxfId="4194" priority="913">
      <formula>AA153="✓"</formula>
    </cfRule>
  </conditionalFormatting>
  <conditionalFormatting sqref="AI147:AI151">
    <cfRule type="expression" dxfId="4193" priority="896">
      <formula>AI147="✓"</formula>
    </cfRule>
  </conditionalFormatting>
  <conditionalFormatting sqref="AQ147:AQ151">
    <cfRule type="expression" dxfId="4192" priority="950">
      <formula>AQ147="✓"</formula>
    </cfRule>
  </conditionalFormatting>
  <conditionalFormatting sqref="AY147:AY151">
    <cfRule type="expression" dxfId="4191" priority="894">
      <formula>AY147="✓"</formula>
    </cfRule>
  </conditionalFormatting>
  <conditionalFormatting sqref="BG147:BG151">
    <cfRule type="expression" dxfId="4190" priority="943">
      <formula>BG147="✓"</formula>
    </cfRule>
  </conditionalFormatting>
  <conditionalFormatting sqref="BO147:BO151">
    <cfRule type="expression" dxfId="4189" priority="892">
      <formula>BO147="✓"</formula>
    </cfRule>
  </conditionalFormatting>
  <conditionalFormatting sqref="BW147:BW151">
    <cfRule type="expression" dxfId="4188" priority="941">
      <formula>BW147="✓"</formula>
    </cfRule>
  </conditionalFormatting>
  <conditionalFormatting sqref="CE147:CE151">
    <cfRule type="expression" dxfId="4187" priority="940">
      <formula>CE147="✓"</formula>
    </cfRule>
  </conditionalFormatting>
  <conditionalFormatting sqref="CM147:CM151">
    <cfRule type="expression" dxfId="4186" priority="970">
      <formula>CM147="✓"</formula>
    </cfRule>
  </conditionalFormatting>
  <conditionalFormatting sqref="CM153 CE153 BW153 BO153 BG153 AY153 AQ153 AI153">
    <cfRule type="expression" dxfId="4185" priority="978">
      <formula>AI153="✓"</formula>
    </cfRule>
  </conditionalFormatting>
  <conditionalFormatting sqref="AA25">
    <cfRule type="containsText" dxfId="4184" priority="805" operator="containsText" text="✓">
      <formula>NOT(ISERROR(SEARCH("✓",AA25)))</formula>
    </cfRule>
  </conditionalFormatting>
  <conditionalFormatting sqref="CM25">
    <cfRule type="containsText" dxfId="4183" priority="823" operator="containsText" text="✓">
      <formula>NOT(ISERROR(SEARCH("✓",CM25)))</formula>
    </cfRule>
  </conditionalFormatting>
  <conditionalFormatting sqref="AI25">
    <cfRule type="containsText" dxfId="4182" priority="817" operator="containsText" text="✓">
      <formula>NOT(ISERROR(SEARCH("✓",AI25)))</formula>
    </cfRule>
  </conditionalFormatting>
  <conditionalFormatting sqref="AQ25">
    <cfRule type="containsText" dxfId="4181" priority="818" operator="containsText" text="✓">
      <formula>NOT(ISERROR(SEARCH("✓",AQ25)))</formula>
    </cfRule>
  </conditionalFormatting>
  <conditionalFormatting sqref="AY25">
    <cfRule type="containsText" dxfId="4180" priority="819" operator="containsText" text="✓">
      <formula>NOT(ISERROR(SEARCH("✓",AY25)))</formula>
    </cfRule>
  </conditionalFormatting>
  <conditionalFormatting sqref="BG25">
    <cfRule type="containsText" dxfId="4179" priority="820" operator="containsText" text="✓">
      <formula>NOT(ISERROR(SEARCH("✓",BG25)))</formula>
    </cfRule>
  </conditionalFormatting>
  <conditionalFormatting sqref="BO25">
    <cfRule type="containsText" dxfId="4178" priority="815" operator="containsText" text="✓">
      <formula>NOT(ISERROR(SEARCH("✓",BO25)))</formula>
    </cfRule>
  </conditionalFormatting>
  <conditionalFormatting sqref="BW25">
    <cfRule type="containsText" dxfId="4177" priority="822" operator="containsText" text="✓">
      <formula>NOT(ISERROR(SEARCH("✓",BW25)))</formula>
    </cfRule>
  </conditionalFormatting>
  <conditionalFormatting sqref="CE25">
    <cfRule type="containsText" dxfId="4176" priority="813" operator="containsText" text="✓">
      <formula>NOT(ISERROR(SEARCH("✓",CE25)))</formula>
    </cfRule>
  </conditionalFormatting>
  <conditionalFormatting sqref="AA159">
    <cfRule type="containsText" dxfId="4175" priority="794" operator="containsText" text="✓">
      <formula>NOT(ISERROR(SEARCH("✓",AA159)))</formula>
    </cfRule>
  </conditionalFormatting>
  <conditionalFormatting sqref="AI159 BW159">
    <cfRule type="containsText" dxfId="4174" priority="793" operator="containsText" text="✓">
      <formula>NOT(ISERROR(SEARCH("✓",AI159)))</formula>
    </cfRule>
  </conditionalFormatting>
  <conditionalFormatting sqref="AQ159 BO159">
    <cfRule type="containsText" dxfId="4173" priority="792" operator="containsText" text="✓">
      <formula>NOT(ISERROR(SEARCH("✓",AQ159)))</formula>
    </cfRule>
  </conditionalFormatting>
  <conditionalFormatting sqref="AY159 CM159">
    <cfRule type="containsText" dxfId="4172" priority="6182" operator="containsText" text="✓">
      <formula>NOT(ISERROR(SEARCH("✓",AY159)))</formula>
    </cfRule>
  </conditionalFormatting>
  <conditionalFormatting sqref="BG159">
    <cfRule type="containsText" dxfId="4171" priority="790" operator="containsText" text="✓">
      <formula>NOT(ISERROR(SEARCH("✓",BG159)))</formula>
    </cfRule>
  </conditionalFormatting>
  <conditionalFormatting sqref="CE159">
    <cfRule type="containsText" dxfId="4170" priority="787" operator="containsText" text="✓">
      <formula>NOT(ISERROR(SEARCH("✓",CE159)))</formula>
    </cfRule>
  </conditionalFormatting>
  <conditionalFormatting sqref="AA143">
    <cfRule type="expression" dxfId="4169" priority="718">
      <formula>AA143="✓"</formula>
    </cfRule>
  </conditionalFormatting>
  <conditionalFormatting sqref="AI143">
    <cfRule type="expression" dxfId="4168" priority="713">
      <formula>AI143="✓"</formula>
    </cfRule>
  </conditionalFormatting>
  <conditionalFormatting sqref="AQ143">
    <cfRule type="expression" dxfId="4167" priority="717">
      <formula>AQ143="✓"</formula>
    </cfRule>
  </conditionalFormatting>
  <conditionalFormatting sqref="AY143">
    <cfRule type="expression" dxfId="4166" priority="712">
      <formula>AY143="✓"</formula>
    </cfRule>
  </conditionalFormatting>
  <conditionalFormatting sqref="BG143">
    <cfRule type="expression" dxfId="4165" priority="716">
      <formula>BG143="✓"</formula>
    </cfRule>
  </conditionalFormatting>
  <conditionalFormatting sqref="BO143">
    <cfRule type="expression" dxfId="4164" priority="710">
      <formula>BO143="✓"</formula>
    </cfRule>
  </conditionalFormatting>
  <conditionalFormatting sqref="BW143">
    <cfRule type="expression" dxfId="4163" priority="715">
      <formula>BW143="✓"</formula>
    </cfRule>
  </conditionalFormatting>
  <conditionalFormatting sqref="CE143">
    <cfRule type="expression" dxfId="4162" priority="714">
      <formula>CE143="✓"</formula>
    </cfRule>
  </conditionalFormatting>
  <conditionalFormatting sqref="CM143">
    <cfRule type="expression" dxfId="4161" priority="719">
      <formula>CM143="✓"</formula>
    </cfRule>
  </conditionalFormatting>
  <conditionalFormatting sqref="AA101">
    <cfRule type="containsText" dxfId="4160" priority="677" operator="containsText" text="✓">
      <formula>NOT(ISERROR(SEARCH("✓",AA101)))</formula>
    </cfRule>
  </conditionalFormatting>
  <conditionalFormatting sqref="AI101">
    <cfRule type="containsText" dxfId="4159" priority="674" operator="containsText" text="✓">
      <formula>NOT(ISERROR(SEARCH("✓",AI101)))</formula>
    </cfRule>
  </conditionalFormatting>
  <conditionalFormatting sqref="AQ101">
    <cfRule type="containsText" dxfId="4158" priority="672" operator="containsText" text="✓">
      <formula>NOT(ISERROR(SEARCH("✓",AQ101)))</formula>
    </cfRule>
  </conditionalFormatting>
  <conditionalFormatting sqref="AY101">
    <cfRule type="containsText" dxfId="4157" priority="670" operator="containsText" text="✓">
      <formula>NOT(ISERROR(SEARCH("✓",AY101)))</formula>
    </cfRule>
  </conditionalFormatting>
  <conditionalFormatting sqref="BG101">
    <cfRule type="containsText" dxfId="4156" priority="668" operator="containsText" text="✓">
      <formula>NOT(ISERROR(SEARCH("✓",BG101)))</formula>
    </cfRule>
  </conditionalFormatting>
  <conditionalFormatting sqref="BO101">
    <cfRule type="containsText" dxfId="4155" priority="666" operator="containsText" text="✓">
      <formula>NOT(ISERROR(SEARCH("✓",BO101)))</formula>
    </cfRule>
  </conditionalFormatting>
  <conditionalFormatting sqref="BW101">
    <cfRule type="containsText" dxfId="4154" priority="664" operator="containsText" text="✓">
      <formula>NOT(ISERROR(SEARCH("✓",BW101)))</formula>
    </cfRule>
  </conditionalFormatting>
  <conditionalFormatting sqref="CE101">
    <cfRule type="containsText" dxfId="4153" priority="662" operator="containsText" text="✓">
      <formula>NOT(ISERROR(SEARCH("✓",CE101)))</formula>
    </cfRule>
  </conditionalFormatting>
  <conditionalFormatting sqref="CM101">
    <cfRule type="containsText" dxfId="4152" priority="661" operator="containsText" text="✓">
      <formula>NOT(ISERROR(SEARCH("✓",CM101)))</formula>
    </cfRule>
  </conditionalFormatting>
  <conditionalFormatting sqref="CM92">
    <cfRule type="containsText" dxfId="4151" priority="610" operator="containsText" text="✓">
      <formula>NOT(ISERROR(SEARCH("✓",CM92)))</formula>
    </cfRule>
  </conditionalFormatting>
  <conditionalFormatting sqref="AA123">
    <cfRule type="containsText" dxfId="4150" priority="591" operator="containsText" text="✓">
      <formula>NOT(ISERROR(SEARCH("✓",AA123)))</formula>
    </cfRule>
  </conditionalFormatting>
  <conditionalFormatting sqref="AI123">
    <cfRule type="containsText" dxfId="4149" priority="589" operator="containsText" text="✓">
      <formula>NOT(ISERROR(SEARCH("✓",AI123)))</formula>
    </cfRule>
  </conditionalFormatting>
  <conditionalFormatting sqref="AQ123">
    <cfRule type="containsText" dxfId="4148" priority="587" operator="containsText" text="✓">
      <formula>NOT(ISERROR(SEARCH("✓",AQ123)))</formula>
    </cfRule>
  </conditionalFormatting>
  <conditionalFormatting sqref="AY123">
    <cfRule type="containsText" dxfId="4147" priority="585" operator="containsText" text="✓">
      <formula>NOT(ISERROR(SEARCH("✓",AY123)))</formula>
    </cfRule>
  </conditionalFormatting>
  <conditionalFormatting sqref="BG123">
    <cfRule type="containsText" dxfId="4146" priority="583" operator="containsText" text="✓">
      <formula>NOT(ISERROR(SEARCH("✓",BG123)))</formula>
    </cfRule>
  </conditionalFormatting>
  <conditionalFormatting sqref="BO123">
    <cfRule type="containsText" dxfId="4145" priority="581" operator="containsText" text="✓">
      <formula>NOT(ISERROR(SEARCH("✓",BO123)))</formula>
    </cfRule>
  </conditionalFormatting>
  <conditionalFormatting sqref="BW123">
    <cfRule type="containsText" dxfId="4144" priority="579" operator="containsText" text="✓">
      <formula>NOT(ISERROR(SEARCH("✓",BW123)))</formula>
    </cfRule>
  </conditionalFormatting>
  <conditionalFormatting sqref="CE123">
    <cfRule type="containsText" dxfId="4143" priority="578" operator="containsText" text="✓">
      <formula>NOT(ISERROR(SEARCH("✓",CE123)))</formula>
    </cfRule>
  </conditionalFormatting>
  <conditionalFormatting sqref="CM123">
    <cfRule type="containsText" dxfId="4142" priority="576" operator="containsText" text="✓">
      <formula>NOT(ISERROR(SEARCH("✓",CM123)))</formula>
    </cfRule>
  </conditionalFormatting>
  <conditionalFormatting sqref="Y121">
    <cfRule type="expression" dxfId="4141" priority="505">
      <formula>Y121="-"</formula>
    </cfRule>
  </conditionalFormatting>
  <conditionalFormatting sqref="Y105">
    <cfRule type="expression" dxfId="4140" priority="487">
      <formula>Y105="-"</formula>
    </cfRule>
  </conditionalFormatting>
  <conditionalFormatting sqref="AG105">
    <cfRule type="expression" dxfId="4139" priority="485">
      <formula>AG105="-"</formula>
    </cfRule>
  </conditionalFormatting>
  <conditionalFormatting sqref="AO105">
    <cfRule type="expression" dxfId="4138" priority="483">
      <formula>AO105="-"</formula>
    </cfRule>
  </conditionalFormatting>
  <conditionalFormatting sqref="AW105">
    <cfRule type="expression" dxfId="4137" priority="481">
      <formula>AW105="-"</formula>
    </cfRule>
  </conditionalFormatting>
  <conditionalFormatting sqref="BE105">
    <cfRule type="expression" dxfId="4136" priority="479">
      <formula>BE105="-"</formula>
    </cfRule>
  </conditionalFormatting>
  <conditionalFormatting sqref="BM105">
    <cfRule type="expression" dxfId="4135" priority="477">
      <formula>BM105="-"</formula>
    </cfRule>
  </conditionalFormatting>
  <conditionalFormatting sqref="BU105">
    <cfRule type="expression" dxfId="4134" priority="475">
      <formula>BU105="-"</formula>
    </cfRule>
  </conditionalFormatting>
  <conditionalFormatting sqref="CC105">
    <cfRule type="expression" dxfId="4133" priority="551">
      <formula>CC105="-"</formula>
    </cfRule>
  </conditionalFormatting>
  <conditionalFormatting sqref="CK105">
    <cfRule type="expression" dxfId="4132" priority="489">
      <formula>CK105="-"</formula>
    </cfRule>
  </conditionalFormatting>
  <conditionalFormatting sqref="Y123">
    <cfRule type="expression" dxfId="4131" priority="437">
      <formula>Y123="-"</formula>
    </cfRule>
  </conditionalFormatting>
  <conditionalFormatting sqref="AG121">
    <cfRule type="expression" dxfId="4130" priority="401">
      <formula>AG121="-"</formula>
    </cfRule>
  </conditionalFormatting>
  <conditionalFormatting sqref="AO121">
    <cfRule type="expression" dxfId="4129" priority="398">
      <formula>AO121="-"</formula>
    </cfRule>
  </conditionalFormatting>
  <conditionalFormatting sqref="AW121">
    <cfRule type="expression" dxfId="4128" priority="395">
      <formula>AW121="-"</formula>
    </cfRule>
  </conditionalFormatting>
  <conditionalFormatting sqref="BE121">
    <cfRule type="expression" dxfId="4127" priority="392">
      <formula>BE121="-"</formula>
    </cfRule>
  </conditionalFormatting>
  <conditionalFormatting sqref="BM121">
    <cfRule type="expression" dxfId="4126" priority="389">
      <formula>BM121="-"</formula>
    </cfRule>
  </conditionalFormatting>
  <conditionalFormatting sqref="BU121">
    <cfRule type="expression" dxfId="4125" priority="386">
      <formula>BU121="-"</formula>
    </cfRule>
  </conditionalFormatting>
  <conditionalFormatting sqref="CC121">
    <cfRule type="expression" dxfId="4124" priority="491">
      <formula>CC121="-"</formula>
    </cfRule>
  </conditionalFormatting>
  <conditionalFormatting sqref="CK121">
    <cfRule type="expression" dxfId="4123" priority="471">
      <formula>CK121="-"</formula>
    </cfRule>
  </conditionalFormatting>
  <conditionalFormatting sqref="AG123">
    <cfRule type="expression" dxfId="4122" priority="377">
      <formula>AG123="-"</formula>
    </cfRule>
  </conditionalFormatting>
  <conditionalFormatting sqref="AO123">
    <cfRule type="expression" dxfId="4121" priority="375">
      <formula>AO123="-"</formula>
    </cfRule>
  </conditionalFormatting>
  <conditionalFormatting sqref="AW123">
    <cfRule type="expression" dxfId="4120" priority="373">
      <formula>AW123="-"</formula>
    </cfRule>
  </conditionalFormatting>
  <conditionalFormatting sqref="BE123">
    <cfRule type="expression" dxfId="4119" priority="371">
      <formula>BE123="-"</formula>
    </cfRule>
  </conditionalFormatting>
  <conditionalFormatting sqref="BM123">
    <cfRule type="expression" dxfId="4118" priority="369">
      <formula>BM123="-"</formula>
    </cfRule>
  </conditionalFormatting>
  <conditionalFormatting sqref="BU123">
    <cfRule type="expression" dxfId="4117" priority="367">
      <formula>BU123="-"</formula>
    </cfRule>
  </conditionalFormatting>
  <conditionalFormatting sqref="CC123">
    <cfRule type="expression" dxfId="4116" priority="383">
      <formula>CC123="-"</formula>
    </cfRule>
  </conditionalFormatting>
  <conditionalFormatting sqref="CK123">
    <cfRule type="expression" dxfId="4115" priority="379">
      <formula>CK123="-"</formula>
    </cfRule>
  </conditionalFormatting>
  <conditionalFormatting sqref="AA128">
    <cfRule type="containsText" dxfId="4114" priority="351" operator="containsText" text="✓">
      <formula>NOT(ISERROR(SEARCH("✓",AA128)))</formula>
    </cfRule>
  </conditionalFormatting>
  <conditionalFormatting sqref="AI128">
    <cfRule type="containsText" dxfId="4113" priority="348" operator="containsText" text="✓">
      <formula>NOT(ISERROR(SEARCH("✓",AI128)))</formula>
    </cfRule>
  </conditionalFormatting>
  <conditionalFormatting sqref="AQ128">
    <cfRule type="containsText" dxfId="4112" priority="346" operator="containsText" text="✓">
      <formula>NOT(ISERROR(SEARCH("✓",AQ128)))</formula>
    </cfRule>
  </conditionalFormatting>
  <conditionalFormatting sqref="AY128">
    <cfRule type="containsText" dxfId="4111" priority="344" operator="containsText" text="✓">
      <formula>NOT(ISERROR(SEARCH("✓",AY128)))</formula>
    </cfRule>
  </conditionalFormatting>
  <conditionalFormatting sqref="BG128">
    <cfRule type="containsText" dxfId="4110" priority="342" operator="containsText" text="✓">
      <formula>NOT(ISERROR(SEARCH("✓",BG128)))</formula>
    </cfRule>
  </conditionalFormatting>
  <conditionalFormatting sqref="BO128">
    <cfRule type="containsText" dxfId="4109" priority="340" operator="containsText" text="✓">
      <formula>NOT(ISERROR(SEARCH("✓",BO128)))</formula>
    </cfRule>
  </conditionalFormatting>
  <conditionalFormatting sqref="BW128">
    <cfRule type="containsText" dxfId="4108" priority="338" operator="containsText" text="✓">
      <formula>NOT(ISERROR(SEARCH("✓",BW128)))</formula>
    </cfRule>
  </conditionalFormatting>
  <conditionalFormatting sqref="CE128">
    <cfRule type="containsText" dxfId="4107" priority="336" operator="containsText" text="✓">
      <formula>NOT(ISERROR(SEARCH("✓",CE128)))</formula>
    </cfRule>
  </conditionalFormatting>
  <conditionalFormatting sqref="CM128">
    <cfRule type="containsText" dxfId="4106" priority="335" operator="containsText" text="✓">
      <formula>NOT(ISERROR(SEARCH("✓",CM128)))</formula>
    </cfRule>
  </conditionalFormatting>
  <conditionalFormatting sqref="AA127">
    <cfRule type="containsText" dxfId="4105" priority="318" operator="containsText" text="✓">
      <formula>NOT(ISERROR(SEARCH("✓",AA127)))</formula>
    </cfRule>
  </conditionalFormatting>
  <conditionalFormatting sqref="AI127">
    <cfRule type="containsText" dxfId="4104" priority="317" operator="containsText" text="✓">
      <formula>NOT(ISERROR(SEARCH("✓",AI127)))</formula>
    </cfRule>
  </conditionalFormatting>
  <conditionalFormatting sqref="AQ127">
    <cfRule type="containsText" dxfId="4103" priority="316" operator="containsText" text="✓">
      <formula>NOT(ISERROR(SEARCH("✓",AQ127)))</formula>
    </cfRule>
  </conditionalFormatting>
  <conditionalFormatting sqref="AY127">
    <cfRule type="containsText" dxfId="4102" priority="315" operator="containsText" text="✓">
      <formula>NOT(ISERROR(SEARCH("✓",AY127)))</formula>
    </cfRule>
  </conditionalFormatting>
  <conditionalFormatting sqref="BG127">
    <cfRule type="containsText" dxfId="4101" priority="314" operator="containsText" text="✓">
      <formula>NOT(ISERROR(SEARCH("✓",BG127)))</formula>
    </cfRule>
  </conditionalFormatting>
  <conditionalFormatting sqref="BO127">
    <cfRule type="containsText" dxfId="4100" priority="313" operator="containsText" text="✓">
      <formula>NOT(ISERROR(SEARCH("✓",BO127)))</formula>
    </cfRule>
  </conditionalFormatting>
  <conditionalFormatting sqref="BW127">
    <cfRule type="containsText" dxfId="4099" priority="312" operator="containsText" text="✓">
      <formula>NOT(ISERROR(SEARCH("✓",BW127)))</formula>
    </cfRule>
  </conditionalFormatting>
  <conditionalFormatting sqref="CE127">
    <cfRule type="containsText" dxfId="4098" priority="311" operator="containsText" text="✓">
      <formula>NOT(ISERROR(SEARCH("✓",CE127)))</formula>
    </cfRule>
  </conditionalFormatting>
  <conditionalFormatting sqref="CM127">
    <cfRule type="containsText" dxfId="4097" priority="310" operator="containsText" text="✓">
      <formula>NOT(ISERROR(SEARCH("✓",CM127)))</formula>
    </cfRule>
  </conditionalFormatting>
  <conditionalFormatting sqref="Y127">
    <cfRule type="expression" dxfId="4096" priority="293">
      <formula>Y127="-"</formula>
    </cfRule>
  </conditionalFormatting>
  <conditionalFormatting sqref="AG127">
    <cfRule type="expression" dxfId="4095" priority="291">
      <formula>AG127="-"</formula>
    </cfRule>
  </conditionalFormatting>
  <conditionalFormatting sqref="AO127">
    <cfRule type="expression" dxfId="4094" priority="289">
      <formula>AO127="-"</formula>
    </cfRule>
  </conditionalFormatting>
  <conditionalFormatting sqref="AW127">
    <cfRule type="expression" dxfId="4093" priority="287">
      <formula>AW127="-"</formula>
    </cfRule>
  </conditionalFormatting>
  <conditionalFormatting sqref="BE127">
    <cfRule type="expression" dxfId="4092" priority="285">
      <formula>BE127="-"</formula>
    </cfRule>
  </conditionalFormatting>
  <conditionalFormatting sqref="BM127">
    <cfRule type="expression" dxfId="4091" priority="283">
      <formula>BM127="-"</formula>
    </cfRule>
  </conditionalFormatting>
  <conditionalFormatting sqref="BU127">
    <cfRule type="expression" dxfId="4090" priority="281">
      <formula>BU127="-"</formula>
    </cfRule>
  </conditionalFormatting>
  <conditionalFormatting sqref="CC127">
    <cfRule type="expression" dxfId="4089" priority="298">
      <formula>CC127="-"</formula>
    </cfRule>
  </conditionalFormatting>
  <conditionalFormatting sqref="CK127">
    <cfRule type="expression" dxfId="4088" priority="319">
      <formula>CK127="-"</formula>
    </cfRule>
  </conditionalFormatting>
  <conditionalFormatting sqref="AA129:AA130">
    <cfRule type="expression" dxfId="4087" priority="276">
      <formula>$AA$129="✓"</formula>
    </cfRule>
  </conditionalFormatting>
  <conditionalFormatting sqref="AI129:AI130">
    <cfRule type="containsText" dxfId="4086" priority="275" operator="containsText" text="✓">
      <formula>NOT(ISERROR(SEARCH("✓",AI129)))</formula>
    </cfRule>
  </conditionalFormatting>
  <conditionalFormatting sqref="AQ129:AQ130">
    <cfRule type="containsText" dxfId="4085" priority="274" operator="containsText" text="✓">
      <formula>NOT(ISERROR(SEARCH("✓",AQ129)))</formula>
    </cfRule>
  </conditionalFormatting>
  <conditionalFormatting sqref="AY129:AY130">
    <cfRule type="containsText" dxfId="4084" priority="273" operator="containsText" text="✓">
      <formula>NOT(ISERROR(SEARCH("✓",AY129)))</formula>
    </cfRule>
  </conditionalFormatting>
  <conditionalFormatting sqref="BG129:BG130">
    <cfRule type="containsText" dxfId="4083" priority="272" operator="containsText" text="✓">
      <formula>NOT(ISERROR(SEARCH("✓",BG129)))</formula>
    </cfRule>
  </conditionalFormatting>
  <conditionalFormatting sqref="BO129:BO130">
    <cfRule type="containsText" dxfId="4082" priority="271" operator="containsText" text="✓">
      <formula>NOT(ISERROR(SEARCH("✓",BO129)))</formula>
    </cfRule>
  </conditionalFormatting>
  <conditionalFormatting sqref="BW129:BW130">
    <cfRule type="containsText" dxfId="4081" priority="270" operator="containsText" text="✓">
      <formula>NOT(ISERROR(SEARCH("✓",BW129)))</formula>
    </cfRule>
  </conditionalFormatting>
  <conditionalFormatting sqref="CE129:CE130">
    <cfRule type="containsText" dxfId="4080" priority="269" operator="containsText" text="✓">
      <formula>NOT(ISERROR(SEARCH("✓",CE129)))</formula>
    </cfRule>
  </conditionalFormatting>
  <conditionalFormatting sqref="CM129:CM130">
    <cfRule type="containsText" dxfId="4079" priority="268" operator="containsText" text="✓">
      <formula>NOT(ISERROR(SEARCH("✓",CM129)))</formula>
    </cfRule>
  </conditionalFormatting>
  <conditionalFormatting sqref="Y129:Y130">
    <cfRule type="expression" dxfId="4078" priority="251">
      <formula>Y129="-"</formula>
    </cfRule>
  </conditionalFormatting>
  <conditionalFormatting sqref="AG129:AG130">
    <cfRule type="expression" dxfId="4077" priority="249">
      <formula>AG129="-"</formula>
    </cfRule>
  </conditionalFormatting>
  <conditionalFormatting sqref="AO129:AO130">
    <cfRule type="expression" dxfId="4076" priority="247">
      <formula>AO129="-"</formula>
    </cfRule>
  </conditionalFormatting>
  <conditionalFormatting sqref="AW129:AW130">
    <cfRule type="expression" dxfId="4075" priority="245">
      <formula>AW129="-"</formula>
    </cfRule>
  </conditionalFormatting>
  <conditionalFormatting sqref="BE129:BE130">
    <cfRule type="expression" dxfId="4074" priority="243">
      <formula>BE129="-"</formula>
    </cfRule>
  </conditionalFormatting>
  <conditionalFormatting sqref="BM129:BM130">
    <cfRule type="expression" dxfId="4073" priority="241">
      <formula>BM129="-"</formula>
    </cfRule>
  </conditionalFormatting>
  <conditionalFormatting sqref="BU129:BU130">
    <cfRule type="expression" dxfId="4072" priority="239">
      <formula>BU129="-"</formula>
    </cfRule>
  </conditionalFormatting>
  <conditionalFormatting sqref="CC129:CC130">
    <cfRule type="expression" dxfId="4071" priority="256">
      <formula>CC129="-"</formula>
    </cfRule>
  </conditionalFormatting>
  <conditionalFormatting sqref="CK129:CK130">
    <cfRule type="expression" dxfId="4070" priority="295">
      <formula>CK129="-"</formula>
    </cfRule>
  </conditionalFormatting>
  <conditionalFormatting sqref="AA92">
    <cfRule type="containsText" dxfId="4069" priority="235" operator="containsText" text="✓">
      <formula>NOT(ISERROR(SEARCH("✓",AA92)))</formula>
    </cfRule>
  </conditionalFormatting>
  <conditionalFormatting sqref="AI92">
    <cfRule type="containsText" dxfId="4068" priority="233" operator="containsText" text="✓">
      <formula>NOT(ISERROR(SEARCH("✓",AI92)))</formula>
    </cfRule>
  </conditionalFormatting>
  <conditionalFormatting sqref="AQ92">
    <cfRule type="containsText" dxfId="4067" priority="232" operator="containsText" text="✓">
      <formula>NOT(ISERROR(SEARCH("✓",AQ92)))</formula>
    </cfRule>
  </conditionalFormatting>
  <conditionalFormatting sqref="AY92">
    <cfRule type="containsText" dxfId="4066" priority="231" operator="containsText" text="✓">
      <formula>NOT(ISERROR(SEARCH("✓",AY92)))</formula>
    </cfRule>
  </conditionalFormatting>
  <conditionalFormatting sqref="BG92">
    <cfRule type="containsText" dxfId="4065" priority="230" operator="containsText" text="✓">
      <formula>NOT(ISERROR(SEARCH("✓",BG92)))</formula>
    </cfRule>
  </conditionalFormatting>
  <conditionalFormatting sqref="BO92">
    <cfRule type="containsText" dxfId="4064" priority="229" operator="containsText" text="✓">
      <formula>NOT(ISERROR(SEARCH("✓",BO92)))</formula>
    </cfRule>
  </conditionalFormatting>
  <conditionalFormatting sqref="BW92">
    <cfRule type="containsText" dxfId="4063" priority="228" operator="containsText" text="✓">
      <formula>NOT(ISERROR(SEARCH("✓",BW92)))</formula>
    </cfRule>
  </conditionalFormatting>
  <conditionalFormatting sqref="CE92">
    <cfRule type="containsText" dxfId="4062" priority="227" operator="containsText" text="✓">
      <formula>NOT(ISERROR(SEARCH("✓",CE92)))</formula>
    </cfRule>
  </conditionalFormatting>
  <conditionalFormatting sqref="AA112">
    <cfRule type="containsText" dxfId="4061" priority="194" operator="containsText" text="✓">
      <formula>NOT(ISERROR(SEARCH("✓",AA112)))</formula>
    </cfRule>
  </conditionalFormatting>
  <conditionalFormatting sqref="AI112">
    <cfRule type="containsText" dxfId="4060" priority="192" operator="containsText" text="✓">
      <formula>NOT(ISERROR(SEARCH("✓",AI112)))</formula>
    </cfRule>
  </conditionalFormatting>
  <conditionalFormatting sqref="AQ112">
    <cfRule type="containsText" dxfId="4059" priority="190" operator="containsText" text="✓">
      <formula>NOT(ISERROR(SEARCH("✓",AQ112)))</formula>
    </cfRule>
  </conditionalFormatting>
  <conditionalFormatting sqref="AY112">
    <cfRule type="containsText" dxfId="4058" priority="188" operator="containsText" text="✓">
      <formula>NOT(ISERROR(SEARCH("✓",AY112)))</formula>
    </cfRule>
  </conditionalFormatting>
  <conditionalFormatting sqref="BG112">
    <cfRule type="containsText" dxfId="4057" priority="186" operator="containsText" text="✓">
      <formula>NOT(ISERROR(SEARCH("✓",BG112)))</formula>
    </cfRule>
  </conditionalFormatting>
  <conditionalFormatting sqref="BO112">
    <cfRule type="containsText" dxfId="4056" priority="184" operator="containsText" text="✓">
      <formula>NOT(ISERROR(SEARCH("✓",BO112)))</formula>
    </cfRule>
  </conditionalFormatting>
  <conditionalFormatting sqref="BW112">
    <cfRule type="containsText" dxfId="4055" priority="182" operator="containsText" text="✓">
      <formula>NOT(ISERROR(SEARCH("✓",BW112)))</formula>
    </cfRule>
  </conditionalFormatting>
  <conditionalFormatting sqref="CE112">
    <cfRule type="containsText" dxfId="4054" priority="180" operator="containsText" text="✓">
      <formula>NOT(ISERROR(SEARCH("✓",CE112)))</formula>
    </cfRule>
  </conditionalFormatting>
  <conditionalFormatting sqref="CM112">
    <cfRule type="containsText" dxfId="4053" priority="178" operator="containsText" text="✓">
      <formula>NOT(ISERROR(SEARCH("✓",CM112)))</formula>
    </cfRule>
  </conditionalFormatting>
  <conditionalFormatting sqref="AA57">
    <cfRule type="containsText" dxfId="4052" priority="10" operator="containsText" text="✓">
      <formula>NOT(ISERROR(SEARCH("✓",AA57)))</formula>
    </cfRule>
  </conditionalFormatting>
  <conditionalFormatting sqref="AI57">
    <cfRule type="containsText" dxfId="4051" priority="16" operator="containsText" text="✓">
      <formula>NOT(ISERROR(SEARCH("✓",AI57)))</formula>
    </cfRule>
  </conditionalFormatting>
  <conditionalFormatting sqref="AQ57">
    <cfRule type="containsText" dxfId="4050" priority="15" operator="containsText" text="✓">
      <formula>NOT(ISERROR(SEARCH("✓",AQ57)))</formula>
    </cfRule>
  </conditionalFormatting>
  <conditionalFormatting sqref="AY57">
    <cfRule type="containsText" dxfId="4049" priority="14" operator="containsText" text="✓">
      <formula>NOT(ISERROR(SEARCH("✓",AY57)))</formula>
    </cfRule>
  </conditionalFormatting>
  <conditionalFormatting sqref="BG57">
    <cfRule type="containsText" dxfId="4048" priority="13" operator="containsText" text="✓">
      <formula>NOT(ISERROR(SEARCH("✓",BG57)))</formula>
    </cfRule>
  </conditionalFormatting>
  <conditionalFormatting sqref="BO57">
    <cfRule type="containsText" dxfId="4047" priority="12" operator="containsText" text="✓">
      <formula>NOT(ISERROR(SEARCH("✓",BO57)))</formula>
    </cfRule>
  </conditionalFormatting>
  <conditionalFormatting sqref="BW57">
    <cfRule type="containsText" dxfId="4046" priority="11" operator="containsText" text="✓">
      <formula>NOT(ISERROR(SEARCH("✓",BW57)))</formula>
    </cfRule>
  </conditionalFormatting>
  <conditionalFormatting sqref="CE57">
    <cfRule type="containsText" dxfId="4045" priority="18" operator="containsText" text="✓">
      <formula>NOT(ISERROR(SEARCH("✓",CE57)))</formula>
    </cfRule>
  </conditionalFormatting>
  <conditionalFormatting sqref="CM57">
    <cfRule type="containsText" dxfId="4044" priority="153" operator="containsText" text="✓">
      <formula>NOT(ISERROR(SEARCH("✓",CM57)))</formula>
    </cfRule>
  </conditionalFormatting>
  <conditionalFormatting sqref="AA15">
    <cfRule type="containsText" dxfId="4043" priority="1" operator="containsText" text="✓">
      <formula>NOT(ISERROR(SEARCH("✓",AA15)))</formula>
    </cfRule>
  </conditionalFormatting>
  <dataValidations xWindow="657" yWindow="1168" count="1">
    <dataValidation allowBlank="1" showErrorMessage="1" sqref="A1:XFD1048576" xr:uid="{07C9BD42-2C21-4C5C-AF17-E2EADFD8F2F7}"/>
  </dataValidations>
  <printOptions horizontalCentered="1" verticalCentered="1"/>
  <pageMargins left="0.70866141732283472" right="0.70866141732283472" top="0.47244094488188981" bottom="0.74803149606299213" header="0.31496062992125984" footer="0.31496062992125984"/>
  <pageSetup paperSize="8" scale="26" orientation="portrait" r:id="rId1"/>
  <extLst>
    <ext xmlns:x14="http://schemas.microsoft.com/office/spreadsheetml/2009/9/main" uri="{78C0D931-6437-407d-A8EE-F0AAD7539E65}">
      <x14:conditionalFormattings>
        <x14:conditionalFormatting xmlns:xm="http://schemas.microsoft.com/office/excel/2006/main">
          <x14:cfRule type="expression" priority="1125" id="{00000000-000E-0000-0800-000065040000}">
            <xm:f>$BU$223=_Calcs!$RZ$63</xm:f>
            <x14:dxf>
              <fill>
                <patternFill patternType="solid">
                  <fgColor theme="0"/>
                  <bgColor rgb="FFF6F8B6"/>
                </patternFill>
              </fill>
            </x14:dxf>
          </x14:cfRule>
          <xm:sqref>BS221:BY221 BU217 BU213</xm:sqref>
        </x14:conditionalFormatting>
        <x14:conditionalFormatting xmlns:xm="http://schemas.microsoft.com/office/excel/2006/main">
          <x14:cfRule type="expression" priority="1129" id="{00000000-000E-0000-0800-000069040000}">
            <xm:f>$CC$223=_Calcs!$RZ$63</xm:f>
            <x14:dxf>
              <fill>
                <patternFill>
                  <bgColor rgb="FFF6F8B6"/>
                </patternFill>
              </fill>
            </x14:dxf>
          </x14:cfRule>
          <xm:sqref>CC213:CC214 CC217:CC218 CA221:CG221 CC223:CE223</xm:sqref>
        </x14:conditionalFormatting>
        <x14:conditionalFormatting xmlns:xm="http://schemas.microsoft.com/office/excel/2006/main">
          <x14:cfRule type="expression" priority="914" id="{00000000-000E-0000-0800-000092030000}">
            <xm:f>$CK$223=_Calcs!$RZ$63</xm:f>
            <x14:dxf>
              <fill>
                <patternFill>
                  <bgColor rgb="FFF6F8B6"/>
                </patternFill>
              </fill>
            </x14:dxf>
          </x14:cfRule>
          <xm:sqref>CK213:CK214 CK217:CK218 CI221:CO221 CK223:CM223</xm:sqref>
        </x14:conditionalFormatting>
        <x14:conditionalFormatting xmlns:xm="http://schemas.microsoft.com/office/excel/2006/main">
          <x14:cfRule type="expression" priority="944" id="{00000000-000E-0000-0800-0000B0030000}">
            <xm:f>$BM$223=_Calcs!$RZ$63</xm:f>
            <x14:dxf>
              <fill>
                <patternFill>
                  <bgColor rgb="FFF6F8B6"/>
                </patternFill>
              </fill>
            </x14:dxf>
          </x14:cfRule>
          <xm:sqref>BM213:BM214 BM217:BM218 BK221:BQ221 BM223:BO223</xm:sqref>
        </x14:conditionalFormatting>
        <x14:conditionalFormatting xmlns:xm="http://schemas.microsoft.com/office/excel/2006/main">
          <x14:cfRule type="expression" priority="968" id="{00000000-000E-0000-0800-0000C8030000}">
            <xm:f>$BE$223=_Calcs!$RZ$63</xm:f>
            <x14:dxf>
              <fill>
                <patternFill>
                  <bgColor rgb="FFF6F8B6"/>
                </patternFill>
              </fill>
            </x14:dxf>
          </x14:cfRule>
          <xm:sqref>BE223:BG223 BC221:BI221 BE217:BE218 BE213:BE214</xm:sqref>
        </x14:conditionalFormatting>
        <x14:conditionalFormatting xmlns:xm="http://schemas.microsoft.com/office/excel/2006/main">
          <x14:cfRule type="expression" priority="895" id="{00000000-000E-0000-0800-00007F030000}">
            <xm:f>$AW$223=_Calcs!$RZ$63</xm:f>
            <x14:dxf>
              <fill>
                <patternFill>
                  <bgColor rgb="FFF6F8B6"/>
                </patternFill>
              </fill>
            </x14:dxf>
          </x14:cfRule>
          <xm:sqref>AW213:AW214 AW217:AW218 AU221:BA221 AW223:AY223</xm:sqref>
        </x14:conditionalFormatting>
        <x14:conditionalFormatting xmlns:xm="http://schemas.microsoft.com/office/excel/2006/main">
          <x14:cfRule type="expression" priority="969" id="{00000000-000E-0000-0800-0000C9030000}">
            <xm:f>$AO$223=_Calcs!$RZ$63</xm:f>
            <x14:dxf>
              <fill>
                <patternFill>
                  <bgColor rgb="FFF6F8B6"/>
                </patternFill>
              </fill>
            </x14:dxf>
          </x14:cfRule>
          <xm:sqref>AO213:AO214 AO217:AO218 AM221:AS221 AO223:AQ223</xm:sqref>
        </x14:conditionalFormatting>
        <x14:conditionalFormatting xmlns:xm="http://schemas.microsoft.com/office/excel/2006/main">
          <x14:cfRule type="expression" priority="897" id="{00000000-000E-0000-0800-000081030000}">
            <xm:f>$AG$223=_Calcs!$RZ$63</xm:f>
            <x14:dxf>
              <fill>
                <patternFill>
                  <bgColor rgb="FFF6F8B6"/>
                </patternFill>
              </fill>
            </x14:dxf>
          </x14:cfRule>
          <xm:sqref>AG213:AG214 AG217:AG218 AE221:AK221 AG223:AI223</xm:sqref>
        </x14:conditionalFormatting>
        <x14:conditionalFormatting xmlns:xm="http://schemas.microsoft.com/office/excel/2006/main">
          <x14:cfRule type="expression" priority="825" id="{00000000-000E-0000-0800-000039030000}">
            <xm:f>$Y$223=_Calcs!$RZ$63</xm:f>
            <x14:dxf>
              <fill>
                <patternFill>
                  <bgColor rgb="FFF6F8B6"/>
                </patternFill>
              </fill>
            </x14:dxf>
          </x14:cfRule>
          <xm:sqref>Y213:Y214 Y217:Y218 W221:AC221 Y223:AA223</xm:sqref>
        </x14:conditionalFormatting>
        <x14:conditionalFormatting xmlns:xm="http://schemas.microsoft.com/office/excel/2006/main">
          <x14:cfRule type="expression" priority="832" id="{00000000-000E-0000-0800-000040030000}">
            <xm:f>$CK$223&lt;&gt;_Calcs!$RZ$63</xm:f>
            <x14:dxf>
              <fill>
                <patternFill patternType="gray0625">
                  <fgColor theme="0"/>
                  <bgColor theme="6" tint="0.79998168889431442"/>
                </patternFill>
              </fill>
              <border>
                <left/>
                <right/>
                <top/>
                <bottom/>
                <vertical/>
                <horizontal/>
              </border>
            </x14:dxf>
          </x14:cfRule>
          <xm:sqref>CI223:CO223</xm:sqref>
        </x14:conditionalFormatting>
        <x14:conditionalFormatting xmlns:xm="http://schemas.microsoft.com/office/excel/2006/main">
          <x14:cfRule type="expression" priority="904" id="{00000000-000E-0000-0800-000088030000}">
            <xm:f>$CC$223&lt;&gt;_Calcs!$RZ$63</xm:f>
            <x14:dxf>
              <fill>
                <patternFill patternType="gray0625">
                  <fgColor theme="0"/>
                  <bgColor theme="6" tint="0.79998168889431442"/>
                </patternFill>
              </fill>
              <border>
                <left/>
                <right/>
                <top/>
                <bottom/>
                <vertical/>
                <horizontal/>
              </border>
            </x14:dxf>
          </x14:cfRule>
          <xm:sqref>CA223:CG223</xm:sqref>
        </x14:conditionalFormatting>
        <x14:conditionalFormatting xmlns:xm="http://schemas.microsoft.com/office/excel/2006/main">
          <x14:cfRule type="expression" priority="841" id="{00000000-000E-0000-0800-000049030000}">
            <xm:f>$BU$223&lt;&gt;_Calcs!$RZ$63</xm:f>
            <x14:dxf>
              <fill>
                <patternFill patternType="gray0625">
                  <fgColor theme="0"/>
                  <bgColor theme="6" tint="0.79998168889431442"/>
                </patternFill>
              </fill>
              <border>
                <left/>
                <right/>
                <top/>
                <bottom/>
                <vertical/>
                <horizontal/>
              </border>
            </x14:dxf>
          </x14:cfRule>
          <xm:sqref>BS223:BY223</xm:sqref>
        </x14:conditionalFormatting>
        <x14:conditionalFormatting xmlns:xm="http://schemas.microsoft.com/office/excel/2006/main">
          <x14:cfRule type="expression" priority="821" id="{00000000-000E-0000-0800-000035030000}">
            <xm:f>$BM$223&lt;&gt;_Calcs!$RZ$63</xm:f>
            <x14:dxf>
              <fill>
                <patternFill patternType="gray0625">
                  <fgColor theme="0"/>
                  <bgColor theme="6" tint="0.79998168889431442"/>
                </patternFill>
              </fill>
              <border>
                <left/>
                <right/>
                <top/>
                <bottom/>
                <vertical/>
                <horizontal/>
              </border>
            </x14:dxf>
          </x14:cfRule>
          <xm:sqref>BK223:BQ223</xm:sqref>
        </x14:conditionalFormatting>
        <x14:conditionalFormatting xmlns:xm="http://schemas.microsoft.com/office/excel/2006/main">
          <x14:cfRule type="expression" priority="845" id="{00000000-000E-0000-0800-00004D030000}">
            <xm:f>$BE$223&lt;&gt;_Calcs!$RZ$63</xm:f>
            <x14:dxf>
              <fill>
                <patternFill patternType="gray0625">
                  <fgColor theme="0"/>
                  <bgColor theme="6" tint="0.79998168889431442"/>
                </patternFill>
              </fill>
              <border>
                <left/>
                <right/>
                <top/>
                <bottom/>
                <vertical/>
                <horizontal/>
              </border>
            </x14:dxf>
          </x14:cfRule>
          <xm:sqref>BC223:BI223</xm:sqref>
        </x14:conditionalFormatting>
        <x14:conditionalFormatting xmlns:xm="http://schemas.microsoft.com/office/excel/2006/main">
          <x14:cfRule type="expression" priority="828" id="{00000000-000E-0000-0800-00003C030000}">
            <xm:f>$AW$223&lt;&gt;_Calcs!$RZ$63</xm:f>
            <x14:dxf>
              <fill>
                <patternFill patternType="gray0625">
                  <fgColor theme="0"/>
                  <bgColor theme="6" tint="0.79998168889431442"/>
                </patternFill>
              </fill>
              <border>
                <left/>
                <right/>
                <top/>
                <bottom/>
                <vertical/>
                <horizontal/>
              </border>
            </x14:dxf>
          </x14:cfRule>
          <xm:sqref>AU223:BA223</xm:sqref>
        </x14:conditionalFormatting>
        <x14:conditionalFormatting xmlns:xm="http://schemas.microsoft.com/office/excel/2006/main">
          <x14:cfRule type="expression" priority="827" id="{00000000-000E-0000-0800-00003B030000}">
            <xm:f>$AO$223&lt;&gt;_Calcs!$RZ$63</xm:f>
            <x14:dxf>
              <fill>
                <patternFill patternType="gray0625">
                  <fgColor theme="0"/>
                  <bgColor theme="6" tint="0.79998168889431442"/>
                </patternFill>
              </fill>
              <border>
                <left/>
                <right/>
                <top/>
                <bottom/>
                <vertical/>
                <horizontal/>
              </border>
            </x14:dxf>
          </x14:cfRule>
          <xm:sqref>AM223:AS223</xm:sqref>
        </x14:conditionalFormatting>
        <x14:conditionalFormatting xmlns:xm="http://schemas.microsoft.com/office/excel/2006/main">
          <x14:cfRule type="expression" priority="826" id="{00000000-000E-0000-0800-00003A030000}">
            <xm:f>$AG$223&lt;&gt;_Calcs!$RZ$63</xm:f>
            <x14:dxf>
              <fill>
                <patternFill patternType="gray0625">
                  <fgColor theme="0"/>
                  <bgColor theme="6" tint="0.79998168889431442"/>
                </patternFill>
              </fill>
              <border>
                <left/>
                <right/>
                <top/>
                <bottom/>
                <vertical/>
                <horizontal/>
              </border>
            </x14:dxf>
          </x14:cfRule>
          <xm:sqref>AE223:AK223</xm:sqref>
        </x14:conditionalFormatting>
        <x14:conditionalFormatting xmlns:xm="http://schemas.microsoft.com/office/excel/2006/main">
          <x14:cfRule type="expression" priority="816" id="{00000000-000E-0000-0800-000030030000}">
            <xm:f>$Y$223&lt;&gt;_Calcs!$RZ$63</xm:f>
            <x14:dxf>
              <fill>
                <patternFill patternType="gray0625">
                  <fgColor theme="0"/>
                  <bgColor theme="6" tint="0.79998168889431442"/>
                </patternFill>
              </fill>
              <border>
                <left/>
                <right/>
                <top/>
                <bottom/>
                <vertical/>
                <horizontal/>
              </border>
            </x14:dxf>
          </x14:cfRule>
          <xm:sqref>W223:AC223</xm:sqref>
        </x14:conditionalFormatting>
        <x14:conditionalFormatting xmlns:xm="http://schemas.microsoft.com/office/excel/2006/main">
          <x14:cfRule type="expression" priority="824" id="{00000000-000E-0000-0800-000038030000}">
            <xm:f>$CK$223=_Calcs!$RZ$63</xm:f>
            <x14:dxf>
              <fill>
                <patternFill patternType="lightUp">
                  <fgColor auto="1"/>
                  <bgColor rgb="FFF6F8B6"/>
                </patternFill>
              </fill>
            </x14:dxf>
          </x14:cfRule>
          <xm:sqref>CO223 CI223</xm:sqref>
        </x14:conditionalFormatting>
        <x14:conditionalFormatting xmlns:xm="http://schemas.microsoft.com/office/excel/2006/main">
          <x14:cfRule type="expression" priority="814" id="{00000000-000E-0000-0800-00002E030000}">
            <xm:f>$CC$223=_Calcs!$RZ$63</xm:f>
            <x14:dxf>
              <fill>
                <patternFill patternType="lightUp">
                  <fgColor theme="1"/>
                  <bgColor rgb="FFF6F8B6"/>
                </patternFill>
              </fill>
            </x14:dxf>
          </x14:cfRule>
          <xm:sqref>CG223 CA223</xm:sqref>
        </x14:conditionalFormatting>
        <x14:conditionalFormatting xmlns:xm="http://schemas.microsoft.com/office/excel/2006/main">
          <x14:cfRule type="expression" priority="812" id="{00000000-000E-0000-0800-00002C030000}">
            <xm:f>$BU$223=_Calcs!$RZ$63</xm:f>
            <x14:dxf>
              <fill>
                <patternFill patternType="lightUp">
                  <fgColor theme="1"/>
                  <bgColor rgb="FFF6F8B6"/>
                </patternFill>
              </fill>
            </x14:dxf>
          </x14:cfRule>
          <xm:sqref>BS223 BY223</xm:sqref>
        </x14:conditionalFormatting>
        <x14:conditionalFormatting xmlns:xm="http://schemas.microsoft.com/office/excel/2006/main">
          <x14:cfRule type="expression" priority="811" id="{00000000-000E-0000-0800-00002B030000}">
            <xm:f>$BM$223=_Calcs!$RZ$63</xm:f>
            <x14:dxf>
              <fill>
                <patternFill patternType="lightUp">
                  <fgColor theme="1"/>
                  <bgColor rgb="FFF6F8B6"/>
                </patternFill>
              </fill>
            </x14:dxf>
          </x14:cfRule>
          <xm:sqref>BK223 BQ223</xm:sqref>
        </x14:conditionalFormatting>
        <x14:conditionalFormatting xmlns:xm="http://schemas.microsoft.com/office/excel/2006/main">
          <x14:cfRule type="expression" priority="810" id="{00000000-000E-0000-0800-00002A030000}">
            <xm:f>$BE$223=_Calcs!$RZ$63</xm:f>
            <x14:dxf>
              <fill>
                <patternFill patternType="lightUp">
                  <fgColor theme="1"/>
                  <bgColor rgb="FFF6F8B6"/>
                </patternFill>
              </fill>
            </x14:dxf>
          </x14:cfRule>
          <xm:sqref>BC223 BI223</xm:sqref>
        </x14:conditionalFormatting>
        <x14:conditionalFormatting xmlns:xm="http://schemas.microsoft.com/office/excel/2006/main">
          <x14:cfRule type="expression" priority="809" id="{00000000-000E-0000-0800-000029030000}">
            <xm:f>$AW$223=_Calcs!$RZ$63</xm:f>
            <x14:dxf>
              <fill>
                <patternFill patternType="lightUp">
                  <fgColor theme="1"/>
                  <bgColor rgb="FFF6F8B6"/>
                </patternFill>
              </fill>
            </x14:dxf>
          </x14:cfRule>
          <xm:sqref>BA223 AU223</xm:sqref>
        </x14:conditionalFormatting>
        <x14:conditionalFormatting xmlns:xm="http://schemas.microsoft.com/office/excel/2006/main">
          <x14:cfRule type="expression" priority="808" id="{00000000-000E-0000-0800-000028030000}">
            <xm:f>$AO$223=_Calcs!$RZ$63</xm:f>
            <x14:dxf>
              <fill>
                <patternFill patternType="lightUp">
                  <bgColor rgb="FFF6F8B6"/>
                </patternFill>
              </fill>
            </x14:dxf>
          </x14:cfRule>
          <xm:sqref>AS223 AM223</xm:sqref>
        </x14:conditionalFormatting>
        <x14:conditionalFormatting xmlns:xm="http://schemas.microsoft.com/office/excel/2006/main">
          <x14:cfRule type="expression" priority="807" id="{00000000-000E-0000-0800-000027030000}">
            <xm:f>$AG$223=_Calcs!$RZ$63</xm:f>
            <x14:dxf>
              <fill>
                <patternFill patternType="lightUp">
                  <bgColor rgb="FFF6F8B6"/>
                </patternFill>
              </fill>
            </x14:dxf>
          </x14:cfRule>
          <xm:sqref>AK223 AE223</xm:sqref>
        </x14:conditionalFormatting>
        <x14:conditionalFormatting xmlns:xm="http://schemas.microsoft.com/office/excel/2006/main">
          <x14:cfRule type="expression" priority="806" id="{00000000-000E-0000-0800-000026030000}">
            <xm:f>$Y$223=_Calcs!$RZ$63</xm:f>
            <x14:dxf>
              <fill>
                <patternFill patternType="lightUp">
                  <bgColor rgb="FFF6F8B6"/>
                </patternFill>
              </fill>
            </x14:dxf>
          </x14:cfRule>
          <xm:sqref>W223 AC223</xm:sqref>
        </x14:conditionalFormatting>
        <x14:conditionalFormatting xmlns:xm="http://schemas.microsoft.com/office/excel/2006/main">
          <x14:cfRule type="expression" priority="676" id="{00000000-000E-0000-0800-000013020000}">
            <xm:f>OR(Y101="-",$Y$92=_List!$AW$7)</xm:f>
            <x14:dxf>
              <fill>
                <patternFill>
                  <bgColor rgb="FFFCF0D0"/>
                </patternFill>
              </fill>
              <border>
                <left/>
                <right/>
                <top/>
                <bottom/>
                <vertical/>
                <horizontal/>
              </border>
            </x14:dxf>
          </x14:cfRule>
          <xm:sqref>Y101</xm:sqref>
        </x14:conditionalFormatting>
        <x14:conditionalFormatting xmlns:xm="http://schemas.microsoft.com/office/excel/2006/main">
          <x14:cfRule type="expression" priority="503" id="{00000000-000E-0000-0800-0000ED010000}">
            <xm:f>OR(AG101="-",$AG$92=_List!$AW$7)</xm:f>
            <x14:dxf>
              <fill>
                <patternFill>
                  <bgColor rgb="FFFCF0D0"/>
                </patternFill>
              </fill>
              <border>
                <left/>
                <right/>
                <top/>
                <bottom/>
                <vertical/>
                <horizontal/>
              </border>
            </x14:dxf>
          </x14:cfRule>
          <xm:sqref>AG101</xm:sqref>
        </x14:conditionalFormatting>
        <x14:conditionalFormatting xmlns:xm="http://schemas.microsoft.com/office/excel/2006/main">
          <x14:cfRule type="expression" priority="501" id="{00000000-000E-0000-0800-0000EB010000}">
            <xm:f>OR(AO101="-",$AO$92=_List!$AW$7)</xm:f>
            <x14:dxf>
              <fill>
                <patternFill>
                  <bgColor rgb="FFFCF0D0"/>
                </patternFill>
              </fill>
              <border>
                <left/>
                <right/>
                <top/>
                <bottom/>
                <vertical/>
                <horizontal/>
              </border>
            </x14:dxf>
          </x14:cfRule>
          <xm:sqref>AO101</xm:sqref>
        </x14:conditionalFormatting>
        <x14:conditionalFormatting xmlns:xm="http://schemas.microsoft.com/office/excel/2006/main">
          <x14:cfRule type="expression" priority="499" id="{00000000-000E-0000-0800-0000E9010000}">
            <xm:f>OR(AW101="-",$AW$92=_List!$AW$7)</xm:f>
            <x14:dxf>
              <fill>
                <patternFill>
                  <bgColor rgb="FFFCF0D0"/>
                </patternFill>
              </fill>
              <border>
                <left/>
                <right/>
                <top/>
                <bottom/>
                <vertical/>
                <horizontal/>
              </border>
            </x14:dxf>
          </x14:cfRule>
          <xm:sqref>AW101</xm:sqref>
        </x14:conditionalFormatting>
        <x14:conditionalFormatting xmlns:xm="http://schemas.microsoft.com/office/excel/2006/main">
          <x14:cfRule type="expression" priority="497" id="{00000000-000E-0000-0800-0000E7010000}">
            <xm:f>OR(BE101="-",$BE$92=_List!$AW$7)</xm:f>
            <x14:dxf>
              <fill>
                <patternFill>
                  <bgColor rgb="FFFCF0D0"/>
                </patternFill>
              </fill>
              <border>
                <left/>
                <right/>
                <top/>
                <bottom/>
                <vertical/>
                <horizontal/>
              </border>
            </x14:dxf>
          </x14:cfRule>
          <xm:sqref>BE101</xm:sqref>
        </x14:conditionalFormatting>
        <x14:conditionalFormatting xmlns:xm="http://schemas.microsoft.com/office/excel/2006/main">
          <x14:cfRule type="expression" priority="495" id="{00000000-000E-0000-0800-0000E5010000}">
            <xm:f>OR(BM101="-",$BM$92=_List!$AW$7)</xm:f>
            <x14:dxf>
              <fill>
                <patternFill>
                  <bgColor rgb="FFFCF0D0"/>
                </patternFill>
              </fill>
              <border>
                <left/>
                <right/>
                <top/>
                <bottom/>
                <vertical/>
                <horizontal/>
              </border>
            </x14:dxf>
          </x14:cfRule>
          <xm:sqref>BM101</xm:sqref>
        </x14:conditionalFormatting>
        <x14:conditionalFormatting xmlns:xm="http://schemas.microsoft.com/office/excel/2006/main">
          <x14:cfRule type="expression" priority="493" id="{00000000-000E-0000-0800-0000E3010000}">
            <xm:f>OR(BU101="-",$BU$92=_List!$AW$7)</xm:f>
            <x14:dxf>
              <fill>
                <patternFill>
                  <bgColor rgb="FFFCF0D0"/>
                </patternFill>
              </fill>
              <border>
                <left/>
                <right/>
                <top/>
                <bottom/>
                <vertical/>
                <horizontal/>
              </border>
            </x14:dxf>
          </x14:cfRule>
          <xm:sqref>BU101</xm:sqref>
        </x14:conditionalFormatting>
        <x14:conditionalFormatting xmlns:xm="http://schemas.microsoft.com/office/excel/2006/main">
          <x14:cfRule type="expression" priority="567" id="{00000000-000E-0000-0800-00002D020000}">
            <xm:f>OR(CC101="-",$CC$92=_List!$AW$7)</xm:f>
            <x14:dxf>
              <fill>
                <patternFill>
                  <bgColor rgb="FFFCF0D0"/>
                </patternFill>
              </fill>
              <border>
                <left/>
                <right/>
                <top/>
                <bottom/>
                <vertical/>
                <horizontal/>
              </border>
            </x14:dxf>
          </x14:cfRule>
          <xm:sqref>CC101</xm:sqref>
        </x14:conditionalFormatting>
        <x14:conditionalFormatting xmlns:xm="http://schemas.microsoft.com/office/excel/2006/main">
          <x14:cfRule type="expression" priority="575" id="{00000000-000E-0000-0800-000035020000}">
            <xm:f>OR(CK101="-",$CK$92=_List!$AW$7)</xm:f>
            <x14:dxf>
              <fill>
                <patternFill>
                  <bgColor rgb="FFFCF0D0"/>
                </patternFill>
              </fill>
              <border>
                <left/>
                <right/>
                <top/>
                <bottom/>
                <vertical/>
                <horizontal/>
              </border>
            </x14:dxf>
          </x14:cfRule>
          <xm:sqref>CK101</xm:sqref>
        </x14:conditionalFormatting>
        <x14:conditionalFormatting xmlns:xm="http://schemas.microsoft.com/office/excel/2006/main">
          <x14:cfRule type="expression" priority="436" id="{00000000-000E-0000-0800-0000C9000000}">
            <xm:f>OR($Y$92=_List!$AW$7,Y123&lt;&gt;"-")</xm:f>
            <x14:dxf>
              <font>
                <b val="0"/>
                <i val="0"/>
                <color auto="1"/>
              </font>
              <fill>
                <patternFill>
                  <bgColor rgb="FFFCF0D0"/>
                </patternFill>
              </fill>
              <border>
                <left/>
                <right/>
                <top/>
                <bottom/>
              </border>
            </x14:dxf>
          </x14:cfRule>
          <xm:sqref>Y121</xm:sqref>
        </x14:conditionalFormatting>
        <x14:conditionalFormatting xmlns:xm="http://schemas.microsoft.com/office/excel/2006/main">
          <x14:cfRule type="expression" priority="400" id="{00000000-000E-0000-0800-0000A5000000}">
            <xm:f>OR($AG$92=_List!$AW$7,AG123&lt;&gt;"-")</xm:f>
            <x14:dxf>
              <font>
                <b val="0"/>
                <i val="0"/>
                <color auto="1"/>
              </font>
              <fill>
                <patternFill>
                  <bgColor rgb="FFFCF0D0"/>
                </patternFill>
              </fill>
              <border>
                <left/>
                <right/>
                <top/>
                <bottom/>
              </border>
            </x14:dxf>
          </x14:cfRule>
          <xm:sqref>AG121</xm:sqref>
        </x14:conditionalFormatting>
        <x14:conditionalFormatting xmlns:xm="http://schemas.microsoft.com/office/excel/2006/main">
          <x14:cfRule type="expression" priority="397" id="{00000000-000E-0000-0800-0000A2000000}">
            <xm:f>OR($AO$92=_List!$AW$7,AO123&lt;&gt;"-")</xm:f>
            <x14:dxf>
              <font>
                <b val="0"/>
                <i val="0"/>
                <color auto="1"/>
              </font>
              <fill>
                <patternFill>
                  <bgColor rgb="FFFCF0D0"/>
                </patternFill>
              </fill>
              <border>
                <left/>
                <right/>
                <top/>
                <bottom/>
              </border>
            </x14:dxf>
          </x14:cfRule>
          <xm:sqref>AO121</xm:sqref>
        </x14:conditionalFormatting>
        <x14:conditionalFormatting xmlns:xm="http://schemas.microsoft.com/office/excel/2006/main">
          <x14:cfRule type="expression" priority="394" id="{00000000-000E-0000-0800-00009F000000}">
            <xm:f>OR($AW$92=_List!$AW$7,AW123&lt;&gt;"-")</xm:f>
            <x14:dxf>
              <font>
                <b val="0"/>
                <i val="0"/>
                <color auto="1"/>
              </font>
              <fill>
                <patternFill>
                  <bgColor rgb="FFFCF0D0"/>
                </patternFill>
              </fill>
              <border>
                <left/>
                <right/>
                <top/>
                <bottom/>
              </border>
            </x14:dxf>
          </x14:cfRule>
          <xm:sqref>AW121</xm:sqref>
        </x14:conditionalFormatting>
        <x14:conditionalFormatting xmlns:xm="http://schemas.microsoft.com/office/excel/2006/main">
          <x14:cfRule type="expression" priority="391" id="{00000000-000E-0000-0800-00009C000000}">
            <xm:f>OR($BE$92=_List!$AW$7,BE123&lt;&gt;"-")</xm:f>
            <x14:dxf>
              <font>
                <b val="0"/>
                <i val="0"/>
                <color auto="1"/>
              </font>
              <fill>
                <patternFill>
                  <bgColor rgb="FFFCF0D0"/>
                </patternFill>
              </fill>
              <border>
                <left/>
                <right/>
                <top/>
                <bottom/>
              </border>
            </x14:dxf>
          </x14:cfRule>
          <xm:sqref>BE121</xm:sqref>
        </x14:conditionalFormatting>
        <x14:conditionalFormatting xmlns:xm="http://schemas.microsoft.com/office/excel/2006/main">
          <x14:cfRule type="expression" priority="388" id="{00000000-000E-0000-0800-000099000000}">
            <xm:f>OR($BM$92=_List!$AW$7,BM123&lt;&gt;"-")</xm:f>
            <x14:dxf>
              <font>
                <b val="0"/>
                <i val="0"/>
                <color auto="1"/>
              </font>
              <fill>
                <patternFill>
                  <bgColor rgb="FFFCF0D0"/>
                </patternFill>
              </fill>
              <border>
                <left/>
                <right/>
                <top/>
                <bottom/>
              </border>
            </x14:dxf>
          </x14:cfRule>
          <xm:sqref>BM121</xm:sqref>
        </x14:conditionalFormatting>
        <x14:conditionalFormatting xmlns:xm="http://schemas.microsoft.com/office/excel/2006/main">
          <x14:cfRule type="expression" priority="385" id="{00000000-000E-0000-0800-000096000000}">
            <xm:f>OR($BU$92=_List!$AW$7,BU123&lt;&gt;"-")</xm:f>
            <x14:dxf>
              <font>
                <b val="0"/>
                <i val="0"/>
                <color auto="1"/>
              </font>
              <fill>
                <patternFill>
                  <bgColor rgb="FFFCF0D0"/>
                </patternFill>
              </fill>
              <border>
                <left/>
                <right/>
                <top/>
                <bottom/>
              </border>
            </x14:dxf>
          </x14:cfRule>
          <xm:sqref>BU121</xm:sqref>
        </x14:conditionalFormatting>
        <x14:conditionalFormatting xmlns:xm="http://schemas.microsoft.com/office/excel/2006/main">
          <x14:cfRule type="expression" priority="473" id="{00000000-000E-0000-0800-0000EE000000}">
            <xm:f>OR($CC$92=_List!$AW$7,CC123&lt;&gt;"-")</xm:f>
            <x14:dxf>
              <font>
                <b val="0"/>
                <i val="0"/>
                <color auto="1"/>
              </font>
              <fill>
                <patternFill>
                  <bgColor rgb="FFFCF0D0"/>
                </patternFill>
              </fill>
              <border>
                <left/>
                <right/>
                <top/>
                <bottom/>
              </border>
            </x14:dxf>
          </x14:cfRule>
          <xm:sqref>CC121</xm:sqref>
        </x14:conditionalFormatting>
        <x14:conditionalFormatting xmlns:xm="http://schemas.microsoft.com/office/excel/2006/main">
          <x14:cfRule type="expression" priority="380" id="{00000000-000E-0000-0800-000091000000}">
            <xm:f>OR($CK$92=_List!$AW$7,CK123&lt;&gt;"-")</xm:f>
            <x14:dxf>
              <font>
                <b val="0"/>
                <i val="0"/>
                <color auto="1"/>
              </font>
              <fill>
                <patternFill>
                  <bgColor rgb="FFFCF0D0"/>
                </patternFill>
              </fill>
              <border>
                <left/>
                <right/>
                <top/>
                <bottom/>
              </border>
            </x14:dxf>
          </x14:cfRule>
          <xm:sqref>CK121</xm:sqref>
        </x14:conditionalFormatting>
        <x14:conditionalFormatting xmlns:xm="http://schemas.microsoft.com/office/excel/2006/main">
          <x14:cfRule type="expression" priority="6179" id="{93165675-65FC-46E9-BABA-8B25E72284A8}">
            <xm:f>OR(Y$139=_Calcs!$HI$54)</xm:f>
            <x14:dxf>
              <font>
                <b val="0"/>
                <i/>
              </font>
              <fill>
                <patternFill>
                  <bgColor rgb="FFDED6E2"/>
                </patternFill>
              </fill>
              <border>
                <left/>
                <right/>
                <top/>
                <bottom/>
                <vertical/>
                <horizontal/>
              </border>
            </x14:dxf>
          </x14:cfRule>
          <xm:sqref>Y139 Y143 Y145 Y147 Y151 Y149 Y153 AG153 AG149 AG151 AG147 AG145 AG143 AG139 AO139 AO145 AO147 AO151 AO149 AO153 AW153 AW149 AW151 AW147 AW145 AW139 BE139 BE145 BE147 BE151 BE149 BE153 BM153 BM149 BM151 BM147 BM145 BM139 BU139 BU145 BU147 BU151 BU149 BU153 CC153 CC149 CC151 CC147 CC145 CC139 CK139 CK145 CK147 CK151 CK149 CK153 AO143 AW143 BE143 BM143 BU143 CC143 CK143</xm:sqref>
        </x14:conditionalFormatting>
        <x14:conditionalFormatting xmlns:xm="http://schemas.microsoft.com/office/excel/2006/main">
          <x14:cfRule type="expression" priority="973" id="{24C251EE-0C66-4096-9927-EAAA43AECFA0}">
            <xm:f>OR(Y$139=_Calcs!$HI$54,Y$139="-")</xm:f>
            <x14:dxf>
              <font>
                <b val="0"/>
                <i/>
              </font>
              <fill>
                <patternFill>
                  <bgColor rgb="FFDED6E2"/>
                </patternFill>
              </fill>
              <border>
                <left/>
                <right/>
                <top/>
                <bottom/>
                <vertical/>
                <horizontal/>
              </border>
            </x14:dxf>
          </x14:cfRule>
          <xm:sqref>Y147:Y151</xm:sqref>
        </x14:conditionalFormatting>
        <x14:conditionalFormatting xmlns:xm="http://schemas.microsoft.com/office/excel/2006/main">
          <x14:cfRule type="expression" priority="971" id="{97A7F9D2-897F-466E-91EE-1D7D4DFA7E28}">
            <xm:f>OR(Y$139=_Calcs!$HI$54,Y$139="-")</xm:f>
            <x14:dxf>
              <font>
                <b val="0"/>
                <i/>
              </font>
              <fill>
                <patternFill>
                  <bgColor rgb="FFDED6E2"/>
                </patternFill>
              </fill>
              <border>
                <left/>
                <right/>
                <top/>
                <bottom/>
                <vertical/>
                <horizontal/>
              </border>
            </x14:dxf>
          </x14:cfRule>
          <xm:sqref>Y153</xm:sqref>
        </x14:conditionalFormatting>
        <x14:conditionalFormatting xmlns:xm="http://schemas.microsoft.com/office/excel/2006/main">
          <x14:cfRule type="expression" priority="751" id="{E6D78EE8-3CBE-47CE-8B26-0B99BE46E7C9}">
            <xm:f>$Y$159=_List!$EG$7</xm:f>
            <x14:dxf>
              <font>
                <b val="0"/>
                <i/>
              </font>
            </x14:dxf>
          </x14:cfRule>
          <xm:sqref>Y159</xm:sqref>
        </x14:conditionalFormatting>
        <x14:conditionalFormatting xmlns:xm="http://schemas.microsoft.com/office/excel/2006/main">
          <x14:cfRule type="expression" priority="778" id="{9DB6E2AB-A53B-461E-A9EC-17B7EF6BC683}">
            <xm:f>OR(Y159=_List!$EG$7,Y159="-")</xm:f>
            <x14:dxf>
              <font>
                <b val="0"/>
                <i/>
              </font>
              <fill>
                <patternFill>
                  <bgColor rgb="FFFCE7D0"/>
                </patternFill>
              </fill>
              <border>
                <left/>
                <right/>
                <top/>
                <bottom/>
                <vertical/>
                <horizontal/>
              </border>
            </x14:dxf>
          </x14:cfRule>
          <xm:sqref>Y159 AG159 AO159 AW159 BE159 BM159 BU159 CC159 CK159</xm:sqref>
        </x14:conditionalFormatting>
        <x14:conditionalFormatting xmlns:xm="http://schemas.microsoft.com/office/excel/2006/main">
          <x14:cfRule type="expression" priority="741" id="{8D1842FB-240E-4070-9A3B-141BAF82F3A5}">
            <xm:f>OR(Y163=_List!$EG$7,Y163="-")</xm:f>
            <x14:dxf>
              <font>
                <b val="0"/>
                <i/>
              </font>
              <fill>
                <patternFill>
                  <bgColor rgb="FFFCE7D0"/>
                </patternFill>
              </fill>
              <border>
                <left/>
                <right/>
                <top/>
                <bottom/>
              </border>
            </x14:dxf>
          </x14:cfRule>
          <xm:sqref>Y163 AG163 AO163 AW163 BE163 BM163 BU163 CC163 CK163</xm:sqref>
        </x14:conditionalFormatting>
        <x14:conditionalFormatting xmlns:xm="http://schemas.microsoft.com/office/excel/2006/main">
          <x14:cfRule type="expression" priority="760" id="{EA3FAAEB-A2E9-4EAF-9E17-CC29F833522B}">
            <xm:f>OR(Y165=_List!$EG$7,Y165="-")</xm:f>
            <x14:dxf>
              <font>
                <b val="0"/>
                <i/>
              </font>
              <fill>
                <patternFill>
                  <bgColor rgb="FFFCE7D0"/>
                </patternFill>
              </fill>
              <border>
                <left/>
                <right/>
                <top/>
                <bottom/>
                <vertical/>
                <horizontal/>
              </border>
            </x14:dxf>
          </x14:cfRule>
          <xm:sqref>Y165 AG165 AO165 AW165 BE165 BM165 BU165 CC165 CK165</xm:sqref>
        </x14:conditionalFormatting>
        <x14:conditionalFormatting xmlns:xm="http://schemas.microsoft.com/office/excel/2006/main">
          <x14:cfRule type="expression" priority="736" id="{9E3AA4BB-FB92-4C3E-83DC-5416E3F51043}">
            <xm:f>OR(Y167=_List!$EG$7,Y167="-")</xm:f>
            <x14:dxf>
              <font>
                <b val="0"/>
                <i/>
              </font>
              <fill>
                <patternFill>
                  <bgColor rgb="FFFCE7D0"/>
                </patternFill>
              </fill>
              <border>
                <left/>
                <right/>
                <top/>
                <bottom/>
                <vertical/>
                <horizontal/>
              </border>
            </x14:dxf>
          </x14:cfRule>
          <xm:sqref>Y167 AG167 AO167 AW167 BE167 BM167 BU167 CC167 CK167</xm:sqref>
        </x14:conditionalFormatting>
        <x14:conditionalFormatting xmlns:xm="http://schemas.microsoft.com/office/excel/2006/main">
          <x14:cfRule type="expression" priority="734" id="{E8607D26-553A-4E95-BC7C-1040BB31EBFC}">
            <xm:f>OR(Y169=_List!$EG$7,Y169="-")</xm:f>
            <x14:dxf>
              <font>
                <b val="0"/>
                <i/>
              </font>
              <fill>
                <patternFill>
                  <bgColor rgb="FFFCE7D0"/>
                </patternFill>
              </fill>
              <border>
                <left/>
                <right/>
                <top/>
                <bottom/>
                <vertical/>
                <horizontal/>
              </border>
            </x14:dxf>
          </x14:cfRule>
          <xm:sqref>Y169 AG169 AO169 AW169 BE169 BM169 BU169 CC169 CK169</xm:sqref>
        </x14:conditionalFormatting>
        <x14:conditionalFormatting xmlns:xm="http://schemas.microsoft.com/office/excel/2006/main">
          <x14:cfRule type="expression" priority="735" id="{C37C4785-E24E-48CA-B930-2CF273B65715}">
            <xm:f>OR(Y171=_List!$EG$7,Y171="-")</xm:f>
            <x14:dxf>
              <font>
                <b val="0"/>
                <i/>
              </font>
              <fill>
                <patternFill>
                  <bgColor rgb="FFFCE7D0"/>
                </patternFill>
              </fill>
              <border>
                <left/>
                <right/>
                <top/>
                <bottom/>
                <vertical/>
                <horizontal/>
              </border>
            </x14:dxf>
          </x14:cfRule>
          <xm:sqref>Y171 AG171 AO171 AW171 BE171 BM171 BU171 CC171 CK171</xm:sqref>
        </x14:conditionalFormatting>
        <x14:conditionalFormatting xmlns:xm="http://schemas.microsoft.com/office/excel/2006/main">
          <x14:cfRule type="expression" priority="733" id="{E3853ABD-2E15-450F-B23D-E6B68F956A06}">
            <xm:f>OR(Y173=_List!$EG$7,Y173="-")</xm:f>
            <x14:dxf>
              <font>
                <b val="0"/>
                <i/>
              </font>
              <fill>
                <patternFill>
                  <bgColor rgb="FFFCE7D0"/>
                </patternFill>
              </fill>
              <border>
                <left/>
                <right/>
                <top/>
                <bottom/>
                <vertical/>
                <horizontal/>
              </border>
            </x14:dxf>
          </x14:cfRule>
          <xm:sqref>Y173 AG173 AO173 AW173 BE173 BM173 BU173 CC173 CK173</xm:sqref>
        </x14:conditionalFormatting>
        <x14:conditionalFormatting xmlns:xm="http://schemas.microsoft.com/office/excel/2006/main">
          <x14:cfRule type="expression" priority="732" id="{98CCB1AA-4A9B-47A3-8923-FCE8A96D5546}">
            <xm:f>OR(Y175=_List!$EG$7,Y175="-")</xm:f>
            <x14:dxf>
              <font>
                <b val="0"/>
                <i/>
              </font>
              <fill>
                <patternFill>
                  <bgColor rgb="FFFCE7D0"/>
                </patternFill>
              </fill>
              <border>
                <left/>
                <right/>
                <top/>
                <bottom/>
                <vertical/>
                <horizontal/>
              </border>
            </x14:dxf>
          </x14:cfRule>
          <xm:sqref>Y175 AG175 AO175 AW175 BE175 BM175 BU175 CC175 CK175</xm:sqref>
        </x14:conditionalFormatting>
        <x14:conditionalFormatting xmlns:xm="http://schemas.microsoft.com/office/excel/2006/main">
          <x14:cfRule type="expression" priority="722" id="{444C04B6-F98D-461D-9A13-E610EEF18A57}">
            <xm:f>OR(AG$139=_Calcs!$HI$54)</xm:f>
            <x14:dxf>
              <font>
                <b val="0"/>
                <i/>
              </font>
              <fill>
                <patternFill>
                  <bgColor rgb="FFDED6E2"/>
                </patternFill>
              </fill>
              <border>
                <left/>
                <right/>
                <top/>
                <bottom/>
                <vertical/>
                <horizontal/>
              </border>
            </x14:dxf>
          </x14:cfRule>
          <xm:sqref>AG143</xm:sqref>
        </x14:conditionalFormatting>
        <x14:conditionalFormatting xmlns:xm="http://schemas.microsoft.com/office/excel/2006/main">
          <x14:cfRule type="expression" priority="720" id="{1EF2A194-0A9D-4A49-8B3E-331209218EEA}">
            <xm:f>OR(Y$139=_Calcs!$HI$54,Y$139="-")</xm:f>
            <x14:dxf>
              <font>
                <b val="0"/>
                <i/>
              </font>
              <fill>
                <patternFill>
                  <bgColor rgb="FFDED6E2"/>
                </patternFill>
              </fill>
              <border>
                <left/>
                <right/>
                <top/>
                <bottom/>
                <vertical/>
                <horizontal/>
              </border>
            </x14:dxf>
          </x14:cfRule>
          <xm:sqref>Y143</xm:sqref>
        </x14:conditionalFormatting>
        <x14:conditionalFormatting xmlns:xm="http://schemas.microsoft.com/office/excel/2006/main">
          <x14:cfRule type="expression" priority="2" id="{94EDA4E0-A4BE-4ADD-B2A4-DC47AB68D9B7}">
            <xm:f>_Calcs!$NO$48&lt;9</xm:f>
            <x14:dxf>
              <font>
                <color theme="0"/>
              </font>
              <fill>
                <patternFill patternType="solid">
                  <fgColor theme="0"/>
                  <bgColor theme="0"/>
                </patternFill>
              </fill>
              <border>
                <left/>
                <right/>
                <top/>
                <bottom/>
                <vertical/>
                <horizontal/>
              </border>
            </x14:dxf>
          </x14:cfRule>
          <xm:sqref>CJ1:CQ1048576</xm:sqref>
        </x14:conditionalFormatting>
        <x14:conditionalFormatting xmlns:xm="http://schemas.microsoft.com/office/excel/2006/main">
          <x14:cfRule type="expression" priority="211" id="{3F35903E-59C4-4CC1-8A9A-619938492CBD}">
            <xm:f>Y92=_List!$AW$7</xm:f>
            <x14:dxf>
              <fill>
                <patternFill>
                  <bgColor rgb="FFFCF0D0"/>
                </patternFill>
              </fill>
              <border>
                <left/>
                <right/>
                <top/>
                <bottom/>
                <vertical/>
                <horizontal/>
              </border>
            </x14:dxf>
          </x14:cfRule>
          <xm:sqref>Y92</xm:sqref>
        </x14:conditionalFormatting>
        <x14:conditionalFormatting xmlns:xm="http://schemas.microsoft.com/office/excel/2006/main">
          <x14:cfRule type="expression" priority="209" id="{D4ABD92B-C7DD-4D02-8B2C-C226444CE667}">
            <xm:f>AG92=_List!$AW$7</xm:f>
            <x14:dxf>
              <fill>
                <patternFill>
                  <bgColor rgb="FFFCF0D0"/>
                </patternFill>
              </fill>
              <border>
                <left/>
                <right/>
                <top/>
                <bottom/>
                <vertical/>
                <horizontal/>
              </border>
            </x14:dxf>
          </x14:cfRule>
          <xm:sqref>AG92</xm:sqref>
        </x14:conditionalFormatting>
        <x14:conditionalFormatting xmlns:xm="http://schemas.microsoft.com/office/excel/2006/main">
          <x14:cfRule type="expression" priority="207" id="{124E4E50-D16C-4D0D-81BC-2D5B0EAEACB7}">
            <xm:f>AO92=_List!$AW$7</xm:f>
            <x14:dxf>
              <fill>
                <patternFill>
                  <bgColor rgb="FFFCF0D0"/>
                </patternFill>
              </fill>
              <border>
                <left/>
                <right/>
                <top/>
                <bottom/>
                <vertical/>
                <horizontal/>
              </border>
            </x14:dxf>
          </x14:cfRule>
          <xm:sqref>AO92</xm:sqref>
        </x14:conditionalFormatting>
        <x14:conditionalFormatting xmlns:xm="http://schemas.microsoft.com/office/excel/2006/main">
          <x14:cfRule type="expression" priority="205" id="{C7A40E71-A733-4942-B6FD-47D64C5C8FF6}">
            <xm:f>AW92=_List!$AW$7</xm:f>
            <x14:dxf>
              <fill>
                <patternFill>
                  <bgColor rgb="FFFCF0D0"/>
                </patternFill>
              </fill>
              <border>
                <left/>
                <right/>
                <top/>
                <bottom/>
                <vertical/>
                <horizontal/>
              </border>
            </x14:dxf>
          </x14:cfRule>
          <xm:sqref>AW92</xm:sqref>
        </x14:conditionalFormatting>
        <x14:conditionalFormatting xmlns:xm="http://schemas.microsoft.com/office/excel/2006/main">
          <x14:cfRule type="expression" priority="203" id="{88E65B28-4939-491E-A549-8CA53B7E5658}">
            <xm:f>BE92=_List!$AW$7</xm:f>
            <x14:dxf>
              <fill>
                <patternFill>
                  <bgColor rgb="FFFCF0D0"/>
                </patternFill>
              </fill>
              <border>
                <left/>
                <right/>
                <top/>
                <bottom/>
                <vertical/>
                <horizontal/>
              </border>
            </x14:dxf>
          </x14:cfRule>
          <xm:sqref>BE92</xm:sqref>
        </x14:conditionalFormatting>
        <x14:conditionalFormatting xmlns:xm="http://schemas.microsoft.com/office/excel/2006/main">
          <x14:cfRule type="expression" priority="201" id="{631B036B-D88C-4DDF-8813-2EA3605F4B68}">
            <xm:f>BM92=_List!$AW$7</xm:f>
            <x14:dxf>
              <fill>
                <patternFill>
                  <bgColor rgb="FFFCF0D0"/>
                </patternFill>
              </fill>
              <border>
                <left/>
                <right/>
                <top/>
                <bottom/>
                <vertical/>
                <horizontal/>
              </border>
            </x14:dxf>
          </x14:cfRule>
          <xm:sqref>BM92</xm:sqref>
        </x14:conditionalFormatting>
        <x14:conditionalFormatting xmlns:xm="http://schemas.microsoft.com/office/excel/2006/main">
          <x14:cfRule type="expression" priority="199" id="{F81C147A-EB81-4840-812C-756292BF196D}">
            <xm:f>BU92=_List!$AW$7</xm:f>
            <x14:dxf>
              <fill>
                <patternFill>
                  <bgColor rgb="FFFCF0D0"/>
                </patternFill>
              </fill>
              <border>
                <left/>
                <right/>
                <top/>
                <bottom/>
                <vertical/>
                <horizontal/>
              </border>
            </x14:dxf>
          </x14:cfRule>
          <xm:sqref>BU92</xm:sqref>
        </x14:conditionalFormatting>
        <x14:conditionalFormatting xmlns:xm="http://schemas.microsoft.com/office/excel/2006/main">
          <x14:cfRule type="expression" priority="216" id="{167812E5-A92F-42CA-AA06-01E09213416A}">
            <xm:f>CC92=_List!$AW$7</xm:f>
            <x14:dxf>
              <fill>
                <patternFill>
                  <bgColor rgb="FFFCF0D0"/>
                </patternFill>
              </fill>
              <border>
                <left/>
                <right/>
                <top/>
                <bottom/>
                <vertical/>
                <horizontal/>
              </border>
            </x14:dxf>
          </x14:cfRule>
          <xm:sqref>CC92</xm:sqref>
        </x14:conditionalFormatting>
        <x14:conditionalFormatting xmlns:xm="http://schemas.microsoft.com/office/excel/2006/main">
          <x14:cfRule type="expression" priority="253" id="{23F01B92-FF23-4223-8C2D-168729491C0E}">
            <xm:f>CK92=_List!$AW$7</xm:f>
            <x14:dxf>
              <fill>
                <patternFill>
                  <bgColor rgb="FFFCF0D0"/>
                </patternFill>
              </fill>
              <border>
                <left/>
                <right/>
                <top/>
                <bottom/>
                <vertical/>
                <horizontal/>
              </border>
            </x14:dxf>
          </x14:cfRule>
          <xm:sqref>CK92</xm:sqref>
        </x14:conditionalFormatting>
        <x14:conditionalFormatting xmlns:xm="http://schemas.microsoft.com/office/excel/2006/main">
          <x14:cfRule type="expression" priority="157" id="{A1E694DB-1A85-40E8-B473-28DA0C33B620}">
            <xm:f>$Y$92&lt;&gt;_List!$AW$8</xm:f>
            <x14:dxf>
              <fill>
                <patternFill>
                  <bgColor rgb="FFFCF0D0"/>
                </patternFill>
              </fill>
              <border>
                <left/>
                <right/>
                <top/>
                <bottom/>
                <vertical/>
                <horizontal/>
              </border>
            </x14:dxf>
          </x14:cfRule>
          <xm:sqref>Y112</xm:sqref>
        </x14:conditionalFormatting>
        <x14:conditionalFormatting xmlns:xm="http://schemas.microsoft.com/office/excel/2006/main">
          <x14:cfRule type="expression" priority="218" id="{F856FA25-A200-49D4-AB9A-FDDD87396753}">
            <xm:f>$AG$92&lt;&gt;_List!$AW$8</xm:f>
            <x14:dxf>
              <fill>
                <patternFill>
                  <bgColor rgb="FFFCF0D0"/>
                </patternFill>
              </fill>
              <border>
                <left/>
                <right/>
                <top/>
                <bottom/>
                <vertical/>
                <horizontal/>
              </border>
            </x14:dxf>
          </x14:cfRule>
          <xm:sqref>AG112</xm:sqref>
        </x14:conditionalFormatting>
        <x14:conditionalFormatting xmlns:xm="http://schemas.microsoft.com/office/excel/2006/main">
          <x14:cfRule type="expression" priority="655" id="{30AD5DE6-20AF-4630-A63C-E64A053CC5BF}">
            <xm:f>$AO$92&lt;&gt;_List!$AW$8</xm:f>
            <x14:dxf>
              <fill>
                <patternFill>
                  <bgColor rgb="FFFCF0D0"/>
                </patternFill>
              </fill>
              <border>
                <left/>
                <right/>
                <top/>
                <bottom/>
                <vertical/>
                <horizontal/>
              </border>
            </x14:dxf>
          </x14:cfRule>
          <xm:sqref>AO112</xm:sqref>
        </x14:conditionalFormatting>
        <x14:conditionalFormatting xmlns:xm="http://schemas.microsoft.com/office/excel/2006/main">
          <x14:cfRule type="expression" priority="225" id="{296A0862-AF88-4628-8215-11D9ED40B82E}">
            <xm:f>$AW$92&lt;&gt;_List!$AW$8</xm:f>
            <x14:dxf>
              <fill>
                <patternFill>
                  <bgColor rgb="FFFCF0D0"/>
                </patternFill>
              </fill>
              <border>
                <left/>
                <right/>
                <top/>
                <bottom/>
                <vertical/>
                <horizontal/>
              </border>
            </x14:dxf>
          </x14:cfRule>
          <xm:sqref>AW112</xm:sqref>
        </x14:conditionalFormatting>
        <x14:conditionalFormatting xmlns:xm="http://schemas.microsoft.com/office/excel/2006/main">
          <x14:cfRule type="expression" priority="222" id="{A771A316-D7F7-4E08-BC43-090A1F4F62FA}">
            <xm:f>$BE$92&lt;&gt;_List!$AW$8</xm:f>
            <x14:dxf>
              <fill>
                <patternFill>
                  <bgColor rgb="FFFCF0D0"/>
                </patternFill>
              </fill>
              <border>
                <left/>
                <right/>
                <top/>
                <bottom/>
                <vertical/>
                <horizontal/>
              </border>
            </x14:dxf>
          </x14:cfRule>
          <xm:sqref>BE112</xm:sqref>
        </x14:conditionalFormatting>
        <x14:conditionalFormatting xmlns:xm="http://schemas.microsoft.com/office/excel/2006/main">
          <x14:cfRule type="expression" priority="212" id="{7F23B2B9-E2AC-417B-9C42-9B7045B9A6E2}">
            <xm:f>$BM$92&lt;&gt;_List!$AW$8</xm:f>
            <x14:dxf>
              <fill>
                <patternFill>
                  <bgColor rgb="FFFCF0D0"/>
                </patternFill>
              </fill>
              <border>
                <left/>
                <right/>
                <top/>
                <bottom/>
                <vertical/>
                <horizontal/>
              </border>
            </x14:dxf>
          </x14:cfRule>
          <xm:sqref>BM112</xm:sqref>
        </x14:conditionalFormatting>
        <x14:conditionalFormatting xmlns:xm="http://schemas.microsoft.com/office/excel/2006/main">
          <x14:cfRule type="expression" priority="213" id="{676FC0AF-B899-4A44-B146-75D70C4BDAE2}">
            <xm:f>$BU$92&lt;&gt;_List!$AW$8</xm:f>
            <x14:dxf>
              <fill>
                <patternFill>
                  <bgColor rgb="FFFCF0D0"/>
                </patternFill>
              </fill>
              <border>
                <left/>
                <right/>
                <top/>
                <bottom/>
                <vertical/>
                <horizontal/>
              </border>
            </x14:dxf>
          </x14:cfRule>
          <xm:sqref>BU112</xm:sqref>
        </x14:conditionalFormatting>
        <x14:conditionalFormatting xmlns:xm="http://schemas.microsoft.com/office/excel/2006/main">
          <x14:cfRule type="expression" priority="197" id="{76BA4AF1-77DC-4228-B640-41E5743E1826}">
            <xm:f>$CC$92&lt;&gt;_List!$AW$8</xm:f>
            <x14:dxf>
              <fill>
                <patternFill>
                  <bgColor rgb="FFFCF0D0"/>
                </patternFill>
              </fill>
              <border>
                <left/>
                <right/>
                <top/>
                <bottom/>
                <vertical/>
                <horizontal/>
              </border>
            </x14:dxf>
          </x14:cfRule>
          <xm:sqref>CC112</xm:sqref>
        </x14:conditionalFormatting>
        <x14:conditionalFormatting xmlns:xm="http://schemas.microsoft.com/office/excel/2006/main">
          <x14:cfRule type="expression" priority="217" id="{9D02FAE5-EB90-4CE9-83C1-8DCC917FE24B}">
            <xm:f>$CK$92&lt;&gt;_List!$AW$8</xm:f>
            <x14:dxf>
              <fill>
                <patternFill>
                  <bgColor rgb="FFFCF0D0"/>
                </patternFill>
              </fill>
              <border>
                <left/>
                <right/>
                <top/>
                <bottom/>
                <vertical/>
                <horizontal/>
              </border>
            </x14:dxf>
          </x14:cfRule>
          <xm:sqref>CK112</xm:sqref>
        </x14:conditionalFormatting>
        <x14:conditionalFormatting xmlns:xm="http://schemas.microsoft.com/office/excel/2006/main">
          <x14:cfRule type="expression" priority="8" id="{528D6A68-96E2-4E54-B584-0AD009086BDC}">
            <xm:f>_Calcs!$NO$48&lt;3</xm:f>
            <x14:dxf>
              <font>
                <color theme="0"/>
              </font>
              <fill>
                <patternFill>
                  <bgColor theme="0"/>
                </patternFill>
              </fill>
              <border>
                <left/>
                <right/>
                <top/>
                <bottom/>
                <vertical/>
                <horizontal/>
              </border>
            </x14:dxf>
          </x14:cfRule>
          <xm:sqref>AN1:AU1048576</xm:sqref>
        </x14:conditionalFormatting>
        <x14:conditionalFormatting xmlns:xm="http://schemas.microsoft.com/office/excel/2006/main">
          <x14:cfRule type="expression" priority="34" id="{759B4B67-1AB7-4C0E-B0FB-15F9E49CE4E0}">
            <xm:f>_Calcs!$NO$48&lt;4</xm:f>
            <x14:dxf>
              <border>
                <left/>
                <right/>
                <top/>
                <bottom/>
                <vertical/>
                <horizontal/>
              </border>
            </x14:dxf>
          </x14:cfRule>
          <xm:sqref>AU1:AU1048576</xm:sqref>
        </x14:conditionalFormatting>
        <x14:conditionalFormatting xmlns:xm="http://schemas.microsoft.com/office/excel/2006/main">
          <x14:cfRule type="expression" priority="6" id="{1140FBE9-75BE-4C3A-AAB9-C9CA12010BA7}">
            <xm:f>_Calcs!$NO$48&lt;5</xm:f>
            <x14:dxf>
              <font>
                <color theme="0"/>
              </font>
              <fill>
                <patternFill>
                  <bgColor theme="0"/>
                </patternFill>
              </fill>
              <border>
                <left/>
                <right/>
                <top/>
                <bottom/>
                <vertical/>
                <horizontal/>
              </border>
            </x14:dxf>
          </x14:cfRule>
          <xm:sqref>BD1:BK1048576</xm:sqref>
        </x14:conditionalFormatting>
        <x14:conditionalFormatting xmlns:xm="http://schemas.microsoft.com/office/excel/2006/main">
          <x14:cfRule type="expression" priority="7" id="{44125E47-F7AC-41B0-A36E-C270A9C36D70}">
            <xm:f>_Calcs!$NO$48&lt;4</xm:f>
            <x14:dxf>
              <font>
                <color theme="0"/>
              </font>
              <fill>
                <patternFill>
                  <bgColor theme="0"/>
                </patternFill>
              </fill>
              <border>
                <left/>
                <right/>
                <top/>
                <bottom/>
                <vertical/>
                <horizontal/>
              </border>
            </x14:dxf>
          </x14:cfRule>
          <xm:sqref>AV1:BC1048576</xm:sqref>
        </x14:conditionalFormatting>
        <x14:conditionalFormatting xmlns:xm="http://schemas.microsoft.com/office/excel/2006/main">
          <x14:cfRule type="expression" priority="23" id="{EC04E2CE-F42B-4A0D-8149-3C817A8F341E}">
            <xm:f>_Calcs!$NO$48&lt;2</xm:f>
            <x14:dxf>
              <border>
                <left/>
                <right/>
                <top/>
                <bottom/>
                <vertical/>
                <horizontal/>
              </border>
            </x14:dxf>
          </x14:cfRule>
          <xm:sqref>AE1:AE1048576</xm:sqref>
        </x14:conditionalFormatting>
        <x14:conditionalFormatting xmlns:xm="http://schemas.microsoft.com/office/excel/2006/main">
          <x14:cfRule type="expression" priority="25" id="{D3D3C713-5A22-44C1-8082-779814E5EC3E}">
            <xm:f>_Calcs!$NO$48&lt;6</xm:f>
            <x14:dxf>
              <border>
                <left/>
                <right/>
                <top/>
                <bottom/>
                <vertical/>
                <horizontal/>
              </border>
            </x14:dxf>
          </x14:cfRule>
          <xm:sqref>BK1:BK1048576</xm:sqref>
        </x14:conditionalFormatting>
        <x14:conditionalFormatting xmlns:xm="http://schemas.microsoft.com/office/excel/2006/main">
          <x14:cfRule type="expression" priority="9" id="{DB73B25D-E15B-41D6-B9C8-04D0AA191F79}">
            <xm:f>_Calcs!$NO$48&lt;2</xm:f>
            <x14:dxf>
              <font>
                <color theme="0"/>
              </font>
              <fill>
                <patternFill>
                  <bgColor theme="0"/>
                </patternFill>
              </fill>
              <border>
                <left/>
                <right/>
                <top/>
                <bottom/>
                <vertical/>
                <horizontal/>
              </border>
            </x14:dxf>
          </x14:cfRule>
          <xm:sqref>AF1:AM1048576</xm:sqref>
        </x14:conditionalFormatting>
        <x14:conditionalFormatting xmlns:xm="http://schemas.microsoft.com/office/excel/2006/main">
          <x14:cfRule type="expression" priority="24" id="{484E48B7-4D39-4C24-92E9-127119632F07}">
            <xm:f>_Calcs!$NO$48&lt;5</xm:f>
            <x14:dxf>
              <border>
                <left/>
                <right/>
                <top/>
                <bottom/>
                <vertical/>
                <horizontal/>
              </border>
            </x14:dxf>
          </x14:cfRule>
          <xm:sqref>BC1:BC1048576</xm:sqref>
        </x14:conditionalFormatting>
        <x14:conditionalFormatting xmlns:xm="http://schemas.microsoft.com/office/excel/2006/main">
          <x14:cfRule type="expression" priority="22" id="{5F1FDAE0-D374-433F-A550-2DCBB637C2F4}">
            <xm:f>_Calcs!$NO$48&lt;3</xm:f>
            <x14:dxf>
              <border>
                <left/>
                <right/>
                <top/>
                <bottom/>
                <vertical/>
                <horizontal/>
              </border>
            </x14:dxf>
          </x14:cfRule>
          <xm:sqref>AM1:AM1048576</xm:sqref>
        </x14:conditionalFormatting>
        <x14:conditionalFormatting xmlns:xm="http://schemas.microsoft.com/office/excel/2006/main">
          <x14:cfRule type="expression" priority="3" id="{5A96370C-7883-43A1-BFBE-21B865B5AA6A}">
            <xm:f>_Calcs!$NO$48&lt;8</xm:f>
            <x14:dxf>
              <font>
                <color theme="0"/>
              </font>
              <fill>
                <patternFill patternType="solid">
                  <fgColor theme="0"/>
                  <bgColor theme="0"/>
                </patternFill>
              </fill>
              <border>
                <left/>
                <right/>
                <top/>
                <bottom/>
                <vertical/>
                <horizontal/>
              </border>
            </x14:dxf>
          </x14:cfRule>
          <xm:sqref>CB1:CI1048576</xm:sqref>
        </x14:conditionalFormatting>
        <x14:conditionalFormatting xmlns:xm="http://schemas.microsoft.com/office/excel/2006/main">
          <x14:cfRule type="expression" priority="19" id="{07634DC2-0659-4D76-9CA2-6783D3CFC8C9}">
            <xm:f>_Calcs!$NO$48&lt;9</xm:f>
            <x14:dxf>
              <fill>
                <patternFill patternType="solid">
                  <fgColor theme="0"/>
                </patternFill>
              </fill>
              <border>
                <left/>
                <right/>
                <top/>
                <bottom/>
                <vertical/>
                <horizontal/>
              </border>
            </x14:dxf>
          </x14:cfRule>
          <xm:sqref>CI1:CI1048576</xm:sqref>
        </x14:conditionalFormatting>
        <x14:conditionalFormatting xmlns:xm="http://schemas.microsoft.com/office/excel/2006/main">
          <x14:cfRule type="expression" priority="20" id="{E1D5763D-0CA6-4C17-82A5-DA73B1DEDAA0}">
            <xm:f>_Calcs!$NO$48&lt;8</xm:f>
            <x14:dxf>
              <border>
                <left/>
                <right/>
                <top/>
                <bottom/>
                <vertical/>
                <horizontal/>
              </border>
            </x14:dxf>
          </x14:cfRule>
          <xm:sqref>CA1:CA1048576</xm:sqref>
        </x14:conditionalFormatting>
        <x14:conditionalFormatting xmlns:xm="http://schemas.microsoft.com/office/excel/2006/main">
          <x14:cfRule type="expression" priority="4" id="{72DE0F21-BB22-419E-AF4C-2F2D51991E90}">
            <xm:f>_Calcs!$NO$48&lt;7</xm:f>
            <x14:dxf>
              <font>
                <color theme="0"/>
              </font>
              <fill>
                <patternFill patternType="solid">
                  <fgColor theme="0"/>
                  <bgColor theme="0"/>
                </patternFill>
              </fill>
              <border>
                <left/>
                <right/>
                <top/>
                <bottom/>
                <vertical/>
                <horizontal/>
              </border>
            </x14:dxf>
          </x14:cfRule>
          <xm:sqref>BT1:CA1048576</xm:sqref>
        </x14:conditionalFormatting>
        <x14:conditionalFormatting xmlns:xm="http://schemas.microsoft.com/office/excel/2006/main">
          <x14:cfRule type="expression" priority="21" id="{359E55B8-4390-402B-B925-EE994DF99779}">
            <xm:f>_Calcs!$NO$48&lt;7</xm:f>
            <x14:dxf>
              <border>
                <left/>
                <right/>
                <top/>
                <bottom/>
                <vertical/>
                <horizontal/>
              </border>
            </x14:dxf>
          </x14:cfRule>
          <xm:sqref>BS1:BS1048576</xm:sqref>
        </x14:conditionalFormatting>
        <x14:conditionalFormatting xmlns:xm="http://schemas.microsoft.com/office/excel/2006/main">
          <x14:cfRule type="expression" priority="5" id="{282D0565-F55C-423B-AE83-02A84364A3D4}">
            <xm:f>_Calcs!$NO$48&lt;6</xm:f>
            <x14:dxf>
              <font>
                <color theme="0"/>
              </font>
              <fill>
                <patternFill>
                  <bgColor theme="0"/>
                </patternFill>
              </fill>
              <border>
                <left/>
                <right/>
                <top/>
                <bottom/>
                <vertical/>
                <horizontal/>
              </border>
            </x14:dxf>
          </x14:cfRule>
          <xm:sqref>BL1:BS1048576</xm:sqref>
        </x14:conditionalFormatting>
        <x14:conditionalFormatting xmlns:xm="http://schemas.microsoft.com/office/excel/2006/main">
          <x14:cfRule type="expression" priority="11578" id="{99E46B49-6878-4869-A8ED-58069CAB6649}">
            <xm:f>$Y$27=_Calcs!$GK$11</xm:f>
            <x14:dxf>
              <font>
                <b val="0"/>
                <i/>
              </font>
            </x14:dxf>
          </x14:cfRule>
          <xm:sqref>Y27</xm:sqref>
        </x14:conditionalFormatting>
        <x14:conditionalFormatting xmlns:xm="http://schemas.microsoft.com/office/excel/2006/main">
          <x14:cfRule type="expression" priority="11579" id="{8C5AE93A-FEE8-464B-A4BE-23E2A2B77C52}">
            <xm:f>$Y$25=_Calcs!$GK$11</xm:f>
            <x14:dxf>
              <font>
                <b val="0"/>
                <i/>
              </font>
            </x14:dxf>
          </x14:cfRule>
          <xm:sqref>Y25</xm:sqref>
        </x14:conditionalFormatting>
        <x14:conditionalFormatting xmlns:xm="http://schemas.microsoft.com/office/excel/2006/main">
          <x14:cfRule type="expression" priority="11580" id="{A2C3FB1A-F1FB-4A54-8460-488234920C88}">
            <xm:f>$AG$25=_Calcs!$GK$11</xm:f>
            <x14:dxf>
              <font>
                <b val="0"/>
                <i/>
              </font>
            </x14:dxf>
          </x14:cfRule>
          <xm:sqref>AG25</xm:sqref>
        </x14:conditionalFormatting>
        <x14:conditionalFormatting xmlns:xm="http://schemas.microsoft.com/office/excel/2006/main">
          <x14:cfRule type="expression" priority="11581" id="{6DE60240-2F0E-4DDB-9CBB-EF3318EEA508}">
            <xm:f>$AG$27=_Calcs!$GK$11</xm:f>
            <x14:dxf>
              <font>
                <b val="0"/>
                <i/>
              </font>
            </x14:dxf>
          </x14:cfRule>
          <xm:sqref>AG27</xm:sqref>
        </x14:conditionalFormatting>
        <x14:conditionalFormatting xmlns:xm="http://schemas.microsoft.com/office/excel/2006/main">
          <x14:cfRule type="expression" priority="11582" id="{FBFD2459-0555-4935-83DB-0685BFB21260}">
            <xm:f>$AO$25=_Calcs!$GK$11</xm:f>
            <x14:dxf>
              <font>
                <b val="0"/>
                <i/>
              </font>
            </x14:dxf>
          </x14:cfRule>
          <xm:sqref>AO25</xm:sqref>
        </x14:conditionalFormatting>
        <x14:conditionalFormatting xmlns:xm="http://schemas.microsoft.com/office/excel/2006/main">
          <x14:cfRule type="expression" priority="11583" id="{E3177DDF-A4FA-4B95-BA6C-3A2130CF9B52}">
            <xm:f>$AO$27=_Calcs!$GK$11</xm:f>
            <x14:dxf>
              <font>
                <b val="0"/>
                <i/>
              </font>
            </x14:dxf>
          </x14:cfRule>
          <xm:sqref>AO27</xm:sqref>
        </x14:conditionalFormatting>
        <x14:conditionalFormatting xmlns:xm="http://schemas.microsoft.com/office/excel/2006/main">
          <x14:cfRule type="expression" priority="11584" id="{85A1BD3C-E325-4F2F-A910-F0538F351A72}">
            <xm:f>$AW$25=_Calcs!$GK$11</xm:f>
            <x14:dxf>
              <font>
                <b val="0"/>
                <i/>
              </font>
            </x14:dxf>
          </x14:cfRule>
          <xm:sqref>AW25</xm:sqref>
        </x14:conditionalFormatting>
        <x14:conditionalFormatting xmlns:xm="http://schemas.microsoft.com/office/excel/2006/main">
          <x14:cfRule type="expression" priority="11585" id="{27979549-EE1B-4AE9-BE4F-09D662498641}">
            <xm:f>$AW$27=_Calcs!$GK$11</xm:f>
            <x14:dxf>
              <font>
                <b val="0"/>
                <i/>
              </font>
            </x14:dxf>
          </x14:cfRule>
          <xm:sqref>AW27</xm:sqref>
        </x14:conditionalFormatting>
        <x14:conditionalFormatting xmlns:xm="http://schemas.microsoft.com/office/excel/2006/main">
          <x14:cfRule type="expression" priority="11586" id="{1979496D-7097-4468-B78E-A03DEC5C2E6B}">
            <xm:f>$BE$25=_Calcs!$GK$11</xm:f>
            <x14:dxf>
              <font>
                <b val="0"/>
                <i/>
              </font>
            </x14:dxf>
          </x14:cfRule>
          <xm:sqref>BE25</xm:sqref>
        </x14:conditionalFormatting>
        <x14:conditionalFormatting xmlns:xm="http://schemas.microsoft.com/office/excel/2006/main">
          <x14:cfRule type="expression" priority="11587" id="{BE61A21E-29D4-4C3A-B20C-D077525844D4}">
            <xm:f>$BE$27=_Calcs!$GK$11</xm:f>
            <x14:dxf>
              <font>
                <b val="0"/>
                <i/>
              </font>
            </x14:dxf>
          </x14:cfRule>
          <xm:sqref>BE27</xm:sqref>
        </x14:conditionalFormatting>
        <x14:conditionalFormatting xmlns:xm="http://schemas.microsoft.com/office/excel/2006/main">
          <x14:cfRule type="expression" priority="11588" id="{23FEC4CF-D0A0-4BBC-8093-24AD467628BF}">
            <xm:f>$BM$27=_Calcs!$GK$11</xm:f>
            <x14:dxf>
              <font>
                <b val="0"/>
                <i/>
              </font>
            </x14:dxf>
          </x14:cfRule>
          <xm:sqref>BM27</xm:sqref>
        </x14:conditionalFormatting>
        <x14:conditionalFormatting xmlns:xm="http://schemas.microsoft.com/office/excel/2006/main">
          <x14:cfRule type="expression" priority="11589" id="{AA363090-EC67-4092-B401-0304BD706319}">
            <xm:f>$BM$25=_Calcs!$GK$11</xm:f>
            <x14:dxf>
              <font>
                <b val="0"/>
                <i/>
              </font>
            </x14:dxf>
          </x14:cfRule>
          <xm:sqref>BM25</xm:sqref>
        </x14:conditionalFormatting>
        <x14:conditionalFormatting xmlns:xm="http://schemas.microsoft.com/office/excel/2006/main">
          <x14:cfRule type="expression" priority="11590" id="{77637987-6E10-4A43-AD0C-EF9C3FCCC1D8}">
            <xm:f>$BU$25=_Calcs!$GK$11</xm:f>
            <x14:dxf>
              <font>
                <b val="0"/>
                <i/>
              </font>
            </x14:dxf>
          </x14:cfRule>
          <xm:sqref>BU25</xm:sqref>
        </x14:conditionalFormatting>
        <x14:conditionalFormatting xmlns:xm="http://schemas.microsoft.com/office/excel/2006/main">
          <x14:cfRule type="expression" priority="11591" id="{27C3AE36-95F3-42EE-83DB-2337F0399AF9}">
            <xm:f>$BU$27=_Calcs!$GK$11</xm:f>
            <x14:dxf>
              <font>
                <b val="0"/>
                <i/>
              </font>
            </x14:dxf>
          </x14:cfRule>
          <xm:sqref>BU27</xm:sqref>
        </x14:conditionalFormatting>
        <x14:conditionalFormatting xmlns:xm="http://schemas.microsoft.com/office/excel/2006/main">
          <x14:cfRule type="expression" priority="11592" id="{8727AF08-C544-4242-BD2C-358991E52CE7}">
            <xm:f>$CC$25=_Calcs!$GK$11</xm:f>
            <x14:dxf>
              <font>
                <b val="0"/>
                <i/>
              </font>
            </x14:dxf>
          </x14:cfRule>
          <xm:sqref>CC25</xm:sqref>
        </x14:conditionalFormatting>
        <x14:conditionalFormatting xmlns:xm="http://schemas.microsoft.com/office/excel/2006/main">
          <x14:cfRule type="expression" priority="11593" id="{347552AB-E068-4E3B-B52D-C00DB902AC4E}">
            <xm:f>$CC$27=_Calcs!$GK$11</xm:f>
            <x14:dxf>
              <font>
                <b val="0"/>
                <i/>
              </font>
            </x14:dxf>
          </x14:cfRule>
          <xm:sqref>CC27</xm:sqref>
        </x14:conditionalFormatting>
        <x14:conditionalFormatting xmlns:xm="http://schemas.microsoft.com/office/excel/2006/main">
          <x14:cfRule type="expression" priority="11594" id="{BCBB8E07-CA95-4570-9C1E-31E7243D0A02}">
            <xm:f>$CK$25=_Calcs!$GK$11</xm:f>
            <x14:dxf>
              <font>
                <b val="0"/>
                <i/>
              </font>
            </x14:dxf>
          </x14:cfRule>
          <xm:sqref>CK25</xm:sqref>
        </x14:conditionalFormatting>
        <x14:conditionalFormatting xmlns:xm="http://schemas.microsoft.com/office/excel/2006/main">
          <x14:cfRule type="expression" priority="11595" id="{0F428E8D-F964-4FBE-B36A-18901D659DCB}">
            <xm:f>$CK$27=_Calcs!$GK$11</xm:f>
            <x14:dxf>
              <font>
                <b val="0"/>
                <i/>
              </font>
            </x14:dxf>
          </x14:cfRule>
          <xm:sqref>CK27</xm:sqref>
        </x14:conditionalFormatting>
        <x14:conditionalFormatting xmlns:xm="http://schemas.microsoft.com/office/excel/2006/main">
          <x14:cfRule type="expression" priority="11596" id="{B99BA561-5AF8-4136-8292-B5D9EB601A89}">
            <xm:f>$AG$25=_Calcs!$GK$11</xm:f>
            <x14:dxf>
              <fill>
                <patternFill>
                  <bgColor rgb="FFF2ECDA"/>
                </patternFill>
              </fill>
              <border>
                <left/>
                <right/>
                <top/>
                <bottom/>
                <vertical/>
                <horizontal/>
              </border>
            </x14:dxf>
          </x14:cfRule>
          <xm:sqref>AG25 AG27</xm:sqref>
        </x14:conditionalFormatting>
        <x14:conditionalFormatting xmlns:xm="http://schemas.microsoft.com/office/excel/2006/main">
          <x14:cfRule type="expression" priority="11598" id="{F1F9E4B3-45FB-4CB4-8F28-337CF83D7C27}">
            <xm:f>$Y$25=_Calcs!$GK$11</xm:f>
            <x14:dxf>
              <fill>
                <patternFill>
                  <bgColor rgb="FFF2ECDA"/>
                </patternFill>
              </fill>
              <border>
                <left/>
                <right/>
                <top/>
                <bottom/>
                <vertical/>
                <horizontal/>
              </border>
            </x14:dxf>
          </x14:cfRule>
          <xm:sqref>Y25 Y27</xm:sqref>
        </x14:conditionalFormatting>
        <x14:conditionalFormatting xmlns:xm="http://schemas.microsoft.com/office/excel/2006/main">
          <x14:cfRule type="expression" priority="11600" id="{FF972BF1-ED0E-48BD-80B4-3B970F8AE84B}">
            <xm:f>$AO$25=_Calcs!$GK$11</xm:f>
            <x14:dxf>
              <fill>
                <patternFill>
                  <bgColor rgb="FFF2ECDA"/>
                </patternFill>
              </fill>
              <border>
                <left/>
                <right/>
                <top/>
                <bottom/>
                <vertical/>
                <horizontal/>
              </border>
            </x14:dxf>
          </x14:cfRule>
          <xm:sqref>AO25 AO27</xm:sqref>
        </x14:conditionalFormatting>
        <x14:conditionalFormatting xmlns:xm="http://schemas.microsoft.com/office/excel/2006/main">
          <x14:cfRule type="expression" priority="11602" id="{82B25D5F-D29A-4E4C-9965-4843B06DFB61}">
            <xm:f>$AW$25=_Calcs!$GK$11</xm:f>
            <x14:dxf>
              <fill>
                <patternFill>
                  <bgColor rgb="FFF2ECDA"/>
                </patternFill>
              </fill>
              <border>
                <left/>
                <right/>
                <top/>
                <bottom/>
                <vertical/>
                <horizontal/>
              </border>
            </x14:dxf>
          </x14:cfRule>
          <xm:sqref>AW25 AW27</xm:sqref>
        </x14:conditionalFormatting>
        <x14:conditionalFormatting xmlns:xm="http://schemas.microsoft.com/office/excel/2006/main">
          <x14:cfRule type="expression" priority="11604" id="{C00DA8A4-CD76-478B-A3E2-4908B67E471A}">
            <xm:f>$BE$25=_Calcs!$GK$11</xm:f>
            <x14:dxf>
              <fill>
                <patternFill>
                  <bgColor rgb="FFF2ECDA"/>
                </patternFill>
              </fill>
              <border>
                <left/>
                <right/>
                <top/>
                <bottom/>
                <vertical/>
                <horizontal/>
              </border>
            </x14:dxf>
          </x14:cfRule>
          <xm:sqref>BE25 BE27</xm:sqref>
        </x14:conditionalFormatting>
        <x14:conditionalFormatting xmlns:xm="http://schemas.microsoft.com/office/excel/2006/main">
          <x14:cfRule type="expression" priority="11606" id="{DAA24E17-2CBF-4BA4-933B-59B363D44137}">
            <xm:f>$BM$25=_Calcs!$GK$11</xm:f>
            <x14:dxf>
              <fill>
                <patternFill>
                  <bgColor rgb="FFF2ECDA"/>
                </patternFill>
              </fill>
              <border>
                <left/>
                <right/>
                <top/>
                <bottom/>
                <vertical/>
                <horizontal/>
              </border>
            </x14:dxf>
          </x14:cfRule>
          <xm:sqref>BM25 BM27</xm:sqref>
        </x14:conditionalFormatting>
        <x14:conditionalFormatting xmlns:xm="http://schemas.microsoft.com/office/excel/2006/main">
          <x14:cfRule type="expression" priority="11608" id="{ACE7C22A-F5CD-451B-9856-323664B4B4A5}">
            <xm:f>$BU$25=_Calcs!$GK$11</xm:f>
            <x14:dxf>
              <fill>
                <patternFill>
                  <bgColor rgb="FFF2ECDA"/>
                </patternFill>
              </fill>
              <border>
                <left/>
                <right/>
                <top/>
                <bottom/>
                <vertical/>
                <horizontal/>
              </border>
            </x14:dxf>
          </x14:cfRule>
          <xm:sqref>BU25 BU27</xm:sqref>
        </x14:conditionalFormatting>
        <x14:conditionalFormatting xmlns:xm="http://schemas.microsoft.com/office/excel/2006/main">
          <x14:cfRule type="expression" priority="11610" id="{A4314AB6-FB7C-45DE-8B1B-DA886433CC66}">
            <xm:f>$CC$25=_Calcs!$GK$11</xm:f>
            <x14:dxf>
              <fill>
                <patternFill>
                  <bgColor rgb="FFF2ECDA"/>
                </patternFill>
              </fill>
              <border>
                <left/>
                <right/>
                <top/>
                <bottom/>
                <vertical/>
                <horizontal/>
              </border>
            </x14:dxf>
          </x14:cfRule>
          <xm:sqref>CC25 CC27</xm:sqref>
        </x14:conditionalFormatting>
        <x14:conditionalFormatting xmlns:xm="http://schemas.microsoft.com/office/excel/2006/main">
          <x14:cfRule type="expression" priority="11612" id="{1E3B712B-042E-46C0-9A0F-16BBF541D30B}">
            <xm:f>$CK$25=_Calcs!$GK$11</xm:f>
            <x14:dxf>
              <fill>
                <patternFill>
                  <bgColor rgb="FFF2ECDA"/>
                </patternFill>
              </fill>
              <border>
                <left/>
                <right/>
                <top/>
                <bottom/>
                <vertical/>
                <horizontal/>
              </border>
            </x14:dxf>
          </x14:cfRule>
          <xm:sqref>CK25 CK27</xm:sqref>
        </x14:conditionalFormatting>
        <x14:conditionalFormatting xmlns:xm="http://schemas.microsoft.com/office/excel/2006/main">
          <x14:cfRule type="expression" priority="15025" id="{F3D7DE27-6383-40B7-9869-73AE3063B5FE}">
            <xm:f>Y139=_Calcs!$I$90</xm:f>
            <x14:dxf>
              <font>
                <b/>
                <i val="0"/>
              </font>
            </x14:dxf>
          </x14:cfRule>
          <xm:sqref>CK139 CC139 BU139 BM139 BE139 AW139 AO139 AG139 Y139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9119b49b-2cc3-444e-b755-8692f4554da6" ContentTypeId="0x01010024A2C8D6A070534B9CF4AD2589879B1E040153" PreviousValue="false"/>
</file>

<file path=customXml/item3.xml><?xml version="1.0" encoding="utf-8"?>
<ct:contentTypeSchema xmlns:ct="http://schemas.microsoft.com/office/2006/metadata/contentType" xmlns:ma="http://schemas.microsoft.com/office/2006/metadata/properties/metaAttributes" ct:_="" ma:_="" ma:contentTypeName="Brevmal - EBA" ma:contentTypeID="0x01010024A2C8D6A070534B9CF4AD2589879B1E040153003B4117D0495C824193DE5828F1FCC958" ma:contentTypeVersion="25" ma:contentTypeDescription="Opprett et nytt dokument." ma:contentTypeScope="" ma:versionID="627cd345a2fb3be9065ac24439118098">
  <xsd:schema xmlns:xsd="http://www.w3.org/2001/XMLSchema" xmlns:xs="http://www.w3.org/2001/XMLSchema" xmlns:p="http://schemas.microsoft.com/office/2006/metadata/properties" xmlns:ns1="http://schemas.microsoft.com/sharepoint/v3" xmlns:ns2="f909def9-6662-4ec9-b2d2-41be86eee7c4" xmlns:ns3="749ab8b6-ff35-4a4f-9f18-9cef83ce6420" xmlns:ns4="f7caea55-9281-421e-9612-41b6556c9feb" xmlns:ns5="c04b1b87-672d-4ad1-b6c1-f598fb740779" targetNamespace="http://schemas.microsoft.com/office/2006/metadata/properties" ma:root="true" ma:fieldsID="a7202f9f95b0d55dd947dd0e07b84411" ns1:_="" ns2:_="" ns3:_="" ns4:_="" ns5:_="">
    <xsd:import namespace="http://schemas.microsoft.com/sharepoint/v3"/>
    <xsd:import namespace="f909def9-6662-4ec9-b2d2-41be86eee7c4"/>
    <xsd:import namespace="749ab8b6-ff35-4a4f-9f18-9cef83ce6420"/>
    <xsd:import namespace="f7caea55-9281-421e-9612-41b6556c9feb"/>
    <xsd:import namespace="c04b1b87-672d-4ad1-b6c1-f598fb740779"/>
    <xsd:element name="properties">
      <xsd:complexType>
        <xsd:sequence>
          <xsd:element name="documentManagement">
            <xsd:complexType>
              <xsd:all>
                <xsd:element ref="ns2:NHO_DocumentStatus" minOccurs="0"/>
                <xsd:element ref="ns2:NHO_DocumentProperty" minOccurs="0"/>
                <xsd:element ref="ns2:NHO_DocumentDate" minOccurs="0"/>
                <xsd:element ref="ns2:c33924c3673147c88830f2707c1978bc" minOccurs="0"/>
                <xsd:element ref="ns3:TaxCatchAll" minOccurs="0"/>
                <xsd:element ref="ns3:TaxCatchAllLabel" minOccurs="0"/>
                <xsd:element ref="ns2:p8a47c7619634ae9930087b62d76e394" minOccurs="0"/>
                <xsd:element ref="ns3:TaxKeywordTaxHTField" minOccurs="0"/>
                <xsd:element ref="ns2:ARENA_DocumentReference" minOccurs="0"/>
                <xsd:element ref="ns2:ARENA_DocumentRecipient" minOccurs="0"/>
                <xsd:element ref="ns2:ARENA_DocumentSender" minOccurs="0"/>
                <xsd:element ref="ns4:_dlc_DocId" minOccurs="0"/>
                <xsd:element ref="ns4:_dlc_DocIdUrl" minOccurs="0"/>
                <xsd:element ref="ns4:_dlc_DocIdPersistId" minOccurs="0"/>
                <xsd:element ref="ns5:MediaServiceAutoTags" minOccurs="0"/>
                <xsd:element ref="ns5:MediaServiceLocation" minOccurs="0"/>
                <xsd:element ref="ns5:MediaServiceOCR" minOccurs="0"/>
                <xsd:element ref="ns5:MediaServiceGenerationTime" minOccurs="0"/>
                <xsd:element ref="ns5:MediaServiceEventHashCode" minOccurs="0"/>
                <xsd:element ref="ns5:MediaServiceAutoKeyPoints" minOccurs="0"/>
                <xsd:element ref="ns5:MediaServiceKeyPoints" minOccurs="0"/>
                <xsd:element ref="ns1:_ip_UnifiedCompliancePolicyProperties" minOccurs="0"/>
                <xsd:element ref="ns1:_ip_UnifiedCompliancePolicyUIActio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2" nillable="true" ma:displayName="Egenskaper for samordnet samsvarspolicy" ma:hidden="true" ma:internalName="_ip_UnifiedCompliancePolicyProperties">
      <xsd:simpleType>
        <xsd:restriction base="dms:Note"/>
      </xsd:simpleType>
    </xsd:element>
    <xsd:element name="_ip_UnifiedCompliancePolicyUIAction" ma:index="33" nillable="true" ma:displayName="UI-handling for samordnet samsvarspolicy"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09def9-6662-4ec9-b2d2-41be86eee7c4" elementFormDefault="qualified">
    <xsd:import namespace="http://schemas.microsoft.com/office/2006/documentManagement/types"/>
    <xsd:import namespace="http://schemas.microsoft.com/office/infopath/2007/PartnerControls"/>
    <xsd:element name="NHO_DocumentStatus" ma:index="8" nillable="true" ma:displayName="Status" ma:default="Under behandling" ma:description="Status" ma:format="Dropdown" ma:internalName="NHO_DocumentStatus" ma:readOnly="false">
      <xsd:simpleType>
        <xsd:restriction base="dms:Choice">
          <xsd:enumeration value="Under behandling"/>
          <xsd:enumeration value="Til fordeling"/>
          <xsd:enumeration value="Arkivert"/>
        </xsd:restriction>
      </xsd:simpleType>
    </xsd:element>
    <xsd:element name="NHO_DocumentProperty" ma:index="9" nillable="true" ma:displayName="Inn/ut/internt" ma:default="Internt" ma:description="Inn/ut/internt" ma:format="Dropdown" ma:internalName="NHO_DocumentProperty" ma:readOnly="false">
      <xsd:simpleType>
        <xsd:restriction base="dms:Choice">
          <xsd:enumeration value="Internt"/>
          <xsd:enumeration value="Ut"/>
          <xsd:enumeration value="Inn"/>
        </xsd:restriction>
      </xsd:simpleType>
    </xsd:element>
    <xsd:element name="NHO_DocumentDate" ma:index="10" nillable="true" ma:displayName="Dokumentdato" ma:description="Dokumentdato" ma:format="DateOnly" ma:internalName="NHO_DocumentDate" ma:readOnly="false">
      <xsd:simpleType>
        <xsd:restriction base="dms:DateTime"/>
      </xsd:simpleType>
    </xsd:element>
    <xsd:element name="c33924c3673147c88830f2707c1978bc" ma:index="11" nillable="true" ma:taxonomy="true" ma:internalName="c33924c3673147c88830f2707c1978bc" ma:taxonomyFieldName="NhoMmdCaseWorker" ma:displayName="Saksbehandler" ma:readOnly="false" ma:fieldId="{c33924c3-6731-47c8-8830-f2707c1978bc}" ma:sspId="9119b49b-2cc3-444e-b755-8692f4554da6" ma:termSetId="a75e361f-3881-449b-8e3a-eada1710eb38" ma:anchorId="00000000-0000-0000-0000-000000000000" ma:open="false" ma:isKeyword="false">
      <xsd:complexType>
        <xsd:sequence>
          <xsd:element ref="pc:Terms" minOccurs="0" maxOccurs="1"/>
        </xsd:sequence>
      </xsd:complexType>
    </xsd:element>
    <xsd:element name="p8a47c7619634ae9930087b62d76e394" ma:index="15" nillable="true" ma:taxonomy="true" ma:internalName="p8a47c7619634ae9930087b62d76e394" ma:taxonomyFieldName="NHO_OrganisationUnit" ma:displayName="Organisasjonsenhet" ma:readOnly="false" ma:fieldId="{98a47c76-1963-4ae9-9300-87b62d76e394}" ma:sspId="9119b49b-2cc3-444e-b755-8692f4554da6" ma:termSetId="4686cc46-fb62-423b-8caf-c5de8864a4b0" ma:anchorId="00000000-0000-0000-0000-000000000000" ma:open="false" ma:isKeyword="false">
      <xsd:complexType>
        <xsd:sequence>
          <xsd:element ref="pc:Terms" minOccurs="0" maxOccurs="1"/>
        </xsd:sequence>
      </xsd:complexType>
    </xsd:element>
    <xsd:element name="ARENA_DocumentReference" ma:index="19" nillable="true" ma:displayName="Deres referanse" ma:description="Deres referanse" ma:internalName="ARENA_DocumentReference" ma:readOnly="false">
      <xsd:simpleType>
        <xsd:restriction base="dms:Text"/>
      </xsd:simpleType>
    </xsd:element>
    <xsd:element name="ARENA_DocumentRecipient" ma:index="20" nillable="true" ma:displayName="Mottaker" ma:description="Mottaker" ma:internalName="ARENA_DocumentRecipient" ma:readOnly="false">
      <xsd:simpleType>
        <xsd:restriction base="dms:Text"/>
      </xsd:simpleType>
    </xsd:element>
    <xsd:element name="ARENA_DocumentSender" ma:index="21" nillable="true" ma:displayName="Avsender" ma:description="Avsender" ma:internalName="ARENA_DocumentSende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9ab8b6-ff35-4a4f-9f18-9cef83ce6420"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914c2b47-e63b-4c66-aa0a-829be4470dd3}" ma:internalName="TaxCatchAll" ma:showField="CatchAllData" ma:web="f7caea55-9281-421e-9612-41b6556c9fe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914c2b47-e63b-4c66-aa0a-829be4470dd3}" ma:internalName="TaxCatchAllLabel" ma:readOnly="true" ma:showField="CatchAllDataLabel" ma:web="f7caea55-9281-421e-9612-41b6556c9feb">
      <xsd:complexType>
        <xsd:complexContent>
          <xsd:extension base="dms:MultiChoiceLookup">
            <xsd:sequence>
              <xsd:element name="Value" type="dms:Lookup" maxOccurs="unbounded" minOccurs="0" nillable="true"/>
            </xsd:sequence>
          </xsd:extension>
        </xsd:complexContent>
      </xsd:complexType>
    </xsd:element>
    <xsd:element name="TaxKeywordTaxHTField" ma:index="17" nillable="true" ma:taxonomy="true" ma:internalName="TaxKeywordTaxHTField" ma:taxonomyFieldName="TaxKeyword" ma:displayName="Organisasjonsnøkkelord"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7caea55-9281-421e-9612-41b6556c9feb" elementFormDefault="qualified">
    <xsd:import namespace="http://schemas.microsoft.com/office/2006/documentManagement/types"/>
    <xsd:import namespace="http://schemas.microsoft.com/office/infopath/2007/PartnerControls"/>
    <xsd:element name="_dlc_DocId" ma:index="22" nillable="true" ma:displayName="Dokument-ID-verdi" ma:description="Verdien for dokument-IDen som er tilordnet elementet." ma:internalName="_dlc_DocId" ma:readOnly="true">
      <xsd:simpleType>
        <xsd:restriction base="dms:Text"/>
      </xsd:simpleType>
    </xsd:element>
    <xsd:element name="_dlc_DocIdUrl" ma:index="23"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Fast ID" ma:description="Behold IDen ved tillegging."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04b1b87-672d-4ad1-b6c1-f598fb740779" elementFormDefault="qualified">
    <xsd:import namespace="http://schemas.microsoft.com/office/2006/documentManagement/types"/>
    <xsd:import namespace="http://schemas.microsoft.com/office/infopath/2007/PartnerControls"/>
    <xsd:element name="MediaServiceAutoTags" ma:index="25" nillable="true" ma:displayName="MediaServiceAutoTags" ma:description="" ma:internalName="MediaServiceAutoTags" ma:readOnly="true">
      <xsd:simpleType>
        <xsd:restriction base="dms:Text"/>
      </xsd:simpleType>
    </xsd:element>
    <xsd:element name="MediaServiceLocation" ma:index="26" nillable="true" ma:displayName="MediaServiceLocation" ma:description="" ma:internalName="MediaServiceLocation" ma:readOnly="true">
      <xsd:simpleType>
        <xsd:restriction base="dms:Text"/>
      </xsd:simpleType>
    </xsd:element>
    <xsd:element name="MediaServiceOCR" ma:index="27" nillable="true" ma:displayName="MediaServiceOCR"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MediaLengthInSeconds" ma:index="34"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NHO_DocumentProperty xmlns="f909def9-6662-4ec9-b2d2-41be86eee7c4">Internt</NHO_DocumentProperty>
    <ARENA_DocumentReference xmlns="f909def9-6662-4ec9-b2d2-41be86eee7c4" xsi:nil="true"/>
    <NHO_DocumentDate xmlns="f909def9-6662-4ec9-b2d2-41be86eee7c4" xsi:nil="true"/>
    <p8a47c7619634ae9930087b62d76e394 xmlns="f909def9-6662-4ec9-b2d2-41be86eee7c4">
      <Terms xmlns="http://schemas.microsoft.com/office/infopath/2007/PartnerControls"/>
    </p8a47c7619634ae9930087b62d76e394>
    <TaxCatchAll xmlns="749ab8b6-ff35-4a4f-9f18-9cef83ce6420" xsi:nil="true"/>
    <ARENA_DocumentRecipient xmlns="f909def9-6662-4ec9-b2d2-41be86eee7c4" xsi:nil="true"/>
    <TaxKeywordTaxHTField xmlns="749ab8b6-ff35-4a4f-9f18-9cef83ce6420">
      <Terms xmlns="http://schemas.microsoft.com/office/infopath/2007/PartnerControls"/>
    </TaxKeywordTaxHTField>
    <ARENA_DocumentSender xmlns="f909def9-6662-4ec9-b2d2-41be86eee7c4" xsi:nil="true"/>
    <NHO_DocumentStatus xmlns="f909def9-6662-4ec9-b2d2-41be86eee7c4">Under behandling</NHO_DocumentStatus>
    <c33924c3673147c88830f2707c1978bc xmlns="f909def9-6662-4ec9-b2d2-41be86eee7c4">
      <Terms xmlns="http://schemas.microsoft.com/office/infopath/2007/PartnerControls"/>
    </c33924c3673147c88830f2707c1978bc>
    <_dlc_DocId xmlns="f7caea55-9281-421e-9612-41b6556c9feb">EBA01-1988030239-66109</_dlc_DocId>
    <_dlc_DocIdUrl xmlns="f7caea55-9281-421e-9612-41b6556c9feb">
      <Url>https://nhosp.sharepoint.com/sites/EBA/_layouts/15/DocIdRedir.aspx?ID=EBA01-1988030239-66109</Url>
      <Description>EBA01-1988030239-66109</Description>
    </_dlc_DocIdUrl>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1DAAAC-7F6C-4EAF-9237-65CD51E0F5B5}">
  <ds:schemaRefs>
    <ds:schemaRef ds:uri="http://schemas.microsoft.com/sharepoint/events"/>
  </ds:schemaRefs>
</ds:datastoreItem>
</file>

<file path=customXml/itemProps2.xml><?xml version="1.0" encoding="utf-8"?>
<ds:datastoreItem xmlns:ds="http://schemas.openxmlformats.org/officeDocument/2006/customXml" ds:itemID="{10D8E908-4D10-43EE-9D03-09A6B4DABDFF}">
  <ds:schemaRefs>
    <ds:schemaRef ds:uri="Microsoft.SharePoint.Taxonomy.ContentTypeSync"/>
  </ds:schemaRefs>
</ds:datastoreItem>
</file>

<file path=customXml/itemProps3.xml><?xml version="1.0" encoding="utf-8"?>
<ds:datastoreItem xmlns:ds="http://schemas.openxmlformats.org/officeDocument/2006/customXml" ds:itemID="{09E04C00-E6EB-457E-A915-B6622DE6E4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909def9-6662-4ec9-b2d2-41be86eee7c4"/>
    <ds:schemaRef ds:uri="749ab8b6-ff35-4a4f-9f18-9cef83ce6420"/>
    <ds:schemaRef ds:uri="f7caea55-9281-421e-9612-41b6556c9feb"/>
    <ds:schemaRef ds:uri="c04b1b87-672d-4ad1-b6c1-f598fb740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FD447E4-7284-4F64-A402-40EE2D84EE3F}">
  <ds:schemaRefs>
    <ds:schemaRef ds:uri="http://schemas.microsoft.com/office/2006/metadata/customXsn"/>
  </ds:schemaRefs>
</ds:datastoreItem>
</file>

<file path=customXml/itemProps5.xml><?xml version="1.0" encoding="utf-8"?>
<ds:datastoreItem xmlns:ds="http://schemas.openxmlformats.org/officeDocument/2006/customXml" ds:itemID="{9707D9CB-62DF-4278-BF6C-5CA4C916F424}">
  <ds:schemaRefs>
    <ds:schemaRef ds:uri="http://purl.org/dc/terms/"/>
    <ds:schemaRef ds:uri="http://schemas.microsoft.com/office/2006/documentManagement/types"/>
    <ds:schemaRef ds:uri="http://www.w3.org/XML/1998/namespace"/>
    <ds:schemaRef ds:uri="http://schemas.microsoft.com/office/infopath/2007/PartnerControls"/>
    <ds:schemaRef ds:uri="http://purl.org/dc/elements/1.1/"/>
    <ds:schemaRef ds:uri="07c1df59-1541-4259-abd8-0ac24dbce898"/>
    <ds:schemaRef ds:uri="ee46f5df-2a64-452b-ae43-017e350a83b0"/>
    <ds:schemaRef ds:uri="http://schemas.microsoft.com/office/2006/metadata/properties"/>
    <ds:schemaRef ds:uri="http://schemas.openxmlformats.org/package/2006/metadata/core-properties"/>
    <ds:schemaRef ds:uri="http://schemas.microsoft.com/sharepoint/v3"/>
    <ds:schemaRef ds:uri="http://purl.org/dc/dcmitype/"/>
    <ds:schemaRef ds:uri="f909def9-6662-4ec9-b2d2-41be86eee7c4"/>
    <ds:schemaRef ds:uri="749ab8b6-ff35-4a4f-9f18-9cef83ce6420"/>
    <ds:schemaRef ds:uri="f7caea55-9281-421e-9612-41b6556c9feb"/>
  </ds:schemaRefs>
</ds:datastoreItem>
</file>

<file path=customXml/itemProps6.xml><?xml version="1.0" encoding="utf-8"?>
<ds:datastoreItem xmlns:ds="http://schemas.openxmlformats.org/officeDocument/2006/customXml" ds:itemID="{CF8EF670-43A8-49B2-9B95-8194FF52CB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Forside</vt:lpstr>
      <vt:lpstr>Prosjektinfo</vt:lpstr>
      <vt:lpstr>Tunneldrift</vt:lpstr>
      <vt:lpstr>Inn forbered</vt:lpstr>
      <vt:lpstr>Inn foran</vt:lpstr>
      <vt:lpstr>Inn sprengning</vt:lpstr>
      <vt:lpstr>Inn stabilitet</vt:lpstr>
      <vt:lpstr>Inn justeringer</vt:lpstr>
      <vt:lpstr>Oppsummering</vt:lpstr>
      <vt:lpstr>Ut foran</vt:lpstr>
      <vt:lpstr>Ut sprengning</vt:lpstr>
      <vt:lpstr>Ut stabilitet</vt:lpstr>
      <vt:lpstr>Utskrift justeringer</vt:lpstr>
      <vt:lpstr>!Egen_SK</vt:lpstr>
      <vt:lpstr>!Egen_Kap</vt:lpstr>
      <vt:lpstr>!INN_SK</vt:lpstr>
      <vt:lpstr>!SK_Stabil_QTY</vt:lpstr>
      <vt:lpstr>_Changelog</vt:lpstr>
      <vt:lpstr>_Calcs</vt:lpstr>
      <vt:lpstr>_Calcs_Klasse</vt:lpstr>
      <vt:lpstr>_Kapasitet</vt:lpstr>
      <vt:lpstr>_SK_Rates</vt:lpstr>
      <vt:lpstr>_List</vt:lpstr>
      <vt:lpstr>'!Egen_SK'!Print_Area</vt:lpstr>
      <vt:lpstr>'!INN_SK'!Print_Area</vt:lpstr>
      <vt:lpstr>'!SK_Stabil_QTY'!Print_Area</vt:lpstr>
      <vt:lpstr>Prosjektinfo!Print_Area</vt:lpstr>
      <vt:lpstr>'Utskrift justeringer'!Print_Area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john.lau@ntnu.no</dc:creator>
  <cp:lastModifiedBy>Eline Navrestad</cp:lastModifiedBy>
  <cp:lastPrinted>2021-10-27T14:16:32Z</cp:lastPrinted>
  <dcterms:created xsi:type="dcterms:W3CDTF">2020-10-08T08:51:00Z</dcterms:created>
  <dcterms:modified xsi:type="dcterms:W3CDTF">2021-11-12T09:14:57Z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0x01010024A2C8D6A070534B9CF4AD2589879B1E040153003B4117D0495C824193DE5828F1FCC958</vt:lpwstr>
  </property>
  <property fmtid="{D5CDD505-2E9C-101B-9397-08002B2CF9AE}" pid="3" name="MSIP_Label_569d45fb-9dfc-4372-bc20-0ee25b1d5709_Enabled">
    <vt:lpwstr>true</vt:lpwstr>
  </property>
  <property fmtid="{D5CDD505-2E9C-101B-9397-08002B2CF9AE}" pid="4" name="MSIP_Label_569d45fb-9dfc-4372-bc20-0ee25b1d5709_SetDate">
    <vt:lpwstr>2020-11-30T15:15:57Z</vt:lpwstr>
  </property>
  <property fmtid="{D5CDD505-2E9C-101B-9397-08002B2CF9AE}" pid="5" name="MSIP_Label_569d45fb-9dfc-4372-bc20-0ee25b1d5709_Method">
    <vt:lpwstr>Privileged</vt:lpwstr>
  </property>
  <property fmtid="{D5CDD505-2E9C-101B-9397-08002B2CF9AE}" pid="6" name="MSIP_Label_569d45fb-9dfc-4372-bc20-0ee25b1d5709_Name">
    <vt:lpwstr>Public</vt:lpwstr>
  </property>
  <property fmtid="{D5CDD505-2E9C-101B-9397-08002B2CF9AE}" pid="7" name="MSIP_Label_569d45fb-9dfc-4372-bc20-0ee25b1d5709_SiteId">
    <vt:lpwstr>09a10672-822f-4467-a5ba-5bb375967c05</vt:lpwstr>
  </property>
  <property fmtid="{D5CDD505-2E9C-101B-9397-08002B2CF9AE}" pid="8" name="MSIP_Label_569d45fb-9dfc-4372-bc20-0ee25b1d5709_ActionId">
    <vt:lpwstr>d7f76f68-1f39-4367-ab1a-b219f7fe15bd</vt:lpwstr>
  </property>
  <property fmtid="{D5CDD505-2E9C-101B-9397-08002B2CF9AE}" pid="9" name="MSIP_Label_569d45fb-9dfc-4372-bc20-0ee25b1d5709_ContentBits">
    <vt:lpwstr>0</vt:lpwstr>
  </property>
  <property fmtid="{D5CDD505-2E9C-101B-9397-08002B2CF9AE}" pid="10" name="_dlc_DocIdItemGuid">
    <vt:lpwstr>5cab1122-7f29-4f12-94cf-d0299b152154</vt:lpwstr>
  </property>
  <property fmtid="{D5CDD505-2E9C-101B-9397-08002B2CF9AE}" pid="11" name="TaxKeyword">
    <vt:lpwstr/>
  </property>
</Properties>
</file>